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codeName="ThisWorkbook" defaultThemeVersion="166925"/>
  <mc:AlternateContent xmlns:mc="http://schemas.openxmlformats.org/markup-compatibility/2006">
    <mc:Choice Requires="x15">
      <x15ac:absPath xmlns:x15ac="http://schemas.microsoft.com/office/spreadsheetml/2010/11/ac" url="https://baplc.sharepoint.com/sites/AppSupport/Shared Documents/MSR ticket tracker/"/>
    </mc:Choice>
  </mc:AlternateContent>
  <xr:revisionPtr revIDLastSave="0" documentId="8_{1C01D1E0-AF84-4608-9360-5A750C736433}" xr6:coauthVersionLast="47" xr6:coauthVersionMax="47" xr10:uidLastSave="{00000000-0000-0000-0000-000000000000}"/>
  <bookViews>
    <workbookView xWindow="0" yWindow="660" windowWidth="34560" windowHeight="21680" firstSheet="8" activeTab="8" xr2:uid="{00000000-000D-0000-FFFF-FFFF00000000}"/>
  </bookViews>
  <sheets>
    <sheet name="MSR" sheetId="25" r:id="rId1"/>
    <sheet name="SOP" sheetId="22" r:id="rId2"/>
    <sheet name="Casual_Guide" sheetId="1" r:id="rId3"/>
    <sheet name="Dashboard" sheetId="48" r:id="rId4"/>
    <sheet name="Variables" sheetId="3" r:id="rId5"/>
    <sheet name="BA BackOffice" sheetId="24" r:id="rId6"/>
    <sheet name="EI BackOffice" sheetId="26" r:id="rId7"/>
    <sheet name="BA AO" sheetId="42" r:id="rId8"/>
    <sheet name="SIP" sheetId="15" r:id="rId9"/>
    <sheet name="BA Mobile" sheetId="35" r:id="rId10"/>
    <sheet name="EI AO" sheetId="43" r:id="rId11"/>
    <sheet name="Pathway" sheetId="13" r:id="rId12"/>
    <sheet name="ODI" sheetId="51" r:id="rId13"/>
    <sheet name="LIP" sheetId="14" r:id="rId14"/>
    <sheet name="QIP" sheetId="34" r:id="rId15"/>
    <sheet name="BA MRO" sheetId="44" r:id="rId16"/>
    <sheet name="IB MRO" sheetId="45" r:id="rId17"/>
    <sheet name="IB MOBILE" sheetId="46" r:id="rId18"/>
    <sheet name="IB COMMERCIAL" sheetId="47" r:id="rId19"/>
    <sheet name="Change Tracker" sheetId="23" r:id="rId20"/>
  </sheets>
  <definedNames>
    <definedName name="_xlnm._FilterDatabase" localSheetId="7" hidden="1">'BA AO'!$A$1:$AJ$1413</definedName>
    <definedName name="_xlnm._FilterDatabase" localSheetId="5" hidden="1">'BA BackOffice'!$A$1:$AJ$1</definedName>
    <definedName name="_xlnm._FilterDatabase" localSheetId="9" hidden="1">'BA Mobile'!$A$1:$AJ$231</definedName>
    <definedName name="_xlnm._FilterDatabase" localSheetId="19" hidden="1">'Change Tracker'!$A$1:$Z$1</definedName>
    <definedName name="_xlnm._FilterDatabase" localSheetId="13" hidden="1">LIP!$A$1:$AJ$501</definedName>
    <definedName name="_xlnm._FilterDatabase" localSheetId="12" hidden="1">ODI!$A$1:$AJ$402</definedName>
    <definedName name="_xlnm._FilterDatabase" localSheetId="11" hidden="1">Pathway!$A$1:$AJ$783</definedName>
    <definedName name="_xlnm._FilterDatabase" localSheetId="10" hidden="1">'EI AO'!$A$1:$AJ$600</definedName>
    <definedName name="_xlnm._FilterDatabase" localSheetId="8" hidden="1">SIP!$A$1:$AJ$1018</definedName>
    <definedName name="_xlnm._FilterDatabase" localSheetId="14" hidden="1">QIP!$A$1:$AJ$500</definedName>
    <definedName name="Domain_List">Variables!$C$2:$C$15</definedName>
    <definedName name="Incident">Variables!$S$2:$S$26</definedName>
    <definedName name="Incident_PR">Variables!$I$2:$I$5</definedName>
    <definedName name="OpCo_List">Variables!$A$2:$A$4</definedName>
    <definedName name="P_Ticket">Variables!$W$2:$W$26</definedName>
    <definedName name="P_Ticket_PR">Variables!$M$2:$M$4</definedName>
    <definedName name="Queue_List">Variables!$E$2:$E$42</definedName>
    <definedName name="Resolution_List">Variables!$Q$2:$Q$5</definedName>
    <definedName name="RFS">Variables!$U$2:$U$13</definedName>
    <definedName name="RFS_PR">Variables!$K$2:$K$2</definedName>
    <definedName name="Status_List">Variables!$O$2:$O$5</definedName>
    <definedName name="SubCategory">Variables!$Y$2:$Y$34</definedName>
    <definedName name="Type_List">Variables!$G$2:$G$4</definedName>
    <definedName name="UKBankHolidays">Variables!$A$13:$A$21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P37" i="25" l="1"/>
  <c r="P38" i="25"/>
  <c r="L37" i="25"/>
  <c r="L38" i="25"/>
  <c r="H37" i="25"/>
  <c r="H38" i="25"/>
  <c r="H30" i="25"/>
  <c r="D37" i="25"/>
  <c r="D38" i="25"/>
  <c r="D30" i="25"/>
  <c r="D26" i="25"/>
  <c r="D27" i="25"/>
  <c r="D28" i="25"/>
  <c r="D29" i="25"/>
  <c r="D31" i="25"/>
  <c r="D32" i="25"/>
  <c r="D33" i="25"/>
  <c r="D34" i="25"/>
  <c r="D35" i="25"/>
  <c r="D36" i="25"/>
  <c r="D39" i="25"/>
  <c r="D40" i="25"/>
  <c r="R18" i="25"/>
  <c r="Q17" i="25"/>
  <c r="Q16" i="25"/>
  <c r="Q15" i="25"/>
  <c r="Q12" i="25"/>
  <c r="O12" i="25"/>
  <c r="O7" i="25"/>
  <c r="N16" i="25"/>
  <c r="K16" i="25"/>
  <c r="N15" i="25"/>
  <c r="K15" i="25"/>
  <c r="N12" i="25"/>
  <c r="K12" i="25"/>
  <c r="H8" i="25"/>
  <c r="H7" i="25"/>
  <c r="AE500" i="26"/>
  <c r="AE499" i="26"/>
  <c r="AE498" i="26"/>
  <c r="AE497" i="26"/>
  <c r="AE496" i="26"/>
  <c r="AE495" i="26"/>
  <c r="AE494" i="26"/>
  <c r="AE493" i="26"/>
  <c r="AE492" i="26"/>
  <c r="AE491" i="26"/>
  <c r="AE490" i="26"/>
  <c r="AE489" i="26"/>
  <c r="AE488" i="26"/>
  <c r="AE487" i="26"/>
  <c r="AE486" i="26"/>
  <c r="AE485" i="26"/>
  <c r="AE484" i="26"/>
  <c r="AE483" i="26"/>
  <c r="AE482" i="26"/>
  <c r="AE481" i="26"/>
  <c r="AE480" i="26"/>
  <c r="AE479" i="26"/>
  <c r="AE478" i="26"/>
  <c r="AE477" i="26"/>
  <c r="AE476" i="26"/>
  <c r="AE475" i="26"/>
  <c r="AE474" i="26"/>
  <c r="AE473" i="26"/>
  <c r="AE472" i="26"/>
  <c r="AE471" i="26"/>
  <c r="AE470" i="26"/>
  <c r="AE469" i="26"/>
  <c r="AE468" i="26"/>
  <c r="AE467" i="26"/>
  <c r="AE466" i="26"/>
  <c r="AE465" i="26"/>
  <c r="AE464" i="26"/>
  <c r="AE463" i="26"/>
  <c r="AE462" i="26"/>
  <c r="AE461" i="26"/>
  <c r="AE460" i="26"/>
  <c r="AE459" i="26"/>
  <c r="AE458" i="26"/>
  <c r="AE457" i="26"/>
  <c r="AE456" i="26"/>
  <c r="AE455" i="26"/>
  <c r="AE454" i="26"/>
  <c r="AE453" i="26"/>
  <c r="AE452" i="26"/>
  <c r="AE451" i="26"/>
  <c r="AE450" i="26"/>
  <c r="AE449" i="26"/>
  <c r="AE448" i="26"/>
  <c r="AE447" i="26"/>
  <c r="AE446" i="26"/>
  <c r="AE445" i="26"/>
  <c r="AE444" i="26"/>
  <c r="AE443" i="26"/>
  <c r="AE442" i="26"/>
  <c r="AE441" i="26"/>
  <c r="AE440" i="26"/>
  <c r="AE439" i="26"/>
  <c r="AE438" i="26"/>
  <c r="AE437" i="26"/>
  <c r="AE436" i="26"/>
  <c r="AE435" i="26"/>
  <c r="AE434" i="26"/>
  <c r="AE433" i="26"/>
  <c r="AE432" i="26"/>
  <c r="AE431" i="26"/>
  <c r="AE430" i="26"/>
  <c r="AE429" i="26"/>
  <c r="AE428" i="26"/>
  <c r="AE427" i="26"/>
  <c r="AE426" i="26"/>
  <c r="AE425" i="26"/>
  <c r="AE424" i="26"/>
  <c r="AE423" i="26"/>
  <c r="AE422" i="26"/>
  <c r="AE421" i="26"/>
  <c r="AE420" i="26"/>
  <c r="AE419" i="26"/>
  <c r="AE418" i="26"/>
  <c r="AE417" i="26"/>
  <c r="AE416" i="26"/>
  <c r="AE415" i="26"/>
  <c r="AE414" i="26"/>
  <c r="AE413" i="26"/>
  <c r="AE412" i="26"/>
  <c r="AE411" i="26"/>
  <c r="AE410" i="26"/>
  <c r="AE409" i="26"/>
  <c r="AE408" i="26"/>
  <c r="AE407" i="26"/>
  <c r="AE406" i="26"/>
  <c r="AE405" i="26"/>
  <c r="AE404" i="26"/>
  <c r="AE403" i="26"/>
  <c r="AE402" i="26"/>
  <c r="AE401" i="26"/>
  <c r="AE400" i="26"/>
  <c r="AE399" i="26"/>
  <c r="AE398" i="26"/>
  <c r="AE397" i="26"/>
  <c r="AE396" i="26"/>
  <c r="AE395" i="26"/>
  <c r="AE394" i="26"/>
  <c r="AE393" i="26"/>
  <c r="AE392" i="26"/>
  <c r="AE391" i="26"/>
  <c r="AE390" i="26"/>
  <c r="AE389" i="26"/>
  <c r="AE388" i="26"/>
  <c r="AE387" i="26"/>
  <c r="AE386" i="26"/>
  <c r="AE385" i="26"/>
  <c r="AE384" i="26"/>
  <c r="AE383" i="26"/>
  <c r="AE382" i="26"/>
  <c r="AE381" i="26"/>
  <c r="AE380" i="26"/>
  <c r="AE379" i="26"/>
  <c r="AE378" i="26"/>
  <c r="AE377" i="26"/>
  <c r="AE376" i="26"/>
  <c r="AE375" i="26"/>
  <c r="AE374" i="26"/>
  <c r="AE373" i="26"/>
  <c r="AE372" i="26"/>
  <c r="AE371" i="26"/>
  <c r="AE370" i="26"/>
  <c r="AE369" i="26"/>
  <c r="AE368" i="26"/>
  <c r="AE367" i="26"/>
  <c r="AE366" i="26"/>
  <c r="AE365" i="26"/>
  <c r="AE364" i="26"/>
  <c r="AE363" i="26"/>
  <c r="AE362" i="26"/>
  <c r="AE361" i="26"/>
  <c r="AE360" i="26"/>
  <c r="AE359" i="26"/>
  <c r="AE358" i="26"/>
  <c r="AE357" i="26"/>
  <c r="AE356" i="26"/>
  <c r="AE355" i="26"/>
  <c r="AE354" i="26"/>
  <c r="AE353" i="26"/>
  <c r="AE352" i="26"/>
  <c r="AE351" i="26"/>
  <c r="AE350" i="26"/>
  <c r="AE349" i="26"/>
  <c r="AE348" i="26"/>
  <c r="AE347" i="26"/>
  <c r="AE346" i="26"/>
  <c r="AE345" i="26"/>
  <c r="AE344" i="26"/>
  <c r="AE343" i="26"/>
  <c r="AE342" i="26"/>
  <c r="AE341" i="26"/>
  <c r="AE340" i="26"/>
  <c r="AE339" i="26"/>
  <c r="AE338" i="26"/>
  <c r="AE337" i="26"/>
  <c r="AE336" i="26"/>
  <c r="AE335" i="26"/>
  <c r="AE334" i="26"/>
  <c r="AE333" i="26"/>
  <c r="AE332" i="26"/>
  <c r="AE331" i="26"/>
  <c r="AE330" i="26"/>
  <c r="AE329" i="26"/>
  <c r="AE328" i="26"/>
  <c r="AE327" i="26"/>
  <c r="AE326" i="26"/>
  <c r="AE325" i="26"/>
  <c r="AE324" i="26"/>
  <c r="AE323" i="26"/>
  <c r="AE322" i="26"/>
  <c r="AE321" i="26"/>
  <c r="AE320" i="26"/>
  <c r="AE319" i="26"/>
  <c r="AE318" i="26"/>
  <c r="AE317" i="26"/>
  <c r="AE316" i="26"/>
  <c r="AE315" i="26"/>
  <c r="AE314" i="26"/>
  <c r="AE313" i="26"/>
  <c r="AE312" i="26"/>
  <c r="AE311" i="26"/>
  <c r="AE310" i="26"/>
  <c r="AE309" i="26"/>
  <c r="AE308" i="26"/>
  <c r="AE307" i="26"/>
  <c r="AE306" i="26"/>
  <c r="AE305" i="26"/>
  <c r="AE304" i="26"/>
  <c r="AE303" i="26"/>
  <c r="AE302" i="26"/>
  <c r="AE301" i="26"/>
  <c r="AE300" i="26"/>
  <c r="AE299" i="26"/>
  <c r="AE298" i="26"/>
  <c r="AE297" i="26"/>
  <c r="AE296" i="26"/>
  <c r="AE295" i="26"/>
  <c r="AE294" i="26"/>
  <c r="AE293" i="26"/>
  <c r="AE292" i="26"/>
  <c r="AE291" i="26"/>
  <c r="AE290" i="26"/>
  <c r="AE289" i="26"/>
  <c r="AE288" i="26"/>
  <c r="AE287" i="26"/>
  <c r="AE286" i="26"/>
  <c r="AE285" i="26"/>
  <c r="AE284" i="26"/>
  <c r="AE283" i="26"/>
  <c r="AE282" i="26"/>
  <c r="AE281" i="26"/>
  <c r="AE280" i="26"/>
  <c r="AE279" i="26"/>
  <c r="AE278" i="26"/>
  <c r="AE277" i="26"/>
  <c r="AE276" i="26"/>
  <c r="AE275" i="26"/>
  <c r="AE274" i="26"/>
  <c r="AE273" i="26"/>
  <c r="AE272" i="26"/>
  <c r="AE271" i="26"/>
  <c r="AE270" i="26"/>
  <c r="AE269" i="26"/>
  <c r="AE268" i="26"/>
  <c r="AE267" i="26"/>
  <c r="AE266" i="26"/>
  <c r="AE265" i="26"/>
  <c r="AE264" i="26"/>
  <c r="AE263" i="26"/>
  <c r="AE262" i="26"/>
  <c r="AE261" i="26"/>
  <c r="AE260" i="26"/>
  <c r="AE259" i="26"/>
  <c r="AE258" i="26"/>
  <c r="AE257" i="26"/>
  <c r="AE256" i="26"/>
  <c r="AE255" i="26"/>
  <c r="AE254" i="26"/>
  <c r="AE253" i="26"/>
  <c r="AE252" i="26"/>
  <c r="AE251" i="26"/>
  <c r="AE250" i="26"/>
  <c r="AE249" i="26"/>
  <c r="AE248" i="26"/>
  <c r="AE247" i="26"/>
  <c r="AE246" i="26"/>
  <c r="AE245" i="26"/>
  <c r="AE244" i="26"/>
  <c r="AE243" i="26"/>
  <c r="AE242" i="26"/>
  <c r="AE241" i="26"/>
  <c r="AE240" i="26"/>
  <c r="AE239" i="26"/>
  <c r="AE238" i="26"/>
  <c r="AE237" i="26"/>
  <c r="AE236" i="26"/>
  <c r="AE235" i="26"/>
  <c r="AE234" i="26"/>
  <c r="AE233" i="26"/>
  <c r="AE232" i="26"/>
  <c r="AE231" i="26"/>
  <c r="AE230" i="26"/>
  <c r="AE229" i="26"/>
  <c r="AE228" i="26"/>
  <c r="AE227" i="26"/>
  <c r="AE226" i="26"/>
  <c r="AE225" i="26"/>
  <c r="AE224" i="26"/>
  <c r="AE223" i="26"/>
  <c r="AE222" i="26"/>
  <c r="AE221" i="26"/>
  <c r="AE220" i="26"/>
  <c r="AE219" i="26"/>
  <c r="AE218" i="26"/>
  <c r="AE217" i="26"/>
  <c r="AE216" i="26"/>
  <c r="AE215" i="26"/>
  <c r="AE214" i="26"/>
  <c r="AE213" i="26"/>
  <c r="AE212" i="26"/>
  <c r="AE211" i="26"/>
  <c r="AE210" i="26"/>
  <c r="AE209" i="26"/>
  <c r="AE208" i="26"/>
  <c r="AE207" i="26"/>
  <c r="AE206" i="26"/>
  <c r="AE205" i="26"/>
  <c r="AE204" i="26"/>
  <c r="AE203" i="26"/>
  <c r="AE202" i="26"/>
  <c r="AE201" i="26"/>
  <c r="AE200" i="26"/>
  <c r="AE199" i="26"/>
  <c r="AE198" i="26"/>
  <c r="AE197" i="26"/>
  <c r="AE196" i="26"/>
  <c r="AE195" i="26"/>
  <c r="AE194" i="26"/>
  <c r="AE193" i="26"/>
  <c r="AE192" i="26"/>
  <c r="AE191" i="26"/>
  <c r="AE190" i="26"/>
  <c r="AE189" i="26"/>
  <c r="AE188" i="26"/>
  <c r="AE187" i="26"/>
  <c r="AE186" i="26"/>
  <c r="AE185" i="26"/>
  <c r="AE184" i="26"/>
  <c r="AE183" i="26"/>
  <c r="AE182" i="26"/>
  <c r="AE181" i="26"/>
  <c r="AE180" i="26"/>
  <c r="AE179" i="26"/>
  <c r="AE178" i="26"/>
  <c r="AE177" i="26"/>
  <c r="AE176" i="26"/>
  <c r="AE175" i="26"/>
  <c r="AE174" i="26"/>
  <c r="AE173" i="26"/>
  <c r="AE172" i="26"/>
  <c r="AE171" i="26"/>
  <c r="AE170" i="26"/>
  <c r="AE169" i="26"/>
  <c r="AE168" i="26"/>
  <c r="AE167" i="26"/>
  <c r="AE166" i="26"/>
  <c r="AE165" i="26"/>
  <c r="AE164" i="26"/>
  <c r="AE163" i="26"/>
  <c r="AE162" i="26"/>
  <c r="AE161" i="26"/>
  <c r="AE160" i="26"/>
  <c r="AE159" i="26"/>
  <c r="AE158" i="26"/>
  <c r="AE157" i="26"/>
  <c r="AE156" i="26"/>
  <c r="AE155" i="26"/>
  <c r="AE154" i="26"/>
  <c r="AE153" i="26"/>
  <c r="AE152" i="26"/>
  <c r="AE151" i="26"/>
  <c r="AE150" i="26"/>
  <c r="AE149" i="26"/>
  <c r="AE148" i="26"/>
  <c r="AE147" i="26"/>
  <c r="AE146" i="26"/>
  <c r="AE145" i="26"/>
  <c r="AE144" i="26"/>
  <c r="AE143" i="26"/>
  <c r="AE142" i="26"/>
  <c r="AE141" i="26"/>
  <c r="AE140" i="26"/>
  <c r="AE139" i="26"/>
  <c r="AE138" i="26"/>
  <c r="AE137" i="26"/>
  <c r="AE136" i="26"/>
  <c r="AE135" i="26"/>
  <c r="AE134" i="26"/>
  <c r="AE133" i="26"/>
  <c r="AE132" i="26"/>
  <c r="AE131" i="26"/>
  <c r="AE130" i="26"/>
  <c r="AE129" i="26"/>
  <c r="AE128" i="26"/>
  <c r="AE127" i="26"/>
  <c r="AE126" i="26"/>
  <c r="AE125" i="26"/>
  <c r="AE124" i="26"/>
  <c r="AE123" i="26"/>
  <c r="AE122" i="26"/>
  <c r="AE121" i="26"/>
  <c r="AE120" i="26"/>
  <c r="AE119" i="26"/>
  <c r="AE118" i="26"/>
  <c r="AE117" i="26"/>
  <c r="AE116" i="26"/>
  <c r="AE115" i="26"/>
  <c r="AE114" i="26"/>
  <c r="AE113" i="26"/>
  <c r="AE112" i="26"/>
  <c r="AE111" i="26"/>
  <c r="AE110" i="26"/>
  <c r="AE109" i="26"/>
  <c r="AE108" i="26"/>
  <c r="AE107" i="26"/>
  <c r="AE106" i="26"/>
  <c r="AE105" i="26"/>
  <c r="AE104" i="26"/>
  <c r="AE103" i="26"/>
  <c r="AE102" i="26"/>
  <c r="AE101" i="26"/>
  <c r="AE100" i="26"/>
  <c r="AE99" i="26"/>
  <c r="AE98" i="26"/>
  <c r="AE97" i="26"/>
  <c r="AE96" i="26"/>
  <c r="AE95" i="26"/>
  <c r="AE94" i="26"/>
  <c r="AE93" i="26"/>
  <c r="AE92" i="26"/>
  <c r="AE91" i="26"/>
  <c r="AE90" i="26"/>
  <c r="AE89" i="26"/>
  <c r="AE88" i="26"/>
  <c r="AE87" i="26"/>
  <c r="AE86" i="26"/>
  <c r="AE85" i="26"/>
  <c r="AE84" i="26"/>
  <c r="AE83" i="26"/>
  <c r="AE82" i="26"/>
  <c r="AE81" i="26"/>
  <c r="AE80" i="26"/>
  <c r="AE79" i="26"/>
  <c r="AE78" i="26"/>
  <c r="AE77" i="26"/>
  <c r="AE76" i="26"/>
  <c r="AE75" i="26"/>
  <c r="AE74" i="26"/>
  <c r="AE73" i="26"/>
  <c r="AE72" i="26"/>
  <c r="AE71" i="26"/>
  <c r="AE70" i="26"/>
  <c r="AE69" i="26"/>
  <c r="AE68" i="26"/>
  <c r="AE67" i="26"/>
  <c r="AE66" i="26"/>
  <c r="AE65" i="26"/>
  <c r="AE64" i="26"/>
  <c r="AE63" i="26"/>
  <c r="AE62" i="26"/>
  <c r="AE61" i="26"/>
  <c r="AE60" i="26"/>
  <c r="AE59" i="26"/>
  <c r="AE58" i="26"/>
  <c r="AE57" i="26"/>
  <c r="AE56" i="26"/>
  <c r="AE55" i="26"/>
  <c r="AE54" i="26"/>
  <c r="AE53" i="26"/>
  <c r="AE52" i="26"/>
  <c r="AE51" i="26"/>
  <c r="AE50" i="26"/>
  <c r="AE49" i="26"/>
  <c r="AE48" i="26"/>
  <c r="AE47" i="26"/>
  <c r="AE46" i="26"/>
  <c r="AE45" i="26"/>
  <c r="AE44" i="26"/>
  <c r="AE43" i="26"/>
  <c r="AE42" i="26"/>
  <c r="AE41" i="26"/>
  <c r="AE40" i="26"/>
  <c r="AE39" i="26"/>
  <c r="AE38" i="26"/>
  <c r="AE37" i="26"/>
  <c r="AE36" i="26"/>
  <c r="AE35" i="26"/>
  <c r="AE34" i="26"/>
  <c r="AE33" i="26"/>
  <c r="AE32" i="26"/>
  <c r="AE31" i="26"/>
  <c r="AE30" i="26"/>
  <c r="AE29" i="26"/>
  <c r="AE28" i="26"/>
  <c r="AE27" i="26"/>
  <c r="AE26" i="26"/>
  <c r="AE25" i="26"/>
  <c r="AE24" i="26"/>
  <c r="AE23" i="26"/>
  <c r="AE22" i="26"/>
  <c r="AE21" i="26"/>
  <c r="AE20" i="26"/>
  <c r="AE19" i="26"/>
  <c r="AE18" i="26"/>
  <c r="AE17" i="26"/>
  <c r="AE16" i="26"/>
  <c r="AE15" i="26"/>
  <c r="AE14" i="26"/>
  <c r="P40" i="25"/>
  <c r="L40" i="25"/>
  <c r="K40" i="25"/>
  <c r="J40" i="25"/>
  <c r="I40" i="25"/>
  <c r="H40" i="25"/>
  <c r="G40" i="25"/>
  <c r="F40" i="25"/>
  <c r="E40" i="25"/>
  <c r="X18" i="25"/>
  <c r="W18" i="25"/>
  <c r="T18" i="25"/>
  <c r="S18" i="25"/>
  <c r="Q18" i="25"/>
  <c r="P18" i="25"/>
  <c r="O18" i="25"/>
  <c r="N18" i="25"/>
  <c r="M18" i="25"/>
  <c r="L18" i="25"/>
  <c r="K18" i="25"/>
  <c r="J18" i="25"/>
  <c r="I18" i="25"/>
  <c r="H18" i="25"/>
  <c r="G18" i="25"/>
  <c r="F18" i="25"/>
  <c r="E18" i="25"/>
  <c r="D18" i="25"/>
  <c r="H16" i="25"/>
  <c r="E16" i="25"/>
  <c r="AE402" i="24"/>
  <c r="AE401" i="24"/>
  <c r="AE400" i="24"/>
  <c r="AE399" i="24"/>
  <c r="AE398" i="24"/>
  <c r="AE397" i="24"/>
  <c r="AE396" i="24"/>
  <c r="AE395" i="24"/>
  <c r="AE394" i="24"/>
  <c r="AE393" i="24"/>
  <c r="AE392" i="24"/>
  <c r="AE391" i="24"/>
  <c r="AE390" i="24"/>
  <c r="AE389" i="24"/>
  <c r="AE388" i="24"/>
  <c r="AE387" i="24"/>
  <c r="AE386" i="24"/>
  <c r="AE385" i="24"/>
  <c r="AE384" i="24"/>
  <c r="AE383" i="24"/>
  <c r="AE382" i="24"/>
  <c r="AE381" i="24"/>
  <c r="AE380" i="24"/>
  <c r="AE379" i="24"/>
  <c r="AE378" i="24"/>
  <c r="AE377" i="24"/>
  <c r="AE376" i="24"/>
  <c r="AE375" i="24"/>
  <c r="AE374" i="24"/>
  <c r="AE373" i="24"/>
  <c r="AE372" i="24"/>
  <c r="AE371" i="24"/>
  <c r="AE370" i="24"/>
  <c r="AE369" i="24"/>
  <c r="AE368" i="24"/>
  <c r="AE367" i="24"/>
  <c r="AE366" i="24"/>
  <c r="AE365" i="24"/>
  <c r="AE364" i="24"/>
  <c r="AE363" i="24"/>
  <c r="AE362" i="24"/>
  <c r="AE361" i="24"/>
  <c r="AE360" i="24"/>
  <c r="AE359" i="24"/>
  <c r="AE358" i="24"/>
  <c r="AE357" i="24"/>
  <c r="AE356" i="24"/>
  <c r="AE355" i="24"/>
  <c r="AE354" i="24"/>
  <c r="AE353" i="24"/>
  <c r="AE352" i="24"/>
  <c r="AE351" i="24"/>
  <c r="AE350" i="24"/>
  <c r="AE349" i="24"/>
  <c r="AE348" i="24"/>
  <c r="AE347" i="24"/>
  <c r="AE346" i="24"/>
  <c r="AE345" i="24"/>
  <c r="AE344" i="24"/>
  <c r="AE343" i="24"/>
  <c r="AE342" i="24"/>
  <c r="AE341" i="24"/>
  <c r="AE340" i="24"/>
  <c r="AE339" i="24"/>
  <c r="AE338" i="24"/>
  <c r="AE337" i="24"/>
  <c r="AE336" i="24"/>
  <c r="AE335" i="24"/>
  <c r="AE334" i="24"/>
  <c r="AE333" i="24"/>
  <c r="AE332" i="24"/>
  <c r="AE331" i="24"/>
  <c r="AE330" i="24"/>
  <c r="AE329" i="24"/>
  <c r="AE328" i="24"/>
  <c r="AE327" i="24"/>
  <c r="AE326" i="24"/>
  <c r="AE325" i="24"/>
  <c r="AE324" i="24"/>
  <c r="AE323" i="24"/>
  <c r="AE322" i="24"/>
  <c r="AE321" i="24"/>
  <c r="AE320" i="24"/>
  <c r="AE319" i="24"/>
  <c r="AE318" i="24"/>
  <c r="AE317" i="24"/>
  <c r="AE316" i="24"/>
  <c r="AE315" i="24"/>
  <c r="AE314" i="24"/>
  <c r="AE313" i="24"/>
  <c r="AE312" i="24"/>
  <c r="AE311" i="24"/>
  <c r="AE310" i="24"/>
  <c r="AE309" i="24"/>
  <c r="AE308" i="24"/>
  <c r="P29" i="25"/>
  <c r="L29" i="25"/>
  <c r="K29" i="25"/>
  <c r="J29" i="25"/>
  <c r="I29" i="25"/>
  <c r="H29" i="25"/>
  <c r="G29" i="25"/>
  <c r="F29" i="25"/>
  <c r="E29" i="25"/>
  <c r="P28" i="25"/>
  <c r="L28" i="25"/>
  <c r="K28" i="25"/>
  <c r="J28" i="25"/>
  <c r="I28" i="25"/>
  <c r="H28" i="25"/>
  <c r="G28" i="25"/>
  <c r="F28" i="25"/>
  <c r="E28" i="25"/>
  <c r="P27" i="25"/>
  <c r="L27" i="25"/>
  <c r="K27" i="25"/>
  <c r="J27" i="25"/>
  <c r="I27" i="25"/>
  <c r="H27" i="25"/>
  <c r="G27" i="25"/>
  <c r="F27" i="25"/>
  <c r="E27" i="25"/>
  <c r="X7" i="25"/>
  <c r="W7" i="25"/>
  <c r="T7" i="25"/>
  <c r="S7" i="25"/>
  <c r="R7" i="25"/>
  <c r="Q7" i="25"/>
  <c r="P7" i="25"/>
  <c r="N7" i="25"/>
  <c r="M7" i="25"/>
  <c r="L7" i="25"/>
  <c r="K7" i="25"/>
  <c r="J7" i="25"/>
  <c r="I7" i="25"/>
  <c r="G7" i="25"/>
  <c r="F7" i="25"/>
  <c r="E7" i="25"/>
  <c r="D7" i="25"/>
  <c r="X6" i="25"/>
  <c r="W6" i="25"/>
  <c r="T6" i="25"/>
  <c r="S6" i="25"/>
  <c r="R6" i="25"/>
  <c r="Q6" i="25"/>
  <c r="P6" i="25"/>
  <c r="O6" i="25"/>
  <c r="N6" i="25"/>
  <c r="M6" i="25"/>
  <c r="L6" i="25"/>
  <c r="K6" i="25"/>
  <c r="J6" i="25"/>
  <c r="I6" i="25"/>
  <c r="H6" i="25"/>
  <c r="G6" i="25"/>
  <c r="F6" i="25"/>
  <c r="E6" i="25"/>
  <c r="D6" i="25"/>
  <c r="X5" i="25"/>
  <c r="W5" i="25"/>
  <c r="T5" i="25"/>
  <c r="S5" i="25"/>
  <c r="R5" i="25"/>
  <c r="Q5" i="25"/>
  <c r="P5" i="25"/>
  <c r="O5" i="25"/>
  <c r="N5" i="25"/>
  <c r="M5" i="25"/>
  <c r="L5" i="25"/>
  <c r="K5" i="25"/>
  <c r="J5" i="25"/>
  <c r="I5" i="25"/>
  <c r="H5" i="25"/>
  <c r="G5" i="25"/>
  <c r="F5" i="25"/>
  <c r="E5" i="25"/>
  <c r="D5" i="25"/>
  <c r="H15" i="25"/>
  <c r="E15" i="25"/>
  <c r="Z3" i="51"/>
  <c r="AA3" i="51" s="1"/>
  <c r="AB3" i="51"/>
  <c r="AC3" i="51" s="1"/>
  <c r="AD3" i="51"/>
  <c r="AH3" i="51" s="1" a="1"/>
  <c r="AH3" i="51" s="1"/>
  <c r="AE3" i="51"/>
  <c r="Z4" i="51"/>
  <c r="AA4" i="51" s="1"/>
  <c r="AB4" i="51"/>
  <c r="AC4" i="51" s="1"/>
  <c r="AD4" i="51"/>
  <c r="AH4" i="51" s="1" a="1"/>
  <c r="AH4" i="51" s="1"/>
  <c r="AE4" i="51"/>
  <c r="Z5" i="51"/>
  <c r="AA5" i="51" s="1"/>
  <c r="AB5" i="51"/>
  <c r="AC5" i="51" s="1"/>
  <c r="AD5" i="51"/>
  <c r="AH5" i="51" s="1" a="1"/>
  <c r="AH5" i="51" s="1"/>
  <c r="AE5" i="51"/>
  <c r="AI5" i="51" s="1"/>
  <c r="Z6" i="51"/>
  <c r="AA6" i="51" s="1"/>
  <c r="AB6" i="51"/>
  <c r="AC6" i="51" s="1"/>
  <c r="AD6" i="51"/>
  <c r="AH6" i="51" s="1" a="1"/>
  <c r="AH6" i="51" s="1"/>
  <c r="AE6" i="51"/>
  <c r="Z7" i="51"/>
  <c r="AA7" i="51" s="1"/>
  <c r="AB7" i="51"/>
  <c r="AC7" i="51" s="1"/>
  <c r="AD7" i="51"/>
  <c r="AH7" i="51" s="1" a="1"/>
  <c r="AH7" i="51" s="1"/>
  <c r="AE7" i="51"/>
  <c r="AI7" i="51" s="1"/>
  <c r="Z8" i="51"/>
  <c r="AA8" i="51" s="1"/>
  <c r="AB8" i="51"/>
  <c r="AC8" i="51" s="1"/>
  <c r="AD8" i="51"/>
  <c r="AH8" i="51" s="1" a="1"/>
  <c r="AH8" i="51" s="1"/>
  <c r="AE8" i="51"/>
  <c r="AI8" i="51" s="1"/>
  <c r="Z9" i="51"/>
  <c r="AA9" i="51" s="1"/>
  <c r="AB9" i="51"/>
  <c r="AC9" i="51" s="1"/>
  <c r="AD9" i="51"/>
  <c r="AH9" i="51" s="1" a="1"/>
  <c r="AH9" i="51" s="1"/>
  <c r="AE9" i="51"/>
  <c r="Z10" i="51"/>
  <c r="AA10" i="51" s="1"/>
  <c r="AB10" i="51"/>
  <c r="AC10" i="51" s="1"/>
  <c r="AD10" i="51"/>
  <c r="AH10" i="51" s="1" a="1"/>
  <c r="AH10" i="51" s="1"/>
  <c r="AE10" i="51"/>
  <c r="AI10" i="51" s="1"/>
  <c r="Z11" i="51"/>
  <c r="AA11" i="51" s="1"/>
  <c r="AB11" i="51"/>
  <c r="AC11" i="51" s="1"/>
  <c r="AD11" i="51"/>
  <c r="AH11" i="51" s="1" a="1"/>
  <c r="AH11" i="51" s="1"/>
  <c r="AE11" i="51"/>
  <c r="AI11" i="51" s="1"/>
  <c r="Z12" i="51"/>
  <c r="AA12" i="51" s="1"/>
  <c r="AB12" i="51"/>
  <c r="AC12" i="51" s="1"/>
  <c r="AD12" i="51"/>
  <c r="AH12" i="51" s="1" a="1"/>
  <c r="AH12" i="51" s="1"/>
  <c r="AE12" i="51"/>
  <c r="Z13" i="51"/>
  <c r="AA13" i="51" s="1"/>
  <c r="AB13" i="51"/>
  <c r="AC13" i="51" s="1"/>
  <c r="AD13" i="51"/>
  <c r="AH13" i="51" s="1" a="1"/>
  <c r="AH13" i="51" s="1"/>
  <c r="AE13" i="51"/>
  <c r="AI13" i="51" s="1"/>
  <c r="Z14" i="51"/>
  <c r="AA14" i="51" s="1"/>
  <c r="AB14" i="51"/>
  <c r="AC14" i="51" s="1"/>
  <c r="AD14" i="51"/>
  <c r="AH14" i="51" s="1" a="1"/>
  <c r="AH14" i="51" s="1"/>
  <c r="AE14" i="51"/>
  <c r="AI14" i="51" s="1"/>
  <c r="Z15" i="51"/>
  <c r="AA15" i="51" s="1"/>
  <c r="AB15" i="51"/>
  <c r="AC15" i="51" s="1"/>
  <c r="AD15" i="51"/>
  <c r="AH15" i="51" s="1" a="1"/>
  <c r="AH15" i="51" s="1"/>
  <c r="AE15" i="51"/>
  <c r="Z16" i="51"/>
  <c r="AA16" i="51" s="1"/>
  <c r="AB16" i="51"/>
  <c r="AC16" i="51" s="1"/>
  <c r="AD16" i="51"/>
  <c r="AH16" i="51" s="1" a="1"/>
  <c r="AH16" i="51" s="1"/>
  <c r="AE16" i="51"/>
  <c r="AI16" i="51" s="1"/>
  <c r="Z17" i="51"/>
  <c r="AA17" i="51" s="1"/>
  <c r="AB17" i="51"/>
  <c r="AC17" i="51" s="1"/>
  <c r="AD17" i="51"/>
  <c r="AH17" i="51" s="1" a="1"/>
  <c r="AH17" i="51" s="1"/>
  <c r="AE17" i="51"/>
  <c r="AI17" i="51" s="1"/>
  <c r="Z18" i="51"/>
  <c r="AA18" i="51" s="1"/>
  <c r="AB18" i="51"/>
  <c r="AC18" i="51" s="1"/>
  <c r="AD18" i="51"/>
  <c r="AH18" i="51" s="1" a="1"/>
  <c r="AH18" i="51" s="1"/>
  <c r="AE18" i="51"/>
  <c r="Z19" i="51"/>
  <c r="AA19" i="51" s="1"/>
  <c r="AB19" i="51"/>
  <c r="AC19" i="51" s="1"/>
  <c r="AD19" i="51"/>
  <c r="AH19" i="51" s="1" a="1"/>
  <c r="AH19" i="51" s="1"/>
  <c r="AE19" i="51"/>
  <c r="AI19" i="51" s="1"/>
  <c r="Z20" i="51"/>
  <c r="AA20" i="51" s="1"/>
  <c r="AB20" i="51"/>
  <c r="AC20" i="51" s="1"/>
  <c r="AD20" i="51"/>
  <c r="AH20" i="51" s="1" a="1"/>
  <c r="AH20" i="51" s="1"/>
  <c r="AE20" i="51"/>
  <c r="AI20" i="51" s="1"/>
  <c r="Z21" i="51"/>
  <c r="AA21" i="51" s="1"/>
  <c r="AB21" i="51"/>
  <c r="AC21" i="51" s="1"/>
  <c r="AD21" i="51"/>
  <c r="AH21" i="51" s="1" a="1"/>
  <c r="AH21" i="51" s="1"/>
  <c r="AE21" i="51"/>
  <c r="AF21" i="51" s="1"/>
  <c r="AG21" i="51" s="1"/>
  <c r="Z22" i="51"/>
  <c r="AA22" i="51" s="1"/>
  <c r="AB22" i="51"/>
  <c r="AC22" i="51" s="1"/>
  <c r="AD22" i="51"/>
  <c r="AH22" i="51" s="1" a="1"/>
  <c r="AH22" i="51" s="1"/>
  <c r="AE22" i="51"/>
  <c r="AI22" i="51" s="1"/>
  <c r="Z23" i="51"/>
  <c r="AA23" i="51" s="1"/>
  <c r="AB23" i="51"/>
  <c r="AC23" i="51" s="1"/>
  <c r="AD23" i="51"/>
  <c r="AH23" i="51" s="1" a="1"/>
  <c r="AH23" i="51" s="1"/>
  <c r="AE23" i="51"/>
  <c r="AI23" i="51" s="1"/>
  <c r="Z24" i="51"/>
  <c r="AA24" i="51" s="1"/>
  <c r="AB24" i="51"/>
  <c r="AC24" i="51" s="1"/>
  <c r="AD24" i="51"/>
  <c r="AH24" i="51" s="1" a="1"/>
  <c r="AH24" i="51" s="1"/>
  <c r="AE24" i="51"/>
  <c r="AI24" i="51" s="1"/>
  <c r="Z25" i="51"/>
  <c r="AA25" i="51" s="1"/>
  <c r="AB25" i="51"/>
  <c r="AC25" i="51" s="1"/>
  <c r="AD25" i="51"/>
  <c r="AH25" i="51" s="1" a="1"/>
  <c r="AH25" i="51" s="1"/>
  <c r="Z26" i="51"/>
  <c r="AA26" i="51" s="1"/>
  <c r="AB26" i="51"/>
  <c r="AE25" i="51" s="1"/>
  <c r="AD26" i="51"/>
  <c r="AH26" i="51" s="1" a="1"/>
  <c r="AH26" i="51" s="1"/>
  <c r="AE26" i="51"/>
  <c r="AF26" i="51" s="1"/>
  <c r="AG26" i="51" s="1"/>
  <c r="Z27" i="51"/>
  <c r="AA27" i="51" s="1"/>
  <c r="AB27" i="51"/>
  <c r="AC27" i="51" s="1"/>
  <c r="AD27" i="51"/>
  <c r="AH27" i="51" s="1" a="1"/>
  <c r="AH27" i="51" s="1"/>
  <c r="AE27" i="51"/>
  <c r="AI27" i="51" s="1"/>
  <c r="Z28" i="51"/>
  <c r="AA28" i="51" s="1"/>
  <c r="AB28" i="51"/>
  <c r="AC28" i="51" s="1"/>
  <c r="AD28" i="51"/>
  <c r="AH28" i="51" s="1" a="1"/>
  <c r="AH28" i="51" s="1"/>
  <c r="AE28" i="51"/>
  <c r="AJ28" i="51" s="1"/>
  <c r="Z29" i="51"/>
  <c r="AA29" i="51" s="1"/>
  <c r="AB29" i="51"/>
  <c r="AC29" i="51" s="1"/>
  <c r="AD29" i="51"/>
  <c r="AH29" i="51" s="1" a="1"/>
  <c r="AH29" i="51" s="1"/>
  <c r="AE29" i="51"/>
  <c r="AI29" i="51" s="1"/>
  <c r="Z30" i="51"/>
  <c r="AA30" i="51" s="1"/>
  <c r="AB30" i="51"/>
  <c r="AC30" i="51" s="1"/>
  <c r="AD30" i="51"/>
  <c r="AH30" i="51" s="1" a="1"/>
  <c r="AH30" i="51" s="1"/>
  <c r="AE30" i="51"/>
  <c r="AF30" i="51" s="1"/>
  <c r="AG30" i="51" s="1"/>
  <c r="Z31" i="51"/>
  <c r="AA31" i="51" s="1"/>
  <c r="AB31" i="51"/>
  <c r="AC31" i="51" s="1"/>
  <c r="AD31" i="51"/>
  <c r="AH31" i="51" s="1" a="1"/>
  <c r="AH31" i="51" s="1"/>
  <c r="AE31" i="51"/>
  <c r="AJ31" i="51" s="1"/>
  <c r="Z32" i="51"/>
  <c r="AA32" i="51" s="1"/>
  <c r="AB32" i="51"/>
  <c r="AC32" i="51" s="1"/>
  <c r="AD32" i="51"/>
  <c r="AH32" i="51" s="1" a="1"/>
  <c r="AH32" i="51" s="1"/>
  <c r="AE32" i="51"/>
  <c r="AF32" i="51" s="1"/>
  <c r="AG32" i="51" s="1"/>
  <c r="Z33" i="51"/>
  <c r="AA33" i="51" s="1"/>
  <c r="AB33" i="51"/>
  <c r="AC33" i="51" s="1"/>
  <c r="AD33" i="51"/>
  <c r="AH33" i="51" s="1" a="1"/>
  <c r="AH33" i="51" s="1"/>
  <c r="AE33" i="51"/>
  <c r="AI33" i="51" s="1"/>
  <c r="Z34" i="51"/>
  <c r="AA34" i="51" s="1"/>
  <c r="AB34" i="51"/>
  <c r="AC34" i="51" s="1"/>
  <c r="AD34" i="51"/>
  <c r="AH34" i="51" s="1" a="1"/>
  <c r="AH34" i="51" s="1"/>
  <c r="AE34" i="51"/>
  <c r="AF34" i="51" s="1"/>
  <c r="AG34" i="51" s="1"/>
  <c r="Z35" i="51"/>
  <c r="AA35" i="51" s="1"/>
  <c r="AB35" i="51"/>
  <c r="AC35" i="51" s="1"/>
  <c r="AD35" i="51"/>
  <c r="AH35" i="51" s="1" a="1"/>
  <c r="AH35" i="51" s="1"/>
  <c r="AE35" i="51"/>
  <c r="AF35" i="51" s="1"/>
  <c r="AG35" i="51" s="1"/>
  <c r="Z36" i="51"/>
  <c r="AA36" i="51" s="1"/>
  <c r="AB36" i="51"/>
  <c r="AC36" i="51" s="1"/>
  <c r="AD36" i="51"/>
  <c r="AH36" i="51" s="1" a="1"/>
  <c r="AH36" i="51" s="1"/>
  <c r="AE36" i="51"/>
  <c r="AI36" i="51" s="1"/>
  <c r="Z37" i="51"/>
  <c r="AA37" i="51" s="1"/>
  <c r="AB37" i="51"/>
  <c r="AC37" i="51" s="1"/>
  <c r="AD37" i="51"/>
  <c r="AH37" i="51" s="1" a="1"/>
  <c r="AH37" i="51" s="1"/>
  <c r="AE37" i="51"/>
  <c r="AJ37" i="51" s="1"/>
  <c r="Z38" i="51"/>
  <c r="AA38" i="51" s="1"/>
  <c r="AB38" i="51"/>
  <c r="AC38" i="51" s="1"/>
  <c r="AD38" i="51"/>
  <c r="AH38" i="51" s="1" a="1"/>
  <c r="AH38" i="51" s="1"/>
  <c r="AE38" i="51"/>
  <c r="AI38" i="51" s="1"/>
  <c r="Z39" i="51"/>
  <c r="AA39" i="51" s="1"/>
  <c r="AB39" i="51"/>
  <c r="AC39" i="51" s="1"/>
  <c r="AD39" i="51"/>
  <c r="AH39" i="51" s="1" a="1"/>
  <c r="AH39" i="51" s="1"/>
  <c r="AE39" i="51"/>
  <c r="AF39" i="51" s="1"/>
  <c r="AG39" i="51" s="1"/>
  <c r="Z40" i="51"/>
  <c r="AA40" i="51" s="1"/>
  <c r="AB40" i="51"/>
  <c r="AC40" i="51" s="1"/>
  <c r="AD40" i="51"/>
  <c r="AH40" i="51" s="1" a="1"/>
  <c r="AH40" i="51" s="1"/>
  <c r="AE40" i="51"/>
  <c r="AJ40" i="51" s="1"/>
  <c r="Z41" i="51"/>
  <c r="AA41" i="51" s="1"/>
  <c r="AB41" i="51"/>
  <c r="AC41" i="51" s="1"/>
  <c r="AD41" i="51"/>
  <c r="AH41" i="51" s="1" a="1"/>
  <c r="AH41" i="51" s="1"/>
  <c r="AE41" i="51"/>
  <c r="AI41" i="51" s="1"/>
  <c r="Z42" i="51"/>
  <c r="AA42" i="51" s="1"/>
  <c r="AB42" i="51"/>
  <c r="AC42" i="51" s="1"/>
  <c r="AD42" i="51"/>
  <c r="AH42" i="51" s="1" a="1"/>
  <c r="AH42" i="51" s="1"/>
  <c r="AE42" i="51"/>
  <c r="AI42" i="51" s="1"/>
  <c r="Z43" i="51"/>
  <c r="AA43" i="51" s="1"/>
  <c r="AB43" i="51"/>
  <c r="AC43" i="51" s="1"/>
  <c r="AD43" i="51"/>
  <c r="AH43" i="51" s="1" a="1"/>
  <c r="AH43" i="51" s="1"/>
  <c r="AE43" i="51"/>
  <c r="Z44" i="51"/>
  <c r="AA44" i="51" s="1"/>
  <c r="AB44" i="51"/>
  <c r="AC44" i="51" s="1"/>
  <c r="AD44" i="51"/>
  <c r="AH44" i="51" s="1" a="1"/>
  <c r="AH44" i="51" s="1"/>
  <c r="AE44" i="51"/>
  <c r="Z45" i="51"/>
  <c r="AA45" i="51" s="1"/>
  <c r="AB45" i="51"/>
  <c r="AC45" i="51" s="1"/>
  <c r="AD45" i="51"/>
  <c r="AH45" i="51" s="1" a="1"/>
  <c r="AH45" i="51" s="1"/>
  <c r="AE45" i="51"/>
  <c r="Z46" i="51"/>
  <c r="AA46" i="51" s="1"/>
  <c r="AB46" i="51"/>
  <c r="AC46" i="51" s="1"/>
  <c r="AD46" i="51"/>
  <c r="AH46" i="51" s="1" a="1"/>
  <c r="AH46" i="51" s="1"/>
  <c r="AE46" i="51"/>
  <c r="Z47" i="51"/>
  <c r="AA47" i="51" s="1"/>
  <c r="AB47" i="51"/>
  <c r="AC47" i="51" s="1"/>
  <c r="AD47" i="51"/>
  <c r="AH47" i="51" s="1" a="1"/>
  <c r="AH47" i="51" s="1"/>
  <c r="AE47" i="51"/>
  <c r="Z48" i="51"/>
  <c r="AA48" i="51" s="1"/>
  <c r="AB48" i="51"/>
  <c r="AC48" i="51" s="1"/>
  <c r="AD48" i="51"/>
  <c r="AH48" i="51" s="1" a="1"/>
  <c r="AH48" i="51" s="1"/>
  <c r="AE48" i="51"/>
  <c r="Z49" i="51"/>
  <c r="AA49" i="51" s="1"/>
  <c r="AB49" i="51"/>
  <c r="AC49" i="51" s="1"/>
  <c r="AD49" i="51"/>
  <c r="AH49" i="51" s="1" a="1"/>
  <c r="AH49" i="51" s="1"/>
  <c r="AE49" i="51"/>
  <c r="Z50" i="51"/>
  <c r="AA50" i="51" s="1"/>
  <c r="AB50" i="51"/>
  <c r="AC50" i="51" s="1"/>
  <c r="AD50" i="51"/>
  <c r="AH50" i="51" s="1" a="1"/>
  <c r="AH50" i="51" s="1"/>
  <c r="AE50" i="51"/>
  <c r="Z51" i="51"/>
  <c r="AA51" i="51" s="1"/>
  <c r="AB51" i="51"/>
  <c r="AC51" i="51" s="1"/>
  <c r="AD51" i="51"/>
  <c r="AH51" i="51" s="1" a="1"/>
  <c r="AH51" i="51" s="1"/>
  <c r="AE51" i="51"/>
  <c r="Z52" i="51"/>
  <c r="AA52" i="51" s="1"/>
  <c r="AB52" i="51"/>
  <c r="AC52" i="51" s="1"/>
  <c r="AD52" i="51"/>
  <c r="AH52" i="51" s="1" a="1"/>
  <c r="AH52" i="51" s="1"/>
  <c r="AE52" i="51"/>
  <c r="Z53" i="51"/>
  <c r="AA53" i="51" s="1"/>
  <c r="AB53" i="51"/>
  <c r="AC53" i="51" s="1"/>
  <c r="AD53" i="51"/>
  <c r="AH53" i="51" s="1" a="1"/>
  <c r="AH53" i="51" s="1"/>
  <c r="AE53" i="51"/>
  <c r="Z54" i="51"/>
  <c r="AA54" i="51" s="1"/>
  <c r="AB54" i="51"/>
  <c r="AC54" i="51" s="1"/>
  <c r="AD54" i="51"/>
  <c r="AH54" i="51" s="1" a="1"/>
  <c r="AH54" i="51" s="1"/>
  <c r="AE54" i="51"/>
  <c r="Z55" i="51"/>
  <c r="AA55" i="51" s="1"/>
  <c r="AB55" i="51"/>
  <c r="AC55" i="51" s="1"/>
  <c r="AD55" i="51"/>
  <c r="AH55" i="51" s="1" a="1"/>
  <c r="AH55" i="51" s="1"/>
  <c r="AE55" i="51"/>
  <c r="Z56" i="51"/>
  <c r="AA56" i="51" s="1"/>
  <c r="AB56" i="51"/>
  <c r="AC56" i="51" s="1"/>
  <c r="AD56" i="51"/>
  <c r="AH56" i="51" s="1" a="1"/>
  <c r="AH56" i="51" s="1"/>
  <c r="AE56" i="51"/>
  <c r="Z57" i="51"/>
  <c r="AA57" i="51" s="1"/>
  <c r="AB57" i="51"/>
  <c r="AC57" i="51" s="1"/>
  <c r="AD57" i="51"/>
  <c r="AH57" i="51" s="1" a="1"/>
  <c r="AH57" i="51" s="1"/>
  <c r="AE57" i="51"/>
  <c r="Z58" i="51"/>
  <c r="AA58" i="51" s="1"/>
  <c r="AB58" i="51"/>
  <c r="AC58" i="51" s="1"/>
  <c r="AD58" i="51"/>
  <c r="AH58" i="51" s="1" a="1"/>
  <c r="AH58" i="51" s="1"/>
  <c r="AE58" i="51"/>
  <c r="Z59" i="51"/>
  <c r="AA59" i="51" s="1"/>
  <c r="AB59" i="51"/>
  <c r="AC59" i="51" s="1"/>
  <c r="AD59" i="51"/>
  <c r="AH59" i="51" s="1" a="1"/>
  <c r="AH59" i="51" s="1"/>
  <c r="AE59" i="51"/>
  <c r="Z60" i="51"/>
  <c r="AA60" i="51" s="1"/>
  <c r="AB60" i="51"/>
  <c r="AC60" i="51" s="1"/>
  <c r="AD60" i="51"/>
  <c r="AH60" i="51" s="1" a="1"/>
  <c r="AH60" i="51" s="1"/>
  <c r="AE60" i="51"/>
  <c r="Z61" i="51"/>
  <c r="AA61" i="51" s="1"/>
  <c r="AB61" i="51"/>
  <c r="AC61" i="51" s="1"/>
  <c r="AD61" i="51"/>
  <c r="AH61" i="51" s="1" a="1"/>
  <c r="AH61" i="51" s="1"/>
  <c r="AE61" i="51"/>
  <c r="Z62" i="51"/>
  <c r="AA62" i="51" s="1"/>
  <c r="AB62" i="51"/>
  <c r="AC62" i="51" s="1"/>
  <c r="AD62" i="51"/>
  <c r="AH62" i="51" s="1" a="1"/>
  <c r="AH62" i="51" s="1"/>
  <c r="AE62" i="51"/>
  <c r="Z63" i="51"/>
  <c r="AA63" i="51" s="1"/>
  <c r="AB63" i="51"/>
  <c r="AC63" i="51" s="1"/>
  <c r="AD63" i="51"/>
  <c r="AH63" i="51" s="1" a="1"/>
  <c r="AH63" i="51" s="1"/>
  <c r="AE63" i="51"/>
  <c r="Z64" i="51"/>
  <c r="AA64" i="51" s="1"/>
  <c r="AB64" i="51"/>
  <c r="AC64" i="51" s="1"/>
  <c r="AD64" i="51"/>
  <c r="AH64" i="51" s="1" a="1"/>
  <c r="AH64" i="51" s="1"/>
  <c r="AE64" i="51"/>
  <c r="Z65" i="51"/>
  <c r="AA65" i="51" s="1"/>
  <c r="AB65" i="51"/>
  <c r="AC65" i="51" s="1"/>
  <c r="AD65" i="51"/>
  <c r="AH65" i="51" s="1" a="1"/>
  <c r="AH65" i="51" s="1"/>
  <c r="AE65" i="51"/>
  <c r="Z66" i="51"/>
  <c r="AA66" i="51" s="1"/>
  <c r="AB66" i="51"/>
  <c r="AC66" i="51" s="1"/>
  <c r="AD66" i="51"/>
  <c r="AH66" i="51" s="1" a="1"/>
  <c r="AH66" i="51" s="1"/>
  <c r="AE66" i="51"/>
  <c r="Z67" i="51"/>
  <c r="AA67" i="51" s="1"/>
  <c r="AB67" i="51"/>
  <c r="AC67" i="51" s="1"/>
  <c r="AD67" i="51"/>
  <c r="AH67" i="51" s="1" a="1"/>
  <c r="AH67" i="51" s="1"/>
  <c r="AE67" i="51"/>
  <c r="Z68" i="51"/>
  <c r="AA68" i="51" s="1"/>
  <c r="AB68" i="51"/>
  <c r="AC68" i="51" s="1"/>
  <c r="AD68" i="51"/>
  <c r="AH68" i="51" s="1" a="1"/>
  <c r="AH68" i="51" s="1"/>
  <c r="AE68" i="51"/>
  <c r="Z69" i="51"/>
  <c r="AA69" i="51" s="1"/>
  <c r="AB69" i="51"/>
  <c r="AC69" i="51" s="1"/>
  <c r="AD69" i="51"/>
  <c r="AH69" i="51" s="1" a="1"/>
  <c r="AH69" i="51" s="1"/>
  <c r="AE69" i="51"/>
  <c r="AJ69" i="51" s="1"/>
  <c r="Z70" i="51"/>
  <c r="AA70" i="51" s="1"/>
  <c r="AB70" i="51"/>
  <c r="AC70" i="51" s="1"/>
  <c r="AD70" i="51"/>
  <c r="AH70" i="51" s="1" a="1"/>
  <c r="AH70" i="51" s="1"/>
  <c r="AE70" i="51"/>
  <c r="AJ70" i="51" s="1"/>
  <c r="Z71" i="51"/>
  <c r="AA71" i="51" s="1"/>
  <c r="AB71" i="51"/>
  <c r="AC71" i="51" s="1"/>
  <c r="AD71" i="51"/>
  <c r="AH71" i="51" s="1" a="1"/>
  <c r="AH71" i="51" s="1"/>
  <c r="AE71" i="51"/>
  <c r="AI71" i="51" s="1"/>
  <c r="Z72" i="51"/>
  <c r="AA72" i="51" s="1"/>
  <c r="AB72" i="51"/>
  <c r="AC72" i="51" s="1"/>
  <c r="AD72" i="51"/>
  <c r="AH72" i="51" s="1" a="1"/>
  <c r="AH72" i="51" s="1"/>
  <c r="AE72" i="51"/>
  <c r="AI72" i="51" s="1"/>
  <c r="Z73" i="51"/>
  <c r="AA73" i="51" s="1"/>
  <c r="AB73" i="51"/>
  <c r="AC73" i="51" s="1"/>
  <c r="AD73" i="51"/>
  <c r="AH73" i="51" s="1" a="1"/>
  <c r="AH73" i="51" s="1"/>
  <c r="AE73" i="51"/>
  <c r="Z74" i="51"/>
  <c r="AA74" i="51" s="1"/>
  <c r="AB74" i="51"/>
  <c r="AC74" i="51" s="1"/>
  <c r="AD74" i="51"/>
  <c r="AH74" i="51" s="1" a="1"/>
  <c r="AH74" i="51" s="1"/>
  <c r="AE74" i="51"/>
  <c r="AI74" i="51" s="1"/>
  <c r="Z75" i="51"/>
  <c r="AA75" i="51" s="1"/>
  <c r="AB75" i="51"/>
  <c r="AC75" i="51" s="1"/>
  <c r="AD75" i="51"/>
  <c r="AH75" i="51" s="1" a="1"/>
  <c r="AH75" i="51" s="1"/>
  <c r="AE75" i="51"/>
  <c r="AI75" i="51" s="1"/>
  <c r="Z76" i="51"/>
  <c r="AA76" i="51" s="1"/>
  <c r="AB76" i="51"/>
  <c r="AC76" i="51" s="1"/>
  <c r="AD76" i="51"/>
  <c r="AH76" i="51" s="1" a="1"/>
  <c r="AH76" i="51" s="1"/>
  <c r="AE76" i="51"/>
  <c r="AJ76" i="51" s="1"/>
  <c r="Z77" i="51"/>
  <c r="AA77" i="51" s="1"/>
  <c r="AB77" i="51"/>
  <c r="AC77" i="51" s="1"/>
  <c r="AD77" i="51"/>
  <c r="AH77" i="51" s="1" a="1"/>
  <c r="AH77" i="51" s="1"/>
  <c r="AE77" i="51"/>
  <c r="AI77" i="51" s="1"/>
  <c r="Z78" i="51"/>
  <c r="AA78" i="51" s="1"/>
  <c r="AB78" i="51"/>
  <c r="AC78" i="51" s="1"/>
  <c r="AD78" i="51"/>
  <c r="AH78" i="51" s="1" a="1"/>
  <c r="AH78" i="51" s="1"/>
  <c r="AE78" i="51"/>
  <c r="AI78" i="51" s="1"/>
  <c r="Z79" i="51"/>
  <c r="AA79" i="51" s="1"/>
  <c r="AB79" i="51"/>
  <c r="AC79" i="51" s="1"/>
  <c r="AD79" i="51"/>
  <c r="AH79" i="51" s="1" a="1"/>
  <c r="AH79" i="51" s="1"/>
  <c r="AE79" i="51"/>
  <c r="AJ79" i="51" s="1"/>
  <c r="Z80" i="51"/>
  <c r="AA80" i="51" s="1"/>
  <c r="AB80" i="51"/>
  <c r="AC80" i="51" s="1"/>
  <c r="AD80" i="51"/>
  <c r="AH80" i="51" s="1" a="1"/>
  <c r="AH80" i="51" s="1"/>
  <c r="AE80" i="51"/>
  <c r="AI80" i="51" s="1"/>
  <c r="Z81" i="51"/>
  <c r="AA81" i="51" s="1"/>
  <c r="AB81" i="51"/>
  <c r="AC81" i="51" s="1"/>
  <c r="AD81" i="51"/>
  <c r="AH81" i="51" s="1" a="1"/>
  <c r="AH81" i="51" s="1"/>
  <c r="AE81" i="51"/>
  <c r="AI81" i="51" s="1"/>
  <c r="Z82" i="51"/>
  <c r="AA82" i="51" s="1"/>
  <c r="AB82" i="51"/>
  <c r="AC82" i="51" s="1"/>
  <c r="AD82" i="51"/>
  <c r="AH82" i="51" s="1" a="1"/>
  <c r="AH82" i="51" s="1"/>
  <c r="AE82" i="51"/>
  <c r="Z83" i="51"/>
  <c r="AA83" i="51" s="1"/>
  <c r="AB83" i="51"/>
  <c r="AC83" i="51" s="1"/>
  <c r="AD83" i="51"/>
  <c r="AH83" i="51" s="1" a="1"/>
  <c r="AH83" i="51" s="1"/>
  <c r="AE83" i="51"/>
  <c r="AI83" i="51" s="1"/>
  <c r="Z84" i="51"/>
  <c r="AA84" i="51" s="1"/>
  <c r="AB84" i="51"/>
  <c r="AC84" i="51" s="1"/>
  <c r="AD84" i="51"/>
  <c r="AH84" i="51" s="1" a="1"/>
  <c r="AH84" i="51" s="1"/>
  <c r="AE84" i="51"/>
  <c r="AI84" i="51" s="1"/>
  <c r="Z85" i="51"/>
  <c r="AA85" i="51" s="1"/>
  <c r="AB85" i="51"/>
  <c r="AC85" i="51" s="1"/>
  <c r="AD85" i="51"/>
  <c r="AH85" i="51" s="1" a="1"/>
  <c r="AH85" i="51" s="1"/>
  <c r="AE85" i="51"/>
  <c r="AI85" i="51" s="1"/>
  <c r="Z86" i="51"/>
  <c r="AA86" i="51" s="1"/>
  <c r="AB86" i="51"/>
  <c r="AC86" i="51" s="1"/>
  <c r="AD86" i="51"/>
  <c r="AH86" i="51" s="1" a="1"/>
  <c r="AH86" i="51" s="1"/>
  <c r="Z87" i="51"/>
  <c r="AA87" i="51" s="1"/>
  <c r="AB87" i="51"/>
  <c r="AD87" i="51"/>
  <c r="AH87" i="51" s="1" a="1"/>
  <c r="AH87" i="51" s="1"/>
  <c r="AE87" i="51"/>
  <c r="AF87" i="51" s="1"/>
  <c r="AG87" i="51" s="1"/>
  <c r="Z88" i="51"/>
  <c r="AA88" i="51" s="1"/>
  <c r="AB88" i="51"/>
  <c r="AC88" i="51" s="1"/>
  <c r="AD88" i="51"/>
  <c r="AH88" i="51" s="1" a="1"/>
  <c r="AH88" i="51" s="1"/>
  <c r="AE88" i="51"/>
  <c r="Z89" i="51"/>
  <c r="AA89" i="51" s="1"/>
  <c r="AB89" i="51"/>
  <c r="AC89" i="51" s="1"/>
  <c r="AD89" i="51"/>
  <c r="AH89" i="51" s="1" a="1"/>
  <c r="AH89" i="51" s="1"/>
  <c r="AE89" i="51"/>
  <c r="Z90" i="51"/>
  <c r="AA90" i="51" s="1"/>
  <c r="AB90" i="51"/>
  <c r="AC90" i="51" s="1"/>
  <c r="AD90" i="51"/>
  <c r="AH90" i="51" s="1" a="1"/>
  <c r="AH90" i="51" s="1"/>
  <c r="AE90" i="51"/>
  <c r="Z91" i="51"/>
  <c r="AA91" i="51" s="1"/>
  <c r="AB91" i="51"/>
  <c r="AC91" i="51" s="1"/>
  <c r="AD91" i="51"/>
  <c r="AH91" i="51" s="1" a="1"/>
  <c r="AH91" i="51" s="1"/>
  <c r="AE91" i="51"/>
  <c r="AF91" i="51" s="1"/>
  <c r="AG91" i="51" s="1"/>
  <c r="Z92" i="51"/>
  <c r="AA92" i="51" s="1"/>
  <c r="AB92" i="51"/>
  <c r="AC92" i="51" s="1"/>
  <c r="AD92" i="51"/>
  <c r="AH92" i="51" s="1" a="1"/>
  <c r="AH92" i="51" s="1"/>
  <c r="AE92" i="51"/>
  <c r="AJ92" i="51" s="1"/>
  <c r="Z93" i="51"/>
  <c r="AA93" i="51" s="1"/>
  <c r="AB93" i="51"/>
  <c r="AC93" i="51" s="1"/>
  <c r="AD93" i="51"/>
  <c r="AH93" i="51" s="1" a="1"/>
  <c r="AH93" i="51" s="1"/>
  <c r="AE93" i="51"/>
  <c r="AF93" i="51" s="1"/>
  <c r="AG93" i="51" s="1"/>
  <c r="Z94" i="51"/>
  <c r="AA94" i="51" s="1"/>
  <c r="AB94" i="51"/>
  <c r="AC94" i="51" s="1"/>
  <c r="AD94" i="51"/>
  <c r="AH94" i="51" s="1" a="1"/>
  <c r="AH94" i="51" s="1"/>
  <c r="AE94" i="51"/>
  <c r="AF94" i="51" s="1"/>
  <c r="AG94" i="51" s="1"/>
  <c r="Z95" i="51"/>
  <c r="AA95" i="51" s="1"/>
  <c r="AB95" i="51"/>
  <c r="AC95" i="51" s="1"/>
  <c r="AD95" i="51"/>
  <c r="AH95" i="51" s="1" a="1"/>
  <c r="AH95" i="51" s="1"/>
  <c r="AE95" i="51"/>
  <c r="Z96" i="51"/>
  <c r="AA96" i="51" s="1"/>
  <c r="AB96" i="51"/>
  <c r="AC96" i="51" s="1"/>
  <c r="AD96" i="51"/>
  <c r="AH96" i="51" s="1" a="1"/>
  <c r="AH96" i="51" s="1"/>
  <c r="AE96" i="51"/>
  <c r="AF96" i="51" s="1"/>
  <c r="AG96" i="51" s="1"/>
  <c r="Z97" i="51"/>
  <c r="AA97" i="51" s="1"/>
  <c r="AB97" i="51"/>
  <c r="AC97" i="51" s="1"/>
  <c r="AD97" i="51"/>
  <c r="AH97" i="51" s="1" a="1"/>
  <c r="AH97" i="51" s="1"/>
  <c r="Z98" i="51"/>
  <c r="AA98" i="51" s="1"/>
  <c r="AB98" i="51"/>
  <c r="AC98" i="51" s="1"/>
  <c r="AD98" i="51"/>
  <c r="AH98" i="51" s="1" a="1"/>
  <c r="AH98" i="51" s="1"/>
  <c r="AE98" i="51"/>
  <c r="AI98" i="51" s="1"/>
  <c r="Z99" i="51"/>
  <c r="AA99" i="51" s="1"/>
  <c r="AB99" i="51"/>
  <c r="AC99" i="51" s="1"/>
  <c r="AD99" i="51"/>
  <c r="AH99" i="51" s="1" a="1"/>
  <c r="AH99" i="51" s="1"/>
  <c r="AE99" i="51"/>
  <c r="AI99" i="51" s="1"/>
  <c r="Z100" i="51"/>
  <c r="AA100" i="51" s="1"/>
  <c r="AB100" i="51"/>
  <c r="AC100" i="51" s="1"/>
  <c r="AD100" i="51"/>
  <c r="AH100" i="51" s="1" a="1"/>
  <c r="AH100" i="51" s="1"/>
  <c r="AE100" i="51"/>
  <c r="AI100" i="51" s="1"/>
  <c r="Z101" i="51"/>
  <c r="AA101" i="51" s="1"/>
  <c r="AB101" i="51"/>
  <c r="AC101" i="51" s="1"/>
  <c r="AD101" i="51"/>
  <c r="AH101" i="51" s="1" a="1"/>
  <c r="AH101" i="51" s="1"/>
  <c r="AE101" i="51"/>
  <c r="AI101" i="51" s="1"/>
  <c r="Z102" i="51"/>
  <c r="AA102" i="51" s="1"/>
  <c r="AB102" i="51"/>
  <c r="AC102" i="51" s="1"/>
  <c r="AD102" i="51"/>
  <c r="AH102" i="51" s="1" a="1"/>
  <c r="AH102" i="51" s="1"/>
  <c r="AE102" i="51"/>
  <c r="AI102" i="51" s="1"/>
  <c r="Z103" i="51"/>
  <c r="AA103" i="51" s="1"/>
  <c r="AB103" i="51"/>
  <c r="AC103" i="51" s="1"/>
  <c r="AD103" i="51"/>
  <c r="AH103" i="51" s="1" a="1"/>
  <c r="AH103" i="51" s="1"/>
  <c r="AE103" i="51"/>
  <c r="AI103" i="51" s="1"/>
  <c r="Z104" i="51"/>
  <c r="AA104" i="51" s="1"/>
  <c r="AB104" i="51"/>
  <c r="AC104" i="51" s="1"/>
  <c r="AD104" i="51"/>
  <c r="AH104" i="51" s="1" a="1"/>
  <c r="AH104" i="51" s="1"/>
  <c r="AE104" i="51"/>
  <c r="AI104" i="51" s="1"/>
  <c r="Z105" i="51"/>
  <c r="AA105" i="51" s="1"/>
  <c r="AB105" i="51"/>
  <c r="AC105" i="51" s="1"/>
  <c r="AD105" i="51"/>
  <c r="AH105" i="51" s="1" a="1"/>
  <c r="AH105" i="51" s="1"/>
  <c r="AE105" i="51"/>
  <c r="AI105" i="51" s="1"/>
  <c r="Z106" i="51"/>
  <c r="AA106" i="51" s="1"/>
  <c r="AB106" i="51"/>
  <c r="AC106" i="51" s="1"/>
  <c r="AD106" i="51"/>
  <c r="AH106" i="51" s="1" a="1"/>
  <c r="AH106" i="51" s="1"/>
  <c r="AE106" i="51"/>
  <c r="AI106" i="51" s="1"/>
  <c r="Z107" i="51"/>
  <c r="AA107" i="51" s="1"/>
  <c r="AB107" i="51"/>
  <c r="AC107" i="51" s="1"/>
  <c r="AD107" i="51"/>
  <c r="AH107" i="51" s="1" a="1"/>
  <c r="AH107" i="51" s="1"/>
  <c r="AE107" i="51"/>
  <c r="AI107" i="51" s="1"/>
  <c r="Z108" i="51"/>
  <c r="AA108" i="51" s="1"/>
  <c r="AB108" i="51"/>
  <c r="AC108" i="51" s="1"/>
  <c r="AD108" i="51"/>
  <c r="AH108" i="51" s="1" a="1"/>
  <c r="AH108" i="51" s="1"/>
  <c r="AE108" i="51"/>
  <c r="AI108" i="51" s="1"/>
  <c r="Z109" i="51"/>
  <c r="AA109" i="51" s="1"/>
  <c r="AB109" i="51"/>
  <c r="AC109" i="51" s="1"/>
  <c r="AD109" i="51"/>
  <c r="AH109" i="51" s="1" a="1"/>
  <c r="AH109" i="51" s="1"/>
  <c r="AE109" i="51"/>
  <c r="AI109" i="51" s="1"/>
  <c r="Z110" i="51"/>
  <c r="AA110" i="51" s="1"/>
  <c r="AB110" i="51"/>
  <c r="AC110" i="51" s="1"/>
  <c r="AD110" i="51"/>
  <c r="AH110" i="51" s="1" a="1"/>
  <c r="AH110" i="51" s="1"/>
  <c r="AE110" i="51"/>
  <c r="AI110" i="51" s="1"/>
  <c r="Z111" i="51"/>
  <c r="AA111" i="51" s="1"/>
  <c r="AB111" i="51"/>
  <c r="AC111" i="51" s="1"/>
  <c r="AD111" i="51"/>
  <c r="AH111" i="51" s="1" a="1"/>
  <c r="AH111" i="51" s="1"/>
  <c r="AE111" i="51"/>
  <c r="AI111" i="51" s="1"/>
  <c r="Z112" i="51"/>
  <c r="AA112" i="51" s="1"/>
  <c r="AB112" i="51"/>
  <c r="AC112" i="51" s="1"/>
  <c r="AD112" i="51"/>
  <c r="AH112" i="51" s="1" a="1"/>
  <c r="AH112" i="51" s="1"/>
  <c r="AE112" i="51"/>
  <c r="AI112" i="51" s="1"/>
  <c r="Z113" i="51"/>
  <c r="AA113" i="51" s="1"/>
  <c r="AB113" i="51"/>
  <c r="AC113" i="51" s="1"/>
  <c r="AD113" i="51"/>
  <c r="AH113" i="51" s="1" a="1"/>
  <c r="AH113" i="51" s="1"/>
  <c r="AE113" i="51"/>
  <c r="AI113" i="51" s="1"/>
  <c r="Z114" i="51"/>
  <c r="AA114" i="51" s="1"/>
  <c r="AB114" i="51"/>
  <c r="AC114" i="51" s="1"/>
  <c r="AD114" i="51"/>
  <c r="AH114" i="51" s="1" a="1"/>
  <c r="AH114" i="51" s="1"/>
  <c r="AE114" i="51"/>
  <c r="AI114" i="51" s="1"/>
  <c r="Z115" i="51"/>
  <c r="AA115" i="51" s="1"/>
  <c r="AB115" i="51"/>
  <c r="AC115" i="51" s="1"/>
  <c r="AD115" i="51"/>
  <c r="AH115" i="51" s="1" a="1"/>
  <c r="AH115" i="51" s="1"/>
  <c r="AE115" i="51"/>
  <c r="AI115" i="51" s="1"/>
  <c r="Z116" i="51"/>
  <c r="AA116" i="51" s="1"/>
  <c r="AB116" i="51"/>
  <c r="AC116" i="51" s="1"/>
  <c r="AD116" i="51"/>
  <c r="AH116" i="51" s="1" a="1"/>
  <c r="AH116" i="51" s="1"/>
  <c r="AE116" i="51"/>
  <c r="AI116" i="51" s="1"/>
  <c r="Z117" i="51"/>
  <c r="AA117" i="51" s="1"/>
  <c r="AB117" i="51"/>
  <c r="AC117" i="51" s="1"/>
  <c r="AD117" i="51"/>
  <c r="AH117" i="51" s="1" a="1"/>
  <c r="AH117" i="51" s="1"/>
  <c r="AE117" i="51"/>
  <c r="AI117" i="51" s="1"/>
  <c r="Z118" i="51"/>
  <c r="AA118" i="51" s="1"/>
  <c r="AB118" i="51"/>
  <c r="AC118" i="51" s="1"/>
  <c r="AD118" i="51"/>
  <c r="AH118" i="51" s="1" a="1"/>
  <c r="AH118" i="51" s="1"/>
  <c r="AE118" i="51"/>
  <c r="AI118" i="51" s="1"/>
  <c r="Z119" i="51"/>
  <c r="AA119" i="51" s="1"/>
  <c r="AB119" i="51"/>
  <c r="AE97" i="51" s="1"/>
  <c r="AD119" i="51"/>
  <c r="AH119" i="51" s="1" a="1"/>
  <c r="AH119" i="51" s="1"/>
  <c r="AE119" i="51"/>
  <c r="AI119" i="51" s="1"/>
  <c r="Z120" i="51"/>
  <c r="AA120" i="51" s="1"/>
  <c r="AB120" i="51"/>
  <c r="AC120" i="51" s="1"/>
  <c r="AD120" i="51"/>
  <c r="AH120" i="51" s="1" a="1"/>
  <c r="AH120" i="51" s="1"/>
  <c r="AE120" i="51"/>
  <c r="AI120" i="51" s="1"/>
  <c r="Z121" i="51"/>
  <c r="AA121" i="51" s="1"/>
  <c r="AB121" i="51"/>
  <c r="AC121" i="51" s="1"/>
  <c r="AD121" i="51"/>
  <c r="AH121" i="51" s="1" a="1"/>
  <c r="AH121" i="51" s="1"/>
  <c r="AE121" i="51"/>
  <c r="AI121" i="51" s="1"/>
  <c r="Z122" i="51"/>
  <c r="AA122" i="51" s="1"/>
  <c r="AB122" i="51"/>
  <c r="AC122" i="51" s="1"/>
  <c r="AD122" i="51"/>
  <c r="AH122" i="51" s="1" a="1"/>
  <c r="AH122" i="51" s="1"/>
  <c r="AE122" i="51"/>
  <c r="AI122" i="51" s="1"/>
  <c r="Z123" i="51"/>
  <c r="AA123" i="51" s="1"/>
  <c r="AB123" i="51"/>
  <c r="AC123" i="51" s="1"/>
  <c r="AD123" i="51"/>
  <c r="AH123" i="51" s="1" a="1"/>
  <c r="AH123" i="51" s="1"/>
  <c r="AE123" i="51"/>
  <c r="AI123" i="51" s="1"/>
  <c r="Z124" i="51"/>
  <c r="AA124" i="51" s="1"/>
  <c r="AB124" i="51"/>
  <c r="AC124" i="51" s="1"/>
  <c r="AD124" i="51"/>
  <c r="AH124" i="51" s="1" a="1"/>
  <c r="AH124" i="51" s="1"/>
  <c r="AE124" i="51"/>
  <c r="AI124" i="51" s="1"/>
  <c r="Z125" i="51"/>
  <c r="AA125" i="51" s="1"/>
  <c r="AB125" i="51"/>
  <c r="AC125" i="51" s="1"/>
  <c r="AD125" i="51"/>
  <c r="AH125" i="51" s="1" a="1"/>
  <c r="AH125" i="51" s="1"/>
  <c r="AE125" i="51"/>
  <c r="AI125" i="51" s="1"/>
  <c r="Z126" i="51"/>
  <c r="AA126" i="51" s="1"/>
  <c r="AB126" i="51"/>
  <c r="AC126" i="51" s="1"/>
  <c r="AD126" i="51"/>
  <c r="AH126" i="51" s="1" a="1"/>
  <c r="AH126" i="51" s="1"/>
  <c r="AE126" i="51"/>
  <c r="AI126" i="51" s="1"/>
  <c r="Z127" i="51"/>
  <c r="AA127" i="51" s="1"/>
  <c r="AB127" i="51"/>
  <c r="AC127" i="51" s="1"/>
  <c r="AD127" i="51"/>
  <c r="AH127" i="51" s="1" a="1"/>
  <c r="AH127" i="51" s="1"/>
  <c r="AE127" i="51"/>
  <c r="AI127" i="51" s="1"/>
  <c r="Z128" i="51"/>
  <c r="AA128" i="51" s="1"/>
  <c r="AB128" i="51"/>
  <c r="AC128" i="51" s="1"/>
  <c r="AD128" i="51"/>
  <c r="AH128" i="51" s="1" a="1"/>
  <c r="AH128" i="51" s="1"/>
  <c r="AE128" i="51"/>
  <c r="AI128" i="51" s="1"/>
  <c r="Z129" i="51"/>
  <c r="AA129" i="51" s="1"/>
  <c r="AB129" i="51"/>
  <c r="AC129" i="51" s="1"/>
  <c r="AD129" i="51"/>
  <c r="AH129" i="51" s="1" a="1"/>
  <c r="AH129" i="51" s="1"/>
  <c r="AE129" i="51"/>
  <c r="AI129" i="51" s="1"/>
  <c r="Z130" i="51"/>
  <c r="AA130" i="51" s="1"/>
  <c r="AB130" i="51"/>
  <c r="AC130" i="51" s="1"/>
  <c r="AD130" i="51"/>
  <c r="AH130" i="51" s="1" a="1"/>
  <c r="AH130" i="51" s="1"/>
  <c r="AE130" i="51"/>
  <c r="AI130" i="51" s="1"/>
  <c r="Z131" i="51"/>
  <c r="AA131" i="51" s="1"/>
  <c r="AB131" i="51"/>
  <c r="AC131" i="51" s="1"/>
  <c r="AD131" i="51"/>
  <c r="AH131" i="51" s="1" a="1"/>
  <c r="AH131" i="51" s="1"/>
  <c r="AE131" i="51"/>
  <c r="AI131" i="51" s="1"/>
  <c r="Z132" i="51"/>
  <c r="AA132" i="51" s="1"/>
  <c r="AB132" i="51"/>
  <c r="AC132" i="51" s="1"/>
  <c r="AD132" i="51"/>
  <c r="AH132" i="51" s="1" a="1"/>
  <c r="AH132" i="51" s="1"/>
  <c r="AE132" i="51"/>
  <c r="AI132" i="51" s="1"/>
  <c r="Z133" i="51"/>
  <c r="AA133" i="51" s="1"/>
  <c r="AB133" i="51"/>
  <c r="AC133" i="51" s="1"/>
  <c r="AD133" i="51"/>
  <c r="AH133" i="51" s="1" a="1"/>
  <c r="AH133" i="51" s="1"/>
  <c r="AE133" i="51"/>
  <c r="AI133" i="51" s="1"/>
  <c r="Z134" i="51"/>
  <c r="AA134" i="51" s="1"/>
  <c r="AB134" i="51"/>
  <c r="AC134" i="51" s="1"/>
  <c r="AD134" i="51"/>
  <c r="AH134" i="51" s="1" a="1"/>
  <c r="AH134" i="51" s="1"/>
  <c r="AE134" i="51"/>
  <c r="Z135" i="51"/>
  <c r="AA135" i="51" s="1"/>
  <c r="AB135" i="51"/>
  <c r="AC135" i="51" s="1"/>
  <c r="AD135" i="51"/>
  <c r="AH135" i="51" s="1" a="1"/>
  <c r="AH135" i="51" s="1"/>
  <c r="AE135" i="51"/>
  <c r="Z136" i="51"/>
  <c r="AA136" i="51" s="1"/>
  <c r="AB136" i="51"/>
  <c r="AC136" i="51" s="1"/>
  <c r="AD136" i="51"/>
  <c r="AH136" i="51" s="1" a="1"/>
  <c r="AH136" i="51" s="1"/>
  <c r="AE136" i="51"/>
  <c r="AI136" i="51" s="1"/>
  <c r="Z137" i="51"/>
  <c r="AA137" i="51" s="1"/>
  <c r="AB137" i="51"/>
  <c r="AC137" i="51" s="1"/>
  <c r="AD137" i="51"/>
  <c r="AH137" i="51" s="1" a="1"/>
  <c r="AH137" i="51" s="1"/>
  <c r="AE137" i="51"/>
  <c r="Z138" i="51"/>
  <c r="AA138" i="51" s="1"/>
  <c r="AB138" i="51"/>
  <c r="AC138" i="51" s="1"/>
  <c r="AD138" i="51"/>
  <c r="AH138" i="51" s="1" a="1"/>
  <c r="AH138" i="51" s="1"/>
  <c r="AE138" i="51"/>
  <c r="AI138" i="51" s="1"/>
  <c r="Z139" i="51"/>
  <c r="AA139" i="51" s="1"/>
  <c r="AB139" i="51"/>
  <c r="AC139" i="51" s="1"/>
  <c r="AD139" i="51"/>
  <c r="AH139" i="51" s="1" a="1"/>
  <c r="AH139" i="51" s="1"/>
  <c r="AE139" i="51"/>
  <c r="Z140" i="51"/>
  <c r="AA140" i="51" s="1"/>
  <c r="AB140" i="51"/>
  <c r="AC140" i="51" s="1"/>
  <c r="AD140" i="51"/>
  <c r="AH140" i="51" s="1" a="1"/>
  <c r="AH140" i="51" s="1"/>
  <c r="AE140" i="51"/>
  <c r="AI140" i="51" s="1"/>
  <c r="Z141" i="51"/>
  <c r="AA141" i="51" s="1"/>
  <c r="AB141" i="51"/>
  <c r="AC141" i="51" s="1"/>
  <c r="AD141" i="51"/>
  <c r="AH141" i="51" s="1" a="1"/>
  <c r="AH141" i="51" s="1"/>
  <c r="AE141" i="51"/>
  <c r="Z142" i="51"/>
  <c r="AA142" i="51" s="1"/>
  <c r="AB142" i="51"/>
  <c r="AC142" i="51" s="1"/>
  <c r="AD142" i="51"/>
  <c r="AH142" i="51" s="1" a="1"/>
  <c r="AH142" i="51" s="1"/>
  <c r="AE142" i="51"/>
  <c r="AI142" i="51" s="1"/>
  <c r="Z143" i="51"/>
  <c r="AA143" i="51" s="1"/>
  <c r="AB143" i="51"/>
  <c r="AC143" i="51" s="1"/>
  <c r="AD143" i="51"/>
  <c r="AH143" i="51" s="1" a="1"/>
  <c r="AH143" i="51" s="1"/>
  <c r="AE143" i="51"/>
  <c r="Z144" i="51"/>
  <c r="AA144" i="51" s="1"/>
  <c r="AB144" i="51"/>
  <c r="AC144" i="51" s="1"/>
  <c r="AD144" i="51"/>
  <c r="AH144" i="51" s="1" a="1"/>
  <c r="AH144" i="51" s="1"/>
  <c r="AE144" i="51"/>
  <c r="AI144" i="51" s="1"/>
  <c r="Z145" i="51"/>
  <c r="AA145" i="51" s="1"/>
  <c r="AB145" i="51"/>
  <c r="AC145" i="51" s="1"/>
  <c r="AD145" i="51"/>
  <c r="AH145" i="51" s="1" a="1"/>
  <c r="AH145" i="51" s="1"/>
  <c r="AE145" i="51"/>
  <c r="Z146" i="51"/>
  <c r="AA146" i="51" s="1"/>
  <c r="AB146" i="51"/>
  <c r="AC146" i="51" s="1"/>
  <c r="AD146" i="51"/>
  <c r="AH146" i="51" s="1" a="1"/>
  <c r="AH146" i="51" s="1"/>
  <c r="AE146" i="51"/>
  <c r="Z147" i="51"/>
  <c r="AA147" i="51" s="1"/>
  <c r="AB147" i="51"/>
  <c r="AC147" i="51" s="1"/>
  <c r="AD147" i="51"/>
  <c r="AH147" i="51" s="1" a="1"/>
  <c r="AH147" i="51" s="1"/>
  <c r="AE147" i="51"/>
  <c r="AI147" i="51" s="1"/>
  <c r="Z148" i="51"/>
  <c r="AA148" i="51" s="1"/>
  <c r="AB148" i="51"/>
  <c r="AC148" i="51" s="1"/>
  <c r="AD148" i="51"/>
  <c r="AH148" i="51" s="1" a="1"/>
  <c r="AH148" i="51" s="1"/>
  <c r="AE148" i="51"/>
  <c r="AI148" i="51" s="1"/>
  <c r="Z149" i="51"/>
  <c r="AA149" i="51" s="1"/>
  <c r="AB149" i="51"/>
  <c r="AC149" i="51" s="1"/>
  <c r="AD149" i="51"/>
  <c r="AH149" i="51" s="1" a="1"/>
  <c r="AH149" i="51" s="1"/>
  <c r="AE149" i="51"/>
  <c r="AI149" i="51" s="1"/>
  <c r="Z150" i="51"/>
  <c r="AA150" i="51" s="1"/>
  <c r="AB150" i="51"/>
  <c r="AC150" i="51" s="1"/>
  <c r="AD150" i="51"/>
  <c r="AH150" i="51" s="1" a="1"/>
  <c r="AH150" i="51" s="1"/>
  <c r="AE150" i="51"/>
  <c r="AI150" i="51" s="1"/>
  <c r="Z151" i="51"/>
  <c r="AA151" i="51" s="1"/>
  <c r="AB151" i="51"/>
  <c r="AC151" i="51" s="1"/>
  <c r="AD151" i="51"/>
  <c r="AH151" i="51" s="1" a="1"/>
  <c r="AH151" i="51" s="1"/>
  <c r="AE151" i="51"/>
  <c r="AI151" i="51" s="1"/>
  <c r="Z152" i="51"/>
  <c r="AA152" i="51" s="1"/>
  <c r="AB152" i="51"/>
  <c r="AC152" i="51" s="1"/>
  <c r="AD152" i="51"/>
  <c r="AH152" i="51" s="1" a="1"/>
  <c r="AH152" i="51" s="1"/>
  <c r="AE152" i="51"/>
  <c r="AI152" i="51" s="1"/>
  <c r="Z153" i="51"/>
  <c r="AA153" i="51" s="1"/>
  <c r="AB153" i="51"/>
  <c r="AC153" i="51" s="1"/>
  <c r="AD153" i="51"/>
  <c r="AH153" i="51" s="1" a="1"/>
  <c r="AH153" i="51" s="1"/>
  <c r="AE153" i="51"/>
  <c r="AI153" i="51" s="1"/>
  <c r="Z154" i="51"/>
  <c r="AA154" i="51" s="1"/>
  <c r="AB154" i="51"/>
  <c r="AC154" i="51" s="1"/>
  <c r="AD154" i="51"/>
  <c r="AH154" i="51" s="1" a="1"/>
  <c r="AH154" i="51" s="1"/>
  <c r="AE154" i="51"/>
  <c r="AI154" i="51" s="1"/>
  <c r="Z155" i="51"/>
  <c r="AA155" i="51" s="1"/>
  <c r="AB155" i="51"/>
  <c r="AC155" i="51" s="1"/>
  <c r="AD155" i="51"/>
  <c r="AH155" i="51" s="1" a="1"/>
  <c r="AH155" i="51" s="1"/>
  <c r="AE155" i="51"/>
  <c r="AI155" i="51" s="1"/>
  <c r="Z156" i="51"/>
  <c r="AA156" i="51" s="1"/>
  <c r="AB156" i="51"/>
  <c r="AC156" i="51" s="1"/>
  <c r="AD156" i="51"/>
  <c r="AH156" i="51" s="1" a="1"/>
  <c r="AH156" i="51" s="1"/>
  <c r="AE156" i="51"/>
  <c r="AI156" i="51" s="1"/>
  <c r="Z157" i="51"/>
  <c r="AA157" i="51" s="1"/>
  <c r="AB157" i="51"/>
  <c r="AC157" i="51" s="1"/>
  <c r="AD157" i="51"/>
  <c r="AH157" i="51" s="1" a="1"/>
  <c r="AH157" i="51" s="1"/>
  <c r="AE157" i="51"/>
  <c r="AI157" i="51" s="1"/>
  <c r="Z158" i="51"/>
  <c r="AA158" i="51" s="1"/>
  <c r="AB158" i="51"/>
  <c r="AC158" i="51" s="1"/>
  <c r="AD158" i="51"/>
  <c r="AH158" i="51" s="1" a="1"/>
  <c r="AH158" i="51" s="1"/>
  <c r="AE158" i="51"/>
  <c r="AI158" i="51" s="1"/>
  <c r="Z159" i="51"/>
  <c r="AA159" i="51" s="1"/>
  <c r="AB159" i="51"/>
  <c r="AC159" i="51" s="1"/>
  <c r="AD159" i="51"/>
  <c r="AH159" i="51" s="1" a="1"/>
  <c r="AH159" i="51" s="1"/>
  <c r="AE159" i="51"/>
  <c r="AI159" i="51" s="1"/>
  <c r="Z160" i="51"/>
  <c r="AA160" i="51" s="1"/>
  <c r="AB160" i="51"/>
  <c r="AC160" i="51" s="1"/>
  <c r="AD160" i="51"/>
  <c r="AH160" i="51" s="1" a="1"/>
  <c r="AH160" i="51" s="1"/>
  <c r="AE160" i="51"/>
  <c r="AI160" i="51" s="1"/>
  <c r="Z161" i="51"/>
  <c r="AA161" i="51" s="1"/>
  <c r="AB161" i="51"/>
  <c r="AC161" i="51" s="1"/>
  <c r="AD161" i="51"/>
  <c r="AH161" i="51" s="1" a="1"/>
  <c r="AH161" i="51" s="1"/>
  <c r="AE161" i="51"/>
  <c r="AI161" i="51" s="1"/>
  <c r="Z162" i="51"/>
  <c r="AA162" i="51" s="1"/>
  <c r="AB162" i="51"/>
  <c r="AC162" i="51" s="1"/>
  <c r="AD162" i="51"/>
  <c r="AH162" i="51" s="1" a="1"/>
  <c r="AH162" i="51" s="1"/>
  <c r="AE162" i="51"/>
  <c r="AI162" i="51" s="1"/>
  <c r="Z163" i="51"/>
  <c r="AA163" i="51" s="1"/>
  <c r="AB163" i="51"/>
  <c r="AC163" i="51" s="1"/>
  <c r="AD163" i="51"/>
  <c r="AH163" i="51" s="1" a="1"/>
  <c r="AH163" i="51" s="1"/>
  <c r="AE163" i="51"/>
  <c r="AI163" i="51" s="1"/>
  <c r="Z164" i="51"/>
  <c r="AA164" i="51" s="1"/>
  <c r="AB164" i="51"/>
  <c r="AC164" i="51" s="1"/>
  <c r="AD164" i="51"/>
  <c r="AH164" i="51" s="1" a="1"/>
  <c r="AH164" i="51" s="1"/>
  <c r="AE164" i="51"/>
  <c r="AI164" i="51" s="1"/>
  <c r="Z165" i="51"/>
  <c r="AA165" i="51" s="1"/>
  <c r="AB165" i="51"/>
  <c r="AC165" i="51" s="1"/>
  <c r="AD165" i="51"/>
  <c r="AH165" i="51" s="1" a="1"/>
  <c r="AH165" i="51" s="1"/>
  <c r="AE165" i="51"/>
  <c r="AI165" i="51" s="1"/>
  <c r="Z166" i="51"/>
  <c r="AA166" i="51" s="1"/>
  <c r="AB166" i="51"/>
  <c r="AC166" i="51" s="1"/>
  <c r="AD166" i="51"/>
  <c r="AH166" i="51" s="1" a="1"/>
  <c r="AH166" i="51" s="1"/>
  <c r="AE166" i="51"/>
  <c r="AI166" i="51" s="1"/>
  <c r="Z167" i="51"/>
  <c r="AA167" i="51" s="1"/>
  <c r="AB167" i="51"/>
  <c r="AC167" i="51" s="1"/>
  <c r="AD167" i="51"/>
  <c r="AH167" i="51" s="1" a="1"/>
  <c r="AH167" i="51" s="1"/>
  <c r="AE167" i="51"/>
  <c r="AI167" i="51" s="1"/>
  <c r="Z168" i="51"/>
  <c r="AA168" i="51" s="1"/>
  <c r="AB168" i="51"/>
  <c r="AC168" i="51" s="1"/>
  <c r="AD168" i="51"/>
  <c r="AH168" i="51" s="1" a="1"/>
  <c r="AH168" i="51" s="1"/>
  <c r="AE168" i="51"/>
  <c r="AI168" i="51" s="1"/>
  <c r="Z169" i="51"/>
  <c r="AA169" i="51" s="1"/>
  <c r="AB169" i="51"/>
  <c r="AC169" i="51" s="1"/>
  <c r="AD169" i="51"/>
  <c r="AH169" i="51" s="1" a="1"/>
  <c r="AH169" i="51" s="1"/>
  <c r="AE169" i="51"/>
  <c r="AI169" i="51" s="1"/>
  <c r="Z170" i="51"/>
  <c r="AA170" i="51" s="1"/>
  <c r="AB170" i="51"/>
  <c r="AC170" i="51" s="1"/>
  <c r="AD170" i="51"/>
  <c r="AH170" i="51" s="1" a="1"/>
  <c r="AH170" i="51" s="1"/>
  <c r="AE170" i="51"/>
  <c r="AI170" i="51" s="1"/>
  <c r="Z171" i="51"/>
  <c r="AA171" i="51" s="1"/>
  <c r="AB171" i="51"/>
  <c r="AC171" i="51" s="1"/>
  <c r="AD171" i="51"/>
  <c r="AH171" i="51" s="1" a="1"/>
  <c r="AH171" i="51" s="1"/>
  <c r="AE171" i="51"/>
  <c r="AI171" i="51" s="1"/>
  <c r="Z172" i="51"/>
  <c r="AA172" i="51" s="1"/>
  <c r="AB172" i="51"/>
  <c r="AC172" i="51" s="1"/>
  <c r="AD172" i="51"/>
  <c r="AH172" i="51" s="1" a="1"/>
  <c r="AH172" i="51" s="1"/>
  <c r="AE172" i="51"/>
  <c r="AI172" i="51" s="1"/>
  <c r="Z173" i="51"/>
  <c r="AA173" i="51" s="1"/>
  <c r="AB173" i="51"/>
  <c r="AC173" i="51" s="1"/>
  <c r="AD173" i="51"/>
  <c r="AH173" i="51" s="1" a="1"/>
  <c r="AH173" i="51" s="1"/>
  <c r="AE173" i="51"/>
  <c r="AI173" i="51" s="1"/>
  <c r="Z174" i="51"/>
  <c r="AA174" i="51" s="1"/>
  <c r="AB174" i="51"/>
  <c r="AC174" i="51" s="1"/>
  <c r="AD174" i="51"/>
  <c r="AH174" i="51" s="1" a="1"/>
  <c r="AH174" i="51" s="1"/>
  <c r="AE174" i="51"/>
  <c r="AI174" i="51" s="1"/>
  <c r="Z175" i="51"/>
  <c r="AA175" i="51" s="1"/>
  <c r="AB175" i="51"/>
  <c r="AC175" i="51" s="1"/>
  <c r="AD175" i="51"/>
  <c r="AH175" i="51" s="1" a="1"/>
  <c r="AH175" i="51" s="1"/>
  <c r="AE175" i="51"/>
  <c r="AI175" i="51" s="1"/>
  <c r="Z176" i="51"/>
  <c r="AA176" i="51" s="1"/>
  <c r="AB176" i="51"/>
  <c r="AC176" i="51" s="1"/>
  <c r="AD176" i="51"/>
  <c r="AH176" i="51" s="1" a="1"/>
  <c r="AH176" i="51" s="1"/>
  <c r="AE176" i="51"/>
  <c r="AI176" i="51" s="1"/>
  <c r="Z177" i="51"/>
  <c r="AA177" i="51" s="1"/>
  <c r="AB177" i="51"/>
  <c r="AC177" i="51" s="1"/>
  <c r="AD177" i="51"/>
  <c r="AH177" i="51" s="1" a="1"/>
  <c r="AH177" i="51" s="1"/>
  <c r="AE177" i="51"/>
  <c r="AI177" i="51" s="1"/>
  <c r="Z178" i="51"/>
  <c r="AA178" i="51" s="1"/>
  <c r="AB178" i="51"/>
  <c r="AC178" i="51" s="1"/>
  <c r="AD178" i="51"/>
  <c r="AH178" i="51" s="1" a="1"/>
  <c r="AH178" i="51" s="1"/>
  <c r="AE178" i="51"/>
  <c r="AI178" i="51" s="1"/>
  <c r="Z179" i="51"/>
  <c r="AA179" i="51" s="1"/>
  <c r="AB179" i="51"/>
  <c r="AC179" i="51" s="1"/>
  <c r="AD179" i="51"/>
  <c r="AH179" i="51" s="1" a="1"/>
  <c r="AH179" i="51" s="1"/>
  <c r="AE179" i="51"/>
  <c r="Z180" i="51"/>
  <c r="AA180" i="51" s="1"/>
  <c r="AB180" i="51"/>
  <c r="AC180" i="51" s="1"/>
  <c r="AD180" i="51"/>
  <c r="AH180" i="51" s="1" a="1"/>
  <c r="AH180" i="51" s="1"/>
  <c r="AE180" i="51"/>
  <c r="AI180" i="51" s="1"/>
  <c r="Z181" i="51"/>
  <c r="AA181" i="51" s="1"/>
  <c r="AB181" i="51"/>
  <c r="AC181" i="51" s="1"/>
  <c r="AD181" i="51"/>
  <c r="AH181" i="51" s="1" a="1"/>
  <c r="AH181" i="51" s="1"/>
  <c r="AE181" i="51"/>
  <c r="AI181" i="51" s="1"/>
  <c r="Z182" i="51"/>
  <c r="AA182" i="51" s="1"/>
  <c r="AB182" i="51"/>
  <c r="AC182" i="51" s="1"/>
  <c r="AD182" i="51"/>
  <c r="AH182" i="51" s="1" a="1"/>
  <c r="AH182" i="51" s="1"/>
  <c r="AE182" i="51"/>
  <c r="AI182" i="51" s="1"/>
  <c r="Z183" i="51"/>
  <c r="AA183" i="51" s="1"/>
  <c r="AB183" i="51"/>
  <c r="AC183" i="51" s="1"/>
  <c r="AD183" i="51"/>
  <c r="AH183" i="51" s="1" a="1"/>
  <c r="AH183" i="51" s="1"/>
  <c r="AE183" i="51"/>
  <c r="AJ183" i="51" s="1"/>
  <c r="Z184" i="51"/>
  <c r="AA184" i="51" s="1"/>
  <c r="AB184" i="51"/>
  <c r="AC184" i="51" s="1"/>
  <c r="AD184" i="51"/>
  <c r="AH184" i="51" s="1" a="1"/>
  <c r="AH184" i="51" s="1"/>
  <c r="AE184" i="51"/>
  <c r="AI184" i="51" s="1"/>
  <c r="Z185" i="51"/>
  <c r="AA185" i="51" s="1"/>
  <c r="AB185" i="51"/>
  <c r="AC185" i="51" s="1"/>
  <c r="AD185" i="51"/>
  <c r="AH185" i="51" s="1" a="1"/>
  <c r="AH185" i="51" s="1"/>
  <c r="AE185" i="51"/>
  <c r="AI185" i="51" s="1"/>
  <c r="Z186" i="51"/>
  <c r="AA186" i="51" s="1"/>
  <c r="AB186" i="51"/>
  <c r="AC186" i="51" s="1"/>
  <c r="AD186" i="51"/>
  <c r="AH186" i="51" s="1" a="1"/>
  <c r="AH186" i="51" s="1"/>
  <c r="AE186" i="51"/>
  <c r="AI186" i="51" s="1"/>
  <c r="Z187" i="51"/>
  <c r="AA187" i="51" s="1"/>
  <c r="AB187" i="51"/>
  <c r="AC187" i="51" s="1"/>
  <c r="AD187" i="51"/>
  <c r="AH187" i="51" s="1" a="1"/>
  <c r="AH187" i="51" s="1"/>
  <c r="AE187" i="51"/>
  <c r="AJ187" i="51" s="1"/>
  <c r="Z188" i="51"/>
  <c r="AA188" i="51" s="1"/>
  <c r="AB188" i="51"/>
  <c r="AC188" i="51" s="1"/>
  <c r="AD188" i="51"/>
  <c r="AH188" i="51" s="1" a="1"/>
  <c r="AH188" i="51" s="1"/>
  <c r="AE188" i="51"/>
  <c r="AI188" i="51" s="1"/>
  <c r="Z189" i="51"/>
  <c r="AA189" i="51" s="1"/>
  <c r="AB189" i="51"/>
  <c r="AC189" i="51" s="1"/>
  <c r="AD189" i="51"/>
  <c r="AH189" i="51" s="1" a="1"/>
  <c r="AH189" i="51" s="1"/>
  <c r="AE189" i="51"/>
  <c r="AI189" i="51" s="1"/>
  <c r="Z190" i="51"/>
  <c r="AA190" i="51" s="1"/>
  <c r="AB190" i="51"/>
  <c r="AC190" i="51" s="1"/>
  <c r="AD190" i="51"/>
  <c r="AH190" i="51" s="1" a="1"/>
  <c r="AH190" i="51" s="1"/>
  <c r="AE190" i="51"/>
  <c r="AI190" i="51" s="1"/>
  <c r="Z191" i="51"/>
  <c r="AA191" i="51" s="1"/>
  <c r="AB191" i="51"/>
  <c r="AC191" i="51" s="1"/>
  <c r="AD191" i="51"/>
  <c r="AH191" i="51" s="1" a="1"/>
  <c r="AH191" i="51" s="1"/>
  <c r="AE191" i="51"/>
  <c r="AJ191" i="51" s="1"/>
  <c r="Z192" i="51"/>
  <c r="AA192" i="51" s="1"/>
  <c r="AB192" i="51"/>
  <c r="AC192" i="51" s="1"/>
  <c r="AD192" i="51"/>
  <c r="AH192" i="51" s="1" a="1"/>
  <c r="AH192" i="51" s="1"/>
  <c r="AE192" i="51"/>
  <c r="AI192" i="51" s="1"/>
  <c r="Z193" i="51"/>
  <c r="AA193" i="51" s="1"/>
  <c r="AB193" i="51"/>
  <c r="AC193" i="51" s="1"/>
  <c r="AD193" i="51"/>
  <c r="AH193" i="51" s="1" a="1"/>
  <c r="AH193" i="51" s="1"/>
  <c r="AE193" i="51"/>
  <c r="AI193" i="51" s="1"/>
  <c r="Z194" i="51"/>
  <c r="AA194" i="51" s="1"/>
  <c r="AB194" i="51"/>
  <c r="AC194" i="51" s="1"/>
  <c r="AD194" i="51"/>
  <c r="AH194" i="51" s="1" a="1"/>
  <c r="AH194" i="51" s="1"/>
  <c r="AE194" i="51"/>
  <c r="AI194" i="51" s="1"/>
  <c r="Z195" i="51"/>
  <c r="AA195" i="51" s="1"/>
  <c r="AB195" i="51"/>
  <c r="AC195" i="51" s="1"/>
  <c r="AD195" i="51"/>
  <c r="AH195" i="51" s="1" a="1"/>
  <c r="AH195" i="51" s="1"/>
  <c r="AE195" i="51"/>
  <c r="AI195" i="51" s="1"/>
  <c r="Z196" i="51"/>
  <c r="AA196" i="51" s="1"/>
  <c r="AB196" i="51"/>
  <c r="AC196" i="51" s="1"/>
  <c r="AD196" i="51"/>
  <c r="AH196" i="51" s="1" a="1"/>
  <c r="AH196" i="51" s="1"/>
  <c r="AE196" i="51"/>
  <c r="AF196" i="51" s="1"/>
  <c r="AG196" i="51" s="1"/>
  <c r="Z197" i="51"/>
  <c r="AA197" i="51" s="1"/>
  <c r="AB197" i="51"/>
  <c r="AC197" i="51" s="1"/>
  <c r="AD197" i="51"/>
  <c r="AH197" i="51" s="1" a="1"/>
  <c r="AH197" i="51" s="1"/>
  <c r="AE197" i="51"/>
  <c r="AF197" i="51" s="1"/>
  <c r="AG197" i="51" s="1"/>
  <c r="Z198" i="51"/>
  <c r="AA198" i="51" s="1"/>
  <c r="AB198" i="51"/>
  <c r="AC198" i="51" s="1"/>
  <c r="AD198" i="51"/>
  <c r="AH198" i="51" s="1" a="1"/>
  <c r="AH198" i="51" s="1"/>
  <c r="AE198" i="51"/>
  <c r="AF198" i="51" s="1"/>
  <c r="AG198" i="51" s="1"/>
  <c r="Z199" i="51"/>
  <c r="AA199" i="51" s="1"/>
  <c r="AB199" i="51"/>
  <c r="AC199" i="51" s="1"/>
  <c r="AD199" i="51"/>
  <c r="AH199" i="51" s="1" a="1"/>
  <c r="AH199" i="51" s="1"/>
  <c r="AE199" i="51"/>
  <c r="AF199" i="51" s="1"/>
  <c r="AG199" i="51" s="1"/>
  <c r="Z200" i="51"/>
  <c r="AA200" i="51" s="1"/>
  <c r="AB200" i="51"/>
  <c r="AC200" i="51" s="1"/>
  <c r="AD200" i="51"/>
  <c r="AH200" i="51" s="1" a="1"/>
  <c r="AH200" i="51" s="1"/>
  <c r="AE200" i="51"/>
  <c r="AJ200" i="51" s="1"/>
  <c r="Z201" i="51"/>
  <c r="AA201" i="51" s="1"/>
  <c r="AB201" i="51"/>
  <c r="AC201" i="51" s="1"/>
  <c r="AD201" i="51"/>
  <c r="AH201" i="51" s="1" a="1"/>
  <c r="AH201" i="51" s="1"/>
  <c r="AE201" i="51"/>
  <c r="AJ201" i="51" s="1"/>
  <c r="Z202" i="51"/>
  <c r="AA202" i="51" s="1"/>
  <c r="AB202" i="51"/>
  <c r="AC202" i="51" s="1"/>
  <c r="AD202" i="51"/>
  <c r="AH202" i="51" s="1" a="1"/>
  <c r="AH202" i="51" s="1"/>
  <c r="AE202" i="51"/>
  <c r="AJ202" i="51" s="1"/>
  <c r="Z203" i="51"/>
  <c r="AA203" i="51" s="1"/>
  <c r="AB203" i="51"/>
  <c r="AC203" i="51" s="1"/>
  <c r="AD203" i="51"/>
  <c r="AH203" i="51" s="1" a="1"/>
  <c r="AH203" i="51" s="1"/>
  <c r="AE203" i="51"/>
  <c r="AJ203" i="51" s="1"/>
  <c r="Z204" i="51"/>
  <c r="AA204" i="51" s="1"/>
  <c r="AB204" i="51"/>
  <c r="AC204" i="51" s="1"/>
  <c r="AD204" i="51"/>
  <c r="AH204" i="51" s="1" a="1"/>
  <c r="AH204" i="51" s="1"/>
  <c r="AE204" i="51"/>
  <c r="AJ204" i="51" s="1"/>
  <c r="Z205" i="51"/>
  <c r="AA205" i="51" s="1"/>
  <c r="AB205" i="51"/>
  <c r="AC205" i="51" s="1"/>
  <c r="AD205" i="51"/>
  <c r="AH205" i="51" s="1" a="1"/>
  <c r="AH205" i="51" s="1"/>
  <c r="AE205" i="51"/>
  <c r="AJ205" i="51" s="1"/>
  <c r="Z206" i="51"/>
  <c r="AA206" i="51" s="1"/>
  <c r="AB206" i="51"/>
  <c r="AC206" i="51" s="1"/>
  <c r="AD206" i="51"/>
  <c r="AH206" i="51" s="1" a="1"/>
  <c r="AH206" i="51" s="1"/>
  <c r="AE206" i="51"/>
  <c r="AJ206" i="51" s="1"/>
  <c r="Z207" i="51"/>
  <c r="AA207" i="51" s="1"/>
  <c r="AB207" i="51"/>
  <c r="AC207" i="51" s="1"/>
  <c r="AD207" i="51"/>
  <c r="AH207" i="51" s="1" a="1"/>
  <c r="AH207" i="51" s="1"/>
  <c r="AE207" i="51"/>
  <c r="Z208" i="51"/>
  <c r="AA208" i="51" s="1"/>
  <c r="AB208" i="51"/>
  <c r="AC208" i="51" s="1"/>
  <c r="AD208" i="51"/>
  <c r="AH208" i="51" s="1" a="1"/>
  <c r="AH208" i="51" s="1"/>
  <c r="AE208" i="51"/>
  <c r="Z209" i="51"/>
  <c r="AA209" i="51" s="1"/>
  <c r="AB209" i="51"/>
  <c r="AC209" i="51" s="1"/>
  <c r="AD209" i="51"/>
  <c r="AH209" i="51" s="1" a="1"/>
  <c r="AH209" i="51" s="1"/>
  <c r="AE209" i="51"/>
  <c r="AJ209" i="51" s="1"/>
  <c r="Z210" i="51"/>
  <c r="AA210" i="51" s="1"/>
  <c r="AB210" i="51"/>
  <c r="AC210" i="51" s="1"/>
  <c r="AD210" i="51"/>
  <c r="AH210" i="51" s="1" a="1"/>
  <c r="AH210" i="51" s="1"/>
  <c r="AE210" i="51"/>
  <c r="AJ210" i="51" s="1"/>
  <c r="Z211" i="51"/>
  <c r="AA211" i="51" s="1"/>
  <c r="AB211" i="51"/>
  <c r="AC211" i="51" s="1"/>
  <c r="AD211" i="51"/>
  <c r="AH211" i="51" s="1" a="1"/>
  <c r="AH211" i="51" s="1"/>
  <c r="AE211" i="51"/>
  <c r="AJ211" i="51" s="1"/>
  <c r="Z212" i="51"/>
  <c r="AA212" i="51" s="1"/>
  <c r="AB212" i="51"/>
  <c r="AC212" i="51" s="1"/>
  <c r="AD212" i="51"/>
  <c r="AH212" i="51" s="1" a="1"/>
  <c r="AH212" i="51" s="1"/>
  <c r="AE212" i="51"/>
  <c r="AF212" i="51" s="1"/>
  <c r="AG212" i="51" s="1"/>
  <c r="Z213" i="51"/>
  <c r="AA213" i="51" s="1"/>
  <c r="AB213" i="51"/>
  <c r="AC213" i="51" s="1"/>
  <c r="AD213" i="51"/>
  <c r="AH213" i="51" s="1" a="1"/>
  <c r="AH213" i="51" s="1"/>
  <c r="AE213" i="51"/>
  <c r="AF213" i="51" s="1"/>
  <c r="AG213" i="51" s="1"/>
  <c r="Z214" i="51"/>
  <c r="AA214" i="51" s="1"/>
  <c r="AB214" i="51"/>
  <c r="AC214" i="51" s="1"/>
  <c r="AD214" i="51"/>
  <c r="AH214" i="51" s="1" a="1"/>
  <c r="AH214" i="51" s="1"/>
  <c r="AE214" i="51"/>
  <c r="AF214" i="51" s="1"/>
  <c r="AG214" i="51" s="1"/>
  <c r="Z215" i="51"/>
  <c r="AA215" i="51" s="1"/>
  <c r="AB215" i="51"/>
  <c r="AC215" i="51" s="1"/>
  <c r="AD215" i="51"/>
  <c r="AH215" i="51" s="1" a="1"/>
  <c r="AH215" i="51" s="1"/>
  <c r="AE215" i="51"/>
  <c r="AF215" i="51" s="1"/>
  <c r="AG215" i="51" s="1"/>
  <c r="Z216" i="51"/>
  <c r="AA216" i="51" s="1"/>
  <c r="AB216" i="51"/>
  <c r="AC216" i="51" s="1"/>
  <c r="AD216" i="51"/>
  <c r="AH216" i="51" s="1" a="1"/>
  <c r="AH216" i="51" s="1"/>
  <c r="AE216" i="51"/>
  <c r="AF216" i="51" s="1"/>
  <c r="AG216" i="51" s="1"/>
  <c r="Z217" i="51"/>
  <c r="AA217" i="51" s="1"/>
  <c r="AB217" i="51"/>
  <c r="AC217" i="51" s="1"/>
  <c r="AD217" i="51"/>
  <c r="AH217" i="51" s="1" a="1"/>
  <c r="AH217" i="51" s="1"/>
  <c r="AE217" i="51"/>
  <c r="Z218" i="51"/>
  <c r="AA218" i="51" s="1"/>
  <c r="AB218" i="51"/>
  <c r="AC218" i="51" s="1"/>
  <c r="AD218" i="51"/>
  <c r="AH218" i="51" s="1" a="1"/>
  <c r="AH218" i="51" s="1"/>
  <c r="AE218" i="51"/>
  <c r="Z219" i="51"/>
  <c r="AA219" i="51" s="1"/>
  <c r="AB219" i="51"/>
  <c r="AC219" i="51" s="1"/>
  <c r="AD219" i="51"/>
  <c r="AH219" i="51" s="1" a="1"/>
  <c r="AH219" i="51" s="1"/>
  <c r="AE219" i="51"/>
  <c r="AI219" i="51" s="1"/>
  <c r="Z220" i="51"/>
  <c r="AA220" i="51" s="1"/>
  <c r="AB220" i="51"/>
  <c r="AC220" i="51" s="1"/>
  <c r="AD220" i="51"/>
  <c r="AH220" i="51" s="1" a="1"/>
  <c r="AH220" i="51" s="1"/>
  <c r="AE220" i="51"/>
  <c r="AF220" i="51" s="1"/>
  <c r="AG220" i="51" s="1"/>
  <c r="Z221" i="51"/>
  <c r="AA221" i="51" s="1"/>
  <c r="AB221" i="51"/>
  <c r="AC221" i="51" s="1"/>
  <c r="AD221" i="51"/>
  <c r="AH221" i="51" s="1" a="1"/>
  <c r="AH221" i="51" s="1"/>
  <c r="AE221" i="51"/>
  <c r="AF221" i="51" s="1"/>
  <c r="AG221" i="51" s="1"/>
  <c r="Z222" i="51"/>
  <c r="AA222" i="51" s="1"/>
  <c r="AB222" i="51"/>
  <c r="AC222" i="51" s="1"/>
  <c r="AD222" i="51"/>
  <c r="AH222" i="51" s="1" a="1"/>
  <c r="AH222" i="51" s="1"/>
  <c r="AE222" i="51"/>
  <c r="AF222" i="51" s="1"/>
  <c r="AG222" i="51" s="1"/>
  <c r="Z223" i="51"/>
  <c r="AA223" i="51" s="1"/>
  <c r="AB223" i="51"/>
  <c r="AC223" i="51" s="1"/>
  <c r="AD223" i="51"/>
  <c r="AH223" i="51" s="1" a="1"/>
  <c r="AH223" i="51" s="1"/>
  <c r="AE223" i="51"/>
  <c r="AF223" i="51" s="1"/>
  <c r="AG223" i="51" s="1"/>
  <c r="Z224" i="51"/>
  <c r="AA224" i="51" s="1"/>
  <c r="AB224" i="51"/>
  <c r="AC224" i="51" s="1"/>
  <c r="AD224" i="51"/>
  <c r="AH224" i="51" s="1" a="1"/>
  <c r="AH224" i="51" s="1"/>
  <c r="AE224" i="51"/>
  <c r="AF224" i="51" s="1"/>
  <c r="AG224" i="51" s="1"/>
  <c r="Z225" i="51"/>
  <c r="AA225" i="51" s="1"/>
  <c r="AB225" i="51"/>
  <c r="AC225" i="51" s="1"/>
  <c r="AD225" i="51"/>
  <c r="AH225" i="51" s="1" a="1"/>
  <c r="AH225" i="51" s="1"/>
  <c r="AE225" i="51"/>
  <c r="AF225" i="51" s="1"/>
  <c r="AG225" i="51" s="1"/>
  <c r="Z226" i="51"/>
  <c r="AA226" i="51" s="1"/>
  <c r="AB226" i="51"/>
  <c r="AC226" i="51" s="1"/>
  <c r="AD226" i="51"/>
  <c r="AH226" i="51" s="1" a="1"/>
  <c r="AH226" i="51" s="1"/>
  <c r="AE226" i="51"/>
  <c r="Z227" i="51"/>
  <c r="AA227" i="51" s="1"/>
  <c r="AB227" i="51"/>
  <c r="AC227" i="51" s="1"/>
  <c r="AD227" i="51"/>
  <c r="AH227" i="51" s="1" a="1"/>
  <c r="AH227" i="51" s="1"/>
  <c r="AE227" i="51"/>
  <c r="Z228" i="51"/>
  <c r="AA228" i="51" s="1"/>
  <c r="AB228" i="51"/>
  <c r="AC228" i="51" s="1"/>
  <c r="AD228" i="51"/>
  <c r="AH228" i="51" s="1" a="1"/>
  <c r="AH228" i="51" s="1"/>
  <c r="AE228" i="51"/>
  <c r="AF228" i="51" s="1"/>
  <c r="AG228" i="51" s="1"/>
  <c r="Z229" i="51"/>
  <c r="AA229" i="51" s="1"/>
  <c r="AB229" i="51"/>
  <c r="AC229" i="51" s="1"/>
  <c r="AD229" i="51"/>
  <c r="AH229" i="51" s="1" a="1"/>
  <c r="AH229" i="51" s="1"/>
  <c r="AE229" i="51"/>
  <c r="AF229" i="51" s="1"/>
  <c r="AG229" i="51" s="1"/>
  <c r="Z230" i="51"/>
  <c r="AA230" i="51" s="1"/>
  <c r="AB230" i="51"/>
  <c r="AC230" i="51" s="1"/>
  <c r="AD230" i="51"/>
  <c r="AH230" i="51" s="1" a="1"/>
  <c r="AH230" i="51" s="1"/>
  <c r="AE230" i="51"/>
  <c r="AF230" i="51" s="1"/>
  <c r="AG230" i="51" s="1"/>
  <c r="Z231" i="51"/>
  <c r="AA231" i="51" s="1"/>
  <c r="AB231" i="51"/>
  <c r="AC231" i="51" s="1"/>
  <c r="AD231" i="51"/>
  <c r="AH231" i="51" s="1" a="1"/>
  <c r="AH231" i="51" s="1"/>
  <c r="AE231" i="51"/>
  <c r="AF231" i="51" s="1"/>
  <c r="AG231" i="51" s="1"/>
  <c r="Z232" i="51"/>
  <c r="AA232" i="51" s="1"/>
  <c r="AB232" i="51"/>
  <c r="AC232" i="51" s="1"/>
  <c r="AD232" i="51"/>
  <c r="AH232" i="51" s="1" a="1"/>
  <c r="AH232" i="51" s="1"/>
  <c r="AE232" i="51"/>
  <c r="AF232" i="51" s="1"/>
  <c r="AG232" i="51" s="1"/>
  <c r="Z233" i="51"/>
  <c r="AA233" i="51" s="1"/>
  <c r="AB233" i="51"/>
  <c r="AC233" i="51" s="1"/>
  <c r="AD233" i="51"/>
  <c r="AH233" i="51" s="1" a="1"/>
  <c r="AH233" i="51" s="1"/>
  <c r="AE233" i="51"/>
  <c r="AF233" i="51" s="1"/>
  <c r="AG233" i="51" s="1"/>
  <c r="Z234" i="51"/>
  <c r="AA234" i="51" s="1"/>
  <c r="AB234" i="51"/>
  <c r="AC234" i="51" s="1"/>
  <c r="AD234" i="51"/>
  <c r="AH234" i="51" s="1" a="1"/>
  <c r="AH234" i="51" s="1"/>
  <c r="AE234" i="51"/>
  <c r="AF234" i="51" s="1"/>
  <c r="AG234" i="51" s="1"/>
  <c r="Z235" i="51"/>
  <c r="AA235" i="51" s="1"/>
  <c r="AB235" i="51"/>
  <c r="AC235" i="51" s="1"/>
  <c r="AD235" i="51"/>
  <c r="AH235" i="51" s="1" a="1"/>
  <c r="AH235" i="51" s="1"/>
  <c r="AE235" i="51"/>
  <c r="AF235" i="51" s="1"/>
  <c r="AG235" i="51" s="1"/>
  <c r="Z236" i="51"/>
  <c r="AA236" i="51" s="1"/>
  <c r="AB236" i="51"/>
  <c r="AC236" i="51" s="1"/>
  <c r="AD236" i="51"/>
  <c r="AH236" i="51" s="1" a="1"/>
  <c r="AH236" i="51" s="1"/>
  <c r="AE236" i="51"/>
  <c r="AF236" i="51" s="1"/>
  <c r="AG236" i="51" s="1"/>
  <c r="Z237" i="51"/>
  <c r="AA237" i="51" s="1"/>
  <c r="AB237" i="51"/>
  <c r="AC237" i="51" s="1"/>
  <c r="AD237" i="51"/>
  <c r="AH237" i="51" s="1" a="1"/>
  <c r="AH237" i="51" s="1"/>
  <c r="AE237" i="51"/>
  <c r="AF237" i="51" s="1"/>
  <c r="AG237" i="51" s="1"/>
  <c r="Z238" i="51"/>
  <c r="AA238" i="51" s="1"/>
  <c r="AB238" i="51"/>
  <c r="AC238" i="51" s="1"/>
  <c r="AD238" i="51"/>
  <c r="AH238" i="51" s="1" a="1"/>
  <c r="AH238" i="51" s="1"/>
  <c r="AE238" i="51"/>
  <c r="AF238" i="51" s="1"/>
  <c r="AG238" i="51" s="1"/>
  <c r="Z239" i="51"/>
  <c r="AA239" i="51" s="1"/>
  <c r="AB239" i="51"/>
  <c r="AC239" i="51" s="1"/>
  <c r="AD239" i="51"/>
  <c r="AH239" i="51" s="1" a="1"/>
  <c r="AH239" i="51" s="1"/>
  <c r="AE239" i="51"/>
  <c r="AF239" i="51" s="1"/>
  <c r="AG239" i="51" s="1"/>
  <c r="Z240" i="51"/>
  <c r="AA240" i="51" s="1"/>
  <c r="AB240" i="51"/>
  <c r="AC240" i="51" s="1"/>
  <c r="AD240" i="51"/>
  <c r="AH240" i="51" s="1" a="1"/>
  <c r="AH240" i="51" s="1"/>
  <c r="AE240" i="51"/>
  <c r="AF240" i="51" s="1"/>
  <c r="AG240" i="51" s="1"/>
  <c r="Z241" i="51"/>
  <c r="AA241" i="51" s="1"/>
  <c r="AB241" i="51"/>
  <c r="AC241" i="51" s="1"/>
  <c r="AD241" i="51"/>
  <c r="AH241" i="51" s="1" a="1"/>
  <c r="AH241" i="51" s="1"/>
  <c r="AE241" i="51"/>
  <c r="AF241" i="51" s="1"/>
  <c r="AG241" i="51" s="1"/>
  <c r="Z242" i="51"/>
  <c r="AA242" i="51" s="1"/>
  <c r="AB242" i="51"/>
  <c r="AC242" i="51" s="1"/>
  <c r="AD242" i="51"/>
  <c r="AH242" i="51" s="1" a="1"/>
  <c r="AH242" i="51" s="1"/>
  <c r="AE242" i="51"/>
  <c r="AF242" i="51" s="1"/>
  <c r="AG242" i="51" s="1"/>
  <c r="Z243" i="51"/>
  <c r="AA243" i="51" s="1"/>
  <c r="AB243" i="51"/>
  <c r="AC243" i="51" s="1"/>
  <c r="AD243" i="51"/>
  <c r="AH243" i="51" s="1" a="1"/>
  <c r="AH243" i="51" s="1"/>
  <c r="AE243" i="51"/>
  <c r="AF243" i="51" s="1"/>
  <c r="AG243" i="51" s="1"/>
  <c r="Z244" i="51"/>
  <c r="AA244" i="51" s="1"/>
  <c r="AB244" i="51"/>
  <c r="AC244" i="51" s="1"/>
  <c r="AD244" i="51"/>
  <c r="AH244" i="51" s="1" a="1"/>
  <c r="AH244" i="51" s="1"/>
  <c r="AE244" i="51"/>
  <c r="AF244" i="51" s="1"/>
  <c r="AG244" i="51" s="1"/>
  <c r="Z245" i="51"/>
  <c r="AA245" i="51" s="1"/>
  <c r="AB245" i="51"/>
  <c r="AC245" i="51" s="1"/>
  <c r="AD245" i="51"/>
  <c r="AH245" i="51" s="1" a="1"/>
  <c r="AH245" i="51" s="1"/>
  <c r="AE245" i="51"/>
  <c r="Z246" i="51"/>
  <c r="AA246" i="51" s="1"/>
  <c r="AB246" i="51"/>
  <c r="AC246" i="51" s="1"/>
  <c r="AD246" i="51"/>
  <c r="AH246" i="51" s="1" a="1"/>
  <c r="AH246" i="51" s="1"/>
  <c r="AE246" i="51"/>
  <c r="AF246" i="51" s="1"/>
  <c r="AG246" i="51" s="1"/>
  <c r="Z247" i="51"/>
  <c r="AA247" i="51" s="1"/>
  <c r="AB247" i="51"/>
  <c r="AC247" i="51" s="1"/>
  <c r="AD247" i="51"/>
  <c r="AH247" i="51" s="1" a="1"/>
  <c r="AH247" i="51" s="1"/>
  <c r="AE247" i="51"/>
  <c r="AF247" i="51" s="1"/>
  <c r="AG247" i="51" s="1"/>
  <c r="Z248" i="51"/>
  <c r="AA248" i="51" s="1"/>
  <c r="AB248" i="51"/>
  <c r="AC248" i="51" s="1"/>
  <c r="AD248" i="51"/>
  <c r="AH248" i="51" s="1" a="1"/>
  <c r="AH248" i="51" s="1"/>
  <c r="AE248" i="51"/>
  <c r="AI248" i="51" s="1"/>
  <c r="Z249" i="51"/>
  <c r="AA249" i="51" s="1"/>
  <c r="AB249" i="51"/>
  <c r="AC249" i="51" s="1"/>
  <c r="AD249" i="51"/>
  <c r="AH249" i="51" s="1" a="1"/>
  <c r="AH249" i="51" s="1"/>
  <c r="AE249" i="51"/>
  <c r="Z250" i="51"/>
  <c r="AA250" i="51" s="1"/>
  <c r="AB250" i="51"/>
  <c r="AC250" i="51" s="1"/>
  <c r="AD250" i="51"/>
  <c r="AH250" i="51" s="1" a="1"/>
  <c r="AH250" i="51" s="1"/>
  <c r="AE250" i="51"/>
  <c r="AF250" i="51" s="1"/>
  <c r="AG250" i="51" s="1"/>
  <c r="Z251" i="51"/>
  <c r="AA251" i="51" s="1"/>
  <c r="AB251" i="51"/>
  <c r="AC251" i="51" s="1"/>
  <c r="AD251" i="51"/>
  <c r="AH251" i="51" s="1" a="1"/>
  <c r="AH251" i="51" s="1"/>
  <c r="AE251" i="51"/>
  <c r="AF251" i="51" s="1"/>
  <c r="AG251" i="51" s="1"/>
  <c r="Z252" i="51"/>
  <c r="AA252" i="51" s="1"/>
  <c r="AB252" i="51"/>
  <c r="AC252" i="51" s="1"/>
  <c r="AD252" i="51"/>
  <c r="AH252" i="51" s="1" a="1"/>
  <c r="AH252" i="51" s="1"/>
  <c r="AE252" i="51"/>
  <c r="AF252" i="51" s="1"/>
  <c r="AG252" i="51" s="1"/>
  <c r="Z253" i="51"/>
  <c r="AA253" i="51" s="1"/>
  <c r="AB253" i="51"/>
  <c r="AC253" i="51" s="1"/>
  <c r="AD253" i="51"/>
  <c r="AH253" i="51" s="1" a="1"/>
  <c r="AH253" i="51" s="1"/>
  <c r="AE253" i="51"/>
  <c r="AJ253" i="51" s="1"/>
  <c r="Z254" i="51"/>
  <c r="AA254" i="51" s="1"/>
  <c r="AB254" i="51"/>
  <c r="AC254" i="51" s="1"/>
  <c r="AD254" i="51"/>
  <c r="AH254" i="51" s="1" a="1"/>
  <c r="AH254" i="51" s="1"/>
  <c r="AE254" i="51"/>
  <c r="Z255" i="51"/>
  <c r="AA255" i="51" s="1"/>
  <c r="AB255" i="51"/>
  <c r="AC255" i="51" s="1"/>
  <c r="AD255" i="51"/>
  <c r="AH255" i="51" s="1" a="1"/>
  <c r="AH255" i="51" s="1"/>
  <c r="AE255" i="51"/>
  <c r="AJ255" i="51" s="1"/>
  <c r="Z256" i="51"/>
  <c r="AA256" i="51" s="1"/>
  <c r="AB256" i="51"/>
  <c r="AC256" i="51" s="1"/>
  <c r="AD256" i="51"/>
  <c r="AH256" i="51" s="1" a="1"/>
  <c r="AH256" i="51" s="1"/>
  <c r="AE256" i="51"/>
  <c r="AF256" i="51" s="1"/>
  <c r="AG256" i="51" s="1"/>
  <c r="Z257" i="51"/>
  <c r="AA257" i="51" s="1"/>
  <c r="AB257" i="51"/>
  <c r="AC257" i="51" s="1"/>
  <c r="AD257" i="51"/>
  <c r="AH257" i="51" s="1" a="1"/>
  <c r="AH257" i="51" s="1"/>
  <c r="AE257" i="51"/>
  <c r="AJ257" i="51" s="1"/>
  <c r="Z258" i="51"/>
  <c r="AA258" i="51" s="1"/>
  <c r="AB258" i="51"/>
  <c r="AC258" i="51" s="1"/>
  <c r="AD258" i="51"/>
  <c r="AH258" i="51" s="1" a="1"/>
  <c r="AH258" i="51" s="1"/>
  <c r="AE258" i="51"/>
  <c r="Z259" i="51"/>
  <c r="AA259" i="51" s="1"/>
  <c r="AB259" i="51"/>
  <c r="AC259" i="51" s="1"/>
  <c r="AD259" i="51"/>
  <c r="AH259" i="51" s="1" a="1"/>
  <c r="AH259" i="51" s="1"/>
  <c r="AE259" i="51"/>
  <c r="Z260" i="51"/>
  <c r="AA260" i="51" s="1"/>
  <c r="AB260" i="51"/>
  <c r="AC260" i="51" s="1"/>
  <c r="AD260" i="51"/>
  <c r="AH260" i="51" s="1" a="1"/>
  <c r="AH260" i="51" s="1"/>
  <c r="AE260" i="51"/>
  <c r="AF260" i="51" s="1"/>
  <c r="AG260" i="51" s="1"/>
  <c r="Z261" i="51"/>
  <c r="AA261" i="51" s="1"/>
  <c r="AB261" i="51"/>
  <c r="AC261" i="51" s="1"/>
  <c r="AD261" i="51"/>
  <c r="AH261" i="51" s="1" a="1"/>
  <c r="AH261" i="51" s="1"/>
  <c r="AE261" i="51"/>
  <c r="AJ261" i="51" s="1"/>
  <c r="Z262" i="51"/>
  <c r="AA262" i="51" s="1"/>
  <c r="AB262" i="51"/>
  <c r="AC262" i="51" s="1"/>
  <c r="AD262" i="51"/>
  <c r="AH262" i="51" s="1" a="1"/>
  <c r="AH262" i="51" s="1"/>
  <c r="AE262" i="51"/>
  <c r="AF262" i="51" s="1"/>
  <c r="AG262" i="51" s="1"/>
  <c r="Z263" i="51"/>
  <c r="AA263" i="51" s="1"/>
  <c r="AB263" i="51"/>
  <c r="AC263" i="51" s="1"/>
  <c r="AD263" i="51"/>
  <c r="AH263" i="51" s="1" a="1"/>
  <c r="AH263" i="51" s="1"/>
  <c r="AE263" i="51"/>
  <c r="AJ263" i="51" s="1"/>
  <c r="Z264" i="51"/>
  <c r="AA264" i="51" s="1"/>
  <c r="AB264" i="51"/>
  <c r="AC264" i="51" s="1"/>
  <c r="AD264" i="51"/>
  <c r="AH264" i="51" s="1" a="1"/>
  <c r="AH264" i="51" s="1"/>
  <c r="AE264" i="51"/>
  <c r="AF264" i="51" s="1"/>
  <c r="AG264" i="51" s="1"/>
  <c r="Z265" i="51"/>
  <c r="AA265" i="51" s="1"/>
  <c r="AB265" i="51"/>
  <c r="AC265" i="51" s="1"/>
  <c r="AD265" i="51"/>
  <c r="AH265" i="51" s="1" a="1"/>
  <c r="AH265" i="51" s="1"/>
  <c r="AE265" i="51"/>
  <c r="AJ265" i="51" s="1"/>
  <c r="Z266" i="51"/>
  <c r="AA266" i="51" s="1"/>
  <c r="AB266" i="51"/>
  <c r="AC266" i="51" s="1"/>
  <c r="AD266" i="51"/>
  <c r="AH266" i="51" s="1" a="1"/>
  <c r="AH266" i="51" s="1"/>
  <c r="AE266" i="51"/>
  <c r="AF266" i="51" s="1"/>
  <c r="AG266" i="51" s="1"/>
  <c r="Z267" i="51"/>
  <c r="AA267" i="51" s="1"/>
  <c r="AB267" i="51"/>
  <c r="AC267" i="51" s="1"/>
  <c r="AD267" i="51"/>
  <c r="AH267" i="51" s="1" a="1"/>
  <c r="AH267" i="51" s="1"/>
  <c r="AE267" i="51"/>
  <c r="AJ267" i="51" s="1"/>
  <c r="Z268" i="51"/>
  <c r="AA268" i="51" s="1"/>
  <c r="AB268" i="51"/>
  <c r="AC268" i="51" s="1"/>
  <c r="AD268" i="51"/>
  <c r="AH268" i="51" s="1" a="1"/>
  <c r="AH268" i="51" s="1"/>
  <c r="AE268" i="51"/>
  <c r="AF268" i="51" s="1"/>
  <c r="AG268" i="51" s="1"/>
  <c r="Z269" i="51"/>
  <c r="AA269" i="51" s="1"/>
  <c r="AB269" i="51"/>
  <c r="AC269" i="51" s="1"/>
  <c r="AD269" i="51"/>
  <c r="AH269" i="51" s="1" a="1"/>
  <c r="AH269" i="51" s="1"/>
  <c r="AE269" i="51"/>
  <c r="AJ269" i="51" s="1"/>
  <c r="Z270" i="51"/>
  <c r="AA270" i="51" s="1"/>
  <c r="AB270" i="51"/>
  <c r="AC270" i="51" s="1"/>
  <c r="AD270" i="51"/>
  <c r="AH270" i="51" s="1" a="1"/>
  <c r="AH270" i="51" s="1"/>
  <c r="AE270" i="51"/>
  <c r="AJ270" i="51" s="1"/>
  <c r="Z271" i="51"/>
  <c r="AA271" i="51" s="1"/>
  <c r="AB271" i="51"/>
  <c r="AC271" i="51" s="1"/>
  <c r="AD271" i="51"/>
  <c r="AH271" i="51" s="1" a="1"/>
  <c r="AH271" i="51" s="1"/>
  <c r="AE271" i="51"/>
  <c r="AJ271" i="51" s="1"/>
  <c r="Z272" i="51"/>
  <c r="AA272" i="51" s="1"/>
  <c r="AB272" i="51"/>
  <c r="AC272" i="51" s="1"/>
  <c r="AD272" i="51"/>
  <c r="AH272" i="51" s="1" a="1"/>
  <c r="AH272" i="51" s="1"/>
  <c r="AE272" i="51"/>
  <c r="AJ272" i="51" s="1"/>
  <c r="Z273" i="51"/>
  <c r="AA273" i="51" s="1"/>
  <c r="AB273" i="51"/>
  <c r="AC273" i="51" s="1"/>
  <c r="AD273" i="51"/>
  <c r="AH273" i="51" s="1" a="1"/>
  <c r="AH273" i="51" s="1"/>
  <c r="AE273" i="51"/>
  <c r="AJ273" i="51" s="1"/>
  <c r="Z274" i="51"/>
  <c r="AA274" i="51" s="1"/>
  <c r="AB274" i="51"/>
  <c r="AC274" i="51" s="1"/>
  <c r="AD274" i="51"/>
  <c r="AH274" i="51" s="1" a="1"/>
  <c r="AH274" i="51" s="1"/>
  <c r="AE274" i="51"/>
  <c r="AJ274" i="51" s="1"/>
  <c r="Z275" i="51"/>
  <c r="AA275" i="51" s="1"/>
  <c r="AB275" i="51"/>
  <c r="AC275" i="51" s="1"/>
  <c r="AD275" i="51"/>
  <c r="AH275" i="51" s="1" a="1"/>
  <c r="AH275" i="51" s="1"/>
  <c r="AE275" i="51"/>
  <c r="AJ275" i="51" s="1"/>
  <c r="Z276" i="51"/>
  <c r="AA276" i="51" s="1"/>
  <c r="AB276" i="51"/>
  <c r="AC276" i="51" s="1"/>
  <c r="AD276" i="51"/>
  <c r="AH276" i="51" s="1" a="1"/>
  <c r="AH276" i="51" s="1"/>
  <c r="AE276" i="51"/>
  <c r="AJ276" i="51" s="1"/>
  <c r="Z277" i="51"/>
  <c r="AA277" i="51" s="1"/>
  <c r="AB277" i="51"/>
  <c r="AC277" i="51" s="1"/>
  <c r="AD277" i="51"/>
  <c r="AH277" i="51" s="1" a="1"/>
  <c r="AH277" i="51" s="1"/>
  <c r="AE277" i="51"/>
  <c r="AJ277" i="51" s="1"/>
  <c r="Z278" i="51"/>
  <c r="AA278" i="51" s="1"/>
  <c r="AB278" i="51"/>
  <c r="AC278" i="51" s="1"/>
  <c r="AD278" i="51"/>
  <c r="AH278" i="51" s="1" a="1"/>
  <c r="AH278" i="51" s="1"/>
  <c r="AE278" i="51"/>
  <c r="AJ278" i="51" s="1"/>
  <c r="Z279" i="51"/>
  <c r="AA279" i="51" s="1"/>
  <c r="AB279" i="51"/>
  <c r="AC279" i="51" s="1"/>
  <c r="AD279" i="51"/>
  <c r="AH279" i="51" s="1" a="1"/>
  <c r="AH279" i="51" s="1"/>
  <c r="AE279" i="51"/>
  <c r="AJ279" i="51" s="1"/>
  <c r="Z280" i="51"/>
  <c r="AA280" i="51" s="1"/>
  <c r="AB280" i="51"/>
  <c r="AC280" i="51" s="1"/>
  <c r="AD280" i="51"/>
  <c r="AH280" i="51" s="1" a="1"/>
  <c r="AH280" i="51" s="1"/>
  <c r="AE280" i="51"/>
  <c r="AJ280" i="51" s="1"/>
  <c r="Z281" i="51"/>
  <c r="AA281" i="51" s="1"/>
  <c r="AB281" i="51"/>
  <c r="AC281" i="51" s="1"/>
  <c r="AD281" i="51"/>
  <c r="AH281" i="51" s="1" a="1"/>
  <c r="AH281" i="51" s="1"/>
  <c r="AE281" i="51"/>
  <c r="AJ281" i="51" s="1"/>
  <c r="Z282" i="51"/>
  <c r="AA282" i="51" s="1"/>
  <c r="AB282" i="51"/>
  <c r="AC282" i="51" s="1"/>
  <c r="AD282" i="51"/>
  <c r="AH282" i="51" s="1" a="1"/>
  <c r="AH282" i="51" s="1"/>
  <c r="AE282" i="51"/>
  <c r="AJ282" i="51" s="1"/>
  <c r="Z283" i="51"/>
  <c r="AA283" i="51" s="1"/>
  <c r="AB283" i="51"/>
  <c r="AC283" i="51" s="1"/>
  <c r="AD283" i="51"/>
  <c r="AH283" i="51" s="1" a="1"/>
  <c r="AH283" i="51" s="1"/>
  <c r="AE283" i="51"/>
  <c r="AJ283" i="51" s="1"/>
  <c r="Z284" i="51"/>
  <c r="AA284" i="51" s="1"/>
  <c r="AB284" i="51"/>
  <c r="AC284" i="51" s="1"/>
  <c r="AD284" i="51"/>
  <c r="AH284" i="51" s="1" a="1"/>
  <c r="AH284" i="51" s="1"/>
  <c r="AE284" i="51"/>
  <c r="AJ284" i="51" s="1"/>
  <c r="Z285" i="51"/>
  <c r="AA285" i="51" s="1"/>
  <c r="AB285" i="51"/>
  <c r="AC285" i="51" s="1"/>
  <c r="AD285" i="51"/>
  <c r="AH285" i="51" s="1" a="1"/>
  <c r="AH285" i="51" s="1"/>
  <c r="AE285" i="51"/>
  <c r="AJ285" i="51" s="1"/>
  <c r="Z286" i="51"/>
  <c r="AA286" i="51" s="1"/>
  <c r="AB286" i="51"/>
  <c r="AC286" i="51" s="1"/>
  <c r="AD286" i="51"/>
  <c r="AH286" i="51" s="1" a="1"/>
  <c r="AH286" i="51" s="1"/>
  <c r="AE286" i="51"/>
  <c r="AJ286" i="51" s="1"/>
  <c r="Z287" i="51"/>
  <c r="AA287" i="51" s="1"/>
  <c r="AB287" i="51"/>
  <c r="AC287" i="51" s="1"/>
  <c r="AD287" i="51"/>
  <c r="AH287" i="51" s="1" a="1"/>
  <c r="AH287" i="51" s="1"/>
  <c r="AE287" i="51"/>
  <c r="AJ287" i="51" s="1"/>
  <c r="Z288" i="51"/>
  <c r="AA288" i="51" s="1"/>
  <c r="AB288" i="51"/>
  <c r="AC288" i="51" s="1"/>
  <c r="AD288" i="51"/>
  <c r="AH288" i="51" s="1" a="1"/>
  <c r="AH288" i="51" s="1"/>
  <c r="AE288" i="51"/>
  <c r="AJ288" i="51" s="1"/>
  <c r="Z289" i="51"/>
  <c r="AA289" i="51" s="1"/>
  <c r="AB289" i="51"/>
  <c r="AC289" i="51" s="1"/>
  <c r="AD289" i="51"/>
  <c r="AH289" i="51" s="1" a="1"/>
  <c r="AH289" i="51" s="1"/>
  <c r="AE289" i="51"/>
  <c r="AJ289" i="51" s="1"/>
  <c r="Z290" i="51"/>
  <c r="AA290" i="51" s="1"/>
  <c r="AB290" i="51"/>
  <c r="AC290" i="51" s="1"/>
  <c r="AD290" i="51"/>
  <c r="AH290" i="51" s="1" a="1"/>
  <c r="AH290" i="51" s="1"/>
  <c r="AE290" i="51"/>
  <c r="AJ290" i="51" s="1"/>
  <c r="Z291" i="51"/>
  <c r="AA291" i="51" s="1"/>
  <c r="AB291" i="51"/>
  <c r="AC291" i="51" s="1"/>
  <c r="AD291" i="51"/>
  <c r="AH291" i="51" s="1" a="1"/>
  <c r="AH291" i="51" s="1"/>
  <c r="AE291" i="51"/>
  <c r="AJ291" i="51" s="1"/>
  <c r="Z292" i="51"/>
  <c r="AA292" i="51" s="1"/>
  <c r="AB292" i="51"/>
  <c r="AC292" i="51" s="1"/>
  <c r="AD292" i="51"/>
  <c r="AH292" i="51" s="1" a="1"/>
  <c r="AH292" i="51" s="1"/>
  <c r="AE292" i="51"/>
  <c r="AJ292" i="51" s="1"/>
  <c r="Z293" i="51"/>
  <c r="AA293" i="51" s="1"/>
  <c r="AB293" i="51"/>
  <c r="AC293" i="51" s="1"/>
  <c r="AD293" i="51"/>
  <c r="AH293" i="51" s="1" a="1"/>
  <c r="AH293" i="51" s="1"/>
  <c r="AE293" i="51"/>
  <c r="AJ293" i="51" s="1"/>
  <c r="Z294" i="51"/>
  <c r="AA294" i="51" s="1"/>
  <c r="AB294" i="51"/>
  <c r="AC294" i="51" s="1"/>
  <c r="AD294" i="51"/>
  <c r="AH294" i="51" s="1" a="1"/>
  <c r="AH294" i="51" s="1"/>
  <c r="AE294" i="51"/>
  <c r="AJ294" i="51" s="1"/>
  <c r="Z295" i="51"/>
  <c r="AA295" i="51" s="1"/>
  <c r="AB295" i="51"/>
  <c r="AC295" i="51" s="1"/>
  <c r="AD295" i="51"/>
  <c r="AH295" i="51" s="1" a="1"/>
  <c r="AH295" i="51" s="1"/>
  <c r="AE295" i="51"/>
  <c r="AJ295" i="51" s="1"/>
  <c r="Z296" i="51"/>
  <c r="AA296" i="51" s="1"/>
  <c r="AB296" i="51"/>
  <c r="AC296" i="51" s="1"/>
  <c r="AD296" i="51"/>
  <c r="AH296" i="51" s="1" a="1"/>
  <c r="AH296" i="51" s="1"/>
  <c r="AE296" i="51"/>
  <c r="AJ296" i="51" s="1"/>
  <c r="Z297" i="51"/>
  <c r="AA297" i="51" s="1"/>
  <c r="AB297" i="51"/>
  <c r="AC297" i="51" s="1"/>
  <c r="AD297" i="51"/>
  <c r="AH297" i="51" s="1" a="1"/>
  <c r="AH297" i="51" s="1"/>
  <c r="AE297" i="51"/>
  <c r="AJ297" i="51" s="1"/>
  <c r="Z298" i="51"/>
  <c r="AA298" i="51" s="1"/>
  <c r="AB298" i="51"/>
  <c r="AC298" i="51" s="1"/>
  <c r="AD298" i="51"/>
  <c r="AH298" i="51" s="1" a="1"/>
  <c r="AH298" i="51" s="1"/>
  <c r="AE298" i="51"/>
  <c r="AJ298" i="51" s="1"/>
  <c r="Z299" i="51"/>
  <c r="AA299" i="51" s="1"/>
  <c r="AB299" i="51"/>
  <c r="AC299" i="51" s="1"/>
  <c r="AD299" i="51"/>
  <c r="AH299" i="51" s="1" a="1"/>
  <c r="AH299" i="51" s="1"/>
  <c r="AE299" i="51"/>
  <c r="AJ299" i="51" s="1"/>
  <c r="Z300" i="51"/>
  <c r="AA300" i="51" s="1"/>
  <c r="AB300" i="51"/>
  <c r="AC300" i="51" s="1"/>
  <c r="AD300" i="51"/>
  <c r="AH300" i="51" s="1" a="1"/>
  <c r="AH300" i="51" s="1"/>
  <c r="AE300" i="51"/>
  <c r="AJ300" i="51" s="1"/>
  <c r="Z301" i="51"/>
  <c r="AA301" i="51" s="1"/>
  <c r="AB301" i="51"/>
  <c r="AC301" i="51" s="1"/>
  <c r="AD301" i="51"/>
  <c r="AH301" i="51" s="1" a="1"/>
  <c r="AH301" i="51" s="1"/>
  <c r="AE301" i="51"/>
  <c r="AJ301" i="51" s="1"/>
  <c r="Z302" i="51"/>
  <c r="AA302" i="51" s="1"/>
  <c r="AB302" i="51"/>
  <c r="AC302" i="51" s="1"/>
  <c r="AD302" i="51"/>
  <c r="AH302" i="51" s="1" a="1"/>
  <c r="AH302" i="51" s="1"/>
  <c r="AE302" i="51"/>
  <c r="AJ302" i="51" s="1"/>
  <c r="Z303" i="51"/>
  <c r="AA303" i="51" s="1"/>
  <c r="AB303" i="51"/>
  <c r="AC303" i="51" s="1"/>
  <c r="AD303" i="51"/>
  <c r="AH303" i="51" s="1" a="1"/>
  <c r="AH303" i="51" s="1"/>
  <c r="AE303" i="51"/>
  <c r="AJ303" i="51" s="1"/>
  <c r="Z304" i="51"/>
  <c r="AA304" i="51" s="1"/>
  <c r="AB304" i="51"/>
  <c r="AC304" i="51" s="1"/>
  <c r="AD304" i="51"/>
  <c r="AH304" i="51" s="1" a="1"/>
  <c r="AH304" i="51" s="1"/>
  <c r="AE304" i="51"/>
  <c r="AJ304" i="51" s="1"/>
  <c r="Z305" i="51"/>
  <c r="AA305" i="51" s="1"/>
  <c r="AB305" i="51"/>
  <c r="AC305" i="51" s="1"/>
  <c r="AD305" i="51"/>
  <c r="AH305" i="51" s="1" a="1"/>
  <c r="AH305" i="51" s="1"/>
  <c r="AE305" i="51"/>
  <c r="AJ305" i="51" s="1"/>
  <c r="Z306" i="51"/>
  <c r="AA306" i="51" s="1"/>
  <c r="AB306" i="51"/>
  <c r="AC306" i="51" s="1"/>
  <c r="AD306" i="51"/>
  <c r="AH306" i="51" s="1" a="1"/>
  <c r="AH306" i="51" s="1"/>
  <c r="AE306" i="51"/>
  <c r="AJ306" i="51" s="1"/>
  <c r="Z307" i="51"/>
  <c r="AA307" i="51" s="1"/>
  <c r="AB307" i="51"/>
  <c r="AC307" i="51" s="1"/>
  <c r="AD307" i="51"/>
  <c r="AH307" i="51" s="1" a="1"/>
  <c r="AH307" i="51" s="1"/>
  <c r="AE307" i="51"/>
  <c r="AJ307" i="51" s="1"/>
  <c r="Z308" i="51"/>
  <c r="AA308" i="51" s="1"/>
  <c r="AB308" i="51"/>
  <c r="AC308" i="51" s="1"/>
  <c r="AD308" i="51"/>
  <c r="AH308" i="51" s="1" a="1"/>
  <c r="AH308" i="51" s="1"/>
  <c r="AE308" i="51"/>
  <c r="AJ308" i="51" s="1"/>
  <c r="Z309" i="51"/>
  <c r="AA309" i="51" s="1"/>
  <c r="AB309" i="51"/>
  <c r="AC309" i="51" s="1"/>
  <c r="AD309" i="51"/>
  <c r="AH309" i="51" s="1" a="1"/>
  <c r="AH309" i="51" s="1"/>
  <c r="AE309" i="51"/>
  <c r="AJ309" i="51" s="1"/>
  <c r="Z310" i="51"/>
  <c r="AA310" i="51" s="1"/>
  <c r="AB310" i="51"/>
  <c r="AC310" i="51" s="1"/>
  <c r="AD310" i="51"/>
  <c r="AH310" i="51" s="1" a="1"/>
  <c r="AH310" i="51" s="1"/>
  <c r="AE310" i="51"/>
  <c r="AJ310" i="51" s="1"/>
  <c r="Z311" i="51"/>
  <c r="AA311" i="51" s="1"/>
  <c r="AB311" i="51"/>
  <c r="AC311" i="51" s="1"/>
  <c r="AD311" i="51"/>
  <c r="AH311" i="51" s="1" a="1"/>
  <c r="AH311" i="51" s="1"/>
  <c r="AE311" i="51"/>
  <c r="AJ311" i="51" s="1"/>
  <c r="Z312" i="51"/>
  <c r="AA312" i="51" s="1"/>
  <c r="AB312" i="51"/>
  <c r="AC312" i="51" s="1"/>
  <c r="AD312" i="51"/>
  <c r="AH312" i="51" s="1" a="1"/>
  <c r="AH312" i="51" s="1"/>
  <c r="AE312" i="51"/>
  <c r="AJ312" i="51" s="1"/>
  <c r="Z313" i="51"/>
  <c r="AA313" i="51" s="1"/>
  <c r="AB313" i="51"/>
  <c r="AC313" i="51" s="1"/>
  <c r="AD313" i="51"/>
  <c r="AH313" i="51" s="1" a="1"/>
  <c r="AH313" i="51" s="1"/>
  <c r="AE313" i="51"/>
  <c r="AJ313" i="51" s="1"/>
  <c r="Z314" i="51"/>
  <c r="AA314" i="51" s="1"/>
  <c r="AB314" i="51"/>
  <c r="AC314" i="51" s="1"/>
  <c r="AD314" i="51"/>
  <c r="AH314" i="51" s="1" a="1"/>
  <c r="AH314" i="51" s="1"/>
  <c r="AE314" i="51"/>
  <c r="AJ314" i="51" s="1"/>
  <c r="Z315" i="51"/>
  <c r="AA315" i="51" s="1"/>
  <c r="AB315" i="51"/>
  <c r="AC315" i="51" s="1"/>
  <c r="AD315" i="51"/>
  <c r="AH315" i="51" s="1" a="1"/>
  <c r="AH315" i="51" s="1"/>
  <c r="AE315" i="51"/>
  <c r="AJ315" i="51" s="1"/>
  <c r="Z316" i="51"/>
  <c r="AA316" i="51" s="1"/>
  <c r="AB316" i="51"/>
  <c r="AC316" i="51" s="1"/>
  <c r="AD316" i="51"/>
  <c r="AH316" i="51" s="1" a="1"/>
  <c r="AH316" i="51" s="1"/>
  <c r="AE316" i="51"/>
  <c r="AJ316" i="51" s="1"/>
  <c r="Z317" i="51"/>
  <c r="AA317" i="51" s="1"/>
  <c r="AB317" i="51"/>
  <c r="AC317" i="51" s="1"/>
  <c r="AD317" i="51"/>
  <c r="AH317" i="51" s="1" a="1"/>
  <c r="AH317" i="51" s="1"/>
  <c r="AE317" i="51"/>
  <c r="Z318" i="51"/>
  <c r="AA318" i="51" s="1"/>
  <c r="AB318" i="51"/>
  <c r="AC318" i="51" s="1"/>
  <c r="AD318" i="51"/>
  <c r="AH318" i="51" s="1" a="1"/>
  <c r="AH318" i="51" s="1"/>
  <c r="AE318" i="51"/>
  <c r="AJ318" i="51" s="1"/>
  <c r="Z319" i="51"/>
  <c r="AA319" i="51" s="1"/>
  <c r="AB319" i="51"/>
  <c r="AC319" i="51" s="1"/>
  <c r="AD319" i="51"/>
  <c r="AH319" i="51" s="1" a="1"/>
  <c r="AH319" i="51" s="1"/>
  <c r="AE319" i="51"/>
  <c r="AJ319" i="51" s="1"/>
  <c r="Z320" i="51"/>
  <c r="AA320" i="51" s="1"/>
  <c r="AB320" i="51"/>
  <c r="AC320" i="51" s="1"/>
  <c r="AD320" i="51"/>
  <c r="AH320" i="51" s="1" a="1"/>
  <c r="AH320" i="51" s="1"/>
  <c r="AE320" i="51"/>
  <c r="AJ320" i="51" s="1"/>
  <c r="Z321" i="51"/>
  <c r="AA321" i="51" s="1"/>
  <c r="AB321" i="51"/>
  <c r="AC321" i="51" s="1"/>
  <c r="AD321" i="51"/>
  <c r="AH321" i="51" s="1" a="1"/>
  <c r="AH321" i="51" s="1"/>
  <c r="AE321" i="51"/>
  <c r="AJ321" i="51" s="1"/>
  <c r="Z322" i="51"/>
  <c r="AA322" i="51" s="1"/>
  <c r="AB322" i="51"/>
  <c r="AC322" i="51" s="1"/>
  <c r="AD322" i="51"/>
  <c r="AH322" i="51" s="1" a="1"/>
  <c r="AH322" i="51" s="1"/>
  <c r="AE322" i="51"/>
  <c r="AJ322" i="51" s="1"/>
  <c r="Z323" i="51"/>
  <c r="AA323" i="51" s="1"/>
  <c r="AB323" i="51"/>
  <c r="AC323" i="51" s="1"/>
  <c r="AD323" i="51"/>
  <c r="AH323" i="51" s="1" a="1"/>
  <c r="AH323" i="51" s="1"/>
  <c r="AE323" i="51"/>
  <c r="AJ323" i="51" s="1"/>
  <c r="Z324" i="51"/>
  <c r="AA324" i="51" s="1"/>
  <c r="AB324" i="51"/>
  <c r="AC324" i="51" s="1"/>
  <c r="AD324" i="51"/>
  <c r="AH324" i="51" s="1" a="1"/>
  <c r="AH324" i="51" s="1"/>
  <c r="AE324" i="51"/>
  <c r="AJ324" i="51" s="1"/>
  <c r="Z325" i="51"/>
  <c r="AA325" i="51" s="1"/>
  <c r="AB325" i="51"/>
  <c r="AC325" i="51" s="1"/>
  <c r="AD325" i="51"/>
  <c r="AH325" i="51" s="1" a="1"/>
  <c r="AH325" i="51" s="1"/>
  <c r="AE325" i="51"/>
  <c r="AJ325" i="51" s="1"/>
  <c r="Z326" i="51"/>
  <c r="AA326" i="51" s="1"/>
  <c r="AB326" i="51"/>
  <c r="AC326" i="51" s="1"/>
  <c r="AD326" i="51"/>
  <c r="AH326" i="51" s="1" a="1"/>
  <c r="AH326" i="51" s="1"/>
  <c r="AE326" i="51"/>
  <c r="AJ326" i="51" s="1"/>
  <c r="Z327" i="51"/>
  <c r="AA327" i="51" s="1"/>
  <c r="AB327" i="51"/>
  <c r="AC327" i="51" s="1"/>
  <c r="AD327" i="51"/>
  <c r="AH327" i="51" s="1" a="1"/>
  <c r="AH327" i="51" s="1"/>
  <c r="AE327" i="51"/>
  <c r="AJ327" i="51" s="1"/>
  <c r="Z328" i="51"/>
  <c r="AA328" i="51" s="1"/>
  <c r="AB328" i="51"/>
  <c r="AC328" i="51" s="1"/>
  <c r="AD328" i="51"/>
  <c r="AH328" i="51" s="1" a="1"/>
  <c r="AH328" i="51" s="1"/>
  <c r="AE328" i="51"/>
  <c r="AJ328" i="51" s="1"/>
  <c r="Z329" i="51"/>
  <c r="AA329" i="51" s="1"/>
  <c r="AB329" i="51"/>
  <c r="AC329" i="51" s="1"/>
  <c r="AD329" i="51"/>
  <c r="AH329" i="51" s="1" a="1"/>
  <c r="AH329" i="51" s="1"/>
  <c r="AE329" i="51"/>
  <c r="AJ329" i="51" s="1"/>
  <c r="AE402" i="51"/>
  <c r="AD402" i="51"/>
  <c r="AH402" i="51" s="1" a="1"/>
  <c r="AH402" i="51" s="1"/>
  <c r="AB402" i="51"/>
  <c r="AC402" i="51" s="1"/>
  <c r="Z402" i="51"/>
  <c r="AA402" i="51" s="1"/>
  <c r="AE401" i="51"/>
  <c r="AD401" i="51"/>
  <c r="AH401" i="51" s="1" a="1"/>
  <c r="AH401" i="51" s="1"/>
  <c r="AB401" i="51"/>
  <c r="AC401" i="51" s="1"/>
  <c r="Z401" i="51"/>
  <c r="AA401" i="51" s="1"/>
  <c r="AE400" i="51"/>
  <c r="AD400" i="51"/>
  <c r="AH400" i="51" s="1" a="1"/>
  <c r="AH400" i="51" s="1"/>
  <c r="AB400" i="51"/>
  <c r="AC400" i="51" s="1"/>
  <c r="Z400" i="51"/>
  <c r="AA400" i="51" s="1"/>
  <c r="AE399" i="51"/>
  <c r="AD399" i="51"/>
  <c r="AH399" i="51" s="1" a="1"/>
  <c r="AH399" i="51" s="1"/>
  <c r="AB399" i="51"/>
  <c r="AC399" i="51" s="1"/>
  <c r="Z399" i="51"/>
  <c r="AA399" i="51" s="1"/>
  <c r="AE398" i="51"/>
  <c r="AD398" i="51"/>
  <c r="AH398" i="51" s="1" a="1"/>
  <c r="AH398" i="51" s="1"/>
  <c r="AB398" i="51"/>
  <c r="AC398" i="51" s="1"/>
  <c r="Z398" i="51"/>
  <c r="AA398" i="51" s="1"/>
  <c r="AE397" i="51"/>
  <c r="AD397" i="51"/>
  <c r="AH397" i="51" s="1" a="1"/>
  <c r="AH397" i="51" s="1"/>
  <c r="AB397" i="51"/>
  <c r="AC397" i="51" s="1"/>
  <c r="Z397" i="51"/>
  <c r="AA397" i="51" s="1"/>
  <c r="AE396" i="51"/>
  <c r="AD396" i="51"/>
  <c r="AH396" i="51" s="1" a="1"/>
  <c r="AH396" i="51" s="1"/>
  <c r="AB396" i="51"/>
  <c r="AC396" i="51" s="1"/>
  <c r="Z396" i="51"/>
  <c r="AA396" i="51" s="1"/>
  <c r="AE395" i="51"/>
  <c r="AD395" i="51"/>
  <c r="AH395" i="51" s="1" a="1"/>
  <c r="AH395" i="51" s="1"/>
  <c r="AB395" i="51"/>
  <c r="AC395" i="51" s="1"/>
  <c r="Z395" i="51"/>
  <c r="AA395" i="51" s="1"/>
  <c r="AE394" i="51"/>
  <c r="AD394" i="51"/>
  <c r="AH394" i="51" s="1" a="1"/>
  <c r="AH394" i="51" s="1"/>
  <c r="AB394" i="51"/>
  <c r="AC394" i="51" s="1"/>
  <c r="Z394" i="51"/>
  <c r="AA394" i="51" s="1"/>
  <c r="AE393" i="51"/>
  <c r="AD393" i="51"/>
  <c r="AH393" i="51" s="1" a="1"/>
  <c r="AH393" i="51" s="1"/>
  <c r="AB393" i="51"/>
  <c r="AC393" i="51" s="1"/>
  <c r="Z393" i="51"/>
  <c r="AA393" i="51" s="1"/>
  <c r="AE392" i="51"/>
  <c r="AD392" i="51"/>
  <c r="AH392" i="51" s="1" a="1"/>
  <c r="AH392" i="51" s="1"/>
  <c r="AB392" i="51"/>
  <c r="AC392" i="51" s="1"/>
  <c r="Z392" i="51"/>
  <c r="AA392" i="51" s="1"/>
  <c r="AE391" i="51"/>
  <c r="AD391" i="51"/>
  <c r="AH391" i="51" s="1" a="1"/>
  <c r="AH391" i="51" s="1"/>
  <c r="AB391" i="51"/>
  <c r="AC391" i="51" s="1"/>
  <c r="Z391" i="51"/>
  <c r="AA391" i="51" s="1"/>
  <c r="AE390" i="51"/>
  <c r="AD390" i="51"/>
  <c r="AH390" i="51" s="1" a="1"/>
  <c r="AH390" i="51" s="1"/>
  <c r="AB390" i="51"/>
  <c r="AC390" i="51" s="1"/>
  <c r="Z390" i="51"/>
  <c r="AA390" i="51" s="1"/>
  <c r="AE389" i="51"/>
  <c r="AD389" i="51"/>
  <c r="AH389" i="51" s="1" a="1"/>
  <c r="AH389" i="51" s="1"/>
  <c r="AB389" i="51"/>
  <c r="AC389" i="51" s="1"/>
  <c r="Z389" i="51"/>
  <c r="AA389" i="51" s="1"/>
  <c r="AE388" i="51"/>
  <c r="AD388" i="51"/>
  <c r="AH388" i="51" s="1" a="1"/>
  <c r="AH388" i="51" s="1"/>
  <c r="AB388" i="51"/>
  <c r="AC388" i="51" s="1"/>
  <c r="Z388" i="51"/>
  <c r="AA388" i="51" s="1"/>
  <c r="AE387" i="51"/>
  <c r="AD387" i="51"/>
  <c r="AH387" i="51" s="1" a="1"/>
  <c r="AH387" i="51" s="1"/>
  <c r="AB387" i="51"/>
  <c r="AC387" i="51" s="1"/>
  <c r="Z387" i="51"/>
  <c r="AA387" i="51" s="1"/>
  <c r="AE386" i="51"/>
  <c r="AD386" i="51"/>
  <c r="AH386" i="51" s="1" a="1"/>
  <c r="AH386" i="51" s="1"/>
  <c r="AB386" i="51"/>
  <c r="AC386" i="51" s="1"/>
  <c r="Z386" i="51"/>
  <c r="AA386" i="51" s="1"/>
  <c r="AE385" i="51"/>
  <c r="AD385" i="51"/>
  <c r="AH385" i="51" s="1" a="1"/>
  <c r="AH385" i="51" s="1"/>
  <c r="AB385" i="51"/>
  <c r="AC385" i="51" s="1"/>
  <c r="Z385" i="51"/>
  <c r="AA385" i="51" s="1"/>
  <c r="AE384" i="51"/>
  <c r="AD384" i="51"/>
  <c r="AH384" i="51" s="1" a="1"/>
  <c r="AH384" i="51" s="1"/>
  <c r="AB384" i="51"/>
  <c r="AC384" i="51" s="1"/>
  <c r="Z384" i="51"/>
  <c r="AA384" i="51" s="1"/>
  <c r="AE383" i="51"/>
  <c r="AD383" i="51"/>
  <c r="AH383" i="51" s="1" a="1"/>
  <c r="AH383" i="51" s="1"/>
  <c r="AB383" i="51"/>
  <c r="AC383" i="51" s="1"/>
  <c r="Z383" i="51"/>
  <c r="AA383" i="51" s="1"/>
  <c r="AE382" i="51"/>
  <c r="AD382" i="51"/>
  <c r="AH382" i="51" s="1" a="1"/>
  <c r="AH382" i="51" s="1"/>
  <c r="AB382" i="51"/>
  <c r="AC382" i="51" s="1"/>
  <c r="Z382" i="51"/>
  <c r="AA382" i="51" s="1"/>
  <c r="AE381" i="51"/>
  <c r="AD381" i="51"/>
  <c r="AH381" i="51" s="1" a="1"/>
  <c r="AH381" i="51" s="1"/>
  <c r="AB381" i="51"/>
  <c r="AC381" i="51" s="1"/>
  <c r="Z381" i="51"/>
  <c r="AA381" i="51" s="1"/>
  <c r="AE380" i="51"/>
  <c r="AD380" i="51"/>
  <c r="AH380" i="51" s="1" a="1"/>
  <c r="AH380" i="51" s="1"/>
  <c r="AB380" i="51"/>
  <c r="AC380" i="51" s="1"/>
  <c r="Z380" i="51"/>
  <c r="AA380" i="51" s="1"/>
  <c r="AE379" i="51"/>
  <c r="AD379" i="51"/>
  <c r="AH379" i="51" s="1" a="1"/>
  <c r="AH379" i="51" s="1"/>
  <c r="AB379" i="51"/>
  <c r="AC379" i="51" s="1"/>
  <c r="Z379" i="51"/>
  <c r="AA379" i="51" s="1"/>
  <c r="AE378" i="51"/>
  <c r="AD378" i="51"/>
  <c r="AH378" i="51" s="1" a="1"/>
  <c r="AH378" i="51" s="1"/>
  <c r="AB378" i="51"/>
  <c r="AC378" i="51" s="1"/>
  <c r="Z378" i="51"/>
  <c r="AA378" i="51" s="1"/>
  <c r="AE377" i="51"/>
  <c r="AD377" i="51"/>
  <c r="AH377" i="51" s="1" a="1"/>
  <c r="AH377" i="51" s="1"/>
  <c r="AB377" i="51"/>
  <c r="AC377" i="51" s="1"/>
  <c r="Z377" i="51"/>
  <c r="AA377" i="51" s="1"/>
  <c r="AE376" i="51"/>
  <c r="AD376" i="51"/>
  <c r="AH376" i="51" s="1" a="1"/>
  <c r="AH376" i="51" s="1"/>
  <c r="AB376" i="51"/>
  <c r="AC376" i="51" s="1"/>
  <c r="Z376" i="51"/>
  <c r="AA376" i="51" s="1"/>
  <c r="AE375" i="51"/>
  <c r="AD375" i="51"/>
  <c r="AH375" i="51" s="1" a="1"/>
  <c r="AH375" i="51" s="1"/>
  <c r="AB375" i="51"/>
  <c r="AC375" i="51" s="1"/>
  <c r="Z375" i="51"/>
  <c r="AA375" i="51" s="1"/>
  <c r="AE374" i="51"/>
  <c r="AD374" i="51"/>
  <c r="AH374" i="51" s="1" a="1"/>
  <c r="AH374" i="51" s="1"/>
  <c r="AB374" i="51"/>
  <c r="AC374" i="51" s="1"/>
  <c r="Z374" i="51"/>
  <c r="AA374" i="51" s="1"/>
  <c r="AE373" i="51"/>
  <c r="AD373" i="51"/>
  <c r="AH373" i="51" s="1" a="1"/>
  <c r="AH373" i="51" s="1"/>
  <c r="AB373" i="51"/>
  <c r="AC373" i="51" s="1"/>
  <c r="Z373" i="51"/>
  <c r="AA373" i="51" s="1"/>
  <c r="AE372" i="51"/>
  <c r="AD372" i="51"/>
  <c r="AH372" i="51" s="1" a="1"/>
  <c r="AH372" i="51" s="1"/>
  <c r="AB372" i="51"/>
  <c r="AC372" i="51" s="1"/>
  <c r="Z372" i="51"/>
  <c r="AA372" i="51" s="1"/>
  <c r="AE371" i="51"/>
  <c r="AD371" i="51"/>
  <c r="AH371" i="51" s="1" a="1"/>
  <c r="AH371" i="51" s="1"/>
  <c r="AB371" i="51"/>
  <c r="AC371" i="51" s="1"/>
  <c r="Z371" i="51"/>
  <c r="AA371" i="51" s="1"/>
  <c r="AE370" i="51"/>
  <c r="AD370" i="51"/>
  <c r="AH370" i="51" s="1" a="1"/>
  <c r="AH370" i="51" s="1"/>
  <c r="AB370" i="51"/>
  <c r="AC370" i="51" s="1"/>
  <c r="Z370" i="51"/>
  <c r="AA370" i="51" s="1"/>
  <c r="AE369" i="51"/>
  <c r="AD369" i="51"/>
  <c r="AH369" i="51" s="1" a="1"/>
  <c r="AH369" i="51" s="1"/>
  <c r="AB369" i="51"/>
  <c r="AC369" i="51" s="1"/>
  <c r="Z369" i="51"/>
  <c r="AA369" i="51" s="1"/>
  <c r="AE368" i="51"/>
  <c r="AD368" i="51"/>
  <c r="AH368" i="51" s="1" a="1"/>
  <c r="AH368" i="51" s="1"/>
  <c r="AB368" i="51"/>
  <c r="AC368" i="51" s="1"/>
  <c r="Z368" i="51"/>
  <c r="AA368" i="51" s="1"/>
  <c r="AE367" i="51"/>
  <c r="AD367" i="51"/>
  <c r="AH367" i="51" s="1" a="1"/>
  <c r="AH367" i="51" s="1"/>
  <c r="AB367" i="51"/>
  <c r="AC367" i="51" s="1"/>
  <c r="Z367" i="51"/>
  <c r="AA367" i="51" s="1"/>
  <c r="AE366" i="51"/>
  <c r="AD366" i="51"/>
  <c r="AH366" i="51" s="1" a="1"/>
  <c r="AH366" i="51" s="1"/>
  <c r="AB366" i="51"/>
  <c r="AC366" i="51" s="1"/>
  <c r="Z366" i="51"/>
  <c r="AA366" i="51" s="1"/>
  <c r="AE365" i="51"/>
  <c r="AD365" i="51"/>
  <c r="AH365" i="51" s="1" a="1"/>
  <c r="AH365" i="51" s="1"/>
  <c r="AB365" i="51"/>
  <c r="AC365" i="51" s="1"/>
  <c r="Z365" i="51"/>
  <c r="AA365" i="51" s="1"/>
  <c r="AE364" i="51"/>
  <c r="AD364" i="51"/>
  <c r="AH364" i="51" s="1" a="1"/>
  <c r="AH364" i="51" s="1"/>
  <c r="AB364" i="51"/>
  <c r="AC364" i="51" s="1"/>
  <c r="Z364" i="51"/>
  <c r="AA364" i="51" s="1"/>
  <c r="AE363" i="51"/>
  <c r="AD363" i="51"/>
  <c r="AH363" i="51" s="1" a="1"/>
  <c r="AH363" i="51" s="1"/>
  <c r="AB363" i="51"/>
  <c r="AC363" i="51" s="1"/>
  <c r="Z363" i="51"/>
  <c r="AA363" i="51" s="1"/>
  <c r="AE362" i="51"/>
  <c r="AD362" i="51"/>
  <c r="AH362" i="51" s="1" a="1"/>
  <c r="AH362" i="51" s="1"/>
  <c r="AB362" i="51"/>
  <c r="AC362" i="51" s="1"/>
  <c r="Z362" i="51"/>
  <c r="AA362" i="51" s="1"/>
  <c r="AE361" i="51"/>
  <c r="AD361" i="51"/>
  <c r="AH361" i="51" s="1" a="1"/>
  <c r="AH361" i="51" s="1"/>
  <c r="AB361" i="51"/>
  <c r="AC361" i="51" s="1"/>
  <c r="Z361" i="51"/>
  <c r="AA361" i="51" s="1"/>
  <c r="AE360" i="51"/>
  <c r="AD360" i="51"/>
  <c r="AH360" i="51" s="1" a="1"/>
  <c r="AH360" i="51" s="1"/>
  <c r="AB360" i="51"/>
  <c r="AC360" i="51" s="1"/>
  <c r="Z360" i="51"/>
  <c r="AA360" i="51" s="1"/>
  <c r="AE359" i="51"/>
  <c r="AD359" i="51"/>
  <c r="AH359" i="51" s="1" a="1"/>
  <c r="AH359" i="51" s="1"/>
  <c r="AB359" i="51"/>
  <c r="AC359" i="51" s="1"/>
  <c r="Z359" i="51"/>
  <c r="AA359" i="51" s="1"/>
  <c r="AE358" i="51"/>
  <c r="AD358" i="51"/>
  <c r="AH358" i="51" s="1" a="1"/>
  <c r="AH358" i="51" s="1"/>
  <c r="AB358" i="51"/>
  <c r="AC358" i="51" s="1"/>
  <c r="Z358" i="51"/>
  <c r="AA358" i="51" s="1"/>
  <c r="AE357" i="51"/>
  <c r="AD357" i="51"/>
  <c r="AH357" i="51" s="1" a="1"/>
  <c r="AH357" i="51" s="1"/>
  <c r="AB357" i="51"/>
  <c r="AC357" i="51" s="1"/>
  <c r="Z357" i="51"/>
  <c r="AA357" i="51" s="1"/>
  <c r="AE356" i="51"/>
  <c r="AD356" i="51"/>
  <c r="AH356" i="51" s="1" a="1"/>
  <c r="AH356" i="51" s="1"/>
  <c r="AB356" i="51"/>
  <c r="AC356" i="51" s="1"/>
  <c r="Z356" i="51"/>
  <c r="AA356" i="51" s="1"/>
  <c r="AE355" i="51"/>
  <c r="AD355" i="51"/>
  <c r="AH355" i="51" s="1" a="1"/>
  <c r="AH355" i="51" s="1"/>
  <c r="AB355" i="51"/>
  <c r="AC355" i="51" s="1"/>
  <c r="Z355" i="51"/>
  <c r="AA355" i="51" s="1"/>
  <c r="AE354" i="51"/>
  <c r="AD354" i="51"/>
  <c r="AH354" i="51" s="1" a="1"/>
  <c r="AH354" i="51" s="1"/>
  <c r="AB354" i="51"/>
  <c r="AC354" i="51" s="1"/>
  <c r="Z354" i="51"/>
  <c r="AA354" i="51" s="1"/>
  <c r="AE353" i="51"/>
  <c r="AD353" i="51"/>
  <c r="AH353" i="51" s="1" a="1"/>
  <c r="AH353" i="51" s="1"/>
  <c r="AB353" i="51"/>
  <c r="AC353" i="51" s="1"/>
  <c r="Z353" i="51"/>
  <c r="AA353" i="51" s="1"/>
  <c r="AE352" i="51"/>
  <c r="AD352" i="51"/>
  <c r="AH352" i="51" s="1" a="1"/>
  <c r="AH352" i="51" s="1"/>
  <c r="AB352" i="51"/>
  <c r="AC352" i="51" s="1"/>
  <c r="Z352" i="51"/>
  <c r="AA352" i="51" s="1"/>
  <c r="AE351" i="51"/>
  <c r="AD351" i="51"/>
  <c r="AH351" i="51" s="1" a="1"/>
  <c r="AH351" i="51" s="1"/>
  <c r="AB351" i="51"/>
  <c r="AC351" i="51" s="1"/>
  <c r="Z351" i="51"/>
  <c r="AA351" i="51" s="1"/>
  <c r="AE350" i="51"/>
  <c r="AD350" i="51"/>
  <c r="AH350" i="51" s="1" a="1"/>
  <c r="AH350" i="51" s="1"/>
  <c r="AB350" i="51"/>
  <c r="AC350" i="51" s="1"/>
  <c r="Z350" i="51"/>
  <c r="AA350" i="51" s="1"/>
  <c r="AE349" i="51"/>
  <c r="AD349" i="51"/>
  <c r="AH349" i="51" s="1" a="1"/>
  <c r="AH349" i="51" s="1"/>
  <c r="AB349" i="51"/>
  <c r="AC349" i="51" s="1"/>
  <c r="Z349" i="51"/>
  <c r="AA349" i="51" s="1"/>
  <c r="AE348" i="51"/>
  <c r="AD348" i="51"/>
  <c r="AH348" i="51" s="1" a="1"/>
  <c r="AH348" i="51" s="1"/>
  <c r="AB348" i="51"/>
  <c r="AC348" i="51" s="1"/>
  <c r="Z348" i="51"/>
  <c r="AA348" i="51" s="1"/>
  <c r="AE347" i="51"/>
  <c r="AD347" i="51"/>
  <c r="AH347" i="51" s="1" a="1"/>
  <c r="AH347" i="51" s="1"/>
  <c r="AB347" i="51"/>
  <c r="AC347" i="51" s="1"/>
  <c r="Z347" i="51"/>
  <c r="AA347" i="51" s="1"/>
  <c r="AE346" i="51"/>
  <c r="AD346" i="51"/>
  <c r="AH346" i="51" s="1" a="1"/>
  <c r="AH346" i="51" s="1"/>
  <c r="AB346" i="51"/>
  <c r="AC346" i="51" s="1"/>
  <c r="Z346" i="51"/>
  <c r="AA346" i="51" s="1"/>
  <c r="AE345" i="51"/>
  <c r="AD345" i="51"/>
  <c r="AH345" i="51" s="1" a="1"/>
  <c r="AH345" i="51" s="1"/>
  <c r="AB345" i="51"/>
  <c r="AC345" i="51" s="1"/>
  <c r="Z345" i="51"/>
  <c r="AA345" i="51" s="1"/>
  <c r="AE344" i="51"/>
  <c r="AD344" i="51"/>
  <c r="AH344" i="51" s="1" a="1"/>
  <c r="AH344" i="51" s="1"/>
  <c r="AB344" i="51"/>
  <c r="AC344" i="51" s="1"/>
  <c r="Z344" i="51"/>
  <c r="AA344" i="51" s="1"/>
  <c r="AE343" i="51"/>
  <c r="AD343" i="51"/>
  <c r="AH343" i="51" s="1" a="1"/>
  <c r="AH343" i="51" s="1"/>
  <c r="AB343" i="51"/>
  <c r="AC343" i="51" s="1"/>
  <c r="Z343" i="51"/>
  <c r="AA343" i="51" s="1"/>
  <c r="AE342" i="51"/>
  <c r="AD342" i="51"/>
  <c r="AH342" i="51" s="1" a="1"/>
  <c r="AH342" i="51" s="1"/>
  <c r="AB342" i="51"/>
  <c r="AC342" i="51" s="1"/>
  <c r="Z342" i="51"/>
  <c r="AA342" i="51" s="1"/>
  <c r="AE341" i="51"/>
  <c r="AD341" i="51"/>
  <c r="AH341" i="51" s="1" a="1"/>
  <c r="AH341" i="51" s="1"/>
  <c r="AB341" i="51"/>
  <c r="AC341" i="51" s="1"/>
  <c r="Z341" i="51"/>
  <c r="AA341" i="51" s="1"/>
  <c r="AE340" i="51"/>
  <c r="AD340" i="51"/>
  <c r="AH340" i="51" s="1" a="1"/>
  <c r="AH340" i="51" s="1"/>
  <c r="AB340" i="51"/>
  <c r="AC340" i="51" s="1"/>
  <c r="Z340" i="51"/>
  <c r="AA340" i="51" s="1"/>
  <c r="AE339" i="51"/>
  <c r="AD339" i="51"/>
  <c r="AH339" i="51" s="1" a="1"/>
  <c r="AH339" i="51" s="1"/>
  <c r="AB339" i="51"/>
  <c r="AC339" i="51" s="1"/>
  <c r="Z339" i="51"/>
  <c r="AA339" i="51" s="1"/>
  <c r="AE338" i="51"/>
  <c r="AD338" i="51"/>
  <c r="AH338" i="51" s="1" a="1"/>
  <c r="AH338" i="51" s="1"/>
  <c r="AB338" i="51"/>
  <c r="AC338" i="51" s="1"/>
  <c r="Z338" i="51"/>
  <c r="AA338" i="51" s="1"/>
  <c r="AE337" i="51"/>
  <c r="AD337" i="51"/>
  <c r="AH337" i="51" s="1" a="1"/>
  <c r="AH337" i="51" s="1"/>
  <c r="AB337" i="51"/>
  <c r="AC337" i="51" s="1"/>
  <c r="Z337" i="51"/>
  <c r="AA337" i="51" s="1"/>
  <c r="AE336" i="51"/>
  <c r="AD336" i="51"/>
  <c r="AH336" i="51" s="1" a="1"/>
  <c r="AH336" i="51" s="1"/>
  <c r="AB336" i="51"/>
  <c r="AC336" i="51" s="1"/>
  <c r="Z336" i="51"/>
  <c r="AA336" i="51" s="1"/>
  <c r="AE335" i="51"/>
  <c r="AD335" i="51"/>
  <c r="AH335" i="51" s="1" a="1"/>
  <c r="AH335" i="51" s="1"/>
  <c r="AB335" i="51"/>
  <c r="AC335" i="51" s="1"/>
  <c r="Z335" i="51"/>
  <c r="AA335" i="51" s="1"/>
  <c r="AE334" i="51"/>
  <c r="AD334" i="51"/>
  <c r="AH334" i="51" s="1" a="1"/>
  <c r="AH334" i="51" s="1"/>
  <c r="AB334" i="51"/>
  <c r="AC334" i="51" s="1"/>
  <c r="Z334" i="51"/>
  <c r="AA334" i="51" s="1"/>
  <c r="AE333" i="51"/>
  <c r="AD333" i="51"/>
  <c r="AH333" i="51" s="1" a="1"/>
  <c r="AH333" i="51" s="1"/>
  <c r="AB333" i="51"/>
  <c r="AC333" i="51" s="1"/>
  <c r="Z333" i="51"/>
  <c r="AA333" i="51" s="1"/>
  <c r="AE332" i="51"/>
  <c r="AD332" i="51"/>
  <c r="AH332" i="51" s="1" a="1"/>
  <c r="AH332" i="51" s="1"/>
  <c r="AB332" i="51"/>
  <c r="AC332" i="51" s="1"/>
  <c r="Z332" i="51"/>
  <c r="AA332" i="51" s="1"/>
  <c r="AE331" i="51"/>
  <c r="AD331" i="51"/>
  <c r="AH331" i="51" s="1" a="1"/>
  <c r="AH331" i="51" s="1"/>
  <c r="AB331" i="51"/>
  <c r="AC331" i="51" s="1"/>
  <c r="Z331" i="51"/>
  <c r="AA331" i="51" s="1"/>
  <c r="AE330" i="51"/>
  <c r="AD330" i="51"/>
  <c r="AH330" i="51" s="1" a="1"/>
  <c r="AH330" i="51" s="1"/>
  <c r="AB330" i="51"/>
  <c r="AC330" i="51" s="1"/>
  <c r="Z330" i="51"/>
  <c r="AA330" i="51" s="1"/>
  <c r="AD2" i="51"/>
  <c r="AH2" i="51" s="1" a="1"/>
  <c r="AH2" i="51" s="1"/>
  <c r="AB2" i="51"/>
  <c r="Z2" i="51"/>
  <c r="AA2" i="51" s="1"/>
  <c r="R17" i="25"/>
  <c r="R8" i="25"/>
  <c r="O17" i="25"/>
  <c r="L17" i="25"/>
  <c r="I17" i="25"/>
  <c r="F17" i="25"/>
  <c r="F8" i="25"/>
  <c r="R16" i="25"/>
  <c r="R15" i="25"/>
  <c r="O16" i="25"/>
  <c r="L16" i="25"/>
  <c r="L15" i="25"/>
  <c r="I16" i="25"/>
  <c r="I15" i="25"/>
  <c r="F16" i="25"/>
  <c r="F15" i="25"/>
  <c r="F14" i="25"/>
  <c r="I14" i="25"/>
  <c r="L14" i="25"/>
  <c r="O15" i="25"/>
  <c r="O14" i="25"/>
  <c r="R14" i="25"/>
  <c r="R9" i="25"/>
  <c r="F9" i="25"/>
  <c r="F13" i="25"/>
  <c r="I13" i="25"/>
  <c r="L13" i="25"/>
  <c r="O13" i="25"/>
  <c r="O11" i="25"/>
  <c r="R13" i="25"/>
  <c r="R11" i="25"/>
  <c r="R12" i="25"/>
  <c r="L12" i="25"/>
  <c r="I12" i="25"/>
  <c r="F12" i="25"/>
  <c r="D9" i="25"/>
  <c r="O8" i="25"/>
  <c r="O9" i="25"/>
  <c r="L8" i="25"/>
  <c r="L9" i="25"/>
  <c r="I8" i="25"/>
  <c r="I9" i="25"/>
  <c r="E8" i="25"/>
  <c r="E9" i="25"/>
  <c r="D8" i="25"/>
  <c r="M9" i="25"/>
  <c r="J9" i="25"/>
  <c r="G9" i="25"/>
  <c r="K9" i="25"/>
  <c r="N9" i="25"/>
  <c r="N10" i="25"/>
  <c r="R10" i="25"/>
  <c r="F10" i="25"/>
  <c r="I10" i="25"/>
  <c r="L10" i="25"/>
  <c r="O10" i="25"/>
  <c r="L11" i="25"/>
  <c r="F11" i="25"/>
  <c r="I11" i="25"/>
  <c r="D11" i="25"/>
  <c r="Z2" i="24"/>
  <c r="AD2" i="42"/>
  <c r="AH2" i="42" s="1" a="1"/>
  <c r="AH2" i="42" s="1"/>
  <c r="AB2" i="42"/>
  <c r="Z2" i="42"/>
  <c r="AA2" i="42" s="1"/>
  <c r="AD5" i="42"/>
  <c r="AH5" i="42" s="1" a="1"/>
  <c r="AH5" i="42" s="1"/>
  <c r="AD12" i="42"/>
  <c r="AH12" i="42" s="1" a="1"/>
  <c r="AH12" i="42" s="1"/>
  <c r="R4" i="25"/>
  <c r="O4" i="25"/>
  <c r="L4" i="25"/>
  <c r="I4" i="25"/>
  <c r="F4" i="25"/>
  <c r="P31" i="25"/>
  <c r="L31" i="25"/>
  <c r="K31" i="25"/>
  <c r="J31" i="25"/>
  <c r="I31" i="25"/>
  <c r="H31" i="25"/>
  <c r="G31" i="25"/>
  <c r="F31" i="25"/>
  <c r="E31" i="25"/>
  <c r="X9" i="25"/>
  <c r="W9" i="25"/>
  <c r="T9" i="25"/>
  <c r="S9" i="25"/>
  <c r="Q9" i="25"/>
  <c r="P9" i="25"/>
  <c r="H9" i="25"/>
  <c r="AB240" i="24"/>
  <c r="AE240" i="24" s="1"/>
  <c r="AD240" i="24"/>
  <c r="AH240" i="24" s="1" a="1"/>
  <c r="AH240" i="24" s="1"/>
  <c r="AB241" i="24"/>
  <c r="AD241" i="24"/>
  <c r="AH241" i="24" s="1" a="1"/>
  <c r="AH241" i="24" s="1"/>
  <c r="AB242" i="24"/>
  <c r="AE242" i="24" s="1"/>
  <c r="AD242" i="24"/>
  <c r="AH242" i="24" s="1" a="1"/>
  <c r="AH242" i="24" s="1"/>
  <c r="AB243" i="24"/>
  <c r="AD243" i="24"/>
  <c r="AH243" i="24" s="1" a="1"/>
  <c r="AH243" i="24" s="1"/>
  <c r="AB244" i="24"/>
  <c r="AD244" i="24"/>
  <c r="AH244" i="24" s="1" a="1"/>
  <c r="AH244" i="24" s="1"/>
  <c r="AB245" i="24"/>
  <c r="AE245" i="24" s="1"/>
  <c r="AD245" i="24"/>
  <c r="AH245" i="24" s="1" a="1"/>
  <c r="AH245" i="24" s="1"/>
  <c r="AB246" i="24"/>
  <c r="AD246" i="24"/>
  <c r="AH246" i="24" s="1" a="1"/>
  <c r="AH246" i="24" s="1"/>
  <c r="AB247" i="24"/>
  <c r="AD247" i="24"/>
  <c r="AH247" i="24" s="1" a="1"/>
  <c r="AH247" i="24" s="1"/>
  <c r="AB248" i="24"/>
  <c r="AE248" i="24" s="1"/>
  <c r="AD248" i="24"/>
  <c r="AH248" i="24" s="1" a="1"/>
  <c r="AH248" i="24" s="1"/>
  <c r="AB249" i="24"/>
  <c r="AE249" i="24" s="1"/>
  <c r="AD249" i="24"/>
  <c r="AH249" i="24" s="1" a="1"/>
  <c r="AH249" i="24" s="1"/>
  <c r="AB250" i="24"/>
  <c r="AD250" i="24"/>
  <c r="AH250" i="24" s="1" a="1"/>
  <c r="AH250" i="24" s="1"/>
  <c r="AB251" i="24"/>
  <c r="AD251" i="24"/>
  <c r="AH251" i="24" s="1" a="1"/>
  <c r="AH251" i="24" s="1"/>
  <c r="AB252" i="24"/>
  <c r="AE252" i="24" s="1"/>
  <c r="AD252" i="24"/>
  <c r="AH252" i="24" s="1" a="1"/>
  <c r="AH252" i="24" s="1"/>
  <c r="AB253" i="24"/>
  <c r="AD253" i="24"/>
  <c r="AH253" i="24" s="1" a="1"/>
  <c r="AH253" i="24" s="1"/>
  <c r="AB254" i="24"/>
  <c r="AD254" i="24"/>
  <c r="AH254" i="24" s="1" a="1"/>
  <c r="AH254" i="24" s="1"/>
  <c r="AB255" i="24"/>
  <c r="AE255" i="24" s="1"/>
  <c r="AD255" i="24"/>
  <c r="AH255" i="24" s="1" a="1"/>
  <c r="AH255" i="24" s="1"/>
  <c r="AF308" i="24"/>
  <c r="AG308" i="24" s="1"/>
  <c r="AF309" i="24"/>
  <c r="AG309" i="24" s="1"/>
  <c r="AF310" i="24"/>
  <c r="AG310" i="24" s="1"/>
  <c r="AF311" i="24"/>
  <c r="AG311" i="24" s="1"/>
  <c r="AF312" i="24"/>
  <c r="AG312" i="24" s="1"/>
  <c r="AF313" i="24"/>
  <c r="AG313" i="24" s="1"/>
  <c r="AF314" i="24"/>
  <c r="AG314" i="24" s="1"/>
  <c r="AF315" i="24"/>
  <c r="AG315" i="24" s="1"/>
  <c r="AF316" i="24"/>
  <c r="AG316" i="24" s="1"/>
  <c r="AF317" i="24"/>
  <c r="AG317" i="24" s="1"/>
  <c r="AF318" i="24"/>
  <c r="AG318" i="24" s="1"/>
  <c r="AF319" i="24"/>
  <c r="AG319" i="24" s="1"/>
  <c r="AF320" i="24"/>
  <c r="AG320" i="24" s="1"/>
  <c r="AF321" i="24"/>
  <c r="AG321" i="24" s="1"/>
  <c r="AF322" i="24"/>
  <c r="AG322" i="24" s="1"/>
  <c r="AF323" i="24"/>
  <c r="AG323" i="24" s="1"/>
  <c r="AF324" i="24"/>
  <c r="AG324" i="24" s="1"/>
  <c r="AF325" i="24"/>
  <c r="AG325" i="24" s="1"/>
  <c r="AF326" i="24"/>
  <c r="AG326" i="24" s="1"/>
  <c r="AF327" i="24"/>
  <c r="AG327" i="24" s="1"/>
  <c r="AF328" i="24"/>
  <c r="AG328" i="24" s="1"/>
  <c r="AF329" i="24"/>
  <c r="AG329" i="24" s="1"/>
  <c r="AF330" i="24"/>
  <c r="AG330" i="24" s="1"/>
  <c r="AF331" i="24"/>
  <c r="AG331" i="24" s="1"/>
  <c r="AF332" i="24"/>
  <c r="AG332" i="24" s="1"/>
  <c r="AF333" i="24"/>
  <c r="AG333" i="24" s="1"/>
  <c r="AF334" i="24"/>
  <c r="AG334" i="24" s="1"/>
  <c r="AF335" i="24"/>
  <c r="AG335" i="24" s="1"/>
  <c r="AF336" i="24"/>
  <c r="AG336" i="24" s="1"/>
  <c r="AF337" i="24"/>
  <c r="AG337" i="24" s="1"/>
  <c r="AF338" i="24"/>
  <c r="AG338" i="24" s="1"/>
  <c r="AF339" i="24"/>
  <c r="AG339" i="24" s="1"/>
  <c r="AF340" i="24"/>
  <c r="AG340" i="24" s="1"/>
  <c r="AF341" i="24"/>
  <c r="AG341" i="24" s="1"/>
  <c r="AF342" i="24"/>
  <c r="AG342" i="24" s="1"/>
  <c r="AF343" i="24"/>
  <c r="AG343" i="24" s="1"/>
  <c r="AF344" i="24"/>
  <c r="AG344" i="24" s="1"/>
  <c r="AF345" i="24"/>
  <c r="AG345" i="24" s="1"/>
  <c r="AF346" i="24"/>
  <c r="AG346" i="24" s="1"/>
  <c r="AF347" i="24"/>
  <c r="AG347" i="24" s="1"/>
  <c r="AF348" i="24"/>
  <c r="AG348" i="24" s="1"/>
  <c r="AF349" i="24"/>
  <c r="AG349" i="24" s="1"/>
  <c r="AF350" i="24"/>
  <c r="AG350" i="24" s="1"/>
  <c r="AF351" i="24"/>
  <c r="AG351" i="24" s="1"/>
  <c r="AF352" i="24"/>
  <c r="AG352" i="24" s="1"/>
  <c r="AF353" i="24"/>
  <c r="AG353" i="24" s="1"/>
  <c r="AF354" i="24"/>
  <c r="AG354" i="24" s="1"/>
  <c r="AF355" i="24"/>
  <c r="AG355" i="24" s="1"/>
  <c r="AF356" i="24"/>
  <c r="AG356" i="24" s="1"/>
  <c r="AF357" i="24"/>
  <c r="AG357" i="24" s="1"/>
  <c r="AF358" i="24"/>
  <c r="AG358" i="24" s="1"/>
  <c r="AF359" i="24"/>
  <c r="AG359" i="24" s="1"/>
  <c r="AF360" i="24"/>
  <c r="AG360" i="24" s="1"/>
  <c r="AF361" i="24"/>
  <c r="AG361" i="24" s="1"/>
  <c r="AF362" i="24"/>
  <c r="AG362" i="24" s="1"/>
  <c r="AF363" i="24"/>
  <c r="AG363" i="24" s="1"/>
  <c r="AF364" i="24"/>
  <c r="AG364" i="24" s="1"/>
  <c r="AF365" i="24"/>
  <c r="AG365" i="24" s="1"/>
  <c r="AF366" i="24"/>
  <c r="AG366" i="24" s="1"/>
  <c r="AF367" i="24"/>
  <c r="AG367" i="24" s="1"/>
  <c r="AF368" i="24"/>
  <c r="AG368" i="24" s="1"/>
  <c r="AF369" i="24"/>
  <c r="AG369" i="24" s="1"/>
  <c r="AF370" i="24"/>
  <c r="AG370" i="24" s="1"/>
  <c r="AF371" i="24"/>
  <c r="AG371" i="24" s="1"/>
  <c r="AF372" i="24"/>
  <c r="AG372" i="24" s="1"/>
  <c r="AF373" i="24"/>
  <c r="AG373" i="24" s="1"/>
  <c r="AF374" i="24"/>
  <c r="AG374" i="24" s="1"/>
  <c r="AF375" i="24"/>
  <c r="AG375" i="24" s="1"/>
  <c r="AF376" i="24"/>
  <c r="AG376" i="24" s="1"/>
  <c r="AF377" i="24"/>
  <c r="AG377" i="24" s="1"/>
  <c r="AF378" i="24"/>
  <c r="AG378" i="24" s="1"/>
  <c r="AF379" i="24"/>
  <c r="AG379" i="24" s="1"/>
  <c r="AF380" i="24"/>
  <c r="AG380" i="24" s="1"/>
  <c r="AF381" i="24"/>
  <c r="AG381" i="24" s="1"/>
  <c r="AF382" i="24"/>
  <c r="AG382" i="24" s="1"/>
  <c r="AF383" i="24"/>
  <c r="AG383" i="24" s="1"/>
  <c r="AF384" i="24"/>
  <c r="AG384" i="24" s="1"/>
  <c r="AF385" i="24"/>
  <c r="AG385" i="24" s="1"/>
  <c r="AF386" i="24"/>
  <c r="AG386" i="24" s="1"/>
  <c r="AF387" i="24"/>
  <c r="AG387" i="24" s="1"/>
  <c r="AF388" i="24"/>
  <c r="AG388" i="24" s="1"/>
  <c r="AF389" i="24"/>
  <c r="AG389" i="24" s="1"/>
  <c r="AF390" i="24"/>
  <c r="AG390" i="24" s="1"/>
  <c r="AF391" i="24"/>
  <c r="AG391" i="24" s="1"/>
  <c r="AF392" i="24"/>
  <c r="AG392" i="24" s="1"/>
  <c r="AF393" i="24"/>
  <c r="AG393" i="24" s="1"/>
  <c r="AF394" i="24"/>
  <c r="AG394" i="24" s="1"/>
  <c r="AF395" i="24"/>
  <c r="AG395" i="24" s="1"/>
  <c r="AF396" i="24"/>
  <c r="AG396" i="24" s="1"/>
  <c r="AF397" i="24"/>
  <c r="AG397" i="24" s="1"/>
  <c r="AF398" i="24"/>
  <c r="AG398" i="24" s="1"/>
  <c r="AF399" i="24"/>
  <c r="AG399" i="24" s="1"/>
  <c r="AF400" i="24"/>
  <c r="AG400" i="24" s="1"/>
  <c r="AF401" i="24"/>
  <c r="AG401" i="24" s="1"/>
  <c r="AF402" i="24"/>
  <c r="AG402" i="24" s="1"/>
  <c r="Z240" i="24"/>
  <c r="AA240" i="24" s="1"/>
  <c r="Z241" i="24"/>
  <c r="AA241" i="24" s="1"/>
  <c r="Z242" i="24"/>
  <c r="AA242" i="24" s="1"/>
  <c r="Z243" i="24"/>
  <c r="AA243" i="24" s="1"/>
  <c r="Z244" i="24"/>
  <c r="AA244" i="24" s="1"/>
  <c r="Z245" i="24"/>
  <c r="AA245" i="24" s="1"/>
  <c r="Z246" i="24"/>
  <c r="AA246" i="24" s="1"/>
  <c r="Z247" i="24"/>
  <c r="AA247" i="24" s="1"/>
  <c r="Z248" i="24"/>
  <c r="AA248" i="24" s="1"/>
  <c r="Z249" i="24"/>
  <c r="AA249" i="24" s="1"/>
  <c r="Z250" i="24"/>
  <c r="AA250" i="24" s="1"/>
  <c r="Z251" i="24"/>
  <c r="AA251" i="24" s="1"/>
  <c r="Z252" i="24"/>
  <c r="AA252" i="24" s="1"/>
  <c r="Z253" i="24"/>
  <c r="AA253" i="24" s="1"/>
  <c r="Z254" i="24"/>
  <c r="AA254" i="24" s="1"/>
  <c r="Z255" i="24"/>
  <c r="AA255" i="24" s="1"/>
  <c r="Z626" i="42"/>
  <c r="AA626" i="42" s="1"/>
  <c r="Z795" i="42"/>
  <c r="AA795" i="42" s="1"/>
  <c r="Z658" i="42"/>
  <c r="AA658" i="42" s="1"/>
  <c r="AB658" i="42"/>
  <c r="AC658" i="42" s="1"/>
  <c r="AD658" i="42"/>
  <c r="AH658" i="42" s="1" a="1"/>
  <c r="AH658" i="42" s="1"/>
  <c r="Z659" i="42"/>
  <c r="AA659" i="42" s="1"/>
  <c r="AB659" i="42"/>
  <c r="AC659" i="42" s="1"/>
  <c r="AD659" i="42"/>
  <c r="AH659" i="42" s="1" a="1"/>
  <c r="AH659" i="42" s="1"/>
  <c r="Z660" i="42"/>
  <c r="AA660" i="42" s="1"/>
  <c r="AB660" i="42"/>
  <c r="AC660" i="42" s="1"/>
  <c r="AD660" i="42"/>
  <c r="AH660" i="42" s="1" a="1"/>
  <c r="AH660" i="42" s="1"/>
  <c r="Z661" i="42"/>
  <c r="AA661" i="42" s="1"/>
  <c r="AB661" i="42"/>
  <c r="AC661" i="42" s="1"/>
  <c r="AD661" i="42"/>
  <c r="AH661" i="42" s="1" a="1"/>
  <c r="AH661" i="42" s="1"/>
  <c r="Z662" i="42"/>
  <c r="AA662" i="42" s="1"/>
  <c r="AB662" i="42"/>
  <c r="AC662" i="42" s="1"/>
  <c r="AD662" i="42"/>
  <c r="AH662" i="42" s="1" a="1"/>
  <c r="AH662" i="42" s="1"/>
  <c r="Z663" i="42"/>
  <c r="AA663" i="42" s="1"/>
  <c r="AB663" i="42"/>
  <c r="AD663" i="42"/>
  <c r="AH663" i="42" s="1" a="1"/>
  <c r="AH663" i="42" s="1"/>
  <c r="Z664" i="42"/>
  <c r="AA664" i="42" s="1"/>
  <c r="AB664" i="42"/>
  <c r="AC664" i="42" s="1"/>
  <c r="AD664" i="42"/>
  <c r="AH664" i="42" s="1" a="1"/>
  <c r="AH664" i="42" s="1"/>
  <c r="Z665" i="42"/>
  <c r="AA665" i="42" s="1"/>
  <c r="AB665" i="42"/>
  <c r="AC665" i="42" s="1"/>
  <c r="AD665" i="42"/>
  <c r="AH665" i="42" s="1" a="1"/>
  <c r="AH665" i="42" s="1"/>
  <c r="Z666" i="42"/>
  <c r="AA666" i="42" s="1"/>
  <c r="AB666" i="42"/>
  <c r="AC666" i="42" s="1"/>
  <c r="AD666" i="42"/>
  <c r="AH666" i="42" s="1" a="1"/>
  <c r="AH666" i="42" s="1"/>
  <c r="Z667" i="42"/>
  <c r="AA667" i="42" s="1"/>
  <c r="AB667" i="42"/>
  <c r="AC667" i="42" s="1"/>
  <c r="AD667" i="42"/>
  <c r="AH667" i="42" s="1" a="1"/>
  <c r="AH667" i="42" s="1"/>
  <c r="Z668" i="42"/>
  <c r="AA668" i="42" s="1"/>
  <c r="AB668" i="42"/>
  <c r="AC668" i="42" s="1"/>
  <c r="AD668" i="42"/>
  <c r="AH668" i="42" s="1" a="1"/>
  <c r="AH668" i="42" s="1"/>
  <c r="Z669" i="42"/>
  <c r="AA669" i="42" s="1"/>
  <c r="AB669" i="42"/>
  <c r="AC669" i="42" s="1"/>
  <c r="AD669" i="42"/>
  <c r="AH669" i="42" s="1" a="1"/>
  <c r="AH669" i="42" s="1"/>
  <c r="Z670" i="42"/>
  <c r="AA670" i="42" s="1"/>
  <c r="AB670" i="42"/>
  <c r="AC670" i="42" s="1"/>
  <c r="AD670" i="42"/>
  <c r="AH670" i="42" s="1" a="1"/>
  <c r="AH670" i="42" s="1"/>
  <c r="Z671" i="42"/>
  <c r="AA671" i="42" s="1"/>
  <c r="AB671" i="42"/>
  <c r="AD671" i="42"/>
  <c r="AH671" i="42" s="1" a="1"/>
  <c r="AH671" i="42" s="1"/>
  <c r="Z672" i="42"/>
  <c r="AA672" i="42" s="1"/>
  <c r="AB672" i="42"/>
  <c r="AC672" i="42" s="1"/>
  <c r="AD672" i="42"/>
  <c r="AH672" i="42" s="1" a="1"/>
  <c r="AH672" i="42" s="1"/>
  <c r="Z673" i="42"/>
  <c r="AA673" i="42" s="1"/>
  <c r="AB673" i="42"/>
  <c r="AC673" i="42" s="1"/>
  <c r="AD673" i="42"/>
  <c r="AH673" i="42" s="1" a="1"/>
  <c r="AH673" i="42" s="1"/>
  <c r="Z674" i="42"/>
  <c r="AA674" i="42" s="1"/>
  <c r="AB674" i="42"/>
  <c r="AC674" i="42" s="1"/>
  <c r="AD674" i="42"/>
  <c r="AH674" i="42" s="1" a="1"/>
  <c r="AH674" i="42" s="1"/>
  <c r="Z675" i="42"/>
  <c r="AA675" i="42" s="1"/>
  <c r="AB675" i="42"/>
  <c r="AC675" i="42" s="1"/>
  <c r="AD675" i="42"/>
  <c r="AH675" i="42" s="1" a="1"/>
  <c r="AH675" i="42" s="1"/>
  <c r="Z676" i="42"/>
  <c r="AA676" i="42" s="1"/>
  <c r="AB676" i="42"/>
  <c r="AC676" i="42" s="1"/>
  <c r="AD676" i="42"/>
  <c r="AH676" i="42" s="1" a="1"/>
  <c r="AH676" i="42" s="1"/>
  <c r="Z677" i="42"/>
  <c r="AA677" i="42" s="1"/>
  <c r="AB677" i="42"/>
  <c r="AC677" i="42" s="1"/>
  <c r="AD677" i="42"/>
  <c r="AH677" i="42" s="1" a="1"/>
  <c r="AH677" i="42" s="1"/>
  <c r="Z678" i="42"/>
  <c r="AA678" i="42" s="1"/>
  <c r="AB678" i="42"/>
  <c r="AC678" i="42" s="1"/>
  <c r="AD678" i="42"/>
  <c r="AH678" i="42" s="1" a="1"/>
  <c r="AH678" i="42" s="1"/>
  <c r="Z679" i="42"/>
  <c r="AA679" i="42" s="1"/>
  <c r="AB679" i="42"/>
  <c r="AC679" i="42" s="1"/>
  <c r="AD679" i="42"/>
  <c r="AH679" i="42" s="1" a="1"/>
  <c r="AH679" i="42" s="1"/>
  <c r="Z680" i="42"/>
  <c r="AA680" i="42" s="1"/>
  <c r="AB680" i="42"/>
  <c r="AC680" i="42" s="1"/>
  <c r="AD680" i="42"/>
  <c r="AH680" i="42" s="1" a="1"/>
  <c r="AH680" i="42" s="1"/>
  <c r="Z681" i="42"/>
  <c r="AA681" i="42" s="1"/>
  <c r="AB681" i="42"/>
  <c r="AC681" i="42" s="1"/>
  <c r="AD681" i="42"/>
  <c r="AH681" i="42" s="1" a="1"/>
  <c r="AH681" i="42" s="1"/>
  <c r="Z682" i="42"/>
  <c r="AA682" i="42" s="1"/>
  <c r="AB682" i="42"/>
  <c r="AC682" i="42" s="1"/>
  <c r="AD682" i="42"/>
  <c r="AH682" i="42" s="1" a="1"/>
  <c r="AH682" i="42" s="1"/>
  <c r="Z683" i="42"/>
  <c r="AA683" i="42" s="1"/>
  <c r="AB683" i="42"/>
  <c r="AC683" i="42" s="1"/>
  <c r="AD683" i="42"/>
  <c r="AH683" i="42" s="1" a="1"/>
  <c r="AH683" i="42" s="1"/>
  <c r="Z684" i="42"/>
  <c r="AA684" i="42" s="1"/>
  <c r="AB684" i="42"/>
  <c r="AC684" i="42" s="1"/>
  <c r="AD684" i="42"/>
  <c r="AH684" i="42" s="1" a="1"/>
  <c r="AH684" i="42" s="1"/>
  <c r="Z685" i="42"/>
  <c r="AA685" i="42" s="1"/>
  <c r="AB685" i="42"/>
  <c r="AC685" i="42" s="1"/>
  <c r="AD685" i="42"/>
  <c r="AH685" i="42" s="1" a="1"/>
  <c r="AH685" i="42" s="1"/>
  <c r="Z686" i="42"/>
  <c r="AA686" i="42" s="1"/>
  <c r="AB686" i="42"/>
  <c r="AC686" i="42" s="1"/>
  <c r="AD686" i="42"/>
  <c r="AH686" i="42" s="1" a="1"/>
  <c r="AH686" i="42" s="1"/>
  <c r="Z687" i="42"/>
  <c r="AA687" i="42" s="1"/>
  <c r="AB687" i="42"/>
  <c r="AC687" i="42" s="1"/>
  <c r="AD687" i="42"/>
  <c r="AH687" i="42" s="1" a="1"/>
  <c r="AH687" i="42" s="1"/>
  <c r="Z688" i="42"/>
  <c r="AA688" i="42" s="1"/>
  <c r="AB688" i="42"/>
  <c r="AC688" i="42" s="1"/>
  <c r="AD688" i="42"/>
  <c r="AH688" i="42" s="1" a="1"/>
  <c r="AH688" i="42" s="1"/>
  <c r="Z689" i="42"/>
  <c r="AA689" i="42" s="1"/>
  <c r="AB689" i="42"/>
  <c r="AC689" i="42" s="1"/>
  <c r="AD689" i="42"/>
  <c r="AH689" i="42" s="1" a="1"/>
  <c r="AH689" i="42" s="1"/>
  <c r="Z690" i="42"/>
  <c r="AA690" i="42" s="1"/>
  <c r="AB690" i="42"/>
  <c r="AC690" i="42" s="1"/>
  <c r="AD690" i="42"/>
  <c r="AH690" i="42" s="1" a="1"/>
  <c r="AH690" i="42" s="1"/>
  <c r="Z691" i="42"/>
  <c r="AA691" i="42" s="1"/>
  <c r="AB691" i="42"/>
  <c r="AC691" i="42" s="1"/>
  <c r="AD691" i="42"/>
  <c r="AH691" i="42" s="1" a="1"/>
  <c r="AH691" i="42" s="1"/>
  <c r="Z692" i="42"/>
  <c r="AA692" i="42" s="1"/>
  <c r="AB692" i="42"/>
  <c r="AC692" i="42" s="1"/>
  <c r="AD692" i="42"/>
  <c r="AH692" i="42" s="1" a="1"/>
  <c r="AH692" i="42" s="1"/>
  <c r="Z693" i="42"/>
  <c r="AA693" i="42" s="1"/>
  <c r="AB693" i="42"/>
  <c r="AC693" i="42" s="1"/>
  <c r="AD693" i="42"/>
  <c r="AH693" i="42" s="1" a="1"/>
  <c r="AH693" i="42" s="1"/>
  <c r="Z694" i="42"/>
  <c r="AA694" i="42" s="1"/>
  <c r="AB694" i="42"/>
  <c r="AC694" i="42" s="1"/>
  <c r="AD694" i="42"/>
  <c r="AH694" i="42" s="1" a="1"/>
  <c r="AH694" i="42" s="1"/>
  <c r="Z695" i="42"/>
  <c r="AA695" i="42" s="1"/>
  <c r="AB695" i="42"/>
  <c r="AD695" i="42"/>
  <c r="AH695" i="42" s="1" a="1"/>
  <c r="AH695" i="42" s="1"/>
  <c r="Z696" i="42"/>
  <c r="AA696" i="42" s="1"/>
  <c r="AB696" i="42"/>
  <c r="AC696" i="42" s="1"/>
  <c r="AD696" i="42"/>
  <c r="AH696" i="42" s="1" a="1"/>
  <c r="AH696" i="42" s="1"/>
  <c r="Z697" i="42"/>
  <c r="AA697" i="42" s="1"/>
  <c r="AB697" i="42"/>
  <c r="AC697" i="42" s="1"/>
  <c r="AD697" i="42"/>
  <c r="AH697" i="42" s="1" a="1"/>
  <c r="AH697" i="42" s="1"/>
  <c r="Z698" i="42"/>
  <c r="AA698" i="42" s="1"/>
  <c r="AB698" i="42"/>
  <c r="AC698" i="42" s="1"/>
  <c r="AD698" i="42"/>
  <c r="AH698" i="42" s="1" a="1"/>
  <c r="AH698" i="42" s="1"/>
  <c r="Z699" i="42"/>
  <c r="AA699" i="42" s="1"/>
  <c r="AB699" i="42"/>
  <c r="AC699" i="42" s="1"/>
  <c r="AD699" i="42"/>
  <c r="AH699" i="42" s="1" a="1"/>
  <c r="AH699" i="42" s="1"/>
  <c r="Z700" i="42"/>
  <c r="AA700" i="42" s="1"/>
  <c r="AB700" i="42"/>
  <c r="AC700" i="42" s="1"/>
  <c r="AD700" i="42"/>
  <c r="AH700" i="42" s="1" a="1"/>
  <c r="AH700" i="42" s="1"/>
  <c r="Z701" i="42"/>
  <c r="AA701" i="42" s="1"/>
  <c r="AB701" i="42"/>
  <c r="AC701" i="42" s="1"/>
  <c r="AD701" i="42"/>
  <c r="AH701" i="42" s="1" a="1"/>
  <c r="AH701" i="42" s="1"/>
  <c r="Z702" i="42"/>
  <c r="AA702" i="42" s="1"/>
  <c r="AB702" i="42"/>
  <c r="AC702" i="42" s="1"/>
  <c r="AD702" i="42"/>
  <c r="AH702" i="42" s="1" a="1"/>
  <c r="AH702" i="42" s="1"/>
  <c r="Z703" i="42"/>
  <c r="AA703" i="42" s="1"/>
  <c r="AB703" i="42"/>
  <c r="AC703" i="42" s="1"/>
  <c r="AD703" i="42"/>
  <c r="AH703" i="42" s="1" a="1"/>
  <c r="AH703" i="42" s="1"/>
  <c r="Z704" i="42"/>
  <c r="AA704" i="42" s="1"/>
  <c r="AB704" i="42"/>
  <c r="AC704" i="42" s="1"/>
  <c r="AD704" i="42"/>
  <c r="AH704" i="42" s="1" a="1"/>
  <c r="AH704" i="42" s="1"/>
  <c r="Z705" i="42"/>
  <c r="AA705" i="42" s="1"/>
  <c r="AB705" i="42"/>
  <c r="AC705" i="42" s="1"/>
  <c r="AD705" i="42"/>
  <c r="AH705" i="42" s="1" a="1"/>
  <c r="AH705" i="42" s="1"/>
  <c r="Z706" i="42"/>
  <c r="AA706" i="42" s="1"/>
  <c r="AB706" i="42"/>
  <c r="AC706" i="42" s="1"/>
  <c r="AD706" i="42"/>
  <c r="AH706" i="42" s="1" a="1"/>
  <c r="AH706" i="42" s="1"/>
  <c r="Z707" i="42"/>
  <c r="AA707" i="42" s="1"/>
  <c r="AB707" i="42"/>
  <c r="AC707" i="42" s="1"/>
  <c r="AD707" i="42"/>
  <c r="AH707" i="42" s="1" a="1"/>
  <c r="AH707" i="42" s="1"/>
  <c r="Z708" i="42"/>
  <c r="AA708" i="42" s="1"/>
  <c r="AB708" i="42"/>
  <c r="AC708" i="42" s="1"/>
  <c r="AD708" i="42"/>
  <c r="AH708" i="42" s="1" a="1"/>
  <c r="AH708" i="42" s="1"/>
  <c r="Z709" i="42"/>
  <c r="AA709" i="42" s="1"/>
  <c r="AB709" i="42"/>
  <c r="AC709" i="42" s="1"/>
  <c r="AD709" i="42"/>
  <c r="AH709" i="42" s="1" a="1"/>
  <c r="AH709" i="42" s="1"/>
  <c r="Z710" i="42"/>
  <c r="AA710" i="42" s="1"/>
  <c r="AB710" i="42"/>
  <c r="AC710" i="42" s="1"/>
  <c r="AD710" i="42"/>
  <c r="AH710" i="42" s="1" a="1"/>
  <c r="AH710" i="42" s="1"/>
  <c r="Z711" i="42"/>
  <c r="AA711" i="42" s="1"/>
  <c r="AB711" i="42"/>
  <c r="AC711" i="42" s="1"/>
  <c r="AD711" i="42"/>
  <c r="AH711" i="42" s="1" a="1"/>
  <c r="AH711" i="42" s="1"/>
  <c r="Z712" i="42"/>
  <c r="AA712" i="42" s="1"/>
  <c r="AB712" i="42"/>
  <c r="AC712" i="42" s="1"/>
  <c r="AD712" i="42"/>
  <c r="AH712" i="42" s="1" a="1"/>
  <c r="AH712" i="42" s="1"/>
  <c r="Z713" i="42"/>
  <c r="AA713" i="42" s="1"/>
  <c r="AB713" i="42"/>
  <c r="AC713" i="42" s="1"/>
  <c r="AD713" i="42"/>
  <c r="AH713" i="42" s="1" a="1"/>
  <c r="AH713" i="42" s="1"/>
  <c r="Z714" i="42"/>
  <c r="AA714" i="42" s="1"/>
  <c r="AB714" i="42"/>
  <c r="AC714" i="42" s="1"/>
  <c r="AD714" i="42"/>
  <c r="AH714" i="42" s="1" a="1"/>
  <c r="AH714" i="42" s="1"/>
  <c r="Z715" i="42"/>
  <c r="AA715" i="42" s="1"/>
  <c r="AB715" i="42"/>
  <c r="AC715" i="42" s="1"/>
  <c r="AD715" i="42"/>
  <c r="AH715" i="42" s="1" a="1"/>
  <c r="AH715" i="42" s="1"/>
  <c r="Z716" i="42"/>
  <c r="AA716" i="42" s="1"/>
  <c r="AB716" i="42"/>
  <c r="AC716" i="42" s="1"/>
  <c r="AD716" i="42"/>
  <c r="AH716" i="42" s="1" a="1"/>
  <c r="AH716" i="42" s="1"/>
  <c r="Z717" i="42"/>
  <c r="AA717" i="42" s="1"/>
  <c r="AB717" i="42"/>
  <c r="AC717" i="42" s="1"/>
  <c r="AD717" i="42"/>
  <c r="AH717" i="42" s="1" a="1"/>
  <c r="AH717" i="42" s="1"/>
  <c r="Z718" i="42"/>
  <c r="AA718" i="42" s="1"/>
  <c r="AB718" i="42"/>
  <c r="AC718" i="42" s="1"/>
  <c r="AD718" i="42"/>
  <c r="AH718" i="42" s="1" a="1"/>
  <c r="AH718" i="42" s="1"/>
  <c r="Z748" i="42"/>
  <c r="AA748" i="42" s="1"/>
  <c r="AB748" i="42"/>
  <c r="AC748" i="42" s="1"/>
  <c r="AD748" i="42"/>
  <c r="AH748" i="42" s="1" a="1"/>
  <c r="AH748" i="42" s="1"/>
  <c r="Z749" i="42"/>
  <c r="AA749" i="42" s="1"/>
  <c r="AB749" i="42"/>
  <c r="AC749" i="42" s="1"/>
  <c r="AD749" i="42"/>
  <c r="AH749" i="42" s="1" a="1"/>
  <c r="AH749" i="42" s="1"/>
  <c r="Z750" i="42"/>
  <c r="AA750" i="42" s="1"/>
  <c r="AB750" i="42"/>
  <c r="AC750" i="42" s="1"/>
  <c r="AD750" i="42"/>
  <c r="AH750" i="42" s="1" a="1"/>
  <c r="AH750" i="42" s="1"/>
  <c r="Z751" i="42"/>
  <c r="AA751" i="42" s="1"/>
  <c r="AB751" i="42"/>
  <c r="AC751" i="42" s="1"/>
  <c r="AD751" i="42"/>
  <c r="AH751" i="42" s="1" a="1"/>
  <c r="AH751" i="42" s="1"/>
  <c r="Z752" i="42"/>
  <c r="AA752" i="42" s="1"/>
  <c r="AB752" i="42"/>
  <c r="AC752" i="42" s="1"/>
  <c r="AD752" i="42"/>
  <c r="AH752" i="42" s="1" a="1"/>
  <c r="AH752" i="42" s="1"/>
  <c r="Z753" i="42"/>
  <c r="AA753" i="42" s="1"/>
  <c r="AB753" i="42"/>
  <c r="AC753" i="42" s="1"/>
  <c r="AD753" i="42"/>
  <c r="AH753" i="42" s="1" a="1"/>
  <c r="AH753" i="42" s="1"/>
  <c r="Z754" i="42"/>
  <c r="AA754" i="42" s="1"/>
  <c r="AB754" i="42"/>
  <c r="AC754" i="42" s="1"/>
  <c r="AD754" i="42"/>
  <c r="AH754" i="42" s="1" a="1"/>
  <c r="AH754" i="42" s="1"/>
  <c r="Z756" i="42"/>
  <c r="AA756" i="42" s="1"/>
  <c r="AB756" i="42"/>
  <c r="AC756" i="42" s="1"/>
  <c r="AD756" i="42"/>
  <c r="AH756" i="42" s="1" a="1"/>
  <c r="AH756" i="42" s="1"/>
  <c r="Z757" i="42"/>
  <c r="AA757" i="42" s="1"/>
  <c r="AB757" i="42"/>
  <c r="AD757" i="42"/>
  <c r="AH757" i="42" s="1" a="1"/>
  <c r="AH757" i="42" s="1"/>
  <c r="Z758" i="42"/>
  <c r="AA758" i="42" s="1"/>
  <c r="AB758" i="42"/>
  <c r="AD758" i="42"/>
  <c r="AH758" i="42" s="1" a="1"/>
  <c r="AH758" i="42" s="1"/>
  <c r="Z759" i="42"/>
  <c r="AA759" i="42" s="1"/>
  <c r="AB759" i="42"/>
  <c r="AC759" i="42" s="1"/>
  <c r="AD759" i="42"/>
  <c r="AH759" i="42" s="1" a="1"/>
  <c r="AH759" i="42" s="1"/>
  <c r="Z760" i="42"/>
  <c r="AA760" i="42" s="1"/>
  <c r="AB760" i="42"/>
  <c r="AC760" i="42" s="1"/>
  <c r="AD760" i="42"/>
  <c r="AH760" i="42" s="1" a="1"/>
  <c r="AH760" i="42" s="1"/>
  <c r="Z761" i="42"/>
  <c r="AA761" i="42" s="1"/>
  <c r="AB761" i="42"/>
  <c r="AC761" i="42" s="1"/>
  <c r="AD761" i="42"/>
  <c r="AH761" i="42" s="1" a="1"/>
  <c r="AH761" i="42" s="1"/>
  <c r="AE848" i="42"/>
  <c r="AI848" i="42" s="1"/>
  <c r="AE862" i="42"/>
  <c r="AI862" i="42" s="1"/>
  <c r="AE893" i="42"/>
  <c r="AI893" i="42" s="1"/>
  <c r="AE894" i="42"/>
  <c r="AE895" i="42"/>
  <c r="AI895" i="42" s="1"/>
  <c r="AE896" i="42"/>
  <c r="AI896" i="42" s="1"/>
  <c r="AE897" i="42"/>
  <c r="AE898" i="42"/>
  <c r="AI898" i="42" s="1"/>
  <c r="AE899" i="42"/>
  <c r="AI899" i="42" s="1"/>
  <c r="AE900" i="42"/>
  <c r="AE901" i="42"/>
  <c r="AI901" i="42" s="1"/>
  <c r="AE902" i="42"/>
  <c r="AI902" i="42" s="1"/>
  <c r="AE903" i="42"/>
  <c r="AE904" i="42"/>
  <c r="AI904" i="42" s="1"/>
  <c r="AE905" i="42"/>
  <c r="AI905" i="42" s="1"/>
  <c r="AE906" i="42"/>
  <c r="AE907" i="42"/>
  <c r="AI907" i="42" s="1"/>
  <c r="AE908" i="42"/>
  <c r="AI908" i="42" s="1"/>
  <c r="AE909" i="42"/>
  <c r="AE910" i="42"/>
  <c r="AI910" i="42" s="1"/>
  <c r="AE911" i="42"/>
  <c r="AI911" i="42" s="1"/>
  <c r="AE912" i="42"/>
  <c r="AE913" i="42"/>
  <c r="AI913" i="42" s="1"/>
  <c r="AE914" i="42"/>
  <c r="AI914" i="42" s="1"/>
  <c r="AE915" i="42"/>
  <c r="AE916" i="42"/>
  <c r="AI916" i="42" s="1"/>
  <c r="AE917" i="42"/>
  <c r="AI917" i="42" s="1"/>
  <c r="AE918" i="42"/>
  <c r="AE919" i="42"/>
  <c r="AI919" i="42" s="1"/>
  <c r="AE920" i="42"/>
  <c r="AI920" i="42" s="1"/>
  <c r="AE921" i="42"/>
  <c r="AE922" i="42"/>
  <c r="AI922" i="42" s="1"/>
  <c r="AE923" i="42"/>
  <c r="AI923" i="42" s="1"/>
  <c r="AE924" i="42"/>
  <c r="AE925" i="42"/>
  <c r="AI925" i="42" s="1"/>
  <c r="AE926" i="42"/>
  <c r="AI926" i="42" s="1"/>
  <c r="AE927" i="42"/>
  <c r="AE928" i="42"/>
  <c r="AI928" i="42" s="1"/>
  <c r="AE929" i="42"/>
  <c r="AI929" i="42" s="1"/>
  <c r="AE930" i="42"/>
  <c r="AE931" i="42"/>
  <c r="AI931" i="42" s="1"/>
  <c r="AE932" i="42"/>
  <c r="AI932" i="42" s="1"/>
  <c r="AE933" i="42"/>
  <c r="AE934" i="42"/>
  <c r="AI934" i="42" s="1"/>
  <c r="AE935" i="42"/>
  <c r="AI935" i="42" s="1"/>
  <c r="AE936" i="42"/>
  <c r="AE937" i="42"/>
  <c r="AI937" i="42" s="1"/>
  <c r="AE938" i="42"/>
  <c r="AI938" i="42" s="1"/>
  <c r="AE939" i="42"/>
  <c r="AE940" i="42"/>
  <c r="AI940" i="42" s="1"/>
  <c r="AE941" i="42"/>
  <c r="AI941" i="42" s="1"/>
  <c r="AE942" i="42"/>
  <c r="AE943" i="42"/>
  <c r="AI943" i="42" s="1"/>
  <c r="AE944" i="42"/>
  <c r="AI944" i="42" s="1"/>
  <c r="AE945" i="42"/>
  <c r="AE946" i="42"/>
  <c r="AI946" i="42" s="1"/>
  <c r="AE947" i="42"/>
  <c r="AI947" i="42" s="1"/>
  <c r="AE948" i="42"/>
  <c r="AE949" i="42"/>
  <c r="AI949" i="42" s="1"/>
  <c r="AE950" i="42"/>
  <c r="AI950" i="42" s="1"/>
  <c r="AE951" i="42"/>
  <c r="AE952" i="42"/>
  <c r="AI952" i="42" s="1"/>
  <c r="AE953" i="42"/>
  <c r="AI953" i="42" s="1"/>
  <c r="AE954" i="42"/>
  <c r="AE955" i="42"/>
  <c r="AI955" i="42" s="1"/>
  <c r="AE956" i="42"/>
  <c r="AI956" i="42" s="1"/>
  <c r="AE957" i="42"/>
  <c r="AE958" i="42"/>
  <c r="AI958" i="42" s="1"/>
  <c r="AE959" i="42"/>
  <c r="AI959" i="42" s="1"/>
  <c r="AE960" i="42"/>
  <c r="AE961" i="42"/>
  <c r="AI961" i="42" s="1"/>
  <c r="AE962" i="42"/>
  <c r="AI962" i="42" s="1"/>
  <c r="AE963" i="42"/>
  <c r="AE964" i="42"/>
  <c r="AI964" i="42" s="1"/>
  <c r="AE965" i="42"/>
  <c r="AI965" i="42" s="1"/>
  <c r="AE966" i="42"/>
  <c r="AE967" i="42"/>
  <c r="AI967" i="42" s="1"/>
  <c r="AE968" i="42"/>
  <c r="AI968" i="42" s="1"/>
  <c r="AE969" i="42"/>
  <c r="AE970" i="42"/>
  <c r="AI970" i="42" s="1"/>
  <c r="AE971" i="42"/>
  <c r="AI971" i="42" s="1"/>
  <c r="AE972" i="42"/>
  <c r="AE973" i="42"/>
  <c r="AI973" i="42" s="1"/>
  <c r="AE974" i="42"/>
  <c r="AI974" i="42" s="1"/>
  <c r="AE975" i="42"/>
  <c r="AE976" i="42"/>
  <c r="AI976" i="42" s="1"/>
  <c r="AE977" i="42"/>
  <c r="AI977" i="42" s="1"/>
  <c r="AE978" i="42"/>
  <c r="AE979" i="42"/>
  <c r="AI979" i="42" s="1"/>
  <c r="AE980" i="42"/>
  <c r="AI980" i="42" s="1"/>
  <c r="AE981" i="42"/>
  <c r="AE982" i="42"/>
  <c r="AI982" i="42" s="1"/>
  <c r="AE983" i="42"/>
  <c r="AI983" i="42" s="1"/>
  <c r="AE984" i="42"/>
  <c r="AE985" i="42"/>
  <c r="AI985" i="42" s="1"/>
  <c r="AE986" i="42"/>
  <c r="AI986" i="42" s="1"/>
  <c r="AE987" i="42"/>
  <c r="AE988" i="42"/>
  <c r="AI988" i="42" s="1"/>
  <c r="AE989" i="42"/>
  <c r="AI989" i="42" s="1"/>
  <c r="AE990" i="42"/>
  <c r="AE991" i="42"/>
  <c r="AI991" i="42" s="1"/>
  <c r="AE992" i="42"/>
  <c r="AI992" i="42" s="1"/>
  <c r="AE993" i="42"/>
  <c r="AE994" i="42"/>
  <c r="AI994" i="42" s="1"/>
  <c r="AE995" i="42"/>
  <c r="AI995" i="42" s="1"/>
  <c r="AE996" i="42"/>
  <c r="AE997" i="42"/>
  <c r="AI997" i="42" s="1"/>
  <c r="AE998" i="42"/>
  <c r="AI998" i="42" s="1"/>
  <c r="AE999" i="42"/>
  <c r="AE1000" i="42"/>
  <c r="AI1000" i="42" s="1"/>
  <c r="AE1001" i="42"/>
  <c r="AI1001" i="42" s="1"/>
  <c r="AE1002" i="42"/>
  <c r="AE1003" i="42"/>
  <c r="AI1003" i="42" s="1"/>
  <c r="AE1004" i="42"/>
  <c r="AI1004" i="42" s="1"/>
  <c r="AE1005" i="42"/>
  <c r="AE1006" i="42"/>
  <c r="AI1006" i="42" s="1"/>
  <c r="AE1007" i="42"/>
  <c r="AI1007" i="42" s="1"/>
  <c r="AE1008" i="42"/>
  <c r="AE1009" i="42"/>
  <c r="AI1009" i="42" s="1"/>
  <c r="AE1010" i="42"/>
  <c r="AI1010" i="42" s="1"/>
  <c r="AE1011" i="42"/>
  <c r="AE1012" i="42"/>
  <c r="AI1012" i="42" s="1"/>
  <c r="AE1013" i="42"/>
  <c r="AI1013" i="42" s="1"/>
  <c r="AE1014" i="42"/>
  <c r="AE1015" i="42"/>
  <c r="AI1015" i="42" s="1"/>
  <c r="AE1016" i="42"/>
  <c r="AI1016" i="42" s="1"/>
  <c r="AE1017" i="42"/>
  <c r="AE1018" i="42"/>
  <c r="AI1018" i="42" s="1"/>
  <c r="AE1019" i="42"/>
  <c r="AI1019" i="42" s="1"/>
  <c r="AE1020" i="42"/>
  <c r="AE1021" i="42"/>
  <c r="AI1021" i="42" s="1"/>
  <c r="AE1022" i="42"/>
  <c r="AI1022" i="42" s="1"/>
  <c r="AE1023" i="42"/>
  <c r="AE1024" i="42"/>
  <c r="AI1024" i="42" s="1"/>
  <c r="AE1025" i="42"/>
  <c r="AI1025" i="42" s="1"/>
  <c r="AE1026" i="42"/>
  <c r="AE1027" i="42"/>
  <c r="AI1027" i="42" s="1"/>
  <c r="AE1028" i="42"/>
  <c r="AI1028" i="42" s="1"/>
  <c r="AE1029" i="42"/>
  <c r="AE1030" i="42"/>
  <c r="AI1030" i="42" s="1"/>
  <c r="AE1031" i="42"/>
  <c r="AI1031" i="42" s="1"/>
  <c r="AE1032" i="42"/>
  <c r="AE1033" i="42"/>
  <c r="AI1033" i="42" s="1"/>
  <c r="AE1034" i="42"/>
  <c r="AI1034" i="42" s="1"/>
  <c r="AE1035" i="42"/>
  <c r="AE1036" i="42"/>
  <c r="AI1036" i="42" s="1"/>
  <c r="AE1037" i="42"/>
  <c r="AI1037" i="42" s="1"/>
  <c r="AE1038" i="42"/>
  <c r="AE1039" i="42"/>
  <c r="AI1039" i="42" s="1"/>
  <c r="AE1040" i="42"/>
  <c r="AI1040" i="42" s="1"/>
  <c r="AE1041" i="42"/>
  <c r="AE1042" i="42"/>
  <c r="AI1042" i="42" s="1"/>
  <c r="AE1043" i="42"/>
  <c r="AI1043" i="42" s="1"/>
  <c r="AE1044" i="42"/>
  <c r="AE1045" i="42"/>
  <c r="AI1045" i="42" s="1"/>
  <c r="AE1046" i="42"/>
  <c r="AI1046" i="42" s="1"/>
  <c r="AE1047" i="42"/>
  <c r="AE1048" i="42"/>
  <c r="AI1048" i="42" s="1"/>
  <c r="AE1049" i="42"/>
  <c r="AI1049" i="42" s="1"/>
  <c r="AE1050" i="42"/>
  <c r="AE1051" i="42"/>
  <c r="AI1051" i="42" s="1"/>
  <c r="AE1052" i="42"/>
  <c r="AI1052" i="42" s="1"/>
  <c r="AE1053" i="42"/>
  <c r="AE1054" i="42"/>
  <c r="AI1054" i="42" s="1"/>
  <c r="AE1055" i="42"/>
  <c r="AI1055" i="42" s="1"/>
  <c r="AE1056" i="42"/>
  <c r="AE1057" i="42"/>
  <c r="AI1057" i="42" s="1"/>
  <c r="AE1058" i="42"/>
  <c r="AI1058" i="42" s="1"/>
  <c r="AE1059" i="42"/>
  <c r="AE1060" i="42"/>
  <c r="AI1060" i="42" s="1"/>
  <c r="AE1061" i="42"/>
  <c r="AI1061" i="42" s="1"/>
  <c r="AE1062" i="42"/>
  <c r="AE1063" i="42"/>
  <c r="AI1063" i="42" s="1"/>
  <c r="AE1064" i="42"/>
  <c r="AI1064" i="42" s="1"/>
  <c r="AE1065" i="42"/>
  <c r="AE1066" i="42"/>
  <c r="AI1066" i="42" s="1"/>
  <c r="AE1067" i="42"/>
  <c r="AJ1067" i="42" s="1"/>
  <c r="AE1068" i="42"/>
  <c r="AJ1068" i="42" s="1"/>
  <c r="AE1069" i="42"/>
  <c r="AJ1069" i="42" s="1"/>
  <c r="AE1070" i="42"/>
  <c r="AJ1070" i="42" s="1"/>
  <c r="AE1071" i="42"/>
  <c r="AJ1071" i="42" s="1"/>
  <c r="AE1072" i="42"/>
  <c r="AJ1072" i="42" s="1"/>
  <c r="AE1073" i="42"/>
  <c r="AJ1073" i="42" s="1"/>
  <c r="AE1074" i="42"/>
  <c r="AJ1074" i="42" s="1"/>
  <c r="AE1075" i="42"/>
  <c r="AJ1075" i="42" s="1"/>
  <c r="AE1076" i="42"/>
  <c r="AJ1076" i="42" s="1"/>
  <c r="AE1077" i="42"/>
  <c r="AE1078" i="42"/>
  <c r="AE1079" i="42"/>
  <c r="AE1080" i="42"/>
  <c r="AE1081" i="42"/>
  <c r="AE1082" i="42"/>
  <c r="AE1083" i="42"/>
  <c r="AE1084" i="42"/>
  <c r="AE1085" i="42"/>
  <c r="AE1086" i="42"/>
  <c r="AE1087" i="42"/>
  <c r="AE1088" i="42"/>
  <c r="AE1089" i="42"/>
  <c r="AE1090" i="42"/>
  <c r="AE1091" i="42"/>
  <c r="AE1092" i="42"/>
  <c r="AE1093" i="42"/>
  <c r="AE1094" i="42"/>
  <c r="AE1095" i="42"/>
  <c r="AE1096" i="42"/>
  <c r="AE1097" i="42"/>
  <c r="AE1098" i="42"/>
  <c r="AE1099" i="42"/>
  <c r="AE1100" i="42"/>
  <c r="AE1101" i="42"/>
  <c r="AE1102" i="42"/>
  <c r="AE1103" i="42"/>
  <c r="AE1104" i="42"/>
  <c r="AE1105" i="42"/>
  <c r="AE1106" i="42"/>
  <c r="AE1107" i="42"/>
  <c r="AE1108" i="42"/>
  <c r="AE1109" i="42"/>
  <c r="AE1110" i="42"/>
  <c r="AE1111" i="42"/>
  <c r="AE1112" i="42"/>
  <c r="AE1113" i="42"/>
  <c r="AE1114" i="42"/>
  <c r="AE1115" i="42"/>
  <c r="AE1116" i="42"/>
  <c r="AE1117" i="42"/>
  <c r="AE1118" i="42"/>
  <c r="AE1119" i="42"/>
  <c r="AE1120" i="42"/>
  <c r="AE1121" i="42"/>
  <c r="AE1122" i="42"/>
  <c r="AE1123" i="42"/>
  <c r="AE1124" i="42"/>
  <c r="AE1125" i="42"/>
  <c r="AE1126" i="42"/>
  <c r="AE1127" i="42"/>
  <c r="AE1128" i="42"/>
  <c r="AE1129" i="42"/>
  <c r="AE1130" i="42"/>
  <c r="AE1131" i="42"/>
  <c r="AE1132" i="42"/>
  <c r="AE1133" i="42"/>
  <c r="AE1134" i="42"/>
  <c r="AE1135" i="42"/>
  <c r="AE1136" i="42"/>
  <c r="AE1137" i="42"/>
  <c r="AE1138" i="42"/>
  <c r="AE1139" i="42"/>
  <c r="AE1140" i="42"/>
  <c r="AE1141" i="42"/>
  <c r="AE1142" i="42"/>
  <c r="AE1143" i="42"/>
  <c r="AE1144" i="42"/>
  <c r="AE1145" i="42"/>
  <c r="AE1146" i="42"/>
  <c r="AE1147" i="42"/>
  <c r="AE1148" i="42"/>
  <c r="AE1149" i="42"/>
  <c r="AE1150" i="42"/>
  <c r="AE1151" i="42"/>
  <c r="AE1152" i="42"/>
  <c r="AE1153" i="42"/>
  <c r="AE1154" i="42"/>
  <c r="AE1155" i="42"/>
  <c r="AE1156" i="42"/>
  <c r="AE1157" i="42"/>
  <c r="AE1158" i="42"/>
  <c r="AE1159" i="42"/>
  <c r="AE1160" i="42"/>
  <c r="AE1161" i="42"/>
  <c r="AE1162" i="42"/>
  <c r="AE1163" i="42"/>
  <c r="AE1164" i="42"/>
  <c r="AE1165" i="42"/>
  <c r="AI1165" i="42" s="1"/>
  <c r="AE1166" i="42"/>
  <c r="AI1166" i="42" s="1"/>
  <c r="AE1167" i="42"/>
  <c r="AI1167" i="42" s="1"/>
  <c r="AE1168" i="42"/>
  <c r="AI1168" i="42" s="1"/>
  <c r="AE1169" i="42"/>
  <c r="AI1169" i="42" s="1"/>
  <c r="AE1170" i="42"/>
  <c r="AI1170" i="42" s="1"/>
  <c r="AE1171" i="42"/>
  <c r="AI1171" i="42" s="1"/>
  <c r="AE1172" i="42"/>
  <c r="AI1172" i="42" s="1"/>
  <c r="AE1173" i="42"/>
  <c r="AI1173" i="42" s="1"/>
  <c r="AE1174" i="42"/>
  <c r="AI1174" i="42" s="1"/>
  <c r="AE1175" i="42"/>
  <c r="AI1175" i="42" s="1"/>
  <c r="AE1176" i="42"/>
  <c r="AI1176" i="42" s="1"/>
  <c r="AE1177" i="42"/>
  <c r="AI1177" i="42" s="1"/>
  <c r="AE1178" i="42"/>
  <c r="AI1178" i="42" s="1"/>
  <c r="AE1179" i="42"/>
  <c r="AI1179" i="42" s="1"/>
  <c r="AE1180" i="42"/>
  <c r="AI1180" i="42" s="1"/>
  <c r="AE1181" i="42"/>
  <c r="AI1181" i="42" s="1"/>
  <c r="AE1182" i="42"/>
  <c r="AI1182" i="42" s="1"/>
  <c r="AE1183" i="42"/>
  <c r="AI1183" i="42" s="1"/>
  <c r="AE1184" i="42"/>
  <c r="AI1184" i="42" s="1"/>
  <c r="AE1185" i="42"/>
  <c r="AI1185" i="42" s="1"/>
  <c r="AE1186" i="42"/>
  <c r="AI1186" i="42" s="1"/>
  <c r="AE1187" i="42"/>
  <c r="AI1187" i="42" s="1"/>
  <c r="AE1188" i="42"/>
  <c r="AI1188" i="42" s="1"/>
  <c r="AE1189" i="42"/>
  <c r="AI1189" i="42" s="1"/>
  <c r="AE1190" i="42"/>
  <c r="AI1190" i="42" s="1"/>
  <c r="AE1191" i="42"/>
  <c r="AI1191" i="42" s="1"/>
  <c r="AE1192" i="42"/>
  <c r="AI1192" i="42" s="1"/>
  <c r="AE1193" i="42"/>
  <c r="AI1193" i="42" s="1"/>
  <c r="AE1194" i="42"/>
  <c r="AI1194" i="42" s="1"/>
  <c r="AE1195" i="42"/>
  <c r="AI1195" i="42" s="1"/>
  <c r="AE1196" i="42"/>
  <c r="AI1196" i="42" s="1"/>
  <c r="AE1197" i="42"/>
  <c r="AI1197" i="42" s="1"/>
  <c r="AE1198" i="42"/>
  <c r="AI1198" i="42" s="1"/>
  <c r="AE1199" i="42"/>
  <c r="AI1199" i="42" s="1"/>
  <c r="AE1200" i="42"/>
  <c r="AI1200" i="42" s="1"/>
  <c r="AE1201" i="42"/>
  <c r="AI1201" i="42" s="1"/>
  <c r="AE1202" i="42"/>
  <c r="AI1202" i="42" s="1"/>
  <c r="AE1203" i="42"/>
  <c r="AI1203" i="42" s="1"/>
  <c r="AE1204" i="42"/>
  <c r="AI1204" i="42" s="1"/>
  <c r="AE1205" i="42"/>
  <c r="AI1205" i="42" s="1"/>
  <c r="AE1206" i="42"/>
  <c r="AI1206" i="42" s="1"/>
  <c r="AE1207" i="42"/>
  <c r="AI1207" i="42" s="1"/>
  <c r="AE1208" i="42"/>
  <c r="AI1208" i="42" s="1"/>
  <c r="AE1209" i="42"/>
  <c r="AI1209" i="42" s="1"/>
  <c r="AE1210" i="42"/>
  <c r="AI1210" i="42" s="1"/>
  <c r="AE1211" i="42"/>
  <c r="AI1211" i="42" s="1"/>
  <c r="AE1212" i="42"/>
  <c r="AI1212" i="42" s="1"/>
  <c r="AE1213" i="42"/>
  <c r="AI1213" i="42" s="1"/>
  <c r="AE1214" i="42"/>
  <c r="AI1214" i="42" s="1"/>
  <c r="AE1215" i="42"/>
  <c r="AI1215" i="42" s="1"/>
  <c r="AE1216" i="42"/>
  <c r="AI1216" i="42" s="1"/>
  <c r="AE1217" i="42"/>
  <c r="AI1217" i="42" s="1"/>
  <c r="AE1218" i="42"/>
  <c r="AI1218" i="42" s="1"/>
  <c r="AE1219" i="42"/>
  <c r="AI1219" i="42" s="1"/>
  <c r="AE1220" i="42"/>
  <c r="AI1220" i="42" s="1"/>
  <c r="AE1221" i="42"/>
  <c r="AI1221" i="42" s="1"/>
  <c r="AE1222" i="42"/>
  <c r="AI1222" i="42" s="1"/>
  <c r="AE1223" i="42"/>
  <c r="AI1223" i="42" s="1"/>
  <c r="AE1224" i="42"/>
  <c r="AI1224" i="42" s="1"/>
  <c r="AE1225" i="42"/>
  <c r="AI1225" i="42" s="1"/>
  <c r="AE1226" i="42"/>
  <c r="AI1226" i="42" s="1"/>
  <c r="AE1227" i="42"/>
  <c r="AI1227" i="42" s="1"/>
  <c r="AE1228" i="42"/>
  <c r="AI1228" i="42" s="1"/>
  <c r="AE1229" i="42"/>
  <c r="AI1229" i="42" s="1"/>
  <c r="AE1230" i="42"/>
  <c r="AI1230" i="42" s="1"/>
  <c r="AE1231" i="42"/>
  <c r="AI1231" i="42" s="1"/>
  <c r="AE1232" i="42"/>
  <c r="AI1232" i="42" s="1"/>
  <c r="AE1233" i="42"/>
  <c r="AI1233" i="42" s="1"/>
  <c r="AE1234" i="42"/>
  <c r="AI1234" i="42" s="1"/>
  <c r="AE1235" i="42"/>
  <c r="AI1235" i="42" s="1"/>
  <c r="AE1236" i="42"/>
  <c r="AI1236" i="42" s="1"/>
  <c r="AE1237" i="42"/>
  <c r="AI1237" i="42" s="1"/>
  <c r="AE1238" i="42"/>
  <c r="AI1238" i="42" s="1"/>
  <c r="AE1239" i="42"/>
  <c r="AI1239" i="42" s="1"/>
  <c r="AE1240" i="42"/>
  <c r="AI1240" i="42" s="1"/>
  <c r="AE1241" i="42"/>
  <c r="AI1241" i="42" s="1"/>
  <c r="AE1242" i="42"/>
  <c r="AI1242" i="42" s="1"/>
  <c r="AE1243" i="42"/>
  <c r="AI1243" i="42" s="1"/>
  <c r="AE1244" i="42"/>
  <c r="AI1244" i="42" s="1"/>
  <c r="AE1245" i="42"/>
  <c r="AI1245" i="42" s="1"/>
  <c r="AE1246" i="42"/>
  <c r="AI1246" i="42" s="1"/>
  <c r="AE1247" i="42"/>
  <c r="AI1247" i="42" s="1"/>
  <c r="AE1248" i="42"/>
  <c r="AI1248" i="42" s="1"/>
  <c r="AE1249" i="42"/>
  <c r="AI1249" i="42" s="1"/>
  <c r="AE1250" i="42"/>
  <c r="AI1250" i="42" s="1"/>
  <c r="AE1251" i="42"/>
  <c r="AI1251" i="42" s="1"/>
  <c r="AE1252" i="42"/>
  <c r="AI1252" i="42" s="1"/>
  <c r="AE1253" i="42"/>
  <c r="AI1253" i="42" s="1"/>
  <c r="AE1254" i="42"/>
  <c r="AI1254" i="42" s="1"/>
  <c r="AE1255" i="42"/>
  <c r="AI1255" i="42" s="1"/>
  <c r="AE1256" i="42"/>
  <c r="AI1256" i="42" s="1"/>
  <c r="AE1257" i="42"/>
  <c r="AI1257" i="42" s="1"/>
  <c r="AE1258" i="42"/>
  <c r="AI1258" i="42" s="1"/>
  <c r="AE1259" i="42"/>
  <c r="AI1259" i="42" s="1"/>
  <c r="AE1260" i="42"/>
  <c r="AI1260" i="42" s="1"/>
  <c r="AE1261" i="42"/>
  <c r="AI1261" i="42" s="1"/>
  <c r="AE1262" i="42"/>
  <c r="AI1262" i="42" s="1"/>
  <c r="AE1263" i="42"/>
  <c r="AE1264" i="42"/>
  <c r="AI1264" i="42" s="1"/>
  <c r="AE1265" i="42"/>
  <c r="AI1265" i="42" s="1"/>
  <c r="AE1266" i="42"/>
  <c r="AI1266" i="42" s="1"/>
  <c r="AE1267" i="42"/>
  <c r="AI1267" i="42" s="1"/>
  <c r="AE1268" i="42"/>
  <c r="AI1268" i="42" s="1"/>
  <c r="AE1269" i="42"/>
  <c r="AI1269" i="42" s="1"/>
  <c r="AE1413" i="42"/>
  <c r="AI1413" i="42" s="1"/>
  <c r="AE1412" i="42"/>
  <c r="AI1412" i="42" s="1"/>
  <c r="AE1411" i="42"/>
  <c r="AI1411" i="42" s="1"/>
  <c r="AE1410" i="42"/>
  <c r="AI1410" i="42" s="1"/>
  <c r="AE1409" i="42"/>
  <c r="AI1409" i="42" s="1"/>
  <c r="AE1408" i="42"/>
  <c r="AI1408" i="42" s="1"/>
  <c r="AE1407" i="42"/>
  <c r="AI1407" i="42" s="1"/>
  <c r="AE1406" i="42"/>
  <c r="AI1406" i="42" s="1"/>
  <c r="AE1405" i="42"/>
  <c r="AI1405" i="42" s="1"/>
  <c r="AE1404" i="42"/>
  <c r="AI1404" i="42" s="1"/>
  <c r="AE1403" i="42"/>
  <c r="AI1403" i="42" s="1"/>
  <c r="AE1402" i="42"/>
  <c r="AI1402" i="42" s="1"/>
  <c r="AE1401" i="42"/>
  <c r="AI1401" i="42" s="1"/>
  <c r="AE1400" i="42"/>
  <c r="AI1400" i="42" s="1"/>
  <c r="AE1399" i="42"/>
  <c r="AI1399" i="42" s="1"/>
  <c r="AE1398" i="42"/>
  <c r="AI1398" i="42" s="1"/>
  <c r="AE1397" i="42"/>
  <c r="AI1397" i="42" s="1"/>
  <c r="AE1396" i="42"/>
  <c r="AI1396" i="42" s="1"/>
  <c r="AE1395" i="42"/>
  <c r="AI1395" i="42" s="1"/>
  <c r="AE1394" i="42"/>
  <c r="AI1394" i="42" s="1"/>
  <c r="AE1393" i="42"/>
  <c r="AI1393" i="42" s="1"/>
  <c r="AE1392" i="42"/>
  <c r="AI1392" i="42" s="1"/>
  <c r="AE1391" i="42"/>
  <c r="AI1391" i="42" s="1"/>
  <c r="AE1390" i="42"/>
  <c r="AI1390" i="42" s="1"/>
  <c r="AE1389" i="42"/>
  <c r="AI1389" i="42" s="1"/>
  <c r="AE1388" i="42"/>
  <c r="AI1388" i="42" s="1"/>
  <c r="AE1387" i="42"/>
  <c r="AI1387" i="42" s="1"/>
  <c r="AE1386" i="42"/>
  <c r="AI1386" i="42" s="1"/>
  <c r="AE1385" i="42"/>
  <c r="AI1385" i="42" s="1"/>
  <c r="AE1384" i="42"/>
  <c r="AI1384" i="42" s="1"/>
  <c r="AE1383" i="42"/>
  <c r="AI1383" i="42" s="1"/>
  <c r="AE1382" i="42"/>
  <c r="AI1382" i="42" s="1"/>
  <c r="AE1381" i="42"/>
  <c r="AI1381" i="42" s="1"/>
  <c r="AE1380" i="42"/>
  <c r="AI1380" i="42" s="1"/>
  <c r="AE1379" i="42"/>
  <c r="AI1379" i="42" s="1"/>
  <c r="AE1378" i="42"/>
  <c r="AI1378" i="42" s="1"/>
  <c r="AE1377" i="42"/>
  <c r="AI1377" i="42" s="1"/>
  <c r="AE1376" i="42"/>
  <c r="AI1376" i="42" s="1"/>
  <c r="AE1375" i="42"/>
  <c r="AI1375" i="42" s="1"/>
  <c r="AE1374" i="42"/>
  <c r="AI1374" i="42" s="1"/>
  <c r="AE1373" i="42"/>
  <c r="AI1373" i="42" s="1"/>
  <c r="AE1372" i="42"/>
  <c r="AI1372" i="42" s="1"/>
  <c r="AE1371" i="42"/>
  <c r="AI1371" i="42" s="1"/>
  <c r="AE1370" i="42"/>
  <c r="AI1370" i="42" s="1"/>
  <c r="AE1369" i="42"/>
  <c r="AI1369" i="42" s="1"/>
  <c r="AE1368" i="42"/>
  <c r="AI1368" i="42" s="1"/>
  <c r="AE1367" i="42"/>
  <c r="AI1367" i="42" s="1"/>
  <c r="AE1366" i="42"/>
  <c r="AI1366" i="42" s="1"/>
  <c r="AE1365" i="42"/>
  <c r="AI1365" i="42" s="1"/>
  <c r="AE1364" i="42"/>
  <c r="AI1364" i="42" s="1"/>
  <c r="AE1363" i="42"/>
  <c r="AI1363" i="42" s="1"/>
  <c r="AE1362" i="42"/>
  <c r="AI1362" i="42" s="1"/>
  <c r="AE1361" i="42"/>
  <c r="AI1361" i="42" s="1"/>
  <c r="AE1360" i="42"/>
  <c r="AI1360" i="42" s="1"/>
  <c r="AE1359" i="42"/>
  <c r="AI1359" i="42" s="1"/>
  <c r="AE1358" i="42"/>
  <c r="AI1358" i="42" s="1"/>
  <c r="AE1357" i="42"/>
  <c r="AI1357" i="42" s="1"/>
  <c r="AE1356" i="42"/>
  <c r="AI1356" i="42" s="1"/>
  <c r="AE1355" i="42"/>
  <c r="AI1355" i="42" s="1"/>
  <c r="AE1354" i="42"/>
  <c r="AI1354" i="42" s="1"/>
  <c r="AE1353" i="42"/>
  <c r="AI1353" i="42" s="1"/>
  <c r="AE1352" i="42"/>
  <c r="AI1352" i="42" s="1"/>
  <c r="AE1351" i="42"/>
  <c r="AI1351" i="42" s="1"/>
  <c r="AE1350" i="42"/>
  <c r="AI1350" i="42" s="1"/>
  <c r="AE1349" i="42"/>
  <c r="AI1349" i="42" s="1"/>
  <c r="AE1348" i="42"/>
  <c r="AI1348" i="42" s="1"/>
  <c r="AE1347" i="42"/>
  <c r="AI1347" i="42" s="1"/>
  <c r="AE1346" i="42"/>
  <c r="AI1346" i="42" s="1"/>
  <c r="AE1345" i="42"/>
  <c r="AI1345" i="42" s="1"/>
  <c r="AE1344" i="42"/>
  <c r="AI1344" i="42" s="1"/>
  <c r="AE1343" i="42"/>
  <c r="AI1343" i="42" s="1"/>
  <c r="AE1342" i="42"/>
  <c r="AI1342" i="42" s="1"/>
  <c r="AE1341" i="42"/>
  <c r="AI1341" i="42" s="1"/>
  <c r="AE1340" i="42"/>
  <c r="AI1340" i="42" s="1"/>
  <c r="AE1339" i="42"/>
  <c r="AI1339" i="42" s="1"/>
  <c r="AE1338" i="42"/>
  <c r="AI1338" i="42" s="1"/>
  <c r="AE1337" i="42"/>
  <c r="AI1337" i="42" s="1"/>
  <c r="AE1336" i="42"/>
  <c r="AI1336" i="42" s="1"/>
  <c r="AE1335" i="42"/>
  <c r="AI1335" i="42" s="1"/>
  <c r="AE1334" i="42"/>
  <c r="AI1334" i="42" s="1"/>
  <c r="AE1333" i="42"/>
  <c r="AI1333" i="42" s="1"/>
  <c r="AE1332" i="42"/>
  <c r="AI1332" i="42" s="1"/>
  <c r="AE1331" i="42"/>
  <c r="AI1331" i="42" s="1"/>
  <c r="AE1330" i="42"/>
  <c r="AI1330" i="42" s="1"/>
  <c r="AE1329" i="42"/>
  <c r="AI1329" i="42" s="1"/>
  <c r="AE1328" i="42"/>
  <c r="AI1328" i="42" s="1"/>
  <c r="AE1327" i="42"/>
  <c r="AI1327" i="42" s="1"/>
  <c r="AE1326" i="42"/>
  <c r="AI1326" i="42" s="1"/>
  <c r="AE1325" i="42"/>
  <c r="AI1325" i="42" s="1"/>
  <c r="AE1324" i="42"/>
  <c r="AI1324" i="42" s="1"/>
  <c r="AE1323" i="42"/>
  <c r="AI1323" i="42" s="1"/>
  <c r="AE1322" i="42"/>
  <c r="AI1322" i="42" s="1"/>
  <c r="AE1321" i="42"/>
  <c r="AI1321" i="42" s="1"/>
  <c r="AE1320" i="42"/>
  <c r="AI1320" i="42" s="1"/>
  <c r="AE1319" i="42"/>
  <c r="AI1319" i="42" s="1"/>
  <c r="AE1318" i="42"/>
  <c r="AI1318" i="42" s="1"/>
  <c r="AE1317" i="42"/>
  <c r="AI1317" i="42" s="1"/>
  <c r="AE1316" i="42"/>
  <c r="AI1316" i="42" s="1"/>
  <c r="AE1315" i="42"/>
  <c r="AI1315" i="42" s="1"/>
  <c r="AE1314" i="42"/>
  <c r="AI1314" i="42" s="1"/>
  <c r="AE1313" i="42"/>
  <c r="AI1313" i="42" s="1"/>
  <c r="AE1312" i="42"/>
  <c r="AI1312" i="42" s="1"/>
  <c r="AE1311" i="42"/>
  <c r="AI1311" i="42" s="1"/>
  <c r="AE1310" i="42"/>
  <c r="AI1310" i="42" s="1"/>
  <c r="AE1309" i="42"/>
  <c r="AI1309" i="42" s="1"/>
  <c r="AE1308" i="42"/>
  <c r="AI1308" i="42" s="1"/>
  <c r="AE1307" i="42"/>
  <c r="AI1307" i="42" s="1"/>
  <c r="AE1306" i="42"/>
  <c r="AI1306" i="42" s="1"/>
  <c r="AE1305" i="42"/>
  <c r="AI1305" i="42" s="1"/>
  <c r="AE1304" i="42"/>
  <c r="AI1304" i="42" s="1"/>
  <c r="AE1303" i="42"/>
  <c r="AI1303" i="42" s="1"/>
  <c r="AE1302" i="42"/>
  <c r="AI1302" i="42" s="1"/>
  <c r="AE1301" i="42"/>
  <c r="AI1301" i="42" s="1"/>
  <c r="AE1300" i="42"/>
  <c r="AI1300" i="42" s="1"/>
  <c r="AE1299" i="42"/>
  <c r="AI1299" i="42" s="1"/>
  <c r="AE1298" i="42"/>
  <c r="AI1298" i="42" s="1"/>
  <c r="AE1297" i="42"/>
  <c r="AI1297" i="42" s="1"/>
  <c r="AE1296" i="42"/>
  <c r="AI1296" i="42" s="1"/>
  <c r="AE1295" i="42"/>
  <c r="AI1295" i="42" s="1"/>
  <c r="AE1294" i="42"/>
  <c r="AI1294" i="42" s="1"/>
  <c r="AE1293" i="42"/>
  <c r="AI1293" i="42" s="1"/>
  <c r="AE1292" i="42"/>
  <c r="AI1292" i="42" s="1"/>
  <c r="AE1291" i="42"/>
  <c r="AI1291" i="42" s="1"/>
  <c r="AE1290" i="42"/>
  <c r="AI1290" i="42" s="1"/>
  <c r="AE1289" i="42"/>
  <c r="AI1289" i="42" s="1"/>
  <c r="AE1288" i="42"/>
  <c r="AI1288" i="42" s="1"/>
  <c r="AE1287" i="42"/>
  <c r="AI1287" i="42" s="1"/>
  <c r="AE1286" i="42"/>
  <c r="AI1286" i="42" s="1"/>
  <c r="AE1285" i="42"/>
  <c r="AI1285" i="42" s="1"/>
  <c r="AE1284" i="42"/>
  <c r="AI1284" i="42" s="1"/>
  <c r="AE1283" i="42"/>
  <c r="AI1283" i="42" s="1"/>
  <c r="AE1282" i="42"/>
  <c r="AI1282" i="42" s="1"/>
  <c r="AE1281" i="42"/>
  <c r="AI1281" i="42" s="1"/>
  <c r="AE1280" i="42"/>
  <c r="AI1280" i="42" s="1"/>
  <c r="AE1279" i="42"/>
  <c r="AI1279" i="42" s="1"/>
  <c r="AE1278" i="42"/>
  <c r="AI1278" i="42" s="1"/>
  <c r="AE1277" i="42"/>
  <c r="AI1277" i="42" s="1"/>
  <c r="AE1276" i="42"/>
  <c r="AI1276" i="42" s="1"/>
  <c r="AE1275" i="42"/>
  <c r="AI1275" i="42" s="1"/>
  <c r="AE1274" i="42"/>
  <c r="AI1274" i="42" s="1"/>
  <c r="AE1273" i="42"/>
  <c r="AI1273" i="42" s="1"/>
  <c r="AE1272" i="42"/>
  <c r="AI1272" i="42" s="1"/>
  <c r="AE1271" i="42"/>
  <c r="AI1271" i="42" s="1"/>
  <c r="AE1270" i="42"/>
  <c r="AI1270" i="42" s="1"/>
  <c r="AE572" i="42"/>
  <c r="AE279" i="42"/>
  <c r="AI279" i="42" s="1"/>
  <c r="P30" i="25"/>
  <c r="L30" i="25"/>
  <c r="X8" i="25"/>
  <c r="W8" i="25"/>
  <c r="T8" i="25"/>
  <c r="S8" i="25"/>
  <c r="Q8" i="25"/>
  <c r="P8" i="25"/>
  <c r="N8" i="25"/>
  <c r="M8" i="25"/>
  <c r="K8" i="25"/>
  <c r="J8" i="25"/>
  <c r="G8" i="25"/>
  <c r="Z188" i="24"/>
  <c r="AA188" i="24" s="1"/>
  <c r="AB188" i="24"/>
  <c r="AD188" i="24"/>
  <c r="AH188" i="24" s="1" a="1"/>
  <c r="AH188" i="24" s="1"/>
  <c r="Z430" i="42"/>
  <c r="AA430" i="42" s="1"/>
  <c r="AB430" i="42"/>
  <c r="AC430" i="42" s="1"/>
  <c r="AD430" i="42"/>
  <c r="AH430" i="42" s="1" a="1"/>
  <c r="AH430" i="42" s="1"/>
  <c r="Z3" i="42"/>
  <c r="AA3" i="42" s="1"/>
  <c r="AB3" i="42"/>
  <c r="AE3" i="42" s="1"/>
  <c r="AF3" i="42" s="1"/>
  <c r="AG3" i="42" s="1"/>
  <c r="AD3" i="42"/>
  <c r="AH3" i="42" s="1" a="1"/>
  <c r="AH3" i="42" s="1"/>
  <c r="Z4" i="42"/>
  <c r="AA4" i="42" s="1"/>
  <c r="AB4" i="42"/>
  <c r="AE4" i="42" s="1"/>
  <c r="AI4" i="42" s="1"/>
  <c r="AD4" i="42"/>
  <c r="AH4" i="42" s="1" a="1"/>
  <c r="AH4" i="42" s="1"/>
  <c r="Z5" i="42"/>
  <c r="AA5" i="42" s="1"/>
  <c r="AB5" i="42"/>
  <c r="AE5" i="42" s="1"/>
  <c r="AI5" i="42" s="1"/>
  <c r="Z6" i="42"/>
  <c r="AA6" i="42" s="1"/>
  <c r="AB6" i="42"/>
  <c r="AE6" i="42" s="1"/>
  <c r="AF6" i="42" s="1"/>
  <c r="AG6" i="42" s="1"/>
  <c r="AD6" i="42"/>
  <c r="AH6" i="42" s="1" a="1"/>
  <c r="AH6" i="42" s="1"/>
  <c r="Z7" i="42"/>
  <c r="AA7" i="42" s="1"/>
  <c r="AB7" i="42"/>
  <c r="AE7" i="42" s="1"/>
  <c r="AF7" i="42" s="1"/>
  <c r="AG7" i="42" s="1"/>
  <c r="AD7" i="42"/>
  <c r="AH7" i="42" s="1" a="1"/>
  <c r="AH7" i="42" s="1"/>
  <c r="Z8" i="42"/>
  <c r="AA8" i="42" s="1"/>
  <c r="AB8" i="42"/>
  <c r="AE8" i="42" s="1"/>
  <c r="AF8" i="42" s="1"/>
  <c r="AG8" i="42" s="1"/>
  <c r="AD8" i="42"/>
  <c r="AH8" i="42" s="1" a="1"/>
  <c r="AH8" i="42" s="1"/>
  <c r="Z9" i="42"/>
  <c r="AA9" i="42" s="1"/>
  <c r="AB9" i="42"/>
  <c r="AE9" i="42" s="1"/>
  <c r="AF9" i="42" s="1"/>
  <c r="AG9" i="42" s="1"/>
  <c r="AD9" i="42"/>
  <c r="AH9" i="42" s="1" a="1"/>
  <c r="AH9" i="42" s="1"/>
  <c r="Z10" i="42"/>
  <c r="AA10" i="42" s="1"/>
  <c r="AB10" i="42"/>
  <c r="AE10" i="42" s="1"/>
  <c r="AI10" i="42" s="1"/>
  <c r="AD10" i="42"/>
  <c r="AH10" i="42" s="1" a="1"/>
  <c r="AH10" i="42" s="1"/>
  <c r="Z11" i="42"/>
  <c r="AA11" i="42" s="1"/>
  <c r="AB11" i="42"/>
  <c r="AE11" i="42" s="1"/>
  <c r="AF11" i="42" s="1"/>
  <c r="AG11" i="42" s="1"/>
  <c r="AD11" i="42"/>
  <c r="AH11" i="42" s="1" a="1"/>
  <c r="AH11" i="42" s="1"/>
  <c r="Z12" i="42"/>
  <c r="AA12" i="42" s="1"/>
  <c r="AB12" i="42"/>
  <c r="AE12" i="42" s="1"/>
  <c r="AI12" i="42" s="1"/>
  <c r="Z13" i="42"/>
  <c r="AA13" i="42" s="1"/>
  <c r="AB13" i="42"/>
  <c r="AD13" i="42"/>
  <c r="AH13" i="42" s="1" a="1"/>
  <c r="AH13" i="42" s="1"/>
  <c r="Z14" i="42"/>
  <c r="AA14" i="42" s="1"/>
  <c r="AB14" i="42"/>
  <c r="AE14" i="42" s="1"/>
  <c r="AF14" i="42" s="1"/>
  <c r="AG14" i="42" s="1"/>
  <c r="AD14" i="42"/>
  <c r="AH14" i="42" s="1" a="1"/>
  <c r="AH14" i="42" s="1"/>
  <c r="Z15" i="42"/>
  <c r="AA15" i="42" s="1"/>
  <c r="AB15" i="42"/>
  <c r="AE15" i="42" s="1"/>
  <c r="AF15" i="42" s="1"/>
  <c r="AG15" i="42" s="1"/>
  <c r="AD15" i="42"/>
  <c r="AH15" i="42" s="1" a="1"/>
  <c r="AH15" i="42" s="1"/>
  <c r="Z16" i="42"/>
  <c r="AA16" i="42" s="1"/>
  <c r="AB16" i="42"/>
  <c r="AE16" i="42" s="1"/>
  <c r="AF16" i="42" s="1"/>
  <c r="AG16" i="42" s="1"/>
  <c r="AD16" i="42"/>
  <c r="AH16" i="42" s="1" a="1"/>
  <c r="AH16" i="42" s="1"/>
  <c r="Z17" i="42"/>
  <c r="AA17" i="42" s="1"/>
  <c r="AB17" i="42"/>
  <c r="AE17" i="42" s="1"/>
  <c r="AF17" i="42" s="1"/>
  <c r="AG17" i="42" s="1"/>
  <c r="AD17" i="42"/>
  <c r="AH17" i="42" s="1" a="1"/>
  <c r="AH17" i="42" s="1"/>
  <c r="Z18" i="42"/>
  <c r="AA18" i="42" s="1"/>
  <c r="AB18" i="42"/>
  <c r="AE18" i="42" s="1"/>
  <c r="AI18" i="42" s="1"/>
  <c r="AD18" i="42"/>
  <c r="AH18" i="42" s="1" a="1"/>
  <c r="AH18" i="42" s="1"/>
  <c r="Z19" i="42"/>
  <c r="AA19" i="42" s="1"/>
  <c r="AB19" i="42"/>
  <c r="AE19" i="42" s="1"/>
  <c r="AF19" i="42" s="1"/>
  <c r="AG19" i="42" s="1"/>
  <c r="AD19" i="42"/>
  <c r="AH19" i="42" s="1" a="1"/>
  <c r="AH19" i="42" s="1"/>
  <c r="Z20" i="42"/>
  <c r="AA20" i="42" s="1"/>
  <c r="AB20" i="42"/>
  <c r="AE20" i="42" s="1"/>
  <c r="AI20" i="42" s="1"/>
  <c r="AD20" i="42"/>
  <c r="AH20" i="42" s="1" a="1"/>
  <c r="AH20" i="42" s="1"/>
  <c r="Z21" i="42"/>
  <c r="AA21" i="42" s="1"/>
  <c r="AB21" i="42"/>
  <c r="AD21" i="42"/>
  <c r="AH21" i="42" s="1" a="1"/>
  <c r="AH21" i="42" s="1"/>
  <c r="Z22" i="42"/>
  <c r="AA22" i="42" s="1"/>
  <c r="AB22" i="42"/>
  <c r="AE22" i="42" s="1"/>
  <c r="AF22" i="42" s="1"/>
  <c r="AG22" i="42" s="1"/>
  <c r="AD22" i="42"/>
  <c r="AH22" i="42" s="1" a="1"/>
  <c r="AH22" i="42" s="1"/>
  <c r="Z23" i="42"/>
  <c r="AA23" i="42" s="1"/>
  <c r="AB23" i="42"/>
  <c r="AE23" i="42" s="1"/>
  <c r="AF23" i="42" s="1"/>
  <c r="AG23" i="42" s="1"/>
  <c r="AD23" i="42"/>
  <c r="AH23" i="42" s="1" a="1"/>
  <c r="AH23" i="42" s="1"/>
  <c r="Z24" i="42"/>
  <c r="AA24" i="42" s="1"/>
  <c r="AB24" i="42"/>
  <c r="AE24" i="42" s="1"/>
  <c r="AF24" i="42" s="1"/>
  <c r="AG24" i="42" s="1"/>
  <c r="AD24" i="42"/>
  <c r="AH24" i="42" s="1" a="1"/>
  <c r="AH24" i="42" s="1"/>
  <c r="Z25" i="42"/>
  <c r="AA25" i="42" s="1"/>
  <c r="AB25" i="42"/>
  <c r="AE25" i="42" s="1"/>
  <c r="AF25" i="42" s="1"/>
  <c r="AG25" i="42" s="1"/>
  <c r="AD25" i="42"/>
  <c r="AH25" i="42" s="1" a="1"/>
  <c r="AH25" i="42" s="1"/>
  <c r="Z26" i="42"/>
  <c r="AA26" i="42" s="1"/>
  <c r="AB26" i="42"/>
  <c r="AE26" i="42" s="1"/>
  <c r="AI26" i="42" s="1"/>
  <c r="AD26" i="42"/>
  <c r="AH26" i="42" s="1" a="1"/>
  <c r="AH26" i="42" s="1"/>
  <c r="Z27" i="42"/>
  <c r="AA27" i="42" s="1"/>
  <c r="AB27" i="42"/>
  <c r="AE27" i="42" s="1"/>
  <c r="AF27" i="42" s="1"/>
  <c r="AG27" i="42" s="1"/>
  <c r="AD27" i="42"/>
  <c r="AH27" i="42" s="1" a="1"/>
  <c r="AH27" i="42" s="1"/>
  <c r="Z28" i="42"/>
  <c r="AA28" i="42" s="1"/>
  <c r="AB28" i="42"/>
  <c r="AE28" i="42" s="1"/>
  <c r="AI28" i="42" s="1"/>
  <c r="AD28" i="42"/>
  <c r="AH28" i="42" s="1" a="1"/>
  <c r="AH28" i="42" s="1"/>
  <c r="Z29" i="42"/>
  <c r="AA29" i="42" s="1"/>
  <c r="AB29" i="42"/>
  <c r="AD29" i="42"/>
  <c r="AH29" i="42" s="1" a="1"/>
  <c r="AH29" i="42" s="1"/>
  <c r="Z30" i="42"/>
  <c r="AA30" i="42" s="1"/>
  <c r="AB30" i="42"/>
  <c r="AD30" i="42"/>
  <c r="AH30" i="42" s="1" a="1"/>
  <c r="AH30" i="42" s="1"/>
  <c r="Z31" i="42"/>
  <c r="AA31" i="42" s="1"/>
  <c r="AB31" i="42"/>
  <c r="AE31" i="42" s="1"/>
  <c r="AI31" i="42" s="1"/>
  <c r="AD31" i="42"/>
  <c r="AH31" i="42" s="1" a="1"/>
  <c r="AH31" i="42" s="1"/>
  <c r="Z32" i="42"/>
  <c r="AA32" i="42" s="1"/>
  <c r="AB32" i="42"/>
  <c r="AE32" i="42" s="1"/>
  <c r="AF32" i="42" s="1"/>
  <c r="AG32" i="42" s="1"/>
  <c r="AD32" i="42"/>
  <c r="AH32" i="42" s="1" a="1"/>
  <c r="AH32" i="42" s="1"/>
  <c r="Z33" i="42"/>
  <c r="AA33" i="42" s="1"/>
  <c r="AB33" i="42"/>
  <c r="AE33" i="42" s="1"/>
  <c r="AF33" i="42" s="1"/>
  <c r="AG33" i="42" s="1"/>
  <c r="AD33" i="42"/>
  <c r="AH33" i="42" s="1" a="1"/>
  <c r="AH33" i="42" s="1"/>
  <c r="Z34" i="42"/>
  <c r="AA34" i="42" s="1"/>
  <c r="AB34" i="42"/>
  <c r="AE34" i="42" s="1"/>
  <c r="AI34" i="42" s="1"/>
  <c r="AD34" i="42"/>
  <c r="AH34" i="42" s="1" a="1"/>
  <c r="AH34" i="42" s="1"/>
  <c r="Z35" i="42"/>
  <c r="AA35" i="42" s="1"/>
  <c r="AB35" i="42"/>
  <c r="AE35" i="42" s="1"/>
  <c r="AF35" i="42" s="1"/>
  <c r="AG35" i="42" s="1"/>
  <c r="AD35" i="42"/>
  <c r="AH35" i="42" s="1" a="1"/>
  <c r="AH35" i="42" s="1"/>
  <c r="Z36" i="42"/>
  <c r="AA36" i="42" s="1"/>
  <c r="AB36" i="42"/>
  <c r="AE36" i="42" s="1"/>
  <c r="AI36" i="42" s="1"/>
  <c r="AD36" i="42"/>
  <c r="AH36" i="42" s="1" a="1"/>
  <c r="AH36" i="42" s="1"/>
  <c r="Z37" i="42"/>
  <c r="AA37" i="42" s="1"/>
  <c r="AB37" i="42"/>
  <c r="AD37" i="42"/>
  <c r="AH37" i="42" s="1" a="1"/>
  <c r="AH37" i="42" s="1"/>
  <c r="Z38" i="42"/>
  <c r="AA38" i="42" s="1"/>
  <c r="AB38" i="42"/>
  <c r="AD38" i="42"/>
  <c r="AH38" i="42" s="1" a="1"/>
  <c r="AH38" i="42" s="1"/>
  <c r="Z39" i="42"/>
  <c r="AA39" i="42" s="1"/>
  <c r="AB39" i="42"/>
  <c r="AE39" i="42" s="1"/>
  <c r="AF39" i="42" s="1"/>
  <c r="AG39" i="42" s="1"/>
  <c r="AD39" i="42"/>
  <c r="AH39" i="42" s="1" a="1"/>
  <c r="AH39" i="42" s="1"/>
  <c r="Z40" i="42"/>
  <c r="AA40" i="42" s="1"/>
  <c r="AB40" i="42"/>
  <c r="AE40" i="42" s="1"/>
  <c r="AF40" i="42" s="1"/>
  <c r="AG40" i="42" s="1"/>
  <c r="AD40" i="42"/>
  <c r="AH40" i="42" s="1" a="1"/>
  <c r="AH40" i="42" s="1"/>
  <c r="Z41" i="42"/>
  <c r="AA41" i="42" s="1"/>
  <c r="AB41" i="42"/>
  <c r="AE41" i="42" s="1"/>
  <c r="AF41" i="42" s="1"/>
  <c r="AG41" i="42" s="1"/>
  <c r="AD41" i="42"/>
  <c r="AH41" i="42" s="1" a="1"/>
  <c r="AH41" i="42" s="1"/>
  <c r="Z42" i="42"/>
  <c r="AA42" i="42" s="1"/>
  <c r="AB42" i="42"/>
  <c r="AE42" i="42" s="1"/>
  <c r="AI42" i="42" s="1"/>
  <c r="AD42" i="42"/>
  <c r="AH42" i="42" s="1" a="1"/>
  <c r="AH42" i="42" s="1"/>
  <c r="Z43" i="42"/>
  <c r="AA43" i="42" s="1"/>
  <c r="AB43" i="42"/>
  <c r="AE43" i="42" s="1"/>
  <c r="AF43" i="42" s="1"/>
  <c r="AG43" i="42" s="1"/>
  <c r="AD43" i="42"/>
  <c r="AH43" i="42" s="1" a="1"/>
  <c r="AH43" i="42" s="1"/>
  <c r="Z44" i="42"/>
  <c r="AA44" i="42" s="1"/>
  <c r="AB44" i="42"/>
  <c r="AE44" i="42" s="1"/>
  <c r="AI44" i="42" s="1"/>
  <c r="AD44" i="42"/>
  <c r="AH44" i="42" s="1" a="1"/>
  <c r="AH44" i="42" s="1"/>
  <c r="Z45" i="42"/>
  <c r="AA45" i="42" s="1"/>
  <c r="AB45" i="42"/>
  <c r="AD45" i="42"/>
  <c r="AH45" i="42" s="1" a="1"/>
  <c r="AH45" i="42" s="1"/>
  <c r="Z46" i="42"/>
  <c r="AA46" i="42" s="1"/>
  <c r="AB46" i="42"/>
  <c r="AD46" i="42"/>
  <c r="AH46" i="42" s="1" a="1"/>
  <c r="AH46" i="42" s="1"/>
  <c r="Z47" i="42"/>
  <c r="AA47" i="42" s="1"/>
  <c r="AB47" i="42"/>
  <c r="AE47" i="42" s="1"/>
  <c r="AF47" i="42" s="1"/>
  <c r="AG47" i="42" s="1"/>
  <c r="AD47" i="42"/>
  <c r="AH47" i="42" s="1" a="1"/>
  <c r="AH47" i="42" s="1"/>
  <c r="Z48" i="42"/>
  <c r="AA48" i="42" s="1"/>
  <c r="AB48" i="42"/>
  <c r="AE48" i="42" s="1"/>
  <c r="AF48" i="42" s="1"/>
  <c r="AG48" i="42" s="1"/>
  <c r="AD48" i="42"/>
  <c r="AH48" i="42" s="1" a="1"/>
  <c r="AH48" i="42" s="1"/>
  <c r="Z49" i="42"/>
  <c r="AA49" i="42" s="1"/>
  <c r="AB49" i="42"/>
  <c r="AE49" i="42" s="1"/>
  <c r="AF49" i="42" s="1"/>
  <c r="AG49" i="42" s="1"/>
  <c r="AD49" i="42"/>
  <c r="AH49" i="42" s="1" a="1"/>
  <c r="AH49" i="42" s="1"/>
  <c r="Z50" i="42"/>
  <c r="AA50" i="42" s="1"/>
  <c r="AB50" i="42"/>
  <c r="AE50" i="42" s="1"/>
  <c r="AF50" i="42" s="1"/>
  <c r="AG50" i="42" s="1"/>
  <c r="AD50" i="42"/>
  <c r="AH50" i="42" s="1" a="1"/>
  <c r="AH50" i="42" s="1"/>
  <c r="Z51" i="42"/>
  <c r="AA51" i="42" s="1"/>
  <c r="AB51" i="42"/>
  <c r="AE51" i="42" s="1"/>
  <c r="AF51" i="42" s="1"/>
  <c r="AG51" i="42" s="1"/>
  <c r="AD51" i="42"/>
  <c r="AH51" i="42" s="1" a="1"/>
  <c r="AH51" i="42" s="1"/>
  <c r="Z52" i="42"/>
  <c r="AA52" i="42" s="1"/>
  <c r="AB52" i="42"/>
  <c r="AE52" i="42" s="1"/>
  <c r="AI52" i="42" s="1"/>
  <c r="AD52" i="42"/>
  <c r="AH52" i="42" s="1" a="1"/>
  <c r="AH52" i="42" s="1"/>
  <c r="Z53" i="42"/>
  <c r="AA53" i="42" s="1"/>
  <c r="AB53" i="42"/>
  <c r="AD53" i="42"/>
  <c r="AH53" i="42" s="1" a="1"/>
  <c r="AH53" i="42" s="1"/>
  <c r="Z54" i="42"/>
  <c r="AA54" i="42" s="1"/>
  <c r="AB54" i="42"/>
  <c r="AD54" i="42"/>
  <c r="AH54" i="42" s="1" a="1"/>
  <c r="AH54" i="42" s="1"/>
  <c r="Z55" i="42"/>
  <c r="AA55" i="42" s="1"/>
  <c r="AB55" i="42"/>
  <c r="AE55" i="42" s="1"/>
  <c r="AF55" i="42" s="1"/>
  <c r="AG55" i="42" s="1"/>
  <c r="AD55" i="42"/>
  <c r="AH55" i="42" s="1" a="1"/>
  <c r="AH55" i="42" s="1"/>
  <c r="Z56" i="42"/>
  <c r="AA56" i="42" s="1"/>
  <c r="AB56" i="42"/>
  <c r="AE56" i="42" s="1"/>
  <c r="AJ56" i="42" s="1"/>
  <c r="AD56" i="42"/>
  <c r="AH56" i="42" s="1" a="1"/>
  <c r="AH56" i="42" s="1"/>
  <c r="Z57" i="42"/>
  <c r="AA57" i="42" s="1"/>
  <c r="AB57" i="42"/>
  <c r="AE57" i="42" s="1"/>
  <c r="AJ57" i="42" s="1"/>
  <c r="AD57" i="42"/>
  <c r="AH57" i="42" s="1" a="1"/>
  <c r="AH57" i="42" s="1"/>
  <c r="Z58" i="42"/>
  <c r="AA58" i="42" s="1"/>
  <c r="AB58" i="42"/>
  <c r="AD58" i="42"/>
  <c r="AH58" i="42" s="1" a="1"/>
  <c r="AH58" i="42" s="1"/>
  <c r="Z59" i="42"/>
  <c r="AA59" i="42" s="1"/>
  <c r="AB59" i="42"/>
  <c r="AE59" i="42" s="1"/>
  <c r="AJ59" i="42" s="1"/>
  <c r="AD59" i="42"/>
  <c r="AH59" i="42" s="1" a="1"/>
  <c r="AH59" i="42" s="1"/>
  <c r="Z60" i="42"/>
  <c r="AA60" i="42" s="1"/>
  <c r="AB60" i="42"/>
  <c r="AD60" i="42"/>
  <c r="AH60" i="42" s="1" a="1"/>
  <c r="AH60" i="42" s="1"/>
  <c r="Z61" i="42"/>
  <c r="AA61" i="42" s="1"/>
  <c r="AB61" i="42"/>
  <c r="AE61" i="42" s="1"/>
  <c r="AF61" i="42" s="1"/>
  <c r="AG61" i="42" s="1"/>
  <c r="AD61" i="42"/>
  <c r="AH61" i="42" s="1" a="1"/>
  <c r="AH61" i="42" s="1"/>
  <c r="Z62" i="42"/>
  <c r="AA62" i="42" s="1"/>
  <c r="AB62" i="42"/>
  <c r="AE62" i="42" s="1"/>
  <c r="AD62" i="42"/>
  <c r="AH62" i="42" s="1" a="1"/>
  <c r="AH62" i="42" s="1"/>
  <c r="Z63" i="42"/>
  <c r="AA63" i="42" s="1"/>
  <c r="AB63" i="42"/>
  <c r="AE63" i="42" s="1"/>
  <c r="AI63" i="42" s="1"/>
  <c r="AD63" i="42"/>
  <c r="AH63" i="42" s="1" a="1"/>
  <c r="AH63" i="42" s="1"/>
  <c r="Z64" i="42"/>
  <c r="AA64" i="42" s="1"/>
  <c r="AB64" i="42"/>
  <c r="AD64" i="42"/>
  <c r="AH64" i="42" s="1" a="1"/>
  <c r="AH64" i="42" s="1"/>
  <c r="Z65" i="42"/>
  <c r="AA65" i="42" s="1"/>
  <c r="AB65" i="42"/>
  <c r="AE65" i="42" s="1"/>
  <c r="AJ65" i="42" s="1"/>
  <c r="AD65" i="42"/>
  <c r="AH65" i="42" s="1" a="1"/>
  <c r="AH65" i="42" s="1"/>
  <c r="Z66" i="42"/>
  <c r="AA66" i="42" s="1"/>
  <c r="AB66" i="42"/>
  <c r="AD66" i="42"/>
  <c r="AH66" i="42" s="1" a="1"/>
  <c r="AH66" i="42" s="1"/>
  <c r="Z67" i="42"/>
  <c r="AA67" i="42" s="1"/>
  <c r="AB67" i="42"/>
  <c r="AE67" i="42" s="1"/>
  <c r="AI67" i="42" s="1"/>
  <c r="AD67" i="42"/>
  <c r="AH67" i="42" s="1" a="1"/>
  <c r="AH67" i="42" s="1"/>
  <c r="Z68" i="42"/>
  <c r="AA68" i="42" s="1"/>
  <c r="AB68" i="42"/>
  <c r="AE68" i="42" s="1"/>
  <c r="AJ68" i="42" s="1"/>
  <c r="AD68" i="42"/>
  <c r="AH68" i="42" s="1" a="1"/>
  <c r="AH68" i="42" s="1"/>
  <c r="Z69" i="42"/>
  <c r="AA69" i="42" s="1"/>
  <c r="AB69" i="42"/>
  <c r="AE69" i="42" s="1"/>
  <c r="AI69" i="42" s="1"/>
  <c r="AD69" i="42"/>
  <c r="AH69" i="42" s="1" a="1"/>
  <c r="AH69" i="42" s="1"/>
  <c r="Z70" i="42"/>
  <c r="AA70" i="42" s="1"/>
  <c r="AB70" i="42"/>
  <c r="AE70" i="42" s="1"/>
  <c r="AJ70" i="42" s="1"/>
  <c r="AD70" i="42"/>
  <c r="AH70" i="42" s="1" a="1"/>
  <c r="AH70" i="42" s="1"/>
  <c r="Z71" i="42"/>
  <c r="AA71" i="42" s="1"/>
  <c r="AB71" i="42"/>
  <c r="AE71" i="42" s="1"/>
  <c r="AD71" i="42"/>
  <c r="AH71" i="42" s="1" a="1"/>
  <c r="AH71" i="42" s="1"/>
  <c r="Z72" i="42"/>
  <c r="AA72" i="42" s="1"/>
  <c r="AB72" i="42"/>
  <c r="AE72" i="42" s="1"/>
  <c r="AI72" i="42" s="1"/>
  <c r="AD72" i="42"/>
  <c r="AH72" i="42" s="1" a="1"/>
  <c r="AH72" i="42" s="1"/>
  <c r="Z73" i="42"/>
  <c r="AA73" i="42" s="1"/>
  <c r="AB73" i="42"/>
  <c r="AD73" i="42"/>
  <c r="AH73" i="42" s="1" a="1"/>
  <c r="AH73" i="42" s="1"/>
  <c r="Z74" i="42"/>
  <c r="AA74" i="42" s="1"/>
  <c r="AB74" i="42"/>
  <c r="AE74" i="42" s="1"/>
  <c r="AI74" i="42" s="1"/>
  <c r="AD74" i="42"/>
  <c r="AH74" i="42" s="1" a="1"/>
  <c r="AH74" i="42" s="1"/>
  <c r="Z75" i="42"/>
  <c r="AA75" i="42" s="1"/>
  <c r="AB75" i="42"/>
  <c r="AE75" i="42" s="1"/>
  <c r="AD75" i="42"/>
  <c r="AH75" i="42" s="1" a="1"/>
  <c r="AH75" i="42" s="1"/>
  <c r="Z76" i="42"/>
  <c r="AA76" i="42" s="1"/>
  <c r="AB76" i="42"/>
  <c r="AE76" i="42" s="1"/>
  <c r="AF76" i="42" s="1"/>
  <c r="AG76" i="42" s="1"/>
  <c r="AD76" i="42"/>
  <c r="AH76" i="42" s="1" a="1"/>
  <c r="AH76" i="42" s="1"/>
  <c r="Z77" i="42"/>
  <c r="AA77" i="42" s="1"/>
  <c r="AB77" i="42"/>
  <c r="AE77" i="42" s="1"/>
  <c r="AD77" i="42"/>
  <c r="AH77" i="42" s="1" a="1"/>
  <c r="AH77" i="42" s="1"/>
  <c r="Z78" i="42"/>
  <c r="AA78" i="42" s="1"/>
  <c r="AB78" i="42"/>
  <c r="AD78" i="42"/>
  <c r="AH78" i="42" s="1" a="1"/>
  <c r="AH78" i="42" s="1"/>
  <c r="Z79" i="42"/>
  <c r="AA79" i="42" s="1"/>
  <c r="AB79" i="42"/>
  <c r="AD79" i="42"/>
  <c r="AH79" i="42" s="1" a="1"/>
  <c r="AH79" i="42" s="1"/>
  <c r="Z80" i="42"/>
  <c r="AA80" i="42" s="1"/>
  <c r="AB80" i="42"/>
  <c r="AE80" i="42" s="1"/>
  <c r="AJ80" i="42" s="1"/>
  <c r="AD80" i="42"/>
  <c r="AH80" i="42" s="1" a="1"/>
  <c r="AH80" i="42" s="1"/>
  <c r="Z81" i="42"/>
  <c r="AA81" i="42" s="1"/>
  <c r="AB81" i="42"/>
  <c r="AD81" i="42"/>
  <c r="AH81" i="42" s="1" a="1"/>
  <c r="AH81" i="42" s="1"/>
  <c r="Z82" i="42"/>
  <c r="AA82" i="42" s="1"/>
  <c r="AB82" i="42"/>
  <c r="AD82" i="42"/>
  <c r="AH82" i="42" s="1" a="1"/>
  <c r="AH82" i="42" s="1"/>
  <c r="Z83" i="42"/>
  <c r="AA83" i="42" s="1"/>
  <c r="AB83" i="42"/>
  <c r="AE83" i="42" s="1"/>
  <c r="AJ83" i="42" s="1"/>
  <c r="AD83" i="42"/>
  <c r="AH83" i="42" s="1" a="1"/>
  <c r="AH83" i="42" s="1"/>
  <c r="Z84" i="42"/>
  <c r="AA84" i="42" s="1"/>
  <c r="AB84" i="42"/>
  <c r="AD84" i="42"/>
  <c r="AH84" i="42" s="1" a="1"/>
  <c r="AH84" i="42" s="1"/>
  <c r="Z85" i="42"/>
  <c r="AA85" i="42" s="1"/>
  <c r="AB85" i="42"/>
  <c r="AE85" i="42" s="1"/>
  <c r="AI85" i="42" s="1"/>
  <c r="AD85" i="42"/>
  <c r="AH85" i="42" s="1" a="1"/>
  <c r="AH85" i="42" s="1"/>
  <c r="Z86" i="42"/>
  <c r="AA86" i="42" s="1"/>
  <c r="AB86" i="42"/>
  <c r="AE86" i="42" s="1"/>
  <c r="AJ86" i="42" s="1"/>
  <c r="AD86" i="42"/>
  <c r="AH86" i="42" s="1" a="1"/>
  <c r="AH86" i="42" s="1"/>
  <c r="Z87" i="42"/>
  <c r="AA87" i="42" s="1"/>
  <c r="AB87" i="42"/>
  <c r="AE87" i="42" s="1"/>
  <c r="AD87" i="42"/>
  <c r="AH87" i="42" s="1" a="1"/>
  <c r="AH87" i="42" s="1"/>
  <c r="Z88" i="42"/>
  <c r="AA88" i="42" s="1"/>
  <c r="AB88" i="42"/>
  <c r="AD88" i="42"/>
  <c r="AH88" i="42" s="1" a="1"/>
  <c r="AH88" i="42" s="1"/>
  <c r="Z89" i="42"/>
  <c r="AA89" i="42" s="1"/>
  <c r="AB89" i="42"/>
  <c r="AE89" i="42" s="1"/>
  <c r="AF89" i="42" s="1"/>
  <c r="AG89" i="42" s="1"/>
  <c r="AD89" i="42"/>
  <c r="AH89" i="42" s="1" a="1"/>
  <c r="AH89" i="42" s="1"/>
  <c r="Z90" i="42"/>
  <c r="AA90" i="42" s="1"/>
  <c r="AB90" i="42"/>
  <c r="AD90" i="42"/>
  <c r="AH90" i="42" s="1" a="1"/>
  <c r="AH90" i="42" s="1"/>
  <c r="Z91" i="42"/>
  <c r="AA91" i="42" s="1"/>
  <c r="AB91" i="42"/>
  <c r="AD91" i="42"/>
  <c r="AH91" i="42" s="1" a="1"/>
  <c r="AH91" i="42" s="1"/>
  <c r="Z92" i="42"/>
  <c r="AA92" i="42" s="1"/>
  <c r="AB92" i="42"/>
  <c r="AD92" i="42"/>
  <c r="AH92" i="42" s="1" a="1"/>
  <c r="AH92" i="42" s="1"/>
  <c r="Z93" i="42"/>
  <c r="AA93" i="42" s="1"/>
  <c r="AB93" i="42"/>
  <c r="AE93" i="42" s="1"/>
  <c r="AJ93" i="42" s="1"/>
  <c r="AD93" i="42"/>
  <c r="AH93" i="42" s="1" a="1"/>
  <c r="AH93" i="42" s="1"/>
  <c r="Z94" i="42"/>
  <c r="AA94" i="42" s="1"/>
  <c r="AB94" i="42"/>
  <c r="AE94" i="42" s="1"/>
  <c r="AI94" i="42" s="1"/>
  <c r="AD94" i="42"/>
  <c r="AH94" i="42" s="1" a="1"/>
  <c r="AH94" i="42" s="1"/>
  <c r="Z95" i="42"/>
  <c r="AA95" i="42" s="1"/>
  <c r="AB95" i="42"/>
  <c r="AD95" i="42"/>
  <c r="AH95" i="42" s="1" a="1"/>
  <c r="AH95" i="42" s="1"/>
  <c r="Z96" i="42"/>
  <c r="AA96" i="42" s="1"/>
  <c r="AB96" i="42"/>
  <c r="AD96" i="42"/>
  <c r="AH96" i="42" s="1" a="1"/>
  <c r="AH96" i="42" s="1"/>
  <c r="Z97" i="42"/>
  <c r="AA97" i="42" s="1"/>
  <c r="AB97" i="42"/>
  <c r="AD97" i="42"/>
  <c r="AH97" i="42" s="1" a="1"/>
  <c r="AH97" i="42" s="1"/>
  <c r="Z98" i="42"/>
  <c r="AA98" i="42" s="1"/>
  <c r="AB98" i="42"/>
  <c r="AD98" i="42"/>
  <c r="AH98" i="42" s="1" a="1"/>
  <c r="AH98" i="42" s="1"/>
  <c r="Z99" i="42"/>
  <c r="AA99" i="42" s="1"/>
  <c r="AB99" i="42"/>
  <c r="AC99" i="42" s="1"/>
  <c r="AD99" i="42"/>
  <c r="AH99" i="42" s="1" a="1"/>
  <c r="AH99" i="42" s="1"/>
  <c r="Z100" i="42"/>
  <c r="AA100" i="42" s="1"/>
  <c r="AB100" i="42"/>
  <c r="AC100" i="42" s="1"/>
  <c r="AD100" i="42"/>
  <c r="AH100" i="42" s="1" a="1"/>
  <c r="AH100" i="42" s="1"/>
  <c r="Z101" i="42"/>
  <c r="AA101" i="42" s="1"/>
  <c r="AB101" i="42"/>
  <c r="AC101" i="42" s="1"/>
  <c r="AD101" i="42"/>
  <c r="AH101" i="42" s="1" a="1"/>
  <c r="AH101" i="42" s="1"/>
  <c r="Z102" i="42"/>
  <c r="AA102" i="42" s="1"/>
  <c r="AB102" i="42"/>
  <c r="AC102" i="42" s="1"/>
  <c r="AD102" i="42"/>
  <c r="AH102" i="42" s="1" a="1"/>
  <c r="AH102" i="42" s="1"/>
  <c r="Z103" i="42"/>
  <c r="AA103" i="42" s="1"/>
  <c r="AB103" i="42"/>
  <c r="AE103" i="42" s="1"/>
  <c r="AI103" i="42" s="1"/>
  <c r="AD103" i="42"/>
  <c r="AH103" i="42" s="1" a="1"/>
  <c r="AH103" i="42" s="1"/>
  <c r="Z104" i="42"/>
  <c r="AA104" i="42" s="1"/>
  <c r="AB104" i="42"/>
  <c r="AE104" i="42" s="1"/>
  <c r="AJ104" i="42" s="1"/>
  <c r="AD104" i="42"/>
  <c r="AH104" i="42" s="1" a="1"/>
  <c r="AH104" i="42" s="1"/>
  <c r="Z105" i="42"/>
  <c r="AA105" i="42" s="1"/>
  <c r="AB105" i="42"/>
  <c r="AD105" i="42"/>
  <c r="AH105" i="42" s="1" a="1"/>
  <c r="AH105" i="42" s="1"/>
  <c r="Z106" i="42"/>
  <c r="AA106" i="42" s="1"/>
  <c r="AB106" i="42"/>
  <c r="AC106" i="42" s="1"/>
  <c r="AD106" i="42"/>
  <c r="AH106" i="42" s="1" a="1"/>
  <c r="AH106" i="42" s="1"/>
  <c r="Z107" i="42"/>
  <c r="AA107" i="42" s="1"/>
  <c r="AB107" i="42"/>
  <c r="AC107" i="42" s="1"/>
  <c r="AD107" i="42"/>
  <c r="AH107" i="42" s="1" a="1"/>
  <c r="AH107" i="42" s="1"/>
  <c r="Z108" i="42"/>
  <c r="AA108" i="42" s="1"/>
  <c r="AB108" i="42"/>
  <c r="AC108" i="42" s="1"/>
  <c r="AD108" i="42"/>
  <c r="AH108" i="42" s="1" a="1"/>
  <c r="AH108" i="42" s="1"/>
  <c r="Z109" i="42"/>
  <c r="AA109" i="42" s="1"/>
  <c r="AB109" i="42"/>
  <c r="AC109" i="42" s="1"/>
  <c r="AD109" i="42"/>
  <c r="AH109" i="42" s="1" a="1"/>
  <c r="AH109" i="42" s="1"/>
  <c r="Z110" i="42"/>
  <c r="AA110" i="42" s="1"/>
  <c r="AB110" i="42"/>
  <c r="AC110" i="42" s="1"/>
  <c r="AD110" i="42"/>
  <c r="AH110" i="42" s="1" a="1"/>
  <c r="AH110" i="42" s="1"/>
  <c r="Z111" i="42"/>
  <c r="AA111" i="42" s="1"/>
  <c r="AB111" i="42"/>
  <c r="AC111" i="42" s="1"/>
  <c r="AD111" i="42"/>
  <c r="AH111" i="42" s="1" a="1"/>
  <c r="AH111" i="42" s="1"/>
  <c r="Z112" i="42"/>
  <c r="AA112" i="42" s="1"/>
  <c r="AB112" i="42"/>
  <c r="AC112" i="42" s="1"/>
  <c r="AD112" i="42"/>
  <c r="AH112" i="42" s="1" a="1"/>
  <c r="AH112" i="42" s="1"/>
  <c r="Z113" i="42"/>
  <c r="AA113" i="42" s="1"/>
  <c r="AB113" i="42"/>
  <c r="AE113" i="42" s="1"/>
  <c r="AI113" i="42" s="1"/>
  <c r="AD113" i="42"/>
  <c r="AH113" i="42" s="1" a="1"/>
  <c r="AH113" i="42" s="1"/>
  <c r="Z114" i="42"/>
  <c r="AA114" i="42" s="1"/>
  <c r="AB114" i="42"/>
  <c r="AE114" i="42" s="1"/>
  <c r="AI114" i="42" s="1"/>
  <c r="AD114" i="42"/>
  <c r="AH114" i="42" s="1" a="1"/>
  <c r="AH114" i="42" s="1"/>
  <c r="Z115" i="42"/>
  <c r="AA115" i="42" s="1"/>
  <c r="AB115" i="42"/>
  <c r="AE115" i="42" s="1"/>
  <c r="AJ115" i="42" s="1"/>
  <c r="AD115" i="42"/>
  <c r="AH115" i="42" s="1" a="1"/>
  <c r="AH115" i="42" s="1"/>
  <c r="Z116" i="42"/>
  <c r="AA116" i="42" s="1"/>
  <c r="AB116" i="42"/>
  <c r="AE116" i="42" s="1"/>
  <c r="AI116" i="42" s="1"/>
  <c r="AD116" i="42"/>
  <c r="AH116" i="42" s="1" a="1"/>
  <c r="AH116" i="42" s="1"/>
  <c r="Z117" i="42"/>
  <c r="AA117" i="42" s="1"/>
  <c r="AB117" i="42"/>
  <c r="AE117" i="42" s="1"/>
  <c r="AI117" i="42" s="1"/>
  <c r="AD117" i="42"/>
  <c r="AH117" i="42" s="1" a="1"/>
  <c r="AH117" i="42" s="1"/>
  <c r="Z118" i="42"/>
  <c r="AA118" i="42" s="1"/>
  <c r="AB118" i="42"/>
  <c r="AE118" i="42" s="1"/>
  <c r="AJ118" i="42" s="1"/>
  <c r="AD118" i="42"/>
  <c r="AH118" i="42" s="1" a="1"/>
  <c r="AH118" i="42" s="1"/>
  <c r="Z119" i="42"/>
  <c r="AA119" i="42" s="1"/>
  <c r="AB119" i="42"/>
  <c r="AE119" i="42" s="1"/>
  <c r="AF119" i="42" s="1"/>
  <c r="AG119" i="42" s="1"/>
  <c r="AD119" i="42"/>
  <c r="AH119" i="42" s="1" a="1"/>
  <c r="AH119" i="42" s="1"/>
  <c r="Z120" i="42"/>
  <c r="AA120" i="42" s="1"/>
  <c r="AB120" i="42"/>
  <c r="AE120" i="42" s="1"/>
  <c r="AI120" i="42" s="1"/>
  <c r="AD120" i="42"/>
  <c r="AH120" i="42" s="1" a="1"/>
  <c r="AH120" i="42" s="1"/>
  <c r="Z121" i="42"/>
  <c r="AA121" i="42" s="1"/>
  <c r="AB121" i="42"/>
  <c r="AC121" i="42" s="1"/>
  <c r="AD121" i="42"/>
  <c r="AH121" i="42" s="1" a="1"/>
  <c r="AH121" i="42" s="1"/>
  <c r="Z122" i="42"/>
  <c r="AA122" i="42" s="1"/>
  <c r="AB122" i="42"/>
  <c r="AE122" i="42" s="1"/>
  <c r="AI122" i="42" s="1"/>
  <c r="AD122" i="42"/>
  <c r="AH122" i="42" s="1" a="1"/>
  <c r="AH122" i="42" s="1"/>
  <c r="Z123" i="42"/>
  <c r="AA123" i="42" s="1"/>
  <c r="AB123" i="42"/>
  <c r="AE123" i="42" s="1"/>
  <c r="AJ123" i="42" s="1"/>
  <c r="AD123" i="42"/>
  <c r="AH123" i="42" s="1" a="1"/>
  <c r="AH123" i="42" s="1"/>
  <c r="Z124" i="42"/>
  <c r="AA124" i="42" s="1"/>
  <c r="AB124" i="42"/>
  <c r="AE124" i="42" s="1"/>
  <c r="AI124" i="42" s="1"/>
  <c r="AD124" i="42"/>
  <c r="AH124" i="42" s="1" a="1"/>
  <c r="AH124" i="42" s="1"/>
  <c r="Z125" i="42"/>
  <c r="AA125" i="42" s="1"/>
  <c r="AB125" i="42"/>
  <c r="AE125" i="42" s="1"/>
  <c r="AI125" i="42" s="1"/>
  <c r="AD125" i="42"/>
  <c r="AH125" i="42" s="1" a="1"/>
  <c r="AH125" i="42" s="1"/>
  <c r="Z126" i="42"/>
  <c r="AA126" i="42" s="1"/>
  <c r="AB126" i="42"/>
  <c r="AE126" i="42" s="1"/>
  <c r="AJ126" i="42" s="1"/>
  <c r="AD126" i="42"/>
  <c r="AH126" i="42" s="1" a="1"/>
  <c r="AH126" i="42" s="1"/>
  <c r="Z127" i="42"/>
  <c r="AA127" i="42" s="1"/>
  <c r="AB127" i="42"/>
  <c r="AE127" i="42" s="1"/>
  <c r="AJ127" i="42" s="1"/>
  <c r="AD127" i="42"/>
  <c r="AH127" i="42" s="1" a="1"/>
  <c r="AH127" i="42" s="1"/>
  <c r="Z128" i="42"/>
  <c r="AA128" i="42" s="1"/>
  <c r="AB128" i="42"/>
  <c r="AE128" i="42" s="1"/>
  <c r="AI128" i="42" s="1"/>
  <c r="AD128" i="42"/>
  <c r="AH128" i="42" s="1" a="1"/>
  <c r="AH128" i="42" s="1"/>
  <c r="Z129" i="42"/>
  <c r="AA129" i="42" s="1"/>
  <c r="AB129" i="42"/>
  <c r="AE129" i="42" s="1"/>
  <c r="AJ129" i="42" s="1"/>
  <c r="AD129" i="42"/>
  <c r="AH129" i="42" s="1" a="1"/>
  <c r="AH129" i="42" s="1"/>
  <c r="Z130" i="42"/>
  <c r="AA130" i="42" s="1"/>
  <c r="AB130" i="42"/>
  <c r="AE130" i="42" s="1"/>
  <c r="AF130" i="42" s="1"/>
  <c r="AG130" i="42" s="1"/>
  <c r="AD130" i="42"/>
  <c r="AH130" i="42" s="1" a="1"/>
  <c r="AH130" i="42" s="1"/>
  <c r="Z131" i="42"/>
  <c r="AA131" i="42" s="1"/>
  <c r="AB131" i="42"/>
  <c r="AE131" i="42" s="1"/>
  <c r="AI131" i="42" s="1"/>
  <c r="AD131" i="42"/>
  <c r="AH131" i="42" s="1" a="1"/>
  <c r="AH131" i="42" s="1"/>
  <c r="Z132" i="42"/>
  <c r="AA132" i="42" s="1"/>
  <c r="AB132" i="42"/>
  <c r="AE132" i="42" s="1"/>
  <c r="AJ132" i="42" s="1"/>
  <c r="AD132" i="42"/>
  <c r="AH132" i="42" s="1" a="1"/>
  <c r="AH132" i="42" s="1"/>
  <c r="Z133" i="42"/>
  <c r="AA133" i="42" s="1"/>
  <c r="AB133" i="42"/>
  <c r="AE133" i="42" s="1"/>
  <c r="AI133" i="42" s="1"/>
  <c r="AD133" i="42"/>
  <c r="AH133" i="42" s="1" a="1"/>
  <c r="AH133" i="42" s="1"/>
  <c r="Z134" i="42"/>
  <c r="AA134" i="42" s="1"/>
  <c r="AB134" i="42"/>
  <c r="AE134" i="42" s="1"/>
  <c r="AI134" i="42" s="1"/>
  <c r="AD134" i="42"/>
  <c r="AH134" i="42" s="1" a="1"/>
  <c r="AH134" i="42" s="1"/>
  <c r="Z135" i="42"/>
  <c r="AA135" i="42" s="1"/>
  <c r="AB135" i="42"/>
  <c r="AE135" i="42" s="1"/>
  <c r="AJ135" i="42" s="1"/>
  <c r="AD135" i="42"/>
  <c r="AH135" i="42" s="1" a="1"/>
  <c r="AH135" i="42" s="1"/>
  <c r="Z136" i="42"/>
  <c r="AA136" i="42" s="1"/>
  <c r="AB136" i="42"/>
  <c r="AE136" i="42" s="1"/>
  <c r="AJ136" i="42" s="1"/>
  <c r="AD136" i="42"/>
  <c r="AH136" i="42" s="1" a="1"/>
  <c r="AH136" i="42" s="1"/>
  <c r="Z137" i="42"/>
  <c r="AA137" i="42" s="1"/>
  <c r="AB137" i="42"/>
  <c r="AE137" i="42" s="1"/>
  <c r="AI137" i="42" s="1"/>
  <c r="AD137" i="42"/>
  <c r="AH137" i="42" s="1" a="1"/>
  <c r="AH137" i="42" s="1"/>
  <c r="Z138" i="42"/>
  <c r="AA138" i="42" s="1"/>
  <c r="AB138" i="42"/>
  <c r="AE138" i="42" s="1"/>
  <c r="AJ138" i="42" s="1"/>
  <c r="AD138" i="42"/>
  <c r="AH138" i="42" s="1" a="1"/>
  <c r="AH138" i="42" s="1"/>
  <c r="Z139" i="42"/>
  <c r="AA139" i="42" s="1"/>
  <c r="AB139" i="42"/>
  <c r="AE139" i="42" s="1"/>
  <c r="AJ139" i="42" s="1"/>
  <c r="AD139" i="42"/>
  <c r="AH139" i="42" s="1" a="1"/>
  <c r="AH139" i="42" s="1"/>
  <c r="Z140" i="42"/>
  <c r="AA140" i="42" s="1"/>
  <c r="AB140" i="42"/>
  <c r="AE140" i="42" s="1"/>
  <c r="AI140" i="42" s="1"/>
  <c r="AD140" i="42"/>
  <c r="AH140" i="42" s="1" a="1"/>
  <c r="AH140" i="42" s="1"/>
  <c r="Z141" i="42"/>
  <c r="AA141" i="42" s="1"/>
  <c r="AB141" i="42"/>
  <c r="AE141" i="42" s="1"/>
  <c r="AJ141" i="42" s="1"/>
  <c r="AD141" i="42"/>
  <c r="AH141" i="42" s="1" a="1"/>
  <c r="AH141" i="42" s="1"/>
  <c r="Z142" i="42"/>
  <c r="AA142" i="42" s="1"/>
  <c r="AB142" i="42"/>
  <c r="AE142" i="42" s="1"/>
  <c r="AF142" i="42" s="1"/>
  <c r="AG142" i="42" s="1"/>
  <c r="AD142" i="42"/>
  <c r="AH142" i="42" s="1" a="1"/>
  <c r="AH142" i="42" s="1"/>
  <c r="Z143" i="42"/>
  <c r="AA143" i="42" s="1"/>
  <c r="AB143" i="42"/>
  <c r="AE143" i="42" s="1"/>
  <c r="AI143" i="42" s="1"/>
  <c r="AD143" i="42"/>
  <c r="AH143" i="42" s="1" a="1"/>
  <c r="AH143" i="42" s="1"/>
  <c r="Z144" i="42"/>
  <c r="AA144" i="42" s="1"/>
  <c r="AB144" i="42"/>
  <c r="AE144" i="42" s="1"/>
  <c r="AJ144" i="42" s="1"/>
  <c r="AD144" i="42"/>
  <c r="AH144" i="42" s="1" a="1"/>
  <c r="AH144" i="42" s="1"/>
  <c r="Z145" i="42"/>
  <c r="AA145" i="42" s="1"/>
  <c r="AB145" i="42"/>
  <c r="AE145" i="42" s="1"/>
  <c r="AI145" i="42" s="1"/>
  <c r="AD145" i="42"/>
  <c r="AH145" i="42" s="1" a="1"/>
  <c r="AH145" i="42" s="1"/>
  <c r="Z146" i="42"/>
  <c r="AA146" i="42" s="1"/>
  <c r="AB146" i="42"/>
  <c r="AE146" i="42" s="1"/>
  <c r="AI146" i="42" s="1"/>
  <c r="AD146" i="42"/>
  <c r="AH146" i="42" s="1" a="1"/>
  <c r="AH146" i="42" s="1"/>
  <c r="Z147" i="42"/>
  <c r="AA147" i="42" s="1"/>
  <c r="AB147" i="42"/>
  <c r="AE147" i="42" s="1"/>
  <c r="AJ147" i="42" s="1"/>
  <c r="AD147" i="42"/>
  <c r="AH147" i="42" s="1" a="1"/>
  <c r="AH147" i="42" s="1"/>
  <c r="Z148" i="42"/>
  <c r="AA148" i="42" s="1"/>
  <c r="AB148" i="42"/>
  <c r="AE148" i="42" s="1"/>
  <c r="AJ148" i="42" s="1"/>
  <c r="AD148" i="42"/>
  <c r="AH148" i="42" s="1" a="1"/>
  <c r="AH148" i="42" s="1"/>
  <c r="Z149" i="42"/>
  <c r="AA149" i="42" s="1"/>
  <c r="AB149" i="42"/>
  <c r="AE149" i="42" s="1"/>
  <c r="AD149" i="42"/>
  <c r="AH149" i="42" s="1" a="1"/>
  <c r="AH149" i="42" s="1"/>
  <c r="Z150" i="42"/>
  <c r="AA150" i="42" s="1"/>
  <c r="AB150" i="42"/>
  <c r="AD150" i="42"/>
  <c r="AH150" i="42" s="1" a="1"/>
  <c r="AH150" i="42" s="1"/>
  <c r="Z151" i="42"/>
  <c r="AA151" i="42" s="1"/>
  <c r="AB151" i="42"/>
  <c r="AD151" i="42"/>
  <c r="AH151" i="42" s="1" a="1"/>
  <c r="AH151" i="42" s="1"/>
  <c r="Z152" i="42"/>
  <c r="AA152" i="42" s="1"/>
  <c r="AB152" i="42"/>
  <c r="AE152" i="42" s="1"/>
  <c r="AI152" i="42" s="1"/>
  <c r="AD152" i="42"/>
  <c r="AH152" i="42" s="1" a="1"/>
  <c r="AH152" i="42" s="1"/>
  <c r="Z153" i="42"/>
  <c r="AA153" i="42" s="1"/>
  <c r="AB153" i="42"/>
  <c r="AE153" i="42" s="1"/>
  <c r="AJ153" i="42" s="1"/>
  <c r="AD153" i="42"/>
  <c r="AH153" i="42" s="1" a="1"/>
  <c r="AH153" i="42" s="1"/>
  <c r="Z154" i="42"/>
  <c r="AA154" i="42" s="1"/>
  <c r="AB154" i="42"/>
  <c r="AE154" i="42" s="1"/>
  <c r="AI154" i="42" s="1"/>
  <c r="AD154" i="42"/>
  <c r="AH154" i="42" s="1" a="1"/>
  <c r="AH154" i="42" s="1"/>
  <c r="Z155" i="42"/>
  <c r="AA155" i="42" s="1"/>
  <c r="AB155" i="42"/>
  <c r="AE155" i="42" s="1"/>
  <c r="AD155" i="42"/>
  <c r="AH155" i="42" s="1" a="1"/>
  <c r="AH155" i="42" s="1"/>
  <c r="Z156" i="42"/>
  <c r="AA156" i="42" s="1"/>
  <c r="AB156" i="42"/>
  <c r="AE156" i="42" s="1"/>
  <c r="AJ156" i="42" s="1"/>
  <c r="AD156" i="42"/>
  <c r="AH156" i="42" s="1" a="1"/>
  <c r="AH156" i="42" s="1"/>
  <c r="Z157" i="42"/>
  <c r="AA157" i="42" s="1"/>
  <c r="AB157" i="42"/>
  <c r="AD157" i="42"/>
  <c r="AH157" i="42" s="1" a="1"/>
  <c r="AH157" i="42" s="1"/>
  <c r="Z158" i="42"/>
  <c r="AA158" i="42" s="1"/>
  <c r="AB158" i="42"/>
  <c r="AE158" i="42" s="1"/>
  <c r="AI158" i="42" s="1"/>
  <c r="AD158" i="42"/>
  <c r="AH158" i="42" s="1" a="1"/>
  <c r="AH158" i="42" s="1"/>
  <c r="Z159" i="42"/>
  <c r="AA159" i="42" s="1"/>
  <c r="AB159" i="42"/>
  <c r="AE159" i="42" s="1"/>
  <c r="AD159" i="42"/>
  <c r="AH159" i="42" s="1" a="1"/>
  <c r="AH159" i="42" s="1"/>
  <c r="Z160" i="42"/>
  <c r="AA160" i="42" s="1"/>
  <c r="AB160" i="42"/>
  <c r="AE160" i="42" s="1"/>
  <c r="AJ160" i="42" s="1"/>
  <c r="AD160" i="42"/>
  <c r="AH160" i="42" s="1" a="1"/>
  <c r="AH160" i="42" s="1"/>
  <c r="Z161" i="42"/>
  <c r="AA161" i="42" s="1"/>
  <c r="AB161" i="42"/>
  <c r="AD161" i="42"/>
  <c r="AH161" i="42" s="1" a="1"/>
  <c r="AH161" i="42" s="1"/>
  <c r="Z162" i="42"/>
  <c r="AA162" i="42" s="1"/>
  <c r="AB162" i="42"/>
  <c r="AE162" i="42" s="1"/>
  <c r="AI162" i="42" s="1"/>
  <c r="AD162" i="42"/>
  <c r="AH162" i="42" s="1" a="1"/>
  <c r="AH162" i="42" s="1"/>
  <c r="Z163" i="42"/>
  <c r="AA163" i="42" s="1"/>
  <c r="AB163" i="42"/>
  <c r="AE163" i="42" s="1"/>
  <c r="AJ163" i="42" s="1"/>
  <c r="AD163" i="42"/>
  <c r="AH163" i="42" s="1" a="1"/>
  <c r="AH163" i="42" s="1"/>
  <c r="Z164" i="42"/>
  <c r="AA164" i="42" s="1"/>
  <c r="AB164" i="42"/>
  <c r="AE164" i="42" s="1"/>
  <c r="AI164" i="42" s="1"/>
  <c r="AD164" i="42"/>
  <c r="AH164" i="42" s="1" a="1"/>
  <c r="AH164" i="42" s="1"/>
  <c r="Z165" i="42"/>
  <c r="AA165" i="42" s="1"/>
  <c r="AB165" i="42"/>
  <c r="AE165" i="42" s="1"/>
  <c r="AI165" i="42" s="1"/>
  <c r="AD165" i="42"/>
  <c r="AH165" i="42" s="1" a="1"/>
  <c r="AH165" i="42" s="1"/>
  <c r="Z166" i="42"/>
  <c r="AA166" i="42" s="1"/>
  <c r="AB166" i="42"/>
  <c r="AE166" i="42" s="1"/>
  <c r="AJ166" i="42" s="1"/>
  <c r="AD166" i="42"/>
  <c r="AH166" i="42" s="1" a="1"/>
  <c r="AH166" i="42" s="1"/>
  <c r="Z167" i="42"/>
  <c r="AA167" i="42" s="1"/>
  <c r="AB167" i="42"/>
  <c r="AE167" i="42" s="1"/>
  <c r="AI167" i="42" s="1"/>
  <c r="AD167" i="42"/>
  <c r="AH167" i="42" s="1" a="1"/>
  <c r="AH167" i="42" s="1"/>
  <c r="Z168" i="42"/>
  <c r="AA168" i="42" s="1"/>
  <c r="AB168" i="42"/>
  <c r="AE168" i="42" s="1"/>
  <c r="AI168" i="42" s="1"/>
  <c r="AD168" i="42"/>
  <c r="AH168" i="42" s="1" a="1"/>
  <c r="AH168" i="42" s="1"/>
  <c r="Z169" i="42"/>
  <c r="AA169" i="42" s="1"/>
  <c r="AB169" i="42"/>
  <c r="AE169" i="42" s="1"/>
  <c r="AI169" i="42" s="1"/>
  <c r="AD169" i="42"/>
  <c r="AH169" i="42" s="1" a="1"/>
  <c r="AH169" i="42" s="1"/>
  <c r="Z170" i="42"/>
  <c r="AA170" i="42" s="1"/>
  <c r="AB170" i="42"/>
  <c r="AE170" i="42" s="1"/>
  <c r="AI170" i="42" s="1"/>
  <c r="AD170" i="42"/>
  <c r="AH170" i="42" s="1" a="1"/>
  <c r="AH170" i="42" s="1"/>
  <c r="Z171" i="42"/>
  <c r="AA171" i="42" s="1"/>
  <c r="AB171" i="42"/>
  <c r="AE171" i="42" s="1"/>
  <c r="AI171" i="42" s="1"/>
  <c r="AD171" i="42"/>
  <c r="AH171" i="42" s="1" a="1"/>
  <c r="AH171" i="42" s="1"/>
  <c r="Z172" i="42"/>
  <c r="AA172" i="42" s="1"/>
  <c r="AB172" i="42"/>
  <c r="AE172" i="42" s="1"/>
  <c r="AJ172" i="42" s="1"/>
  <c r="AD172" i="42"/>
  <c r="AH172" i="42" s="1" a="1"/>
  <c r="AH172" i="42" s="1"/>
  <c r="Z173" i="42"/>
  <c r="AA173" i="42" s="1"/>
  <c r="AB173" i="42"/>
  <c r="AE173" i="42" s="1"/>
  <c r="AI173" i="42" s="1"/>
  <c r="AD173" i="42"/>
  <c r="AH173" i="42" s="1" a="1"/>
  <c r="AH173" i="42" s="1"/>
  <c r="Z174" i="42"/>
  <c r="AA174" i="42" s="1"/>
  <c r="AB174" i="42"/>
  <c r="AE174" i="42" s="1"/>
  <c r="AI174" i="42" s="1"/>
  <c r="AD174" i="42"/>
  <c r="AH174" i="42" s="1" a="1"/>
  <c r="AH174" i="42" s="1"/>
  <c r="Z175" i="42"/>
  <c r="AA175" i="42" s="1"/>
  <c r="AB175" i="42"/>
  <c r="AE175" i="42" s="1"/>
  <c r="AJ175" i="42" s="1"/>
  <c r="AD175" i="42"/>
  <c r="AH175" i="42" s="1" a="1"/>
  <c r="AH175" i="42" s="1"/>
  <c r="Z176" i="42"/>
  <c r="AA176" i="42" s="1"/>
  <c r="AB176" i="42"/>
  <c r="AE176" i="42" s="1"/>
  <c r="AI176" i="42" s="1"/>
  <c r="AD176" i="42"/>
  <c r="AH176" i="42" s="1" a="1"/>
  <c r="AH176" i="42" s="1"/>
  <c r="Z177" i="42"/>
  <c r="AA177" i="42" s="1"/>
  <c r="AB177" i="42"/>
  <c r="AE177" i="42" s="1"/>
  <c r="AI177" i="42" s="1"/>
  <c r="AD177" i="42"/>
  <c r="AH177" i="42" s="1" a="1"/>
  <c r="AH177" i="42" s="1"/>
  <c r="Z178" i="42"/>
  <c r="AA178" i="42" s="1"/>
  <c r="AB178" i="42"/>
  <c r="AE178" i="42" s="1"/>
  <c r="AI178" i="42" s="1"/>
  <c r="AD178" i="42"/>
  <c r="AH178" i="42" s="1" a="1"/>
  <c r="AH178" i="42" s="1"/>
  <c r="Z179" i="42"/>
  <c r="AA179" i="42" s="1"/>
  <c r="AB179" i="42"/>
  <c r="AE179" i="42" s="1"/>
  <c r="AI179" i="42" s="1"/>
  <c r="AD179" i="42"/>
  <c r="AH179" i="42" s="1" a="1"/>
  <c r="AH179" i="42" s="1"/>
  <c r="Z180" i="42"/>
  <c r="AA180" i="42" s="1"/>
  <c r="AB180" i="42"/>
  <c r="AC180" i="42" s="1"/>
  <c r="AD180" i="42"/>
  <c r="AH180" i="42" s="1" a="1"/>
  <c r="AH180" i="42" s="1"/>
  <c r="Z181" i="42"/>
  <c r="AA181" i="42" s="1"/>
  <c r="AB181" i="42"/>
  <c r="AC181" i="42" s="1"/>
  <c r="AD181" i="42"/>
  <c r="AH181" i="42" s="1" a="1"/>
  <c r="AH181" i="42" s="1"/>
  <c r="Z182" i="42"/>
  <c r="AA182" i="42" s="1"/>
  <c r="AB182" i="42"/>
  <c r="AE182" i="42" s="1"/>
  <c r="AF182" i="42" s="1"/>
  <c r="AG182" i="42" s="1"/>
  <c r="AD182" i="42"/>
  <c r="AH182" i="42" s="1" a="1"/>
  <c r="AH182" i="42" s="1"/>
  <c r="Z183" i="42"/>
  <c r="AA183" i="42" s="1"/>
  <c r="AB183" i="42"/>
  <c r="AC183" i="42" s="1"/>
  <c r="AD183" i="42"/>
  <c r="AH183" i="42" s="1" a="1"/>
  <c r="AH183" i="42" s="1"/>
  <c r="Z184" i="42"/>
  <c r="AA184" i="42" s="1"/>
  <c r="AB184" i="42"/>
  <c r="AC184" i="42" s="1"/>
  <c r="AD184" i="42"/>
  <c r="AH184" i="42" s="1" a="1"/>
  <c r="AH184" i="42" s="1"/>
  <c r="Z185" i="42"/>
  <c r="AA185" i="42" s="1"/>
  <c r="AB185" i="42"/>
  <c r="AC185" i="42" s="1"/>
  <c r="AD185" i="42"/>
  <c r="AH185" i="42" s="1" a="1"/>
  <c r="AH185" i="42" s="1"/>
  <c r="Z186" i="42"/>
  <c r="AA186" i="42" s="1"/>
  <c r="AB186" i="42"/>
  <c r="AC186" i="42" s="1"/>
  <c r="AD186" i="42"/>
  <c r="AH186" i="42" s="1" a="1"/>
  <c r="AH186" i="42" s="1"/>
  <c r="Z187" i="42"/>
  <c r="AA187" i="42" s="1"/>
  <c r="AB187" i="42"/>
  <c r="AE187" i="42" s="1"/>
  <c r="AJ187" i="42" s="1"/>
  <c r="AD187" i="42"/>
  <c r="AH187" i="42" s="1" a="1"/>
  <c r="AH187" i="42" s="1"/>
  <c r="Z188" i="42"/>
  <c r="AA188" i="42" s="1"/>
  <c r="AB188" i="42"/>
  <c r="AC188" i="42" s="1"/>
  <c r="AD188" i="42"/>
  <c r="AH188" i="42" s="1" a="1"/>
  <c r="AH188" i="42" s="1"/>
  <c r="Z189" i="42"/>
  <c r="AA189" i="42" s="1"/>
  <c r="AB189" i="42"/>
  <c r="AE189" i="42" s="1"/>
  <c r="AJ189" i="42" s="1"/>
  <c r="AD189" i="42"/>
  <c r="AH189" i="42" s="1" a="1"/>
  <c r="AH189" i="42" s="1"/>
  <c r="Z190" i="42"/>
  <c r="AA190" i="42" s="1"/>
  <c r="AB190" i="42"/>
  <c r="AE190" i="42" s="1"/>
  <c r="AJ190" i="42" s="1"/>
  <c r="AD190" i="42"/>
  <c r="AH190" i="42" s="1" a="1"/>
  <c r="AH190" i="42" s="1"/>
  <c r="Z191" i="42"/>
  <c r="AA191" i="42" s="1"/>
  <c r="AB191" i="42"/>
  <c r="AE191" i="42" s="1"/>
  <c r="AI191" i="42" s="1"/>
  <c r="AD191" i="42"/>
  <c r="AH191" i="42" s="1" a="1"/>
  <c r="AH191" i="42" s="1"/>
  <c r="Z192" i="42"/>
  <c r="AA192" i="42" s="1"/>
  <c r="AB192" i="42"/>
  <c r="AE192" i="42" s="1"/>
  <c r="AJ192" i="42" s="1"/>
  <c r="AD192" i="42"/>
  <c r="AH192" i="42" s="1" a="1"/>
  <c r="AH192" i="42" s="1"/>
  <c r="Z193" i="42"/>
  <c r="AA193" i="42" s="1"/>
  <c r="AB193" i="42"/>
  <c r="AE193" i="42" s="1"/>
  <c r="AJ193" i="42" s="1"/>
  <c r="AD193" i="42"/>
  <c r="AH193" i="42" s="1" a="1"/>
  <c r="AH193" i="42" s="1"/>
  <c r="Z194" i="42"/>
  <c r="AA194" i="42" s="1"/>
  <c r="AB194" i="42"/>
  <c r="AE194" i="42" s="1"/>
  <c r="AI194" i="42" s="1"/>
  <c r="AD194" i="42"/>
  <c r="AH194" i="42" s="1" a="1"/>
  <c r="AH194" i="42" s="1"/>
  <c r="Z195" i="42"/>
  <c r="AA195" i="42" s="1"/>
  <c r="AB195" i="42"/>
  <c r="AE195" i="42" s="1"/>
  <c r="AJ195" i="42" s="1"/>
  <c r="AD195" i="42"/>
  <c r="AH195" i="42" s="1" a="1"/>
  <c r="AH195" i="42" s="1"/>
  <c r="Z196" i="42"/>
  <c r="AA196" i="42" s="1"/>
  <c r="AB196" i="42"/>
  <c r="AE196" i="42" s="1"/>
  <c r="AJ196" i="42" s="1"/>
  <c r="AD196" i="42"/>
  <c r="AH196" i="42" s="1" a="1"/>
  <c r="AH196" i="42" s="1"/>
  <c r="Z197" i="42"/>
  <c r="AA197" i="42" s="1"/>
  <c r="AB197" i="42"/>
  <c r="AE197" i="42" s="1"/>
  <c r="AI197" i="42" s="1"/>
  <c r="AD197" i="42"/>
  <c r="AH197" i="42" s="1" a="1"/>
  <c r="AH197" i="42" s="1"/>
  <c r="Z198" i="42"/>
  <c r="AA198" i="42" s="1"/>
  <c r="AB198" i="42"/>
  <c r="AE198" i="42" s="1"/>
  <c r="AJ198" i="42" s="1"/>
  <c r="AD198" i="42"/>
  <c r="AH198" i="42" s="1" a="1"/>
  <c r="AH198" i="42" s="1"/>
  <c r="Z199" i="42"/>
  <c r="AA199" i="42" s="1"/>
  <c r="AB199" i="42"/>
  <c r="AE199" i="42" s="1"/>
  <c r="AJ199" i="42" s="1"/>
  <c r="AD199" i="42"/>
  <c r="AH199" i="42" s="1" a="1"/>
  <c r="AH199" i="42" s="1"/>
  <c r="Z200" i="42"/>
  <c r="AA200" i="42" s="1"/>
  <c r="AB200" i="42"/>
  <c r="AE200" i="42" s="1"/>
  <c r="AI200" i="42" s="1"/>
  <c r="AD200" i="42"/>
  <c r="AH200" i="42" s="1" a="1"/>
  <c r="AH200" i="42" s="1"/>
  <c r="Z201" i="42"/>
  <c r="AA201" i="42" s="1"/>
  <c r="AB201" i="42"/>
  <c r="AE201" i="42" s="1"/>
  <c r="AI201" i="42" s="1"/>
  <c r="AD201" i="42"/>
  <c r="AH201" i="42" s="1" a="1"/>
  <c r="AH201" i="42" s="1"/>
  <c r="Z202" i="42"/>
  <c r="AA202" i="42" s="1"/>
  <c r="AB202" i="42"/>
  <c r="AE202" i="42" s="1"/>
  <c r="AJ202" i="42" s="1"/>
  <c r="AD202" i="42"/>
  <c r="AH202" i="42" s="1" a="1"/>
  <c r="AH202" i="42" s="1"/>
  <c r="Z203" i="42"/>
  <c r="AA203" i="42" s="1"/>
  <c r="AB203" i="42"/>
  <c r="AE203" i="42" s="1"/>
  <c r="AI203" i="42" s="1"/>
  <c r="AD203" i="42"/>
  <c r="AH203" i="42" s="1" a="1"/>
  <c r="AH203" i="42" s="1"/>
  <c r="Z204" i="42"/>
  <c r="AA204" i="42" s="1"/>
  <c r="AB204" i="42"/>
  <c r="AE204" i="42" s="1"/>
  <c r="AI204" i="42" s="1"/>
  <c r="AD204" i="42"/>
  <c r="AH204" i="42" s="1" a="1"/>
  <c r="AH204" i="42" s="1"/>
  <c r="Z205" i="42"/>
  <c r="AA205" i="42" s="1"/>
  <c r="AB205" i="42"/>
  <c r="AE205" i="42" s="1"/>
  <c r="AF205" i="42" s="1"/>
  <c r="AG205" i="42" s="1"/>
  <c r="AD205" i="42"/>
  <c r="AH205" i="42" s="1" a="1"/>
  <c r="AH205" i="42" s="1"/>
  <c r="Z206" i="42"/>
  <c r="AA206" i="42" s="1"/>
  <c r="AB206" i="42"/>
  <c r="AE206" i="42" s="1"/>
  <c r="AI206" i="42" s="1"/>
  <c r="AD206" i="42"/>
  <c r="AH206" i="42" s="1" a="1"/>
  <c r="AH206" i="42" s="1"/>
  <c r="Z207" i="42"/>
  <c r="AA207" i="42" s="1"/>
  <c r="AB207" i="42"/>
  <c r="AE207" i="42" s="1"/>
  <c r="AF207" i="42" s="1"/>
  <c r="AG207" i="42" s="1"/>
  <c r="AD207" i="42"/>
  <c r="AH207" i="42" s="1" a="1"/>
  <c r="AH207" i="42" s="1"/>
  <c r="Z208" i="42"/>
  <c r="AA208" i="42" s="1"/>
  <c r="AB208" i="42"/>
  <c r="AE208" i="42" s="1"/>
  <c r="AF208" i="42" s="1"/>
  <c r="AG208" i="42" s="1"/>
  <c r="AD208" i="42"/>
  <c r="AH208" i="42" s="1" a="1"/>
  <c r="AH208" i="42" s="1"/>
  <c r="Z209" i="42"/>
  <c r="AA209" i="42" s="1"/>
  <c r="AB209" i="42"/>
  <c r="AE209" i="42" s="1"/>
  <c r="AF209" i="42" s="1"/>
  <c r="AG209" i="42" s="1"/>
  <c r="AD209" i="42"/>
  <c r="AH209" i="42" s="1" a="1"/>
  <c r="AH209" i="42" s="1"/>
  <c r="Z210" i="42"/>
  <c r="AA210" i="42" s="1"/>
  <c r="AB210" i="42"/>
  <c r="AE210" i="42" s="1"/>
  <c r="AI210" i="42" s="1"/>
  <c r="AD210" i="42"/>
  <c r="AH210" i="42" s="1" a="1"/>
  <c r="AH210" i="42" s="1"/>
  <c r="Z211" i="42"/>
  <c r="AA211" i="42" s="1"/>
  <c r="AB211" i="42"/>
  <c r="AE211" i="42" s="1"/>
  <c r="AJ211" i="42" s="1"/>
  <c r="AD211" i="42"/>
  <c r="AH211" i="42" s="1" a="1"/>
  <c r="AH211" i="42" s="1"/>
  <c r="Z212" i="42"/>
  <c r="AA212" i="42" s="1"/>
  <c r="AB212" i="42"/>
  <c r="AE212" i="42" s="1"/>
  <c r="AJ212" i="42" s="1"/>
  <c r="AD212" i="42"/>
  <c r="AH212" i="42" s="1" a="1"/>
  <c r="AH212" i="42" s="1"/>
  <c r="Z213" i="42"/>
  <c r="AA213" i="42" s="1"/>
  <c r="AB213" i="42"/>
  <c r="AE213" i="42" s="1"/>
  <c r="AI213" i="42" s="1"/>
  <c r="AD213" i="42"/>
  <c r="AH213" i="42" s="1" a="1"/>
  <c r="AH213" i="42" s="1"/>
  <c r="Z214" i="42"/>
  <c r="AA214" i="42" s="1"/>
  <c r="AB214" i="42"/>
  <c r="AC214" i="42" s="1"/>
  <c r="AD214" i="42"/>
  <c r="AH214" i="42" s="1" a="1"/>
  <c r="AH214" i="42" s="1"/>
  <c r="Z215" i="42"/>
  <c r="AA215" i="42" s="1"/>
  <c r="AB215" i="42"/>
  <c r="AC215" i="42" s="1"/>
  <c r="AD215" i="42"/>
  <c r="AH215" i="42" s="1" a="1"/>
  <c r="AH215" i="42" s="1"/>
  <c r="Z216" i="42"/>
  <c r="AA216" i="42" s="1"/>
  <c r="AB216" i="42"/>
  <c r="AC216" i="42" s="1"/>
  <c r="AD216" i="42"/>
  <c r="AH216" i="42" s="1" a="1"/>
  <c r="AH216" i="42" s="1"/>
  <c r="Z217" i="42"/>
  <c r="AA217" i="42" s="1"/>
  <c r="AB217" i="42"/>
  <c r="AC217" i="42" s="1"/>
  <c r="AD217" i="42"/>
  <c r="AH217" i="42" s="1" a="1"/>
  <c r="AH217" i="42" s="1"/>
  <c r="Z218" i="42"/>
  <c r="AA218" i="42" s="1"/>
  <c r="AB218" i="42"/>
  <c r="AE218" i="42" s="1"/>
  <c r="AI218" i="42" s="1"/>
  <c r="AD218" i="42"/>
  <c r="AH218" i="42" s="1" a="1"/>
  <c r="AH218" i="42" s="1"/>
  <c r="Z219" i="42"/>
  <c r="AA219" i="42" s="1"/>
  <c r="AB219" i="42"/>
  <c r="AE219" i="42" s="1"/>
  <c r="AJ219" i="42" s="1"/>
  <c r="AD219" i="42"/>
  <c r="AH219" i="42" s="1" a="1"/>
  <c r="AH219" i="42" s="1"/>
  <c r="Z220" i="42"/>
  <c r="AA220" i="42" s="1"/>
  <c r="AB220" i="42"/>
  <c r="AE220" i="42" s="1"/>
  <c r="AJ220" i="42" s="1"/>
  <c r="AD220" i="42"/>
  <c r="AH220" i="42" s="1" a="1"/>
  <c r="AH220" i="42" s="1"/>
  <c r="Z221" i="42"/>
  <c r="AA221" i="42" s="1"/>
  <c r="AB221" i="42"/>
  <c r="AE221" i="42" s="1"/>
  <c r="AI221" i="42" s="1"/>
  <c r="AD221" i="42"/>
  <c r="AH221" i="42" s="1" a="1"/>
  <c r="AH221" i="42" s="1"/>
  <c r="Z222" i="42"/>
  <c r="AA222" i="42" s="1"/>
  <c r="AB222" i="42"/>
  <c r="AE222" i="42" s="1"/>
  <c r="AJ222" i="42" s="1"/>
  <c r="AD222" i="42"/>
  <c r="AH222" i="42" s="1" a="1"/>
  <c r="AH222" i="42" s="1"/>
  <c r="Z223" i="42"/>
  <c r="AA223" i="42" s="1"/>
  <c r="AB223" i="42"/>
  <c r="AE223" i="42" s="1"/>
  <c r="AJ223" i="42" s="1"/>
  <c r="AD223" i="42"/>
  <c r="AH223" i="42" s="1" a="1"/>
  <c r="AH223" i="42" s="1"/>
  <c r="Z224" i="42"/>
  <c r="AA224" i="42" s="1"/>
  <c r="AB224" i="42"/>
  <c r="AE224" i="42" s="1"/>
  <c r="AI224" i="42" s="1"/>
  <c r="AD224" i="42"/>
  <c r="AH224" i="42" s="1" a="1"/>
  <c r="AH224" i="42" s="1"/>
  <c r="Z225" i="42"/>
  <c r="AA225" i="42" s="1"/>
  <c r="AB225" i="42"/>
  <c r="AE225" i="42" s="1"/>
  <c r="AJ225" i="42" s="1"/>
  <c r="AD225" i="42"/>
  <c r="AH225" i="42" s="1" a="1"/>
  <c r="AH225" i="42" s="1"/>
  <c r="Z226" i="42"/>
  <c r="AA226" i="42" s="1"/>
  <c r="AB226" i="42"/>
  <c r="AC226" i="42" s="1"/>
  <c r="AD226" i="42"/>
  <c r="AH226" i="42" s="1" a="1"/>
  <c r="AH226" i="42" s="1"/>
  <c r="Z227" i="42"/>
  <c r="AA227" i="42" s="1"/>
  <c r="AB227" i="42"/>
  <c r="AC227" i="42" s="1"/>
  <c r="AD227" i="42"/>
  <c r="AH227" i="42" s="1" a="1"/>
  <c r="AH227" i="42" s="1"/>
  <c r="Z228" i="42"/>
  <c r="AA228" i="42" s="1"/>
  <c r="AB228" i="42"/>
  <c r="AC228" i="42" s="1"/>
  <c r="AD228" i="42"/>
  <c r="AH228" i="42" s="1" a="1"/>
  <c r="AH228" i="42" s="1"/>
  <c r="Z229" i="42"/>
  <c r="AA229" i="42" s="1"/>
  <c r="AB229" i="42"/>
  <c r="AE229" i="42" s="1"/>
  <c r="AF229" i="42" s="1"/>
  <c r="AG229" i="42" s="1"/>
  <c r="AD229" i="42"/>
  <c r="AH229" i="42" s="1" a="1"/>
  <c r="AH229" i="42" s="1"/>
  <c r="Z230" i="42"/>
  <c r="AA230" i="42" s="1"/>
  <c r="AB230" i="42"/>
  <c r="AC230" i="42" s="1"/>
  <c r="AD230" i="42"/>
  <c r="AH230" i="42" s="1" a="1"/>
  <c r="AH230" i="42" s="1"/>
  <c r="Z231" i="42"/>
  <c r="AA231" i="42" s="1"/>
  <c r="AB231" i="42"/>
  <c r="AE231" i="42" s="1"/>
  <c r="AJ231" i="42" s="1"/>
  <c r="AD231" i="42"/>
  <c r="AH231" i="42" s="1" a="1"/>
  <c r="AH231" i="42" s="1"/>
  <c r="Z232" i="42"/>
  <c r="AA232" i="42" s="1"/>
  <c r="AB232" i="42"/>
  <c r="AE232" i="42" s="1"/>
  <c r="AI232" i="42" s="1"/>
  <c r="AD232" i="42"/>
  <c r="AH232" i="42" s="1" a="1"/>
  <c r="AH232" i="42" s="1"/>
  <c r="Z233" i="42"/>
  <c r="AA233" i="42" s="1"/>
  <c r="AB233" i="42"/>
  <c r="AE233" i="42" s="1"/>
  <c r="AJ233" i="42" s="1"/>
  <c r="AD233" i="42"/>
  <c r="AH233" i="42" s="1" a="1"/>
  <c r="AH233" i="42" s="1"/>
  <c r="Z234" i="42"/>
  <c r="AA234" i="42" s="1"/>
  <c r="AB234" i="42"/>
  <c r="AE234" i="42" s="1"/>
  <c r="AJ234" i="42" s="1"/>
  <c r="AD234" i="42"/>
  <c r="AH234" i="42" s="1" a="1"/>
  <c r="AH234" i="42" s="1"/>
  <c r="Z235" i="42"/>
  <c r="AA235" i="42" s="1"/>
  <c r="AB235" i="42"/>
  <c r="AE235" i="42" s="1"/>
  <c r="AJ235" i="42" s="1"/>
  <c r="AD235" i="42"/>
  <c r="AH235" i="42" s="1" a="1"/>
  <c r="AH235" i="42" s="1"/>
  <c r="Z236" i="42"/>
  <c r="AA236" i="42" s="1"/>
  <c r="AB236" i="42"/>
  <c r="AE236" i="42" s="1"/>
  <c r="AJ236" i="42" s="1"/>
  <c r="AD236" i="42"/>
  <c r="AH236" i="42" s="1" a="1"/>
  <c r="AH236" i="42" s="1"/>
  <c r="Z237" i="42"/>
  <c r="AA237" i="42" s="1"/>
  <c r="AB237" i="42"/>
  <c r="AE237" i="42" s="1"/>
  <c r="AJ237" i="42" s="1"/>
  <c r="AD237" i="42"/>
  <c r="AH237" i="42" s="1" a="1"/>
  <c r="AH237" i="42" s="1"/>
  <c r="Z238" i="42"/>
  <c r="AA238" i="42" s="1"/>
  <c r="AB238" i="42"/>
  <c r="AE238" i="42" s="1"/>
  <c r="AF238" i="42" s="1"/>
  <c r="AG238" i="42" s="1"/>
  <c r="AD238" i="42"/>
  <c r="AH238" i="42" s="1" a="1"/>
  <c r="AH238" i="42" s="1"/>
  <c r="Z239" i="42"/>
  <c r="AA239" i="42" s="1"/>
  <c r="AB239" i="42"/>
  <c r="AE239" i="42" s="1"/>
  <c r="AJ239" i="42" s="1"/>
  <c r="AD239" i="42"/>
  <c r="AH239" i="42" s="1" a="1"/>
  <c r="AH239" i="42" s="1"/>
  <c r="Z240" i="42"/>
  <c r="AA240" i="42" s="1"/>
  <c r="AB240" i="42"/>
  <c r="AE240" i="42" s="1"/>
  <c r="AI240" i="42" s="1"/>
  <c r="AD240" i="42"/>
  <c r="AH240" i="42" s="1" a="1"/>
  <c r="AH240" i="42" s="1"/>
  <c r="Z241" i="42"/>
  <c r="AA241" i="42" s="1"/>
  <c r="AB241" i="42"/>
  <c r="AC241" i="42" s="1"/>
  <c r="AD241" i="42"/>
  <c r="AH241" i="42" s="1" a="1"/>
  <c r="AH241" i="42" s="1"/>
  <c r="Z242" i="42"/>
  <c r="AA242" i="42" s="1"/>
  <c r="AB242" i="42"/>
  <c r="AC242" i="42" s="1"/>
  <c r="AD242" i="42"/>
  <c r="AH242" i="42" s="1" a="1"/>
  <c r="AH242" i="42" s="1"/>
  <c r="Z243" i="42"/>
  <c r="AA243" i="42" s="1"/>
  <c r="AB243" i="42"/>
  <c r="AC243" i="42" s="1"/>
  <c r="AD243" i="42"/>
  <c r="AH243" i="42" s="1" a="1"/>
  <c r="AH243" i="42" s="1"/>
  <c r="Z244" i="42"/>
  <c r="AA244" i="42" s="1"/>
  <c r="AB244" i="42"/>
  <c r="AC244" i="42" s="1"/>
  <c r="AD244" i="42"/>
  <c r="AH244" i="42" s="1" a="1"/>
  <c r="AH244" i="42" s="1"/>
  <c r="Z245" i="42"/>
  <c r="AA245" i="42" s="1"/>
  <c r="AB245" i="42"/>
  <c r="AC245" i="42" s="1"/>
  <c r="AD245" i="42"/>
  <c r="AH245" i="42" s="1" a="1"/>
  <c r="AH245" i="42" s="1"/>
  <c r="Z246" i="42"/>
  <c r="AA246" i="42" s="1"/>
  <c r="AB246" i="42"/>
  <c r="AC246" i="42" s="1"/>
  <c r="AD246" i="42"/>
  <c r="AH246" i="42" s="1" a="1"/>
  <c r="AH246" i="42" s="1"/>
  <c r="Z247" i="42"/>
  <c r="AA247" i="42" s="1"/>
  <c r="AB247" i="42"/>
  <c r="AE247" i="42" s="1"/>
  <c r="AI247" i="42" s="1"/>
  <c r="AD247" i="42"/>
  <c r="AH247" i="42" s="1" a="1"/>
  <c r="AH247" i="42" s="1"/>
  <c r="Z248" i="42"/>
  <c r="AA248" i="42" s="1"/>
  <c r="AB248" i="42"/>
  <c r="AE248" i="42" s="1"/>
  <c r="AJ248" i="42" s="1"/>
  <c r="AD248" i="42"/>
  <c r="AH248" i="42" s="1" a="1"/>
  <c r="AH248" i="42" s="1"/>
  <c r="Z249" i="42"/>
  <c r="AA249" i="42" s="1"/>
  <c r="AB249" i="42"/>
  <c r="AE249" i="42" s="1"/>
  <c r="AI249" i="42" s="1"/>
  <c r="AD249" i="42"/>
  <c r="AH249" i="42" s="1" a="1"/>
  <c r="AH249" i="42" s="1"/>
  <c r="Z250" i="42"/>
  <c r="AA250" i="42" s="1"/>
  <c r="AB250" i="42"/>
  <c r="AE250" i="42" s="1"/>
  <c r="AI250" i="42" s="1"/>
  <c r="AD250" i="42"/>
  <c r="AH250" i="42" s="1" a="1"/>
  <c r="AH250" i="42" s="1"/>
  <c r="Z251" i="42"/>
  <c r="AA251" i="42" s="1"/>
  <c r="AB251" i="42"/>
  <c r="AD251" i="42"/>
  <c r="AH251" i="42" s="1" a="1"/>
  <c r="AH251" i="42" s="1"/>
  <c r="Z252" i="42"/>
  <c r="AA252" i="42" s="1"/>
  <c r="AB252" i="42"/>
  <c r="AD252" i="42"/>
  <c r="AH252" i="42" s="1" a="1"/>
  <c r="AH252" i="42" s="1"/>
  <c r="Z253" i="42"/>
  <c r="AA253" i="42" s="1"/>
  <c r="AB253" i="42"/>
  <c r="AD253" i="42"/>
  <c r="AH253" i="42" s="1" a="1"/>
  <c r="AH253" i="42" s="1"/>
  <c r="Z254" i="42"/>
  <c r="AA254" i="42" s="1"/>
  <c r="AB254" i="42"/>
  <c r="AD254" i="42"/>
  <c r="AH254" i="42" s="1" a="1"/>
  <c r="AH254" i="42" s="1"/>
  <c r="Z255" i="42"/>
  <c r="AA255" i="42" s="1"/>
  <c r="AB255" i="42"/>
  <c r="AD255" i="42"/>
  <c r="AH255" i="42" s="1" a="1"/>
  <c r="AH255" i="42" s="1"/>
  <c r="Z256" i="42"/>
  <c r="AA256" i="42" s="1"/>
  <c r="AB256" i="42"/>
  <c r="AD256" i="42"/>
  <c r="AH256" i="42" s="1" a="1"/>
  <c r="AH256" i="42" s="1"/>
  <c r="Z257" i="42"/>
  <c r="AA257" i="42" s="1"/>
  <c r="AB257" i="42"/>
  <c r="AD257" i="42"/>
  <c r="AH257" i="42" s="1" a="1"/>
  <c r="AH257" i="42" s="1"/>
  <c r="Z258" i="42"/>
  <c r="AA258" i="42" s="1"/>
  <c r="AB258" i="42"/>
  <c r="AD258" i="42"/>
  <c r="AH258" i="42" s="1" a="1"/>
  <c r="AH258" i="42" s="1"/>
  <c r="Z259" i="42"/>
  <c r="AA259" i="42" s="1"/>
  <c r="AB259" i="42"/>
  <c r="AD259" i="42"/>
  <c r="AH259" i="42" s="1" a="1"/>
  <c r="AH259" i="42" s="1"/>
  <c r="Z260" i="42"/>
  <c r="AA260" i="42" s="1"/>
  <c r="AB260" i="42"/>
  <c r="AD260" i="42"/>
  <c r="AH260" i="42" s="1" a="1"/>
  <c r="AH260" i="42" s="1"/>
  <c r="Z261" i="42"/>
  <c r="AA261" i="42" s="1"/>
  <c r="AB261" i="42"/>
  <c r="AD261" i="42"/>
  <c r="AH261" i="42" s="1" a="1"/>
  <c r="AH261" i="42" s="1"/>
  <c r="Z262" i="42"/>
  <c r="AA262" i="42" s="1"/>
  <c r="AB262" i="42"/>
  <c r="AD262" i="42"/>
  <c r="AH262" i="42" s="1" a="1"/>
  <c r="AH262" i="42" s="1"/>
  <c r="Z263" i="42"/>
  <c r="AA263" i="42" s="1"/>
  <c r="AB263" i="42"/>
  <c r="AD263" i="42"/>
  <c r="AH263" i="42" s="1" a="1"/>
  <c r="AH263" i="42" s="1"/>
  <c r="Z264" i="42"/>
  <c r="AA264" i="42" s="1"/>
  <c r="AB264" i="42"/>
  <c r="AD264" i="42"/>
  <c r="AH264" i="42" s="1" a="1"/>
  <c r="AH264" i="42" s="1"/>
  <c r="Z265" i="42"/>
  <c r="AA265" i="42" s="1"/>
  <c r="AB265" i="42"/>
  <c r="AD265" i="42"/>
  <c r="AH265" i="42" s="1" a="1"/>
  <c r="AH265" i="42" s="1"/>
  <c r="Z266" i="42"/>
  <c r="AA266" i="42" s="1"/>
  <c r="AB266" i="42"/>
  <c r="AD266" i="42"/>
  <c r="AH266" i="42" s="1" a="1"/>
  <c r="AH266" i="42" s="1"/>
  <c r="Z267" i="42"/>
  <c r="AA267" i="42" s="1"/>
  <c r="AB267" i="42"/>
  <c r="AC267" i="42" s="1"/>
  <c r="AD267" i="42"/>
  <c r="AH267" i="42" s="1" a="1"/>
  <c r="AH267" i="42" s="1"/>
  <c r="Z268" i="42"/>
  <c r="AA268" i="42" s="1"/>
  <c r="AB268" i="42"/>
  <c r="AD268" i="42"/>
  <c r="AH268" i="42" s="1" a="1"/>
  <c r="AH268" i="42" s="1"/>
  <c r="Z269" i="42"/>
  <c r="AA269" i="42" s="1"/>
  <c r="AB269" i="42"/>
  <c r="AD269" i="42"/>
  <c r="AH269" i="42" s="1" a="1"/>
  <c r="AH269" i="42" s="1"/>
  <c r="Z270" i="42"/>
  <c r="AA270" i="42" s="1"/>
  <c r="AB270" i="42"/>
  <c r="AE270" i="42" s="1"/>
  <c r="AI270" i="42" s="1"/>
  <c r="AD270" i="42"/>
  <c r="AH270" i="42" s="1" a="1"/>
  <c r="AH270" i="42" s="1"/>
  <c r="Z271" i="42"/>
  <c r="AA271" i="42" s="1"/>
  <c r="AB271" i="42"/>
  <c r="AE271" i="42" s="1"/>
  <c r="AI271" i="42" s="1"/>
  <c r="AD271" i="42"/>
  <c r="AH271" i="42" s="1" a="1"/>
  <c r="AH271" i="42" s="1"/>
  <c r="Z272" i="42"/>
  <c r="AA272" i="42" s="1"/>
  <c r="AB272" i="42"/>
  <c r="AE272" i="42" s="1"/>
  <c r="AI272" i="42" s="1"/>
  <c r="AD272" i="42"/>
  <c r="AH272" i="42" s="1" a="1"/>
  <c r="AH272" i="42" s="1"/>
  <c r="Z273" i="42"/>
  <c r="AA273" i="42" s="1"/>
  <c r="AB273" i="42"/>
  <c r="AE273" i="42" s="1"/>
  <c r="AI273" i="42" s="1"/>
  <c r="AD273" i="42"/>
  <c r="AH273" i="42" s="1" a="1"/>
  <c r="AH273" i="42" s="1"/>
  <c r="Z274" i="42"/>
  <c r="AA274" i="42" s="1"/>
  <c r="AB274" i="42"/>
  <c r="AE274" i="42" s="1"/>
  <c r="AI274" i="42" s="1"/>
  <c r="AD274" i="42"/>
  <c r="AH274" i="42" s="1" a="1"/>
  <c r="AH274" i="42" s="1"/>
  <c r="Z275" i="42"/>
  <c r="AA275" i="42" s="1"/>
  <c r="AB275" i="42"/>
  <c r="AE275" i="42" s="1"/>
  <c r="AF275" i="42" s="1"/>
  <c r="AG275" i="42" s="1"/>
  <c r="AD275" i="42"/>
  <c r="AH275" i="42" s="1" a="1"/>
  <c r="AH275" i="42" s="1"/>
  <c r="Z276" i="42"/>
  <c r="AA276" i="42" s="1"/>
  <c r="AB276" i="42"/>
  <c r="AE276" i="42" s="1"/>
  <c r="AF276" i="42" s="1"/>
  <c r="AG276" i="42" s="1"/>
  <c r="AD276" i="42"/>
  <c r="AH276" i="42" s="1" a="1"/>
  <c r="AH276" i="42" s="1"/>
  <c r="Z277" i="42"/>
  <c r="AA277" i="42" s="1"/>
  <c r="AB277" i="42"/>
  <c r="AE277" i="42" s="1"/>
  <c r="AF277" i="42" s="1"/>
  <c r="AG277" i="42" s="1"/>
  <c r="AD277" i="42"/>
  <c r="AH277" i="42" s="1" a="1"/>
  <c r="AH277" i="42" s="1"/>
  <c r="Z278" i="42"/>
  <c r="AA278" i="42" s="1"/>
  <c r="AB278" i="42"/>
  <c r="AE278" i="42" s="1"/>
  <c r="AF278" i="42" s="1"/>
  <c r="AG278" i="42" s="1"/>
  <c r="AD278" i="42"/>
  <c r="AH278" i="42" s="1" a="1"/>
  <c r="AH278" i="42" s="1"/>
  <c r="Z279" i="42"/>
  <c r="AA279" i="42" s="1"/>
  <c r="AB279" i="42"/>
  <c r="AC279" i="42" s="1"/>
  <c r="AD279" i="42"/>
  <c r="AH279" i="42" s="1" a="1"/>
  <c r="AH279" i="42" s="1"/>
  <c r="Z280" i="42"/>
  <c r="AA280" i="42" s="1"/>
  <c r="AB280" i="42"/>
  <c r="AD280" i="42"/>
  <c r="AH280" i="42" s="1" a="1"/>
  <c r="AH280" i="42" s="1"/>
  <c r="Z281" i="42"/>
  <c r="AA281" i="42" s="1"/>
  <c r="AB281" i="42"/>
  <c r="AD281" i="42"/>
  <c r="AH281" i="42" s="1" a="1"/>
  <c r="AH281" i="42" s="1"/>
  <c r="Z282" i="42"/>
  <c r="AA282" i="42" s="1"/>
  <c r="AB282" i="42"/>
  <c r="AD282" i="42"/>
  <c r="AH282" i="42" s="1" a="1"/>
  <c r="AH282" i="42" s="1"/>
  <c r="Z283" i="42"/>
  <c r="AA283" i="42" s="1"/>
  <c r="AB283" i="42"/>
  <c r="AD283" i="42"/>
  <c r="AH283" i="42" s="1" a="1"/>
  <c r="AH283" i="42" s="1"/>
  <c r="Z284" i="42"/>
  <c r="AA284" i="42" s="1"/>
  <c r="AB284" i="42"/>
  <c r="AE284" i="42" s="1"/>
  <c r="AJ284" i="42" s="1"/>
  <c r="AD284" i="42"/>
  <c r="AH284" i="42" s="1" a="1"/>
  <c r="AH284" i="42" s="1"/>
  <c r="Z285" i="42"/>
  <c r="AA285" i="42" s="1"/>
  <c r="AB285" i="42"/>
  <c r="AE285" i="42" s="1"/>
  <c r="AJ285" i="42" s="1"/>
  <c r="AD285" i="42"/>
  <c r="AH285" i="42" s="1" a="1"/>
  <c r="AH285" i="42" s="1"/>
  <c r="Z286" i="42"/>
  <c r="AA286" i="42" s="1"/>
  <c r="AB286" i="42"/>
  <c r="AE286" i="42" s="1"/>
  <c r="AJ286" i="42" s="1"/>
  <c r="AD286" i="42"/>
  <c r="AH286" i="42" s="1" a="1"/>
  <c r="AH286" i="42" s="1"/>
  <c r="Z287" i="42"/>
  <c r="AA287" i="42" s="1"/>
  <c r="AB287" i="42"/>
  <c r="AD287" i="42"/>
  <c r="AH287" i="42" s="1" a="1"/>
  <c r="AH287" i="42" s="1"/>
  <c r="Z288" i="42"/>
  <c r="AA288" i="42" s="1"/>
  <c r="AB288" i="42"/>
  <c r="AD288" i="42"/>
  <c r="AH288" i="42" s="1" a="1"/>
  <c r="AH288" i="42" s="1"/>
  <c r="Z289" i="42"/>
  <c r="AA289" i="42" s="1"/>
  <c r="AB289" i="42"/>
  <c r="AD289" i="42"/>
  <c r="AH289" i="42" s="1" a="1"/>
  <c r="AH289" i="42" s="1"/>
  <c r="Z290" i="42"/>
  <c r="AA290" i="42" s="1"/>
  <c r="AB290" i="42"/>
  <c r="AD290" i="42"/>
  <c r="AH290" i="42" s="1" a="1"/>
  <c r="AH290" i="42" s="1"/>
  <c r="Z291" i="42"/>
  <c r="AA291" i="42" s="1"/>
  <c r="AB291" i="42"/>
  <c r="AD291" i="42"/>
  <c r="AH291" i="42" s="1" a="1"/>
  <c r="AH291" i="42" s="1"/>
  <c r="Z292" i="42"/>
  <c r="AA292" i="42" s="1"/>
  <c r="AB292" i="42"/>
  <c r="AD292" i="42"/>
  <c r="AH292" i="42" s="1" a="1"/>
  <c r="AH292" i="42" s="1"/>
  <c r="Z293" i="42"/>
  <c r="AA293" i="42" s="1"/>
  <c r="AB293" i="42"/>
  <c r="AD293" i="42"/>
  <c r="AH293" i="42" s="1" a="1"/>
  <c r="AH293" i="42" s="1"/>
  <c r="Z294" i="42"/>
  <c r="AA294" i="42" s="1"/>
  <c r="AB294" i="42"/>
  <c r="AD294" i="42"/>
  <c r="AH294" i="42" s="1" a="1"/>
  <c r="AH294" i="42" s="1"/>
  <c r="Z295" i="42"/>
  <c r="AA295" i="42" s="1"/>
  <c r="AB295" i="42"/>
  <c r="AD295" i="42"/>
  <c r="AH295" i="42" s="1" a="1"/>
  <c r="AH295" i="42" s="1"/>
  <c r="Z296" i="42"/>
  <c r="AA296" i="42" s="1"/>
  <c r="AB296" i="42"/>
  <c r="AD296" i="42"/>
  <c r="AH296" i="42" s="1" a="1"/>
  <c r="AH296" i="42" s="1"/>
  <c r="Z297" i="42"/>
  <c r="AA297" i="42" s="1"/>
  <c r="AB297" i="42"/>
  <c r="AD297" i="42"/>
  <c r="AH297" i="42" s="1" a="1"/>
  <c r="AH297" i="42" s="1"/>
  <c r="Z298" i="42"/>
  <c r="AA298" i="42" s="1"/>
  <c r="AB298" i="42"/>
  <c r="AD298" i="42"/>
  <c r="AH298" i="42" s="1" a="1"/>
  <c r="AH298" i="42" s="1"/>
  <c r="Z299" i="42"/>
  <c r="AA299" i="42" s="1"/>
  <c r="AB299" i="42"/>
  <c r="AD299" i="42"/>
  <c r="AH299" i="42" s="1" a="1"/>
  <c r="AH299" i="42" s="1"/>
  <c r="Z300" i="42"/>
  <c r="AA300" i="42" s="1"/>
  <c r="AB300" i="42"/>
  <c r="AD300" i="42"/>
  <c r="AH300" i="42" s="1" a="1"/>
  <c r="AH300" i="42" s="1"/>
  <c r="Z301" i="42"/>
  <c r="AA301" i="42" s="1"/>
  <c r="AB301" i="42"/>
  <c r="AD301" i="42"/>
  <c r="AH301" i="42" s="1" a="1"/>
  <c r="AH301" i="42" s="1"/>
  <c r="Z302" i="42"/>
  <c r="AA302" i="42" s="1"/>
  <c r="AB302" i="42"/>
  <c r="AD302" i="42"/>
  <c r="AH302" i="42" s="1" a="1"/>
  <c r="AH302" i="42" s="1"/>
  <c r="Z303" i="42"/>
  <c r="AA303" i="42" s="1"/>
  <c r="AB303" i="42"/>
  <c r="AD303" i="42"/>
  <c r="AH303" i="42" s="1" a="1"/>
  <c r="AH303" i="42" s="1"/>
  <c r="Z304" i="42"/>
  <c r="AA304" i="42" s="1"/>
  <c r="AB304" i="42"/>
  <c r="AD304" i="42"/>
  <c r="AH304" i="42" s="1" a="1"/>
  <c r="AH304" i="42" s="1"/>
  <c r="Z305" i="42"/>
  <c r="AA305" i="42" s="1"/>
  <c r="AB305" i="42"/>
  <c r="AD305" i="42"/>
  <c r="AH305" i="42" s="1" a="1"/>
  <c r="AH305" i="42" s="1"/>
  <c r="Z306" i="42"/>
  <c r="AA306" i="42" s="1"/>
  <c r="AB306" i="42"/>
  <c r="AD306" i="42"/>
  <c r="AH306" i="42" s="1" a="1"/>
  <c r="AH306" i="42" s="1"/>
  <c r="Z307" i="42"/>
  <c r="AA307" i="42" s="1"/>
  <c r="AB307" i="42"/>
  <c r="AD307" i="42"/>
  <c r="AH307" i="42" s="1" a="1"/>
  <c r="AH307" i="42" s="1"/>
  <c r="Z308" i="42"/>
  <c r="AA308" i="42" s="1"/>
  <c r="AB308" i="42"/>
  <c r="AD308" i="42"/>
  <c r="AH308" i="42" s="1" a="1"/>
  <c r="AH308" i="42" s="1"/>
  <c r="Z309" i="42"/>
  <c r="AA309" i="42" s="1"/>
  <c r="AB309" i="42"/>
  <c r="AD309" i="42"/>
  <c r="AH309" i="42" s="1" a="1"/>
  <c r="AH309" i="42" s="1"/>
  <c r="Z310" i="42"/>
  <c r="AA310" i="42" s="1"/>
  <c r="AB310" i="42"/>
  <c r="AD310" i="42"/>
  <c r="AH310" i="42" s="1" a="1"/>
  <c r="AH310" i="42" s="1"/>
  <c r="Z311" i="42"/>
  <c r="AA311" i="42" s="1"/>
  <c r="AB311" i="42"/>
  <c r="AD311" i="42"/>
  <c r="AH311" i="42" s="1" a="1"/>
  <c r="AH311" i="42" s="1"/>
  <c r="Z312" i="42"/>
  <c r="AA312" i="42" s="1"/>
  <c r="AB312" i="42"/>
  <c r="AD312" i="42"/>
  <c r="AH312" i="42" s="1" a="1"/>
  <c r="AH312" i="42" s="1"/>
  <c r="Z313" i="42"/>
  <c r="AA313" i="42" s="1"/>
  <c r="AB313" i="42"/>
  <c r="AD313" i="42"/>
  <c r="AH313" i="42" s="1" a="1"/>
  <c r="AH313" i="42" s="1"/>
  <c r="Z314" i="42"/>
  <c r="AA314" i="42" s="1"/>
  <c r="AB314" i="42"/>
  <c r="AD314" i="42"/>
  <c r="AH314" i="42" s="1" a="1"/>
  <c r="AH314" i="42" s="1"/>
  <c r="Z315" i="42"/>
  <c r="AA315" i="42" s="1"/>
  <c r="AB315" i="42"/>
  <c r="AD315" i="42"/>
  <c r="AH315" i="42" s="1" a="1"/>
  <c r="AH315" i="42" s="1"/>
  <c r="Z316" i="42"/>
  <c r="AA316" i="42" s="1"/>
  <c r="AB316" i="42"/>
  <c r="AD316" i="42"/>
  <c r="AH316" i="42" s="1" a="1"/>
  <c r="AH316" i="42" s="1"/>
  <c r="Z317" i="42"/>
  <c r="AA317" i="42" s="1"/>
  <c r="AB317" i="42"/>
  <c r="AD317" i="42"/>
  <c r="AH317" i="42" s="1" a="1"/>
  <c r="AH317" i="42" s="1"/>
  <c r="Z318" i="42"/>
  <c r="AA318" i="42" s="1"/>
  <c r="AB318" i="42"/>
  <c r="AD318" i="42"/>
  <c r="AH318" i="42" s="1" a="1"/>
  <c r="AH318" i="42" s="1"/>
  <c r="Z319" i="42"/>
  <c r="AA319" i="42" s="1"/>
  <c r="AB319" i="42"/>
  <c r="AD319" i="42"/>
  <c r="AH319" i="42" s="1" a="1"/>
  <c r="AH319" i="42" s="1"/>
  <c r="Z320" i="42"/>
  <c r="AA320" i="42" s="1"/>
  <c r="AB320" i="42"/>
  <c r="AD320" i="42"/>
  <c r="AH320" i="42" s="1" a="1"/>
  <c r="AH320" i="42" s="1"/>
  <c r="Z321" i="42"/>
  <c r="AA321" i="42" s="1"/>
  <c r="AB321" i="42"/>
  <c r="AD321" i="42"/>
  <c r="AH321" i="42" s="1" a="1"/>
  <c r="AH321" i="42" s="1"/>
  <c r="Z322" i="42"/>
  <c r="AA322" i="42" s="1"/>
  <c r="AB322" i="42"/>
  <c r="AD322" i="42"/>
  <c r="AH322" i="42" s="1" a="1"/>
  <c r="AH322" i="42" s="1"/>
  <c r="Z323" i="42"/>
  <c r="AA323" i="42" s="1"/>
  <c r="AB323" i="42"/>
  <c r="AD323" i="42"/>
  <c r="AH323" i="42" s="1" a="1"/>
  <c r="AH323" i="42" s="1"/>
  <c r="Z324" i="42"/>
  <c r="AA324" i="42" s="1"/>
  <c r="AB324" i="42"/>
  <c r="AD324" i="42"/>
  <c r="AH324" i="42" s="1" a="1"/>
  <c r="AH324" i="42" s="1"/>
  <c r="Z325" i="42"/>
  <c r="AA325" i="42" s="1"/>
  <c r="AB325" i="42"/>
  <c r="AD325" i="42"/>
  <c r="AH325" i="42" s="1" a="1"/>
  <c r="AH325" i="42" s="1"/>
  <c r="Z326" i="42"/>
  <c r="AA326" i="42" s="1"/>
  <c r="AB326" i="42"/>
  <c r="AD326" i="42"/>
  <c r="AH326" i="42" s="1" a="1"/>
  <c r="AH326" i="42" s="1"/>
  <c r="Z327" i="42"/>
  <c r="AA327" i="42" s="1"/>
  <c r="AB327" i="42"/>
  <c r="AD327" i="42"/>
  <c r="AH327" i="42" s="1" a="1"/>
  <c r="AH327" i="42" s="1"/>
  <c r="Z328" i="42"/>
  <c r="AA328" i="42" s="1"/>
  <c r="AB328" i="42"/>
  <c r="AD328" i="42"/>
  <c r="AH328" i="42" s="1" a="1"/>
  <c r="AH328" i="42" s="1"/>
  <c r="Z329" i="42"/>
  <c r="AA329" i="42" s="1"/>
  <c r="AB329" i="42"/>
  <c r="AD329" i="42"/>
  <c r="AH329" i="42" s="1" a="1"/>
  <c r="AH329" i="42" s="1"/>
  <c r="Z330" i="42"/>
  <c r="AA330" i="42" s="1"/>
  <c r="AB330" i="42"/>
  <c r="AD330" i="42"/>
  <c r="AH330" i="42" s="1" a="1"/>
  <c r="AH330" i="42" s="1"/>
  <c r="Z331" i="42"/>
  <c r="AA331" i="42" s="1"/>
  <c r="AB331" i="42"/>
  <c r="AD331" i="42"/>
  <c r="AH331" i="42" s="1" a="1"/>
  <c r="AH331" i="42" s="1"/>
  <c r="Z332" i="42"/>
  <c r="AA332" i="42" s="1"/>
  <c r="AB332" i="42"/>
  <c r="AD332" i="42"/>
  <c r="AH332" i="42" s="1" a="1"/>
  <c r="AH332" i="42" s="1"/>
  <c r="Z333" i="42"/>
  <c r="AA333" i="42" s="1"/>
  <c r="AB333" i="42"/>
  <c r="AD333" i="42"/>
  <c r="AH333" i="42" s="1" a="1"/>
  <c r="AH333" i="42" s="1"/>
  <c r="Z334" i="42"/>
  <c r="AA334" i="42" s="1"/>
  <c r="AB334" i="42"/>
  <c r="AD334" i="42"/>
  <c r="AH334" i="42" s="1" a="1"/>
  <c r="AH334" i="42" s="1"/>
  <c r="Z335" i="42"/>
  <c r="AA335" i="42" s="1"/>
  <c r="AB335" i="42"/>
  <c r="AD335" i="42"/>
  <c r="AH335" i="42" s="1" a="1"/>
  <c r="AH335" i="42" s="1"/>
  <c r="Z336" i="42"/>
  <c r="AA336" i="42" s="1"/>
  <c r="AB336" i="42"/>
  <c r="AD336" i="42"/>
  <c r="AH336" i="42" s="1" a="1"/>
  <c r="AH336" i="42" s="1"/>
  <c r="Z337" i="42"/>
  <c r="AA337" i="42" s="1"/>
  <c r="AB337" i="42"/>
  <c r="AD337" i="42"/>
  <c r="AH337" i="42" s="1" a="1"/>
  <c r="AH337" i="42" s="1"/>
  <c r="Z338" i="42"/>
  <c r="AA338" i="42" s="1"/>
  <c r="AB338" i="42"/>
  <c r="AD338" i="42"/>
  <c r="AH338" i="42" s="1" a="1"/>
  <c r="AH338" i="42" s="1"/>
  <c r="Z339" i="42"/>
  <c r="AA339" i="42" s="1"/>
  <c r="AB339" i="42"/>
  <c r="AD339" i="42"/>
  <c r="AH339" i="42" s="1" a="1"/>
  <c r="AH339" i="42" s="1"/>
  <c r="Z340" i="42"/>
  <c r="AA340" i="42" s="1"/>
  <c r="AB340" i="42"/>
  <c r="AD340" i="42"/>
  <c r="AH340" i="42" s="1" a="1"/>
  <c r="AH340" i="42" s="1"/>
  <c r="Z341" i="42"/>
  <c r="AA341" i="42" s="1"/>
  <c r="AB341" i="42"/>
  <c r="AD341" i="42"/>
  <c r="AH341" i="42" s="1" a="1"/>
  <c r="AH341" i="42" s="1"/>
  <c r="Z342" i="42"/>
  <c r="AA342" i="42" s="1"/>
  <c r="AB342" i="42"/>
  <c r="AD342" i="42"/>
  <c r="AH342" i="42" s="1" a="1"/>
  <c r="AH342" i="42" s="1"/>
  <c r="Z343" i="42"/>
  <c r="AA343" i="42" s="1"/>
  <c r="AB343" i="42"/>
  <c r="AD343" i="42"/>
  <c r="AH343" i="42" s="1" a="1"/>
  <c r="AH343" i="42" s="1"/>
  <c r="Z344" i="42"/>
  <c r="AA344" i="42" s="1"/>
  <c r="AB344" i="42"/>
  <c r="AD344" i="42"/>
  <c r="AH344" i="42" s="1" a="1"/>
  <c r="AH344" i="42" s="1"/>
  <c r="Z345" i="42"/>
  <c r="AA345" i="42" s="1"/>
  <c r="AB345" i="42"/>
  <c r="AD345" i="42"/>
  <c r="AH345" i="42" s="1" a="1"/>
  <c r="AH345" i="42" s="1"/>
  <c r="Z346" i="42"/>
  <c r="AA346" i="42" s="1"/>
  <c r="AB346" i="42"/>
  <c r="AD346" i="42"/>
  <c r="AH346" i="42" s="1" a="1"/>
  <c r="AH346" i="42" s="1"/>
  <c r="Z347" i="42"/>
  <c r="AA347" i="42" s="1"/>
  <c r="AB347" i="42"/>
  <c r="AD347" i="42"/>
  <c r="AH347" i="42" s="1" a="1"/>
  <c r="AH347" i="42" s="1"/>
  <c r="Z348" i="42"/>
  <c r="AA348" i="42" s="1"/>
  <c r="AB348" i="42"/>
  <c r="AD348" i="42"/>
  <c r="AH348" i="42" s="1" a="1"/>
  <c r="AH348" i="42" s="1"/>
  <c r="Z349" i="42"/>
  <c r="AA349" i="42" s="1"/>
  <c r="AB349" i="42"/>
  <c r="AD349" i="42"/>
  <c r="AH349" i="42" s="1" a="1"/>
  <c r="AH349" i="42" s="1"/>
  <c r="Z350" i="42"/>
  <c r="AA350" i="42" s="1"/>
  <c r="AB350" i="42"/>
  <c r="AD350" i="42"/>
  <c r="AH350" i="42" s="1" a="1"/>
  <c r="AH350" i="42" s="1"/>
  <c r="Z351" i="42"/>
  <c r="AA351" i="42" s="1"/>
  <c r="AB351" i="42"/>
  <c r="AD351" i="42"/>
  <c r="AH351" i="42" s="1" a="1"/>
  <c r="AH351" i="42" s="1"/>
  <c r="Z352" i="42"/>
  <c r="AA352" i="42" s="1"/>
  <c r="AB352" i="42"/>
  <c r="AD352" i="42"/>
  <c r="AH352" i="42" s="1" a="1"/>
  <c r="AH352" i="42" s="1"/>
  <c r="Z353" i="42"/>
  <c r="AA353" i="42" s="1"/>
  <c r="AB353" i="42"/>
  <c r="AD353" i="42"/>
  <c r="AH353" i="42" s="1" a="1"/>
  <c r="AH353" i="42" s="1"/>
  <c r="Z354" i="42"/>
  <c r="AA354" i="42" s="1"/>
  <c r="AB354" i="42"/>
  <c r="AD354" i="42"/>
  <c r="AH354" i="42" s="1" a="1"/>
  <c r="AH354" i="42" s="1"/>
  <c r="Z355" i="42"/>
  <c r="AA355" i="42" s="1"/>
  <c r="AB355" i="42"/>
  <c r="AD355" i="42"/>
  <c r="AH355" i="42" s="1" a="1"/>
  <c r="AH355" i="42" s="1"/>
  <c r="Z356" i="42"/>
  <c r="AA356" i="42" s="1"/>
  <c r="AB356" i="42"/>
  <c r="AD356" i="42"/>
  <c r="AH356" i="42" s="1" a="1"/>
  <c r="AH356" i="42" s="1"/>
  <c r="Z357" i="42"/>
  <c r="AA357" i="42" s="1"/>
  <c r="AB357" i="42"/>
  <c r="AD357" i="42"/>
  <c r="AH357" i="42" s="1" a="1"/>
  <c r="AH357" i="42" s="1"/>
  <c r="Z358" i="42"/>
  <c r="AA358" i="42" s="1"/>
  <c r="AB358" i="42"/>
  <c r="AD358" i="42"/>
  <c r="AH358" i="42" s="1" a="1"/>
  <c r="AH358" i="42" s="1"/>
  <c r="Z359" i="42"/>
  <c r="AA359" i="42" s="1"/>
  <c r="AB359" i="42"/>
  <c r="AD359" i="42"/>
  <c r="AH359" i="42" s="1" a="1"/>
  <c r="AH359" i="42" s="1"/>
  <c r="Z360" i="42"/>
  <c r="AA360" i="42" s="1"/>
  <c r="AB360" i="42"/>
  <c r="AD360" i="42"/>
  <c r="AH360" i="42" s="1" a="1"/>
  <c r="AH360" i="42" s="1"/>
  <c r="Z361" i="42"/>
  <c r="AA361" i="42" s="1"/>
  <c r="AB361" i="42"/>
  <c r="AD361" i="42"/>
  <c r="AH361" i="42" s="1" a="1"/>
  <c r="AH361" i="42" s="1"/>
  <c r="Z362" i="42"/>
  <c r="AA362" i="42" s="1"/>
  <c r="AB362" i="42"/>
  <c r="AD362" i="42"/>
  <c r="AH362" i="42" s="1" a="1"/>
  <c r="AH362" i="42" s="1"/>
  <c r="Z363" i="42"/>
  <c r="AA363" i="42" s="1"/>
  <c r="AB363" i="42"/>
  <c r="AD363" i="42"/>
  <c r="AH363" i="42" s="1" a="1"/>
  <c r="AH363" i="42" s="1"/>
  <c r="Z364" i="42"/>
  <c r="AA364" i="42" s="1"/>
  <c r="AB364" i="42"/>
  <c r="AD364" i="42"/>
  <c r="AH364" i="42" s="1" a="1"/>
  <c r="AH364" i="42" s="1"/>
  <c r="Z365" i="42"/>
  <c r="AA365" i="42" s="1"/>
  <c r="AB365" i="42"/>
  <c r="AD365" i="42"/>
  <c r="AH365" i="42" s="1" a="1"/>
  <c r="AH365" i="42" s="1"/>
  <c r="Z366" i="42"/>
  <c r="AA366" i="42" s="1"/>
  <c r="AB366" i="42"/>
  <c r="AD366" i="42"/>
  <c r="AH366" i="42" s="1" a="1"/>
  <c r="AH366" i="42" s="1"/>
  <c r="Z367" i="42"/>
  <c r="AA367" i="42" s="1"/>
  <c r="AB367" i="42"/>
  <c r="AD367" i="42"/>
  <c r="AH367" i="42" s="1" a="1"/>
  <c r="AH367" i="42" s="1"/>
  <c r="Z368" i="42"/>
  <c r="AA368" i="42" s="1"/>
  <c r="AB368" i="42"/>
  <c r="AD368" i="42"/>
  <c r="AH368" i="42" s="1" a="1"/>
  <c r="AH368" i="42" s="1"/>
  <c r="Z369" i="42"/>
  <c r="AA369" i="42" s="1"/>
  <c r="AB369" i="42"/>
  <c r="AD369" i="42"/>
  <c r="AH369" i="42" s="1" a="1"/>
  <c r="AH369" i="42" s="1"/>
  <c r="Z370" i="42"/>
  <c r="AA370" i="42" s="1"/>
  <c r="AB370" i="42"/>
  <c r="AD370" i="42"/>
  <c r="AH370" i="42" s="1" a="1"/>
  <c r="AH370" i="42" s="1"/>
  <c r="Z371" i="42"/>
  <c r="AA371" i="42" s="1"/>
  <c r="AB371" i="42"/>
  <c r="AD371" i="42"/>
  <c r="AH371" i="42" s="1" a="1"/>
  <c r="AH371" i="42" s="1"/>
  <c r="Z372" i="42"/>
  <c r="AA372" i="42" s="1"/>
  <c r="AB372" i="42"/>
  <c r="AD372" i="42"/>
  <c r="AH372" i="42" s="1" a="1"/>
  <c r="AH372" i="42" s="1"/>
  <c r="Z373" i="42"/>
  <c r="AA373" i="42" s="1"/>
  <c r="AB373" i="42"/>
  <c r="AD373" i="42"/>
  <c r="AH373" i="42" s="1" a="1"/>
  <c r="AH373" i="42" s="1"/>
  <c r="Z374" i="42"/>
  <c r="AA374" i="42" s="1"/>
  <c r="AB374" i="42"/>
  <c r="AD374" i="42"/>
  <c r="AH374" i="42" s="1" a="1"/>
  <c r="AH374" i="42" s="1"/>
  <c r="Z375" i="42"/>
  <c r="AA375" i="42" s="1"/>
  <c r="AB375" i="42"/>
  <c r="AD375" i="42"/>
  <c r="AH375" i="42" s="1" a="1"/>
  <c r="AH375" i="42" s="1"/>
  <c r="Z376" i="42"/>
  <c r="AA376" i="42" s="1"/>
  <c r="AB376" i="42"/>
  <c r="AD376" i="42"/>
  <c r="AH376" i="42" s="1" a="1"/>
  <c r="AH376" i="42" s="1"/>
  <c r="Z377" i="42"/>
  <c r="AA377" i="42" s="1"/>
  <c r="AB377" i="42"/>
  <c r="AD377" i="42"/>
  <c r="AH377" i="42" s="1" a="1"/>
  <c r="AH377" i="42" s="1"/>
  <c r="Z378" i="42"/>
  <c r="AA378" i="42" s="1"/>
  <c r="AB378" i="42"/>
  <c r="AD378" i="42"/>
  <c r="AH378" i="42" s="1" a="1"/>
  <c r="AH378" i="42" s="1"/>
  <c r="Z379" i="42"/>
  <c r="AA379" i="42" s="1"/>
  <c r="AB379" i="42"/>
  <c r="AD379" i="42"/>
  <c r="AH379" i="42" s="1" a="1"/>
  <c r="AH379" i="42" s="1"/>
  <c r="Z380" i="42"/>
  <c r="AA380" i="42" s="1"/>
  <c r="AB380" i="42"/>
  <c r="AD380" i="42"/>
  <c r="AH380" i="42" s="1" a="1"/>
  <c r="AH380" i="42" s="1"/>
  <c r="Z381" i="42"/>
  <c r="AA381" i="42" s="1"/>
  <c r="AB381" i="42"/>
  <c r="AD381" i="42"/>
  <c r="AH381" i="42" s="1" a="1"/>
  <c r="AH381" i="42" s="1"/>
  <c r="Z382" i="42"/>
  <c r="AA382" i="42" s="1"/>
  <c r="AB382" i="42"/>
  <c r="AD382" i="42"/>
  <c r="AH382" i="42" s="1" a="1"/>
  <c r="AH382" i="42" s="1"/>
  <c r="Z383" i="42"/>
  <c r="AA383" i="42" s="1"/>
  <c r="AB383" i="42"/>
  <c r="AD383" i="42"/>
  <c r="AH383" i="42" s="1" a="1"/>
  <c r="AH383" i="42" s="1"/>
  <c r="Z384" i="42"/>
  <c r="AA384" i="42" s="1"/>
  <c r="AB384" i="42"/>
  <c r="AD384" i="42"/>
  <c r="AH384" i="42" s="1" a="1"/>
  <c r="AH384" i="42" s="1"/>
  <c r="Z385" i="42"/>
  <c r="AA385" i="42" s="1"/>
  <c r="AB385" i="42"/>
  <c r="AD385" i="42"/>
  <c r="AH385" i="42" s="1" a="1"/>
  <c r="AH385" i="42" s="1"/>
  <c r="Z386" i="42"/>
  <c r="AA386" i="42" s="1"/>
  <c r="AB386" i="42"/>
  <c r="AD386" i="42"/>
  <c r="AH386" i="42" s="1" a="1"/>
  <c r="AH386" i="42" s="1"/>
  <c r="Z387" i="42"/>
  <c r="AA387" i="42" s="1"/>
  <c r="AB387" i="42"/>
  <c r="AD387" i="42"/>
  <c r="AH387" i="42" s="1" a="1"/>
  <c r="AH387" i="42" s="1"/>
  <c r="Z388" i="42"/>
  <c r="AA388" i="42" s="1"/>
  <c r="AB388" i="42"/>
  <c r="AD388" i="42"/>
  <c r="AH388" i="42" s="1" a="1"/>
  <c r="AH388" i="42" s="1"/>
  <c r="Z389" i="42"/>
  <c r="AA389" i="42" s="1"/>
  <c r="AB389" i="42"/>
  <c r="AD389" i="42"/>
  <c r="AH389" i="42" s="1" a="1"/>
  <c r="AH389" i="42" s="1"/>
  <c r="Z390" i="42"/>
  <c r="AA390" i="42" s="1"/>
  <c r="AB390" i="42"/>
  <c r="AD390" i="42"/>
  <c r="AH390" i="42" s="1" a="1"/>
  <c r="AH390" i="42" s="1"/>
  <c r="Z391" i="42"/>
  <c r="AA391" i="42" s="1"/>
  <c r="AB391" i="42"/>
  <c r="AD391" i="42"/>
  <c r="AH391" i="42" s="1" a="1"/>
  <c r="AH391" i="42" s="1"/>
  <c r="Z392" i="42"/>
  <c r="AA392" i="42" s="1"/>
  <c r="AB392" i="42"/>
  <c r="AD392" i="42"/>
  <c r="AH392" i="42" s="1" a="1"/>
  <c r="AH392" i="42" s="1"/>
  <c r="Z393" i="42"/>
  <c r="AA393" i="42" s="1"/>
  <c r="AB393" i="42"/>
  <c r="AD393" i="42"/>
  <c r="AH393" i="42" s="1" a="1"/>
  <c r="AH393" i="42" s="1"/>
  <c r="Z394" i="42"/>
  <c r="AA394" i="42" s="1"/>
  <c r="AB394" i="42"/>
  <c r="AD394" i="42"/>
  <c r="AH394" i="42" s="1" a="1"/>
  <c r="AH394" i="42" s="1"/>
  <c r="Z395" i="42"/>
  <c r="AA395" i="42" s="1"/>
  <c r="AB395" i="42"/>
  <c r="AD395" i="42"/>
  <c r="AH395" i="42" s="1" a="1"/>
  <c r="AH395" i="42" s="1"/>
  <c r="Z396" i="42"/>
  <c r="AA396" i="42" s="1"/>
  <c r="AB396" i="42"/>
  <c r="AD396" i="42"/>
  <c r="AH396" i="42" s="1" a="1"/>
  <c r="AH396" i="42" s="1"/>
  <c r="Z397" i="42"/>
  <c r="AA397" i="42" s="1"/>
  <c r="AB397" i="42"/>
  <c r="AD397" i="42"/>
  <c r="AH397" i="42" s="1" a="1"/>
  <c r="AH397" i="42" s="1"/>
  <c r="Z398" i="42"/>
  <c r="AA398" i="42" s="1"/>
  <c r="AB398" i="42"/>
  <c r="AD398" i="42"/>
  <c r="AH398" i="42" s="1" a="1"/>
  <c r="AH398" i="42" s="1"/>
  <c r="Z399" i="42"/>
  <c r="AA399" i="42" s="1"/>
  <c r="AB399" i="42"/>
  <c r="AD399" i="42"/>
  <c r="AH399" i="42" s="1" a="1"/>
  <c r="AH399" i="42" s="1"/>
  <c r="Z400" i="42"/>
  <c r="AA400" i="42" s="1"/>
  <c r="AB400" i="42"/>
  <c r="AD400" i="42"/>
  <c r="AH400" i="42" s="1" a="1"/>
  <c r="AH400" i="42" s="1"/>
  <c r="Z401" i="42"/>
  <c r="AA401" i="42" s="1"/>
  <c r="AB401" i="42"/>
  <c r="AD401" i="42"/>
  <c r="AH401" i="42" s="1" a="1"/>
  <c r="AH401" i="42" s="1"/>
  <c r="Z402" i="42"/>
  <c r="AA402" i="42" s="1"/>
  <c r="AB402" i="42"/>
  <c r="AD402" i="42"/>
  <c r="AH402" i="42" s="1" a="1"/>
  <c r="AH402" i="42" s="1"/>
  <c r="Z403" i="42"/>
  <c r="AA403" i="42" s="1"/>
  <c r="AB403" i="42"/>
  <c r="AD403" i="42"/>
  <c r="AH403" i="42" s="1" a="1"/>
  <c r="AH403" i="42" s="1"/>
  <c r="Z404" i="42"/>
  <c r="AA404" i="42" s="1"/>
  <c r="AB404" i="42"/>
  <c r="AD404" i="42"/>
  <c r="AH404" i="42" s="1" a="1"/>
  <c r="AH404" i="42" s="1"/>
  <c r="Z405" i="42"/>
  <c r="AA405" i="42" s="1"/>
  <c r="AB405" i="42"/>
  <c r="AD405" i="42"/>
  <c r="AH405" i="42" s="1" a="1"/>
  <c r="AH405" i="42" s="1"/>
  <c r="Z406" i="42"/>
  <c r="AA406" i="42" s="1"/>
  <c r="AB406" i="42"/>
  <c r="AD406" i="42"/>
  <c r="AH406" i="42" s="1" a="1"/>
  <c r="AH406" i="42" s="1"/>
  <c r="Z407" i="42"/>
  <c r="AA407" i="42" s="1"/>
  <c r="AB407" i="42"/>
  <c r="AD407" i="42"/>
  <c r="AH407" i="42" s="1" a="1"/>
  <c r="AH407" i="42" s="1"/>
  <c r="Z408" i="42"/>
  <c r="AA408" i="42" s="1"/>
  <c r="AB408" i="42"/>
  <c r="AD408" i="42"/>
  <c r="AH408" i="42" s="1" a="1"/>
  <c r="AH408" i="42" s="1"/>
  <c r="Z409" i="42"/>
  <c r="AA409" i="42" s="1"/>
  <c r="AB409" i="42"/>
  <c r="AD409" i="42"/>
  <c r="AH409" i="42" s="1" a="1"/>
  <c r="AH409" i="42" s="1"/>
  <c r="Z410" i="42"/>
  <c r="AA410" i="42" s="1"/>
  <c r="AB410" i="42"/>
  <c r="AD410" i="42"/>
  <c r="AH410" i="42" s="1" a="1"/>
  <c r="AH410" i="42" s="1"/>
  <c r="Z411" i="42"/>
  <c r="AA411" i="42" s="1"/>
  <c r="AB411" i="42"/>
  <c r="AD411" i="42"/>
  <c r="AH411" i="42" s="1" a="1"/>
  <c r="AH411" i="42" s="1"/>
  <c r="Z412" i="42"/>
  <c r="AA412" i="42" s="1"/>
  <c r="AB412" i="42"/>
  <c r="AD412" i="42"/>
  <c r="AH412" i="42" s="1" a="1"/>
  <c r="AH412" i="42" s="1"/>
  <c r="Z413" i="42"/>
  <c r="AA413" i="42" s="1"/>
  <c r="AB413" i="42"/>
  <c r="AD413" i="42"/>
  <c r="AH413" i="42" s="1" a="1"/>
  <c r="AH413" i="42" s="1"/>
  <c r="Z414" i="42"/>
  <c r="AA414" i="42" s="1"/>
  <c r="AB414" i="42"/>
  <c r="AD414" i="42"/>
  <c r="AH414" i="42" s="1" a="1"/>
  <c r="AH414" i="42" s="1"/>
  <c r="Z415" i="42"/>
  <c r="AA415" i="42" s="1"/>
  <c r="AB415" i="42"/>
  <c r="AD415" i="42"/>
  <c r="AH415" i="42" s="1" a="1"/>
  <c r="AH415" i="42" s="1"/>
  <c r="Z416" i="42"/>
  <c r="AA416" i="42" s="1"/>
  <c r="AB416" i="42"/>
  <c r="AD416" i="42"/>
  <c r="AH416" i="42" s="1" a="1"/>
  <c r="AH416" i="42" s="1"/>
  <c r="Z417" i="42"/>
  <c r="AA417" i="42" s="1"/>
  <c r="AB417" i="42"/>
  <c r="AD417" i="42"/>
  <c r="AH417" i="42" s="1" a="1"/>
  <c r="AH417" i="42" s="1"/>
  <c r="Z418" i="42"/>
  <c r="AA418" i="42" s="1"/>
  <c r="AB418" i="42"/>
  <c r="AD418" i="42"/>
  <c r="AH418" i="42" s="1" a="1"/>
  <c r="AH418" i="42" s="1"/>
  <c r="Z419" i="42"/>
  <c r="AA419" i="42" s="1"/>
  <c r="AB419" i="42"/>
  <c r="AD419" i="42"/>
  <c r="AH419" i="42" s="1" a="1"/>
  <c r="AH419" i="42" s="1"/>
  <c r="Z420" i="42"/>
  <c r="AA420" i="42" s="1"/>
  <c r="AB420" i="42"/>
  <c r="AD420" i="42"/>
  <c r="AH420" i="42" s="1" a="1"/>
  <c r="AH420" i="42" s="1"/>
  <c r="Z421" i="42"/>
  <c r="AA421" i="42" s="1"/>
  <c r="AB421" i="42"/>
  <c r="AD421" i="42"/>
  <c r="AH421" i="42" s="1" a="1"/>
  <c r="AH421" i="42" s="1"/>
  <c r="Z422" i="42"/>
  <c r="AA422" i="42" s="1"/>
  <c r="AB422" i="42"/>
  <c r="AD422" i="42"/>
  <c r="AH422" i="42" s="1" a="1"/>
  <c r="AH422" i="42" s="1"/>
  <c r="Z423" i="42"/>
  <c r="AA423" i="42" s="1"/>
  <c r="AB423" i="42"/>
  <c r="AD423" i="42"/>
  <c r="AH423" i="42" s="1" a="1"/>
  <c r="AH423" i="42" s="1"/>
  <c r="Z424" i="42"/>
  <c r="AA424" i="42" s="1"/>
  <c r="AB424" i="42"/>
  <c r="AD424" i="42"/>
  <c r="AH424" i="42" s="1" a="1"/>
  <c r="AH424" i="42" s="1"/>
  <c r="Z425" i="42"/>
  <c r="AA425" i="42" s="1"/>
  <c r="AB425" i="42"/>
  <c r="AD425" i="42"/>
  <c r="AH425" i="42" s="1" a="1"/>
  <c r="AH425" i="42" s="1"/>
  <c r="Z426" i="42"/>
  <c r="AA426" i="42" s="1"/>
  <c r="AB426" i="42"/>
  <c r="AD426" i="42"/>
  <c r="AH426" i="42" s="1" a="1"/>
  <c r="AH426" i="42" s="1"/>
  <c r="Z427" i="42"/>
  <c r="AA427" i="42" s="1"/>
  <c r="AB427" i="42"/>
  <c r="AD427" i="42"/>
  <c r="AH427" i="42" s="1" a="1"/>
  <c r="AH427" i="42" s="1"/>
  <c r="Z428" i="42"/>
  <c r="AA428" i="42" s="1"/>
  <c r="AB428" i="42"/>
  <c r="AD428" i="42"/>
  <c r="AH428" i="42" s="1" a="1"/>
  <c r="AH428" i="42" s="1"/>
  <c r="Z429" i="42"/>
  <c r="AA429" i="42" s="1"/>
  <c r="AB429" i="42"/>
  <c r="AD429" i="42"/>
  <c r="AH429" i="42" s="1" a="1"/>
  <c r="AH429" i="42" s="1"/>
  <c r="Z431" i="42"/>
  <c r="AA431" i="42" s="1"/>
  <c r="AB431" i="42"/>
  <c r="AD431" i="42"/>
  <c r="AH431" i="42" s="1" a="1"/>
  <c r="AH431" i="42" s="1"/>
  <c r="Z432" i="42"/>
  <c r="AA432" i="42" s="1"/>
  <c r="AB432" i="42"/>
  <c r="AD432" i="42"/>
  <c r="AH432" i="42" s="1" a="1"/>
  <c r="AH432" i="42" s="1"/>
  <c r="Z433" i="42"/>
  <c r="AA433" i="42" s="1"/>
  <c r="AB433" i="42"/>
  <c r="AD433" i="42"/>
  <c r="AH433" i="42" s="1" a="1"/>
  <c r="AH433" i="42" s="1"/>
  <c r="Z434" i="42"/>
  <c r="AA434" i="42" s="1"/>
  <c r="AB434" i="42"/>
  <c r="AD434" i="42"/>
  <c r="AH434" i="42" s="1" a="1"/>
  <c r="AH434" i="42" s="1"/>
  <c r="Z435" i="42"/>
  <c r="AA435" i="42" s="1"/>
  <c r="AB435" i="42"/>
  <c r="AD435" i="42"/>
  <c r="AH435" i="42" s="1" a="1"/>
  <c r="AH435" i="42" s="1"/>
  <c r="Z436" i="42"/>
  <c r="AA436" i="42" s="1"/>
  <c r="AB436" i="42"/>
  <c r="AD436" i="42"/>
  <c r="AH436" i="42" s="1" a="1"/>
  <c r="AH436" i="42" s="1"/>
  <c r="Z437" i="42"/>
  <c r="AA437" i="42" s="1"/>
  <c r="AB437" i="42"/>
  <c r="AE738" i="42" s="1"/>
  <c r="AD437" i="42"/>
  <c r="AH437" i="42" s="1" a="1"/>
  <c r="AH437" i="42" s="1"/>
  <c r="Z438" i="42"/>
  <c r="AA438" i="42" s="1"/>
  <c r="AB438" i="42"/>
  <c r="AD438" i="42"/>
  <c r="AH438" i="42" s="1" a="1"/>
  <c r="AH438" i="42" s="1"/>
  <c r="Z439" i="42"/>
  <c r="AA439" i="42" s="1"/>
  <c r="AB439" i="42"/>
  <c r="AD439" i="42"/>
  <c r="AH439" i="42" s="1" a="1"/>
  <c r="AH439" i="42" s="1"/>
  <c r="Z440" i="42"/>
  <c r="AA440" i="42" s="1"/>
  <c r="AB440" i="42"/>
  <c r="AD440" i="42"/>
  <c r="AH440" i="42" s="1" a="1"/>
  <c r="AH440" i="42" s="1"/>
  <c r="Z441" i="42"/>
  <c r="AA441" i="42" s="1"/>
  <c r="AB441" i="42"/>
  <c r="AD441" i="42"/>
  <c r="AH441" i="42" s="1" a="1"/>
  <c r="AH441" i="42" s="1"/>
  <c r="Z442" i="42"/>
  <c r="AA442" i="42" s="1"/>
  <c r="AB442" i="42"/>
  <c r="AD442" i="42"/>
  <c r="AH442" i="42" s="1" a="1"/>
  <c r="AH442" i="42" s="1"/>
  <c r="Z443" i="42"/>
  <c r="AA443" i="42" s="1"/>
  <c r="AB443" i="42"/>
  <c r="AD443" i="42"/>
  <c r="AH443" i="42" s="1" a="1"/>
  <c r="AH443" i="42" s="1"/>
  <c r="Z444" i="42"/>
  <c r="AA444" i="42" s="1"/>
  <c r="AB444" i="42"/>
  <c r="AD444" i="42"/>
  <c r="AH444" i="42" s="1" a="1"/>
  <c r="AH444" i="42" s="1"/>
  <c r="Z445" i="42"/>
  <c r="AA445" i="42" s="1"/>
  <c r="AB445" i="42"/>
  <c r="AD445" i="42"/>
  <c r="AH445" i="42" s="1" a="1"/>
  <c r="AH445" i="42" s="1"/>
  <c r="Z446" i="42"/>
  <c r="AA446" i="42" s="1"/>
  <c r="AB446" i="42"/>
  <c r="AD446" i="42"/>
  <c r="AH446" i="42" s="1" a="1"/>
  <c r="AH446" i="42" s="1"/>
  <c r="Z447" i="42"/>
  <c r="AA447" i="42" s="1"/>
  <c r="AB447" i="42"/>
  <c r="AD447" i="42"/>
  <c r="AH447" i="42" s="1" a="1"/>
  <c r="AH447" i="42" s="1"/>
  <c r="Z448" i="42"/>
  <c r="AA448" i="42" s="1"/>
  <c r="AB448" i="42"/>
  <c r="AD448" i="42"/>
  <c r="AH448" i="42" s="1" a="1"/>
  <c r="AH448" i="42" s="1"/>
  <c r="Z449" i="42"/>
  <c r="AA449" i="42" s="1"/>
  <c r="AB449" i="42"/>
  <c r="AD449" i="42"/>
  <c r="AH449" i="42" s="1" a="1"/>
  <c r="AH449" i="42" s="1"/>
  <c r="Z450" i="42"/>
  <c r="AA450" i="42" s="1"/>
  <c r="AB450" i="42"/>
  <c r="AD450" i="42"/>
  <c r="AH450" i="42" s="1" a="1"/>
  <c r="AH450" i="42" s="1"/>
  <c r="Z451" i="42"/>
  <c r="AA451" i="42" s="1"/>
  <c r="AB451" i="42"/>
  <c r="AD451" i="42"/>
  <c r="AH451" i="42" s="1" a="1"/>
  <c r="AH451" i="42" s="1"/>
  <c r="Z452" i="42"/>
  <c r="AA452" i="42" s="1"/>
  <c r="AB452" i="42"/>
  <c r="AD452" i="42"/>
  <c r="AH452" i="42" s="1" a="1"/>
  <c r="AH452" i="42" s="1"/>
  <c r="Z453" i="42"/>
  <c r="AA453" i="42" s="1"/>
  <c r="AB453" i="42"/>
  <c r="AD453" i="42"/>
  <c r="AH453" i="42" s="1" a="1"/>
  <c r="AH453" i="42" s="1"/>
  <c r="Z454" i="42"/>
  <c r="AA454" i="42" s="1"/>
  <c r="AB454" i="42"/>
  <c r="AD454" i="42"/>
  <c r="AH454" i="42" s="1" a="1"/>
  <c r="AH454" i="42" s="1"/>
  <c r="Z455" i="42"/>
  <c r="AA455" i="42" s="1"/>
  <c r="AB455" i="42"/>
  <c r="AD455" i="42"/>
  <c r="AH455" i="42" s="1" a="1"/>
  <c r="AH455" i="42" s="1"/>
  <c r="Z456" i="42"/>
  <c r="AA456" i="42" s="1"/>
  <c r="AB456" i="42"/>
  <c r="AD456" i="42"/>
  <c r="AH456" i="42" s="1" a="1"/>
  <c r="AH456" i="42" s="1"/>
  <c r="Z457" i="42"/>
  <c r="AA457" i="42" s="1"/>
  <c r="AB457" i="42"/>
  <c r="AD457" i="42"/>
  <c r="AH457" i="42" s="1" a="1"/>
  <c r="AH457" i="42" s="1"/>
  <c r="Z458" i="42"/>
  <c r="AA458" i="42" s="1"/>
  <c r="AB458" i="42"/>
  <c r="AD458" i="42"/>
  <c r="AH458" i="42" s="1" a="1"/>
  <c r="AH458" i="42" s="1"/>
  <c r="Z459" i="42"/>
  <c r="AA459" i="42" s="1"/>
  <c r="AB459" i="42"/>
  <c r="AD459" i="42"/>
  <c r="AH459" i="42" s="1" a="1"/>
  <c r="AH459" i="42" s="1"/>
  <c r="Z460" i="42"/>
  <c r="AA460" i="42" s="1"/>
  <c r="AB460" i="42"/>
  <c r="AD460" i="42"/>
  <c r="AH460" i="42" s="1" a="1"/>
  <c r="AH460" i="42" s="1"/>
  <c r="Z461" i="42"/>
  <c r="AA461" i="42" s="1"/>
  <c r="AB461" i="42"/>
  <c r="AD461" i="42"/>
  <c r="AH461" i="42" s="1" a="1"/>
  <c r="AH461" i="42" s="1"/>
  <c r="Z462" i="42"/>
  <c r="AA462" i="42" s="1"/>
  <c r="AB462" i="42"/>
  <c r="AD462" i="42"/>
  <c r="AH462" i="42" s="1" a="1"/>
  <c r="AH462" i="42" s="1"/>
  <c r="Z463" i="42"/>
  <c r="AA463" i="42" s="1"/>
  <c r="AB463" i="42"/>
  <c r="AD463" i="42"/>
  <c r="AH463" i="42" s="1" a="1"/>
  <c r="AH463" i="42" s="1"/>
  <c r="Z464" i="42"/>
  <c r="AA464" i="42" s="1"/>
  <c r="AB464" i="42"/>
  <c r="AD464" i="42"/>
  <c r="AH464" i="42" s="1" a="1"/>
  <c r="AH464" i="42" s="1"/>
  <c r="Z465" i="42"/>
  <c r="AA465" i="42" s="1"/>
  <c r="AB465" i="42"/>
  <c r="AD465" i="42"/>
  <c r="AH465" i="42" s="1" a="1"/>
  <c r="AH465" i="42" s="1"/>
  <c r="Z466" i="42"/>
  <c r="AA466" i="42" s="1"/>
  <c r="AB466" i="42"/>
  <c r="AD466" i="42"/>
  <c r="AH466" i="42" s="1" a="1"/>
  <c r="AH466" i="42" s="1"/>
  <c r="Z467" i="42"/>
  <c r="AA467" i="42" s="1"/>
  <c r="AB467" i="42"/>
  <c r="AD467" i="42"/>
  <c r="AH467" i="42" s="1" a="1"/>
  <c r="AH467" i="42" s="1"/>
  <c r="Z468" i="42"/>
  <c r="AA468" i="42" s="1"/>
  <c r="AB468" i="42"/>
  <c r="AD468" i="42"/>
  <c r="AH468" i="42" s="1" a="1"/>
  <c r="AH468" i="42" s="1"/>
  <c r="Z469" i="42"/>
  <c r="AA469" i="42" s="1"/>
  <c r="AB469" i="42"/>
  <c r="AD469" i="42"/>
  <c r="AH469" i="42" s="1" a="1"/>
  <c r="AH469" i="42" s="1"/>
  <c r="Z470" i="42"/>
  <c r="AA470" i="42" s="1"/>
  <c r="AB470" i="42"/>
  <c r="AD470" i="42"/>
  <c r="AH470" i="42" s="1" a="1"/>
  <c r="AH470" i="42" s="1"/>
  <c r="Z471" i="42"/>
  <c r="AA471" i="42" s="1"/>
  <c r="AB471" i="42"/>
  <c r="AD471" i="42"/>
  <c r="AH471" i="42" s="1" a="1"/>
  <c r="AH471" i="42" s="1"/>
  <c r="Z472" i="42"/>
  <c r="AA472" i="42" s="1"/>
  <c r="AB472" i="42"/>
  <c r="AD472" i="42"/>
  <c r="AH472" i="42" s="1" a="1"/>
  <c r="AH472" i="42" s="1"/>
  <c r="Z473" i="42"/>
  <c r="AA473" i="42" s="1"/>
  <c r="AB473" i="42"/>
  <c r="AD473" i="42"/>
  <c r="AH473" i="42" s="1" a="1"/>
  <c r="AH473" i="42" s="1"/>
  <c r="Z474" i="42"/>
  <c r="AA474" i="42" s="1"/>
  <c r="AB474" i="42"/>
  <c r="AD474" i="42"/>
  <c r="AH474" i="42" s="1" a="1"/>
  <c r="AH474" i="42" s="1"/>
  <c r="Z475" i="42"/>
  <c r="AA475" i="42" s="1"/>
  <c r="AB475" i="42"/>
  <c r="AE475" i="42" s="1"/>
  <c r="AD475" i="42"/>
  <c r="AH475" i="42" s="1" a="1"/>
  <c r="AH475" i="42" s="1"/>
  <c r="Z476" i="42"/>
  <c r="AA476" i="42" s="1"/>
  <c r="AB476" i="42"/>
  <c r="AD476" i="42"/>
  <c r="AH476" i="42" s="1" a="1"/>
  <c r="AH476" i="42" s="1"/>
  <c r="Z477" i="42"/>
  <c r="AA477" i="42" s="1"/>
  <c r="AB477" i="42"/>
  <c r="AD477" i="42"/>
  <c r="AH477" i="42" s="1" a="1"/>
  <c r="AH477" i="42" s="1"/>
  <c r="Z478" i="42"/>
  <c r="AA478" i="42" s="1"/>
  <c r="AB478" i="42"/>
  <c r="AD478" i="42"/>
  <c r="AH478" i="42" s="1" a="1"/>
  <c r="AH478" i="42" s="1"/>
  <c r="Z479" i="42"/>
  <c r="AA479" i="42" s="1"/>
  <c r="AB479" i="42"/>
  <c r="AD479" i="42"/>
  <c r="AH479" i="42" s="1" a="1"/>
  <c r="AH479" i="42" s="1"/>
  <c r="Z480" i="42"/>
  <c r="AA480" i="42" s="1"/>
  <c r="AB480" i="42"/>
  <c r="AD480" i="42"/>
  <c r="AH480" i="42" s="1" a="1"/>
  <c r="AH480" i="42" s="1"/>
  <c r="Z481" i="42"/>
  <c r="AA481" i="42" s="1"/>
  <c r="AB481" i="42"/>
  <c r="AD481" i="42"/>
  <c r="AH481" i="42" s="1" a="1"/>
  <c r="AH481" i="42" s="1"/>
  <c r="Z482" i="42"/>
  <c r="AA482" i="42" s="1"/>
  <c r="AB482" i="42"/>
  <c r="AD482" i="42"/>
  <c r="AH482" i="42" s="1" a="1"/>
  <c r="AH482" i="42" s="1"/>
  <c r="Z484" i="42"/>
  <c r="AA484" i="42" s="1"/>
  <c r="AB484" i="42"/>
  <c r="AD484" i="42"/>
  <c r="AH484" i="42" s="1" a="1"/>
  <c r="AH484" i="42" s="1"/>
  <c r="Z485" i="42"/>
  <c r="AA485" i="42" s="1"/>
  <c r="AB485" i="42"/>
  <c r="AD485" i="42"/>
  <c r="AH485" i="42" s="1" a="1"/>
  <c r="AH485" i="42" s="1"/>
  <c r="Z486" i="42"/>
  <c r="AA486" i="42" s="1"/>
  <c r="AB486" i="42"/>
  <c r="AD486" i="42"/>
  <c r="AH486" i="42" s="1" a="1"/>
  <c r="AH486" i="42" s="1"/>
  <c r="Z487" i="42"/>
  <c r="AA487" i="42" s="1"/>
  <c r="AB487" i="42"/>
  <c r="AD487" i="42"/>
  <c r="AH487" i="42" s="1" a="1"/>
  <c r="AH487" i="42" s="1"/>
  <c r="Z488" i="42"/>
  <c r="AA488" i="42" s="1"/>
  <c r="AB488" i="42"/>
  <c r="AD488" i="42"/>
  <c r="AH488" i="42" s="1" a="1"/>
  <c r="AH488" i="42" s="1"/>
  <c r="Z489" i="42"/>
  <c r="AA489" i="42" s="1"/>
  <c r="AB489" i="42"/>
  <c r="AD489" i="42"/>
  <c r="AH489" i="42" s="1" a="1"/>
  <c r="AH489" i="42" s="1"/>
  <c r="Z490" i="42"/>
  <c r="AA490" i="42" s="1"/>
  <c r="AB490" i="42"/>
  <c r="AD490" i="42"/>
  <c r="AH490" i="42" s="1" a="1"/>
  <c r="AH490" i="42" s="1"/>
  <c r="Z491" i="42"/>
  <c r="AA491" i="42" s="1"/>
  <c r="AB491" i="42"/>
  <c r="AD491" i="42"/>
  <c r="AH491" i="42" s="1" a="1"/>
  <c r="AH491" i="42" s="1"/>
  <c r="Z492" i="42"/>
  <c r="AA492" i="42" s="1"/>
  <c r="AB492" i="42"/>
  <c r="AD492" i="42"/>
  <c r="AH492" i="42" s="1" a="1"/>
  <c r="AH492" i="42" s="1"/>
  <c r="Z493" i="42"/>
  <c r="AA493" i="42" s="1"/>
  <c r="AB493" i="42"/>
  <c r="AD493" i="42"/>
  <c r="AH493" i="42" s="1" a="1"/>
  <c r="AH493" i="42" s="1"/>
  <c r="Z494" i="42"/>
  <c r="AA494" i="42" s="1"/>
  <c r="AB494" i="42"/>
  <c r="AD494" i="42"/>
  <c r="AH494" i="42" s="1" a="1"/>
  <c r="AH494" i="42" s="1"/>
  <c r="Z495" i="42"/>
  <c r="AA495" i="42" s="1"/>
  <c r="AB495" i="42"/>
  <c r="AD495" i="42"/>
  <c r="AH495" i="42" s="1" a="1"/>
  <c r="AH495" i="42" s="1"/>
  <c r="Z496" i="42"/>
  <c r="AA496" i="42" s="1"/>
  <c r="AB496" i="42"/>
  <c r="AD496" i="42"/>
  <c r="AH496" i="42" s="1" a="1"/>
  <c r="AH496" i="42" s="1"/>
  <c r="Z497" i="42"/>
  <c r="AA497" i="42" s="1"/>
  <c r="AB497" i="42"/>
  <c r="AD497" i="42"/>
  <c r="AH497" i="42" s="1" a="1"/>
  <c r="AH497" i="42" s="1"/>
  <c r="Z498" i="42"/>
  <c r="AA498" i="42" s="1"/>
  <c r="AB498" i="42"/>
  <c r="AD498" i="42"/>
  <c r="AH498" i="42" s="1" a="1"/>
  <c r="AH498" i="42" s="1"/>
  <c r="Z499" i="42"/>
  <c r="AA499" i="42" s="1"/>
  <c r="AB499" i="42"/>
  <c r="AD499" i="42"/>
  <c r="AH499" i="42" s="1" a="1"/>
  <c r="AH499" i="42" s="1"/>
  <c r="Z500" i="42"/>
  <c r="AA500" i="42" s="1"/>
  <c r="AB500" i="42"/>
  <c r="AD500" i="42"/>
  <c r="AH500" i="42" s="1" a="1"/>
  <c r="AH500" i="42" s="1"/>
  <c r="Z501" i="42"/>
  <c r="AA501" i="42" s="1"/>
  <c r="AB501" i="42"/>
  <c r="AD501" i="42"/>
  <c r="AH501" i="42" s="1" a="1"/>
  <c r="AH501" i="42" s="1"/>
  <c r="Z502" i="42"/>
  <c r="AA502" i="42" s="1"/>
  <c r="AB502" i="42"/>
  <c r="AD502" i="42"/>
  <c r="AH502" i="42" s="1" a="1"/>
  <c r="AH502" i="42" s="1"/>
  <c r="Z503" i="42"/>
  <c r="AA503" i="42" s="1"/>
  <c r="AB503" i="42"/>
  <c r="AD503" i="42"/>
  <c r="AH503" i="42" s="1" a="1"/>
  <c r="AH503" i="42" s="1"/>
  <c r="Z504" i="42"/>
  <c r="AA504" i="42" s="1"/>
  <c r="AB504" i="42"/>
  <c r="AD504" i="42"/>
  <c r="AH504" i="42" s="1" a="1"/>
  <c r="AH504" i="42" s="1"/>
  <c r="Z505" i="42"/>
  <c r="AA505" i="42" s="1"/>
  <c r="AB505" i="42"/>
  <c r="AD505" i="42"/>
  <c r="AH505" i="42" s="1" a="1"/>
  <c r="AH505" i="42" s="1"/>
  <c r="Z506" i="42"/>
  <c r="AA506" i="42" s="1"/>
  <c r="AB506" i="42"/>
  <c r="AD506" i="42"/>
  <c r="AH506" i="42" s="1" a="1"/>
  <c r="AH506" i="42" s="1"/>
  <c r="Z507" i="42"/>
  <c r="AA507" i="42" s="1"/>
  <c r="AB507" i="42"/>
  <c r="AD507" i="42"/>
  <c r="AH507" i="42" s="1" a="1"/>
  <c r="AH507" i="42" s="1"/>
  <c r="Z508" i="42"/>
  <c r="AA508" i="42" s="1"/>
  <c r="AB508" i="42"/>
  <c r="AD508" i="42"/>
  <c r="AH508" i="42" s="1" a="1"/>
  <c r="AH508" i="42" s="1"/>
  <c r="Z509" i="42"/>
  <c r="AA509" i="42" s="1"/>
  <c r="AB509" i="42"/>
  <c r="AD509" i="42"/>
  <c r="AH509" i="42" s="1" a="1"/>
  <c r="AH509" i="42" s="1"/>
  <c r="Z510" i="42"/>
  <c r="AA510" i="42" s="1"/>
  <c r="AB510" i="42"/>
  <c r="AD510" i="42"/>
  <c r="AH510" i="42" s="1" a="1"/>
  <c r="AH510" i="42" s="1"/>
  <c r="Z511" i="42"/>
  <c r="AA511" i="42" s="1"/>
  <c r="AB511" i="42"/>
  <c r="AD511" i="42"/>
  <c r="AH511" i="42" s="1" a="1"/>
  <c r="AH511" i="42" s="1"/>
  <c r="Z512" i="42"/>
  <c r="AA512" i="42" s="1"/>
  <c r="AB512" i="42"/>
  <c r="AD512" i="42"/>
  <c r="AH512" i="42" s="1" a="1"/>
  <c r="AH512" i="42" s="1"/>
  <c r="Z513" i="42"/>
  <c r="AA513" i="42" s="1"/>
  <c r="AB513" i="42"/>
  <c r="AD513" i="42"/>
  <c r="AH513" i="42" s="1" a="1"/>
  <c r="AH513" i="42" s="1"/>
  <c r="Z514" i="42"/>
  <c r="AA514" i="42" s="1"/>
  <c r="AB514" i="42"/>
  <c r="AD514" i="42"/>
  <c r="AH514" i="42" s="1" a="1"/>
  <c r="AH514" i="42" s="1"/>
  <c r="Z515" i="42"/>
  <c r="AA515" i="42" s="1"/>
  <c r="AB515" i="42"/>
  <c r="AD515" i="42"/>
  <c r="AH515" i="42" s="1" a="1"/>
  <c r="AH515" i="42" s="1"/>
  <c r="Z516" i="42"/>
  <c r="AA516" i="42" s="1"/>
  <c r="AB516" i="42"/>
  <c r="AD516" i="42"/>
  <c r="AH516" i="42" s="1" a="1"/>
  <c r="AH516" i="42" s="1"/>
  <c r="Z517" i="42"/>
  <c r="AA517" i="42" s="1"/>
  <c r="AB517" i="42"/>
  <c r="AD517" i="42"/>
  <c r="AH517" i="42" s="1" a="1"/>
  <c r="AH517" i="42" s="1"/>
  <c r="Z518" i="42"/>
  <c r="AA518" i="42" s="1"/>
  <c r="AB518" i="42"/>
  <c r="AD518" i="42"/>
  <c r="AH518" i="42" s="1" a="1"/>
  <c r="AH518" i="42" s="1"/>
  <c r="Z519" i="42"/>
  <c r="AA519" i="42" s="1"/>
  <c r="AB519" i="42"/>
  <c r="AD519" i="42"/>
  <c r="AH519" i="42" s="1" a="1"/>
  <c r="AH519" i="42" s="1"/>
  <c r="Z520" i="42"/>
  <c r="AA520" i="42" s="1"/>
  <c r="AB520" i="42"/>
  <c r="AD520" i="42"/>
  <c r="AH520" i="42" s="1" a="1"/>
  <c r="AH520" i="42" s="1"/>
  <c r="Z521" i="42"/>
  <c r="AA521" i="42" s="1"/>
  <c r="AB521" i="42"/>
  <c r="AD521" i="42"/>
  <c r="AH521" i="42" s="1" a="1"/>
  <c r="AH521" i="42" s="1"/>
  <c r="Z522" i="42"/>
  <c r="AA522" i="42" s="1"/>
  <c r="AB522" i="42"/>
  <c r="AD522" i="42"/>
  <c r="AH522" i="42" s="1" a="1"/>
  <c r="AH522" i="42" s="1"/>
  <c r="Z523" i="42"/>
  <c r="AA523" i="42" s="1"/>
  <c r="AB523" i="42"/>
  <c r="AD523" i="42"/>
  <c r="AH523" i="42" s="1" a="1"/>
  <c r="AH523" i="42" s="1"/>
  <c r="Z524" i="42"/>
  <c r="AA524" i="42" s="1"/>
  <c r="AB524" i="42"/>
  <c r="AD524" i="42"/>
  <c r="AH524" i="42" s="1" a="1"/>
  <c r="AH524" i="42" s="1"/>
  <c r="Z525" i="42"/>
  <c r="AA525" i="42" s="1"/>
  <c r="AB525" i="42"/>
  <c r="AD525" i="42"/>
  <c r="AH525" i="42" s="1" a="1"/>
  <c r="AH525" i="42" s="1"/>
  <c r="Z526" i="42"/>
  <c r="AA526" i="42" s="1"/>
  <c r="AB526" i="42"/>
  <c r="AD526" i="42"/>
  <c r="AH526" i="42" s="1" a="1"/>
  <c r="AH526" i="42" s="1"/>
  <c r="Z527" i="42"/>
  <c r="AA527" i="42" s="1"/>
  <c r="AB527" i="42"/>
  <c r="AD527" i="42"/>
  <c r="AH527" i="42" s="1" a="1"/>
  <c r="AH527" i="42" s="1"/>
  <c r="Z528" i="42"/>
  <c r="AA528" i="42" s="1"/>
  <c r="AB528" i="42"/>
  <c r="AD528" i="42"/>
  <c r="AH528" i="42" s="1" a="1"/>
  <c r="AH528" i="42" s="1"/>
  <c r="Z529" i="42"/>
  <c r="AA529" i="42" s="1"/>
  <c r="AB529" i="42"/>
  <c r="AD529" i="42"/>
  <c r="AH529" i="42" s="1" a="1"/>
  <c r="AH529" i="42" s="1"/>
  <c r="Z530" i="42"/>
  <c r="AA530" i="42" s="1"/>
  <c r="AB530" i="42"/>
  <c r="AD530" i="42"/>
  <c r="AH530" i="42" s="1" a="1"/>
  <c r="AH530" i="42" s="1"/>
  <c r="Z531" i="42"/>
  <c r="AA531" i="42" s="1"/>
  <c r="AB531" i="42"/>
  <c r="AD531" i="42"/>
  <c r="AH531" i="42" s="1" a="1"/>
  <c r="AH531" i="42" s="1"/>
  <c r="Z532" i="42"/>
  <c r="AA532" i="42" s="1"/>
  <c r="AB532" i="42"/>
  <c r="AD532" i="42"/>
  <c r="AH532" i="42" s="1" a="1"/>
  <c r="AH532" i="42" s="1"/>
  <c r="Z533" i="42"/>
  <c r="AA533" i="42" s="1"/>
  <c r="AB533" i="42"/>
  <c r="AD533" i="42"/>
  <c r="AH533" i="42" s="1" a="1"/>
  <c r="AH533" i="42" s="1"/>
  <c r="Z534" i="42"/>
  <c r="AA534" i="42" s="1"/>
  <c r="AB534" i="42"/>
  <c r="AD534" i="42"/>
  <c r="AH534" i="42" s="1" a="1"/>
  <c r="AH534" i="42" s="1"/>
  <c r="Z535" i="42"/>
  <c r="AA535" i="42" s="1"/>
  <c r="AB535" i="42"/>
  <c r="AD535" i="42"/>
  <c r="AH535" i="42" s="1" a="1"/>
  <c r="AH535" i="42" s="1"/>
  <c r="Z536" i="42"/>
  <c r="AA536" i="42" s="1"/>
  <c r="AB536" i="42"/>
  <c r="AD536" i="42"/>
  <c r="AH536" i="42" s="1" a="1"/>
  <c r="AH536" i="42" s="1"/>
  <c r="Z537" i="42"/>
  <c r="AA537" i="42" s="1"/>
  <c r="AB537" i="42"/>
  <c r="AD537" i="42"/>
  <c r="AH537" i="42" s="1" a="1"/>
  <c r="AH537" i="42" s="1"/>
  <c r="Z538" i="42"/>
  <c r="AA538" i="42" s="1"/>
  <c r="AB538" i="42"/>
  <c r="AD538" i="42"/>
  <c r="AH538" i="42" s="1" a="1"/>
  <c r="AH538" i="42" s="1"/>
  <c r="Z539" i="42"/>
  <c r="AA539" i="42" s="1"/>
  <c r="AB539" i="42"/>
  <c r="AD539" i="42"/>
  <c r="AH539" i="42" s="1" a="1"/>
  <c r="AH539" i="42" s="1"/>
  <c r="Z540" i="42"/>
  <c r="AA540" i="42" s="1"/>
  <c r="AB540" i="42"/>
  <c r="AD540" i="42"/>
  <c r="AH540" i="42" s="1" a="1"/>
  <c r="AH540" i="42" s="1"/>
  <c r="Z541" i="42"/>
  <c r="AA541" i="42" s="1"/>
  <c r="AB541" i="42"/>
  <c r="AD541" i="42"/>
  <c r="AH541" i="42" s="1" a="1"/>
  <c r="AH541" i="42" s="1"/>
  <c r="Z542" i="42"/>
  <c r="AA542" i="42" s="1"/>
  <c r="AB542" i="42"/>
  <c r="AD542" i="42"/>
  <c r="AH542" i="42" s="1" a="1"/>
  <c r="AH542" i="42" s="1"/>
  <c r="Z543" i="42"/>
  <c r="AA543" i="42" s="1"/>
  <c r="AB543" i="42"/>
  <c r="AD543" i="42"/>
  <c r="AH543" i="42" s="1" a="1"/>
  <c r="AH543" i="42" s="1"/>
  <c r="Z544" i="42"/>
  <c r="AA544" i="42" s="1"/>
  <c r="AB544" i="42"/>
  <c r="AD544" i="42"/>
  <c r="AH544" i="42" s="1" a="1"/>
  <c r="AH544" i="42" s="1"/>
  <c r="Z545" i="42"/>
  <c r="AA545" i="42" s="1"/>
  <c r="AB545" i="42"/>
  <c r="AD545" i="42"/>
  <c r="AH545" i="42" s="1" a="1"/>
  <c r="AH545" i="42" s="1"/>
  <c r="Z546" i="42"/>
  <c r="AA546" i="42" s="1"/>
  <c r="AB546" i="42"/>
  <c r="AD546" i="42"/>
  <c r="AH546" i="42" s="1" a="1"/>
  <c r="AH546" i="42" s="1"/>
  <c r="Z547" i="42"/>
  <c r="AA547" i="42" s="1"/>
  <c r="AB547" i="42"/>
  <c r="AD547" i="42"/>
  <c r="AH547" i="42" s="1" a="1"/>
  <c r="AH547" i="42" s="1"/>
  <c r="Z548" i="42"/>
  <c r="AA548" i="42" s="1"/>
  <c r="AB548" i="42"/>
  <c r="AD548" i="42"/>
  <c r="AH548" i="42" s="1" a="1"/>
  <c r="AH548" i="42" s="1"/>
  <c r="Z549" i="42"/>
  <c r="AA549" i="42" s="1"/>
  <c r="AB549" i="42"/>
  <c r="AD549" i="42"/>
  <c r="AH549" i="42" s="1" a="1"/>
  <c r="AH549" i="42" s="1"/>
  <c r="Z550" i="42"/>
  <c r="AA550" i="42" s="1"/>
  <c r="AB550" i="42"/>
  <c r="AD550" i="42"/>
  <c r="AH550" i="42" s="1" a="1"/>
  <c r="AH550" i="42" s="1"/>
  <c r="Z551" i="42"/>
  <c r="AA551" i="42" s="1"/>
  <c r="AB551" i="42"/>
  <c r="AD551" i="42"/>
  <c r="AH551" i="42" s="1" a="1"/>
  <c r="AH551" i="42" s="1"/>
  <c r="Z552" i="42"/>
  <c r="AA552" i="42" s="1"/>
  <c r="AB552" i="42"/>
  <c r="AD552" i="42"/>
  <c r="AH552" i="42" s="1" a="1"/>
  <c r="AH552" i="42" s="1"/>
  <c r="Z553" i="42"/>
  <c r="AA553" i="42" s="1"/>
  <c r="AB553" i="42"/>
  <c r="AD553" i="42"/>
  <c r="AH553" i="42" s="1" a="1"/>
  <c r="AH553" i="42" s="1"/>
  <c r="Z554" i="42"/>
  <c r="AA554" i="42" s="1"/>
  <c r="AB554" i="42"/>
  <c r="AD554" i="42"/>
  <c r="AH554" i="42" s="1" a="1"/>
  <c r="AH554" i="42" s="1"/>
  <c r="Z555" i="42"/>
  <c r="AA555" i="42" s="1"/>
  <c r="AB555" i="42"/>
  <c r="AD555" i="42"/>
  <c r="AH555" i="42" s="1" a="1"/>
  <c r="AH555" i="42" s="1"/>
  <c r="Z556" i="42"/>
  <c r="AA556" i="42" s="1"/>
  <c r="AB556" i="42"/>
  <c r="AD556" i="42"/>
  <c r="AH556" i="42" s="1" a="1"/>
  <c r="AH556" i="42" s="1"/>
  <c r="Z557" i="42"/>
  <c r="AA557" i="42" s="1"/>
  <c r="AB557" i="42"/>
  <c r="AD557" i="42"/>
  <c r="AH557" i="42" s="1" a="1"/>
  <c r="AH557" i="42" s="1"/>
  <c r="Z558" i="42"/>
  <c r="AA558" i="42" s="1"/>
  <c r="AB558" i="42"/>
  <c r="AD558" i="42"/>
  <c r="AH558" i="42" s="1" a="1"/>
  <c r="AH558" i="42" s="1"/>
  <c r="Z559" i="42"/>
  <c r="AA559" i="42" s="1"/>
  <c r="AB559" i="42"/>
  <c r="AD559" i="42"/>
  <c r="AH559" i="42" s="1" a="1"/>
  <c r="AH559" i="42" s="1"/>
  <c r="Z560" i="42"/>
  <c r="AA560" i="42" s="1"/>
  <c r="AB560" i="42"/>
  <c r="AD560" i="42"/>
  <c r="AH560" i="42" s="1" a="1"/>
  <c r="AH560" i="42" s="1"/>
  <c r="Z561" i="42"/>
  <c r="AA561" i="42" s="1"/>
  <c r="AB561" i="42"/>
  <c r="AD561" i="42"/>
  <c r="AH561" i="42" s="1" a="1"/>
  <c r="AH561" i="42" s="1"/>
  <c r="Z562" i="42"/>
  <c r="AA562" i="42" s="1"/>
  <c r="AB562" i="42"/>
  <c r="AD562" i="42"/>
  <c r="AH562" i="42" s="1" a="1"/>
  <c r="AH562" i="42" s="1"/>
  <c r="Z563" i="42"/>
  <c r="AA563" i="42" s="1"/>
  <c r="AB563" i="42"/>
  <c r="AD563" i="42"/>
  <c r="AH563" i="42" s="1" a="1"/>
  <c r="AH563" i="42" s="1"/>
  <c r="Z564" i="42"/>
  <c r="AA564" i="42" s="1"/>
  <c r="AB564" i="42"/>
  <c r="AD564" i="42"/>
  <c r="AH564" i="42" s="1" a="1"/>
  <c r="AH564" i="42" s="1"/>
  <c r="Z565" i="42"/>
  <c r="AA565" i="42" s="1"/>
  <c r="AB565" i="42"/>
  <c r="AD565" i="42"/>
  <c r="AH565" i="42" s="1" a="1"/>
  <c r="AH565" i="42" s="1"/>
  <c r="Z566" i="42"/>
  <c r="AA566" i="42" s="1"/>
  <c r="AB566" i="42"/>
  <c r="AD566" i="42"/>
  <c r="AH566" i="42" s="1" a="1"/>
  <c r="AH566" i="42" s="1"/>
  <c r="Z567" i="42"/>
  <c r="AA567" i="42" s="1"/>
  <c r="AB567" i="42"/>
  <c r="AD567" i="42"/>
  <c r="AH567" i="42" s="1" a="1"/>
  <c r="AH567" i="42" s="1"/>
  <c r="Z568" i="42"/>
  <c r="AA568" i="42" s="1"/>
  <c r="AB568" i="42"/>
  <c r="AD568" i="42"/>
  <c r="AH568" i="42" s="1" a="1"/>
  <c r="AH568" i="42" s="1"/>
  <c r="Z569" i="42"/>
  <c r="AA569" i="42" s="1"/>
  <c r="AB569" i="42"/>
  <c r="AD569" i="42"/>
  <c r="AH569" i="42" s="1" a="1"/>
  <c r="AH569" i="42" s="1"/>
  <c r="Z570" i="42"/>
  <c r="AA570" i="42" s="1"/>
  <c r="AB570" i="42"/>
  <c r="AC570" i="42" s="1"/>
  <c r="AD570" i="42"/>
  <c r="AH570" i="42" s="1" a="1"/>
  <c r="AH570" i="42" s="1"/>
  <c r="Z571" i="42"/>
  <c r="AA571" i="42" s="1"/>
  <c r="AB571" i="42"/>
  <c r="AC571" i="42" s="1"/>
  <c r="AD571" i="42"/>
  <c r="AH571" i="42" s="1" a="1"/>
  <c r="AH571" i="42" s="1"/>
  <c r="Z572" i="42"/>
  <c r="AA572" i="42" s="1"/>
  <c r="AB572" i="42"/>
  <c r="AC572" i="42" s="1"/>
  <c r="AD572" i="42"/>
  <c r="AH572" i="42" s="1" a="1"/>
  <c r="AH572" i="42" s="1"/>
  <c r="Z573" i="42"/>
  <c r="AA573" i="42" s="1"/>
  <c r="AB573" i="42"/>
  <c r="AD573" i="42"/>
  <c r="AH573" i="42" s="1" a="1"/>
  <c r="AH573" i="42" s="1"/>
  <c r="Z574" i="42"/>
  <c r="AA574" i="42" s="1"/>
  <c r="AB574" i="42"/>
  <c r="AD574" i="42"/>
  <c r="AH574" i="42" s="1" a="1"/>
  <c r="AH574" i="42" s="1"/>
  <c r="Z575" i="42"/>
  <c r="AA575" i="42" s="1"/>
  <c r="AB575" i="42"/>
  <c r="AD575" i="42"/>
  <c r="AH575" i="42" s="1" a="1"/>
  <c r="AH575" i="42" s="1"/>
  <c r="Z576" i="42"/>
  <c r="AA576" i="42" s="1"/>
  <c r="AB576" i="42"/>
  <c r="AD576" i="42"/>
  <c r="AH576" i="42" s="1" a="1"/>
  <c r="AH576" i="42" s="1"/>
  <c r="Z577" i="42"/>
  <c r="AA577" i="42" s="1"/>
  <c r="AB577" i="42"/>
  <c r="AD577" i="42"/>
  <c r="AH577" i="42" s="1" a="1"/>
  <c r="AH577" i="42" s="1"/>
  <c r="Z578" i="42"/>
  <c r="AA578" i="42" s="1"/>
  <c r="AB578" i="42"/>
  <c r="AD578" i="42"/>
  <c r="AH578" i="42" s="1" a="1"/>
  <c r="AH578" i="42" s="1"/>
  <c r="Z579" i="42"/>
  <c r="AA579" i="42" s="1"/>
  <c r="AB579" i="42"/>
  <c r="AC579" i="42" s="1"/>
  <c r="AD579" i="42"/>
  <c r="AH579" i="42" s="1" a="1"/>
  <c r="AH579" i="42" s="1"/>
  <c r="Z580" i="42"/>
  <c r="AA580" i="42" s="1"/>
  <c r="AB580" i="42"/>
  <c r="AD580" i="42"/>
  <c r="AH580" i="42" s="1" a="1"/>
  <c r="AH580" i="42" s="1"/>
  <c r="Z581" i="42"/>
  <c r="AA581" i="42" s="1"/>
  <c r="AB581" i="42"/>
  <c r="AC581" i="42" s="1"/>
  <c r="AD581" i="42"/>
  <c r="AH581" i="42" s="1" a="1"/>
  <c r="AH581" i="42" s="1"/>
  <c r="Z582" i="42"/>
  <c r="AA582" i="42" s="1"/>
  <c r="AB582" i="42"/>
  <c r="AC582" i="42" s="1"/>
  <c r="AD582" i="42"/>
  <c r="AH582" i="42" s="1" a="1"/>
  <c r="AH582" i="42" s="1"/>
  <c r="Z583" i="42"/>
  <c r="AA583" i="42" s="1"/>
  <c r="AB583" i="42"/>
  <c r="AC583" i="42" s="1"/>
  <c r="AD583" i="42"/>
  <c r="AH583" i="42" s="1" a="1"/>
  <c r="AH583" i="42" s="1"/>
  <c r="Z584" i="42"/>
  <c r="AA584" i="42" s="1"/>
  <c r="AB584" i="42"/>
  <c r="AC584" i="42" s="1"/>
  <c r="AD584" i="42"/>
  <c r="AH584" i="42" s="1" a="1"/>
  <c r="AH584" i="42" s="1"/>
  <c r="Z587" i="42"/>
  <c r="AA587" i="42" s="1"/>
  <c r="AB587" i="42"/>
  <c r="AD587" i="42"/>
  <c r="AH587" i="42" s="1" a="1"/>
  <c r="AH587" i="42" s="1"/>
  <c r="Z588" i="42"/>
  <c r="AA588" i="42" s="1"/>
  <c r="AB588" i="42"/>
  <c r="AD588" i="42"/>
  <c r="AH588" i="42" s="1" a="1"/>
  <c r="AH588" i="42" s="1"/>
  <c r="Z589" i="42"/>
  <c r="AA589" i="42" s="1"/>
  <c r="AB589" i="42"/>
  <c r="AD589" i="42"/>
  <c r="AH589" i="42" s="1" a="1"/>
  <c r="AH589" i="42" s="1"/>
  <c r="Z590" i="42"/>
  <c r="AA590" i="42" s="1"/>
  <c r="AB590" i="42"/>
  <c r="AD590" i="42"/>
  <c r="AH590" i="42" s="1" a="1"/>
  <c r="AH590" i="42" s="1"/>
  <c r="Z593" i="42"/>
  <c r="AA593" i="42" s="1"/>
  <c r="AB593" i="42"/>
  <c r="AD593" i="42"/>
  <c r="AH593" i="42" s="1" a="1"/>
  <c r="AH593" i="42" s="1"/>
  <c r="Z594" i="42"/>
  <c r="AA594" i="42" s="1"/>
  <c r="AB594" i="42"/>
  <c r="AD594" i="42"/>
  <c r="AH594" i="42" s="1" a="1"/>
  <c r="AH594" i="42" s="1"/>
  <c r="Z595" i="42"/>
  <c r="AA595" i="42" s="1"/>
  <c r="AB595" i="42"/>
  <c r="AD595" i="42"/>
  <c r="AH595" i="42" s="1" a="1"/>
  <c r="AH595" i="42" s="1"/>
  <c r="Z596" i="42"/>
  <c r="AA596" i="42" s="1"/>
  <c r="AB596" i="42"/>
  <c r="AC596" i="42" s="1"/>
  <c r="AD596" i="42"/>
  <c r="AH596" i="42" s="1" a="1"/>
  <c r="AH596" i="42" s="1"/>
  <c r="Z597" i="42"/>
  <c r="AA597" i="42" s="1"/>
  <c r="AB597" i="42"/>
  <c r="AC597" i="42" s="1"/>
  <c r="AD597" i="42"/>
  <c r="AH597" i="42" s="1" a="1"/>
  <c r="AH597" i="42" s="1"/>
  <c r="Z598" i="42"/>
  <c r="AA598" i="42" s="1"/>
  <c r="AB598" i="42"/>
  <c r="AC598" i="42" s="1"/>
  <c r="AD598" i="42"/>
  <c r="AH598" i="42" s="1" a="1"/>
  <c r="AH598" i="42" s="1"/>
  <c r="Z599" i="42"/>
  <c r="AA599" i="42" s="1"/>
  <c r="AB599" i="42"/>
  <c r="AC599" i="42" s="1"/>
  <c r="AD599" i="42"/>
  <c r="AH599" i="42" s="1" a="1"/>
  <c r="AH599" i="42" s="1"/>
  <c r="Z600" i="42"/>
  <c r="AA600" i="42" s="1"/>
  <c r="AB600" i="42"/>
  <c r="AC600" i="42" s="1"/>
  <c r="AD600" i="42"/>
  <c r="AH600" i="42" s="1" a="1"/>
  <c r="AH600" i="42" s="1"/>
  <c r="Z601" i="42"/>
  <c r="AA601" i="42" s="1"/>
  <c r="AB601" i="42"/>
  <c r="AC601" i="42" s="1"/>
  <c r="AD601" i="42"/>
  <c r="AH601" i="42" s="1" a="1"/>
  <c r="AH601" i="42" s="1"/>
  <c r="Z602" i="42"/>
  <c r="AA602" i="42" s="1"/>
  <c r="AB602" i="42"/>
  <c r="AC602" i="42" s="1"/>
  <c r="AD602" i="42"/>
  <c r="AH602" i="42" s="1" a="1"/>
  <c r="AH602" i="42" s="1"/>
  <c r="Z603" i="42"/>
  <c r="AA603" i="42" s="1"/>
  <c r="AB603" i="42"/>
  <c r="AC603" i="42" s="1"/>
  <c r="AD603" i="42"/>
  <c r="AH603" i="42" s="1" a="1"/>
  <c r="AH603" i="42" s="1"/>
  <c r="Z604" i="42"/>
  <c r="AA604" i="42" s="1"/>
  <c r="AB604" i="42"/>
  <c r="AC604" i="42" s="1"/>
  <c r="AD604" i="42"/>
  <c r="AH604" i="42" s="1" a="1"/>
  <c r="AH604" i="42" s="1"/>
  <c r="Z605" i="42"/>
  <c r="AA605" i="42" s="1"/>
  <c r="AB605" i="42"/>
  <c r="AC605" i="42" s="1"/>
  <c r="AD605" i="42"/>
  <c r="AH605" i="42" s="1" a="1"/>
  <c r="AH605" i="42" s="1"/>
  <c r="Z606" i="42"/>
  <c r="AA606" i="42" s="1"/>
  <c r="AB606" i="42"/>
  <c r="AC606" i="42" s="1"/>
  <c r="AD606" i="42"/>
  <c r="AH606" i="42" s="1" a="1"/>
  <c r="AH606" i="42" s="1"/>
  <c r="Z607" i="42"/>
  <c r="AA607" i="42" s="1"/>
  <c r="AB607" i="42"/>
  <c r="AC607" i="42" s="1"/>
  <c r="AD607" i="42"/>
  <c r="AH607" i="42" s="1" a="1"/>
  <c r="AH607" i="42" s="1"/>
  <c r="Z608" i="42"/>
  <c r="AA608" i="42" s="1"/>
  <c r="AB608" i="42"/>
  <c r="AC608" i="42" s="1"/>
  <c r="AD608" i="42"/>
  <c r="AH608" i="42" s="1" a="1"/>
  <c r="AH608" i="42" s="1"/>
  <c r="Z609" i="42"/>
  <c r="AA609" i="42" s="1"/>
  <c r="AB609" i="42"/>
  <c r="AC609" i="42" s="1"/>
  <c r="AD609" i="42"/>
  <c r="AH609" i="42" s="1" a="1"/>
  <c r="AH609" i="42" s="1"/>
  <c r="Z610" i="42"/>
  <c r="AA610" i="42" s="1"/>
  <c r="AB610" i="42"/>
  <c r="AC610" i="42" s="1"/>
  <c r="AD610" i="42"/>
  <c r="AH610" i="42" s="1" a="1"/>
  <c r="AH610" i="42" s="1"/>
  <c r="Z611" i="42"/>
  <c r="AA611" i="42" s="1"/>
  <c r="AB611" i="42"/>
  <c r="AC611" i="42" s="1"/>
  <c r="AD611" i="42"/>
  <c r="AH611" i="42" s="1" a="1"/>
  <c r="AH611" i="42" s="1"/>
  <c r="Z612" i="42"/>
  <c r="AA612" i="42" s="1"/>
  <c r="AB612" i="42"/>
  <c r="AC612" i="42" s="1"/>
  <c r="AD612" i="42"/>
  <c r="AH612" i="42" s="1" a="1"/>
  <c r="AH612" i="42" s="1"/>
  <c r="Z613" i="42"/>
  <c r="AA613" i="42" s="1"/>
  <c r="AB613" i="42"/>
  <c r="AC613" i="42" s="1"/>
  <c r="AD613" i="42"/>
  <c r="AH613" i="42" s="1" a="1"/>
  <c r="AH613" i="42" s="1"/>
  <c r="Z614" i="42"/>
  <c r="AA614" i="42" s="1"/>
  <c r="AB614" i="42"/>
  <c r="AD614" i="42"/>
  <c r="AH614" i="42" s="1" a="1"/>
  <c r="AH614" i="42" s="1"/>
  <c r="Z615" i="42"/>
  <c r="AA615" i="42" s="1"/>
  <c r="AB615" i="42"/>
  <c r="AD615" i="42"/>
  <c r="AH615" i="42" s="1" a="1"/>
  <c r="AH615" i="42" s="1"/>
  <c r="Z616" i="42"/>
  <c r="AA616" i="42" s="1"/>
  <c r="AB616" i="42"/>
  <c r="AD616" i="42"/>
  <c r="AH616" i="42" s="1" a="1"/>
  <c r="AH616" i="42" s="1"/>
  <c r="Z617" i="42"/>
  <c r="AA617" i="42" s="1"/>
  <c r="AB617" i="42"/>
  <c r="AD617" i="42"/>
  <c r="AH617" i="42" s="1" a="1"/>
  <c r="AH617" i="42" s="1"/>
  <c r="Z618" i="42"/>
  <c r="AA618" i="42" s="1"/>
  <c r="AB618" i="42"/>
  <c r="AD618" i="42"/>
  <c r="AH618" i="42" s="1" a="1"/>
  <c r="AH618" i="42" s="1"/>
  <c r="Z619" i="42"/>
  <c r="AA619" i="42" s="1"/>
  <c r="AB619" i="42"/>
  <c r="AD619" i="42"/>
  <c r="AH619" i="42" s="1" a="1"/>
  <c r="AH619" i="42" s="1"/>
  <c r="Z620" i="42"/>
  <c r="AA620" i="42" s="1"/>
  <c r="AB620" i="42"/>
  <c r="AD620" i="42"/>
  <c r="AH620" i="42" s="1" a="1"/>
  <c r="AH620" i="42" s="1"/>
  <c r="Z621" i="42"/>
  <c r="AA621" i="42" s="1"/>
  <c r="AB621" i="42"/>
  <c r="AD621" i="42"/>
  <c r="AH621" i="42" s="1" a="1"/>
  <c r="AH621" i="42" s="1"/>
  <c r="Z622" i="42"/>
  <c r="AA622" i="42" s="1"/>
  <c r="AB622" i="42"/>
  <c r="AD622" i="42"/>
  <c r="AH622" i="42" s="1" a="1"/>
  <c r="AH622" i="42" s="1"/>
  <c r="Z623" i="42"/>
  <c r="AA623" i="42" s="1"/>
  <c r="AB623" i="42"/>
  <c r="AD623" i="42"/>
  <c r="AH623" i="42" s="1" a="1"/>
  <c r="AH623" i="42" s="1"/>
  <c r="Z625" i="42"/>
  <c r="AA625" i="42" s="1"/>
  <c r="AB625" i="42"/>
  <c r="AD625" i="42"/>
  <c r="AH625" i="42" s="1" a="1"/>
  <c r="AH625" i="42" s="1"/>
  <c r="AB626" i="42"/>
  <c r="AD626" i="42"/>
  <c r="AH626" i="42" s="1" a="1"/>
  <c r="AH626" i="42" s="1"/>
  <c r="Z627" i="42"/>
  <c r="AA627" i="42" s="1"/>
  <c r="AB627" i="42"/>
  <c r="AC627" i="42" s="1"/>
  <c r="AD627" i="42"/>
  <c r="AH627" i="42" s="1" a="1"/>
  <c r="AH627" i="42" s="1"/>
  <c r="Z628" i="42"/>
  <c r="AA628" i="42" s="1"/>
  <c r="AB628" i="42"/>
  <c r="AC628" i="42" s="1"/>
  <c r="AD628" i="42"/>
  <c r="AH628" i="42" s="1" a="1"/>
  <c r="AH628" i="42" s="1"/>
  <c r="Z629" i="42"/>
  <c r="AA629" i="42" s="1"/>
  <c r="AB629" i="42"/>
  <c r="AC629" i="42" s="1"/>
  <c r="AD629" i="42"/>
  <c r="AH629" i="42" s="1" a="1"/>
  <c r="AH629" i="42" s="1"/>
  <c r="Z630" i="42"/>
  <c r="AA630" i="42" s="1"/>
  <c r="AB630" i="42"/>
  <c r="AC630" i="42" s="1"/>
  <c r="AD630" i="42"/>
  <c r="AH630" i="42" s="1" a="1"/>
  <c r="AH630" i="42" s="1"/>
  <c r="Z631" i="42"/>
  <c r="AA631" i="42" s="1"/>
  <c r="AB631" i="42"/>
  <c r="AC631" i="42" s="1"/>
  <c r="AD631" i="42"/>
  <c r="AH631" i="42" s="1" a="1"/>
  <c r="AH631" i="42" s="1"/>
  <c r="Z632" i="42"/>
  <c r="AA632" i="42" s="1"/>
  <c r="AB632" i="42"/>
  <c r="AC632" i="42" s="1"/>
  <c r="AD632" i="42"/>
  <c r="AH632" i="42" s="1" a="1"/>
  <c r="AH632" i="42" s="1"/>
  <c r="Z633" i="42"/>
  <c r="AA633" i="42" s="1"/>
  <c r="AB633" i="42"/>
  <c r="AD633" i="42"/>
  <c r="AH633" i="42" s="1" a="1"/>
  <c r="AH633" i="42" s="1"/>
  <c r="Z634" i="42"/>
  <c r="AA634" i="42" s="1"/>
  <c r="AB634" i="42"/>
  <c r="AC634" i="42" s="1"/>
  <c r="AD634" i="42"/>
  <c r="AH634" i="42" s="1" a="1"/>
  <c r="AH634" i="42" s="1"/>
  <c r="Z635" i="42"/>
  <c r="AA635" i="42" s="1"/>
  <c r="AB635" i="42"/>
  <c r="AD635" i="42"/>
  <c r="AH635" i="42" s="1" a="1"/>
  <c r="AH635" i="42" s="1"/>
  <c r="Z636" i="42"/>
  <c r="AA636" i="42" s="1"/>
  <c r="AB636" i="42"/>
  <c r="AD636" i="42"/>
  <c r="AH636" i="42" s="1" a="1"/>
  <c r="AH636" i="42" s="1"/>
  <c r="Z637" i="42"/>
  <c r="AA637" i="42" s="1"/>
  <c r="AB637" i="42"/>
  <c r="AD637" i="42"/>
  <c r="AH637" i="42" s="1" a="1"/>
  <c r="AH637" i="42" s="1"/>
  <c r="Z638" i="42"/>
  <c r="AA638" i="42" s="1"/>
  <c r="AB638" i="42"/>
  <c r="AD638" i="42"/>
  <c r="AH638" i="42" s="1" a="1"/>
  <c r="AH638" i="42" s="1"/>
  <c r="Z639" i="42"/>
  <c r="AA639" i="42" s="1"/>
  <c r="AB639" i="42"/>
  <c r="AD639" i="42"/>
  <c r="AH639" i="42" s="1" a="1"/>
  <c r="AH639" i="42" s="1"/>
  <c r="Z640" i="42"/>
  <c r="AA640" i="42" s="1"/>
  <c r="AB640" i="42"/>
  <c r="AD640" i="42"/>
  <c r="AH640" i="42" s="1" a="1"/>
  <c r="AH640" i="42" s="1"/>
  <c r="Z641" i="42"/>
  <c r="AA641" i="42" s="1"/>
  <c r="AB641" i="42"/>
  <c r="AD641" i="42"/>
  <c r="AH641" i="42" s="1" a="1"/>
  <c r="AH641" i="42" s="1"/>
  <c r="Z642" i="42"/>
  <c r="AA642" i="42" s="1"/>
  <c r="AB642" i="42"/>
  <c r="AC642" i="42" s="1"/>
  <c r="AD642" i="42"/>
  <c r="AH642" i="42" s="1" a="1"/>
  <c r="AH642" i="42" s="1"/>
  <c r="Z643" i="42"/>
  <c r="AA643" i="42" s="1"/>
  <c r="AB643" i="42"/>
  <c r="AC643" i="42" s="1"/>
  <c r="AD643" i="42"/>
  <c r="AH643" i="42" s="1" a="1"/>
  <c r="AH643" i="42" s="1"/>
  <c r="Z644" i="42"/>
  <c r="AA644" i="42" s="1"/>
  <c r="AB644" i="42"/>
  <c r="AC644" i="42" s="1"/>
  <c r="AD644" i="42"/>
  <c r="AH644" i="42" s="1" a="1"/>
  <c r="AH644" i="42" s="1"/>
  <c r="Z645" i="42"/>
  <c r="AA645" i="42" s="1"/>
  <c r="AB645" i="42"/>
  <c r="AD645" i="42"/>
  <c r="AH645" i="42" s="1" a="1"/>
  <c r="AH645" i="42" s="1"/>
  <c r="Z646" i="42"/>
  <c r="AA646" i="42" s="1"/>
  <c r="AB646" i="42"/>
  <c r="AD646" i="42"/>
  <c r="AH646" i="42" s="1" a="1"/>
  <c r="AH646" i="42" s="1"/>
  <c r="Z647" i="42"/>
  <c r="AA647" i="42" s="1"/>
  <c r="AB647" i="42"/>
  <c r="AD647" i="42"/>
  <c r="AH647" i="42" s="1" a="1"/>
  <c r="AH647" i="42" s="1"/>
  <c r="Z648" i="42"/>
  <c r="AA648" i="42" s="1"/>
  <c r="AB648" i="42"/>
  <c r="AD648" i="42"/>
  <c r="AH648" i="42" s="1" a="1"/>
  <c r="AH648" i="42" s="1"/>
  <c r="Z649" i="42"/>
  <c r="AA649" i="42" s="1"/>
  <c r="AB649" i="42"/>
  <c r="AD649" i="42"/>
  <c r="AH649" i="42" s="1" a="1"/>
  <c r="AH649" i="42" s="1"/>
  <c r="Z650" i="42"/>
  <c r="AA650" i="42" s="1"/>
  <c r="AB650" i="42"/>
  <c r="AD650" i="42"/>
  <c r="AH650" i="42" s="1" a="1"/>
  <c r="AH650" i="42" s="1"/>
  <c r="Z651" i="42"/>
  <c r="AA651" i="42" s="1"/>
  <c r="AB651" i="42"/>
  <c r="AC651" i="42" s="1"/>
  <c r="AD651" i="42"/>
  <c r="AH651" i="42" s="1" a="1"/>
  <c r="AH651" i="42" s="1"/>
  <c r="Z652" i="42"/>
  <c r="AA652" i="42" s="1"/>
  <c r="AB652" i="42"/>
  <c r="AD652" i="42"/>
  <c r="AH652" i="42" s="1" a="1"/>
  <c r="AH652" i="42" s="1"/>
  <c r="Z653" i="42"/>
  <c r="AA653" i="42" s="1"/>
  <c r="AB653" i="42"/>
  <c r="AD653" i="42"/>
  <c r="AH653" i="42" s="1" a="1"/>
  <c r="AH653" i="42" s="1"/>
  <c r="Z654" i="42"/>
  <c r="AA654" i="42" s="1"/>
  <c r="AB654" i="42"/>
  <c r="AD654" i="42"/>
  <c r="AH654" i="42" s="1" a="1"/>
  <c r="AH654" i="42" s="1"/>
  <c r="Z655" i="42"/>
  <c r="AA655" i="42" s="1"/>
  <c r="AB655" i="42"/>
  <c r="AD655" i="42"/>
  <c r="AH655" i="42" s="1" a="1"/>
  <c r="AH655" i="42" s="1"/>
  <c r="Z656" i="42"/>
  <c r="AA656" i="42" s="1"/>
  <c r="AB656" i="42"/>
  <c r="AD656" i="42"/>
  <c r="AH656" i="42" s="1" a="1"/>
  <c r="AH656" i="42" s="1"/>
  <c r="Z657" i="42"/>
  <c r="AA657" i="42" s="1"/>
  <c r="AB657" i="42"/>
  <c r="AE657" i="42" s="1"/>
  <c r="AD657" i="42"/>
  <c r="AH657" i="42" s="1" a="1"/>
  <c r="AH657" i="42" s="1"/>
  <c r="Z719" i="42"/>
  <c r="AA719" i="42" s="1"/>
  <c r="AB719" i="42"/>
  <c r="AE719" i="42" s="1"/>
  <c r="AD719" i="42"/>
  <c r="AH719" i="42" s="1" a="1"/>
  <c r="AH719" i="42" s="1"/>
  <c r="Z720" i="42"/>
  <c r="AA720" i="42" s="1"/>
  <c r="AB720" i="42"/>
  <c r="AC720" i="42" s="1"/>
  <c r="AD720" i="42"/>
  <c r="AH720" i="42" s="1" a="1"/>
  <c r="AH720" i="42" s="1"/>
  <c r="Z721" i="42"/>
  <c r="AA721" i="42" s="1"/>
  <c r="AB721" i="42"/>
  <c r="AE721" i="42" s="1"/>
  <c r="AD721" i="42"/>
  <c r="AH721" i="42" s="1" a="1"/>
  <c r="AH721" i="42" s="1"/>
  <c r="Z722" i="42"/>
  <c r="AA722" i="42" s="1"/>
  <c r="AB722" i="42"/>
  <c r="AE722" i="42" s="1"/>
  <c r="AD722" i="42"/>
  <c r="AH722" i="42" s="1" a="1"/>
  <c r="AH722" i="42" s="1"/>
  <c r="Z723" i="42"/>
  <c r="AA723" i="42" s="1"/>
  <c r="AB723" i="42"/>
  <c r="AE723" i="42" s="1"/>
  <c r="AD723" i="42"/>
  <c r="AH723" i="42" s="1" a="1"/>
  <c r="AH723" i="42" s="1"/>
  <c r="Z724" i="42"/>
  <c r="AA724" i="42" s="1"/>
  <c r="AB724" i="42"/>
  <c r="AC724" i="42" s="1"/>
  <c r="AD724" i="42"/>
  <c r="AH724" i="42" s="1" a="1"/>
  <c r="AH724" i="42" s="1"/>
  <c r="Z725" i="42"/>
  <c r="AA725" i="42" s="1"/>
  <c r="AB725" i="42"/>
  <c r="AC725" i="42" s="1"/>
  <c r="AD725" i="42"/>
  <c r="AH725" i="42" s="1" a="1"/>
  <c r="AH725" i="42" s="1"/>
  <c r="Z726" i="42"/>
  <c r="AA726" i="42" s="1"/>
  <c r="AB726" i="42"/>
  <c r="AC726" i="42" s="1"/>
  <c r="AD726" i="42"/>
  <c r="AH726" i="42" s="1" a="1"/>
  <c r="AH726" i="42" s="1"/>
  <c r="Z727" i="42"/>
  <c r="AA727" i="42" s="1"/>
  <c r="AB727" i="42"/>
  <c r="AE727" i="42" s="1"/>
  <c r="AD727" i="42"/>
  <c r="AH727" i="42" s="1" a="1"/>
  <c r="AH727" i="42" s="1"/>
  <c r="Z728" i="42"/>
  <c r="AA728" i="42" s="1"/>
  <c r="AB728" i="42"/>
  <c r="AC728" i="42" s="1"/>
  <c r="AD728" i="42"/>
  <c r="AH728" i="42" s="1" a="1"/>
  <c r="AH728" i="42" s="1"/>
  <c r="Z729" i="42"/>
  <c r="AA729" i="42" s="1"/>
  <c r="AB729" i="42"/>
  <c r="AE729" i="42" s="1"/>
  <c r="AD729" i="42"/>
  <c r="AH729" i="42" s="1" a="1"/>
  <c r="AH729" i="42" s="1"/>
  <c r="Z730" i="42"/>
  <c r="AA730" i="42" s="1"/>
  <c r="AB730" i="42"/>
  <c r="AE730" i="42" s="1"/>
  <c r="AD730" i="42"/>
  <c r="AH730" i="42" s="1" a="1"/>
  <c r="AH730" i="42" s="1"/>
  <c r="Z731" i="42"/>
  <c r="AA731" i="42" s="1"/>
  <c r="AB731" i="42"/>
  <c r="AE731" i="42" s="1"/>
  <c r="AD731" i="42"/>
  <c r="AH731" i="42" s="1" a="1"/>
  <c r="AH731" i="42" s="1"/>
  <c r="Z732" i="42"/>
  <c r="AA732" i="42" s="1"/>
  <c r="AB732" i="42"/>
  <c r="AE732" i="42" s="1"/>
  <c r="AD732" i="42"/>
  <c r="AH732" i="42" s="1" a="1"/>
  <c r="AH732" i="42" s="1"/>
  <c r="Z733" i="42"/>
  <c r="AA733" i="42" s="1"/>
  <c r="AB733" i="42"/>
  <c r="AE733" i="42" s="1"/>
  <c r="AD733" i="42"/>
  <c r="AH733" i="42" s="1" a="1"/>
  <c r="AH733" i="42" s="1"/>
  <c r="Z734" i="42"/>
  <c r="AA734" i="42" s="1"/>
  <c r="AB734" i="42"/>
  <c r="AE734" i="42" s="1"/>
  <c r="AD734" i="42"/>
  <c r="AH734" i="42" s="1" a="1"/>
  <c r="AH734" i="42" s="1"/>
  <c r="Z735" i="42"/>
  <c r="AA735" i="42" s="1"/>
  <c r="AB735" i="42"/>
  <c r="AE735" i="42" s="1"/>
  <c r="AD735" i="42"/>
  <c r="AH735" i="42" s="1" a="1"/>
  <c r="AH735" i="42" s="1"/>
  <c r="Z736" i="42"/>
  <c r="AA736" i="42" s="1"/>
  <c r="AB736" i="42"/>
  <c r="AE736" i="42" s="1"/>
  <c r="AD736" i="42"/>
  <c r="AH736" i="42" s="1" a="1"/>
  <c r="AH736" i="42" s="1"/>
  <c r="Z737" i="42"/>
  <c r="AA737" i="42" s="1"/>
  <c r="AB737" i="42"/>
  <c r="AE737" i="42" s="1"/>
  <c r="AD737" i="42"/>
  <c r="AH737" i="42" s="1" a="1"/>
  <c r="AH737" i="42" s="1"/>
  <c r="Z738" i="42"/>
  <c r="AA738" i="42" s="1"/>
  <c r="AB738" i="42"/>
  <c r="AC738" i="42" s="1"/>
  <c r="AD738" i="42"/>
  <c r="AH738" i="42" s="1" a="1"/>
  <c r="AH738" i="42" s="1"/>
  <c r="Z739" i="42"/>
  <c r="AA739" i="42" s="1"/>
  <c r="AB739" i="42"/>
  <c r="AE739" i="42" s="1"/>
  <c r="AD739" i="42"/>
  <c r="AH739" i="42" s="1" a="1"/>
  <c r="AH739" i="42" s="1"/>
  <c r="Z740" i="42"/>
  <c r="AA740" i="42" s="1"/>
  <c r="AB740" i="42"/>
  <c r="AE740" i="42" s="1"/>
  <c r="AD740" i="42"/>
  <c r="AH740" i="42" s="1" a="1"/>
  <c r="AH740" i="42" s="1"/>
  <c r="Z741" i="42"/>
  <c r="AA741" i="42" s="1"/>
  <c r="AB741" i="42"/>
  <c r="AE741" i="42" s="1"/>
  <c r="AD741" i="42"/>
  <c r="AH741" i="42" s="1" a="1"/>
  <c r="AH741" i="42" s="1"/>
  <c r="Z742" i="42"/>
  <c r="AA742" i="42" s="1"/>
  <c r="AB742" i="42"/>
  <c r="AC742" i="42" s="1"/>
  <c r="AD742" i="42"/>
  <c r="AH742" i="42" s="1" a="1"/>
  <c r="AH742" i="42" s="1"/>
  <c r="Z743" i="42"/>
  <c r="AA743" i="42" s="1"/>
  <c r="AB743" i="42"/>
  <c r="AE743" i="42" s="1"/>
  <c r="AD743" i="42"/>
  <c r="AH743" i="42" s="1" a="1"/>
  <c r="AH743" i="42" s="1"/>
  <c r="Z744" i="42"/>
  <c r="AA744" i="42" s="1"/>
  <c r="AB744" i="42"/>
  <c r="AE744" i="42" s="1"/>
  <c r="AD744" i="42"/>
  <c r="AH744" i="42" s="1" a="1"/>
  <c r="AH744" i="42" s="1"/>
  <c r="Z745" i="42"/>
  <c r="AA745" i="42" s="1"/>
  <c r="AB745" i="42"/>
  <c r="AE745" i="42" s="1"/>
  <c r="AD745" i="42"/>
  <c r="AH745" i="42" s="1" a="1"/>
  <c r="AH745" i="42" s="1"/>
  <c r="Z746" i="42"/>
  <c r="AA746" i="42" s="1"/>
  <c r="AB746" i="42"/>
  <c r="AE746" i="42" s="1"/>
  <c r="AD746" i="42"/>
  <c r="AH746" i="42" s="1" a="1"/>
  <c r="AH746" i="42" s="1"/>
  <c r="Z747" i="42"/>
  <c r="AA747" i="42" s="1"/>
  <c r="AB747" i="42"/>
  <c r="AE747" i="42" s="1"/>
  <c r="AD747" i="42"/>
  <c r="AH747" i="42" s="1" a="1"/>
  <c r="AH747" i="42" s="1"/>
  <c r="Z755" i="42"/>
  <c r="AA755" i="42" s="1"/>
  <c r="AB755" i="42"/>
  <c r="AE755" i="42" s="1"/>
  <c r="AD755" i="42"/>
  <c r="AH755" i="42" s="1" a="1"/>
  <c r="AH755" i="42" s="1"/>
  <c r="Z762" i="42"/>
  <c r="AA762" i="42" s="1"/>
  <c r="AB762" i="42"/>
  <c r="AD762" i="42"/>
  <c r="AH762" i="42" s="1" a="1"/>
  <c r="AH762" i="42" s="1"/>
  <c r="Z763" i="42"/>
  <c r="AA763" i="42" s="1"/>
  <c r="AB763" i="42"/>
  <c r="AD763" i="42"/>
  <c r="AH763" i="42" s="1" a="1"/>
  <c r="AH763" i="42" s="1"/>
  <c r="Z764" i="42"/>
  <c r="AA764" i="42" s="1"/>
  <c r="AB764" i="42"/>
  <c r="AC764" i="42" s="1"/>
  <c r="AD764" i="42"/>
  <c r="AH764" i="42" s="1" a="1"/>
  <c r="AH764" i="42" s="1"/>
  <c r="Z765" i="42"/>
  <c r="AA765" i="42" s="1"/>
  <c r="AB765" i="42"/>
  <c r="AC765" i="42" s="1"/>
  <c r="AD765" i="42"/>
  <c r="AH765" i="42" s="1" a="1"/>
  <c r="AH765" i="42" s="1"/>
  <c r="Z766" i="42"/>
  <c r="AA766" i="42" s="1"/>
  <c r="AB766" i="42"/>
  <c r="AC766" i="42" s="1"/>
  <c r="AD766" i="42"/>
  <c r="AH766" i="42" s="1" a="1"/>
  <c r="AH766" i="42" s="1"/>
  <c r="Z767" i="42"/>
  <c r="AA767" i="42" s="1"/>
  <c r="AB767" i="42"/>
  <c r="AC767" i="42" s="1"/>
  <c r="AD767" i="42"/>
  <c r="AH767" i="42" s="1" a="1"/>
  <c r="AH767" i="42" s="1"/>
  <c r="Z768" i="42"/>
  <c r="AA768" i="42" s="1"/>
  <c r="AB768" i="42"/>
  <c r="AC768" i="42" s="1"/>
  <c r="AD768" i="42"/>
  <c r="AH768" i="42" s="1" a="1"/>
  <c r="AH768" i="42" s="1"/>
  <c r="Z769" i="42"/>
  <c r="AA769" i="42" s="1"/>
  <c r="AB769" i="42"/>
  <c r="AE769" i="42" s="1"/>
  <c r="AD769" i="42"/>
  <c r="AH769" i="42" s="1" a="1"/>
  <c r="AH769" i="42" s="1"/>
  <c r="Z770" i="42"/>
  <c r="AA770" i="42" s="1"/>
  <c r="AB770" i="42"/>
  <c r="AE770" i="42" s="1"/>
  <c r="AD770" i="42"/>
  <c r="AH770" i="42" s="1" a="1"/>
  <c r="AH770" i="42" s="1"/>
  <c r="Z771" i="42"/>
  <c r="AA771" i="42" s="1"/>
  <c r="AB771" i="42"/>
  <c r="AE771" i="42" s="1"/>
  <c r="AD771" i="42"/>
  <c r="AH771" i="42" s="1" a="1"/>
  <c r="AH771" i="42" s="1"/>
  <c r="Z772" i="42"/>
  <c r="AA772" i="42" s="1"/>
  <c r="AB772" i="42"/>
  <c r="AE772" i="42" s="1"/>
  <c r="AD772" i="42"/>
  <c r="AH772" i="42" s="1" a="1"/>
  <c r="AH772" i="42" s="1"/>
  <c r="Z773" i="42"/>
  <c r="AA773" i="42" s="1"/>
  <c r="AB773" i="42"/>
  <c r="AE773" i="42" s="1"/>
  <c r="AD773" i="42"/>
  <c r="AH773" i="42" s="1" a="1"/>
  <c r="AH773" i="42" s="1"/>
  <c r="Z774" i="42"/>
  <c r="AA774" i="42" s="1"/>
  <c r="AB774" i="42"/>
  <c r="AE774" i="42" s="1"/>
  <c r="AD774" i="42"/>
  <c r="AH774" i="42" s="1" a="1"/>
  <c r="AH774" i="42" s="1"/>
  <c r="Z775" i="42"/>
  <c r="AA775" i="42" s="1"/>
  <c r="AB775" i="42"/>
  <c r="AC775" i="42" s="1"/>
  <c r="AD775" i="42"/>
  <c r="AH775" i="42" s="1" a="1"/>
  <c r="AH775" i="42" s="1"/>
  <c r="Z776" i="42"/>
  <c r="AA776" i="42" s="1"/>
  <c r="AB776" i="42"/>
  <c r="AC776" i="42" s="1"/>
  <c r="AD776" i="42"/>
  <c r="AH776" i="42" s="1" a="1"/>
  <c r="AH776" i="42" s="1"/>
  <c r="Z777" i="42"/>
  <c r="AA777" i="42" s="1"/>
  <c r="AB777" i="42"/>
  <c r="AE777" i="42" s="1"/>
  <c r="AD777" i="42"/>
  <c r="AH777" i="42" s="1" a="1"/>
  <c r="AH777" i="42" s="1"/>
  <c r="Z778" i="42"/>
  <c r="AA778" i="42" s="1"/>
  <c r="AB778" i="42"/>
  <c r="AE778" i="42" s="1"/>
  <c r="AD778" i="42"/>
  <c r="AH778" i="42" s="1" a="1"/>
  <c r="AH778" i="42" s="1"/>
  <c r="Z779" i="42"/>
  <c r="AA779" i="42" s="1"/>
  <c r="AB779" i="42"/>
  <c r="AE779" i="42" s="1"/>
  <c r="AD779" i="42"/>
  <c r="AH779" i="42" s="1" a="1"/>
  <c r="AH779" i="42" s="1"/>
  <c r="Z780" i="42"/>
  <c r="AA780" i="42" s="1"/>
  <c r="AB780" i="42"/>
  <c r="AE780" i="42" s="1"/>
  <c r="AD780" i="42"/>
  <c r="AH780" i="42" s="1" a="1"/>
  <c r="AH780" i="42" s="1"/>
  <c r="Z781" i="42"/>
  <c r="AA781" i="42" s="1"/>
  <c r="AB781" i="42"/>
  <c r="AE781" i="42" s="1"/>
  <c r="AD781" i="42"/>
  <c r="AH781" i="42" s="1" a="1"/>
  <c r="AH781" i="42" s="1"/>
  <c r="Z782" i="42"/>
  <c r="AA782" i="42" s="1"/>
  <c r="AB782" i="42"/>
  <c r="AE782" i="42" s="1"/>
  <c r="AD782" i="42"/>
  <c r="AH782" i="42" s="1" a="1"/>
  <c r="AH782" i="42" s="1"/>
  <c r="Z783" i="42"/>
  <c r="AA783" i="42" s="1"/>
  <c r="AB783" i="42"/>
  <c r="AE783" i="42" s="1"/>
  <c r="AD783" i="42"/>
  <c r="AH783" i="42" s="1" a="1"/>
  <c r="AH783" i="42" s="1"/>
  <c r="Z784" i="42"/>
  <c r="AA784" i="42" s="1"/>
  <c r="AB784" i="42"/>
  <c r="AE784" i="42" s="1"/>
  <c r="AD784" i="42"/>
  <c r="AH784" i="42" s="1" a="1"/>
  <c r="AH784" i="42" s="1"/>
  <c r="Z785" i="42"/>
  <c r="AA785" i="42" s="1"/>
  <c r="AB785" i="42"/>
  <c r="AE785" i="42" s="1"/>
  <c r="AD785" i="42"/>
  <c r="AH785" i="42" s="1" a="1"/>
  <c r="AH785" i="42" s="1"/>
  <c r="Z786" i="42"/>
  <c r="AA786" i="42" s="1"/>
  <c r="AB786" i="42"/>
  <c r="AE786" i="42" s="1"/>
  <c r="AD786" i="42"/>
  <c r="AH786" i="42" s="1" a="1"/>
  <c r="AH786" i="42" s="1"/>
  <c r="Z787" i="42"/>
  <c r="AA787" i="42" s="1"/>
  <c r="AB787" i="42"/>
  <c r="AE787" i="42" s="1"/>
  <c r="AD787" i="42"/>
  <c r="AH787" i="42" s="1" a="1"/>
  <c r="AH787" i="42" s="1"/>
  <c r="Z788" i="42"/>
  <c r="AA788" i="42" s="1"/>
  <c r="AB788" i="42"/>
  <c r="AD788" i="42"/>
  <c r="AH788" i="42" s="1" a="1"/>
  <c r="AH788" i="42" s="1"/>
  <c r="Z789" i="42"/>
  <c r="AA789" i="42" s="1"/>
  <c r="AB789" i="42"/>
  <c r="AD789" i="42"/>
  <c r="AH789" i="42" s="1" a="1"/>
  <c r="AH789" i="42" s="1"/>
  <c r="Z790" i="42"/>
  <c r="AA790" i="42" s="1"/>
  <c r="AB790" i="42"/>
  <c r="AD790" i="42"/>
  <c r="AH790" i="42" s="1" a="1"/>
  <c r="AH790" i="42" s="1"/>
  <c r="Z791" i="42"/>
  <c r="AA791" i="42" s="1"/>
  <c r="AB791" i="42"/>
  <c r="AD791" i="42"/>
  <c r="AH791" i="42" s="1" a="1"/>
  <c r="AH791" i="42" s="1"/>
  <c r="Z792" i="42"/>
  <c r="AA792" i="42" s="1"/>
  <c r="AB792" i="42"/>
  <c r="AD792" i="42"/>
  <c r="AH792" i="42" s="1" a="1"/>
  <c r="AH792" i="42" s="1"/>
  <c r="Z793" i="42"/>
  <c r="AA793" i="42" s="1"/>
  <c r="AB793" i="42"/>
  <c r="AD793" i="42"/>
  <c r="AH793" i="42" s="1" a="1"/>
  <c r="AH793" i="42" s="1"/>
  <c r="Z794" i="42"/>
  <c r="AA794" i="42" s="1"/>
  <c r="AB794" i="42"/>
  <c r="AD794" i="42"/>
  <c r="AH794" i="42" s="1" a="1"/>
  <c r="AH794" i="42" s="1"/>
  <c r="AB795" i="42"/>
  <c r="AD795" i="42"/>
  <c r="AH795" i="42" s="1" a="1"/>
  <c r="AH795" i="42" s="1"/>
  <c r="Z796" i="42"/>
  <c r="AA796" i="42" s="1"/>
  <c r="AB796" i="42"/>
  <c r="AC796" i="42" s="1"/>
  <c r="AD796" i="42"/>
  <c r="AH796" i="42" s="1" a="1"/>
  <c r="AH796" i="42" s="1"/>
  <c r="Z797" i="42"/>
  <c r="AA797" i="42" s="1"/>
  <c r="AB797" i="42"/>
  <c r="AD797" i="42"/>
  <c r="AH797" i="42" s="1" a="1"/>
  <c r="AH797" i="42" s="1"/>
  <c r="Z798" i="42"/>
  <c r="AA798" i="42" s="1"/>
  <c r="AB798" i="42"/>
  <c r="AD798" i="42"/>
  <c r="AH798" i="42" s="1" a="1"/>
  <c r="AH798" i="42" s="1"/>
  <c r="Z799" i="42"/>
  <c r="AA799" i="42" s="1"/>
  <c r="AB799" i="42"/>
  <c r="AD799" i="42"/>
  <c r="AH799" i="42" s="1" a="1"/>
  <c r="AH799" i="42" s="1"/>
  <c r="Z800" i="42"/>
  <c r="AA800" i="42" s="1"/>
  <c r="AB800" i="42"/>
  <c r="AD800" i="42"/>
  <c r="AH800" i="42" s="1" a="1"/>
  <c r="AH800" i="42" s="1"/>
  <c r="Z801" i="42"/>
  <c r="AA801" i="42" s="1"/>
  <c r="AB801" i="42"/>
  <c r="AC801" i="42" s="1"/>
  <c r="AD801" i="42"/>
  <c r="AH801" i="42" s="1" a="1"/>
  <c r="AH801" i="42" s="1"/>
  <c r="Z802" i="42"/>
  <c r="AA802" i="42" s="1"/>
  <c r="AB802" i="42"/>
  <c r="AD802" i="42"/>
  <c r="AH802" i="42" s="1" a="1"/>
  <c r="AH802" i="42" s="1"/>
  <c r="Z803" i="42"/>
  <c r="AA803" i="42" s="1"/>
  <c r="AB803" i="42"/>
  <c r="AD803" i="42"/>
  <c r="AH803" i="42" s="1" a="1"/>
  <c r="AH803" i="42" s="1"/>
  <c r="Z804" i="42"/>
  <c r="AA804" i="42" s="1"/>
  <c r="AB804" i="42"/>
  <c r="AD804" i="42"/>
  <c r="AH804" i="42" s="1" a="1"/>
  <c r="AH804" i="42" s="1"/>
  <c r="Z805" i="42"/>
  <c r="AA805" i="42" s="1"/>
  <c r="AB805" i="42"/>
  <c r="AD805" i="42"/>
  <c r="AH805" i="42" s="1" a="1"/>
  <c r="AH805" i="42" s="1"/>
  <c r="Z806" i="42"/>
  <c r="AA806" i="42" s="1"/>
  <c r="AB806" i="42"/>
  <c r="AD806" i="42"/>
  <c r="AH806" i="42" s="1" a="1"/>
  <c r="AH806" i="42" s="1"/>
  <c r="Z807" i="42"/>
  <c r="AA807" i="42" s="1"/>
  <c r="AB807" i="42"/>
  <c r="AD807" i="42"/>
  <c r="AH807" i="42" s="1" a="1"/>
  <c r="AH807" i="42" s="1"/>
  <c r="Z808" i="42"/>
  <c r="AA808" i="42" s="1"/>
  <c r="AB808" i="42"/>
  <c r="AC808" i="42" s="1"/>
  <c r="AD808" i="42"/>
  <c r="AH808" i="42" s="1" a="1"/>
  <c r="AH808" i="42" s="1"/>
  <c r="Z809" i="42"/>
  <c r="AA809" i="42" s="1"/>
  <c r="AB809" i="42"/>
  <c r="AD809" i="42"/>
  <c r="AH809" i="42" s="1" a="1"/>
  <c r="AH809" i="42" s="1"/>
  <c r="Z810" i="42"/>
  <c r="AA810" i="42" s="1"/>
  <c r="AB810" i="42"/>
  <c r="AD810" i="42"/>
  <c r="AH810" i="42" s="1" a="1"/>
  <c r="AH810" i="42" s="1"/>
  <c r="Z811" i="42"/>
  <c r="AA811" i="42" s="1"/>
  <c r="AB811" i="42"/>
  <c r="AD811" i="42"/>
  <c r="AH811" i="42" s="1" a="1"/>
  <c r="AH811" i="42" s="1"/>
  <c r="Z812" i="42"/>
  <c r="AA812" i="42" s="1"/>
  <c r="AB812" i="42"/>
  <c r="AD812" i="42"/>
  <c r="AH812" i="42" s="1" a="1"/>
  <c r="AH812" i="42" s="1"/>
  <c r="Z813" i="42"/>
  <c r="AA813" i="42" s="1"/>
  <c r="AB813" i="42"/>
  <c r="AD813" i="42"/>
  <c r="AH813" i="42" s="1" a="1"/>
  <c r="AH813" i="42" s="1"/>
  <c r="Z814" i="42"/>
  <c r="AA814" i="42" s="1"/>
  <c r="AB814" i="42"/>
  <c r="AD814" i="42"/>
  <c r="AH814" i="42" s="1" a="1"/>
  <c r="AH814" i="42" s="1"/>
  <c r="Z815" i="42"/>
  <c r="AA815" i="42" s="1"/>
  <c r="AB815" i="42"/>
  <c r="AD815" i="42"/>
  <c r="AH815" i="42" s="1" a="1"/>
  <c r="AH815" i="42" s="1"/>
  <c r="Z816" i="42"/>
  <c r="AA816" i="42" s="1"/>
  <c r="AB816" i="42"/>
  <c r="AD816" i="42"/>
  <c r="AH816" i="42" s="1" a="1"/>
  <c r="AH816" i="42" s="1"/>
  <c r="Z817" i="42"/>
  <c r="AA817" i="42" s="1"/>
  <c r="AB817" i="42"/>
  <c r="AD817" i="42"/>
  <c r="AH817" i="42" s="1" a="1"/>
  <c r="AH817" i="42" s="1"/>
  <c r="Z818" i="42"/>
  <c r="AA818" i="42" s="1"/>
  <c r="AB818" i="42"/>
  <c r="AD818" i="42"/>
  <c r="AH818" i="42" s="1" a="1"/>
  <c r="AH818" i="42" s="1"/>
  <c r="Z819" i="42"/>
  <c r="AA819" i="42" s="1"/>
  <c r="AB819" i="42"/>
  <c r="AD819" i="42"/>
  <c r="AH819" i="42" s="1" a="1"/>
  <c r="AH819" i="42" s="1"/>
  <c r="Z820" i="42"/>
  <c r="AA820" i="42" s="1"/>
  <c r="AB820" i="42"/>
  <c r="AD820" i="42"/>
  <c r="AH820" i="42" s="1" a="1"/>
  <c r="AH820" i="42" s="1"/>
  <c r="Z821" i="42"/>
  <c r="AA821" i="42" s="1"/>
  <c r="AB821" i="42"/>
  <c r="AD821" i="42"/>
  <c r="AH821" i="42" s="1" a="1"/>
  <c r="AH821" i="42" s="1"/>
  <c r="Z822" i="42"/>
  <c r="AA822" i="42" s="1"/>
  <c r="AB822" i="42"/>
  <c r="AD822" i="42"/>
  <c r="AH822" i="42" s="1" a="1"/>
  <c r="AH822" i="42" s="1"/>
  <c r="Z823" i="42"/>
  <c r="AA823" i="42" s="1"/>
  <c r="AB823" i="42"/>
  <c r="AD823" i="42"/>
  <c r="AH823" i="42" s="1" a="1"/>
  <c r="AH823" i="42" s="1"/>
  <c r="Z824" i="42"/>
  <c r="AA824" i="42" s="1"/>
  <c r="AB824" i="42"/>
  <c r="AD824" i="42"/>
  <c r="AH824" i="42" s="1" a="1"/>
  <c r="AH824" i="42" s="1"/>
  <c r="Z825" i="42"/>
  <c r="AA825" i="42" s="1"/>
  <c r="AB825" i="42"/>
  <c r="AD825" i="42"/>
  <c r="AH825" i="42" s="1" a="1"/>
  <c r="AH825" i="42" s="1"/>
  <c r="Z826" i="42"/>
  <c r="AA826" i="42" s="1"/>
  <c r="AB826" i="42"/>
  <c r="AD826" i="42"/>
  <c r="AH826" i="42" s="1" a="1"/>
  <c r="AH826" i="42" s="1"/>
  <c r="Z827" i="42"/>
  <c r="AA827" i="42" s="1"/>
  <c r="AB827" i="42"/>
  <c r="AD827" i="42"/>
  <c r="AH827" i="42" s="1" a="1"/>
  <c r="AH827" i="42" s="1"/>
  <c r="Z828" i="42"/>
  <c r="AA828" i="42" s="1"/>
  <c r="AB828" i="42"/>
  <c r="AD828" i="42"/>
  <c r="AH828" i="42" s="1" a="1"/>
  <c r="AH828" i="42" s="1"/>
  <c r="Z829" i="42"/>
  <c r="AA829" i="42" s="1"/>
  <c r="AB829" i="42"/>
  <c r="AD829" i="42"/>
  <c r="AH829" i="42" s="1" a="1"/>
  <c r="AH829" i="42" s="1"/>
  <c r="Z830" i="42"/>
  <c r="AA830" i="42" s="1"/>
  <c r="AB830" i="42"/>
  <c r="AD830" i="42"/>
  <c r="AH830" i="42" s="1" a="1"/>
  <c r="AH830" i="42" s="1"/>
  <c r="Z831" i="42"/>
  <c r="AA831" i="42" s="1"/>
  <c r="AB831" i="42"/>
  <c r="AD831" i="42"/>
  <c r="AH831" i="42" s="1" a="1"/>
  <c r="AH831" i="42" s="1"/>
  <c r="Z832" i="42"/>
  <c r="AA832" i="42" s="1"/>
  <c r="AB832" i="42"/>
  <c r="AD832" i="42"/>
  <c r="AH832" i="42" s="1" a="1"/>
  <c r="AH832" i="42" s="1"/>
  <c r="Z833" i="42"/>
  <c r="AA833" i="42" s="1"/>
  <c r="AB833" i="42"/>
  <c r="AD833" i="42"/>
  <c r="AH833" i="42" s="1" a="1"/>
  <c r="AH833" i="42" s="1"/>
  <c r="Z834" i="42"/>
  <c r="AA834" i="42" s="1"/>
  <c r="AB834" i="42"/>
  <c r="AD834" i="42"/>
  <c r="AH834" i="42" s="1" a="1"/>
  <c r="AH834" i="42" s="1"/>
  <c r="Z835" i="42"/>
  <c r="AA835" i="42" s="1"/>
  <c r="AB835" i="42"/>
  <c r="AD835" i="42"/>
  <c r="AH835" i="42" s="1" a="1"/>
  <c r="AH835" i="42" s="1"/>
  <c r="Z836" i="42"/>
  <c r="AA836" i="42" s="1"/>
  <c r="AB836" i="42"/>
  <c r="AD836" i="42"/>
  <c r="AH836" i="42" s="1" a="1"/>
  <c r="AH836" i="42" s="1"/>
  <c r="Z837" i="42"/>
  <c r="AA837" i="42" s="1"/>
  <c r="AB837" i="42"/>
  <c r="AD837" i="42"/>
  <c r="AH837" i="42" s="1" a="1"/>
  <c r="AH837" i="42" s="1"/>
  <c r="Z838" i="42"/>
  <c r="AA838" i="42" s="1"/>
  <c r="AB838" i="42"/>
  <c r="AD838" i="42"/>
  <c r="AH838" i="42" s="1" a="1"/>
  <c r="AH838" i="42" s="1"/>
  <c r="Z839" i="42"/>
  <c r="AA839" i="42" s="1"/>
  <c r="AB839" i="42"/>
  <c r="AD839" i="42"/>
  <c r="AH839" i="42" s="1" a="1"/>
  <c r="AH839" i="42" s="1"/>
  <c r="Z840" i="42"/>
  <c r="AA840" i="42" s="1"/>
  <c r="AB840" i="42"/>
  <c r="AD840" i="42"/>
  <c r="AH840" i="42" s="1" a="1"/>
  <c r="AH840" i="42" s="1"/>
  <c r="Z841" i="42"/>
  <c r="AA841" i="42" s="1"/>
  <c r="AB841" i="42"/>
  <c r="AD841" i="42"/>
  <c r="AH841" i="42" s="1" a="1"/>
  <c r="AH841" i="42" s="1"/>
  <c r="Z842" i="42"/>
  <c r="AA842" i="42" s="1"/>
  <c r="AB842" i="42"/>
  <c r="AD842" i="42"/>
  <c r="AH842" i="42" s="1" a="1"/>
  <c r="AH842" i="42" s="1"/>
  <c r="Z843" i="42"/>
  <c r="AA843" i="42" s="1"/>
  <c r="AB843" i="42"/>
  <c r="AD843" i="42"/>
  <c r="AH843" i="42" s="1" a="1"/>
  <c r="AH843" i="42" s="1"/>
  <c r="Z844" i="42"/>
  <c r="AA844" i="42" s="1"/>
  <c r="AB844" i="42"/>
  <c r="AD844" i="42"/>
  <c r="AH844" i="42" s="1" a="1"/>
  <c r="AH844" i="42" s="1"/>
  <c r="Z845" i="42"/>
  <c r="AA845" i="42" s="1"/>
  <c r="AB845" i="42"/>
  <c r="AD845" i="42"/>
  <c r="AH845" i="42" s="1" a="1"/>
  <c r="AH845" i="42" s="1"/>
  <c r="Z846" i="42"/>
  <c r="AA846" i="42" s="1"/>
  <c r="AB846" i="42"/>
  <c r="AD846" i="42"/>
  <c r="AH846" i="42" s="1" a="1"/>
  <c r="AH846" i="42" s="1"/>
  <c r="Z847" i="42"/>
  <c r="AA847" i="42" s="1"/>
  <c r="AB847" i="42"/>
  <c r="AD847" i="42"/>
  <c r="AH847" i="42" s="1" a="1"/>
  <c r="AH847" i="42" s="1"/>
  <c r="Z848" i="42"/>
  <c r="AA848" i="42" s="1"/>
  <c r="AB848" i="42"/>
  <c r="AC848" i="42" s="1"/>
  <c r="AD848" i="42"/>
  <c r="AH848" i="42" s="1" a="1"/>
  <c r="AH848" i="42" s="1"/>
  <c r="Z849" i="42"/>
  <c r="AA849" i="42" s="1"/>
  <c r="AB849" i="42"/>
  <c r="AC849" i="42" s="1"/>
  <c r="AD849" i="42"/>
  <c r="AH849" i="42" s="1" a="1"/>
  <c r="AH849" i="42" s="1"/>
  <c r="Z850" i="42"/>
  <c r="AA850" i="42" s="1"/>
  <c r="AB850" i="42"/>
  <c r="AC850" i="42" s="1"/>
  <c r="AD850" i="42"/>
  <c r="AH850" i="42" s="1" a="1"/>
  <c r="AH850" i="42" s="1"/>
  <c r="Z851" i="42"/>
  <c r="AA851" i="42" s="1"/>
  <c r="AB851" i="42"/>
  <c r="AC851" i="42" s="1"/>
  <c r="AD851" i="42"/>
  <c r="AH851" i="42" s="1" a="1"/>
  <c r="AH851" i="42" s="1"/>
  <c r="Z852" i="42"/>
  <c r="AA852" i="42" s="1"/>
  <c r="AB852" i="42"/>
  <c r="AC852" i="42" s="1"/>
  <c r="AD852" i="42"/>
  <c r="AH852" i="42" s="1" a="1"/>
  <c r="AH852" i="42" s="1"/>
  <c r="Z853" i="42"/>
  <c r="AA853" i="42" s="1"/>
  <c r="AB853" i="42"/>
  <c r="AC853" i="42" s="1"/>
  <c r="AD853" i="42"/>
  <c r="AH853" i="42" s="1" a="1"/>
  <c r="AH853" i="42" s="1"/>
  <c r="Z854" i="42"/>
  <c r="AA854" i="42" s="1"/>
  <c r="AB854" i="42"/>
  <c r="AD854" i="42"/>
  <c r="AH854" i="42" s="1" a="1"/>
  <c r="AH854" i="42" s="1"/>
  <c r="Z855" i="42"/>
  <c r="AA855" i="42" s="1"/>
  <c r="AB855" i="42"/>
  <c r="AC855" i="42" s="1"/>
  <c r="AD855" i="42"/>
  <c r="AH855" i="42" s="1" a="1"/>
  <c r="AH855" i="42" s="1"/>
  <c r="Z856" i="42"/>
  <c r="AA856" i="42" s="1"/>
  <c r="AB856" i="42"/>
  <c r="AC856" i="42" s="1"/>
  <c r="AD856" i="42"/>
  <c r="AH856" i="42" s="1" a="1"/>
  <c r="AH856" i="42" s="1"/>
  <c r="Z857" i="42"/>
  <c r="AA857" i="42" s="1"/>
  <c r="AB857" i="42"/>
  <c r="AD857" i="42"/>
  <c r="AH857" i="42" s="1" a="1"/>
  <c r="AH857" i="42" s="1"/>
  <c r="Z858" i="42"/>
  <c r="AA858" i="42" s="1"/>
  <c r="AB858" i="42"/>
  <c r="AD858" i="42"/>
  <c r="AH858" i="42" s="1" a="1"/>
  <c r="AH858" i="42" s="1"/>
  <c r="Z859" i="42"/>
  <c r="AA859" i="42" s="1"/>
  <c r="AB859" i="42"/>
  <c r="AD859" i="42"/>
  <c r="AH859" i="42" s="1" a="1"/>
  <c r="AH859" i="42" s="1"/>
  <c r="Z860" i="42"/>
  <c r="AA860" i="42" s="1"/>
  <c r="AB860" i="42"/>
  <c r="AC860" i="42" s="1"/>
  <c r="AD860" i="42"/>
  <c r="AH860" i="42" s="1" a="1"/>
  <c r="AH860" i="42" s="1"/>
  <c r="Z861" i="42"/>
  <c r="AA861" i="42" s="1"/>
  <c r="AB861" i="42"/>
  <c r="AC861" i="42" s="1"/>
  <c r="AD861" i="42"/>
  <c r="AH861" i="42" s="1" a="1"/>
  <c r="AH861" i="42" s="1"/>
  <c r="Z862" i="42"/>
  <c r="AA862" i="42" s="1"/>
  <c r="AB862" i="42"/>
  <c r="AC862" i="42" s="1"/>
  <c r="AD862" i="42"/>
  <c r="AH862" i="42" s="1" a="1"/>
  <c r="AH862" i="42" s="1"/>
  <c r="Z863" i="42"/>
  <c r="AA863" i="42" s="1"/>
  <c r="AB863" i="42"/>
  <c r="AC863" i="42" s="1"/>
  <c r="AD863" i="42"/>
  <c r="AH863" i="42" s="1" a="1"/>
  <c r="AH863" i="42" s="1"/>
  <c r="Z864" i="42"/>
  <c r="AA864" i="42" s="1"/>
  <c r="AB864" i="42"/>
  <c r="AC864" i="42" s="1"/>
  <c r="AD864" i="42"/>
  <c r="AH864" i="42" s="1" a="1"/>
  <c r="AH864" i="42" s="1"/>
  <c r="Z865" i="42"/>
  <c r="AA865" i="42" s="1"/>
  <c r="AB865" i="42"/>
  <c r="AC865" i="42" s="1"/>
  <c r="AD865" i="42"/>
  <c r="AH865" i="42" s="1" a="1"/>
  <c r="AH865" i="42" s="1"/>
  <c r="Z866" i="42"/>
  <c r="AA866" i="42" s="1"/>
  <c r="AB866" i="42"/>
  <c r="AC866" i="42" s="1"/>
  <c r="AD866" i="42"/>
  <c r="AH866" i="42" s="1" a="1"/>
  <c r="AH866" i="42" s="1"/>
  <c r="Z867" i="42"/>
  <c r="AA867" i="42" s="1"/>
  <c r="AB867" i="42"/>
  <c r="AC867" i="42" s="1"/>
  <c r="AD867" i="42"/>
  <c r="AH867" i="42" s="1" a="1"/>
  <c r="AH867" i="42" s="1"/>
  <c r="Z868" i="42"/>
  <c r="AA868" i="42" s="1"/>
  <c r="AB868" i="42"/>
  <c r="AC868" i="42" s="1"/>
  <c r="AD868" i="42"/>
  <c r="AH868" i="42" s="1" a="1"/>
  <c r="AH868" i="42" s="1"/>
  <c r="Z869" i="42"/>
  <c r="AA869" i="42" s="1"/>
  <c r="AB869" i="42"/>
  <c r="AC869" i="42" s="1"/>
  <c r="AD869" i="42"/>
  <c r="AH869" i="42" s="1" a="1"/>
  <c r="AH869" i="42" s="1"/>
  <c r="Z870" i="42"/>
  <c r="AA870" i="42" s="1"/>
  <c r="AB870" i="42"/>
  <c r="AC870" i="42" s="1"/>
  <c r="AD870" i="42"/>
  <c r="AH870" i="42" s="1" a="1"/>
  <c r="AH870" i="42" s="1"/>
  <c r="Z871" i="42"/>
  <c r="AA871" i="42" s="1"/>
  <c r="AB871" i="42"/>
  <c r="AC871" i="42" s="1"/>
  <c r="AD871" i="42"/>
  <c r="AH871" i="42" s="1" a="1"/>
  <c r="AH871" i="42" s="1"/>
  <c r="Z872" i="42"/>
  <c r="AA872" i="42" s="1"/>
  <c r="AB872" i="42"/>
  <c r="AC872" i="42" s="1"/>
  <c r="AD872" i="42"/>
  <c r="AH872" i="42" s="1" a="1"/>
  <c r="AH872" i="42" s="1"/>
  <c r="Z873" i="42"/>
  <c r="AA873" i="42" s="1"/>
  <c r="AB873" i="42"/>
  <c r="AC873" i="42" s="1"/>
  <c r="AD873" i="42"/>
  <c r="AH873" i="42" s="1" a="1"/>
  <c r="AH873" i="42" s="1"/>
  <c r="Z874" i="42"/>
  <c r="AA874" i="42" s="1"/>
  <c r="AB874" i="42"/>
  <c r="AC874" i="42" s="1"/>
  <c r="AD874" i="42"/>
  <c r="AH874" i="42" s="1" a="1"/>
  <c r="AH874" i="42" s="1"/>
  <c r="Z875" i="42"/>
  <c r="AA875" i="42" s="1"/>
  <c r="AB875" i="42"/>
  <c r="AC875" i="42" s="1"/>
  <c r="AD875" i="42"/>
  <c r="AH875" i="42" s="1" a="1"/>
  <c r="AH875" i="42" s="1"/>
  <c r="Z876" i="42"/>
  <c r="AA876" i="42" s="1"/>
  <c r="AB876" i="42"/>
  <c r="AC876" i="42" s="1"/>
  <c r="AD876" i="42"/>
  <c r="AH876" i="42" s="1" a="1"/>
  <c r="AH876" i="42" s="1"/>
  <c r="Z877" i="42"/>
  <c r="AA877" i="42" s="1"/>
  <c r="AB877" i="42"/>
  <c r="AC877" i="42" s="1"/>
  <c r="AD877" i="42"/>
  <c r="AH877" i="42" s="1" a="1"/>
  <c r="AH877" i="42" s="1"/>
  <c r="Z878" i="42"/>
  <c r="AA878" i="42" s="1"/>
  <c r="AB878" i="42"/>
  <c r="AC878" i="42" s="1"/>
  <c r="AD878" i="42"/>
  <c r="AH878" i="42" s="1" a="1"/>
  <c r="AH878" i="42" s="1"/>
  <c r="Z879" i="42"/>
  <c r="AA879" i="42" s="1"/>
  <c r="AB879" i="42"/>
  <c r="AC879" i="42" s="1"/>
  <c r="AD879" i="42"/>
  <c r="AH879" i="42" s="1" a="1"/>
  <c r="AH879" i="42" s="1"/>
  <c r="Z880" i="42"/>
  <c r="AA880" i="42" s="1"/>
  <c r="AB880" i="42"/>
  <c r="AC880" i="42" s="1"/>
  <c r="AD880" i="42"/>
  <c r="AH880" i="42" s="1" a="1"/>
  <c r="AH880" i="42" s="1"/>
  <c r="Z881" i="42"/>
  <c r="AA881" i="42" s="1"/>
  <c r="AB881" i="42"/>
  <c r="AC881" i="42" s="1"/>
  <c r="AD881" i="42"/>
  <c r="AH881" i="42" s="1" a="1"/>
  <c r="AH881" i="42" s="1"/>
  <c r="Z882" i="42"/>
  <c r="AA882" i="42" s="1"/>
  <c r="AB882" i="42"/>
  <c r="AC882" i="42" s="1"/>
  <c r="AD882" i="42"/>
  <c r="AH882" i="42" s="1" a="1"/>
  <c r="AH882" i="42" s="1"/>
  <c r="Z883" i="42"/>
  <c r="AA883" i="42" s="1"/>
  <c r="AB883" i="42"/>
  <c r="AC883" i="42" s="1"/>
  <c r="AD883" i="42"/>
  <c r="AH883" i="42" s="1" a="1"/>
  <c r="AH883" i="42" s="1"/>
  <c r="Z884" i="42"/>
  <c r="AA884" i="42" s="1"/>
  <c r="AB884" i="42"/>
  <c r="AC884" i="42" s="1"/>
  <c r="AD884" i="42"/>
  <c r="AH884" i="42" s="1" a="1"/>
  <c r="AH884" i="42" s="1"/>
  <c r="Z885" i="42"/>
  <c r="AA885" i="42" s="1"/>
  <c r="AB885" i="42"/>
  <c r="AC885" i="42" s="1"/>
  <c r="AD885" i="42"/>
  <c r="AH885" i="42" s="1" a="1"/>
  <c r="AH885" i="42" s="1"/>
  <c r="Z886" i="42"/>
  <c r="AA886" i="42" s="1"/>
  <c r="AB886" i="42"/>
  <c r="AC886" i="42" s="1"/>
  <c r="AD886" i="42"/>
  <c r="AH886" i="42" s="1" a="1"/>
  <c r="AH886" i="42" s="1"/>
  <c r="Z887" i="42"/>
  <c r="AA887" i="42" s="1"/>
  <c r="AB887" i="42"/>
  <c r="AC887" i="42" s="1"/>
  <c r="AD887" i="42"/>
  <c r="AH887" i="42" s="1" a="1"/>
  <c r="AH887" i="42" s="1"/>
  <c r="Z888" i="42"/>
  <c r="AA888" i="42" s="1"/>
  <c r="AB888" i="42"/>
  <c r="AC888" i="42" s="1"/>
  <c r="AD888" i="42"/>
  <c r="AH888" i="42" s="1" a="1"/>
  <c r="AH888" i="42" s="1"/>
  <c r="Z889" i="42"/>
  <c r="AA889" i="42" s="1"/>
  <c r="AB889" i="42"/>
  <c r="AC889" i="42" s="1"/>
  <c r="AD889" i="42"/>
  <c r="AH889" i="42" s="1" a="1"/>
  <c r="AH889" i="42" s="1"/>
  <c r="Z890" i="42"/>
  <c r="AA890" i="42" s="1"/>
  <c r="AB890" i="42"/>
  <c r="AC890" i="42" s="1"/>
  <c r="AD890" i="42"/>
  <c r="AH890" i="42" s="1" a="1"/>
  <c r="AH890" i="42" s="1"/>
  <c r="Z891" i="42"/>
  <c r="AA891" i="42" s="1"/>
  <c r="AB891" i="42"/>
  <c r="AC891" i="42" s="1"/>
  <c r="AD891" i="42"/>
  <c r="AH891" i="42" s="1" a="1"/>
  <c r="AH891" i="42" s="1"/>
  <c r="Z892" i="42"/>
  <c r="AA892" i="42" s="1"/>
  <c r="AB892" i="42"/>
  <c r="AC892" i="42" s="1"/>
  <c r="AD892" i="42"/>
  <c r="AH892" i="42" s="1" a="1"/>
  <c r="AH892" i="42" s="1"/>
  <c r="Z893" i="42"/>
  <c r="AA893" i="42" s="1"/>
  <c r="AB893" i="42"/>
  <c r="AC893" i="42" s="1"/>
  <c r="AD893" i="42"/>
  <c r="AH893" i="42" s="1" a="1"/>
  <c r="AH893" i="42" s="1"/>
  <c r="Z894" i="42"/>
  <c r="AA894" i="42" s="1"/>
  <c r="AB894" i="42"/>
  <c r="AC894" i="42" s="1"/>
  <c r="AD894" i="42"/>
  <c r="AH894" i="42" s="1" a="1"/>
  <c r="AH894" i="42" s="1"/>
  <c r="Z895" i="42"/>
  <c r="AA895" i="42" s="1"/>
  <c r="AB895" i="42"/>
  <c r="AC895" i="42" s="1"/>
  <c r="AD895" i="42"/>
  <c r="AH895" i="42" s="1" a="1"/>
  <c r="AH895" i="42" s="1"/>
  <c r="Z896" i="42"/>
  <c r="AA896" i="42" s="1"/>
  <c r="AB896" i="42"/>
  <c r="AC896" i="42" s="1"/>
  <c r="AD896" i="42"/>
  <c r="AH896" i="42" s="1" a="1"/>
  <c r="AH896" i="42" s="1"/>
  <c r="Z897" i="42"/>
  <c r="AA897" i="42" s="1"/>
  <c r="AB897" i="42"/>
  <c r="AC897" i="42" s="1"/>
  <c r="AD897" i="42"/>
  <c r="AH897" i="42" s="1" a="1"/>
  <c r="AH897" i="42" s="1"/>
  <c r="Z898" i="42"/>
  <c r="AA898" i="42" s="1"/>
  <c r="AB898" i="42"/>
  <c r="AC898" i="42" s="1"/>
  <c r="AD898" i="42"/>
  <c r="AH898" i="42" s="1" a="1"/>
  <c r="AH898" i="42" s="1"/>
  <c r="Z899" i="42"/>
  <c r="AA899" i="42" s="1"/>
  <c r="AB899" i="42"/>
  <c r="AC899" i="42" s="1"/>
  <c r="AD899" i="42"/>
  <c r="AH899" i="42" s="1" a="1"/>
  <c r="AH899" i="42" s="1"/>
  <c r="Z900" i="42"/>
  <c r="AA900" i="42" s="1"/>
  <c r="AB900" i="42"/>
  <c r="AC900" i="42" s="1"/>
  <c r="AD900" i="42"/>
  <c r="AH900" i="42" s="1" a="1"/>
  <c r="AH900" i="42" s="1"/>
  <c r="Z901" i="42"/>
  <c r="AA901" i="42" s="1"/>
  <c r="AB901" i="42"/>
  <c r="AC901" i="42" s="1"/>
  <c r="AD901" i="42"/>
  <c r="AH901" i="42" s="1" a="1"/>
  <c r="AH901" i="42" s="1"/>
  <c r="Z902" i="42"/>
  <c r="AA902" i="42" s="1"/>
  <c r="AB902" i="42"/>
  <c r="AC902" i="42" s="1"/>
  <c r="AD902" i="42"/>
  <c r="AH902" i="42" s="1" a="1"/>
  <c r="AH902" i="42" s="1"/>
  <c r="Z903" i="42"/>
  <c r="AA903" i="42" s="1"/>
  <c r="AB903" i="42"/>
  <c r="AC903" i="42" s="1"/>
  <c r="AD903" i="42"/>
  <c r="AH903" i="42" s="1" a="1"/>
  <c r="AH903" i="42" s="1"/>
  <c r="Z904" i="42"/>
  <c r="AA904" i="42" s="1"/>
  <c r="AB904" i="42"/>
  <c r="AC904" i="42" s="1"/>
  <c r="AD904" i="42"/>
  <c r="AH904" i="42" s="1" a="1"/>
  <c r="AH904" i="42" s="1"/>
  <c r="Z905" i="42"/>
  <c r="AA905" i="42" s="1"/>
  <c r="AB905" i="42"/>
  <c r="AC905" i="42" s="1"/>
  <c r="AD905" i="42"/>
  <c r="AH905" i="42" s="1" a="1"/>
  <c r="AH905" i="42" s="1"/>
  <c r="Z906" i="42"/>
  <c r="AA906" i="42" s="1"/>
  <c r="AB906" i="42"/>
  <c r="AC906" i="42" s="1"/>
  <c r="AD906" i="42"/>
  <c r="AH906" i="42" s="1" a="1"/>
  <c r="AH906" i="42" s="1"/>
  <c r="Z907" i="42"/>
  <c r="AA907" i="42" s="1"/>
  <c r="AB907" i="42"/>
  <c r="AC907" i="42" s="1"/>
  <c r="AD907" i="42"/>
  <c r="AH907" i="42" s="1" a="1"/>
  <c r="AH907" i="42" s="1"/>
  <c r="Z908" i="42"/>
  <c r="AA908" i="42" s="1"/>
  <c r="AB908" i="42"/>
  <c r="AC908" i="42" s="1"/>
  <c r="AD908" i="42"/>
  <c r="AH908" i="42" s="1" a="1"/>
  <c r="AH908" i="42" s="1"/>
  <c r="Z909" i="42"/>
  <c r="AA909" i="42" s="1"/>
  <c r="AB909" i="42"/>
  <c r="AC909" i="42" s="1"/>
  <c r="AD909" i="42"/>
  <c r="AH909" i="42" s="1" a="1"/>
  <c r="AH909" i="42" s="1"/>
  <c r="Z910" i="42"/>
  <c r="AA910" i="42" s="1"/>
  <c r="AB910" i="42"/>
  <c r="AC910" i="42" s="1"/>
  <c r="AD910" i="42"/>
  <c r="AH910" i="42" s="1" a="1"/>
  <c r="AH910" i="42" s="1"/>
  <c r="Z911" i="42"/>
  <c r="AA911" i="42" s="1"/>
  <c r="AB911" i="42"/>
  <c r="AC911" i="42" s="1"/>
  <c r="AD911" i="42"/>
  <c r="AH911" i="42" s="1" a="1"/>
  <c r="AH911" i="42" s="1"/>
  <c r="Z912" i="42"/>
  <c r="AA912" i="42" s="1"/>
  <c r="AB912" i="42"/>
  <c r="AC912" i="42" s="1"/>
  <c r="AD912" i="42"/>
  <c r="AH912" i="42" s="1" a="1"/>
  <c r="AH912" i="42" s="1"/>
  <c r="Z913" i="42"/>
  <c r="AA913" i="42" s="1"/>
  <c r="AB913" i="42"/>
  <c r="AC913" i="42" s="1"/>
  <c r="AD913" i="42"/>
  <c r="AH913" i="42" s="1" a="1"/>
  <c r="AH913" i="42" s="1"/>
  <c r="Z914" i="42"/>
  <c r="AA914" i="42" s="1"/>
  <c r="AB914" i="42"/>
  <c r="AC914" i="42" s="1"/>
  <c r="AD914" i="42"/>
  <c r="AH914" i="42" s="1" a="1"/>
  <c r="AH914" i="42" s="1"/>
  <c r="Z915" i="42"/>
  <c r="AA915" i="42" s="1"/>
  <c r="AB915" i="42"/>
  <c r="AC915" i="42" s="1"/>
  <c r="AD915" i="42"/>
  <c r="AH915" i="42" s="1" a="1"/>
  <c r="AH915" i="42" s="1"/>
  <c r="Z916" i="42"/>
  <c r="AA916" i="42" s="1"/>
  <c r="AB916" i="42"/>
  <c r="AC916" i="42" s="1"/>
  <c r="AD916" i="42"/>
  <c r="AH916" i="42" s="1" a="1"/>
  <c r="AH916" i="42" s="1"/>
  <c r="Z917" i="42"/>
  <c r="AA917" i="42" s="1"/>
  <c r="AB917" i="42"/>
  <c r="AC917" i="42" s="1"/>
  <c r="AD917" i="42"/>
  <c r="AH917" i="42" s="1" a="1"/>
  <c r="AH917" i="42" s="1"/>
  <c r="Z918" i="42"/>
  <c r="AA918" i="42" s="1"/>
  <c r="AB918" i="42"/>
  <c r="AC918" i="42" s="1"/>
  <c r="AD918" i="42"/>
  <c r="AH918" i="42" s="1" a="1"/>
  <c r="AH918" i="42" s="1"/>
  <c r="Z919" i="42"/>
  <c r="AA919" i="42" s="1"/>
  <c r="AB919" i="42"/>
  <c r="AC919" i="42" s="1"/>
  <c r="AD919" i="42"/>
  <c r="AH919" i="42" s="1" a="1"/>
  <c r="AH919" i="42" s="1"/>
  <c r="Z920" i="42"/>
  <c r="AA920" i="42" s="1"/>
  <c r="AB920" i="42"/>
  <c r="AC920" i="42" s="1"/>
  <c r="AD920" i="42"/>
  <c r="AH920" i="42" s="1" a="1"/>
  <c r="AH920" i="42" s="1"/>
  <c r="Z921" i="42"/>
  <c r="AA921" i="42" s="1"/>
  <c r="AB921" i="42"/>
  <c r="AC921" i="42" s="1"/>
  <c r="AD921" i="42"/>
  <c r="AH921" i="42" s="1" a="1"/>
  <c r="AH921" i="42" s="1"/>
  <c r="Z922" i="42"/>
  <c r="AA922" i="42" s="1"/>
  <c r="AB922" i="42"/>
  <c r="AC922" i="42" s="1"/>
  <c r="AD922" i="42"/>
  <c r="AH922" i="42" s="1" a="1"/>
  <c r="AH922" i="42" s="1"/>
  <c r="Z923" i="42"/>
  <c r="AA923" i="42" s="1"/>
  <c r="AB923" i="42"/>
  <c r="AC923" i="42" s="1"/>
  <c r="AD923" i="42"/>
  <c r="AH923" i="42" s="1" a="1"/>
  <c r="AH923" i="42" s="1"/>
  <c r="Z924" i="42"/>
  <c r="AA924" i="42" s="1"/>
  <c r="AB924" i="42"/>
  <c r="AC924" i="42" s="1"/>
  <c r="AD924" i="42"/>
  <c r="AH924" i="42" s="1" a="1"/>
  <c r="AH924" i="42" s="1"/>
  <c r="Z925" i="42"/>
  <c r="AA925" i="42" s="1"/>
  <c r="AB925" i="42"/>
  <c r="AC925" i="42" s="1"/>
  <c r="AD925" i="42"/>
  <c r="AH925" i="42" s="1" a="1"/>
  <c r="AH925" i="42" s="1"/>
  <c r="Z926" i="42"/>
  <c r="AA926" i="42" s="1"/>
  <c r="AB926" i="42"/>
  <c r="AC926" i="42" s="1"/>
  <c r="AD926" i="42"/>
  <c r="AH926" i="42" s="1" a="1"/>
  <c r="AH926" i="42" s="1"/>
  <c r="Z927" i="42"/>
  <c r="AA927" i="42" s="1"/>
  <c r="AB927" i="42"/>
  <c r="AC927" i="42" s="1"/>
  <c r="AD927" i="42"/>
  <c r="AH927" i="42" s="1" a="1"/>
  <c r="AH927" i="42" s="1"/>
  <c r="Z928" i="42"/>
  <c r="AA928" i="42" s="1"/>
  <c r="AB928" i="42"/>
  <c r="AC928" i="42" s="1"/>
  <c r="AD928" i="42"/>
  <c r="AH928" i="42" s="1" a="1"/>
  <c r="AH928" i="42" s="1"/>
  <c r="Z929" i="42"/>
  <c r="AA929" i="42" s="1"/>
  <c r="AB929" i="42"/>
  <c r="AC929" i="42" s="1"/>
  <c r="AD929" i="42"/>
  <c r="AH929" i="42" s="1" a="1"/>
  <c r="AH929" i="42" s="1"/>
  <c r="Z930" i="42"/>
  <c r="AA930" i="42" s="1"/>
  <c r="AB930" i="42"/>
  <c r="AC930" i="42" s="1"/>
  <c r="AD930" i="42"/>
  <c r="AH930" i="42" s="1" a="1"/>
  <c r="AH930" i="42" s="1"/>
  <c r="Z931" i="42"/>
  <c r="AA931" i="42" s="1"/>
  <c r="AB931" i="42"/>
  <c r="AC931" i="42" s="1"/>
  <c r="AD931" i="42"/>
  <c r="AH931" i="42" s="1" a="1"/>
  <c r="AH931" i="42" s="1"/>
  <c r="Z932" i="42"/>
  <c r="AA932" i="42" s="1"/>
  <c r="AB932" i="42"/>
  <c r="AC932" i="42" s="1"/>
  <c r="AD932" i="42"/>
  <c r="AH932" i="42" s="1" a="1"/>
  <c r="AH932" i="42" s="1"/>
  <c r="Z933" i="42"/>
  <c r="AA933" i="42" s="1"/>
  <c r="AB933" i="42"/>
  <c r="AC933" i="42" s="1"/>
  <c r="AD933" i="42"/>
  <c r="AH933" i="42" s="1" a="1"/>
  <c r="AH933" i="42" s="1"/>
  <c r="Z934" i="42"/>
  <c r="AA934" i="42" s="1"/>
  <c r="AB934" i="42"/>
  <c r="AC934" i="42" s="1"/>
  <c r="AD934" i="42"/>
  <c r="AH934" i="42" s="1" a="1"/>
  <c r="AH934" i="42" s="1"/>
  <c r="Z935" i="42"/>
  <c r="AA935" i="42" s="1"/>
  <c r="AB935" i="42"/>
  <c r="AC935" i="42" s="1"/>
  <c r="AD935" i="42"/>
  <c r="AH935" i="42" s="1" a="1"/>
  <c r="AH935" i="42" s="1"/>
  <c r="Z936" i="42"/>
  <c r="AA936" i="42" s="1"/>
  <c r="AB936" i="42"/>
  <c r="AC936" i="42" s="1"/>
  <c r="AD936" i="42"/>
  <c r="AH936" i="42" s="1" a="1"/>
  <c r="AH936" i="42" s="1"/>
  <c r="Z937" i="42"/>
  <c r="AA937" i="42" s="1"/>
  <c r="AB937" i="42"/>
  <c r="AC937" i="42" s="1"/>
  <c r="AD937" i="42"/>
  <c r="AH937" i="42" s="1" a="1"/>
  <c r="AH937" i="42" s="1"/>
  <c r="Z938" i="42"/>
  <c r="AA938" i="42" s="1"/>
  <c r="AB938" i="42"/>
  <c r="AC938" i="42" s="1"/>
  <c r="AD938" i="42"/>
  <c r="AH938" i="42" s="1" a="1"/>
  <c r="AH938" i="42" s="1"/>
  <c r="Z939" i="42"/>
  <c r="AA939" i="42" s="1"/>
  <c r="AB939" i="42"/>
  <c r="AC939" i="42" s="1"/>
  <c r="AD939" i="42"/>
  <c r="AH939" i="42" s="1" a="1"/>
  <c r="AH939" i="42" s="1"/>
  <c r="Z940" i="42"/>
  <c r="AA940" i="42" s="1"/>
  <c r="AB940" i="42"/>
  <c r="AC940" i="42" s="1"/>
  <c r="AD940" i="42"/>
  <c r="AH940" i="42" s="1" a="1"/>
  <c r="AH940" i="42" s="1"/>
  <c r="Z941" i="42"/>
  <c r="AA941" i="42" s="1"/>
  <c r="AB941" i="42"/>
  <c r="AC941" i="42" s="1"/>
  <c r="AD941" i="42"/>
  <c r="AH941" i="42" s="1" a="1"/>
  <c r="AH941" i="42" s="1"/>
  <c r="Z942" i="42"/>
  <c r="AA942" i="42" s="1"/>
  <c r="AB942" i="42"/>
  <c r="AC942" i="42" s="1"/>
  <c r="AD942" i="42"/>
  <c r="AH942" i="42" s="1" a="1"/>
  <c r="AH942" i="42" s="1"/>
  <c r="Z943" i="42"/>
  <c r="AA943" i="42" s="1"/>
  <c r="AB943" i="42"/>
  <c r="AC943" i="42" s="1"/>
  <c r="AD943" i="42"/>
  <c r="AH943" i="42" s="1" a="1"/>
  <c r="AH943" i="42" s="1"/>
  <c r="Z944" i="42"/>
  <c r="AA944" i="42" s="1"/>
  <c r="AB944" i="42"/>
  <c r="AC944" i="42" s="1"/>
  <c r="AD944" i="42"/>
  <c r="AH944" i="42" s="1" a="1"/>
  <c r="AH944" i="42" s="1"/>
  <c r="Z945" i="42"/>
  <c r="AA945" i="42" s="1"/>
  <c r="AB945" i="42"/>
  <c r="AC945" i="42" s="1"/>
  <c r="AD945" i="42"/>
  <c r="AH945" i="42" s="1" a="1"/>
  <c r="AH945" i="42" s="1"/>
  <c r="Z946" i="42"/>
  <c r="AA946" i="42" s="1"/>
  <c r="AB946" i="42"/>
  <c r="AC946" i="42" s="1"/>
  <c r="AD946" i="42"/>
  <c r="AH946" i="42" s="1" a="1"/>
  <c r="AH946" i="42" s="1"/>
  <c r="Z947" i="42"/>
  <c r="AA947" i="42" s="1"/>
  <c r="AB947" i="42"/>
  <c r="AC947" i="42" s="1"/>
  <c r="AD947" i="42"/>
  <c r="AH947" i="42" s="1" a="1"/>
  <c r="AH947" i="42" s="1"/>
  <c r="Z948" i="42"/>
  <c r="AA948" i="42" s="1"/>
  <c r="AB948" i="42"/>
  <c r="AC948" i="42" s="1"/>
  <c r="AD948" i="42"/>
  <c r="AH948" i="42" s="1" a="1"/>
  <c r="AH948" i="42" s="1"/>
  <c r="Z949" i="42"/>
  <c r="AA949" i="42" s="1"/>
  <c r="AB949" i="42"/>
  <c r="AC949" i="42" s="1"/>
  <c r="AD949" i="42"/>
  <c r="AH949" i="42" s="1" a="1"/>
  <c r="AH949" i="42" s="1"/>
  <c r="Z950" i="42"/>
  <c r="AA950" i="42" s="1"/>
  <c r="AB950" i="42"/>
  <c r="AC950" i="42" s="1"/>
  <c r="AD950" i="42"/>
  <c r="AH950" i="42" s="1" a="1"/>
  <c r="AH950" i="42" s="1"/>
  <c r="Z951" i="42"/>
  <c r="AA951" i="42" s="1"/>
  <c r="AB951" i="42"/>
  <c r="AC951" i="42" s="1"/>
  <c r="AD951" i="42"/>
  <c r="AH951" i="42" s="1" a="1"/>
  <c r="AH951" i="42" s="1"/>
  <c r="Z952" i="42"/>
  <c r="AA952" i="42" s="1"/>
  <c r="AB952" i="42"/>
  <c r="AC952" i="42" s="1"/>
  <c r="AD952" i="42"/>
  <c r="AH952" i="42" s="1" a="1"/>
  <c r="AH952" i="42" s="1"/>
  <c r="Z953" i="42"/>
  <c r="AA953" i="42" s="1"/>
  <c r="AB953" i="42"/>
  <c r="AC953" i="42" s="1"/>
  <c r="AD953" i="42"/>
  <c r="AH953" i="42" s="1" a="1"/>
  <c r="AH953" i="42" s="1"/>
  <c r="Z954" i="42"/>
  <c r="AA954" i="42" s="1"/>
  <c r="AB954" i="42"/>
  <c r="AC954" i="42" s="1"/>
  <c r="AD954" i="42"/>
  <c r="AH954" i="42" s="1" a="1"/>
  <c r="AH954" i="42" s="1"/>
  <c r="Z955" i="42"/>
  <c r="AA955" i="42" s="1"/>
  <c r="AB955" i="42"/>
  <c r="AC955" i="42" s="1"/>
  <c r="AD955" i="42"/>
  <c r="AH955" i="42" s="1" a="1"/>
  <c r="AH955" i="42" s="1"/>
  <c r="Z956" i="42"/>
  <c r="AA956" i="42" s="1"/>
  <c r="AB956" i="42"/>
  <c r="AC956" i="42" s="1"/>
  <c r="AD956" i="42"/>
  <c r="AH956" i="42" s="1" a="1"/>
  <c r="AH956" i="42" s="1"/>
  <c r="Z957" i="42"/>
  <c r="AA957" i="42" s="1"/>
  <c r="AB957" i="42"/>
  <c r="AC957" i="42" s="1"/>
  <c r="AD957" i="42"/>
  <c r="AH957" i="42" s="1" a="1"/>
  <c r="AH957" i="42" s="1"/>
  <c r="Z958" i="42"/>
  <c r="AA958" i="42" s="1"/>
  <c r="AB958" i="42"/>
  <c r="AC958" i="42" s="1"/>
  <c r="AD958" i="42"/>
  <c r="AH958" i="42" s="1" a="1"/>
  <c r="AH958" i="42" s="1"/>
  <c r="Z959" i="42"/>
  <c r="AA959" i="42" s="1"/>
  <c r="AB959" i="42"/>
  <c r="AC959" i="42" s="1"/>
  <c r="AD959" i="42"/>
  <c r="AH959" i="42" s="1" a="1"/>
  <c r="AH959" i="42" s="1"/>
  <c r="Z960" i="42"/>
  <c r="AA960" i="42" s="1"/>
  <c r="AB960" i="42"/>
  <c r="AC960" i="42" s="1"/>
  <c r="AD960" i="42"/>
  <c r="AH960" i="42" s="1" a="1"/>
  <c r="AH960" i="42" s="1"/>
  <c r="Z961" i="42"/>
  <c r="AA961" i="42" s="1"/>
  <c r="AB961" i="42"/>
  <c r="AC961" i="42" s="1"/>
  <c r="AD961" i="42"/>
  <c r="AH961" i="42" s="1" a="1"/>
  <c r="AH961" i="42" s="1"/>
  <c r="Z962" i="42"/>
  <c r="AA962" i="42" s="1"/>
  <c r="AB962" i="42"/>
  <c r="AC962" i="42" s="1"/>
  <c r="AD962" i="42"/>
  <c r="AH962" i="42" s="1" a="1"/>
  <c r="AH962" i="42" s="1"/>
  <c r="Z963" i="42"/>
  <c r="AA963" i="42" s="1"/>
  <c r="AB963" i="42"/>
  <c r="AC963" i="42" s="1"/>
  <c r="AD963" i="42"/>
  <c r="AH963" i="42" s="1" a="1"/>
  <c r="AH963" i="42" s="1"/>
  <c r="Z964" i="42"/>
  <c r="AA964" i="42" s="1"/>
  <c r="AB964" i="42"/>
  <c r="AC964" i="42" s="1"/>
  <c r="AD964" i="42"/>
  <c r="AH964" i="42" s="1" a="1"/>
  <c r="AH964" i="42" s="1"/>
  <c r="Z965" i="42"/>
  <c r="AA965" i="42" s="1"/>
  <c r="AB965" i="42"/>
  <c r="AC965" i="42" s="1"/>
  <c r="AD965" i="42"/>
  <c r="AH965" i="42" s="1" a="1"/>
  <c r="AH965" i="42" s="1"/>
  <c r="Z966" i="42"/>
  <c r="AA966" i="42" s="1"/>
  <c r="AB966" i="42"/>
  <c r="AC966" i="42" s="1"/>
  <c r="AD966" i="42"/>
  <c r="AH966" i="42" s="1" a="1"/>
  <c r="AH966" i="42" s="1"/>
  <c r="Z967" i="42"/>
  <c r="AA967" i="42" s="1"/>
  <c r="AB967" i="42"/>
  <c r="AC967" i="42" s="1"/>
  <c r="AD967" i="42"/>
  <c r="AH967" i="42" s="1" a="1"/>
  <c r="AH967" i="42" s="1"/>
  <c r="Z968" i="42"/>
  <c r="AA968" i="42" s="1"/>
  <c r="AB968" i="42"/>
  <c r="AC968" i="42" s="1"/>
  <c r="AD968" i="42"/>
  <c r="AH968" i="42" s="1" a="1"/>
  <c r="AH968" i="42" s="1"/>
  <c r="Z969" i="42"/>
  <c r="AA969" i="42" s="1"/>
  <c r="AB969" i="42"/>
  <c r="AC969" i="42" s="1"/>
  <c r="AD969" i="42"/>
  <c r="AH969" i="42" s="1" a="1"/>
  <c r="AH969" i="42" s="1"/>
  <c r="Z970" i="42"/>
  <c r="AA970" i="42" s="1"/>
  <c r="AB970" i="42"/>
  <c r="AC970" i="42" s="1"/>
  <c r="AD970" i="42"/>
  <c r="AH970" i="42" s="1" a="1"/>
  <c r="AH970" i="42" s="1"/>
  <c r="Z971" i="42"/>
  <c r="AA971" i="42" s="1"/>
  <c r="AB971" i="42"/>
  <c r="AC971" i="42" s="1"/>
  <c r="AD971" i="42"/>
  <c r="AH971" i="42" s="1" a="1"/>
  <c r="AH971" i="42" s="1"/>
  <c r="Z972" i="42"/>
  <c r="AA972" i="42" s="1"/>
  <c r="AB972" i="42"/>
  <c r="AC972" i="42" s="1"/>
  <c r="AD972" i="42"/>
  <c r="AH972" i="42" s="1" a="1"/>
  <c r="AH972" i="42" s="1"/>
  <c r="Z973" i="42"/>
  <c r="AA973" i="42" s="1"/>
  <c r="AB973" i="42"/>
  <c r="AC973" i="42" s="1"/>
  <c r="AD973" i="42"/>
  <c r="AH973" i="42" s="1" a="1"/>
  <c r="AH973" i="42" s="1"/>
  <c r="Z974" i="42"/>
  <c r="AA974" i="42" s="1"/>
  <c r="AB974" i="42"/>
  <c r="AC974" i="42" s="1"/>
  <c r="AD974" i="42"/>
  <c r="AH974" i="42" s="1" a="1"/>
  <c r="AH974" i="42" s="1"/>
  <c r="Z975" i="42"/>
  <c r="AA975" i="42" s="1"/>
  <c r="AB975" i="42"/>
  <c r="AC975" i="42" s="1"/>
  <c r="AD975" i="42"/>
  <c r="AH975" i="42" s="1" a="1"/>
  <c r="AH975" i="42" s="1"/>
  <c r="Z976" i="42"/>
  <c r="AA976" i="42" s="1"/>
  <c r="AB976" i="42"/>
  <c r="AC976" i="42" s="1"/>
  <c r="AD976" i="42"/>
  <c r="AH976" i="42" s="1" a="1"/>
  <c r="AH976" i="42" s="1"/>
  <c r="Z977" i="42"/>
  <c r="AA977" i="42" s="1"/>
  <c r="AB977" i="42"/>
  <c r="AC977" i="42" s="1"/>
  <c r="AD977" i="42"/>
  <c r="AH977" i="42" s="1" a="1"/>
  <c r="AH977" i="42" s="1"/>
  <c r="Z978" i="42"/>
  <c r="AA978" i="42" s="1"/>
  <c r="AB978" i="42"/>
  <c r="AC978" i="42" s="1"/>
  <c r="AD978" i="42"/>
  <c r="AH978" i="42" s="1" a="1"/>
  <c r="AH978" i="42" s="1"/>
  <c r="Z979" i="42"/>
  <c r="AA979" i="42" s="1"/>
  <c r="AB979" i="42"/>
  <c r="AC979" i="42" s="1"/>
  <c r="AD979" i="42"/>
  <c r="AH979" i="42" s="1" a="1"/>
  <c r="AH979" i="42" s="1"/>
  <c r="Z980" i="42"/>
  <c r="AA980" i="42" s="1"/>
  <c r="AB980" i="42"/>
  <c r="AC980" i="42" s="1"/>
  <c r="AD980" i="42"/>
  <c r="AH980" i="42" s="1" a="1"/>
  <c r="AH980" i="42" s="1"/>
  <c r="Z981" i="42"/>
  <c r="AA981" i="42" s="1"/>
  <c r="AB981" i="42"/>
  <c r="AC981" i="42" s="1"/>
  <c r="AD981" i="42"/>
  <c r="AH981" i="42" s="1" a="1"/>
  <c r="AH981" i="42" s="1"/>
  <c r="Z982" i="42"/>
  <c r="AA982" i="42" s="1"/>
  <c r="AB982" i="42"/>
  <c r="AC982" i="42" s="1"/>
  <c r="AD982" i="42"/>
  <c r="AH982" i="42" s="1" a="1"/>
  <c r="AH982" i="42" s="1"/>
  <c r="Z983" i="42"/>
  <c r="AA983" i="42" s="1"/>
  <c r="AB983" i="42"/>
  <c r="AC983" i="42" s="1"/>
  <c r="AD983" i="42"/>
  <c r="AH983" i="42" s="1" a="1"/>
  <c r="AH983" i="42" s="1"/>
  <c r="Z984" i="42"/>
  <c r="AA984" i="42" s="1"/>
  <c r="AB984" i="42"/>
  <c r="AC984" i="42" s="1"/>
  <c r="AD984" i="42"/>
  <c r="AH984" i="42" s="1" a="1"/>
  <c r="AH984" i="42" s="1"/>
  <c r="Z985" i="42"/>
  <c r="AA985" i="42" s="1"/>
  <c r="AB985" i="42"/>
  <c r="AC985" i="42" s="1"/>
  <c r="AD985" i="42"/>
  <c r="AH985" i="42" s="1" a="1"/>
  <c r="AH985" i="42" s="1"/>
  <c r="Z986" i="42"/>
  <c r="AA986" i="42" s="1"/>
  <c r="AB986" i="42"/>
  <c r="AC986" i="42" s="1"/>
  <c r="AD986" i="42"/>
  <c r="AH986" i="42" s="1" a="1"/>
  <c r="AH986" i="42" s="1"/>
  <c r="Z987" i="42"/>
  <c r="AA987" i="42" s="1"/>
  <c r="AB987" i="42"/>
  <c r="AC987" i="42" s="1"/>
  <c r="AD987" i="42"/>
  <c r="AH987" i="42" s="1" a="1"/>
  <c r="AH987" i="42" s="1"/>
  <c r="Z988" i="42"/>
  <c r="AA988" i="42" s="1"/>
  <c r="AB988" i="42"/>
  <c r="AC988" i="42" s="1"/>
  <c r="AD988" i="42"/>
  <c r="AH988" i="42" s="1" a="1"/>
  <c r="AH988" i="42" s="1"/>
  <c r="Z989" i="42"/>
  <c r="AA989" i="42" s="1"/>
  <c r="AB989" i="42"/>
  <c r="AC989" i="42" s="1"/>
  <c r="AD989" i="42"/>
  <c r="AH989" i="42" s="1" a="1"/>
  <c r="AH989" i="42" s="1"/>
  <c r="Z990" i="42"/>
  <c r="AA990" i="42" s="1"/>
  <c r="AB990" i="42"/>
  <c r="AC990" i="42" s="1"/>
  <c r="AD990" i="42"/>
  <c r="AH990" i="42" s="1" a="1"/>
  <c r="AH990" i="42" s="1"/>
  <c r="Z991" i="42"/>
  <c r="AA991" i="42" s="1"/>
  <c r="AB991" i="42"/>
  <c r="AC991" i="42" s="1"/>
  <c r="AD991" i="42"/>
  <c r="AH991" i="42" s="1" a="1"/>
  <c r="AH991" i="42" s="1"/>
  <c r="Z992" i="42"/>
  <c r="AA992" i="42" s="1"/>
  <c r="AB992" i="42"/>
  <c r="AC992" i="42" s="1"/>
  <c r="AD992" i="42"/>
  <c r="AH992" i="42" s="1" a="1"/>
  <c r="AH992" i="42" s="1"/>
  <c r="Z993" i="42"/>
  <c r="AA993" i="42" s="1"/>
  <c r="AB993" i="42"/>
  <c r="AC993" i="42" s="1"/>
  <c r="AD993" i="42"/>
  <c r="AH993" i="42" s="1" a="1"/>
  <c r="AH993" i="42" s="1"/>
  <c r="Z994" i="42"/>
  <c r="AA994" i="42" s="1"/>
  <c r="AB994" i="42"/>
  <c r="AC994" i="42" s="1"/>
  <c r="AD994" i="42"/>
  <c r="AH994" i="42" s="1" a="1"/>
  <c r="AH994" i="42" s="1"/>
  <c r="Z995" i="42"/>
  <c r="AA995" i="42" s="1"/>
  <c r="AB995" i="42"/>
  <c r="AC995" i="42" s="1"/>
  <c r="AD995" i="42"/>
  <c r="AH995" i="42" s="1" a="1"/>
  <c r="AH995" i="42" s="1"/>
  <c r="Z996" i="42"/>
  <c r="AA996" i="42" s="1"/>
  <c r="AB996" i="42"/>
  <c r="AC996" i="42" s="1"/>
  <c r="AD996" i="42"/>
  <c r="AH996" i="42" s="1" a="1"/>
  <c r="AH996" i="42" s="1"/>
  <c r="Z997" i="42"/>
  <c r="AA997" i="42" s="1"/>
  <c r="AB997" i="42"/>
  <c r="AC997" i="42" s="1"/>
  <c r="AD997" i="42"/>
  <c r="AH997" i="42" s="1" a="1"/>
  <c r="AH997" i="42" s="1"/>
  <c r="Z998" i="42"/>
  <c r="AA998" i="42" s="1"/>
  <c r="AB998" i="42"/>
  <c r="AC998" i="42" s="1"/>
  <c r="AD998" i="42"/>
  <c r="AH998" i="42" s="1" a="1"/>
  <c r="AH998" i="42" s="1"/>
  <c r="Z999" i="42"/>
  <c r="AA999" i="42" s="1"/>
  <c r="AB999" i="42"/>
  <c r="AC999" i="42" s="1"/>
  <c r="AD999" i="42"/>
  <c r="AH999" i="42" s="1" a="1"/>
  <c r="AH999" i="42" s="1"/>
  <c r="Z1000" i="42"/>
  <c r="AA1000" i="42" s="1"/>
  <c r="AB1000" i="42"/>
  <c r="AC1000" i="42" s="1"/>
  <c r="AD1000" i="42"/>
  <c r="AH1000" i="42" s="1" a="1"/>
  <c r="AH1000" i="42" s="1"/>
  <c r="Z1001" i="42"/>
  <c r="AA1001" i="42" s="1"/>
  <c r="AB1001" i="42"/>
  <c r="AC1001" i="42" s="1"/>
  <c r="AD1001" i="42"/>
  <c r="AH1001" i="42" s="1" a="1"/>
  <c r="AH1001" i="42" s="1"/>
  <c r="Z1002" i="42"/>
  <c r="AA1002" i="42" s="1"/>
  <c r="AB1002" i="42"/>
  <c r="AC1002" i="42" s="1"/>
  <c r="AD1002" i="42"/>
  <c r="AH1002" i="42" s="1" a="1"/>
  <c r="AH1002" i="42" s="1"/>
  <c r="Z1003" i="42"/>
  <c r="AA1003" i="42" s="1"/>
  <c r="AB1003" i="42"/>
  <c r="AC1003" i="42" s="1"/>
  <c r="AD1003" i="42"/>
  <c r="AH1003" i="42" s="1" a="1"/>
  <c r="AH1003" i="42" s="1"/>
  <c r="Z1004" i="42"/>
  <c r="AA1004" i="42" s="1"/>
  <c r="AB1004" i="42"/>
  <c r="AC1004" i="42" s="1"/>
  <c r="AD1004" i="42"/>
  <c r="AH1004" i="42" s="1" a="1"/>
  <c r="AH1004" i="42" s="1"/>
  <c r="Z1005" i="42"/>
  <c r="AA1005" i="42" s="1"/>
  <c r="AB1005" i="42"/>
  <c r="AC1005" i="42" s="1"/>
  <c r="AD1005" i="42"/>
  <c r="AH1005" i="42" s="1" a="1"/>
  <c r="AH1005" i="42" s="1"/>
  <c r="Z1006" i="42"/>
  <c r="AA1006" i="42" s="1"/>
  <c r="AB1006" i="42"/>
  <c r="AC1006" i="42" s="1"/>
  <c r="AD1006" i="42"/>
  <c r="AH1006" i="42" s="1" a="1"/>
  <c r="AH1006" i="42" s="1"/>
  <c r="Z1007" i="42"/>
  <c r="AA1007" i="42" s="1"/>
  <c r="AB1007" i="42"/>
  <c r="AC1007" i="42" s="1"/>
  <c r="AD1007" i="42"/>
  <c r="AH1007" i="42" s="1" a="1"/>
  <c r="AH1007" i="42" s="1"/>
  <c r="Z1008" i="42"/>
  <c r="AA1008" i="42" s="1"/>
  <c r="AB1008" i="42"/>
  <c r="AC1008" i="42" s="1"/>
  <c r="AD1008" i="42"/>
  <c r="AH1008" i="42" s="1" a="1"/>
  <c r="AH1008" i="42" s="1"/>
  <c r="Z1009" i="42"/>
  <c r="AA1009" i="42" s="1"/>
  <c r="AB1009" i="42"/>
  <c r="AC1009" i="42" s="1"/>
  <c r="AD1009" i="42"/>
  <c r="AH1009" i="42" s="1" a="1"/>
  <c r="AH1009" i="42" s="1"/>
  <c r="Z1010" i="42"/>
  <c r="AA1010" i="42" s="1"/>
  <c r="AB1010" i="42"/>
  <c r="AC1010" i="42" s="1"/>
  <c r="AD1010" i="42"/>
  <c r="AH1010" i="42" s="1" a="1"/>
  <c r="AH1010" i="42" s="1"/>
  <c r="Z1011" i="42"/>
  <c r="AA1011" i="42" s="1"/>
  <c r="AB1011" i="42"/>
  <c r="AC1011" i="42" s="1"/>
  <c r="AD1011" i="42"/>
  <c r="AH1011" i="42" s="1" a="1"/>
  <c r="AH1011" i="42" s="1"/>
  <c r="Z1012" i="42"/>
  <c r="AA1012" i="42" s="1"/>
  <c r="AB1012" i="42"/>
  <c r="AC1012" i="42" s="1"/>
  <c r="AD1012" i="42"/>
  <c r="AH1012" i="42" s="1" a="1"/>
  <c r="AH1012" i="42" s="1"/>
  <c r="Z1013" i="42"/>
  <c r="AA1013" i="42" s="1"/>
  <c r="AB1013" i="42"/>
  <c r="AC1013" i="42" s="1"/>
  <c r="AD1013" i="42"/>
  <c r="AH1013" i="42" s="1" a="1"/>
  <c r="AH1013" i="42" s="1"/>
  <c r="Z1014" i="42"/>
  <c r="AA1014" i="42" s="1"/>
  <c r="AB1014" i="42"/>
  <c r="AC1014" i="42" s="1"/>
  <c r="AD1014" i="42"/>
  <c r="AH1014" i="42" s="1" a="1"/>
  <c r="AH1014" i="42" s="1"/>
  <c r="Z1015" i="42"/>
  <c r="AA1015" i="42" s="1"/>
  <c r="AB1015" i="42"/>
  <c r="AC1015" i="42" s="1"/>
  <c r="AD1015" i="42"/>
  <c r="AH1015" i="42" s="1" a="1"/>
  <c r="AH1015" i="42" s="1"/>
  <c r="Z1016" i="42"/>
  <c r="AA1016" i="42" s="1"/>
  <c r="AB1016" i="42"/>
  <c r="AC1016" i="42" s="1"/>
  <c r="AD1016" i="42"/>
  <c r="AH1016" i="42" s="1" a="1"/>
  <c r="AH1016" i="42" s="1"/>
  <c r="Z1017" i="42"/>
  <c r="AA1017" i="42" s="1"/>
  <c r="AB1017" i="42"/>
  <c r="AC1017" i="42" s="1"/>
  <c r="AD1017" i="42"/>
  <c r="AH1017" i="42" s="1" a="1"/>
  <c r="AH1017" i="42" s="1"/>
  <c r="Z1018" i="42"/>
  <c r="AA1018" i="42" s="1"/>
  <c r="AB1018" i="42"/>
  <c r="AC1018" i="42" s="1"/>
  <c r="AD1018" i="42"/>
  <c r="AH1018" i="42" s="1" a="1"/>
  <c r="AH1018" i="42" s="1"/>
  <c r="Z1019" i="42"/>
  <c r="AA1019" i="42" s="1"/>
  <c r="AB1019" i="42"/>
  <c r="AC1019" i="42" s="1"/>
  <c r="AD1019" i="42"/>
  <c r="AH1019" i="42" s="1" a="1"/>
  <c r="AH1019" i="42" s="1"/>
  <c r="Z1020" i="42"/>
  <c r="AA1020" i="42" s="1"/>
  <c r="AB1020" i="42"/>
  <c r="AC1020" i="42" s="1"/>
  <c r="AD1020" i="42"/>
  <c r="AH1020" i="42" s="1" a="1"/>
  <c r="AH1020" i="42" s="1"/>
  <c r="Z1021" i="42"/>
  <c r="AA1021" i="42" s="1"/>
  <c r="AB1021" i="42"/>
  <c r="AC1021" i="42" s="1"/>
  <c r="AD1021" i="42"/>
  <c r="AH1021" i="42" s="1" a="1"/>
  <c r="AH1021" i="42" s="1"/>
  <c r="Z1022" i="42"/>
  <c r="AA1022" i="42" s="1"/>
  <c r="AB1022" i="42"/>
  <c r="AC1022" i="42" s="1"/>
  <c r="AD1022" i="42"/>
  <c r="AH1022" i="42" s="1" a="1"/>
  <c r="AH1022" i="42" s="1"/>
  <c r="Z1023" i="42"/>
  <c r="AA1023" i="42" s="1"/>
  <c r="AB1023" i="42"/>
  <c r="AC1023" i="42" s="1"/>
  <c r="AD1023" i="42"/>
  <c r="AH1023" i="42" s="1" a="1"/>
  <c r="AH1023" i="42" s="1"/>
  <c r="Z1024" i="42"/>
  <c r="AA1024" i="42" s="1"/>
  <c r="AB1024" i="42"/>
  <c r="AC1024" i="42" s="1"/>
  <c r="AD1024" i="42"/>
  <c r="AH1024" i="42" s="1" a="1"/>
  <c r="AH1024" i="42" s="1"/>
  <c r="Z1025" i="42"/>
  <c r="AA1025" i="42" s="1"/>
  <c r="AB1025" i="42"/>
  <c r="AC1025" i="42" s="1"/>
  <c r="AD1025" i="42"/>
  <c r="AH1025" i="42" s="1" a="1"/>
  <c r="AH1025" i="42" s="1"/>
  <c r="Z1026" i="42"/>
  <c r="AA1026" i="42" s="1"/>
  <c r="AB1026" i="42"/>
  <c r="AC1026" i="42" s="1"/>
  <c r="AD1026" i="42"/>
  <c r="AH1026" i="42" s="1" a="1"/>
  <c r="AH1026" i="42" s="1"/>
  <c r="Z1027" i="42"/>
  <c r="AA1027" i="42" s="1"/>
  <c r="AB1027" i="42"/>
  <c r="AC1027" i="42" s="1"/>
  <c r="AD1027" i="42"/>
  <c r="AH1027" i="42" s="1" a="1"/>
  <c r="AH1027" i="42" s="1"/>
  <c r="Z1028" i="42"/>
  <c r="AA1028" i="42" s="1"/>
  <c r="AB1028" i="42"/>
  <c r="AC1028" i="42" s="1"/>
  <c r="AD1028" i="42"/>
  <c r="AH1028" i="42" s="1" a="1"/>
  <c r="AH1028" i="42" s="1"/>
  <c r="Z1029" i="42"/>
  <c r="AA1029" i="42" s="1"/>
  <c r="AB1029" i="42"/>
  <c r="AC1029" i="42" s="1"/>
  <c r="AD1029" i="42"/>
  <c r="AH1029" i="42" s="1" a="1"/>
  <c r="AH1029" i="42" s="1"/>
  <c r="Z1030" i="42"/>
  <c r="AA1030" i="42" s="1"/>
  <c r="AB1030" i="42"/>
  <c r="AC1030" i="42" s="1"/>
  <c r="AD1030" i="42"/>
  <c r="AH1030" i="42" s="1" a="1"/>
  <c r="AH1030" i="42" s="1"/>
  <c r="Z1031" i="42"/>
  <c r="AA1031" i="42" s="1"/>
  <c r="AB1031" i="42"/>
  <c r="AC1031" i="42" s="1"/>
  <c r="AD1031" i="42"/>
  <c r="AH1031" i="42" s="1" a="1"/>
  <c r="AH1031" i="42" s="1"/>
  <c r="Z1032" i="42"/>
  <c r="AA1032" i="42" s="1"/>
  <c r="AB1032" i="42"/>
  <c r="AC1032" i="42" s="1"/>
  <c r="AD1032" i="42"/>
  <c r="AH1032" i="42" s="1" a="1"/>
  <c r="AH1032" i="42" s="1"/>
  <c r="Z1033" i="42"/>
  <c r="AA1033" i="42" s="1"/>
  <c r="AB1033" i="42"/>
  <c r="AC1033" i="42" s="1"/>
  <c r="AD1033" i="42"/>
  <c r="AH1033" i="42" s="1" a="1"/>
  <c r="AH1033" i="42" s="1"/>
  <c r="Z1034" i="42"/>
  <c r="AA1034" i="42" s="1"/>
  <c r="AB1034" i="42"/>
  <c r="AC1034" i="42" s="1"/>
  <c r="AD1034" i="42"/>
  <c r="AH1034" i="42" s="1" a="1"/>
  <c r="AH1034" i="42" s="1"/>
  <c r="Z1035" i="42"/>
  <c r="AA1035" i="42" s="1"/>
  <c r="AB1035" i="42"/>
  <c r="AC1035" i="42" s="1"/>
  <c r="AD1035" i="42"/>
  <c r="AH1035" i="42" s="1" a="1"/>
  <c r="AH1035" i="42" s="1"/>
  <c r="Z1036" i="42"/>
  <c r="AA1036" i="42" s="1"/>
  <c r="AB1036" i="42"/>
  <c r="AC1036" i="42" s="1"/>
  <c r="AD1036" i="42"/>
  <c r="AH1036" i="42" s="1" a="1"/>
  <c r="AH1036" i="42" s="1"/>
  <c r="Z1037" i="42"/>
  <c r="AA1037" i="42" s="1"/>
  <c r="AB1037" i="42"/>
  <c r="AC1037" i="42" s="1"/>
  <c r="AD1037" i="42"/>
  <c r="AH1037" i="42" s="1" a="1"/>
  <c r="AH1037" i="42" s="1"/>
  <c r="Z1038" i="42"/>
  <c r="AA1038" i="42" s="1"/>
  <c r="AB1038" i="42"/>
  <c r="AC1038" i="42" s="1"/>
  <c r="AD1038" i="42"/>
  <c r="AH1038" i="42" s="1" a="1"/>
  <c r="AH1038" i="42" s="1"/>
  <c r="Z1039" i="42"/>
  <c r="AA1039" i="42" s="1"/>
  <c r="AB1039" i="42"/>
  <c r="AC1039" i="42" s="1"/>
  <c r="AD1039" i="42"/>
  <c r="AH1039" i="42" s="1" a="1"/>
  <c r="AH1039" i="42" s="1"/>
  <c r="Z1040" i="42"/>
  <c r="AA1040" i="42" s="1"/>
  <c r="AB1040" i="42"/>
  <c r="AC1040" i="42" s="1"/>
  <c r="AD1040" i="42"/>
  <c r="AH1040" i="42" s="1" a="1"/>
  <c r="AH1040" i="42" s="1"/>
  <c r="Z1041" i="42"/>
  <c r="AA1041" i="42" s="1"/>
  <c r="AB1041" i="42"/>
  <c r="AC1041" i="42" s="1"/>
  <c r="AD1041" i="42"/>
  <c r="AH1041" i="42" s="1" a="1"/>
  <c r="AH1041" i="42" s="1"/>
  <c r="Z1042" i="42"/>
  <c r="AA1042" i="42" s="1"/>
  <c r="AB1042" i="42"/>
  <c r="AC1042" i="42" s="1"/>
  <c r="AD1042" i="42"/>
  <c r="AH1042" i="42" s="1" a="1"/>
  <c r="AH1042" i="42" s="1"/>
  <c r="Z1043" i="42"/>
  <c r="AA1043" i="42" s="1"/>
  <c r="AB1043" i="42"/>
  <c r="AC1043" i="42" s="1"/>
  <c r="AD1043" i="42"/>
  <c r="AH1043" i="42" s="1" a="1"/>
  <c r="AH1043" i="42" s="1"/>
  <c r="Z1044" i="42"/>
  <c r="AA1044" i="42" s="1"/>
  <c r="AB1044" i="42"/>
  <c r="AC1044" i="42" s="1"/>
  <c r="AD1044" i="42"/>
  <c r="AH1044" i="42" s="1" a="1"/>
  <c r="AH1044" i="42" s="1"/>
  <c r="Z1045" i="42"/>
  <c r="AA1045" i="42" s="1"/>
  <c r="AB1045" i="42"/>
  <c r="AC1045" i="42" s="1"/>
  <c r="AD1045" i="42"/>
  <c r="AH1045" i="42" s="1" a="1"/>
  <c r="AH1045" i="42" s="1"/>
  <c r="Z1046" i="42"/>
  <c r="AA1046" i="42" s="1"/>
  <c r="AB1046" i="42"/>
  <c r="AC1046" i="42" s="1"/>
  <c r="AD1046" i="42"/>
  <c r="AH1046" i="42" s="1" a="1"/>
  <c r="AH1046" i="42" s="1"/>
  <c r="Z1047" i="42"/>
  <c r="AA1047" i="42" s="1"/>
  <c r="AB1047" i="42"/>
  <c r="AC1047" i="42" s="1"/>
  <c r="AD1047" i="42"/>
  <c r="AH1047" i="42" s="1" a="1"/>
  <c r="AH1047" i="42" s="1"/>
  <c r="Z1048" i="42"/>
  <c r="AA1048" i="42" s="1"/>
  <c r="AB1048" i="42"/>
  <c r="AC1048" i="42" s="1"/>
  <c r="AD1048" i="42"/>
  <c r="AH1048" i="42" s="1" a="1"/>
  <c r="AH1048" i="42" s="1"/>
  <c r="Z1049" i="42"/>
  <c r="AA1049" i="42" s="1"/>
  <c r="AB1049" i="42"/>
  <c r="AC1049" i="42" s="1"/>
  <c r="AD1049" i="42"/>
  <c r="AH1049" i="42" s="1" a="1"/>
  <c r="AH1049" i="42" s="1"/>
  <c r="Z1050" i="42"/>
  <c r="AA1050" i="42" s="1"/>
  <c r="AB1050" i="42"/>
  <c r="AC1050" i="42" s="1"/>
  <c r="AD1050" i="42"/>
  <c r="AH1050" i="42" s="1" a="1"/>
  <c r="AH1050" i="42" s="1"/>
  <c r="Z1051" i="42"/>
  <c r="AA1051" i="42" s="1"/>
  <c r="AB1051" i="42"/>
  <c r="AC1051" i="42" s="1"/>
  <c r="AD1051" i="42"/>
  <c r="AH1051" i="42" s="1" a="1"/>
  <c r="AH1051" i="42" s="1"/>
  <c r="Z1052" i="42"/>
  <c r="AA1052" i="42" s="1"/>
  <c r="AB1052" i="42"/>
  <c r="AC1052" i="42" s="1"/>
  <c r="AD1052" i="42"/>
  <c r="AH1052" i="42" s="1" a="1"/>
  <c r="AH1052" i="42" s="1"/>
  <c r="Z1053" i="42"/>
  <c r="AA1053" i="42" s="1"/>
  <c r="AB1053" i="42"/>
  <c r="AC1053" i="42" s="1"/>
  <c r="AD1053" i="42"/>
  <c r="AH1053" i="42" s="1" a="1"/>
  <c r="AH1053" i="42" s="1"/>
  <c r="Z1054" i="42"/>
  <c r="AA1054" i="42" s="1"/>
  <c r="AB1054" i="42"/>
  <c r="AC1054" i="42" s="1"/>
  <c r="AD1054" i="42"/>
  <c r="AH1054" i="42" s="1" a="1"/>
  <c r="AH1054" i="42" s="1"/>
  <c r="Z1055" i="42"/>
  <c r="AA1055" i="42" s="1"/>
  <c r="AB1055" i="42"/>
  <c r="AC1055" i="42" s="1"/>
  <c r="AD1055" i="42"/>
  <c r="AH1055" i="42" s="1" a="1"/>
  <c r="AH1055" i="42" s="1"/>
  <c r="Z1056" i="42"/>
  <c r="AA1056" i="42" s="1"/>
  <c r="AB1056" i="42"/>
  <c r="AC1056" i="42" s="1"/>
  <c r="AD1056" i="42"/>
  <c r="AH1056" i="42" s="1" a="1"/>
  <c r="AH1056" i="42" s="1"/>
  <c r="Z1057" i="42"/>
  <c r="AA1057" i="42" s="1"/>
  <c r="AB1057" i="42"/>
  <c r="AC1057" i="42" s="1"/>
  <c r="AD1057" i="42"/>
  <c r="AH1057" i="42" s="1" a="1"/>
  <c r="AH1057" i="42" s="1"/>
  <c r="Z1058" i="42"/>
  <c r="AA1058" i="42" s="1"/>
  <c r="AB1058" i="42"/>
  <c r="AC1058" i="42" s="1"/>
  <c r="AD1058" i="42"/>
  <c r="AH1058" i="42" s="1" a="1"/>
  <c r="AH1058" i="42" s="1"/>
  <c r="Z1059" i="42"/>
  <c r="AA1059" i="42" s="1"/>
  <c r="AB1059" i="42"/>
  <c r="AC1059" i="42" s="1"/>
  <c r="AD1059" i="42"/>
  <c r="AH1059" i="42" s="1" a="1"/>
  <c r="AH1059" i="42" s="1"/>
  <c r="Z1060" i="42"/>
  <c r="AA1060" i="42" s="1"/>
  <c r="AB1060" i="42"/>
  <c r="AC1060" i="42" s="1"/>
  <c r="AD1060" i="42"/>
  <c r="AH1060" i="42" s="1" a="1"/>
  <c r="AH1060" i="42" s="1"/>
  <c r="Z1061" i="42"/>
  <c r="AA1061" i="42" s="1"/>
  <c r="AB1061" i="42"/>
  <c r="AC1061" i="42" s="1"/>
  <c r="AD1061" i="42"/>
  <c r="AH1061" i="42" s="1" a="1"/>
  <c r="AH1061" i="42" s="1"/>
  <c r="Z1062" i="42"/>
  <c r="AA1062" i="42" s="1"/>
  <c r="AB1062" i="42"/>
  <c r="AC1062" i="42" s="1"/>
  <c r="AD1062" i="42"/>
  <c r="AH1062" i="42" s="1" a="1"/>
  <c r="AH1062" i="42" s="1"/>
  <c r="Z1063" i="42"/>
  <c r="AA1063" i="42" s="1"/>
  <c r="AB1063" i="42"/>
  <c r="AC1063" i="42" s="1"/>
  <c r="AD1063" i="42"/>
  <c r="AH1063" i="42" s="1" a="1"/>
  <c r="AH1063" i="42" s="1"/>
  <c r="Z1064" i="42"/>
  <c r="AA1064" i="42" s="1"/>
  <c r="AB1064" i="42"/>
  <c r="AC1064" i="42" s="1"/>
  <c r="AD1064" i="42"/>
  <c r="AH1064" i="42" s="1" a="1"/>
  <c r="AH1064" i="42" s="1"/>
  <c r="Z1065" i="42"/>
  <c r="AA1065" i="42" s="1"/>
  <c r="AB1065" i="42"/>
  <c r="AC1065" i="42" s="1"/>
  <c r="AD1065" i="42"/>
  <c r="AH1065" i="42" s="1" a="1"/>
  <c r="AH1065" i="42" s="1"/>
  <c r="Z1066" i="42"/>
  <c r="AA1066" i="42" s="1"/>
  <c r="AB1066" i="42"/>
  <c r="AC1066" i="42" s="1"/>
  <c r="AD1066" i="42"/>
  <c r="AH1066" i="42" s="1" a="1"/>
  <c r="AH1066" i="42" s="1"/>
  <c r="Z1067" i="42"/>
  <c r="AA1067" i="42" s="1"/>
  <c r="AB1067" i="42"/>
  <c r="AC1067" i="42" s="1"/>
  <c r="AD1067" i="42"/>
  <c r="AH1067" i="42" s="1" a="1"/>
  <c r="AH1067" i="42" s="1"/>
  <c r="Z1068" i="42"/>
  <c r="AA1068" i="42" s="1"/>
  <c r="AB1068" i="42"/>
  <c r="AC1068" i="42" s="1"/>
  <c r="AD1068" i="42"/>
  <c r="AH1068" i="42" s="1" a="1"/>
  <c r="AH1068" i="42" s="1"/>
  <c r="Z1069" i="42"/>
  <c r="AA1069" i="42" s="1"/>
  <c r="AB1069" i="42"/>
  <c r="AC1069" i="42" s="1"/>
  <c r="AD1069" i="42"/>
  <c r="AH1069" i="42" s="1" a="1"/>
  <c r="AH1069" i="42" s="1"/>
  <c r="Z1070" i="42"/>
  <c r="AA1070" i="42" s="1"/>
  <c r="AB1070" i="42"/>
  <c r="AC1070" i="42" s="1"/>
  <c r="AD1070" i="42"/>
  <c r="AH1070" i="42" s="1" a="1"/>
  <c r="AH1070" i="42" s="1"/>
  <c r="Z1071" i="42"/>
  <c r="AA1071" i="42" s="1"/>
  <c r="AB1071" i="42"/>
  <c r="AC1071" i="42" s="1"/>
  <c r="AD1071" i="42"/>
  <c r="AH1071" i="42" s="1" a="1"/>
  <c r="AH1071" i="42" s="1"/>
  <c r="Z1072" i="42"/>
  <c r="AA1072" i="42" s="1"/>
  <c r="AB1072" i="42"/>
  <c r="AC1072" i="42" s="1"/>
  <c r="AD1072" i="42"/>
  <c r="AH1072" i="42" s="1" a="1"/>
  <c r="AH1072" i="42" s="1"/>
  <c r="Z1073" i="42"/>
  <c r="AA1073" i="42" s="1"/>
  <c r="AB1073" i="42"/>
  <c r="AC1073" i="42" s="1"/>
  <c r="AD1073" i="42"/>
  <c r="AH1073" i="42" s="1" a="1"/>
  <c r="AH1073" i="42" s="1"/>
  <c r="Z1074" i="42"/>
  <c r="AA1074" i="42" s="1"/>
  <c r="AB1074" i="42"/>
  <c r="AC1074" i="42" s="1"/>
  <c r="AD1074" i="42"/>
  <c r="AH1074" i="42" s="1" a="1"/>
  <c r="AH1074" i="42" s="1"/>
  <c r="Z1075" i="42"/>
  <c r="AA1075" i="42" s="1"/>
  <c r="AB1075" i="42"/>
  <c r="AC1075" i="42" s="1"/>
  <c r="AD1075" i="42"/>
  <c r="AH1075" i="42" s="1" a="1"/>
  <c r="AH1075" i="42" s="1"/>
  <c r="Z1076" i="42"/>
  <c r="AA1076" i="42" s="1"/>
  <c r="AB1076" i="42"/>
  <c r="AC1076" i="42" s="1"/>
  <c r="AD1076" i="42"/>
  <c r="AH1076" i="42" s="1" a="1"/>
  <c r="AH1076" i="42" s="1"/>
  <c r="Z1077" i="42"/>
  <c r="AA1077" i="42" s="1"/>
  <c r="AB1077" i="42"/>
  <c r="AC1077" i="42" s="1"/>
  <c r="AD1077" i="42"/>
  <c r="AH1077" i="42" s="1" a="1"/>
  <c r="AH1077" i="42" s="1"/>
  <c r="Z1078" i="42"/>
  <c r="AA1078" i="42" s="1"/>
  <c r="AB1078" i="42"/>
  <c r="AC1078" i="42" s="1"/>
  <c r="AD1078" i="42"/>
  <c r="AH1078" i="42" s="1" a="1"/>
  <c r="AH1078" i="42" s="1"/>
  <c r="Z1079" i="42"/>
  <c r="AA1079" i="42" s="1"/>
  <c r="AB1079" i="42"/>
  <c r="AC1079" i="42" s="1"/>
  <c r="AD1079" i="42"/>
  <c r="AH1079" i="42" s="1" a="1"/>
  <c r="AH1079" i="42" s="1"/>
  <c r="Z1080" i="42"/>
  <c r="AA1080" i="42" s="1"/>
  <c r="AB1080" i="42"/>
  <c r="AC1080" i="42" s="1"/>
  <c r="AD1080" i="42"/>
  <c r="AH1080" i="42" s="1" a="1"/>
  <c r="AH1080" i="42" s="1"/>
  <c r="Z1081" i="42"/>
  <c r="AA1081" i="42" s="1"/>
  <c r="AB1081" i="42"/>
  <c r="AC1081" i="42" s="1"/>
  <c r="AD1081" i="42"/>
  <c r="AH1081" i="42" s="1" a="1"/>
  <c r="AH1081" i="42" s="1"/>
  <c r="Z1082" i="42"/>
  <c r="AA1082" i="42" s="1"/>
  <c r="AB1082" i="42"/>
  <c r="AC1082" i="42" s="1"/>
  <c r="AD1082" i="42"/>
  <c r="AH1082" i="42" s="1" a="1"/>
  <c r="AH1082" i="42" s="1"/>
  <c r="Z1083" i="42"/>
  <c r="AA1083" i="42" s="1"/>
  <c r="AB1083" i="42"/>
  <c r="AC1083" i="42" s="1"/>
  <c r="AD1083" i="42"/>
  <c r="AH1083" i="42" s="1" a="1"/>
  <c r="AH1083" i="42" s="1"/>
  <c r="Z1084" i="42"/>
  <c r="AA1084" i="42" s="1"/>
  <c r="AB1084" i="42"/>
  <c r="AC1084" i="42" s="1"/>
  <c r="AD1084" i="42"/>
  <c r="AH1084" i="42" s="1" a="1"/>
  <c r="AH1084" i="42" s="1"/>
  <c r="Z1085" i="42"/>
  <c r="AA1085" i="42" s="1"/>
  <c r="AB1085" i="42"/>
  <c r="AC1085" i="42" s="1"/>
  <c r="AD1085" i="42"/>
  <c r="AH1085" i="42" s="1" a="1"/>
  <c r="AH1085" i="42" s="1"/>
  <c r="Z1086" i="42"/>
  <c r="AA1086" i="42" s="1"/>
  <c r="AB1086" i="42"/>
  <c r="AC1086" i="42" s="1"/>
  <c r="AD1086" i="42"/>
  <c r="AH1086" i="42" s="1" a="1"/>
  <c r="AH1086" i="42" s="1"/>
  <c r="Z1087" i="42"/>
  <c r="AA1087" i="42" s="1"/>
  <c r="AB1087" i="42"/>
  <c r="AC1087" i="42" s="1"/>
  <c r="AD1087" i="42"/>
  <c r="AH1087" i="42" s="1" a="1"/>
  <c r="AH1087" i="42" s="1"/>
  <c r="Z1088" i="42"/>
  <c r="AA1088" i="42" s="1"/>
  <c r="AB1088" i="42"/>
  <c r="AC1088" i="42" s="1"/>
  <c r="AD1088" i="42"/>
  <c r="AH1088" i="42" s="1" a="1"/>
  <c r="AH1088" i="42" s="1"/>
  <c r="Z1089" i="42"/>
  <c r="AA1089" i="42" s="1"/>
  <c r="AB1089" i="42"/>
  <c r="AC1089" i="42" s="1"/>
  <c r="AD1089" i="42"/>
  <c r="AH1089" i="42" s="1" a="1"/>
  <c r="AH1089" i="42" s="1"/>
  <c r="Z1090" i="42"/>
  <c r="AA1090" i="42" s="1"/>
  <c r="AB1090" i="42"/>
  <c r="AC1090" i="42" s="1"/>
  <c r="AD1090" i="42"/>
  <c r="AH1090" i="42" s="1" a="1"/>
  <c r="AH1090" i="42" s="1"/>
  <c r="Z1091" i="42"/>
  <c r="AA1091" i="42" s="1"/>
  <c r="AB1091" i="42"/>
  <c r="AC1091" i="42" s="1"/>
  <c r="AD1091" i="42"/>
  <c r="AH1091" i="42" s="1" a="1"/>
  <c r="AH1091" i="42" s="1"/>
  <c r="Z1092" i="42"/>
  <c r="AA1092" i="42" s="1"/>
  <c r="AB1092" i="42"/>
  <c r="AC1092" i="42" s="1"/>
  <c r="AD1092" i="42"/>
  <c r="AH1092" i="42" s="1" a="1"/>
  <c r="AH1092" i="42" s="1"/>
  <c r="Z1093" i="42"/>
  <c r="AA1093" i="42" s="1"/>
  <c r="AB1093" i="42"/>
  <c r="AC1093" i="42" s="1"/>
  <c r="AD1093" i="42"/>
  <c r="AH1093" i="42" s="1" a="1"/>
  <c r="AH1093" i="42" s="1"/>
  <c r="Z1094" i="42"/>
  <c r="AA1094" i="42" s="1"/>
  <c r="AB1094" i="42"/>
  <c r="AC1094" i="42" s="1"/>
  <c r="AD1094" i="42"/>
  <c r="AH1094" i="42" s="1" a="1"/>
  <c r="AH1094" i="42" s="1"/>
  <c r="Z1095" i="42"/>
  <c r="AA1095" i="42" s="1"/>
  <c r="AB1095" i="42"/>
  <c r="AC1095" i="42" s="1"/>
  <c r="AD1095" i="42"/>
  <c r="AH1095" i="42" s="1" a="1"/>
  <c r="AH1095" i="42" s="1"/>
  <c r="Z1096" i="42"/>
  <c r="AA1096" i="42" s="1"/>
  <c r="AB1096" i="42"/>
  <c r="AC1096" i="42" s="1"/>
  <c r="AD1096" i="42"/>
  <c r="AH1096" i="42" s="1" a="1"/>
  <c r="AH1096" i="42" s="1"/>
  <c r="Z1097" i="42"/>
  <c r="AA1097" i="42" s="1"/>
  <c r="AB1097" i="42"/>
  <c r="AC1097" i="42" s="1"/>
  <c r="AD1097" i="42"/>
  <c r="AH1097" i="42" s="1" a="1"/>
  <c r="AH1097" i="42" s="1"/>
  <c r="Z1098" i="42"/>
  <c r="AA1098" i="42" s="1"/>
  <c r="AB1098" i="42"/>
  <c r="AC1098" i="42" s="1"/>
  <c r="AD1098" i="42"/>
  <c r="AH1098" i="42" s="1" a="1"/>
  <c r="AH1098" i="42" s="1"/>
  <c r="Z1099" i="42"/>
  <c r="AA1099" i="42" s="1"/>
  <c r="AB1099" i="42"/>
  <c r="AC1099" i="42" s="1"/>
  <c r="AD1099" i="42"/>
  <c r="AH1099" i="42" s="1" a="1"/>
  <c r="AH1099" i="42" s="1"/>
  <c r="Z1100" i="42"/>
  <c r="AA1100" i="42" s="1"/>
  <c r="AB1100" i="42"/>
  <c r="AC1100" i="42" s="1"/>
  <c r="AD1100" i="42"/>
  <c r="AH1100" i="42" s="1" a="1"/>
  <c r="AH1100" i="42" s="1"/>
  <c r="Z1101" i="42"/>
  <c r="AA1101" i="42" s="1"/>
  <c r="AB1101" i="42"/>
  <c r="AC1101" i="42" s="1"/>
  <c r="AD1101" i="42"/>
  <c r="AH1101" i="42" s="1" a="1"/>
  <c r="AH1101" i="42" s="1"/>
  <c r="Z1102" i="42"/>
  <c r="AA1102" i="42" s="1"/>
  <c r="AB1102" i="42"/>
  <c r="AC1102" i="42" s="1"/>
  <c r="AD1102" i="42"/>
  <c r="AH1102" i="42" s="1" a="1"/>
  <c r="AH1102" i="42" s="1"/>
  <c r="Z1103" i="42"/>
  <c r="AA1103" i="42" s="1"/>
  <c r="AB1103" i="42"/>
  <c r="AC1103" i="42" s="1"/>
  <c r="AD1103" i="42"/>
  <c r="AH1103" i="42" s="1" a="1"/>
  <c r="AH1103" i="42" s="1"/>
  <c r="Z1104" i="42"/>
  <c r="AA1104" i="42" s="1"/>
  <c r="AB1104" i="42"/>
  <c r="AC1104" i="42" s="1"/>
  <c r="AD1104" i="42"/>
  <c r="AH1104" i="42" s="1" a="1"/>
  <c r="AH1104" i="42" s="1"/>
  <c r="Z1105" i="42"/>
  <c r="AA1105" i="42" s="1"/>
  <c r="AB1105" i="42"/>
  <c r="AC1105" i="42" s="1"/>
  <c r="AD1105" i="42"/>
  <c r="AH1105" i="42" s="1" a="1"/>
  <c r="AH1105" i="42" s="1"/>
  <c r="Z1106" i="42"/>
  <c r="AA1106" i="42" s="1"/>
  <c r="AB1106" i="42"/>
  <c r="AC1106" i="42" s="1"/>
  <c r="AD1106" i="42"/>
  <c r="AH1106" i="42" s="1" a="1"/>
  <c r="AH1106" i="42" s="1"/>
  <c r="Z1107" i="42"/>
  <c r="AA1107" i="42" s="1"/>
  <c r="AB1107" i="42"/>
  <c r="AC1107" i="42" s="1"/>
  <c r="AD1107" i="42"/>
  <c r="AH1107" i="42" s="1" a="1"/>
  <c r="AH1107" i="42" s="1"/>
  <c r="Z1108" i="42"/>
  <c r="AA1108" i="42" s="1"/>
  <c r="AB1108" i="42"/>
  <c r="AC1108" i="42" s="1"/>
  <c r="AD1108" i="42"/>
  <c r="AH1108" i="42" s="1" a="1"/>
  <c r="AH1108" i="42" s="1"/>
  <c r="Z1109" i="42"/>
  <c r="AA1109" i="42" s="1"/>
  <c r="AB1109" i="42"/>
  <c r="AC1109" i="42" s="1"/>
  <c r="AD1109" i="42"/>
  <c r="AH1109" i="42" s="1" a="1"/>
  <c r="AH1109" i="42" s="1"/>
  <c r="Z1110" i="42"/>
  <c r="AA1110" i="42" s="1"/>
  <c r="AB1110" i="42"/>
  <c r="AC1110" i="42" s="1"/>
  <c r="AD1110" i="42"/>
  <c r="AH1110" i="42" s="1" a="1"/>
  <c r="AH1110" i="42" s="1"/>
  <c r="Z1111" i="42"/>
  <c r="AA1111" i="42" s="1"/>
  <c r="AB1111" i="42"/>
  <c r="AC1111" i="42" s="1"/>
  <c r="AD1111" i="42"/>
  <c r="AH1111" i="42" s="1" a="1"/>
  <c r="AH1111" i="42" s="1"/>
  <c r="Z1112" i="42"/>
  <c r="AA1112" i="42" s="1"/>
  <c r="AB1112" i="42"/>
  <c r="AC1112" i="42" s="1"/>
  <c r="AD1112" i="42"/>
  <c r="AH1112" i="42" s="1" a="1"/>
  <c r="AH1112" i="42" s="1"/>
  <c r="Z1113" i="42"/>
  <c r="AA1113" i="42" s="1"/>
  <c r="AB1113" i="42"/>
  <c r="AC1113" i="42" s="1"/>
  <c r="AD1113" i="42"/>
  <c r="AH1113" i="42" s="1" a="1"/>
  <c r="AH1113" i="42" s="1"/>
  <c r="Z1114" i="42"/>
  <c r="AA1114" i="42" s="1"/>
  <c r="AB1114" i="42"/>
  <c r="AC1114" i="42" s="1"/>
  <c r="AD1114" i="42"/>
  <c r="AH1114" i="42" s="1" a="1"/>
  <c r="AH1114" i="42" s="1"/>
  <c r="Z1115" i="42"/>
  <c r="AA1115" i="42" s="1"/>
  <c r="AB1115" i="42"/>
  <c r="AC1115" i="42" s="1"/>
  <c r="AD1115" i="42"/>
  <c r="AH1115" i="42" s="1" a="1"/>
  <c r="AH1115" i="42" s="1"/>
  <c r="Z1116" i="42"/>
  <c r="AA1116" i="42" s="1"/>
  <c r="AB1116" i="42"/>
  <c r="AC1116" i="42" s="1"/>
  <c r="AD1116" i="42"/>
  <c r="AH1116" i="42" s="1" a="1"/>
  <c r="AH1116" i="42" s="1"/>
  <c r="Z1117" i="42"/>
  <c r="AA1117" i="42" s="1"/>
  <c r="AB1117" i="42"/>
  <c r="AC1117" i="42" s="1"/>
  <c r="AD1117" i="42"/>
  <c r="AH1117" i="42" s="1" a="1"/>
  <c r="AH1117" i="42" s="1"/>
  <c r="Z1118" i="42"/>
  <c r="AA1118" i="42" s="1"/>
  <c r="AB1118" i="42"/>
  <c r="AC1118" i="42" s="1"/>
  <c r="AD1118" i="42"/>
  <c r="AH1118" i="42" s="1" a="1"/>
  <c r="AH1118" i="42" s="1"/>
  <c r="Z1119" i="42"/>
  <c r="AA1119" i="42" s="1"/>
  <c r="AB1119" i="42"/>
  <c r="AC1119" i="42" s="1"/>
  <c r="AD1119" i="42"/>
  <c r="AH1119" i="42" s="1" a="1"/>
  <c r="AH1119" i="42" s="1"/>
  <c r="Z1120" i="42"/>
  <c r="AA1120" i="42" s="1"/>
  <c r="AB1120" i="42"/>
  <c r="AC1120" i="42" s="1"/>
  <c r="AD1120" i="42"/>
  <c r="AH1120" i="42" s="1" a="1"/>
  <c r="AH1120" i="42" s="1"/>
  <c r="Z1121" i="42"/>
  <c r="AA1121" i="42" s="1"/>
  <c r="AB1121" i="42"/>
  <c r="AC1121" i="42" s="1"/>
  <c r="AD1121" i="42"/>
  <c r="AH1121" i="42" s="1" a="1"/>
  <c r="AH1121" i="42" s="1"/>
  <c r="Z1122" i="42"/>
  <c r="AA1122" i="42" s="1"/>
  <c r="AB1122" i="42"/>
  <c r="AC1122" i="42" s="1"/>
  <c r="AD1122" i="42"/>
  <c r="AH1122" i="42" s="1" a="1"/>
  <c r="AH1122" i="42" s="1"/>
  <c r="Z1123" i="42"/>
  <c r="AA1123" i="42" s="1"/>
  <c r="AB1123" i="42"/>
  <c r="AC1123" i="42" s="1"/>
  <c r="AD1123" i="42"/>
  <c r="AH1123" i="42" s="1" a="1"/>
  <c r="AH1123" i="42" s="1"/>
  <c r="Z1124" i="42"/>
  <c r="AA1124" i="42" s="1"/>
  <c r="AB1124" i="42"/>
  <c r="AC1124" i="42" s="1"/>
  <c r="AD1124" i="42"/>
  <c r="AH1124" i="42" s="1" a="1"/>
  <c r="AH1124" i="42" s="1"/>
  <c r="Z1125" i="42"/>
  <c r="AA1125" i="42" s="1"/>
  <c r="AB1125" i="42"/>
  <c r="AC1125" i="42" s="1"/>
  <c r="AD1125" i="42"/>
  <c r="AH1125" i="42" s="1" a="1"/>
  <c r="AH1125" i="42" s="1"/>
  <c r="Z1126" i="42"/>
  <c r="AA1126" i="42" s="1"/>
  <c r="AB1126" i="42"/>
  <c r="AC1126" i="42" s="1"/>
  <c r="AD1126" i="42"/>
  <c r="AH1126" i="42" s="1" a="1"/>
  <c r="AH1126" i="42" s="1"/>
  <c r="Z1127" i="42"/>
  <c r="AA1127" i="42" s="1"/>
  <c r="AB1127" i="42"/>
  <c r="AC1127" i="42" s="1"/>
  <c r="AD1127" i="42"/>
  <c r="AH1127" i="42" s="1" a="1"/>
  <c r="AH1127" i="42" s="1"/>
  <c r="Z1128" i="42"/>
  <c r="AA1128" i="42" s="1"/>
  <c r="AB1128" i="42"/>
  <c r="AC1128" i="42" s="1"/>
  <c r="AD1128" i="42"/>
  <c r="AH1128" i="42" s="1" a="1"/>
  <c r="AH1128" i="42" s="1"/>
  <c r="Z1129" i="42"/>
  <c r="AA1129" i="42" s="1"/>
  <c r="AB1129" i="42"/>
  <c r="AC1129" i="42" s="1"/>
  <c r="AD1129" i="42"/>
  <c r="AH1129" i="42" s="1" a="1"/>
  <c r="AH1129" i="42" s="1"/>
  <c r="Z1130" i="42"/>
  <c r="AA1130" i="42" s="1"/>
  <c r="AB1130" i="42"/>
  <c r="AC1130" i="42" s="1"/>
  <c r="AD1130" i="42"/>
  <c r="AH1130" i="42" s="1" a="1"/>
  <c r="AH1130" i="42" s="1"/>
  <c r="Z1131" i="42"/>
  <c r="AA1131" i="42" s="1"/>
  <c r="AB1131" i="42"/>
  <c r="AC1131" i="42" s="1"/>
  <c r="AD1131" i="42"/>
  <c r="AH1131" i="42" s="1" a="1"/>
  <c r="AH1131" i="42" s="1"/>
  <c r="Z1132" i="42"/>
  <c r="AA1132" i="42" s="1"/>
  <c r="AB1132" i="42"/>
  <c r="AC1132" i="42" s="1"/>
  <c r="AD1132" i="42"/>
  <c r="AH1132" i="42" s="1" a="1"/>
  <c r="AH1132" i="42" s="1"/>
  <c r="Z1133" i="42"/>
  <c r="AA1133" i="42" s="1"/>
  <c r="AB1133" i="42"/>
  <c r="AC1133" i="42" s="1"/>
  <c r="AD1133" i="42"/>
  <c r="AH1133" i="42" s="1" a="1"/>
  <c r="AH1133" i="42" s="1"/>
  <c r="Z1134" i="42"/>
  <c r="AA1134" i="42" s="1"/>
  <c r="AB1134" i="42"/>
  <c r="AC1134" i="42" s="1"/>
  <c r="AD1134" i="42"/>
  <c r="AH1134" i="42" s="1" a="1"/>
  <c r="AH1134" i="42" s="1"/>
  <c r="Z1135" i="42"/>
  <c r="AA1135" i="42" s="1"/>
  <c r="AB1135" i="42"/>
  <c r="AC1135" i="42" s="1"/>
  <c r="AD1135" i="42"/>
  <c r="AH1135" i="42" s="1" a="1"/>
  <c r="AH1135" i="42" s="1"/>
  <c r="Z1136" i="42"/>
  <c r="AA1136" i="42" s="1"/>
  <c r="AB1136" i="42"/>
  <c r="AC1136" i="42" s="1"/>
  <c r="AD1136" i="42"/>
  <c r="AH1136" i="42" s="1" a="1"/>
  <c r="AH1136" i="42" s="1"/>
  <c r="Z1137" i="42"/>
  <c r="AA1137" i="42" s="1"/>
  <c r="AB1137" i="42"/>
  <c r="AC1137" i="42" s="1"/>
  <c r="AD1137" i="42"/>
  <c r="AH1137" i="42" s="1" a="1"/>
  <c r="AH1137" i="42" s="1"/>
  <c r="Z1138" i="42"/>
  <c r="AA1138" i="42" s="1"/>
  <c r="AB1138" i="42"/>
  <c r="AC1138" i="42" s="1"/>
  <c r="AD1138" i="42"/>
  <c r="AH1138" i="42" s="1" a="1"/>
  <c r="AH1138" i="42" s="1"/>
  <c r="Z1139" i="42"/>
  <c r="AA1139" i="42" s="1"/>
  <c r="AB1139" i="42"/>
  <c r="AC1139" i="42" s="1"/>
  <c r="AD1139" i="42"/>
  <c r="AH1139" i="42" s="1" a="1"/>
  <c r="AH1139" i="42" s="1"/>
  <c r="Z1140" i="42"/>
  <c r="AA1140" i="42" s="1"/>
  <c r="AB1140" i="42"/>
  <c r="AC1140" i="42" s="1"/>
  <c r="AD1140" i="42"/>
  <c r="AH1140" i="42" s="1" a="1"/>
  <c r="AH1140" i="42" s="1"/>
  <c r="Z1141" i="42"/>
  <c r="AA1141" i="42" s="1"/>
  <c r="AB1141" i="42"/>
  <c r="AC1141" i="42" s="1"/>
  <c r="AD1141" i="42"/>
  <c r="AH1141" i="42" s="1" a="1"/>
  <c r="AH1141" i="42" s="1"/>
  <c r="Z1142" i="42"/>
  <c r="AA1142" i="42" s="1"/>
  <c r="AB1142" i="42"/>
  <c r="AC1142" i="42" s="1"/>
  <c r="AD1142" i="42"/>
  <c r="AH1142" i="42" s="1" a="1"/>
  <c r="AH1142" i="42" s="1"/>
  <c r="Z1143" i="42"/>
  <c r="AA1143" i="42" s="1"/>
  <c r="AB1143" i="42"/>
  <c r="AC1143" i="42" s="1"/>
  <c r="AD1143" i="42"/>
  <c r="AH1143" i="42" s="1" a="1"/>
  <c r="AH1143" i="42" s="1"/>
  <c r="Z1144" i="42"/>
  <c r="AA1144" i="42" s="1"/>
  <c r="AB1144" i="42"/>
  <c r="AC1144" i="42" s="1"/>
  <c r="AD1144" i="42"/>
  <c r="AH1144" i="42" s="1" a="1"/>
  <c r="AH1144" i="42" s="1"/>
  <c r="Z1145" i="42"/>
  <c r="AA1145" i="42" s="1"/>
  <c r="AB1145" i="42"/>
  <c r="AC1145" i="42" s="1"/>
  <c r="AD1145" i="42"/>
  <c r="AH1145" i="42" s="1" a="1"/>
  <c r="AH1145" i="42" s="1"/>
  <c r="Z1146" i="42"/>
  <c r="AA1146" i="42" s="1"/>
  <c r="AB1146" i="42"/>
  <c r="AC1146" i="42" s="1"/>
  <c r="AD1146" i="42"/>
  <c r="AH1146" i="42" s="1" a="1"/>
  <c r="AH1146" i="42" s="1"/>
  <c r="Z1147" i="42"/>
  <c r="AA1147" i="42" s="1"/>
  <c r="AB1147" i="42"/>
  <c r="AC1147" i="42" s="1"/>
  <c r="AD1147" i="42"/>
  <c r="AH1147" i="42" s="1" a="1"/>
  <c r="AH1147" i="42" s="1"/>
  <c r="Z1148" i="42"/>
  <c r="AA1148" i="42" s="1"/>
  <c r="AB1148" i="42"/>
  <c r="AC1148" i="42" s="1"/>
  <c r="AD1148" i="42"/>
  <c r="AH1148" i="42" s="1" a="1"/>
  <c r="AH1148" i="42" s="1"/>
  <c r="Z1149" i="42"/>
  <c r="AA1149" i="42" s="1"/>
  <c r="AB1149" i="42"/>
  <c r="AC1149" i="42" s="1"/>
  <c r="AD1149" i="42"/>
  <c r="AH1149" i="42" s="1" a="1"/>
  <c r="AH1149" i="42" s="1"/>
  <c r="Z1150" i="42"/>
  <c r="AA1150" i="42" s="1"/>
  <c r="AB1150" i="42"/>
  <c r="AC1150" i="42" s="1"/>
  <c r="AD1150" i="42"/>
  <c r="AH1150" i="42" s="1" a="1"/>
  <c r="AH1150" i="42" s="1"/>
  <c r="Z1151" i="42"/>
  <c r="AA1151" i="42" s="1"/>
  <c r="AB1151" i="42"/>
  <c r="AC1151" i="42" s="1"/>
  <c r="AD1151" i="42"/>
  <c r="AH1151" i="42" s="1" a="1"/>
  <c r="AH1151" i="42" s="1"/>
  <c r="Z1152" i="42"/>
  <c r="AA1152" i="42" s="1"/>
  <c r="AB1152" i="42"/>
  <c r="AC1152" i="42" s="1"/>
  <c r="AD1152" i="42"/>
  <c r="AH1152" i="42" s="1" a="1"/>
  <c r="AH1152" i="42" s="1"/>
  <c r="Z1153" i="42"/>
  <c r="AA1153" i="42" s="1"/>
  <c r="AB1153" i="42"/>
  <c r="AC1153" i="42" s="1"/>
  <c r="AD1153" i="42"/>
  <c r="AH1153" i="42" s="1" a="1"/>
  <c r="AH1153" i="42" s="1"/>
  <c r="Z1154" i="42"/>
  <c r="AA1154" i="42" s="1"/>
  <c r="AB1154" i="42"/>
  <c r="AC1154" i="42" s="1"/>
  <c r="AD1154" i="42"/>
  <c r="AH1154" i="42" s="1" a="1"/>
  <c r="AH1154" i="42" s="1"/>
  <c r="Z1155" i="42"/>
  <c r="AA1155" i="42" s="1"/>
  <c r="AB1155" i="42"/>
  <c r="AC1155" i="42" s="1"/>
  <c r="AD1155" i="42"/>
  <c r="AH1155" i="42" s="1" a="1"/>
  <c r="AH1155" i="42" s="1"/>
  <c r="Z1156" i="42"/>
  <c r="AA1156" i="42" s="1"/>
  <c r="AB1156" i="42"/>
  <c r="AC1156" i="42" s="1"/>
  <c r="AD1156" i="42"/>
  <c r="AH1156" i="42" s="1" a="1"/>
  <c r="AH1156" i="42" s="1"/>
  <c r="Z1157" i="42"/>
  <c r="AA1157" i="42" s="1"/>
  <c r="AB1157" i="42"/>
  <c r="AC1157" i="42" s="1"/>
  <c r="AD1157" i="42"/>
  <c r="AH1157" i="42" s="1" a="1"/>
  <c r="AH1157" i="42" s="1"/>
  <c r="Z1158" i="42"/>
  <c r="AA1158" i="42" s="1"/>
  <c r="AB1158" i="42"/>
  <c r="AC1158" i="42" s="1"/>
  <c r="AD1158" i="42"/>
  <c r="AH1158" i="42" s="1" a="1"/>
  <c r="AH1158" i="42" s="1"/>
  <c r="Z1159" i="42"/>
  <c r="AA1159" i="42" s="1"/>
  <c r="AB1159" i="42"/>
  <c r="AC1159" i="42" s="1"/>
  <c r="AD1159" i="42"/>
  <c r="AH1159" i="42" s="1" a="1"/>
  <c r="AH1159" i="42" s="1"/>
  <c r="Z1160" i="42"/>
  <c r="AA1160" i="42" s="1"/>
  <c r="AB1160" i="42"/>
  <c r="AC1160" i="42" s="1"/>
  <c r="AD1160" i="42"/>
  <c r="AH1160" i="42" s="1" a="1"/>
  <c r="AH1160" i="42" s="1"/>
  <c r="Z1161" i="42"/>
  <c r="AA1161" i="42" s="1"/>
  <c r="AB1161" i="42"/>
  <c r="AC1161" i="42" s="1"/>
  <c r="AD1161" i="42"/>
  <c r="AH1161" i="42" s="1" a="1"/>
  <c r="AH1161" i="42" s="1"/>
  <c r="Z1162" i="42"/>
  <c r="AA1162" i="42" s="1"/>
  <c r="AB1162" i="42"/>
  <c r="AC1162" i="42" s="1"/>
  <c r="AD1162" i="42"/>
  <c r="AH1162" i="42" s="1" a="1"/>
  <c r="AH1162" i="42" s="1"/>
  <c r="Z1163" i="42"/>
  <c r="AA1163" i="42" s="1"/>
  <c r="AB1163" i="42"/>
  <c r="AC1163" i="42" s="1"/>
  <c r="AD1163" i="42"/>
  <c r="AH1163" i="42" s="1" a="1"/>
  <c r="AH1163" i="42" s="1"/>
  <c r="Z1164" i="42"/>
  <c r="AA1164" i="42" s="1"/>
  <c r="AB1164" i="42"/>
  <c r="AC1164" i="42" s="1"/>
  <c r="AD1164" i="42"/>
  <c r="AH1164" i="42" s="1" a="1"/>
  <c r="AH1164" i="42" s="1"/>
  <c r="Z1165" i="42"/>
  <c r="AA1165" i="42" s="1"/>
  <c r="AB1165" i="42"/>
  <c r="AC1165" i="42" s="1"/>
  <c r="AD1165" i="42"/>
  <c r="AH1165" i="42" s="1" a="1"/>
  <c r="AH1165" i="42" s="1"/>
  <c r="Z1166" i="42"/>
  <c r="AA1166" i="42" s="1"/>
  <c r="AB1166" i="42"/>
  <c r="AC1166" i="42" s="1"/>
  <c r="AD1166" i="42"/>
  <c r="AH1166" i="42" s="1" a="1"/>
  <c r="AH1166" i="42" s="1"/>
  <c r="Z1167" i="42"/>
  <c r="AA1167" i="42" s="1"/>
  <c r="AB1167" i="42"/>
  <c r="AC1167" i="42" s="1"/>
  <c r="AD1167" i="42"/>
  <c r="AH1167" i="42" s="1" a="1"/>
  <c r="AH1167" i="42" s="1"/>
  <c r="Z1168" i="42"/>
  <c r="AA1168" i="42" s="1"/>
  <c r="AB1168" i="42"/>
  <c r="AC1168" i="42" s="1"/>
  <c r="AD1168" i="42"/>
  <c r="AH1168" i="42" s="1" a="1"/>
  <c r="AH1168" i="42" s="1"/>
  <c r="Z1169" i="42"/>
  <c r="AA1169" i="42" s="1"/>
  <c r="AB1169" i="42"/>
  <c r="AC1169" i="42" s="1"/>
  <c r="AD1169" i="42"/>
  <c r="AH1169" i="42" s="1" a="1"/>
  <c r="AH1169" i="42" s="1"/>
  <c r="Z1170" i="42"/>
  <c r="AA1170" i="42" s="1"/>
  <c r="AB1170" i="42"/>
  <c r="AC1170" i="42" s="1"/>
  <c r="AD1170" i="42"/>
  <c r="AH1170" i="42" s="1" a="1"/>
  <c r="AH1170" i="42" s="1"/>
  <c r="Z1171" i="42"/>
  <c r="AA1171" i="42" s="1"/>
  <c r="AB1171" i="42"/>
  <c r="AC1171" i="42" s="1"/>
  <c r="AD1171" i="42"/>
  <c r="AH1171" i="42" s="1" a="1"/>
  <c r="AH1171" i="42" s="1"/>
  <c r="Z1172" i="42"/>
  <c r="AA1172" i="42" s="1"/>
  <c r="AB1172" i="42"/>
  <c r="AC1172" i="42" s="1"/>
  <c r="AD1172" i="42"/>
  <c r="AH1172" i="42" s="1" a="1"/>
  <c r="AH1172" i="42" s="1"/>
  <c r="Z1173" i="42"/>
  <c r="AA1173" i="42" s="1"/>
  <c r="AB1173" i="42"/>
  <c r="AC1173" i="42" s="1"/>
  <c r="AD1173" i="42"/>
  <c r="AH1173" i="42" s="1" a="1"/>
  <c r="AH1173" i="42" s="1"/>
  <c r="Z1174" i="42"/>
  <c r="AA1174" i="42" s="1"/>
  <c r="AB1174" i="42"/>
  <c r="AC1174" i="42" s="1"/>
  <c r="AD1174" i="42"/>
  <c r="AH1174" i="42" s="1" a="1"/>
  <c r="AH1174" i="42" s="1"/>
  <c r="Z1175" i="42"/>
  <c r="AA1175" i="42" s="1"/>
  <c r="AB1175" i="42"/>
  <c r="AC1175" i="42" s="1"/>
  <c r="AD1175" i="42"/>
  <c r="AH1175" i="42" s="1" a="1"/>
  <c r="AH1175" i="42" s="1"/>
  <c r="Z1176" i="42"/>
  <c r="AA1176" i="42" s="1"/>
  <c r="AB1176" i="42"/>
  <c r="AC1176" i="42" s="1"/>
  <c r="AD1176" i="42"/>
  <c r="AH1176" i="42" s="1" a="1"/>
  <c r="AH1176" i="42" s="1"/>
  <c r="Z1177" i="42"/>
  <c r="AA1177" i="42" s="1"/>
  <c r="AB1177" i="42"/>
  <c r="AC1177" i="42" s="1"/>
  <c r="AD1177" i="42"/>
  <c r="AH1177" i="42" s="1" a="1"/>
  <c r="AH1177" i="42" s="1"/>
  <c r="Z1178" i="42"/>
  <c r="AA1178" i="42" s="1"/>
  <c r="AB1178" i="42"/>
  <c r="AC1178" i="42" s="1"/>
  <c r="AD1178" i="42"/>
  <c r="AH1178" i="42" s="1" a="1"/>
  <c r="AH1178" i="42" s="1"/>
  <c r="Z1179" i="42"/>
  <c r="AA1179" i="42" s="1"/>
  <c r="AB1179" i="42"/>
  <c r="AC1179" i="42" s="1"/>
  <c r="AD1179" i="42"/>
  <c r="AH1179" i="42" s="1" a="1"/>
  <c r="AH1179" i="42" s="1"/>
  <c r="Z1180" i="42"/>
  <c r="AA1180" i="42" s="1"/>
  <c r="AB1180" i="42"/>
  <c r="AC1180" i="42" s="1"/>
  <c r="AD1180" i="42"/>
  <c r="AH1180" i="42" s="1" a="1"/>
  <c r="AH1180" i="42" s="1"/>
  <c r="Z1181" i="42"/>
  <c r="AA1181" i="42" s="1"/>
  <c r="AB1181" i="42"/>
  <c r="AC1181" i="42" s="1"/>
  <c r="AD1181" i="42"/>
  <c r="AH1181" i="42" s="1" a="1"/>
  <c r="AH1181" i="42" s="1"/>
  <c r="Z1182" i="42"/>
  <c r="AA1182" i="42" s="1"/>
  <c r="AB1182" i="42"/>
  <c r="AC1182" i="42" s="1"/>
  <c r="AD1182" i="42"/>
  <c r="AH1182" i="42" s="1" a="1"/>
  <c r="AH1182" i="42" s="1"/>
  <c r="Z1183" i="42"/>
  <c r="AA1183" i="42" s="1"/>
  <c r="AB1183" i="42"/>
  <c r="AC1183" i="42" s="1"/>
  <c r="AD1183" i="42"/>
  <c r="AH1183" i="42" s="1" a="1"/>
  <c r="AH1183" i="42" s="1"/>
  <c r="Z1184" i="42"/>
  <c r="AA1184" i="42" s="1"/>
  <c r="AB1184" i="42"/>
  <c r="AC1184" i="42" s="1"/>
  <c r="AD1184" i="42"/>
  <c r="AH1184" i="42" s="1" a="1"/>
  <c r="AH1184" i="42" s="1"/>
  <c r="Z1185" i="42"/>
  <c r="AA1185" i="42" s="1"/>
  <c r="AB1185" i="42"/>
  <c r="AC1185" i="42" s="1"/>
  <c r="AD1185" i="42"/>
  <c r="AH1185" i="42" s="1" a="1"/>
  <c r="AH1185" i="42" s="1"/>
  <c r="Z1186" i="42"/>
  <c r="AA1186" i="42" s="1"/>
  <c r="AB1186" i="42"/>
  <c r="AC1186" i="42" s="1"/>
  <c r="AD1186" i="42"/>
  <c r="AH1186" i="42" s="1" a="1"/>
  <c r="AH1186" i="42" s="1"/>
  <c r="Z1187" i="42"/>
  <c r="AA1187" i="42" s="1"/>
  <c r="AB1187" i="42"/>
  <c r="AC1187" i="42" s="1"/>
  <c r="AD1187" i="42"/>
  <c r="AH1187" i="42" s="1" a="1"/>
  <c r="AH1187" i="42" s="1"/>
  <c r="Z1188" i="42"/>
  <c r="AA1188" i="42" s="1"/>
  <c r="AB1188" i="42"/>
  <c r="AC1188" i="42" s="1"/>
  <c r="AD1188" i="42"/>
  <c r="AH1188" i="42" s="1" a="1"/>
  <c r="AH1188" i="42" s="1"/>
  <c r="Z1189" i="42"/>
  <c r="AA1189" i="42" s="1"/>
  <c r="AB1189" i="42"/>
  <c r="AC1189" i="42" s="1"/>
  <c r="AD1189" i="42"/>
  <c r="AH1189" i="42" s="1" a="1"/>
  <c r="AH1189" i="42" s="1"/>
  <c r="Z1190" i="42"/>
  <c r="AA1190" i="42" s="1"/>
  <c r="AB1190" i="42"/>
  <c r="AC1190" i="42" s="1"/>
  <c r="AD1190" i="42"/>
  <c r="AH1190" i="42" s="1" a="1"/>
  <c r="AH1190" i="42" s="1"/>
  <c r="Z1191" i="42"/>
  <c r="AA1191" i="42" s="1"/>
  <c r="AB1191" i="42"/>
  <c r="AC1191" i="42" s="1"/>
  <c r="AD1191" i="42"/>
  <c r="AH1191" i="42" s="1" a="1"/>
  <c r="AH1191" i="42" s="1"/>
  <c r="Z1192" i="42"/>
  <c r="AA1192" i="42" s="1"/>
  <c r="AB1192" i="42"/>
  <c r="AC1192" i="42" s="1"/>
  <c r="AD1192" i="42"/>
  <c r="AH1192" i="42" s="1" a="1"/>
  <c r="AH1192" i="42" s="1"/>
  <c r="Z1193" i="42"/>
  <c r="AA1193" i="42" s="1"/>
  <c r="AB1193" i="42"/>
  <c r="AC1193" i="42" s="1"/>
  <c r="AD1193" i="42"/>
  <c r="AH1193" i="42" s="1" a="1"/>
  <c r="AH1193" i="42" s="1"/>
  <c r="Z1194" i="42"/>
  <c r="AA1194" i="42" s="1"/>
  <c r="AB1194" i="42"/>
  <c r="AC1194" i="42" s="1"/>
  <c r="AD1194" i="42"/>
  <c r="AH1194" i="42" s="1" a="1"/>
  <c r="AH1194" i="42" s="1"/>
  <c r="Z1195" i="42"/>
  <c r="AA1195" i="42" s="1"/>
  <c r="AB1195" i="42"/>
  <c r="AC1195" i="42" s="1"/>
  <c r="AD1195" i="42"/>
  <c r="AH1195" i="42" s="1" a="1"/>
  <c r="AH1195" i="42" s="1"/>
  <c r="Z1196" i="42"/>
  <c r="AA1196" i="42" s="1"/>
  <c r="AB1196" i="42"/>
  <c r="AC1196" i="42" s="1"/>
  <c r="AD1196" i="42"/>
  <c r="AH1196" i="42" s="1" a="1"/>
  <c r="AH1196" i="42" s="1"/>
  <c r="Z1197" i="42"/>
  <c r="AA1197" i="42" s="1"/>
  <c r="AB1197" i="42"/>
  <c r="AC1197" i="42" s="1"/>
  <c r="AD1197" i="42"/>
  <c r="AH1197" i="42" s="1" a="1"/>
  <c r="AH1197" i="42" s="1"/>
  <c r="Z1198" i="42"/>
  <c r="AA1198" i="42" s="1"/>
  <c r="AB1198" i="42"/>
  <c r="AC1198" i="42" s="1"/>
  <c r="AD1198" i="42"/>
  <c r="AH1198" i="42" s="1" a="1"/>
  <c r="AH1198" i="42" s="1"/>
  <c r="Z1199" i="42"/>
  <c r="AA1199" i="42" s="1"/>
  <c r="AB1199" i="42"/>
  <c r="AC1199" i="42" s="1"/>
  <c r="AD1199" i="42"/>
  <c r="AH1199" i="42" s="1" a="1"/>
  <c r="AH1199" i="42" s="1"/>
  <c r="Z1200" i="42"/>
  <c r="AA1200" i="42" s="1"/>
  <c r="AB1200" i="42"/>
  <c r="AC1200" i="42" s="1"/>
  <c r="AD1200" i="42"/>
  <c r="AH1200" i="42" s="1" a="1"/>
  <c r="AH1200" i="42" s="1"/>
  <c r="Z1201" i="42"/>
  <c r="AA1201" i="42" s="1"/>
  <c r="AB1201" i="42"/>
  <c r="AC1201" i="42" s="1"/>
  <c r="AD1201" i="42"/>
  <c r="AH1201" i="42" s="1" a="1"/>
  <c r="AH1201" i="42" s="1"/>
  <c r="Z1202" i="42"/>
  <c r="AA1202" i="42" s="1"/>
  <c r="AB1202" i="42"/>
  <c r="AC1202" i="42" s="1"/>
  <c r="AD1202" i="42"/>
  <c r="AH1202" i="42" s="1" a="1"/>
  <c r="AH1202" i="42" s="1"/>
  <c r="Z1203" i="42"/>
  <c r="AA1203" i="42" s="1"/>
  <c r="AB1203" i="42"/>
  <c r="AC1203" i="42" s="1"/>
  <c r="AD1203" i="42"/>
  <c r="AH1203" i="42" s="1" a="1"/>
  <c r="AH1203" i="42" s="1"/>
  <c r="Z1204" i="42"/>
  <c r="AA1204" i="42" s="1"/>
  <c r="AB1204" i="42"/>
  <c r="AC1204" i="42" s="1"/>
  <c r="AD1204" i="42"/>
  <c r="AH1204" i="42" s="1" a="1"/>
  <c r="AH1204" i="42" s="1"/>
  <c r="Z1205" i="42"/>
  <c r="AA1205" i="42" s="1"/>
  <c r="AB1205" i="42"/>
  <c r="AC1205" i="42" s="1"/>
  <c r="AD1205" i="42"/>
  <c r="AH1205" i="42" s="1" a="1"/>
  <c r="AH1205" i="42" s="1"/>
  <c r="Z1206" i="42"/>
  <c r="AA1206" i="42" s="1"/>
  <c r="AB1206" i="42"/>
  <c r="AC1206" i="42" s="1"/>
  <c r="AD1206" i="42"/>
  <c r="AH1206" i="42" s="1" a="1"/>
  <c r="AH1206" i="42" s="1"/>
  <c r="Z1207" i="42"/>
  <c r="AA1207" i="42" s="1"/>
  <c r="AB1207" i="42"/>
  <c r="AC1207" i="42" s="1"/>
  <c r="AD1207" i="42"/>
  <c r="AH1207" i="42" s="1" a="1"/>
  <c r="AH1207" i="42" s="1"/>
  <c r="Z1208" i="42"/>
  <c r="AA1208" i="42" s="1"/>
  <c r="AB1208" i="42"/>
  <c r="AC1208" i="42" s="1"/>
  <c r="AD1208" i="42"/>
  <c r="AH1208" i="42" s="1" a="1"/>
  <c r="AH1208" i="42" s="1"/>
  <c r="Z1209" i="42"/>
  <c r="AA1209" i="42" s="1"/>
  <c r="AB1209" i="42"/>
  <c r="AC1209" i="42" s="1"/>
  <c r="AD1209" i="42"/>
  <c r="AH1209" i="42" s="1" a="1"/>
  <c r="AH1209" i="42" s="1"/>
  <c r="Z1210" i="42"/>
  <c r="AA1210" i="42" s="1"/>
  <c r="AB1210" i="42"/>
  <c r="AC1210" i="42" s="1"/>
  <c r="AD1210" i="42"/>
  <c r="AH1210" i="42" s="1" a="1"/>
  <c r="AH1210" i="42" s="1"/>
  <c r="Z1211" i="42"/>
  <c r="AA1211" i="42" s="1"/>
  <c r="AB1211" i="42"/>
  <c r="AC1211" i="42" s="1"/>
  <c r="AD1211" i="42"/>
  <c r="AH1211" i="42" s="1" a="1"/>
  <c r="AH1211" i="42" s="1"/>
  <c r="Z1212" i="42"/>
  <c r="AA1212" i="42" s="1"/>
  <c r="AB1212" i="42"/>
  <c r="AC1212" i="42" s="1"/>
  <c r="AD1212" i="42"/>
  <c r="AH1212" i="42" s="1" a="1"/>
  <c r="AH1212" i="42" s="1"/>
  <c r="Z1213" i="42"/>
  <c r="AA1213" i="42" s="1"/>
  <c r="AB1213" i="42"/>
  <c r="AC1213" i="42" s="1"/>
  <c r="AD1213" i="42"/>
  <c r="AH1213" i="42" s="1" a="1"/>
  <c r="AH1213" i="42" s="1"/>
  <c r="Z1214" i="42"/>
  <c r="AA1214" i="42" s="1"/>
  <c r="AB1214" i="42"/>
  <c r="AC1214" i="42" s="1"/>
  <c r="AD1214" i="42"/>
  <c r="AH1214" i="42" s="1" a="1"/>
  <c r="AH1214" i="42" s="1"/>
  <c r="Z1215" i="42"/>
  <c r="AA1215" i="42" s="1"/>
  <c r="AB1215" i="42"/>
  <c r="AC1215" i="42" s="1"/>
  <c r="AD1215" i="42"/>
  <c r="AH1215" i="42" s="1" a="1"/>
  <c r="AH1215" i="42" s="1"/>
  <c r="Z1216" i="42"/>
  <c r="AA1216" i="42" s="1"/>
  <c r="AB1216" i="42"/>
  <c r="AC1216" i="42" s="1"/>
  <c r="AD1216" i="42"/>
  <c r="AH1216" i="42" s="1" a="1"/>
  <c r="AH1216" i="42" s="1"/>
  <c r="Z1217" i="42"/>
  <c r="AA1217" i="42" s="1"/>
  <c r="AB1217" i="42"/>
  <c r="AC1217" i="42" s="1"/>
  <c r="AD1217" i="42"/>
  <c r="AH1217" i="42" s="1" a="1"/>
  <c r="AH1217" i="42" s="1"/>
  <c r="Z1218" i="42"/>
  <c r="AA1218" i="42" s="1"/>
  <c r="AB1218" i="42"/>
  <c r="AC1218" i="42" s="1"/>
  <c r="AD1218" i="42"/>
  <c r="AH1218" i="42" s="1" a="1"/>
  <c r="AH1218" i="42" s="1"/>
  <c r="Z1219" i="42"/>
  <c r="AA1219" i="42" s="1"/>
  <c r="AB1219" i="42"/>
  <c r="AC1219" i="42" s="1"/>
  <c r="AD1219" i="42"/>
  <c r="AH1219" i="42" s="1" a="1"/>
  <c r="AH1219" i="42" s="1"/>
  <c r="Z1220" i="42"/>
  <c r="AA1220" i="42" s="1"/>
  <c r="AB1220" i="42"/>
  <c r="AC1220" i="42" s="1"/>
  <c r="AD1220" i="42"/>
  <c r="AH1220" i="42" s="1" a="1"/>
  <c r="AH1220" i="42" s="1"/>
  <c r="Z1221" i="42"/>
  <c r="AA1221" i="42" s="1"/>
  <c r="AB1221" i="42"/>
  <c r="AC1221" i="42" s="1"/>
  <c r="AD1221" i="42"/>
  <c r="AH1221" i="42" s="1" a="1"/>
  <c r="AH1221" i="42" s="1"/>
  <c r="Z1222" i="42"/>
  <c r="AA1222" i="42" s="1"/>
  <c r="AB1222" i="42"/>
  <c r="AC1222" i="42" s="1"/>
  <c r="AD1222" i="42"/>
  <c r="AH1222" i="42" s="1" a="1"/>
  <c r="AH1222" i="42" s="1"/>
  <c r="Z1223" i="42"/>
  <c r="AA1223" i="42" s="1"/>
  <c r="AB1223" i="42"/>
  <c r="AC1223" i="42" s="1"/>
  <c r="AD1223" i="42"/>
  <c r="AH1223" i="42" s="1" a="1"/>
  <c r="AH1223" i="42" s="1"/>
  <c r="Z1224" i="42"/>
  <c r="AA1224" i="42" s="1"/>
  <c r="AB1224" i="42"/>
  <c r="AC1224" i="42" s="1"/>
  <c r="AD1224" i="42"/>
  <c r="AH1224" i="42" s="1" a="1"/>
  <c r="AH1224" i="42" s="1"/>
  <c r="Z1225" i="42"/>
  <c r="AA1225" i="42" s="1"/>
  <c r="AB1225" i="42"/>
  <c r="AC1225" i="42" s="1"/>
  <c r="AD1225" i="42"/>
  <c r="AH1225" i="42" s="1" a="1"/>
  <c r="AH1225" i="42" s="1"/>
  <c r="Z1226" i="42"/>
  <c r="AA1226" i="42" s="1"/>
  <c r="AB1226" i="42"/>
  <c r="AC1226" i="42" s="1"/>
  <c r="AD1226" i="42"/>
  <c r="AH1226" i="42" s="1" a="1"/>
  <c r="AH1226" i="42" s="1"/>
  <c r="Z1227" i="42"/>
  <c r="AA1227" i="42" s="1"/>
  <c r="AB1227" i="42"/>
  <c r="AC1227" i="42" s="1"/>
  <c r="AD1227" i="42"/>
  <c r="AH1227" i="42" s="1" a="1"/>
  <c r="AH1227" i="42" s="1"/>
  <c r="Z1228" i="42"/>
  <c r="AA1228" i="42" s="1"/>
  <c r="AB1228" i="42"/>
  <c r="AC1228" i="42" s="1"/>
  <c r="AD1228" i="42"/>
  <c r="AH1228" i="42" s="1" a="1"/>
  <c r="AH1228" i="42" s="1"/>
  <c r="Z1229" i="42"/>
  <c r="AA1229" i="42" s="1"/>
  <c r="AB1229" i="42"/>
  <c r="AC1229" i="42" s="1"/>
  <c r="AD1229" i="42"/>
  <c r="AH1229" i="42" s="1" a="1"/>
  <c r="AH1229" i="42" s="1"/>
  <c r="Z1230" i="42"/>
  <c r="AA1230" i="42" s="1"/>
  <c r="AB1230" i="42"/>
  <c r="AC1230" i="42" s="1"/>
  <c r="AD1230" i="42"/>
  <c r="AH1230" i="42" s="1" a="1"/>
  <c r="AH1230" i="42" s="1"/>
  <c r="Z1231" i="42"/>
  <c r="AA1231" i="42" s="1"/>
  <c r="AB1231" i="42"/>
  <c r="AC1231" i="42" s="1"/>
  <c r="AD1231" i="42"/>
  <c r="AH1231" i="42" s="1" a="1"/>
  <c r="AH1231" i="42" s="1"/>
  <c r="Z1232" i="42"/>
  <c r="AA1232" i="42" s="1"/>
  <c r="AB1232" i="42"/>
  <c r="AC1232" i="42" s="1"/>
  <c r="AD1232" i="42"/>
  <c r="AH1232" i="42" s="1" a="1"/>
  <c r="AH1232" i="42" s="1"/>
  <c r="Z1233" i="42"/>
  <c r="AA1233" i="42" s="1"/>
  <c r="AB1233" i="42"/>
  <c r="AC1233" i="42" s="1"/>
  <c r="AD1233" i="42"/>
  <c r="AH1233" i="42" s="1" a="1"/>
  <c r="AH1233" i="42" s="1"/>
  <c r="Z1234" i="42"/>
  <c r="AA1234" i="42" s="1"/>
  <c r="AB1234" i="42"/>
  <c r="AC1234" i="42" s="1"/>
  <c r="AD1234" i="42"/>
  <c r="AH1234" i="42" s="1" a="1"/>
  <c r="AH1234" i="42" s="1"/>
  <c r="Z1235" i="42"/>
  <c r="AA1235" i="42" s="1"/>
  <c r="AB1235" i="42"/>
  <c r="AC1235" i="42" s="1"/>
  <c r="AD1235" i="42"/>
  <c r="AH1235" i="42" s="1" a="1"/>
  <c r="AH1235" i="42" s="1"/>
  <c r="Z1236" i="42"/>
  <c r="AA1236" i="42" s="1"/>
  <c r="AB1236" i="42"/>
  <c r="AC1236" i="42" s="1"/>
  <c r="AD1236" i="42"/>
  <c r="AH1236" i="42" s="1" a="1"/>
  <c r="AH1236" i="42" s="1"/>
  <c r="Z1237" i="42"/>
  <c r="AA1237" i="42" s="1"/>
  <c r="AB1237" i="42"/>
  <c r="AC1237" i="42" s="1"/>
  <c r="AD1237" i="42"/>
  <c r="AH1237" i="42" s="1" a="1"/>
  <c r="AH1237" i="42" s="1"/>
  <c r="Z1238" i="42"/>
  <c r="AA1238" i="42" s="1"/>
  <c r="AB1238" i="42"/>
  <c r="AC1238" i="42" s="1"/>
  <c r="AD1238" i="42"/>
  <c r="AH1238" i="42" s="1" a="1"/>
  <c r="AH1238" i="42" s="1"/>
  <c r="Z1239" i="42"/>
  <c r="AA1239" i="42" s="1"/>
  <c r="AB1239" i="42"/>
  <c r="AC1239" i="42" s="1"/>
  <c r="AD1239" i="42"/>
  <c r="AH1239" i="42" s="1" a="1"/>
  <c r="AH1239" i="42" s="1"/>
  <c r="Z1240" i="42"/>
  <c r="AA1240" i="42" s="1"/>
  <c r="AB1240" i="42"/>
  <c r="AC1240" i="42" s="1"/>
  <c r="AD1240" i="42"/>
  <c r="AH1240" i="42" s="1" a="1"/>
  <c r="AH1240" i="42" s="1"/>
  <c r="Z1241" i="42"/>
  <c r="AA1241" i="42" s="1"/>
  <c r="AB1241" i="42"/>
  <c r="AC1241" i="42" s="1"/>
  <c r="AD1241" i="42"/>
  <c r="AH1241" i="42" s="1" a="1"/>
  <c r="AH1241" i="42" s="1"/>
  <c r="Z1242" i="42"/>
  <c r="AA1242" i="42" s="1"/>
  <c r="AB1242" i="42"/>
  <c r="AC1242" i="42" s="1"/>
  <c r="AD1242" i="42"/>
  <c r="AH1242" i="42" s="1" a="1"/>
  <c r="AH1242" i="42" s="1"/>
  <c r="Z1243" i="42"/>
  <c r="AA1243" i="42" s="1"/>
  <c r="AB1243" i="42"/>
  <c r="AC1243" i="42" s="1"/>
  <c r="AD1243" i="42"/>
  <c r="AH1243" i="42" s="1" a="1"/>
  <c r="AH1243" i="42" s="1"/>
  <c r="Z1244" i="42"/>
  <c r="AA1244" i="42" s="1"/>
  <c r="AB1244" i="42"/>
  <c r="AC1244" i="42" s="1"/>
  <c r="AD1244" i="42"/>
  <c r="AH1244" i="42" s="1" a="1"/>
  <c r="AH1244" i="42" s="1"/>
  <c r="Z1245" i="42"/>
  <c r="AA1245" i="42" s="1"/>
  <c r="AB1245" i="42"/>
  <c r="AC1245" i="42" s="1"/>
  <c r="AD1245" i="42"/>
  <c r="AH1245" i="42" s="1" a="1"/>
  <c r="AH1245" i="42" s="1"/>
  <c r="Z1246" i="42"/>
  <c r="AA1246" i="42" s="1"/>
  <c r="AB1246" i="42"/>
  <c r="AC1246" i="42" s="1"/>
  <c r="AD1246" i="42"/>
  <c r="AH1246" i="42" s="1" a="1"/>
  <c r="AH1246" i="42" s="1"/>
  <c r="Z1247" i="42"/>
  <c r="AA1247" i="42" s="1"/>
  <c r="AB1247" i="42"/>
  <c r="AC1247" i="42" s="1"/>
  <c r="AD1247" i="42"/>
  <c r="AH1247" i="42" s="1" a="1"/>
  <c r="AH1247" i="42" s="1"/>
  <c r="Z1248" i="42"/>
  <c r="AA1248" i="42" s="1"/>
  <c r="AB1248" i="42"/>
  <c r="AC1248" i="42" s="1"/>
  <c r="AD1248" i="42"/>
  <c r="AH1248" i="42" s="1" a="1"/>
  <c r="AH1248" i="42" s="1"/>
  <c r="Z1249" i="42"/>
  <c r="AA1249" i="42" s="1"/>
  <c r="AB1249" i="42"/>
  <c r="AC1249" i="42" s="1"/>
  <c r="AD1249" i="42"/>
  <c r="AH1249" i="42" s="1" a="1"/>
  <c r="AH1249" i="42" s="1"/>
  <c r="Z1250" i="42"/>
  <c r="AA1250" i="42" s="1"/>
  <c r="AB1250" i="42"/>
  <c r="AC1250" i="42" s="1"/>
  <c r="AD1250" i="42"/>
  <c r="AH1250" i="42" s="1" a="1"/>
  <c r="AH1250" i="42" s="1"/>
  <c r="Z1251" i="42"/>
  <c r="AA1251" i="42" s="1"/>
  <c r="AB1251" i="42"/>
  <c r="AC1251" i="42" s="1"/>
  <c r="AD1251" i="42"/>
  <c r="AH1251" i="42" s="1" a="1"/>
  <c r="AH1251" i="42" s="1"/>
  <c r="Z1252" i="42"/>
  <c r="AA1252" i="42" s="1"/>
  <c r="AB1252" i="42"/>
  <c r="AC1252" i="42" s="1"/>
  <c r="AD1252" i="42"/>
  <c r="AH1252" i="42" s="1" a="1"/>
  <c r="AH1252" i="42" s="1"/>
  <c r="Z1253" i="42"/>
  <c r="AA1253" i="42" s="1"/>
  <c r="AB1253" i="42"/>
  <c r="AC1253" i="42" s="1"/>
  <c r="AD1253" i="42"/>
  <c r="AH1253" i="42" s="1" a="1"/>
  <c r="AH1253" i="42" s="1"/>
  <c r="Z1254" i="42"/>
  <c r="AA1254" i="42" s="1"/>
  <c r="AB1254" i="42"/>
  <c r="AC1254" i="42" s="1"/>
  <c r="AD1254" i="42"/>
  <c r="AH1254" i="42" s="1" a="1"/>
  <c r="AH1254" i="42" s="1"/>
  <c r="Z1255" i="42"/>
  <c r="AA1255" i="42" s="1"/>
  <c r="AB1255" i="42"/>
  <c r="AC1255" i="42" s="1"/>
  <c r="AD1255" i="42"/>
  <c r="AH1255" i="42" s="1" a="1"/>
  <c r="AH1255" i="42" s="1"/>
  <c r="Z1256" i="42"/>
  <c r="AA1256" i="42" s="1"/>
  <c r="AB1256" i="42"/>
  <c r="AC1256" i="42" s="1"/>
  <c r="AD1256" i="42"/>
  <c r="AH1256" i="42" s="1" a="1"/>
  <c r="AH1256" i="42" s="1"/>
  <c r="Z1257" i="42"/>
  <c r="AA1257" i="42" s="1"/>
  <c r="AB1257" i="42"/>
  <c r="AC1257" i="42" s="1"/>
  <c r="AD1257" i="42"/>
  <c r="AH1257" i="42" s="1" a="1"/>
  <c r="AH1257" i="42" s="1"/>
  <c r="Z1258" i="42"/>
  <c r="AA1258" i="42" s="1"/>
  <c r="AB1258" i="42"/>
  <c r="AC1258" i="42" s="1"/>
  <c r="AD1258" i="42"/>
  <c r="AH1258" i="42" s="1" a="1"/>
  <c r="AH1258" i="42" s="1"/>
  <c r="Z1259" i="42"/>
  <c r="AA1259" i="42" s="1"/>
  <c r="AB1259" i="42"/>
  <c r="AC1259" i="42" s="1"/>
  <c r="AD1259" i="42"/>
  <c r="AH1259" i="42" s="1" a="1"/>
  <c r="AH1259" i="42" s="1"/>
  <c r="Z1260" i="42"/>
  <c r="AA1260" i="42" s="1"/>
  <c r="AB1260" i="42"/>
  <c r="AC1260" i="42" s="1"/>
  <c r="AD1260" i="42"/>
  <c r="AH1260" i="42" s="1" a="1"/>
  <c r="AH1260" i="42" s="1"/>
  <c r="Z1261" i="42"/>
  <c r="AA1261" i="42" s="1"/>
  <c r="AB1261" i="42"/>
  <c r="AC1261" i="42" s="1"/>
  <c r="AD1261" i="42"/>
  <c r="AH1261" i="42" s="1" a="1"/>
  <c r="AH1261" i="42" s="1"/>
  <c r="Z1262" i="42"/>
  <c r="AA1262" i="42" s="1"/>
  <c r="AB1262" i="42"/>
  <c r="AC1262" i="42" s="1"/>
  <c r="AD1262" i="42"/>
  <c r="AH1262" i="42" s="1" a="1"/>
  <c r="AH1262" i="42" s="1"/>
  <c r="Z1263" i="42"/>
  <c r="AA1263" i="42" s="1"/>
  <c r="AB1263" i="42"/>
  <c r="AC1263" i="42" s="1"/>
  <c r="AD1263" i="42"/>
  <c r="AH1263" i="42" s="1" a="1"/>
  <c r="AH1263" i="42" s="1"/>
  <c r="AI1263" i="42"/>
  <c r="Z1264" i="42"/>
  <c r="AA1264" i="42" s="1"/>
  <c r="AB1264" i="42"/>
  <c r="AC1264" i="42" s="1"/>
  <c r="AD1264" i="42"/>
  <c r="AH1264" i="42" s="1" a="1"/>
  <c r="AH1264" i="42" s="1"/>
  <c r="Z1265" i="42"/>
  <c r="AA1265" i="42" s="1"/>
  <c r="AB1265" i="42"/>
  <c r="AC1265" i="42" s="1"/>
  <c r="AD1265" i="42"/>
  <c r="AH1265" i="42" s="1" a="1"/>
  <c r="AH1265" i="42" s="1"/>
  <c r="Z1266" i="42"/>
  <c r="AA1266" i="42" s="1"/>
  <c r="AB1266" i="42"/>
  <c r="AC1266" i="42" s="1"/>
  <c r="AD1266" i="42"/>
  <c r="AH1266" i="42" s="1" a="1"/>
  <c r="AH1266" i="42" s="1"/>
  <c r="Z1267" i="42"/>
  <c r="AA1267" i="42" s="1"/>
  <c r="AB1267" i="42"/>
  <c r="AC1267" i="42" s="1"/>
  <c r="AD1267" i="42"/>
  <c r="AH1267" i="42" s="1" a="1"/>
  <c r="AH1267" i="42" s="1"/>
  <c r="Z1268" i="42"/>
  <c r="AA1268" i="42" s="1"/>
  <c r="AB1268" i="42"/>
  <c r="AC1268" i="42" s="1"/>
  <c r="AD1268" i="42"/>
  <c r="AH1268" i="42" s="1" a="1"/>
  <c r="AH1268" i="42" s="1"/>
  <c r="Z1269" i="42"/>
  <c r="AA1269" i="42" s="1"/>
  <c r="AB1269" i="42"/>
  <c r="AC1269" i="42" s="1"/>
  <c r="AD1269" i="42"/>
  <c r="AH1269" i="42" s="1" a="1"/>
  <c r="AH1269" i="42" s="1"/>
  <c r="Z1270" i="42"/>
  <c r="AA1270" i="42" s="1"/>
  <c r="AB1270" i="42"/>
  <c r="AC1270" i="42" s="1"/>
  <c r="AD1270" i="42"/>
  <c r="AH1270" i="42" s="1" a="1"/>
  <c r="AH1270" i="42" s="1"/>
  <c r="Z1271" i="42"/>
  <c r="AA1271" i="42" s="1"/>
  <c r="AB1271" i="42"/>
  <c r="AC1271" i="42" s="1"/>
  <c r="AD1271" i="42"/>
  <c r="AH1271" i="42" s="1" a="1"/>
  <c r="AH1271" i="42" s="1"/>
  <c r="Z1272" i="42"/>
  <c r="AA1272" i="42" s="1"/>
  <c r="AB1272" i="42"/>
  <c r="AC1272" i="42" s="1"/>
  <c r="AD1272" i="42"/>
  <c r="AH1272" i="42" s="1" a="1"/>
  <c r="AH1272" i="42" s="1"/>
  <c r="Z1273" i="42"/>
  <c r="AA1273" i="42" s="1"/>
  <c r="AB1273" i="42"/>
  <c r="AC1273" i="42" s="1"/>
  <c r="AD1273" i="42"/>
  <c r="AH1273" i="42" s="1" a="1"/>
  <c r="AH1273" i="42" s="1"/>
  <c r="Z1274" i="42"/>
  <c r="AA1274" i="42" s="1"/>
  <c r="AB1274" i="42"/>
  <c r="AC1274" i="42" s="1"/>
  <c r="AD1274" i="42"/>
  <c r="AH1274" i="42" s="1" a="1"/>
  <c r="AH1274" i="42" s="1"/>
  <c r="Z1275" i="42"/>
  <c r="AA1275" i="42" s="1"/>
  <c r="AB1275" i="42"/>
  <c r="AC1275" i="42" s="1"/>
  <c r="AD1275" i="42"/>
  <c r="AH1275" i="42" s="1" a="1"/>
  <c r="AH1275" i="42" s="1"/>
  <c r="Z1276" i="42"/>
  <c r="AA1276" i="42" s="1"/>
  <c r="AB1276" i="42"/>
  <c r="AC1276" i="42" s="1"/>
  <c r="AD1276" i="42"/>
  <c r="AH1276" i="42" s="1" a="1"/>
  <c r="AH1276" i="42" s="1"/>
  <c r="Z1277" i="42"/>
  <c r="AA1277" i="42" s="1"/>
  <c r="AB1277" i="42"/>
  <c r="AC1277" i="42" s="1"/>
  <c r="AD1277" i="42"/>
  <c r="AH1277" i="42" s="1" a="1"/>
  <c r="AH1277" i="42" s="1"/>
  <c r="Z1278" i="42"/>
  <c r="AA1278" i="42" s="1"/>
  <c r="AB1278" i="42"/>
  <c r="AC1278" i="42" s="1"/>
  <c r="AD1278" i="42"/>
  <c r="AH1278" i="42" s="1" a="1"/>
  <c r="AH1278" i="42" s="1"/>
  <c r="Z1279" i="42"/>
  <c r="AA1279" i="42" s="1"/>
  <c r="AB1279" i="42"/>
  <c r="AC1279" i="42" s="1"/>
  <c r="AD1279" i="42"/>
  <c r="AH1279" i="42" s="1" a="1"/>
  <c r="AH1279" i="42" s="1"/>
  <c r="Z1280" i="42"/>
  <c r="AA1280" i="42" s="1"/>
  <c r="AB1280" i="42"/>
  <c r="AC1280" i="42" s="1"/>
  <c r="AD1280" i="42"/>
  <c r="AH1280" i="42" s="1" a="1"/>
  <c r="AH1280" i="42" s="1"/>
  <c r="Z1281" i="42"/>
  <c r="AA1281" i="42" s="1"/>
  <c r="AB1281" i="42"/>
  <c r="AC1281" i="42" s="1"/>
  <c r="AD1281" i="42"/>
  <c r="AH1281" i="42" s="1" a="1"/>
  <c r="AH1281" i="42" s="1"/>
  <c r="Z1282" i="42"/>
  <c r="AA1282" i="42" s="1"/>
  <c r="AB1282" i="42"/>
  <c r="AC1282" i="42" s="1"/>
  <c r="AD1282" i="42"/>
  <c r="AH1282" i="42" s="1" a="1"/>
  <c r="AH1282" i="42" s="1"/>
  <c r="Z1283" i="42"/>
  <c r="AA1283" i="42" s="1"/>
  <c r="AB1283" i="42"/>
  <c r="AC1283" i="42" s="1"/>
  <c r="AD1283" i="42"/>
  <c r="AH1283" i="42" s="1" a="1"/>
  <c r="AH1283" i="42" s="1"/>
  <c r="Z1284" i="42"/>
  <c r="AA1284" i="42" s="1"/>
  <c r="AB1284" i="42"/>
  <c r="AC1284" i="42" s="1"/>
  <c r="AD1284" i="42"/>
  <c r="AH1284" i="42" s="1" a="1"/>
  <c r="AH1284" i="42" s="1"/>
  <c r="Z1285" i="42"/>
  <c r="AA1285" i="42" s="1"/>
  <c r="AB1285" i="42"/>
  <c r="AC1285" i="42" s="1"/>
  <c r="AD1285" i="42"/>
  <c r="AH1285" i="42" s="1" a="1"/>
  <c r="AH1285" i="42" s="1"/>
  <c r="Z1286" i="42"/>
  <c r="AA1286" i="42" s="1"/>
  <c r="AB1286" i="42"/>
  <c r="AC1286" i="42" s="1"/>
  <c r="AD1286" i="42"/>
  <c r="AH1286" i="42" s="1" a="1"/>
  <c r="AH1286" i="42" s="1"/>
  <c r="Z1287" i="42"/>
  <c r="AA1287" i="42" s="1"/>
  <c r="AB1287" i="42"/>
  <c r="AC1287" i="42" s="1"/>
  <c r="AD1287" i="42"/>
  <c r="AH1287" i="42" s="1" a="1"/>
  <c r="AH1287" i="42" s="1"/>
  <c r="Z1288" i="42"/>
  <c r="AA1288" i="42" s="1"/>
  <c r="AB1288" i="42"/>
  <c r="AC1288" i="42" s="1"/>
  <c r="AD1288" i="42"/>
  <c r="AH1288" i="42" s="1" a="1"/>
  <c r="AH1288" i="42" s="1"/>
  <c r="Z1289" i="42"/>
  <c r="AA1289" i="42" s="1"/>
  <c r="AB1289" i="42"/>
  <c r="AC1289" i="42" s="1"/>
  <c r="AD1289" i="42"/>
  <c r="AH1289" i="42" s="1" a="1"/>
  <c r="AH1289" i="42" s="1"/>
  <c r="Z1290" i="42"/>
  <c r="AA1290" i="42" s="1"/>
  <c r="AB1290" i="42"/>
  <c r="AC1290" i="42" s="1"/>
  <c r="AD1290" i="42"/>
  <c r="AH1290" i="42" s="1" a="1"/>
  <c r="AH1290" i="42" s="1"/>
  <c r="Z1291" i="42"/>
  <c r="AA1291" i="42" s="1"/>
  <c r="AB1291" i="42"/>
  <c r="AC1291" i="42" s="1"/>
  <c r="AD1291" i="42"/>
  <c r="AH1291" i="42" s="1" a="1"/>
  <c r="AH1291" i="42" s="1"/>
  <c r="Z1292" i="42"/>
  <c r="AA1292" i="42" s="1"/>
  <c r="AB1292" i="42"/>
  <c r="AC1292" i="42" s="1"/>
  <c r="AD1292" i="42"/>
  <c r="AH1292" i="42" s="1" a="1"/>
  <c r="AH1292" i="42" s="1"/>
  <c r="Z1293" i="42"/>
  <c r="AA1293" i="42" s="1"/>
  <c r="AB1293" i="42"/>
  <c r="AC1293" i="42" s="1"/>
  <c r="AD1293" i="42"/>
  <c r="AH1293" i="42" s="1" a="1"/>
  <c r="AH1293" i="42" s="1"/>
  <c r="Z1294" i="42"/>
  <c r="AA1294" i="42" s="1"/>
  <c r="AB1294" i="42"/>
  <c r="AC1294" i="42" s="1"/>
  <c r="AD1294" i="42"/>
  <c r="AH1294" i="42" s="1" a="1"/>
  <c r="AH1294" i="42" s="1"/>
  <c r="Z1295" i="42"/>
  <c r="AA1295" i="42" s="1"/>
  <c r="AB1295" i="42"/>
  <c r="AC1295" i="42" s="1"/>
  <c r="AD1295" i="42"/>
  <c r="AH1295" i="42" s="1" a="1"/>
  <c r="AH1295" i="42" s="1"/>
  <c r="Z1296" i="42"/>
  <c r="AA1296" i="42" s="1"/>
  <c r="AB1296" i="42"/>
  <c r="AC1296" i="42" s="1"/>
  <c r="AD1296" i="42"/>
  <c r="AH1296" i="42" s="1" a="1"/>
  <c r="AH1296" i="42" s="1"/>
  <c r="Z1297" i="42"/>
  <c r="AA1297" i="42" s="1"/>
  <c r="AB1297" i="42"/>
  <c r="AC1297" i="42" s="1"/>
  <c r="AD1297" i="42"/>
  <c r="AH1297" i="42" s="1" a="1"/>
  <c r="AH1297" i="42" s="1"/>
  <c r="Z1298" i="42"/>
  <c r="AA1298" i="42" s="1"/>
  <c r="AB1298" i="42"/>
  <c r="AC1298" i="42" s="1"/>
  <c r="AD1298" i="42"/>
  <c r="AH1298" i="42" s="1" a="1"/>
  <c r="AH1298" i="42" s="1"/>
  <c r="Z1299" i="42"/>
  <c r="AA1299" i="42" s="1"/>
  <c r="AB1299" i="42"/>
  <c r="AC1299" i="42" s="1"/>
  <c r="AD1299" i="42"/>
  <c r="AH1299" i="42" s="1" a="1"/>
  <c r="AH1299" i="42" s="1"/>
  <c r="Z1300" i="42"/>
  <c r="AA1300" i="42" s="1"/>
  <c r="AB1300" i="42"/>
  <c r="AC1300" i="42" s="1"/>
  <c r="AD1300" i="42"/>
  <c r="AH1300" i="42" s="1" a="1"/>
  <c r="AH1300" i="42" s="1"/>
  <c r="Z1301" i="42"/>
  <c r="AA1301" i="42" s="1"/>
  <c r="AB1301" i="42"/>
  <c r="AC1301" i="42" s="1"/>
  <c r="AD1301" i="42"/>
  <c r="AH1301" i="42" s="1" a="1"/>
  <c r="AH1301" i="42" s="1"/>
  <c r="Z1302" i="42"/>
  <c r="AA1302" i="42" s="1"/>
  <c r="AB1302" i="42"/>
  <c r="AC1302" i="42" s="1"/>
  <c r="AD1302" i="42"/>
  <c r="AH1302" i="42" s="1" a="1"/>
  <c r="AH1302" i="42" s="1"/>
  <c r="Z1303" i="42"/>
  <c r="AA1303" i="42" s="1"/>
  <c r="AB1303" i="42"/>
  <c r="AC1303" i="42" s="1"/>
  <c r="AD1303" i="42"/>
  <c r="AH1303" i="42" s="1" a="1"/>
  <c r="AH1303" i="42" s="1"/>
  <c r="Z1304" i="42"/>
  <c r="AA1304" i="42" s="1"/>
  <c r="AB1304" i="42"/>
  <c r="AC1304" i="42" s="1"/>
  <c r="AD1304" i="42"/>
  <c r="AH1304" i="42" s="1" a="1"/>
  <c r="AH1304" i="42" s="1"/>
  <c r="Z1305" i="42"/>
  <c r="AA1305" i="42" s="1"/>
  <c r="AB1305" i="42"/>
  <c r="AC1305" i="42" s="1"/>
  <c r="AD1305" i="42"/>
  <c r="AH1305" i="42" s="1" a="1"/>
  <c r="AH1305" i="42" s="1"/>
  <c r="Z1306" i="42"/>
  <c r="AA1306" i="42" s="1"/>
  <c r="AB1306" i="42"/>
  <c r="AC1306" i="42" s="1"/>
  <c r="AD1306" i="42"/>
  <c r="AH1306" i="42" s="1" a="1"/>
  <c r="AH1306" i="42" s="1"/>
  <c r="Z1307" i="42"/>
  <c r="AA1307" i="42" s="1"/>
  <c r="AB1307" i="42"/>
  <c r="AC1307" i="42" s="1"/>
  <c r="AD1307" i="42"/>
  <c r="AH1307" i="42" s="1" a="1"/>
  <c r="AH1307" i="42" s="1"/>
  <c r="Z1308" i="42"/>
  <c r="AA1308" i="42" s="1"/>
  <c r="AB1308" i="42"/>
  <c r="AC1308" i="42" s="1"/>
  <c r="AD1308" i="42"/>
  <c r="AH1308" i="42" s="1" a="1"/>
  <c r="AH1308" i="42" s="1"/>
  <c r="Z1309" i="42"/>
  <c r="AA1309" i="42" s="1"/>
  <c r="AB1309" i="42"/>
  <c r="AC1309" i="42" s="1"/>
  <c r="AD1309" i="42"/>
  <c r="AH1309" i="42" s="1" a="1"/>
  <c r="AH1309" i="42" s="1"/>
  <c r="Z1310" i="42"/>
  <c r="AA1310" i="42" s="1"/>
  <c r="AB1310" i="42"/>
  <c r="AC1310" i="42" s="1"/>
  <c r="AD1310" i="42"/>
  <c r="AH1310" i="42" s="1" a="1"/>
  <c r="AH1310" i="42" s="1"/>
  <c r="Z1311" i="42"/>
  <c r="AA1311" i="42" s="1"/>
  <c r="AB1311" i="42"/>
  <c r="AC1311" i="42" s="1"/>
  <c r="AD1311" i="42"/>
  <c r="AH1311" i="42" s="1" a="1"/>
  <c r="AH1311" i="42" s="1"/>
  <c r="Z1312" i="42"/>
  <c r="AA1312" i="42" s="1"/>
  <c r="AB1312" i="42"/>
  <c r="AC1312" i="42" s="1"/>
  <c r="AD1312" i="42"/>
  <c r="AH1312" i="42" s="1" a="1"/>
  <c r="AH1312" i="42" s="1"/>
  <c r="Z1313" i="42"/>
  <c r="AA1313" i="42" s="1"/>
  <c r="AB1313" i="42"/>
  <c r="AC1313" i="42" s="1"/>
  <c r="AD1313" i="42"/>
  <c r="AH1313" i="42" s="1" a="1"/>
  <c r="AH1313" i="42" s="1"/>
  <c r="Z1314" i="42"/>
  <c r="AA1314" i="42" s="1"/>
  <c r="AB1314" i="42"/>
  <c r="AC1314" i="42" s="1"/>
  <c r="AD1314" i="42"/>
  <c r="AH1314" i="42" s="1" a="1"/>
  <c r="AH1314" i="42" s="1"/>
  <c r="Z1315" i="42"/>
  <c r="AA1315" i="42" s="1"/>
  <c r="AB1315" i="42"/>
  <c r="AC1315" i="42" s="1"/>
  <c r="AD1315" i="42"/>
  <c r="AH1315" i="42" s="1" a="1"/>
  <c r="AH1315" i="42" s="1"/>
  <c r="Z1316" i="42"/>
  <c r="AA1316" i="42" s="1"/>
  <c r="AB1316" i="42"/>
  <c r="AC1316" i="42" s="1"/>
  <c r="AD1316" i="42"/>
  <c r="AH1316" i="42" s="1" a="1"/>
  <c r="AH1316" i="42" s="1"/>
  <c r="Z1317" i="42"/>
  <c r="AA1317" i="42" s="1"/>
  <c r="AB1317" i="42"/>
  <c r="AC1317" i="42" s="1"/>
  <c r="AD1317" i="42"/>
  <c r="AH1317" i="42" s="1" a="1"/>
  <c r="AH1317" i="42" s="1"/>
  <c r="Z1318" i="42"/>
  <c r="AA1318" i="42" s="1"/>
  <c r="AB1318" i="42"/>
  <c r="AC1318" i="42" s="1"/>
  <c r="AD1318" i="42"/>
  <c r="AH1318" i="42" s="1" a="1"/>
  <c r="AH1318" i="42" s="1"/>
  <c r="Z1319" i="42"/>
  <c r="AA1319" i="42" s="1"/>
  <c r="AB1319" i="42"/>
  <c r="AC1319" i="42" s="1"/>
  <c r="AD1319" i="42"/>
  <c r="AH1319" i="42" s="1" a="1"/>
  <c r="AH1319" i="42" s="1"/>
  <c r="Z1320" i="42"/>
  <c r="AA1320" i="42" s="1"/>
  <c r="AB1320" i="42"/>
  <c r="AC1320" i="42" s="1"/>
  <c r="AD1320" i="42"/>
  <c r="AH1320" i="42" s="1" a="1"/>
  <c r="AH1320" i="42" s="1"/>
  <c r="Z1321" i="42"/>
  <c r="AA1321" i="42" s="1"/>
  <c r="AB1321" i="42"/>
  <c r="AC1321" i="42" s="1"/>
  <c r="AD1321" i="42"/>
  <c r="AH1321" i="42" s="1" a="1"/>
  <c r="AH1321" i="42" s="1"/>
  <c r="Z1322" i="42"/>
  <c r="AA1322" i="42" s="1"/>
  <c r="AB1322" i="42"/>
  <c r="AC1322" i="42" s="1"/>
  <c r="AD1322" i="42"/>
  <c r="AH1322" i="42" s="1" a="1"/>
  <c r="AH1322" i="42" s="1"/>
  <c r="Z1323" i="42"/>
  <c r="AA1323" i="42" s="1"/>
  <c r="AB1323" i="42"/>
  <c r="AC1323" i="42" s="1"/>
  <c r="AD1323" i="42"/>
  <c r="AH1323" i="42" s="1" a="1"/>
  <c r="AH1323" i="42" s="1"/>
  <c r="Z1324" i="42"/>
  <c r="AA1324" i="42" s="1"/>
  <c r="AB1324" i="42"/>
  <c r="AC1324" i="42" s="1"/>
  <c r="AD1324" i="42"/>
  <c r="AH1324" i="42" s="1" a="1"/>
  <c r="AH1324" i="42" s="1"/>
  <c r="Z1325" i="42"/>
  <c r="AA1325" i="42" s="1"/>
  <c r="AB1325" i="42"/>
  <c r="AC1325" i="42" s="1"/>
  <c r="AD1325" i="42"/>
  <c r="AH1325" i="42" s="1" a="1"/>
  <c r="AH1325" i="42" s="1"/>
  <c r="Z1326" i="42"/>
  <c r="AA1326" i="42" s="1"/>
  <c r="AB1326" i="42"/>
  <c r="AC1326" i="42" s="1"/>
  <c r="AD1326" i="42"/>
  <c r="AH1326" i="42" s="1" a="1"/>
  <c r="AH1326" i="42" s="1"/>
  <c r="Z1327" i="42"/>
  <c r="AA1327" i="42" s="1"/>
  <c r="AB1327" i="42"/>
  <c r="AC1327" i="42" s="1"/>
  <c r="AD1327" i="42"/>
  <c r="AH1327" i="42" s="1" a="1"/>
  <c r="AH1327" i="42" s="1"/>
  <c r="Z1328" i="42"/>
  <c r="AA1328" i="42" s="1"/>
  <c r="AB1328" i="42"/>
  <c r="AC1328" i="42" s="1"/>
  <c r="AD1328" i="42"/>
  <c r="AH1328" i="42" s="1" a="1"/>
  <c r="AH1328" i="42" s="1"/>
  <c r="Z1329" i="42"/>
  <c r="AA1329" i="42" s="1"/>
  <c r="AB1329" i="42"/>
  <c r="AC1329" i="42" s="1"/>
  <c r="AD1329" i="42"/>
  <c r="AH1329" i="42" s="1" a="1"/>
  <c r="AH1329" i="42" s="1"/>
  <c r="Z1330" i="42"/>
  <c r="AA1330" i="42" s="1"/>
  <c r="AB1330" i="42"/>
  <c r="AC1330" i="42" s="1"/>
  <c r="AD1330" i="42"/>
  <c r="AH1330" i="42" s="1" a="1"/>
  <c r="AH1330" i="42" s="1"/>
  <c r="Z1331" i="42"/>
  <c r="AA1331" i="42" s="1"/>
  <c r="AB1331" i="42"/>
  <c r="AC1331" i="42" s="1"/>
  <c r="AD1331" i="42"/>
  <c r="AH1331" i="42" s="1" a="1"/>
  <c r="AH1331" i="42" s="1"/>
  <c r="Z1332" i="42"/>
  <c r="AA1332" i="42" s="1"/>
  <c r="AB1332" i="42"/>
  <c r="AC1332" i="42" s="1"/>
  <c r="AD1332" i="42"/>
  <c r="AH1332" i="42" s="1" a="1"/>
  <c r="AH1332" i="42" s="1"/>
  <c r="Z1333" i="42"/>
  <c r="AA1333" i="42" s="1"/>
  <c r="AB1333" i="42"/>
  <c r="AC1333" i="42" s="1"/>
  <c r="AD1333" i="42"/>
  <c r="AH1333" i="42" s="1" a="1"/>
  <c r="AH1333" i="42" s="1"/>
  <c r="Z1334" i="42"/>
  <c r="AA1334" i="42" s="1"/>
  <c r="AB1334" i="42"/>
  <c r="AC1334" i="42" s="1"/>
  <c r="AD1334" i="42"/>
  <c r="AH1334" i="42" s="1" a="1"/>
  <c r="AH1334" i="42" s="1"/>
  <c r="Z1335" i="42"/>
  <c r="AA1335" i="42" s="1"/>
  <c r="AB1335" i="42"/>
  <c r="AC1335" i="42" s="1"/>
  <c r="AD1335" i="42"/>
  <c r="AH1335" i="42" s="1" a="1"/>
  <c r="AH1335" i="42" s="1"/>
  <c r="Z1336" i="42"/>
  <c r="AA1336" i="42" s="1"/>
  <c r="AB1336" i="42"/>
  <c r="AC1336" i="42" s="1"/>
  <c r="AD1336" i="42"/>
  <c r="AH1336" i="42" s="1" a="1"/>
  <c r="AH1336" i="42" s="1"/>
  <c r="Z1337" i="42"/>
  <c r="AA1337" i="42" s="1"/>
  <c r="AB1337" i="42"/>
  <c r="AC1337" i="42" s="1"/>
  <c r="AD1337" i="42"/>
  <c r="AH1337" i="42" s="1" a="1"/>
  <c r="AH1337" i="42" s="1"/>
  <c r="Z1338" i="42"/>
  <c r="AA1338" i="42" s="1"/>
  <c r="AB1338" i="42"/>
  <c r="AC1338" i="42" s="1"/>
  <c r="AD1338" i="42"/>
  <c r="AH1338" i="42" s="1" a="1"/>
  <c r="AH1338" i="42" s="1"/>
  <c r="Z1339" i="42"/>
  <c r="AA1339" i="42" s="1"/>
  <c r="AB1339" i="42"/>
  <c r="AC1339" i="42" s="1"/>
  <c r="AD1339" i="42"/>
  <c r="AH1339" i="42" s="1" a="1"/>
  <c r="AH1339" i="42" s="1"/>
  <c r="Z1340" i="42"/>
  <c r="AA1340" i="42" s="1"/>
  <c r="AB1340" i="42"/>
  <c r="AC1340" i="42" s="1"/>
  <c r="AD1340" i="42"/>
  <c r="AH1340" i="42" s="1" a="1"/>
  <c r="AH1340" i="42" s="1"/>
  <c r="Z1341" i="42"/>
  <c r="AA1341" i="42" s="1"/>
  <c r="AB1341" i="42"/>
  <c r="AC1341" i="42" s="1"/>
  <c r="AD1341" i="42"/>
  <c r="AH1341" i="42" s="1" a="1"/>
  <c r="AH1341" i="42" s="1"/>
  <c r="Z1342" i="42"/>
  <c r="AA1342" i="42" s="1"/>
  <c r="AB1342" i="42"/>
  <c r="AC1342" i="42" s="1"/>
  <c r="AD1342" i="42"/>
  <c r="AH1342" i="42" s="1" a="1"/>
  <c r="AH1342" i="42" s="1"/>
  <c r="Z1343" i="42"/>
  <c r="AA1343" i="42" s="1"/>
  <c r="AB1343" i="42"/>
  <c r="AC1343" i="42" s="1"/>
  <c r="AD1343" i="42"/>
  <c r="AH1343" i="42" s="1" a="1"/>
  <c r="AH1343" i="42" s="1"/>
  <c r="Z1344" i="42"/>
  <c r="AA1344" i="42" s="1"/>
  <c r="AB1344" i="42"/>
  <c r="AC1344" i="42" s="1"/>
  <c r="AD1344" i="42"/>
  <c r="AH1344" i="42" s="1" a="1"/>
  <c r="AH1344" i="42" s="1"/>
  <c r="Z1345" i="42"/>
  <c r="AA1345" i="42" s="1"/>
  <c r="AB1345" i="42"/>
  <c r="AC1345" i="42" s="1"/>
  <c r="AD1345" i="42"/>
  <c r="AH1345" i="42" s="1" a="1"/>
  <c r="AH1345" i="42" s="1"/>
  <c r="Z1346" i="42"/>
  <c r="AA1346" i="42" s="1"/>
  <c r="AB1346" i="42"/>
  <c r="AC1346" i="42" s="1"/>
  <c r="AD1346" i="42"/>
  <c r="AH1346" i="42" s="1" a="1"/>
  <c r="AH1346" i="42" s="1"/>
  <c r="Z1347" i="42"/>
  <c r="AA1347" i="42" s="1"/>
  <c r="AB1347" i="42"/>
  <c r="AC1347" i="42" s="1"/>
  <c r="AD1347" i="42"/>
  <c r="AH1347" i="42" s="1" a="1"/>
  <c r="AH1347" i="42" s="1"/>
  <c r="Z1348" i="42"/>
  <c r="AA1348" i="42" s="1"/>
  <c r="AB1348" i="42"/>
  <c r="AC1348" i="42" s="1"/>
  <c r="AD1348" i="42"/>
  <c r="AH1348" i="42" s="1" a="1"/>
  <c r="AH1348" i="42" s="1"/>
  <c r="Z1349" i="42"/>
  <c r="AA1349" i="42" s="1"/>
  <c r="AB1349" i="42"/>
  <c r="AC1349" i="42" s="1"/>
  <c r="AD1349" i="42"/>
  <c r="AH1349" i="42" s="1" a="1"/>
  <c r="AH1349" i="42" s="1"/>
  <c r="Z1350" i="42"/>
  <c r="AA1350" i="42" s="1"/>
  <c r="AB1350" i="42"/>
  <c r="AC1350" i="42" s="1"/>
  <c r="AD1350" i="42"/>
  <c r="AH1350" i="42" s="1" a="1"/>
  <c r="AH1350" i="42" s="1"/>
  <c r="Z1351" i="42"/>
  <c r="AA1351" i="42" s="1"/>
  <c r="AB1351" i="42"/>
  <c r="AC1351" i="42" s="1"/>
  <c r="AD1351" i="42"/>
  <c r="AH1351" i="42" s="1" a="1"/>
  <c r="AH1351" i="42" s="1"/>
  <c r="Z1352" i="42"/>
  <c r="AA1352" i="42" s="1"/>
  <c r="AB1352" i="42"/>
  <c r="AC1352" i="42" s="1"/>
  <c r="AD1352" i="42"/>
  <c r="AH1352" i="42" s="1" a="1"/>
  <c r="AH1352" i="42" s="1"/>
  <c r="Z1353" i="42"/>
  <c r="AA1353" i="42" s="1"/>
  <c r="AB1353" i="42"/>
  <c r="AC1353" i="42" s="1"/>
  <c r="AD1353" i="42"/>
  <c r="AH1353" i="42" s="1" a="1"/>
  <c r="AH1353" i="42" s="1"/>
  <c r="Z1354" i="42"/>
  <c r="AA1354" i="42" s="1"/>
  <c r="AB1354" i="42"/>
  <c r="AC1354" i="42" s="1"/>
  <c r="AD1354" i="42"/>
  <c r="AH1354" i="42" s="1" a="1"/>
  <c r="AH1354" i="42" s="1"/>
  <c r="Z1355" i="42"/>
  <c r="AA1355" i="42" s="1"/>
  <c r="AB1355" i="42"/>
  <c r="AC1355" i="42" s="1"/>
  <c r="AD1355" i="42"/>
  <c r="AH1355" i="42" s="1" a="1"/>
  <c r="AH1355" i="42" s="1"/>
  <c r="Z1356" i="42"/>
  <c r="AA1356" i="42" s="1"/>
  <c r="AB1356" i="42"/>
  <c r="AC1356" i="42" s="1"/>
  <c r="AD1356" i="42"/>
  <c r="AH1356" i="42" s="1" a="1"/>
  <c r="AH1356" i="42" s="1"/>
  <c r="Z1357" i="42"/>
  <c r="AA1357" i="42" s="1"/>
  <c r="AB1357" i="42"/>
  <c r="AC1357" i="42" s="1"/>
  <c r="AD1357" i="42"/>
  <c r="AH1357" i="42" s="1" a="1"/>
  <c r="AH1357" i="42" s="1"/>
  <c r="Z1358" i="42"/>
  <c r="AA1358" i="42" s="1"/>
  <c r="AB1358" i="42"/>
  <c r="AC1358" i="42" s="1"/>
  <c r="AD1358" i="42"/>
  <c r="AH1358" i="42" s="1" a="1"/>
  <c r="AH1358" i="42" s="1"/>
  <c r="Z1359" i="42"/>
  <c r="AA1359" i="42" s="1"/>
  <c r="AB1359" i="42"/>
  <c r="AC1359" i="42" s="1"/>
  <c r="AD1359" i="42"/>
  <c r="AH1359" i="42" s="1" a="1"/>
  <c r="AH1359" i="42" s="1"/>
  <c r="Z1360" i="42"/>
  <c r="AA1360" i="42" s="1"/>
  <c r="AB1360" i="42"/>
  <c r="AC1360" i="42" s="1"/>
  <c r="AD1360" i="42"/>
  <c r="AH1360" i="42" s="1" a="1"/>
  <c r="AH1360" i="42" s="1"/>
  <c r="Z1361" i="42"/>
  <c r="AA1361" i="42" s="1"/>
  <c r="AB1361" i="42"/>
  <c r="AC1361" i="42" s="1"/>
  <c r="AD1361" i="42"/>
  <c r="AH1361" i="42" s="1" a="1"/>
  <c r="AH1361" i="42" s="1"/>
  <c r="Z1362" i="42"/>
  <c r="AA1362" i="42" s="1"/>
  <c r="AB1362" i="42"/>
  <c r="AC1362" i="42" s="1"/>
  <c r="AD1362" i="42"/>
  <c r="AH1362" i="42" s="1" a="1"/>
  <c r="AH1362" i="42" s="1"/>
  <c r="Z1363" i="42"/>
  <c r="AA1363" i="42" s="1"/>
  <c r="AB1363" i="42"/>
  <c r="AC1363" i="42" s="1"/>
  <c r="AD1363" i="42"/>
  <c r="AH1363" i="42" s="1" a="1"/>
  <c r="AH1363" i="42" s="1"/>
  <c r="Z1364" i="42"/>
  <c r="AA1364" i="42" s="1"/>
  <c r="AB1364" i="42"/>
  <c r="AC1364" i="42" s="1"/>
  <c r="AD1364" i="42"/>
  <c r="AH1364" i="42" s="1" a="1"/>
  <c r="AH1364" i="42" s="1"/>
  <c r="Z1365" i="42"/>
  <c r="AA1365" i="42" s="1"/>
  <c r="AB1365" i="42"/>
  <c r="AC1365" i="42" s="1"/>
  <c r="AD1365" i="42"/>
  <c r="AH1365" i="42" s="1" a="1"/>
  <c r="AH1365" i="42" s="1"/>
  <c r="Z1366" i="42"/>
  <c r="AA1366" i="42" s="1"/>
  <c r="AB1366" i="42"/>
  <c r="AC1366" i="42" s="1"/>
  <c r="AD1366" i="42"/>
  <c r="AH1366" i="42" s="1" a="1"/>
  <c r="AH1366" i="42" s="1"/>
  <c r="Z1367" i="42"/>
  <c r="AA1367" i="42" s="1"/>
  <c r="AB1367" i="42"/>
  <c r="AC1367" i="42" s="1"/>
  <c r="AD1367" i="42"/>
  <c r="AH1367" i="42" s="1" a="1"/>
  <c r="AH1367" i="42" s="1"/>
  <c r="Z1368" i="42"/>
  <c r="AA1368" i="42" s="1"/>
  <c r="AB1368" i="42"/>
  <c r="AC1368" i="42" s="1"/>
  <c r="AD1368" i="42"/>
  <c r="AH1368" i="42" s="1" a="1"/>
  <c r="AH1368" i="42" s="1"/>
  <c r="Z1369" i="42"/>
  <c r="AA1369" i="42" s="1"/>
  <c r="AB1369" i="42"/>
  <c r="AC1369" i="42" s="1"/>
  <c r="AD1369" i="42"/>
  <c r="AH1369" i="42" s="1" a="1"/>
  <c r="AH1369" i="42" s="1"/>
  <c r="Z1370" i="42"/>
  <c r="AA1370" i="42" s="1"/>
  <c r="AB1370" i="42"/>
  <c r="AC1370" i="42" s="1"/>
  <c r="AD1370" i="42"/>
  <c r="AH1370" i="42" s="1" a="1"/>
  <c r="AH1370" i="42" s="1"/>
  <c r="Z1371" i="42"/>
  <c r="AA1371" i="42" s="1"/>
  <c r="AB1371" i="42"/>
  <c r="AC1371" i="42" s="1"/>
  <c r="AD1371" i="42"/>
  <c r="AH1371" i="42" s="1" a="1"/>
  <c r="AH1371" i="42" s="1"/>
  <c r="Z1372" i="42"/>
  <c r="AA1372" i="42" s="1"/>
  <c r="AB1372" i="42"/>
  <c r="AC1372" i="42" s="1"/>
  <c r="AD1372" i="42"/>
  <c r="AH1372" i="42" s="1" a="1"/>
  <c r="AH1372" i="42" s="1"/>
  <c r="Z1373" i="42"/>
  <c r="AA1373" i="42" s="1"/>
  <c r="AB1373" i="42"/>
  <c r="AC1373" i="42" s="1"/>
  <c r="AD1373" i="42"/>
  <c r="AH1373" i="42" s="1" a="1"/>
  <c r="AH1373" i="42" s="1"/>
  <c r="Z1374" i="42"/>
  <c r="AA1374" i="42" s="1"/>
  <c r="AB1374" i="42"/>
  <c r="AC1374" i="42" s="1"/>
  <c r="AD1374" i="42"/>
  <c r="AH1374" i="42" s="1" a="1"/>
  <c r="AH1374" i="42" s="1"/>
  <c r="Z1375" i="42"/>
  <c r="AA1375" i="42" s="1"/>
  <c r="AB1375" i="42"/>
  <c r="AC1375" i="42" s="1"/>
  <c r="AD1375" i="42"/>
  <c r="AH1375" i="42" s="1" a="1"/>
  <c r="AH1375" i="42" s="1"/>
  <c r="Z1376" i="42"/>
  <c r="AA1376" i="42" s="1"/>
  <c r="AB1376" i="42"/>
  <c r="AC1376" i="42" s="1"/>
  <c r="AD1376" i="42"/>
  <c r="AH1376" i="42" s="1" a="1"/>
  <c r="AH1376" i="42" s="1"/>
  <c r="Z1377" i="42"/>
  <c r="AA1377" i="42" s="1"/>
  <c r="AB1377" i="42"/>
  <c r="AC1377" i="42" s="1"/>
  <c r="AD1377" i="42"/>
  <c r="AH1377" i="42" s="1" a="1"/>
  <c r="AH1377" i="42" s="1"/>
  <c r="Z1378" i="42"/>
  <c r="AA1378" i="42" s="1"/>
  <c r="AB1378" i="42"/>
  <c r="AC1378" i="42" s="1"/>
  <c r="AD1378" i="42"/>
  <c r="AH1378" i="42" s="1" a="1"/>
  <c r="AH1378" i="42" s="1"/>
  <c r="Z1379" i="42"/>
  <c r="AA1379" i="42" s="1"/>
  <c r="AB1379" i="42"/>
  <c r="AC1379" i="42" s="1"/>
  <c r="AD1379" i="42"/>
  <c r="AH1379" i="42" s="1" a="1"/>
  <c r="AH1379" i="42" s="1"/>
  <c r="Z1380" i="42"/>
  <c r="AA1380" i="42" s="1"/>
  <c r="AB1380" i="42"/>
  <c r="AC1380" i="42" s="1"/>
  <c r="AD1380" i="42"/>
  <c r="AH1380" i="42" s="1" a="1"/>
  <c r="AH1380" i="42" s="1"/>
  <c r="Z1381" i="42"/>
  <c r="AA1381" i="42" s="1"/>
  <c r="AB1381" i="42"/>
  <c r="AC1381" i="42" s="1"/>
  <c r="AD1381" i="42"/>
  <c r="AH1381" i="42" s="1" a="1"/>
  <c r="AH1381" i="42" s="1"/>
  <c r="Z1382" i="42"/>
  <c r="AA1382" i="42" s="1"/>
  <c r="AB1382" i="42"/>
  <c r="AC1382" i="42" s="1"/>
  <c r="AD1382" i="42"/>
  <c r="AH1382" i="42" s="1" a="1"/>
  <c r="AH1382" i="42" s="1"/>
  <c r="Z1383" i="42"/>
  <c r="AA1383" i="42" s="1"/>
  <c r="AB1383" i="42"/>
  <c r="AC1383" i="42" s="1"/>
  <c r="AD1383" i="42"/>
  <c r="AH1383" i="42" s="1" a="1"/>
  <c r="AH1383" i="42" s="1"/>
  <c r="Z1384" i="42"/>
  <c r="AA1384" i="42" s="1"/>
  <c r="AB1384" i="42"/>
  <c r="AC1384" i="42" s="1"/>
  <c r="AD1384" i="42"/>
  <c r="AH1384" i="42" s="1" a="1"/>
  <c r="AH1384" i="42" s="1"/>
  <c r="Z1385" i="42"/>
  <c r="AA1385" i="42" s="1"/>
  <c r="AB1385" i="42"/>
  <c r="AC1385" i="42" s="1"/>
  <c r="AD1385" i="42"/>
  <c r="AH1385" i="42" s="1" a="1"/>
  <c r="AH1385" i="42" s="1"/>
  <c r="Z1386" i="42"/>
  <c r="AA1386" i="42" s="1"/>
  <c r="AB1386" i="42"/>
  <c r="AC1386" i="42" s="1"/>
  <c r="AD1386" i="42"/>
  <c r="AH1386" i="42" s="1" a="1"/>
  <c r="AH1386" i="42" s="1"/>
  <c r="Z1387" i="42"/>
  <c r="AA1387" i="42" s="1"/>
  <c r="AB1387" i="42"/>
  <c r="AC1387" i="42" s="1"/>
  <c r="AD1387" i="42"/>
  <c r="AH1387" i="42" s="1" a="1"/>
  <c r="AH1387" i="42" s="1"/>
  <c r="Z1388" i="42"/>
  <c r="AA1388" i="42" s="1"/>
  <c r="AB1388" i="42"/>
  <c r="AC1388" i="42" s="1"/>
  <c r="AD1388" i="42"/>
  <c r="AH1388" i="42" s="1" a="1"/>
  <c r="AH1388" i="42" s="1"/>
  <c r="Z1389" i="42"/>
  <c r="AA1389" i="42" s="1"/>
  <c r="AB1389" i="42"/>
  <c r="AC1389" i="42" s="1"/>
  <c r="AD1389" i="42"/>
  <c r="AH1389" i="42" s="1" a="1"/>
  <c r="AH1389" i="42" s="1"/>
  <c r="Z1390" i="42"/>
  <c r="AA1390" i="42" s="1"/>
  <c r="AB1390" i="42"/>
  <c r="AC1390" i="42" s="1"/>
  <c r="AD1390" i="42"/>
  <c r="AH1390" i="42" s="1" a="1"/>
  <c r="AH1390" i="42" s="1"/>
  <c r="Z1391" i="42"/>
  <c r="AA1391" i="42" s="1"/>
  <c r="AB1391" i="42"/>
  <c r="AC1391" i="42" s="1"/>
  <c r="AD1391" i="42"/>
  <c r="AH1391" i="42" s="1" a="1"/>
  <c r="AH1391" i="42" s="1"/>
  <c r="Z1392" i="42"/>
  <c r="AA1392" i="42" s="1"/>
  <c r="AB1392" i="42"/>
  <c r="AC1392" i="42" s="1"/>
  <c r="AD1392" i="42"/>
  <c r="AH1392" i="42" s="1" a="1"/>
  <c r="AH1392" i="42" s="1"/>
  <c r="Z1393" i="42"/>
  <c r="AA1393" i="42" s="1"/>
  <c r="AB1393" i="42"/>
  <c r="AC1393" i="42" s="1"/>
  <c r="AD1393" i="42"/>
  <c r="AH1393" i="42" s="1" a="1"/>
  <c r="AH1393" i="42" s="1"/>
  <c r="Z1394" i="42"/>
  <c r="AA1394" i="42" s="1"/>
  <c r="AB1394" i="42"/>
  <c r="AC1394" i="42" s="1"/>
  <c r="AD1394" i="42"/>
  <c r="AH1394" i="42" s="1" a="1"/>
  <c r="AH1394" i="42" s="1"/>
  <c r="Z1395" i="42"/>
  <c r="AA1395" i="42" s="1"/>
  <c r="AB1395" i="42"/>
  <c r="AC1395" i="42" s="1"/>
  <c r="AD1395" i="42"/>
  <c r="AH1395" i="42" s="1" a="1"/>
  <c r="AH1395" i="42" s="1"/>
  <c r="Z1396" i="42"/>
  <c r="AA1396" i="42" s="1"/>
  <c r="AB1396" i="42"/>
  <c r="AC1396" i="42" s="1"/>
  <c r="AD1396" i="42"/>
  <c r="AH1396" i="42" s="1" a="1"/>
  <c r="AH1396" i="42" s="1"/>
  <c r="Z1397" i="42"/>
  <c r="AA1397" i="42" s="1"/>
  <c r="AB1397" i="42"/>
  <c r="AC1397" i="42" s="1"/>
  <c r="AD1397" i="42"/>
  <c r="AH1397" i="42" s="1" a="1"/>
  <c r="AH1397" i="42" s="1"/>
  <c r="Z1398" i="42"/>
  <c r="AA1398" i="42" s="1"/>
  <c r="AB1398" i="42"/>
  <c r="AC1398" i="42" s="1"/>
  <c r="AD1398" i="42"/>
  <c r="AH1398" i="42" s="1" a="1"/>
  <c r="AH1398" i="42" s="1"/>
  <c r="Z1399" i="42"/>
  <c r="AA1399" i="42" s="1"/>
  <c r="AB1399" i="42"/>
  <c r="AC1399" i="42" s="1"/>
  <c r="AD1399" i="42"/>
  <c r="AH1399" i="42" s="1" a="1"/>
  <c r="AH1399" i="42" s="1"/>
  <c r="Z1400" i="42"/>
  <c r="AA1400" i="42" s="1"/>
  <c r="AB1400" i="42"/>
  <c r="AC1400" i="42" s="1"/>
  <c r="AD1400" i="42"/>
  <c r="AH1400" i="42" s="1" a="1"/>
  <c r="AH1400" i="42" s="1"/>
  <c r="Z1401" i="42"/>
  <c r="AA1401" i="42" s="1"/>
  <c r="AB1401" i="42"/>
  <c r="AC1401" i="42" s="1"/>
  <c r="AD1401" i="42"/>
  <c r="AH1401" i="42" s="1" a="1"/>
  <c r="AH1401" i="42" s="1"/>
  <c r="Z1402" i="42"/>
  <c r="AA1402" i="42" s="1"/>
  <c r="AB1402" i="42"/>
  <c r="AC1402" i="42" s="1"/>
  <c r="AD1402" i="42"/>
  <c r="AH1402" i="42" s="1" a="1"/>
  <c r="AH1402" i="42" s="1"/>
  <c r="Z1403" i="42"/>
  <c r="AA1403" i="42" s="1"/>
  <c r="AB1403" i="42"/>
  <c r="AC1403" i="42" s="1"/>
  <c r="AD1403" i="42"/>
  <c r="AH1403" i="42" s="1" a="1"/>
  <c r="AH1403" i="42" s="1"/>
  <c r="Z1404" i="42"/>
  <c r="AA1404" i="42" s="1"/>
  <c r="AB1404" i="42"/>
  <c r="AC1404" i="42" s="1"/>
  <c r="AD1404" i="42"/>
  <c r="AH1404" i="42" s="1" a="1"/>
  <c r="AH1404" i="42" s="1"/>
  <c r="Z1405" i="42"/>
  <c r="AA1405" i="42" s="1"/>
  <c r="AB1405" i="42"/>
  <c r="AC1405" i="42" s="1"/>
  <c r="AD1405" i="42"/>
  <c r="AH1405" i="42" s="1" a="1"/>
  <c r="AH1405" i="42" s="1"/>
  <c r="Z1406" i="42"/>
  <c r="AA1406" i="42" s="1"/>
  <c r="AB1406" i="42"/>
  <c r="AC1406" i="42" s="1"/>
  <c r="AD1406" i="42"/>
  <c r="AH1406" i="42" s="1" a="1"/>
  <c r="AH1406" i="42" s="1"/>
  <c r="Z1407" i="42"/>
  <c r="AA1407" i="42" s="1"/>
  <c r="AB1407" i="42"/>
  <c r="AC1407" i="42" s="1"/>
  <c r="AD1407" i="42"/>
  <c r="AH1407" i="42" s="1" a="1"/>
  <c r="AH1407" i="42" s="1"/>
  <c r="Z1408" i="42"/>
  <c r="AA1408" i="42" s="1"/>
  <c r="AB1408" i="42"/>
  <c r="AC1408" i="42" s="1"/>
  <c r="AD1408" i="42"/>
  <c r="AH1408" i="42" s="1" a="1"/>
  <c r="AH1408" i="42" s="1"/>
  <c r="Z1409" i="42"/>
  <c r="AA1409" i="42" s="1"/>
  <c r="AB1409" i="42"/>
  <c r="AC1409" i="42" s="1"/>
  <c r="AD1409" i="42"/>
  <c r="AH1409" i="42" s="1" a="1"/>
  <c r="AH1409" i="42" s="1"/>
  <c r="Z1410" i="42"/>
  <c r="AA1410" i="42" s="1"/>
  <c r="AB1410" i="42"/>
  <c r="AC1410" i="42" s="1"/>
  <c r="AD1410" i="42"/>
  <c r="AH1410" i="42" s="1" a="1"/>
  <c r="AH1410" i="42" s="1"/>
  <c r="Z1411" i="42"/>
  <c r="AA1411" i="42" s="1"/>
  <c r="AB1411" i="42"/>
  <c r="AC1411" i="42" s="1"/>
  <c r="AD1411" i="42"/>
  <c r="AH1411" i="42" s="1" a="1"/>
  <c r="AH1411" i="42" s="1"/>
  <c r="Z1412" i="42"/>
  <c r="AA1412" i="42" s="1"/>
  <c r="AB1412" i="42"/>
  <c r="AC1412" i="42" s="1"/>
  <c r="AD1412" i="42"/>
  <c r="AH1412" i="42" s="1" a="1"/>
  <c r="AH1412" i="42" s="1"/>
  <c r="Z1413" i="42"/>
  <c r="AA1413" i="42" s="1"/>
  <c r="AB1413" i="42"/>
  <c r="AC1413" i="42" s="1"/>
  <c r="AD1413" i="42"/>
  <c r="AH1413" i="42" s="1" a="1"/>
  <c r="AH1413" i="42" s="1"/>
  <c r="P26" i="25"/>
  <c r="L26" i="25"/>
  <c r="H26" i="25"/>
  <c r="G26" i="25"/>
  <c r="F26" i="25"/>
  <c r="E26" i="25"/>
  <c r="X4" i="25"/>
  <c r="W4" i="25"/>
  <c r="T4" i="25"/>
  <c r="S4" i="25"/>
  <c r="Q4" i="25"/>
  <c r="P4" i="25"/>
  <c r="N4" i="25"/>
  <c r="M4" i="25"/>
  <c r="K4" i="25"/>
  <c r="J4" i="25"/>
  <c r="H4" i="25"/>
  <c r="G4" i="25"/>
  <c r="E4" i="25"/>
  <c r="D4" i="25"/>
  <c r="AB482" i="13"/>
  <c r="AC482" i="13" s="1"/>
  <c r="Z482" i="13"/>
  <c r="AA482" i="13" s="1"/>
  <c r="AB483" i="13"/>
  <c r="AC483" i="13" s="1"/>
  <c r="Z483" i="13"/>
  <c r="AA483" i="13" s="1"/>
  <c r="Z136" i="35"/>
  <c r="Z135" i="35"/>
  <c r="Z134" i="35"/>
  <c r="Z133" i="35"/>
  <c r="Z132" i="35"/>
  <c r="Z130" i="35"/>
  <c r="Z128" i="35"/>
  <c r="Z99" i="35"/>
  <c r="Z98" i="35"/>
  <c r="Z95" i="35"/>
  <c r="Z91" i="35"/>
  <c r="Z147" i="35"/>
  <c r="Z146" i="35"/>
  <c r="Z145" i="35"/>
  <c r="Z144" i="35"/>
  <c r="Z143" i="35"/>
  <c r="Z140" i="35"/>
  <c r="Z139" i="35"/>
  <c r="Z138" i="35"/>
  <c r="Z137" i="35"/>
  <c r="Z115" i="35"/>
  <c r="Z114" i="35"/>
  <c r="Z113" i="35"/>
  <c r="Z112" i="35"/>
  <c r="Z110" i="35"/>
  <c r="Z108" i="35"/>
  <c r="Z107" i="35"/>
  <c r="Z106" i="35"/>
  <c r="Z105" i="35"/>
  <c r="Z104" i="35"/>
  <c r="Z103" i="35"/>
  <c r="Z102" i="35"/>
  <c r="Z101" i="35"/>
  <c r="Z100" i="35"/>
  <c r="Z214" i="35"/>
  <c r="AA214" i="35" s="1"/>
  <c r="Z6" i="35"/>
  <c r="AA6" i="35" s="1"/>
  <c r="Z211" i="35"/>
  <c r="AA211" i="35" s="1"/>
  <c r="Z219" i="35"/>
  <c r="Z2" i="35"/>
  <c r="Z7" i="35"/>
  <c r="Z94" i="35"/>
  <c r="Z230" i="35"/>
  <c r="Z165" i="35"/>
  <c r="Z217" i="35"/>
  <c r="Z96" i="35"/>
  <c r="Z224" i="35"/>
  <c r="Z218" i="35"/>
  <c r="Z90" i="35"/>
  <c r="Z213" i="35"/>
  <c r="Z5" i="35"/>
  <c r="Z93" i="35"/>
  <c r="Z40" i="35"/>
  <c r="Z3" i="35"/>
  <c r="Z9" i="35"/>
  <c r="Z4" i="35"/>
  <c r="Z97" i="35"/>
  <c r="Z124" i="35"/>
  <c r="Z123" i="35"/>
  <c r="Z121" i="35"/>
  <c r="Z120" i="35"/>
  <c r="Z119" i="35"/>
  <c r="Z118" i="35"/>
  <c r="Z117" i="35"/>
  <c r="Z116" i="35"/>
  <c r="Z10" i="24"/>
  <c r="AA10" i="24" s="1"/>
  <c r="AD3" i="15"/>
  <c r="AH3" i="15" s="1" a="1"/>
  <c r="AH3" i="15" s="1"/>
  <c r="AD4" i="15"/>
  <c r="AH4" i="15" s="1" a="1"/>
  <c r="AH4" i="15" s="1"/>
  <c r="AD5" i="15"/>
  <c r="AH5" i="15" s="1" a="1"/>
  <c r="AH5" i="15" s="1"/>
  <c r="AD6" i="15"/>
  <c r="AH6" i="15" s="1" a="1"/>
  <c r="AH6" i="15" s="1"/>
  <c r="AD7" i="15"/>
  <c r="AH7" i="15" s="1" a="1"/>
  <c r="AH7" i="15" s="1"/>
  <c r="AD8" i="15"/>
  <c r="AH8" i="15" s="1" a="1"/>
  <c r="AH8" i="15" s="1"/>
  <c r="AD9" i="15"/>
  <c r="AH9" i="15" s="1" a="1"/>
  <c r="AH9" i="15" s="1"/>
  <c r="AD10" i="15"/>
  <c r="AH10" i="15" s="1" a="1"/>
  <c r="AH10" i="15" s="1"/>
  <c r="AD11" i="15"/>
  <c r="AH11" i="15" s="1" a="1"/>
  <c r="AH11" i="15" s="1"/>
  <c r="AD12" i="15"/>
  <c r="AD13" i="15"/>
  <c r="AH13" i="15" s="1" a="1"/>
  <c r="AH13" i="15" s="1"/>
  <c r="AD14" i="15"/>
  <c r="AH14" i="15" s="1" a="1"/>
  <c r="AH14" i="15" s="1"/>
  <c r="AD15" i="15"/>
  <c r="AH15" i="15" s="1" a="1"/>
  <c r="AH15" i="15" s="1"/>
  <c r="AD16" i="15"/>
  <c r="AH16" i="15" s="1" a="1"/>
  <c r="AH16" i="15" s="1"/>
  <c r="AD17" i="15"/>
  <c r="AH17" i="15" s="1" a="1"/>
  <c r="AH17" i="15" s="1"/>
  <c r="AD18" i="15"/>
  <c r="AH18" i="15" s="1" a="1"/>
  <c r="AH18" i="15" s="1"/>
  <c r="AD19" i="15"/>
  <c r="AH19" i="15" s="1" a="1"/>
  <c r="AH19" i="15" s="1"/>
  <c r="AD20" i="15"/>
  <c r="AH20" i="15" s="1" a="1"/>
  <c r="AH20" i="15" s="1"/>
  <c r="AD21" i="15"/>
  <c r="AH21" i="15" s="1" a="1"/>
  <c r="AH21" i="15" s="1"/>
  <c r="AD22" i="15"/>
  <c r="AH22" i="15" s="1" a="1"/>
  <c r="AH22" i="15" s="1"/>
  <c r="AD23" i="15"/>
  <c r="AH23" i="15" s="1" a="1"/>
  <c r="AH23" i="15" s="1"/>
  <c r="AD24" i="15"/>
  <c r="AH24" i="15" s="1" a="1"/>
  <c r="AH24" i="15" s="1"/>
  <c r="AD25" i="15"/>
  <c r="AH25" i="15" s="1" a="1"/>
  <c r="AH25" i="15" s="1"/>
  <c r="AD26" i="15"/>
  <c r="AH26" i="15" s="1" a="1"/>
  <c r="AH26" i="15" s="1"/>
  <c r="AD27" i="15"/>
  <c r="AH27" i="15" s="1" a="1"/>
  <c r="AH27" i="15" s="1"/>
  <c r="AD28" i="15"/>
  <c r="AH28" i="15" s="1" a="1"/>
  <c r="AH28" i="15" s="1"/>
  <c r="AD29" i="15"/>
  <c r="AH29" i="15" s="1" a="1"/>
  <c r="AH29" i="15" s="1"/>
  <c r="AD30" i="15"/>
  <c r="AH30" i="15" s="1" a="1"/>
  <c r="AH30" i="15" s="1"/>
  <c r="AD31" i="15"/>
  <c r="AH31" i="15" s="1" a="1"/>
  <c r="AH31" i="15" s="1"/>
  <c r="AD32" i="15"/>
  <c r="AH32" i="15" s="1" a="1"/>
  <c r="AH32" i="15" s="1"/>
  <c r="AD33" i="15"/>
  <c r="AH33" i="15" s="1" a="1"/>
  <c r="AH33" i="15" s="1"/>
  <c r="AD34" i="15"/>
  <c r="AH34" i="15" s="1" a="1"/>
  <c r="AH34" i="15" s="1"/>
  <c r="AD35" i="15"/>
  <c r="AH35" i="15" s="1" a="1"/>
  <c r="AH35" i="15" s="1"/>
  <c r="AD36" i="15"/>
  <c r="AD37" i="15"/>
  <c r="AH37" i="15" s="1" a="1"/>
  <c r="AH37" i="15" s="1"/>
  <c r="AD38" i="15"/>
  <c r="AH38" i="15" s="1" a="1"/>
  <c r="AH38" i="15" s="1"/>
  <c r="AD39" i="15"/>
  <c r="AH39" i="15" s="1" a="1"/>
  <c r="AH39" i="15" s="1"/>
  <c r="AD40" i="15"/>
  <c r="AH40" i="15" s="1" a="1"/>
  <c r="AH40" i="15" s="1"/>
  <c r="AD41" i="15"/>
  <c r="AH41" i="15" s="1" a="1"/>
  <c r="AH41" i="15" s="1"/>
  <c r="AD42" i="15"/>
  <c r="AH42" i="15" s="1" a="1"/>
  <c r="AH42" i="15" s="1"/>
  <c r="AD43" i="15"/>
  <c r="AH43" i="15" s="1" a="1"/>
  <c r="AH43" i="15" s="1"/>
  <c r="AD44" i="15"/>
  <c r="AH44" i="15" s="1" a="1"/>
  <c r="AH44" i="15" s="1"/>
  <c r="AD45" i="15"/>
  <c r="AH45" i="15" s="1" a="1"/>
  <c r="AH45" i="15" s="1"/>
  <c r="AD46" i="15"/>
  <c r="AH46" i="15" s="1" a="1"/>
  <c r="AH46" i="15" s="1"/>
  <c r="AD47" i="15"/>
  <c r="AH47" i="15" s="1" a="1"/>
  <c r="AH47" i="15" s="1"/>
  <c r="AD48" i="15"/>
  <c r="AH48" i="15" s="1" a="1"/>
  <c r="AH48" i="15" s="1"/>
  <c r="AD49" i="15"/>
  <c r="AH49" i="15" s="1" a="1"/>
  <c r="AH49" i="15" s="1"/>
  <c r="AD50" i="15"/>
  <c r="AH50" i="15" s="1" a="1"/>
  <c r="AH50" i="15" s="1"/>
  <c r="AD51" i="15"/>
  <c r="AH51" i="15" s="1" a="1"/>
  <c r="AH51" i="15" s="1"/>
  <c r="AD52" i="15"/>
  <c r="AH52" i="15" s="1" a="1"/>
  <c r="AH52" i="15" s="1"/>
  <c r="AD53" i="15"/>
  <c r="AH53" i="15" s="1" a="1"/>
  <c r="AH53" i="15" s="1"/>
  <c r="AD54" i="15"/>
  <c r="AH54" i="15" s="1" a="1"/>
  <c r="AH54" i="15" s="1"/>
  <c r="AD55" i="15"/>
  <c r="AH55" i="15" s="1" a="1"/>
  <c r="AH55" i="15" s="1"/>
  <c r="AD56" i="15"/>
  <c r="AH56" i="15" s="1" a="1"/>
  <c r="AH56" i="15" s="1"/>
  <c r="AD57" i="15"/>
  <c r="AH57" i="15" s="1" a="1"/>
  <c r="AH57" i="15" s="1"/>
  <c r="AD58" i="15"/>
  <c r="AH58" i="15" s="1" a="1"/>
  <c r="AH58" i="15" s="1"/>
  <c r="AD59" i="15"/>
  <c r="AH59" i="15" s="1" a="1"/>
  <c r="AH59" i="15" s="1"/>
  <c r="AD60" i="15"/>
  <c r="AH60" i="15" s="1" a="1"/>
  <c r="AH60" i="15" s="1"/>
  <c r="AD61" i="15"/>
  <c r="AH61" i="15" s="1" a="1"/>
  <c r="AH61" i="15" s="1"/>
  <c r="AD62" i="15"/>
  <c r="AH62" i="15" s="1" a="1"/>
  <c r="AH62" i="15" s="1"/>
  <c r="AD63" i="15"/>
  <c r="AH63" i="15" s="1" a="1"/>
  <c r="AH63" i="15" s="1"/>
  <c r="AD64" i="15"/>
  <c r="AH64" i="15" s="1" a="1"/>
  <c r="AH64" i="15" s="1"/>
  <c r="AD65" i="15"/>
  <c r="AH65" i="15" s="1" a="1"/>
  <c r="AH65" i="15" s="1"/>
  <c r="AD66" i="15"/>
  <c r="AH66" i="15" s="1" a="1"/>
  <c r="AH66" i="15" s="1"/>
  <c r="AD67" i="15"/>
  <c r="AH67" i="15" s="1" a="1"/>
  <c r="AH67" i="15" s="1"/>
  <c r="AD68" i="15"/>
  <c r="AH68" i="15" s="1" a="1"/>
  <c r="AH68" i="15" s="1"/>
  <c r="AD69" i="15"/>
  <c r="AH69" i="15" s="1" a="1"/>
  <c r="AH69" i="15" s="1"/>
  <c r="AD70" i="15"/>
  <c r="AH70" i="15" s="1" a="1"/>
  <c r="AH70" i="15" s="1"/>
  <c r="AD71" i="15"/>
  <c r="AH71" i="15" s="1" a="1"/>
  <c r="AH71" i="15" s="1"/>
  <c r="AD72" i="15"/>
  <c r="AH72" i="15" s="1" a="1"/>
  <c r="AH72" i="15" s="1"/>
  <c r="AD73" i="15"/>
  <c r="AH73" i="15" s="1" a="1"/>
  <c r="AH73" i="15" s="1"/>
  <c r="AD74" i="15"/>
  <c r="AH74" i="15" s="1" a="1"/>
  <c r="AH74" i="15" s="1"/>
  <c r="AD75" i="15"/>
  <c r="AH75" i="15" s="1" a="1"/>
  <c r="AH75" i="15" s="1"/>
  <c r="AD76" i="15"/>
  <c r="AD77" i="15"/>
  <c r="AH77" i="15" s="1" a="1"/>
  <c r="AH77" i="15" s="1"/>
  <c r="AD78" i="15"/>
  <c r="AH78" i="15" s="1" a="1"/>
  <c r="AH78" i="15" s="1"/>
  <c r="AD79" i="15"/>
  <c r="AH79" i="15" s="1" a="1"/>
  <c r="AH79" i="15" s="1"/>
  <c r="AD80" i="15"/>
  <c r="AH80" i="15" s="1" a="1"/>
  <c r="AH80" i="15" s="1"/>
  <c r="AD81" i="15"/>
  <c r="AH81" i="15" s="1" a="1"/>
  <c r="AH81" i="15" s="1"/>
  <c r="AD82" i="15"/>
  <c r="AH82" i="15" s="1" a="1"/>
  <c r="AH82" i="15" s="1"/>
  <c r="AD83" i="15"/>
  <c r="AH83" i="15" s="1" a="1"/>
  <c r="AH83" i="15" s="1"/>
  <c r="AD84" i="15"/>
  <c r="AH84" i="15" s="1" a="1"/>
  <c r="AH84" i="15" s="1"/>
  <c r="AD85" i="15"/>
  <c r="AH85" i="15" s="1" a="1"/>
  <c r="AH85" i="15" s="1"/>
  <c r="AD86" i="15"/>
  <c r="AH86" i="15" s="1" a="1"/>
  <c r="AH86" i="15" s="1"/>
  <c r="AD87" i="15"/>
  <c r="AH87" i="15" s="1" a="1"/>
  <c r="AH87" i="15" s="1"/>
  <c r="AD88" i="15"/>
  <c r="AH88" i="15" s="1" a="1"/>
  <c r="AH88" i="15" s="1"/>
  <c r="AD89" i="15"/>
  <c r="AH89" i="15" s="1" a="1"/>
  <c r="AH89" i="15" s="1"/>
  <c r="AD90" i="15"/>
  <c r="AH90" i="15" s="1" a="1"/>
  <c r="AH90" i="15" s="1"/>
  <c r="AD91" i="15"/>
  <c r="AH91" i="15" s="1" a="1"/>
  <c r="AH91" i="15" s="1"/>
  <c r="AD92" i="15"/>
  <c r="AH92" i="15" s="1" a="1"/>
  <c r="AH92" i="15" s="1"/>
  <c r="AD93" i="15"/>
  <c r="AH93" i="15" s="1" a="1"/>
  <c r="AH93" i="15" s="1"/>
  <c r="AD94" i="15"/>
  <c r="AH94" i="15" s="1" a="1"/>
  <c r="AH94" i="15" s="1"/>
  <c r="AD95" i="15"/>
  <c r="AH95" i="15" s="1" a="1"/>
  <c r="AH95" i="15" s="1"/>
  <c r="AD96" i="15"/>
  <c r="AH96" i="15" s="1" a="1"/>
  <c r="AH96" i="15" s="1"/>
  <c r="AD97" i="15"/>
  <c r="AH97" i="15" s="1" a="1"/>
  <c r="AH97" i="15" s="1"/>
  <c r="AD98" i="15"/>
  <c r="AH98" i="15" s="1" a="1"/>
  <c r="AH98" i="15" s="1"/>
  <c r="AD99" i="15"/>
  <c r="AH99" i="15" s="1" a="1"/>
  <c r="AH99" i="15" s="1"/>
  <c r="AD100" i="15"/>
  <c r="AH100" i="15" s="1" a="1"/>
  <c r="AH100" i="15" s="1"/>
  <c r="AD101" i="15"/>
  <c r="AH101" i="15" s="1" a="1"/>
  <c r="AH101" i="15" s="1"/>
  <c r="AD102" i="15"/>
  <c r="AH102" i="15" s="1" a="1"/>
  <c r="AH102" i="15" s="1"/>
  <c r="AD103" i="15"/>
  <c r="AH103" i="15" s="1" a="1"/>
  <c r="AH103" i="15" s="1"/>
  <c r="AD104" i="15"/>
  <c r="AH104" i="15" s="1" a="1"/>
  <c r="AH104" i="15" s="1"/>
  <c r="AD105" i="15"/>
  <c r="AH105" i="15" s="1" a="1"/>
  <c r="AH105" i="15" s="1"/>
  <c r="AD106" i="15"/>
  <c r="AH106" i="15" s="1" a="1"/>
  <c r="AH106" i="15" s="1"/>
  <c r="AD107" i="15"/>
  <c r="AH107" i="15" s="1" a="1"/>
  <c r="AH107" i="15" s="1"/>
  <c r="AD108" i="15"/>
  <c r="AH108" i="15" s="1" a="1"/>
  <c r="AH108" i="15" s="1"/>
  <c r="AD109" i="15"/>
  <c r="AH109" i="15" s="1" a="1"/>
  <c r="AH109" i="15" s="1"/>
  <c r="AD110" i="15"/>
  <c r="AH110" i="15" s="1" a="1"/>
  <c r="AH110" i="15" s="1"/>
  <c r="AD111" i="15"/>
  <c r="AH111" i="15" s="1" a="1"/>
  <c r="AH111" i="15" s="1"/>
  <c r="AD112" i="15"/>
  <c r="AD113" i="15"/>
  <c r="AH113" i="15" s="1" a="1"/>
  <c r="AH113" i="15" s="1"/>
  <c r="AD114" i="15"/>
  <c r="AH114" i="15" s="1" a="1"/>
  <c r="AH114" i="15" s="1"/>
  <c r="AD115" i="15"/>
  <c r="AH115" i="15" s="1" a="1"/>
  <c r="AH115" i="15" s="1"/>
  <c r="AD116" i="15"/>
  <c r="AH116" i="15" s="1" a="1"/>
  <c r="AH116" i="15" s="1"/>
  <c r="AD117" i="15"/>
  <c r="AH117" i="15" s="1" a="1"/>
  <c r="AH117" i="15" s="1"/>
  <c r="AD118" i="15"/>
  <c r="AH118" i="15" s="1" a="1"/>
  <c r="AH118" i="15" s="1"/>
  <c r="AD119" i="15"/>
  <c r="AH119" i="15" s="1" a="1"/>
  <c r="AH119" i="15" s="1"/>
  <c r="AD120" i="15"/>
  <c r="AH120" i="15" s="1" a="1"/>
  <c r="AH120" i="15" s="1"/>
  <c r="AD121" i="15"/>
  <c r="AH121" i="15" s="1" a="1"/>
  <c r="AH121" i="15" s="1"/>
  <c r="AD122" i="15"/>
  <c r="AH122" i="15" s="1" a="1"/>
  <c r="AH122" i="15" s="1"/>
  <c r="AD123" i="15"/>
  <c r="AH123" i="15" s="1" a="1"/>
  <c r="AH123" i="15" s="1"/>
  <c r="AD124" i="15"/>
  <c r="AH124" i="15" s="1" a="1"/>
  <c r="AH124" i="15" s="1"/>
  <c r="AD125" i="15"/>
  <c r="AH125" i="15" s="1" a="1"/>
  <c r="AH125" i="15" s="1"/>
  <c r="AD126" i="15"/>
  <c r="AH126" i="15" s="1" a="1"/>
  <c r="AH126" i="15" s="1"/>
  <c r="AD127" i="15"/>
  <c r="AH127" i="15" s="1" a="1"/>
  <c r="AH127" i="15" s="1"/>
  <c r="AD128" i="15"/>
  <c r="AH128" i="15" s="1" a="1"/>
  <c r="AH128" i="15" s="1"/>
  <c r="AD129" i="15"/>
  <c r="AH129" i="15" s="1" a="1"/>
  <c r="AH129" i="15" s="1"/>
  <c r="AD130" i="15"/>
  <c r="AH130" i="15" s="1" a="1"/>
  <c r="AH130" i="15" s="1"/>
  <c r="AD131" i="15"/>
  <c r="AH131" i="15" s="1" a="1"/>
  <c r="AH131" i="15" s="1"/>
  <c r="AD132" i="15"/>
  <c r="AH132" i="15" s="1" a="1"/>
  <c r="AH132" i="15" s="1"/>
  <c r="AD133" i="15"/>
  <c r="AH133" i="15" s="1" a="1"/>
  <c r="AH133" i="15" s="1"/>
  <c r="AD134" i="15"/>
  <c r="AH134" i="15" s="1" a="1"/>
  <c r="AH134" i="15" s="1"/>
  <c r="AD135" i="15"/>
  <c r="AH135" i="15" s="1" a="1"/>
  <c r="AH135" i="15" s="1"/>
  <c r="AD136" i="15"/>
  <c r="AH136" i="15" s="1" a="1"/>
  <c r="AH136" i="15" s="1"/>
  <c r="AD137" i="15"/>
  <c r="AH137" i="15" s="1" a="1"/>
  <c r="AH137" i="15" s="1"/>
  <c r="AD138" i="15"/>
  <c r="AD139" i="15"/>
  <c r="AH139" i="15" s="1" a="1"/>
  <c r="AH139" i="15" s="1"/>
  <c r="AD140" i="15"/>
  <c r="AH140" i="15" s="1" a="1"/>
  <c r="AH140" i="15" s="1"/>
  <c r="AD141" i="15"/>
  <c r="AH141" i="15" s="1" a="1"/>
  <c r="AH141" i="15" s="1"/>
  <c r="AD142" i="15"/>
  <c r="AH142" i="15" s="1" a="1"/>
  <c r="AH142" i="15" s="1"/>
  <c r="AD143" i="15"/>
  <c r="AH143" i="15" s="1" a="1"/>
  <c r="AH143" i="15" s="1"/>
  <c r="AD144" i="15"/>
  <c r="AH144" i="15" s="1" a="1"/>
  <c r="AH144" i="15" s="1"/>
  <c r="AD145" i="15"/>
  <c r="AH145" i="15" s="1" a="1"/>
  <c r="AH145" i="15" s="1"/>
  <c r="AD146" i="15"/>
  <c r="AH146" i="15" s="1" a="1"/>
  <c r="AH146" i="15" s="1"/>
  <c r="AD147" i="15"/>
  <c r="AH147" i="15" s="1" a="1"/>
  <c r="AH147" i="15" s="1"/>
  <c r="AD148" i="15"/>
  <c r="AH148" i="15" s="1" a="1"/>
  <c r="AH148" i="15" s="1"/>
  <c r="AD149" i="15"/>
  <c r="AH149" i="15" s="1" a="1"/>
  <c r="AH149" i="15" s="1"/>
  <c r="AD150" i="15"/>
  <c r="AH150" i="15" s="1" a="1"/>
  <c r="AH150" i="15" s="1"/>
  <c r="AD151" i="15"/>
  <c r="AH151" i="15" s="1" a="1"/>
  <c r="AH151" i="15" s="1"/>
  <c r="AD152" i="15"/>
  <c r="AH152" i="15" s="1" a="1"/>
  <c r="AH152" i="15" s="1"/>
  <c r="AD153" i="15"/>
  <c r="AH153" i="15" s="1" a="1"/>
  <c r="AH153" i="15" s="1"/>
  <c r="AD154" i="15"/>
  <c r="AH154" i="15" s="1" a="1"/>
  <c r="AH154" i="15" s="1"/>
  <c r="AD155" i="15"/>
  <c r="AH155" i="15" s="1" a="1"/>
  <c r="AH155" i="15" s="1"/>
  <c r="AD156" i="15"/>
  <c r="AH156" i="15" s="1" a="1"/>
  <c r="AH156" i="15" s="1"/>
  <c r="AD157" i="15"/>
  <c r="AH157" i="15" s="1" a="1"/>
  <c r="AH157" i="15" s="1"/>
  <c r="AD158" i="15"/>
  <c r="AH158" i="15" s="1" a="1"/>
  <c r="AH158" i="15" s="1"/>
  <c r="AD159" i="15"/>
  <c r="AH159" i="15" s="1" a="1"/>
  <c r="AH159" i="15" s="1"/>
  <c r="AD160" i="15"/>
  <c r="AH160" i="15" s="1" a="1"/>
  <c r="AH160" i="15" s="1"/>
  <c r="AD161" i="15"/>
  <c r="AH161" i="15" s="1" a="1"/>
  <c r="AH161" i="15" s="1"/>
  <c r="AD162" i="15"/>
  <c r="AH162" i="15" s="1" a="1"/>
  <c r="AH162" i="15" s="1"/>
  <c r="AD163" i="15"/>
  <c r="AH163" i="15" s="1" a="1"/>
  <c r="AH163" i="15" s="1"/>
  <c r="AD164" i="15"/>
  <c r="AH164" i="15" s="1" a="1"/>
  <c r="AH164" i="15" s="1"/>
  <c r="AD165" i="15"/>
  <c r="AH165" i="15" s="1" a="1"/>
  <c r="AH165" i="15" s="1"/>
  <c r="AD166" i="15"/>
  <c r="AH166" i="15" s="1" a="1"/>
  <c r="AH166" i="15" s="1"/>
  <c r="AD167" i="15"/>
  <c r="AH167" i="15" s="1" a="1"/>
  <c r="AH167" i="15" s="1"/>
  <c r="AD168" i="15"/>
  <c r="AD169" i="15"/>
  <c r="AH169" i="15" s="1" a="1"/>
  <c r="AH169" i="15" s="1"/>
  <c r="AD170" i="15"/>
  <c r="AH170" i="15" s="1" a="1"/>
  <c r="AH170" i="15" s="1"/>
  <c r="AD171" i="15"/>
  <c r="AH171" i="15" s="1" a="1"/>
  <c r="AH171" i="15" s="1"/>
  <c r="AD172" i="15"/>
  <c r="AH172" i="15" s="1" a="1"/>
  <c r="AH172" i="15" s="1"/>
  <c r="AD173" i="15"/>
  <c r="AH173" i="15" s="1" a="1"/>
  <c r="AH173" i="15" s="1"/>
  <c r="AD174" i="15"/>
  <c r="AH174" i="15" s="1" a="1"/>
  <c r="AH174" i="15" s="1"/>
  <c r="AD175" i="15"/>
  <c r="AH175" i="15" s="1" a="1"/>
  <c r="AH175" i="15" s="1"/>
  <c r="AD176" i="15"/>
  <c r="AH176" i="15" s="1" a="1"/>
  <c r="AH176" i="15" s="1"/>
  <c r="AD177" i="15"/>
  <c r="AH177" i="15" s="1" a="1"/>
  <c r="AH177" i="15" s="1"/>
  <c r="AD178" i="15"/>
  <c r="AH178" i="15" s="1" a="1"/>
  <c r="AH178" i="15" s="1"/>
  <c r="AD179" i="15"/>
  <c r="AH179" i="15" s="1" a="1"/>
  <c r="AH179" i="15" s="1"/>
  <c r="AD180" i="15"/>
  <c r="AD181" i="15"/>
  <c r="AH181" i="15" s="1" a="1"/>
  <c r="AH181" i="15" s="1"/>
  <c r="AD182" i="15"/>
  <c r="AH182" i="15" s="1" a="1"/>
  <c r="AH182" i="15" s="1"/>
  <c r="AD183" i="15"/>
  <c r="AH183" i="15" s="1" a="1"/>
  <c r="AH183" i="15" s="1"/>
  <c r="AD184" i="15"/>
  <c r="AH184" i="15" s="1" a="1"/>
  <c r="AH184" i="15" s="1"/>
  <c r="AD185" i="15"/>
  <c r="AH185" i="15" s="1" a="1"/>
  <c r="AH185" i="15" s="1"/>
  <c r="AD186" i="15"/>
  <c r="AH186" i="15" s="1" a="1"/>
  <c r="AH186" i="15" s="1"/>
  <c r="AD187" i="15"/>
  <c r="AH187" i="15" s="1" a="1"/>
  <c r="AH187" i="15" s="1"/>
  <c r="AD188" i="15"/>
  <c r="AH188" i="15" s="1" a="1"/>
  <c r="AH188" i="15" s="1"/>
  <c r="AD189" i="15"/>
  <c r="AH189" i="15" s="1" a="1"/>
  <c r="AH189" i="15" s="1"/>
  <c r="AD190" i="15"/>
  <c r="AH190" i="15" s="1" a="1"/>
  <c r="AH190" i="15" s="1"/>
  <c r="AD191" i="15"/>
  <c r="AH191" i="15" s="1" a="1"/>
  <c r="AH191" i="15" s="1"/>
  <c r="AD192" i="15"/>
  <c r="AH192" i="15" s="1" a="1"/>
  <c r="AH192" i="15" s="1"/>
  <c r="AD193" i="15"/>
  <c r="AH193" i="15" s="1" a="1"/>
  <c r="AH193" i="15" s="1"/>
  <c r="AD194" i="15"/>
  <c r="AH194" i="15" s="1" a="1"/>
  <c r="AH194" i="15" s="1"/>
  <c r="AD195" i="15"/>
  <c r="AH195" i="15" s="1" a="1"/>
  <c r="AH195" i="15" s="1"/>
  <c r="AD196" i="15"/>
  <c r="AH196" i="15" s="1" a="1"/>
  <c r="AH196" i="15" s="1"/>
  <c r="AD197" i="15"/>
  <c r="AH197" i="15" s="1" a="1"/>
  <c r="AH197" i="15" s="1"/>
  <c r="AD198" i="15"/>
  <c r="AH198" i="15" s="1" a="1"/>
  <c r="AH198" i="15" s="1"/>
  <c r="AD199" i="15"/>
  <c r="AH199" i="15" s="1" a="1"/>
  <c r="AH199" i="15" s="1"/>
  <c r="AD200" i="15"/>
  <c r="AH200" i="15" s="1" a="1"/>
  <c r="AH200" i="15" s="1"/>
  <c r="AD201" i="15"/>
  <c r="AH201" i="15" s="1" a="1"/>
  <c r="AH201" i="15" s="1"/>
  <c r="AD202" i="15"/>
  <c r="AH202" i="15" s="1" a="1"/>
  <c r="AH202" i="15" s="1"/>
  <c r="AD203" i="15"/>
  <c r="AH203" i="15" s="1" a="1"/>
  <c r="AH203" i="15" s="1"/>
  <c r="AD204" i="15"/>
  <c r="AH204" i="15" s="1" a="1"/>
  <c r="AH204" i="15" s="1"/>
  <c r="AD205" i="15"/>
  <c r="AH205" i="15" s="1" a="1"/>
  <c r="AH205" i="15" s="1"/>
  <c r="AD206" i="15"/>
  <c r="AH206" i="15" s="1" a="1"/>
  <c r="AH206" i="15" s="1"/>
  <c r="AD207" i="15"/>
  <c r="AH207" i="15" s="1" a="1"/>
  <c r="AH207" i="15" s="1"/>
  <c r="AD208" i="15"/>
  <c r="AH208" i="15" s="1" a="1"/>
  <c r="AH208" i="15" s="1"/>
  <c r="AD209" i="15"/>
  <c r="AH209" i="15" s="1" a="1"/>
  <c r="AH209" i="15" s="1"/>
  <c r="AD210" i="15"/>
  <c r="AH210" i="15" s="1" a="1"/>
  <c r="AH210" i="15" s="1"/>
  <c r="AD211" i="15"/>
  <c r="AH211" i="15" s="1" a="1"/>
  <c r="AH211" i="15" s="1"/>
  <c r="AD212" i="15"/>
  <c r="AH212" i="15" s="1" a="1"/>
  <c r="AH212" i="15" s="1"/>
  <c r="AD213" i="15"/>
  <c r="AH213" i="15" s="1" a="1"/>
  <c r="AH213" i="15" s="1"/>
  <c r="AD214" i="15"/>
  <c r="AH214" i="15" s="1" a="1"/>
  <c r="AH214" i="15" s="1"/>
  <c r="AD215" i="15"/>
  <c r="AH215" i="15" s="1" a="1"/>
  <c r="AH215" i="15" s="1"/>
  <c r="AD216" i="15"/>
  <c r="AH216" i="15" s="1" a="1"/>
  <c r="AH216" i="15" s="1"/>
  <c r="AD217" i="15"/>
  <c r="AH217" i="15" s="1" a="1"/>
  <c r="AH217" i="15" s="1"/>
  <c r="AD218" i="15"/>
  <c r="AH218" i="15" s="1" a="1"/>
  <c r="AH218" i="15" s="1"/>
  <c r="AD219" i="15"/>
  <c r="AH219" i="15" s="1" a="1"/>
  <c r="AH219" i="15" s="1"/>
  <c r="AD220" i="15"/>
  <c r="AH220" i="15" s="1" a="1"/>
  <c r="AH220" i="15" s="1"/>
  <c r="AD221" i="15"/>
  <c r="AH221" i="15" s="1" a="1"/>
  <c r="AH221" i="15" s="1"/>
  <c r="AD222" i="15"/>
  <c r="AH222" i="15" s="1" a="1"/>
  <c r="AH222" i="15" s="1"/>
  <c r="AD223" i="15"/>
  <c r="AH223" i="15" s="1" a="1"/>
  <c r="AH223" i="15" s="1"/>
  <c r="AD224" i="15"/>
  <c r="AH224" i="15" s="1" a="1"/>
  <c r="AH224" i="15" s="1"/>
  <c r="AD225" i="15"/>
  <c r="AH225" i="15" s="1" a="1"/>
  <c r="AH225" i="15" s="1"/>
  <c r="AD226" i="15"/>
  <c r="AD227" i="15"/>
  <c r="AH227" i="15" s="1" a="1"/>
  <c r="AH227" i="15" s="1"/>
  <c r="AD228" i="15"/>
  <c r="AD229" i="15"/>
  <c r="AH229" i="15" s="1" a="1"/>
  <c r="AH229" i="15" s="1"/>
  <c r="AD230" i="15"/>
  <c r="AH230" i="15" s="1" a="1"/>
  <c r="AH230" i="15" s="1"/>
  <c r="AD231" i="15"/>
  <c r="AH231" i="15" s="1" a="1"/>
  <c r="AH231" i="15" s="1"/>
  <c r="AD232" i="15"/>
  <c r="AH232" i="15" s="1" a="1"/>
  <c r="AH232" i="15" s="1"/>
  <c r="AD233" i="15"/>
  <c r="AH233" i="15" s="1" a="1"/>
  <c r="AH233" i="15" s="1"/>
  <c r="AD234" i="15"/>
  <c r="AH234" i="15" s="1" a="1"/>
  <c r="AH234" i="15" s="1"/>
  <c r="AD235" i="15"/>
  <c r="AH235" i="15" s="1" a="1"/>
  <c r="AH235" i="15" s="1"/>
  <c r="AD236" i="15"/>
  <c r="AH236" i="15" s="1" a="1"/>
  <c r="AH236" i="15" s="1"/>
  <c r="AD237" i="15"/>
  <c r="AH237" i="15" s="1" a="1"/>
  <c r="AH237" i="15" s="1"/>
  <c r="AD238" i="15"/>
  <c r="AH238" i="15" s="1" a="1"/>
  <c r="AH238" i="15" s="1"/>
  <c r="AD239" i="15"/>
  <c r="AH239" i="15" s="1" a="1"/>
  <c r="AH239" i="15" s="1"/>
  <c r="AD240" i="15"/>
  <c r="AH240" i="15" s="1" a="1"/>
  <c r="AH240" i="15" s="1"/>
  <c r="AD241" i="15"/>
  <c r="AH241" i="15" s="1" a="1"/>
  <c r="AH241" i="15" s="1"/>
  <c r="AD242" i="15"/>
  <c r="AH242" i="15" s="1" a="1"/>
  <c r="AH242" i="15" s="1"/>
  <c r="AD243" i="15"/>
  <c r="AH243" i="15" s="1" a="1"/>
  <c r="AH243" i="15" s="1"/>
  <c r="AD244" i="15"/>
  <c r="AH244" i="15" s="1" a="1"/>
  <c r="AH244" i="15" s="1"/>
  <c r="AD245" i="15"/>
  <c r="AH245" i="15" s="1" a="1"/>
  <c r="AH245" i="15" s="1"/>
  <c r="AD246" i="15"/>
  <c r="AH246" i="15" s="1" a="1"/>
  <c r="AH246" i="15" s="1"/>
  <c r="AD247" i="15"/>
  <c r="AH247" i="15" s="1" a="1"/>
  <c r="AH247" i="15" s="1"/>
  <c r="AD248" i="15"/>
  <c r="AH248" i="15" s="1" a="1"/>
  <c r="AH248" i="15" s="1"/>
  <c r="AD249" i="15"/>
  <c r="AH249" i="15" s="1" a="1"/>
  <c r="AH249" i="15" s="1"/>
  <c r="AD250" i="15"/>
  <c r="AH250" i="15" s="1" a="1"/>
  <c r="AH250" i="15" s="1"/>
  <c r="AD251" i="15"/>
  <c r="AH251" i="15" s="1" a="1"/>
  <c r="AH251" i="15" s="1"/>
  <c r="AD252" i="15"/>
  <c r="AH252" i="15" s="1" a="1"/>
  <c r="AH252" i="15" s="1"/>
  <c r="AD253" i="15"/>
  <c r="AH253" i="15" s="1" a="1"/>
  <c r="AH253" i="15" s="1"/>
  <c r="AD254" i="15"/>
  <c r="AH254" i="15" s="1" a="1"/>
  <c r="AH254" i="15" s="1"/>
  <c r="AD255" i="15"/>
  <c r="AH255" i="15" s="1" a="1"/>
  <c r="AH255" i="15" s="1"/>
  <c r="AD256" i="15"/>
  <c r="AH256" i="15" s="1" a="1"/>
  <c r="AH256" i="15" s="1"/>
  <c r="AD257" i="15"/>
  <c r="AH257" i="15" s="1" a="1"/>
  <c r="AH257" i="15" s="1"/>
  <c r="AD258" i="15"/>
  <c r="AH258" i="15" s="1" a="1"/>
  <c r="AH258" i="15" s="1"/>
  <c r="AD259" i="15"/>
  <c r="AH259" i="15" s="1" a="1"/>
  <c r="AH259" i="15" s="1"/>
  <c r="AD260" i="15"/>
  <c r="AD261" i="15"/>
  <c r="AH261" i="15" s="1" a="1"/>
  <c r="AH261" i="15" s="1"/>
  <c r="AD262" i="15"/>
  <c r="AH262" i="15" s="1" a="1"/>
  <c r="AH262" i="15" s="1"/>
  <c r="AD263" i="15"/>
  <c r="AH263" i="15" s="1" a="1"/>
  <c r="AH263" i="15" s="1"/>
  <c r="AD264" i="15"/>
  <c r="AH264" i="15" s="1" a="1"/>
  <c r="AH264" i="15" s="1"/>
  <c r="AD265" i="15"/>
  <c r="AH265" i="15" s="1" a="1"/>
  <c r="AH265" i="15" s="1"/>
  <c r="AD266" i="15"/>
  <c r="AH266" i="15" s="1" a="1"/>
  <c r="AH266" i="15" s="1"/>
  <c r="AD267" i="15"/>
  <c r="AH267" i="15" s="1" a="1"/>
  <c r="AH267" i="15" s="1"/>
  <c r="AD268" i="15"/>
  <c r="AH268" i="15" s="1" a="1"/>
  <c r="AH268" i="15" s="1"/>
  <c r="AD269" i="15"/>
  <c r="AH269" i="15" s="1" a="1"/>
  <c r="AH269" i="15" s="1"/>
  <c r="AD270" i="15"/>
  <c r="AH270" i="15" s="1" a="1"/>
  <c r="AH270" i="15" s="1"/>
  <c r="AD271" i="15"/>
  <c r="AH271" i="15" s="1" a="1"/>
  <c r="AH271" i="15" s="1"/>
  <c r="AD272" i="15"/>
  <c r="AH272" i="15" s="1" a="1"/>
  <c r="AH272" i="15" s="1"/>
  <c r="AD273" i="15"/>
  <c r="AH273" i="15" s="1" a="1"/>
  <c r="AH273" i="15" s="1"/>
  <c r="AD274" i="15"/>
  <c r="AH274" i="15" s="1" a="1"/>
  <c r="AH274" i="15" s="1"/>
  <c r="AD275" i="15"/>
  <c r="AH275" i="15" s="1" a="1"/>
  <c r="AH275" i="15" s="1"/>
  <c r="AD276" i="15"/>
  <c r="AD277" i="15"/>
  <c r="AH277" i="15" s="1" a="1"/>
  <c r="AH277" i="15" s="1"/>
  <c r="AD278" i="15"/>
  <c r="AH278" i="15" s="1" a="1"/>
  <c r="AH278" i="15" s="1"/>
  <c r="AD279" i="15"/>
  <c r="AH279" i="15" s="1" a="1"/>
  <c r="AH279" i="15" s="1"/>
  <c r="AD280" i="15"/>
  <c r="AH280" i="15" s="1" a="1"/>
  <c r="AH280" i="15" s="1"/>
  <c r="AD281" i="15"/>
  <c r="AH281" i="15" s="1" a="1"/>
  <c r="AH281" i="15" s="1"/>
  <c r="AD282" i="15"/>
  <c r="AH282" i="15" s="1" a="1"/>
  <c r="AH282" i="15" s="1"/>
  <c r="AD283" i="15"/>
  <c r="AH283" i="15" s="1" a="1"/>
  <c r="AH283" i="15" s="1"/>
  <c r="AD284" i="15"/>
  <c r="AH284" i="15" s="1" a="1"/>
  <c r="AH284" i="15" s="1"/>
  <c r="AD285" i="15"/>
  <c r="AH285" i="15" s="1" a="1"/>
  <c r="AH285" i="15" s="1"/>
  <c r="AD286" i="15"/>
  <c r="AH286" i="15" s="1" a="1"/>
  <c r="AH286" i="15" s="1"/>
  <c r="AD287" i="15"/>
  <c r="AH287" i="15" s="1" a="1"/>
  <c r="AH287" i="15" s="1"/>
  <c r="AD288" i="15"/>
  <c r="AH288" i="15" s="1" a="1"/>
  <c r="AH288" i="15" s="1"/>
  <c r="AD289" i="15"/>
  <c r="AH289" i="15" s="1" a="1"/>
  <c r="AH289" i="15" s="1"/>
  <c r="AD290" i="15"/>
  <c r="AH290" i="15" s="1" a="1"/>
  <c r="AH290" i="15" s="1"/>
  <c r="AD291" i="15"/>
  <c r="AH291" i="15" s="1" a="1"/>
  <c r="AH291" i="15" s="1"/>
  <c r="AD292" i="15"/>
  <c r="AD293" i="15"/>
  <c r="AH293" i="15" s="1" a="1"/>
  <c r="AH293" i="15" s="1"/>
  <c r="AD294" i="15"/>
  <c r="AH294" i="15" s="1" a="1"/>
  <c r="AH294" i="15" s="1"/>
  <c r="AD295" i="15"/>
  <c r="AH295" i="15" s="1" a="1"/>
  <c r="AH295" i="15" s="1"/>
  <c r="AD296" i="15"/>
  <c r="AH296" i="15" s="1" a="1"/>
  <c r="AH296" i="15" s="1"/>
  <c r="AD297" i="15"/>
  <c r="AH297" i="15" s="1" a="1"/>
  <c r="AH297" i="15" s="1"/>
  <c r="AD298" i="15"/>
  <c r="AH298" i="15" s="1" a="1"/>
  <c r="AH298" i="15" s="1"/>
  <c r="AD299" i="15"/>
  <c r="AH299" i="15" s="1" a="1"/>
  <c r="AH299" i="15" s="1"/>
  <c r="AD300" i="15"/>
  <c r="AH300" i="15" s="1" a="1"/>
  <c r="AH300" i="15" s="1"/>
  <c r="AD301" i="15"/>
  <c r="AH301" i="15" s="1" a="1"/>
  <c r="AH301" i="15" s="1"/>
  <c r="AD302" i="15"/>
  <c r="AH302" i="15" s="1" a="1"/>
  <c r="AH302" i="15" s="1"/>
  <c r="AD303" i="15"/>
  <c r="AH303" i="15" s="1" a="1"/>
  <c r="AH303" i="15" s="1"/>
  <c r="AD304" i="15"/>
  <c r="AH304" i="15" s="1" a="1"/>
  <c r="AH304" i="15" s="1"/>
  <c r="AD305" i="15"/>
  <c r="AH305" i="15" s="1" a="1"/>
  <c r="AH305" i="15" s="1"/>
  <c r="AD306" i="15"/>
  <c r="AH306" i="15" s="1" a="1"/>
  <c r="AH306" i="15" s="1"/>
  <c r="AD307" i="15"/>
  <c r="AH307" i="15" s="1" a="1"/>
  <c r="AH307" i="15" s="1"/>
  <c r="AD308" i="15"/>
  <c r="AH308" i="15" s="1" a="1"/>
  <c r="AH308" i="15" s="1"/>
  <c r="AD309" i="15"/>
  <c r="AH309" i="15" s="1" a="1"/>
  <c r="AH309" i="15" s="1"/>
  <c r="AD310" i="15"/>
  <c r="AH310" i="15" s="1" a="1"/>
  <c r="AH310" i="15" s="1"/>
  <c r="AD311" i="15"/>
  <c r="AH311" i="15" s="1" a="1"/>
  <c r="AH311" i="15" s="1"/>
  <c r="AD312" i="15"/>
  <c r="AH312" i="15" s="1" a="1"/>
  <c r="AH312" i="15" s="1"/>
  <c r="AD313" i="15"/>
  <c r="AH313" i="15" s="1" a="1"/>
  <c r="AH313" i="15" s="1"/>
  <c r="AD314" i="15"/>
  <c r="AH314" i="15" s="1" a="1"/>
  <c r="AH314" i="15" s="1"/>
  <c r="AD315" i="15"/>
  <c r="AH315" i="15" s="1" a="1"/>
  <c r="AH315" i="15" s="1"/>
  <c r="AD316" i="15"/>
  <c r="AH316" i="15" s="1" a="1"/>
  <c r="AH316" i="15" s="1"/>
  <c r="AD317" i="15"/>
  <c r="AH317" i="15" s="1" a="1"/>
  <c r="AH317" i="15" s="1"/>
  <c r="AD318" i="15"/>
  <c r="AH318" i="15" s="1" a="1"/>
  <c r="AH318" i="15" s="1"/>
  <c r="AD319" i="15"/>
  <c r="AH319" i="15" s="1" a="1"/>
  <c r="AH319" i="15" s="1"/>
  <c r="AD320" i="15"/>
  <c r="AH320" i="15" s="1" a="1"/>
  <c r="AH320" i="15" s="1"/>
  <c r="AD321" i="15"/>
  <c r="AH321" i="15" s="1" a="1"/>
  <c r="AH321" i="15" s="1"/>
  <c r="AD322" i="15"/>
  <c r="AH322" i="15" s="1" a="1"/>
  <c r="AH322" i="15" s="1"/>
  <c r="AD323" i="15"/>
  <c r="AH323" i="15" s="1" a="1"/>
  <c r="AH323" i="15" s="1"/>
  <c r="AD324" i="15"/>
  <c r="AD325" i="15"/>
  <c r="AH325" i="15" s="1" a="1"/>
  <c r="AH325" i="15" s="1"/>
  <c r="AD326" i="15"/>
  <c r="AH326" i="15" s="1" a="1"/>
  <c r="AH326" i="15" s="1"/>
  <c r="AD327" i="15"/>
  <c r="AH327" i="15" s="1" a="1"/>
  <c r="AH327" i="15" s="1"/>
  <c r="AD328" i="15"/>
  <c r="AD329" i="15"/>
  <c r="AH329" i="15" s="1" a="1"/>
  <c r="AH329" i="15" s="1"/>
  <c r="AD330" i="15"/>
  <c r="AH330" i="15" s="1" a="1"/>
  <c r="AH330" i="15" s="1"/>
  <c r="AD331" i="15"/>
  <c r="AH331" i="15" s="1" a="1"/>
  <c r="AH331" i="15" s="1"/>
  <c r="AD332" i="15"/>
  <c r="AH332" i="15" s="1" a="1"/>
  <c r="AH332" i="15" s="1"/>
  <c r="AD333" i="15"/>
  <c r="AH333" i="15" s="1" a="1"/>
  <c r="AH333" i="15" s="1"/>
  <c r="AD334" i="15"/>
  <c r="AH334" i="15" s="1" a="1"/>
  <c r="AH334" i="15" s="1"/>
  <c r="AD335" i="15"/>
  <c r="AD336" i="15"/>
  <c r="AH336" i="15" s="1" a="1"/>
  <c r="AH336" i="15" s="1"/>
  <c r="AD337" i="15"/>
  <c r="AH337" i="15" s="1" a="1"/>
  <c r="AH337" i="15" s="1"/>
  <c r="AD338" i="15"/>
  <c r="AH338" i="15" s="1" a="1"/>
  <c r="AH338" i="15" s="1"/>
  <c r="AD339" i="15"/>
  <c r="AH339" i="15" s="1" a="1"/>
  <c r="AH339" i="15" s="1"/>
  <c r="AD340" i="15"/>
  <c r="AH340" i="15" s="1" a="1"/>
  <c r="AH340" i="15" s="1"/>
  <c r="AD341" i="15"/>
  <c r="AH341" i="15" s="1" a="1"/>
  <c r="AH341" i="15" s="1"/>
  <c r="AD342" i="15"/>
  <c r="AH342" i="15" s="1" a="1"/>
  <c r="AH342" i="15" s="1"/>
  <c r="AD343" i="15"/>
  <c r="AH343" i="15" s="1" a="1"/>
  <c r="AH343" i="15" s="1"/>
  <c r="AD2" i="15"/>
  <c r="AH2" i="15" s="1" a="1"/>
  <c r="AH2" i="15" s="1"/>
  <c r="AD11" i="24"/>
  <c r="AH11" i="24" s="1" a="1"/>
  <c r="AH11" i="24" s="1"/>
  <c r="AD19" i="24"/>
  <c r="AH19" i="24" s="1" a="1"/>
  <c r="AH19" i="24" s="1"/>
  <c r="AD20" i="24"/>
  <c r="AH20" i="24" s="1" a="1"/>
  <c r="AH20" i="24" s="1"/>
  <c r="AD21" i="24"/>
  <c r="AD7" i="24"/>
  <c r="AH7" i="24" s="1" a="1"/>
  <c r="AH7" i="24" s="1"/>
  <c r="AD8" i="24"/>
  <c r="AH8" i="24" s="1" a="1"/>
  <c r="AH8" i="24" s="1"/>
  <c r="AD9" i="24"/>
  <c r="AH9" i="24" s="1" a="1"/>
  <c r="AH9" i="24" s="1"/>
  <c r="AD3" i="24"/>
  <c r="AH3" i="24" s="1" a="1"/>
  <c r="AH3" i="24" s="1"/>
  <c r="AD2" i="24"/>
  <c r="AH2" i="24" s="1" a="1"/>
  <c r="AH2" i="24" s="1"/>
  <c r="AD24" i="24"/>
  <c r="AH24" i="24" s="1" a="1"/>
  <c r="AH24" i="24" s="1"/>
  <c r="AD25" i="24"/>
  <c r="AH25" i="24" s="1" a="1"/>
  <c r="AH25" i="24" s="1"/>
  <c r="AD27" i="24"/>
  <c r="AH27" i="24" s="1" a="1"/>
  <c r="AH27" i="24" s="1"/>
  <c r="AD28" i="24"/>
  <c r="AH28" i="24" s="1" a="1"/>
  <c r="AH28" i="24" s="1"/>
  <c r="AD31" i="24"/>
  <c r="AH31" i="24" s="1" a="1"/>
  <c r="AH31" i="24" s="1"/>
  <c r="AD32" i="24"/>
  <c r="AH32" i="24" s="1" a="1"/>
  <c r="AH32" i="24" s="1"/>
  <c r="AD34" i="24"/>
  <c r="AH34" i="24" s="1" a="1"/>
  <c r="AH34" i="24" s="1"/>
  <c r="AD39" i="24"/>
  <c r="AH39" i="24" s="1" a="1"/>
  <c r="AH39" i="24" s="1"/>
  <c r="AD26" i="24"/>
  <c r="AH26" i="24" s="1" a="1"/>
  <c r="AH26" i="24" s="1"/>
  <c r="AD4" i="24"/>
  <c r="AH4" i="24" s="1" a="1"/>
  <c r="AH4" i="24" s="1"/>
  <c r="AD5" i="24"/>
  <c r="AD6" i="24"/>
  <c r="AH6" i="24" s="1" a="1"/>
  <c r="AH6" i="24" s="1"/>
  <c r="AD12" i="24"/>
  <c r="AH12" i="24" s="1" a="1"/>
  <c r="AH12" i="24" s="1"/>
  <c r="AD13" i="24"/>
  <c r="AH13" i="24" s="1" a="1"/>
  <c r="AH13" i="24" s="1"/>
  <c r="AD14" i="24"/>
  <c r="AH14" i="24" s="1" a="1"/>
  <c r="AH14" i="24" s="1"/>
  <c r="AD15" i="24"/>
  <c r="AH15" i="24" s="1" a="1"/>
  <c r="AH15" i="24" s="1"/>
  <c r="AD16" i="24"/>
  <c r="AH16" i="24" s="1" a="1"/>
  <c r="AH16" i="24" s="1"/>
  <c r="AD17" i="24"/>
  <c r="AH17" i="24" s="1" a="1"/>
  <c r="AH17" i="24" s="1"/>
  <c r="AD18" i="24"/>
  <c r="AD22" i="24"/>
  <c r="AH22" i="24" s="1" a="1"/>
  <c r="AH22" i="24" s="1"/>
  <c r="AD23" i="24"/>
  <c r="AH23" i="24" s="1" a="1"/>
  <c r="AH23" i="24" s="1"/>
  <c r="AD29" i="24"/>
  <c r="AH29" i="24" s="1" a="1"/>
  <c r="AH29" i="24" s="1"/>
  <c r="AD30" i="24"/>
  <c r="AH30" i="24" s="1" a="1"/>
  <c r="AH30" i="24" s="1"/>
  <c r="AD33" i="24"/>
  <c r="AH33" i="24" s="1" a="1"/>
  <c r="AH33" i="24" s="1"/>
  <c r="AD35" i="24"/>
  <c r="AH35" i="24" s="1" a="1"/>
  <c r="AH35" i="24" s="1"/>
  <c r="AD36" i="24"/>
  <c r="AH36" i="24" s="1" a="1"/>
  <c r="AH36" i="24" s="1"/>
  <c r="AD37" i="24"/>
  <c r="AH37" i="24" s="1" a="1"/>
  <c r="AH37" i="24" s="1"/>
  <c r="AD38" i="24"/>
  <c r="AH38" i="24" s="1" a="1"/>
  <c r="AH38" i="24" s="1"/>
  <c r="AD40" i="24"/>
  <c r="AH40" i="24" s="1" a="1"/>
  <c r="AH40" i="24" s="1"/>
  <c r="AD41" i="24"/>
  <c r="AH41" i="24" s="1" a="1"/>
  <c r="AH41" i="24" s="1"/>
  <c r="AD42" i="24"/>
  <c r="AH42" i="24" s="1" a="1"/>
  <c r="AH42" i="24" s="1"/>
  <c r="AD43" i="24"/>
  <c r="AH43" i="24" s="1" a="1"/>
  <c r="AH43" i="24" s="1"/>
  <c r="AD44" i="24"/>
  <c r="AH44" i="24" s="1" a="1"/>
  <c r="AH44" i="24" s="1"/>
  <c r="AD45" i="24"/>
  <c r="AH45" i="24" s="1" a="1"/>
  <c r="AH45" i="24" s="1"/>
  <c r="AD46" i="24"/>
  <c r="AH46" i="24" s="1" a="1"/>
  <c r="AH46" i="24" s="1"/>
  <c r="AD47" i="24"/>
  <c r="AH47" i="24" s="1" a="1"/>
  <c r="AH47" i="24" s="1"/>
  <c r="AD48" i="24"/>
  <c r="AH48" i="24" s="1" a="1"/>
  <c r="AH48" i="24" s="1"/>
  <c r="AD49" i="24"/>
  <c r="AH49" i="24" s="1" a="1"/>
  <c r="AH49" i="24" s="1"/>
  <c r="AD50" i="24"/>
  <c r="AH50" i="24" s="1" a="1"/>
  <c r="AH50" i="24" s="1"/>
  <c r="AD51" i="24"/>
  <c r="AH51" i="24" s="1" a="1"/>
  <c r="AH51" i="24" s="1"/>
  <c r="AD52" i="24"/>
  <c r="AH52" i="24" s="1" a="1"/>
  <c r="AH52" i="24" s="1"/>
  <c r="AD53" i="24"/>
  <c r="AH53" i="24" s="1" a="1"/>
  <c r="AH53" i="24" s="1"/>
  <c r="AD54" i="24"/>
  <c r="AD55" i="24"/>
  <c r="AH55" i="24" s="1" a="1"/>
  <c r="AH55" i="24" s="1"/>
  <c r="AD56" i="24"/>
  <c r="AH56" i="24" s="1" a="1"/>
  <c r="AH56" i="24" s="1"/>
  <c r="AD57" i="24"/>
  <c r="AH57" i="24" s="1" a="1"/>
  <c r="AH57" i="24" s="1"/>
  <c r="AD58" i="24"/>
  <c r="AH58" i="24" s="1" a="1"/>
  <c r="AH58" i="24" s="1"/>
  <c r="AD59" i="24"/>
  <c r="AH59" i="24" s="1" a="1"/>
  <c r="AH59" i="24" s="1"/>
  <c r="AD60" i="24"/>
  <c r="AH60" i="24" s="1" a="1"/>
  <c r="AH60" i="24" s="1"/>
  <c r="AD61" i="24"/>
  <c r="AH61" i="24" s="1" a="1"/>
  <c r="AH61" i="24" s="1"/>
  <c r="AD62" i="24"/>
  <c r="AD63" i="24"/>
  <c r="AD64" i="24"/>
  <c r="AH64" i="24" s="1" a="1"/>
  <c r="AH64" i="24" s="1"/>
  <c r="AD65" i="24"/>
  <c r="AD66" i="24"/>
  <c r="AH66" i="24" s="1" a="1"/>
  <c r="AH66" i="24" s="1"/>
  <c r="AD67" i="24"/>
  <c r="AH67" i="24" s="1" a="1"/>
  <c r="AH67" i="24" s="1"/>
  <c r="AD68" i="24"/>
  <c r="AH68" i="24" s="1" a="1"/>
  <c r="AH68" i="24" s="1"/>
  <c r="AD69" i="24"/>
  <c r="AH69" i="24" s="1" a="1"/>
  <c r="AH69" i="24" s="1"/>
  <c r="AD70" i="24"/>
  <c r="AH70" i="24" s="1" a="1"/>
  <c r="AH70" i="24" s="1"/>
  <c r="AD71" i="24"/>
  <c r="AH71" i="24" s="1" a="1"/>
  <c r="AH71" i="24" s="1"/>
  <c r="AD72" i="24"/>
  <c r="AH72" i="24" s="1" a="1"/>
  <c r="AH72" i="24" s="1"/>
  <c r="AD73" i="24"/>
  <c r="AH73" i="24" s="1" a="1"/>
  <c r="AH73" i="24" s="1"/>
  <c r="AD74" i="24"/>
  <c r="AH74" i="24" s="1" a="1"/>
  <c r="AH74" i="24" s="1"/>
  <c r="AD75" i="24"/>
  <c r="AH75" i="24" s="1" a="1"/>
  <c r="AH75" i="24" s="1"/>
  <c r="AD76" i="24"/>
  <c r="AH76" i="24" s="1" a="1"/>
  <c r="AH76" i="24" s="1"/>
  <c r="AD77" i="24"/>
  <c r="AH77" i="24" s="1" a="1"/>
  <c r="AH77" i="24" s="1"/>
  <c r="AD78" i="24"/>
  <c r="AD79" i="24"/>
  <c r="AH79" i="24" s="1" a="1"/>
  <c r="AH79" i="24" s="1"/>
  <c r="AD80" i="24"/>
  <c r="AH80" i="24" s="1" a="1"/>
  <c r="AH80" i="24" s="1"/>
  <c r="AD81" i="24"/>
  <c r="AH81" i="24" s="1" a="1"/>
  <c r="AH81" i="24" s="1"/>
  <c r="AD82" i="24"/>
  <c r="AH82" i="24" s="1" a="1"/>
  <c r="AH82" i="24" s="1"/>
  <c r="AD83" i="24"/>
  <c r="AH83" i="24" s="1" a="1"/>
  <c r="AH83" i="24" s="1"/>
  <c r="AD84" i="24"/>
  <c r="AH84" i="24" s="1" a="1"/>
  <c r="AH84" i="24" s="1"/>
  <c r="AD85" i="24"/>
  <c r="AH85" i="24" s="1" a="1"/>
  <c r="AH85" i="24" s="1"/>
  <c r="AD86" i="24"/>
  <c r="AH86" i="24" s="1" a="1"/>
  <c r="AH86" i="24" s="1"/>
  <c r="AD87" i="24"/>
  <c r="AH87" i="24" s="1" a="1"/>
  <c r="AH87" i="24" s="1"/>
  <c r="AD88" i="24"/>
  <c r="AH88" i="24" s="1" a="1"/>
  <c r="AH88" i="24" s="1"/>
  <c r="AD89" i="24"/>
  <c r="AH89" i="24" s="1" a="1"/>
  <c r="AH89" i="24" s="1"/>
  <c r="AD90" i="24"/>
  <c r="AH90" i="24" s="1" a="1"/>
  <c r="AH90" i="24" s="1"/>
  <c r="AD91" i="24"/>
  <c r="AH91" i="24" s="1" a="1"/>
  <c r="AH91" i="24" s="1"/>
  <c r="AD92" i="24"/>
  <c r="AH92" i="24" s="1" a="1"/>
  <c r="AH92" i="24" s="1"/>
  <c r="AD93" i="24"/>
  <c r="AH93" i="24" s="1" a="1"/>
  <c r="AH93" i="24" s="1"/>
  <c r="AD94" i="24"/>
  <c r="AH94" i="24" s="1" a="1"/>
  <c r="AH94" i="24" s="1"/>
  <c r="AD95" i="24"/>
  <c r="AH95" i="24" s="1" a="1"/>
  <c r="AH95" i="24" s="1"/>
  <c r="AD96" i="24"/>
  <c r="AH96" i="24" s="1" a="1"/>
  <c r="AH96" i="24" s="1"/>
  <c r="AD97" i="24"/>
  <c r="AH97" i="24" s="1" a="1"/>
  <c r="AH97" i="24" s="1"/>
  <c r="AD98" i="24"/>
  <c r="AH98" i="24" s="1" a="1"/>
  <c r="AH98" i="24" s="1"/>
  <c r="AD99" i="24"/>
  <c r="AH99" i="24" s="1" a="1"/>
  <c r="AH99" i="24" s="1"/>
  <c r="AD100" i="24"/>
  <c r="AH100" i="24" s="1" a="1"/>
  <c r="AH100" i="24" s="1"/>
  <c r="AD101" i="24"/>
  <c r="AH101" i="24" s="1" a="1"/>
  <c r="AH101" i="24" s="1"/>
  <c r="AD102" i="24"/>
  <c r="AD103" i="24"/>
  <c r="AH103" i="24" s="1" a="1"/>
  <c r="AH103" i="24" s="1"/>
  <c r="AD104" i="24"/>
  <c r="AH104" i="24" s="1" a="1"/>
  <c r="AH104" i="24" s="1"/>
  <c r="AD105" i="24"/>
  <c r="AH105" i="24" s="1" a="1"/>
  <c r="AH105" i="24" s="1"/>
  <c r="AD106" i="24"/>
  <c r="AH106" i="24" s="1" a="1"/>
  <c r="AH106" i="24" s="1"/>
  <c r="AD107" i="24"/>
  <c r="AH107" i="24" s="1" a="1"/>
  <c r="AH107" i="24" s="1"/>
  <c r="AD108" i="24"/>
  <c r="AH108" i="24" s="1" a="1"/>
  <c r="AH108" i="24" s="1"/>
  <c r="AD109" i="24"/>
  <c r="AH109" i="24" s="1" a="1"/>
  <c r="AH109" i="24" s="1"/>
  <c r="AD110" i="24"/>
  <c r="AD111" i="24"/>
  <c r="AH111" i="24" s="1" a="1"/>
  <c r="AH111" i="24" s="1"/>
  <c r="AD112" i="24"/>
  <c r="AH112" i="24" s="1" a="1"/>
  <c r="AH112" i="24" s="1"/>
  <c r="AD113" i="24"/>
  <c r="AH113" i="24" s="1" a="1"/>
  <c r="AH113" i="24" s="1"/>
  <c r="AD114" i="24"/>
  <c r="AH114" i="24" s="1" a="1"/>
  <c r="AH114" i="24" s="1"/>
  <c r="AD115" i="24"/>
  <c r="AH115" i="24" s="1" a="1"/>
  <c r="AH115" i="24" s="1"/>
  <c r="AD116" i="24"/>
  <c r="AH116" i="24" s="1" a="1"/>
  <c r="AH116" i="24" s="1"/>
  <c r="AD117" i="24"/>
  <c r="AH117" i="24" s="1" a="1"/>
  <c r="AH117" i="24" s="1"/>
  <c r="AD118" i="24"/>
  <c r="AH118" i="24" s="1" a="1"/>
  <c r="AH118" i="24" s="1"/>
  <c r="AD120" i="24"/>
  <c r="AH120" i="24" s="1" a="1"/>
  <c r="AH120" i="24" s="1"/>
  <c r="AD121" i="24"/>
  <c r="AH121" i="24" s="1" a="1"/>
  <c r="AH121" i="24" s="1"/>
  <c r="AD119" i="24"/>
  <c r="AH119" i="24" s="1" a="1"/>
  <c r="AH119" i="24" s="1"/>
  <c r="AD122" i="24"/>
  <c r="AH122" i="24" s="1" a="1"/>
  <c r="AH122" i="24" s="1"/>
  <c r="AD123" i="24"/>
  <c r="AH123" i="24" s="1" a="1"/>
  <c r="AH123" i="24" s="1"/>
  <c r="AD124" i="24"/>
  <c r="AH124" i="24" s="1" a="1"/>
  <c r="AH124" i="24" s="1"/>
  <c r="AD125" i="24"/>
  <c r="AH125" i="24" s="1" a="1"/>
  <c r="AH125" i="24" s="1"/>
  <c r="AD126" i="24"/>
  <c r="AH126" i="24" s="1" a="1"/>
  <c r="AH126" i="24" s="1"/>
  <c r="AD127" i="24"/>
  <c r="AH127" i="24" s="1" a="1"/>
  <c r="AH127" i="24" s="1"/>
  <c r="AD128" i="24"/>
  <c r="AH128" i="24" s="1" a="1"/>
  <c r="AH128" i="24" s="1"/>
  <c r="AD129" i="24"/>
  <c r="AH129" i="24" s="1" a="1"/>
  <c r="AH129" i="24" s="1"/>
  <c r="AD130" i="24"/>
  <c r="AH130" i="24" s="1" a="1"/>
  <c r="AH130" i="24" s="1"/>
  <c r="AD131" i="24"/>
  <c r="AH131" i="24" s="1" a="1"/>
  <c r="AH131" i="24" s="1"/>
  <c r="AD132" i="24"/>
  <c r="AH132" i="24" s="1" a="1"/>
  <c r="AH132" i="24" s="1"/>
  <c r="AD133" i="24"/>
  <c r="AH133" i="24" s="1" a="1"/>
  <c r="AH133" i="24" s="1"/>
  <c r="AD134" i="24"/>
  <c r="AD135" i="24"/>
  <c r="AH135" i="24" s="1" a="1"/>
  <c r="AH135" i="24" s="1"/>
  <c r="AD136" i="24"/>
  <c r="AH136" i="24" s="1" a="1"/>
  <c r="AH136" i="24" s="1"/>
  <c r="AD137" i="24"/>
  <c r="AH137" i="24" s="1" a="1"/>
  <c r="AH137" i="24" s="1"/>
  <c r="AD138" i="24"/>
  <c r="AH138" i="24" s="1" a="1"/>
  <c r="AH138" i="24" s="1"/>
  <c r="AD139" i="24"/>
  <c r="AH139" i="24" s="1" a="1"/>
  <c r="AH139" i="24" s="1"/>
  <c r="AD140" i="24"/>
  <c r="AH140" i="24" s="1" a="1"/>
  <c r="AH140" i="24" s="1"/>
  <c r="AD141" i="24"/>
  <c r="AH141" i="24" s="1" a="1"/>
  <c r="AH141" i="24" s="1"/>
  <c r="AD142" i="24"/>
  <c r="AD143" i="24"/>
  <c r="AH143" i="24" s="1" a="1"/>
  <c r="AH143" i="24" s="1"/>
  <c r="AD144" i="24"/>
  <c r="AH144" i="24" s="1" a="1"/>
  <c r="AH144" i="24" s="1"/>
  <c r="AD145" i="24"/>
  <c r="AH145" i="24" s="1" a="1"/>
  <c r="AH145" i="24" s="1"/>
  <c r="AD146" i="24"/>
  <c r="AH146" i="24" s="1" a="1"/>
  <c r="AH146" i="24" s="1"/>
  <c r="AD147" i="24"/>
  <c r="AH147" i="24" s="1" a="1"/>
  <c r="AH147" i="24" s="1"/>
  <c r="AD148" i="24"/>
  <c r="AH148" i="24" s="1" a="1"/>
  <c r="AH148" i="24" s="1"/>
  <c r="AD149" i="24"/>
  <c r="AH149" i="24" s="1" a="1"/>
  <c r="AH149" i="24" s="1"/>
  <c r="AD150" i="24"/>
  <c r="AD151" i="24"/>
  <c r="AH151" i="24" s="1" a="1"/>
  <c r="AH151" i="24" s="1"/>
  <c r="AD152" i="24"/>
  <c r="AH152" i="24" s="1" a="1"/>
  <c r="AH152" i="24" s="1"/>
  <c r="AD153" i="24"/>
  <c r="AH153" i="24" s="1" a="1"/>
  <c r="AH153" i="24" s="1"/>
  <c r="AD154" i="24"/>
  <c r="AH154" i="24" s="1" a="1"/>
  <c r="AH154" i="24" s="1"/>
  <c r="AD155" i="24"/>
  <c r="AH155" i="24" s="1" a="1"/>
  <c r="AH155" i="24" s="1"/>
  <c r="AD156" i="24"/>
  <c r="AH156" i="24" s="1" a="1"/>
  <c r="AH156" i="24" s="1"/>
  <c r="AD157" i="24"/>
  <c r="AH157" i="24" s="1" a="1"/>
  <c r="AH157" i="24" s="1"/>
  <c r="AD158" i="24"/>
  <c r="AD159" i="24"/>
  <c r="AH159" i="24" s="1" a="1"/>
  <c r="AH159" i="24" s="1"/>
  <c r="AD160" i="24"/>
  <c r="AH160" i="24" s="1" a="1"/>
  <c r="AH160" i="24" s="1"/>
  <c r="AD161" i="24"/>
  <c r="AH161" i="24" s="1" a="1"/>
  <c r="AH161" i="24" s="1"/>
  <c r="AD162" i="24"/>
  <c r="AH162" i="24" s="1" a="1"/>
  <c r="AH162" i="24" s="1"/>
  <c r="AD163" i="24"/>
  <c r="AH163" i="24" s="1" a="1"/>
  <c r="AH163" i="24" s="1"/>
  <c r="AD164" i="24"/>
  <c r="AH164" i="24" s="1" a="1"/>
  <c r="AH164" i="24" s="1"/>
  <c r="AD165" i="24"/>
  <c r="AH165" i="24" s="1" a="1"/>
  <c r="AH165" i="24" s="1"/>
  <c r="AD166" i="24"/>
  <c r="AH166" i="24" s="1" a="1"/>
  <c r="AH166" i="24" s="1"/>
  <c r="AD167" i="24"/>
  <c r="AH167" i="24" s="1" a="1"/>
  <c r="AH167" i="24" s="1"/>
  <c r="AD168" i="24"/>
  <c r="AH168" i="24" s="1" a="1"/>
  <c r="AH168" i="24" s="1"/>
  <c r="AD169" i="24"/>
  <c r="AH169" i="24" s="1" a="1"/>
  <c r="AH169" i="24" s="1"/>
  <c r="AD170" i="24"/>
  <c r="AH170" i="24" s="1" a="1"/>
  <c r="AH170" i="24" s="1"/>
  <c r="AD171" i="24"/>
  <c r="AH171" i="24" s="1" a="1"/>
  <c r="AH171" i="24" s="1"/>
  <c r="AD172" i="24"/>
  <c r="AH172" i="24" s="1" a="1"/>
  <c r="AH172" i="24" s="1"/>
  <c r="AD173" i="24"/>
  <c r="AH173" i="24" s="1" a="1"/>
  <c r="AH173" i="24" s="1"/>
  <c r="AD174" i="24"/>
  <c r="AD175" i="24"/>
  <c r="AH175" i="24" s="1" a="1"/>
  <c r="AH175" i="24" s="1"/>
  <c r="AD176" i="24"/>
  <c r="AH176" i="24" s="1" a="1"/>
  <c r="AH176" i="24" s="1"/>
  <c r="AD177" i="24"/>
  <c r="AH177" i="24" s="1" a="1"/>
  <c r="AH177" i="24" s="1"/>
  <c r="AD178" i="24"/>
  <c r="AH178" i="24" s="1" a="1"/>
  <c r="AH178" i="24" s="1"/>
  <c r="AD179" i="24"/>
  <c r="AH179" i="24" s="1" a="1"/>
  <c r="AH179" i="24" s="1"/>
  <c r="AD180" i="24"/>
  <c r="AH180" i="24" s="1" a="1"/>
  <c r="AH180" i="24" s="1"/>
  <c r="AD181" i="24"/>
  <c r="AD182" i="24"/>
  <c r="AD183" i="24"/>
  <c r="AH183" i="24" s="1" a="1"/>
  <c r="AH183" i="24" s="1"/>
  <c r="AD184" i="24"/>
  <c r="AH184" i="24" s="1" a="1"/>
  <c r="AH184" i="24" s="1"/>
  <c r="AD185" i="24"/>
  <c r="AH185" i="24" s="1" a="1"/>
  <c r="AH185" i="24" s="1"/>
  <c r="AD186" i="24"/>
  <c r="AH186" i="24" s="1" a="1"/>
  <c r="AH186" i="24" s="1"/>
  <c r="AD187" i="24"/>
  <c r="AH187" i="24" s="1" a="1"/>
  <c r="AH187" i="24" s="1"/>
  <c r="AD189" i="24"/>
  <c r="AH189" i="24" s="1" a="1"/>
  <c r="AH189" i="24" s="1"/>
  <c r="AD190" i="24"/>
  <c r="AD191" i="24"/>
  <c r="AH191" i="24" s="1" a="1"/>
  <c r="AH191" i="24" s="1"/>
  <c r="AD192" i="24"/>
  <c r="AH192" i="24" s="1" a="1"/>
  <c r="AH192" i="24" s="1"/>
  <c r="AD193" i="24"/>
  <c r="AD194" i="24"/>
  <c r="AH194" i="24" s="1" a="1"/>
  <c r="AH194" i="24" s="1"/>
  <c r="AD195" i="24"/>
  <c r="AH195" i="24" s="1" a="1"/>
  <c r="AH195" i="24" s="1"/>
  <c r="AD196" i="24"/>
  <c r="AH196" i="24" s="1" a="1"/>
  <c r="AH196" i="24" s="1"/>
  <c r="AD197" i="24"/>
  <c r="AH197" i="24" s="1" a="1"/>
  <c r="AH197" i="24" s="1"/>
  <c r="AD198" i="24"/>
  <c r="AD199" i="24"/>
  <c r="AH199" i="24" s="1" a="1"/>
  <c r="AH199" i="24" s="1"/>
  <c r="AD200" i="24"/>
  <c r="AH200" i="24" s="1" a="1"/>
  <c r="AH200" i="24" s="1"/>
  <c r="AD201" i="24"/>
  <c r="AH201" i="24" s="1" a="1"/>
  <c r="AH201" i="24" s="1"/>
  <c r="AD202" i="24"/>
  <c r="AH202" i="24" s="1" a="1"/>
  <c r="AH202" i="24" s="1"/>
  <c r="AD203" i="24"/>
  <c r="AH203" i="24" s="1" a="1"/>
  <c r="AH203" i="24" s="1"/>
  <c r="AD204" i="24"/>
  <c r="AH204" i="24" s="1" a="1"/>
  <c r="AH204" i="24" s="1"/>
  <c r="AD205" i="24"/>
  <c r="AH205" i="24" s="1" a="1"/>
  <c r="AH205" i="24" s="1"/>
  <c r="AD206" i="24"/>
  <c r="AD207" i="24"/>
  <c r="AH207" i="24" s="1" a="1"/>
  <c r="AH207" i="24" s="1"/>
  <c r="AD208" i="24"/>
  <c r="AH208" i="24" s="1" a="1"/>
  <c r="AH208" i="24" s="1"/>
  <c r="AD209" i="24"/>
  <c r="AD210" i="24"/>
  <c r="AH210" i="24" s="1" a="1"/>
  <c r="AH210" i="24" s="1"/>
  <c r="AD211" i="24"/>
  <c r="AH211" i="24" s="1" a="1"/>
  <c r="AH211" i="24" s="1"/>
  <c r="AD212" i="24"/>
  <c r="AH212" i="24" s="1" a="1"/>
  <c r="AH212" i="24" s="1"/>
  <c r="AD213" i="24"/>
  <c r="AH213" i="24" s="1" a="1"/>
  <c r="AH213" i="24" s="1"/>
  <c r="AD214" i="24"/>
  <c r="AD215" i="24"/>
  <c r="AH215" i="24" s="1" a="1"/>
  <c r="AH215" i="24" s="1"/>
  <c r="AD216" i="24"/>
  <c r="AH216" i="24" s="1" a="1"/>
  <c r="AH216" i="24" s="1"/>
  <c r="AD217" i="24"/>
  <c r="AH217" i="24" s="1" a="1"/>
  <c r="AH217" i="24" s="1"/>
  <c r="AD218" i="24"/>
  <c r="AH218" i="24" s="1" a="1"/>
  <c r="AH218" i="24" s="1"/>
  <c r="AD219" i="24"/>
  <c r="AH219" i="24" s="1" a="1"/>
  <c r="AH219" i="24" s="1"/>
  <c r="AD220" i="24"/>
  <c r="AH220" i="24" s="1" a="1"/>
  <c r="AH220" i="24" s="1"/>
  <c r="AD221" i="24"/>
  <c r="AH221" i="24" s="1" a="1"/>
  <c r="AH221" i="24" s="1"/>
  <c r="AD222" i="24"/>
  <c r="AD223" i="24"/>
  <c r="AH223" i="24" s="1" a="1"/>
  <c r="AH223" i="24" s="1"/>
  <c r="AD224" i="24"/>
  <c r="AH224" i="24" s="1" a="1"/>
  <c r="AH224" i="24" s="1"/>
  <c r="AD225" i="24"/>
  <c r="AD226" i="24"/>
  <c r="AH226" i="24" s="1" a="1"/>
  <c r="AH226" i="24" s="1"/>
  <c r="AD227" i="24"/>
  <c r="AH227" i="24" s="1" a="1"/>
  <c r="AH227" i="24" s="1"/>
  <c r="AD228" i="24"/>
  <c r="AH228" i="24" s="1" a="1"/>
  <c r="AH228" i="24" s="1"/>
  <c r="AD229" i="24"/>
  <c r="AH229" i="24" s="1" a="1"/>
  <c r="AH229" i="24" s="1"/>
  <c r="AD230" i="24"/>
  <c r="AD231" i="24"/>
  <c r="AH231" i="24" s="1" a="1"/>
  <c r="AH231" i="24" s="1"/>
  <c r="AD232" i="24"/>
  <c r="AH232" i="24" s="1" a="1"/>
  <c r="AH232" i="24" s="1"/>
  <c r="AD233" i="24"/>
  <c r="AH233" i="24" s="1" a="1"/>
  <c r="AH233" i="24" s="1"/>
  <c r="AD234" i="24"/>
  <c r="AH234" i="24" s="1" a="1"/>
  <c r="AH234" i="24" s="1"/>
  <c r="AD235" i="24"/>
  <c r="AH235" i="24" s="1" a="1"/>
  <c r="AH235" i="24" s="1"/>
  <c r="AD236" i="24"/>
  <c r="AH236" i="24" s="1" a="1"/>
  <c r="AH236" i="24" s="1"/>
  <c r="AD237" i="24"/>
  <c r="AH237" i="24" s="1" a="1"/>
  <c r="AH237" i="24" s="1"/>
  <c r="AD238" i="24"/>
  <c r="AH238" i="24" s="1" a="1"/>
  <c r="AH238" i="24" s="1"/>
  <c r="AD239" i="24"/>
  <c r="AH239" i="24" s="1" a="1"/>
  <c r="AH239" i="24" s="1"/>
  <c r="AD256" i="24"/>
  <c r="AH256" i="24" s="1" a="1"/>
  <c r="AH256" i="24" s="1"/>
  <c r="AD257" i="24"/>
  <c r="AH257" i="24" s="1" a="1"/>
  <c r="AH257" i="24" s="1"/>
  <c r="AD258" i="24"/>
  <c r="AH258" i="24" s="1" a="1"/>
  <c r="AH258" i="24" s="1"/>
  <c r="AD259" i="24"/>
  <c r="AH259" i="24" s="1" a="1"/>
  <c r="AH259" i="24" s="1"/>
  <c r="AD260" i="24"/>
  <c r="AH260" i="24" s="1" a="1"/>
  <c r="AH260" i="24" s="1"/>
  <c r="AD261" i="24"/>
  <c r="AH261" i="24" s="1" a="1"/>
  <c r="AH261" i="24" s="1"/>
  <c r="AD262" i="24"/>
  <c r="AH262" i="24" s="1" a="1"/>
  <c r="AH262" i="24" s="1"/>
  <c r="AD263" i="24"/>
  <c r="AH263" i="24" s="1" a="1"/>
  <c r="AH263" i="24" s="1"/>
  <c r="AD264" i="24"/>
  <c r="AH264" i="24" s="1" a="1"/>
  <c r="AH264" i="24" s="1"/>
  <c r="AD265" i="24"/>
  <c r="AH265" i="24" s="1" a="1"/>
  <c r="AH265" i="24" s="1"/>
  <c r="AD266" i="24"/>
  <c r="AH266" i="24" s="1" a="1"/>
  <c r="AH266" i="24" s="1"/>
  <c r="AD267" i="24"/>
  <c r="AH267" i="24" s="1" a="1"/>
  <c r="AH267" i="24" s="1"/>
  <c r="AD268" i="24"/>
  <c r="AH268" i="24" s="1" a="1"/>
  <c r="AH268" i="24" s="1"/>
  <c r="AD269" i="24"/>
  <c r="AH269" i="24" s="1" a="1"/>
  <c r="AH269" i="24" s="1"/>
  <c r="AD270" i="24"/>
  <c r="AH270" i="24" s="1" a="1"/>
  <c r="AH270" i="24" s="1"/>
  <c r="AD271" i="24"/>
  <c r="AH271" i="24" s="1" a="1"/>
  <c r="AH271" i="24" s="1"/>
  <c r="AD272" i="24"/>
  <c r="AH272" i="24" s="1" a="1"/>
  <c r="AH272" i="24" s="1"/>
  <c r="AD273" i="24"/>
  <c r="AH273" i="24" s="1" a="1"/>
  <c r="AH273" i="24" s="1"/>
  <c r="AD274" i="24"/>
  <c r="AH274" i="24" s="1" a="1"/>
  <c r="AH274" i="24" s="1"/>
  <c r="AD275" i="24"/>
  <c r="AH275" i="24" s="1" a="1"/>
  <c r="AH275" i="24" s="1"/>
  <c r="AD276" i="24"/>
  <c r="AH276" i="24" s="1" a="1"/>
  <c r="AH276" i="24" s="1"/>
  <c r="AD277" i="24"/>
  <c r="AH277" i="24" s="1" a="1"/>
  <c r="AH277" i="24" s="1"/>
  <c r="AD278" i="24"/>
  <c r="AH278" i="24" s="1" a="1"/>
  <c r="AH278" i="24" s="1"/>
  <c r="AD279" i="24"/>
  <c r="AH279" i="24" s="1" a="1"/>
  <c r="AH279" i="24" s="1"/>
  <c r="AD280" i="24"/>
  <c r="AH280" i="24" s="1" a="1"/>
  <c r="AH280" i="24" s="1"/>
  <c r="AD281" i="24"/>
  <c r="AH281" i="24" s="1" a="1"/>
  <c r="AH281" i="24" s="1"/>
  <c r="AD282" i="24"/>
  <c r="AH282" i="24" s="1" a="1"/>
  <c r="AH282" i="24" s="1"/>
  <c r="AD283" i="24"/>
  <c r="AH283" i="24" s="1" a="1"/>
  <c r="AH283" i="24" s="1"/>
  <c r="AD284" i="24"/>
  <c r="AH284" i="24" s="1" a="1"/>
  <c r="AH284" i="24" s="1"/>
  <c r="AD285" i="24"/>
  <c r="AH285" i="24" s="1" a="1"/>
  <c r="AH285" i="24" s="1"/>
  <c r="AD286" i="24"/>
  <c r="AH286" i="24" s="1" a="1"/>
  <c r="AH286" i="24" s="1"/>
  <c r="AD287" i="24"/>
  <c r="AH287" i="24" s="1" a="1"/>
  <c r="AH287" i="24" s="1"/>
  <c r="AD288" i="24"/>
  <c r="AH288" i="24" s="1" a="1"/>
  <c r="AH288" i="24" s="1"/>
  <c r="AD289" i="24"/>
  <c r="AH289" i="24" s="1" a="1"/>
  <c r="AH289" i="24" s="1"/>
  <c r="AD290" i="24"/>
  <c r="AH290" i="24" s="1" a="1"/>
  <c r="AH290" i="24" s="1"/>
  <c r="AD291" i="24"/>
  <c r="AH291" i="24" s="1" a="1"/>
  <c r="AH291" i="24" s="1"/>
  <c r="AD292" i="24"/>
  <c r="AH292" i="24" s="1" a="1"/>
  <c r="AH292" i="24" s="1"/>
  <c r="AD293" i="24"/>
  <c r="AH293" i="24" s="1" a="1"/>
  <c r="AH293" i="24" s="1"/>
  <c r="AD294" i="24"/>
  <c r="AH294" i="24" s="1" a="1"/>
  <c r="AH294" i="24" s="1"/>
  <c r="AD295" i="24"/>
  <c r="AH295" i="24" s="1" a="1"/>
  <c r="AH295" i="24" s="1"/>
  <c r="AD296" i="24"/>
  <c r="AH296" i="24" s="1" a="1"/>
  <c r="AH296" i="24" s="1"/>
  <c r="AD297" i="24"/>
  <c r="AH297" i="24" s="1" a="1"/>
  <c r="AH297" i="24" s="1"/>
  <c r="AD298" i="24"/>
  <c r="AH298" i="24" s="1" a="1"/>
  <c r="AH298" i="24" s="1"/>
  <c r="AD299" i="24"/>
  <c r="AH299" i="24" s="1" a="1"/>
  <c r="AH299" i="24" s="1"/>
  <c r="AD300" i="24"/>
  <c r="AH300" i="24" s="1" a="1"/>
  <c r="AH300" i="24" s="1"/>
  <c r="AD301" i="24"/>
  <c r="AH301" i="24" s="1" a="1"/>
  <c r="AH301" i="24" s="1"/>
  <c r="AD302" i="24"/>
  <c r="AH302" i="24" s="1" a="1"/>
  <c r="AH302" i="24" s="1"/>
  <c r="AD303" i="24"/>
  <c r="AH303" i="24" s="1" a="1"/>
  <c r="AH303" i="24" s="1"/>
  <c r="AD304" i="24"/>
  <c r="AH304" i="24" s="1" a="1"/>
  <c r="AH304" i="24" s="1"/>
  <c r="AD305" i="24"/>
  <c r="AH305" i="24" s="1" a="1"/>
  <c r="AH305" i="24" s="1"/>
  <c r="AD306" i="24"/>
  <c r="AH306" i="24" s="1" a="1"/>
  <c r="AH306" i="24" s="1"/>
  <c r="AD307" i="24"/>
  <c r="AH307" i="24" s="1" a="1"/>
  <c r="AH307" i="24" s="1"/>
  <c r="AD308" i="24"/>
  <c r="AH308" i="24" s="1" a="1"/>
  <c r="AH308" i="24" s="1"/>
  <c r="AD309" i="24"/>
  <c r="AH309" i="24" s="1" a="1"/>
  <c r="AH309" i="24" s="1"/>
  <c r="AD310" i="24"/>
  <c r="AH310" i="24" s="1" a="1"/>
  <c r="AH310" i="24" s="1"/>
  <c r="AD311" i="24"/>
  <c r="AH311" i="24" s="1" a="1"/>
  <c r="AH311" i="24" s="1"/>
  <c r="AD312" i="24"/>
  <c r="AH312" i="24" s="1" a="1"/>
  <c r="AH312" i="24" s="1"/>
  <c r="AD313" i="24"/>
  <c r="AH313" i="24" s="1" a="1"/>
  <c r="AH313" i="24" s="1"/>
  <c r="AD314" i="24"/>
  <c r="AH314" i="24" s="1" a="1"/>
  <c r="AH314" i="24" s="1"/>
  <c r="AD315" i="24"/>
  <c r="AH315" i="24" s="1" a="1"/>
  <c r="AH315" i="24" s="1"/>
  <c r="AD316" i="24"/>
  <c r="AH316" i="24" s="1" a="1"/>
  <c r="AH316" i="24" s="1"/>
  <c r="AD317" i="24"/>
  <c r="AH317" i="24" s="1" a="1"/>
  <c r="AH317" i="24" s="1"/>
  <c r="AD318" i="24"/>
  <c r="AH318" i="24" s="1" a="1"/>
  <c r="AH318" i="24" s="1"/>
  <c r="AD319" i="24"/>
  <c r="AH319" i="24" s="1" a="1"/>
  <c r="AH319" i="24" s="1"/>
  <c r="AD320" i="24"/>
  <c r="AH320" i="24" s="1" a="1"/>
  <c r="AH320" i="24" s="1"/>
  <c r="AD321" i="24"/>
  <c r="AH321" i="24" s="1" a="1"/>
  <c r="AH321" i="24" s="1"/>
  <c r="AD322" i="24"/>
  <c r="AH322" i="24" s="1" a="1"/>
  <c r="AH322" i="24" s="1"/>
  <c r="AD323" i="24"/>
  <c r="AH323" i="24" s="1" a="1"/>
  <c r="AH323" i="24" s="1"/>
  <c r="AD324" i="24"/>
  <c r="AH324" i="24" s="1" a="1"/>
  <c r="AH324" i="24" s="1"/>
  <c r="AD325" i="24"/>
  <c r="AH325" i="24" s="1" a="1"/>
  <c r="AH325" i="24" s="1"/>
  <c r="AD326" i="24"/>
  <c r="AH326" i="24" s="1" a="1"/>
  <c r="AH326" i="24" s="1"/>
  <c r="AD327" i="24"/>
  <c r="AH327" i="24" s="1" a="1"/>
  <c r="AH327" i="24" s="1"/>
  <c r="AD328" i="24"/>
  <c r="AH328" i="24" s="1" a="1"/>
  <c r="AH328" i="24" s="1"/>
  <c r="AD329" i="24"/>
  <c r="AH329" i="24" s="1" a="1"/>
  <c r="AH329" i="24" s="1"/>
  <c r="AD330" i="24"/>
  <c r="AH330" i="24" s="1" a="1"/>
  <c r="AH330" i="24" s="1"/>
  <c r="AD331" i="24"/>
  <c r="AH331" i="24" s="1" a="1"/>
  <c r="AH331" i="24" s="1"/>
  <c r="AD332" i="24"/>
  <c r="AH332" i="24" s="1" a="1"/>
  <c r="AH332" i="24" s="1"/>
  <c r="AD333" i="24"/>
  <c r="AH333" i="24" s="1" a="1"/>
  <c r="AH333" i="24" s="1"/>
  <c r="AD334" i="24"/>
  <c r="AH334" i="24" s="1" a="1"/>
  <c r="AH334" i="24" s="1"/>
  <c r="AD335" i="24"/>
  <c r="AH335" i="24" s="1" a="1"/>
  <c r="AH335" i="24" s="1"/>
  <c r="AD336" i="24"/>
  <c r="AH336" i="24" s="1" a="1"/>
  <c r="AH336" i="24" s="1"/>
  <c r="AD337" i="24"/>
  <c r="AH337" i="24" s="1" a="1"/>
  <c r="AH337" i="24" s="1"/>
  <c r="AD338" i="24"/>
  <c r="AH338" i="24" s="1" a="1"/>
  <c r="AH338" i="24" s="1"/>
  <c r="AD339" i="24"/>
  <c r="AH339" i="24" s="1" a="1"/>
  <c r="AH339" i="24" s="1"/>
  <c r="AD340" i="24"/>
  <c r="AH340" i="24" s="1" a="1"/>
  <c r="AH340" i="24" s="1"/>
  <c r="AD341" i="24"/>
  <c r="AH341" i="24" s="1" a="1"/>
  <c r="AH341" i="24" s="1"/>
  <c r="AD342" i="24"/>
  <c r="AH342" i="24" s="1" a="1"/>
  <c r="AH342" i="24" s="1"/>
  <c r="AD343" i="24"/>
  <c r="AH343" i="24" s="1" a="1"/>
  <c r="AH343" i="24" s="1"/>
  <c r="AD344" i="24"/>
  <c r="AH344" i="24" s="1" a="1"/>
  <c r="AH344" i="24" s="1"/>
  <c r="AD345" i="24"/>
  <c r="AH345" i="24" s="1" a="1"/>
  <c r="AH345" i="24" s="1"/>
  <c r="AD346" i="24"/>
  <c r="AH346" i="24" s="1" a="1"/>
  <c r="AH346" i="24" s="1"/>
  <c r="AD347" i="24"/>
  <c r="AH347" i="24" s="1" a="1"/>
  <c r="AH347" i="24" s="1"/>
  <c r="AD348" i="24"/>
  <c r="AH348" i="24" s="1" a="1"/>
  <c r="AH348" i="24" s="1"/>
  <c r="AD349" i="24"/>
  <c r="AH349" i="24" s="1" a="1"/>
  <c r="AH349" i="24" s="1"/>
  <c r="AD350" i="24"/>
  <c r="AH350" i="24" s="1" a="1"/>
  <c r="AH350" i="24" s="1"/>
  <c r="AD351" i="24"/>
  <c r="AH351" i="24" s="1" a="1"/>
  <c r="AH351" i="24" s="1"/>
  <c r="AD352" i="24"/>
  <c r="AH352" i="24" s="1" a="1"/>
  <c r="AH352" i="24" s="1"/>
  <c r="AD353" i="24"/>
  <c r="AH353" i="24" s="1" a="1"/>
  <c r="AH353" i="24" s="1"/>
  <c r="AD354" i="24"/>
  <c r="AH354" i="24" s="1" a="1"/>
  <c r="AH354" i="24" s="1"/>
  <c r="AD355" i="24"/>
  <c r="AH355" i="24" s="1" a="1"/>
  <c r="AH355" i="24" s="1"/>
  <c r="AD356" i="24"/>
  <c r="AH356" i="24" s="1" a="1"/>
  <c r="AH356" i="24" s="1"/>
  <c r="AD357" i="24"/>
  <c r="AH357" i="24" s="1" a="1"/>
  <c r="AH357" i="24" s="1"/>
  <c r="AD358" i="24"/>
  <c r="AH358" i="24" s="1" a="1"/>
  <c r="AH358" i="24" s="1"/>
  <c r="AD359" i="24"/>
  <c r="AH359" i="24" s="1" a="1"/>
  <c r="AH359" i="24" s="1"/>
  <c r="AD360" i="24"/>
  <c r="AH360" i="24" s="1" a="1"/>
  <c r="AH360" i="24" s="1"/>
  <c r="AD361" i="24"/>
  <c r="AH361" i="24" s="1" a="1"/>
  <c r="AH361" i="24" s="1"/>
  <c r="AD362" i="24"/>
  <c r="AH362" i="24" s="1" a="1"/>
  <c r="AH362" i="24" s="1"/>
  <c r="AD363" i="24"/>
  <c r="AH363" i="24" s="1" a="1"/>
  <c r="AH363" i="24" s="1"/>
  <c r="AD364" i="24"/>
  <c r="AH364" i="24" s="1" a="1"/>
  <c r="AH364" i="24" s="1"/>
  <c r="AD365" i="24"/>
  <c r="AH365" i="24" s="1" a="1"/>
  <c r="AH365" i="24" s="1"/>
  <c r="AD366" i="24"/>
  <c r="AH366" i="24" s="1" a="1"/>
  <c r="AH366" i="24" s="1"/>
  <c r="AD367" i="24"/>
  <c r="AH367" i="24" s="1" a="1"/>
  <c r="AH367" i="24" s="1"/>
  <c r="AD368" i="24"/>
  <c r="AH368" i="24" s="1" a="1"/>
  <c r="AH368" i="24" s="1"/>
  <c r="AD369" i="24"/>
  <c r="AH369" i="24" s="1" a="1"/>
  <c r="AH369" i="24" s="1"/>
  <c r="AD370" i="24"/>
  <c r="AH370" i="24" s="1" a="1"/>
  <c r="AH370" i="24" s="1"/>
  <c r="AD371" i="24"/>
  <c r="AH371" i="24" s="1" a="1"/>
  <c r="AH371" i="24" s="1"/>
  <c r="AD372" i="24"/>
  <c r="AH372" i="24" s="1" a="1"/>
  <c r="AH372" i="24" s="1"/>
  <c r="AD373" i="24"/>
  <c r="AH373" i="24" s="1" a="1"/>
  <c r="AH373" i="24" s="1"/>
  <c r="AD374" i="24"/>
  <c r="AH374" i="24" s="1" a="1"/>
  <c r="AH374" i="24" s="1"/>
  <c r="AD375" i="24"/>
  <c r="AH375" i="24" s="1" a="1"/>
  <c r="AH375" i="24" s="1"/>
  <c r="AD376" i="24"/>
  <c r="AH376" i="24" s="1" a="1"/>
  <c r="AH376" i="24" s="1"/>
  <c r="AD377" i="24"/>
  <c r="AH377" i="24" s="1" a="1"/>
  <c r="AH377" i="24" s="1"/>
  <c r="AD378" i="24"/>
  <c r="AH378" i="24" s="1" a="1"/>
  <c r="AH378" i="24" s="1"/>
  <c r="AD379" i="24"/>
  <c r="AH379" i="24" s="1" a="1"/>
  <c r="AH379" i="24" s="1"/>
  <c r="AD380" i="24"/>
  <c r="AH380" i="24" s="1" a="1"/>
  <c r="AH380" i="24" s="1"/>
  <c r="AD381" i="24"/>
  <c r="AH381" i="24" s="1" a="1"/>
  <c r="AH381" i="24" s="1"/>
  <c r="AD382" i="24"/>
  <c r="AH382" i="24" s="1" a="1"/>
  <c r="AH382" i="24" s="1"/>
  <c r="AD383" i="24"/>
  <c r="AH383" i="24" s="1" a="1"/>
  <c r="AH383" i="24" s="1"/>
  <c r="AD384" i="24"/>
  <c r="AH384" i="24" s="1" a="1"/>
  <c r="AH384" i="24" s="1"/>
  <c r="AD385" i="24"/>
  <c r="AH385" i="24" s="1" a="1"/>
  <c r="AH385" i="24" s="1"/>
  <c r="AD386" i="24"/>
  <c r="AH386" i="24" s="1" a="1"/>
  <c r="AH386" i="24" s="1"/>
  <c r="AD387" i="24"/>
  <c r="AH387" i="24" s="1" a="1"/>
  <c r="AH387" i="24" s="1"/>
  <c r="AD388" i="24"/>
  <c r="AH388" i="24" s="1" a="1"/>
  <c r="AH388" i="24" s="1"/>
  <c r="AD389" i="24"/>
  <c r="AH389" i="24" s="1" a="1"/>
  <c r="AH389" i="24" s="1"/>
  <c r="AD390" i="24"/>
  <c r="AH390" i="24" s="1" a="1"/>
  <c r="AH390" i="24" s="1"/>
  <c r="AD391" i="24"/>
  <c r="AH391" i="24" s="1" a="1"/>
  <c r="AH391" i="24" s="1"/>
  <c r="AD392" i="24"/>
  <c r="AH392" i="24" s="1" a="1"/>
  <c r="AH392" i="24" s="1"/>
  <c r="AD393" i="24"/>
  <c r="AH393" i="24" s="1" a="1"/>
  <c r="AH393" i="24" s="1"/>
  <c r="AD394" i="24"/>
  <c r="AH394" i="24" s="1" a="1"/>
  <c r="AH394" i="24" s="1"/>
  <c r="AD395" i="24"/>
  <c r="AH395" i="24" s="1" a="1"/>
  <c r="AH395" i="24" s="1"/>
  <c r="AD396" i="24"/>
  <c r="AH396" i="24" s="1" a="1"/>
  <c r="AH396" i="24" s="1"/>
  <c r="AD397" i="24"/>
  <c r="AH397" i="24" s="1" a="1"/>
  <c r="AH397" i="24" s="1"/>
  <c r="AD398" i="24"/>
  <c r="AH398" i="24" s="1" a="1"/>
  <c r="AH398" i="24" s="1"/>
  <c r="AD399" i="24"/>
  <c r="AH399" i="24" s="1" a="1"/>
  <c r="AH399" i="24" s="1"/>
  <c r="AD400" i="24"/>
  <c r="AH400" i="24" s="1" a="1"/>
  <c r="AH400" i="24" s="1"/>
  <c r="AD401" i="24"/>
  <c r="AH401" i="24" s="1" a="1"/>
  <c r="AH401" i="24" s="1"/>
  <c r="AD402" i="24"/>
  <c r="AH402" i="24" s="1" a="1"/>
  <c r="AH402" i="24" s="1"/>
  <c r="AD10" i="24"/>
  <c r="Z2" i="43"/>
  <c r="AA2" i="43" s="1"/>
  <c r="Z32" i="43"/>
  <c r="AA32" i="43" s="1"/>
  <c r="Z3" i="47"/>
  <c r="AA3" i="47" s="1"/>
  <c r="AB3" i="47"/>
  <c r="AC3" i="47" s="1"/>
  <c r="AD3" i="47"/>
  <c r="AH3" i="47" s="1" a="1"/>
  <c r="AH3" i="47" s="1"/>
  <c r="AE3" i="47"/>
  <c r="AI3" i="47" s="1"/>
  <c r="Z4" i="47"/>
  <c r="AA4" i="47" s="1"/>
  <c r="AB4" i="47"/>
  <c r="AC4" i="47" s="1"/>
  <c r="AD4" i="47"/>
  <c r="AH4" i="47" s="1" a="1"/>
  <c r="AH4" i="47" s="1"/>
  <c r="AE4" i="47"/>
  <c r="AI4" i="47" s="1"/>
  <c r="Z5" i="47"/>
  <c r="AA5" i="47" s="1"/>
  <c r="AB5" i="47"/>
  <c r="AC5" i="47" s="1"/>
  <c r="AD5" i="47"/>
  <c r="AH5" i="47" s="1" a="1"/>
  <c r="AH5" i="47" s="1"/>
  <c r="AE5" i="47"/>
  <c r="Z6" i="47"/>
  <c r="AA6" i="47" s="1"/>
  <c r="AB6" i="47"/>
  <c r="AC6" i="47" s="1"/>
  <c r="AD6" i="47"/>
  <c r="AH6" i="47" s="1" a="1"/>
  <c r="AH6" i="47" s="1"/>
  <c r="AE6" i="47"/>
  <c r="Z7" i="47"/>
  <c r="AA7" i="47" s="1"/>
  <c r="AB7" i="47"/>
  <c r="AC7" i="47" s="1"/>
  <c r="AD7" i="47"/>
  <c r="AH7" i="47" s="1" a="1"/>
  <c r="AH7" i="47" s="1"/>
  <c r="AE7" i="47"/>
  <c r="AJ7" i="47" s="1"/>
  <c r="Z8" i="47"/>
  <c r="AA8" i="47" s="1"/>
  <c r="AB8" i="47"/>
  <c r="AC8" i="47" s="1"/>
  <c r="AD8" i="47"/>
  <c r="AH8" i="47" s="1" a="1"/>
  <c r="AH8" i="47" s="1"/>
  <c r="AE8" i="47"/>
  <c r="Z9" i="47"/>
  <c r="AA9" i="47" s="1"/>
  <c r="AB9" i="47"/>
  <c r="AC9" i="47" s="1"/>
  <c r="AD9" i="47"/>
  <c r="AH9" i="47" s="1" a="1"/>
  <c r="AH9" i="47" s="1"/>
  <c r="AE9" i="47"/>
  <c r="Z10" i="47"/>
  <c r="AA10" i="47" s="1"/>
  <c r="AB10" i="47"/>
  <c r="AC10" i="47" s="1"/>
  <c r="AD10" i="47"/>
  <c r="AH10" i="47" s="1" a="1"/>
  <c r="AH10" i="47" s="1"/>
  <c r="AE10" i="47"/>
  <c r="AF10" i="47" s="1"/>
  <c r="AG10" i="47" s="1"/>
  <c r="Z11" i="47"/>
  <c r="AA11" i="47" s="1"/>
  <c r="AB11" i="47"/>
  <c r="AC11" i="47" s="1"/>
  <c r="AD11" i="47"/>
  <c r="AH11" i="47" s="1" a="1"/>
  <c r="AH11" i="47" s="1"/>
  <c r="AE11" i="47"/>
  <c r="Z12" i="47"/>
  <c r="AA12" i="47" s="1"/>
  <c r="AB12" i="47"/>
  <c r="AC12" i="47" s="1"/>
  <c r="AD12" i="47"/>
  <c r="AH12" i="47" s="1" a="1"/>
  <c r="AH12" i="47" s="1"/>
  <c r="AE12" i="47"/>
  <c r="Z13" i="47"/>
  <c r="AA13" i="47" s="1"/>
  <c r="AB13" i="47"/>
  <c r="AC13" i="47" s="1"/>
  <c r="AD13" i="47"/>
  <c r="AH13" i="47" s="1" a="1"/>
  <c r="AH13" i="47" s="1"/>
  <c r="AE13" i="47"/>
  <c r="AI13" i="47" s="1"/>
  <c r="Z14" i="47"/>
  <c r="AA14" i="47" s="1"/>
  <c r="AB14" i="47"/>
  <c r="AC14" i="47" s="1"/>
  <c r="AD14" i="47"/>
  <c r="AH14" i="47" s="1" a="1"/>
  <c r="AH14" i="47" s="1"/>
  <c r="AE14" i="47"/>
  <c r="AI14" i="47" s="1"/>
  <c r="Z15" i="47"/>
  <c r="AA15" i="47" s="1"/>
  <c r="AB15" i="47"/>
  <c r="AC15" i="47" s="1"/>
  <c r="AD15" i="47"/>
  <c r="AH15" i="47" s="1" a="1"/>
  <c r="AH15" i="47" s="1"/>
  <c r="AE15" i="47"/>
  <c r="Z16" i="47"/>
  <c r="AA16" i="47" s="1"/>
  <c r="AB16" i="47"/>
  <c r="AC16" i="47" s="1"/>
  <c r="AD16" i="47"/>
  <c r="AH16" i="47" s="1" a="1"/>
  <c r="AH16" i="47" s="1"/>
  <c r="AE16" i="47"/>
  <c r="Z17" i="47"/>
  <c r="AA17" i="47" s="1"/>
  <c r="AB17" i="47"/>
  <c r="AC17" i="47" s="1"/>
  <c r="AD17" i="47"/>
  <c r="AH17" i="47" s="1" a="1"/>
  <c r="AH17" i="47" s="1"/>
  <c r="AE17" i="47"/>
  <c r="AF17" i="47" s="1"/>
  <c r="AG17" i="47" s="1"/>
  <c r="Z18" i="47"/>
  <c r="AA18" i="47" s="1"/>
  <c r="AB18" i="47"/>
  <c r="AC18" i="47" s="1"/>
  <c r="AD18" i="47"/>
  <c r="AH18" i="47" s="1" a="1"/>
  <c r="AH18" i="47" s="1"/>
  <c r="AE18" i="47"/>
  <c r="AF18" i="47" s="1"/>
  <c r="AG18" i="47" s="1"/>
  <c r="Z19" i="47"/>
  <c r="AA19" i="47" s="1"/>
  <c r="AB19" i="47"/>
  <c r="AC19" i="47" s="1"/>
  <c r="AD19" i="47"/>
  <c r="AH19" i="47" s="1" a="1"/>
  <c r="AH19" i="47" s="1"/>
  <c r="AE19" i="47"/>
  <c r="AJ19" i="47" s="1"/>
  <c r="Z20" i="47"/>
  <c r="AA20" i="47" s="1"/>
  <c r="AB20" i="47"/>
  <c r="AC20" i="47" s="1"/>
  <c r="AD20" i="47"/>
  <c r="AH20" i="47" s="1" a="1"/>
  <c r="AH20" i="47" s="1"/>
  <c r="AE20" i="47"/>
  <c r="AF20" i="47" s="1"/>
  <c r="AG20" i="47" s="1"/>
  <c r="Z21" i="47"/>
  <c r="AA21" i="47" s="1"/>
  <c r="AB21" i="47"/>
  <c r="AC21" i="47" s="1"/>
  <c r="AD21" i="47"/>
  <c r="AH21" i="47" s="1" a="1"/>
  <c r="AH21" i="47" s="1"/>
  <c r="AE21" i="47"/>
  <c r="AJ21" i="47" s="1"/>
  <c r="Z22" i="47"/>
  <c r="AA22" i="47" s="1"/>
  <c r="AB22" i="47"/>
  <c r="AC22" i="47" s="1"/>
  <c r="AD22" i="47"/>
  <c r="AH22" i="47" s="1" a="1"/>
  <c r="AH22" i="47" s="1"/>
  <c r="AE22" i="47"/>
  <c r="AF22" i="47" s="1"/>
  <c r="AG22" i="47" s="1"/>
  <c r="Z23" i="47"/>
  <c r="AA23" i="47" s="1"/>
  <c r="AB23" i="47"/>
  <c r="AC23" i="47" s="1"/>
  <c r="AD23" i="47"/>
  <c r="AH23" i="47" s="1" a="1"/>
  <c r="AH23" i="47" s="1"/>
  <c r="AE23" i="47"/>
  <c r="Z24" i="47"/>
  <c r="AA24" i="47" s="1"/>
  <c r="AB24" i="47"/>
  <c r="AC24" i="47" s="1"/>
  <c r="AD24" i="47"/>
  <c r="AH24" i="47" s="1" a="1"/>
  <c r="AH24" i="47" s="1"/>
  <c r="AE24" i="47"/>
  <c r="AJ24" i="47" s="1"/>
  <c r="Z25" i="47"/>
  <c r="AA25" i="47" s="1"/>
  <c r="AB25" i="47"/>
  <c r="AC25" i="47" s="1"/>
  <c r="AD25" i="47"/>
  <c r="AH25" i="47" s="1" a="1"/>
  <c r="AH25" i="47" s="1"/>
  <c r="AE25" i="47"/>
  <c r="Z26" i="47"/>
  <c r="AA26" i="47" s="1"/>
  <c r="AB26" i="47"/>
  <c r="AC26" i="47" s="1"/>
  <c r="AD26" i="47"/>
  <c r="AH26" i="47" s="1" a="1"/>
  <c r="AH26" i="47" s="1"/>
  <c r="AE26" i="47"/>
  <c r="Z27" i="47"/>
  <c r="AA27" i="47" s="1"/>
  <c r="AB27" i="47"/>
  <c r="AC27" i="47" s="1"/>
  <c r="AD27" i="47"/>
  <c r="AH27" i="47" s="1" a="1"/>
  <c r="AH27" i="47" s="1"/>
  <c r="AE27" i="47"/>
  <c r="AJ27" i="47" s="1"/>
  <c r="Z28" i="47"/>
  <c r="AA28" i="47" s="1"/>
  <c r="AB28" i="47"/>
  <c r="AC28" i="47" s="1"/>
  <c r="AD28" i="47"/>
  <c r="AH28" i="47" s="1" a="1"/>
  <c r="AH28" i="47" s="1"/>
  <c r="AE28" i="47"/>
  <c r="Z29" i="47"/>
  <c r="AA29" i="47" s="1"/>
  <c r="AB29" i="47"/>
  <c r="AC29" i="47" s="1"/>
  <c r="AD29" i="47"/>
  <c r="AH29" i="47" s="1" a="1"/>
  <c r="AH29" i="47" s="1"/>
  <c r="AE29" i="47"/>
  <c r="Z30" i="47"/>
  <c r="AA30" i="47" s="1"/>
  <c r="AB30" i="47"/>
  <c r="AC30" i="47" s="1"/>
  <c r="AD30" i="47"/>
  <c r="AH30" i="47" s="1" a="1"/>
  <c r="AH30" i="47" s="1"/>
  <c r="AE30" i="47"/>
  <c r="AF30" i="47" s="1"/>
  <c r="AG30" i="47" s="1"/>
  <c r="Z31" i="47"/>
  <c r="AA31" i="47" s="1"/>
  <c r="AB31" i="47"/>
  <c r="AC31" i="47" s="1"/>
  <c r="AD31" i="47"/>
  <c r="AH31" i="47" s="1" a="1"/>
  <c r="AH31" i="47" s="1"/>
  <c r="AE31" i="47"/>
  <c r="Z32" i="47"/>
  <c r="AA32" i="47" s="1"/>
  <c r="AB32" i="47"/>
  <c r="AC32" i="47" s="1"/>
  <c r="AD32" i="47"/>
  <c r="AH32" i="47" s="1" a="1"/>
  <c r="AH32" i="47" s="1"/>
  <c r="AE32" i="47"/>
  <c r="AJ32" i="47" s="1"/>
  <c r="Z33" i="47"/>
  <c r="AA33" i="47" s="1"/>
  <c r="AB33" i="47"/>
  <c r="AC33" i="47" s="1"/>
  <c r="AD33" i="47"/>
  <c r="AH33" i="47" s="1" a="1"/>
  <c r="AH33" i="47" s="1"/>
  <c r="AE33" i="47"/>
  <c r="Z34" i="47"/>
  <c r="AA34" i="47" s="1"/>
  <c r="AB34" i="47"/>
  <c r="AC34" i="47" s="1"/>
  <c r="AD34" i="47"/>
  <c r="AH34" i="47" s="1" a="1"/>
  <c r="AH34" i="47" s="1"/>
  <c r="AE34" i="47"/>
  <c r="AJ34" i="47" s="1"/>
  <c r="Z35" i="47"/>
  <c r="AA35" i="47" s="1"/>
  <c r="AB35" i="47"/>
  <c r="AC35" i="47" s="1"/>
  <c r="AD35" i="47"/>
  <c r="AH35" i="47" s="1" a="1"/>
  <c r="AH35" i="47" s="1"/>
  <c r="AE35" i="47"/>
  <c r="AJ35" i="47" s="1"/>
  <c r="Z36" i="47"/>
  <c r="AA36" i="47" s="1"/>
  <c r="AB36" i="47"/>
  <c r="AC36" i="47" s="1"/>
  <c r="AD36" i="47"/>
  <c r="AH36" i="47" s="1" a="1"/>
  <c r="AH36" i="47" s="1"/>
  <c r="AE36" i="47"/>
  <c r="AF36" i="47" s="1"/>
  <c r="AG36" i="47" s="1"/>
  <c r="Z37" i="47"/>
  <c r="AA37" i="47" s="1"/>
  <c r="AB37" i="47"/>
  <c r="AC37" i="47" s="1"/>
  <c r="AD37" i="47"/>
  <c r="AH37" i="47" s="1" a="1"/>
  <c r="AH37" i="47" s="1"/>
  <c r="AE37" i="47"/>
  <c r="AJ37" i="47" s="1"/>
  <c r="Z38" i="47"/>
  <c r="AA38" i="47" s="1"/>
  <c r="AB38" i="47"/>
  <c r="AC38" i="47" s="1"/>
  <c r="AD38" i="47"/>
  <c r="AH38" i="47" s="1" a="1"/>
  <c r="AH38" i="47" s="1"/>
  <c r="AE38" i="47"/>
  <c r="Z39" i="47"/>
  <c r="AA39" i="47" s="1"/>
  <c r="AB39" i="47"/>
  <c r="AC39" i="47" s="1"/>
  <c r="AD39" i="47"/>
  <c r="AH39" i="47" s="1" a="1"/>
  <c r="AH39" i="47" s="1"/>
  <c r="AE39" i="47"/>
  <c r="AJ39" i="47" s="1"/>
  <c r="Z40" i="47"/>
  <c r="AA40" i="47" s="1"/>
  <c r="AB40" i="47"/>
  <c r="AC40" i="47" s="1"/>
  <c r="AD40" i="47"/>
  <c r="AH40" i="47" s="1" a="1"/>
  <c r="AH40" i="47" s="1"/>
  <c r="AE40" i="47"/>
  <c r="AF40" i="47" s="1"/>
  <c r="AG40" i="47" s="1"/>
  <c r="Z41" i="47"/>
  <c r="AA41" i="47" s="1"/>
  <c r="AB41" i="47"/>
  <c r="AC41" i="47" s="1"/>
  <c r="AD41" i="47"/>
  <c r="AH41" i="47" s="1" a="1"/>
  <c r="AH41" i="47" s="1"/>
  <c r="AE41" i="47"/>
  <c r="AF41" i="47" s="1"/>
  <c r="AG41" i="47" s="1"/>
  <c r="Z42" i="47"/>
  <c r="AA42" i="47" s="1"/>
  <c r="AB42" i="47"/>
  <c r="AC42" i="47" s="1"/>
  <c r="AD42" i="47"/>
  <c r="AH42" i="47" s="1" a="1"/>
  <c r="AH42" i="47" s="1"/>
  <c r="AE42" i="47"/>
  <c r="AF42" i="47" s="1"/>
  <c r="AG42" i="47" s="1"/>
  <c r="Z43" i="47"/>
  <c r="AA43" i="47" s="1"/>
  <c r="AB43" i="47"/>
  <c r="AC43" i="47" s="1"/>
  <c r="AD43" i="47"/>
  <c r="AH43" i="47" s="1" a="1"/>
  <c r="AH43" i="47" s="1"/>
  <c r="AE43" i="47"/>
  <c r="Z44" i="47"/>
  <c r="AA44" i="47" s="1"/>
  <c r="AB44" i="47"/>
  <c r="AC44" i="47" s="1"/>
  <c r="AD44" i="47"/>
  <c r="AH44" i="47" s="1" a="1"/>
  <c r="AH44" i="47" s="1"/>
  <c r="AE44" i="47"/>
  <c r="AF44" i="47" s="1"/>
  <c r="AG44" i="47" s="1"/>
  <c r="Z45" i="47"/>
  <c r="AA45" i="47" s="1"/>
  <c r="AB45" i="47"/>
  <c r="AC45" i="47" s="1"/>
  <c r="AD45" i="47"/>
  <c r="AH45" i="47" s="1" a="1"/>
  <c r="AH45" i="47" s="1"/>
  <c r="AE45" i="47"/>
  <c r="AF45" i="47" s="1"/>
  <c r="AG45" i="47" s="1"/>
  <c r="Z46" i="47"/>
  <c r="AA46" i="47" s="1"/>
  <c r="AB46" i="47"/>
  <c r="AC46" i="47" s="1"/>
  <c r="AD46" i="47"/>
  <c r="AH46" i="47" s="1" a="1"/>
  <c r="AH46" i="47" s="1"/>
  <c r="AE46" i="47"/>
  <c r="AJ46" i="47" s="1"/>
  <c r="Z47" i="47"/>
  <c r="AA47" i="47" s="1"/>
  <c r="AB47" i="47"/>
  <c r="AC47" i="47" s="1"/>
  <c r="AD47" i="47"/>
  <c r="AH47" i="47" s="1" a="1"/>
  <c r="AH47" i="47" s="1"/>
  <c r="AE47" i="47"/>
  <c r="AJ47" i="47" s="1"/>
  <c r="Z48" i="47"/>
  <c r="AA48" i="47" s="1"/>
  <c r="AB48" i="47"/>
  <c r="AC48" i="47" s="1"/>
  <c r="AD48" i="47"/>
  <c r="AH48" i="47" s="1" a="1"/>
  <c r="AH48" i="47" s="1"/>
  <c r="AE48" i="47"/>
  <c r="Z49" i="47"/>
  <c r="AA49" i="47" s="1"/>
  <c r="AB49" i="47"/>
  <c r="AC49" i="47" s="1"/>
  <c r="AD49" i="47"/>
  <c r="AH49" i="47" s="1" a="1"/>
  <c r="AH49" i="47" s="1"/>
  <c r="AE49" i="47"/>
  <c r="AJ49" i="47" s="1"/>
  <c r="Z50" i="47"/>
  <c r="AA50" i="47" s="1"/>
  <c r="AB50" i="47"/>
  <c r="AC50" i="47" s="1"/>
  <c r="AD50" i="47"/>
  <c r="AH50" i="47" s="1" a="1"/>
  <c r="AH50" i="47" s="1"/>
  <c r="AE50" i="47"/>
  <c r="AF50" i="47" s="1"/>
  <c r="AG50" i="47" s="1"/>
  <c r="Z51" i="47"/>
  <c r="AA51" i="47" s="1"/>
  <c r="AB51" i="47"/>
  <c r="AC51" i="47" s="1"/>
  <c r="AD51" i="47"/>
  <c r="AH51" i="47" s="1" a="1"/>
  <c r="AH51" i="47" s="1"/>
  <c r="AE51" i="47"/>
  <c r="Z52" i="47"/>
  <c r="AA52" i="47" s="1"/>
  <c r="AB52" i="47"/>
  <c r="AC52" i="47" s="1"/>
  <c r="AD52" i="47"/>
  <c r="AH52" i="47" s="1" a="1"/>
  <c r="AH52" i="47" s="1"/>
  <c r="AE52" i="47"/>
  <c r="Z53" i="47"/>
  <c r="AA53" i="47" s="1"/>
  <c r="AB53" i="47"/>
  <c r="AC53" i="47" s="1"/>
  <c r="AD53" i="47"/>
  <c r="AH53" i="47" s="1" a="1"/>
  <c r="AH53" i="47" s="1"/>
  <c r="AE53" i="47"/>
  <c r="Z54" i="47"/>
  <c r="AA54" i="47" s="1"/>
  <c r="AB54" i="47"/>
  <c r="AC54" i="47" s="1"/>
  <c r="AD54" i="47"/>
  <c r="AH54" i="47" s="1" a="1"/>
  <c r="AH54" i="47" s="1"/>
  <c r="AE54" i="47"/>
  <c r="Z55" i="47"/>
  <c r="AA55" i="47" s="1"/>
  <c r="AB55" i="47"/>
  <c r="AC55" i="47" s="1"/>
  <c r="AD55" i="47"/>
  <c r="AH55" i="47" s="1" a="1"/>
  <c r="AH55" i="47" s="1"/>
  <c r="AE55" i="47"/>
  <c r="AJ55" i="47" s="1"/>
  <c r="Z56" i="47"/>
  <c r="AA56" i="47" s="1"/>
  <c r="AB56" i="47"/>
  <c r="AC56" i="47" s="1"/>
  <c r="AD56" i="47"/>
  <c r="AH56" i="47" s="1" a="1"/>
  <c r="AH56" i="47" s="1"/>
  <c r="AE56" i="47"/>
  <c r="AI56" i="47" s="1"/>
  <c r="Z57" i="47"/>
  <c r="AA57" i="47" s="1"/>
  <c r="AB57" i="47"/>
  <c r="AC57" i="47" s="1"/>
  <c r="AD57" i="47"/>
  <c r="AH57" i="47" s="1" a="1"/>
  <c r="AH57" i="47" s="1"/>
  <c r="AE57" i="47"/>
  <c r="AF57" i="47" s="1"/>
  <c r="AG57" i="47" s="1"/>
  <c r="Z58" i="47"/>
  <c r="AA58" i="47" s="1"/>
  <c r="AB58" i="47"/>
  <c r="AC58" i="47" s="1"/>
  <c r="AD58" i="47"/>
  <c r="AH58" i="47" s="1" a="1"/>
  <c r="AH58" i="47" s="1"/>
  <c r="AE58" i="47"/>
  <c r="AI58" i="47" s="1"/>
  <c r="Z59" i="47"/>
  <c r="AA59" i="47" s="1"/>
  <c r="AB59" i="47"/>
  <c r="AC59" i="47" s="1"/>
  <c r="AD59" i="47"/>
  <c r="AH59" i="47" s="1" a="1"/>
  <c r="AH59" i="47" s="1"/>
  <c r="AE59" i="47"/>
  <c r="Z60" i="47"/>
  <c r="AA60" i="47" s="1"/>
  <c r="AB60" i="47"/>
  <c r="AC60" i="47" s="1"/>
  <c r="AD60" i="47"/>
  <c r="AH60" i="47" s="1" a="1"/>
  <c r="AH60" i="47" s="1"/>
  <c r="AE60" i="47"/>
  <c r="Z61" i="47"/>
  <c r="AA61" i="47" s="1"/>
  <c r="AB61" i="47"/>
  <c r="AC61" i="47" s="1"/>
  <c r="AD61" i="47"/>
  <c r="AH61" i="47" s="1" a="1"/>
  <c r="AH61" i="47" s="1"/>
  <c r="AE61" i="47"/>
  <c r="AF61" i="47" s="1"/>
  <c r="AG61" i="47" s="1"/>
  <c r="Z62" i="47"/>
  <c r="AA62" i="47" s="1"/>
  <c r="AB62" i="47"/>
  <c r="AC62" i="47" s="1"/>
  <c r="AD62" i="47"/>
  <c r="AH62" i="47" s="1" a="1"/>
  <c r="AH62" i="47" s="1"/>
  <c r="AE62" i="47"/>
  <c r="AF62" i="47" s="1"/>
  <c r="AG62" i="47" s="1"/>
  <c r="Z63" i="47"/>
  <c r="AA63" i="47" s="1"/>
  <c r="AB63" i="47"/>
  <c r="AC63" i="47" s="1"/>
  <c r="AD63" i="47"/>
  <c r="AH63" i="47" s="1" a="1"/>
  <c r="AH63" i="47" s="1"/>
  <c r="AE63" i="47"/>
  <c r="AJ63" i="47" s="1"/>
  <c r="Z64" i="47"/>
  <c r="AA64" i="47" s="1"/>
  <c r="AB64" i="47"/>
  <c r="AC64" i="47" s="1"/>
  <c r="AD64" i="47"/>
  <c r="AH64" i="47" s="1" a="1"/>
  <c r="AH64" i="47" s="1"/>
  <c r="AE64" i="47"/>
  <c r="AJ64" i="47" s="1"/>
  <c r="Z65" i="47"/>
  <c r="AA65" i="47" s="1"/>
  <c r="AB65" i="47"/>
  <c r="AC65" i="47" s="1"/>
  <c r="AD65" i="47"/>
  <c r="AH65" i="47" s="1" a="1"/>
  <c r="AH65" i="47" s="1"/>
  <c r="AE65" i="47"/>
  <c r="AF65" i="47" s="1"/>
  <c r="AG65" i="47" s="1"/>
  <c r="Z66" i="47"/>
  <c r="AA66" i="47" s="1"/>
  <c r="AB66" i="47"/>
  <c r="AC66" i="47" s="1"/>
  <c r="AD66" i="47"/>
  <c r="AH66" i="47" s="1" a="1"/>
  <c r="AH66" i="47" s="1"/>
  <c r="AE66" i="47"/>
  <c r="AJ66" i="47" s="1"/>
  <c r="Z67" i="47"/>
  <c r="AA67" i="47" s="1"/>
  <c r="AB67" i="47"/>
  <c r="AC67" i="47" s="1"/>
  <c r="AD67" i="47"/>
  <c r="AH67" i="47" s="1" a="1"/>
  <c r="AH67" i="47" s="1"/>
  <c r="AE67" i="47"/>
  <c r="AF67" i="47" s="1"/>
  <c r="AG67" i="47" s="1"/>
  <c r="Z68" i="47"/>
  <c r="AA68" i="47" s="1"/>
  <c r="AB68" i="47"/>
  <c r="AC68" i="47" s="1"/>
  <c r="AD68" i="47"/>
  <c r="AH68" i="47" s="1" a="1"/>
  <c r="AH68" i="47" s="1"/>
  <c r="AE68" i="47"/>
  <c r="AJ68" i="47" s="1"/>
  <c r="Z69" i="47"/>
  <c r="AA69" i="47" s="1"/>
  <c r="AB69" i="47"/>
  <c r="AC69" i="47" s="1"/>
  <c r="AD69" i="47"/>
  <c r="AH69" i="47" s="1" a="1"/>
  <c r="AH69" i="47" s="1"/>
  <c r="AE69" i="47"/>
  <c r="AF69" i="47" s="1"/>
  <c r="AG69" i="47" s="1"/>
  <c r="Z70" i="47"/>
  <c r="AA70" i="47" s="1"/>
  <c r="AB70" i="47"/>
  <c r="AC70" i="47" s="1"/>
  <c r="AD70" i="47"/>
  <c r="AH70" i="47" s="1" a="1"/>
  <c r="AH70" i="47" s="1"/>
  <c r="AE70" i="47"/>
  <c r="Z71" i="47"/>
  <c r="AA71" i="47" s="1"/>
  <c r="AB71" i="47"/>
  <c r="AC71" i="47" s="1"/>
  <c r="AD71" i="47"/>
  <c r="AH71" i="47" s="1" a="1"/>
  <c r="AH71" i="47" s="1"/>
  <c r="AE71" i="47"/>
  <c r="Z72" i="47"/>
  <c r="AA72" i="47" s="1"/>
  <c r="AB72" i="47"/>
  <c r="AC72" i="47" s="1"/>
  <c r="AD72" i="47"/>
  <c r="AH72" i="47" s="1" a="1"/>
  <c r="AH72" i="47" s="1"/>
  <c r="AE72" i="47"/>
  <c r="Z73" i="47"/>
  <c r="AA73" i="47" s="1"/>
  <c r="AB73" i="47"/>
  <c r="AC73" i="47" s="1"/>
  <c r="AD73" i="47"/>
  <c r="AH73" i="47" s="1" a="1"/>
  <c r="AH73" i="47" s="1"/>
  <c r="AE73" i="47"/>
  <c r="Z74" i="47"/>
  <c r="AA74" i="47" s="1"/>
  <c r="AB74" i="47"/>
  <c r="AC74" i="47" s="1"/>
  <c r="AD74" i="47"/>
  <c r="AH74" i="47" s="1" a="1"/>
  <c r="AH74" i="47" s="1"/>
  <c r="AE74" i="47"/>
  <c r="Z75" i="47"/>
  <c r="AA75" i="47" s="1"/>
  <c r="AB75" i="47"/>
  <c r="AC75" i="47" s="1"/>
  <c r="AD75" i="47"/>
  <c r="AH75" i="47" s="1" a="1"/>
  <c r="AH75" i="47" s="1"/>
  <c r="AE75" i="47"/>
  <c r="AF75" i="47" s="1"/>
  <c r="AG75" i="47" s="1"/>
  <c r="Z76" i="47"/>
  <c r="AA76" i="47" s="1"/>
  <c r="AB76" i="47"/>
  <c r="AC76" i="47" s="1"/>
  <c r="AD76" i="47"/>
  <c r="AH76" i="47" s="1" a="1"/>
  <c r="AH76" i="47" s="1"/>
  <c r="AE76" i="47"/>
  <c r="Z77" i="47"/>
  <c r="AA77" i="47" s="1"/>
  <c r="AB77" i="47"/>
  <c r="AC77" i="47" s="1"/>
  <c r="AD77" i="47"/>
  <c r="AH77" i="47" s="1" a="1"/>
  <c r="AH77" i="47" s="1"/>
  <c r="AE77" i="47"/>
  <c r="Z78" i="47"/>
  <c r="AA78" i="47" s="1"/>
  <c r="AB78" i="47"/>
  <c r="AC78" i="47" s="1"/>
  <c r="AD78" i="47"/>
  <c r="AH78" i="47" s="1" a="1"/>
  <c r="AH78" i="47" s="1"/>
  <c r="AE78" i="47"/>
  <c r="AF78" i="47" s="1"/>
  <c r="AG78" i="47" s="1"/>
  <c r="Z79" i="47"/>
  <c r="AA79" i="47" s="1"/>
  <c r="AB79" i="47"/>
  <c r="AC79" i="47" s="1"/>
  <c r="AD79" i="47"/>
  <c r="AH79" i="47" s="1" a="1"/>
  <c r="AH79" i="47" s="1"/>
  <c r="AE79" i="47"/>
  <c r="Z80" i="47"/>
  <c r="AA80" i="47" s="1"/>
  <c r="AB80" i="47"/>
  <c r="AC80" i="47" s="1"/>
  <c r="AD80" i="47"/>
  <c r="AH80" i="47" s="1" a="1"/>
  <c r="AH80" i="47" s="1"/>
  <c r="AE80" i="47"/>
  <c r="AF80" i="47" s="1"/>
  <c r="AG80" i="47" s="1"/>
  <c r="Z81" i="47"/>
  <c r="AA81" i="47" s="1"/>
  <c r="AB81" i="47"/>
  <c r="AC81" i="47" s="1"/>
  <c r="AD81" i="47"/>
  <c r="AH81" i="47" s="1" a="1"/>
  <c r="AH81" i="47" s="1"/>
  <c r="AE81" i="47"/>
  <c r="AF81" i="47" s="1"/>
  <c r="AG81" i="47" s="1"/>
  <c r="Z82" i="47"/>
  <c r="AA82" i="47" s="1"/>
  <c r="AB82" i="47"/>
  <c r="AC82" i="47" s="1"/>
  <c r="AD82" i="47"/>
  <c r="AH82" i="47" s="1" a="1"/>
  <c r="AH82" i="47" s="1"/>
  <c r="AE82" i="47"/>
  <c r="AI82" i="47" s="1"/>
  <c r="Z83" i="47"/>
  <c r="AA83" i="47" s="1"/>
  <c r="AB83" i="47"/>
  <c r="AC83" i="47" s="1"/>
  <c r="AD83" i="47"/>
  <c r="AH83" i="47" s="1" a="1"/>
  <c r="AH83" i="47" s="1"/>
  <c r="AE83" i="47"/>
  <c r="AI83" i="47" s="1"/>
  <c r="Z84" i="47"/>
  <c r="AA84" i="47" s="1"/>
  <c r="AB84" i="47"/>
  <c r="AC84" i="47" s="1"/>
  <c r="AD84" i="47"/>
  <c r="AH84" i="47" s="1" a="1"/>
  <c r="AH84" i="47" s="1"/>
  <c r="AE84" i="47"/>
  <c r="Z85" i="47"/>
  <c r="AA85" i="47" s="1"/>
  <c r="AB85" i="47"/>
  <c r="AC85" i="47" s="1"/>
  <c r="AD85" i="47"/>
  <c r="AH85" i="47" s="1" a="1"/>
  <c r="AH85" i="47" s="1"/>
  <c r="AE85" i="47"/>
  <c r="AJ85" i="47" s="1"/>
  <c r="Z86" i="47"/>
  <c r="AA86" i="47" s="1"/>
  <c r="AB86" i="47"/>
  <c r="AC86" i="47" s="1"/>
  <c r="AD86" i="47"/>
  <c r="AH86" i="47" s="1" a="1"/>
  <c r="AH86" i="47" s="1"/>
  <c r="AE86" i="47"/>
  <c r="AI86" i="47" s="1"/>
  <c r="Z87" i="47"/>
  <c r="AA87" i="47" s="1"/>
  <c r="AB87" i="47"/>
  <c r="AC87" i="47" s="1"/>
  <c r="AD87" i="47"/>
  <c r="AH87" i="47" s="1" a="1"/>
  <c r="AH87" i="47" s="1"/>
  <c r="AE87" i="47"/>
  <c r="Z88" i="47"/>
  <c r="AA88" i="47" s="1"/>
  <c r="AB88" i="47"/>
  <c r="AC88" i="47" s="1"/>
  <c r="AD88" i="47"/>
  <c r="AH88" i="47" s="1" a="1"/>
  <c r="AH88" i="47" s="1"/>
  <c r="AE88" i="47"/>
  <c r="AF88" i="47" s="1"/>
  <c r="AG88" i="47" s="1"/>
  <c r="Z89" i="47"/>
  <c r="AA89" i="47" s="1"/>
  <c r="AB89" i="47"/>
  <c r="AC89" i="47" s="1"/>
  <c r="AD89" i="47"/>
  <c r="AH89" i="47" s="1" a="1"/>
  <c r="AH89" i="47" s="1"/>
  <c r="AE89" i="47"/>
  <c r="AJ89" i="47" s="1"/>
  <c r="Z90" i="47"/>
  <c r="AA90" i="47" s="1"/>
  <c r="AB90" i="47"/>
  <c r="AC90" i="47" s="1"/>
  <c r="AD90" i="47"/>
  <c r="AH90" i="47" s="1" a="1"/>
  <c r="AH90" i="47" s="1"/>
  <c r="AE90" i="47"/>
  <c r="AI90" i="47" s="1"/>
  <c r="Z91" i="47"/>
  <c r="AA91" i="47" s="1"/>
  <c r="AB91" i="47"/>
  <c r="AC91" i="47" s="1"/>
  <c r="AD91" i="47"/>
  <c r="AH91" i="47" s="1" a="1"/>
  <c r="AH91" i="47" s="1"/>
  <c r="AE91" i="47"/>
  <c r="AJ91" i="47" s="1"/>
  <c r="Z92" i="47"/>
  <c r="AA92" i="47" s="1"/>
  <c r="AB92" i="47"/>
  <c r="AC92" i="47" s="1"/>
  <c r="AD92" i="47"/>
  <c r="AH92" i="47" s="1" a="1"/>
  <c r="AH92" i="47" s="1"/>
  <c r="AE92" i="47"/>
  <c r="AJ92" i="47" s="1"/>
  <c r="Z93" i="47"/>
  <c r="AA93" i="47" s="1"/>
  <c r="AB93" i="47"/>
  <c r="AC93" i="47" s="1"/>
  <c r="AD93" i="47"/>
  <c r="AH93" i="47" s="1" a="1"/>
  <c r="AH93" i="47" s="1"/>
  <c r="AE93" i="47"/>
  <c r="AJ93" i="47" s="1"/>
  <c r="Z94" i="47"/>
  <c r="AA94" i="47" s="1"/>
  <c r="AB94" i="47"/>
  <c r="AC94" i="47" s="1"/>
  <c r="AD94" i="47"/>
  <c r="AH94" i="47" s="1" a="1"/>
  <c r="AH94" i="47" s="1"/>
  <c r="AE94" i="47"/>
  <c r="AF94" i="47" s="1"/>
  <c r="AG94" i="47" s="1"/>
  <c r="Z95" i="47"/>
  <c r="AA95" i="47" s="1"/>
  <c r="AB95" i="47"/>
  <c r="AC95" i="47" s="1"/>
  <c r="AD95" i="47"/>
  <c r="AH95" i="47" s="1" a="1"/>
  <c r="AH95" i="47" s="1"/>
  <c r="AE95" i="47"/>
  <c r="Z96" i="47"/>
  <c r="AA96" i="47" s="1"/>
  <c r="AB96" i="47"/>
  <c r="AC96" i="47" s="1"/>
  <c r="AD96" i="47"/>
  <c r="AH96" i="47" s="1" a="1"/>
  <c r="AH96" i="47" s="1"/>
  <c r="AE96" i="47"/>
  <c r="AJ96" i="47" s="1"/>
  <c r="Z97" i="47"/>
  <c r="AA97" i="47" s="1"/>
  <c r="AB97" i="47"/>
  <c r="AC97" i="47" s="1"/>
  <c r="AD97" i="47"/>
  <c r="AH97" i="47" s="1" a="1"/>
  <c r="AH97" i="47" s="1"/>
  <c r="AE97" i="47"/>
  <c r="AF97" i="47" s="1"/>
  <c r="AG97" i="47" s="1"/>
  <c r="Z98" i="47"/>
  <c r="AA98" i="47" s="1"/>
  <c r="AB98" i="47"/>
  <c r="AC98" i="47" s="1"/>
  <c r="AD98" i="47"/>
  <c r="AH98" i="47" s="1" a="1"/>
  <c r="AH98" i="47" s="1"/>
  <c r="AE98" i="47"/>
  <c r="AI98" i="47" s="1"/>
  <c r="Z99" i="47"/>
  <c r="AA99" i="47" s="1"/>
  <c r="AB99" i="47"/>
  <c r="AC99" i="47" s="1"/>
  <c r="AD99" i="47"/>
  <c r="AH99" i="47" s="1" a="1"/>
  <c r="AH99" i="47" s="1"/>
  <c r="AE99" i="47"/>
  <c r="AI99" i="47" s="1"/>
  <c r="Z100" i="47"/>
  <c r="AA100" i="47" s="1"/>
  <c r="AB100" i="47"/>
  <c r="AC100" i="47" s="1"/>
  <c r="AD100" i="47"/>
  <c r="AH100" i="47" s="1" a="1"/>
  <c r="AH100" i="47" s="1"/>
  <c r="AE100" i="47"/>
  <c r="AJ100" i="47" s="1"/>
  <c r="Z101" i="47"/>
  <c r="AA101" i="47" s="1"/>
  <c r="AB101" i="47"/>
  <c r="AC101" i="47" s="1"/>
  <c r="AD101" i="47"/>
  <c r="AH101" i="47" s="1" a="1"/>
  <c r="AH101" i="47" s="1"/>
  <c r="AE101" i="47"/>
  <c r="AI101" i="47" s="1"/>
  <c r="Z102" i="47"/>
  <c r="AA102" i="47" s="1"/>
  <c r="AB102" i="47"/>
  <c r="AC102" i="47" s="1"/>
  <c r="AD102" i="47"/>
  <c r="AH102" i="47" s="1" a="1"/>
  <c r="AH102" i="47" s="1"/>
  <c r="AE102" i="47"/>
  <c r="Z103" i="47"/>
  <c r="AA103" i="47" s="1"/>
  <c r="AB103" i="47"/>
  <c r="AC103" i="47" s="1"/>
  <c r="AD103" i="47"/>
  <c r="AH103" i="47" s="1" a="1"/>
  <c r="AH103" i="47" s="1"/>
  <c r="AE103" i="47"/>
  <c r="AI103" i="47" s="1"/>
  <c r="Z104" i="47"/>
  <c r="AA104" i="47" s="1"/>
  <c r="AB104" i="47"/>
  <c r="AC104" i="47" s="1"/>
  <c r="AD104" i="47"/>
  <c r="AH104" i="47" s="1" a="1"/>
  <c r="AH104" i="47" s="1"/>
  <c r="AE104" i="47"/>
  <c r="Z105" i="47"/>
  <c r="AA105" i="47" s="1"/>
  <c r="AB105" i="47"/>
  <c r="AC105" i="47" s="1"/>
  <c r="AD105" i="47"/>
  <c r="AH105" i="47" s="1" a="1"/>
  <c r="AH105" i="47" s="1"/>
  <c r="AE105" i="47"/>
  <c r="Z106" i="47"/>
  <c r="AA106" i="47" s="1"/>
  <c r="AB106" i="47"/>
  <c r="AC106" i="47" s="1"/>
  <c r="AD106" i="47"/>
  <c r="AH106" i="47" s="1" a="1"/>
  <c r="AH106" i="47" s="1"/>
  <c r="AE106" i="47"/>
  <c r="AI106" i="47" s="1"/>
  <c r="Z107" i="47"/>
  <c r="AA107" i="47" s="1"/>
  <c r="AB107" i="47"/>
  <c r="AC107" i="47" s="1"/>
  <c r="AD107" i="47"/>
  <c r="AH107" i="47" s="1" a="1"/>
  <c r="AH107" i="47" s="1"/>
  <c r="AE107" i="47"/>
  <c r="AI107" i="47" s="1"/>
  <c r="Z108" i="47"/>
  <c r="AA108" i="47" s="1"/>
  <c r="AB108" i="47"/>
  <c r="AC108" i="47" s="1"/>
  <c r="AD108" i="47"/>
  <c r="AH108" i="47" s="1" a="1"/>
  <c r="AH108" i="47" s="1"/>
  <c r="AE108" i="47"/>
  <c r="AF108" i="47" s="1"/>
  <c r="AG108" i="47" s="1"/>
  <c r="Z109" i="47"/>
  <c r="AA109" i="47" s="1"/>
  <c r="AB109" i="47"/>
  <c r="AC109" i="47" s="1"/>
  <c r="AD109" i="47"/>
  <c r="AH109" i="47" s="1" a="1"/>
  <c r="AH109" i="47" s="1"/>
  <c r="AE109" i="47"/>
  <c r="Z110" i="47"/>
  <c r="AA110" i="47" s="1"/>
  <c r="AB110" i="47"/>
  <c r="AC110" i="47" s="1"/>
  <c r="AD110" i="47"/>
  <c r="AH110" i="47" s="1" a="1"/>
  <c r="AH110" i="47" s="1"/>
  <c r="AE110" i="47"/>
  <c r="AF110" i="47" s="1"/>
  <c r="AG110" i="47" s="1"/>
  <c r="Z111" i="47"/>
  <c r="AA111" i="47" s="1"/>
  <c r="AB111" i="47"/>
  <c r="AC111" i="47" s="1"/>
  <c r="AD111" i="47"/>
  <c r="AH111" i="47" s="1" a="1"/>
  <c r="AH111" i="47" s="1"/>
  <c r="AE111" i="47"/>
  <c r="AJ111" i="47" s="1"/>
  <c r="Z112" i="47"/>
  <c r="AA112" i="47" s="1"/>
  <c r="AB112" i="47"/>
  <c r="AC112" i="47" s="1"/>
  <c r="AD112" i="47"/>
  <c r="AH112" i="47" s="1" a="1"/>
  <c r="AH112" i="47" s="1"/>
  <c r="AE112" i="47"/>
  <c r="AF112" i="47" s="1"/>
  <c r="AG112" i="47" s="1"/>
  <c r="Z113" i="47"/>
  <c r="AA113" i="47" s="1"/>
  <c r="AB113" i="47"/>
  <c r="AC113" i="47" s="1"/>
  <c r="AD113" i="47"/>
  <c r="AH113" i="47" s="1" a="1"/>
  <c r="AH113" i="47" s="1"/>
  <c r="AE113" i="47"/>
  <c r="AJ113" i="47" s="1"/>
  <c r="Z114" i="47"/>
  <c r="AA114" i="47" s="1"/>
  <c r="AB114" i="47"/>
  <c r="AC114" i="47" s="1"/>
  <c r="AD114" i="47"/>
  <c r="AH114" i="47" s="1" a="1"/>
  <c r="AH114" i="47" s="1"/>
  <c r="AE114" i="47"/>
  <c r="AF114" i="47" s="1"/>
  <c r="AG114" i="47" s="1"/>
  <c r="Z115" i="47"/>
  <c r="AA115" i="47" s="1"/>
  <c r="AB115" i="47"/>
  <c r="AC115" i="47" s="1"/>
  <c r="AD115" i="47"/>
  <c r="AH115" i="47" s="1" a="1"/>
  <c r="AH115" i="47" s="1"/>
  <c r="AE115" i="47"/>
  <c r="Z116" i="47"/>
  <c r="AA116" i="47" s="1"/>
  <c r="AB116" i="47"/>
  <c r="AC116" i="47" s="1"/>
  <c r="AD116" i="47"/>
  <c r="AH116" i="47" s="1" a="1"/>
  <c r="AH116" i="47" s="1"/>
  <c r="AE116" i="47"/>
  <c r="AF116" i="47" s="1"/>
  <c r="AG116" i="47" s="1"/>
  <c r="Z117" i="47"/>
  <c r="AA117" i="47" s="1"/>
  <c r="AB117" i="47"/>
  <c r="AC117" i="47" s="1"/>
  <c r="AD117" i="47"/>
  <c r="AH117" i="47" s="1" a="1"/>
  <c r="AH117" i="47" s="1"/>
  <c r="AE117" i="47"/>
  <c r="AJ117" i="47" s="1"/>
  <c r="Z118" i="47"/>
  <c r="AA118" i="47" s="1"/>
  <c r="AB118" i="47"/>
  <c r="AC118" i="47" s="1"/>
  <c r="AD118" i="47"/>
  <c r="AH118" i="47" s="1" a="1"/>
  <c r="AH118" i="47" s="1"/>
  <c r="AE118" i="47"/>
  <c r="AF118" i="47" s="1"/>
  <c r="AG118" i="47" s="1"/>
  <c r="Z119" i="47"/>
  <c r="AA119" i="47" s="1"/>
  <c r="AB119" i="47"/>
  <c r="AC119" i="47" s="1"/>
  <c r="AD119" i="47"/>
  <c r="AH119" i="47" s="1" a="1"/>
  <c r="AH119" i="47" s="1"/>
  <c r="AE119" i="47"/>
  <c r="AJ119" i="47" s="1"/>
  <c r="Z120" i="47"/>
  <c r="AA120" i="47" s="1"/>
  <c r="AB120" i="47"/>
  <c r="AC120" i="47" s="1"/>
  <c r="AD120" i="47"/>
  <c r="AH120" i="47" s="1" a="1"/>
  <c r="AH120" i="47" s="1"/>
  <c r="AE120" i="47"/>
  <c r="AF120" i="47" s="1"/>
  <c r="AG120" i="47" s="1"/>
  <c r="Z121" i="47"/>
  <c r="AA121" i="47" s="1"/>
  <c r="AB121" i="47"/>
  <c r="AC121" i="47" s="1"/>
  <c r="AD121" i="47"/>
  <c r="AH121" i="47" s="1" a="1"/>
  <c r="AH121" i="47" s="1"/>
  <c r="AE121" i="47"/>
  <c r="AJ121" i="47" s="1"/>
  <c r="Z122" i="47"/>
  <c r="AA122" i="47" s="1"/>
  <c r="AB122" i="47"/>
  <c r="AC122" i="47" s="1"/>
  <c r="AD122" i="47"/>
  <c r="AH122" i="47" s="1" a="1"/>
  <c r="AH122" i="47" s="1"/>
  <c r="AE122" i="47"/>
  <c r="Z123" i="47"/>
  <c r="AA123" i="47" s="1"/>
  <c r="AB123" i="47"/>
  <c r="AC123" i="47" s="1"/>
  <c r="AD123" i="47"/>
  <c r="AH123" i="47" s="1" a="1"/>
  <c r="AH123" i="47" s="1"/>
  <c r="AE123" i="47"/>
  <c r="AJ123" i="47" s="1"/>
  <c r="Z124" i="47"/>
  <c r="AA124" i="47" s="1"/>
  <c r="AB124" i="47"/>
  <c r="AC124" i="47" s="1"/>
  <c r="AD124" i="47"/>
  <c r="AH124" i="47" s="1" a="1"/>
  <c r="AH124" i="47" s="1"/>
  <c r="AE124" i="47"/>
  <c r="Z125" i="47"/>
  <c r="AA125" i="47" s="1"/>
  <c r="AB125" i="47"/>
  <c r="AC125" i="47" s="1"/>
  <c r="AD125" i="47"/>
  <c r="AH125" i="47" s="1" a="1"/>
  <c r="AH125" i="47" s="1"/>
  <c r="AE125" i="47"/>
  <c r="AJ125" i="47" s="1"/>
  <c r="Z126" i="47"/>
  <c r="AA126" i="47" s="1"/>
  <c r="AB126" i="47"/>
  <c r="AC126" i="47" s="1"/>
  <c r="AD126" i="47"/>
  <c r="AH126" i="47" s="1" a="1"/>
  <c r="AH126" i="47" s="1"/>
  <c r="AE126" i="47"/>
  <c r="AJ126" i="47" s="1"/>
  <c r="Z127" i="47"/>
  <c r="AA127" i="47" s="1"/>
  <c r="AB127" i="47"/>
  <c r="AC127" i="47" s="1"/>
  <c r="AD127" i="47"/>
  <c r="AH127" i="47" s="1" a="1"/>
  <c r="AH127" i="47" s="1"/>
  <c r="AE127" i="47"/>
  <c r="AJ127" i="47" s="1"/>
  <c r="Z128" i="47"/>
  <c r="AA128" i="47" s="1"/>
  <c r="AB128" i="47"/>
  <c r="AC128" i="47" s="1"/>
  <c r="AD128" i="47"/>
  <c r="AH128" i="47" s="1" a="1"/>
  <c r="AH128" i="47" s="1"/>
  <c r="AE128" i="47"/>
  <c r="AF128" i="47" s="1"/>
  <c r="AG128" i="47" s="1"/>
  <c r="Z129" i="47"/>
  <c r="AA129" i="47" s="1"/>
  <c r="AB129" i="47"/>
  <c r="AC129" i="47" s="1"/>
  <c r="AD129" i="47"/>
  <c r="AH129" i="47" s="1" a="1"/>
  <c r="AH129" i="47" s="1"/>
  <c r="AE129" i="47"/>
  <c r="AJ129" i="47" s="1"/>
  <c r="Z130" i="47"/>
  <c r="AA130" i="47" s="1"/>
  <c r="AB130" i="47"/>
  <c r="AC130" i="47" s="1"/>
  <c r="AD130" i="47"/>
  <c r="AH130" i="47" s="1" a="1"/>
  <c r="AH130" i="47" s="1"/>
  <c r="AE130" i="47"/>
  <c r="AF130" i="47" s="1"/>
  <c r="AG130" i="47" s="1"/>
  <c r="Z131" i="47"/>
  <c r="AA131" i="47" s="1"/>
  <c r="AB131" i="47"/>
  <c r="AC131" i="47" s="1"/>
  <c r="AD131" i="47"/>
  <c r="AH131" i="47" s="1" a="1"/>
  <c r="AH131" i="47" s="1"/>
  <c r="AE131" i="47"/>
  <c r="AJ131" i="47" s="1"/>
  <c r="Z132" i="47"/>
  <c r="AA132" i="47" s="1"/>
  <c r="AB132" i="47"/>
  <c r="AC132" i="47" s="1"/>
  <c r="AD132" i="47"/>
  <c r="AH132" i="47" s="1" a="1"/>
  <c r="AH132" i="47" s="1"/>
  <c r="AE132" i="47"/>
  <c r="AI132" i="47" s="1"/>
  <c r="Z133" i="47"/>
  <c r="AA133" i="47" s="1"/>
  <c r="AB133" i="47"/>
  <c r="AC133" i="47" s="1"/>
  <c r="AD133" i="47"/>
  <c r="AH133" i="47" s="1" a="1"/>
  <c r="AH133" i="47" s="1"/>
  <c r="AE133" i="47"/>
  <c r="AJ133" i="47" s="1"/>
  <c r="Z134" i="47"/>
  <c r="AA134" i="47" s="1"/>
  <c r="AB134" i="47"/>
  <c r="AC134" i="47" s="1"/>
  <c r="AD134" i="47"/>
  <c r="AH134" i="47" s="1" a="1"/>
  <c r="AH134" i="47" s="1"/>
  <c r="AE134" i="47"/>
  <c r="AF134" i="47" s="1"/>
  <c r="AG134" i="47" s="1"/>
  <c r="Z135" i="47"/>
  <c r="AA135" i="47" s="1"/>
  <c r="AB135" i="47"/>
  <c r="AC135" i="47" s="1"/>
  <c r="AD135" i="47"/>
  <c r="AH135" i="47" s="1" a="1"/>
  <c r="AH135" i="47" s="1"/>
  <c r="AE135" i="47"/>
  <c r="Z136" i="47"/>
  <c r="AA136" i="47" s="1"/>
  <c r="AB136" i="47"/>
  <c r="AC136" i="47" s="1"/>
  <c r="AD136" i="47"/>
  <c r="AH136" i="47" s="1" a="1"/>
  <c r="AH136" i="47" s="1"/>
  <c r="AE136" i="47"/>
  <c r="AI136" i="47" s="1"/>
  <c r="Z137" i="47"/>
  <c r="AA137" i="47" s="1"/>
  <c r="AB137" i="47"/>
  <c r="AC137" i="47" s="1"/>
  <c r="AD137" i="47"/>
  <c r="AH137" i="47" s="1" a="1"/>
  <c r="AH137" i="47" s="1"/>
  <c r="AE137" i="47"/>
  <c r="AJ137" i="47" s="1"/>
  <c r="Z138" i="47"/>
  <c r="AA138" i="47" s="1"/>
  <c r="AB138" i="47"/>
  <c r="AC138" i="47" s="1"/>
  <c r="AD138" i="47"/>
  <c r="AH138" i="47" s="1" a="1"/>
  <c r="AH138" i="47" s="1"/>
  <c r="AE138" i="47"/>
  <c r="AI138" i="47" s="1"/>
  <c r="Z139" i="47"/>
  <c r="AA139" i="47" s="1"/>
  <c r="AB139" i="47"/>
  <c r="AC139" i="47" s="1"/>
  <c r="AD139" i="47"/>
  <c r="AH139" i="47" s="1" a="1"/>
  <c r="AH139" i="47" s="1"/>
  <c r="AE139" i="47"/>
  <c r="AJ139" i="47" s="1"/>
  <c r="Z140" i="47"/>
  <c r="AA140" i="47" s="1"/>
  <c r="AB140" i="47"/>
  <c r="AC140" i="47" s="1"/>
  <c r="AD140" i="47"/>
  <c r="AH140" i="47" s="1" a="1"/>
  <c r="AH140" i="47" s="1"/>
  <c r="AE140" i="47"/>
  <c r="AI140" i="47" s="1"/>
  <c r="Z141" i="47"/>
  <c r="AA141" i="47" s="1"/>
  <c r="AB141" i="47"/>
  <c r="AC141" i="47" s="1"/>
  <c r="AD141" i="47"/>
  <c r="AH141" i="47" s="1" a="1"/>
  <c r="AH141" i="47" s="1"/>
  <c r="AE141" i="47"/>
  <c r="Z142" i="47"/>
  <c r="AA142" i="47" s="1"/>
  <c r="AB142" i="47"/>
  <c r="AC142" i="47" s="1"/>
  <c r="AD142" i="47"/>
  <c r="AH142" i="47" s="1" a="1"/>
  <c r="AH142" i="47" s="1"/>
  <c r="AE142" i="47"/>
  <c r="AF142" i="47" s="1"/>
  <c r="AG142" i="47" s="1"/>
  <c r="Z143" i="47"/>
  <c r="AA143" i="47" s="1"/>
  <c r="AB143" i="47"/>
  <c r="AC143" i="47" s="1"/>
  <c r="AD143" i="47"/>
  <c r="AH143" i="47" s="1" a="1"/>
  <c r="AH143" i="47" s="1"/>
  <c r="AE143" i="47"/>
  <c r="AJ143" i="47" s="1"/>
  <c r="Z144" i="47"/>
  <c r="AA144" i="47" s="1"/>
  <c r="AB144" i="47"/>
  <c r="AC144" i="47" s="1"/>
  <c r="AD144" i="47"/>
  <c r="AH144" i="47" s="1" a="1"/>
  <c r="AH144" i="47" s="1"/>
  <c r="AE144" i="47"/>
  <c r="AF144" i="47" s="1"/>
  <c r="AG144" i="47" s="1"/>
  <c r="Z145" i="47"/>
  <c r="AA145" i="47" s="1"/>
  <c r="AB145" i="47"/>
  <c r="AC145" i="47" s="1"/>
  <c r="AD145" i="47"/>
  <c r="AH145" i="47" s="1" a="1"/>
  <c r="AH145" i="47" s="1"/>
  <c r="AE145" i="47"/>
  <c r="AJ145" i="47" s="1"/>
  <c r="Z146" i="47"/>
  <c r="AA146" i="47" s="1"/>
  <c r="AB146" i="47"/>
  <c r="AC146" i="47" s="1"/>
  <c r="AD146" i="47"/>
  <c r="AH146" i="47" s="1" a="1"/>
  <c r="AH146" i="47" s="1"/>
  <c r="AE146" i="47"/>
  <c r="AF146" i="47" s="1"/>
  <c r="AG146" i="47" s="1"/>
  <c r="Z147" i="47"/>
  <c r="AA147" i="47" s="1"/>
  <c r="AB147" i="47"/>
  <c r="AC147" i="47" s="1"/>
  <c r="AD147" i="47"/>
  <c r="AH147" i="47" s="1" a="1"/>
  <c r="AH147" i="47" s="1"/>
  <c r="AE147" i="47"/>
  <c r="AJ147" i="47" s="1"/>
  <c r="Z148" i="47"/>
  <c r="AA148" i="47" s="1"/>
  <c r="AB148" i="47"/>
  <c r="AC148" i="47" s="1"/>
  <c r="AD148" i="47"/>
  <c r="AH148" i="47" s="1" a="1"/>
  <c r="AH148" i="47" s="1"/>
  <c r="AE148" i="47"/>
  <c r="AF148" i="47" s="1"/>
  <c r="AG148" i="47" s="1"/>
  <c r="Z149" i="47"/>
  <c r="AA149" i="47" s="1"/>
  <c r="AB149" i="47"/>
  <c r="AC149" i="47" s="1"/>
  <c r="AD149" i="47"/>
  <c r="AH149" i="47" s="1" a="1"/>
  <c r="AH149" i="47" s="1"/>
  <c r="AE149" i="47"/>
  <c r="AJ149" i="47" s="1"/>
  <c r="Z150" i="47"/>
  <c r="AA150" i="47" s="1"/>
  <c r="AB150" i="47"/>
  <c r="AC150" i="47" s="1"/>
  <c r="AD150" i="47"/>
  <c r="AH150" i="47" s="1" a="1"/>
  <c r="AH150" i="47" s="1"/>
  <c r="AE150" i="47"/>
  <c r="AI150" i="47" s="1"/>
  <c r="Z151" i="47"/>
  <c r="AA151" i="47" s="1"/>
  <c r="AB151" i="47"/>
  <c r="AC151" i="47" s="1"/>
  <c r="AD151" i="47"/>
  <c r="AH151" i="47" s="1" a="1"/>
  <c r="AH151" i="47" s="1"/>
  <c r="AE151" i="47"/>
  <c r="Z152" i="47"/>
  <c r="AA152" i="47" s="1"/>
  <c r="AB152" i="47"/>
  <c r="AC152" i="47" s="1"/>
  <c r="AD152" i="47"/>
  <c r="AH152" i="47" s="1" a="1"/>
  <c r="AH152" i="47" s="1"/>
  <c r="AE152" i="47"/>
  <c r="Z153" i="47"/>
  <c r="AA153" i="47" s="1"/>
  <c r="AB153" i="47"/>
  <c r="AC153" i="47" s="1"/>
  <c r="AD153" i="47"/>
  <c r="AH153" i="47" s="1" a="1"/>
  <c r="AH153" i="47" s="1"/>
  <c r="AE153" i="47"/>
  <c r="Z154" i="47"/>
  <c r="AA154" i="47" s="1"/>
  <c r="AB154" i="47"/>
  <c r="AC154" i="47" s="1"/>
  <c r="AD154" i="47"/>
  <c r="AH154" i="47" s="1" a="1"/>
  <c r="AH154" i="47" s="1"/>
  <c r="AE154" i="47"/>
  <c r="Z155" i="47"/>
  <c r="AA155" i="47" s="1"/>
  <c r="AB155" i="47"/>
  <c r="AC155" i="47" s="1"/>
  <c r="AD155" i="47"/>
  <c r="AH155" i="47" s="1" a="1"/>
  <c r="AH155" i="47" s="1"/>
  <c r="AE155" i="47"/>
  <c r="AJ155" i="47" s="1"/>
  <c r="Z156" i="47"/>
  <c r="AA156" i="47" s="1"/>
  <c r="AB156" i="47"/>
  <c r="AC156" i="47" s="1"/>
  <c r="AD156" i="47"/>
  <c r="AH156" i="47" s="1" a="1"/>
  <c r="AH156" i="47" s="1"/>
  <c r="AE156" i="47"/>
  <c r="AF156" i="47" s="1"/>
  <c r="AG156" i="47" s="1"/>
  <c r="Z157" i="47"/>
  <c r="AA157" i="47" s="1"/>
  <c r="AB157" i="47"/>
  <c r="AC157" i="47" s="1"/>
  <c r="AD157" i="47"/>
  <c r="AH157" i="47" s="1" a="1"/>
  <c r="AH157" i="47" s="1"/>
  <c r="AE157" i="47"/>
  <c r="AJ157" i="47" s="1"/>
  <c r="Z158" i="47"/>
  <c r="AA158" i="47" s="1"/>
  <c r="AB158" i="47"/>
  <c r="AC158" i="47" s="1"/>
  <c r="AD158" i="47"/>
  <c r="AH158" i="47" s="1" a="1"/>
  <c r="AH158" i="47" s="1"/>
  <c r="AE158" i="47"/>
  <c r="Z159" i="47"/>
  <c r="AA159" i="47" s="1"/>
  <c r="AB159" i="47"/>
  <c r="AC159" i="47" s="1"/>
  <c r="AD159" i="47"/>
  <c r="AH159" i="47" s="1" a="1"/>
  <c r="AH159" i="47" s="1"/>
  <c r="AE159" i="47"/>
  <c r="Z160" i="47"/>
  <c r="AA160" i="47" s="1"/>
  <c r="AB160" i="47"/>
  <c r="AC160" i="47" s="1"/>
  <c r="AD160" i="47"/>
  <c r="AH160" i="47" s="1" a="1"/>
  <c r="AH160" i="47" s="1"/>
  <c r="AE160" i="47"/>
  <c r="AF160" i="47" s="1"/>
  <c r="AG160" i="47" s="1"/>
  <c r="Z161" i="47"/>
  <c r="AA161" i="47" s="1"/>
  <c r="AB161" i="47"/>
  <c r="AC161" i="47" s="1"/>
  <c r="AD161" i="47"/>
  <c r="AH161" i="47" s="1" a="1"/>
  <c r="AH161" i="47" s="1"/>
  <c r="AE161" i="47"/>
  <c r="AF161" i="47" s="1"/>
  <c r="AG161" i="47" s="1"/>
  <c r="Z162" i="47"/>
  <c r="AA162" i="47" s="1"/>
  <c r="AB162" i="47"/>
  <c r="AC162" i="47" s="1"/>
  <c r="AD162" i="47"/>
  <c r="AH162" i="47" s="1" a="1"/>
  <c r="AH162" i="47" s="1"/>
  <c r="AE162" i="47"/>
  <c r="Z163" i="47"/>
  <c r="AA163" i="47" s="1"/>
  <c r="AB163" i="47"/>
  <c r="AC163" i="47" s="1"/>
  <c r="AD163" i="47"/>
  <c r="AH163" i="47" s="1" a="1"/>
  <c r="AH163" i="47" s="1"/>
  <c r="AE163" i="47"/>
  <c r="AJ163" i="47" s="1"/>
  <c r="Z164" i="47"/>
  <c r="AA164" i="47" s="1"/>
  <c r="AB164" i="47"/>
  <c r="AC164" i="47" s="1"/>
  <c r="AD164" i="47"/>
  <c r="AH164" i="47" s="1" a="1"/>
  <c r="AH164" i="47" s="1"/>
  <c r="AE164" i="47"/>
  <c r="Z165" i="47"/>
  <c r="AA165" i="47" s="1"/>
  <c r="AB165" i="47"/>
  <c r="AC165" i="47" s="1"/>
  <c r="AD165" i="47"/>
  <c r="AH165" i="47" s="1" a="1"/>
  <c r="AH165" i="47" s="1"/>
  <c r="AE165" i="47"/>
  <c r="Z166" i="47"/>
  <c r="AA166" i="47" s="1"/>
  <c r="AB166" i="47"/>
  <c r="AC166" i="47" s="1"/>
  <c r="AD166" i="47"/>
  <c r="AH166" i="47" s="1" a="1"/>
  <c r="AH166" i="47" s="1"/>
  <c r="AE166" i="47"/>
  <c r="AI166" i="47" s="1"/>
  <c r="Z167" i="47"/>
  <c r="AA167" i="47" s="1"/>
  <c r="AB167" i="47"/>
  <c r="AC167" i="47" s="1"/>
  <c r="AD167" i="47"/>
  <c r="AH167" i="47" s="1" a="1"/>
  <c r="AH167" i="47" s="1"/>
  <c r="AE167" i="47"/>
  <c r="AF167" i="47" s="1"/>
  <c r="AG167" i="47" s="1"/>
  <c r="Z168" i="47"/>
  <c r="AA168" i="47" s="1"/>
  <c r="AB168" i="47"/>
  <c r="AC168" i="47" s="1"/>
  <c r="AD168" i="47"/>
  <c r="AH168" i="47" s="1" a="1"/>
  <c r="AH168" i="47" s="1"/>
  <c r="AE168" i="47"/>
  <c r="AI168" i="47" s="1"/>
  <c r="Z169" i="47"/>
  <c r="AA169" i="47" s="1"/>
  <c r="AB169" i="47"/>
  <c r="AC169" i="47" s="1"/>
  <c r="AD169" i="47"/>
  <c r="AH169" i="47" s="1" a="1"/>
  <c r="AH169" i="47" s="1"/>
  <c r="AE169" i="47"/>
  <c r="AI169" i="47" s="1"/>
  <c r="Z170" i="47"/>
  <c r="AA170" i="47" s="1"/>
  <c r="AB170" i="47"/>
  <c r="AC170" i="47" s="1"/>
  <c r="AD170" i="47"/>
  <c r="AH170" i="47" s="1" a="1"/>
  <c r="AH170" i="47" s="1"/>
  <c r="AE170" i="47"/>
  <c r="AJ170" i="47" s="1"/>
  <c r="Z171" i="47"/>
  <c r="AA171" i="47" s="1"/>
  <c r="AB171" i="47"/>
  <c r="AC171" i="47" s="1"/>
  <c r="AD171" i="47"/>
  <c r="AH171" i="47" s="1" a="1"/>
  <c r="AH171" i="47" s="1"/>
  <c r="AE171" i="47"/>
  <c r="AJ171" i="47" s="1"/>
  <c r="Z172" i="47"/>
  <c r="AA172" i="47" s="1"/>
  <c r="AB172" i="47"/>
  <c r="AC172" i="47" s="1"/>
  <c r="AD172" i="47"/>
  <c r="AH172" i="47" s="1" a="1"/>
  <c r="AH172" i="47" s="1"/>
  <c r="AE172" i="47"/>
  <c r="AF172" i="47" s="1"/>
  <c r="AG172" i="47" s="1"/>
  <c r="Z173" i="47"/>
  <c r="AA173" i="47" s="1"/>
  <c r="AB173" i="47"/>
  <c r="AC173" i="47" s="1"/>
  <c r="AD173" i="47"/>
  <c r="AH173" i="47" s="1" a="1"/>
  <c r="AH173" i="47" s="1"/>
  <c r="AE173" i="47"/>
  <c r="AF173" i="47" s="1"/>
  <c r="AG173" i="47" s="1"/>
  <c r="Z174" i="47"/>
  <c r="AA174" i="47" s="1"/>
  <c r="AB174" i="47"/>
  <c r="AC174" i="47" s="1"/>
  <c r="AD174" i="47"/>
  <c r="AH174" i="47" s="1" a="1"/>
  <c r="AH174" i="47" s="1"/>
  <c r="AE174" i="47"/>
  <c r="AI174" i="47" s="1"/>
  <c r="Z175" i="47"/>
  <c r="AA175" i="47" s="1"/>
  <c r="AB175" i="47"/>
  <c r="AC175" i="47" s="1"/>
  <c r="AD175" i="47"/>
  <c r="AH175" i="47" s="1" a="1"/>
  <c r="AH175" i="47" s="1"/>
  <c r="AE175" i="47"/>
  <c r="AF175" i="47" s="1"/>
  <c r="AG175" i="47" s="1"/>
  <c r="Z176" i="47"/>
  <c r="AA176" i="47" s="1"/>
  <c r="AB176" i="47"/>
  <c r="AC176" i="47" s="1"/>
  <c r="AD176" i="47"/>
  <c r="AH176" i="47" s="1" a="1"/>
  <c r="AH176" i="47" s="1"/>
  <c r="AE176" i="47"/>
  <c r="AF176" i="47" s="1"/>
  <c r="AG176" i="47" s="1"/>
  <c r="Z177" i="47"/>
  <c r="AA177" i="47" s="1"/>
  <c r="AB177" i="47"/>
  <c r="AC177" i="47" s="1"/>
  <c r="AD177" i="47"/>
  <c r="AH177" i="47" s="1" a="1"/>
  <c r="AH177" i="47" s="1"/>
  <c r="AE177" i="47"/>
  <c r="AJ177" i="47" s="1"/>
  <c r="Z178" i="47"/>
  <c r="AA178" i="47" s="1"/>
  <c r="AB178" i="47"/>
  <c r="AC178" i="47" s="1"/>
  <c r="AD178" i="47"/>
  <c r="AH178" i="47" s="1" a="1"/>
  <c r="AH178" i="47" s="1"/>
  <c r="AE178" i="47"/>
  <c r="AF178" i="47" s="1"/>
  <c r="AG178" i="47" s="1"/>
  <c r="Z179" i="47"/>
  <c r="AA179" i="47" s="1"/>
  <c r="AB179" i="47"/>
  <c r="AC179" i="47" s="1"/>
  <c r="AD179" i="47"/>
  <c r="AH179" i="47" s="1" a="1"/>
  <c r="AH179" i="47" s="1"/>
  <c r="AE179" i="47"/>
  <c r="AI179" i="47" s="1"/>
  <c r="Z180" i="47"/>
  <c r="AA180" i="47" s="1"/>
  <c r="AB180" i="47"/>
  <c r="AC180" i="47" s="1"/>
  <c r="AD180" i="47"/>
  <c r="AH180" i="47" s="1" a="1"/>
  <c r="AH180" i="47" s="1"/>
  <c r="AE180" i="47"/>
  <c r="AF180" i="47" s="1"/>
  <c r="AG180" i="47" s="1"/>
  <c r="Z181" i="47"/>
  <c r="AA181" i="47" s="1"/>
  <c r="AB181" i="47"/>
  <c r="AC181" i="47" s="1"/>
  <c r="AD181" i="47"/>
  <c r="AH181" i="47" s="1" a="1"/>
  <c r="AH181" i="47" s="1"/>
  <c r="AE181" i="47"/>
  <c r="Z182" i="47"/>
  <c r="AA182" i="47" s="1"/>
  <c r="AB182" i="47"/>
  <c r="AC182" i="47" s="1"/>
  <c r="AD182" i="47"/>
  <c r="AH182" i="47" s="1" a="1"/>
  <c r="AH182" i="47" s="1"/>
  <c r="AE182" i="47"/>
  <c r="AF182" i="47" s="1"/>
  <c r="AG182" i="47" s="1"/>
  <c r="Z183" i="47"/>
  <c r="AA183" i="47" s="1"/>
  <c r="AB183" i="47"/>
  <c r="AC183" i="47" s="1"/>
  <c r="AD183" i="47"/>
  <c r="AH183" i="47" s="1" a="1"/>
  <c r="AH183" i="47" s="1"/>
  <c r="AE183" i="47"/>
  <c r="AI183" i="47" s="1"/>
  <c r="Z184" i="47"/>
  <c r="AA184" i="47" s="1"/>
  <c r="AB184" i="47"/>
  <c r="AC184" i="47" s="1"/>
  <c r="AD184" i="47"/>
  <c r="AH184" i="47" s="1" a="1"/>
  <c r="AH184" i="47" s="1"/>
  <c r="AE184" i="47"/>
  <c r="Z185" i="47"/>
  <c r="AA185" i="47" s="1"/>
  <c r="AB185" i="47"/>
  <c r="AC185" i="47" s="1"/>
  <c r="AD185" i="47"/>
  <c r="AH185" i="47" s="1" a="1"/>
  <c r="AH185" i="47" s="1"/>
  <c r="AE185" i="47"/>
  <c r="AJ185" i="47" s="1"/>
  <c r="Z186" i="47"/>
  <c r="AA186" i="47" s="1"/>
  <c r="AB186" i="47"/>
  <c r="AC186" i="47" s="1"/>
  <c r="AD186" i="47"/>
  <c r="AH186" i="47" s="1" a="1"/>
  <c r="AH186" i="47" s="1"/>
  <c r="AE186" i="47"/>
  <c r="AF186" i="47" s="1"/>
  <c r="AG186" i="47" s="1"/>
  <c r="Z187" i="47"/>
  <c r="AA187" i="47" s="1"/>
  <c r="AB187" i="47"/>
  <c r="AC187" i="47" s="1"/>
  <c r="AD187" i="47"/>
  <c r="AH187" i="47" s="1" a="1"/>
  <c r="AH187" i="47" s="1"/>
  <c r="AE187" i="47"/>
  <c r="Z188" i="47"/>
  <c r="AA188" i="47" s="1"/>
  <c r="AB188" i="47"/>
  <c r="AC188" i="47" s="1"/>
  <c r="AD188" i="47"/>
  <c r="AH188" i="47" s="1" a="1"/>
  <c r="AH188" i="47" s="1"/>
  <c r="AE188" i="47"/>
  <c r="AJ188" i="47" s="1"/>
  <c r="Z189" i="47"/>
  <c r="AA189" i="47" s="1"/>
  <c r="AB189" i="47"/>
  <c r="AC189" i="47" s="1"/>
  <c r="AD189" i="47"/>
  <c r="AH189" i="47" s="1" a="1"/>
  <c r="AH189" i="47" s="1"/>
  <c r="AE189" i="47"/>
  <c r="Z190" i="47"/>
  <c r="AA190" i="47" s="1"/>
  <c r="AB190" i="47"/>
  <c r="AC190" i="47" s="1"/>
  <c r="AD190" i="47"/>
  <c r="AH190" i="47" s="1" a="1"/>
  <c r="AH190" i="47" s="1"/>
  <c r="AE190" i="47"/>
  <c r="AF190" i="47" s="1"/>
  <c r="AG190" i="47" s="1"/>
  <c r="Z191" i="47"/>
  <c r="AA191" i="47" s="1"/>
  <c r="AB191" i="47"/>
  <c r="AC191" i="47" s="1"/>
  <c r="AD191" i="47"/>
  <c r="AH191" i="47" s="1" a="1"/>
  <c r="AH191" i="47" s="1"/>
  <c r="AE191" i="47"/>
  <c r="AF191" i="47" s="1"/>
  <c r="AG191" i="47" s="1"/>
  <c r="Z192" i="47"/>
  <c r="AA192" i="47" s="1"/>
  <c r="AB192" i="47"/>
  <c r="AC192" i="47" s="1"/>
  <c r="AD192" i="47"/>
  <c r="AH192" i="47" s="1" a="1"/>
  <c r="AH192" i="47" s="1"/>
  <c r="AE192" i="47"/>
  <c r="AJ192" i="47" s="1"/>
  <c r="Z193" i="47"/>
  <c r="AA193" i="47" s="1"/>
  <c r="AB193" i="47"/>
  <c r="AC193" i="47" s="1"/>
  <c r="AD193" i="47"/>
  <c r="AH193" i="47" s="1" a="1"/>
  <c r="AH193" i="47" s="1"/>
  <c r="AE193" i="47"/>
  <c r="AJ193" i="47" s="1"/>
  <c r="Z194" i="47"/>
  <c r="AA194" i="47" s="1"/>
  <c r="AB194" i="47"/>
  <c r="AC194" i="47" s="1"/>
  <c r="AD194" i="47"/>
  <c r="AH194" i="47" s="1" a="1"/>
  <c r="AH194" i="47" s="1"/>
  <c r="AE194" i="47"/>
  <c r="AF194" i="47" s="1"/>
  <c r="AG194" i="47" s="1"/>
  <c r="Z195" i="47"/>
  <c r="AA195" i="47" s="1"/>
  <c r="AB195" i="47"/>
  <c r="AC195" i="47" s="1"/>
  <c r="AD195" i="47"/>
  <c r="AH195" i="47" s="1" a="1"/>
  <c r="AH195" i="47" s="1"/>
  <c r="AE195" i="47"/>
  <c r="Z196" i="47"/>
  <c r="AA196" i="47" s="1"/>
  <c r="AB196" i="47"/>
  <c r="AC196" i="47" s="1"/>
  <c r="AD196" i="47"/>
  <c r="AH196" i="47" s="1" a="1"/>
  <c r="AH196" i="47" s="1"/>
  <c r="AE196" i="47"/>
  <c r="AF196" i="47" s="1"/>
  <c r="AG196" i="47" s="1"/>
  <c r="Z197" i="47"/>
  <c r="AA197" i="47" s="1"/>
  <c r="AB197" i="47"/>
  <c r="AC197" i="47" s="1"/>
  <c r="AD197" i="47"/>
  <c r="AH197" i="47" s="1" a="1"/>
  <c r="AH197" i="47" s="1"/>
  <c r="AE197" i="47"/>
  <c r="AI197" i="47" s="1"/>
  <c r="Z198" i="47"/>
  <c r="AA198" i="47" s="1"/>
  <c r="AB198" i="47"/>
  <c r="AC198" i="47" s="1"/>
  <c r="AD198" i="47"/>
  <c r="AH198" i="47" s="1" a="1"/>
  <c r="AH198" i="47" s="1"/>
  <c r="AE198" i="47"/>
  <c r="AF198" i="47" s="1"/>
  <c r="AG198" i="47" s="1"/>
  <c r="Z199" i="47"/>
  <c r="AA199" i="47" s="1"/>
  <c r="AB199" i="47"/>
  <c r="AC199" i="47" s="1"/>
  <c r="AD199" i="47"/>
  <c r="AH199" i="47" s="1" a="1"/>
  <c r="AH199" i="47" s="1"/>
  <c r="AE199" i="47"/>
  <c r="AF199" i="47" s="1"/>
  <c r="AG199" i="47" s="1"/>
  <c r="Z200" i="47"/>
  <c r="AA200" i="47" s="1"/>
  <c r="AB200" i="47"/>
  <c r="AC200" i="47" s="1"/>
  <c r="AD200" i="47"/>
  <c r="AH200" i="47" s="1" a="1"/>
  <c r="AH200" i="47" s="1"/>
  <c r="AE200" i="47"/>
  <c r="AF200" i="47" s="1"/>
  <c r="AG200" i="47" s="1"/>
  <c r="Z201" i="47"/>
  <c r="AA201" i="47" s="1"/>
  <c r="AB201" i="47"/>
  <c r="AC201" i="47" s="1"/>
  <c r="AD201" i="47"/>
  <c r="AH201" i="47" s="1" a="1"/>
  <c r="AH201" i="47" s="1"/>
  <c r="AE201" i="47"/>
  <c r="AI201" i="47" s="1"/>
  <c r="Z202" i="47"/>
  <c r="AA202" i="47" s="1"/>
  <c r="AB202" i="47"/>
  <c r="AC202" i="47" s="1"/>
  <c r="AD202" i="47"/>
  <c r="AH202" i="47" s="1" a="1"/>
  <c r="AH202" i="47" s="1"/>
  <c r="AE202" i="47"/>
  <c r="Z203" i="47"/>
  <c r="AA203" i="47" s="1"/>
  <c r="AB203" i="47"/>
  <c r="AC203" i="47" s="1"/>
  <c r="AD203" i="47"/>
  <c r="AH203" i="47" s="1" a="1"/>
  <c r="AH203" i="47" s="1"/>
  <c r="AE203" i="47"/>
  <c r="Z204" i="47"/>
  <c r="AA204" i="47" s="1"/>
  <c r="AB204" i="47"/>
  <c r="AC204" i="47" s="1"/>
  <c r="AD204" i="47"/>
  <c r="AH204" i="47" s="1" a="1"/>
  <c r="AH204" i="47" s="1"/>
  <c r="AE204" i="47"/>
  <c r="AJ204" i="47" s="1"/>
  <c r="Z205" i="47"/>
  <c r="AA205" i="47" s="1"/>
  <c r="AB205" i="47"/>
  <c r="AC205" i="47" s="1"/>
  <c r="AD205" i="47"/>
  <c r="AH205" i="47" s="1" a="1"/>
  <c r="AH205" i="47" s="1"/>
  <c r="AE205" i="47"/>
  <c r="AI205" i="47" s="1"/>
  <c r="Z206" i="47"/>
  <c r="AA206" i="47" s="1"/>
  <c r="AB206" i="47"/>
  <c r="AC206" i="47" s="1"/>
  <c r="AD206" i="47"/>
  <c r="AH206" i="47" s="1" a="1"/>
  <c r="AH206" i="47" s="1"/>
  <c r="AE206" i="47"/>
  <c r="Z207" i="47"/>
  <c r="AA207" i="47" s="1"/>
  <c r="AB207" i="47"/>
  <c r="AC207" i="47" s="1"/>
  <c r="AD207" i="47"/>
  <c r="AH207" i="47" s="1" a="1"/>
  <c r="AH207" i="47" s="1"/>
  <c r="AE207" i="47"/>
  <c r="AF207" i="47" s="1"/>
  <c r="AG207" i="47" s="1"/>
  <c r="Z208" i="47"/>
  <c r="AA208" i="47" s="1"/>
  <c r="AB208" i="47"/>
  <c r="AC208" i="47" s="1"/>
  <c r="AD208" i="47"/>
  <c r="AH208" i="47" s="1" a="1"/>
  <c r="AH208" i="47" s="1"/>
  <c r="AE208" i="47"/>
  <c r="Z209" i="47"/>
  <c r="AA209" i="47" s="1"/>
  <c r="AB209" i="47"/>
  <c r="AC209" i="47" s="1"/>
  <c r="AD209" i="47"/>
  <c r="AH209" i="47" s="1" a="1"/>
  <c r="AH209" i="47" s="1"/>
  <c r="AE209" i="47"/>
  <c r="AI209" i="47" s="1"/>
  <c r="Z210" i="47"/>
  <c r="AA210" i="47" s="1"/>
  <c r="AB210" i="47"/>
  <c r="AC210" i="47" s="1"/>
  <c r="AD210" i="47"/>
  <c r="AH210" i="47" s="1" a="1"/>
  <c r="AH210" i="47" s="1"/>
  <c r="AE210" i="47"/>
  <c r="AF210" i="47" s="1"/>
  <c r="AG210" i="47" s="1"/>
  <c r="Z211" i="47"/>
  <c r="AA211" i="47" s="1"/>
  <c r="AB211" i="47"/>
  <c r="AC211" i="47" s="1"/>
  <c r="AD211" i="47"/>
  <c r="AH211" i="47" s="1" a="1"/>
  <c r="AH211" i="47" s="1"/>
  <c r="AE211" i="47"/>
  <c r="Z212" i="47"/>
  <c r="AA212" i="47" s="1"/>
  <c r="AB212" i="47"/>
  <c r="AC212" i="47" s="1"/>
  <c r="AD212" i="47"/>
  <c r="AH212" i="47" s="1" a="1"/>
  <c r="AH212" i="47" s="1"/>
  <c r="AE212" i="47"/>
  <c r="AF212" i="47" s="1"/>
  <c r="AG212" i="47" s="1"/>
  <c r="Z213" i="47"/>
  <c r="AA213" i="47" s="1"/>
  <c r="AB213" i="47"/>
  <c r="AC213" i="47" s="1"/>
  <c r="AD213" i="47"/>
  <c r="AH213" i="47" s="1" a="1"/>
  <c r="AH213" i="47" s="1"/>
  <c r="AE213" i="47"/>
  <c r="AI213" i="47" s="1"/>
  <c r="Z214" i="47"/>
  <c r="AA214" i="47" s="1"/>
  <c r="AB214" i="47"/>
  <c r="AC214" i="47" s="1"/>
  <c r="AD214" i="47"/>
  <c r="AH214" i="47" s="1" a="1"/>
  <c r="AH214" i="47" s="1"/>
  <c r="AE214" i="47"/>
  <c r="AF214" i="47" s="1"/>
  <c r="AG214" i="47" s="1"/>
  <c r="Z215" i="47"/>
  <c r="AA215" i="47" s="1"/>
  <c r="AB215" i="47"/>
  <c r="AC215" i="47" s="1"/>
  <c r="AD215" i="47"/>
  <c r="AH215" i="47" s="1" a="1"/>
  <c r="AH215" i="47" s="1"/>
  <c r="AE215" i="47"/>
  <c r="AJ215" i="47" s="1"/>
  <c r="Z216" i="47"/>
  <c r="AA216" i="47" s="1"/>
  <c r="AB216" i="47"/>
  <c r="AC216" i="47" s="1"/>
  <c r="AD216" i="47"/>
  <c r="AH216" i="47" s="1" a="1"/>
  <c r="AH216" i="47" s="1"/>
  <c r="AE216" i="47"/>
  <c r="AJ216" i="47" s="1"/>
  <c r="Z217" i="47"/>
  <c r="AA217" i="47" s="1"/>
  <c r="AB217" i="47"/>
  <c r="AC217" i="47" s="1"/>
  <c r="AD217" i="47"/>
  <c r="AH217" i="47" s="1" a="1"/>
  <c r="AH217" i="47" s="1"/>
  <c r="AE217" i="47"/>
  <c r="Z218" i="47"/>
  <c r="AA218" i="47" s="1"/>
  <c r="AB218" i="47"/>
  <c r="AC218" i="47" s="1"/>
  <c r="AD218" i="47"/>
  <c r="AH218" i="47" s="1" a="1"/>
  <c r="AH218" i="47" s="1"/>
  <c r="AE218" i="47"/>
  <c r="AF218" i="47" s="1"/>
  <c r="AG218" i="47" s="1"/>
  <c r="Z219" i="47"/>
  <c r="AA219" i="47" s="1"/>
  <c r="AB219" i="47"/>
  <c r="AC219" i="47" s="1"/>
  <c r="AD219" i="47"/>
  <c r="AH219" i="47" s="1" a="1"/>
  <c r="AH219" i="47" s="1"/>
  <c r="AE219" i="47"/>
  <c r="AF219" i="47" s="1"/>
  <c r="AG219" i="47" s="1"/>
  <c r="Z220" i="47"/>
  <c r="AA220" i="47" s="1"/>
  <c r="AB220" i="47"/>
  <c r="AC220" i="47" s="1"/>
  <c r="AD220" i="47"/>
  <c r="AH220" i="47" s="1" a="1"/>
  <c r="AH220" i="47" s="1"/>
  <c r="AE220" i="47"/>
  <c r="AI220" i="47" s="1"/>
  <c r="Z221" i="47"/>
  <c r="AA221" i="47" s="1"/>
  <c r="AB221" i="47"/>
  <c r="AC221" i="47" s="1"/>
  <c r="AD221" i="47"/>
  <c r="AH221" i="47" s="1" a="1"/>
  <c r="AH221" i="47" s="1"/>
  <c r="AE221" i="47"/>
  <c r="AI221" i="47" s="1"/>
  <c r="Z222" i="47"/>
  <c r="AA222" i="47" s="1"/>
  <c r="AB222" i="47"/>
  <c r="AC222" i="47" s="1"/>
  <c r="AD222" i="47"/>
  <c r="AH222" i="47" s="1" a="1"/>
  <c r="AH222" i="47" s="1"/>
  <c r="AE222" i="47"/>
  <c r="Z223" i="47"/>
  <c r="AA223" i="47" s="1"/>
  <c r="AB223" i="47"/>
  <c r="AC223" i="47" s="1"/>
  <c r="AD223" i="47"/>
  <c r="AH223" i="47" s="1" a="1"/>
  <c r="AH223" i="47" s="1"/>
  <c r="AE223" i="47"/>
  <c r="AJ223" i="47" s="1"/>
  <c r="Z224" i="47"/>
  <c r="AA224" i="47" s="1"/>
  <c r="AB224" i="47"/>
  <c r="AC224" i="47" s="1"/>
  <c r="AD224" i="47"/>
  <c r="AH224" i="47" s="1" a="1"/>
  <c r="AH224" i="47" s="1"/>
  <c r="AE224" i="47"/>
  <c r="AF224" i="47" s="1"/>
  <c r="AG224" i="47" s="1"/>
  <c r="Z225" i="47"/>
  <c r="AA225" i="47" s="1"/>
  <c r="AB225" i="47"/>
  <c r="AC225" i="47" s="1"/>
  <c r="AD225" i="47"/>
  <c r="AH225" i="47" s="1" a="1"/>
  <c r="AH225" i="47" s="1"/>
  <c r="AE225" i="47"/>
  <c r="AI225" i="47" s="1"/>
  <c r="Z226" i="47"/>
  <c r="AA226" i="47" s="1"/>
  <c r="AB226" i="47"/>
  <c r="AC226" i="47" s="1"/>
  <c r="AD226" i="47"/>
  <c r="AH226" i="47" s="1" a="1"/>
  <c r="AH226" i="47" s="1"/>
  <c r="AE226" i="47"/>
  <c r="Z227" i="47"/>
  <c r="AA227" i="47" s="1"/>
  <c r="AB227" i="47"/>
  <c r="AC227" i="47" s="1"/>
  <c r="AD227" i="47"/>
  <c r="AH227" i="47" s="1" a="1"/>
  <c r="AH227" i="47" s="1"/>
  <c r="AE227" i="47"/>
  <c r="Z228" i="47"/>
  <c r="AA228" i="47" s="1"/>
  <c r="AB228" i="47"/>
  <c r="AC228" i="47" s="1"/>
  <c r="AD228" i="47"/>
  <c r="AH228" i="47" s="1" a="1"/>
  <c r="AH228" i="47" s="1"/>
  <c r="AE228" i="47"/>
  <c r="AF228" i="47" s="1"/>
  <c r="AG228" i="47" s="1"/>
  <c r="Z229" i="47"/>
  <c r="AA229" i="47" s="1"/>
  <c r="AB229" i="47"/>
  <c r="AC229" i="47" s="1"/>
  <c r="AD229" i="47"/>
  <c r="AH229" i="47" s="1" a="1"/>
  <c r="AH229" i="47" s="1"/>
  <c r="AE229" i="47"/>
  <c r="AF229" i="47" s="1"/>
  <c r="AG229" i="47" s="1"/>
  <c r="Z230" i="47"/>
  <c r="AA230" i="47" s="1"/>
  <c r="AB230" i="47"/>
  <c r="AC230" i="47" s="1"/>
  <c r="AD230" i="47"/>
  <c r="AH230" i="47" s="1" a="1"/>
  <c r="AH230" i="47" s="1"/>
  <c r="AE230" i="47"/>
  <c r="AF230" i="47" s="1"/>
  <c r="AG230" i="47" s="1"/>
  <c r="Z231" i="47"/>
  <c r="AA231" i="47" s="1"/>
  <c r="AB231" i="47"/>
  <c r="AC231" i="47" s="1"/>
  <c r="AD231" i="47"/>
  <c r="AH231" i="47" s="1" a="1"/>
  <c r="AH231" i="47" s="1"/>
  <c r="AE231" i="47"/>
  <c r="Z232" i="47"/>
  <c r="AA232" i="47" s="1"/>
  <c r="AB232" i="47"/>
  <c r="AC232" i="47" s="1"/>
  <c r="AD232" i="47"/>
  <c r="AH232" i="47" s="1" a="1"/>
  <c r="AH232" i="47" s="1"/>
  <c r="AE232" i="47"/>
  <c r="Z233" i="47"/>
  <c r="AA233" i="47" s="1"/>
  <c r="AB233" i="47"/>
  <c r="AC233" i="47" s="1"/>
  <c r="AD233" i="47"/>
  <c r="AH233" i="47" s="1" a="1"/>
  <c r="AH233" i="47" s="1"/>
  <c r="AE233" i="47"/>
  <c r="Z234" i="47"/>
  <c r="AA234" i="47" s="1"/>
  <c r="AB234" i="47"/>
  <c r="AC234" i="47" s="1"/>
  <c r="AD234" i="47"/>
  <c r="AH234" i="47" s="1" a="1"/>
  <c r="AH234" i="47" s="1"/>
  <c r="AE234" i="47"/>
  <c r="AJ234" i="47" s="1"/>
  <c r="Z235" i="47"/>
  <c r="AA235" i="47" s="1"/>
  <c r="AB235" i="47"/>
  <c r="AC235" i="47" s="1"/>
  <c r="AD235" i="47"/>
  <c r="AH235" i="47" s="1" a="1"/>
  <c r="AH235" i="47" s="1"/>
  <c r="AE235" i="47"/>
  <c r="AJ235" i="47" s="1"/>
  <c r="Z236" i="47"/>
  <c r="AA236" i="47" s="1"/>
  <c r="AB236" i="47"/>
  <c r="AC236" i="47" s="1"/>
  <c r="AD236" i="47"/>
  <c r="AH236" i="47" s="1" a="1"/>
  <c r="AH236" i="47" s="1"/>
  <c r="AE236" i="47"/>
  <c r="AI236" i="47" s="1"/>
  <c r="Z237" i="47"/>
  <c r="AA237" i="47" s="1"/>
  <c r="AB237" i="47"/>
  <c r="AC237" i="47" s="1"/>
  <c r="AD237" i="47"/>
  <c r="AH237" i="47" s="1" a="1"/>
  <c r="AH237" i="47" s="1"/>
  <c r="AE237" i="47"/>
  <c r="AJ237" i="47" s="1"/>
  <c r="Z238" i="47"/>
  <c r="AA238" i="47" s="1"/>
  <c r="AB238" i="47"/>
  <c r="AC238" i="47" s="1"/>
  <c r="AD238" i="47"/>
  <c r="AH238" i="47" s="1" a="1"/>
  <c r="AH238" i="47" s="1"/>
  <c r="AE238" i="47"/>
  <c r="AI238" i="47" s="1"/>
  <c r="Z239" i="47"/>
  <c r="AA239" i="47" s="1"/>
  <c r="AB239" i="47"/>
  <c r="AC239" i="47" s="1"/>
  <c r="AD239" i="47"/>
  <c r="AH239" i="47" s="1" a="1"/>
  <c r="AH239" i="47" s="1"/>
  <c r="AE239" i="47"/>
  <c r="AJ239" i="47" s="1"/>
  <c r="Z240" i="47"/>
  <c r="AA240" i="47" s="1"/>
  <c r="AB240" i="47"/>
  <c r="AC240" i="47" s="1"/>
  <c r="AD240" i="47"/>
  <c r="AH240" i="47" s="1" a="1"/>
  <c r="AH240" i="47" s="1"/>
  <c r="AE240" i="47"/>
  <c r="AF240" i="47" s="1"/>
  <c r="AG240" i="47" s="1"/>
  <c r="Z241" i="47"/>
  <c r="AA241" i="47" s="1"/>
  <c r="AB241" i="47"/>
  <c r="AC241" i="47" s="1"/>
  <c r="AD241" i="47"/>
  <c r="AH241" i="47" s="1" a="1"/>
  <c r="AH241" i="47" s="1"/>
  <c r="AE241" i="47"/>
  <c r="Z242" i="47"/>
  <c r="AA242" i="47" s="1"/>
  <c r="AB242" i="47"/>
  <c r="AC242" i="47" s="1"/>
  <c r="AD242" i="47"/>
  <c r="AH242" i="47" s="1" a="1"/>
  <c r="AH242" i="47" s="1"/>
  <c r="AE242" i="47"/>
  <c r="AF242" i="47" s="1"/>
  <c r="AG242" i="47" s="1"/>
  <c r="Z243" i="47"/>
  <c r="AA243" i="47" s="1"/>
  <c r="AB243" i="47"/>
  <c r="AC243" i="47" s="1"/>
  <c r="AD243" i="47"/>
  <c r="AH243" i="47" s="1" a="1"/>
  <c r="AH243" i="47" s="1"/>
  <c r="AE243" i="47"/>
  <c r="AF243" i="47" s="1"/>
  <c r="AG243" i="47" s="1"/>
  <c r="Z244" i="47"/>
  <c r="AA244" i="47" s="1"/>
  <c r="AB244" i="47"/>
  <c r="AC244" i="47" s="1"/>
  <c r="AD244" i="47"/>
  <c r="AH244" i="47" s="1" a="1"/>
  <c r="AH244" i="47" s="1"/>
  <c r="AE244" i="47"/>
  <c r="AI244" i="47" s="1"/>
  <c r="Z245" i="47"/>
  <c r="AA245" i="47" s="1"/>
  <c r="AB245" i="47"/>
  <c r="AC245" i="47" s="1"/>
  <c r="AD245" i="47"/>
  <c r="AH245" i="47" s="1" a="1"/>
  <c r="AH245" i="47" s="1"/>
  <c r="AE245" i="47"/>
  <c r="Z246" i="47"/>
  <c r="AA246" i="47" s="1"/>
  <c r="AB246" i="47"/>
  <c r="AC246" i="47" s="1"/>
  <c r="AD246" i="47"/>
  <c r="AH246" i="47" s="1" a="1"/>
  <c r="AH246" i="47" s="1"/>
  <c r="AE246" i="47"/>
  <c r="AJ246" i="47" s="1"/>
  <c r="Z247" i="47"/>
  <c r="AA247" i="47" s="1"/>
  <c r="AB247" i="47"/>
  <c r="AC247" i="47" s="1"/>
  <c r="AD247" i="47"/>
  <c r="AH247" i="47" s="1" a="1"/>
  <c r="AH247" i="47" s="1"/>
  <c r="AE247" i="47"/>
  <c r="AF247" i="47" s="1"/>
  <c r="AG247" i="47" s="1"/>
  <c r="Z248" i="47"/>
  <c r="AA248" i="47" s="1"/>
  <c r="AB248" i="47"/>
  <c r="AC248" i="47" s="1"/>
  <c r="AD248" i="47"/>
  <c r="AH248" i="47" s="1" a="1"/>
  <c r="AH248" i="47" s="1"/>
  <c r="AE248" i="47"/>
  <c r="AI248" i="47" s="1"/>
  <c r="Z249" i="47"/>
  <c r="AA249" i="47" s="1"/>
  <c r="AB249" i="47"/>
  <c r="AC249" i="47" s="1"/>
  <c r="AD249" i="47"/>
  <c r="AH249" i="47" s="1" a="1"/>
  <c r="AH249" i="47" s="1"/>
  <c r="AE249" i="47"/>
  <c r="AI249" i="47" s="1"/>
  <c r="Z250" i="47"/>
  <c r="AA250" i="47" s="1"/>
  <c r="AB250" i="47"/>
  <c r="AC250" i="47" s="1"/>
  <c r="AD250" i="47"/>
  <c r="AH250" i="47" s="1" a="1"/>
  <c r="AH250" i="47" s="1"/>
  <c r="AE250" i="47"/>
  <c r="Z251" i="47"/>
  <c r="AA251" i="47" s="1"/>
  <c r="AB251" i="47"/>
  <c r="AC251" i="47" s="1"/>
  <c r="AD251" i="47"/>
  <c r="AH251" i="47" s="1" a="1"/>
  <c r="AH251" i="47" s="1"/>
  <c r="AE251" i="47"/>
  <c r="AF251" i="47" s="1"/>
  <c r="AG251" i="47" s="1"/>
  <c r="Z252" i="47"/>
  <c r="AA252" i="47" s="1"/>
  <c r="AB252" i="47"/>
  <c r="AC252" i="47" s="1"/>
  <c r="AD252" i="47"/>
  <c r="AH252" i="47" s="1" a="1"/>
  <c r="AH252" i="47" s="1"/>
  <c r="AE252" i="47"/>
  <c r="Z253" i="47"/>
  <c r="AA253" i="47" s="1"/>
  <c r="AB253" i="47"/>
  <c r="AC253" i="47" s="1"/>
  <c r="AD253" i="47"/>
  <c r="AH253" i="47" s="1" a="1"/>
  <c r="AH253" i="47" s="1"/>
  <c r="AE253" i="47"/>
  <c r="AF253" i="47" s="1"/>
  <c r="AG253" i="47" s="1"/>
  <c r="Z254" i="47"/>
  <c r="AA254" i="47" s="1"/>
  <c r="AB254" i="47"/>
  <c r="AC254" i="47" s="1"/>
  <c r="AD254" i="47"/>
  <c r="AH254" i="47" s="1" a="1"/>
  <c r="AH254" i="47" s="1"/>
  <c r="AE254" i="47"/>
  <c r="AF254" i="47" s="1"/>
  <c r="AG254" i="47" s="1"/>
  <c r="Z255" i="47"/>
  <c r="AA255" i="47" s="1"/>
  <c r="AB255" i="47"/>
  <c r="AC255" i="47" s="1"/>
  <c r="AD255" i="47"/>
  <c r="AH255" i="47" s="1" a="1"/>
  <c r="AH255" i="47" s="1"/>
  <c r="AE255" i="47"/>
  <c r="Z256" i="47"/>
  <c r="AA256" i="47" s="1"/>
  <c r="AB256" i="47"/>
  <c r="AC256" i="47" s="1"/>
  <c r="AD256" i="47"/>
  <c r="AH256" i="47" s="1" a="1"/>
  <c r="AH256" i="47" s="1"/>
  <c r="AE256" i="47"/>
  <c r="AJ256" i="47" s="1"/>
  <c r="Z257" i="47"/>
  <c r="AA257" i="47" s="1"/>
  <c r="AB257" i="47"/>
  <c r="AC257" i="47" s="1"/>
  <c r="AD257" i="47"/>
  <c r="AH257" i="47" s="1" a="1"/>
  <c r="AH257" i="47" s="1"/>
  <c r="AE257" i="47"/>
  <c r="AF257" i="47" s="1"/>
  <c r="AG257" i="47" s="1"/>
  <c r="Z258" i="47"/>
  <c r="AA258" i="47" s="1"/>
  <c r="AB258" i="47"/>
  <c r="AC258" i="47" s="1"/>
  <c r="AD258" i="47"/>
  <c r="AH258" i="47" s="1" a="1"/>
  <c r="AH258" i="47" s="1"/>
  <c r="AE258" i="47"/>
  <c r="Z259" i="47"/>
  <c r="AA259" i="47" s="1"/>
  <c r="AB259" i="47"/>
  <c r="AC259" i="47" s="1"/>
  <c r="AD259" i="47"/>
  <c r="AH259" i="47" s="1" a="1"/>
  <c r="AH259" i="47" s="1"/>
  <c r="AE259" i="47"/>
  <c r="AI259" i="47" s="1"/>
  <c r="Z260" i="47"/>
  <c r="AA260" i="47" s="1"/>
  <c r="AB260" i="47"/>
  <c r="AC260" i="47" s="1"/>
  <c r="AD260" i="47"/>
  <c r="AH260" i="47" s="1" a="1"/>
  <c r="AH260" i="47" s="1"/>
  <c r="AE260" i="47"/>
  <c r="AF260" i="47" s="1"/>
  <c r="AG260" i="47" s="1"/>
  <c r="Z261" i="47"/>
  <c r="AA261" i="47" s="1"/>
  <c r="AB261" i="47"/>
  <c r="AC261" i="47" s="1"/>
  <c r="AD261" i="47"/>
  <c r="AH261" i="47" s="1" a="1"/>
  <c r="AH261" i="47" s="1"/>
  <c r="AE261" i="47"/>
  <c r="AI261" i="47" s="1"/>
  <c r="Z262" i="47"/>
  <c r="AA262" i="47" s="1"/>
  <c r="AB262" i="47"/>
  <c r="AC262" i="47" s="1"/>
  <c r="AD262" i="47"/>
  <c r="AH262" i="47" s="1" a="1"/>
  <c r="AH262" i="47" s="1"/>
  <c r="AE262" i="47"/>
  <c r="AF262" i="47" s="1"/>
  <c r="AG262" i="47" s="1"/>
  <c r="Z263" i="47"/>
  <c r="AA263" i="47" s="1"/>
  <c r="AB263" i="47"/>
  <c r="AC263" i="47" s="1"/>
  <c r="AD263" i="47"/>
  <c r="AH263" i="47" s="1" a="1"/>
  <c r="AH263" i="47" s="1"/>
  <c r="AE263" i="47"/>
  <c r="Z264" i="47"/>
  <c r="AA264" i="47" s="1"/>
  <c r="AB264" i="47"/>
  <c r="AC264" i="47" s="1"/>
  <c r="AD264" i="47"/>
  <c r="AH264" i="47" s="1" a="1"/>
  <c r="AH264" i="47" s="1"/>
  <c r="AE264" i="47"/>
  <c r="AF264" i="47" s="1"/>
  <c r="AG264" i="47" s="1"/>
  <c r="Z265" i="47"/>
  <c r="AA265" i="47" s="1"/>
  <c r="AB265" i="47"/>
  <c r="AC265" i="47" s="1"/>
  <c r="AD265" i="47"/>
  <c r="AH265" i="47" s="1" a="1"/>
  <c r="AH265" i="47" s="1"/>
  <c r="AE265" i="47"/>
  <c r="AF265" i="47" s="1"/>
  <c r="AG265" i="47" s="1"/>
  <c r="Z266" i="47"/>
  <c r="AA266" i="47" s="1"/>
  <c r="AB266" i="47"/>
  <c r="AC266" i="47" s="1"/>
  <c r="AD266" i="47"/>
  <c r="AH266" i="47" s="1" a="1"/>
  <c r="AH266" i="47" s="1"/>
  <c r="AE266" i="47"/>
  <c r="AI266" i="47" s="1"/>
  <c r="Z267" i="47"/>
  <c r="AA267" i="47" s="1"/>
  <c r="AB267" i="47"/>
  <c r="AC267" i="47" s="1"/>
  <c r="AD267" i="47"/>
  <c r="AH267" i="47" s="1" a="1"/>
  <c r="AH267" i="47" s="1"/>
  <c r="AE267" i="47"/>
  <c r="AI267" i="47" s="1"/>
  <c r="Z268" i="47"/>
  <c r="AA268" i="47" s="1"/>
  <c r="AB268" i="47"/>
  <c r="AC268" i="47" s="1"/>
  <c r="AD268" i="47"/>
  <c r="AH268" i="47" s="1" a="1"/>
  <c r="AH268" i="47" s="1"/>
  <c r="AE268" i="47"/>
  <c r="AI268" i="47" s="1"/>
  <c r="Z269" i="47"/>
  <c r="AA269" i="47" s="1"/>
  <c r="AB269" i="47"/>
  <c r="AC269" i="47" s="1"/>
  <c r="AD269" i="47"/>
  <c r="AH269" i="47" s="1" a="1"/>
  <c r="AH269" i="47" s="1"/>
  <c r="AE269" i="47"/>
  <c r="Z270" i="47"/>
  <c r="AA270" i="47" s="1"/>
  <c r="AB270" i="47"/>
  <c r="AC270" i="47" s="1"/>
  <c r="AD270" i="47"/>
  <c r="AH270" i="47" s="1" a="1"/>
  <c r="AH270" i="47" s="1"/>
  <c r="AE270" i="47"/>
  <c r="AF270" i="47" s="1"/>
  <c r="AG270" i="47" s="1"/>
  <c r="Z271" i="47"/>
  <c r="AA271" i="47" s="1"/>
  <c r="AB271" i="47"/>
  <c r="AC271" i="47" s="1"/>
  <c r="AD271" i="47"/>
  <c r="AH271" i="47" s="1" a="1"/>
  <c r="AH271" i="47" s="1"/>
  <c r="AE271" i="47"/>
  <c r="AF271" i="47" s="1"/>
  <c r="AG271" i="47" s="1"/>
  <c r="Z272" i="47"/>
  <c r="AA272" i="47" s="1"/>
  <c r="AB272" i="47"/>
  <c r="AC272" i="47" s="1"/>
  <c r="AD272" i="47"/>
  <c r="AH272" i="47" s="1" a="1"/>
  <c r="AH272" i="47" s="1"/>
  <c r="AE272" i="47"/>
  <c r="AF272" i="47" s="1"/>
  <c r="AG272" i="47" s="1"/>
  <c r="Z273" i="47"/>
  <c r="AA273" i="47" s="1"/>
  <c r="AB273" i="47"/>
  <c r="AC273" i="47" s="1"/>
  <c r="AD273" i="47"/>
  <c r="AH273" i="47" s="1" a="1"/>
  <c r="AH273" i="47" s="1"/>
  <c r="AE273" i="47"/>
  <c r="Z274" i="47"/>
  <c r="AA274" i="47" s="1"/>
  <c r="AB274" i="47"/>
  <c r="AC274" i="47" s="1"/>
  <c r="AD274" i="47"/>
  <c r="AH274" i="47" s="1" a="1"/>
  <c r="AH274" i="47" s="1"/>
  <c r="AE274" i="47"/>
  <c r="AJ274" i="47" s="1"/>
  <c r="Z275" i="47"/>
  <c r="AA275" i="47" s="1"/>
  <c r="AB275" i="47"/>
  <c r="AC275" i="47" s="1"/>
  <c r="AD275" i="47"/>
  <c r="AH275" i="47" s="1" a="1"/>
  <c r="AH275" i="47" s="1"/>
  <c r="AE275" i="47"/>
  <c r="AI275" i="47" s="1"/>
  <c r="Z276" i="47"/>
  <c r="AA276" i="47" s="1"/>
  <c r="AB276" i="47"/>
  <c r="AC276" i="47" s="1"/>
  <c r="AD276" i="47"/>
  <c r="AH276" i="47" s="1" a="1"/>
  <c r="AH276" i="47" s="1"/>
  <c r="AE276" i="47"/>
  <c r="AI276" i="47" s="1"/>
  <c r="Z277" i="47"/>
  <c r="AA277" i="47" s="1"/>
  <c r="AB277" i="47"/>
  <c r="AC277" i="47" s="1"/>
  <c r="AD277" i="47"/>
  <c r="AH277" i="47" s="1" a="1"/>
  <c r="AH277" i="47" s="1"/>
  <c r="AE277" i="47"/>
  <c r="Z278" i="47"/>
  <c r="AA278" i="47" s="1"/>
  <c r="AB278" i="47"/>
  <c r="AC278" i="47" s="1"/>
  <c r="AD278" i="47"/>
  <c r="AH278" i="47" s="1" a="1"/>
  <c r="AH278" i="47" s="1"/>
  <c r="AE278" i="47"/>
  <c r="AF278" i="47" s="1"/>
  <c r="AG278" i="47" s="1"/>
  <c r="Z279" i="47"/>
  <c r="AA279" i="47" s="1"/>
  <c r="AB279" i="47"/>
  <c r="AC279" i="47" s="1"/>
  <c r="AD279" i="47"/>
  <c r="AH279" i="47" s="1" a="1"/>
  <c r="AH279" i="47" s="1"/>
  <c r="AE279" i="47"/>
  <c r="AF279" i="47" s="1"/>
  <c r="AG279" i="47" s="1"/>
  <c r="Z280" i="47"/>
  <c r="AA280" i="47" s="1"/>
  <c r="AB280" i="47"/>
  <c r="AC280" i="47" s="1"/>
  <c r="AD280" i="47"/>
  <c r="AH280" i="47" s="1" a="1"/>
  <c r="AH280" i="47" s="1"/>
  <c r="AE280" i="47"/>
  <c r="AF280" i="47" s="1"/>
  <c r="AG280" i="47" s="1"/>
  <c r="Z281" i="47"/>
  <c r="AA281" i="47" s="1"/>
  <c r="AB281" i="47"/>
  <c r="AC281" i="47" s="1"/>
  <c r="AD281" i="47"/>
  <c r="AH281" i="47" s="1" a="1"/>
  <c r="AH281" i="47" s="1"/>
  <c r="AE281" i="47"/>
  <c r="AF281" i="47" s="1"/>
  <c r="AG281" i="47" s="1"/>
  <c r="Z282" i="47"/>
  <c r="AA282" i="47" s="1"/>
  <c r="AB282" i="47"/>
  <c r="AC282" i="47" s="1"/>
  <c r="AD282" i="47"/>
  <c r="AH282" i="47" s="1" a="1"/>
  <c r="AH282" i="47" s="1"/>
  <c r="AE282" i="47"/>
  <c r="Z283" i="47"/>
  <c r="AA283" i="47" s="1"/>
  <c r="AB283" i="47"/>
  <c r="AC283" i="47" s="1"/>
  <c r="AD283" i="47"/>
  <c r="AH283" i="47" s="1" a="1"/>
  <c r="AH283" i="47" s="1"/>
  <c r="AE283" i="47"/>
  <c r="AF283" i="47" s="1"/>
  <c r="AG283" i="47" s="1"/>
  <c r="Z284" i="47"/>
  <c r="AA284" i="47" s="1"/>
  <c r="AB284" i="47"/>
  <c r="AC284" i="47" s="1"/>
  <c r="AD284" i="47"/>
  <c r="AH284" i="47" s="1" a="1"/>
  <c r="AH284" i="47" s="1"/>
  <c r="AE284" i="47"/>
  <c r="AI284" i="47" s="1"/>
  <c r="Z285" i="47"/>
  <c r="AA285" i="47" s="1"/>
  <c r="AB285" i="47"/>
  <c r="AC285" i="47" s="1"/>
  <c r="AD285" i="47"/>
  <c r="AH285" i="47" s="1" a="1"/>
  <c r="AH285" i="47" s="1"/>
  <c r="AE285" i="47"/>
  <c r="AF285" i="47" s="1"/>
  <c r="AG285" i="47" s="1"/>
  <c r="Z286" i="47"/>
  <c r="AA286" i="47" s="1"/>
  <c r="AB286" i="47"/>
  <c r="AC286" i="47" s="1"/>
  <c r="AD286" i="47"/>
  <c r="AH286" i="47" s="1" a="1"/>
  <c r="AH286" i="47" s="1"/>
  <c r="AE286" i="47"/>
  <c r="Z287" i="47"/>
  <c r="AA287" i="47" s="1"/>
  <c r="AB287" i="47"/>
  <c r="AC287" i="47" s="1"/>
  <c r="AD287" i="47"/>
  <c r="AH287" i="47" s="1" a="1"/>
  <c r="AH287" i="47" s="1"/>
  <c r="AE287" i="47"/>
  <c r="AF287" i="47" s="1"/>
  <c r="AG287" i="47" s="1"/>
  <c r="Z288" i="47"/>
  <c r="AA288" i="47" s="1"/>
  <c r="AB288" i="47"/>
  <c r="AC288" i="47" s="1"/>
  <c r="AD288" i="47"/>
  <c r="AH288" i="47" s="1" a="1"/>
  <c r="AH288" i="47" s="1"/>
  <c r="AE288" i="47"/>
  <c r="AF288" i="47" s="1"/>
  <c r="AG288" i="47" s="1"/>
  <c r="Z289" i="47"/>
  <c r="AA289" i="47" s="1"/>
  <c r="AB289" i="47"/>
  <c r="AC289" i="47" s="1"/>
  <c r="AD289" i="47"/>
  <c r="AH289" i="47" s="1" a="1"/>
  <c r="AH289" i="47" s="1"/>
  <c r="AE289" i="47"/>
  <c r="Z290" i="47"/>
  <c r="AA290" i="47" s="1"/>
  <c r="AB290" i="47"/>
  <c r="AC290" i="47" s="1"/>
  <c r="AD290" i="47"/>
  <c r="AH290" i="47" s="1" a="1"/>
  <c r="AH290" i="47" s="1"/>
  <c r="AE290" i="47"/>
  <c r="Z291" i="47"/>
  <c r="AA291" i="47" s="1"/>
  <c r="AB291" i="47"/>
  <c r="AC291" i="47" s="1"/>
  <c r="AD291" i="47"/>
  <c r="AH291" i="47" s="1" a="1"/>
  <c r="AH291" i="47" s="1"/>
  <c r="AE291" i="47"/>
  <c r="AI291" i="47" s="1"/>
  <c r="Z292" i="47"/>
  <c r="AA292" i="47" s="1"/>
  <c r="AB292" i="47"/>
  <c r="AC292" i="47" s="1"/>
  <c r="AD292" i="47"/>
  <c r="AH292" i="47" s="1" a="1"/>
  <c r="AH292" i="47" s="1"/>
  <c r="AE292" i="47"/>
  <c r="Z293" i="47"/>
  <c r="AA293" i="47" s="1"/>
  <c r="AB293" i="47"/>
  <c r="AC293" i="47" s="1"/>
  <c r="AD293" i="47"/>
  <c r="AH293" i="47" s="1" a="1"/>
  <c r="AH293" i="47" s="1"/>
  <c r="AE293" i="47"/>
  <c r="AJ293" i="47" s="1"/>
  <c r="Z294" i="47"/>
  <c r="AA294" i="47" s="1"/>
  <c r="AB294" i="47"/>
  <c r="AC294" i="47" s="1"/>
  <c r="AD294" i="47"/>
  <c r="AH294" i="47" s="1" a="1"/>
  <c r="AH294" i="47" s="1"/>
  <c r="AE294" i="47"/>
  <c r="AI294" i="47" s="1"/>
  <c r="Z295" i="47"/>
  <c r="AA295" i="47" s="1"/>
  <c r="AB295" i="47"/>
  <c r="AC295" i="47" s="1"/>
  <c r="AD295" i="47"/>
  <c r="AH295" i="47" s="1" a="1"/>
  <c r="AH295" i="47" s="1"/>
  <c r="AE295" i="47"/>
  <c r="AJ295" i="47" s="1"/>
  <c r="Z296" i="47"/>
  <c r="AA296" i="47" s="1"/>
  <c r="AB296" i="47"/>
  <c r="AC296" i="47" s="1"/>
  <c r="AD296" i="47"/>
  <c r="AH296" i="47" s="1" a="1"/>
  <c r="AH296" i="47" s="1"/>
  <c r="AE296" i="47"/>
  <c r="AF296" i="47" s="1"/>
  <c r="AG296" i="47" s="1"/>
  <c r="Z297" i="47"/>
  <c r="AA297" i="47" s="1"/>
  <c r="AB297" i="47"/>
  <c r="AC297" i="47" s="1"/>
  <c r="AD297" i="47"/>
  <c r="AH297" i="47" s="1" a="1"/>
  <c r="AH297" i="47" s="1"/>
  <c r="AE297" i="47"/>
  <c r="AI297" i="47" s="1"/>
  <c r="Z298" i="47"/>
  <c r="AA298" i="47" s="1"/>
  <c r="AB298" i="47"/>
  <c r="AC298" i="47" s="1"/>
  <c r="AD298" i="47"/>
  <c r="AH298" i="47" s="1" a="1"/>
  <c r="AH298" i="47" s="1"/>
  <c r="AE298" i="47"/>
  <c r="Z299" i="47"/>
  <c r="AA299" i="47" s="1"/>
  <c r="AB299" i="47"/>
  <c r="AC299" i="47" s="1"/>
  <c r="AD299" i="47"/>
  <c r="AH299" i="47" s="1" a="1"/>
  <c r="AH299" i="47" s="1"/>
  <c r="AE299" i="47"/>
  <c r="AJ299" i="47" s="1"/>
  <c r="Z300" i="47"/>
  <c r="AA300" i="47" s="1"/>
  <c r="AB300" i="47"/>
  <c r="AC300" i="47" s="1"/>
  <c r="AD300" i="47"/>
  <c r="AH300" i="47" s="1" a="1"/>
  <c r="AH300" i="47" s="1"/>
  <c r="AE300" i="47"/>
  <c r="AF300" i="47" s="1"/>
  <c r="AG300" i="47" s="1"/>
  <c r="Z301" i="47"/>
  <c r="AA301" i="47" s="1"/>
  <c r="AB301" i="47"/>
  <c r="AC301" i="47" s="1"/>
  <c r="AD301" i="47"/>
  <c r="AH301" i="47" s="1" a="1"/>
  <c r="AH301" i="47" s="1"/>
  <c r="AE301" i="47"/>
  <c r="Z302" i="47"/>
  <c r="AA302" i="47" s="1"/>
  <c r="AB302" i="47"/>
  <c r="AC302" i="47" s="1"/>
  <c r="AD302" i="47"/>
  <c r="AH302" i="47" s="1" a="1"/>
  <c r="AH302" i="47" s="1"/>
  <c r="AE302" i="47"/>
  <c r="AJ302" i="47" s="1"/>
  <c r="Z303" i="47"/>
  <c r="AA303" i="47" s="1"/>
  <c r="AB303" i="47"/>
  <c r="AC303" i="47" s="1"/>
  <c r="AD303" i="47"/>
  <c r="AH303" i="47" s="1" a="1"/>
  <c r="AH303" i="47" s="1"/>
  <c r="AE303" i="47"/>
  <c r="Z304" i="47"/>
  <c r="AA304" i="47" s="1"/>
  <c r="AB304" i="47"/>
  <c r="AC304" i="47" s="1"/>
  <c r="AD304" i="47"/>
  <c r="AH304" i="47" s="1" a="1"/>
  <c r="AH304" i="47" s="1"/>
  <c r="AE304" i="47"/>
  <c r="Z305" i="47"/>
  <c r="AA305" i="47" s="1"/>
  <c r="AB305" i="47"/>
  <c r="AC305" i="47" s="1"/>
  <c r="AD305" i="47"/>
  <c r="AH305" i="47" s="1" a="1"/>
  <c r="AH305" i="47" s="1"/>
  <c r="AE305" i="47"/>
  <c r="Z306" i="47"/>
  <c r="AA306" i="47" s="1"/>
  <c r="AB306" i="47"/>
  <c r="AC306" i="47" s="1"/>
  <c r="AD306" i="47"/>
  <c r="AH306" i="47" s="1" a="1"/>
  <c r="AH306" i="47" s="1"/>
  <c r="AE306" i="47"/>
  <c r="AF306" i="47" s="1"/>
  <c r="AG306" i="47" s="1"/>
  <c r="Z307" i="47"/>
  <c r="AA307" i="47" s="1"/>
  <c r="AB307" i="47"/>
  <c r="AC307" i="47" s="1"/>
  <c r="AD307" i="47"/>
  <c r="AH307" i="47" s="1" a="1"/>
  <c r="AH307" i="47" s="1"/>
  <c r="AE307" i="47"/>
  <c r="AJ307" i="47" s="1"/>
  <c r="Z308" i="47"/>
  <c r="AA308" i="47" s="1"/>
  <c r="AB308" i="47"/>
  <c r="AC308" i="47" s="1"/>
  <c r="AD308" i="47"/>
  <c r="AH308" i="47" s="1" a="1"/>
  <c r="AH308" i="47" s="1"/>
  <c r="AE308" i="47"/>
  <c r="Z309" i="47"/>
  <c r="AA309" i="47" s="1"/>
  <c r="AB309" i="47"/>
  <c r="AC309" i="47" s="1"/>
  <c r="AD309" i="47"/>
  <c r="AH309" i="47" s="1" a="1"/>
  <c r="AH309" i="47" s="1"/>
  <c r="AE309" i="47"/>
  <c r="AJ309" i="47" s="1"/>
  <c r="Z310" i="47"/>
  <c r="AA310" i="47" s="1"/>
  <c r="AB310" i="47"/>
  <c r="AC310" i="47" s="1"/>
  <c r="AD310" i="47"/>
  <c r="AH310" i="47" s="1" a="1"/>
  <c r="AH310" i="47" s="1"/>
  <c r="AE310" i="47"/>
  <c r="Z311" i="47"/>
  <c r="AA311" i="47" s="1"/>
  <c r="AB311" i="47"/>
  <c r="AC311" i="47" s="1"/>
  <c r="AD311" i="47"/>
  <c r="AH311" i="47" s="1" a="1"/>
  <c r="AH311" i="47" s="1"/>
  <c r="AE311" i="47"/>
  <c r="Z312" i="47"/>
  <c r="AA312" i="47" s="1"/>
  <c r="AB312" i="47"/>
  <c r="AC312" i="47" s="1"/>
  <c r="AD312" i="47"/>
  <c r="AH312" i="47" s="1" a="1"/>
  <c r="AH312" i="47" s="1"/>
  <c r="AE312" i="47"/>
  <c r="AF312" i="47" s="1"/>
  <c r="AG312" i="47" s="1"/>
  <c r="Z313" i="47"/>
  <c r="AA313" i="47" s="1"/>
  <c r="AB313" i="47"/>
  <c r="AC313" i="47" s="1"/>
  <c r="AD313" i="47"/>
  <c r="AH313" i="47" s="1" a="1"/>
  <c r="AH313" i="47" s="1"/>
  <c r="AE313" i="47"/>
  <c r="AJ313" i="47" s="1"/>
  <c r="Z314" i="47"/>
  <c r="AA314" i="47" s="1"/>
  <c r="AB314" i="47"/>
  <c r="AC314" i="47" s="1"/>
  <c r="AD314" i="47"/>
  <c r="AH314" i="47" s="1" a="1"/>
  <c r="AH314" i="47" s="1"/>
  <c r="AE314" i="47"/>
  <c r="AI314" i="47" s="1"/>
  <c r="Z315" i="47"/>
  <c r="AA315" i="47" s="1"/>
  <c r="AB315" i="47"/>
  <c r="AC315" i="47" s="1"/>
  <c r="AD315" i="47"/>
  <c r="AH315" i="47" s="1" a="1"/>
  <c r="AH315" i="47" s="1"/>
  <c r="AE315" i="47"/>
  <c r="Z316" i="47"/>
  <c r="AA316" i="47" s="1"/>
  <c r="AB316" i="47"/>
  <c r="AC316" i="47" s="1"/>
  <c r="AD316" i="47"/>
  <c r="AH316" i="47" s="1" a="1"/>
  <c r="AH316" i="47" s="1"/>
  <c r="AE316" i="47"/>
  <c r="AF316" i="47" s="1"/>
  <c r="AG316" i="47" s="1"/>
  <c r="Z317" i="47"/>
  <c r="AA317" i="47" s="1"/>
  <c r="AB317" i="47"/>
  <c r="AC317" i="47" s="1"/>
  <c r="AD317" i="47"/>
  <c r="AH317" i="47" s="1" a="1"/>
  <c r="AH317" i="47" s="1"/>
  <c r="AE317" i="47"/>
  <c r="AJ317" i="47" s="1"/>
  <c r="Z318" i="47"/>
  <c r="AA318" i="47" s="1"/>
  <c r="AB318" i="47"/>
  <c r="AC318" i="47" s="1"/>
  <c r="AD318" i="47"/>
  <c r="AH318" i="47" s="1" a="1"/>
  <c r="AH318" i="47" s="1"/>
  <c r="AE318" i="47"/>
  <c r="Z319" i="47"/>
  <c r="AA319" i="47" s="1"/>
  <c r="AB319" i="47"/>
  <c r="AC319" i="47" s="1"/>
  <c r="AD319" i="47"/>
  <c r="AH319" i="47" s="1" a="1"/>
  <c r="AH319" i="47" s="1"/>
  <c r="AE319" i="47"/>
  <c r="AJ319" i="47" s="1"/>
  <c r="Z320" i="47"/>
  <c r="AA320" i="47" s="1"/>
  <c r="AB320" i="47"/>
  <c r="AC320" i="47" s="1"/>
  <c r="AD320" i="47"/>
  <c r="AH320" i="47" s="1" a="1"/>
  <c r="AH320" i="47" s="1"/>
  <c r="AE320" i="47"/>
  <c r="AI320" i="47" s="1"/>
  <c r="Z321" i="47"/>
  <c r="AA321" i="47" s="1"/>
  <c r="AB321" i="47"/>
  <c r="AC321" i="47" s="1"/>
  <c r="AD321" i="47"/>
  <c r="AH321" i="47" s="1" a="1"/>
  <c r="AH321" i="47" s="1"/>
  <c r="AE321" i="47"/>
  <c r="Z322" i="47"/>
  <c r="AA322" i="47" s="1"/>
  <c r="AB322" i="47"/>
  <c r="AC322" i="47" s="1"/>
  <c r="AD322" i="47"/>
  <c r="AH322" i="47" s="1" a="1"/>
  <c r="AH322" i="47" s="1"/>
  <c r="AE322" i="47"/>
  <c r="Z323" i="47"/>
  <c r="AA323" i="47" s="1"/>
  <c r="AB323" i="47"/>
  <c r="AC323" i="47" s="1"/>
  <c r="AD323" i="47"/>
  <c r="AH323" i="47" s="1" a="1"/>
  <c r="AH323" i="47" s="1"/>
  <c r="AE323" i="47"/>
  <c r="Z324" i="47"/>
  <c r="AA324" i="47" s="1"/>
  <c r="AB324" i="47"/>
  <c r="AC324" i="47" s="1"/>
  <c r="AD324" i="47"/>
  <c r="AH324" i="47" s="1" a="1"/>
  <c r="AH324" i="47" s="1"/>
  <c r="AE324" i="47"/>
  <c r="Z325" i="47"/>
  <c r="AA325" i="47" s="1"/>
  <c r="AB325" i="47"/>
  <c r="AC325" i="47" s="1"/>
  <c r="AD325" i="47"/>
  <c r="AH325" i="47" s="1" a="1"/>
  <c r="AH325" i="47" s="1"/>
  <c r="AE325" i="47"/>
  <c r="AJ325" i="47" s="1"/>
  <c r="Z326" i="47"/>
  <c r="AA326" i="47" s="1"/>
  <c r="AB326" i="47"/>
  <c r="AC326" i="47" s="1"/>
  <c r="AD326" i="47"/>
  <c r="AH326" i="47" s="1" a="1"/>
  <c r="AH326" i="47" s="1"/>
  <c r="AE326" i="47"/>
  <c r="Z327" i="47"/>
  <c r="AA327" i="47" s="1"/>
  <c r="AB327" i="47"/>
  <c r="AC327" i="47" s="1"/>
  <c r="AD327" i="47"/>
  <c r="AH327" i="47" s="1" a="1"/>
  <c r="AH327" i="47" s="1"/>
  <c r="AE327" i="47"/>
  <c r="Z328" i="47"/>
  <c r="AA328" i="47" s="1"/>
  <c r="AB328" i="47"/>
  <c r="AC328" i="47" s="1"/>
  <c r="AD328" i="47"/>
  <c r="AH328" i="47" s="1" a="1"/>
  <c r="AH328" i="47" s="1"/>
  <c r="AE328" i="47"/>
  <c r="AF328" i="47" s="1"/>
  <c r="AG328" i="47" s="1"/>
  <c r="Z329" i="47"/>
  <c r="AA329" i="47" s="1"/>
  <c r="AB329" i="47"/>
  <c r="AC329" i="47" s="1"/>
  <c r="AD329" i="47"/>
  <c r="AH329" i="47" s="1" a="1"/>
  <c r="AH329" i="47" s="1"/>
  <c r="AE329" i="47"/>
  <c r="Z330" i="47"/>
  <c r="AA330" i="47" s="1"/>
  <c r="AB330" i="47"/>
  <c r="AC330" i="47" s="1"/>
  <c r="AD330" i="47"/>
  <c r="AH330" i="47" s="1" a="1"/>
  <c r="AH330" i="47" s="1"/>
  <c r="AE330" i="47"/>
  <c r="AI330" i="47" s="1"/>
  <c r="Z331" i="47"/>
  <c r="AA331" i="47" s="1"/>
  <c r="AB331" i="47"/>
  <c r="AC331" i="47" s="1"/>
  <c r="AD331" i="47"/>
  <c r="AH331" i="47" s="1" a="1"/>
  <c r="AH331" i="47" s="1"/>
  <c r="AE331" i="47"/>
  <c r="AJ331" i="47" s="1"/>
  <c r="Z332" i="47"/>
  <c r="AA332" i="47" s="1"/>
  <c r="AB332" i="47"/>
  <c r="AC332" i="47" s="1"/>
  <c r="AD332" i="47"/>
  <c r="AH332" i="47" s="1" a="1"/>
  <c r="AH332" i="47" s="1"/>
  <c r="AE332" i="47"/>
  <c r="AJ332" i="47" s="1"/>
  <c r="Z333" i="47"/>
  <c r="AA333" i="47" s="1"/>
  <c r="AB333" i="47"/>
  <c r="AC333" i="47" s="1"/>
  <c r="AD333" i="47"/>
  <c r="AH333" i="47" s="1" a="1"/>
  <c r="AH333" i="47" s="1"/>
  <c r="AE333" i="47"/>
  <c r="AJ333" i="47" s="1"/>
  <c r="Z334" i="47"/>
  <c r="AA334" i="47" s="1"/>
  <c r="AB334" i="47"/>
  <c r="AC334" i="47" s="1"/>
  <c r="AD334" i="47"/>
  <c r="AH334" i="47" s="1" a="1"/>
  <c r="AH334" i="47" s="1"/>
  <c r="AE334" i="47"/>
  <c r="AF334" i="47" s="1"/>
  <c r="AG334" i="47" s="1"/>
  <c r="Z335" i="47"/>
  <c r="AA335" i="47" s="1"/>
  <c r="AB335" i="47"/>
  <c r="AC335" i="47" s="1"/>
  <c r="AD335" i="47"/>
  <c r="AH335" i="47" s="1" a="1"/>
  <c r="AH335" i="47" s="1"/>
  <c r="AE335" i="47"/>
  <c r="AJ335" i="47" s="1"/>
  <c r="Z336" i="47"/>
  <c r="AA336" i="47" s="1"/>
  <c r="AB336" i="47"/>
  <c r="AC336" i="47" s="1"/>
  <c r="AD336" i="47"/>
  <c r="AH336" i="47" s="1" a="1"/>
  <c r="AH336" i="47" s="1"/>
  <c r="AE336" i="47"/>
  <c r="AJ336" i="47" s="1"/>
  <c r="Z337" i="47"/>
  <c r="AA337" i="47" s="1"/>
  <c r="AB337" i="47"/>
  <c r="AC337" i="47" s="1"/>
  <c r="AD337" i="47"/>
  <c r="AH337" i="47" s="1" a="1"/>
  <c r="AH337" i="47" s="1"/>
  <c r="AE337" i="47"/>
  <c r="Z338" i="47"/>
  <c r="AA338" i="47" s="1"/>
  <c r="AB338" i="47"/>
  <c r="AC338" i="47" s="1"/>
  <c r="AD338" i="47"/>
  <c r="AH338" i="47" s="1" a="1"/>
  <c r="AH338" i="47" s="1"/>
  <c r="AE338" i="47"/>
  <c r="AF338" i="47" s="1"/>
  <c r="AG338" i="47" s="1"/>
  <c r="Z339" i="47"/>
  <c r="AA339" i="47" s="1"/>
  <c r="AB339" i="47"/>
  <c r="AC339" i="47" s="1"/>
  <c r="AD339" i="47"/>
  <c r="AH339" i="47" s="1" a="1"/>
  <c r="AH339" i="47" s="1"/>
  <c r="AE339" i="47"/>
  <c r="Z340" i="47"/>
  <c r="AA340" i="47" s="1"/>
  <c r="AB340" i="47"/>
  <c r="AC340" i="47" s="1"/>
  <c r="AD340" i="47"/>
  <c r="AH340" i="47" s="1" a="1"/>
  <c r="AH340" i="47" s="1"/>
  <c r="AE340" i="47"/>
  <c r="Z341" i="47"/>
  <c r="AA341" i="47" s="1"/>
  <c r="AB341" i="47"/>
  <c r="AC341" i="47" s="1"/>
  <c r="AD341" i="47"/>
  <c r="AH341" i="47" s="1" a="1"/>
  <c r="AH341" i="47" s="1"/>
  <c r="AE341" i="47"/>
  <c r="AJ341" i="47" s="1"/>
  <c r="Z342" i="47"/>
  <c r="AA342" i="47" s="1"/>
  <c r="AB342" i="47"/>
  <c r="AC342" i="47" s="1"/>
  <c r="AD342" i="47"/>
  <c r="AH342" i="47" s="1" a="1"/>
  <c r="AH342" i="47" s="1"/>
  <c r="AE342" i="47"/>
  <c r="AI342" i="47" s="1"/>
  <c r="Z343" i="47"/>
  <c r="AA343" i="47" s="1"/>
  <c r="AB343" i="47"/>
  <c r="AC343" i="47" s="1"/>
  <c r="AD343" i="47"/>
  <c r="AH343" i="47" s="1" a="1"/>
  <c r="AH343" i="47" s="1"/>
  <c r="AE343" i="47"/>
  <c r="AJ343" i="47" s="1"/>
  <c r="Z344" i="47"/>
  <c r="AA344" i="47" s="1"/>
  <c r="AB344" i="47"/>
  <c r="AC344" i="47" s="1"/>
  <c r="AD344" i="47"/>
  <c r="AH344" i="47" s="1" a="1"/>
  <c r="AH344" i="47" s="1"/>
  <c r="AE344" i="47"/>
  <c r="AF344" i="47" s="1"/>
  <c r="AG344" i="47" s="1"/>
  <c r="Z345" i="47"/>
  <c r="AA345" i="47" s="1"/>
  <c r="AB345" i="47"/>
  <c r="AC345" i="47" s="1"/>
  <c r="AD345" i="47"/>
  <c r="AH345" i="47" s="1" a="1"/>
  <c r="AH345" i="47" s="1"/>
  <c r="AE345" i="47"/>
  <c r="AJ345" i="47" s="1"/>
  <c r="Z346" i="47"/>
  <c r="AA346" i="47" s="1"/>
  <c r="AB346" i="47"/>
  <c r="AC346" i="47" s="1"/>
  <c r="AD346" i="47"/>
  <c r="AH346" i="47" s="1" a="1"/>
  <c r="AH346" i="47" s="1"/>
  <c r="AE346" i="47"/>
  <c r="Z347" i="47"/>
  <c r="AA347" i="47" s="1"/>
  <c r="AB347" i="47"/>
  <c r="AC347" i="47" s="1"/>
  <c r="AD347" i="47"/>
  <c r="AH347" i="47" s="1" a="1"/>
  <c r="AH347" i="47" s="1"/>
  <c r="AE347" i="47"/>
  <c r="AJ347" i="47" s="1"/>
  <c r="Z348" i="47"/>
  <c r="AA348" i="47" s="1"/>
  <c r="AB348" i="47"/>
  <c r="AC348" i="47" s="1"/>
  <c r="AD348" i="47"/>
  <c r="AH348" i="47" s="1" a="1"/>
  <c r="AH348" i="47" s="1"/>
  <c r="AE348" i="47"/>
  <c r="AJ348" i="47" s="1"/>
  <c r="Z349" i="47"/>
  <c r="AA349" i="47" s="1"/>
  <c r="AB349" i="47"/>
  <c r="AC349" i="47" s="1"/>
  <c r="AD349" i="47"/>
  <c r="AH349" i="47" s="1" a="1"/>
  <c r="AH349" i="47" s="1"/>
  <c r="AE349" i="47"/>
  <c r="AJ349" i="47" s="1"/>
  <c r="Z350" i="47"/>
  <c r="AA350" i="47" s="1"/>
  <c r="AB350" i="47"/>
  <c r="AC350" i="47" s="1"/>
  <c r="AD350" i="47"/>
  <c r="AH350" i="47" s="1" a="1"/>
  <c r="AH350" i="47" s="1"/>
  <c r="AE350" i="47"/>
  <c r="AF350" i="47" s="1"/>
  <c r="AG350" i="47" s="1"/>
  <c r="Z351" i="47"/>
  <c r="AA351" i="47" s="1"/>
  <c r="AB351" i="47"/>
  <c r="AC351" i="47" s="1"/>
  <c r="AD351" i="47"/>
  <c r="AH351" i="47" s="1" a="1"/>
  <c r="AH351" i="47" s="1"/>
  <c r="AE351" i="47"/>
  <c r="AJ351" i="47" s="1"/>
  <c r="Z352" i="47"/>
  <c r="AA352" i="47" s="1"/>
  <c r="AB352" i="47"/>
  <c r="AC352" i="47" s="1"/>
  <c r="AD352" i="47"/>
  <c r="AH352" i="47" s="1" a="1"/>
  <c r="AH352" i="47" s="1"/>
  <c r="AE352" i="47"/>
  <c r="AJ352" i="47" s="1"/>
  <c r="Z353" i="47"/>
  <c r="AA353" i="47" s="1"/>
  <c r="AB353" i="47"/>
  <c r="AC353" i="47" s="1"/>
  <c r="AD353" i="47"/>
  <c r="AH353" i="47" s="1" a="1"/>
  <c r="AH353" i="47" s="1"/>
  <c r="AE353" i="47"/>
  <c r="Z354" i="47"/>
  <c r="AA354" i="47" s="1"/>
  <c r="AB354" i="47"/>
  <c r="AC354" i="47" s="1"/>
  <c r="AD354" i="47"/>
  <c r="AH354" i="47" s="1" a="1"/>
  <c r="AH354" i="47" s="1"/>
  <c r="AE354" i="47"/>
  <c r="AF354" i="47" s="1"/>
  <c r="AG354" i="47" s="1"/>
  <c r="Z355" i="47"/>
  <c r="AA355" i="47" s="1"/>
  <c r="AB355" i="47"/>
  <c r="AC355" i="47" s="1"/>
  <c r="AD355" i="47"/>
  <c r="AH355" i="47" s="1" a="1"/>
  <c r="AH355" i="47" s="1"/>
  <c r="AE355" i="47"/>
  <c r="AJ355" i="47" s="1"/>
  <c r="Z356" i="47"/>
  <c r="AA356" i="47" s="1"/>
  <c r="AB356" i="47"/>
  <c r="AC356" i="47" s="1"/>
  <c r="AD356" i="47"/>
  <c r="AH356" i="47" s="1" a="1"/>
  <c r="AH356" i="47" s="1"/>
  <c r="AE356" i="47"/>
  <c r="Z357" i="47"/>
  <c r="AA357" i="47" s="1"/>
  <c r="AB357" i="47"/>
  <c r="AC357" i="47" s="1"/>
  <c r="AD357" i="47"/>
  <c r="AH357" i="47" s="1" a="1"/>
  <c r="AH357" i="47" s="1"/>
  <c r="AE357" i="47"/>
  <c r="AJ357" i="47" s="1"/>
  <c r="Z358" i="47"/>
  <c r="AA358" i="47" s="1"/>
  <c r="AB358" i="47"/>
  <c r="AC358" i="47" s="1"/>
  <c r="AD358" i="47"/>
  <c r="AH358" i="47" s="1" a="1"/>
  <c r="AH358" i="47" s="1"/>
  <c r="AE358" i="47"/>
  <c r="AI358" i="47" s="1"/>
  <c r="Z359" i="47"/>
  <c r="AA359" i="47" s="1"/>
  <c r="AB359" i="47"/>
  <c r="AC359" i="47" s="1"/>
  <c r="AD359" i="47"/>
  <c r="AH359" i="47" s="1" a="1"/>
  <c r="AH359" i="47" s="1"/>
  <c r="AE359" i="47"/>
  <c r="AJ359" i="47" s="1"/>
  <c r="Z360" i="47"/>
  <c r="AA360" i="47" s="1"/>
  <c r="AB360" i="47"/>
  <c r="AC360" i="47" s="1"/>
  <c r="AD360" i="47"/>
  <c r="AH360" i="47" s="1" a="1"/>
  <c r="AH360" i="47" s="1"/>
  <c r="AE360" i="47"/>
  <c r="Z361" i="47"/>
  <c r="AA361" i="47" s="1"/>
  <c r="AB361" i="47"/>
  <c r="AC361" i="47" s="1"/>
  <c r="AD361" i="47"/>
  <c r="AH361" i="47" s="1" a="1"/>
  <c r="AH361" i="47" s="1"/>
  <c r="AE361" i="47"/>
  <c r="AJ361" i="47" s="1"/>
  <c r="Z362" i="47"/>
  <c r="AA362" i="47" s="1"/>
  <c r="AB362" i="47"/>
  <c r="AC362" i="47" s="1"/>
  <c r="AD362" i="47"/>
  <c r="AH362" i="47" s="1" a="1"/>
  <c r="AH362" i="47" s="1"/>
  <c r="AE362" i="47"/>
  <c r="Z363" i="47"/>
  <c r="AA363" i="47" s="1"/>
  <c r="AB363" i="47"/>
  <c r="AC363" i="47" s="1"/>
  <c r="AD363" i="47"/>
  <c r="AH363" i="47" s="1" a="1"/>
  <c r="AH363" i="47" s="1"/>
  <c r="AE363" i="47"/>
  <c r="AJ363" i="47" s="1"/>
  <c r="Z364" i="47"/>
  <c r="AA364" i="47" s="1"/>
  <c r="AB364" i="47"/>
  <c r="AC364" i="47" s="1"/>
  <c r="AD364" i="47"/>
  <c r="AH364" i="47" s="1" a="1"/>
  <c r="AH364" i="47" s="1"/>
  <c r="AE364" i="47"/>
  <c r="AF364" i="47" s="1"/>
  <c r="AG364" i="47" s="1"/>
  <c r="Z365" i="47"/>
  <c r="AA365" i="47" s="1"/>
  <c r="AB365" i="47"/>
  <c r="AC365" i="47" s="1"/>
  <c r="AD365" i="47"/>
  <c r="AH365" i="47" s="1" a="1"/>
  <c r="AH365" i="47" s="1"/>
  <c r="AE365" i="47"/>
  <c r="AJ365" i="47" s="1"/>
  <c r="Z366" i="47"/>
  <c r="AA366" i="47" s="1"/>
  <c r="AB366" i="47"/>
  <c r="AC366" i="47" s="1"/>
  <c r="AD366" i="47"/>
  <c r="AH366" i="47" s="1" a="1"/>
  <c r="AH366" i="47" s="1"/>
  <c r="AE366" i="47"/>
  <c r="AI366" i="47" s="1"/>
  <c r="Z367" i="47"/>
  <c r="AA367" i="47" s="1"/>
  <c r="AB367" i="47"/>
  <c r="AC367" i="47" s="1"/>
  <c r="AD367" i="47"/>
  <c r="AH367" i="47" s="1" a="1"/>
  <c r="AH367" i="47" s="1"/>
  <c r="AE367" i="47"/>
  <c r="AJ367" i="47" s="1"/>
  <c r="Z368" i="47"/>
  <c r="AA368" i="47" s="1"/>
  <c r="AB368" i="47"/>
  <c r="AC368" i="47" s="1"/>
  <c r="AD368" i="47"/>
  <c r="AH368" i="47" s="1" a="1"/>
  <c r="AH368" i="47" s="1"/>
  <c r="AE368" i="47"/>
  <c r="AJ368" i="47" s="1"/>
  <c r="Z369" i="47"/>
  <c r="AA369" i="47" s="1"/>
  <c r="AB369" i="47"/>
  <c r="AC369" i="47" s="1"/>
  <c r="AD369" i="47"/>
  <c r="AH369" i="47" s="1" a="1"/>
  <c r="AH369" i="47" s="1"/>
  <c r="AE369" i="47"/>
  <c r="Z370" i="47"/>
  <c r="AA370" i="47" s="1"/>
  <c r="AB370" i="47"/>
  <c r="AC370" i="47" s="1"/>
  <c r="AD370" i="47"/>
  <c r="AH370" i="47" s="1" a="1"/>
  <c r="AH370" i="47" s="1"/>
  <c r="AE370" i="47"/>
  <c r="Z371" i="47"/>
  <c r="AA371" i="47" s="1"/>
  <c r="AB371" i="47"/>
  <c r="AC371" i="47" s="1"/>
  <c r="AD371" i="47"/>
  <c r="AH371" i="47" s="1" a="1"/>
  <c r="AH371" i="47" s="1"/>
  <c r="AE371" i="47"/>
  <c r="AJ371" i="47" s="1"/>
  <c r="Z372" i="47"/>
  <c r="AA372" i="47" s="1"/>
  <c r="AB372" i="47"/>
  <c r="AC372" i="47" s="1"/>
  <c r="AD372" i="47"/>
  <c r="AH372" i="47" s="1" a="1"/>
  <c r="AH372" i="47" s="1"/>
  <c r="AE372" i="47"/>
  <c r="Z373" i="47"/>
  <c r="AA373" i="47" s="1"/>
  <c r="AB373" i="47"/>
  <c r="AC373" i="47" s="1"/>
  <c r="AD373" i="47"/>
  <c r="AH373" i="47" s="1" a="1"/>
  <c r="AH373" i="47" s="1"/>
  <c r="AE373" i="47"/>
  <c r="Z374" i="47"/>
  <c r="AA374" i="47" s="1"/>
  <c r="AB374" i="47"/>
  <c r="AC374" i="47" s="1"/>
  <c r="AD374" i="47"/>
  <c r="AH374" i="47" s="1" a="1"/>
  <c r="AH374" i="47" s="1"/>
  <c r="AE374" i="47"/>
  <c r="Z375" i="47"/>
  <c r="AA375" i="47" s="1"/>
  <c r="AB375" i="47"/>
  <c r="AC375" i="47" s="1"/>
  <c r="AD375" i="47"/>
  <c r="AH375" i="47" s="1" a="1"/>
  <c r="AH375" i="47" s="1"/>
  <c r="AE375" i="47"/>
  <c r="Z376" i="47"/>
  <c r="AA376" i="47" s="1"/>
  <c r="AB376" i="47"/>
  <c r="AC376" i="47" s="1"/>
  <c r="AD376" i="47"/>
  <c r="AH376" i="47" s="1" a="1"/>
  <c r="AH376" i="47" s="1"/>
  <c r="AE376" i="47"/>
  <c r="Z377" i="47"/>
  <c r="AA377" i="47" s="1"/>
  <c r="AB377" i="47"/>
  <c r="AC377" i="47" s="1"/>
  <c r="AD377" i="47"/>
  <c r="AH377" i="47" s="1" a="1"/>
  <c r="AH377" i="47" s="1"/>
  <c r="AE377" i="47"/>
  <c r="AJ377" i="47" s="1"/>
  <c r="Z378" i="47"/>
  <c r="AA378" i="47" s="1"/>
  <c r="AB378" i="47"/>
  <c r="AC378" i="47" s="1"/>
  <c r="AD378" i="47"/>
  <c r="AH378" i="47" s="1" a="1"/>
  <c r="AH378" i="47" s="1"/>
  <c r="AE378" i="47"/>
  <c r="AF378" i="47" s="1"/>
  <c r="AG378" i="47" s="1"/>
  <c r="Z379" i="47"/>
  <c r="AA379" i="47" s="1"/>
  <c r="AB379" i="47"/>
  <c r="AC379" i="47" s="1"/>
  <c r="AD379" i="47"/>
  <c r="AH379" i="47" s="1" a="1"/>
  <c r="AH379" i="47" s="1"/>
  <c r="AE379" i="47"/>
  <c r="Z380" i="47"/>
  <c r="AA380" i="47" s="1"/>
  <c r="AB380" i="47"/>
  <c r="AC380" i="47" s="1"/>
  <c r="AD380" i="47"/>
  <c r="AH380" i="47" s="1" a="1"/>
  <c r="AH380" i="47" s="1"/>
  <c r="AE380" i="47"/>
  <c r="AJ380" i="47" s="1"/>
  <c r="Z381" i="47"/>
  <c r="AA381" i="47" s="1"/>
  <c r="AB381" i="47"/>
  <c r="AC381" i="47" s="1"/>
  <c r="AD381" i="47"/>
  <c r="AH381" i="47" s="1" a="1"/>
  <c r="AH381" i="47" s="1"/>
  <c r="AE381" i="47"/>
  <c r="AF381" i="47" s="1"/>
  <c r="AG381" i="47" s="1"/>
  <c r="Z382" i="47"/>
  <c r="AA382" i="47" s="1"/>
  <c r="AB382" i="47"/>
  <c r="AC382" i="47" s="1"/>
  <c r="AD382" i="47"/>
  <c r="AH382" i="47" s="1" a="1"/>
  <c r="AH382" i="47" s="1"/>
  <c r="AE382" i="47"/>
  <c r="AF382" i="47" s="1"/>
  <c r="AG382" i="47" s="1"/>
  <c r="Z383" i="47"/>
  <c r="AA383" i="47" s="1"/>
  <c r="AB383" i="47"/>
  <c r="AC383" i="47" s="1"/>
  <c r="AD383" i="47"/>
  <c r="AH383" i="47" s="1" a="1"/>
  <c r="AH383" i="47" s="1"/>
  <c r="AE383" i="47"/>
  <c r="Z384" i="47"/>
  <c r="AA384" i="47" s="1"/>
  <c r="AB384" i="47"/>
  <c r="AC384" i="47" s="1"/>
  <c r="AD384" i="47"/>
  <c r="AH384" i="47" s="1" a="1"/>
  <c r="AH384" i="47" s="1"/>
  <c r="AE384" i="47"/>
  <c r="AI384" i="47" s="1"/>
  <c r="Z385" i="47"/>
  <c r="AA385" i="47" s="1"/>
  <c r="AB385" i="47"/>
  <c r="AC385" i="47" s="1"/>
  <c r="AD385" i="47"/>
  <c r="AH385" i="47" s="1" a="1"/>
  <c r="AH385" i="47" s="1"/>
  <c r="AE385" i="47"/>
  <c r="AI385" i="47" s="1"/>
  <c r="Z386" i="47"/>
  <c r="AA386" i="47" s="1"/>
  <c r="AB386" i="47"/>
  <c r="AC386" i="47" s="1"/>
  <c r="AD386" i="47"/>
  <c r="AH386" i="47" s="1" a="1"/>
  <c r="AH386" i="47" s="1"/>
  <c r="AE386" i="47"/>
  <c r="AF386" i="47" s="1"/>
  <c r="AG386" i="47" s="1"/>
  <c r="Z387" i="47"/>
  <c r="AA387" i="47" s="1"/>
  <c r="AB387" i="47"/>
  <c r="AC387" i="47" s="1"/>
  <c r="AD387" i="47"/>
  <c r="AH387" i="47" s="1" a="1"/>
  <c r="AH387" i="47" s="1"/>
  <c r="AE387" i="47"/>
  <c r="AJ387" i="47" s="1"/>
  <c r="Z388" i="47"/>
  <c r="AA388" i="47" s="1"/>
  <c r="AB388" i="47"/>
  <c r="AC388" i="47" s="1"/>
  <c r="AD388" i="47"/>
  <c r="AH388" i="47" s="1" a="1"/>
  <c r="AH388" i="47" s="1"/>
  <c r="AE388" i="47"/>
  <c r="Z389" i="47"/>
  <c r="AA389" i="47" s="1"/>
  <c r="AB389" i="47"/>
  <c r="AC389" i="47" s="1"/>
  <c r="AD389" i="47"/>
  <c r="AH389" i="47" s="1" a="1"/>
  <c r="AH389" i="47" s="1"/>
  <c r="AE389" i="47"/>
  <c r="AF389" i="47" s="1"/>
  <c r="AG389" i="47" s="1"/>
  <c r="Z390" i="47"/>
  <c r="AA390" i="47" s="1"/>
  <c r="AB390" i="47"/>
  <c r="AC390" i="47" s="1"/>
  <c r="AD390" i="47"/>
  <c r="AH390" i="47" s="1" a="1"/>
  <c r="AH390" i="47" s="1"/>
  <c r="AE390" i="47"/>
  <c r="AF390" i="47" s="1"/>
  <c r="AG390" i="47" s="1"/>
  <c r="Z391" i="47"/>
  <c r="AA391" i="47" s="1"/>
  <c r="AB391" i="47"/>
  <c r="AC391" i="47" s="1"/>
  <c r="AD391" i="47"/>
  <c r="AH391" i="47" s="1" a="1"/>
  <c r="AH391" i="47" s="1"/>
  <c r="AE391" i="47"/>
  <c r="Z392" i="47"/>
  <c r="AA392" i="47" s="1"/>
  <c r="AB392" i="47"/>
  <c r="AC392" i="47" s="1"/>
  <c r="AD392" i="47"/>
  <c r="AH392" i="47" s="1" a="1"/>
  <c r="AH392" i="47" s="1"/>
  <c r="AE392" i="47"/>
  <c r="Z393" i="47"/>
  <c r="AA393" i="47" s="1"/>
  <c r="AB393" i="47"/>
  <c r="AC393" i="47" s="1"/>
  <c r="AD393" i="47"/>
  <c r="AH393" i="47" s="1" a="1"/>
  <c r="AH393" i="47" s="1"/>
  <c r="AE393" i="47"/>
  <c r="AF393" i="47" s="1"/>
  <c r="AG393" i="47" s="1"/>
  <c r="Z394" i="47"/>
  <c r="AA394" i="47" s="1"/>
  <c r="AB394" i="47"/>
  <c r="AC394" i="47" s="1"/>
  <c r="AD394" i="47"/>
  <c r="AH394" i="47" s="1" a="1"/>
  <c r="AH394" i="47" s="1"/>
  <c r="AE394" i="47"/>
  <c r="AJ394" i="47" s="1"/>
  <c r="Z395" i="47"/>
  <c r="AA395" i="47" s="1"/>
  <c r="AB395" i="47"/>
  <c r="AC395" i="47" s="1"/>
  <c r="AD395" i="47"/>
  <c r="AH395" i="47" s="1" a="1"/>
  <c r="AH395" i="47" s="1"/>
  <c r="AE395" i="47"/>
  <c r="AI395" i="47" s="1"/>
  <c r="Z396" i="47"/>
  <c r="AA396" i="47" s="1"/>
  <c r="AB396" i="47"/>
  <c r="AC396" i="47" s="1"/>
  <c r="AD396" i="47"/>
  <c r="AH396" i="47" s="1" a="1"/>
  <c r="AH396" i="47" s="1"/>
  <c r="AE396" i="47"/>
  <c r="AF396" i="47" s="1"/>
  <c r="AG396" i="47" s="1"/>
  <c r="Z397" i="47"/>
  <c r="AA397" i="47" s="1"/>
  <c r="AB397" i="47"/>
  <c r="AC397" i="47" s="1"/>
  <c r="AD397" i="47"/>
  <c r="AH397" i="47" s="1" a="1"/>
  <c r="AH397" i="47" s="1"/>
  <c r="AE397" i="47"/>
  <c r="AF397" i="47" s="1"/>
  <c r="AG397" i="47" s="1"/>
  <c r="Z398" i="47"/>
  <c r="AA398" i="47" s="1"/>
  <c r="AB398" i="47"/>
  <c r="AC398" i="47" s="1"/>
  <c r="AD398" i="47"/>
  <c r="AH398" i="47" s="1" a="1"/>
  <c r="AH398" i="47" s="1"/>
  <c r="AE398" i="47"/>
  <c r="Z399" i="47"/>
  <c r="AA399" i="47" s="1"/>
  <c r="AB399" i="47"/>
  <c r="AC399" i="47" s="1"/>
  <c r="AD399" i="47"/>
  <c r="AH399" i="47" s="1" a="1"/>
  <c r="AH399" i="47" s="1"/>
  <c r="AE399" i="47"/>
  <c r="Z400" i="47"/>
  <c r="AA400" i="47" s="1"/>
  <c r="AB400" i="47"/>
  <c r="AC400" i="47" s="1"/>
  <c r="AD400" i="47"/>
  <c r="AH400" i="47" s="1" a="1"/>
  <c r="AH400" i="47" s="1"/>
  <c r="AE400" i="47"/>
  <c r="AI400" i="47" s="1"/>
  <c r="Z401" i="47"/>
  <c r="AA401" i="47" s="1"/>
  <c r="AB401" i="47"/>
  <c r="AC401" i="47" s="1"/>
  <c r="AD401" i="47"/>
  <c r="AH401" i="47" s="1" a="1"/>
  <c r="AH401" i="47" s="1"/>
  <c r="AE401" i="47"/>
  <c r="AF401" i="47" s="1"/>
  <c r="AG401" i="47" s="1"/>
  <c r="Z402" i="47"/>
  <c r="AA402" i="47" s="1"/>
  <c r="AB402" i="47"/>
  <c r="AC402" i="47" s="1"/>
  <c r="AD402" i="47"/>
  <c r="AH402" i="47" s="1" a="1"/>
  <c r="AH402" i="47" s="1"/>
  <c r="AE402" i="47"/>
  <c r="AI402" i="47" s="1"/>
  <c r="Z403" i="47"/>
  <c r="AA403" i="47" s="1"/>
  <c r="AB403" i="47"/>
  <c r="AC403" i="47" s="1"/>
  <c r="AD403" i="47"/>
  <c r="AH403" i="47" s="1" a="1"/>
  <c r="AH403" i="47" s="1"/>
  <c r="AE403" i="47"/>
  <c r="AF403" i="47" s="1"/>
  <c r="AG403" i="47" s="1"/>
  <c r="Z404" i="47"/>
  <c r="AA404" i="47" s="1"/>
  <c r="AB404" i="47"/>
  <c r="AC404" i="47" s="1"/>
  <c r="AD404" i="47"/>
  <c r="AH404" i="47" s="1" a="1"/>
  <c r="AH404" i="47" s="1"/>
  <c r="AE404" i="47"/>
  <c r="AI404" i="47" s="1"/>
  <c r="Z405" i="47"/>
  <c r="AA405" i="47" s="1"/>
  <c r="AB405" i="47"/>
  <c r="AC405" i="47" s="1"/>
  <c r="AD405" i="47"/>
  <c r="AH405" i="47" s="1" a="1"/>
  <c r="AH405" i="47" s="1"/>
  <c r="AE405" i="47"/>
  <c r="AF405" i="47" s="1"/>
  <c r="AG405" i="47" s="1"/>
  <c r="Z406" i="47"/>
  <c r="AA406" i="47" s="1"/>
  <c r="AB406" i="47"/>
  <c r="AC406" i="47" s="1"/>
  <c r="AD406" i="47"/>
  <c r="AH406" i="47" s="1" a="1"/>
  <c r="AH406" i="47" s="1"/>
  <c r="AE406" i="47"/>
  <c r="AI406" i="47" s="1"/>
  <c r="Z407" i="47"/>
  <c r="AA407" i="47" s="1"/>
  <c r="AB407" i="47"/>
  <c r="AC407" i="47" s="1"/>
  <c r="AD407" i="47"/>
  <c r="AH407" i="47" s="1" a="1"/>
  <c r="AH407" i="47" s="1"/>
  <c r="AE407" i="47"/>
  <c r="AF407" i="47" s="1"/>
  <c r="AG407" i="47" s="1"/>
  <c r="Z408" i="47"/>
  <c r="AA408" i="47" s="1"/>
  <c r="AB408" i="47"/>
  <c r="AC408" i="47" s="1"/>
  <c r="AD408" i="47"/>
  <c r="AH408" i="47" s="1" a="1"/>
  <c r="AH408" i="47" s="1"/>
  <c r="AE408" i="47"/>
  <c r="AI408" i="47" s="1"/>
  <c r="Z409" i="47"/>
  <c r="AA409" i="47" s="1"/>
  <c r="AB409" i="47"/>
  <c r="AC409" i="47" s="1"/>
  <c r="AD409" i="47"/>
  <c r="AH409" i="47" s="1" a="1"/>
  <c r="AH409" i="47" s="1"/>
  <c r="AE409" i="47"/>
  <c r="Z410" i="47"/>
  <c r="AA410" i="47" s="1"/>
  <c r="AB410" i="47"/>
  <c r="AC410" i="47" s="1"/>
  <c r="AD410" i="47"/>
  <c r="AH410" i="47" s="1" a="1"/>
  <c r="AH410" i="47" s="1"/>
  <c r="AE410" i="47"/>
  <c r="AF410" i="47" s="1"/>
  <c r="AG410" i="47" s="1"/>
  <c r="Z411" i="47"/>
  <c r="AA411" i="47" s="1"/>
  <c r="AB411" i="47"/>
  <c r="AC411" i="47" s="1"/>
  <c r="AD411" i="47"/>
  <c r="AH411" i="47" s="1" a="1"/>
  <c r="AH411" i="47" s="1"/>
  <c r="AE411" i="47"/>
  <c r="AF411" i="47" s="1"/>
  <c r="AG411" i="47" s="1"/>
  <c r="Z412" i="47"/>
  <c r="AA412" i="47" s="1"/>
  <c r="AB412" i="47"/>
  <c r="AC412" i="47" s="1"/>
  <c r="AD412" i="47"/>
  <c r="AH412" i="47" s="1" a="1"/>
  <c r="AH412" i="47" s="1"/>
  <c r="AE412" i="47"/>
  <c r="AI412" i="47" s="1"/>
  <c r="Z413" i="47"/>
  <c r="AA413" i="47" s="1"/>
  <c r="AB413" i="47"/>
  <c r="AC413" i="47" s="1"/>
  <c r="AD413" i="47"/>
  <c r="AH413" i="47" s="1" a="1"/>
  <c r="AH413" i="47" s="1"/>
  <c r="AE413" i="47"/>
  <c r="AF413" i="47" s="1"/>
  <c r="AG413" i="47" s="1"/>
  <c r="Z414" i="47"/>
  <c r="AA414" i="47" s="1"/>
  <c r="AB414" i="47"/>
  <c r="AC414" i="47" s="1"/>
  <c r="AD414" i="47"/>
  <c r="AH414" i="47" s="1" a="1"/>
  <c r="AH414" i="47" s="1"/>
  <c r="AE414" i="47"/>
  <c r="AF414" i="47" s="1"/>
  <c r="AG414" i="47" s="1"/>
  <c r="Z415" i="47"/>
  <c r="AA415" i="47" s="1"/>
  <c r="AB415" i="47"/>
  <c r="AC415" i="47" s="1"/>
  <c r="AD415" i="47"/>
  <c r="AH415" i="47" s="1" a="1"/>
  <c r="AH415" i="47" s="1"/>
  <c r="AE415" i="47"/>
  <c r="Z416" i="47"/>
  <c r="AA416" i="47" s="1"/>
  <c r="AB416" i="47"/>
  <c r="AC416" i="47" s="1"/>
  <c r="AD416" i="47"/>
  <c r="AH416" i="47" s="1" a="1"/>
  <c r="AH416" i="47" s="1"/>
  <c r="AE416" i="47"/>
  <c r="AJ416" i="47" s="1"/>
  <c r="Z417" i="47"/>
  <c r="AA417" i="47" s="1"/>
  <c r="AB417" i="47"/>
  <c r="AC417" i="47" s="1"/>
  <c r="AD417" i="47"/>
  <c r="AH417" i="47" s="1" a="1"/>
  <c r="AH417" i="47" s="1"/>
  <c r="AE417" i="47"/>
  <c r="Z418" i="47"/>
  <c r="AA418" i="47" s="1"/>
  <c r="AB418" i="47"/>
  <c r="AC418" i="47" s="1"/>
  <c r="AD418" i="47"/>
  <c r="AH418" i="47" s="1" a="1"/>
  <c r="AH418" i="47" s="1"/>
  <c r="AE418" i="47"/>
  <c r="AI418" i="47" s="1"/>
  <c r="Z419" i="47"/>
  <c r="AA419" i="47" s="1"/>
  <c r="AB419" i="47"/>
  <c r="AC419" i="47" s="1"/>
  <c r="AD419" i="47"/>
  <c r="AH419" i="47" s="1" a="1"/>
  <c r="AH419" i="47" s="1"/>
  <c r="AE419" i="47"/>
  <c r="AI419" i="47" s="1"/>
  <c r="Z420" i="47"/>
  <c r="AA420" i="47" s="1"/>
  <c r="AB420" i="47"/>
  <c r="AC420" i="47" s="1"/>
  <c r="AD420" i="47"/>
  <c r="AH420" i="47" s="1" a="1"/>
  <c r="AH420" i="47" s="1"/>
  <c r="AE420" i="47"/>
  <c r="AF420" i="47" s="1"/>
  <c r="AG420" i="47" s="1"/>
  <c r="Z421" i="47"/>
  <c r="AA421" i="47" s="1"/>
  <c r="AB421" i="47"/>
  <c r="AC421" i="47" s="1"/>
  <c r="AD421" i="47"/>
  <c r="AH421" i="47" s="1" a="1"/>
  <c r="AH421" i="47" s="1"/>
  <c r="AE421" i="47"/>
  <c r="Z422" i="47"/>
  <c r="AA422" i="47" s="1"/>
  <c r="AB422" i="47"/>
  <c r="AC422" i="47" s="1"/>
  <c r="AD422" i="47"/>
  <c r="AH422" i="47" s="1" a="1"/>
  <c r="AH422" i="47" s="1"/>
  <c r="AE422" i="47"/>
  <c r="AI422" i="47" s="1"/>
  <c r="Z423" i="47"/>
  <c r="AA423" i="47" s="1"/>
  <c r="AB423" i="47"/>
  <c r="AC423" i="47" s="1"/>
  <c r="AD423" i="47"/>
  <c r="AH423" i="47" s="1" a="1"/>
  <c r="AH423" i="47" s="1"/>
  <c r="AE423" i="47"/>
  <c r="AF423" i="47" s="1"/>
  <c r="AG423" i="47" s="1"/>
  <c r="Z424" i="47"/>
  <c r="AA424" i="47" s="1"/>
  <c r="AB424" i="47"/>
  <c r="AC424" i="47" s="1"/>
  <c r="AD424" i="47"/>
  <c r="AH424" i="47" s="1" a="1"/>
  <c r="AH424" i="47" s="1"/>
  <c r="AE424" i="47"/>
  <c r="Z425" i="47"/>
  <c r="AA425" i="47" s="1"/>
  <c r="AB425" i="47"/>
  <c r="AC425" i="47" s="1"/>
  <c r="AD425" i="47"/>
  <c r="AH425" i="47" s="1" a="1"/>
  <c r="AH425" i="47" s="1"/>
  <c r="AE425" i="47"/>
  <c r="AI425" i="47" s="1"/>
  <c r="Z426" i="47"/>
  <c r="AA426" i="47" s="1"/>
  <c r="AB426" i="47"/>
  <c r="AC426" i="47" s="1"/>
  <c r="AD426" i="47"/>
  <c r="AH426" i="47" s="1" a="1"/>
  <c r="AH426" i="47" s="1"/>
  <c r="AE426" i="47"/>
  <c r="AI426" i="47" s="1"/>
  <c r="Z427" i="47"/>
  <c r="AA427" i="47" s="1"/>
  <c r="AB427" i="47"/>
  <c r="AC427" i="47" s="1"/>
  <c r="AD427" i="47"/>
  <c r="AH427" i="47" s="1" a="1"/>
  <c r="AH427" i="47" s="1"/>
  <c r="AE427" i="47"/>
  <c r="Z428" i="47"/>
  <c r="AA428" i="47" s="1"/>
  <c r="AB428" i="47"/>
  <c r="AC428" i="47" s="1"/>
  <c r="AD428" i="47"/>
  <c r="AH428" i="47" s="1" a="1"/>
  <c r="AH428" i="47" s="1"/>
  <c r="AE428" i="47"/>
  <c r="AF428" i="47" s="1"/>
  <c r="AG428" i="47" s="1"/>
  <c r="Z429" i="47"/>
  <c r="AA429" i="47" s="1"/>
  <c r="AB429" i="47"/>
  <c r="AC429" i="47" s="1"/>
  <c r="AD429" i="47"/>
  <c r="AH429" i="47" s="1" a="1"/>
  <c r="AH429" i="47" s="1"/>
  <c r="AE429" i="47"/>
  <c r="Z430" i="47"/>
  <c r="AA430" i="47" s="1"/>
  <c r="AB430" i="47"/>
  <c r="AC430" i="47" s="1"/>
  <c r="AD430" i="47"/>
  <c r="AH430" i="47" s="1" a="1"/>
  <c r="AH430" i="47" s="1"/>
  <c r="AE430" i="47"/>
  <c r="AI430" i="47" s="1"/>
  <c r="Z431" i="47"/>
  <c r="AA431" i="47" s="1"/>
  <c r="AB431" i="47"/>
  <c r="AC431" i="47" s="1"/>
  <c r="AD431" i="47"/>
  <c r="AH431" i="47" s="1" a="1"/>
  <c r="AH431" i="47" s="1"/>
  <c r="AE431" i="47"/>
  <c r="AF431" i="47" s="1"/>
  <c r="AG431" i="47" s="1"/>
  <c r="Z432" i="47"/>
  <c r="AA432" i="47" s="1"/>
  <c r="AB432" i="47"/>
  <c r="AC432" i="47" s="1"/>
  <c r="AD432" i="47"/>
  <c r="AH432" i="47" s="1" a="1"/>
  <c r="AH432" i="47" s="1"/>
  <c r="AE432" i="47"/>
  <c r="AF432" i="47" s="1"/>
  <c r="AG432" i="47" s="1"/>
  <c r="Z433" i="47"/>
  <c r="AA433" i="47" s="1"/>
  <c r="AB433" i="47"/>
  <c r="AC433" i="47" s="1"/>
  <c r="AD433" i="47"/>
  <c r="AH433" i="47" s="1" a="1"/>
  <c r="AH433" i="47" s="1"/>
  <c r="AE433" i="47"/>
  <c r="AF433" i="47" s="1"/>
  <c r="AG433" i="47" s="1"/>
  <c r="Z434" i="47"/>
  <c r="AA434" i="47" s="1"/>
  <c r="AB434" i="47"/>
  <c r="AC434" i="47" s="1"/>
  <c r="AD434" i="47"/>
  <c r="AH434" i="47" s="1" a="1"/>
  <c r="AH434" i="47" s="1"/>
  <c r="AE434" i="47"/>
  <c r="AI434" i="47" s="1"/>
  <c r="Z435" i="47"/>
  <c r="AA435" i="47" s="1"/>
  <c r="AB435" i="47"/>
  <c r="AC435" i="47" s="1"/>
  <c r="AD435" i="47"/>
  <c r="AH435" i="47" s="1" a="1"/>
  <c r="AH435" i="47" s="1"/>
  <c r="AE435" i="47"/>
  <c r="AJ435" i="47" s="1"/>
  <c r="Z436" i="47"/>
  <c r="AA436" i="47" s="1"/>
  <c r="AB436" i="47"/>
  <c r="AC436" i="47" s="1"/>
  <c r="AD436" i="47"/>
  <c r="AH436" i="47" s="1" a="1"/>
  <c r="AH436" i="47" s="1"/>
  <c r="AE436" i="47"/>
  <c r="Z437" i="47"/>
  <c r="AA437" i="47" s="1"/>
  <c r="AB437" i="47"/>
  <c r="AC437" i="47" s="1"/>
  <c r="AD437" i="47"/>
  <c r="AH437" i="47" s="1" a="1"/>
  <c r="AH437" i="47" s="1"/>
  <c r="AE437" i="47"/>
  <c r="AI437" i="47" s="1"/>
  <c r="Z438" i="47"/>
  <c r="AA438" i="47" s="1"/>
  <c r="AB438" i="47"/>
  <c r="AC438" i="47" s="1"/>
  <c r="AD438" i="47"/>
  <c r="AH438" i="47" s="1" a="1"/>
  <c r="AH438" i="47" s="1"/>
  <c r="AE438" i="47"/>
  <c r="Z439" i="47"/>
  <c r="AA439" i="47" s="1"/>
  <c r="AB439" i="47"/>
  <c r="AC439" i="47" s="1"/>
  <c r="AD439" i="47"/>
  <c r="AH439" i="47" s="1" a="1"/>
  <c r="AH439" i="47" s="1"/>
  <c r="AE439" i="47"/>
  <c r="AF439" i="47" s="1"/>
  <c r="AG439" i="47" s="1"/>
  <c r="Z440" i="47"/>
  <c r="AA440" i="47" s="1"/>
  <c r="AB440" i="47"/>
  <c r="AC440" i="47" s="1"/>
  <c r="AD440" i="47"/>
  <c r="AH440" i="47" s="1" a="1"/>
  <c r="AH440" i="47" s="1"/>
  <c r="AE440" i="47"/>
  <c r="AF440" i="47" s="1"/>
  <c r="AG440" i="47" s="1"/>
  <c r="Z441" i="47"/>
  <c r="AA441" i="47" s="1"/>
  <c r="AB441" i="47"/>
  <c r="AC441" i="47" s="1"/>
  <c r="AD441" i="47"/>
  <c r="AH441" i="47" s="1" a="1"/>
  <c r="AH441" i="47" s="1"/>
  <c r="AE441" i="47"/>
  <c r="Z442" i="47"/>
  <c r="AA442" i="47" s="1"/>
  <c r="AB442" i="47"/>
  <c r="AC442" i="47" s="1"/>
  <c r="AD442" i="47"/>
  <c r="AH442" i="47" s="1" a="1"/>
  <c r="AH442" i="47" s="1"/>
  <c r="AE442" i="47"/>
  <c r="AI442" i="47" s="1"/>
  <c r="Z443" i="47"/>
  <c r="AA443" i="47" s="1"/>
  <c r="AB443" i="47"/>
  <c r="AC443" i="47" s="1"/>
  <c r="AD443" i="47"/>
  <c r="AH443" i="47" s="1" a="1"/>
  <c r="AH443" i="47" s="1"/>
  <c r="AE443" i="47"/>
  <c r="AJ443" i="47" s="1"/>
  <c r="Z444" i="47"/>
  <c r="AA444" i="47" s="1"/>
  <c r="AB444" i="47"/>
  <c r="AC444" i="47" s="1"/>
  <c r="AD444" i="47"/>
  <c r="AH444" i="47" s="1" a="1"/>
  <c r="AH444" i="47" s="1"/>
  <c r="AE444" i="47"/>
  <c r="Z445" i="47"/>
  <c r="AA445" i="47" s="1"/>
  <c r="AB445" i="47"/>
  <c r="AC445" i="47" s="1"/>
  <c r="AD445" i="47"/>
  <c r="AH445" i="47" s="1" a="1"/>
  <c r="AH445" i="47" s="1"/>
  <c r="AE445" i="47"/>
  <c r="Z446" i="47"/>
  <c r="AA446" i="47" s="1"/>
  <c r="AB446" i="47"/>
  <c r="AC446" i="47" s="1"/>
  <c r="AD446" i="47"/>
  <c r="AH446" i="47" s="1" a="1"/>
  <c r="AH446" i="47" s="1"/>
  <c r="AE446" i="47"/>
  <c r="AI446" i="47" s="1"/>
  <c r="Z447" i="47"/>
  <c r="AA447" i="47" s="1"/>
  <c r="AB447" i="47"/>
  <c r="AC447" i="47" s="1"/>
  <c r="AD447" i="47"/>
  <c r="AH447" i="47" s="1" a="1"/>
  <c r="AH447" i="47" s="1"/>
  <c r="AE447" i="47"/>
  <c r="Z448" i="47"/>
  <c r="AA448" i="47" s="1"/>
  <c r="AB448" i="47"/>
  <c r="AC448" i="47" s="1"/>
  <c r="AD448" i="47"/>
  <c r="AH448" i="47" s="1" a="1"/>
  <c r="AH448" i="47" s="1"/>
  <c r="AE448" i="47"/>
  <c r="Z449" i="47"/>
  <c r="AA449" i="47" s="1"/>
  <c r="AB449" i="47"/>
  <c r="AC449" i="47" s="1"/>
  <c r="AD449" i="47"/>
  <c r="AH449" i="47" s="1" a="1"/>
  <c r="AH449" i="47" s="1"/>
  <c r="AE449" i="47"/>
  <c r="AI449" i="47" s="1"/>
  <c r="Z450" i="47"/>
  <c r="AA450" i="47" s="1"/>
  <c r="AB450" i="47"/>
  <c r="AC450" i="47" s="1"/>
  <c r="AD450" i="47"/>
  <c r="AH450" i="47" s="1" a="1"/>
  <c r="AH450" i="47" s="1"/>
  <c r="AE450" i="47"/>
  <c r="Z451" i="47"/>
  <c r="AA451" i="47" s="1"/>
  <c r="AB451" i="47"/>
  <c r="AC451" i="47" s="1"/>
  <c r="AD451" i="47"/>
  <c r="AH451" i="47" s="1" a="1"/>
  <c r="AH451" i="47" s="1"/>
  <c r="AE451" i="47"/>
  <c r="AJ451" i="47" s="1"/>
  <c r="Z452" i="47"/>
  <c r="AA452" i="47" s="1"/>
  <c r="AB452" i="47"/>
  <c r="AC452" i="47" s="1"/>
  <c r="AD452" i="47"/>
  <c r="AH452" i="47" s="1" a="1"/>
  <c r="AH452" i="47" s="1"/>
  <c r="AE452" i="47"/>
  <c r="Z453" i="47"/>
  <c r="AA453" i="47" s="1"/>
  <c r="AB453" i="47"/>
  <c r="AC453" i="47" s="1"/>
  <c r="AD453" i="47"/>
  <c r="AH453" i="47" s="1" a="1"/>
  <c r="AH453" i="47" s="1"/>
  <c r="AE453" i="47"/>
  <c r="AI453" i="47" s="1"/>
  <c r="Z454" i="47"/>
  <c r="AA454" i="47" s="1"/>
  <c r="AB454" i="47"/>
  <c r="AC454" i="47" s="1"/>
  <c r="AD454" i="47"/>
  <c r="AH454" i="47" s="1" a="1"/>
  <c r="AH454" i="47" s="1"/>
  <c r="AE454" i="47"/>
  <c r="AI454" i="47" s="1"/>
  <c r="Z455" i="47"/>
  <c r="AA455" i="47" s="1"/>
  <c r="AB455" i="47"/>
  <c r="AC455" i="47" s="1"/>
  <c r="AD455" i="47"/>
  <c r="AH455" i="47" s="1" a="1"/>
  <c r="AH455" i="47" s="1"/>
  <c r="AE455" i="47"/>
  <c r="Z456" i="47"/>
  <c r="AA456" i="47" s="1"/>
  <c r="AB456" i="47"/>
  <c r="AC456" i="47" s="1"/>
  <c r="AD456" i="47"/>
  <c r="AH456" i="47" s="1" a="1"/>
  <c r="AH456" i="47" s="1"/>
  <c r="AE456" i="47"/>
  <c r="AJ456" i="47" s="1"/>
  <c r="Z457" i="47"/>
  <c r="AA457" i="47" s="1"/>
  <c r="AB457" i="47"/>
  <c r="AC457" i="47" s="1"/>
  <c r="AD457" i="47"/>
  <c r="AH457" i="47" s="1" a="1"/>
  <c r="AH457" i="47" s="1"/>
  <c r="AE457" i="47"/>
  <c r="AI457" i="47" s="1"/>
  <c r="Z458" i="47"/>
  <c r="AA458" i="47" s="1"/>
  <c r="AB458" i="47"/>
  <c r="AC458" i="47" s="1"/>
  <c r="AD458" i="47"/>
  <c r="AH458" i="47" s="1" a="1"/>
  <c r="AH458" i="47" s="1"/>
  <c r="AE458" i="47"/>
  <c r="AI458" i="47" s="1"/>
  <c r="Z459" i="47"/>
  <c r="AA459" i="47" s="1"/>
  <c r="AB459" i="47"/>
  <c r="AC459" i="47" s="1"/>
  <c r="AD459" i="47"/>
  <c r="AH459" i="47" s="1" a="1"/>
  <c r="AH459" i="47" s="1"/>
  <c r="AE459" i="47"/>
  <c r="AJ459" i="47" s="1"/>
  <c r="Z460" i="47"/>
  <c r="AA460" i="47" s="1"/>
  <c r="AB460" i="47"/>
  <c r="AC460" i="47" s="1"/>
  <c r="AD460" i="47"/>
  <c r="AH460" i="47" s="1" a="1"/>
  <c r="AH460" i="47" s="1"/>
  <c r="AE460" i="47"/>
  <c r="AF460" i="47" s="1"/>
  <c r="AG460" i="47" s="1"/>
  <c r="Z461" i="47"/>
  <c r="AA461" i="47" s="1"/>
  <c r="AB461" i="47"/>
  <c r="AC461" i="47" s="1"/>
  <c r="AD461" i="47"/>
  <c r="AH461" i="47" s="1" a="1"/>
  <c r="AH461" i="47" s="1"/>
  <c r="AE461" i="47"/>
  <c r="AF461" i="47" s="1"/>
  <c r="AG461" i="47" s="1"/>
  <c r="Z462" i="47"/>
  <c r="AA462" i="47" s="1"/>
  <c r="AB462" i="47"/>
  <c r="AC462" i="47" s="1"/>
  <c r="AD462" i="47"/>
  <c r="AH462" i="47" s="1" a="1"/>
  <c r="AH462" i="47" s="1"/>
  <c r="AE462" i="47"/>
  <c r="AI462" i="47" s="1"/>
  <c r="Z463" i="47"/>
  <c r="AA463" i="47" s="1"/>
  <c r="AB463" i="47"/>
  <c r="AC463" i="47" s="1"/>
  <c r="AD463" i="47"/>
  <c r="AH463" i="47" s="1" a="1"/>
  <c r="AH463" i="47" s="1"/>
  <c r="AE463" i="47"/>
  <c r="AI463" i="47" s="1"/>
  <c r="Z464" i="47"/>
  <c r="AA464" i="47" s="1"/>
  <c r="AB464" i="47"/>
  <c r="AC464" i="47" s="1"/>
  <c r="AD464" i="47"/>
  <c r="AH464" i="47" s="1" a="1"/>
  <c r="AH464" i="47" s="1"/>
  <c r="AE464" i="47"/>
  <c r="Z465" i="47"/>
  <c r="AA465" i="47" s="1"/>
  <c r="AB465" i="47"/>
  <c r="AC465" i="47" s="1"/>
  <c r="AD465" i="47"/>
  <c r="AH465" i="47" s="1" a="1"/>
  <c r="AH465" i="47" s="1"/>
  <c r="AE465" i="47"/>
  <c r="Z466" i="47"/>
  <c r="AA466" i="47" s="1"/>
  <c r="AB466" i="47"/>
  <c r="AC466" i="47" s="1"/>
  <c r="AD466" i="47"/>
  <c r="AH466" i="47" s="1" a="1"/>
  <c r="AH466" i="47" s="1"/>
  <c r="AE466" i="47"/>
  <c r="AI466" i="47" s="1"/>
  <c r="Z467" i="47"/>
  <c r="AA467" i="47" s="1"/>
  <c r="AB467" i="47"/>
  <c r="AC467" i="47" s="1"/>
  <c r="AD467" i="47"/>
  <c r="AH467" i="47" s="1" a="1"/>
  <c r="AH467" i="47" s="1"/>
  <c r="AE467" i="47"/>
  <c r="AI467" i="47" s="1"/>
  <c r="Z468" i="47"/>
  <c r="AA468" i="47" s="1"/>
  <c r="AB468" i="47"/>
  <c r="AC468" i="47" s="1"/>
  <c r="AD468" i="47"/>
  <c r="AH468" i="47" s="1" a="1"/>
  <c r="AH468" i="47" s="1"/>
  <c r="AE468" i="47"/>
  <c r="Z469" i="47"/>
  <c r="AA469" i="47" s="1"/>
  <c r="AB469" i="47"/>
  <c r="AC469" i="47" s="1"/>
  <c r="AD469" i="47"/>
  <c r="AH469" i="47" s="1" a="1"/>
  <c r="AH469" i="47" s="1"/>
  <c r="AE469" i="47"/>
  <c r="AJ469" i="47" s="1"/>
  <c r="Z470" i="47"/>
  <c r="AA470" i="47" s="1"/>
  <c r="AB470" i="47"/>
  <c r="AC470" i="47" s="1"/>
  <c r="AD470" i="47"/>
  <c r="AH470" i="47" s="1" a="1"/>
  <c r="AH470" i="47" s="1"/>
  <c r="AE470" i="47"/>
  <c r="AI470" i="47" s="1"/>
  <c r="Z471" i="47"/>
  <c r="AA471" i="47" s="1"/>
  <c r="AB471" i="47"/>
  <c r="AC471" i="47" s="1"/>
  <c r="AD471" i="47"/>
  <c r="AH471" i="47" s="1" a="1"/>
  <c r="AH471" i="47" s="1"/>
  <c r="AE471" i="47"/>
  <c r="AF471" i="47" s="1"/>
  <c r="AG471" i="47" s="1"/>
  <c r="Z472" i="47"/>
  <c r="AA472" i="47" s="1"/>
  <c r="AB472" i="47"/>
  <c r="AC472" i="47" s="1"/>
  <c r="AD472" i="47"/>
  <c r="AH472" i="47" s="1" a="1"/>
  <c r="AH472" i="47" s="1"/>
  <c r="AE472" i="47"/>
  <c r="AI472" i="47" s="1"/>
  <c r="Z473" i="47"/>
  <c r="AA473" i="47" s="1"/>
  <c r="AB473" i="47"/>
  <c r="AC473" i="47" s="1"/>
  <c r="AD473" i="47"/>
  <c r="AH473" i="47" s="1" a="1"/>
  <c r="AH473" i="47" s="1"/>
  <c r="AE473" i="47"/>
  <c r="AJ473" i="47" s="1"/>
  <c r="Z474" i="47"/>
  <c r="AA474" i="47" s="1"/>
  <c r="AB474" i="47"/>
  <c r="AC474" i="47" s="1"/>
  <c r="AD474" i="47"/>
  <c r="AH474" i="47" s="1" a="1"/>
  <c r="AH474" i="47" s="1"/>
  <c r="AE474" i="47"/>
  <c r="AJ474" i="47" s="1"/>
  <c r="Z475" i="47"/>
  <c r="AA475" i="47" s="1"/>
  <c r="AB475" i="47"/>
  <c r="AC475" i="47" s="1"/>
  <c r="AD475" i="47"/>
  <c r="AH475" i="47" s="1" a="1"/>
  <c r="AH475" i="47" s="1"/>
  <c r="AE475" i="47"/>
  <c r="AJ475" i="47" s="1"/>
  <c r="Z476" i="47"/>
  <c r="AA476" i="47" s="1"/>
  <c r="AB476" i="47"/>
  <c r="AC476" i="47" s="1"/>
  <c r="AD476" i="47"/>
  <c r="AH476" i="47" s="1" a="1"/>
  <c r="AH476" i="47" s="1"/>
  <c r="AE476" i="47"/>
  <c r="AF476" i="47" s="1"/>
  <c r="AG476" i="47" s="1"/>
  <c r="Z477" i="47"/>
  <c r="AA477" i="47" s="1"/>
  <c r="AB477" i="47"/>
  <c r="AC477" i="47" s="1"/>
  <c r="AD477" i="47"/>
  <c r="AH477" i="47" s="1" a="1"/>
  <c r="AH477" i="47" s="1"/>
  <c r="AE477" i="47"/>
  <c r="AJ477" i="47" s="1"/>
  <c r="Z478" i="47"/>
  <c r="AA478" i="47" s="1"/>
  <c r="AB478" i="47"/>
  <c r="AC478" i="47" s="1"/>
  <c r="AD478" i="47"/>
  <c r="AH478" i="47" s="1" a="1"/>
  <c r="AH478" i="47" s="1"/>
  <c r="AE478" i="47"/>
  <c r="AJ478" i="47" s="1"/>
  <c r="Z479" i="47"/>
  <c r="AA479" i="47" s="1"/>
  <c r="AB479" i="47"/>
  <c r="AC479" i="47" s="1"/>
  <c r="AD479" i="47"/>
  <c r="AH479" i="47" s="1" a="1"/>
  <c r="AH479" i="47" s="1"/>
  <c r="AE479" i="47"/>
  <c r="AI479" i="47" s="1"/>
  <c r="Z480" i="47"/>
  <c r="AA480" i="47" s="1"/>
  <c r="AB480" i="47"/>
  <c r="AC480" i="47" s="1"/>
  <c r="AD480" i="47"/>
  <c r="AH480" i="47" s="1" a="1"/>
  <c r="AH480" i="47" s="1"/>
  <c r="AE480" i="47"/>
  <c r="AJ480" i="47" s="1"/>
  <c r="Z481" i="47"/>
  <c r="AA481" i="47" s="1"/>
  <c r="AB481" i="47"/>
  <c r="AC481" i="47" s="1"/>
  <c r="AD481" i="47"/>
  <c r="AH481" i="47" s="1" a="1"/>
  <c r="AH481" i="47" s="1"/>
  <c r="AE481" i="47"/>
  <c r="Z482" i="47"/>
  <c r="AA482" i="47" s="1"/>
  <c r="AB482" i="47"/>
  <c r="AC482" i="47" s="1"/>
  <c r="AD482" i="47"/>
  <c r="AH482" i="47" s="1" a="1"/>
  <c r="AH482" i="47" s="1"/>
  <c r="AE482" i="47"/>
  <c r="AJ482" i="47" s="1"/>
  <c r="Z483" i="47"/>
  <c r="AA483" i="47" s="1"/>
  <c r="AB483" i="47"/>
  <c r="AC483" i="47" s="1"/>
  <c r="AD483" i="47"/>
  <c r="AH483" i="47" s="1" a="1"/>
  <c r="AH483" i="47" s="1"/>
  <c r="AE483" i="47"/>
  <c r="AI483" i="47" s="1"/>
  <c r="Z484" i="47"/>
  <c r="AA484" i="47" s="1"/>
  <c r="AB484" i="47"/>
  <c r="AC484" i="47" s="1"/>
  <c r="AD484" i="47"/>
  <c r="AH484" i="47" s="1" a="1"/>
  <c r="AH484" i="47" s="1"/>
  <c r="AE484" i="47"/>
  <c r="Z485" i="47"/>
  <c r="AA485" i="47" s="1"/>
  <c r="AB485" i="47"/>
  <c r="AC485" i="47" s="1"/>
  <c r="AD485" i="47"/>
  <c r="AH485" i="47" s="1" a="1"/>
  <c r="AH485" i="47" s="1"/>
  <c r="AE485" i="47"/>
  <c r="AJ485" i="47" s="1"/>
  <c r="Z486" i="47"/>
  <c r="AA486" i="47" s="1"/>
  <c r="AB486" i="47"/>
  <c r="AC486" i="47" s="1"/>
  <c r="AD486" i="47"/>
  <c r="AH486" i="47" s="1" a="1"/>
  <c r="AH486" i="47" s="1"/>
  <c r="AE486" i="47"/>
  <c r="AJ486" i="47" s="1"/>
  <c r="Z487" i="47"/>
  <c r="AA487" i="47" s="1"/>
  <c r="AB487" i="47"/>
  <c r="AC487" i="47" s="1"/>
  <c r="AD487" i="47"/>
  <c r="AH487" i="47" s="1" a="1"/>
  <c r="AH487" i="47" s="1"/>
  <c r="AE487" i="47"/>
  <c r="AJ487" i="47" s="1"/>
  <c r="Z488" i="47"/>
  <c r="AA488" i="47" s="1"/>
  <c r="AB488" i="47"/>
  <c r="AC488" i="47" s="1"/>
  <c r="AD488" i="47"/>
  <c r="AH488" i="47" s="1" a="1"/>
  <c r="AH488" i="47" s="1"/>
  <c r="AE488" i="47"/>
  <c r="AI488" i="47" s="1"/>
  <c r="Z489" i="47"/>
  <c r="AA489" i="47" s="1"/>
  <c r="AB489" i="47"/>
  <c r="AC489" i="47" s="1"/>
  <c r="AD489" i="47"/>
  <c r="AH489" i="47" s="1" a="1"/>
  <c r="AH489" i="47" s="1"/>
  <c r="AE489" i="47"/>
  <c r="Z490" i="47"/>
  <c r="AA490" i="47" s="1"/>
  <c r="AB490" i="47"/>
  <c r="AC490" i="47" s="1"/>
  <c r="AD490" i="47"/>
  <c r="AH490" i="47" s="1" a="1"/>
  <c r="AH490" i="47" s="1"/>
  <c r="AE490" i="47"/>
  <c r="AI490" i="47" s="1"/>
  <c r="Z491" i="47"/>
  <c r="AA491" i="47" s="1"/>
  <c r="AB491" i="47"/>
  <c r="AC491" i="47" s="1"/>
  <c r="AD491" i="47"/>
  <c r="AH491" i="47" s="1" a="1"/>
  <c r="AH491" i="47" s="1"/>
  <c r="AE491" i="47"/>
  <c r="Z492" i="47"/>
  <c r="AA492" i="47" s="1"/>
  <c r="AB492" i="47"/>
  <c r="AC492" i="47" s="1"/>
  <c r="AD492" i="47"/>
  <c r="AH492" i="47" s="1" a="1"/>
  <c r="AH492" i="47" s="1"/>
  <c r="AE492" i="47"/>
  <c r="AF492" i="47" s="1"/>
  <c r="AG492" i="47" s="1"/>
  <c r="Z493" i="47"/>
  <c r="AA493" i="47" s="1"/>
  <c r="AB493" i="47"/>
  <c r="AC493" i="47" s="1"/>
  <c r="AD493" i="47"/>
  <c r="AH493" i="47" s="1" a="1"/>
  <c r="AH493" i="47" s="1"/>
  <c r="AE493" i="47"/>
  <c r="AJ493" i="47" s="1"/>
  <c r="Z494" i="47"/>
  <c r="AA494" i="47" s="1"/>
  <c r="AB494" i="47"/>
  <c r="AC494" i="47" s="1"/>
  <c r="AD494" i="47"/>
  <c r="AH494" i="47" s="1" a="1"/>
  <c r="AH494" i="47" s="1"/>
  <c r="AE494" i="47"/>
  <c r="AJ494" i="47" s="1"/>
  <c r="Z495" i="47"/>
  <c r="AA495" i="47" s="1"/>
  <c r="AB495" i="47"/>
  <c r="AC495" i="47" s="1"/>
  <c r="AD495" i="47"/>
  <c r="AH495" i="47" s="1" a="1"/>
  <c r="AH495" i="47" s="1"/>
  <c r="AE495" i="47"/>
  <c r="AI495" i="47" s="1"/>
  <c r="Z496" i="47"/>
  <c r="AA496" i="47" s="1"/>
  <c r="AB496" i="47"/>
  <c r="AC496" i="47" s="1"/>
  <c r="AD496" i="47"/>
  <c r="AH496" i="47" s="1" a="1"/>
  <c r="AH496" i="47" s="1"/>
  <c r="AE496" i="47"/>
  <c r="Z497" i="47"/>
  <c r="AA497" i="47" s="1"/>
  <c r="AB497" i="47"/>
  <c r="AC497" i="47" s="1"/>
  <c r="AD497" i="47"/>
  <c r="AH497" i="47" s="1" a="1"/>
  <c r="AH497" i="47" s="1"/>
  <c r="AE497" i="47"/>
  <c r="AF497" i="47" s="1"/>
  <c r="AG497" i="47" s="1"/>
  <c r="Z498" i="47"/>
  <c r="AA498" i="47" s="1"/>
  <c r="AB498" i="47"/>
  <c r="AC498" i="47" s="1"/>
  <c r="AD498" i="47"/>
  <c r="AH498" i="47" s="1" a="1"/>
  <c r="AH498" i="47" s="1"/>
  <c r="AE498" i="47"/>
  <c r="AI498" i="47" s="1"/>
  <c r="Z499" i="47"/>
  <c r="AA499" i="47" s="1"/>
  <c r="AB499" i="47"/>
  <c r="AC499" i="47" s="1"/>
  <c r="AD499" i="47"/>
  <c r="AH499" i="47" s="1" a="1"/>
  <c r="AH499" i="47" s="1"/>
  <c r="AE499" i="47"/>
  <c r="AI499" i="47" s="1"/>
  <c r="Z500" i="47"/>
  <c r="AA500" i="47" s="1"/>
  <c r="AB500" i="47"/>
  <c r="AC500" i="47" s="1"/>
  <c r="AD500" i="47"/>
  <c r="AH500" i="47" s="1" a="1"/>
  <c r="AH500" i="47" s="1"/>
  <c r="AE500" i="47"/>
  <c r="AE2" i="47"/>
  <c r="AD2" i="47"/>
  <c r="AH2" i="47" s="1" a="1"/>
  <c r="AH2" i="47" s="1"/>
  <c r="AB2" i="47"/>
  <c r="AC2" i="47" s="1"/>
  <c r="Z2" i="47"/>
  <c r="AA2" i="47" s="1"/>
  <c r="Z3" i="46"/>
  <c r="AA3" i="46" s="1"/>
  <c r="AB3" i="46"/>
  <c r="AC3" i="46" s="1"/>
  <c r="AD3" i="46"/>
  <c r="AH3" i="46" s="1" a="1"/>
  <c r="AH3" i="46" s="1"/>
  <c r="AE3" i="46"/>
  <c r="AJ3" i="46" s="1"/>
  <c r="Z4" i="46"/>
  <c r="AA4" i="46" s="1"/>
  <c r="AB4" i="46"/>
  <c r="AC4" i="46" s="1"/>
  <c r="AD4" i="46"/>
  <c r="AH4" i="46" s="1" a="1"/>
  <c r="AH4" i="46" s="1"/>
  <c r="AE4" i="46"/>
  <c r="AF4" i="46" s="1"/>
  <c r="AG4" i="46" s="1"/>
  <c r="Z5" i="46"/>
  <c r="AA5" i="46" s="1"/>
  <c r="AB5" i="46"/>
  <c r="AC5" i="46" s="1"/>
  <c r="AD5" i="46"/>
  <c r="AH5" i="46" s="1" a="1"/>
  <c r="AH5" i="46" s="1"/>
  <c r="AE5" i="46"/>
  <c r="AJ5" i="46" s="1"/>
  <c r="Z6" i="46"/>
  <c r="AA6" i="46" s="1"/>
  <c r="AB6" i="46"/>
  <c r="AC6" i="46" s="1"/>
  <c r="AD6" i="46"/>
  <c r="AH6" i="46" s="1" a="1"/>
  <c r="AH6" i="46" s="1"/>
  <c r="AE6" i="46"/>
  <c r="AI6" i="46" s="1"/>
  <c r="Z7" i="46"/>
  <c r="AA7" i="46" s="1"/>
  <c r="AB7" i="46"/>
  <c r="AC7" i="46" s="1"/>
  <c r="AD7" i="46"/>
  <c r="AH7" i="46" s="1" a="1"/>
  <c r="AH7" i="46" s="1"/>
  <c r="AE7" i="46"/>
  <c r="AI7" i="46" s="1"/>
  <c r="Z8" i="46"/>
  <c r="AA8" i="46" s="1"/>
  <c r="AB8" i="46"/>
  <c r="AC8" i="46" s="1"/>
  <c r="AD8" i="46"/>
  <c r="AH8" i="46" s="1" a="1"/>
  <c r="AH8" i="46" s="1"/>
  <c r="AE8" i="46"/>
  <c r="AJ8" i="46" s="1"/>
  <c r="Z9" i="46"/>
  <c r="AA9" i="46" s="1"/>
  <c r="AB9" i="46"/>
  <c r="AC9" i="46" s="1"/>
  <c r="AD9" i="46"/>
  <c r="AH9" i="46" s="1" a="1"/>
  <c r="AH9" i="46" s="1"/>
  <c r="AE9" i="46"/>
  <c r="Z10" i="46"/>
  <c r="AA10" i="46" s="1"/>
  <c r="AB10" i="46"/>
  <c r="AC10" i="46" s="1"/>
  <c r="AD10" i="46"/>
  <c r="AH10" i="46" s="1" a="1"/>
  <c r="AH10" i="46" s="1"/>
  <c r="AE10" i="46"/>
  <c r="AF10" i="46" s="1"/>
  <c r="AG10" i="46" s="1"/>
  <c r="Z11" i="46"/>
  <c r="AA11" i="46" s="1"/>
  <c r="AB11" i="46"/>
  <c r="AC11" i="46" s="1"/>
  <c r="AD11" i="46"/>
  <c r="AH11" i="46" s="1" a="1"/>
  <c r="AH11" i="46" s="1"/>
  <c r="AE11" i="46"/>
  <c r="AJ11" i="46" s="1"/>
  <c r="Z12" i="46"/>
  <c r="AA12" i="46" s="1"/>
  <c r="AB12" i="46"/>
  <c r="AC12" i="46" s="1"/>
  <c r="AD12" i="46"/>
  <c r="AH12" i="46" s="1" a="1"/>
  <c r="AH12" i="46" s="1"/>
  <c r="AE12" i="46"/>
  <c r="Z13" i="46"/>
  <c r="AA13" i="46" s="1"/>
  <c r="AB13" i="46"/>
  <c r="AC13" i="46" s="1"/>
  <c r="AD13" i="46"/>
  <c r="AH13" i="46" s="1" a="1"/>
  <c r="AH13" i="46" s="1"/>
  <c r="AE13" i="46"/>
  <c r="AI13" i="46" s="1"/>
  <c r="Z14" i="46"/>
  <c r="AA14" i="46" s="1"/>
  <c r="AB14" i="46"/>
  <c r="AC14" i="46" s="1"/>
  <c r="AD14" i="46"/>
  <c r="AH14" i="46" s="1" a="1"/>
  <c r="AH14" i="46" s="1"/>
  <c r="AE14" i="46"/>
  <c r="AF14" i="46" s="1"/>
  <c r="AG14" i="46" s="1"/>
  <c r="Z15" i="46"/>
  <c r="AA15" i="46" s="1"/>
  <c r="AB15" i="46"/>
  <c r="AC15" i="46" s="1"/>
  <c r="AD15" i="46"/>
  <c r="AH15" i="46" s="1" a="1"/>
  <c r="AH15" i="46" s="1"/>
  <c r="AE15" i="46"/>
  <c r="AJ15" i="46" s="1"/>
  <c r="Z16" i="46"/>
  <c r="AA16" i="46" s="1"/>
  <c r="AB16" i="46"/>
  <c r="AC16" i="46" s="1"/>
  <c r="AD16" i="46"/>
  <c r="AH16" i="46" s="1" a="1"/>
  <c r="AH16" i="46" s="1"/>
  <c r="AE16" i="46"/>
  <c r="AI16" i="46" s="1"/>
  <c r="Z17" i="46"/>
  <c r="AA17" i="46" s="1"/>
  <c r="AB17" i="46"/>
  <c r="AC17" i="46" s="1"/>
  <c r="AD17" i="46"/>
  <c r="AH17" i="46" s="1" a="1"/>
  <c r="AH17" i="46" s="1"/>
  <c r="AE17" i="46"/>
  <c r="Z18" i="46"/>
  <c r="AA18" i="46" s="1"/>
  <c r="AB18" i="46"/>
  <c r="AC18" i="46" s="1"/>
  <c r="AD18" i="46"/>
  <c r="AH18" i="46" s="1" a="1"/>
  <c r="AH18" i="46" s="1"/>
  <c r="AE18" i="46"/>
  <c r="Z19" i="46"/>
  <c r="AA19" i="46" s="1"/>
  <c r="AB19" i="46"/>
  <c r="AC19" i="46" s="1"/>
  <c r="AD19" i="46"/>
  <c r="AH19" i="46" s="1" a="1"/>
  <c r="AH19" i="46" s="1"/>
  <c r="AE19" i="46"/>
  <c r="AJ19" i="46" s="1"/>
  <c r="Z20" i="46"/>
  <c r="AA20" i="46" s="1"/>
  <c r="AB20" i="46"/>
  <c r="AC20" i="46" s="1"/>
  <c r="AD20" i="46"/>
  <c r="AH20" i="46" s="1" a="1"/>
  <c r="AH20" i="46" s="1"/>
  <c r="AE20" i="46"/>
  <c r="Z21" i="46"/>
  <c r="AA21" i="46" s="1"/>
  <c r="AB21" i="46"/>
  <c r="AC21" i="46" s="1"/>
  <c r="AD21" i="46"/>
  <c r="AH21" i="46" s="1" a="1"/>
  <c r="AH21" i="46" s="1"/>
  <c r="AE21" i="46"/>
  <c r="AJ21" i="46" s="1"/>
  <c r="Z22" i="46"/>
  <c r="AA22" i="46" s="1"/>
  <c r="AB22" i="46"/>
  <c r="AC22" i="46" s="1"/>
  <c r="AD22" i="46"/>
  <c r="AH22" i="46" s="1" a="1"/>
  <c r="AH22" i="46" s="1"/>
  <c r="AE22" i="46"/>
  <c r="AI22" i="46" s="1"/>
  <c r="Z23" i="46"/>
  <c r="AA23" i="46" s="1"/>
  <c r="AB23" i="46"/>
  <c r="AC23" i="46" s="1"/>
  <c r="AD23" i="46"/>
  <c r="AH23" i="46" s="1" a="1"/>
  <c r="AH23" i="46" s="1"/>
  <c r="AE23" i="46"/>
  <c r="AJ23" i="46" s="1"/>
  <c r="Z24" i="46"/>
  <c r="AA24" i="46" s="1"/>
  <c r="AB24" i="46"/>
  <c r="AC24" i="46" s="1"/>
  <c r="AD24" i="46"/>
  <c r="AH24" i="46" s="1" a="1"/>
  <c r="AH24" i="46" s="1"/>
  <c r="AE24" i="46"/>
  <c r="AI24" i="46" s="1"/>
  <c r="Z25" i="46"/>
  <c r="AA25" i="46" s="1"/>
  <c r="AB25" i="46"/>
  <c r="AC25" i="46" s="1"/>
  <c r="AD25" i="46"/>
  <c r="AH25" i="46" s="1" a="1"/>
  <c r="AH25" i="46" s="1"/>
  <c r="AE25" i="46"/>
  <c r="AJ25" i="46" s="1"/>
  <c r="Z26" i="46"/>
  <c r="AA26" i="46" s="1"/>
  <c r="AB26" i="46"/>
  <c r="AC26" i="46" s="1"/>
  <c r="AD26" i="46"/>
  <c r="AH26" i="46" s="1" a="1"/>
  <c r="AH26" i="46" s="1"/>
  <c r="AE26" i="46"/>
  <c r="AI26" i="46" s="1"/>
  <c r="Z27" i="46"/>
  <c r="AA27" i="46" s="1"/>
  <c r="AB27" i="46"/>
  <c r="AC27" i="46" s="1"/>
  <c r="AD27" i="46"/>
  <c r="AH27" i="46" s="1" a="1"/>
  <c r="AH27" i="46" s="1"/>
  <c r="AE27" i="46"/>
  <c r="AJ27" i="46" s="1"/>
  <c r="Z28" i="46"/>
  <c r="AA28" i="46" s="1"/>
  <c r="AB28" i="46"/>
  <c r="AC28" i="46" s="1"/>
  <c r="AD28" i="46"/>
  <c r="AH28" i="46" s="1" a="1"/>
  <c r="AH28" i="46" s="1"/>
  <c r="AE28" i="46"/>
  <c r="Z29" i="46"/>
  <c r="AA29" i="46" s="1"/>
  <c r="AB29" i="46"/>
  <c r="AC29" i="46" s="1"/>
  <c r="AD29" i="46"/>
  <c r="AH29" i="46" s="1" a="1"/>
  <c r="AH29" i="46" s="1"/>
  <c r="AE29" i="46"/>
  <c r="AJ29" i="46" s="1"/>
  <c r="Z30" i="46"/>
  <c r="AA30" i="46" s="1"/>
  <c r="AB30" i="46"/>
  <c r="AC30" i="46" s="1"/>
  <c r="AD30" i="46"/>
  <c r="AH30" i="46" s="1" a="1"/>
  <c r="AH30" i="46" s="1"/>
  <c r="AE30" i="46"/>
  <c r="AF30" i="46" s="1"/>
  <c r="AG30" i="46" s="1"/>
  <c r="Z31" i="46"/>
  <c r="AA31" i="46" s="1"/>
  <c r="AB31" i="46"/>
  <c r="AC31" i="46" s="1"/>
  <c r="AD31" i="46"/>
  <c r="AH31" i="46" s="1" a="1"/>
  <c r="AH31" i="46" s="1"/>
  <c r="AE31" i="46"/>
  <c r="AJ31" i="46" s="1"/>
  <c r="Z32" i="46"/>
  <c r="AA32" i="46" s="1"/>
  <c r="AB32" i="46"/>
  <c r="AC32" i="46" s="1"/>
  <c r="AD32" i="46"/>
  <c r="AH32" i="46" s="1" a="1"/>
  <c r="AH32" i="46" s="1"/>
  <c r="AE32" i="46"/>
  <c r="AI32" i="46" s="1"/>
  <c r="Z33" i="46"/>
  <c r="AA33" i="46" s="1"/>
  <c r="AB33" i="46"/>
  <c r="AC33" i="46" s="1"/>
  <c r="AD33" i="46"/>
  <c r="AH33" i="46" s="1" a="1"/>
  <c r="AH33" i="46" s="1"/>
  <c r="AE33" i="46"/>
  <c r="Z34" i="46"/>
  <c r="AA34" i="46" s="1"/>
  <c r="AB34" i="46"/>
  <c r="AC34" i="46" s="1"/>
  <c r="AD34" i="46"/>
  <c r="AH34" i="46" s="1" a="1"/>
  <c r="AH34" i="46" s="1"/>
  <c r="AE34" i="46"/>
  <c r="AF34" i="46" s="1"/>
  <c r="AG34" i="46" s="1"/>
  <c r="Z35" i="46"/>
  <c r="AA35" i="46" s="1"/>
  <c r="AB35" i="46"/>
  <c r="AC35" i="46" s="1"/>
  <c r="AD35" i="46"/>
  <c r="AH35" i="46" s="1" a="1"/>
  <c r="AH35" i="46" s="1"/>
  <c r="AE35" i="46"/>
  <c r="AJ35" i="46" s="1"/>
  <c r="Z36" i="46"/>
  <c r="AA36" i="46" s="1"/>
  <c r="AB36" i="46"/>
  <c r="AC36" i="46" s="1"/>
  <c r="AD36" i="46"/>
  <c r="AH36" i="46" s="1" a="1"/>
  <c r="AH36" i="46" s="1"/>
  <c r="AE36" i="46"/>
  <c r="Z37" i="46"/>
  <c r="AA37" i="46" s="1"/>
  <c r="AB37" i="46"/>
  <c r="AC37" i="46" s="1"/>
  <c r="AD37" i="46"/>
  <c r="AH37" i="46" s="1" a="1"/>
  <c r="AH37" i="46" s="1"/>
  <c r="AE37" i="46"/>
  <c r="AJ37" i="46" s="1"/>
  <c r="Z38" i="46"/>
  <c r="AA38" i="46" s="1"/>
  <c r="AB38" i="46"/>
  <c r="AC38" i="46" s="1"/>
  <c r="AD38" i="46"/>
  <c r="AH38" i="46" s="1" a="1"/>
  <c r="AH38" i="46" s="1"/>
  <c r="AE38" i="46"/>
  <c r="AF38" i="46" s="1"/>
  <c r="AG38" i="46" s="1"/>
  <c r="Z39" i="46"/>
  <c r="AA39" i="46" s="1"/>
  <c r="AB39" i="46"/>
  <c r="AC39" i="46" s="1"/>
  <c r="AD39" i="46"/>
  <c r="AH39" i="46" s="1" a="1"/>
  <c r="AH39" i="46" s="1"/>
  <c r="AE39" i="46"/>
  <c r="AJ39" i="46" s="1"/>
  <c r="Z40" i="46"/>
  <c r="AA40" i="46" s="1"/>
  <c r="AB40" i="46"/>
  <c r="AC40" i="46" s="1"/>
  <c r="AD40" i="46"/>
  <c r="AH40" i="46" s="1" a="1"/>
  <c r="AH40" i="46" s="1"/>
  <c r="AE40" i="46"/>
  <c r="AI40" i="46" s="1"/>
  <c r="Z41" i="46"/>
  <c r="AA41" i="46" s="1"/>
  <c r="AB41" i="46"/>
  <c r="AC41" i="46" s="1"/>
  <c r="AD41" i="46"/>
  <c r="AH41" i="46" s="1" a="1"/>
  <c r="AH41" i="46" s="1"/>
  <c r="AE41" i="46"/>
  <c r="AJ41" i="46" s="1"/>
  <c r="Z42" i="46"/>
  <c r="AA42" i="46" s="1"/>
  <c r="AB42" i="46"/>
  <c r="AC42" i="46" s="1"/>
  <c r="AD42" i="46"/>
  <c r="AH42" i="46" s="1" a="1"/>
  <c r="AH42" i="46" s="1"/>
  <c r="AE42" i="46"/>
  <c r="AJ42" i="46" s="1"/>
  <c r="Z43" i="46"/>
  <c r="AA43" i="46" s="1"/>
  <c r="AB43" i="46"/>
  <c r="AC43" i="46" s="1"/>
  <c r="AD43" i="46"/>
  <c r="AH43" i="46" s="1" a="1"/>
  <c r="AH43" i="46" s="1"/>
  <c r="AE43" i="46"/>
  <c r="AJ43" i="46" s="1"/>
  <c r="Z44" i="46"/>
  <c r="AA44" i="46" s="1"/>
  <c r="AB44" i="46"/>
  <c r="AC44" i="46" s="1"/>
  <c r="AD44" i="46"/>
  <c r="AH44" i="46" s="1" a="1"/>
  <c r="AH44" i="46" s="1"/>
  <c r="AE44" i="46"/>
  <c r="AJ44" i="46" s="1"/>
  <c r="Z45" i="46"/>
  <c r="AA45" i="46" s="1"/>
  <c r="AB45" i="46"/>
  <c r="AC45" i="46" s="1"/>
  <c r="AD45" i="46"/>
  <c r="AH45" i="46" s="1" a="1"/>
  <c r="AH45" i="46" s="1"/>
  <c r="AE45" i="46"/>
  <c r="AI45" i="46" s="1"/>
  <c r="Z46" i="46"/>
  <c r="AA46" i="46" s="1"/>
  <c r="AB46" i="46"/>
  <c r="AC46" i="46" s="1"/>
  <c r="AD46" i="46"/>
  <c r="AH46" i="46" s="1" a="1"/>
  <c r="AH46" i="46" s="1"/>
  <c r="AE46" i="46"/>
  <c r="AF46" i="46" s="1"/>
  <c r="AG46" i="46" s="1"/>
  <c r="Z47" i="46"/>
  <c r="AA47" i="46" s="1"/>
  <c r="AB47" i="46"/>
  <c r="AC47" i="46" s="1"/>
  <c r="AD47" i="46"/>
  <c r="AH47" i="46" s="1" a="1"/>
  <c r="AH47" i="46" s="1"/>
  <c r="AE47" i="46"/>
  <c r="AJ47" i="46" s="1"/>
  <c r="Z48" i="46"/>
  <c r="AA48" i="46" s="1"/>
  <c r="AB48" i="46"/>
  <c r="AC48" i="46" s="1"/>
  <c r="AD48" i="46"/>
  <c r="AH48" i="46" s="1" a="1"/>
  <c r="AH48" i="46" s="1"/>
  <c r="AE48" i="46"/>
  <c r="AI48" i="46" s="1"/>
  <c r="Z49" i="46"/>
  <c r="AA49" i="46" s="1"/>
  <c r="AB49" i="46"/>
  <c r="AC49" i="46" s="1"/>
  <c r="AD49" i="46"/>
  <c r="AH49" i="46" s="1" a="1"/>
  <c r="AH49" i="46" s="1"/>
  <c r="AE49" i="46"/>
  <c r="Z50" i="46"/>
  <c r="AA50" i="46" s="1"/>
  <c r="AB50" i="46"/>
  <c r="AC50" i="46" s="1"/>
  <c r="AD50" i="46"/>
  <c r="AH50" i="46" s="1" a="1"/>
  <c r="AH50" i="46" s="1"/>
  <c r="AE50" i="46"/>
  <c r="AF50" i="46" s="1"/>
  <c r="AG50" i="46" s="1"/>
  <c r="Z51" i="46"/>
  <c r="AA51" i="46" s="1"/>
  <c r="AB51" i="46"/>
  <c r="AC51" i="46" s="1"/>
  <c r="AD51" i="46"/>
  <c r="AH51" i="46" s="1" a="1"/>
  <c r="AH51" i="46" s="1"/>
  <c r="AE51" i="46"/>
  <c r="AJ51" i="46" s="1"/>
  <c r="Z52" i="46"/>
  <c r="AA52" i="46" s="1"/>
  <c r="AB52" i="46"/>
  <c r="AC52" i="46" s="1"/>
  <c r="AD52" i="46"/>
  <c r="AH52" i="46" s="1" a="1"/>
  <c r="AH52" i="46" s="1"/>
  <c r="AE52" i="46"/>
  <c r="Z53" i="46"/>
  <c r="AA53" i="46" s="1"/>
  <c r="AB53" i="46"/>
  <c r="AC53" i="46" s="1"/>
  <c r="AD53" i="46"/>
  <c r="AH53" i="46" s="1" a="1"/>
  <c r="AH53" i="46" s="1"/>
  <c r="AE53" i="46"/>
  <c r="Z54" i="46"/>
  <c r="AA54" i="46" s="1"/>
  <c r="AB54" i="46"/>
  <c r="AC54" i="46" s="1"/>
  <c r="AD54" i="46"/>
  <c r="AH54" i="46" s="1" a="1"/>
  <c r="AH54" i="46" s="1"/>
  <c r="AE54" i="46"/>
  <c r="AI54" i="46" s="1"/>
  <c r="Z55" i="46"/>
  <c r="AA55" i="46" s="1"/>
  <c r="AB55" i="46"/>
  <c r="AC55" i="46" s="1"/>
  <c r="AD55" i="46"/>
  <c r="AH55" i="46" s="1" a="1"/>
  <c r="AH55" i="46" s="1"/>
  <c r="AE55" i="46"/>
  <c r="AJ55" i="46" s="1"/>
  <c r="Z56" i="46"/>
  <c r="AA56" i="46" s="1"/>
  <c r="AB56" i="46"/>
  <c r="AC56" i="46" s="1"/>
  <c r="AD56" i="46"/>
  <c r="AH56" i="46" s="1" a="1"/>
  <c r="AH56" i="46" s="1"/>
  <c r="AE56" i="46"/>
  <c r="Z57" i="46"/>
  <c r="AA57" i="46" s="1"/>
  <c r="AB57" i="46"/>
  <c r="AC57" i="46" s="1"/>
  <c r="AD57" i="46"/>
  <c r="AH57" i="46" s="1" a="1"/>
  <c r="AH57" i="46" s="1"/>
  <c r="AE57" i="46"/>
  <c r="AJ57" i="46" s="1"/>
  <c r="Z58" i="46"/>
  <c r="AA58" i="46" s="1"/>
  <c r="AB58" i="46"/>
  <c r="AC58" i="46" s="1"/>
  <c r="AD58" i="46"/>
  <c r="AH58" i="46" s="1" a="1"/>
  <c r="AH58" i="46" s="1"/>
  <c r="AE58" i="46"/>
  <c r="AJ58" i="46" s="1"/>
  <c r="Z59" i="46"/>
  <c r="AA59" i="46" s="1"/>
  <c r="AB59" i="46"/>
  <c r="AC59" i="46" s="1"/>
  <c r="AD59" i="46"/>
  <c r="AH59" i="46" s="1" a="1"/>
  <c r="AH59" i="46" s="1"/>
  <c r="AE59" i="46"/>
  <c r="AF59" i="46" s="1"/>
  <c r="AG59" i="46" s="1"/>
  <c r="Z60" i="46"/>
  <c r="AA60" i="46" s="1"/>
  <c r="AB60" i="46"/>
  <c r="AC60" i="46" s="1"/>
  <c r="AD60" i="46"/>
  <c r="AH60" i="46" s="1" a="1"/>
  <c r="AH60" i="46" s="1"/>
  <c r="AE60" i="46"/>
  <c r="AI60" i="46" s="1"/>
  <c r="Z61" i="46"/>
  <c r="AA61" i="46" s="1"/>
  <c r="AB61" i="46"/>
  <c r="AC61" i="46" s="1"/>
  <c r="AD61" i="46"/>
  <c r="AH61" i="46" s="1" a="1"/>
  <c r="AH61" i="46" s="1"/>
  <c r="AE61" i="46"/>
  <c r="AF61" i="46" s="1"/>
  <c r="AG61" i="46" s="1"/>
  <c r="Z62" i="46"/>
  <c r="AA62" i="46" s="1"/>
  <c r="AB62" i="46"/>
  <c r="AC62" i="46" s="1"/>
  <c r="AD62" i="46"/>
  <c r="AH62" i="46" s="1" a="1"/>
  <c r="AH62" i="46" s="1"/>
  <c r="AE62" i="46"/>
  <c r="AF62" i="46" s="1"/>
  <c r="AG62" i="46" s="1"/>
  <c r="Z63" i="46"/>
  <c r="AA63" i="46" s="1"/>
  <c r="AB63" i="46"/>
  <c r="AC63" i="46" s="1"/>
  <c r="AD63" i="46"/>
  <c r="AH63" i="46" s="1" a="1"/>
  <c r="AH63" i="46" s="1"/>
  <c r="AE63" i="46"/>
  <c r="AF63" i="46" s="1"/>
  <c r="AG63" i="46" s="1"/>
  <c r="Z64" i="46"/>
  <c r="AA64" i="46" s="1"/>
  <c r="AB64" i="46"/>
  <c r="AC64" i="46" s="1"/>
  <c r="AD64" i="46"/>
  <c r="AH64" i="46" s="1" a="1"/>
  <c r="AH64" i="46" s="1"/>
  <c r="AE64" i="46"/>
  <c r="AF64" i="46" s="1"/>
  <c r="AG64" i="46" s="1"/>
  <c r="Z65" i="46"/>
  <c r="AA65" i="46" s="1"/>
  <c r="AB65" i="46"/>
  <c r="AC65" i="46" s="1"/>
  <c r="AD65" i="46"/>
  <c r="AH65" i="46" s="1" a="1"/>
  <c r="AH65" i="46" s="1"/>
  <c r="AE65" i="46"/>
  <c r="AF65" i="46" s="1"/>
  <c r="AG65" i="46" s="1"/>
  <c r="Z66" i="46"/>
  <c r="AA66" i="46" s="1"/>
  <c r="AB66" i="46"/>
  <c r="AC66" i="46" s="1"/>
  <c r="AD66" i="46"/>
  <c r="AH66" i="46" s="1" a="1"/>
  <c r="AH66" i="46" s="1"/>
  <c r="AE66" i="46"/>
  <c r="AF66" i="46" s="1"/>
  <c r="AG66" i="46" s="1"/>
  <c r="Z67" i="46"/>
  <c r="AA67" i="46" s="1"/>
  <c r="AB67" i="46"/>
  <c r="AC67" i="46" s="1"/>
  <c r="AD67" i="46"/>
  <c r="AH67" i="46" s="1" a="1"/>
  <c r="AH67" i="46" s="1"/>
  <c r="AE67" i="46"/>
  <c r="AF67" i="46" s="1"/>
  <c r="AG67" i="46" s="1"/>
  <c r="Z68" i="46"/>
  <c r="AA68" i="46" s="1"/>
  <c r="AB68" i="46"/>
  <c r="AC68" i="46" s="1"/>
  <c r="AD68" i="46"/>
  <c r="AH68" i="46" s="1" a="1"/>
  <c r="AH68" i="46" s="1"/>
  <c r="AE68" i="46"/>
  <c r="AF68" i="46" s="1"/>
  <c r="AG68" i="46" s="1"/>
  <c r="Z69" i="46"/>
  <c r="AA69" i="46" s="1"/>
  <c r="AB69" i="46"/>
  <c r="AC69" i="46" s="1"/>
  <c r="AD69" i="46"/>
  <c r="AH69" i="46" s="1" a="1"/>
  <c r="AH69" i="46" s="1"/>
  <c r="AE69" i="46"/>
  <c r="AJ69" i="46" s="1"/>
  <c r="Z70" i="46"/>
  <c r="AA70" i="46" s="1"/>
  <c r="AB70" i="46"/>
  <c r="AC70" i="46" s="1"/>
  <c r="AD70" i="46"/>
  <c r="AH70" i="46" s="1" a="1"/>
  <c r="AH70" i="46" s="1"/>
  <c r="AE70" i="46"/>
  <c r="AF70" i="46" s="1"/>
  <c r="AG70" i="46" s="1"/>
  <c r="Z71" i="46"/>
  <c r="AA71" i="46" s="1"/>
  <c r="AB71" i="46"/>
  <c r="AC71" i="46" s="1"/>
  <c r="AD71" i="46"/>
  <c r="AH71" i="46" s="1" a="1"/>
  <c r="AH71" i="46" s="1"/>
  <c r="AE71" i="46"/>
  <c r="AF71" i="46" s="1"/>
  <c r="AG71" i="46" s="1"/>
  <c r="Z72" i="46"/>
  <c r="AA72" i="46" s="1"/>
  <c r="AB72" i="46"/>
  <c r="AC72" i="46" s="1"/>
  <c r="AD72" i="46"/>
  <c r="AH72" i="46" s="1" a="1"/>
  <c r="AH72" i="46" s="1"/>
  <c r="AE72" i="46"/>
  <c r="Z73" i="46"/>
  <c r="AA73" i="46" s="1"/>
  <c r="AB73" i="46"/>
  <c r="AC73" i="46" s="1"/>
  <c r="AD73" i="46"/>
  <c r="AH73" i="46" s="1" a="1"/>
  <c r="AH73" i="46" s="1"/>
  <c r="AE73" i="46"/>
  <c r="AF73" i="46" s="1"/>
  <c r="AG73" i="46" s="1"/>
  <c r="Z74" i="46"/>
  <c r="AA74" i="46" s="1"/>
  <c r="AB74" i="46"/>
  <c r="AC74" i="46" s="1"/>
  <c r="AD74" i="46"/>
  <c r="AH74" i="46" s="1" a="1"/>
  <c r="AH74" i="46" s="1"/>
  <c r="AE74" i="46"/>
  <c r="AF74" i="46" s="1"/>
  <c r="AG74" i="46" s="1"/>
  <c r="Z75" i="46"/>
  <c r="AA75" i="46" s="1"/>
  <c r="AB75" i="46"/>
  <c r="AC75" i="46" s="1"/>
  <c r="AD75" i="46"/>
  <c r="AH75" i="46" s="1" a="1"/>
  <c r="AH75" i="46" s="1"/>
  <c r="AE75" i="46"/>
  <c r="Z76" i="46"/>
  <c r="AA76" i="46" s="1"/>
  <c r="AB76" i="46"/>
  <c r="AC76" i="46" s="1"/>
  <c r="AD76" i="46"/>
  <c r="AH76" i="46" s="1" a="1"/>
  <c r="AH76" i="46" s="1"/>
  <c r="AE76" i="46"/>
  <c r="AF76" i="46" s="1"/>
  <c r="AG76" i="46" s="1"/>
  <c r="Z77" i="46"/>
  <c r="AA77" i="46" s="1"/>
  <c r="AB77" i="46"/>
  <c r="AC77" i="46" s="1"/>
  <c r="AD77" i="46"/>
  <c r="AH77" i="46" s="1" a="1"/>
  <c r="AH77" i="46" s="1"/>
  <c r="AE77" i="46"/>
  <c r="AJ77" i="46" s="1"/>
  <c r="Z78" i="46"/>
  <c r="AA78" i="46" s="1"/>
  <c r="AB78" i="46"/>
  <c r="AC78" i="46" s="1"/>
  <c r="AD78" i="46"/>
  <c r="AH78" i="46" s="1" a="1"/>
  <c r="AH78" i="46" s="1"/>
  <c r="AE78" i="46"/>
  <c r="AF78" i="46" s="1"/>
  <c r="AG78" i="46" s="1"/>
  <c r="Z79" i="46"/>
  <c r="AA79" i="46" s="1"/>
  <c r="AB79" i="46"/>
  <c r="AC79" i="46" s="1"/>
  <c r="AD79" i="46"/>
  <c r="AH79" i="46" s="1" a="1"/>
  <c r="AH79" i="46" s="1"/>
  <c r="AE79" i="46"/>
  <c r="AF79" i="46" s="1"/>
  <c r="AG79" i="46" s="1"/>
  <c r="Z80" i="46"/>
  <c r="AA80" i="46" s="1"/>
  <c r="AB80" i="46"/>
  <c r="AC80" i="46" s="1"/>
  <c r="AD80" i="46"/>
  <c r="AH80" i="46" s="1" a="1"/>
  <c r="AH80" i="46" s="1"/>
  <c r="AE80" i="46"/>
  <c r="AI80" i="46" s="1"/>
  <c r="Z81" i="46"/>
  <c r="AA81" i="46" s="1"/>
  <c r="AB81" i="46"/>
  <c r="AC81" i="46" s="1"/>
  <c r="AD81" i="46"/>
  <c r="AH81" i="46" s="1" a="1"/>
  <c r="AH81" i="46" s="1"/>
  <c r="AE81" i="46"/>
  <c r="AF81" i="46" s="1"/>
  <c r="AG81" i="46" s="1"/>
  <c r="Z82" i="46"/>
  <c r="AA82" i="46" s="1"/>
  <c r="AB82" i="46"/>
  <c r="AC82" i="46" s="1"/>
  <c r="AD82" i="46"/>
  <c r="AH82" i="46" s="1" a="1"/>
  <c r="AH82" i="46" s="1"/>
  <c r="AE82" i="46"/>
  <c r="AF82" i="46" s="1"/>
  <c r="AG82" i="46" s="1"/>
  <c r="Z83" i="46"/>
  <c r="AA83" i="46" s="1"/>
  <c r="AB83" i="46"/>
  <c r="AC83" i="46" s="1"/>
  <c r="AD83" i="46"/>
  <c r="AH83" i="46" s="1" a="1"/>
  <c r="AH83" i="46" s="1"/>
  <c r="AE83" i="46"/>
  <c r="Z84" i="46"/>
  <c r="AA84" i="46" s="1"/>
  <c r="AB84" i="46"/>
  <c r="AC84" i="46" s="1"/>
  <c r="AD84" i="46"/>
  <c r="AH84" i="46" s="1" a="1"/>
  <c r="AH84" i="46" s="1"/>
  <c r="AE84" i="46"/>
  <c r="AF84" i="46" s="1"/>
  <c r="AG84" i="46" s="1"/>
  <c r="Z85" i="46"/>
  <c r="AA85" i="46" s="1"/>
  <c r="AB85" i="46"/>
  <c r="AC85" i="46" s="1"/>
  <c r="AD85" i="46"/>
  <c r="AH85" i="46" s="1" a="1"/>
  <c r="AH85" i="46" s="1"/>
  <c r="AE85" i="46"/>
  <c r="AJ85" i="46" s="1"/>
  <c r="Z86" i="46"/>
  <c r="AA86" i="46" s="1"/>
  <c r="AB86" i="46"/>
  <c r="AC86" i="46" s="1"/>
  <c r="AD86" i="46"/>
  <c r="AH86" i="46" s="1" a="1"/>
  <c r="AH86" i="46" s="1"/>
  <c r="AE86" i="46"/>
  <c r="AJ86" i="46" s="1"/>
  <c r="Z87" i="46"/>
  <c r="AA87" i="46" s="1"/>
  <c r="AB87" i="46"/>
  <c r="AC87" i="46" s="1"/>
  <c r="AD87" i="46"/>
  <c r="AH87" i="46" s="1" a="1"/>
  <c r="AH87" i="46" s="1"/>
  <c r="AE87" i="46"/>
  <c r="Z88" i="46"/>
  <c r="AA88" i="46" s="1"/>
  <c r="AB88" i="46"/>
  <c r="AC88" i="46" s="1"/>
  <c r="AD88" i="46"/>
  <c r="AH88" i="46" s="1" a="1"/>
  <c r="AH88" i="46" s="1"/>
  <c r="AE88" i="46"/>
  <c r="AI88" i="46" s="1"/>
  <c r="Z89" i="46"/>
  <c r="AA89" i="46" s="1"/>
  <c r="AB89" i="46"/>
  <c r="AC89" i="46" s="1"/>
  <c r="AD89" i="46"/>
  <c r="AH89" i="46" s="1" a="1"/>
  <c r="AH89" i="46" s="1"/>
  <c r="AE89" i="46"/>
  <c r="AF89" i="46" s="1"/>
  <c r="AG89" i="46" s="1"/>
  <c r="Z90" i="46"/>
  <c r="AA90" i="46" s="1"/>
  <c r="AB90" i="46"/>
  <c r="AC90" i="46" s="1"/>
  <c r="AD90" i="46"/>
  <c r="AH90" i="46" s="1" a="1"/>
  <c r="AH90" i="46" s="1"/>
  <c r="AE90" i="46"/>
  <c r="AF90" i="46" s="1"/>
  <c r="AG90" i="46" s="1"/>
  <c r="Z91" i="46"/>
  <c r="AA91" i="46" s="1"/>
  <c r="AB91" i="46"/>
  <c r="AC91" i="46" s="1"/>
  <c r="AD91" i="46"/>
  <c r="AH91" i="46" s="1" a="1"/>
  <c r="AH91" i="46" s="1"/>
  <c r="AE91" i="46"/>
  <c r="Z92" i="46"/>
  <c r="AA92" i="46" s="1"/>
  <c r="AB92" i="46"/>
  <c r="AC92" i="46" s="1"/>
  <c r="AD92" i="46"/>
  <c r="AH92" i="46" s="1" a="1"/>
  <c r="AH92" i="46" s="1"/>
  <c r="AE92" i="46"/>
  <c r="AF92" i="46" s="1"/>
  <c r="AG92" i="46" s="1"/>
  <c r="Z93" i="46"/>
  <c r="AA93" i="46" s="1"/>
  <c r="AB93" i="46"/>
  <c r="AC93" i="46" s="1"/>
  <c r="AD93" i="46"/>
  <c r="AH93" i="46" s="1" a="1"/>
  <c r="AH93" i="46" s="1"/>
  <c r="AE93" i="46"/>
  <c r="Z94" i="46"/>
  <c r="AA94" i="46" s="1"/>
  <c r="AB94" i="46"/>
  <c r="AC94" i="46" s="1"/>
  <c r="AD94" i="46"/>
  <c r="AH94" i="46" s="1" a="1"/>
  <c r="AH94" i="46" s="1"/>
  <c r="AE94" i="46"/>
  <c r="AF94" i="46" s="1"/>
  <c r="AG94" i="46" s="1"/>
  <c r="Z95" i="46"/>
  <c r="AA95" i="46" s="1"/>
  <c r="AB95" i="46"/>
  <c r="AC95" i="46" s="1"/>
  <c r="AD95" i="46"/>
  <c r="AH95" i="46" s="1" a="1"/>
  <c r="AH95" i="46" s="1"/>
  <c r="AE95" i="46"/>
  <c r="AF95" i="46" s="1"/>
  <c r="AG95" i="46" s="1"/>
  <c r="Z96" i="46"/>
  <c r="AA96" i="46" s="1"/>
  <c r="AB96" i="46"/>
  <c r="AC96" i="46" s="1"/>
  <c r="AD96" i="46"/>
  <c r="AH96" i="46" s="1" a="1"/>
  <c r="AH96" i="46" s="1"/>
  <c r="AE96" i="46"/>
  <c r="AI96" i="46" s="1"/>
  <c r="Z97" i="46"/>
  <c r="AA97" i="46" s="1"/>
  <c r="AB97" i="46"/>
  <c r="AC97" i="46" s="1"/>
  <c r="AD97" i="46"/>
  <c r="AH97" i="46" s="1" a="1"/>
  <c r="AH97" i="46" s="1"/>
  <c r="AE97" i="46"/>
  <c r="AF97" i="46" s="1"/>
  <c r="AG97" i="46" s="1"/>
  <c r="Z98" i="46"/>
  <c r="AA98" i="46" s="1"/>
  <c r="AB98" i="46"/>
  <c r="AC98" i="46" s="1"/>
  <c r="AD98" i="46"/>
  <c r="AH98" i="46" s="1" a="1"/>
  <c r="AH98" i="46" s="1"/>
  <c r="AE98" i="46"/>
  <c r="AF98" i="46" s="1"/>
  <c r="AG98" i="46" s="1"/>
  <c r="Z99" i="46"/>
  <c r="AA99" i="46" s="1"/>
  <c r="AB99" i="46"/>
  <c r="AC99" i="46" s="1"/>
  <c r="AD99" i="46"/>
  <c r="AH99" i="46" s="1" a="1"/>
  <c r="AH99" i="46" s="1"/>
  <c r="AE99" i="46"/>
  <c r="AF99" i="46" s="1"/>
  <c r="AG99" i="46" s="1"/>
  <c r="Z100" i="46"/>
  <c r="AA100" i="46" s="1"/>
  <c r="AB100" i="46"/>
  <c r="AC100" i="46" s="1"/>
  <c r="AD100" i="46"/>
  <c r="AH100" i="46" s="1" a="1"/>
  <c r="AH100" i="46" s="1"/>
  <c r="AE100" i="46"/>
  <c r="Z101" i="46"/>
  <c r="AA101" i="46" s="1"/>
  <c r="AB101" i="46"/>
  <c r="AC101" i="46" s="1"/>
  <c r="AD101" i="46"/>
  <c r="AH101" i="46" s="1" a="1"/>
  <c r="AH101" i="46" s="1"/>
  <c r="AE101" i="46"/>
  <c r="AJ101" i="46" s="1"/>
  <c r="Z102" i="46"/>
  <c r="AA102" i="46" s="1"/>
  <c r="AB102" i="46"/>
  <c r="AC102" i="46" s="1"/>
  <c r="AD102" i="46"/>
  <c r="AH102" i="46" s="1" a="1"/>
  <c r="AH102" i="46" s="1"/>
  <c r="AE102" i="46"/>
  <c r="AF102" i="46" s="1"/>
  <c r="AG102" i="46" s="1"/>
  <c r="Z103" i="46"/>
  <c r="AA103" i="46" s="1"/>
  <c r="AB103" i="46"/>
  <c r="AC103" i="46" s="1"/>
  <c r="AD103" i="46"/>
  <c r="AH103" i="46" s="1" a="1"/>
  <c r="AH103" i="46" s="1"/>
  <c r="AE103" i="46"/>
  <c r="AF103" i="46" s="1"/>
  <c r="AG103" i="46" s="1"/>
  <c r="Z104" i="46"/>
  <c r="AA104" i="46" s="1"/>
  <c r="AB104" i="46"/>
  <c r="AC104" i="46" s="1"/>
  <c r="AD104" i="46"/>
  <c r="AH104" i="46" s="1" a="1"/>
  <c r="AH104" i="46" s="1"/>
  <c r="AE104" i="46"/>
  <c r="AJ104" i="46" s="1"/>
  <c r="Z105" i="46"/>
  <c r="AA105" i="46" s="1"/>
  <c r="AB105" i="46"/>
  <c r="AC105" i="46" s="1"/>
  <c r="AD105" i="46"/>
  <c r="AH105" i="46" s="1" a="1"/>
  <c r="AH105" i="46" s="1"/>
  <c r="AE105" i="46"/>
  <c r="AF105" i="46" s="1"/>
  <c r="AG105" i="46" s="1"/>
  <c r="Z106" i="46"/>
  <c r="AA106" i="46" s="1"/>
  <c r="AB106" i="46"/>
  <c r="AC106" i="46" s="1"/>
  <c r="AD106" i="46"/>
  <c r="AH106" i="46" s="1" a="1"/>
  <c r="AH106" i="46" s="1"/>
  <c r="AE106" i="46"/>
  <c r="AJ106" i="46" s="1"/>
  <c r="Z107" i="46"/>
  <c r="AA107" i="46" s="1"/>
  <c r="AB107" i="46"/>
  <c r="AC107" i="46" s="1"/>
  <c r="AD107" i="46"/>
  <c r="AH107" i="46" s="1" a="1"/>
  <c r="AH107" i="46" s="1"/>
  <c r="AE107" i="46"/>
  <c r="Z108" i="46"/>
  <c r="AA108" i="46" s="1"/>
  <c r="AB108" i="46"/>
  <c r="AC108" i="46" s="1"/>
  <c r="AD108" i="46"/>
  <c r="AH108" i="46" s="1" a="1"/>
  <c r="AH108" i="46" s="1"/>
  <c r="AE108" i="46"/>
  <c r="AF108" i="46" s="1"/>
  <c r="AG108" i="46" s="1"/>
  <c r="Z109" i="46"/>
  <c r="AA109" i="46" s="1"/>
  <c r="AB109" i="46"/>
  <c r="AC109" i="46" s="1"/>
  <c r="AD109" i="46"/>
  <c r="AH109" i="46" s="1" a="1"/>
  <c r="AH109" i="46" s="1"/>
  <c r="AE109" i="46"/>
  <c r="AJ109" i="46" s="1"/>
  <c r="Z110" i="46"/>
  <c r="AA110" i="46" s="1"/>
  <c r="AB110" i="46"/>
  <c r="AC110" i="46" s="1"/>
  <c r="AD110" i="46"/>
  <c r="AH110" i="46" s="1" a="1"/>
  <c r="AH110" i="46" s="1"/>
  <c r="AE110" i="46"/>
  <c r="AF110" i="46" s="1"/>
  <c r="AG110" i="46" s="1"/>
  <c r="Z111" i="46"/>
  <c r="AA111" i="46" s="1"/>
  <c r="AB111" i="46"/>
  <c r="AC111" i="46" s="1"/>
  <c r="AD111" i="46"/>
  <c r="AH111" i="46" s="1" a="1"/>
  <c r="AH111" i="46" s="1"/>
  <c r="AE111" i="46"/>
  <c r="AF111" i="46" s="1"/>
  <c r="AG111" i="46" s="1"/>
  <c r="Z112" i="46"/>
  <c r="AA112" i="46" s="1"/>
  <c r="AB112" i="46"/>
  <c r="AC112" i="46" s="1"/>
  <c r="AD112" i="46"/>
  <c r="AH112" i="46" s="1" a="1"/>
  <c r="AH112" i="46" s="1"/>
  <c r="AE112" i="46"/>
  <c r="Z113" i="46"/>
  <c r="AA113" i="46" s="1"/>
  <c r="AB113" i="46"/>
  <c r="AC113" i="46" s="1"/>
  <c r="AD113" i="46"/>
  <c r="AH113" i="46" s="1" a="1"/>
  <c r="AH113" i="46" s="1"/>
  <c r="AE113" i="46"/>
  <c r="Z114" i="46"/>
  <c r="AA114" i="46" s="1"/>
  <c r="AB114" i="46"/>
  <c r="AC114" i="46" s="1"/>
  <c r="AD114" i="46"/>
  <c r="AH114" i="46" s="1" a="1"/>
  <c r="AH114" i="46" s="1"/>
  <c r="AE114" i="46"/>
  <c r="Z115" i="46"/>
  <c r="AA115" i="46" s="1"/>
  <c r="AB115" i="46"/>
  <c r="AC115" i="46" s="1"/>
  <c r="AD115" i="46"/>
  <c r="AH115" i="46" s="1" a="1"/>
  <c r="AH115" i="46" s="1"/>
  <c r="AE115" i="46"/>
  <c r="AJ115" i="46" s="1"/>
  <c r="Z116" i="46"/>
  <c r="AA116" i="46" s="1"/>
  <c r="AB116" i="46"/>
  <c r="AC116" i="46" s="1"/>
  <c r="AD116" i="46"/>
  <c r="AH116" i="46" s="1" a="1"/>
  <c r="AH116" i="46" s="1"/>
  <c r="AE116" i="46"/>
  <c r="Z117" i="46"/>
  <c r="AA117" i="46" s="1"/>
  <c r="AB117" i="46"/>
  <c r="AC117" i="46" s="1"/>
  <c r="AD117" i="46"/>
  <c r="AH117" i="46" s="1" a="1"/>
  <c r="AH117" i="46" s="1"/>
  <c r="AE117" i="46"/>
  <c r="AJ117" i="46" s="1"/>
  <c r="Z118" i="46"/>
  <c r="AA118" i="46" s="1"/>
  <c r="AB118" i="46"/>
  <c r="AC118" i="46" s="1"/>
  <c r="AD118" i="46"/>
  <c r="AH118" i="46" s="1" a="1"/>
  <c r="AH118" i="46" s="1"/>
  <c r="AE118" i="46"/>
  <c r="Z119" i="46"/>
  <c r="AA119" i="46" s="1"/>
  <c r="AB119" i="46"/>
  <c r="AC119" i="46" s="1"/>
  <c r="AD119" i="46"/>
  <c r="AH119" i="46" s="1" a="1"/>
  <c r="AH119" i="46" s="1"/>
  <c r="AE119" i="46"/>
  <c r="AJ119" i="46" s="1"/>
  <c r="Z120" i="46"/>
  <c r="AA120" i="46" s="1"/>
  <c r="AB120" i="46"/>
  <c r="AC120" i="46" s="1"/>
  <c r="AD120" i="46"/>
  <c r="AH120" i="46" s="1" a="1"/>
  <c r="AH120" i="46" s="1"/>
  <c r="AE120" i="46"/>
  <c r="Z121" i="46"/>
  <c r="AA121" i="46" s="1"/>
  <c r="AB121" i="46"/>
  <c r="AC121" i="46" s="1"/>
  <c r="AD121" i="46"/>
  <c r="AH121" i="46" s="1" a="1"/>
  <c r="AH121" i="46" s="1"/>
  <c r="AE121" i="46"/>
  <c r="AJ121" i="46" s="1"/>
  <c r="Z122" i="46"/>
  <c r="AA122" i="46" s="1"/>
  <c r="AB122" i="46"/>
  <c r="AC122" i="46" s="1"/>
  <c r="AD122" i="46"/>
  <c r="AH122" i="46" s="1" a="1"/>
  <c r="AH122" i="46" s="1"/>
  <c r="AE122" i="46"/>
  <c r="Z123" i="46"/>
  <c r="AA123" i="46" s="1"/>
  <c r="AB123" i="46"/>
  <c r="AC123" i="46" s="1"/>
  <c r="AD123" i="46"/>
  <c r="AH123" i="46" s="1" a="1"/>
  <c r="AH123" i="46" s="1"/>
  <c r="AE123" i="46"/>
  <c r="AJ123" i="46" s="1"/>
  <c r="Z124" i="46"/>
  <c r="AA124" i="46" s="1"/>
  <c r="AB124" i="46"/>
  <c r="AC124" i="46" s="1"/>
  <c r="AD124" i="46"/>
  <c r="AH124" i="46" s="1" a="1"/>
  <c r="AH124" i="46" s="1"/>
  <c r="AE124" i="46"/>
  <c r="Z125" i="46"/>
  <c r="AA125" i="46" s="1"/>
  <c r="AB125" i="46"/>
  <c r="AC125" i="46" s="1"/>
  <c r="AD125" i="46"/>
  <c r="AH125" i="46" s="1" a="1"/>
  <c r="AH125" i="46" s="1"/>
  <c r="AE125" i="46"/>
  <c r="AJ125" i="46" s="1"/>
  <c r="Z126" i="46"/>
  <c r="AA126" i="46" s="1"/>
  <c r="AB126" i="46"/>
  <c r="AC126" i="46" s="1"/>
  <c r="AD126" i="46"/>
  <c r="AH126" i="46" s="1" a="1"/>
  <c r="AH126" i="46" s="1"/>
  <c r="AE126" i="46"/>
  <c r="Z127" i="46"/>
  <c r="AA127" i="46" s="1"/>
  <c r="AB127" i="46"/>
  <c r="AC127" i="46" s="1"/>
  <c r="AD127" i="46"/>
  <c r="AH127" i="46" s="1" a="1"/>
  <c r="AH127" i="46" s="1"/>
  <c r="AE127" i="46"/>
  <c r="Z128" i="46"/>
  <c r="AA128" i="46" s="1"/>
  <c r="AB128" i="46"/>
  <c r="AC128" i="46" s="1"/>
  <c r="AD128" i="46"/>
  <c r="AH128" i="46" s="1" a="1"/>
  <c r="AH128" i="46" s="1"/>
  <c r="AE128" i="46"/>
  <c r="Z129" i="46"/>
  <c r="AA129" i="46" s="1"/>
  <c r="AB129" i="46"/>
  <c r="AC129" i="46" s="1"/>
  <c r="AD129" i="46"/>
  <c r="AH129" i="46" s="1" a="1"/>
  <c r="AH129" i="46" s="1"/>
  <c r="AE129" i="46"/>
  <c r="AF129" i="46" s="1"/>
  <c r="AG129" i="46" s="1"/>
  <c r="Z130" i="46"/>
  <c r="AA130" i="46" s="1"/>
  <c r="AB130" i="46"/>
  <c r="AC130" i="46" s="1"/>
  <c r="AD130" i="46"/>
  <c r="AH130" i="46" s="1" a="1"/>
  <c r="AH130" i="46" s="1"/>
  <c r="AE130" i="46"/>
  <c r="AF130" i="46" s="1"/>
  <c r="AG130" i="46" s="1"/>
  <c r="Z131" i="46"/>
  <c r="AA131" i="46" s="1"/>
  <c r="AB131" i="46"/>
  <c r="AC131" i="46" s="1"/>
  <c r="AD131" i="46"/>
  <c r="AH131" i="46" s="1" a="1"/>
  <c r="AH131" i="46" s="1"/>
  <c r="AE131" i="46"/>
  <c r="AF131" i="46" s="1"/>
  <c r="AG131" i="46" s="1"/>
  <c r="Z132" i="46"/>
  <c r="AA132" i="46" s="1"/>
  <c r="AB132" i="46"/>
  <c r="AC132" i="46" s="1"/>
  <c r="AD132" i="46"/>
  <c r="AH132" i="46" s="1" a="1"/>
  <c r="AH132" i="46" s="1"/>
  <c r="AE132" i="46"/>
  <c r="AF132" i="46" s="1"/>
  <c r="AG132" i="46" s="1"/>
  <c r="Z133" i="46"/>
  <c r="AA133" i="46" s="1"/>
  <c r="AB133" i="46"/>
  <c r="AC133" i="46" s="1"/>
  <c r="AD133" i="46"/>
  <c r="AH133" i="46" s="1" a="1"/>
  <c r="AH133" i="46" s="1"/>
  <c r="AE133" i="46"/>
  <c r="AF133" i="46" s="1"/>
  <c r="AG133" i="46" s="1"/>
  <c r="Z134" i="46"/>
  <c r="AA134" i="46" s="1"/>
  <c r="AB134" i="46"/>
  <c r="AC134" i="46" s="1"/>
  <c r="AD134" i="46"/>
  <c r="AH134" i="46" s="1" a="1"/>
  <c r="AH134" i="46" s="1"/>
  <c r="AE134" i="46"/>
  <c r="AI134" i="46" s="1"/>
  <c r="Z135" i="46"/>
  <c r="AA135" i="46" s="1"/>
  <c r="AB135" i="46"/>
  <c r="AC135" i="46" s="1"/>
  <c r="AD135" i="46"/>
  <c r="AH135" i="46" s="1" a="1"/>
  <c r="AH135" i="46" s="1"/>
  <c r="AE135" i="46"/>
  <c r="AJ135" i="46" s="1"/>
  <c r="Z136" i="46"/>
  <c r="AA136" i="46" s="1"/>
  <c r="AB136" i="46"/>
  <c r="AC136" i="46" s="1"/>
  <c r="AD136" i="46"/>
  <c r="AH136" i="46" s="1" a="1"/>
  <c r="AH136" i="46" s="1"/>
  <c r="AE136" i="46"/>
  <c r="Z137" i="46"/>
  <c r="AA137" i="46" s="1"/>
  <c r="AB137" i="46"/>
  <c r="AC137" i="46" s="1"/>
  <c r="AD137" i="46"/>
  <c r="AH137" i="46" s="1" a="1"/>
  <c r="AH137" i="46" s="1"/>
  <c r="AE137" i="46"/>
  <c r="AF137" i="46" s="1"/>
  <c r="AG137" i="46" s="1"/>
  <c r="Z138" i="46"/>
  <c r="AA138" i="46" s="1"/>
  <c r="AB138" i="46"/>
  <c r="AC138" i="46" s="1"/>
  <c r="AD138" i="46"/>
  <c r="AH138" i="46" s="1" a="1"/>
  <c r="AH138" i="46" s="1"/>
  <c r="AE138" i="46"/>
  <c r="AJ138" i="46" s="1"/>
  <c r="Z139" i="46"/>
  <c r="AA139" i="46" s="1"/>
  <c r="AB139" i="46"/>
  <c r="AC139" i="46" s="1"/>
  <c r="AD139" i="46"/>
  <c r="AH139" i="46" s="1" a="1"/>
  <c r="AH139" i="46" s="1"/>
  <c r="AE139" i="46"/>
  <c r="AI139" i="46" s="1"/>
  <c r="Z140" i="46"/>
  <c r="AA140" i="46" s="1"/>
  <c r="AB140" i="46"/>
  <c r="AC140" i="46" s="1"/>
  <c r="AD140" i="46"/>
  <c r="AH140" i="46" s="1" a="1"/>
  <c r="AH140" i="46" s="1"/>
  <c r="AE140" i="46"/>
  <c r="AJ140" i="46" s="1"/>
  <c r="Z141" i="46"/>
  <c r="AA141" i="46" s="1"/>
  <c r="AB141" i="46"/>
  <c r="AC141" i="46" s="1"/>
  <c r="AD141" i="46"/>
  <c r="AH141" i="46" s="1" a="1"/>
  <c r="AH141" i="46" s="1"/>
  <c r="AE141" i="46"/>
  <c r="AI141" i="46" s="1"/>
  <c r="Z142" i="46"/>
  <c r="AA142" i="46" s="1"/>
  <c r="AB142" i="46"/>
  <c r="AC142" i="46" s="1"/>
  <c r="AD142" i="46"/>
  <c r="AH142" i="46" s="1" a="1"/>
  <c r="AH142" i="46" s="1"/>
  <c r="AE142" i="46"/>
  <c r="AJ142" i="46" s="1"/>
  <c r="Z143" i="46"/>
  <c r="AA143" i="46" s="1"/>
  <c r="AB143" i="46"/>
  <c r="AC143" i="46" s="1"/>
  <c r="AD143" i="46"/>
  <c r="AH143" i="46" s="1" a="1"/>
  <c r="AH143" i="46" s="1"/>
  <c r="AE143" i="46"/>
  <c r="AF143" i="46" s="1"/>
  <c r="AG143" i="46" s="1"/>
  <c r="Z144" i="46"/>
  <c r="AA144" i="46" s="1"/>
  <c r="AB144" i="46"/>
  <c r="AC144" i="46" s="1"/>
  <c r="AD144" i="46"/>
  <c r="AH144" i="46" s="1" a="1"/>
  <c r="AH144" i="46" s="1"/>
  <c r="AE144" i="46"/>
  <c r="AJ144" i="46" s="1"/>
  <c r="Z145" i="46"/>
  <c r="AA145" i="46" s="1"/>
  <c r="AB145" i="46"/>
  <c r="AC145" i="46" s="1"/>
  <c r="AD145" i="46"/>
  <c r="AH145" i="46" s="1" a="1"/>
  <c r="AH145" i="46" s="1"/>
  <c r="AE145" i="46"/>
  <c r="AI145" i="46" s="1"/>
  <c r="Z146" i="46"/>
  <c r="AA146" i="46" s="1"/>
  <c r="AB146" i="46"/>
  <c r="AC146" i="46" s="1"/>
  <c r="AD146" i="46"/>
  <c r="AH146" i="46" s="1" a="1"/>
  <c r="AH146" i="46" s="1"/>
  <c r="AE146" i="46"/>
  <c r="Z147" i="46"/>
  <c r="AA147" i="46" s="1"/>
  <c r="AB147" i="46"/>
  <c r="AC147" i="46" s="1"/>
  <c r="AD147" i="46"/>
  <c r="AH147" i="46" s="1" a="1"/>
  <c r="AH147" i="46" s="1"/>
  <c r="AE147" i="46"/>
  <c r="AF147" i="46" s="1"/>
  <c r="AG147" i="46" s="1"/>
  <c r="Z148" i="46"/>
  <c r="AA148" i="46" s="1"/>
  <c r="AB148" i="46"/>
  <c r="AC148" i="46" s="1"/>
  <c r="AD148" i="46"/>
  <c r="AH148" i="46" s="1" a="1"/>
  <c r="AH148" i="46" s="1"/>
  <c r="AE148" i="46"/>
  <c r="AJ148" i="46" s="1"/>
  <c r="Z149" i="46"/>
  <c r="AA149" i="46" s="1"/>
  <c r="AB149" i="46"/>
  <c r="AC149" i="46" s="1"/>
  <c r="AD149" i="46"/>
  <c r="AH149" i="46" s="1" a="1"/>
  <c r="AH149" i="46" s="1"/>
  <c r="AE149" i="46"/>
  <c r="Z150" i="46"/>
  <c r="AA150" i="46" s="1"/>
  <c r="AB150" i="46"/>
  <c r="AC150" i="46" s="1"/>
  <c r="AD150" i="46"/>
  <c r="AH150" i="46" s="1" a="1"/>
  <c r="AH150" i="46" s="1"/>
  <c r="AE150" i="46"/>
  <c r="AJ150" i="46" s="1"/>
  <c r="Z151" i="46"/>
  <c r="AA151" i="46" s="1"/>
  <c r="AB151" i="46"/>
  <c r="AC151" i="46" s="1"/>
  <c r="AD151" i="46"/>
  <c r="AH151" i="46" s="1" a="1"/>
  <c r="AH151" i="46" s="1"/>
  <c r="AE151" i="46"/>
  <c r="AJ151" i="46" s="1"/>
  <c r="Z152" i="46"/>
  <c r="AA152" i="46" s="1"/>
  <c r="AB152" i="46"/>
  <c r="AC152" i="46" s="1"/>
  <c r="AD152" i="46"/>
  <c r="AH152" i="46" s="1" a="1"/>
  <c r="AH152" i="46" s="1"/>
  <c r="AE152" i="46"/>
  <c r="Z153" i="46"/>
  <c r="AA153" i="46" s="1"/>
  <c r="AB153" i="46"/>
  <c r="AC153" i="46" s="1"/>
  <c r="AD153" i="46"/>
  <c r="AH153" i="46" s="1" a="1"/>
  <c r="AH153" i="46" s="1"/>
  <c r="AE153" i="46"/>
  <c r="AF153" i="46" s="1"/>
  <c r="AG153" i="46" s="1"/>
  <c r="Z154" i="46"/>
  <c r="AA154" i="46" s="1"/>
  <c r="AB154" i="46"/>
  <c r="AC154" i="46" s="1"/>
  <c r="AD154" i="46"/>
  <c r="AH154" i="46" s="1" a="1"/>
  <c r="AH154" i="46" s="1"/>
  <c r="AE154" i="46"/>
  <c r="AJ154" i="46" s="1"/>
  <c r="Z155" i="46"/>
  <c r="AA155" i="46" s="1"/>
  <c r="AB155" i="46"/>
  <c r="AC155" i="46" s="1"/>
  <c r="AD155" i="46"/>
  <c r="AH155" i="46" s="1" a="1"/>
  <c r="AH155" i="46" s="1"/>
  <c r="AE155" i="46"/>
  <c r="Z156" i="46"/>
  <c r="AA156" i="46" s="1"/>
  <c r="AB156" i="46"/>
  <c r="AC156" i="46" s="1"/>
  <c r="AD156" i="46"/>
  <c r="AH156" i="46" s="1" a="1"/>
  <c r="AH156" i="46" s="1"/>
  <c r="AE156" i="46"/>
  <c r="AJ156" i="46" s="1"/>
  <c r="Z157" i="46"/>
  <c r="AA157" i="46" s="1"/>
  <c r="AB157" i="46"/>
  <c r="AC157" i="46" s="1"/>
  <c r="AD157" i="46"/>
  <c r="AH157" i="46" s="1" a="1"/>
  <c r="AH157" i="46" s="1"/>
  <c r="AE157" i="46"/>
  <c r="Z158" i="46"/>
  <c r="AA158" i="46" s="1"/>
  <c r="AB158" i="46"/>
  <c r="AC158" i="46" s="1"/>
  <c r="AD158" i="46"/>
  <c r="AH158" i="46" s="1" a="1"/>
  <c r="AH158" i="46" s="1"/>
  <c r="AE158" i="46"/>
  <c r="Z159" i="46"/>
  <c r="AA159" i="46" s="1"/>
  <c r="AB159" i="46"/>
  <c r="AC159" i="46" s="1"/>
  <c r="AD159" i="46"/>
  <c r="AH159" i="46" s="1" a="1"/>
  <c r="AH159" i="46" s="1"/>
  <c r="AE159" i="46"/>
  <c r="AF159" i="46" s="1"/>
  <c r="AG159" i="46" s="1"/>
  <c r="Z160" i="46"/>
  <c r="AA160" i="46" s="1"/>
  <c r="AB160" i="46"/>
  <c r="AC160" i="46" s="1"/>
  <c r="AD160" i="46"/>
  <c r="AH160" i="46" s="1" a="1"/>
  <c r="AH160" i="46" s="1"/>
  <c r="AE160" i="46"/>
  <c r="AJ160" i="46" s="1"/>
  <c r="Z161" i="46"/>
  <c r="AA161" i="46" s="1"/>
  <c r="AB161" i="46"/>
  <c r="AC161" i="46" s="1"/>
  <c r="AD161" i="46"/>
  <c r="AH161" i="46" s="1" a="1"/>
  <c r="AH161" i="46" s="1"/>
  <c r="AE161" i="46"/>
  <c r="AI161" i="46" s="1"/>
  <c r="Z162" i="46"/>
  <c r="AA162" i="46" s="1"/>
  <c r="AB162" i="46"/>
  <c r="AC162" i="46" s="1"/>
  <c r="AD162" i="46"/>
  <c r="AH162" i="46" s="1" a="1"/>
  <c r="AH162" i="46" s="1"/>
  <c r="AE162" i="46"/>
  <c r="Z163" i="46"/>
  <c r="AA163" i="46" s="1"/>
  <c r="AB163" i="46"/>
  <c r="AC163" i="46" s="1"/>
  <c r="AD163" i="46"/>
  <c r="AH163" i="46" s="1" a="1"/>
  <c r="AH163" i="46" s="1"/>
  <c r="AE163" i="46"/>
  <c r="AF163" i="46" s="1"/>
  <c r="AG163" i="46" s="1"/>
  <c r="Z164" i="46"/>
  <c r="AA164" i="46" s="1"/>
  <c r="AB164" i="46"/>
  <c r="AC164" i="46" s="1"/>
  <c r="AD164" i="46"/>
  <c r="AH164" i="46" s="1" a="1"/>
  <c r="AH164" i="46" s="1"/>
  <c r="AE164" i="46"/>
  <c r="AJ164" i="46" s="1"/>
  <c r="Z165" i="46"/>
  <c r="AA165" i="46" s="1"/>
  <c r="AB165" i="46"/>
  <c r="AC165" i="46" s="1"/>
  <c r="AD165" i="46"/>
  <c r="AH165" i="46" s="1" a="1"/>
  <c r="AH165" i="46" s="1"/>
  <c r="AE165" i="46"/>
  <c r="Z166" i="46"/>
  <c r="AA166" i="46" s="1"/>
  <c r="AB166" i="46"/>
  <c r="AC166" i="46" s="1"/>
  <c r="AD166" i="46"/>
  <c r="AH166" i="46" s="1" a="1"/>
  <c r="AH166" i="46" s="1"/>
  <c r="AE166" i="46"/>
  <c r="Z167" i="46"/>
  <c r="AA167" i="46" s="1"/>
  <c r="AB167" i="46"/>
  <c r="AC167" i="46" s="1"/>
  <c r="AD167" i="46"/>
  <c r="AH167" i="46" s="1" a="1"/>
  <c r="AH167" i="46" s="1"/>
  <c r="AE167" i="46"/>
  <c r="AI167" i="46" s="1"/>
  <c r="Z168" i="46"/>
  <c r="AA168" i="46" s="1"/>
  <c r="AB168" i="46"/>
  <c r="AC168" i="46" s="1"/>
  <c r="AD168" i="46"/>
  <c r="AH168" i="46" s="1" a="1"/>
  <c r="AH168" i="46" s="1"/>
  <c r="AE168" i="46"/>
  <c r="AJ168" i="46" s="1"/>
  <c r="Z169" i="46"/>
  <c r="AA169" i="46" s="1"/>
  <c r="AB169" i="46"/>
  <c r="AC169" i="46" s="1"/>
  <c r="AD169" i="46"/>
  <c r="AH169" i="46" s="1" a="1"/>
  <c r="AH169" i="46" s="1"/>
  <c r="AE169" i="46"/>
  <c r="AF169" i="46" s="1"/>
  <c r="AG169" i="46" s="1"/>
  <c r="Z170" i="46"/>
  <c r="AA170" i="46" s="1"/>
  <c r="AB170" i="46"/>
  <c r="AC170" i="46" s="1"/>
  <c r="AD170" i="46"/>
  <c r="AH170" i="46" s="1" a="1"/>
  <c r="AH170" i="46" s="1"/>
  <c r="AE170" i="46"/>
  <c r="AJ170" i="46" s="1"/>
  <c r="Z171" i="46"/>
  <c r="AA171" i="46" s="1"/>
  <c r="AB171" i="46"/>
  <c r="AC171" i="46" s="1"/>
  <c r="AD171" i="46"/>
  <c r="AH171" i="46" s="1" a="1"/>
  <c r="AH171" i="46" s="1"/>
  <c r="AE171" i="46"/>
  <c r="Z172" i="46"/>
  <c r="AA172" i="46" s="1"/>
  <c r="AB172" i="46"/>
  <c r="AC172" i="46" s="1"/>
  <c r="AD172" i="46"/>
  <c r="AH172" i="46" s="1" a="1"/>
  <c r="AH172" i="46" s="1"/>
  <c r="AE172" i="46"/>
  <c r="Z173" i="46"/>
  <c r="AA173" i="46" s="1"/>
  <c r="AB173" i="46"/>
  <c r="AC173" i="46" s="1"/>
  <c r="AD173" i="46"/>
  <c r="AH173" i="46" s="1" a="1"/>
  <c r="AH173" i="46" s="1"/>
  <c r="AE173" i="46"/>
  <c r="AF173" i="46" s="1"/>
  <c r="AG173" i="46" s="1"/>
  <c r="Z174" i="46"/>
  <c r="AA174" i="46" s="1"/>
  <c r="AB174" i="46"/>
  <c r="AC174" i="46" s="1"/>
  <c r="AD174" i="46"/>
  <c r="AH174" i="46" s="1" a="1"/>
  <c r="AH174" i="46" s="1"/>
  <c r="AE174" i="46"/>
  <c r="Z175" i="46"/>
  <c r="AA175" i="46" s="1"/>
  <c r="AB175" i="46"/>
  <c r="AC175" i="46" s="1"/>
  <c r="AD175" i="46"/>
  <c r="AH175" i="46" s="1" a="1"/>
  <c r="AH175" i="46" s="1"/>
  <c r="AE175" i="46"/>
  <c r="AF175" i="46" s="1"/>
  <c r="AG175" i="46" s="1"/>
  <c r="Z176" i="46"/>
  <c r="AA176" i="46" s="1"/>
  <c r="AB176" i="46"/>
  <c r="AC176" i="46" s="1"/>
  <c r="AD176" i="46"/>
  <c r="AH176" i="46" s="1" a="1"/>
  <c r="AH176" i="46" s="1"/>
  <c r="AE176" i="46"/>
  <c r="AJ176" i="46" s="1"/>
  <c r="Z177" i="46"/>
  <c r="AA177" i="46" s="1"/>
  <c r="AB177" i="46"/>
  <c r="AC177" i="46" s="1"/>
  <c r="AD177" i="46"/>
  <c r="AH177" i="46" s="1" a="1"/>
  <c r="AH177" i="46" s="1"/>
  <c r="AE177" i="46"/>
  <c r="AI177" i="46" s="1"/>
  <c r="Z178" i="46"/>
  <c r="AA178" i="46" s="1"/>
  <c r="AB178" i="46"/>
  <c r="AC178" i="46" s="1"/>
  <c r="AD178" i="46"/>
  <c r="AH178" i="46" s="1" a="1"/>
  <c r="AH178" i="46" s="1"/>
  <c r="AE178" i="46"/>
  <c r="Z179" i="46"/>
  <c r="AA179" i="46" s="1"/>
  <c r="AB179" i="46"/>
  <c r="AC179" i="46" s="1"/>
  <c r="AD179" i="46"/>
  <c r="AH179" i="46" s="1" a="1"/>
  <c r="AH179" i="46" s="1"/>
  <c r="AE179" i="46"/>
  <c r="AF179" i="46" s="1"/>
  <c r="AG179" i="46" s="1"/>
  <c r="Z180" i="46"/>
  <c r="AA180" i="46" s="1"/>
  <c r="AB180" i="46"/>
  <c r="AC180" i="46" s="1"/>
  <c r="AD180" i="46"/>
  <c r="AH180" i="46" s="1" a="1"/>
  <c r="AH180" i="46" s="1"/>
  <c r="AE180" i="46"/>
  <c r="AJ180" i="46" s="1"/>
  <c r="Z181" i="46"/>
  <c r="AA181" i="46" s="1"/>
  <c r="AB181" i="46"/>
  <c r="AC181" i="46" s="1"/>
  <c r="AD181" i="46"/>
  <c r="AH181" i="46" s="1" a="1"/>
  <c r="AH181" i="46" s="1"/>
  <c r="AE181" i="46"/>
  <c r="Z182" i="46"/>
  <c r="AA182" i="46" s="1"/>
  <c r="AB182" i="46"/>
  <c r="AC182" i="46" s="1"/>
  <c r="AD182" i="46"/>
  <c r="AH182" i="46" s="1" a="1"/>
  <c r="AH182" i="46" s="1"/>
  <c r="AE182" i="46"/>
  <c r="AJ182" i="46" s="1"/>
  <c r="Z183" i="46"/>
  <c r="AA183" i="46" s="1"/>
  <c r="AB183" i="46"/>
  <c r="AC183" i="46" s="1"/>
  <c r="AD183" i="46"/>
  <c r="AH183" i="46" s="1" a="1"/>
  <c r="AH183" i="46" s="1"/>
  <c r="AE183" i="46"/>
  <c r="Z184" i="46"/>
  <c r="AA184" i="46" s="1"/>
  <c r="AB184" i="46"/>
  <c r="AC184" i="46" s="1"/>
  <c r="AD184" i="46"/>
  <c r="AH184" i="46" s="1" a="1"/>
  <c r="AH184" i="46" s="1"/>
  <c r="AE184" i="46"/>
  <c r="AJ184" i="46" s="1"/>
  <c r="Z185" i="46"/>
  <c r="AA185" i="46" s="1"/>
  <c r="AB185" i="46"/>
  <c r="AC185" i="46" s="1"/>
  <c r="AD185" i="46"/>
  <c r="AH185" i="46" s="1" a="1"/>
  <c r="AH185" i="46" s="1"/>
  <c r="AE185" i="46"/>
  <c r="AF185" i="46" s="1"/>
  <c r="AG185" i="46" s="1"/>
  <c r="Z186" i="46"/>
  <c r="AA186" i="46" s="1"/>
  <c r="AB186" i="46"/>
  <c r="AC186" i="46" s="1"/>
  <c r="AD186" i="46"/>
  <c r="AH186" i="46" s="1" a="1"/>
  <c r="AH186" i="46" s="1"/>
  <c r="AE186" i="46"/>
  <c r="AJ186" i="46" s="1"/>
  <c r="Z187" i="46"/>
  <c r="AA187" i="46" s="1"/>
  <c r="AB187" i="46"/>
  <c r="AC187" i="46" s="1"/>
  <c r="AD187" i="46"/>
  <c r="AH187" i="46" s="1" a="1"/>
  <c r="AH187" i="46" s="1"/>
  <c r="AE187" i="46"/>
  <c r="Z188" i="46"/>
  <c r="AA188" i="46" s="1"/>
  <c r="AB188" i="46"/>
  <c r="AC188" i="46" s="1"/>
  <c r="AD188" i="46"/>
  <c r="AH188" i="46" s="1" a="1"/>
  <c r="AH188" i="46" s="1"/>
  <c r="AE188" i="46"/>
  <c r="AJ188" i="46" s="1"/>
  <c r="Z189" i="46"/>
  <c r="AA189" i="46" s="1"/>
  <c r="AB189" i="46"/>
  <c r="AC189" i="46" s="1"/>
  <c r="AD189" i="46"/>
  <c r="AH189" i="46" s="1" a="1"/>
  <c r="AH189" i="46" s="1"/>
  <c r="AE189" i="46"/>
  <c r="AI189" i="46" s="1"/>
  <c r="Z190" i="46"/>
  <c r="AA190" i="46" s="1"/>
  <c r="AB190" i="46"/>
  <c r="AC190" i="46" s="1"/>
  <c r="AD190" i="46"/>
  <c r="AH190" i="46" s="1" a="1"/>
  <c r="AH190" i="46" s="1"/>
  <c r="AE190" i="46"/>
  <c r="AJ190" i="46" s="1"/>
  <c r="Z191" i="46"/>
  <c r="AA191" i="46" s="1"/>
  <c r="AB191" i="46"/>
  <c r="AC191" i="46" s="1"/>
  <c r="AD191" i="46"/>
  <c r="AH191" i="46" s="1" a="1"/>
  <c r="AH191" i="46" s="1"/>
  <c r="AE191" i="46"/>
  <c r="Z192" i="46"/>
  <c r="AA192" i="46" s="1"/>
  <c r="AB192" i="46"/>
  <c r="AC192" i="46" s="1"/>
  <c r="AD192" i="46"/>
  <c r="AH192" i="46" s="1" a="1"/>
  <c r="AH192" i="46" s="1"/>
  <c r="AE192" i="46"/>
  <c r="AJ192" i="46" s="1"/>
  <c r="Z193" i="46"/>
  <c r="AA193" i="46" s="1"/>
  <c r="AB193" i="46"/>
  <c r="AC193" i="46" s="1"/>
  <c r="AD193" i="46"/>
  <c r="AH193" i="46" s="1" a="1"/>
  <c r="AH193" i="46" s="1"/>
  <c r="AE193" i="46"/>
  <c r="AI193" i="46" s="1"/>
  <c r="Z194" i="46"/>
  <c r="AA194" i="46" s="1"/>
  <c r="AB194" i="46"/>
  <c r="AC194" i="46" s="1"/>
  <c r="AD194" i="46"/>
  <c r="AH194" i="46" s="1" a="1"/>
  <c r="AH194" i="46" s="1"/>
  <c r="AE194" i="46"/>
  <c r="Z195" i="46"/>
  <c r="AA195" i="46" s="1"/>
  <c r="AB195" i="46"/>
  <c r="AC195" i="46" s="1"/>
  <c r="AD195" i="46"/>
  <c r="AH195" i="46" s="1" a="1"/>
  <c r="AH195" i="46" s="1"/>
  <c r="AE195" i="46"/>
  <c r="AF195" i="46" s="1"/>
  <c r="AG195" i="46" s="1"/>
  <c r="Z196" i="46"/>
  <c r="AA196" i="46" s="1"/>
  <c r="AB196" i="46"/>
  <c r="AC196" i="46" s="1"/>
  <c r="AD196" i="46"/>
  <c r="AH196" i="46" s="1" a="1"/>
  <c r="AH196" i="46" s="1"/>
  <c r="AE196" i="46"/>
  <c r="Z197" i="46"/>
  <c r="AA197" i="46" s="1"/>
  <c r="AB197" i="46"/>
  <c r="AC197" i="46" s="1"/>
  <c r="AD197" i="46"/>
  <c r="AH197" i="46" s="1" a="1"/>
  <c r="AH197" i="46" s="1"/>
  <c r="AE197" i="46"/>
  <c r="Z198" i="46"/>
  <c r="AA198" i="46" s="1"/>
  <c r="AB198" i="46"/>
  <c r="AC198" i="46" s="1"/>
  <c r="AD198" i="46"/>
  <c r="AH198" i="46" s="1" a="1"/>
  <c r="AH198" i="46" s="1"/>
  <c r="AE198" i="46"/>
  <c r="AJ198" i="46" s="1"/>
  <c r="Z199" i="46"/>
  <c r="AA199" i="46" s="1"/>
  <c r="AB199" i="46"/>
  <c r="AC199" i="46" s="1"/>
  <c r="AD199" i="46"/>
  <c r="AH199" i="46" s="1" a="1"/>
  <c r="AH199" i="46" s="1"/>
  <c r="AE199" i="46"/>
  <c r="AJ199" i="46" s="1"/>
  <c r="Z200" i="46"/>
  <c r="AA200" i="46" s="1"/>
  <c r="AB200" i="46"/>
  <c r="AC200" i="46" s="1"/>
  <c r="AD200" i="46"/>
  <c r="AH200" i="46" s="1" a="1"/>
  <c r="AH200" i="46" s="1"/>
  <c r="AE200" i="46"/>
  <c r="AJ200" i="46" s="1"/>
  <c r="Z201" i="46"/>
  <c r="AA201" i="46" s="1"/>
  <c r="AB201" i="46"/>
  <c r="AC201" i="46" s="1"/>
  <c r="AD201" i="46"/>
  <c r="AH201" i="46" s="1" a="1"/>
  <c r="AH201" i="46" s="1"/>
  <c r="AE201" i="46"/>
  <c r="AF201" i="46" s="1"/>
  <c r="AG201" i="46" s="1"/>
  <c r="Z202" i="46"/>
  <c r="AA202" i="46" s="1"/>
  <c r="AB202" i="46"/>
  <c r="AC202" i="46" s="1"/>
  <c r="AD202" i="46"/>
  <c r="AH202" i="46" s="1" a="1"/>
  <c r="AH202" i="46" s="1"/>
  <c r="AE202" i="46"/>
  <c r="Z203" i="46"/>
  <c r="AA203" i="46" s="1"/>
  <c r="AB203" i="46"/>
  <c r="AC203" i="46" s="1"/>
  <c r="AD203" i="46"/>
  <c r="AH203" i="46" s="1" a="1"/>
  <c r="AH203" i="46" s="1"/>
  <c r="AE203" i="46"/>
  <c r="Z204" i="46"/>
  <c r="AA204" i="46" s="1"/>
  <c r="AB204" i="46"/>
  <c r="AC204" i="46" s="1"/>
  <c r="AD204" i="46"/>
  <c r="AH204" i="46" s="1" a="1"/>
  <c r="AH204" i="46" s="1"/>
  <c r="AE204" i="46"/>
  <c r="AJ204" i="46" s="1"/>
  <c r="Z205" i="46"/>
  <c r="AA205" i="46" s="1"/>
  <c r="AB205" i="46"/>
  <c r="AC205" i="46" s="1"/>
  <c r="AD205" i="46"/>
  <c r="AH205" i="46" s="1" a="1"/>
  <c r="AH205" i="46" s="1"/>
  <c r="AE205" i="46"/>
  <c r="AF205" i="46" s="1"/>
  <c r="AG205" i="46" s="1"/>
  <c r="Z206" i="46"/>
  <c r="AA206" i="46" s="1"/>
  <c r="AB206" i="46"/>
  <c r="AC206" i="46" s="1"/>
  <c r="AD206" i="46"/>
  <c r="AH206" i="46" s="1" a="1"/>
  <c r="AH206" i="46" s="1"/>
  <c r="AE206" i="46"/>
  <c r="AJ206" i="46" s="1"/>
  <c r="Z207" i="46"/>
  <c r="AA207" i="46" s="1"/>
  <c r="AB207" i="46"/>
  <c r="AC207" i="46" s="1"/>
  <c r="AD207" i="46"/>
  <c r="AH207" i="46" s="1" a="1"/>
  <c r="AH207" i="46" s="1"/>
  <c r="AE207" i="46"/>
  <c r="AF207" i="46" s="1"/>
  <c r="AG207" i="46" s="1"/>
  <c r="Z208" i="46"/>
  <c r="AA208" i="46" s="1"/>
  <c r="AB208" i="46"/>
  <c r="AC208" i="46" s="1"/>
  <c r="AD208" i="46"/>
  <c r="AH208" i="46" s="1" a="1"/>
  <c r="AH208" i="46" s="1"/>
  <c r="AE208" i="46"/>
  <c r="AI208" i="46" s="1"/>
  <c r="Z209" i="46"/>
  <c r="AA209" i="46" s="1"/>
  <c r="AB209" i="46"/>
  <c r="AC209" i="46" s="1"/>
  <c r="AD209" i="46"/>
  <c r="AH209" i="46" s="1" a="1"/>
  <c r="AH209" i="46" s="1"/>
  <c r="AE209" i="46"/>
  <c r="Z210" i="46"/>
  <c r="AA210" i="46" s="1"/>
  <c r="AB210" i="46"/>
  <c r="AC210" i="46" s="1"/>
  <c r="AD210" i="46"/>
  <c r="AH210" i="46" s="1" a="1"/>
  <c r="AH210" i="46" s="1"/>
  <c r="AE210" i="46"/>
  <c r="Z211" i="46"/>
  <c r="AA211" i="46" s="1"/>
  <c r="AB211" i="46"/>
  <c r="AC211" i="46" s="1"/>
  <c r="AD211" i="46"/>
  <c r="AH211" i="46" s="1" a="1"/>
  <c r="AH211" i="46" s="1"/>
  <c r="AE211" i="46"/>
  <c r="AJ211" i="46" s="1"/>
  <c r="Z212" i="46"/>
  <c r="AA212" i="46" s="1"/>
  <c r="AB212" i="46"/>
  <c r="AC212" i="46" s="1"/>
  <c r="AD212" i="46"/>
  <c r="AH212" i="46" s="1" a="1"/>
  <c r="AH212" i="46" s="1"/>
  <c r="AE212" i="46"/>
  <c r="AJ212" i="46" s="1"/>
  <c r="Z213" i="46"/>
  <c r="AA213" i="46" s="1"/>
  <c r="AB213" i="46"/>
  <c r="AC213" i="46" s="1"/>
  <c r="AD213" i="46"/>
  <c r="AH213" i="46" s="1" a="1"/>
  <c r="AH213" i="46" s="1"/>
  <c r="AE213" i="46"/>
  <c r="AF213" i="46" s="1"/>
  <c r="AG213" i="46" s="1"/>
  <c r="Z214" i="46"/>
  <c r="AA214" i="46" s="1"/>
  <c r="AB214" i="46"/>
  <c r="AC214" i="46" s="1"/>
  <c r="AD214" i="46"/>
  <c r="AH214" i="46" s="1" a="1"/>
  <c r="AH214" i="46" s="1"/>
  <c r="AE214" i="46"/>
  <c r="AJ214" i="46" s="1"/>
  <c r="Z215" i="46"/>
  <c r="AA215" i="46" s="1"/>
  <c r="AB215" i="46"/>
  <c r="AC215" i="46" s="1"/>
  <c r="AD215" i="46"/>
  <c r="AH215" i="46" s="1" a="1"/>
  <c r="AH215" i="46" s="1"/>
  <c r="AE215" i="46"/>
  <c r="Z216" i="46"/>
  <c r="AA216" i="46" s="1"/>
  <c r="AB216" i="46"/>
  <c r="AC216" i="46" s="1"/>
  <c r="AD216" i="46"/>
  <c r="AH216" i="46" s="1" a="1"/>
  <c r="AH216" i="46" s="1"/>
  <c r="AE216" i="46"/>
  <c r="Z217" i="46"/>
  <c r="AA217" i="46" s="1"/>
  <c r="AB217" i="46"/>
  <c r="AC217" i="46" s="1"/>
  <c r="AD217" i="46"/>
  <c r="AH217" i="46" s="1" a="1"/>
  <c r="AH217" i="46" s="1"/>
  <c r="AE217" i="46"/>
  <c r="AI217" i="46" s="1"/>
  <c r="Z218" i="46"/>
  <c r="AA218" i="46" s="1"/>
  <c r="AB218" i="46"/>
  <c r="AC218" i="46" s="1"/>
  <c r="AD218" i="46"/>
  <c r="AH218" i="46" s="1" a="1"/>
  <c r="AH218" i="46" s="1"/>
  <c r="AE218" i="46"/>
  <c r="AJ218" i="46" s="1"/>
  <c r="Z219" i="46"/>
  <c r="AA219" i="46" s="1"/>
  <c r="AB219" i="46"/>
  <c r="AC219" i="46" s="1"/>
  <c r="AD219" i="46"/>
  <c r="AH219" i="46" s="1" a="1"/>
  <c r="AH219" i="46" s="1"/>
  <c r="AE219" i="46"/>
  <c r="Z220" i="46"/>
  <c r="AA220" i="46" s="1"/>
  <c r="AB220" i="46"/>
  <c r="AC220" i="46" s="1"/>
  <c r="AD220" i="46"/>
  <c r="AH220" i="46" s="1" a="1"/>
  <c r="AH220" i="46" s="1"/>
  <c r="AE220" i="46"/>
  <c r="Z221" i="46"/>
  <c r="AA221" i="46" s="1"/>
  <c r="AB221" i="46"/>
  <c r="AC221" i="46" s="1"/>
  <c r="AD221" i="46"/>
  <c r="AH221" i="46" s="1" a="1"/>
  <c r="AH221" i="46" s="1"/>
  <c r="AE221" i="46"/>
  <c r="AI221" i="46" s="1"/>
  <c r="Z222" i="46"/>
  <c r="AA222" i="46" s="1"/>
  <c r="AB222" i="46"/>
  <c r="AC222" i="46" s="1"/>
  <c r="AD222" i="46"/>
  <c r="AH222" i="46" s="1" a="1"/>
  <c r="AH222" i="46" s="1"/>
  <c r="AE222" i="46"/>
  <c r="AF222" i="46" s="1"/>
  <c r="AG222" i="46" s="1"/>
  <c r="Z223" i="46"/>
  <c r="AA223" i="46" s="1"/>
  <c r="AB223" i="46"/>
  <c r="AC223" i="46" s="1"/>
  <c r="AD223" i="46"/>
  <c r="AH223" i="46" s="1" a="1"/>
  <c r="AH223" i="46" s="1"/>
  <c r="AE223" i="46"/>
  <c r="Z224" i="46"/>
  <c r="AA224" i="46" s="1"/>
  <c r="AB224" i="46"/>
  <c r="AC224" i="46" s="1"/>
  <c r="AD224" i="46"/>
  <c r="AH224" i="46" s="1" a="1"/>
  <c r="AH224" i="46" s="1"/>
  <c r="AE224" i="46"/>
  <c r="AF224" i="46" s="1"/>
  <c r="AG224" i="46" s="1"/>
  <c r="Z225" i="46"/>
  <c r="AA225" i="46" s="1"/>
  <c r="AB225" i="46"/>
  <c r="AC225" i="46" s="1"/>
  <c r="AD225" i="46"/>
  <c r="AH225" i="46" s="1" a="1"/>
  <c r="AH225" i="46" s="1"/>
  <c r="AE225" i="46"/>
  <c r="AF225" i="46" s="1"/>
  <c r="AG225" i="46" s="1"/>
  <c r="Z226" i="46"/>
  <c r="AA226" i="46" s="1"/>
  <c r="AB226" i="46"/>
  <c r="AC226" i="46" s="1"/>
  <c r="AD226" i="46"/>
  <c r="AH226" i="46" s="1" a="1"/>
  <c r="AH226" i="46" s="1"/>
  <c r="AE226" i="46"/>
  <c r="AI226" i="46" s="1"/>
  <c r="Z227" i="46"/>
  <c r="AA227" i="46" s="1"/>
  <c r="AB227" i="46"/>
  <c r="AC227" i="46" s="1"/>
  <c r="AD227" i="46"/>
  <c r="AH227" i="46" s="1" a="1"/>
  <c r="AH227" i="46" s="1"/>
  <c r="AE227" i="46"/>
  <c r="Z228" i="46"/>
  <c r="AA228" i="46" s="1"/>
  <c r="AB228" i="46"/>
  <c r="AC228" i="46" s="1"/>
  <c r="AD228" i="46"/>
  <c r="AH228" i="46" s="1" a="1"/>
  <c r="AH228" i="46" s="1"/>
  <c r="AE228" i="46"/>
  <c r="AF228" i="46" s="1"/>
  <c r="AG228" i="46" s="1"/>
  <c r="Z229" i="46"/>
  <c r="AA229" i="46" s="1"/>
  <c r="AB229" i="46"/>
  <c r="AC229" i="46" s="1"/>
  <c r="AD229" i="46"/>
  <c r="AH229" i="46" s="1" a="1"/>
  <c r="AH229" i="46" s="1"/>
  <c r="AE229" i="46"/>
  <c r="AF229" i="46" s="1"/>
  <c r="AG229" i="46" s="1"/>
  <c r="Z230" i="46"/>
  <c r="AA230" i="46" s="1"/>
  <c r="AB230" i="46"/>
  <c r="AC230" i="46" s="1"/>
  <c r="AD230" i="46"/>
  <c r="AH230" i="46" s="1" a="1"/>
  <c r="AH230" i="46" s="1"/>
  <c r="AE230" i="46"/>
  <c r="AJ230" i="46" s="1"/>
  <c r="Z231" i="46"/>
  <c r="AA231" i="46" s="1"/>
  <c r="AB231" i="46"/>
  <c r="AC231" i="46" s="1"/>
  <c r="AD231" i="46"/>
  <c r="AH231" i="46" s="1" a="1"/>
  <c r="AH231" i="46" s="1"/>
  <c r="AE231" i="46"/>
  <c r="Z232" i="46"/>
  <c r="AA232" i="46" s="1"/>
  <c r="AB232" i="46"/>
  <c r="AC232" i="46" s="1"/>
  <c r="AD232" i="46"/>
  <c r="AH232" i="46" s="1" a="1"/>
  <c r="AH232" i="46" s="1"/>
  <c r="AE232" i="46"/>
  <c r="AF232" i="46" s="1"/>
  <c r="AG232" i="46" s="1"/>
  <c r="Z233" i="46"/>
  <c r="AA233" i="46" s="1"/>
  <c r="AB233" i="46"/>
  <c r="AC233" i="46" s="1"/>
  <c r="AD233" i="46"/>
  <c r="AH233" i="46" s="1" a="1"/>
  <c r="AH233" i="46" s="1"/>
  <c r="AE233" i="46"/>
  <c r="Z234" i="46"/>
  <c r="AA234" i="46" s="1"/>
  <c r="AB234" i="46"/>
  <c r="AC234" i="46" s="1"/>
  <c r="AD234" i="46"/>
  <c r="AH234" i="46" s="1" a="1"/>
  <c r="AH234" i="46" s="1"/>
  <c r="AE234" i="46"/>
  <c r="Z235" i="46"/>
  <c r="AA235" i="46" s="1"/>
  <c r="AB235" i="46"/>
  <c r="AC235" i="46" s="1"/>
  <c r="AD235" i="46"/>
  <c r="AH235" i="46" s="1" a="1"/>
  <c r="AH235" i="46" s="1"/>
  <c r="AE235" i="46"/>
  <c r="Z236" i="46"/>
  <c r="AA236" i="46" s="1"/>
  <c r="AB236" i="46"/>
  <c r="AC236" i="46" s="1"/>
  <c r="AD236" i="46"/>
  <c r="AH236" i="46" s="1" a="1"/>
  <c r="AH236" i="46" s="1"/>
  <c r="AE236" i="46"/>
  <c r="AF236" i="46" s="1"/>
  <c r="AG236" i="46" s="1"/>
  <c r="Z237" i="46"/>
  <c r="AA237" i="46" s="1"/>
  <c r="AB237" i="46"/>
  <c r="AC237" i="46" s="1"/>
  <c r="AD237" i="46"/>
  <c r="AH237" i="46" s="1" a="1"/>
  <c r="AH237" i="46" s="1"/>
  <c r="AE237" i="46"/>
  <c r="AI237" i="46" s="1"/>
  <c r="Z238" i="46"/>
  <c r="AA238" i="46" s="1"/>
  <c r="AB238" i="46"/>
  <c r="AC238" i="46" s="1"/>
  <c r="AD238" i="46"/>
  <c r="AH238" i="46" s="1" a="1"/>
  <c r="AH238" i="46" s="1"/>
  <c r="AE238" i="46"/>
  <c r="Z239" i="46"/>
  <c r="AA239" i="46" s="1"/>
  <c r="AB239" i="46"/>
  <c r="AC239" i="46" s="1"/>
  <c r="AD239" i="46"/>
  <c r="AH239" i="46" s="1" a="1"/>
  <c r="AH239" i="46" s="1"/>
  <c r="AE239" i="46"/>
  <c r="AJ239" i="46" s="1"/>
  <c r="Z240" i="46"/>
  <c r="AA240" i="46" s="1"/>
  <c r="AB240" i="46"/>
  <c r="AC240" i="46" s="1"/>
  <c r="AD240" i="46"/>
  <c r="AH240" i="46" s="1" a="1"/>
  <c r="AH240" i="46" s="1"/>
  <c r="AE240" i="46"/>
  <c r="AI240" i="46" s="1"/>
  <c r="Z241" i="46"/>
  <c r="AA241" i="46" s="1"/>
  <c r="AB241" i="46"/>
  <c r="AC241" i="46" s="1"/>
  <c r="AD241" i="46"/>
  <c r="AH241" i="46" s="1" a="1"/>
  <c r="AH241" i="46" s="1"/>
  <c r="AE241" i="46"/>
  <c r="AI241" i="46" s="1"/>
  <c r="Z242" i="46"/>
  <c r="AA242" i="46" s="1"/>
  <c r="AB242" i="46"/>
  <c r="AC242" i="46" s="1"/>
  <c r="AD242" i="46"/>
  <c r="AH242" i="46" s="1" a="1"/>
  <c r="AH242" i="46" s="1"/>
  <c r="AE242" i="46"/>
  <c r="AI242" i="46" s="1"/>
  <c r="Z243" i="46"/>
  <c r="AA243" i="46" s="1"/>
  <c r="AB243" i="46"/>
  <c r="AC243" i="46" s="1"/>
  <c r="AD243" i="46"/>
  <c r="AH243" i="46" s="1" a="1"/>
  <c r="AH243" i="46" s="1"/>
  <c r="AE243" i="46"/>
  <c r="AF243" i="46" s="1"/>
  <c r="AG243" i="46" s="1"/>
  <c r="Z244" i="46"/>
  <c r="AA244" i="46" s="1"/>
  <c r="AB244" i="46"/>
  <c r="AC244" i="46" s="1"/>
  <c r="AD244" i="46"/>
  <c r="AH244" i="46" s="1" a="1"/>
  <c r="AH244" i="46" s="1"/>
  <c r="AE244" i="46"/>
  <c r="AJ244" i="46" s="1"/>
  <c r="Z245" i="46"/>
  <c r="AA245" i="46" s="1"/>
  <c r="AB245" i="46"/>
  <c r="AC245" i="46" s="1"/>
  <c r="AD245" i="46"/>
  <c r="AH245" i="46" s="1" a="1"/>
  <c r="AH245" i="46" s="1"/>
  <c r="AE245" i="46"/>
  <c r="AF245" i="46" s="1"/>
  <c r="AG245" i="46" s="1"/>
  <c r="Z246" i="46"/>
  <c r="AA246" i="46" s="1"/>
  <c r="AB246" i="46"/>
  <c r="AC246" i="46" s="1"/>
  <c r="AD246" i="46"/>
  <c r="AH246" i="46" s="1" a="1"/>
  <c r="AH246" i="46" s="1"/>
  <c r="AE246" i="46"/>
  <c r="AJ246" i="46" s="1"/>
  <c r="Z247" i="46"/>
  <c r="AA247" i="46" s="1"/>
  <c r="AB247" i="46"/>
  <c r="AC247" i="46" s="1"/>
  <c r="AD247" i="46"/>
  <c r="AH247" i="46" s="1" a="1"/>
  <c r="AH247" i="46" s="1"/>
  <c r="AE247" i="46"/>
  <c r="AF247" i="46" s="1"/>
  <c r="AG247" i="46" s="1"/>
  <c r="Z248" i="46"/>
  <c r="AA248" i="46" s="1"/>
  <c r="AB248" i="46"/>
  <c r="AC248" i="46" s="1"/>
  <c r="AD248" i="46"/>
  <c r="AH248" i="46" s="1" a="1"/>
  <c r="AH248" i="46" s="1"/>
  <c r="AE248" i="46"/>
  <c r="AJ248" i="46" s="1"/>
  <c r="Z249" i="46"/>
  <c r="AA249" i="46" s="1"/>
  <c r="AB249" i="46"/>
  <c r="AC249" i="46" s="1"/>
  <c r="AD249" i="46"/>
  <c r="AH249" i="46" s="1" a="1"/>
  <c r="AH249" i="46" s="1"/>
  <c r="AE249" i="46"/>
  <c r="AI249" i="46" s="1"/>
  <c r="Z250" i="46"/>
  <c r="AA250" i="46" s="1"/>
  <c r="AB250" i="46"/>
  <c r="AC250" i="46" s="1"/>
  <c r="AD250" i="46"/>
  <c r="AH250" i="46" s="1" a="1"/>
  <c r="AH250" i="46" s="1"/>
  <c r="AE250" i="46"/>
  <c r="Z251" i="46"/>
  <c r="AA251" i="46" s="1"/>
  <c r="AB251" i="46"/>
  <c r="AC251" i="46" s="1"/>
  <c r="AD251" i="46"/>
  <c r="AH251" i="46" s="1" a="1"/>
  <c r="AH251" i="46" s="1"/>
  <c r="AE251" i="46"/>
  <c r="AI251" i="46" s="1"/>
  <c r="Z252" i="46"/>
  <c r="AA252" i="46" s="1"/>
  <c r="AB252" i="46"/>
  <c r="AC252" i="46" s="1"/>
  <c r="AD252" i="46"/>
  <c r="AH252" i="46" s="1" a="1"/>
  <c r="AH252" i="46" s="1"/>
  <c r="AE252" i="46"/>
  <c r="AJ252" i="46" s="1"/>
  <c r="Z253" i="46"/>
  <c r="AA253" i="46" s="1"/>
  <c r="AB253" i="46"/>
  <c r="AC253" i="46" s="1"/>
  <c r="AD253" i="46"/>
  <c r="AH253" i="46" s="1" a="1"/>
  <c r="AH253" i="46" s="1"/>
  <c r="AE253" i="46"/>
  <c r="AF253" i="46" s="1"/>
  <c r="AG253" i="46" s="1"/>
  <c r="Z254" i="46"/>
  <c r="AA254" i="46" s="1"/>
  <c r="AB254" i="46"/>
  <c r="AC254" i="46" s="1"/>
  <c r="AD254" i="46"/>
  <c r="AH254" i="46" s="1" a="1"/>
  <c r="AH254" i="46" s="1"/>
  <c r="AE254" i="46"/>
  <c r="AJ254" i="46" s="1"/>
  <c r="Z255" i="46"/>
  <c r="AA255" i="46" s="1"/>
  <c r="AB255" i="46"/>
  <c r="AC255" i="46" s="1"/>
  <c r="AD255" i="46"/>
  <c r="AH255" i="46" s="1" a="1"/>
  <c r="AH255" i="46" s="1"/>
  <c r="AE255" i="46"/>
  <c r="AF255" i="46" s="1"/>
  <c r="AG255" i="46" s="1"/>
  <c r="Z256" i="46"/>
  <c r="AA256" i="46" s="1"/>
  <c r="AB256" i="46"/>
  <c r="AC256" i="46" s="1"/>
  <c r="AD256" i="46"/>
  <c r="AH256" i="46" s="1" a="1"/>
  <c r="AH256" i="46" s="1"/>
  <c r="AE256" i="46"/>
  <c r="Z257" i="46"/>
  <c r="AA257" i="46" s="1"/>
  <c r="AB257" i="46"/>
  <c r="AC257" i="46" s="1"/>
  <c r="AD257" i="46"/>
  <c r="AH257" i="46" s="1" a="1"/>
  <c r="AH257" i="46" s="1"/>
  <c r="AE257" i="46"/>
  <c r="AI257" i="46" s="1"/>
  <c r="Z258" i="46"/>
  <c r="AA258" i="46" s="1"/>
  <c r="AB258" i="46"/>
  <c r="AC258" i="46" s="1"/>
  <c r="AD258" i="46"/>
  <c r="AH258" i="46" s="1" a="1"/>
  <c r="AH258" i="46" s="1"/>
  <c r="AE258" i="46"/>
  <c r="AJ258" i="46" s="1"/>
  <c r="Z259" i="46"/>
  <c r="AA259" i="46" s="1"/>
  <c r="AB259" i="46"/>
  <c r="AC259" i="46" s="1"/>
  <c r="AD259" i="46"/>
  <c r="AH259" i="46" s="1" a="1"/>
  <c r="AH259" i="46" s="1"/>
  <c r="AE259" i="46"/>
  <c r="AF259" i="46" s="1"/>
  <c r="AG259" i="46" s="1"/>
  <c r="Z260" i="46"/>
  <c r="AA260" i="46" s="1"/>
  <c r="AB260" i="46"/>
  <c r="AC260" i="46" s="1"/>
  <c r="AD260" i="46"/>
  <c r="AH260" i="46" s="1" a="1"/>
  <c r="AH260" i="46" s="1"/>
  <c r="AE260" i="46"/>
  <c r="AJ260" i="46" s="1"/>
  <c r="Z261" i="46"/>
  <c r="AA261" i="46" s="1"/>
  <c r="AB261" i="46"/>
  <c r="AC261" i="46" s="1"/>
  <c r="AD261" i="46"/>
  <c r="AH261" i="46" s="1" a="1"/>
  <c r="AH261" i="46" s="1"/>
  <c r="AE261" i="46"/>
  <c r="Z262" i="46"/>
  <c r="AA262" i="46" s="1"/>
  <c r="AB262" i="46"/>
  <c r="AC262" i="46" s="1"/>
  <c r="AD262" i="46"/>
  <c r="AH262" i="46" s="1" a="1"/>
  <c r="AH262" i="46" s="1"/>
  <c r="AE262" i="46"/>
  <c r="AJ262" i="46" s="1"/>
  <c r="Z263" i="46"/>
  <c r="AA263" i="46" s="1"/>
  <c r="AB263" i="46"/>
  <c r="AC263" i="46" s="1"/>
  <c r="AD263" i="46"/>
  <c r="AH263" i="46" s="1" a="1"/>
  <c r="AH263" i="46" s="1"/>
  <c r="AE263" i="46"/>
  <c r="AF263" i="46" s="1"/>
  <c r="AG263" i="46" s="1"/>
  <c r="Z264" i="46"/>
  <c r="AA264" i="46" s="1"/>
  <c r="AB264" i="46"/>
  <c r="AC264" i="46" s="1"/>
  <c r="AD264" i="46"/>
  <c r="AH264" i="46" s="1" a="1"/>
  <c r="AH264" i="46" s="1"/>
  <c r="AE264" i="46"/>
  <c r="AJ264" i="46" s="1"/>
  <c r="Z265" i="46"/>
  <c r="AA265" i="46" s="1"/>
  <c r="AB265" i="46"/>
  <c r="AC265" i="46" s="1"/>
  <c r="AD265" i="46"/>
  <c r="AH265" i="46" s="1" a="1"/>
  <c r="AH265" i="46" s="1"/>
  <c r="AE265" i="46"/>
  <c r="Z266" i="46"/>
  <c r="AA266" i="46" s="1"/>
  <c r="AB266" i="46"/>
  <c r="AC266" i="46" s="1"/>
  <c r="AD266" i="46"/>
  <c r="AH266" i="46" s="1" a="1"/>
  <c r="AH266" i="46" s="1"/>
  <c r="AE266" i="46"/>
  <c r="Z267" i="46"/>
  <c r="AA267" i="46" s="1"/>
  <c r="AB267" i="46"/>
  <c r="AC267" i="46" s="1"/>
  <c r="AD267" i="46"/>
  <c r="AH267" i="46" s="1" a="1"/>
  <c r="AH267" i="46" s="1"/>
  <c r="AE267" i="46"/>
  <c r="AF267" i="46" s="1"/>
  <c r="AG267" i="46" s="1"/>
  <c r="Z268" i="46"/>
  <c r="AA268" i="46" s="1"/>
  <c r="AB268" i="46"/>
  <c r="AC268" i="46" s="1"/>
  <c r="AD268" i="46"/>
  <c r="AH268" i="46" s="1" a="1"/>
  <c r="AH268" i="46" s="1"/>
  <c r="AE268" i="46"/>
  <c r="AJ268" i="46" s="1"/>
  <c r="Z269" i="46"/>
  <c r="AA269" i="46" s="1"/>
  <c r="AB269" i="46"/>
  <c r="AC269" i="46" s="1"/>
  <c r="AD269" i="46"/>
  <c r="AH269" i="46" s="1" a="1"/>
  <c r="AH269" i="46" s="1"/>
  <c r="AE269" i="46"/>
  <c r="AI269" i="46" s="1"/>
  <c r="Z270" i="46"/>
  <c r="AA270" i="46" s="1"/>
  <c r="AB270" i="46"/>
  <c r="AC270" i="46" s="1"/>
  <c r="AD270" i="46"/>
  <c r="AH270" i="46" s="1" a="1"/>
  <c r="AH270" i="46" s="1"/>
  <c r="AE270" i="46"/>
  <c r="AJ270" i="46" s="1"/>
  <c r="Z271" i="46"/>
  <c r="AA271" i="46" s="1"/>
  <c r="AB271" i="46"/>
  <c r="AC271" i="46" s="1"/>
  <c r="AD271" i="46"/>
  <c r="AH271" i="46" s="1" a="1"/>
  <c r="AH271" i="46" s="1"/>
  <c r="AE271" i="46"/>
  <c r="AF271" i="46" s="1"/>
  <c r="AG271" i="46" s="1"/>
  <c r="Z272" i="46"/>
  <c r="AA272" i="46" s="1"/>
  <c r="AB272" i="46"/>
  <c r="AC272" i="46" s="1"/>
  <c r="AD272" i="46"/>
  <c r="AH272" i="46" s="1" a="1"/>
  <c r="AH272" i="46" s="1"/>
  <c r="AE272" i="46"/>
  <c r="Z273" i="46"/>
  <c r="AA273" i="46" s="1"/>
  <c r="AB273" i="46"/>
  <c r="AC273" i="46" s="1"/>
  <c r="AD273" i="46"/>
  <c r="AH273" i="46" s="1" a="1"/>
  <c r="AH273" i="46" s="1"/>
  <c r="AE273" i="46"/>
  <c r="AI273" i="46" s="1"/>
  <c r="Z274" i="46"/>
  <c r="AA274" i="46" s="1"/>
  <c r="AB274" i="46"/>
  <c r="AC274" i="46" s="1"/>
  <c r="AD274" i="46"/>
  <c r="AH274" i="46" s="1" a="1"/>
  <c r="AH274" i="46" s="1"/>
  <c r="AE274" i="46"/>
  <c r="Z275" i="46"/>
  <c r="AA275" i="46" s="1"/>
  <c r="AB275" i="46"/>
  <c r="AC275" i="46" s="1"/>
  <c r="AD275" i="46"/>
  <c r="AH275" i="46" s="1" a="1"/>
  <c r="AH275" i="46" s="1"/>
  <c r="AE275" i="46"/>
  <c r="AF275" i="46" s="1"/>
  <c r="AG275" i="46" s="1"/>
  <c r="Z276" i="46"/>
  <c r="AA276" i="46" s="1"/>
  <c r="AB276" i="46"/>
  <c r="AC276" i="46" s="1"/>
  <c r="AD276" i="46"/>
  <c r="AH276" i="46" s="1" a="1"/>
  <c r="AH276" i="46" s="1"/>
  <c r="AE276" i="46"/>
  <c r="AJ276" i="46" s="1"/>
  <c r="Z277" i="46"/>
  <c r="AA277" i="46" s="1"/>
  <c r="AB277" i="46"/>
  <c r="AC277" i="46" s="1"/>
  <c r="AD277" i="46"/>
  <c r="AH277" i="46" s="1" a="1"/>
  <c r="AH277" i="46" s="1"/>
  <c r="AE277" i="46"/>
  <c r="AF277" i="46" s="1"/>
  <c r="AG277" i="46" s="1"/>
  <c r="Z278" i="46"/>
  <c r="AA278" i="46" s="1"/>
  <c r="AB278" i="46"/>
  <c r="AC278" i="46" s="1"/>
  <c r="AD278" i="46"/>
  <c r="AH278" i="46" s="1" a="1"/>
  <c r="AH278" i="46" s="1"/>
  <c r="AE278" i="46"/>
  <c r="AJ278" i="46" s="1"/>
  <c r="Z279" i="46"/>
  <c r="AA279" i="46" s="1"/>
  <c r="AB279" i="46"/>
  <c r="AC279" i="46" s="1"/>
  <c r="AD279" i="46"/>
  <c r="AH279" i="46" s="1" a="1"/>
  <c r="AH279" i="46" s="1"/>
  <c r="AE279" i="46"/>
  <c r="Z280" i="46"/>
  <c r="AA280" i="46" s="1"/>
  <c r="AB280" i="46"/>
  <c r="AC280" i="46" s="1"/>
  <c r="AD280" i="46"/>
  <c r="AH280" i="46" s="1" a="1"/>
  <c r="AH280" i="46" s="1"/>
  <c r="AE280" i="46"/>
  <c r="AJ280" i="46" s="1"/>
  <c r="Z281" i="46"/>
  <c r="AA281" i="46" s="1"/>
  <c r="AB281" i="46"/>
  <c r="AC281" i="46" s="1"/>
  <c r="AD281" i="46"/>
  <c r="AH281" i="46" s="1" a="1"/>
  <c r="AH281" i="46" s="1"/>
  <c r="AE281" i="46"/>
  <c r="AI281" i="46" s="1"/>
  <c r="Z282" i="46"/>
  <c r="AA282" i="46" s="1"/>
  <c r="AB282" i="46"/>
  <c r="AC282" i="46" s="1"/>
  <c r="AD282" i="46"/>
  <c r="AH282" i="46" s="1" a="1"/>
  <c r="AH282" i="46" s="1"/>
  <c r="AE282" i="46"/>
  <c r="Z283" i="46"/>
  <c r="AA283" i="46" s="1"/>
  <c r="AB283" i="46"/>
  <c r="AC283" i="46" s="1"/>
  <c r="AD283" i="46"/>
  <c r="AH283" i="46" s="1" a="1"/>
  <c r="AH283" i="46" s="1"/>
  <c r="AE283" i="46"/>
  <c r="AJ283" i="46" s="1"/>
  <c r="Z284" i="46"/>
  <c r="AA284" i="46" s="1"/>
  <c r="AB284" i="46"/>
  <c r="AC284" i="46" s="1"/>
  <c r="AD284" i="46"/>
  <c r="AH284" i="46" s="1" a="1"/>
  <c r="AH284" i="46" s="1"/>
  <c r="AE284" i="46"/>
  <c r="AJ284" i="46" s="1"/>
  <c r="Z285" i="46"/>
  <c r="AA285" i="46" s="1"/>
  <c r="AB285" i="46"/>
  <c r="AC285" i="46" s="1"/>
  <c r="AD285" i="46"/>
  <c r="AH285" i="46" s="1" a="1"/>
  <c r="AH285" i="46" s="1"/>
  <c r="AE285" i="46"/>
  <c r="AF285" i="46" s="1"/>
  <c r="AG285" i="46" s="1"/>
  <c r="Z286" i="46"/>
  <c r="AA286" i="46" s="1"/>
  <c r="AB286" i="46"/>
  <c r="AC286" i="46" s="1"/>
  <c r="AD286" i="46"/>
  <c r="AH286" i="46" s="1" a="1"/>
  <c r="AH286" i="46" s="1"/>
  <c r="AE286" i="46"/>
  <c r="AF286" i="46" s="1"/>
  <c r="AG286" i="46" s="1"/>
  <c r="Z287" i="46"/>
  <c r="AA287" i="46" s="1"/>
  <c r="AB287" i="46"/>
  <c r="AC287" i="46" s="1"/>
  <c r="AD287" i="46"/>
  <c r="AH287" i="46" s="1" a="1"/>
  <c r="AH287" i="46" s="1"/>
  <c r="AE287" i="46"/>
  <c r="AF287" i="46" s="1"/>
  <c r="AG287" i="46" s="1"/>
  <c r="Z288" i="46"/>
  <c r="AA288" i="46" s="1"/>
  <c r="AB288" i="46"/>
  <c r="AC288" i="46" s="1"/>
  <c r="AD288" i="46"/>
  <c r="AH288" i="46" s="1" a="1"/>
  <c r="AH288" i="46" s="1"/>
  <c r="AE288" i="46"/>
  <c r="AF288" i="46" s="1"/>
  <c r="AG288" i="46" s="1"/>
  <c r="Z289" i="46"/>
  <c r="AA289" i="46" s="1"/>
  <c r="AB289" i="46"/>
  <c r="AC289" i="46" s="1"/>
  <c r="AD289" i="46"/>
  <c r="AH289" i="46" s="1" a="1"/>
  <c r="AH289" i="46" s="1"/>
  <c r="AE289" i="46"/>
  <c r="AI289" i="46" s="1"/>
  <c r="Z290" i="46"/>
  <c r="AA290" i="46" s="1"/>
  <c r="AB290" i="46"/>
  <c r="AC290" i="46" s="1"/>
  <c r="AD290" i="46"/>
  <c r="AH290" i="46" s="1" a="1"/>
  <c r="AH290" i="46" s="1"/>
  <c r="AE290" i="46"/>
  <c r="Z291" i="46"/>
  <c r="AA291" i="46" s="1"/>
  <c r="AB291" i="46"/>
  <c r="AC291" i="46" s="1"/>
  <c r="AD291" i="46"/>
  <c r="AH291" i="46" s="1" a="1"/>
  <c r="AH291" i="46" s="1"/>
  <c r="AE291" i="46"/>
  <c r="AJ291" i="46" s="1"/>
  <c r="Z292" i="46"/>
  <c r="AA292" i="46" s="1"/>
  <c r="AB292" i="46"/>
  <c r="AC292" i="46" s="1"/>
  <c r="AD292" i="46"/>
  <c r="AH292" i="46" s="1" a="1"/>
  <c r="AH292" i="46" s="1"/>
  <c r="AE292" i="46"/>
  <c r="Z293" i="46"/>
  <c r="AA293" i="46" s="1"/>
  <c r="AB293" i="46"/>
  <c r="AC293" i="46" s="1"/>
  <c r="AD293" i="46"/>
  <c r="AH293" i="46" s="1" a="1"/>
  <c r="AH293" i="46" s="1"/>
  <c r="AE293" i="46"/>
  <c r="AF293" i="46" s="1"/>
  <c r="AG293" i="46" s="1"/>
  <c r="Z294" i="46"/>
  <c r="AA294" i="46" s="1"/>
  <c r="AB294" i="46"/>
  <c r="AC294" i="46" s="1"/>
  <c r="AD294" i="46"/>
  <c r="AH294" i="46" s="1" a="1"/>
  <c r="AH294" i="46" s="1"/>
  <c r="AE294" i="46"/>
  <c r="AF294" i="46" s="1"/>
  <c r="AG294" i="46" s="1"/>
  <c r="Z295" i="46"/>
  <c r="AA295" i="46" s="1"/>
  <c r="AB295" i="46"/>
  <c r="AC295" i="46" s="1"/>
  <c r="AD295" i="46"/>
  <c r="AH295" i="46" s="1" a="1"/>
  <c r="AH295" i="46" s="1"/>
  <c r="AE295" i="46"/>
  <c r="AI295" i="46" s="1"/>
  <c r="Z296" i="46"/>
  <c r="AA296" i="46" s="1"/>
  <c r="AB296" i="46"/>
  <c r="AC296" i="46" s="1"/>
  <c r="AD296" i="46"/>
  <c r="AH296" i="46" s="1" a="1"/>
  <c r="AH296" i="46" s="1"/>
  <c r="AE296" i="46"/>
  <c r="AI296" i="46" s="1"/>
  <c r="Z297" i="46"/>
  <c r="AA297" i="46" s="1"/>
  <c r="AB297" i="46"/>
  <c r="AC297" i="46" s="1"/>
  <c r="AD297" i="46"/>
  <c r="AH297" i="46" s="1" a="1"/>
  <c r="AH297" i="46" s="1"/>
  <c r="AE297" i="46"/>
  <c r="Z298" i="46"/>
  <c r="AA298" i="46" s="1"/>
  <c r="AB298" i="46"/>
  <c r="AC298" i="46" s="1"/>
  <c r="AD298" i="46"/>
  <c r="AH298" i="46" s="1" a="1"/>
  <c r="AH298" i="46" s="1"/>
  <c r="AE298" i="46"/>
  <c r="AF298" i="46" s="1"/>
  <c r="AG298" i="46" s="1"/>
  <c r="Z299" i="46"/>
  <c r="AA299" i="46" s="1"/>
  <c r="AB299" i="46"/>
  <c r="AC299" i="46" s="1"/>
  <c r="AD299" i="46"/>
  <c r="AH299" i="46" s="1" a="1"/>
  <c r="AH299" i="46" s="1"/>
  <c r="AE299" i="46"/>
  <c r="AJ299" i="46" s="1"/>
  <c r="Z300" i="46"/>
  <c r="AA300" i="46" s="1"/>
  <c r="AB300" i="46"/>
  <c r="AC300" i="46" s="1"/>
  <c r="AD300" i="46"/>
  <c r="AH300" i="46" s="1" a="1"/>
  <c r="AH300" i="46" s="1"/>
  <c r="AE300" i="46"/>
  <c r="AI300" i="46" s="1"/>
  <c r="Z301" i="46"/>
  <c r="AA301" i="46" s="1"/>
  <c r="AB301" i="46"/>
  <c r="AC301" i="46" s="1"/>
  <c r="AD301" i="46"/>
  <c r="AH301" i="46" s="1" a="1"/>
  <c r="AH301" i="46" s="1"/>
  <c r="AE301" i="46"/>
  <c r="Z302" i="46"/>
  <c r="AA302" i="46" s="1"/>
  <c r="AB302" i="46"/>
  <c r="AC302" i="46" s="1"/>
  <c r="AD302" i="46"/>
  <c r="AH302" i="46" s="1" a="1"/>
  <c r="AH302" i="46" s="1"/>
  <c r="AE302" i="46"/>
  <c r="AF302" i="46" s="1"/>
  <c r="AG302" i="46" s="1"/>
  <c r="Z303" i="46"/>
  <c r="AA303" i="46" s="1"/>
  <c r="AB303" i="46"/>
  <c r="AC303" i="46" s="1"/>
  <c r="AD303" i="46"/>
  <c r="AH303" i="46" s="1" a="1"/>
  <c r="AH303" i="46" s="1"/>
  <c r="AE303" i="46"/>
  <c r="Z304" i="46"/>
  <c r="AA304" i="46" s="1"/>
  <c r="AB304" i="46"/>
  <c r="AC304" i="46" s="1"/>
  <c r="AD304" i="46"/>
  <c r="AH304" i="46" s="1" a="1"/>
  <c r="AH304" i="46" s="1"/>
  <c r="AE304" i="46"/>
  <c r="Z305" i="46"/>
  <c r="AA305" i="46" s="1"/>
  <c r="AB305" i="46"/>
  <c r="AC305" i="46" s="1"/>
  <c r="AD305" i="46"/>
  <c r="AH305" i="46" s="1" a="1"/>
  <c r="AH305" i="46" s="1"/>
  <c r="AE305" i="46"/>
  <c r="AJ305" i="46" s="1"/>
  <c r="Z306" i="46"/>
  <c r="AA306" i="46" s="1"/>
  <c r="AB306" i="46"/>
  <c r="AC306" i="46" s="1"/>
  <c r="AD306" i="46"/>
  <c r="AH306" i="46" s="1" a="1"/>
  <c r="AH306" i="46" s="1"/>
  <c r="AE306" i="46"/>
  <c r="AF306" i="46" s="1"/>
  <c r="AG306" i="46" s="1"/>
  <c r="Z307" i="46"/>
  <c r="AA307" i="46" s="1"/>
  <c r="AB307" i="46"/>
  <c r="AC307" i="46" s="1"/>
  <c r="AD307" i="46"/>
  <c r="AH307" i="46" s="1" a="1"/>
  <c r="AH307" i="46" s="1"/>
  <c r="AE307" i="46"/>
  <c r="AJ307" i="46" s="1"/>
  <c r="Z308" i="46"/>
  <c r="AA308" i="46" s="1"/>
  <c r="AB308" i="46"/>
  <c r="AC308" i="46" s="1"/>
  <c r="AD308" i="46"/>
  <c r="AH308" i="46" s="1" a="1"/>
  <c r="AH308" i="46" s="1"/>
  <c r="AE308" i="46"/>
  <c r="Z309" i="46"/>
  <c r="AA309" i="46" s="1"/>
  <c r="AB309" i="46"/>
  <c r="AC309" i="46" s="1"/>
  <c r="AD309" i="46"/>
  <c r="AH309" i="46" s="1" a="1"/>
  <c r="AH309" i="46" s="1"/>
  <c r="AE309" i="46"/>
  <c r="AJ309" i="46" s="1"/>
  <c r="Z310" i="46"/>
  <c r="AA310" i="46" s="1"/>
  <c r="AB310" i="46"/>
  <c r="AC310" i="46" s="1"/>
  <c r="AD310" i="46"/>
  <c r="AH310" i="46" s="1" a="1"/>
  <c r="AH310" i="46" s="1"/>
  <c r="AE310" i="46"/>
  <c r="AI310" i="46" s="1"/>
  <c r="Z311" i="46"/>
  <c r="AA311" i="46" s="1"/>
  <c r="AB311" i="46"/>
  <c r="AC311" i="46" s="1"/>
  <c r="AD311" i="46"/>
  <c r="AH311" i="46" s="1" a="1"/>
  <c r="AH311" i="46" s="1"/>
  <c r="AE311" i="46"/>
  <c r="AI311" i="46" s="1"/>
  <c r="Z312" i="46"/>
  <c r="AA312" i="46" s="1"/>
  <c r="AB312" i="46"/>
  <c r="AC312" i="46" s="1"/>
  <c r="AD312" i="46"/>
  <c r="AH312" i="46" s="1" a="1"/>
  <c r="AH312" i="46" s="1"/>
  <c r="AE312" i="46"/>
  <c r="AF312" i="46" s="1"/>
  <c r="AG312" i="46" s="1"/>
  <c r="Z313" i="46"/>
  <c r="AA313" i="46" s="1"/>
  <c r="AB313" i="46"/>
  <c r="AC313" i="46" s="1"/>
  <c r="AD313" i="46"/>
  <c r="AH313" i="46" s="1" a="1"/>
  <c r="AH313" i="46" s="1"/>
  <c r="AE313" i="46"/>
  <c r="AJ313" i="46" s="1"/>
  <c r="Z314" i="46"/>
  <c r="AA314" i="46" s="1"/>
  <c r="AB314" i="46"/>
  <c r="AC314" i="46" s="1"/>
  <c r="AD314" i="46"/>
  <c r="AH314" i="46" s="1" a="1"/>
  <c r="AH314" i="46" s="1"/>
  <c r="AE314" i="46"/>
  <c r="AI314" i="46" s="1"/>
  <c r="Z315" i="46"/>
  <c r="AA315" i="46" s="1"/>
  <c r="AB315" i="46"/>
  <c r="AC315" i="46" s="1"/>
  <c r="AD315" i="46"/>
  <c r="AH315" i="46" s="1" a="1"/>
  <c r="AH315" i="46" s="1"/>
  <c r="AE315" i="46"/>
  <c r="AJ315" i="46" s="1"/>
  <c r="Z316" i="46"/>
  <c r="AA316" i="46" s="1"/>
  <c r="AB316" i="46"/>
  <c r="AC316" i="46" s="1"/>
  <c r="AD316" i="46"/>
  <c r="AH316" i="46" s="1" a="1"/>
  <c r="AH316" i="46" s="1"/>
  <c r="AE316" i="46"/>
  <c r="AI316" i="46" s="1"/>
  <c r="Z317" i="46"/>
  <c r="AA317" i="46" s="1"/>
  <c r="AB317" i="46"/>
  <c r="AC317" i="46" s="1"/>
  <c r="AD317" i="46"/>
  <c r="AH317" i="46" s="1" a="1"/>
  <c r="AH317" i="46" s="1"/>
  <c r="AE317" i="46"/>
  <c r="Z318" i="46"/>
  <c r="AA318" i="46" s="1"/>
  <c r="AB318" i="46"/>
  <c r="AC318" i="46" s="1"/>
  <c r="AD318" i="46"/>
  <c r="AH318" i="46" s="1" a="1"/>
  <c r="AH318" i="46" s="1"/>
  <c r="AE318" i="46"/>
  <c r="AI318" i="46" s="1"/>
  <c r="Z319" i="46"/>
  <c r="AA319" i="46" s="1"/>
  <c r="AB319" i="46"/>
  <c r="AC319" i="46" s="1"/>
  <c r="AD319" i="46"/>
  <c r="AH319" i="46" s="1" a="1"/>
  <c r="AH319" i="46" s="1"/>
  <c r="AE319" i="46"/>
  <c r="AI319" i="46" s="1"/>
  <c r="Z320" i="46"/>
  <c r="AA320" i="46" s="1"/>
  <c r="AB320" i="46"/>
  <c r="AC320" i="46" s="1"/>
  <c r="AD320" i="46"/>
  <c r="AH320" i="46" s="1" a="1"/>
  <c r="AH320" i="46" s="1"/>
  <c r="AE320" i="46"/>
  <c r="AF320" i="46" s="1"/>
  <c r="AG320" i="46" s="1"/>
  <c r="Z321" i="46"/>
  <c r="AA321" i="46" s="1"/>
  <c r="AB321" i="46"/>
  <c r="AC321" i="46" s="1"/>
  <c r="AD321" i="46"/>
  <c r="AH321" i="46" s="1" a="1"/>
  <c r="AH321" i="46" s="1"/>
  <c r="AE321" i="46"/>
  <c r="AJ321" i="46" s="1"/>
  <c r="Z322" i="46"/>
  <c r="AA322" i="46" s="1"/>
  <c r="AB322" i="46"/>
  <c r="AC322" i="46" s="1"/>
  <c r="AD322" i="46"/>
  <c r="AH322" i="46" s="1" a="1"/>
  <c r="AH322" i="46" s="1"/>
  <c r="AE322" i="46"/>
  <c r="Z323" i="46"/>
  <c r="AA323" i="46" s="1"/>
  <c r="AB323" i="46"/>
  <c r="AC323" i="46" s="1"/>
  <c r="AD323" i="46"/>
  <c r="AH323" i="46" s="1" a="1"/>
  <c r="AH323" i="46" s="1"/>
  <c r="AE323" i="46"/>
  <c r="AJ323" i="46" s="1"/>
  <c r="Z324" i="46"/>
  <c r="AA324" i="46" s="1"/>
  <c r="AB324" i="46"/>
  <c r="AC324" i="46" s="1"/>
  <c r="AD324" i="46"/>
  <c r="AH324" i="46" s="1" a="1"/>
  <c r="AH324" i="46" s="1"/>
  <c r="AE324" i="46"/>
  <c r="AJ324" i="46" s="1"/>
  <c r="Z325" i="46"/>
  <c r="AA325" i="46" s="1"/>
  <c r="AB325" i="46"/>
  <c r="AC325" i="46" s="1"/>
  <c r="AD325" i="46"/>
  <c r="AH325" i="46" s="1" a="1"/>
  <c r="AH325" i="46" s="1"/>
  <c r="AE325" i="46"/>
  <c r="AJ325" i="46" s="1"/>
  <c r="Z326" i="46"/>
  <c r="AA326" i="46" s="1"/>
  <c r="AB326" i="46"/>
  <c r="AC326" i="46" s="1"/>
  <c r="AD326" i="46"/>
  <c r="AH326" i="46" s="1" a="1"/>
  <c r="AH326" i="46" s="1"/>
  <c r="AE326" i="46"/>
  <c r="Z327" i="46"/>
  <c r="AA327" i="46" s="1"/>
  <c r="AB327" i="46"/>
  <c r="AC327" i="46" s="1"/>
  <c r="AD327" i="46"/>
  <c r="AH327" i="46" s="1" a="1"/>
  <c r="AH327" i="46" s="1"/>
  <c r="AE327" i="46"/>
  <c r="Z328" i="46"/>
  <c r="AA328" i="46" s="1"/>
  <c r="AB328" i="46"/>
  <c r="AC328" i="46" s="1"/>
  <c r="AD328" i="46"/>
  <c r="AH328" i="46" s="1" a="1"/>
  <c r="AH328" i="46" s="1"/>
  <c r="AE328" i="46"/>
  <c r="AF328" i="46" s="1"/>
  <c r="AG328" i="46" s="1"/>
  <c r="Z329" i="46"/>
  <c r="AA329" i="46" s="1"/>
  <c r="AB329" i="46"/>
  <c r="AC329" i="46" s="1"/>
  <c r="AD329" i="46"/>
  <c r="AH329" i="46" s="1" a="1"/>
  <c r="AH329" i="46" s="1"/>
  <c r="AE329" i="46"/>
  <c r="AJ329" i="46" s="1"/>
  <c r="Z330" i="46"/>
  <c r="AA330" i="46" s="1"/>
  <c r="AB330" i="46"/>
  <c r="AC330" i="46" s="1"/>
  <c r="AD330" i="46"/>
  <c r="AH330" i="46" s="1" a="1"/>
  <c r="AH330" i="46" s="1"/>
  <c r="AE330" i="46"/>
  <c r="AJ330" i="46" s="1"/>
  <c r="Z331" i="46"/>
  <c r="AA331" i="46" s="1"/>
  <c r="AB331" i="46"/>
  <c r="AC331" i="46" s="1"/>
  <c r="AD331" i="46"/>
  <c r="AH331" i="46" s="1" a="1"/>
  <c r="AH331" i="46" s="1"/>
  <c r="AE331" i="46"/>
  <c r="AJ331" i="46" s="1"/>
  <c r="Z332" i="46"/>
  <c r="AA332" i="46" s="1"/>
  <c r="AB332" i="46"/>
  <c r="AC332" i="46" s="1"/>
  <c r="AD332" i="46"/>
  <c r="AH332" i="46" s="1" a="1"/>
  <c r="AH332" i="46" s="1"/>
  <c r="AE332" i="46"/>
  <c r="AF332" i="46" s="1"/>
  <c r="AG332" i="46" s="1"/>
  <c r="Z333" i="46"/>
  <c r="AA333" i="46" s="1"/>
  <c r="AB333" i="46"/>
  <c r="AC333" i="46" s="1"/>
  <c r="AD333" i="46"/>
  <c r="AH333" i="46" s="1" a="1"/>
  <c r="AH333" i="46" s="1"/>
  <c r="AE333" i="46"/>
  <c r="AJ333" i="46" s="1"/>
  <c r="Z334" i="46"/>
  <c r="AA334" i="46" s="1"/>
  <c r="AB334" i="46"/>
  <c r="AC334" i="46" s="1"/>
  <c r="AD334" i="46"/>
  <c r="AH334" i="46" s="1" a="1"/>
  <c r="AH334" i="46" s="1"/>
  <c r="AE334" i="46"/>
  <c r="AF334" i="46" s="1"/>
  <c r="AG334" i="46" s="1"/>
  <c r="Z335" i="46"/>
  <c r="AA335" i="46" s="1"/>
  <c r="AB335" i="46"/>
  <c r="AC335" i="46" s="1"/>
  <c r="AD335" i="46"/>
  <c r="AH335" i="46" s="1" a="1"/>
  <c r="AH335" i="46" s="1"/>
  <c r="AE335" i="46"/>
  <c r="Z336" i="46"/>
  <c r="AA336" i="46" s="1"/>
  <c r="AB336" i="46"/>
  <c r="AC336" i="46" s="1"/>
  <c r="AD336" i="46"/>
  <c r="AH336" i="46" s="1" a="1"/>
  <c r="AH336" i="46" s="1"/>
  <c r="AE336" i="46"/>
  <c r="AF336" i="46" s="1"/>
  <c r="AG336" i="46" s="1"/>
  <c r="Z337" i="46"/>
  <c r="AA337" i="46" s="1"/>
  <c r="AB337" i="46"/>
  <c r="AC337" i="46" s="1"/>
  <c r="AD337" i="46"/>
  <c r="AH337" i="46" s="1" a="1"/>
  <c r="AH337" i="46" s="1"/>
  <c r="AE337" i="46"/>
  <c r="AJ337" i="46" s="1"/>
  <c r="Z338" i="46"/>
  <c r="AA338" i="46" s="1"/>
  <c r="AB338" i="46"/>
  <c r="AC338" i="46" s="1"/>
  <c r="AD338" i="46"/>
  <c r="AH338" i="46" s="1" a="1"/>
  <c r="AH338" i="46" s="1"/>
  <c r="AE338" i="46"/>
  <c r="Z339" i="46"/>
  <c r="AA339" i="46" s="1"/>
  <c r="AB339" i="46"/>
  <c r="AC339" i="46" s="1"/>
  <c r="AD339" i="46"/>
  <c r="AH339" i="46" s="1" a="1"/>
  <c r="AH339" i="46" s="1"/>
  <c r="AE339" i="46"/>
  <c r="AI339" i="46" s="1"/>
  <c r="Z340" i="46"/>
  <c r="AA340" i="46" s="1"/>
  <c r="AB340" i="46"/>
  <c r="AC340" i="46" s="1"/>
  <c r="AD340" i="46"/>
  <c r="AH340" i="46" s="1" a="1"/>
  <c r="AH340" i="46" s="1"/>
  <c r="AE340" i="46"/>
  <c r="AF340" i="46" s="1"/>
  <c r="AG340" i="46" s="1"/>
  <c r="Z341" i="46"/>
  <c r="AA341" i="46" s="1"/>
  <c r="AB341" i="46"/>
  <c r="AC341" i="46" s="1"/>
  <c r="AD341" i="46"/>
  <c r="AH341" i="46" s="1" a="1"/>
  <c r="AH341" i="46" s="1"/>
  <c r="AE341" i="46"/>
  <c r="AF341" i="46" s="1"/>
  <c r="AG341" i="46" s="1"/>
  <c r="Z342" i="46"/>
  <c r="AA342" i="46" s="1"/>
  <c r="AB342" i="46"/>
  <c r="AC342" i="46" s="1"/>
  <c r="AD342" i="46"/>
  <c r="AH342" i="46" s="1" a="1"/>
  <c r="AH342" i="46" s="1"/>
  <c r="AE342" i="46"/>
  <c r="AI342" i="46" s="1"/>
  <c r="Z343" i="46"/>
  <c r="AA343" i="46" s="1"/>
  <c r="AB343" i="46"/>
  <c r="AC343" i="46" s="1"/>
  <c r="AD343" i="46"/>
  <c r="AH343" i="46" s="1" a="1"/>
  <c r="AH343" i="46" s="1"/>
  <c r="AE343" i="46"/>
  <c r="Z344" i="46"/>
  <c r="AA344" i="46" s="1"/>
  <c r="AB344" i="46"/>
  <c r="AC344" i="46" s="1"/>
  <c r="AD344" i="46"/>
  <c r="AH344" i="46" s="1" a="1"/>
  <c r="AH344" i="46" s="1"/>
  <c r="AE344" i="46"/>
  <c r="AF344" i="46" s="1"/>
  <c r="AG344" i="46" s="1"/>
  <c r="Z345" i="46"/>
  <c r="AA345" i="46" s="1"/>
  <c r="AB345" i="46"/>
  <c r="AC345" i="46" s="1"/>
  <c r="AD345" i="46"/>
  <c r="AH345" i="46" s="1" a="1"/>
  <c r="AH345" i="46" s="1"/>
  <c r="AE345" i="46"/>
  <c r="AJ345" i="46" s="1"/>
  <c r="Z346" i="46"/>
  <c r="AA346" i="46" s="1"/>
  <c r="AB346" i="46"/>
  <c r="AC346" i="46" s="1"/>
  <c r="AD346" i="46"/>
  <c r="AH346" i="46" s="1" a="1"/>
  <c r="AH346" i="46" s="1"/>
  <c r="AE346" i="46"/>
  <c r="Z347" i="46"/>
  <c r="AA347" i="46" s="1"/>
  <c r="AB347" i="46"/>
  <c r="AC347" i="46" s="1"/>
  <c r="AD347" i="46"/>
  <c r="AH347" i="46" s="1" a="1"/>
  <c r="AH347" i="46" s="1"/>
  <c r="AE347" i="46"/>
  <c r="AI347" i="46" s="1"/>
  <c r="Z348" i="46"/>
  <c r="AA348" i="46" s="1"/>
  <c r="AB348" i="46"/>
  <c r="AC348" i="46" s="1"/>
  <c r="AD348" i="46"/>
  <c r="AH348" i="46" s="1" a="1"/>
  <c r="AH348" i="46" s="1"/>
  <c r="AE348" i="46"/>
  <c r="AI348" i="46" s="1"/>
  <c r="Z349" i="46"/>
  <c r="AA349" i="46" s="1"/>
  <c r="AB349" i="46"/>
  <c r="AC349" i="46" s="1"/>
  <c r="AD349" i="46"/>
  <c r="AH349" i="46" s="1" a="1"/>
  <c r="AH349" i="46" s="1"/>
  <c r="AE349" i="46"/>
  <c r="AF349" i="46" s="1"/>
  <c r="AG349" i="46" s="1"/>
  <c r="Z350" i="46"/>
  <c r="AA350" i="46" s="1"/>
  <c r="AB350" i="46"/>
  <c r="AC350" i="46" s="1"/>
  <c r="AD350" i="46"/>
  <c r="AH350" i="46" s="1" a="1"/>
  <c r="AH350" i="46" s="1"/>
  <c r="AE350" i="46"/>
  <c r="Z351" i="46"/>
  <c r="AA351" i="46" s="1"/>
  <c r="AB351" i="46"/>
  <c r="AC351" i="46" s="1"/>
  <c r="AD351" i="46"/>
  <c r="AH351" i="46" s="1" a="1"/>
  <c r="AH351" i="46" s="1"/>
  <c r="AE351" i="46"/>
  <c r="Z352" i="46"/>
  <c r="AA352" i="46" s="1"/>
  <c r="AB352" i="46"/>
  <c r="AC352" i="46" s="1"/>
  <c r="AD352" i="46"/>
  <c r="AH352" i="46" s="1" a="1"/>
  <c r="AH352" i="46" s="1"/>
  <c r="AE352" i="46"/>
  <c r="AJ352" i="46" s="1"/>
  <c r="Z353" i="46"/>
  <c r="AA353" i="46" s="1"/>
  <c r="AB353" i="46"/>
  <c r="AC353" i="46" s="1"/>
  <c r="AD353" i="46"/>
  <c r="AH353" i="46" s="1" a="1"/>
  <c r="AH353" i="46" s="1"/>
  <c r="AE353" i="46"/>
  <c r="AJ353" i="46" s="1"/>
  <c r="Z354" i="46"/>
  <c r="AA354" i="46" s="1"/>
  <c r="AB354" i="46"/>
  <c r="AC354" i="46" s="1"/>
  <c r="AD354" i="46"/>
  <c r="AH354" i="46" s="1" a="1"/>
  <c r="AH354" i="46" s="1"/>
  <c r="AE354" i="46"/>
  <c r="AF354" i="46" s="1"/>
  <c r="AG354" i="46" s="1"/>
  <c r="Z355" i="46"/>
  <c r="AA355" i="46" s="1"/>
  <c r="AB355" i="46"/>
  <c r="AC355" i="46" s="1"/>
  <c r="AD355" i="46"/>
  <c r="AH355" i="46" s="1" a="1"/>
  <c r="AH355" i="46" s="1"/>
  <c r="AE355" i="46"/>
  <c r="AI355" i="46" s="1"/>
  <c r="Z356" i="46"/>
  <c r="AA356" i="46" s="1"/>
  <c r="AB356" i="46"/>
  <c r="AC356" i="46" s="1"/>
  <c r="AD356" i="46"/>
  <c r="AH356" i="46" s="1" a="1"/>
  <c r="AH356" i="46" s="1"/>
  <c r="AE356" i="46"/>
  <c r="AJ356" i="46" s="1"/>
  <c r="Z357" i="46"/>
  <c r="AA357" i="46" s="1"/>
  <c r="AB357" i="46"/>
  <c r="AC357" i="46" s="1"/>
  <c r="AD357" i="46"/>
  <c r="AH357" i="46" s="1" a="1"/>
  <c r="AH357" i="46" s="1"/>
  <c r="AE357" i="46"/>
  <c r="AF357" i="46" s="1"/>
  <c r="AG357" i="46" s="1"/>
  <c r="Z358" i="46"/>
  <c r="AA358" i="46" s="1"/>
  <c r="AB358" i="46"/>
  <c r="AC358" i="46" s="1"/>
  <c r="AD358" i="46"/>
  <c r="AH358" i="46" s="1" a="1"/>
  <c r="AH358" i="46" s="1"/>
  <c r="AE358" i="46"/>
  <c r="AF358" i="46" s="1"/>
  <c r="AG358" i="46" s="1"/>
  <c r="Z359" i="46"/>
  <c r="AA359" i="46" s="1"/>
  <c r="AB359" i="46"/>
  <c r="AC359" i="46" s="1"/>
  <c r="AD359" i="46"/>
  <c r="AH359" i="46" s="1" a="1"/>
  <c r="AH359" i="46" s="1"/>
  <c r="AE359" i="46"/>
  <c r="AF359" i="46" s="1"/>
  <c r="AG359" i="46" s="1"/>
  <c r="Z360" i="46"/>
  <c r="AA360" i="46" s="1"/>
  <c r="AB360" i="46"/>
  <c r="AC360" i="46" s="1"/>
  <c r="AD360" i="46"/>
  <c r="AH360" i="46" s="1" a="1"/>
  <c r="AH360" i="46" s="1"/>
  <c r="AE360" i="46"/>
  <c r="AJ360" i="46" s="1"/>
  <c r="Z361" i="46"/>
  <c r="AA361" i="46" s="1"/>
  <c r="AB361" i="46"/>
  <c r="AC361" i="46" s="1"/>
  <c r="AD361" i="46"/>
  <c r="AH361" i="46" s="1" a="1"/>
  <c r="AH361" i="46" s="1"/>
  <c r="AE361" i="46"/>
  <c r="AJ361" i="46" s="1"/>
  <c r="Z362" i="46"/>
  <c r="AA362" i="46" s="1"/>
  <c r="AB362" i="46"/>
  <c r="AC362" i="46" s="1"/>
  <c r="AD362" i="46"/>
  <c r="AH362" i="46" s="1" a="1"/>
  <c r="AH362" i="46" s="1"/>
  <c r="AE362" i="46"/>
  <c r="AI362" i="46" s="1"/>
  <c r="Z363" i="46"/>
  <c r="AA363" i="46" s="1"/>
  <c r="AB363" i="46"/>
  <c r="AC363" i="46" s="1"/>
  <c r="AD363" i="46"/>
  <c r="AH363" i="46" s="1" a="1"/>
  <c r="AH363" i="46" s="1"/>
  <c r="AE363" i="46"/>
  <c r="Z364" i="46"/>
  <c r="AA364" i="46" s="1"/>
  <c r="AB364" i="46"/>
  <c r="AC364" i="46" s="1"/>
  <c r="AD364" i="46"/>
  <c r="AH364" i="46" s="1" a="1"/>
  <c r="AH364" i="46" s="1"/>
  <c r="AE364" i="46"/>
  <c r="AF364" i="46" s="1"/>
  <c r="AG364" i="46" s="1"/>
  <c r="Z365" i="46"/>
  <c r="AA365" i="46" s="1"/>
  <c r="AB365" i="46"/>
  <c r="AC365" i="46" s="1"/>
  <c r="AD365" i="46"/>
  <c r="AH365" i="46" s="1" a="1"/>
  <c r="AH365" i="46" s="1"/>
  <c r="AE365" i="46"/>
  <c r="AF365" i="46" s="1"/>
  <c r="AG365" i="46" s="1"/>
  <c r="Z366" i="46"/>
  <c r="AA366" i="46" s="1"/>
  <c r="AB366" i="46"/>
  <c r="AC366" i="46" s="1"/>
  <c r="AD366" i="46"/>
  <c r="AH366" i="46" s="1" a="1"/>
  <c r="AH366" i="46" s="1"/>
  <c r="AE366" i="46"/>
  <c r="AF366" i="46" s="1"/>
  <c r="AG366" i="46" s="1"/>
  <c r="Z367" i="46"/>
  <c r="AA367" i="46" s="1"/>
  <c r="AB367" i="46"/>
  <c r="AC367" i="46" s="1"/>
  <c r="AD367" i="46"/>
  <c r="AH367" i="46" s="1" a="1"/>
  <c r="AH367" i="46" s="1"/>
  <c r="AE367" i="46"/>
  <c r="AF367" i="46" s="1"/>
  <c r="AG367" i="46" s="1"/>
  <c r="Z368" i="46"/>
  <c r="AA368" i="46" s="1"/>
  <c r="AB368" i="46"/>
  <c r="AC368" i="46" s="1"/>
  <c r="AD368" i="46"/>
  <c r="AH368" i="46" s="1" a="1"/>
  <c r="AH368" i="46" s="1"/>
  <c r="AE368" i="46"/>
  <c r="Z369" i="46"/>
  <c r="AA369" i="46" s="1"/>
  <c r="AB369" i="46"/>
  <c r="AC369" i="46" s="1"/>
  <c r="AD369" i="46"/>
  <c r="AH369" i="46" s="1" a="1"/>
  <c r="AH369" i="46" s="1"/>
  <c r="AE369" i="46"/>
  <c r="AJ369" i="46" s="1"/>
  <c r="Z370" i="46"/>
  <c r="AA370" i="46" s="1"/>
  <c r="AB370" i="46"/>
  <c r="AC370" i="46" s="1"/>
  <c r="AD370" i="46"/>
  <c r="AH370" i="46" s="1" a="1"/>
  <c r="AH370" i="46" s="1"/>
  <c r="AE370" i="46"/>
  <c r="AF370" i="46" s="1"/>
  <c r="AG370" i="46" s="1"/>
  <c r="Z371" i="46"/>
  <c r="AA371" i="46" s="1"/>
  <c r="AB371" i="46"/>
  <c r="AC371" i="46" s="1"/>
  <c r="AD371" i="46"/>
  <c r="AH371" i="46" s="1" a="1"/>
  <c r="AH371" i="46" s="1"/>
  <c r="AE371" i="46"/>
  <c r="Z372" i="46"/>
  <c r="AA372" i="46" s="1"/>
  <c r="AB372" i="46"/>
  <c r="AC372" i="46" s="1"/>
  <c r="AD372" i="46"/>
  <c r="AH372" i="46" s="1" a="1"/>
  <c r="AH372" i="46" s="1"/>
  <c r="AE372" i="46"/>
  <c r="Z373" i="46"/>
  <c r="AA373" i="46" s="1"/>
  <c r="AB373" i="46"/>
  <c r="AC373" i="46" s="1"/>
  <c r="AD373" i="46"/>
  <c r="AH373" i="46" s="1" a="1"/>
  <c r="AH373" i="46" s="1"/>
  <c r="AE373" i="46"/>
  <c r="AF373" i="46" s="1"/>
  <c r="AG373" i="46" s="1"/>
  <c r="Z374" i="46"/>
  <c r="AA374" i="46" s="1"/>
  <c r="AB374" i="46"/>
  <c r="AC374" i="46" s="1"/>
  <c r="AD374" i="46"/>
  <c r="AH374" i="46" s="1" a="1"/>
  <c r="AH374" i="46" s="1"/>
  <c r="AE374" i="46"/>
  <c r="AF374" i="46" s="1"/>
  <c r="AG374" i="46" s="1"/>
  <c r="Z375" i="46"/>
  <c r="AA375" i="46" s="1"/>
  <c r="AB375" i="46"/>
  <c r="AC375" i="46" s="1"/>
  <c r="AD375" i="46"/>
  <c r="AH375" i="46" s="1" a="1"/>
  <c r="AH375" i="46" s="1"/>
  <c r="AE375" i="46"/>
  <c r="AI375" i="46" s="1"/>
  <c r="Z376" i="46"/>
  <c r="AA376" i="46" s="1"/>
  <c r="AB376" i="46"/>
  <c r="AC376" i="46" s="1"/>
  <c r="AD376" i="46"/>
  <c r="AH376" i="46" s="1" a="1"/>
  <c r="AH376" i="46" s="1"/>
  <c r="AE376" i="46"/>
  <c r="AI376" i="46" s="1"/>
  <c r="Z377" i="46"/>
  <c r="AA377" i="46" s="1"/>
  <c r="AB377" i="46"/>
  <c r="AC377" i="46" s="1"/>
  <c r="AD377" i="46"/>
  <c r="AH377" i="46" s="1" a="1"/>
  <c r="AH377" i="46" s="1"/>
  <c r="AE377" i="46"/>
  <c r="Z378" i="46"/>
  <c r="AA378" i="46" s="1"/>
  <c r="AB378" i="46"/>
  <c r="AC378" i="46" s="1"/>
  <c r="AD378" i="46"/>
  <c r="AH378" i="46" s="1" a="1"/>
  <c r="AH378" i="46" s="1"/>
  <c r="AE378" i="46"/>
  <c r="AF378" i="46" s="1"/>
  <c r="AG378" i="46" s="1"/>
  <c r="Z379" i="46"/>
  <c r="AA379" i="46" s="1"/>
  <c r="AB379" i="46"/>
  <c r="AC379" i="46" s="1"/>
  <c r="AD379" i="46"/>
  <c r="AH379" i="46" s="1" a="1"/>
  <c r="AH379" i="46" s="1"/>
  <c r="AE379" i="46"/>
  <c r="AI379" i="46" s="1"/>
  <c r="Z380" i="46"/>
  <c r="AA380" i="46" s="1"/>
  <c r="AB380" i="46"/>
  <c r="AC380" i="46" s="1"/>
  <c r="AD380" i="46"/>
  <c r="AH380" i="46" s="1" a="1"/>
  <c r="AH380" i="46" s="1"/>
  <c r="AE380" i="46"/>
  <c r="AF380" i="46" s="1"/>
  <c r="AG380" i="46" s="1"/>
  <c r="Z381" i="46"/>
  <c r="AA381" i="46" s="1"/>
  <c r="AB381" i="46"/>
  <c r="AC381" i="46" s="1"/>
  <c r="AD381" i="46"/>
  <c r="AH381" i="46" s="1" a="1"/>
  <c r="AH381" i="46" s="1"/>
  <c r="AE381" i="46"/>
  <c r="AF381" i="46" s="1"/>
  <c r="AG381" i="46" s="1"/>
  <c r="Z382" i="46"/>
  <c r="AA382" i="46" s="1"/>
  <c r="AB382" i="46"/>
  <c r="AC382" i="46" s="1"/>
  <c r="AD382" i="46"/>
  <c r="AH382" i="46" s="1" a="1"/>
  <c r="AH382" i="46" s="1"/>
  <c r="AE382" i="46"/>
  <c r="AI382" i="46" s="1"/>
  <c r="Z383" i="46"/>
  <c r="AA383" i="46" s="1"/>
  <c r="AB383" i="46"/>
  <c r="AC383" i="46" s="1"/>
  <c r="AD383" i="46"/>
  <c r="AH383" i="46" s="1" a="1"/>
  <c r="AH383" i="46" s="1"/>
  <c r="AE383" i="46"/>
  <c r="AI383" i="46" s="1"/>
  <c r="Z384" i="46"/>
  <c r="AA384" i="46" s="1"/>
  <c r="AB384" i="46"/>
  <c r="AC384" i="46" s="1"/>
  <c r="AD384" i="46"/>
  <c r="AH384" i="46" s="1" a="1"/>
  <c r="AH384" i="46" s="1"/>
  <c r="AE384" i="46"/>
  <c r="AF384" i="46" s="1"/>
  <c r="AG384" i="46" s="1"/>
  <c r="Z385" i="46"/>
  <c r="AA385" i="46" s="1"/>
  <c r="AB385" i="46"/>
  <c r="AC385" i="46" s="1"/>
  <c r="AD385" i="46"/>
  <c r="AH385" i="46" s="1" a="1"/>
  <c r="AH385" i="46" s="1"/>
  <c r="AE385" i="46"/>
  <c r="AJ385" i="46" s="1"/>
  <c r="Z386" i="46"/>
  <c r="AA386" i="46" s="1"/>
  <c r="AB386" i="46"/>
  <c r="AC386" i="46" s="1"/>
  <c r="AD386" i="46"/>
  <c r="AH386" i="46" s="1" a="1"/>
  <c r="AH386" i="46" s="1"/>
  <c r="AE386" i="46"/>
  <c r="AF386" i="46" s="1"/>
  <c r="AG386" i="46" s="1"/>
  <c r="Z387" i="46"/>
  <c r="AA387" i="46" s="1"/>
  <c r="AB387" i="46"/>
  <c r="AC387" i="46" s="1"/>
  <c r="AD387" i="46"/>
  <c r="AH387" i="46" s="1" a="1"/>
  <c r="AH387" i="46" s="1"/>
  <c r="AE387" i="46"/>
  <c r="Z388" i="46"/>
  <c r="AA388" i="46" s="1"/>
  <c r="AB388" i="46"/>
  <c r="AC388" i="46" s="1"/>
  <c r="AD388" i="46"/>
  <c r="AH388" i="46" s="1" a="1"/>
  <c r="AH388" i="46" s="1"/>
  <c r="AE388" i="46"/>
  <c r="AF388" i="46" s="1"/>
  <c r="AG388" i="46" s="1"/>
  <c r="Z389" i="46"/>
  <c r="AA389" i="46" s="1"/>
  <c r="AB389" i="46"/>
  <c r="AC389" i="46" s="1"/>
  <c r="AD389" i="46"/>
  <c r="AH389" i="46" s="1" a="1"/>
  <c r="AH389" i="46" s="1"/>
  <c r="AE389" i="46"/>
  <c r="AF389" i="46" s="1"/>
  <c r="AG389" i="46" s="1"/>
  <c r="Z390" i="46"/>
  <c r="AA390" i="46" s="1"/>
  <c r="AB390" i="46"/>
  <c r="AC390" i="46" s="1"/>
  <c r="AD390" i="46"/>
  <c r="AH390" i="46" s="1" a="1"/>
  <c r="AH390" i="46" s="1"/>
  <c r="AE390" i="46"/>
  <c r="AJ390" i="46" s="1"/>
  <c r="Z391" i="46"/>
  <c r="AA391" i="46" s="1"/>
  <c r="AB391" i="46"/>
  <c r="AC391" i="46" s="1"/>
  <c r="AD391" i="46"/>
  <c r="AH391" i="46" s="1" a="1"/>
  <c r="AH391" i="46" s="1"/>
  <c r="AE391" i="46"/>
  <c r="AI391" i="46" s="1"/>
  <c r="Z392" i="46"/>
  <c r="AA392" i="46" s="1"/>
  <c r="AB392" i="46"/>
  <c r="AC392" i="46" s="1"/>
  <c r="AD392" i="46"/>
  <c r="AH392" i="46" s="1" a="1"/>
  <c r="AH392" i="46" s="1"/>
  <c r="AE392" i="46"/>
  <c r="AF392" i="46" s="1"/>
  <c r="AG392" i="46" s="1"/>
  <c r="Z393" i="46"/>
  <c r="AA393" i="46" s="1"/>
  <c r="AB393" i="46"/>
  <c r="AC393" i="46" s="1"/>
  <c r="AD393" i="46"/>
  <c r="AH393" i="46" s="1" a="1"/>
  <c r="AH393" i="46" s="1"/>
  <c r="AE393" i="46"/>
  <c r="AJ393" i="46" s="1"/>
  <c r="Z394" i="46"/>
  <c r="AA394" i="46" s="1"/>
  <c r="AB394" i="46"/>
  <c r="AC394" i="46" s="1"/>
  <c r="AD394" i="46"/>
  <c r="AH394" i="46" s="1" a="1"/>
  <c r="AH394" i="46" s="1"/>
  <c r="AE394" i="46"/>
  <c r="Z395" i="46"/>
  <c r="AA395" i="46" s="1"/>
  <c r="AB395" i="46"/>
  <c r="AC395" i="46" s="1"/>
  <c r="AD395" i="46"/>
  <c r="AH395" i="46" s="1" a="1"/>
  <c r="AH395" i="46" s="1"/>
  <c r="AE395" i="46"/>
  <c r="AI395" i="46" s="1"/>
  <c r="Z396" i="46"/>
  <c r="AA396" i="46" s="1"/>
  <c r="AB396" i="46"/>
  <c r="AC396" i="46" s="1"/>
  <c r="AD396" i="46"/>
  <c r="AH396" i="46" s="1" a="1"/>
  <c r="AH396" i="46" s="1"/>
  <c r="AE396" i="46"/>
  <c r="AF396" i="46" s="1"/>
  <c r="AG396" i="46" s="1"/>
  <c r="Z397" i="46"/>
  <c r="AA397" i="46" s="1"/>
  <c r="AB397" i="46"/>
  <c r="AC397" i="46" s="1"/>
  <c r="AD397" i="46"/>
  <c r="AH397" i="46" s="1" a="1"/>
  <c r="AH397" i="46" s="1"/>
  <c r="AE397" i="46"/>
  <c r="AF397" i="46" s="1"/>
  <c r="AG397" i="46" s="1"/>
  <c r="Z398" i="46"/>
  <c r="AA398" i="46" s="1"/>
  <c r="AB398" i="46"/>
  <c r="AC398" i="46" s="1"/>
  <c r="AD398" i="46"/>
  <c r="AH398" i="46" s="1" a="1"/>
  <c r="AH398" i="46" s="1"/>
  <c r="AE398" i="46"/>
  <c r="AF398" i="46" s="1"/>
  <c r="AG398" i="46" s="1"/>
  <c r="Z399" i="46"/>
  <c r="AA399" i="46" s="1"/>
  <c r="AB399" i="46"/>
  <c r="AC399" i="46" s="1"/>
  <c r="AD399" i="46"/>
  <c r="AH399" i="46" s="1" a="1"/>
  <c r="AH399" i="46" s="1"/>
  <c r="AE399" i="46"/>
  <c r="AF399" i="46" s="1"/>
  <c r="AG399" i="46" s="1"/>
  <c r="Z400" i="46"/>
  <c r="AA400" i="46" s="1"/>
  <c r="AB400" i="46"/>
  <c r="AC400" i="46" s="1"/>
  <c r="AD400" i="46"/>
  <c r="AH400" i="46" s="1" a="1"/>
  <c r="AH400" i="46" s="1"/>
  <c r="AE400" i="46"/>
  <c r="AF400" i="46" s="1"/>
  <c r="AG400" i="46" s="1"/>
  <c r="Z401" i="46"/>
  <c r="AA401" i="46" s="1"/>
  <c r="AB401" i="46"/>
  <c r="AC401" i="46" s="1"/>
  <c r="AD401" i="46"/>
  <c r="AH401" i="46" s="1" a="1"/>
  <c r="AH401" i="46" s="1"/>
  <c r="AE401" i="46"/>
  <c r="AJ401" i="46" s="1"/>
  <c r="Z402" i="46"/>
  <c r="AA402" i="46" s="1"/>
  <c r="AB402" i="46"/>
  <c r="AC402" i="46" s="1"/>
  <c r="AD402" i="46"/>
  <c r="AH402" i="46" s="1" a="1"/>
  <c r="AH402" i="46" s="1"/>
  <c r="AE402" i="46"/>
  <c r="Z403" i="46"/>
  <c r="AA403" i="46" s="1"/>
  <c r="AB403" i="46"/>
  <c r="AC403" i="46" s="1"/>
  <c r="AD403" i="46"/>
  <c r="AH403" i="46" s="1" a="1"/>
  <c r="AH403" i="46" s="1"/>
  <c r="AE403" i="46"/>
  <c r="AJ403" i="46" s="1"/>
  <c r="Z404" i="46"/>
  <c r="AA404" i="46" s="1"/>
  <c r="AB404" i="46"/>
  <c r="AC404" i="46" s="1"/>
  <c r="AD404" i="46"/>
  <c r="AH404" i="46" s="1" a="1"/>
  <c r="AH404" i="46" s="1"/>
  <c r="AE404" i="46"/>
  <c r="AF404" i="46" s="1"/>
  <c r="AG404" i="46" s="1"/>
  <c r="Z405" i="46"/>
  <c r="AA405" i="46" s="1"/>
  <c r="AB405" i="46"/>
  <c r="AC405" i="46" s="1"/>
  <c r="AD405" i="46"/>
  <c r="AH405" i="46" s="1" a="1"/>
  <c r="AH405" i="46" s="1"/>
  <c r="AE405" i="46"/>
  <c r="AJ405" i="46" s="1"/>
  <c r="Z406" i="46"/>
  <c r="AA406" i="46" s="1"/>
  <c r="AB406" i="46"/>
  <c r="AC406" i="46" s="1"/>
  <c r="AD406" i="46"/>
  <c r="AH406" i="46" s="1" a="1"/>
  <c r="AH406" i="46" s="1"/>
  <c r="AE406" i="46"/>
  <c r="AF406" i="46" s="1"/>
  <c r="AG406" i="46" s="1"/>
  <c r="Z407" i="46"/>
  <c r="AA407" i="46" s="1"/>
  <c r="AB407" i="46"/>
  <c r="AC407" i="46" s="1"/>
  <c r="AD407" i="46"/>
  <c r="AH407" i="46" s="1" a="1"/>
  <c r="AH407" i="46" s="1"/>
  <c r="AE407" i="46"/>
  <c r="AJ407" i="46" s="1"/>
  <c r="Z408" i="46"/>
  <c r="AA408" i="46" s="1"/>
  <c r="AB408" i="46"/>
  <c r="AC408" i="46" s="1"/>
  <c r="AD408" i="46"/>
  <c r="AH408" i="46" s="1" a="1"/>
  <c r="AH408" i="46" s="1"/>
  <c r="AE408" i="46"/>
  <c r="AF408" i="46" s="1"/>
  <c r="AG408" i="46" s="1"/>
  <c r="Z409" i="46"/>
  <c r="AA409" i="46" s="1"/>
  <c r="AB409" i="46"/>
  <c r="AC409" i="46" s="1"/>
  <c r="AD409" i="46"/>
  <c r="AH409" i="46" s="1" a="1"/>
  <c r="AH409" i="46" s="1"/>
  <c r="AE409" i="46"/>
  <c r="AJ409" i="46" s="1"/>
  <c r="Z410" i="46"/>
  <c r="AA410" i="46" s="1"/>
  <c r="AB410" i="46"/>
  <c r="AC410" i="46" s="1"/>
  <c r="AD410" i="46"/>
  <c r="AH410" i="46" s="1" a="1"/>
  <c r="AH410" i="46" s="1"/>
  <c r="AE410" i="46"/>
  <c r="AF410" i="46" s="1"/>
  <c r="AG410" i="46" s="1"/>
  <c r="Z411" i="46"/>
  <c r="AA411" i="46" s="1"/>
  <c r="AB411" i="46"/>
  <c r="AC411" i="46" s="1"/>
  <c r="AD411" i="46"/>
  <c r="AH411" i="46" s="1" a="1"/>
  <c r="AH411" i="46" s="1"/>
  <c r="AE411" i="46"/>
  <c r="Z412" i="46"/>
  <c r="AA412" i="46" s="1"/>
  <c r="AB412" i="46"/>
  <c r="AC412" i="46" s="1"/>
  <c r="AD412" i="46"/>
  <c r="AH412" i="46" s="1" a="1"/>
  <c r="AH412" i="46" s="1"/>
  <c r="AE412" i="46"/>
  <c r="AI412" i="46" s="1"/>
  <c r="Z413" i="46"/>
  <c r="AA413" i="46" s="1"/>
  <c r="AB413" i="46"/>
  <c r="AC413" i="46" s="1"/>
  <c r="AD413" i="46"/>
  <c r="AH413" i="46" s="1" a="1"/>
  <c r="AH413" i="46" s="1"/>
  <c r="AE413" i="46"/>
  <c r="AJ413" i="46" s="1"/>
  <c r="Z414" i="46"/>
  <c r="AA414" i="46" s="1"/>
  <c r="AB414" i="46"/>
  <c r="AC414" i="46" s="1"/>
  <c r="AD414" i="46"/>
  <c r="AH414" i="46" s="1" a="1"/>
  <c r="AH414" i="46" s="1"/>
  <c r="AE414" i="46"/>
  <c r="AF414" i="46" s="1"/>
  <c r="AG414" i="46" s="1"/>
  <c r="Z415" i="46"/>
  <c r="AA415" i="46" s="1"/>
  <c r="AB415" i="46"/>
  <c r="AC415" i="46" s="1"/>
  <c r="AD415" i="46"/>
  <c r="AH415" i="46" s="1" a="1"/>
  <c r="AH415" i="46" s="1"/>
  <c r="AE415" i="46"/>
  <c r="AJ415" i="46" s="1"/>
  <c r="Z416" i="46"/>
  <c r="AA416" i="46" s="1"/>
  <c r="AB416" i="46"/>
  <c r="AC416" i="46" s="1"/>
  <c r="AD416" i="46"/>
  <c r="AH416" i="46" s="1" a="1"/>
  <c r="AH416" i="46" s="1"/>
  <c r="AE416" i="46"/>
  <c r="AI416" i="46" s="1"/>
  <c r="Z417" i="46"/>
  <c r="AA417" i="46" s="1"/>
  <c r="AB417" i="46"/>
  <c r="AC417" i="46" s="1"/>
  <c r="AD417" i="46"/>
  <c r="AH417" i="46" s="1" a="1"/>
  <c r="AH417" i="46" s="1"/>
  <c r="AE417" i="46"/>
  <c r="AJ417" i="46" s="1"/>
  <c r="Z418" i="46"/>
  <c r="AA418" i="46" s="1"/>
  <c r="AB418" i="46"/>
  <c r="AC418" i="46" s="1"/>
  <c r="AD418" i="46"/>
  <c r="AH418" i="46" s="1" a="1"/>
  <c r="AH418" i="46" s="1"/>
  <c r="AE418" i="46"/>
  <c r="AF418" i="46" s="1"/>
  <c r="AG418" i="46" s="1"/>
  <c r="Z419" i="46"/>
  <c r="AA419" i="46" s="1"/>
  <c r="AB419" i="46"/>
  <c r="AC419" i="46" s="1"/>
  <c r="AD419" i="46"/>
  <c r="AH419" i="46" s="1" a="1"/>
  <c r="AH419" i="46" s="1"/>
  <c r="AE419" i="46"/>
  <c r="AF419" i="46" s="1"/>
  <c r="AG419" i="46" s="1"/>
  <c r="Z420" i="46"/>
  <c r="AA420" i="46" s="1"/>
  <c r="AB420" i="46"/>
  <c r="AC420" i="46" s="1"/>
  <c r="AD420" i="46"/>
  <c r="AH420" i="46" s="1" a="1"/>
  <c r="AH420" i="46" s="1"/>
  <c r="AE420" i="46"/>
  <c r="Z421" i="46"/>
  <c r="AA421" i="46" s="1"/>
  <c r="AB421" i="46"/>
  <c r="AC421" i="46" s="1"/>
  <c r="AD421" i="46"/>
  <c r="AH421" i="46" s="1" a="1"/>
  <c r="AH421" i="46" s="1"/>
  <c r="AE421" i="46"/>
  <c r="AJ421" i="46" s="1"/>
  <c r="Z422" i="46"/>
  <c r="AA422" i="46" s="1"/>
  <c r="AB422" i="46"/>
  <c r="AC422" i="46" s="1"/>
  <c r="AD422" i="46"/>
  <c r="AH422" i="46" s="1" a="1"/>
  <c r="AH422" i="46" s="1"/>
  <c r="AE422" i="46"/>
  <c r="AI422" i="46" s="1"/>
  <c r="Z423" i="46"/>
  <c r="AA423" i="46" s="1"/>
  <c r="AB423" i="46"/>
  <c r="AC423" i="46" s="1"/>
  <c r="AD423" i="46"/>
  <c r="AH423" i="46" s="1" a="1"/>
  <c r="AH423" i="46" s="1"/>
  <c r="AE423" i="46"/>
  <c r="AJ423" i="46" s="1"/>
  <c r="Z424" i="46"/>
  <c r="AA424" i="46" s="1"/>
  <c r="AB424" i="46"/>
  <c r="AC424" i="46" s="1"/>
  <c r="AD424" i="46"/>
  <c r="AH424" i="46" s="1" a="1"/>
  <c r="AH424" i="46" s="1"/>
  <c r="AE424" i="46"/>
  <c r="AF424" i="46" s="1"/>
  <c r="AG424" i="46" s="1"/>
  <c r="Z425" i="46"/>
  <c r="AA425" i="46" s="1"/>
  <c r="AB425" i="46"/>
  <c r="AC425" i="46" s="1"/>
  <c r="AD425" i="46"/>
  <c r="AH425" i="46" s="1" a="1"/>
  <c r="AH425" i="46" s="1"/>
  <c r="AE425" i="46"/>
  <c r="Z426" i="46"/>
  <c r="AA426" i="46" s="1"/>
  <c r="AB426" i="46"/>
  <c r="AC426" i="46" s="1"/>
  <c r="AD426" i="46"/>
  <c r="AH426" i="46" s="1" a="1"/>
  <c r="AH426" i="46" s="1"/>
  <c r="AE426" i="46"/>
  <c r="AI426" i="46" s="1"/>
  <c r="Z427" i="46"/>
  <c r="AA427" i="46" s="1"/>
  <c r="AB427" i="46"/>
  <c r="AC427" i="46" s="1"/>
  <c r="AD427" i="46"/>
  <c r="AH427" i="46" s="1" a="1"/>
  <c r="AH427" i="46" s="1"/>
  <c r="AE427" i="46"/>
  <c r="AJ427" i="46" s="1"/>
  <c r="Z428" i="46"/>
  <c r="AA428" i="46" s="1"/>
  <c r="AB428" i="46"/>
  <c r="AC428" i="46" s="1"/>
  <c r="AD428" i="46"/>
  <c r="AH428" i="46" s="1" a="1"/>
  <c r="AH428" i="46" s="1"/>
  <c r="AE428" i="46"/>
  <c r="Z429" i="46"/>
  <c r="AA429" i="46" s="1"/>
  <c r="AB429" i="46"/>
  <c r="AC429" i="46" s="1"/>
  <c r="AD429" i="46"/>
  <c r="AH429" i="46" s="1" a="1"/>
  <c r="AH429" i="46" s="1"/>
  <c r="AE429" i="46"/>
  <c r="AJ429" i="46" s="1"/>
  <c r="Z430" i="46"/>
  <c r="AA430" i="46" s="1"/>
  <c r="AB430" i="46"/>
  <c r="AC430" i="46" s="1"/>
  <c r="AD430" i="46"/>
  <c r="AH430" i="46" s="1" a="1"/>
  <c r="AH430" i="46" s="1"/>
  <c r="AE430" i="46"/>
  <c r="AF430" i="46" s="1"/>
  <c r="AG430" i="46" s="1"/>
  <c r="Z431" i="46"/>
  <c r="AA431" i="46" s="1"/>
  <c r="AB431" i="46"/>
  <c r="AC431" i="46" s="1"/>
  <c r="AD431" i="46"/>
  <c r="AH431" i="46" s="1" a="1"/>
  <c r="AH431" i="46" s="1"/>
  <c r="AE431" i="46"/>
  <c r="AJ431" i="46" s="1"/>
  <c r="Z432" i="46"/>
  <c r="AA432" i="46" s="1"/>
  <c r="AB432" i="46"/>
  <c r="AC432" i="46" s="1"/>
  <c r="AD432" i="46"/>
  <c r="AH432" i="46" s="1" a="1"/>
  <c r="AH432" i="46" s="1"/>
  <c r="AE432" i="46"/>
  <c r="AF432" i="46" s="1"/>
  <c r="AG432" i="46" s="1"/>
  <c r="Z433" i="46"/>
  <c r="AA433" i="46" s="1"/>
  <c r="AB433" i="46"/>
  <c r="AC433" i="46" s="1"/>
  <c r="AD433" i="46"/>
  <c r="AH433" i="46" s="1" a="1"/>
  <c r="AH433" i="46" s="1"/>
  <c r="AE433" i="46"/>
  <c r="AJ433" i="46" s="1"/>
  <c r="Z434" i="46"/>
  <c r="AA434" i="46" s="1"/>
  <c r="AB434" i="46"/>
  <c r="AC434" i="46" s="1"/>
  <c r="AD434" i="46"/>
  <c r="AH434" i="46" s="1" a="1"/>
  <c r="AH434" i="46" s="1"/>
  <c r="AE434" i="46"/>
  <c r="Z435" i="46"/>
  <c r="AA435" i="46" s="1"/>
  <c r="AB435" i="46"/>
  <c r="AC435" i="46" s="1"/>
  <c r="AD435" i="46"/>
  <c r="AH435" i="46" s="1" a="1"/>
  <c r="AH435" i="46" s="1"/>
  <c r="AE435" i="46"/>
  <c r="Z436" i="46"/>
  <c r="AA436" i="46" s="1"/>
  <c r="AB436" i="46"/>
  <c r="AC436" i="46" s="1"/>
  <c r="AD436" i="46"/>
  <c r="AH436" i="46" s="1" a="1"/>
  <c r="AH436" i="46" s="1"/>
  <c r="AE436" i="46"/>
  <c r="AF436" i="46" s="1"/>
  <c r="AG436" i="46" s="1"/>
  <c r="Z437" i="46"/>
  <c r="AA437" i="46" s="1"/>
  <c r="AB437" i="46"/>
  <c r="AC437" i="46" s="1"/>
  <c r="AD437" i="46"/>
  <c r="AH437" i="46" s="1" a="1"/>
  <c r="AH437" i="46" s="1"/>
  <c r="AE437" i="46"/>
  <c r="AJ437" i="46" s="1"/>
  <c r="Z438" i="46"/>
  <c r="AA438" i="46" s="1"/>
  <c r="AB438" i="46"/>
  <c r="AC438" i="46" s="1"/>
  <c r="AD438" i="46"/>
  <c r="AH438" i="46" s="1" a="1"/>
  <c r="AH438" i="46" s="1"/>
  <c r="AE438" i="46"/>
  <c r="AF438" i="46" s="1"/>
  <c r="AG438" i="46" s="1"/>
  <c r="Z439" i="46"/>
  <c r="AA439" i="46" s="1"/>
  <c r="AB439" i="46"/>
  <c r="AC439" i="46" s="1"/>
  <c r="AD439" i="46"/>
  <c r="AH439" i="46" s="1" a="1"/>
  <c r="AH439" i="46" s="1"/>
  <c r="AE439" i="46"/>
  <c r="AJ439" i="46" s="1"/>
  <c r="Z440" i="46"/>
  <c r="AA440" i="46" s="1"/>
  <c r="AB440" i="46"/>
  <c r="AC440" i="46" s="1"/>
  <c r="AD440" i="46"/>
  <c r="AH440" i="46" s="1" a="1"/>
  <c r="AH440" i="46" s="1"/>
  <c r="AE440" i="46"/>
  <c r="AI440" i="46" s="1"/>
  <c r="Z441" i="46"/>
  <c r="AA441" i="46" s="1"/>
  <c r="AB441" i="46"/>
  <c r="AC441" i="46" s="1"/>
  <c r="AD441" i="46"/>
  <c r="AH441" i="46" s="1" a="1"/>
  <c r="AH441" i="46" s="1"/>
  <c r="AE441" i="46"/>
  <c r="Z442" i="46"/>
  <c r="AA442" i="46" s="1"/>
  <c r="AB442" i="46"/>
  <c r="AC442" i="46" s="1"/>
  <c r="AD442" i="46"/>
  <c r="AH442" i="46" s="1" a="1"/>
  <c r="AH442" i="46" s="1"/>
  <c r="AE442" i="46"/>
  <c r="Z443" i="46"/>
  <c r="AA443" i="46" s="1"/>
  <c r="AB443" i="46"/>
  <c r="AC443" i="46" s="1"/>
  <c r="AD443" i="46"/>
  <c r="AH443" i="46" s="1" a="1"/>
  <c r="AH443" i="46" s="1"/>
  <c r="AE443" i="46"/>
  <c r="Z444" i="46"/>
  <c r="AA444" i="46" s="1"/>
  <c r="AB444" i="46"/>
  <c r="AC444" i="46" s="1"/>
  <c r="AD444" i="46"/>
  <c r="AH444" i="46" s="1" a="1"/>
  <c r="AH444" i="46" s="1"/>
  <c r="AE444" i="46"/>
  <c r="Z445" i="46"/>
  <c r="AA445" i="46" s="1"/>
  <c r="AB445" i="46"/>
  <c r="AC445" i="46" s="1"/>
  <c r="AD445" i="46"/>
  <c r="AH445" i="46" s="1" a="1"/>
  <c r="AH445" i="46" s="1"/>
  <c r="AE445" i="46"/>
  <c r="AJ445" i="46" s="1"/>
  <c r="Z446" i="46"/>
  <c r="AA446" i="46" s="1"/>
  <c r="AB446" i="46"/>
  <c r="AC446" i="46" s="1"/>
  <c r="AD446" i="46"/>
  <c r="AH446" i="46" s="1" a="1"/>
  <c r="AH446" i="46" s="1"/>
  <c r="AE446" i="46"/>
  <c r="AF446" i="46" s="1"/>
  <c r="AG446" i="46" s="1"/>
  <c r="Z447" i="46"/>
  <c r="AA447" i="46" s="1"/>
  <c r="AB447" i="46"/>
  <c r="AC447" i="46" s="1"/>
  <c r="AD447" i="46"/>
  <c r="AH447" i="46" s="1" a="1"/>
  <c r="AH447" i="46" s="1"/>
  <c r="AE447" i="46"/>
  <c r="AJ447" i="46" s="1"/>
  <c r="Z448" i="46"/>
  <c r="AA448" i="46" s="1"/>
  <c r="AB448" i="46"/>
  <c r="AC448" i="46" s="1"/>
  <c r="AD448" i="46"/>
  <c r="AH448" i="46" s="1" a="1"/>
  <c r="AH448" i="46" s="1"/>
  <c r="AE448" i="46"/>
  <c r="Z449" i="46"/>
  <c r="AA449" i="46" s="1"/>
  <c r="AB449" i="46"/>
  <c r="AC449" i="46" s="1"/>
  <c r="AD449" i="46"/>
  <c r="AH449" i="46" s="1" a="1"/>
  <c r="AH449" i="46" s="1"/>
  <c r="AE449" i="46"/>
  <c r="AJ449" i="46" s="1"/>
  <c r="Z450" i="46"/>
  <c r="AA450" i="46" s="1"/>
  <c r="AB450" i="46"/>
  <c r="AC450" i="46" s="1"/>
  <c r="AD450" i="46"/>
  <c r="AH450" i="46" s="1" a="1"/>
  <c r="AH450" i="46" s="1"/>
  <c r="AE450" i="46"/>
  <c r="Z451" i="46"/>
  <c r="AA451" i="46" s="1"/>
  <c r="AB451" i="46"/>
  <c r="AC451" i="46" s="1"/>
  <c r="AD451" i="46"/>
  <c r="AH451" i="46" s="1" a="1"/>
  <c r="AH451" i="46" s="1"/>
  <c r="AE451" i="46"/>
  <c r="Z452" i="46"/>
  <c r="AA452" i="46" s="1"/>
  <c r="AB452" i="46"/>
  <c r="AC452" i="46" s="1"/>
  <c r="AD452" i="46"/>
  <c r="AH452" i="46" s="1" a="1"/>
  <c r="AH452" i="46" s="1"/>
  <c r="AE452" i="46"/>
  <c r="AI452" i="46" s="1"/>
  <c r="Z453" i="46"/>
  <c r="AA453" i="46" s="1"/>
  <c r="AB453" i="46"/>
  <c r="AC453" i="46" s="1"/>
  <c r="AD453" i="46"/>
  <c r="AH453" i="46" s="1" a="1"/>
  <c r="AH453" i="46" s="1"/>
  <c r="AE453" i="46"/>
  <c r="AJ453" i="46" s="1"/>
  <c r="Z454" i="46"/>
  <c r="AA454" i="46" s="1"/>
  <c r="AB454" i="46"/>
  <c r="AC454" i="46" s="1"/>
  <c r="AD454" i="46"/>
  <c r="AH454" i="46" s="1" a="1"/>
  <c r="AH454" i="46" s="1"/>
  <c r="AE454" i="46"/>
  <c r="AJ454" i="46" s="1"/>
  <c r="Z455" i="46"/>
  <c r="AA455" i="46" s="1"/>
  <c r="AB455" i="46"/>
  <c r="AC455" i="46" s="1"/>
  <c r="AD455" i="46"/>
  <c r="AH455" i="46" s="1" a="1"/>
  <c r="AH455" i="46" s="1"/>
  <c r="AE455" i="46"/>
  <c r="AJ455" i="46" s="1"/>
  <c r="Z456" i="46"/>
  <c r="AA456" i="46" s="1"/>
  <c r="AB456" i="46"/>
  <c r="AC456" i="46" s="1"/>
  <c r="AD456" i="46"/>
  <c r="AH456" i="46" s="1" a="1"/>
  <c r="AH456" i="46" s="1"/>
  <c r="AE456" i="46"/>
  <c r="AI456" i="46" s="1"/>
  <c r="Z457" i="46"/>
  <c r="AA457" i="46" s="1"/>
  <c r="AB457" i="46"/>
  <c r="AC457" i="46" s="1"/>
  <c r="AD457" i="46"/>
  <c r="AH457" i="46" s="1" a="1"/>
  <c r="AH457" i="46" s="1"/>
  <c r="AE457" i="46"/>
  <c r="Z458" i="46"/>
  <c r="AA458" i="46" s="1"/>
  <c r="AB458" i="46"/>
  <c r="AC458" i="46" s="1"/>
  <c r="AD458" i="46"/>
  <c r="AH458" i="46" s="1" a="1"/>
  <c r="AH458" i="46" s="1"/>
  <c r="AE458" i="46"/>
  <c r="AF458" i="46" s="1"/>
  <c r="AG458" i="46" s="1"/>
  <c r="Z459" i="46"/>
  <c r="AA459" i="46" s="1"/>
  <c r="AB459" i="46"/>
  <c r="AC459" i="46" s="1"/>
  <c r="AD459" i="46"/>
  <c r="AH459" i="46" s="1" a="1"/>
  <c r="AH459" i="46" s="1"/>
  <c r="AE459" i="46"/>
  <c r="AJ459" i="46" s="1"/>
  <c r="Z460" i="46"/>
  <c r="AA460" i="46" s="1"/>
  <c r="AB460" i="46"/>
  <c r="AC460" i="46" s="1"/>
  <c r="AD460" i="46"/>
  <c r="AH460" i="46" s="1" a="1"/>
  <c r="AH460" i="46" s="1"/>
  <c r="AE460" i="46"/>
  <c r="Z461" i="46"/>
  <c r="AA461" i="46" s="1"/>
  <c r="AB461" i="46"/>
  <c r="AC461" i="46" s="1"/>
  <c r="AD461" i="46"/>
  <c r="AH461" i="46" s="1" a="1"/>
  <c r="AH461" i="46" s="1"/>
  <c r="AE461" i="46"/>
  <c r="AJ461" i="46" s="1"/>
  <c r="Z462" i="46"/>
  <c r="AA462" i="46" s="1"/>
  <c r="AB462" i="46"/>
  <c r="AC462" i="46" s="1"/>
  <c r="AD462" i="46"/>
  <c r="AH462" i="46" s="1" a="1"/>
  <c r="AH462" i="46" s="1"/>
  <c r="AE462" i="46"/>
  <c r="Z463" i="46"/>
  <c r="AA463" i="46" s="1"/>
  <c r="AB463" i="46"/>
  <c r="AC463" i="46" s="1"/>
  <c r="AD463" i="46"/>
  <c r="AH463" i="46" s="1" a="1"/>
  <c r="AH463" i="46" s="1"/>
  <c r="AE463" i="46"/>
  <c r="AJ463" i="46" s="1"/>
  <c r="Z464" i="46"/>
  <c r="AA464" i="46" s="1"/>
  <c r="AB464" i="46"/>
  <c r="AC464" i="46" s="1"/>
  <c r="AD464" i="46"/>
  <c r="AH464" i="46" s="1" a="1"/>
  <c r="AH464" i="46" s="1"/>
  <c r="AE464" i="46"/>
  <c r="AF464" i="46" s="1"/>
  <c r="AG464" i="46" s="1"/>
  <c r="Z465" i="46"/>
  <c r="AA465" i="46" s="1"/>
  <c r="AB465" i="46"/>
  <c r="AC465" i="46" s="1"/>
  <c r="AD465" i="46"/>
  <c r="AH465" i="46" s="1" a="1"/>
  <c r="AH465" i="46" s="1"/>
  <c r="AE465" i="46"/>
  <c r="Z466" i="46"/>
  <c r="AA466" i="46" s="1"/>
  <c r="AB466" i="46"/>
  <c r="AC466" i="46" s="1"/>
  <c r="AD466" i="46"/>
  <c r="AH466" i="46" s="1" a="1"/>
  <c r="AH466" i="46" s="1"/>
  <c r="AE466" i="46"/>
  <c r="AI466" i="46" s="1"/>
  <c r="Z467" i="46"/>
  <c r="AA467" i="46" s="1"/>
  <c r="AB467" i="46"/>
  <c r="AC467" i="46" s="1"/>
  <c r="AD467" i="46"/>
  <c r="AH467" i="46" s="1" a="1"/>
  <c r="AH467" i="46" s="1"/>
  <c r="AE467" i="46"/>
  <c r="AI467" i="46" s="1"/>
  <c r="Z468" i="46"/>
  <c r="AA468" i="46" s="1"/>
  <c r="AB468" i="46"/>
  <c r="AC468" i="46" s="1"/>
  <c r="AD468" i="46"/>
  <c r="AH468" i="46" s="1" a="1"/>
  <c r="AH468" i="46" s="1"/>
  <c r="AE468" i="46"/>
  <c r="AI468" i="46" s="1"/>
  <c r="Z469" i="46"/>
  <c r="AA469" i="46" s="1"/>
  <c r="AB469" i="46"/>
  <c r="AC469" i="46" s="1"/>
  <c r="AD469" i="46"/>
  <c r="AH469" i="46" s="1" a="1"/>
  <c r="AH469" i="46" s="1"/>
  <c r="AE469" i="46"/>
  <c r="AJ469" i="46" s="1"/>
  <c r="Z470" i="46"/>
  <c r="AA470" i="46" s="1"/>
  <c r="AB470" i="46"/>
  <c r="AC470" i="46" s="1"/>
  <c r="AD470" i="46"/>
  <c r="AH470" i="46" s="1" a="1"/>
  <c r="AH470" i="46" s="1"/>
  <c r="AE470" i="46"/>
  <c r="AF470" i="46" s="1"/>
  <c r="AG470" i="46" s="1"/>
  <c r="Z471" i="46"/>
  <c r="AA471" i="46" s="1"/>
  <c r="AB471" i="46"/>
  <c r="AC471" i="46" s="1"/>
  <c r="AD471" i="46"/>
  <c r="AH471" i="46" s="1" a="1"/>
  <c r="AH471" i="46" s="1"/>
  <c r="AE471" i="46"/>
  <c r="AJ471" i="46" s="1"/>
  <c r="Z472" i="46"/>
  <c r="AA472" i="46" s="1"/>
  <c r="AB472" i="46"/>
  <c r="AC472" i="46" s="1"/>
  <c r="AD472" i="46"/>
  <c r="AH472" i="46" s="1" a="1"/>
  <c r="AH472" i="46" s="1"/>
  <c r="AE472" i="46"/>
  <c r="AI472" i="46" s="1"/>
  <c r="Z473" i="46"/>
  <c r="AA473" i="46" s="1"/>
  <c r="AB473" i="46"/>
  <c r="AC473" i="46" s="1"/>
  <c r="AD473" i="46"/>
  <c r="AH473" i="46" s="1" a="1"/>
  <c r="AH473" i="46" s="1"/>
  <c r="AE473" i="46"/>
  <c r="Z474" i="46"/>
  <c r="AA474" i="46" s="1"/>
  <c r="AB474" i="46"/>
  <c r="AC474" i="46" s="1"/>
  <c r="AD474" i="46"/>
  <c r="AH474" i="46" s="1" a="1"/>
  <c r="AH474" i="46" s="1"/>
  <c r="AE474" i="46"/>
  <c r="AF474" i="46" s="1"/>
  <c r="AG474" i="46" s="1"/>
  <c r="Z475" i="46"/>
  <c r="AA475" i="46" s="1"/>
  <c r="AB475" i="46"/>
  <c r="AC475" i="46" s="1"/>
  <c r="AD475" i="46"/>
  <c r="AH475" i="46" s="1" a="1"/>
  <c r="AH475" i="46" s="1"/>
  <c r="AE475" i="46"/>
  <c r="AJ475" i="46" s="1"/>
  <c r="Z476" i="46"/>
  <c r="AA476" i="46" s="1"/>
  <c r="AB476" i="46"/>
  <c r="AC476" i="46" s="1"/>
  <c r="AD476" i="46"/>
  <c r="AH476" i="46" s="1" a="1"/>
  <c r="AH476" i="46" s="1"/>
  <c r="AE476" i="46"/>
  <c r="Z477" i="46"/>
  <c r="AA477" i="46" s="1"/>
  <c r="AB477" i="46"/>
  <c r="AC477" i="46" s="1"/>
  <c r="AD477" i="46"/>
  <c r="AH477" i="46" s="1" a="1"/>
  <c r="AH477" i="46" s="1"/>
  <c r="AE477" i="46"/>
  <c r="AJ477" i="46" s="1"/>
  <c r="Z478" i="46"/>
  <c r="AA478" i="46" s="1"/>
  <c r="AB478" i="46"/>
  <c r="AC478" i="46" s="1"/>
  <c r="AD478" i="46"/>
  <c r="AH478" i="46" s="1" a="1"/>
  <c r="AH478" i="46" s="1"/>
  <c r="AE478" i="46"/>
  <c r="AF478" i="46" s="1"/>
  <c r="AG478" i="46" s="1"/>
  <c r="Z479" i="46"/>
  <c r="AA479" i="46" s="1"/>
  <c r="AB479" i="46"/>
  <c r="AC479" i="46" s="1"/>
  <c r="AD479" i="46"/>
  <c r="AH479" i="46" s="1" a="1"/>
  <c r="AH479" i="46" s="1"/>
  <c r="AE479" i="46"/>
  <c r="AF479" i="46" s="1"/>
  <c r="AG479" i="46" s="1"/>
  <c r="Z480" i="46"/>
  <c r="AA480" i="46" s="1"/>
  <c r="AB480" i="46"/>
  <c r="AC480" i="46" s="1"/>
  <c r="AD480" i="46"/>
  <c r="AH480" i="46" s="1" a="1"/>
  <c r="AH480" i="46" s="1"/>
  <c r="AE480" i="46"/>
  <c r="AF480" i="46" s="1"/>
  <c r="AG480" i="46" s="1"/>
  <c r="Z481" i="46"/>
  <c r="AA481" i="46" s="1"/>
  <c r="AB481" i="46"/>
  <c r="AC481" i="46" s="1"/>
  <c r="AD481" i="46"/>
  <c r="AH481" i="46" s="1" a="1"/>
  <c r="AH481" i="46" s="1"/>
  <c r="AE481" i="46"/>
  <c r="Z482" i="46"/>
  <c r="AA482" i="46" s="1"/>
  <c r="AB482" i="46"/>
  <c r="AC482" i="46" s="1"/>
  <c r="AD482" i="46"/>
  <c r="AH482" i="46" s="1" a="1"/>
  <c r="AH482" i="46" s="1"/>
  <c r="AE482" i="46"/>
  <c r="AI482" i="46" s="1"/>
  <c r="Z483" i="46"/>
  <c r="AA483" i="46" s="1"/>
  <c r="AB483" i="46"/>
  <c r="AC483" i="46" s="1"/>
  <c r="AD483" i="46"/>
  <c r="AH483" i="46" s="1" a="1"/>
  <c r="AH483" i="46" s="1"/>
  <c r="AE483" i="46"/>
  <c r="AJ483" i="46" s="1"/>
  <c r="Z484" i="46"/>
  <c r="AA484" i="46" s="1"/>
  <c r="AB484" i="46"/>
  <c r="AC484" i="46" s="1"/>
  <c r="AD484" i="46"/>
  <c r="AH484" i="46" s="1" a="1"/>
  <c r="AH484" i="46" s="1"/>
  <c r="AE484" i="46"/>
  <c r="AI484" i="46" s="1"/>
  <c r="Z485" i="46"/>
  <c r="AA485" i="46" s="1"/>
  <c r="AB485" i="46"/>
  <c r="AC485" i="46" s="1"/>
  <c r="AD485" i="46"/>
  <c r="AH485" i="46" s="1" a="1"/>
  <c r="AH485" i="46" s="1"/>
  <c r="AE485" i="46"/>
  <c r="AJ485" i="46" s="1"/>
  <c r="Z486" i="46"/>
  <c r="AA486" i="46" s="1"/>
  <c r="AB486" i="46"/>
  <c r="AC486" i="46" s="1"/>
  <c r="AD486" i="46"/>
  <c r="AH486" i="46" s="1" a="1"/>
  <c r="AH486" i="46" s="1"/>
  <c r="AE486" i="46"/>
  <c r="AF486" i="46" s="1"/>
  <c r="AG486" i="46" s="1"/>
  <c r="Z487" i="46"/>
  <c r="AA487" i="46" s="1"/>
  <c r="AB487" i="46"/>
  <c r="AC487" i="46" s="1"/>
  <c r="AD487" i="46"/>
  <c r="AH487" i="46" s="1" a="1"/>
  <c r="AH487" i="46" s="1"/>
  <c r="AE487" i="46"/>
  <c r="AJ487" i="46" s="1"/>
  <c r="Z488" i="46"/>
  <c r="AA488" i="46" s="1"/>
  <c r="AB488" i="46"/>
  <c r="AC488" i="46" s="1"/>
  <c r="AD488" i="46"/>
  <c r="AH488" i="46" s="1" a="1"/>
  <c r="AH488" i="46" s="1"/>
  <c r="AE488" i="46"/>
  <c r="AF488" i="46" s="1"/>
  <c r="AG488" i="46" s="1"/>
  <c r="Z489" i="46"/>
  <c r="AA489" i="46" s="1"/>
  <c r="AB489" i="46"/>
  <c r="AC489" i="46" s="1"/>
  <c r="AD489" i="46"/>
  <c r="AH489" i="46" s="1" a="1"/>
  <c r="AH489" i="46" s="1"/>
  <c r="AE489" i="46"/>
  <c r="Z490" i="46"/>
  <c r="AA490" i="46" s="1"/>
  <c r="AB490" i="46"/>
  <c r="AC490" i="46" s="1"/>
  <c r="AD490" i="46"/>
  <c r="AH490" i="46" s="1" a="1"/>
  <c r="AH490" i="46" s="1"/>
  <c r="AE490" i="46"/>
  <c r="AF490" i="46" s="1"/>
  <c r="AG490" i="46" s="1"/>
  <c r="Z491" i="46"/>
  <c r="AA491" i="46" s="1"/>
  <c r="AB491" i="46"/>
  <c r="AC491" i="46" s="1"/>
  <c r="AD491" i="46"/>
  <c r="AH491" i="46" s="1" a="1"/>
  <c r="AH491" i="46" s="1"/>
  <c r="AE491" i="46"/>
  <c r="AJ491" i="46" s="1"/>
  <c r="Z492" i="46"/>
  <c r="AA492" i="46" s="1"/>
  <c r="AB492" i="46"/>
  <c r="AC492" i="46" s="1"/>
  <c r="AD492" i="46"/>
  <c r="AH492" i="46" s="1" a="1"/>
  <c r="AH492" i="46" s="1"/>
  <c r="AE492" i="46"/>
  <c r="Z493" i="46"/>
  <c r="AA493" i="46" s="1"/>
  <c r="AB493" i="46"/>
  <c r="AC493" i="46" s="1"/>
  <c r="AD493" i="46"/>
  <c r="AH493" i="46" s="1" a="1"/>
  <c r="AH493" i="46" s="1"/>
  <c r="AE493" i="46"/>
  <c r="AJ493" i="46" s="1"/>
  <c r="Z494" i="46"/>
  <c r="AA494" i="46" s="1"/>
  <c r="AB494" i="46"/>
  <c r="AC494" i="46" s="1"/>
  <c r="AD494" i="46"/>
  <c r="AH494" i="46" s="1" a="1"/>
  <c r="AH494" i="46" s="1"/>
  <c r="AE494" i="46"/>
  <c r="AI494" i="46" s="1"/>
  <c r="Z495" i="46"/>
  <c r="AA495" i="46" s="1"/>
  <c r="AB495" i="46"/>
  <c r="AC495" i="46" s="1"/>
  <c r="AD495" i="46"/>
  <c r="AH495" i="46" s="1" a="1"/>
  <c r="AH495" i="46" s="1"/>
  <c r="AE495" i="46"/>
  <c r="AJ495" i="46" s="1"/>
  <c r="Z496" i="46"/>
  <c r="AA496" i="46" s="1"/>
  <c r="AB496" i="46"/>
  <c r="AC496" i="46" s="1"/>
  <c r="AD496" i="46"/>
  <c r="AH496" i="46" s="1" a="1"/>
  <c r="AH496" i="46" s="1"/>
  <c r="AE496" i="46"/>
  <c r="Z497" i="46"/>
  <c r="AA497" i="46" s="1"/>
  <c r="AB497" i="46"/>
  <c r="AC497" i="46" s="1"/>
  <c r="AD497" i="46"/>
  <c r="AH497" i="46" s="1" a="1"/>
  <c r="AH497" i="46" s="1"/>
  <c r="AE497" i="46"/>
  <c r="AJ497" i="46" s="1"/>
  <c r="Z498" i="46"/>
  <c r="AA498" i="46" s="1"/>
  <c r="AB498" i="46"/>
  <c r="AC498" i="46" s="1"/>
  <c r="AD498" i="46"/>
  <c r="AH498" i="46" s="1" a="1"/>
  <c r="AH498" i="46" s="1"/>
  <c r="AE498" i="46"/>
  <c r="Z499" i="46"/>
  <c r="AA499" i="46" s="1"/>
  <c r="AB499" i="46"/>
  <c r="AC499" i="46" s="1"/>
  <c r="AD499" i="46"/>
  <c r="AH499" i="46" s="1" a="1"/>
  <c r="AH499" i="46" s="1"/>
  <c r="AE499" i="46"/>
  <c r="Z500" i="46"/>
  <c r="AA500" i="46" s="1"/>
  <c r="AB500" i="46"/>
  <c r="AC500" i="46" s="1"/>
  <c r="AD500" i="46"/>
  <c r="AH500" i="46" s="1" a="1"/>
  <c r="AH500" i="46" s="1"/>
  <c r="AE500" i="46"/>
  <c r="AF500" i="46" s="1"/>
  <c r="AG500" i="46" s="1"/>
  <c r="AE2" i="46"/>
  <c r="AJ2" i="46" s="1"/>
  <c r="AD2" i="46"/>
  <c r="AH2" i="46" s="1" a="1"/>
  <c r="AH2" i="46" s="1"/>
  <c r="AB2" i="46"/>
  <c r="AC2" i="46" s="1"/>
  <c r="Z2" i="46"/>
  <c r="AA2" i="46" s="1"/>
  <c r="Z3" i="45"/>
  <c r="AA3" i="45" s="1"/>
  <c r="AB3" i="45"/>
  <c r="AC3" i="45" s="1"/>
  <c r="AD3" i="45"/>
  <c r="AH3" i="45" s="1" a="1"/>
  <c r="AH3" i="45" s="1"/>
  <c r="Z4" i="45"/>
  <c r="AA4" i="45" s="1"/>
  <c r="AB4" i="45"/>
  <c r="AD4" i="45"/>
  <c r="AH4" i="45" s="1" a="1"/>
  <c r="AH4" i="45" s="1"/>
  <c r="Z5" i="45"/>
  <c r="AA5" i="45" s="1"/>
  <c r="AB5" i="45"/>
  <c r="AC5" i="45" s="1"/>
  <c r="AD5" i="45"/>
  <c r="AH5" i="45" s="1" a="1"/>
  <c r="AH5" i="45" s="1"/>
  <c r="Z6" i="45"/>
  <c r="AA6" i="45" s="1"/>
  <c r="AB6" i="45"/>
  <c r="AC6" i="45" s="1"/>
  <c r="AD6" i="45"/>
  <c r="AH6" i="45" s="1" a="1"/>
  <c r="AH6" i="45" s="1"/>
  <c r="Z7" i="45"/>
  <c r="AA7" i="45" s="1"/>
  <c r="AB7" i="45"/>
  <c r="AC7" i="45" s="1"/>
  <c r="AD7" i="45"/>
  <c r="AH7" i="45" s="1" a="1"/>
  <c r="AH7" i="45" s="1"/>
  <c r="Z8" i="45"/>
  <c r="AA8" i="45" s="1"/>
  <c r="AB8" i="45"/>
  <c r="AC8" i="45" s="1"/>
  <c r="AD8" i="45"/>
  <c r="AH8" i="45" s="1" a="1"/>
  <c r="AH8" i="45" s="1"/>
  <c r="Z9" i="45"/>
  <c r="AA9" i="45" s="1"/>
  <c r="AB9" i="45"/>
  <c r="AC9" i="45" s="1"/>
  <c r="AD9" i="45"/>
  <c r="AH9" i="45" s="1" a="1"/>
  <c r="AH9" i="45" s="1"/>
  <c r="Z10" i="45"/>
  <c r="AA10" i="45" s="1"/>
  <c r="AB10" i="45"/>
  <c r="AE10" i="45" s="1"/>
  <c r="AD10" i="45"/>
  <c r="AH10" i="45" s="1" a="1"/>
  <c r="AH10" i="45" s="1"/>
  <c r="Z11" i="45"/>
  <c r="AA11" i="45" s="1"/>
  <c r="AB11" i="45"/>
  <c r="AC11" i="45" s="1"/>
  <c r="AD11" i="45"/>
  <c r="AH11" i="45" s="1" a="1"/>
  <c r="AH11" i="45" s="1"/>
  <c r="Z12" i="45"/>
  <c r="AA12" i="45" s="1"/>
  <c r="AB12" i="45"/>
  <c r="AC12" i="45" s="1"/>
  <c r="AD12" i="45"/>
  <c r="AH12" i="45" s="1" a="1"/>
  <c r="AH12" i="45" s="1"/>
  <c r="Z13" i="45"/>
  <c r="AA13" i="45" s="1"/>
  <c r="AB13" i="45"/>
  <c r="AC13" i="45" s="1"/>
  <c r="AD13" i="45"/>
  <c r="AH13" i="45" s="1" a="1"/>
  <c r="AH13" i="45" s="1"/>
  <c r="Z14" i="45"/>
  <c r="AA14" i="45" s="1"/>
  <c r="AB14" i="45"/>
  <c r="AC14" i="45" s="1"/>
  <c r="AD14" i="45"/>
  <c r="AH14" i="45" s="1" a="1"/>
  <c r="AH14" i="45" s="1"/>
  <c r="Z15" i="45"/>
  <c r="AA15" i="45" s="1"/>
  <c r="AB15" i="45"/>
  <c r="AC15" i="45" s="1"/>
  <c r="AD15" i="45"/>
  <c r="AH15" i="45" s="1" a="1"/>
  <c r="AH15" i="45" s="1"/>
  <c r="Z16" i="45"/>
  <c r="AA16" i="45" s="1"/>
  <c r="AB16" i="45"/>
  <c r="AC16" i="45" s="1"/>
  <c r="AD16" i="45"/>
  <c r="AH16" i="45" s="1" a="1"/>
  <c r="AH16" i="45" s="1"/>
  <c r="Z17" i="45"/>
  <c r="AA17" i="45" s="1"/>
  <c r="AB17" i="45"/>
  <c r="AC17" i="45" s="1"/>
  <c r="AD17" i="45"/>
  <c r="AH17" i="45" s="1" a="1"/>
  <c r="AH17" i="45" s="1"/>
  <c r="Z18" i="45"/>
  <c r="AA18" i="45" s="1"/>
  <c r="AB18" i="45"/>
  <c r="AC18" i="45" s="1"/>
  <c r="AD18" i="45"/>
  <c r="AH18" i="45" s="1" a="1"/>
  <c r="AH18" i="45" s="1"/>
  <c r="Z19" i="45"/>
  <c r="AA19" i="45" s="1"/>
  <c r="AB19" i="45"/>
  <c r="AC19" i="45" s="1"/>
  <c r="AD19" i="45"/>
  <c r="AH19" i="45" s="1" a="1"/>
  <c r="AH19" i="45" s="1"/>
  <c r="Z20" i="45"/>
  <c r="AA20" i="45" s="1"/>
  <c r="AB20" i="45"/>
  <c r="AC20" i="45" s="1"/>
  <c r="AD20" i="45"/>
  <c r="AH20" i="45" s="1" a="1"/>
  <c r="AH20" i="45" s="1"/>
  <c r="Z21" i="45"/>
  <c r="AA21" i="45" s="1"/>
  <c r="AB21" i="45"/>
  <c r="AC21" i="45" s="1"/>
  <c r="AD21" i="45"/>
  <c r="AH21" i="45" s="1" a="1"/>
  <c r="AH21" i="45" s="1"/>
  <c r="Z22" i="45"/>
  <c r="AA22" i="45" s="1"/>
  <c r="AB22" i="45"/>
  <c r="AC22" i="45" s="1"/>
  <c r="AD22" i="45"/>
  <c r="AH22" i="45" s="1" a="1"/>
  <c r="AH22" i="45" s="1"/>
  <c r="Z23" i="45"/>
  <c r="AA23" i="45" s="1"/>
  <c r="AB23" i="45"/>
  <c r="AC23" i="45" s="1"/>
  <c r="AD23" i="45"/>
  <c r="AH23" i="45" s="1" a="1"/>
  <c r="AH23" i="45" s="1"/>
  <c r="Z24" i="45"/>
  <c r="AA24" i="45" s="1"/>
  <c r="AB24" i="45"/>
  <c r="AC24" i="45" s="1"/>
  <c r="AD24" i="45"/>
  <c r="AH24" i="45" s="1" a="1"/>
  <c r="AH24" i="45" s="1"/>
  <c r="Z25" i="45"/>
  <c r="AA25" i="45" s="1"/>
  <c r="AB25" i="45"/>
  <c r="AC25" i="45" s="1"/>
  <c r="AD25" i="45"/>
  <c r="AH25" i="45" s="1" a="1"/>
  <c r="AH25" i="45" s="1"/>
  <c r="Z26" i="45"/>
  <c r="AA26" i="45" s="1"/>
  <c r="AB26" i="45"/>
  <c r="AC26" i="45" s="1"/>
  <c r="AD26" i="45"/>
  <c r="AH26" i="45" s="1" a="1"/>
  <c r="AH26" i="45" s="1"/>
  <c r="Z27" i="45"/>
  <c r="AA27" i="45" s="1"/>
  <c r="AB27" i="45"/>
  <c r="AC27" i="45" s="1"/>
  <c r="AD27" i="45"/>
  <c r="AH27" i="45" s="1" a="1"/>
  <c r="AH27" i="45" s="1"/>
  <c r="Z28" i="45"/>
  <c r="AA28" i="45" s="1"/>
  <c r="AB28" i="45"/>
  <c r="AC28" i="45" s="1"/>
  <c r="AD28" i="45"/>
  <c r="AH28" i="45" s="1" a="1"/>
  <c r="AH28" i="45" s="1"/>
  <c r="Z29" i="45"/>
  <c r="AA29" i="45" s="1"/>
  <c r="AB29" i="45"/>
  <c r="AC29" i="45" s="1"/>
  <c r="AD29" i="45"/>
  <c r="AH29" i="45" s="1" a="1"/>
  <c r="AH29" i="45" s="1"/>
  <c r="Z30" i="45"/>
  <c r="AA30" i="45" s="1"/>
  <c r="AB30" i="45"/>
  <c r="AC30" i="45" s="1"/>
  <c r="AD30" i="45"/>
  <c r="AH30" i="45" s="1" a="1"/>
  <c r="AH30" i="45" s="1"/>
  <c r="Z31" i="45"/>
  <c r="AA31" i="45" s="1"/>
  <c r="AB31" i="45"/>
  <c r="AC31" i="45" s="1"/>
  <c r="AD31" i="45"/>
  <c r="AH31" i="45" s="1" a="1"/>
  <c r="AH31" i="45" s="1"/>
  <c r="Z32" i="45"/>
  <c r="AA32" i="45" s="1"/>
  <c r="AB32" i="45"/>
  <c r="AC32" i="45" s="1"/>
  <c r="AD32" i="45"/>
  <c r="AH32" i="45" s="1" a="1"/>
  <c r="AH32" i="45" s="1"/>
  <c r="Z33" i="45"/>
  <c r="AA33" i="45" s="1"/>
  <c r="AB33" i="45"/>
  <c r="AC33" i="45" s="1"/>
  <c r="AD33" i="45"/>
  <c r="AH33" i="45" s="1" a="1"/>
  <c r="AH33" i="45" s="1"/>
  <c r="Z34" i="45"/>
  <c r="AA34" i="45" s="1"/>
  <c r="AB34" i="45"/>
  <c r="AC34" i="45" s="1"/>
  <c r="AD34" i="45"/>
  <c r="AH34" i="45" s="1" a="1"/>
  <c r="AH34" i="45" s="1"/>
  <c r="Z35" i="45"/>
  <c r="AA35" i="45" s="1"/>
  <c r="AB35" i="45"/>
  <c r="AC35" i="45" s="1"/>
  <c r="AD35" i="45"/>
  <c r="AH35" i="45" s="1" a="1"/>
  <c r="AH35" i="45" s="1"/>
  <c r="Z36" i="45"/>
  <c r="AA36" i="45" s="1"/>
  <c r="AB36" i="45"/>
  <c r="AC36" i="45" s="1"/>
  <c r="AD36" i="45"/>
  <c r="AH36" i="45" s="1" a="1"/>
  <c r="AH36" i="45" s="1"/>
  <c r="Z37" i="45"/>
  <c r="AA37" i="45" s="1"/>
  <c r="AB37" i="45"/>
  <c r="AC37" i="45" s="1"/>
  <c r="AD37" i="45"/>
  <c r="AH37" i="45" s="1" a="1"/>
  <c r="AH37" i="45" s="1"/>
  <c r="Z38" i="45"/>
  <c r="AA38" i="45" s="1"/>
  <c r="AB38" i="45"/>
  <c r="AC38" i="45" s="1"/>
  <c r="AD38" i="45"/>
  <c r="AH38" i="45" s="1" a="1"/>
  <c r="AH38" i="45" s="1"/>
  <c r="Z39" i="45"/>
  <c r="AA39" i="45" s="1"/>
  <c r="AB39" i="45"/>
  <c r="AC39" i="45" s="1"/>
  <c r="AD39" i="45"/>
  <c r="AH39" i="45" s="1" a="1"/>
  <c r="AH39" i="45" s="1"/>
  <c r="AE39" i="45"/>
  <c r="AJ39" i="45" s="1"/>
  <c r="Z40" i="45"/>
  <c r="AA40" i="45" s="1"/>
  <c r="AB40" i="45"/>
  <c r="AC40" i="45" s="1"/>
  <c r="AD40" i="45"/>
  <c r="AH40" i="45" s="1" a="1"/>
  <c r="AH40" i="45" s="1"/>
  <c r="Z41" i="45"/>
  <c r="AA41" i="45" s="1"/>
  <c r="AB41" i="45"/>
  <c r="AC41" i="45" s="1"/>
  <c r="AD41" i="45"/>
  <c r="AH41" i="45" s="1" a="1"/>
  <c r="AH41" i="45" s="1"/>
  <c r="AE41" i="45"/>
  <c r="Z42" i="45"/>
  <c r="AA42" i="45" s="1"/>
  <c r="AB42" i="45"/>
  <c r="AC42" i="45" s="1"/>
  <c r="AD42" i="45"/>
  <c r="AH42" i="45" s="1" a="1"/>
  <c r="AH42" i="45" s="1"/>
  <c r="AE42" i="45"/>
  <c r="AF42" i="45" s="1"/>
  <c r="AG42" i="45" s="1"/>
  <c r="Z43" i="45"/>
  <c r="AA43" i="45" s="1"/>
  <c r="AB43" i="45"/>
  <c r="AC43" i="45" s="1"/>
  <c r="AD43" i="45"/>
  <c r="AH43" i="45" s="1" a="1"/>
  <c r="AH43" i="45" s="1"/>
  <c r="AE43" i="45"/>
  <c r="Z44" i="45"/>
  <c r="AA44" i="45" s="1"/>
  <c r="AB44" i="45"/>
  <c r="AC44" i="45" s="1"/>
  <c r="AD44" i="45"/>
  <c r="AH44" i="45" s="1" a="1"/>
  <c r="AH44" i="45" s="1"/>
  <c r="AE44" i="45"/>
  <c r="Z45" i="45"/>
  <c r="AA45" i="45" s="1"/>
  <c r="AB45" i="45"/>
  <c r="AC45" i="45" s="1"/>
  <c r="AD45" i="45"/>
  <c r="AH45" i="45" s="1" a="1"/>
  <c r="AH45" i="45" s="1"/>
  <c r="AE45" i="45"/>
  <c r="AF45" i="45" s="1"/>
  <c r="AG45" i="45" s="1"/>
  <c r="Z46" i="45"/>
  <c r="AA46" i="45" s="1"/>
  <c r="AB46" i="45"/>
  <c r="AC46" i="45" s="1"/>
  <c r="AD46" i="45"/>
  <c r="AH46" i="45" s="1" a="1"/>
  <c r="AH46" i="45" s="1"/>
  <c r="AE46" i="45"/>
  <c r="Z47" i="45"/>
  <c r="AA47" i="45" s="1"/>
  <c r="AB47" i="45"/>
  <c r="AC47" i="45" s="1"/>
  <c r="AD47" i="45"/>
  <c r="AH47" i="45" s="1" a="1"/>
  <c r="AH47" i="45" s="1"/>
  <c r="AE47" i="45"/>
  <c r="AJ47" i="45" s="1"/>
  <c r="Z48" i="45"/>
  <c r="AA48" i="45" s="1"/>
  <c r="AB48" i="45"/>
  <c r="AC48" i="45" s="1"/>
  <c r="AD48" i="45"/>
  <c r="AH48" i="45" s="1" a="1"/>
  <c r="AH48" i="45" s="1"/>
  <c r="AE48" i="45"/>
  <c r="Z49" i="45"/>
  <c r="AA49" i="45" s="1"/>
  <c r="AB49" i="45"/>
  <c r="AC49" i="45" s="1"/>
  <c r="AD49" i="45"/>
  <c r="AH49" i="45" s="1" a="1"/>
  <c r="AH49" i="45" s="1"/>
  <c r="AE49" i="45"/>
  <c r="AJ49" i="45" s="1"/>
  <c r="Z50" i="45"/>
  <c r="AA50" i="45" s="1"/>
  <c r="AB50" i="45"/>
  <c r="AC50" i="45" s="1"/>
  <c r="AD50" i="45"/>
  <c r="AH50" i="45" s="1" a="1"/>
  <c r="AH50" i="45" s="1"/>
  <c r="AE50" i="45"/>
  <c r="AF50" i="45" s="1"/>
  <c r="AG50" i="45" s="1"/>
  <c r="Z51" i="45"/>
  <c r="AA51" i="45" s="1"/>
  <c r="AB51" i="45"/>
  <c r="AC51" i="45" s="1"/>
  <c r="AD51" i="45"/>
  <c r="AH51" i="45" s="1" a="1"/>
  <c r="AH51" i="45" s="1"/>
  <c r="AE51" i="45"/>
  <c r="AJ51" i="45" s="1"/>
  <c r="Z52" i="45"/>
  <c r="AA52" i="45" s="1"/>
  <c r="AB52" i="45"/>
  <c r="AC52" i="45" s="1"/>
  <c r="AD52" i="45"/>
  <c r="AH52" i="45" s="1" a="1"/>
  <c r="AH52" i="45" s="1"/>
  <c r="AE52" i="45"/>
  <c r="AJ52" i="45" s="1"/>
  <c r="Z53" i="45"/>
  <c r="AA53" i="45" s="1"/>
  <c r="AB53" i="45"/>
  <c r="AC53" i="45" s="1"/>
  <c r="AD53" i="45"/>
  <c r="AH53" i="45" s="1" a="1"/>
  <c r="AH53" i="45" s="1"/>
  <c r="AE53" i="45"/>
  <c r="Z54" i="45"/>
  <c r="AA54" i="45" s="1"/>
  <c r="AB54" i="45"/>
  <c r="AC54" i="45" s="1"/>
  <c r="AD54" i="45"/>
  <c r="AH54" i="45" s="1" a="1"/>
  <c r="AH54" i="45" s="1"/>
  <c r="AE54" i="45"/>
  <c r="AJ54" i="45" s="1"/>
  <c r="Z55" i="45"/>
  <c r="AA55" i="45" s="1"/>
  <c r="AB55" i="45"/>
  <c r="AC55" i="45" s="1"/>
  <c r="AD55" i="45"/>
  <c r="AH55" i="45" s="1" a="1"/>
  <c r="AH55" i="45" s="1"/>
  <c r="AE55" i="45"/>
  <c r="AJ55" i="45" s="1"/>
  <c r="Z56" i="45"/>
  <c r="AA56" i="45" s="1"/>
  <c r="AB56" i="45"/>
  <c r="AC56" i="45" s="1"/>
  <c r="AD56" i="45"/>
  <c r="AH56" i="45" s="1" a="1"/>
  <c r="AH56" i="45" s="1"/>
  <c r="AE56" i="45"/>
  <c r="Z57" i="45"/>
  <c r="AA57" i="45" s="1"/>
  <c r="AB57" i="45"/>
  <c r="AC57" i="45" s="1"/>
  <c r="AD57" i="45"/>
  <c r="AH57" i="45" s="1" a="1"/>
  <c r="AH57" i="45" s="1"/>
  <c r="AE57" i="45"/>
  <c r="Z58" i="45"/>
  <c r="AA58" i="45" s="1"/>
  <c r="AB58" i="45"/>
  <c r="AC58" i="45" s="1"/>
  <c r="AD58" i="45"/>
  <c r="AH58" i="45" s="1" a="1"/>
  <c r="AH58" i="45" s="1"/>
  <c r="AE58" i="45"/>
  <c r="Z59" i="45"/>
  <c r="AA59" i="45" s="1"/>
  <c r="AB59" i="45"/>
  <c r="AC59" i="45" s="1"/>
  <c r="AD59" i="45"/>
  <c r="AH59" i="45" s="1" a="1"/>
  <c r="AH59" i="45" s="1"/>
  <c r="AE59" i="45"/>
  <c r="AJ59" i="45" s="1"/>
  <c r="Z60" i="45"/>
  <c r="AA60" i="45" s="1"/>
  <c r="AB60" i="45"/>
  <c r="AC60" i="45" s="1"/>
  <c r="AD60" i="45"/>
  <c r="AH60" i="45" s="1" a="1"/>
  <c r="AH60" i="45" s="1"/>
  <c r="AE60" i="45"/>
  <c r="AJ60" i="45" s="1"/>
  <c r="Z61" i="45"/>
  <c r="AA61" i="45" s="1"/>
  <c r="AB61" i="45"/>
  <c r="AC61" i="45" s="1"/>
  <c r="AD61" i="45"/>
  <c r="AH61" i="45" s="1" a="1"/>
  <c r="AH61" i="45" s="1"/>
  <c r="AE61" i="45"/>
  <c r="AF61" i="45" s="1"/>
  <c r="AG61" i="45" s="1"/>
  <c r="Z62" i="45"/>
  <c r="AA62" i="45" s="1"/>
  <c r="AB62" i="45"/>
  <c r="AC62" i="45" s="1"/>
  <c r="AD62" i="45"/>
  <c r="AH62" i="45" s="1" a="1"/>
  <c r="AH62" i="45" s="1"/>
  <c r="AE62" i="45"/>
  <c r="Z63" i="45"/>
  <c r="AA63" i="45" s="1"/>
  <c r="AB63" i="45"/>
  <c r="AC63" i="45" s="1"/>
  <c r="AD63" i="45"/>
  <c r="AH63" i="45" s="1" a="1"/>
  <c r="AH63" i="45" s="1"/>
  <c r="AE63" i="45"/>
  <c r="AF63" i="45" s="1"/>
  <c r="AG63" i="45" s="1"/>
  <c r="Z64" i="45"/>
  <c r="AA64" i="45" s="1"/>
  <c r="AB64" i="45"/>
  <c r="AC64" i="45" s="1"/>
  <c r="AD64" i="45"/>
  <c r="AH64" i="45" s="1" a="1"/>
  <c r="AH64" i="45" s="1"/>
  <c r="AE64" i="45"/>
  <c r="Z65" i="45"/>
  <c r="AA65" i="45" s="1"/>
  <c r="AB65" i="45"/>
  <c r="AC65" i="45" s="1"/>
  <c r="AD65" i="45"/>
  <c r="AH65" i="45" s="1" a="1"/>
  <c r="AH65" i="45" s="1"/>
  <c r="AE65" i="45"/>
  <c r="Z66" i="45"/>
  <c r="AA66" i="45" s="1"/>
  <c r="AB66" i="45"/>
  <c r="AC66" i="45" s="1"/>
  <c r="AD66" i="45"/>
  <c r="AH66" i="45" s="1" a="1"/>
  <c r="AH66" i="45" s="1"/>
  <c r="AE66" i="45"/>
  <c r="AJ66" i="45" s="1"/>
  <c r="Z67" i="45"/>
  <c r="AA67" i="45" s="1"/>
  <c r="AB67" i="45"/>
  <c r="AC67" i="45" s="1"/>
  <c r="AD67" i="45"/>
  <c r="AH67" i="45" s="1" a="1"/>
  <c r="AH67" i="45" s="1"/>
  <c r="AE67" i="45"/>
  <c r="AJ67" i="45" s="1"/>
  <c r="Z68" i="45"/>
  <c r="AA68" i="45" s="1"/>
  <c r="AB68" i="45"/>
  <c r="AC68" i="45" s="1"/>
  <c r="AD68" i="45"/>
  <c r="AH68" i="45" s="1" a="1"/>
  <c r="AH68" i="45" s="1"/>
  <c r="AE68" i="45"/>
  <c r="AJ68" i="45" s="1"/>
  <c r="Z69" i="45"/>
  <c r="AA69" i="45" s="1"/>
  <c r="AB69" i="45"/>
  <c r="AC69" i="45" s="1"/>
  <c r="AD69" i="45"/>
  <c r="AH69" i="45" s="1" a="1"/>
  <c r="AH69" i="45" s="1"/>
  <c r="AE69" i="45"/>
  <c r="AF69" i="45" s="1"/>
  <c r="AG69" i="45" s="1"/>
  <c r="Z70" i="45"/>
  <c r="AA70" i="45" s="1"/>
  <c r="AB70" i="45"/>
  <c r="AC70" i="45" s="1"/>
  <c r="AD70" i="45"/>
  <c r="AH70" i="45" s="1" a="1"/>
  <c r="AH70" i="45" s="1"/>
  <c r="AE70" i="45"/>
  <c r="AJ70" i="45" s="1"/>
  <c r="Z71" i="45"/>
  <c r="AA71" i="45" s="1"/>
  <c r="AB71" i="45"/>
  <c r="AC71" i="45" s="1"/>
  <c r="AD71" i="45"/>
  <c r="AH71" i="45" s="1" a="1"/>
  <c r="AH71" i="45" s="1"/>
  <c r="AE71" i="45"/>
  <c r="AI71" i="45" s="1"/>
  <c r="Z72" i="45"/>
  <c r="AA72" i="45" s="1"/>
  <c r="AB72" i="45"/>
  <c r="AC72" i="45" s="1"/>
  <c r="AD72" i="45"/>
  <c r="AH72" i="45" s="1" a="1"/>
  <c r="AH72" i="45" s="1"/>
  <c r="AE72" i="45"/>
  <c r="AJ72" i="45" s="1"/>
  <c r="Z73" i="45"/>
  <c r="AA73" i="45" s="1"/>
  <c r="AB73" i="45"/>
  <c r="AC73" i="45" s="1"/>
  <c r="AD73" i="45"/>
  <c r="AH73" i="45" s="1" a="1"/>
  <c r="AH73" i="45" s="1"/>
  <c r="AE73" i="45"/>
  <c r="Z74" i="45"/>
  <c r="AA74" i="45" s="1"/>
  <c r="AB74" i="45"/>
  <c r="AC74" i="45" s="1"/>
  <c r="AD74" i="45"/>
  <c r="AH74" i="45" s="1" a="1"/>
  <c r="AH74" i="45" s="1"/>
  <c r="AE74" i="45"/>
  <c r="AJ74" i="45" s="1"/>
  <c r="Z75" i="45"/>
  <c r="AA75" i="45" s="1"/>
  <c r="AB75" i="45"/>
  <c r="AC75" i="45" s="1"/>
  <c r="AD75" i="45"/>
  <c r="AH75" i="45" s="1" a="1"/>
  <c r="AH75" i="45" s="1"/>
  <c r="AE75" i="45"/>
  <c r="Z76" i="45"/>
  <c r="AA76" i="45" s="1"/>
  <c r="AB76" i="45"/>
  <c r="AC76" i="45" s="1"/>
  <c r="AD76" i="45"/>
  <c r="AH76" i="45" s="1" a="1"/>
  <c r="AH76" i="45" s="1"/>
  <c r="AE76" i="45"/>
  <c r="AJ76" i="45" s="1"/>
  <c r="Z77" i="45"/>
  <c r="AA77" i="45" s="1"/>
  <c r="AB77" i="45"/>
  <c r="AC77" i="45" s="1"/>
  <c r="AD77" i="45"/>
  <c r="AH77" i="45" s="1" a="1"/>
  <c r="AH77" i="45" s="1"/>
  <c r="AE77" i="45"/>
  <c r="AJ77" i="45" s="1"/>
  <c r="Z78" i="45"/>
  <c r="AA78" i="45" s="1"/>
  <c r="AB78" i="45"/>
  <c r="AC78" i="45" s="1"/>
  <c r="AD78" i="45"/>
  <c r="AH78" i="45" s="1" a="1"/>
  <c r="AH78" i="45" s="1"/>
  <c r="AE78" i="45"/>
  <c r="Z79" i="45"/>
  <c r="AA79" i="45" s="1"/>
  <c r="AB79" i="45"/>
  <c r="AC79" i="45" s="1"/>
  <c r="AD79" i="45"/>
  <c r="AH79" i="45" s="1" a="1"/>
  <c r="AH79" i="45" s="1"/>
  <c r="AE79" i="45"/>
  <c r="AI79" i="45" s="1"/>
  <c r="Z80" i="45"/>
  <c r="AA80" i="45" s="1"/>
  <c r="AB80" i="45"/>
  <c r="AC80" i="45" s="1"/>
  <c r="AD80" i="45"/>
  <c r="AH80" i="45" s="1" a="1"/>
  <c r="AH80" i="45" s="1"/>
  <c r="AE80" i="45"/>
  <c r="AJ80" i="45" s="1"/>
  <c r="Z81" i="45"/>
  <c r="AA81" i="45" s="1"/>
  <c r="AB81" i="45"/>
  <c r="AC81" i="45" s="1"/>
  <c r="AD81" i="45"/>
  <c r="AH81" i="45" s="1" a="1"/>
  <c r="AH81" i="45" s="1"/>
  <c r="AE81" i="45"/>
  <c r="AI81" i="45" s="1"/>
  <c r="Z82" i="45"/>
  <c r="AA82" i="45" s="1"/>
  <c r="AB82" i="45"/>
  <c r="AC82" i="45" s="1"/>
  <c r="AD82" i="45"/>
  <c r="AH82" i="45" s="1" a="1"/>
  <c r="AH82" i="45" s="1"/>
  <c r="AE82" i="45"/>
  <c r="Z83" i="45"/>
  <c r="AA83" i="45" s="1"/>
  <c r="AB83" i="45"/>
  <c r="AC83" i="45" s="1"/>
  <c r="AD83" i="45"/>
  <c r="AH83" i="45" s="1" a="1"/>
  <c r="AH83" i="45" s="1"/>
  <c r="AE83" i="45"/>
  <c r="Z84" i="45"/>
  <c r="AA84" i="45" s="1"/>
  <c r="AB84" i="45"/>
  <c r="AC84" i="45" s="1"/>
  <c r="AD84" i="45"/>
  <c r="AH84" i="45" s="1" a="1"/>
  <c r="AH84" i="45" s="1"/>
  <c r="AE84" i="45"/>
  <c r="AF84" i="45" s="1"/>
  <c r="AG84" i="45" s="1"/>
  <c r="Z85" i="45"/>
  <c r="AA85" i="45" s="1"/>
  <c r="AB85" i="45"/>
  <c r="AC85" i="45" s="1"/>
  <c r="AD85" i="45"/>
  <c r="AH85" i="45" s="1" a="1"/>
  <c r="AH85" i="45" s="1"/>
  <c r="AE85" i="45"/>
  <c r="AJ85" i="45" s="1"/>
  <c r="Z86" i="45"/>
  <c r="AA86" i="45" s="1"/>
  <c r="AB86" i="45"/>
  <c r="AC86" i="45" s="1"/>
  <c r="AD86" i="45"/>
  <c r="AH86" i="45" s="1" a="1"/>
  <c r="AH86" i="45" s="1"/>
  <c r="AE86" i="45"/>
  <c r="Z87" i="45"/>
  <c r="AA87" i="45" s="1"/>
  <c r="AB87" i="45"/>
  <c r="AC87" i="45" s="1"/>
  <c r="AD87" i="45"/>
  <c r="AH87" i="45" s="1" a="1"/>
  <c r="AH87" i="45" s="1"/>
  <c r="AE87" i="45"/>
  <c r="AJ87" i="45" s="1"/>
  <c r="Z88" i="45"/>
  <c r="AA88" i="45" s="1"/>
  <c r="AB88" i="45"/>
  <c r="AC88" i="45" s="1"/>
  <c r="AD88" i="45"/>
  <c r="AH88" i="45" s="1" a="1"/>
  <c r="AH88" i="45" s="1"/>
  <c r="AE88" i="45"/>
  <c r="AJ88" i="45" s="1"/>
  <c r="Z89" i="45"/>
  <c r="AA89" i="45" s="1"/>
  <c r="AB89" i="45"/>
  <c r="AC89" i="45" s="1"/>
  <c r="AD89" i="45"/>
  <c r="AH89" i="45" s="1" a="1"/>
  <c r="AH89" i="45" s="1"/>
  <c r="AE89" i="45"/>
  <c r="AJ89" i="45" s="1"/>
  <c r="Z90" i="45"/>
  <c r="AA90" i="45" s="1"/>
  <c r="AB90" i="45"/>
  <c r="AC90" i="45" s="1"/>
  <c r="AD90" i="45"/>
  <c r="AH90" i="45" s="1" a="1"/>
  <c r="AH90" i="45" s="1"/>
  <c r="AE90" i="45"/>
  <c r="Z91" i="45"/>
  <c r="AA91" i="45" s="1"/>
  <c r="AB91" i="45"/>
  <c r="AC91" i="45" s="1"/>
  <c r="AD91" i="45"/>
  <c r="AH91" i="45" s="1" a="1"/>
  <c r="AH91" i="45" s="1"/>
  <c r="AE91" i="45"/>
  <c r="AF91" i="45" s="1"/>
  <c r="AG91" i="45" s="1"/>
  <c r="Z92" i="45"/>
  <c r="AA92" i="45" s="1"/>
  <c r="AB92" i="45"/>
  <c r="AC92" i="45" s="1"/>
  <c r="AD92" i="45"/>
  <c r="AH92" i="45" s="1" a="1"/>
  <c r="AH92" i="45" s="1"/>
  <c r="AE92" i="45"/>
  <c r="AJ92" i="45" s="1"/>
  <c r="Z93" i="45"/>
  <c r="AA93" i="45" s="1"/>
  <c r="AB93" i="45"/>
  <c r="AC93" i="45" s="1"/>
  <c r="AD93" i="45"/>
  <c r="AH93" i="45" s="1" a="1"/>
  <c r="AH93" i="45" s="1"/>
  <c r="AE93" i="45"/>
  <c r="Z94" i="45"/>
  <c r="AA94" i="45" s="1"/>
  <c r="AB94" i="45"/>
  <c r="AC94" i="45" s="1"/>
  <c r="AD94" i="45"/>
  <c r="AH94" i="45" s="1" a="1"/>
  <c r="AH94" i="45" s="1"/>
  <c r="AE94" i="45"/>
  <c r="AF94" i="45" s="1"/>
  <c r="AG94" i="45" s="1"/>
  <c r="Z95" i="45"/>
  <c r="AA95" i="45" s="1"/>
  <c r="AB95" i="45"/>
  <c r="AC95" i="45" s="1"/>
  <c r="AD95" i="45"/>
  <c r="AH95" i="45" s="1" a="1"/>
  <c r="AH95" i="45" s="1"/>
  <c r="AE95" i="45"/>
  <c r="AJ95" i="45" s="1"/>
  <c r="Z96" i="45"/>
  <c r="AA96" i="45" s="1"/>
  <c r="AB96" i="45"/>
  <c r="AC96" i="45" s="1"/>
  <c r="AD96" i="45"/>
  <c r="AH96" i="45" s="1" a="1"/>
  <c r="AH96" i="45" s="1"/>
  <c r="AE96" i="45"/>
  <c r="Z97" i="45"/>
  <c r="AA97" i="45" s="1"/>
  <c r="AB97" i="45"/>
  <c r="AC97" i="45" s="1"/>
  <c r="AD97" i="45"/>
  <c r="AH97" i="45" s="1" a="1"/>
  <c r="AH97" i="45" s="1"/>
  <c r="AE97" i="45"/>
  <c r="AJ97" i="45" s="1"/>
  <c r="Z98" i="45"/>
  <c r="AA98" i="45" s="1"/>
  <c r="AB98" i="45"/>
  <c r="AC98" i="45" s="1"/>
  <c r="AD98" i="45"/>
  <c r="AH98" i="45" s="1" a="1"/>
  <c r="AH98" i="45" s="1"/>
  <c r="AE98" i="45"/>
  <c r="Z99" i="45"/>
  <c r="AA99" i="45" s="1"/>
  <c r="AB99" i="45"/>
  <c r="AC99" i="45" s="1"/>
  <c r="AD99" i="45"/>
  <c r="AH99" i="45" s="1" a="1"/>
  <c r="AH99" i="45" s="1"/>
  <c r="AE99" i="45"/>
  <c r="Z100" i="45"/>
  <c r="AA100" i="45" s="1"/>
  <c r="AB100" i="45"/>
  <c r="AC100" i="45" s="1"/>
  <c r="AD100" i="45"/>
  <c r="AH100" i="45" s="1" a="1"/>
  <c r="AH100" i="45" s="1"/>
  <c r="AE100" i="45"/>
  <c r="AF100" i="45" s="1"/>
  <c r="AG100" i="45" s="1"/>
  <c r="Z101" i="45"/>
  <c r="AA101" i="45" s="1"/>
  <c r="AB101" i="45"/>
  <c r="AC101" i="45" s="1"/>
  <c r="AD101" i="45"/>
  <c r="AH101" i="45" s="1" a="1"/>
  <c r="AH101" i="45" s="1"/>
  <c r="AE101" i="45"/>
  <c r="AJ101" i="45" s="1"/>
  <c r="Z102" i="45"/>
  <c r="AA102" i="45" s="1"/>
  <c r="AB102" i="45"/>
  <c r="AC102" i="45" s="1"/>
  <c r="AD102" i="45"/>
  <c r="AH102" i="45" s="1" a="1"/>
  <c r="AH102" i="45" s="1"/>
  <c r="AE102" i="45"/>
  <c r="AI102" i="45" s="1"/>
  <c r="Z103" i="45"/>
  <c r="AA103" i="45" s="1"/>
  <c r="AB103" i="45"/>
  <c r="AC103" i="45" s="1"/>
  <c r="AD103" i="45"/>
  <c r="AH103" i="45" s="1" a="1"/>
  <c r="AH103" i="45" s="1"/>
  <c r="AE103" i="45"/>
  <c r="AJ103" i="45" s="1"/>
  <c r="Z104" i="45"/>
  <c r="AA104" i="45" s="1"/>
  <c r="AB104" i="45"/>
  <c r="AC104" i="45" s="1"/>
  <c r="AD104" i="45"/>
  <c r="AH104" i="45" s="1" a="1"/>
  <c r="AH104" i="45" s="1"/>
  <c r="AE104" i="45"/>
  <c r="AF104" i="45" s="1"/>
  <c r="AG104" i="45" s="1"/>
  <c r="Z105" i="45"/>
  <c r="AA105" i="45" s="1"/>
  <c r="AB105" i="45"/>
  <c r="AC105" i="45" s="1"/>
  <c r="AD105" i="45"/>
  <c r="AH105" i="45" s="1" a="1"/>
  <c r="AH105" i="45" s="1"/>
  <c r="AE105" i="45"/>
  <c r="Z106" i="45"/>
  <c r="AA106" i="45" s="1"/>
  <c r="AB106" i="45"/>
  <c r="AC106" i="45" s="1"/>
  <c r="AD106" i="45"/>
  <c r="AH106" i="45" s="1" a="1"/>
  <c r="AH106" i="45" s="1"/>
  <c r="AE106" i="45"/>
  <c r="AF106" i="45" s="1"/>
  <c r="AG106" i="45" s="1"/>
  <c r="Z107" i="45"/>
  <c r="AA107" i="45" s="1"/>
  <c r="AB107" i="45"/>
  <c r="AC107" i="45" s="1"/>
  <c r="AD107" i="45"/>
  <c r="AH107" i="45" s="1" a="1"/>
  <c r="AH107" i="45" s="1"/>
  <c r="AE107" i="45"/>
  <c r="Z108" i="45"/>
  <c r="AA108" i="45" s="1"/>
  <c r="AB108" i="45"/>
  <c r="AC108" i="45" s="1"/>
  <c r="AD108" i="45"/>
  <c r="AH108" i="45" s="1" a="1"/>
  <c r="AH108" i="45" s="1"/>
  <c r="AE108" i="45"/>
  <c r="Z109" i="45"/>
  <c r="AA109" i="45" s="1"/>
  <c r="AB109" i="45"/>
  <c r="AC109" i="45" s="1"/>
  <c r="AD109" i="45"/>
  <c r="AH109" i="45" s="1" a="1"/>
  <c r="AH109" i="45" s="1"/>
  <c r="AE109" i="45"/>
  <c r="Z110" i="45"/>
  <c r="AA110" i="45" s="1"/>
  <c r="AB110" i="45"/>
  <c r="AC110" i="45" s="1"/>
  <c r="AD110" i="45"/>
  <c r="AH110" i="45" s="1" a="1"/>
  <c r="AH110" i="45" s="1"/>
  <c r="AE110" i="45"/>
  <c r="AF110" i="45" s="1"/>
  <c r="AG110" i="45" s="1"/>
  <c r="Z111" i="45"/>
  <c r="AA111" i="45" s="1"/>
  <c r="AB111" i="45"/>
  <c r="AC111" i="45" s="1"/>
  <c r="AD111" i="45"/>
  <c r="AH111" i="45" s="1" a="1"/>
  <c r="AH111" i="45" s="1"/>
  <c r="AE111" i="45"/>
  <c r="AJ111" i="45" s="1"/>
  <c r="Z112" i="45"/>
  <c r="AA112" i="45" s="1"/>
  <c r="AB112" i="45"/>
  <c r="AC112" i="45" s="1"/>
  <c r="AD112" i="45"/>
  <c r="AH112" i="45" s="1" a="1"/>
  <c r="AH112" i="45" s="1"/>
  <c r="AE112" i="45"/>
  <c r="AJ112" i="45" s="1"/>
  <c r="Z113" i="45"/>
  <c r="AA113" i="45" s="1"/>
  <c r="AB113" i="45"/>
  <c r="AC113" i="45" s="1"/>
  <c r="AD113" i="45"/>
  <c r="AH113" i="45" s="1" a="1"/>
  <c r="AH113" i="45" s="1"/>
  <c r="AE113" i="45"/>
  <c r="AF113" i="45" s="1"/>
  <c r="AG113" i="45" s="1"/>
  <c r="Z114" i="45"/>
  <c r="AA114" i="45" s="1"/>
  <c r="AB114" i="45"/>
  <c r="AC114" i="45" s="1"/>
  <c r="AD114" i="45"/>
  <c r="AH114" i="45" s="1" a="1"/>
  <c r="AH114" i="45" s="1"/>
  <c r="AE114" i="45"/>
  <c r="AF114" i="45" s="1"/>
  <c r="AG114" i="45" s="1"/>
  <c r="Z115" i="45"/>
  <c r="AA115" i="45" s="1"/>
  <c r="AB115" i="45"/>
  <c r="AC115" i="45" s="1"/>
  <c r="AD115" i="45"/>
  <c r="AH115" i="45" s="1" a="1"/>
  <c r="AH115" i="45" s="1"/>
  <c r="AE115" i="45"/>
  <c r="AF115" i="45" s="1"/>
  <c r="AG115" i="45" s="1"/>
  <c r="Z116" i="45"/>
  <c r="AA116" i="45" s="1"/>
  <c r="AB116" i="45"/>
  <c r="AC116" i="45" s="1"/>
  <c r="AD116" i="45"/>
  <c r="AH116" i="45" s="1" a="1"/>
  <c r="AH116" i="45" s="1"/>
  <c r="AE116" i="45"/>
  <c r="AJ116" i="45" s="1"/>
  <c r="Z117" i="45"/>
  <c r="AA117" i="45" s="1"/>
  <c r="AB117" i="45"/>
  <c r="AC117" i="45" s="1"/>
  <c r="AD117" i="45"/>
  <c r="AH117" i="45" s="1" a="1"/>
  <c r="AH117" i="45" s="1"/>
  <c r="AE117" i="45"/>
  <c r="AJ117" i="45" s="1"/>
  <c r="Z118" i="45"/>
  <c r="AA118" i="45" s="1"/>
  <c r="AB118" i="45"/>
  <c r="AC118" i="45" s="1"/>
  <c r="AD118" i="45"/>
  <c r="AH118" i="45" s="1" a="1"/>
  <c r="AH118" i="45" s="1"/>
  <c r="AE118" i="45"/>
  <c r="Z119" i="45"/>
  <c r="AA119" i="45" s="1"/>
  <c r="AB119" i="45"/>
  <c r="AC119" i="45" s="1"/>
  <c r="AD119" i="45"/>
  <c r="AH119" i="45" s="1" a="1"/>
  <c r="AH119" i="45" s="1"/>
  <c r="AE119" i="45"/>
  <c r="AF119" i="45" s="1"/>
  <c r="AG119" i="45" s="1"/>
  <c r="Z120" i="45"/>
  <c r="AA120" i="45" s="1"/>
  <c r="AB120" i="45"/>
  <c r="AC120" i="45" s="1"/>
  <c r="AD120" i="45"/>
  <c r="AH120" i="45" s="1" a="1"/>
  <c r="AH120" i="45" s="1"/>
  <c r="AE120" i="45"/>
  <c r="AJ120" i="45" s="1"/>
  <c r="Z121" i="45"/>
  <c r="AA121" i="45" s="1"/>
  <c r="AB121" i="45"/>
  <c r="AC121" i="45" s="1"/>
  <c r="AD121" i="45"/>
  <c r="AH121" i="45" s="1" a="1"/>
  <c r="AH121" i="45" s="1"/>
  <c r="AE121" i="45"/>
  <c r="AF121" i="45" s="1"/>
  <c r="AG121" i="45" s="1"/>
  <c r="Z122" i="45"/>
  <c r="AA122" i="45" s="1"/>
  <c r="AB122" i="45"/>
  <c r="AC122" i="45" s="1"/>
  <c r="AD122" i="45"/>
  <c r="AH122" i="45" s="1" a="1"/>
  <c r="AH122" i="45" s="1"/>
  <c r="AE122" i="45"/>
  <c r="Z123" i="45"/>
  <c r="AA123" i="45" s="1"/>
  <c r="AB123" i="45"/>
  <c r="AC123" i="45" s="1"/>
  <c r="AD123" i="45"/>
  <c r="AH123" i="45" s="1" a="1"/>
  <c r="AH123" i="45" s="1"/>
  <c r="AE123" i="45"/>
  <c r="AF123" i="45" s="1"/>
  <c r="AG123" i="45" s="1"/>
  <c r="Z124" i="45"/>
  <c r="AA124" i="45" s="1"/>
  <c r="AB124" i="45"/>
  <c r="AC124" i="45" s="1"/>
  <c r="AD124" i="45"/>
  <c r="AH124" i="45" s="1" a="1"/>
  <c r="AH124" i="45" s="1"/>
  <c r="AE124" i="45"/>
  <c r="AJ124" i="45" s="1"/>
  <c r="Z125" i="45"/>
  <c r="AA125" i="45" s="1"/>
  <c r="AB125" i="45"/>
  <c r="AC125" i="45" s="1"/>
  <c r="AD125" i="45"/>
  <c r="AH125" i="45" s="1" a="1"/>
  <c r="AH125" i="45" s="1"/>
  <c r="AE125" i="45"/>
  <c r="AF125" i="45" s="1"/>
  <c r="AG125" i="45" s="1"/>
  <c r="Z126" i="45"/>
  <c r="AA126" i="45" s="1"/>
  <c r="AB126" i="45"/>
  <c r="AC126" i="45" s="1"/>
  <c r="AD126" i="45"/>
  <c r="AH126" i="45" s="1" a="1"/>
  <c r="AH126" i="45" s="1"/>
  <c r="AE126" i="45"/>
  <c r="AF126" i="45" s="1"/>
  <c r="AG126" i="45" s="1"/>
  <c r="Z127" i="45"/>
  <c r="AA127" i="45" s="1"/>
  <c r="AB127" i="45"/>
  <c r="AC127" i="45" s="1"/>
  <c r="AD127" i="45"/>
  <c r="AH127" i="45" s="1" a="1"/>
  <c r="AH127" i="45" s="1"/>
  <c r="AE127" i="45"/>
  <c r="AJ127" i="45" s="1"/>
  <c r="Z128" i="45"/>
  <c r="AA128" i="45" s="1"/>
  <c r="AB128" i="45"/>
  <c r="AC128" i="45" s="1"/>
  <c r="AD128" i="45"/>
  <c r="AH128" i="45" s="1" a="1"/>
  <c r="AH128" i="45" s="1"/>
  <c r="AE128" i="45"/>
  <c r="Z129" i="45"/>
  <c r="AA129" i="45" s="1"/>
  <c r="AB129" i="45"/>
  <c r="AC129" i="45" s="1"/>
  <c r="AD129" i="45"/>
  <c r="AH129" i="45" s="1" a="1"/>
  <c r="AH129" i="45" s="1"/>
  <c r="AE129" i="45"/>
  <c r="AJ129" i="45" s="1"/>
  <c r="Z130" i="45"/>
  <c r="AA130" i="45" s="1"/>
  <c r="AB130" i="45"/>
  <c r="AC130" i="45" s="1"/>
  <c r="AD130" i="45"/>
  <c r="AH130" i="45" s="1" a="1"/>
  <c r="AH130" i="45" s="1"/>
  <c r="AE130" i="45"/>
  <c r="AI130" i="45" s="1"/>
  <c r="Z131" i="45"/>
  <c r="AA131" i="45" s="1"/>
  <c r="AB131" i="45"/>
  <c r="AC131" i="45" s="1"/>
  <c r="AD131" i="45"/>
  <c r="AH131" i="45" s="1" a="1"/>
  <c r="AH131" i="45" s="1"/>
  <c r="AE131" i="45"/>
  <c r="Z132" i="45"/>
  <c r="AA132" i="45" s="1"/>
  <c r="AB132" i="45"/>
  <c r="AC132" i="45" s="1"/>
  <c r="AD132" i="45"/>
  <c r="AH132" i="45" s="1" a="1"/>
  <c r="AH132" i="45" s="1"/>
  <c r="AE132" i="45"/>
  <c r="AF132" i="45" s="1"/>
  <c r="AG132" i="45" s="1"/>
  <c r="Z133" i="45"/>
  <c r="AA133" i="45" s="1"/>
  <c r="AB133" i="45"/>
  <c r="AC133" i="45" s="1"/>
  <c r="AD133" i="45"/>
  <c r="AH133" i="45" s="1" a="1"/>
  <c r="AH133" i="45" s="1"/>
  <c r="AE133" i="45"/>
  <c r="Z134" i="45"/>
  <c r="AA134" i="45" s="1"/>
  <c r="AB134" i="45"/>
  <c r="AC134" i="45" s="1"/>
  <c r="AD134" i="45"/>
  <c r="AH134" i="45" s="1" a="1"/>
  <c r="AH134" i="45" s="1"/>
  <c r="AE134" i="45"/>
  <c r="AF134" i="45" s="1"/>
  <c r="AG134" i="45" s="1"/>
  <c r="Z135" i="45"/>
  <c r="AA135" i="45" s="1"/>
  <c r="AB135" i="45"/>
  <c r="AC135" i="45" s="1"/>
  <c r="AD135" i="45"/>
  <c r="AH135" i="45" s="1" a="1"/>
  <c r="AH135" i="45" s="1"/>
  <c r="AE135" i="45"/>
  <c r="AJ135" i="45" s="1"/>
  <c r="Z136" i="45"/>
  <c r="AA136" i="45" s="1"/>
  <c r="AB136" i="45"/>
  <c r="AC136" i="45" s="1"/>
  <c r="AD136" i="45"/>
  <c r="AH136" i="45" s="1" a="1"/>
  <c r="AH136" i="45" s="1"/>
  <c r="AE136" i="45"/>
  <c r="Z137" i="45"/>
  <c r="AA137" i="45" s="1"/>
  <c r="AB137" i="45"/>
  <c r="AC137" i="45" s="1"/>
  <c r="AD137" i="45"/>
  <c r="AH137" i="45" s="1" a="1"/>
  <c r="AH137" i="45" s="1"/>
  <c r="AE137" i="45"/>
  <c r="AJ137" i="45" s="1"/>
  <c r="Z138" i="45"/>
  <c r="AA138" i="45" s="1"/>
  <c r="AB138" i="45"/>
  <c r="AC138" i="45" s="1"/>
  <c r="AD138" i="45"/>
  <c r="AH138" i="45" s="1" a="1"/>
  <c r="AH138" i="45" s="1"/>
  <c r="AE138" i="45"/>
  <c r="AJ138" i="45" s="1"/>
  <c r="Z139" i="45"/>
  <c r="AA139" i="45" s="1"/>
  <c r="AB139" i="45"/>
  <c r="AC139" i="45" s="1"/>
  <c r="AD139" i="45"/>
  <c r="AH139" i="45" s="1" a="1"/>
  <c r="AH139" i="45" s="1"/>
  <c r="AE139" i="45"/>
  <c r="AJ139" i="45" s="1"/>
  <c r="Z140" i="45"/>
  <c r="AA140" i="45" s="1"/>
  <c r="AB140" i="45"/>
  <c r="AC140" i="45" s="1"/>
  <c r="AD140" i="45"/>
  <c r="AH140" i="45" s="1" a="1"/>
  <c r="AH140" i="45" s="1"/>
  <c r="AE140" i="45"/>
  <c r="AF140" i="45" s="1"/>
  <c r="AG140" i="45" s="1"/>
  <c r="Z141" i="45"/>
  <c r="AA141" i="45" s="1"/>
  <c r="AB141" i="45"/>
  <c r="AC141" i="45" s="1"/>
  <c r="AD141" i="45"/>
  <c r="AH141" i="45" s="1" a="1"/>
  <c r="AH141" i="45" s="1"/>
  <c r="AE141" i="45"/>
  <c r="Z142" i="45"/>
  <c r="AA142" i="45" s="1"/>
  <c r="AB142" i="45"/>
  <c r="AC142" i="45" s="1"/>
  <c r="AD142" i="45"/>
  <c r="AH142" i="45" s="1" a="1"/>
  <c r="AH142" i="45" s="1"/>
  <c r="AE142" i="45"/>
  <c r="AJ142" i="45" s="1"/>
  <c r="Z143" i="45"/>
  <c r="AA143" i="45" s="1"/>
  <c r="AB143" i="45"/>
  <c r="AC143" i="45" s="1"/>
  <c r="AD143" i="45"/>
  <c r="AH143" i="45" s="1" a="1"/>
  <c r="AH143" i="45" s="1"/>
  <c r="AE143" i="45"/>
  <c r="Z144" i="45"/>
  <c r="AA144" i="45" s="1"/>
  <c r="AB144" i="45"/>
  <c r="AC144" i="45" s="1"/>
  <c r="AD144" i="45"/>
  <c r="AH144" i="45" s="1" a="1"/>
  <c r="AH144" i="45" s="1"/>
  <c r="AE144" i="45"/>
  <c r="Z145" i="45"/>
  <c r="AA145" i="45" s="1"/>
  <c r="AB145" i="45"/>
  <c r="AC145" i="45" s="1"/>
  <c r="AD145" i="45"/>
  <c r="AH145" i="45" s="1" a="1"/>
  <c r="AH145" i="45" s="1"/>
  <c r="AE145" i="45"/>
  <c r="AF145" i="45" s="1"/>
  <c r="AG145" i="45" s="1"/>
  <c r="Z146" i="45"/>
  <c r="AA146" i="45" s="1"/>
  <c r="AB146" i="45"/>
  <c r="AC146" i="45" s="1"/>
  <c r="AD146" i="45"/>
  <c r="AH146" i="45" s="1" a="1"/>
  <c r="AH146" i="45" s="1"/>
  <c r="AE146" i="45"/>
  <c r="Z147" i="45"/>
  <c r="AA147" i="45" s="1"/>
  <c r="AB147" i="45"/>
  <c r="AC147" i="45" s="1"/>
  <c r="AD147" i="45"/>
  <c r="AH147" i="45" s="1" a="1"/>
  <c r="AH147" i="45" s="1"/>
  <c r="AE147" i="45"/>
  <c r="AJ147" i="45" s="1"/>
  <c r="Z148" i="45"/>
  <c r="AA148" i="45" s="1"/>
  <c r="AB148" i="45"/>
  <c r="AC148" i="45" s="1"/>
  <c r="AD148" i="45"/>
  <c r="AH148" i="45" s="1" a="1"/>
  <c r="AH148" i="45" s="1"/>
  <c r="AE148" i="45"/>
  <c r="AI148" i="45" s="1"/>
  <c r="Z149" i="45"/>
  <c r="AA149" i="45" s="1"/>
  <c r="AB149" i="45"/>
  <c r="AC149" i="45" s="1"/>
  <c r="AD149" i="45"/>
  <c r="AH149" i="45" s="1" a="1"/>
  <c r="AH149" i="45" s="1"/>
  <c r="AE149" i="45"/>
  <c r="AJ149" i="45" s="1"/>
  <c r="Z150" i="45"/>
  <c r="AA150" i="45" s="1"/>
  <c r="AB150" i="45"/>
  <c r="AC150" i="45" s="1"/>
  <c r="AD150" i="45"/>
  <c r="AH150" i="45" s="1" a="1"/>
  <c r="AH150" i="45" s="1"/>
  <c r="AE150" i="45"/>
  <c r="AF150" i="45" s="1"/>
  <c r="AG150" i="45" s="1"/>
  <c r="Z151" i="45"/>
  <c r="AA151" i="45" s="1"/>
  <c r="AB151" i="45"/>
  <c r="AC151" i="45" s="1"/>
  <c r="AD151" i="45"/>
  <c r="AH151" i="45" s="1" a="1"/>
  <c r="AH151" i="45" s="1"/>
  <c r="AE151" i="45"/>
  <c r="AF151" i="45" s="1"/>
  <c r="AG151" i="45" s="1"/>
  <c r="Z152" i="45"/>
  <c r="AA152" i="45" s="1"/>
  <c r="AB152" i="45"/>
  <c r="AC152" i="45" s="1"/>
  <c r="AD152" i="45"/>
  <c r="AH152" i="45" s="1" a="1"/>
  <c r="AH152" i="45" s="1"/>
  <c r="AE152" i="45"/>
  <c r="AI152" i="45" s="1"/>
  <c r="Z153" i="45"/>
  <c r="AA153" i="45" s="1"/>
  <c r="AB153" i="45"/>
  <c r="AC153" i="45" s="1"/>
  <c r="AD153" i="45"/>
  <c r="AH153" i="45" s="1" a="1"/>
  <c r="AH153" i="45" s="1"/>
  <c r="AE153" i="45"/>
  <c r="AJ153" i="45" s="1"/>
  <c r="Z154" i="45"/>
  <c r="AA154" i="45" s="1"/>
  <c r="AB154" i="45"/>
  <c r="AC154" i="45" s="1"/>
  <c r="AD154" i="45"/>
  <c r="AH154" i="45" s="1" a="1"/>
  <c r="AH154" i="45" s="1"/>
  <c r="AE154" i="45"/>
  <c r="AF154" i="45" s="1"/>
  <c r="AG154" i="45" s="1"/>
  <c r="Z155" i="45"/>
  <c r="AA155" i="45" s="1"/>
  <c r="AB155" i="45"/>
  <c r="AC155" i="45" s="1"/>
  <c r="AD155" i="45"/>
  <c r="AH155" i="45" s="1" a="1"/>
  <c r="AH155" i="45" s="1"/>
  <c r="AE155" i="45"/>
  <c r="AJ155" i="45" s="1"/>
  <c r="Z156" i="45"/>
  <c r="AA156" i="45" s="1"/>
  <c r="AB156" i="45"/>
  <c r="AC156" i="45" s="1"/>
  <c r="AD156" i="45"/>
  <c r="AH156" i="45" s="1" a="1"/>
  <c r="AH156" i="45" s="1"/>
  <c r="AE156" i="45"/>
  <c r="AF156" i="45" s="1"/>
  <c r="AG156" i="45" s="1"/>
  <c r="Z157" i="45"/>
  <c r="AA157" i="45" s="1"/>
  <c r="AB157" i="45"/>
  <c r="AC157" i="45" s="1"/>
  <c r="AD157" i="45"/>
  <c r="AH157" i="45" s="1" a="1"/>
  <c r="AH157" i="45" s="1"/>
  <c r="AE157" i="45"/>
  <c r="Z158" i="45"/>
  <c r="AA158" i="45" s="1"/>
  <c r="AB158" i="45"/>
  <c r="AC158" i="45" s="1"/>
  <c r="AD158" i="45"/>
  <c r="AH158" i="45" s="1" a="1"/>
  <c r="AH158" i="45" s="1"/>
  <c r="AE158" i="45"/>
  <c r="AI158" i="45" s="1"/>
  <c r="Z159" i="45"/>
  <c r="AA159" i="45" s="1"/>
  <c r="AB159" i="45"/>
  <c r="AC159" i="45" s="1"/>
  <c r="AD159" i="45"/>
  <c r="AH159" i="45" s="1" a="1"/>
  <c r="AH159" i="45" s="1"/>
  <c r="AE159" i="45"/>
  <c r="Z160" i="45"/>
  <c r="AA160" i="45" s="1"/>
  <c r="AB160" i="45"/>
  <c r="AC160" i="45" s="1"/>
  <c r="AD160" i="45"/>
  <c r="AH160" i="45" s="1" a="1"/>
  <c r="AH160" i="45" s="1"/>
  <c r="AE160" i="45"/>
  <c r="AI160" i="45" s="1"/>
  <c r="Z161" i="45"/>
  <c r="AA161" i="45" s="1"/>
  <c r="AB161" i="45"/>
  <c r="AC161" i="45" s="1"/>
  <c r="AD161" i="45"/>
  <c r="AH161" i="45" s="1" a="1"/>
  <c r="AH161" i="45" s="1"/>
  <c r="AE161" i="45"/>
  <c r="AJ161" i="45" s="1"/>
  <c r="Z162" i="45"/>
  <c r="AA162" i="45" s="1"/>
  <c r="AB162" i="45"/>
  <c r="AC162" i="45" s="1"/>
  <c r="AD162" i="45"/>
  <c r="AH162" i="45" s="1" a="1"/>
  <c r="AH162" i="45" s="1"/>
  <c r="AE162" i="45"/>
  <c r="Z163" i="45"/>
  <c r="AA163" i="45" s="1"/>
  <c r="AB163" i="45"/>
  <c r="AC163" i="45" s="1"/>
  <c r="AD163" i="45"/>
  <c r="AH163" i="45" s="1" a="1"/>
  <c r="AH163" i="45" s="1"/>
  <c r="AE163" i="45"/>
  <c r="AJ163" i="45" s="1"/>
  <c r="Z164" i="45"/>
  <c r="AA164" i="45" s="1"/>
  <c r="AB164" i="45"/>
  <c r="AC164" i="45" s="1"/>
  <c r="AD164" i="45"/>
  <c r="AH164" i="45" s="1" a="1"/>
  <c r="AH164" i="45" s="1"/>
  <c r="AE164" i="45"/>
  <c r="AI164" i="45" s="1"/>
  <c r="Z165" i="45"/>
  <c r="AA165" i="45" s="1"/>
  <c r="AB165" i="45"/>
  <c r="AC165" i="45" s="1"/>
  <c r="AD165" i="45"/>
  <c r="AH165" i="45" s="1" a="1"/>
  <c r="AH165" i="45" s="1"/>
  <c r="AE165" i="45"/>
  <c r="AJ165" i="45" s="1"/>
  <c r="Z166" i="45"/>
  <c r="AA166" i="45" s="1"/>
  <c r="AB166" i="45"/>
  <c r="AC166" i="45" s="1"/>
  <c r="AD166" i="45"/>
  <c r="AH166" i="45" s="1" a="1"/>
  <c r="AH166" i="45" s="1"/>
  <c r="AE166" i="45"/>
  <c r="AF166" i="45" s="1"/>
  <c r="AG166" i="45" s="1"/>
  <c r="Z167" i="45"/>
  <c r="AA167" i="45" s="1"/>
  <c r="AB167" i="45"/>
  <c r="AC167" i="45" s="1"/>
  <c r="AD167" i="45"/>
  <c r="AH167" i="45" s="1" a="1"/>
  <c r="AH167" i="45" s="1"/>
  <c r="AE167" i="45"/>
  <c r="AF167" i="45" s="1"/>
  <c r="AG167" i="45" s="1"/>
  <c r="Z168" i="45"/>
  <c r="AA168" i="45" s="1"/>
  <c r="AB168" i="45"/>
  <c r="AC168" i="45" s="1"/>
  <c r="AD168" i="45"/>
  <c r="AH168" i="45" s="1" a="1"/>
  <c r="AH168" i="45" s="1"/>
  <c r="AE168" i="45"/>
  <c r="AI168" i="45" s="1"/>
  <c r="Z169" i="45"/>
  <c r="AA169" i="45" s="1"/>
  <c r="AB169" i="45"/>
  <c r="AC169" i="45" s="1"/>
  <c r="AD169" i="45"/>
  <c r="AH169" i="45" s="1" a="1"/>
  <c r="AH169" i="45" s="1"/>
  <c r="AE169" i="45"/>
  <c r="AI169" i="45" s="1"/>
  <c r="Z170" i="45"/>
  <c r="AA170" i="45" s="1"/>
  <c r="AB170" i="45"/>
  <c r="AC170" i="45" s="1"/>
  <c r="AD170" i="45"/>
  <c r="AH170" i="45" s="1" a="1"/>
  <c r="AH170" i="45" s="1"/>
  <c r="AE170" i="45"/>
  <c r="AI170" i="45" s="1"/>
  <c r="Z171" i="45"/>
  <c r="AA171" i="45" s="1"/>
  <c r="AB171" i="45"/>
  <c r="AC171" i="45" s="1"/>
  <c r="AD171" i="45"/>
  <c r="AH171" i="45" s="1" a="1"/>
  <c r="AH171" i="45" s="1"/>
  <c r="AE171" i="45"/>
  <c r="AJ171" i="45" s="1"/>
  <c r="Z172" i="45"/>
  <c r="AA172" i="45" s="1"/>
  <c r="AB172" i="45"/>
  <c r="AC172" i="45" s="1"/>
  <c r="AD172" i="45"/>
  <c r="AH172" i="45" s="1" a="1"/>
  <c r="AH172" i="45" s="1"/>
  <c r="AE172" i="45"/>
  <c r="AF172" i="45" s="1"/>
  <c r="AG172" i="45" s="1"/>
  <c r="Z173" i="45"/>
  <c r="AA173" i="45" s="1"/>
  <c r="AB173" i="45"/>
  <c r="AC173" i="45" s="1"/>
  <c r="AD173" i="45"/>
  <c r="AH173" i="45" s="1" a="1"/>
  <c r="AH173" i="45" s="1"/>
  <c r="AE173" i="45"/>
  <c r="AF173" i="45" s="1"/>
  <c r="AG173" i="45" s="1"/>
  <c r="Z174" i="45"/>
  <c r="AA174" i="45" s="1"/>
  <c r="AB174" i="45"/>
  <c r="AC174" i="45" s="1"/>
  <c r="AD174" i="45"/>
  <c r="AH174" i="45" s="1" a="1"/>
  <c r="AH174" i="45" s="1"/>
  <c r="AE174" i="45"/>
  <c r="AF174" i="45" s="1"/>
  <c r="AG174" i="45" s="1"/>
  <c r="Z175" i="45"/>
  <c r="AA175" i="45" s="1"/>
  <c r="AB175" i="45"/>
  <c r="AC175" i="45" s="1"/>
  <c r="AD175" i="45"/>
  <c r="AH175" i="45" s="1" a="1"/>
  <c r="AH175" i="45" s="1"/>
  <c r="AE175" i="45"/>
  <c r="Z176" i="45"/>
  <c r="AA176" i="45" s="1"/>
  <c r="AB176" i="45"/>
  <c r="AC176" i="45" s="1"/>
  <c r="AD176" i="45"/>
  <c r="AH176" i="45" s="1" a="1"/>
  <c r="AH176" i="45" s="1"/>
  <c r="AE176" i="45"/>
  <c r="AF176" i="45" s="1"/>
  <c r="AG176" i="45" s="1"/>
  <c r="Z177" i="45"/>
  <c r="AA177" i="45" s="1"/>
  <c r="AB177" i="45"/>
  <c r="AC177" i="45" s="1"/>
  <c r="AD177" i="45"/>
  <c r="AH177" i="45" s="1" a="1"/>
  <c r="AH177" i="45" s="1"/>
  <c r="AE177" i="45"/>
  <c r="AJ177" i="45" s="1"/>
  <c r="Z178" i="45"/>
  <c r="AA178" i="45" s="1"/>
  <c r="AB178" i="45"/>
  <c r="AC178" i="45" s="1"/>
  <c r="AD178" i="45"/>
  <c r="AH178" i="45" s="1" a="1"/>
  <c r="AH178" i="45" s="1"/>
  <c r="AE178" i="45"/>
  <c r="AI178" i="45" s="1"/>
  <c r="Z179" i="45"/>
  <c r="AA179" i="45" s="1"/>
  <c r="AB179" i="45"/>
  <c r="AC179" i="45" s="1"/>
  <c r="AD179" i="45"/>
  <c r="AH179" i="45" s="1" a="1"/>
  <c r="AH179" i="45" s="1"/>
  <c r="AE179" i="45"/>
  <c r="AJ179" i="45" s="1"/>
  <c r="Z180" i="45"/>
  <c r="AA180" i="45" s="1"/>
  <c r="AB180" i="45"/>
  <c r="AC180" i="45" s="1"/>
  <c r="AD180" i="45"/>
  <c r="AH180" i="45" s="1" a="1"/>
  <c r="AH180" i="45" s="1"/>
  <c r="AE180" i="45"/>
  <c r="AI180" i="45" s="1"/>
  <c r="Z181" i="45"/>
  <c r="AA181" i="45" s="1"/>
  <c r="AB181" i="45"/>
  <c r="AC181" i="45" s="1"/>
  <c r="AD181" i="45"/>
  <c r="AH181" i="45" s="1" a="1"/>
  <c r="AH181" i="45" s="1"/>
  <c r="AE181" i="45"/>
  <c r="Z182" i="45"/>
  <c r="AA182" i="45" s="1"/>
  <c r="AB182" i="45"/>
  <c r="AC182" i="45" s="1"/>
  <c r="AD182" i="45"/>
  <c r="AH182" i="45" s="1" a="1"/>
  <c r="AH182" i="45" s="1"/>
  <c r="AE182" i="45"/>
  <c r="Z183" i="45"/>
  <c r="AA183" i="45" s="1"/>
  <c r="AB183" i="45"/>
  <c r="AC183" i="45" s="1"/>
  <c r="AD183" i="45"/>
  <c r="AH183" i="45" s="1" a="1"/>
  <c r="AH183" i="45" s="1"/>
  <c r="AE183" i="45"/>
  <c r="AJ183" i="45" s="1"/>
  <c r="Z184" i="45"/>
  <c r="AA184" i="45" s="1"/>
  <c r="AB184" i="45"/>
  <c r="AC184" i="45" s="1"/>
  <c r="AD184" i="45"/>
  <c r="AH184" i="45" s="1" a="1"/>
  <c r="AH184" i="45" s="1"/>
  <c r="AE184" i="45"/>
  <c r="AI184" i="45" s="1"/>
  <c r="Z185" i="45"/>
  <c r="AA185" i="45" s="1"/>
  <c r="AB185" i="45"/>
  <c r="AC185" i="45" s="1"/>
  <c r="AD185" i="45"/>
  <c r="AH185" i="45" s="1" a="1"/>
  <c r="AH185" i="45" s="1"/>
  <c r="AE185" i="45"/>
  <c r="AJ185" i="45" s="1"/>
  <c r="Z186" i="45"/>
  <c r="AA186" i="45" s="1"/>
  <c r="AB186" i="45"/>
  <c r="AC186" i="45" s="1"/>
  <c r="AD186" i="45"/>
  <c r="AH186" i="45" s="1" a="1"/>
  <c r="AH186" i="45" s="1"/>
  <c r="AE186" i="45"/>
  <c r="AI186" i="45" s="1"/>
  <c r="Z187" i="45"/>
  <c r="AA187" i="45" s="1"/>
  <c r="AB187" i="45"/>
  <c r="AC187" i="45" s="1"/>
  <c r="AD187" i="45"/>
  <c r="AH187" i="45" s="1" a="1"/>
  <c r="AH187" i="45" s="1"/>
  <c r="AE187" i="45"/>
  <c r="AJ187" i="45" s="1"/>
  <c r="Z188" i="45"/>
  <c r="AA188" i="45" s="1"/>
  <c r="AB188" i="45"/>
  <c r="AC188" i="45" s="1"/>
  <c r="AD188" i="45"/>
  <c r="AH188" i="45" s="1" a="1"/>
  <c r="AH188" i="45" s="1"/>
  <c r="AE188" i="45"/>
  <c r="AF188" i="45" s="1"/>
  <c r="AG188" i="45" s="1"/>
  <c r="Z189" i="45"/>
  <c r="AA189" i="45" s="1"/>
  <c r="AB189" i="45"/>
  <c r="AC189" i="45" s="1"/>
  <c r="AD189" i="45"/>
  <c r="AH189" i="45" s="1" a="1"/>
  <c r="AH189" i="45" s="1"/>
  <c r="AE189" i="45"/>
  <c r="AJ189" i="45" s="1"/>
  <c r="Z190" i="45"/>
  <c r="AA190" i="45" s="1"/>
  <c r="AB190" i="45"/>
  <c r="AC190" i="45" s="1"/>
  <c r="AD190" i="45"/>
  <c r="AH190" i="45" s="1" a="1"/>
  <c r="AH190" i="45" s="1"/>
  <c r="AE190" i="45"/>
  <c r="AF190" i="45" s="1"/>
  <c r="AG190" i="45" s="1"/>
  <c r="Z191" i="45"/>
  <c r="AA191" i="45" s="1"/>
  <c r="AB191" i="45"/>
  <c r="AC191" i="45" s="1"/>
  <c r="AD191" i="45"/>
  <c r="AH191" i="45" s="1" a="1"/>
  <c r="AH191" i="45" s="1"/>
  <c r="AE191" i="45"/>
  <c r="Z192" i="45"/>
  <c r="AA192" i="45" s="1"/>
  <c r="AB192" i="45"/>
  <c r="AC192" i="45" s="1"/>
  <c r="AD192" i="45"/>
  <c r="AH192" i="45" s="1" a="1"/>
  <c r="AH192" i="45" s="1"/>
  <c r="AE192" i="45"/>
  <c r="AF192" i="45" s="1"/>
  <c r="AG192" i="45" s="1"/>
  <c r="Z193" i="45"/>
  <c r="AA193" i="45" s="1"/>
  <c r="AB193" i="45"/>
  <c r="AC193" i="45" s="1"/>
  <c r="AD193" i="45"/>
  <c r="AH193" i="45" s="1" a="1"/>
  <c r="AH193" i="45" s="1"/>
  <c r="AE193" i="45"/>
  <c r="AJ193" i="45" s="1"/>
  <c r="Z194" i="45"/>
  <c r="AA194" i="45" s="1"/>
  <c r="AB194" i="45"/>
  <c r="AC194" i="45" s="1"/>
  <c r="AD194" i="45"/>
  <c r="AH194" i="45" s="1" a="1"/>
  <c r="AH194" i="45" s="1"/>
  <c r="AE194" i="45"/>
  <c r="AI194" i="45" s="1"/>
  <c r="Z195" i="45"/>
  <c r="AA195" i="45" s="1"/>
  <c r="AB195" i="45"/>
  <c r="AC195" i="45" s="1"/>
  <c r="AD195" i="45"/>
  <c r="AH195" i="45" s="1" a="1"/>
  <c r="AH195" i="45" s="1"/>
  <c r="AE195" i="45"/>
  <c r="AJ195" i="45" s="1"/>
  <c r="Z196" i="45"/>
  <c r="AA196" i="45" s="1"/>
  <c r="AB196" i="45"/>
  <c r="AC196" i="45" s="1"/>
  <c r="AD196" i="45"/>
  <c r="AH196" i="45" s="1" a="1"/>
  <c r="AH196" i="45" s="1"/>
  <c r="AE196" i="45"/>
  <c r="AI196" i="45" s="1"/>
  <c r="Z197" i="45"/>
  <c r="AA197" i="45" s="1"/>
  <c r="AB197" i="45"/>
  <c r="AC197" i="45" s="1"/>
  <c r="AD197" i="45"/>
  <c r="AH197" i="45" s="1" a="1"/>
  <c r="AH197" i="45" s="1"/>
  <c r="AE197" i="45"/>
  <c r="AJ197" i="45" s="1"/>
  <c r="Z198" i="45"/>
  <c r="AA198" i="45" s="1"/>
  <c r="AB198" i="45"/>
  <c r="AC198" i="45" s="1"/>
  <c r="AD198" i="45"/>
  <c r="AH198" i="45" s="1" a="1"/>
  <c r="AH198" i="45" s="1"/>
  <c r="AE198" i="45"/>
  <c r="AF198" i="45" s="1"/>
  <c r="AG198" i="45" s="1"/>
  <c r="Z199" i="45"/>
  <c r="AA199" i="45" s="1"/>
  <c r="AB199" i="45"/>
  <c r="AC199" i="45" s="1"/>
  <c r="AD199" i="45"/>
  <c r="AH199" i="45" s="1" a="1"/>
  <c r="AH199" i="45" s="1"/>
  <c r="AE199" i="45"/>
  <c r="Z200" i="45"/>
  <c r="AA200" i="45" s="1"/>
  <c r="AB200" i="45"/>
  <c r="AC200" i="45" s="1"/>
  <c r="AD200" i="45"/>
  <c r="AH200" i="45" s="1" a="1"/>
  <c r="AH200" i="45" s="1"/>
  <c r="AE200" i="45"/>
  <c r="Z201" i="45"/>
  <c r="AA201" i="45" s="1"/>
  <c r="AB201" i="45"/>
  <c r="AC201" i="45" s="1"/>
  <c r="AD201" i="45"/>
  <c r="AH201" i="45" s="1" a="1"/>
  <c r="AH201" i="45" s="1"/>
  <c r="AE201" i="45"/>
  <c r="Z202" i="45"/>
  <c r="AA202" i="45" s="1"/>
  <c r="AB202" i="45"/>
  <c r="AC202" i="45" s="1"/>
  <c r="AD202" i="45"/>
  <c r="AH202" i="45" s="1" a="1"/>
  <c r="AH202" i="45" s="1"/>
  <c r="AE202" i="45"/>
  <c r="AF202" i="45" s="1"/>
  <c r="AG202" i="45" s="1"/>
  <c r="Z203" i="45"/>
  <c r="AA203" i="45" s="1"/>
  <c r="AB203" i="45"/>
  <c r="AC203" i="45" s="1"/>
  <c r="AD203" i="45"/>
  <c r="AH203" i="45" s="1" a="1"/>
  <c r="AH203" i="45" s="1"/>
  <c r="AE203" i="45"/>
  <c r="Z204" i="45"/>
  <c r="AA204" i="45" s="1"/>
  <c r="AB204" i="45"/>
  <c r="AC204" i="45" s="1"/>
  <c r="AD204" i="45"/>
  <c r="AH204" i="45" s="1" a="1"/>
  <c r="AH204" i="45" s="1"/>
  <c r="AE204" i="45"/>
  <c r="Z205" i="45"/>
  <c r="AA205" i="45" s="1"/>
  <c r="AB205" i="45"/>
  <c r="AC205" i="45" s="1"/>
  <c r="AD205" i="45"/>
  <c r="AH205" i="45" s="1" a="1"/>
  <c r="AH205" i="45" s="1"/>
  <c r="AE205" i="45"/>
  <c r="AJ205" i="45" s="1"/>
  <c r="Z206" i="45"/>
  <c r="AA206" i="45" s="1"/>
  <c r="AB206" i="45"/>
  <c r="AC206" i="45" s="1"/>
  <c r="AD206" i="45"/>
  <c r="AH206" i="45" s="1" a="1"/>
  <c r="AH206" i="45" s="1"/>
  <c r="AE206" i="45"/>
  <c r="Z207" i="45"/>
  <c r="AA207" i="45" s="1"/>
  <c r="AB207" i="45"/>
  <c r="AC207" i="45" s="1"/>
  <c r="AD207" i="45"/>
  <c r="AH207" i="45" s="1" a="1"/>
  <c r="AH207" i="45" s="1"/>
  <c r="AE207" i="45"/>
  <c r="AJ207" i="45" s="1"/>
  <c r="Z208" i="45"/>
  <c r="AA208" i="45" s="1"/>
  <c r="AB208" i="45"/>
  <c r="AC208" i="45" s="1"/>
  <c r="AD208" i="45"/>
  <c r="AH208" i="45" s="1" a="1"/>
  <c r="AH208" i="45" s="1"/>
  <c r="AE208" i="45"/>
  <c r="AF208" i="45" s="1"/>
  <c r="AG208" i="45" s="1"/>
  <c r="Z209" i="45"/>
  <c r="AA209" i="45" s="1"/>
  <c r="AB209" i="45"/>
  <c r="AC209" i="45" s="1"/>
  <c r="AD209" i="45"/>
  <c r="AH209" i="45" s="1" a="1"/>
  <c r="AH209" i="45" s="1"/>
  <c r="AE209" i="45"/>
  <c r="Z210" i="45"/>
  <c r="AA210" i="45" s="1"/>
  <c r="AB210" i="45"/>
  <c r="AC210" i="45" s="1"/>
  <c r="AD210" i="45"/>
  <c r="AH210" i="45" s="1" a="1"/>
  <c r="AH210" i="45" s="1"/>
  <c r="AE210" i="45"/>
  <c r="AI210" i="45" s="1"/>
  <c r="Z211" i="45"/>
  <c r="AA211" i="45" s="1"/>
  <c r="AB211" i="45"/>
  <c r="AC211" i="45" s="1"/>
  <c r="AD211" i="45"/>
  <c r="AH211" i="45" s="1" a="1"/>
  <c r="AH211" i="45" s="1"/>
  <c r="AE211" i="45"/>
  <c r="AJ211" i="45" s="1"/>
  <c r="Z212" i="45"/>
  <c r="AA212" i="45" s="1"/>
  <c r="AB212" i="45"/>
  <c r="AC212" i="45" s="1"/>
  <c r="AD212" i="45"/>
  <c r="AH212" i="45" s="1" a="1"/>
  <c r="AH212" i="45" s="1"/>
  <c r="AE212" i="45"/>
  <c r="AF212" i="45" s="1"/>
  <c r="AG212" i="45" s="1"/>
  <c r="Z213" i="45"/>
  <c r="AA213" i="45" s="1"/>
  <c r="AB213" i="45"/>
  <c r="AC213" i="45" s="1"/>
  <c r="AD213" i="45"/>
  <c r="AH213" i="45" s="1" a="1"/>
  <c r="AH213" i="45" s="1"/>
  <c r="AE213" i="45"/>
  <c r="AJ213" i="45" s="1"/>
  <c r="Z214" i="45"/>
  <c r="AA214" i="45" s="1"/>
  <c r="AB214" i="45"/>
  <c r="AC214" i="45" s="1"/>
  <c r="AD214" i="45"/>
  <c r="AH214" i="45" s="1" a="1"/>
  <c r="AH214" i="45" s="1"/>
  <c r="AE214" i="45"/>
  <c r="AF214" i="45" s="1"/>
  <c r="AG214" i="45" s="1"/>
  <c r="Z215" i="45"/>
  <c r="AA215" i="45" s="1"/>
  <c r="AB215" i="45"/>
  <c r="AC215" i="45" s="1"/>
  <c r="AD215" i="45"/>
  <c r="AH215" i="45" s="1" a="1"/>
  <c r="AH215" i="45" s="1"/>
  <c r="AE215" i="45"/>
  <c r="AF215" i="45" s="1"/>
  <c r="AG215" i="45" s="1"/>
  <c r="Z216" i="45"/>
  <c r="AA216" i="45" s="1"/>
  <c r="AB216" i="45"/>
  <c r="AC216" i="45" s="1"/>
  <c r="AD216" i="45"/>
  <c r="AH216" i="45" s="1" a="1"/>
  <c r="AH216" i="45" s="1"/>
  <c r="AE216" i="45"/>
  <c r="AI216" i="45" s="1"/>
  <c r="Z217" i="45"/>
  <c r="AA217" i="45" s="1"/>
  <c r="AB217" i="45"/>
  <c r="AC217" i="45" s="1"/>
  <c r="AD217" i="45"/>
  <c r="AH217" i="45" s="1" a="1"/>
  <c r="AH217" i="45" s="1"/>
  <c r="AE217" i="45"/>
  <c r="Z218" i="45"/>
  <c r="AA218" i="45" s="1"/>
  <c r="AB218" i="45"/>
  <c r="AC218" i="45" s="1"/>
  <c r="AD218" i="45"/>
  <c r="AH218" i="45" s="1" a="1"/>
  <c r="AH218" i="45" s="1"/>
  <c r="AE218" i="45"/>
  <c r="AJ218" i="45" s="1"/>
  <c r="Z219" i="45"/>
  <c r="AA219" i="45" s="1"/>
  <c r="AB219" i="45"/>
  <c r="AC219" i="45" s="1"/>
  <c r="AD219" i="45"/>
  <c r="AH219" i="45" s="1" a="1"/>
  <c r="AH219" i="45" s="1"/>
  <c r="AE219" i="45"/>
  <c r="Z220" i="45"/>
  <c r="AA220" i="45" s="1"/>
  <c r="AB220" i="45"/>
  <c r="AC220" i="45" s="1"/>
  <c r="AD220" i="45"/>
  <c r="AH220" i="45" s="1" a="1"/>
  <c r="AH220" i="45" s="1"/>
  <c r="AE220" i="45"/>
  <c r="Z221" i="45"/>
  <c r="AA221" i="45" s="1"/>
  <c r="AB221" i="45"/>
  <c r="AC221" i="45" s="1"/>
  <c r="AD221" i="45"/>
  <c r="AH221" i="45" s="1" a="1"/>
  <c r="AH221" i="45" s="1"/>
  <c r="AE221" i="45"/>
  <c r="Z222" i="45"/>
  <c r="AA222" i="45" s="1"/>
  <c r="AB222" i="45"/>
  <c r="AC222" i="45" s="1"/>
  <c r="AD222" i="45"/>
  <c r="AH222" i="45" s="1" a="1"/>
  <c r="AH222" i="45" s="1"/>
  <c r="AE222" i="45"/>
  <c r="AF222" i="45" s="1"/>
  <c r="AG222" i="45" s="1"/>
  <c r="Z223" i="45"/>
  <c r="AA223" i="45" s="1"/>
  <c r="AB223" i="45"/>
  <c r="AC223" i="45" s="1"/>
  <c r="AD223" i="45"/>
  <c r="AH223" i="45" s="1" a="1"/>
  <c r="AH223" i="45" s="1"/>
  <c r="AE223" i="45"/>
  <c r="AJ223" i="45" s="1"/>
  <c r="Z224" i="45"/>
  <c r="AA224" i="45" s="1"/>
  <c r="AB224" i="45"/>
  <c r="AC224" i="45" s="1"/>
  <c r="AD224" i="45"/>
  <c r="AH224" i="45" s="1" a="1"/>
  <c r="AH224" i="45" s="1"/>
  <c r="AE224" i="45"/>
  <c r="Z225" i="45"/>
  <c r="AA225" i="45" s="1"/>
  <c r="AB225" i="45"/>
  <c r="AC225" i="45" s="1"/>
  <c r="AD225" i="45"/>
  <c r="AH225" i="45" s="1" a="1"/>
  <c r="AH225" i="45" s="1"/>
  <c r="AE225" i="45"/>
  <c r="AJ225" i="45" s="1"/>
  <c r="Z226" i="45"/>
  <c r="AA226" i="45" s="1"/>
  <c r="AB226" i="45"/>
  <c r="AC226" i="45" s="1"/>
  <c r="AD226" i="45"/>
  <c r="AH226" i="45" s="1" a="1"/>
  <c r="AH226" i="45" s="1"/>
  <c r="AE226" i="45"/>
  <c r="Z227" i="45"/>
  <c r="AA227" i="45" s="1"/>
  <c r="AB227" i="45"/>
  <c r="AC227" i="45" s="1"/>
  <c r="AD227" i="45"/>
  <c r="AH227" i="45" s="1" a="1"/>
  <c r="AH227" i="45" s="1"/>
  <c r="AE227" i="45"/>
  <c r="Z228" i="45"/>
  <c r="AA228" i="45" s="1"/>
  <c r="AB228" i="45"/>
  <c r="AC228" i="45" s="1"/>
  <c r="AD228" i="45"/>
  <c r="AH228" i="45" s="1" a="1"/>
  <c r="AH228" i="45" s="1"/>
  <c r="AE228" i="45"/>
  <c r="AF228" i="45" s="1"/>
  <c r="AG228" i="45" s="1"/>
  <c r="Z229" i="45"/>
  <c r="AA229" i="45" s="1"/>
  <c r="AB229" i="45"/>
  <c r="AC229" i="45" s="1"/>
  <c r="AD229" i="45"/>
  <c r="AH229" i="45" s="1" a="1"/>
  <c r="AH229" i="45" s="1"/>
  <c r="AE229" i="45"/>
  <c r="AJ229" i="45" s="1"/>
  <c r="Z230" i="45"/>
  <c r="AA230" i="45" s="1"/>
  <c r="AB230" i="45"/>
  <c r="AC230" i="45" s="1"/>
  <c r="AD230" i="45"/>
  <c r="AH230" i="45" s="1" a="1"/>
  <c r="AH230" i="45" s="1"/>
  <c r="AE230" i="45"/>
  <c r="AF230" i="45" s="1"/>
  <c r="AG230" i="45" s="1"/>
  <c r="Z231" i="45"/>
  <c r="AA231" i="45" s="1"/>
  <c r="AB231" i="45"/>
  <c r="AC231" i="45" s="1"/>
  <c r="AD231" i="45"/>
  <c r="AH231" i="45" s="1" a="1"/>
  <c r="AH231" i="45" s="1"/>
  <c r="AE231" i="45"/>
  <c r="AJ231" i="45" s="1"/>
  <c r="Z232" i="45"/>
  <c r="AA232" i="45" s="1"/>
  <c r="AB232" i="45"/>
  <c r="AC232" i="45" s="1"/>
  <c r="AD232" i="45"/>
  <c r="AH232" i="45" s="1" a="1"/>
  <c r="AH232" i="45" s="1"/>
  <c r="AE232" i="45"/>
  <c r="AF232" i="45" s="1"/>
  <c r="AG232" i="45" s="1"/>
  <c r="Z233" i="45"/>
  <c r="AA233" i="45" s="1"/>
  <c r="AB233" i="45"/>
  <c r="AC233" i="45" s="1"/>
  <c r="AD233" i="45"/>
  <c r="AH233" i="45" s="1" a="1"/>
  <c r="AH233" i="45" s="1"/>
  <c r="AE233" i="45"/>
  <c r="AF233" i="45" s="1"/>
  <c r="AG233" i="45" s="1"/>
  <c r="Z234" i="45"/>
  <c r="AA234" i="45" s="1"/>
  <c r="AB234" i="45"/>
  <c r="AC234" i="45" s="1"/>
  <c r="AD234" i="45"/>
  <c r="AH234" i="45" s="1" a="1"/>
  <c r="AH234" i="45" s="1"/>
  <c r="AE234" i="45"/>
  <c r="AF234" i="45" s="1"/>
  <c r="AG234" i="45" s="1"/>
  <c r="Z235" i="45"/>
  <c r="AA235" i="45" s="1"/>
  <c r="AB235" i="45"/>
  <c r="AC235" i="45" s="1"/>
  <c r="AD235" i="45"/>
  <c r="AH235" i="45" s="1" a="1"/>
  <c r="AH235" i="45" s="1"/>
  <c r="AE235" i="45"/>
  <c r="AJ235" i="45" s="1"/>
  <c r="Z236" i="45"/>
  <c r="AA236" i="45" s="1"/>
  <c r="AB236" i="45"/>
  <c r="AC236" i="45" s="1"/>
  <c r="AD236" i="45"/>
  <c r="AH236" i="45" s="1" a="1"/>
  <c r="AH236" i="45" s="1"/>
  <c r="AE236" i="45"/>
  <c r="AF236" i="45" s="1"/>
  <c r="AG236" i="45" s="1"/>
  <c r="Z237" i="45"/>
  <c r="AA237" i="45" s="1"/>
  <c r="AB237" i="45"/>
  <c r="AC237" i="45" s="1"/>
  <c r="AD237" i="45"/>
  <c r="AH237" i="45" s="1" a="1"/>
  <c r="AH237" i="45" s="1"/>
  <c r="AE237" i="45"/>
  <c r="Z238" i="45"/>
  <c r="AA238" i="45" s="1"/>
  <c r="AB238" i="45"/>
  <c r="AC238" i="45" s="1"/>
  <c r="AD238" i="45"/>
  <c r="AH238" i="45" s="1" a="1"/>
  <c r="AH238" i="45" s="1"/>
  <c r="AE238" i="45"/>
  <c r="Z239" i="45"/>
  <c r="AA239" i="45" s="1"/>
  <c r="AB239" i="45"/>
  <c r="AC239" i="45" s="1"/>
  <c r="AD239" i="45"/>
  <c r="AH239" i="45" s="1" a="1"/>
  <c r="AH239" i="45" s="1"/>
  <c r="AE239" i="45"/>
  <c r="AF239" i="45" s="1"/>
  <c r="AG239" i="45" s="1"/>
  <c r="Z240" i="45"/>
  <c r="AA240" i="45" s="1"/>
  <c r="AB240" i="45"/>
  <c r="AC240" i="45" s="1"/>
  <c r="AD240" i="45"/>
  <c r="AH240" i="45" s="1" a="1"/>
  <c r="AH240" i="45" s="1"/>
  <c r="AE240" i="45"/>
  <c r="AI240" i="45" s="1"/>
  <c r="Z241" i="45"/>
  <c r="AA241" i="45" s="1"/>
  <c r="AB241" i="45"/>
  <c r="AC241" i="45" s="1"/>
  <c r="AD241" i="45"/>
  <c r="AH241" i="45" s="1" a="1"/>
  <c r="AH241" i="45" s="1"/>
  <c r="AE241" i="45"/>
  <c r="AJ241" i="45" s="1"/>
  <c r="Z242" i="45"/>
  <c r="AA242" i="45" s="1"/>
  <c r="AB242" i="45"/>
  <c r="AC242" i="45" s="1"/>
  <c r="AD242" i="45"/>
  <c r="AH242" i="45" s="1" a="1"/>
  <c r="AH242" i="45" s="1"/>
  <c r="AE242" i="45"/>
  <c r="AI242" i="45" s="1"/>
  <c r="Z243" i="45"/>
  <c r="AA243" i="45" s="1"/>
  <c r="AB243" i="45"/>
  <c r="AC243" i="45" s="1"/>
  <c r="AD243" i="45"/>
  <c r="AH243" i="45" s="1" a="1"/>
  <c r="AH243" i="45" s="1"/>
  <c r="AE243" i="45"/>
  <c r="AF243" i="45" s="1"/>
  <c r="AG243" i="45" s="1"/>
  <c r="Z244" i="45"/>
  <c r="AA244" i="45" s="1"/>
  <c r="AB244" i="45"/>
  <c r="AC244" i="45" s="1"/>
  <c r="AD244" i="45"/>
  <c r="AH244" i="45" s="1" a="1"/>
  <c r="AH244" i="45" s="1"/>
  <c r="AE244" i="45"/>
  <c r="Z245" i="45"/>
  <c r="AA245" i="45" s="1"/>
  <c r="AB245" i="45"/>
  <c r="AC245" i="45" s="1"/>
  <c r="AD245" i="45"/>
  <c r="AH245" i="45" s="1" a="1"/>
  <c r="AH245" i="45" s="1"/>
  <c r="AE245" i="45"/>
  <c r="Z246" i="45"/>
  <c r="AA246" i="45" s="1"/>
  <c r="AB246" i="45"/>
  <c r="AC246" i="45" s="1"/>
  <c r="AD246" i="45"/>
  <c r="AH246" i="45" s="1" a="1"/>
  <c r="AH246" i="45" s="1"/>
  <c r="AE246" i="45"/>
  <c r="AJ246" i="45" s="1"/>
  <c r="Z247" i="45"/>
  <c r="AA247" i="45" s="1"/>
  <c r="AB247" i="45"/>
  <c r="AC247" i="45" s="1"/>
  <c r="AD247" i="45"/>
  <c r="AH247" i="45" s="1" a="1"/>
  <c r="AH247" i="45" s="1"/>
  <c r="AE247" i="45"/>
  <c r="AJ247" i="45" s="1"/>
  <c r="Z248" i="45"/>
  <c r="AA248" i="45" s="1"/>
  <c r="AB248" i="45"/>
  <c r="AC248" i="45" s="1"/>
  <c r="AD248" i="45"/>
  <c r="AH248" i="45" s="1" a="1"/>
  <c r="AH248" i="45" s="1"/>
  <c r="AE248" i="45"/>
  <c r="AJ248" i="45" s="1"/>
  <c r="Z249" i="45"/>
  <c r="AA249" i="45" s="1"/>
  <c r="AB249" i="45"/>
  <c r="AC249" i="45" s="1"/>
  <c r="AD249" i="45"/>
  <c r="AH249" i="45" s="1" a="1"/>
  <c r="AH249" i="45" s="1"/>
  <c r="AE249" i="45"/>
  <c r="Z250" i="45"/>
  <c r="AA250" i="45" s="1"/>
  <c r="AB250" i="45"/>
  <c r="AC250" i="45" s="1"/>
  <c r="AD250" i="45"/>
  <c r="AH250" i="45" s="1" a="1"/>
  <c r="AH250" i="45" s="1"/>
  <c r="AE250" i="45"/>
  <c r="AF250" i="45" s="1"/>
  <c r="AG250" i="45" s="1"/>
  <c r="Z251" i="45"/>
  <c r="AA251" i="45" s="1"/>
  <c r="AB251" i="45"/>
  <c r="AC251" i="45" s="1"/>
  <c r="AD251" i="45"/>
  <c r="AH251" i="45" s="1" a="1"/>
  <c r="AH251" i="45" s="1"/>
  <c r="AE251" i="45"/>
  <c r="AI251" i="45" s="1"/>
  <c r="Z252" i="45"/>
  <c r="AA252" i="45" s="1"/>
  <c r="AB252" i="45"/>
  <c r="AC252" i="45" s="1"/>
  <c r="AD252" i="45"/>
  <c r="AH252" i="45" s="1" a="1"/>
  <c r="AH252" i="45" s="1"/>
  <c r="AE252" i="45"/>
  <c r="Z253" i="45"/>
  <c r="AA253" i="45" s="1"/>
  <c r="AB253" i="45"/>
  <c r="AC253" i="45" s="1"/>
  <c r="AD253" i="45"/>
  <c r="AH253" i="45" s="1" a="1"/>
  <c r="AH253" i="45" s="1"/>
  <c r="AE253" i="45"/>
  <c r="AI253" i="45" s="1"/>
  <c r="Z254" i="45"/>
  <c r="AA254" i="45" s="1"/>
  <c r="AB254" i="45"/>
  <c r="AC254" i="45" s="1"/>
  <c r="AD254" i="45"/>
  <c r="AH254" i="45" s="1" a="1"/>
  <c r="AH254" i="45" s="1"/>
  <c r="AE254" i="45"/>
  <c r="Z255" i="45"/>
  <c r="AA255" i="45" s="1"/>
  <c r="AB255" i="45"/>
  <c r="AC255" i="45" s="1"/>
  <c r="AD255" i="45"/>
  <c r="AH255" i="45" s="1" a="1"/>
  <c r="AH255" i="45" s="1"/>
  <c r="AE255" i="45"/>
  <c r="Z256" i="45"/>
  <c r="AA256" i="45" s="1"/>
  <c r="AB256" i="45"/>
  <c r="AC256" i="45" s="1"/>
  <c r="AD256" i="45"/>
  <c r="AH256" i="45" s="1" a="1"/>
  <c r="AH256" i="45" s="1"/>
  <c r="AE256" i="45"/>
  <c r="AI256" i="45" s="1"/>
  <c r="Z257" i="45"/>
  <c r="AA257" i="45" s="1"/>
  <c r="AB257" i="45"/>
  <c r="AC257" i="45" s="1"/>
  <c r="AD257" i="45"/>
  <c r="AH257" i="45" s="1" a="1"/>
  <c r="AH257" i="45" s="1"/>
  <c r="AE257" i="45"/>
  <c r="AJ257" i="45" s="1"/>
  <c r="Z258" i="45"/>
  <c r="AA258" i="45" s="1"/>
  <c r="AB258" i="45"/>
  <c r="AC258" i="45" s="1"/>
  <c r="AD258" i="45"/>
  <c r="AH258" i="45" s="1" a="1"/>
  <c r="AH258" i="45" s="1"/>
  <c r="AE258" i="45"/>
  <c r="AJ258" i="45" s="1"/>
  <c r="Z259" i="45"/>
  <c r="AA259" i="45" s="1"/>
  <c r="AB259" i="45"/>
  <c r="AC259" i="45" s="1"/>
  <c r="AD259" i="45"/>
  <c r="AH259" i="45" s="1" a="1"/>
  <c r="AH259" i="45" s="1"/>
  <c r="AE259" i="45"/>
  <c r="Z260" i="45"/>
  <c r="AA260" i="45" s="1"/>
  <c r="AB260" i="45"/>
  <c r="AC260" i="45" s="1"/>
  <c r="AD260" i="45"/>
  <c r="AH260" i="45" s="1" a="1"/>
  <c r="AH260" i="45" s="1"/>
  <c r="AE260" i="45"/>
  <c r="AI260" i="45" s="1"/>
  <c r="Z261" i="45"/>
  <c r="AA261" i="45" s="1"/>
  <c r="AB261" i="45"/>
  <c r="AC261" i="45" s="1"/>
  <c r="AD261" i="45"/>
  <c r="AH261" i="45" s="1" a="1"/>
  <c r="AH261" i="45" s="1"/>
  <c r="AE261" i="45"/>
  <c r="AI261" i="45" s="1"/>
  <c r="Z262" i="45"/>
  <c r="AA262" i="45" s="1"/>
  <c r="AB262" i="45"/>
  <c r="AC262" i="45" s="1"/>
  <c r="AD262" i="45"/>
  <c r="AH262" i="45" s="1" a="1"/>
  <c r="AH262" i="45" s="1"/>
  <c r="AE262" i="45"/>
  <c r="AJ262" i="45" s="1"/>
  <c r="Z263" i="45"/>
  <c r="AA263" i="45" s="1"/>
  <c r="AB263" i="45"/>
  <c r="AC263" i="45" s="1"/>
  <c r="AD263" i="45"/>
  <c r="AH263" i="45" s="1" a="1"/>
  <c r="AH263" i="45" s="1"/>
  <c r="AE263" i="45"/>
  <c r="Z264" i="45"/>
  <c r="AA264" i="45" s="1"/>
  <c r="AB264" i="45"/>
  <c r="AC264" i="45" s="1"/>
  <c r="AD264" i="45"/>
  <c r="AH264" i="45" s="1" a="1"/>
  <c r="AH264" i="45" s="1"/>
  <c r="AE264" i="45"/>
  <c r="AJ264" i="45" s="1"/>
  <c r="Z265" i="45"/>
  <c r="AA265" i="45" s="1"/>
  <c r="AB265" i="45"/>
  <c r="AC265" i="45" s="1"/>
  <c r="AD265" i="45"/>
  <c r="AH265" i="45" s="1" a="1"/>
  <c r="AH265" i="45" s="1"/>
  <c r="AE265" i="45"/>
  <c r="Z266" i="45"/>
  <c r="AA266" i="45" s="1"/>
  <c r="AB266" i="45"/>
  <c r="AC266" i="45" s="1"/>
  <c r="AD266" i="45"/>
  <c r="AH266" i="45" s="1" a="1"/>
  <c r="AH266" i="45" s="1"/>
  <c r="AE266" i="45"/>
  <c r="AJ266" i="45" s="1"/>
  <c r="Z267" i="45"/>
  <c r="AA267" i="45" s="1"/>
  <c r="AB267" i="45"/>
  <c r="AC267" i="45" s="1"/>
  <c r="AD267" i="45"/>
  <c r="AH267" i="45" s="1" a="1"/>
  <c r="AH267" i="45" s="1"/>
  <c r="AE267" i="45"/>
  <c r="AI267" i="45" s="1"/>
  <c r="Z268" i="45"/>
  <c r="AA268" i="45" s="1"/>
  <c r="AB268" i="45"/>
  <c r="AC268" i="45" s="1"/>
  <c r="AD268" i="45"/>
  <c r="AH268" i="45" s="1" a="1"/>
  <c r="AH268" i="45" s="1"/>
  <c r="AE268" i="45"/>
  <c r="AJ268" i="45" s="1"/>
  <c r="Z269" i="45"/>
  <c r="AA269" i="45" s="1"/>
  <c r="AB269" i="45"/>
  <c r="AC269" i="45" s="1"/>
  <c r="AD269" i="45"/>
  <c r="AH269" i="45" s="1" a="1"/>
  <c r="AH269" i="45" s="1"/>
  <c r="AE269" i="45"/>
  <c r="Z270" i="45"/>
  <c r="AA270" i="45" s="1"/>
  <c r="AB270" i="45"/>
  <c r="AC270" i="45" s="1"/>
  <c r="AD270" i="45"/>
  <c r="AH270" i="45" s="1" a="1"/>
  <c r="AH270" i="45" s="1"/>
  <c r="AE270" i="45"/>
  <c r="AF270" i="45" s="1"/>
  <c r="AG270" i="45" s="1"/>
  <c r="Z271" i="45"/>
  <c r="AA271" i="45" s="1"/>
  <c r="AB271" i="45"/>
  <c r="AC271" i="45" s="1"/>
  <c r="AD271" i="45"/>
  <c r="AH271" i="45" s="1" a="1"/>
  <c r="AH271" i="45" s="1"/>
  <c r="AE271" i="45"/>
  <c r="AJ271" i="45" s="1"/>
  <c r="Z272" i="45"/>
  <c r="AA272" i="45" s="1"/>
  <c r="AB272" i="45"/>
  <c r="AC272" i="45" s="1"/>
  <c r="AD272" i="45"/>
  <c r="AH272" i="45" s="1" a="1"/>
  <c r="AH272" i="45" s="1"/>
  <c r="AE272" i="45"/>
  <c r="AJ272" i="45" s="1"/>
  <c r="Z273" i="45"/>
  <c r="AA273" i="45" s="1"/>
  <c r="AB273" i="45"/>
  <c r="AC273" i="45" s="1"/>
  <c r="AD273" i="45"/>
  <c r="AH273" i="45" s="1" a="1"/>
  <c r="AH273" i="45" s="1"/>
  <c r="AE273" i="45"/>
  <c r="AJ273" i="45" s="1"/>
  <c r="Z274" i="45"/>
  <c r="AA274" i="45" s="1"/>
  <c r="AB274" i="45"/>
  <c r="AC274" i="45" s="1"/>
  <c r="AD274" i="45"/>
  <c r="AH274" i="45" s="1" a="1"/>
  <c r="AH274" i="45" s="1"/>
  <c r="AE274" i="45"/>
  <c r="AJ274" i="45" s="1"/>
  <c r="Z275" i="45"/>
  <c r="AA275" i="45" s="1"/>
  <c r="AB275" i="45"/>
  <c r="AC275" i="45" s="1"/>
  <c r="AD275" i="45"/>
  <c r="AH275" i="45" s="1" a="1"/>
  <c r="AH275" i="45" s="1"/>
  <c r="AE275" i="45"/>
  <c r="AJ275" i="45" s="1"/>
  <c r="Z276" i="45"/>
  <c r="AA276" i="45" s="1"/>
  <c r="AB276" i="45"/>
  <c r="AC276" i="45" s="1"/>
  <c r="AD276" i="45"/>
  <c r="AH276" i="45" s="1" a="1"/>
  <c r="AH276" i="45" s="1"/>
  <c r="AE276" i="45"/>
  <c r="Z277" i="45"/>
  <c r="AA277" i="45" s="1"/>
  <c r="AB277" i="45"/>
  <c r="AC277" i="45" s="1"/>
  <c r="AD277" i="45"/>
  <c r="AH277" i="45" s="1" a="1"/>
  <c r="AH277" i="45" s="1"/>
  <c r="AE277" i="45"/>
  <c r="Z278" i="45"/>
  <c r="AA278" i="45" s="1"/>
  <c r="AB278" i="45"/>
  <c r="AC278" i="45" s="1"/>
  <c r="AD278" i="45"/>
  <c r="AH278" i="45" s="1" a="1"/>
  <c r="AH278" i="45" s="1"/>
  <c r="AE278" i="45"/>
  <c r="AJ278" i="45" s="1"/>
  <c r="Z279" i="45"/>
  <c r="AA279" i="45" s="1"/>
  <c r="AB279" i="45"/>
  <c r="AC279" i="45" s="1"/>
  <c r="AD279" i="45"/>
  <c r="AH279" i="45" s="1" a="1"/>
  <c r="AH279" i="45" s="1"/>
  <c r="AE279" i="45"/>
  <c r="Z280" i="45"/>
  <c r="AA280" i="45" s="1"/>
  <c r="AB280" i="45"/>
  <c r="AC280" i="45" s="1"/>
  <c r="AD280" i="45"/>
  <c r="AH280" i="45" s="1" a="1"/>
  <c r="AH280" i="45" s="1"/>
  <c r="AE280" i="45"/>
  <c r="Z281" i="45"/>
  <c r="AA281" i="45" s="1"/>
  <c r="AB281" i="45"/>
  <c r="AC281" i="45" s="1"/>
  <c r="AD281" i="45"/>
  <c r="AH281" i="45" s="1" a="1"/>
  <c r="AH281" i="45" s="1"/>
  <c r="AE281" i="45"/>
  <c r="Z282" i="45"/>
  <c r="AA282" i="45" s="1"/>
  <c r="AB282" i="45"/>
  <c r="AC282" i="45" s="1"/>
  <c r="AD282" i="45"/>
  <c r="AH282" i="45" s="1" a="1"/>
  <c r="AH282" i="45" s="1"/>
  <c r="AE282" i="45"/>
  <c r="AI282" i="45" s="1"/>
  <c r="Z283" i="45"/>
  <c r="AA283" i="45" s="1"/>
  <c r="AB283" i="45"/>
  <c r="AC283" i="45" s="1"/>
  <c r="AD283" i="45"/>
  <c r="AH283" i="45" s="1" a="1"/>
  <c r="AH283" i="45" s="1"/>
  <c r="AE283" i="45"/>
  <c r="Z284" i="45"/>
  <c r="AA284" i="45" s="1"/>
  <c r="AB284" i="45"/>
  <c r="AC284" i="45" s="1"/>
  <c r="AD284" i="45"/>
  <c r="AH284" i="45" s="1" a="1"/>
  <c r="AH284" i="45" s="1"/>
  <c r="AE284" i="45"/>
  <c r="AI284" i="45" s="1"/>
  <c r="Z285" i="45"/>
  <c r="AA285" i="45" s="1"/>
  <c r="AB285" i="45"/>
  <c r="AC285" i="45" s="1"/>
  <c r="AD285" i="45"/>
  <c r="AH285" i="45" s="1" a="1"/>
  <c r="AH285" i="45" s="1"/>
  <c r="AE285" i="45"/>
  <c r="AF285" i="45" s="1"/>
  <c r="AG285" i="45" s="1"/>
  <c r="Z286" i="45"/>
  <c r="AA286" i="45" s="1"/>
  <c r="AB286" i="45"/>
  <c r="AC286" i="45" s="1"/>
  <c r="AD286" i="45"/>
  <c r="AH286" i="45" s="1" a="1"/>
  <c r="AH286" i="45" s="1"/>
  <c r="AE286" i="45"/>
  <c r="AF286" i="45" s="1"/>
  <c r="AG286" i="45" s="1"/>
  <c r="Z287" i="45"/>
  <c r="AA287" i="45" s="1"/>
  <c r="AB287" i="45"/>
  <c r="AC287" i="45" s="1"/>
  <c r="AD287" i="45"/>
  <c r="AH287" i="45" s="1" a="1"/>
  <c r="AH287" i="45" s="1"/>
  <c r="AE287" i="45"/>
  <c r="Z288" i="45"/>
  <c r="AA288" i="45" s="1"/>
  <c r="AB288" i="45"/>
  <c r="AC288" i="45" s="1"/>
  <c r="AD288" i="45"/>
  <c r="AH288" i="45" s="1" a="1"/>
  <c r="AH288" i="45" s="1"/>
  <c r="AE288" i="45"/>
  <c r="Z289" i="45"/>
  <c r="AA289" i="45" s="1"/>
  <c r="AB289" i="45"/>
  <c r="AC289" i="45" s="1"/>
  <c r="AD289" i="45"/>
  <c r="AH289" i="45" s="1" a="1"/>
  <c r="AH289" i="45" s="1"/>
  <c r="AE289" i="45"/>
  <c r="AJ289" i="45" s="1"/>
  <c r="Z290" i="45"/>
  <c r="AA290" i="45" s="1"/>
  <c r="AB290" i="45"/>
  <c r="AC290" i="45" s="1"/>
  <c r="AD290" i="45"/>
  <c r="AH290" i="45" s="1" a="1"/>
  <c r="AH290" i="45" s="1"/>
  <c r="AE290" i="45"/>
  <c r="AI290" i="45" s="1"/>
  <c r="Z291" i="45"/>
  <c r="AA291" i="45" s="1"/>
  <c r="AB291" i="45"/>
  <c r="AC291" i="45" s="1"/>
  <c r="AD291" i="45"/>
  <c r="AH291" i="45" s="1" a="1"/>
  <c r="AH291" i="45" s="1"/>
  <c r="AE291" i="45"/>
  <c r="Z292" i="45"/>
  <c r="AA292" i="45" s="1"/>
  <c r="AB292" i="45"/>
  <c r="AC292" i="45" s="1"/>
  <c r="AD292" i="45"/>
  <c r="AH292" i="45" s="1" a="1"/>
  <c r="AH292" i="45" s="1"/>
  <c r="AE292" i="45"/>
  <c r="AJ292" i="45" s="1"/>
  <c r="Z293" i="45"/>
  <c r="AA293" i="45" s="1"/>
  <c r="AB293" i="45"/>
  <c r="AC293" i="45" s="1"/>
  <c r="AD293" i="45"/>
  <c r="AH293" i="45" s="1" a="1"/>
  <c r="AH293" i="45" s="1"/>
  <c r="AE293" i="45"/>
  <c r="AJ293" i="45" s="1"/>
  <c r="Z294" i="45"/>
  <c r="AA294" i="45" s="1"/>
  <c r="AB294" i="45"/>
  <c r="AC294" i="45" s="1"/>
  <c r="AD294" i="45"/>
  <c r="AH294" i="45" s="1" a="1"/>
  <c r="AH294" i="45" s="1"/>
  <c r="AE294" i="45"/>
  <c r="AF294" i="45" s="1"/>
  <c r="AG294" i="45" s="1"/>
  <c r="Z295" i="45"/>
  <c r="AA295" i="45" s="1"/>
  <c r="AB295" i="45"/>
  <c r="AC295" i="45" s="1"/>
  <c r="AD295" i="45"/>
  <c r="AH295" i="45" s="1" a="1"/>
  <c r="AH295" i="45" s="1"/>
  <c r="AE295" i="45"/>
  <c r="Z296" i="45"/>
  <c r="AA296" i="45" s="1"/>
  <c r="AB296" i="45"/>
  <c r="AC296" i="45" s="1"/>
  <c r="AD296" i="45"/>
  <c r="AH296" i="45" s="1" a="1"/>
  <c r="AH296" i="45" s="1"/>
  <c r="AE296" i="45"/>
  <c r="Z297" i="45"/>
  <c r="AA297" i="45" s="1"/>
  <c r="AB297" i="45"/>
  <c r="AC297" i="45" s="1"/>
  <c r="AD297" i="45"/>
  <c r="AH297" i="45" s="1" a="1"/>
  <c r="AH297" i="45" s="1"/>
  <c r="AE297" i="45"/>
  <c r="AJ297" i="45" s="1"/>
  <c r="Z298" i="45"/>
  <c r="AA298" i="45" s="1"/>
  <c r="AB298" i="45"/>
  <c r="AC298" i="45" s="1"/>
  <c r="AD298" i="45"/>
  <c r="AH298" i="45" s="1" a="1"/>
  <c r="AH298" i="45" s="1"/>
  <c r="AE298" i="45"/>
  <c r="AI298" i="45" s="1"/>
  <c r="Z299" i="45"/>
  <c r="AA299" i="45" s="1"/>
  <c r="AB299" i="45"/>
  <c r="AC299" i="45" s="1"/>
  <c r="AD299" i="45"/>
  <c r="AH299" i="45" s="1" a="1"/>
  <c r="AH299" i="45" s="1"/>
  <c r="AE299" i="45"/>
  <c r="AJ299" i="45" s="1"/>
  <c r="Z300" i="45"/>
  <c r="AA300" i="45" s="1"/>
  <c r="AB300" i="45"/>
  <c r="AC300" i="45" s="1"/>
  <c r="AD300" i="45"/>
  <c r="AH300" i="45" s="1" a="1"/>
  <c r="AH300" i="45" s="1"/>
  <c r="AE300" i="45"/>
  <c r="AI300" i="45" s="1"/>
  <c r="Z301" i="45"/>
  <c r="AA301" i="45" s="1"/>
  <c r="AB301" i="45"/>
  <c r="AC301" i="45" s="1"/>
  <c r="AD301" i="45"/>
  <c r="AH301" i="45" s="1" a="1"/>
  <c r="AH301" i="45" s="1"/>
  <c r="AE301" i="45"/>
  <c r="Z302" i="45"/>
  <c r="AA302" i="45" s="1"/>
  <c r="AB302" i="45"/>
  <c r="AC302" i="45" s="1"/>
  <c r="AD302" i="45"/>
  <c r="AH302" i="45" s="1" a="1"/>
  <c r="AH302" i="45" s="1"/>
  <c r="AE302" i="45"/>
  <c r="AF302" i="45" s="1"/>
  <c r="AG302" i="45" s="1"/>
  <c r="Z303" i="45"/>
  <c r="AA303" i="45" s="1"/>
  <c r="AB303" i="45"/>
  <c r="AC303" i="45" s="1"/>
  <c r="AD303" i="45"/>
  <c r="AH303" i="45" s="1" a="1"/>
  <c r="AH303" i="45" s="1"/>
  <c r="AE303" i="45"/>
  <c r="AJ303" i="45" s="1"/>
  <c r="Z304" i="45"/>
  <c r="AA304" i="45" s="1"/>
  <c r="AB304" i="45"/>
  <c r="AC304" i="45" s="1"/>
  <c r="AD304" i="45"/>
  <c r="AH304" i="45" s="1" a="1"/>
  <c r="AH304" i="45" s="1"/>
  <c r="AE304" i="45"/>
  <c r="Z305" i="45"/>
  <c r="AA305" i="45" s="1"/>
  <c r="AB305" i="45"/>
  <c r="AC305" i="45" s="1"/>
  <c r="AD305" i="45"/>
  <c r="AH305" i="45" s="1" a="1"/>
  <c r="AH305" i="45" s="1"/>
  <c r="AE305" i="45"/>
  <c r="Z306" i="45"/>
  <c r="AA306" i="45" s="1"/>
  <c r="AB306" i="45"/>
  <c r="AC306" i="45" s="1"/>
  <c r="AD306" i="45"/>
  <c r="AH306" i="45" s="1" a="1"/>
  <c r="AH306" i="45" s="1"/>
  <c r="AE306" i="45"/>
  <c r="Z307" i="45"/>
  <c r="AA307" i="45" s="1"/>
  <c r="AB307" i="45"/>
  <c r="AC307" i="45" s="1"/>
  <c r="AD307" i="45"/>
  <c r="AH307" i="45" s="1" a="1"/>
  <c r="AH307" i="45" s="1"/>
  <c r="AE307" i="45"/>
  <c r="Z308" i="45"/>
  <c r="AA308" i="45" s="1"/>
  <c r="AB308" i="45"/>
  <c r="AC308" i="45" s="1"/>
  <c r="AD308" i="45"/>
  <c r="AH308" i="45" s="1" a="1"/>
  <c r="AH308" i="45" s="1"/>
  <c r="AE308" i="45"/>
  <c r="AF308" i="45" s="1"/>
  <c r="AG308" i="45" s="1"/>
  <c r="Z309" i="45"/>
  <c r="AA309" i="45" s="1"/>
  <c r="AB309" i="45"/>
  <c r="AC309" i="45" s="1"/>
  <c r="AD309" i="45"/>
  <c r="AH309" i="45" s="1" a="1"/>
  <c r="AH309" i="45" s="1"/>
  <c r="AE309" i="45"/>
  <c r="AJ309" i="45" s="1"/>
  <c r="Z310" i="45"/>
  <c r="AA310" i="45" s="1"/>
  <c r="AB310" i="45"/>
  <c r="AC310" i="45" s="1"/>
  <c r="AD310" i="45"/>
  <c r="AH310" i="45" s="1" a="1"/>
  <c r="AH310" i="45" s="1"/>
  <c r="AE310" i="45"/>
  <c r="Z311" i="45"/>
  <c r="AA311" i="45" s="1"/>
  <c r="AB311" i="45"/>
  <c r="AC311" i="45" s="1"/>
  <c r="AD311" i="45"/>
  <c r="AH311" i="45" s="1" a="1"/>
  <c r="AH311" i="45" s="1"/>
  <c r="AE311" i="45"/>
  <c r="AJ311" i="45" s="1"/>
  <c r="Z312" i="45"/>
  <c r="AA312" i="45" s="1"/>
  <c r="AB312" i="45"/>
  <c r="AC312" i="45" s="1"/>
  <c r="AD312" i="45"/>
  <c r="AH312" i="45" s="1" a="1"/>
  <c r="AH312" i="45" s="1"/>
  <c r="AE312" i="45"/>
  <c r="Z313" i="45"/>
  <c r="AA313" i="45" s="1"/>
  <c r="AB313" i="45"/>
  <c r="AC313" i="45" s="1"/>
  <c r="AD313" i="45"/>
  <c r="AH313" i="45" s="1" a="1"/>
  <c r="AH313" i="45" s="1"/>
  <c r="AE313" i="45"/>
  <c r="AJ313" i="45" s="1"/>
  <c r="Z314" i="45"/>
  <c r="AA314" i="45" s="1"/>
  <c r="AB314" i="45"/>
  <c r="AC314" i="45" s="1"/>
  <c r="AD314" i="45"/>
  <c r="AH314" i="45" s="1" a="1"/>
  <c r="AH314" i="45" s="1"/>
  <c r="AE314" i="45"/>
  <c r="AF314" i="45" s="1"/>
  <c r="AG314" i="45" s="1"/>
  <c r="Z315" i="45"/>
  <c r="AA315" i="45" s="1"/>
  <c r="AB315" i="45"/>
  <c r="AC315" i="45" s="1"/>
  <c r="AD315" i="45"/>
  <c r="AH315" i="45" s="1" a="1"/>
  <c r="AH315" i="45" s="1"/>
  <c r="AE315" i="45"/>
  <c r="AJ315" i="45" s="1"/>
  <c r="Z316" i="45"/>
  <c r="AA316" i="45" s="1"/>
  <c r="AB316" i="45"/>
  <c r="AC316" i="45" s="1"/>
  <c r="AD316" i="45"/>
  <c r="AH316" i="45" s="1" a="1"/>
  <c r="AH316" i="45" s="1"/>
  <c r="AE316" i="45"/>
  <c r="Z317" i="45"/>
  <c r="AA317" i="45" s="1"/>
  <c r="AB317" i="45"/>
  <c r="AC317" i="45" s="1"/>
  <c r="AD317" i="45"/>
  <c r="AH317" i="45" s="1" a="1"/>
  <c r="AH317" i="45" s="1"/>
  <c r="AE317" i="45"/>
  <c r="Z318" i="45"/>
  <c r="AA318" i="45" s="1"/>
  <c r="AB318" i="45"/>
  <c r="AC318" i="45" s="1"/>
  <c r="AD318" i="45"/>
  <c r="AH318" i="45" s="1" a="1"/>
  <c r="AH318" i="45" s="1"/>
  <c r="AE318" i="45"/>
  <c r="AI318" i="45" s="1"/>
  <c r="Z319" i="45"/>
  <c r="AA319" i="45" s="1"/>
  <c r="AB319" i="45"/>
  <c r="AC319" i="45" s="1"/>
  <c r="AD319" i="45"/>
  <c r="AH319" i="45" s="1" a="1"/>
  <c r="AH319" i="45" s="1"/>
  <c r="AE319" i="45"/>
  <c r="Z320" i="45"/>
  <c r="AA320" i="45" s="1"/>
  <c r="AB320" i="45"/>
  <c r="AC320" i="45" s="1"/>
  <c r="AD320" i="45"/>
  <c r="AH320" i="45" s="1" a="1"/>
  <c r="AH320" i="45" s="1"/>
  <c r="AE320" i="45"/>
  <c r="Z321" i="45"/>
  <c r="AA321" i="45" s="1"/>
  <c r="AB321" i="45"/>
  <c r="AC321" i="45" s="1"/>
  <c r="AD321" i="45"/>
  <c r="AH321" i="45" s="1" a="1"/>
  <c r="AH321" i="45" s="1"/>
  <c r="AE321" i="45"/>
  <c r="AJ321" i="45" s="1"/>
  <c r="Z322" i="45"/>
  <c r="AA322" i="45" s="1"/>
  <c r="AB322" i="45"/>
  <c r="AC322" i="45" s="1"/>
  <c r="AD322" i="45"/>
  <c r="AH322" i="45" s="1" a="1"/>
  <c r="AH322" i="45" s="1"/>
  <c r="AE322" i="45"/>
  <c r="AI322" i="45" s="1"/>
  <c r="Z323" i="45"/>
  <c r="AA323" i="45" s="1"/>
  <c r="AB323" i="45"/>
  <c r="AC323" i="45" s="1"/>
  <c r="AD323" i="45"/>
  <c r="AH323" i="45" s="1" a="1"/>
  <c r="AH323" i="45" s="1"/>
  <c r="AE323" i="45"/>
  <c r="AF323" i="45" s="1"/>
  <c r="AG323" i="45" s="1"/>
  <c r="Z324" i="45"/>
  <c r="AA324" i="45" s="1"/>
  <c r="AB324" i="45"/>
  <c r="AC324" i="45" s="1"/>
  <c r="AD324" i="45"/>
  <c r="AH324" i="45" s="1" a="1"/>
  <c r="AH324" i="45" s="1"/>
  <c r="AE324" i="45"/>
  <c r="AF324" i="45" s="1"/>
  <c r="AG324" i="45" s="1"/>
  <c r="Z325" i="45"/>
  <c r="AA325" i="45" s="1"/>
  <c r="AB325" i="45"/>
  <c r="AC325" i="45" s="1"/>
  <c r="AD325" i="45"/>
  <c r="AH325" i="45" s="1" a="1"/>
  <c r="AH325" i="45" s="1"/>
  <c r="AE325" i="45"/>
  <c r="AJ325" i="45" s="1"/>
  <c r="Z326" i="45"/>
  <c r="AA326" i="45" s="1"/>
  <c r="AB326" i="45"/>
  <c r="AC326" i="45" s="1"/>
  <c r="AD326" i="45"/>
  <c r="AH326" i="45" s="1" a="1"/>
  <c r="AH326" i="45" s="1"/>
  <c r="AE326" i="45"/>
  <c r="AF326" i="45" s="1"/>
  <c r="AG326" i="45" s="1"/>
  <c r="Z327" i="45"/>
  <c r="AA327" i="45" s="1"/>
  <c r="AB327" i="45"/>
  <c r="AC327" i="45" s="1"/>
  <c r="AD327" i="45"/>
  <c r="AH327" i="45" s="1" a="1"/>
  <c r="AH327" i="45" s="1"/>
  <c r="AE327" i="45"/>
  <c r="AJ327" i="45" s="1"/>
  <c r="Z328" i="45"/>
  <c r="AA328" i="45" s="1"/>
  <c r="AB328" i="45"/>
  <c r="AC328" i="45" s="1"/>
  <c r="AD328" i="45"/>
  <c r="AH328" i="45" s="1" a="1"/>
  <c r="AH328" i="45" s="1"/>
  <c r="AE328" i="45"/>
  <c r="AJ328" i="45" s="1"/>
  <c r="Z329" i="45"/>
  <c r="AA329" i="45" s="1"/>
  <c r="AB329" i="45"/>
  <c r="AC329" i="45" s="1"/>
  <c r="AD329" i="45"/>
  <c r="AH329" i="45" s="1" a="1"/>
  <c r="AH329" i="45" s="1"/>
  <c r="AE329" i="45"/>
  <c r="AJ329" i="45" s="1"/>
  <c r="Z330" i="45"/>
  <c r="AA330" i="45" s="1"/>
  <c r="AB330" i="45"/>
  <c r="AC330" i="45" s="1"/>
  <c r="AD330" i="45"/>
  <c r="AH330" i="45" s="1" a="1"/>
  <c r="AH330" i="45" s="1"/>
  <c r="AE330" i="45"/>
  <c r="AF330" i="45" s="1"/>
  <c r="AG330" i="45" s="1"/>
  <c r="Z331" i="45"/>
  <c r="AA331" i="45" s="1"/>
  <c r="AB331" i="45"/>
  <c r="AC331" i="45" s="1"/>
  <c r="AD331" i="45"/>
  <c r="AH331" i="45" s="1" a="1"/>
  <c r="AH331" i="45" s="1"/>
  <c r="AE331" i="45"/>
  <c r="Z332" i="45"/>
  <c r="AA332" i="45" s="1"/>
  <c r="AB332" i="45"/>
  <c r="AC332" i="45" s="1"/>
  <c r="AD332" i="45"/>
  <c r="AH332" i="45" s="1" a="1"/>
  <c r="AH332" i="45" s="1"/>
  <c r="AE332" i="45"/>
  <c r="AI332" i="45" s="1"/>
  <c r="Z333" i="45"/>
  <c r="AA333" i="45" s="1"/>
  <c r="AB333" i="45"/>
  <c r="AC333" i="45" s="1"/>
  <c r="AD333" i="45"/>
  <c r="AH333" i="45" s="1" a="1"/>
  <c r="AH333" i="45" s="1"/>
  <c r="AE333" i="45"/>
  <c r="Z334" i="45"/>
  <c r="AA334" i="45" s="1"/>
  <c r="AB334" i="45"/>
  <c r="AC334" i="45" s="1"/>
  <c r="AD334" i="45"/>
  <c r="AH334" i="45" s="1" a="1"/>
  <c r="AH334" i="45" s="1"/>
  <c r="AE334" i="45"/>
  <c r="AJ334" i="45" s="1"/>
  <c r="Z335" i="45"/>
  <c r="AA335" i="45" s="1"/>
  <c r="AB335" i="45"/>
  <c r="AC335" i="45" s="1"/>
  <c r="AD335" i="45"/>
  <c r="AH335" i="45" s="1" a="1"/>
  <c r="AH335" i="45" s="1"/>
  <c r="AE335" i="45"/>
  <c r="AJ335" i="45" s="1"/>
  <c r="Z336" i="45"/>
  <c r="AA336" i="45" s="1"/>
  <c r="AB336" i="45"/>
  <c r="AC336" i="45" s="1"/>
  <c r="AD336" i="45"/>
  <c r="AH336" i="45" s="1" a="1"/>
  <c r="AH336" i="45" s="1"/>
  <c r="AE336" i="45"/>
  <c r="Z337" i="45"/>
  <c r="AA337" i="45" s="1"/>
  <c r="AB337" i="45"/>
  <c r="AC337" i="45" s="1"/>
  <c r="AD337" i="45"/>
  <c r="AH337" i="45" s="1" a="1"/>
  <c r="AH337" i="45" s="1"/>
  <c r="AE337" i="45"/>
  <c r="AJ337" i="45" s="1"/>
  <c r="Z338" i="45"/>
  <c r="AA338" i="45" s="1"/>
  <c r="AB338" i="45"/>
  <c r="AC338" i="45" s="1"/>
  <c r="AD338" i="45"/>
  <c r="AH338" i="45" s="1" a="1"/>
  <c r="AH338" i="45" s="1"/>
  <c r="AE338" i="45"/>
  <c r="AI338" i="45" s="1"/>
  <c r="Z339" i="45"/>
  <c r="AA339" i="45" s="1"/>
  <c r="AB339" i="45"/>
  <c r="AC339" i="45" s="1"/>
  <c r="AD339" i="45"/>
  <c r="AH339" i="45" s="1" a="1"/>
  <c r="AH339" i="45" s="1"/>
  <c r="AE339" i="45"/>
  <c r="AF339" i="45" s="1"/>
  <c r="AG339" i="45" s="1"/>
  <c r="Z340" i="45"/>
  <c r="AA340" i="45" s="1"/>
  <c r="AB340" i="45"/>
  <c r="AC340" i="45" s="1"/>
  <c r="AD340" i="45"/>
  <c r="AH340" i="45" s="1" a="1"/>
  <c r="AH340" i="45" s="1"/>
  <c r="AE340" i="45"/>
  <c r="AJ340" i="45" s="1"/>
  <c r="Z341" i="45"/>
  <c r="AA341" i="45" s="1"/>
  <c r="AB341" i="45"/>
  <c r="AC341" i="45" s="1"/>
  <c r="AD341" i="45"/>
  <c r="AH341" i="45" s="1" a="1"/>
  <c r="AH341" i="45" s="1"/>
  <c r="AE341" i="45"/>
  <c r="AJ341" i="45" s="1"/>
  <c r="Z342" i="45"/>
  <c r="AA342" i="45" s="1"/>
  <c r="AB342" i="45"/>
  <c r="AC342" i="45" s="1"/>
  <c r="AD342" i="45"/>
  <c r="AH342" i="45" s="1" a="1"/>
  <c r="AH342" i="45" s="1"/>
  <c r="AE342" i="45"/>
  <c r="AF342" i="45" s="1"/>
  <c r="AG342" i="45" s="1"/>
  <c r="Z343" i="45"/>
  <c r="AA343" i="45" s="1"/>
  <c r="AB343" i="45"/>
  <c r="AC343" i="45" s="1"/>
  <c r="AD343" i="45"/>
  <c r="AH343" i="45" s="1" a="1"/>
  <c r="AH343" i="45" s="1"/>
  <c r="AE343" i="45"/>
  <c r="AJ343" i="45" s="1"/>
  <c r="Z344" i="45"/>
  <c r="AA344" i="45" s="1"/>
  <c r="AB344" i="45"/>
  <c r="AC344" i="45" s="1"/>
  <c r="AD344" i="45"/>
  <c r="AH344" i="45" s="1" a="1"/>
  <c r="AH344" i="45" s="1"/>
  <c r="AE344" i="45"/>
  <c r="Z345" i="45"/>
  <c r="AA345" i="45" s="1"/>
  <c r="AB345" i="45"/>
  <c r="AC345" i="45" s="1"/>
  <c r="AD345" i="45"/>
  <c r="AH345" i="45" s="1" a="1"/>
  <c r="AH345" i="45" s="1"/>
  <c r="AE345" i="45"/>
  <c r="AJ345" i="45" s="1"/>
  <c r="Z346" i="45"/>
  <c r="AA346" i="45" s="1"/>
  <c r="AB346" i="45"/>
  <c r="AC346" i="45" s="1"/>
  <c r="AD346" i="45"/>
  <c r="AH346" i="45" s="1" a="1"/>
  <c r="AH346" i="45" s="1"/>
  <c r="AE346" i="45"/>
  <c r="AI346" i="45" s="1"/>
  <c r="Z347" i="45"/>
  <c r="AA347" i="45" s="1"/>
  <c r="AB347" i="45"/>
  <c r="AC347" i="45" s="1"/>
  <c r="AD347" i="45"/>
  <c r="AH347" i="45" s="1" a="1"/>
  <c r="AH347" i="45" s="1"/>
  <c r="AE347" i="45"/>
  <c r="AJ347" i="45" s="1"/>
  <c r="Z348" i="45"/>
  <c r="AA348" i="45" s="1"/>
  <c r="AB348" i="45"/>
  <c r="AC348" i="45" s="1"/>
  <c r="AD348" i="45"/>
  <c r="AH348" i="45" s="1" a="1"/>
  <c r="AH348" i="45" s="1"/>
  <c r="AE348" i="45"/>
  <c r="AI348" i="45" s="1"/>
  <c r="Z349" i="45"/>
  <c r="AA349" i="45" s="1"/>
  <c r="AB349" i="45"/>
  <c r="AC349" i="45" s="1"/>
  <c r="AD349" i="45"/>
  <c r="AH349" i="45" s="1" a="1"/>
  <c r="AH349" i="45" s="1"/>
  <c r="AE349" i="45"/>
  <c r="Z350" i="45"/>
  <c r="AA350" i="45" s="1"/>
  <c r="AB350" i="45"/>
  <c r="AC350" i="45" s="1"/>
  <c r="AD350" i="45"/>
  <c r="AH350" i="45" s="1" a="1"/>
  <c r="AH350" i="45" s="1"/>
  <c r="AE350" i="45"/>
  <c r="AF350" i="45" s="1"/>
  <c r="AG350" i="45" s="1"/>
  <c r="Z351" i="45"/>
  <c r="AA351" i="45" s="1"/>
  <c r="AB351" i="45"/>
  <c r="AC351" i="45" s="1"/>
  <c r="AD351" i="45"/>
  <c r="AH351" i="45" s="1" a="1"/>
  <c r="AH351" i="45" s="1"/>
  <c r="AE351" i="45"/>
  <c r="AJ351" i="45" s="1"/>
  <c r="Z352" i="45"/>
  <c r="AA352" i="45" s="1"/>
  <c r="AB352" i="45"/>
  <c r="AC352" i="45" s="1"/>
  <c r="AD352" i="45"/>
  <c r="AH352" i="45" s="1" a="1"/>
  <c r="AH352" i="45" s="1"/>
  <c r="AE352" i="45"/>
  <c r="Z353" i="45"/>
  <c r="AA353" i="45" s="1"/>
  <c r="AB353" i="45"/>
  <c r="AC353" i="45" s="1"/>
  <c r="AD353" i="45"/>
  <c r="AH353" i="45" s="1" a="1"/>
  <c r="AH353" i="45" s="1"/>
  <c r="AE353" i="45"/>
  <c r="AJ353" i="45" s="1"/>
  <c r="Z354" i="45"/>
  <c r="AA354" i="45" s="1"/>
  <c r="AB354" i="45"/>
  <c r="AC354" i="45" s="1"/>
  <c r="AD354" i="45"/>
  <c r="AH354" i="45" s="1" a="1"/>
  <c r="AH354" i="45" s="1"/>
  <c r="AE354" i="45"/>
  <c r="Z355" i="45"/>
  <c r="AA355" i="45" s="1"/>
  <c r="AB355" i="45"/>
  <c r="AC355" i="45" s="1"/>
  <c r="AD355" i="45"/>
  <c r="AH355" i="45" s="1" a="1"/>
  <c r="AH355" i="45" s="1"/>
  <c r="AE355" i="45"/>
  <c r="Z356" i="45"/>
  <c r="AA356" i="45" s="1"/>
  <c r="AB356" i="45"/>
  <c r="AC356" i="45" s="1"/>
  <c r="AD356" i="45"/>
  <c r="AH356" i="45" s="1" a="1"/>
  <c r="AH356" i="45" s="1"/>
  <c r="AE356" i="45"/>
  <c r="AF356" i="45" s="1"/>
  <c r="AG356" i="45" s="1"/>
  <c r="Z357" i="45"/>
  <c r="AA357" i="45" s="1"/>
  <c r="AB357" i="45"/>
  <c r="AC357" i="45" s="1"/>
  <c r="AD357" i="45"/>
  <c r="AH357" i="45" s="1" a="1"/>
  <c r="AH357" i="45" s="1"/>
  <c r="AE357" i="45"/>
  <c r="AJ357" i="45" s="1"/>
  <c r="Z358" i="45"/>
  <c r="AA358" i="45" s="1"/>
  <c r="AB358" i="45"/>
  <c r="AC358" i="45" s="1"/>
  <c r="AD358" i="45"/>
  <c r="AH358" i="45" s="1" a="1"/>
  <c r="AH358" i="45" s="1"/>
  <c r="AE358" i="45"/>
  <c r="Z359" i="45"/>
  <c r="AA359" i="45" s="1"/>
  <c r="AB359" i="45"/>
  <c r="AC359" i="45" s="1"/>
  <c r="AD359" i="45"/>
  <c r="AH359" i="45" s="1" a="1"/>
  <c r="AH359" i="45" s="1"/>
  <c r="AE359" i="45"/>
  <c r="AJ359" i="45" s="1"/>
  <c r="Z360" i="45"/>
  <c r="AA360" i="45" s="1"/>
  <c r="AB360" i="45"/>
  <c r="AC360" i="45" s="1"/>
  <c r="AD360" i="45"/>
  <c r="AH360" i="45" s="1" a="1"/>
  <c r="AH360" i="45" s="1"/>
  <c r="AE360" i="45"/>
  <c r="AJ360" i="45" s="1"/>
  <c r="Z361" i="45"/>
  <c r="AA361" i="45" s="1"/>
  <c r="AB361" i="45"/>
  <c r="AC361" i="45" s="1"/>
  <c r="AD361" i="45"/>
  <c r="AH361" i="45" s="1" a="1"/>
  <c r="AH361" i="45" s="1"/>
  <c r="AE361" i="45"/>
  <c r="AJ361" i="45" s="1"/>
  <c r="Z362" i="45"/>
  <c r="AA362" i="45" s="1"/>
  <c r="AB362" i="45"/>
  <c r="AC362" i="45" s="1"/>
  <c r="AD362" i="45"/>
  <c r="AH362" i="45" s="1" a="1"/>
  <c r="AH362" i="45" s="1"/>
  <c r="AE362" i="45"/>
  <c r="AI362" i="45" s="1"/>
  <c r="Z363" i="45"/>
  <c r="AA363" i="45" s="1"/>
  <c r="AB363" i="45"/>
  <c r="AC363" i="45" s="1"/>
  <c r="AD363" i="45"/>
  <c r="AH363" i="45" s="1" a="1"/>
  <c r="AH363" i="45" s="1"/>
  <c r="AE363" i="45"/>
  <c r="AJ363" i="45" s="1"/>
  <c r="Z364" i="45"/>
  <c r="AA364" i="45" s="1"/>
  <c r="AB364" i="45"/>
  <c r="AC364" i="45" s="1"/>
  <c r="AD364" i="45"/>
  <c r="AH364" i="45" s="1" a="1"/>
  <c r="AH364" i="45" s="1"/>
  <c r="AE364" i="45"/>
  <c r="AI364" i="45" s="1"/>
  <c r="Z365" i="45"/>
  <c r="AA365" i="45" s="1"/>
  <c r="AB365" i="45"/>
  <c r="AC365" i="45" s="1"/>
  <c r="AD365" i="45"/>
  <c r="AH365" i="45" s="1" a="1"/>
  <c r="AH365" i="45" s="1"/>
  <c r="AE365" i="45"/>
  <c r="Z366" i="45"/>
  <c r="AA366" i="45" s="1"/>
  <c r="AB366" i="45"/>
  <c r="AC366" i="45" s="1"/>
  <c r="AD366" i="45"/>
  <c r="AH366" i="45" s="1" a="1"/>
  <c r="AH366" i="45" s="1"/>
  <c r="AE366" i="45"/>
  <c r="AF366" i="45" s="1"/>
  <c r="AG366" i="45" s="1"/>
  <c r="Z367" i="45"/>
  <c r="AA367" i="45" s="1"/>
  <c r="AB367" i="45"/>
  <c r="AC367" i="45" s="1"/>
  <c r="AD367" i="45"/>
  <c r="AH367" i="45" s="1" a="1"/>
  <c r="AH367" i="45" s="1"/>
  <c r="AE367" i="45"/>
  <c r="AJ367" i="45" s="1"/>
  <c r="Z368" i="45"/>
  <c r="AA368" i="45" s="1"/>
  <c r="AB368" i="45"/>
  <c r="AC368" i="45" s="1"/>
  <c r="AD368" i="45"/>
  <c r="AH368" i="45" s="1" a="1"/>
  <c r="AH368" i="45" s="1"/>
  <c r="AE368" i="45"/>
  <c r="Z369" i="45"/>
  <c r="AA369" i="45" s="1"/>
  <c r="AB369" i="45"/>
  <c r="AC369" i="45" s="1"/>
  <c r="AD369" i="45"/>
  <c r="AH369" i="45" s="1" a="1"/>
  <c r="AH369" i="45" s="1"/>
  <c r="AE369" i="45"/>
  <c r="Z370" i="45"/>
  <c r="AA370" i="45" s="1"/>
  <c r="AB370" i="45"/>
  <c r="AC370" i="45" s="1"/>
  <c r="AD370" i="45"/>
  <c r="AH370" i="45" s="1" a="1"/>
  <c r="AH370" i="45" s="1"/>
  <c r="AE370" i="45"/>
  <c r="AI370" i="45" s="1"/>
  <c r="Z371" i="45"/>
  <c r="AA371" i="45" s="1"/>
  <c r="AB371" i="45"/>
  <c r="AC371" i="45" s="1"/>
  <c r="AD371" i="45"/>
  <c r="AH371" i="45" s="1" a="1"/>
  <c r="AH371" i="45" s="1"/>
  <c r="AE371" i="45"/>
  <c r="AF371" i="45" s="1"/>
  <c r="AG371" i="45" s="1"/>
  <c r="Z372" i="45"/>
  <c r="AA372" i="45" s="1"/>
  <c r="AB372" i="45"/>
  <c r="AC372" i="45" s="1"/>
  <c r="AD372" i="45"/>
  <c r="AH372" i="45" s="1" a="1"/>
  <c r="AH372" i="45" s="1"/>
  <c r="AE372" i="45"/>
  <c r="Z373" i="45"/>
  <c r="AA373" i="45" s="1"/>
  <c r="AB373" i="45"/>
  <c r="AC373" i="45" s="1"/>
  <c r="AD373" i="45"/>
  <c r="AH373" i="45" s="1" a="1"/>
  <c r="AH373" i="45" s="1"/>
  <c r="AE373" i="45"/>
  <c r="AJ373" i="45" s="1"/>
  <c r="Z374" i="45"/>
  <c r="AA374" i="45" s="1"/>
  <c r="AB374" i="45"/>
  <c r="AC374" i="45" s="1"/>
  <c r="AD374" i="45"/>
  <c r="AH374" i="45" s="1" a="1"/>
  <c r="AH374" i="45" s="1"/>
  <c r="AE374" i="45"/>
  <c r="AI374" i="45" s="1"/>
  <c r="Z375" i="45"/>
  <c r="AA375" i="45" s="1"/>
  <c r="AB375" i="45"/>
  <c r="AC375" i="45" s="1"/>
  <c r="AD375" i="45"/>
  <c r="AH375" i="45" s="1" a="1"/>
  <c r="AH375" i="45" s="1"/>
  <c r="AE375" i="45"/>
  <c r="AI375" i="45" s="1"/>
  <c r="Z376" i="45"/>
  <c r="AA376" i="45" s="1"/>
  <c r="AB376" i="45"/>
  <c r="AC376" i="45" s="1"/>
  <c r="AD376" i="45"/>
  <c r="AH376" i="45" s="1" a="1"/>
  <c r="AH376" i="45" s="1"/>
  <c r="AE376" i="45"/>
  <c r="AJ376" i="45" s="1"/>
  <c r="Z377" i="45"/>
  <c r="AA377" i="45" s="1"/>
  <c r="AB377" i="45"/>
  <c r="AC377" i="45" s="1"/>
  <c r="AD377" i="45"/>
  <c r="AH377" i="45" s="1" a="1"/>
  <c r="AH377" i="45" s="1"/>
  <c r="AE377" i="45"/>
  <c r="AF377" i="45" s="1"/>
  <c r="AG377" i="45" s="1"/>
  <c r="Z378" i="45"/>
  <c r="AA378" i="45" s="1"/>
  <c r="AB378" i="45"/>
  <c r="AC378" i="45" s="1"/>
  <c r="AD378" i="45"/>
  <c r="AH378" i="45" s="1" a="1"/>
  <c r="AH378" i="45" s="1"/>
  <c r="AE378" i="45"/>
  <c r="AF378" i="45" s="1"/>
  <c r="AG378" i="45" s="1"/>
  <c r="Z379" i="45"/>
  <c r="AA379" i="45" s="1"/>
  <c r="AB379" i="45"/>
  <c r="AC379" i="45" s="1"/>
  <c r="AD379" i="45"/>
  <c r="AH379" i="45" s="1" a="1"/>
  <c r="AH379" i="45" s="1"/>
  <c r="AE379" i="45"/>
  <c r="AJ379" i="45" s="1"/>
  <c r="Z380" i="45"/>
  <c r="AA380" i="45" s="1"/>
  <c r="AB380" i="45"/>
  <c r="AC380" i="45" s="1"/>
  <c r="AD380" i="45"/>
  <c r="AH380" i="45" s="1" a="1"/>
  <c r="AH380" i="45" s="1"/>
  <c r="AE380" i="45"/>
  <c r="Z381" i="45"/>
  <c r="AA381" i="45" s="1"/>
  <c r="AB381" i="45"/>
  <c r="AC381" i="45" s="1"/>
  <c r="AD381" i="45"/>
  <c r="AH381" i="45" s="1" a="1"/>
  <c r="AH381" i="45" s="1"/>
  <c r="AE381" i="45"/>
  <c r="AI381" i="45" s="1"/>
  <c r="Z382" i="45"/>
  <c r="AA382" i="45" s="1"/>
  <c r="AB382" i="45"/>
  <c r="AC382" i="45" s="1"/>
  <c r="AD382" i="45"/>
  <c r="AH382" i="45" s="1" a="1"/>
  <c r="AH382" i="45" s="1"/>
  <c r="AE382" i="45"/>
  <c r="AI382" i="45" s="1"/>
  <c r="Z383" i="45"/>
  <c r="AA383" i="45" s="1"/>
  <c r="AB383" i="45"/>
  <c r="AC383" i="45" s="1"/>
  <c r="AD383" i="45"/>
  <c r="AH383" i="45" s="1" a="1"/>
  <c r="AH383" i="45" s="1"/>
  <c r="AE383" i="45"/>
  <c r="Z384" i="45"/>
  <c r="AA384" i="45" s="1"/>
  <c r="AB384" i="45"/>
  <c r="AC384" i="45" s="1"/>
  <c r="AD384" i="45"/>
  <c r="AH384" i="45" s="1" a="1"/>
  <c r="AH384" i="45" s="1"/>
  <c r="AE384" i="45"/>
  <c r="Z385" i="45"/>
  <c r="AA385" i="45" s="1"/>
  <c r="AB385" i="45"/>
  <c r="AC385" i="45" s="1"/>
  <c r="AD385" i="45"/>
  <c r="AH385" i="45" s="1" a="1"/>
  <c r="AH385" i="45" s="1"/>
  <c r="AE385" i="45"/>
  <c r="AJ385" i="45" s="1"/>
  <c r="Z386" i="45"/>
  <c r="AA386" i="45" s="1"/>
  <c r="AB386" i="45"/>
  <c r="AC386" i="45" s="1"/>
  <c r="AD386" i="45"/>
  <c r="AH386" i="45" s="1" a="1"/>
  <c r="AH386" i="45" s="1"/>
  <c r="AE386" i="45"/>
  <c r="AI386" i="45" s="1"/>
  <c r="Z387" i="45"/>
  <c r="AA387" i="45" s="1"/>
  <c r="AB387" i="45"/>
  <c r="AC387" i="45" s="1"/>
  <c r="AD387" i="45"/>
  <c r="AH387" i="45" s="1" a="1"/>
  <c r="AH387" i="45" s="1"/>
  <c r="AE387" i="45"/>
  <c r="AJ387" i="45" s="1"/>
  <c r="Z388" i="45"/>
  <c r="AA388" i="45" s="1"/>
  <c r="AB388" i="45"/>
  <c r="AC388" i="45" s="1"/>
  <c r="AD388" i="45"/>
  <c r="AH388" i="45" s="1" a="1"/>
  <c r="AH388" i="45" s="1"/>
  <c r="AE388" i="45"/>
  <c r="AF388" i="45" s="1"/>
  <c r="AG388" i="45" s="1"/>
  <c r="Z389" i="45"/>
  <c r="AA389" i="45" s="1"/>
  <c r="AB389" i="45"/>
  <c r="AC389" i="45" s="1"/>
  <c r="AD389" i="45"/>
  <c r="AH389" i="45" s="1" a="1"/>
  <c r="AH389" i="45" s="1"/>
  <c r="AE389" i="45"/>
  <c r="Z390" i="45"/>
  <c r="AA390" i="45" s="1"/>
  <c r="AB390" i="45"/>
  <c r="AC390" i="45" s="1"/>
  <c r="AD390" i="45"/>
  <c r="AH390" i="45" s="1" a="1"/>
  <c r="AH390" i="45" s="1"/>
  <c r="AE390" i="45"/>
  <c r="AI390" i="45" s="1"/>
  <c r="Z391" i="45"/>
  <c r="AA391" i="45" s="1"/>
  <c r="AB391" i="45"/>
  <c r="AC391" i="45" s="1"/>
  <c r="AD391" i="45"/>
  <c r="AH391" i="45" s="1" a="1"/>
  <c r="AH391" i="45" s="1"/>
  <c r="AE391" i="45"/>
  <c r="Z392" i="45"/>
  <c r="AA392" i="45" s="1"/>
  <c r="AB392" i="45"/>
  <c r="AC392" i="45" s="1"/>
  <c r="AD392" i="45"/>
  <c r="AH392" i="45" s="1" a="1"/>
  <c r="AH392" i="45" s="1"/>
  <c r="AE392" i="45"/>
  <c r="Z393" i="45"/>
  <c r="AA393" i="45" s="1"/>
  <c r="AB393" i="45"/>
  <c r="AC393" i="45" s="1"/>
  <c r="AD393" i="45"/>
  <c r="AH393" i="45" s="1" a="1"/>
  <c r="AH393" i="45" s="1"/>
  <c r="AE393" i="45"/>
  <c r="Z394" i="45"/>
  <c r="AA394" i="45" s="1"/>
  <c r="AB394" i="45"/>
  <c r="AC394" i="45" s="1"/>
  <c r="AD394" i="45"/>
  <c r="AH394" i="45" s="1" a="1"/>
  <c r="AH394" i="45" s="1"/>
  <c r="AE394" i="45"/>
  <c r="AI394" i="45" s="1"/>
  <c r="Z395" i="45"/>
  <c r="AA395" i="45" s="1"/>
  <c r="AB395" i="45"/>
  <c r="AC395" i="45" s="1"/>
  <c r="AD395" i="45"/>
  <c r="AH395" i="45" s="1" a="1"/>
  <c r="AH395" i="45" s="1"/>
  <c r="AE395" i="45"/>
  <c r="Z396" i="45"/>
  <c r="AA396" i="45" s="1"/>
  <c r="AB396" i="45"/>
  <c r="AC396" i="45" s="1"/>
  <c r="AD396" i="45"/>
  <c r="AH396" i="45" s="1" a="1"/>
  <c r="AH396" i="45" s="1"/>
  <c r="AE396" i="45"/>
  <c r="Z397" i="45"/>
  <c r="AA397" i="45" s="1"/>
  <c r="AB397" i="45"/>
  <c r="AC397" i="45" s="1"/>
  <c r="AD397" i="45"/>
  <c r="AH397" i="45" s="1" a="1"/>
  <c r="AH397" i="45" s="1"/>
  <c r="AE397" i="45"/>
  <c r="AJ397" i="45" s="1"/>
  <c r="Z398" i="45"/>
  <c r="AA398" i="45" s="1"/>
  <c r="AB398" i="45"/>
  <c r="AC398" i="45" s="1"/>
  <c r="AD398" i="45"/>
  <c r="AH398" i="45" s="1" a="1"/>
  <c r="AH398" i="45" s="1"/>
  <c r="AE398" i="45"/>
  <c r="AI398" i="45" s="1"/>
  <c r="Z399" i="45"/>
  <c r="AA399" i="45" s="1"/>
  <c r="AB399" i="45"/>
  <c r="AC399" i="45" s="1"/>
  <c r="AD399" i="45"/>
  <c r="AH399" i="45" s="1" a="1"/>
  <c r="AH399" i="45" s="1"/>
  <c r="AE399" i="45"/>
  <c r="AJ399" i="45" s="1"/>
  <c r="Z400" i="45"/>
  <c r="AA400" i="45" s="1"/>
  <c r="AB400" i="45"/>
  <c r="AC400" i="45" s="1"/>
  <c r="AD400" i="45"/>
  <c r="AH400" i="45" s="1" a="1"/>
  <c r="AH400" i="45" s="1"/>
  <c r="AE400" i="45"/>
  <c r="AF400" i="45" s="1"/>
  <c r="AG400" i="45" s="1"/>
  <c r="Z401" i="45"/>
  <c r="AA401" i="45" s="1"/>
  <c r="AB401" i="45"/>
  <c r="AC401" i="45" s="1"/>
  <c r="AD401" i="45"/>
  <c r="AH401" i="45" s="1" a="1"/>
  <c r="AH401" i="45" s="1"/>
  <c r="AE401" i="45"/>
  <c r="AJ401" i="45" s="1"/>
  <c r="Z402" i="45"/>
  <c r="AA402" i="45" s="1"/>
  <c r="AB402" i="45"/>
  <c r="AC402" i="45" s="1"/>
  <c r="AD402" i="45"/>
  <c r="AH402" i="45" s="1" a="1"/>
  <c r="AH402" i="45" s="1"/>
  <c r="AE402" i="45"/>
  <c r="AI402" i="45" s="1"/>
  <c r="Z403" i="45"/>
  <c r="AA403" i="45" s="1"/>
  <c r="AB403" i="45"/>
  <c r="AC403" i="45" s="1"/>
  <c r="AD403" i="45"/>
  <c r="AH403" i="45" s="1" a="1"/>
  <c r="AH403" i="45" s="1"/>
  <c r="AE403" i="45"/>
  <c r="Z404" i="45"/>
  <c r="AA404" i="45" s="1"/>
  <c r="AB404" i="45"/>
  <c r="AC404" i="45" s="1"/>
  <c r="AD404" i="45"/>
  <c r="AH404" i="45" s="1" a="1"/>
  <c r="AH404" i="45" s="1"/>
  <c r="AE404" i="45"/>
  <c r="AJ404" i="45" s="1"/>
  <c r="Z405" i="45"/>
  <c r="AA405" i="45" s="1"/>
  <c r="AB405" i="45"/>
  <c r="AC405" i="45" s="1"/>
  <c r="AD405" i="45"/>
  <c r="AH405" i="45" s="1" a="1"/>
  <c r="AH405" i="45" s="1"/>
  <c r="AE405" i="45"/>
  <c r="Z406" i="45"/>
  <c r="AA406" i="45" s="1"/>
  <c r="AB406" i="45"/>
  <c r="AC406" i="45" s="1"/>
  <c r="AD406" i="45"/>
  <c r="AH406" i="45" s="1" a="1"/>
  <c r="AH406" i="45" s="1"/>
  <c r="AE406" i="45"/>
  <c r="AI406" i="45" s="1"/>
  <c r="Z407" i="45"/>
  <c r="AA407" i="45" s="1"/>
  <c r="AB407" i="45"/>
  <c r="AC407" i="45" s="1"/>
  <c r="AD407" i="45"/>
  <c r="AH407" i="45" s="1" a="1"/>
  <c r="AH407" i="45" s="1"/>
  <c r="AE407" i="45"/>
  <c r="AJ407" i="45" s="1"/>
  <c r="Z408" i="45"/>
  <c r="AA408" i="45" s="1"/>
  <c r="AB408" i="45"/>
  <c r="AC408" i="45" s="1"/>
  <c r="AD408" i="45"/>
  <c r="AH408" i="45" s="1" a="1"/>
  <c r="AH408" i="45" s="1"/>
  <c r="AE408" i="45"/>
  <c r="Z409" i="45"/>
  <c r="AA409" i="45" s="1"/>
  <c r="AB409" i="45"/>
  <c r="AC409" i="45" s="1"/>
  <c r="AD409" i="45"/>
  <c r="AH409" i="45" s="1" a="1"/>
  <c r="AH409" i="45" s="1"/>
  <c r="AE409" i="45"/>
  <c r="Z410" i="45"/>
  <c r="AA410" i="45" s="1"/>
  <c r="AB410" i="45"/>
  <c r="AC410" i="45" s="1"/>
  <c r="AD410" i="45"/>
  <c r="AH410" i="45" s="1" a="1"/>
  <c r="AH410" i="45" s="1"/>
  <c r="AE410" i="45"/>
  <c r="Z411" i="45"/>
  <c r="AA411" i="45" s="1"/>
  <c r="AB411" i="45"/>
  <c r="AC411" i="45" s="1"/>
  <c r="AD411" i="45"/>
  <c r="AH411" i="45" s="1" a="1"/>
  <c r="AH411" i="45" s="1"/>
  <c r="AE411" i="45"/>
  <c r="AJ411" i="45" s="1"/>
  <c r="Z412" i="45"/>
  <c r="AA412" i="45" s="1"/>
  <c r="AB412" i="45"/>
  <c r="AC412" i="45" s="1"/>
  <c r="AD412" i="45"/>
  <c r="AH412" i="45" s="1" a="1"/>
  <c r="AH412" i="45" s="1"/>
  <c r="AE412" i="45"/>
  <c r="Z413" i="45"/>
  <c r="AA413" i="45" s="1"/>
  <c r="AB413" i="45"/>
  <c r="AC413" i="45" s="1"/>
  <c r="AD413" i="45"/>
  <c r="AH413" i="45" s="1" a="1"/>
  <c r="AH413" i="45" s="1"/>
  <c r="AE413" i="45"/>
  <c r="AJ413" i="45" s="1"/>
  <c r="Z414" i="45"/>
  <c r="AA414" i="45" s="1"/>
  <c r="AB414" i="45"/>
  <c r="AC414" i="45" s="1"/>
  <c r="AD414" i="45"/>
  <c r="AH414" i="45" s="1" a="1"/>
  <c r="AH414" i="45" s="1"/>
  <c r="AE414" i="45"/>
  <c r="AF414" i="45" s="1"/>
  <c r="AG414" i="45" s="1"/>
  <c r="Z415" i="45"/>
  <c r="AA415" i="45" s="1"/>
  <c r="AB415" i="45"/>
  <c r="AC415" i="45" s="1"/>
  <c r="AD415" i="45"/>
  <c r="AH415" i="45" s="1" a="1"/>
  <c r="AH415" i="45" s="1"/>
  <c r="AE415" i="45"/>
  <c r="AJ415" i="45" s="1"/>
  <c r="Z416" i="45"/>
  <c r="AA416" i="45" s="1"/>
  <c r="AB416" i="45"/>
  <c r="AC416" i="45" s="1"/>
  <c r="AD416" i="45"/>
  <c r="AH416" i="45" s="1" a="1"/>
  <c r="AH416" i="45" s="1"/>
  <c r="AE416" i="45"/>
  <c r="AF416" i="45" s="1"/>
  <c r="AG416" i="45" s="1"/>
  <c r="Z417" i="45"/>
  <c r="AA417" i="45" s="1"/>
  <c r="AB417" i="45"/>
  <c r="AC417" i="45" s="1"/>
  <c r="AD417" i="45"/>
  <c r="AH417" i="45" s="1" a="1"/>
  <c r="AH417" i="45" s="1"/>
  <c r="AE417" i="45"/>
  <c r="AI417" i="45" s="1"/>
  <c r="Z418" i="45"/>
  <c r="AA418" i="45" s="1"/>
  <c r="AB418" i="45"/>
  <c r="AC418" i="45" s="1"/>
  <c r="AD418" i="45"/>
  <c r="AH418" i="45" s="1" a="1"/>
  <c r="AH418" i="45" s="1"/>
  <c r="AE418" i="45"/>
  <c r="AI418" i="45" s="1"/>
  <c r="Z419" i="45"/>
  <c r="AA419" i="45" s="1"/>
  <c r="AB419" i="45"/>
  <c r="AC419" i="45" s="1"/>
  <c r="AD419" i="45"/>
  <c r="AH419" i="45" s="1" a="1"/>
  <c r="AH419" i="45" s="1"/>
  <c r="AE419" i="45"/>
  <c r="AJ419" i="45" s="1"/>
  <c r="Z420" i="45"/>
  <c r="AA420" i="45" s="1"/>
  <c r="AB420" i="45"/>
  <c r="AC420" i="45" s="1"/>
  <c r="AD420" i="45"/>
  <c r="AH420" i="45" s="1" a="1"/>
  <c r="AH420" i="45" s="1"/>
  <c r="AE420" i="45"/>
  <c r="AF420" i="45" s="1"/>
  <c r="AG420" i="45" s="1"/>
  <c r="Z421" i="45"/>
  <c r="AA421" i="45" s="1"/>
  <c r="AB421" i="45"/>
  <c r="AC421" i="45" s="1"/>
  <c r="AD421" i="45"/>
  <c r="AH421" i="45" s="1" a="1"/>
  <c r="AH421" i="45" s="1"/>
  <c r="AE421" i="45"/>
  <c r="Z422" i="45"/>
  <c r="AA422" i="45" s="1"/>
  <c r="AB422" i="45"/>
  <c r="AC422" i="45" s="1"/>
  <c r="AD422" i="45"/>
  <c r="AH422" i="45" s="1" a="1"/>
  <c r="AH422" i="45" s="1"/>
  <c r="AE422" i="45"/>
  <c r="AI422" i="45" s="1"/>
  <c r="Z423" i="45"/>
  <c r="AA423" i="45" s="1"/>
  <c r="AB423" i="45"/>
  <c r="AC423" i="45" s="1"/>
  <c r="AD423" i="45"/>
  <c r="AH423" i="45" s="1" a="1"/>
  <c r="AH423" i="45" s="1"/>
  <c r="AE423" i="45"/>
  <c r="AI423" i="45" s="1"/>
  <c r="Z424" i="45"/>
  <c r="AA424" i="45" s="1"/>
  <c r="AB424" i="45"/>
  <c r="AC424" i="45" s="1"/>
  <c r="AD424" i="45"/>
  <c r="AH424" i="45" s="1" a="1"/>
  <c r="AH424" i="45" s="1"/>
  <c r="AE424" i="45"/>
  <c r="Z425" i="45"/>
  <c r="AA425" i="45" s="1"/>
  <c r="AB425" i="45"/>
  <c r="AC425" i="45" s="1"/>
  <c r="AD425" i="45"/>
  <c r="AH425" i="45" s="1" a="1"/>
  <c r="AH425" i="45" s="1"/>
  <c r="AE425" i="45"/>
  <c r="Z426" i="45"/>
  <c r="AA426" i="45" s="1"/>
  <c r="AB426" i="45"/>
  <c r="AC426" i="45" s="1"/>
  <c r="AD426" i="45"/>
  <c r="AH426" i="45" s="1" a="1"/>
  <c r="AH426" i="45" s="1"/>
  <c r="AE426" i="45"/>
  <c r="AI426" i="45" s="1"/>
  <c r="Z427" i="45"/>
  <c r="AA427" i="45" s="1"/>
  <c r="AB427" i="45"/>
  <c r="AC427" i="45" s="1"/>
  <c r="AD427" i="45"/>
  <c r="AH427" i="45" s="1" a="1"/>
  <c r="AH427" i="45" s="1"/>
  <c r="AE427" i="45"/>
  <c r="AJ427" i="45" s="1"/>
  <c r="Z428" i="45"/>
  <c r="AA428" i="45" s="1"/>
  <c r="AB428" i="45"/>
  <c r="AC428" i="45" s="1"/>
  <c r="AD428" i="45"/>
  <c r="AH428" i="45" s="1" a="1"/>
  <c r="AH428" i="45" s="1"/>
  <c r="AE428" i="45"/>
  <c r="Z429" i="45"/>
  <c r="AA429" i="45" s="1"/>
  <c r="AB429" i="45"/>
  <c r="AC429" i="45" s="1"/>
  <c r="AD429" i="45"/>
  <c r="AH429" i="45" s="1" a="1"/>
  <c r="AH429" i="45" s="1"/>
  <c r="AE429" i="45"/>
  <c r="AJ429" i="45" s="1"/>
  <c r="Z430" i="45"/>
  <c r="AA430" i="45" s="1"/>
  <c r="AB430" i="45"/>
  <c r="AC430" i="45" s="1"/>
  <c r="AD430" i="45"/>
  <c r="AH430" i="45" s="1" a="1"/>
  <c r="AH430" i="45" s="1"/>
  <c r="AE430" i="45"/>
  <c r="AJ430" i="45" s="1"/>
  <c r="Z431" i="45"/>
  <c r="AA431" i="45" s="1"/>
  <c r="AB431" i="45"/>
  <c r="AC431" i="45" s="1"/>
  <c r="AD431" i="45"/>
  <c r="AH431" i="45" s="1" a="1"/>
  <c r="AH431" i="45" s="1"/>
  <c r="AE431" i="45"/>
  <c r="AJ431" i="45" s="1"/>
  <c r="Z432" i="45"/>
  <c r="AA432" i="45" s="1"/>
  <c r="AB432" i="45"/>
  <c r="AC432" i="45" s="1"/>
  <c r="AD432" i="45"/>
  <c r="AH432" i="45" s="1" a="1"/>
  <c r="AH432" i="45" s="1"/>
  <c r="AE432" i="45"/>
  <c r="AF432" i="45" s="1"/>
  <c r="AG432" i="45" s="1"/>
  <c r="Z433" i="45"/>
  <c r="AA433" i="45" s="1"/>
  <c r="AB433" i="45"/>
  <c r="AC433" i="45" s="1"/>
  <c r="AD433" i="45"/>
  <c r="AH433" i="45" s="1" a="1"/>
  <c r="AH433" i="45" s="1"/>
  <c r="AE433" i="45"/>
  <c r="AJ433" i="45" s="1"/>
  <c r="Z434" i="45"/>
  <c r="AA434" i="45" s="1"/>
  <c r="AB434" i="45"/>
  <c r="AC434" i="45" s="1"/>
  <c r="AD434" i="45"/>
  <c r="AH434" i="45" s="1" a="1"/>
  <c r="AH434" i="45" s="1"/>
  <c r="AE434" i="45"/>
  <c r="AI434" i="45" s="1"/>
  <c r="Z435" i="45"/>
  <c r="AA435" i="45" s="1"/>
  <c r="AB435" i="45"/>
  <c r="AC435" i="45" s="1"/>
  <c r="AD435" i="45"/>
  <c r="AH435" i="45" s="1" a="1"/>
  <c r="AH435" i="45" s="1"/>
  <c r="AE435" i="45"/>
  <c r="AJ435" i="45" s="1"/>
  <c r="Z436" i="45"/>
  <c r="AA436" i="45" s="1"/>
  <c r="AB436" i="45"/>
  <c r="AC436" i="45" s="1"/>
  <c r="AD436" i="45"/>
  <c r="AH436" i="45" s="1" a="1"/>
  <c r="AH436" i="45" s="1"/>
  <c r="AE436" i="45"/>
  <c r="AI436" i="45" s="1"/>
  <c r="Z437" i="45"/>
  <c r="AA437" i="45" s="1"/>
  <c r="AB437" i="45"/>
  <c r="AC437" i="45" s="1"/>
  <c r="AD437" i="45"/>
  <c r="AH437" i="45" s="1" a="1"/>
  <c r="AH437" i="45" s="1"/>
  <c r="AE437" i="45"/>
  <c r="Z438" i="45"/>
  <c r="AA438" i="45" s="1"/>
  <c r="AB438" i="45"/>
  <c r="AC438" i="45" s="1"/>
  <c r="AD438" i="45"/>
  <c r="AH438" i="45" s="1" a="1"/>
  <c r="AH438" i="45" s="1"/>
  <c r="AE438" i="45"/>
  <c r="AF438" i="45" s="1"/>
  <c r="AG438" i="45" s="1"/>
  <c r="Z439" i="45"/>
  <c r="AA439" i="45" s="1"/>
  <c r="AB439" i="45"/>
  <c r="AC439" i="45" s="1"/>
  <c r="AD439" i="45"/>
  <c r="AH439" i="45" s="1" a="1"/>
  <c r="AH439" i="45" s="1"/>
  <c r="AE439" i="45"/>
  <c r="AJ439" i="45" s="1"/>
  <c r="Z440" i="45"/>
  <c r="AA440" i="45" s="1"/>
  <c r="AB440" i="45"/>
  <c r="AC440" i="45" s="1"/>
  <c r="AD440" i="45"/>
  <c r="AH440" i="45" s="1" a="1"/>
  <c r="AH440" i="45" s="1"/>
  <c r="AE440" i="45"/>
  <c r="Z441" i="45"/>
  <c r="AA441" i="45" s="1"/>
  <c r="AB441" i="45"/>
  <c r="AC441" i="45" s="1"/>
  <c r="AD441" i="45"/>
  <c r="AH441" i="45" s="1" a="1"/>
  <c r="AH441" i="45" s="1"/>
  <c r="AE441" i="45"/>
  <c r="Z442" i="45"/>
  <c r="AA442" i="45" s="1"/>
  <c r="AB442" i="45"/>
  <c r="AC442" i="45" s="1"/>
  <c r="AD442" i="45"/>
  <c r="AH442" i="45" s="1" a="1"/>
  <c r="AH442" i="45" s="1"/>
  <c r="AE442" i="45"/>
  <c r="Z443" i="45"/>
  <c r="AA443" i="45" s="1"/>
  <c r="AB443" i="45"/>
  <c r="AC443" i="45" s="1"/>
  <c r="AD443" i="45"/>
  <c r="AH443" i="45" s="1" a="1"/>
  <c r="AH443" i="45" s="1"/>
  <c r="AE443" i="45"/>
  <c r="AJ443" i="45" s="1"/>
  <c r="Z444" i="45"/>
  <c r="AA444" i="45" s="1"/>
  <c r="AB444" i="45"/>
  <c r="AC444" i="45" s="1"/>
  <c r="AD444" i="45"/>
  <c r="AH444" i="45" s="1" a="1"/>
  <c r="AH444" i="45" s="1"/>
  <c r="AE444" i="45"/>
  <c r="AJ444" i="45" s="1"/>
  <c r="Z445" i="45"/>
  <c r="AA445" i="45" s="1"/>
  <c r="AB445" i="45"/>
  <c r="AC445" i="45" s="1"/>
  <c r="AD445" i="45"/>
  <c r="AH445" i="45" s="1" a="1"/>
  <c r="AH445" i="45" s="1"/>
  <c r="AE445" i="45"/>
  <c r="AJ445" i="45" s="1"/>
  <c r="Z446" i="45"/>
  <c r="AA446" i="45" s="1"/>
  <c r="AB446" i="45"/>
  <c r="AC446" i="45" s="1"/>
  <c r="AD446" i="45"/>
  <c r="AH446" i="45" s="1" a="1"/>
  <c r="AH446" i="45" s="1"/>
  <c r="AE446" i="45"/>
  <c r="AI446" i="45" s="1"/>
  <c r="Z447" i="45"/>
  <c r="AA447" i="45" s="1"/>
  <c r="AB447" i="45"/>
  <c r="AC447" i="45" s="1"/>
  <c r="AD447" i="45"/>
  <c r="AH447" i="45" s="1" a="1"/>
  <c r="AH447" i="45" s="1"/>
  <c r="AE447" i="45"/>
  <c r="AJ447" i="45" s="1"/>
  <c r="Z448" i="45"/>
  <c r="AA448" i="45" s="1"/>
  <c r="AB448" i="45"/>
  <c r="AC448" i="45" s="1"/>
  <c r="AD448" i="45"/>
  <c r="AH448" i="45" s="1" a="1"/>
  <c r="AH448" i="45" s="1"/>
  <c r="AE448" i="45"/>
  <c r="AI448" i="45" s="1"/>
  <c r="Z449" i="45"/>
  <c r="AA449" i="45" s="1"/>
  <c r="AB449" i="45"/>
  <c r="AC449" i="45" s="1"/>
  <c r="AD449" i="45"/>
  <c r="AH449" i="45" s="1" a="1"/>
  <c r="AH449" i="45" s="1"/>
  <c r="AE449" i="45"/>
  <c r="AF449" i="45" s="1"/>
  <c r="AG449" i="45" s="1"/>
  <c r="Z450" i="45"/>
  <c r="AA450" i="45" s="1"/>
  <c r="AB450" i="45"/>
  <c r="AC450" i="45" s="1"/>
  <c r="AD450" i="45"/>
  <c r="AH450" i="45" s="1" a="1"/>
  <c r="AH450" i="45" s="1"/>
  <c r="AE450" i="45"/>
  <c r="AI450" i="45" s="1"/>
  <c r="Z451" i="45"/>
  <c r="AA451" i="45" s="1"/>
  <c r="AB451" i="45"/>
  <c r="AC451" i="45" s="1"/>
  <c r="AD451" i="45"/>
  <c r="AH451" i="45" s="1" a="1"/>
  <c r="AH451" i="45" s="1"/>
  <c r="AE451" i="45"/>
  <c r="AI451" i="45" s="1"/>
  <c r="Z452" i="45"/>
  <c r="AA452" i="45" s="1"/>
  <c r="AB452" i="45"/>
  <c r="AC452" i="45" s="1"/>
  <c r="AD452" i="45"/>
  <c r="AH452" i="45" s="1" a="1"/>
  <c r="AH452" i="45" s="1"/>
  <c r="AE452" i="45"/>
  <c r="AF452" i="45" s="1"/>
  <c r="AG452" i="45" s="1"/>
  <c r="Z453" i="45"/>
  <c r="AA453" i="45" s="1"/>
  <c r="AB453" i="45"/>
  <c r="AC453" i="45" s="1"/>
  <c r="AD453" i="45"/>
  <c r="AH453" i="45" s="1" a="1"/>
  <c r="AH453" i="45" s="1"/>
  <c r="AE453" i="45"/>
  <c r="AI453" i="45" s="1"/>
  <c r="Z454" i="45"/>
  <c r="AA454" i="45" s="1"/>
  <c r="AB454" i="45"/>
  <c r="AC454" i="45" s="1"/>
  <c r="AD454" i="45"/>
  <c r="AH454" i="45" s="1" a="1"/>
  <c r="AH454" i="45" s="1"/>
  <c r="AE454" i="45"/>
  <c r="AI454" i="45" s="1"/>
  <c r="Z455" i="45"/>
  <c r="AA455" i="45" s="1"/>
  <c r="AB455" i="45"/>
  <c r="AC455" i="45" s="1"/>
  <c r="AD455" i="45"/>
  <c r="AH455" i="45" s="1" a="1"/>
  <c r="AH455" i="45" s="1"/>
  <c r="AE455" i="45"/>
  <c r="AI455" i="45" s="1"/>
  <c r="Z456" i="45"/>
  <c r="AA456" i="45" s="1"/>
  <c r="AB456" i="45"/>
  <c r="AC456" i="45" s="1"/>
  <c r="AD456" i="45"/>
  <c r="AH456" i="45" s="1" a="1"/>
  <c r="AH456" i="45" s="1"/>
  <c r="AE456" i="45"/>
  <c r="AF456" i="45" s="1"/>
  <c r="AG456" i="45" s="1"/>
  <c r="Z457" i="45"/>
  <c r="AA457" i="45" s="1"/>
  <c r="AB457" i="45"/>
  <c r="AC457" i="45" s="1"/>
  <c r="AD457" i="45"/>
  <c r="AH457" i="45" s="1" a="1"/>
  <c r="AH457" i="45" s="1"/>
  <c r="AE457" i="45"/>
  <c r="AJ457" i="45" s="1"/>
  <c r="Z458" i="45"/>
  <c r="AA458" i="45" s="1"/>
  <c r="AB458" i="45"/>
  <c r="AC458" i="45" s="1"/>
  <c r="AD458" i="45"/>
  <c r="AH458" i="45" s="1" a="1"/>
  <c r="AH458" i="45" s="1"/>
  <c r="AE458" i="45"/>
  <c r="AF458" i="45" s="1"/>
  <c r="AG458" i="45" s="1"/>
  <c r="Z459" i="45"/>
  <c r="AA459" i="45" s="1"/>
  <c r="AB459" i="45"/>
  <c r="AC459" i="45" s="1"/>
  <c r="AD459" i="45"/>
  <c r="AH459" i="45" s="1" a="1"/>
  <c r="AH459" i="45" s="1"/>
  <c r="AE459" i="45"/>
  <c r="AF459" i="45" s="1"/>
  <c r="AG459" i="45" s="1"/>
  <c r="Z460" i="45"/>
  <c r="AA460" i="45" s="1"/>
  <c r="AB460" i="45"/>
  <c r="AC460" i="45" s="1"/>
  <c r="AD460" i="45"/>
  <c r="AH460" i="45" s="1" a="1"/>
  <c r="AH460" i="45" s="1"/>
  <c r="AE460" i="45"/>
  <c r="AI460" i="45" s="1"/>
  <c r="Z461" i="45"/>
  <c r="AA461" i="45" s="1"/>
  <c r="AB461" i="45"/>
  <c r="AC461" i="45" s="1"/>
  <c r="AD461" i="45"/>
  <c r="AH461" i="45" s="1" a="1"/>
  <c r="AH461" i="45" s="1"/>
  <c r="AE461" i="45"/>
  <c r="Z462" i="45"/>
  <c r="AA462" i="45" s="1"/>
  <c r="AB462" i="45"/>
  <c r="AC462" i="45" s="1"/>
  <c r="AD462" i="45"/>
  <c r="AH462" i="45" s="1" a="1"/>
  <c r="AH462" i="45" s="1"/>
  <c r="AE462" i="45"/>
  <c r="AF462" i="45" s="1"/>
  <c r="AG462" i="45" s="1"/>
  <c r="Z463" i="45"/>
  <c r="AA463" i="45" s="1"/>
  <c r="AB463" i="45"/>
  <c r="AC463" i="45" s="1"/>
  <c r="AD463" i="45"/>
  <c r="AH463" i="45" s="1" a="1"/>
  <c r="AH463" i="45" s="1"/>
  <c r="AE463" i="45"/>
  <c r="AI463" i="45" s="1"/>
  <c r="Z464" i="45"/>
  <c r="AA464" i="45" s="1"/>
  <c r="AB464" i="45"/>
  <c r="AC464" i="45" s="1"/>
  <c r="AD464" i="45"/>
  <c r="AH464" i="45" s="1" a="1"/>
  <c r="AH464" i="45" s="1"/>
  <c r="AE464" i="45"/>
  <c r="AI464" i="45" s="1"/>
  <c r="Z465" i="45"/>
  <c r="AA465" i="45" s="1"/>
  <c r="AB465" i="45"/>
  <c r="AC465" i="45" s="1"/>
  <c r="AD465" i="45"/>
  <c r="AH465" i="45" s="1" a="1"/>
  <c r="AH465" i="45" s="1"/>
  <c r="AE465" i="45"/>
  <c r="AF465" i="45" s="1"/>
  <c r="AG465" i="45" s="1"/>
  <c r="Z466" i="45"/>
  <c r="AA466" i="45" s="1"/>
  <c r="AB466" i="45"/>
  <c r="AC466" i="45" s="1"/>
  <c r="AD466" i="45"/>
  <c r="AH466" i="45" s="1" a="1"/>
  <c r="AH466" i="45" s="1"/>
  <c r="AE466" i="45"/>
  <c r="AI466" i="45" s="1"/>
  <c r="Z467" i="45"/>
  <c r="AA467" i="45" s="1"/>
  <c r="AB467" i="45"/>
  <c r="AC467" i="45" s="1"/>
  <c r="AD467" i="45"/>
  <c r="AH467" i="45" s="1" a="1"/>
  <c r="AH467" i="45" s="1"/>
  <c r="AE467" i="45"/>
  <c r="Z468" i="45"/>
  <c r="AA468" i="45" s="1"/>
  <c r="AB468" i="45"/>
  <c r="AC468" i="45" s="1"/>
  <c r="AD468" i="45"/>
  <c r="AH468" i="45" s="1" a="1"/>
  <c r="AH468" i="45" s="1"/>
  <c r="AE468" i="45"/>
  <c r="AI468" i="45" s="1"/>
  <c r="Z469" i="45"/>
  <c r="AA469" i="45" s="1"/>
  <c r="AB469" i="45"/>
  <c r="AC469" i="45" s="1"/>
  <c r="AD469" i="45"/>
  <c r="AH469" i="45" s="1" a="1"/>
  <c r="AH469" i="45" s="1"/>
  <c r="AE469" i="45"/>
  <c r="AF469" i="45" s="1"/>
  <c r="AG469" i="45" s="1"/>
  <c r="Z470" i="45"/>
  <c r="AA470" i="45" s="1"/>
  <c r="AB470" i="45"/>
  <c r="AC470" i="45" s="1"/>
  <c r="AD470" i="45"/>
  <c r="AH470" i="45" s="1" a="1"/>
  <c r="AH470" i="45" s="1"/>
  <c r="AE470" i="45"/>
  <c r="AI470" i="45" s="1"/>
  <c r="Z471" i="45"/>
  <c r="AA471" i="45" s="1"/>
  <c r="AB471" i="45"/>
  <c r="AC471" i="45" s="1"/>
  <c r="AD471" i="45"/>
  <c r="AH471" i="45" s="1" a="1"/>
  <c r="AH471" i="45" s="1"/>
  <c r="AE471" i="45"/>
  <c r="AF471" i="45" s="1"/>
  <c r="AG471" i="45" s="1"/>
  <c r="Z472" i="45"/>
  <c r="AA472" i="45" s="1"/>
  <c r="AB472" i="45"/>
  <c r="AC472" i="45" s="1"/>
  <c r="AD472" i="45"/>
  <c r="AH472" i="45" s="1" a="1"/>
  <c r="AH472" i="45" s="1"/>
  <c r="AE472" i="45"/>
  <c r="AI472" i="45" s="1"/>
  <c r="Z473" i="45"/>
  <c r="AA473" i="45" s="1"/>
  <c r="AB473" i="45"/>
  <c r="AC473" i="45" s="1"/>
  <c r="AD473" i="45"/>
  <c r="AH473" i="45" s="1" a="1"/>
  <c r="AH473" i="45" s="1"/>
  <c r="AE473" i="45"/>
  <c r="AI473" i="45" s="1"/>
  <c r="Z474" i="45"/>
  <c r="AA474" i="45" s="1"/>
  <c r="AB474" i="45"/>
  <c r="AC474" i="45" s="1"/>
  <c r="AD474" i="45"/>
  <c r="AH474" i="45" s="1" a="1"/>
  <c r="AH474" i="45" s="1"/>
  <c r="AE474" i="45"/>
  <c r="Z475" i="45"/>
  <c r="AA475" i="45" s="1"/>
  <c r="AB475" i="45"/>
  <c r="AC475" i="45" s="1"/>
  <c r="AD475" i="45"/>
  <c r="AH475" i="45" s="1" a="1"/>
  <c r="AH475" i="45" s="1"/>
  <c r="AE475" i="45"/>
  <c r="Z476" i="45"/>
  <c r="AA476" i="45" s="1"/>
  <c r="AB476" i="45"/>
  <c r="AC476" i="45" s="1"/>
  <c r="AD476" i="45"/>
  <c r="AH476" i="45" s="1" a="1"/>
  <c r="AH476" i="45" s="1"/>
  <c r="AE476" i="45"/>
  <c r="AI476" i="45" s="1"/>
  <c r="Z477" i="45"/>
  <c r="AA477" i="45" s="1"/>
  <c r="AB477" i="45"/>
  <c r="AC477" i="45" s="1"/>
  <c r="AD477" i="45"/>
  <c r="AH477" i="45" s="1" a="1"/>
  <c r="AH477" i="45" s="1"/>
  <c r="AE477" i="45"/>
  <c r="AF477" i="45" s="1"/>
  <c r="AG477" i="45" s="1"/>
  <c r="Z478" i="45"/>
  <c r="AA478" i="45" s="1"/>
  <c r="AB478" i="45"/>
  <c r="AC478" i="45" s="1"/>
  <c r="AD478" i="45"/>
  <c r="AH478" i="45" s="1" a="1"/>
  <c r="AH478" i="45" s="1"/>
  <c r="AE478" i="45"/>
  <c r="AI478" i="45" s="1"/>
  <c r="Z479" i="45"/>
  <c r="AA479" i="45" s="1"/>
  <c r="AB479" i="45"/>
  <c r="AC479" i="45" s="1"/>
  <c r="AD479" i="45"/>
  <c r="AH479" i="45" s="1" a="1"/>
  <c r="AH479" i="45" s="1"/>
  <c r="AE479" i="45"/>
  <c r="AF479" i="45" s="1"/>
  <c r="AG479" i="45" s="1"/>
  <c r="Z480" i="45"/>
  <c r="AA480" i="45" s="1"/>
  <c r="AB480" i="45"/>
  <c r="AC480" i="45" s="1"/>
  <c r="AD480" i="45"/>
  <c r="AH480" i="45" s="1" a="1"/>
  <c r="AH480" i="45" s="1"/>
  <c r="AE480" i="45"/>
  <c r="AI480" i="45" s="1"/>
  <c r="Z481" i="45"/>
  <c r="AA481" i="45" s="1"/>
  <c r="AB481" i="45"/>
  <c r="AC481" i="45" s="1"/>
  <c r="AD481" i="45"/>
  <c r="AH481" i="45" s="1" a="1"/>
  <c r="AH481" i="45" s="1"/>
  <c r="AE481" i="45"/>
  <c r="AF481" i="45" s="1"/>
  <c r="AG481" i="45" s="1"/>
  <c r="Z482" i="45"/>
  <c r="AA482" i="45" s="1"/>
  <c r="AB482" i="45"/>
  <c r="AC482" i="45" s="1"/>
  <c r="AD482" i="45"/>
  <c r="AH482" i="45" s="1" a="1"/>
  <c r="AH482" i="45" s="1"/>
  <c r="AE482" i="45"/>
  <c r="Z483" i="45"/>
  <c r="AA483" i="45" s="1"/>
  <c r="AB483" i="45"/>
  <c r="AC483" i="45" s="1"/>
  <c r="AD483" i="45"/>
  <c r="AH483" i="45" s="1" a="1"/>
  <c r="AH483" i="45" s="1"/>
  <c r="AE483" i="45"/>
  <c r="AF483" i="45" s="1"/>
  <c r="AG483" i="45" s="1"/>
  <c r="Z484" i="45"/>
  <c r="AA484" i="45" s="1"/>
  <c r="AB484" i="45"/>
  <c r="AC484" i="45" s="1"/>
  <c r="AD484" i="45"/>
  <c r="AH484" i="45" s="1" a="1"/>
  <c r="AH484" i="45" s="1"/>
  <c r="AE484" i="45"/>
  <c r="AI484" i="45" s="1"/>
  <c r="Z485" i="45"/>
  <c r="AA485" i="45" s="1"/>
  <c r="AB485" i="45"/>
  <c r="AC485" i="45" s="1"/>
  <c r="AD485" i="45"/>
  <c r="AH485" i="45" s="1" a="1"/>
  <c r="AH485" i="45" s="1"/>
  <c r="AE485" i="45"/>
  <c r="AJ485" i="45" s="1"/>
  <c r="Z486" i="45"/>
  <c r="AA486" i="45" s="1"/>
  <c r="AB486" i="45"/>
  <c r="AC486" i="45" s="1"/>
  <c r="AD486" i="45"/>
  <c r="AH486" i="45" s="1" a="1"/>
  <c r="AH486" i="45" s="1"/>
  <c r="AE486" i="45"/>
  <c r="AF486" i="45" s="1"/>
  <c r="AG486" i="45" s="1"/>
  <c r="Z487" i="45"/>
  <c r="AA487" i="45" s="1"/>
  <c r="AB487" i="45"/>
  <c r="AC487" i="45" s="1"/>
  <c r="AD487" i="45"/>
  <c r="AH487" i="45" s="1" a="1"/>
  <c r="AH487" i="45" s="1"/>
  <c r="AE487" i="45"/>
  <c r="AI487" i="45" s="1"/>
  <c r="Z488" i="45"/>
  <c r="AA488" i="45" s="1"/>
  <c r="AB488" i="45"/>
  <c r="AC488" i="45" s="1"/>
  <c r="AD488" i="45"/>
  <c r="AH488" i="45" s="1" a="1"/>
  <c r="AH488" i="45" s="1"/>
  <c r="AE488" i="45"/>
  <c r="AI488" i="45" s="1"/>
  <c r="Z489" i="45"/>
  <c r="AA489" i="45" s="1"/>
  <c r="AB489" i="45"/>
  <c r="AC489" i="45" s="1"/>
  <c r="AD489" i="45"/>
  <c r="AH489" i="45" s="1" a="1"/>
  <c r="AH489" i="45" s="1"/>
  <c r="AE489" i="45"/>
  <c r="Z490" i="45"/>
  <c r="AA490" i="45" s="1"/>
  <c r="AB490" i="45"/>
  <c r="AC490" i="45" s="1"/>
  <c r="AD490" i="45"/>
  <c r="AH490" i="45" s="1" a="1"/>
  <c r="AH490" i="45" s="1"/>
  <c r="AE490" i="45"/>
  <c r="AF490" i="45" s="1"/>
  <c r="AG490" i="45" s="1"/>
  <c r="Z491" i="45"/>
  <c r="AA491" i="45" s="1"/>
  <c r="AB491" i="45"/>
  <c r="AC491" i="45" s="1"/>
  <c r="AD491" i="45"/>
  <c r="AH491" i="45" s="1" a="1"/>
  <c r="AH491" i="45" s="1"/>
  <c r="AE491" i="45"/>
  <c r="AF491" i="45" s="1"/>
  <c r="AG491" i="45" s="1"/>
  <c r="Z492" i="45"/>
  <c r="AA492" i="45" s="1"/>
  <c r="AB492" i="45"/>
  <c r="AC492" i="45" s="1"/>
  <c r="AD492" i="45"/>
  <c r="AH492" i="45" s="1" a="1"/>
  <c r="AH492" i="45" s="1"/>
  <c r="AE492" i="45"/>
  <c r="AF492" i="45" s="1"/>
  <c r="AG492" i="45" s="1"/>
  <c r="Z493" i="45"/>
  <c r="AA493" i="45" s="1"/>
  <c r="AB493" i="45"/>
  <c r="AC493" i="45" s="1"/>
  <c r="AD493" i="45"/>
  <c r="AH493" i="45" s="1" a="1"/>
  <c r="AH493" i="45" s="1"/>
  <c r="AE493" i="45"/>
  <c r="AI493" i="45" s="1"/>
  <c r="Z494" i="45"/>
  <c r="AA494" i="45" s="1"/>
  <c r="AB494" i="45"/>
  <c r="AC494" i="45" s="1"/>
  <c r="AD494" i="45"/>
  <c r="AH494" i="45" s="1" a="1"/>
  <c r="AH494" i="45" s="1"/>
  <c r="AE494" i="45"/>
  <c r="AF494" i="45" s="1"/>
  <c r="AG494" i="45" s="1"/>
  <c r="Z495" i="45"/>
  <c r="AA495" i="45" s="1"/>
  <c r="AB495" i="45"/>
  <c r="AC495" i="45" s="1"/>
  <c r="AD495" i="45"/>
  <c r="AH495" i="45" s="1" a="1"/>
  <c r="AH495" i="45" s="1"/>
  <c r="AE495" i="45"/>
  <c r="AF495" i="45" s="1"/>
  <c r="AG495" i="45" s="1"/>
  <c r="Z496" i="45"/>
  <c r="AA496" i="45" s="1"/>
  <c r="AB496" i="45"/>
  <c r="AC496" i="45" s="1"/>
  <c r="AD496" i="45"/>
  <c r="AH496" i="45" s="1" a="1"/>
  <c r="AH496" i="45" s="1"/>
  <c r="AE496" i="45"/>
  <c r="AF496" i="45" s="1"/>
  <c r="AG496" i="45" s="1"/>
  <c r="Z497" i="45"/>
  <c r="AA497" i="45" s="1"/>
  <c r="AB497" i="45"/>
  <c r="AC497" i="45" s="1"/>
  <c r="AD497" i="45"/>
  <c r="AH497" i="45" s="1" a="1"/>
  <c r="AH497" i="45" s="1"/>
  <c r="AE497" i="45"/>
  <c r="AI497" i="45" s="1"/>
  <c r="Z498" i="45"/>
  <c r="AA498" i="45" s="1"/>
  <c r="AB498" i="45"/>
  <c r="AC498" i="45" s="1"/>
  <c r="AD498" i="45"/>
  <c r="AH498" i="45" s="1" a="1"/>
  <c r="AH498" i="45" s="1"/>
  <c r="AE498" i="45"/>
  <c r="AF498" i="45" s="1"/>
  <c r="AG498" i="45" s="1"/>
  <c r="Z499" i="45"/>
  <c r="AA499" i="45" s="1"/>
  <c r="AB499" i="45"/>
  <c r="AC499" i="45" s="1"/>
  <c r="AD499" i="45"/>
  <c r="AH499" i="45" s="1" a="1"/>
  <c r="AH499" i="45" s="1"/>
  <c r="AE499" i="45"/>
  <c r="AF499" i="45" s="1"/>
  <c r="AG499" i="45" s="1"/>
  <c r="Z500" i="45"/>
  <c r="AA500" i="45" s="1"/>
  <c r="AB500" i="45"/>
  <c r="AC500" i="45" s="1"/>
  <c r="AD500" i="45"/>
  <c r="AH500" i="45" s="1" a="1"/>
  <c r="AH500" i="45" s="1"/>
  <c r="AE500" i="45"/>
  <c r="AF500" i="45" s="1"/>
  <c r="AG500" i="45" s="1"/>
  <c r="AD2" i="45"/>
  <c r="AH2" i="45" s="1" a="1"/>
  <c r="AH2" i="45" s="1"/>
  <c r="AB2" i="45"/>
  <c r="AC2" i="45" s="1"/>
  <c r="Z2" i="45"/>
  <c r="AA2" i="45" s="1"/>
  <c r="Z3" i="44"/>
  <c r="AA3" i="44" s="1"/>
  <c r="AB3" i="44"/>
  <c r="AC3" i="44" s="1"/>
  <c r="AD3" i="44"/>
  <c r="AH3" i="44" s="1" a="1"/>
  <c r="AH3" i="44" s="1"/>
  <c r="AE3" i="44"/>
  <c r="AI3" i="44" s="1"/>
  <c r="Z4" i="44"/>
  <c r="AA4" i="44" s="1"/>
  <c r="AB4" i="44"/>
  <c r="AC4" i="44" s="1"/>
  <c r="AD4" i="44"/>
  <c r="AH4" i="44" s="1" a="1"/>
  <c r="AH4" i="44" s="1"/>
  <c r="AE4" i="44"/>
  <c r="AF4" i="44" s="1"/>
  <c r="AG4" i="44" s="1"/>
  <c r="Z5" i="44"/>
  <c r="AA5" i="44" s="1"/>
  <c r="AB5" i="44"/>
  <c r="AC5" i="44" s="1"/>
  <c r="AD5" i="44"/>
  <c r="AH5" i="44" s="1" a="1"/>
  <c r="AH5" i="44" s="1"/>
  <c r="AE5" i="44"/>
  <c r="Z6" i="44"/>
  <c r="AA6" i="44" s="1"/>
  <c r="AB6" i="44"/>
  <c r="AC6" i="44" s="1"/>
  <c r="AD6" i="44"/>
  <c r="AH6" i="44" s="1" a="1"/>
  <c r="AH6" i="44" s="1"/>
  <c r="AE6" i="44"/>
  <c r="Z7" i="44"/>
  <c r="AA7" i="44" s="1"/>
  <c r="AB7" i="44"/>
  <c r="AC7" i="44" s="1"/>
  <c r="AD7" i="44"/>
  <c r="AH7" i="44" s="1" a="1"/>
  <c r="AH7" i="44" s="1"/>
  <c r="AE7" i="44"/>
  <c r="AJ7" i="44" s="1"/>
  <c r="Z8" i="44"/>
  <c r="AA8" i="44" s="1"/>
  <c r="AB8" i="44"/>
  <c r="AC8" i="44" s="1"/>
  <c r="AD8" i="44"/>
  <c r="AH8" i="44" s="1" a="1"/>
  <c r="AH8" i="44" s="1"/>
  <c r="AE8" i="44"/>
  <c r="Z9" i="44"/>
  <c r="AA9" i="44" s="1"/>
  <c r="AB9" i="44"/>
  <c r="AC9" i="44" s="1"/>
  <c r="AD9" i="44"/>
  <c r="AH9" i="44" s="1" a="1"/>
  <c r="AH9" i="44" s="1"/>
  <c r="AE9" i="44"/>
  <c r="AJ9" i="44" s="1"/>
  <c r="Z10" i="44"/>
  <c r="AA10" i="44" s="1"/>
  <c r="AB10" i="44"/>
  <c r="AC10" i="44" s="1"/>
  <c r="AD10" i="44"/>
  <c r="AH10" i="44" s="1" a="1"/>
  <c r="AH10" i="44" s="1"/>
  <c r="AE10" i="44"/>
  <c r="AF10" i="44" s="1"/>
  <c r="AG10" i="44" s="1"/>
  <c r="Z11" i="44"/>
  <c r="AA11" i="44" s="1"/>
  <c r="AB11" i="44"/>
  <c r="AC11" i="44" s="1"/>
  <c r="AD11" i="44"/>
  <c r="AH11" i="44" s="1" a="1"/>
  <c r="AH11" i="44" s="1"/>
  <c r="AE11" i="44"/>
  <c r="Z12" i="44"/>
  <c r="AA12" i="44" s="1"/>
  <c r="AB12" i="44"/>
  <c r="AC12" i="44" s="1"/>
  <c r="AD12" i="44"/>
  <c r="AH12" i="44" s="1" a="1"/>
  <c r="AH12" i="44" s="1"/>
  <c r="AE12" i="44"/>
  <c r="AF12" i="44" s="1"/>
  <c r="AG12" i="44" s="1"/>
  <c r="Z13" i="44"/>
  <c r="AA13" i="44" s="1"/>
  <c r="AB13" i="44"/>
  <c r="AC13" i="44" s="1"/>
  <c r="AD13" i="44"/>
  <c r="AH13" i="44" s="1" a="1"/>
  <c r="AH13" i="44" s="1"/>
  <c r="AE13" i="44"/>
  <c r="AJ13" i="44" s="1"/>
  <c r="Z14" i="44"/>
  <c r="AA14" i="44" s="1"/>
  <c r="AB14" i="44"/>
  <c r="AC14" i="44" s="1"/>
  <c r="AD14" i="44"/>
  <c r="AH14" i="44" s="1" a="1"/>
  <c r="AH14" i="44" s="1"/>
  <c r="AE14" i="44"/>
  <c r="Z15" i="44"/>
  <c r="AA15" i="44" s="1"/>
  <c r="AB15" i="44"/>
  <c r="AC15" i="44" s="1"/>
  <c r="AD15" i="44"/>
  <c r="AH15" i="44" s="1" a="1"/>
  <c r="AH15" i="44" s="1"/>
  <c r="AE15" i="44"/>
  <c r="AJ15" i="44" s="1"/>
  <c r="Z16" i="44"/>
  <c r="AA16" i="44" s="1"/>
  <c r="AB16" i="44"/>
  <c r="AC16" i="44" s="1"/>
  <c r="AD16" i="44"/>
  <c r="AH16" i="44" s="1" a="1"/>
  <c r="AH16" i="44" s="1"/>
  <c r="AE16" i="44"/>
  <c r="AI16" i="44" s="1"/>
  <c r="Z17" i="44"/>
  <c r="AA17" i="44" s="1"/>
  <c r="AB17" i="44"/>
  <c r="AC17" i="44" s="1"/>
  <c r="AD17" i="44"/>
  <c r="AH17" i="44" s="1" a="1"/>
  <c r="AH17" i="44" s="1"/>
  <c r="AE17" i="44"/>
  <c r="Z18" i="44"/>
  <c r="AA18" i="44" s="1"/>
  <c r="AB18" i="44"/>
  <c r="AC18" i="44" s="1"/>
  <c r="AD18" i="44"/>
  <c r="AH18" i="44" s="1" a="1"/>
  <c r="AH18" i="44" s="1"/>
  <c r="AE18" i="44"/>
  <c r="Z19" i="44"/>
  <c r="AA19" i="44" s="1"/>
  <c r="AB19" i="44"/>
  <c r="AC19" i="44" s="1"/>
  <c r="AD19" i="44"/>
  <c r="AH19" i="44" s="1" a="1"/>
  <c r="AH19" i="44" s="1"/>
  <c r="AE19" i="44"/>
  <c r="AJ19" i="44" s="1"/>
  <c r="Z20" i="44"/>
  <c r="AA20" i="44" s="1"/>
  <c r="AB20" i="44"/>
  <c r="AC20" i="44" s="1"/>
  <c r="AD20" i="44"/>
  <c r="AH20" i="44" s="1" a="1"/>
  <c r="AH20" i="44" s="1"/>
  <c r="AE20" i="44"/>
  <c r="AI20" i="44" s="1"/>
  <c r="Z21" i="44"/>
  <c r="AA21" i="44" s="1"/>
  <c r="AB21" i="44"/>
  <c r="AC21" i="44" s="1"/>
  <c r="AD21" i="44"/>
  <c r="AH21" i="44" s="1" a="1"/>
  <c r="AH21" i="44" s="1"/>
  <c r="AE21" i="44"/>
  <c r="Z22" i="44"/>
  <c r="AA22" i="44" s="1"/>
  <c r="AB22" i="44"/>
  <c r="AC22" i="44" s="1"/>
  <c r="AD22" i="44"/>
  <c r="AH22" i="44" s="1" a="1"/>
  <c r="AH22" i="44" s="1"/>
  <c r="AE22" i="44"/>
  <c r="AI22" i="44" s="1"/>
  <c r="Z23" i="44"/>
  <c r="AA23" i="44" s="1"/>
  <c r="AB23" i="44"/>
  <c r="AC23" i="44" s="1"/>
  <c r="AD23" i="44"/>
  <c r="AH23" i="44" s="1" a="1"/>
  <c r="AH23" i="44" s="1"/>
  <c r="AE23" i="44"/>
  <c r="Z24" i="44"/>
  <c r="AA24" i="44" s="1"/>
  <c r="AB24" i="44"/>
  <c r="AC24" i="44" s="1"/>
  <c r="AD24" i="44"/>
  <c r="AH24" i="44" s="1" a="1"/>
  <c r="AH24" i="44" s="1"/>
  <c r="AE24" i="44"/>
  <c r="AI24" i="44" s="1"/>
  <c r="Z25" i="44"/>
  <c r="AA25" i="44" s="1"/>
  <c r="AB25" i="44"/>
  <c r="AC25" i="44" s="1"/>
  <c r="AD25" i="44"/>
  <c r="AH25" i="44" s="1" a="1"/>
  <c r="AH25" i="44" s="1"/>
  <c r="AE25" i="44"/>
  <c r="Z26" i="44"/>
  <c r="AA26" i="44" s="1"/>
  <c r="AB26" i="44"/>
  <c r="AC26" i="44" s="1"/>
  <c r="AD26" i="44"/>
  <c r="AH26" i="44" s="1" a="1"/>
  <c r="AH26" i="44" s="1"/>
  <c r="AE26" i="44"/>
  <c r="Z27" i="44"/>
  <c r="AA27" i="44" s="1"/>
  <c r="AB27" i="44"/>
  <c r="AC27" i="44" s="1"/>
  <c r="AD27" i="44"/>
  <c r="AH27" i="44" s="1" a="1"/>
  <c r="AH27" i="44" s="1"/>
  <c r="AE27" i="44"/>
  <c r="Z28" i="44"/>
  <c r="AA28" i="44" s="1"/>
  <c r="AB28" i="44"/>
  <c r="AC28" i="44" s="1"/>
  <c r="AD28" i="44"/>
  <c r="AH28" i="44" s="1" a="1"/>
  <c r="AH28" i="44" s="1"/>
  <c r="AE28" i="44"/>
  <c r="AF28" i="44" s="1"/>
  <c r="AG28" i="44" s="1"/>
  <c r="Z29" i="44"/>
  <c r="AA29" i="44" s="1"/>
  <c r="AB29" i="44"/>
  <c r="AC29" i="44" s="1"/>
  <c r="AD29" i="44"/>
  <c r="AH29" i="44" s="1" a="1"/>
  <c r="AH29" i="44" s="1"/>
  <c r="AE29" i="44"/>
  <c r="AJ29" i="44" s="1"/>
  <c r="Z30" i="44"/>
  <c r="AA30" i="44" s="1"/>
  <c r="AB30" i="44"/>
  <c r="AC30" i="44" s="1"/>
  <c r="AD30" i="44"/>
  <c r="AH30" i="44" s="1" a="1"/>
  <c r="AH30" i="44" s="1"/>
  <c r="AE30" i="44"/>
  <c r="Z31" i="44"/>
  <c r="AA31" i="44" s="1"/>
  <c r="AB31" i="44"/>
  <c r="AC31" i="44" s="1"/>
  <c r="AD31" i="44"/>
  <c r="AH31" i="44" s="1" a="1"/>
  <c r="AH31" i="44" s="1"/>
  <c r="AE31" i="44"/>
  <c r="AJ31" i="44" s="1"/>
  <c r="Z32" i="44"/>
  <c r="AA32" i="44" s="1"/>
  <c r="AB32" i="44"/>
  <c r="AC32" i="44" s="1"/>
  <c r="AD32" i="44"/>
  <c r="AH32" i="44" s="1" a="1"/>
  <c r="AH32" i="44" s="1"/>
  <c r="AE32" i="44"/>
  <c r="AI32" i="44" s="1"/>
  <c r="Z33" i="44"/>
  <c r="AA33" i="44" s="1"/>
  <c r="AB33" i="44"/>
  <c r="AC33" i="44" s="1"/>
  <c r="AD33" i="44"/>
  <c r="AH33" i="44" s="1" a="1"/>
  <c r="AH33" i="44" s="1"/>
  <c r="AE33" i="44"/>
  <c r="AJ33" i="44" s="1"/>
  <c r="Z34" i="44"/>
  <c r="AA34" i="44" s="1"/>
  <c r="AB34" i="44"/>
  <c r="AC34" i="44" s="1"/>
  <c r="AD34" i="44"/>
  <c r="AH34" i="44" s="1" a="1"/>
  <c r="AH34" i="44" s="1"/>
  <c r="AE34" i="44"/>
  <c r="AI34" i="44" s="1"/>
  <c r="Z35" i="44"/>
  <c r="AA35" i="44" s="1"/>
  <c r="AB35" i="44"/>
  <c r="AC35" i="44" s="1"/>
  <c r="AD35" i="44"/>
  <c r="AH35" i="44" s="1" a="1"/>
  <c r="AH35" i="44" s="1"/>
  <c r="AE35" i="44"/>
  <c r="Z36" i="44"/>
  <c r="AA36" i="44" s="1"/>
  <c r="AB36" i="44"/>
  <c r="AC36" i="44" s="1"/>
  <c r="AD36" i="44"/>
  <c r="AH36" i="44" s="1" a="1"/>
  <c r="AH36" i="44" s="1"/>
  <c r="AE36" i="44"/>
  <c r="AF36" i="44" s="1"/>
  <c r="AG36" i="44" s="1"/>
  <c r="Z37" i="44"/>
  <c r="AA37" i="44" s="1"/>
  <c r="AB37" i="44"/>
  <c r="AC37" i="44" s="1"/>
  <c r="AD37" i="44"/>
  <c r="AH37" i="44" s="1" a="1"/>
  <c r="AH37" i="44" s="1"/>
  <c r="AE37" i="44"/>
  <c r="Z38" i="44"/>
  <c r="AA38" i="44" s="1"/>
  <c r="AB38" i="44"/>
  <c r="AC38" i="44" s="1"/>
  <c r="AD38" i="44"/>
  <c r="AH38" i="44" s="1" a="1"/>
  <c r="AH38" i="44" s="1"/>
  <c r="AE38" i="44"/>
  <c r="AJ38" i="44" s="1"/>
  <c r="Z39" i="44"/>
  <c r="AA39" i="44" s="1"/>
  <c r="AB39" i="44"/>
  <c r="AC39" i="44" s="1"/>
  <c r="AD39" i="44"/>
  <c r="AH39" i="44" s="1" a="1"/>
  <c r="AH39" i="44" s="1"/>
  <c r="AE39" i="44"/>
  <c r="Z40" i="44"/>
  <c r="AA40" i="44" s="1"/>
  <c r="AB40" i="44"/>
  <c r="AC40" i="44" s="1"/>
  <c r="AD40" i="44"/>
  <c r="AH40" i="44" s="1" a="1"/>
  <c r="AH40" i="44" s="1"/>
  <c r="AE40" i="44"/>
  <c r="AI40" i="44" s="1"/>
  <c r="Z41" i="44"/>
  <c r="AA41" i="44" s="1"/>
  <c r="AB41" i="44"/>
  <c r="AC41" i="44" s="1"/>
  <c r="AD41" i="44"/>
  <c r="AH41" i="44" s="1" a="1"/>
  <c r="AH41" i="44" s="1"/>
  <c r="AE41" i="44"/>
  <c r="AJ41" i="44" s="1"/>
  <c r="Z42" i="44"/>
  <c r="AA42" i="44" s="1"/>
  <c r="AB42" i="44"/>
  <c r="AC42" i="44" s="1"/>
  <c r="AD42" i="44"/>
  <c r="AH42" i="44" s="1" a="1"/>
  <c r="AH42" i="44" s="1"/>
  <c r="AE42" i="44"/>
  <c r="Z43" i="44"/>
  <c r="AA43" i="44" s="1"/>
  <c r="AB43" i="44"/>
  <c r="AC43" i="44" s="1"/>
  <c r="AD43" i="44"/>
  <c r="AH43" i="44" s="1" a="1"/>
  <c r="AH43" i="44" s="1"/>
  <c r="AE43" i="44"/>
  <c r="Z44" i="44"/>
  <c r="AA44" i="44" s="1"/>
  <c r="AB44" i="44"/>
  <c r="AC44" i="44" s="1"/>
  <c r="AD44" i="44"/>
  <c r="AH44" i="44" s="1" a="1"/>
  <c r="AH44" i="44" s="1"/>
  <c r="AE44" i="44"/>
  <c r="AF44" i="44" s="1"/>
  <c r="AG44" i="44" s="1"/>
  <c r="Z45" i="44"/>
  <c r="AA45" i="44" s="1"/>
  <c r="AB45" i="44"/>
  <c r="AC45" i="44" s="1"/>
  <c r="AD45" i="44"/>
  <c r="AH45" i="44" s="1" a="1"/>
  <c r="AH45" i="44" s="1"/>
  <c r="AE45" i="44"/>
  <c r="AI45" i="44" s="1"/>
  <c r="Z46" i="44"/>
  <c r="AA46" i="44" s="1"/>
  <c r="AB46" i="44"/>
  <c r="AC46" i="44" s="1"/>
  <c r="AD46" i="44"/>
  <c r="AH46" i="44" s="1" a="1"/>
  <c r="AH46" i="44" s="1"/>
  <c r="AE46" i="44"/>
  <c r="Z47" i="44"/>
  <c r="AA47" i="44" s="1"/>
  <c r="AB47" i="44"/>
  <c r="AC47" i="44" s="1"/>
  <c r="AD47" i="44"/>
  <c r="AH47" i="44" s="1" a="1"/>
  <c r="AH47" i="44" s="1"/>
  <c r="AE47" i="44"/>
  <c r="AJ47" i="44" s="1"/>
  <c r="Z48" i="44"/>
  <c r="AA48" i="44" s="1"/>
  <c r="AB48" i="44"/>
  <c r="AC48" i="44" s="1"/>
  <c r="AD48" i="44"/>
  <c r="AH48" i="44" s="1" a="1"/>
  <c r="AH48" i="44" s="1"/>
  <c r="AE48" i="44"/>
  <c r="AI48" i="44" s="1"/>
  <c r="Z49" i="44"/>
  <c r="AA49" i="44" s="1"/>
  <c r="AB49" i="44"/>
  <c r="AC49" i="44" s="1"/>
  <c r="AD49" i="44"/>
  <c r="AH49" i="44" s="1" a="1"/>
  <c r="AH49" i="44" s="1"/>
  <c r="AE49" i="44"/>
  <c r="AJ49" i="44" s="1"/>
  <c r="Z50" i="44"/>
  <c r="AA50" i="44" s="1"/>
  <c r="AB50" i="44"/>
  <c r="AC50" i="44" s="1"/>
  <c r="AD50" i="44"/>
  <c r="AH50" i="44" s="1" a="1"/>
  <c r="AH50" i="44" s="1"/>
  <c r="AE50" i="44"/>
  <c r="Z51" i="44"/>
  <c r="AA51" i="44" s="1"/>
  <c r="AB51" i="44"/>
  <c r="AC51" i="44" s="1"/>
  <c r="AD51" i="44"/>
  <c r="AH51" i="44" s="1" a="1"/>
  <c r="AH51" i="44" s="1"/>
  <c r="AE51" i="44"/>
  <c r="AJ51" i="44" s="1"/>
  <c r="Z52" i="44"/>
  <c r="AA52" i="44" s="1"/>
  <c r="AB52" i="44"/>
  <c r="AC52" i="44" s="1"/>
  <c r="AD52" i="44"/>
  <c r="AH52" i="44" s="1" a="1"/>
  <c r="AH52" i="44" s="1"/>
  <c r="AE52" i="44"/>
  <c r="AF52" i="44" s="1"/>
  <c r="AG52" i="44" s="1"/>
  <c r="Z53" i="44"/>
  <c r="AA53" i="44" s="1"/>
  <c r="AB53" i="44"/>
  <c r="AC53" i="44" s="1"/>
  <c r="AD53" i="44"/>
  <c r="AH53" i="44" s="1" a="1"/>
  <c r="AH53" i="44" s="1"/>
  <c r="AE53" i="44"/>
  <c r="Z54" i="44"/>
  <c r="AA54" i="44" s="1"/>
  <c r="AB54" i="44"/>
  <c r="AC54" i="44" s="1"/>
  <c r="AD54" i="44"/>
  <c r="AH54" i="44" s="1" a="1"/>
  <c r="AH54" i="44" s="1"/>
  <c r="AE54" i="44"/>
  <c r="Z55" i="44"/>
  <c r="AA55" i="44" s="1"/>
  <c r="AB55" i="44"/>
  <c r="AC55" i="44" s="1"/>
  <c r="AD55" i="44"/>
  <c r="AH55" i="44" s="1" a="1"/>
  <c r="AH55" i="44" s="1"/>
  <c r="AE55" i="44"/>
  <c r="Z56" i="44"/>
  <c r="AA56" i="44" s="1"/>
  <c r="AB56" i="44"/>
  <c r="AC56" i="44" s="1"/>
  <c r="AD56" i="44"/>
  <c r="AH56" i="44" s="1" a="1"/>
  <c r="AH56" i="44" s="1"/>
  <c r="AE56" i="44"/>
  <c r="AI56" i="44" s="1"/>
  <c r="Z57" i="44"/>
  <c r="AA57" i="44" s="1"/>
  <c r="AB57" i="44"/>
  <c r="AC57" i="44" s="1"/>
  <c r="AD57" i="44"/>
  <c r="AH57" i="44" s="1" a="1"/>
  <c r="AH57" i="44" s="1"/>
  <c r="AE57" i="44"/>
  <c r="AJ57" i="44" s="1"/>
  <c r="Z58" i="44"/>
  <c r="AA58" i="44" s="1"/>
  <c r="AB58" i="44"/>
  <c r="AC58" i="44" s="1"/>
  <c r="AD58" i="44"/>
  <c r="AH58" i="44" s="1" a="1"/>
  <c r="AH58" i="44" s="1"/>
  <c r="AE58" i="44"/>
  <c r="Z59" i="44"/>
  <c r="AA59" i="44" s="1"/>
  <c r="AB59" i="44"/>
  <c r="AC59" i="44" s="1"/>
  <c r="AD59" i="44"/>
  <c r="AH59" i="44" s="1" a="1"/>
  <c r="AH59" i="44" s="1"/>
  <c r="AE59" i="44"/>
  <c r="AJ59" i="44" s="1"/>
  <c r="Z60" i="44"/>
  <c r="AA60" i="44" s="1"/>
  <c r="AB60" i="44"/>
  <c r="AC60" i="44" s="1"/>
  <c r="AD60" i="44"/>
  <c r="AH60" i="44" s="1" a="1"/>
  <c r="AH60" i="44" s="1"/>
  <c r="AE60" i="44"/>
  <c r="AI60" i="44" s="1"/>
  <c r="Z61" i="44"/>
  <c r="AA61" i="44" s="1"/>
  <c r="AB61" i="44"/>
  <c r="AC61" i="44" s="1"/>
  <c r="AD61" i="44"/>
  <c r="AH61" i="44" s="1" a="1"/>
  <c r="AH61" i="44" s="1"/>
  <c r="AE61" i="44"/>
  <c r="AJ61" i="44" s="1"/>
  <c r="Z62" i="44"/>
  <c r="AA62" i="44" s="1"/>
  <c r="AB62" i="44"/>
  <c r="AC62" i="44" s="1"/>
  <c r="AD62" i="44"/>
  <c r="AH62" i="44" s="1" a="1"/>
  <c r="AH62" i="44" s="1"/>
  <c r="AE62" i="44"/>
  <c r="AI62" i="44" s="1"/>
  <c r="Z63" i="44"/>
  <c r="AA63" i="44" s="1"/>
  <c r="AB63" i="44"/>
  <c r="AC63" i="44" s="1"/>
  <c r="AD63" i="44"/>
  <c r="AH63" i="44" s="1" a="1"/>
  <c r="AH63" i="44" s="1"/>
  <c r="AE63" i="44"/>
  <c r="AF63" i="44" s="1"/>
  <c r="AG63" i="44" s="1"/>
  <c r="Z64" i="44"/>
  <c r="AA64" i="44" s="1"/>
  <c r="AB64" i="44"/>
  <c r="AC64" i="44" s="1"/>
  <c r="AD64" i="44"/>
  <c r="AH64" i="44" s="1" a="1"/>
  <c r="AH64" i="44" s="1"/>
  <c r="AE64" i="44"/>
  <c r="AI64" i="44" s="1"/>
  <c r="Z65" i="44"/>
  <c r="AA65" i="44" s="1"/>
  <c r="AB65" i="44"/>
  <c r="AC65" i="44" s="1"/>
  <c r="AD65" i="44"/>
  <c r="AH65" i="44" s="1" a="1"/>
  <c r="AH65" i="44" s="1"/>
  <c r="AE65" i="44"/>
  <c r="AI65" i="44" s="1"/>
  <c r="Z66" i="44"/>
  <c r="AA66" i="44" s="1"/>
  <c r="AB66" i="44"/>
  <c r="AC66" i="44" s="1"/>
  <c r="AD66" i="44"/>
  <c r="AH66" i="44" s="1" a="1"/>
  <c r="AH66" i="44" s="1"/>
  <c r="AE66" i="44"/>
  <c r="AJ66" i="44" s="1"/>
  <c r="Z67" i="44"/>
  <c r="AA67" i="44" s="1"/>
  <c r="AB67" i="44"/>
  <c r="AC67" i="44" s="1"/>
  <c r="AD67" i="44"/>
  <c r="AH67" i="44" s="1" a="1"/>
  <c r="AH67" i="44" s="1"/>
  <c r="AE67" i="44"/>
  <c r="Z68" i="44"/>
  <c r="AA68" i="44" s="1"/>
  <c r="AB68" i="44"/>
  <c r="AC68" i="44" s="1"/>
  <c r="AD68" i="44"/>
  <c r="AH68" i="44" s="1" a="1"/>
  <c r="AH68" i="44" s="1"/>
  <c r="AE68" i="44"/>
  <c r="Z69" i="44"/>
  <c r="AA69" i="44" s="1"/>
  <c r="AB69" i="44"/>
  <c r="AC69" i="44" s="1"/>
  <c r="AD69" i="44"/>
  <c r="AH69" i="44" s="1" a="1"/>
  <c r="AH69" i="44" s="1"/>
  <c r="AE69" i="44"/>
  <c r="Z70" i="44"/>
  <c r="AA70" i="44" s="1"/>
  <c r="AB70" i="44"/>
  <c r="AC70" i="44" s="1"/>
  <c r="AD70" i="44"/>
  <c r="AH70" i="44" s="1" a="1"/>
  <c r="AH70" i="44" s="1"/>
  <c r="AE70" i="44"/>
  <c r="AF70" i="44" s="1"/>
  <c r="AG70" i="44" s="1"/>
  <c r="Z71" i="44"/>
  <c r="AA71" i="44" s="1"/>
  <c r="AB71" i="44"/>
  <c r="AC71" i="44" s="1"/>
  <c r="AD71" i="44"/>
  <c r="AH71" i="44" s="1" a="1"/>
  <c r="AH71" i="44" s="1"/>
  <c r="AE71" i="44"/>
  <c r="AF71" i="44" s="1"/>
  <c r="AG71" i="44" s="1"/>
  <c r="Z72" i="44"/>
  <c r="AA72" i="44" s="1"/>
  <c r="AB72" i="44"/>
  <c r="AC72" i="44" s="1"/>
  <c r="AD72" i="44"/>
  <c r="AH72" i="44" s="1" a="1"/>
  <c r="AH72" i="44" s="1"/>
  <c r="AE72" i="44"/>
  <c r="AI72" i="44" s="1"/>
  <c r="Z73" i="44"/>
  <c r="AA73" i="44" s="1"/>
  <c r="AB73" i="44"/>
  <c r="AC73" i="44" s="1"/>
  <c r="AD73" i="44"/>
  <c r="AH73" i="44" s="1" a="1"/>
  <c r="AH73" i="44" s="1"/>
  <c r="AE73" i="44"/>
  <c r="Z74" i="44"/>
  <c r="AA74" i="44" s="1"/>
  <c r="AB74" i="44"/>
  <c r="AC74" i="44" s="1"/>
  <c r="AD74" i="44"/>
  <c r="AH74" i="44" s="1" a="1"/>
  <c r="AH74" i="44" s="1"/>
  <c r="AE74" i="44"/>
  <c r="AF74" i="44" s="1"/>
  <c r="AG74" i="44" s="1"/>
  <c r="Z75" i="44"/>
  <c r="AA75" i="44" s="1"/>
  <c r="AB75" i="44"/>
  <c r="AC75" i="44" s="1"/>
  <c r="AD75" i="44"/>
  <c r="AH75" i="44" s="1" a="1"/>
  <c r="AH75" i="44" s="1"/>
  <c r="AE75" i="44"/>
  <c r="AJ75" i="44" s="1"/>
  <c r="Z76" i="44"/>
  <c r="AA76" i="44" s="1"/>
  <c r="AB76" i="44"/>
  <c r="AC76" i="44" s="1"/>
  <c r="AD76" i="44"/>
  <c r="AH76" i="44" s="1" a="1"/>
  <c r="AH76" i="44" s="1"/>
  <c r="AE76" i="44"/>
  <c r="Z77" i="44"/>
  <c r="AA77" i="44" s="1"/>
  <c r="AB77" i="44"/>
  <c r="AC77" i="44" s="1"/>
  <c r="AD77" i="44"/>
  <c r="AH77" i="44" s="1" a="1"/>
  <c r="AH77" i="44" s="1"/>
  <c r="AE77" i="44"/>
  <c r="Z78" i="44"/>
  <c r="AA78" i="44" s="1"/>
  <c r="AB78" i="44"/>
  <c r="AC78" i="44" s="1"/>
  <c r="AD78" i="44"/>
  <c r="AH78" i="44" s="1" a="1"/>
  <c r="AH78" i="44" s="1"/>
  <c r="AE78" i="44"/>
  <c r="AJ78" i="44" s="1"/>
  <c r="Z79" i="44"/>
  <c r="AA79" i="44" s="1"/>
  <c r="AB79" i="44"/>
  <c r="AC79" i="44" s="1"/>
  <c r="AD79" i="44"/>
  <c r="AH79" i="44" s="1" a="1"/>
  <c r="AH79" i="44" s="1"/>
  <c r="AE79" i="44"/>
  <c r="Z80" i="44"/>
  <c r="AA80" i="44" s="1"/>
  <c r="AB80" i="44"/>
  <c r="AC80" i="44" s="1"/>
  <c r="AD80" i="44"/>
  <c r="AH80" i="44" s="1" a="1"/>
  <c r="AH80" i="44" s="1"/>
  <c r="AE80" i="44"/>
  <c r="Z81" i="44"/>
  <c r="AA81" i="44" s="1"/>
  <c r="AB81" i="44"/>
  <c r="AC81" i="44" s="1"/>
  <c r="AD81" i="44"/>
  <c r="AH81" i="44" s="1" a="1"/>
  <c r="AH81" i="44" s="1"/>
  <c r="AE81" i="44"/>
  <c r="Z82" i="44"/>
  <c r="AA82" i="44" s="1"/>
  <c r="AB82" i="44"/>
  <c r="AC82" i="44" s="1"/>
  <c r="AD82" i="44"/>
  <c r="AH82" i="44" s="1" a="1"/>
  <c r="AH82" i="44" s="1"/>
  <c r="AE82" i="44"/>
  <c r="AF82" i="44" s="1"/>
  <c r="AG82" i="44" s="1"/>
  <c r="Z83" i="44"/>
  <c r="AA83" i="44" s="1"/>
  <c r="AB83" i="44"/>
  <c r="AC83" i="44" s="1"/>
  <c r="AD83" i="44"/>
  <c r="AH83" i="44" s="1" a="1"/>
  <c r="AH83" i="44" s="1"/>
  <c r="AE83" i="44"/>
  <c r="Z84" i="44"/>
  <c r="AA84" i="44" s="1"/>
  <c r="AB84" i="44"/>
  <c r="AC84" i="44" s="1"/>
  <c r="AD84" i="44"/>
  <c r="AH84" i="44" s="1" a="1"/>
  <c r="AH84" i="44" s="1"/>
  <c r="AE84" i="44"/>
  <c r="AJ84" i="44" s="1"/>
  <c r="Z85" i="44"/>
  <c r="AA85" i="44" s="1"/>
  <c r="AB85" i="44"/>
  <c r="AC85" i="44" s="1"/>
  <c r="AD85" i="44"/>
  <c r="AH85" i="44" s="1" a="1"/>
  <c r="AH85" i="44" s="1"/>
  <c r="AE85" i="44"/>
  <c r="AF85" i="44" s="1"/>
  <c r="AG85" i="44" s="1"/>
  <c r="Z86" i="44"/>
  <c r="AA86" i="44" s="1"/>
  <c r="AB86" i="44"/>
  <c r="AC86" i="44" s="1"/>
  <c r="AD86" i="44"/>
  <c r="AH86" i="44" s="1" a="1"/>
  <c r="AH86" i="44" s="1"/>
  <c r="AE86" i="44"/>
  <c r="AI86" i="44" s="1"/>
  <c r="Z87" i="44"/>
  <c r="AA87" i="44" s="1"/>
  <c r="AB87" i="44"/>
  <c r="AC87" i="44" s="1"/>
  <c r="AD87" i="44"/>
  <c r="AH87" i="44" s="1" a="1"/>
  <c r="AH87" i="44" s="1"/>
  <c r="AE87" i="44"/>
  <c r="AF87" i="44" s="1"/>
  <c r="AG87" i="44" s="1"/>
  <c r="Z88" i="44"/>
  <c r="AA88" i="44" s="1"/>
  <c r="AB88" i="44"/>
  <c r="AC88" i="44" s="1"/>
  <c r="AD88" i="44"/>
  <c r="AH88" i="44" s="1" a="1"/>
  <c r="AH88" i="44" s="1"/>
  <c r="AE88" i="44"/>
  <c r="Z89" i="44"/>
  <c r="AA89" i="44" s="1"/>
  <c r="AB89" i="44"/>
  <c r="AC89" i="44" s="1"/>
  <c r="AD89" i="44"/>
  <c r="AH89" i="44" s="1" a="1"/>
  <c r="AH89" i="44" s="1"/>
  <c r="AE89" i="44"/>
  <c r="AI89" i="44" s="1"/>
  <c r="Z90" i="44"/>
  <c r="AA90" i="44" s="1"/>
  <c r="AB90" i="44"/>
  <c r="AC90" i="44" s="1"/>
  <c r="AD90" i="44"/>
  <c r="AH90" i="44" s="1" a="1"/>
  <c r="AH90" i="44" s="1"/>
  <c r="AE90" i="44"/>
  <c r="AJ90" i="44" s="1"/>
  <c r="Z91" i="44"/>
  <c r="AA91" i="44" s="1"/>
  <c r="AB91" i="44"/>
  <c r="AC91" i="44" s="1"/>
  <c r="AD91" i="44"/>
  <c r="AH91" i="44" s="1" a="1"/>
  <c r="AH91" i="44" s="1"/>
  <c r="AE91" i="44"/>
  <c r="AJ91" i="44" s="1"/>
  <c r="Z92" i="44"/>
  <c r="AA92" i="44" s="1"/>
  <c r="AB92" i="44"/>
  <c r="AC92" i="44" s="1"/>
  <c r="AD92" i="44"/>
  <c r="AH92" i="44" s="1" a="1"/>
  <c r="AH92" i="44" s="1"/>
  <c r="AE92" i="44"/>
  <c r="Z93" i="44"/>
  <c r="AA93" i="44" s="1"/>
  <c r="AB93" i="44"/>
  <c r="AC93" i="44" s="1"/>
  <c r="AD93" i="44"/>
  <c r="AH93" i="44" s="1" a="1"/>
  <c r="AH93" i="44" s="1"/>
  <c r="AE93" i="44"/>
  <c r="Z94" i="44"/>
  <c r="AA94" i="44" s="1"/>
  <c r="AB94" i="44"/>
  <c r="AC94" i="44" s="1"/>
  <c r="AD94" i="44"/>
  <c r="AH94" i="44" s="1" a="1"/>
  <c r="AH94" i="44" s="1"/>
  <c r="AE94" i="44"/>
  <c r="AJ94" i="44" s="1"/>
  <c r="Z95" i="44"/>
  <c r="AA95" i="44" s="1"/>
  <c r="AB95" i="44"/>
  <c r="AC95" i="44" s="1"/>
  <c r="AD95" i="44"/>
  <c r="AH95" i="44" s="1" a="1"/>
  <c r="AH95" i="44" s="1"/>
  <c r="AE95" i="44"/>
  <c r="Z96" i="44"/>
  <c r="AA96" i="44" s="1"/>
  <c r="AB96" i="44"/>
  <c r="AC96" i="44" s="1"/>
  <c r="AD96" i="44"/>
  <c r="AH96" i="44" s="1" a="1"/>
  <c r="AH96" i="44" s="1"/>
  <c r="AE96" i="44"/>
  <c r="Z97" i="44"/>
  <c r="AA97" i="44" s="1"/>
  <c r="AB97" i="44"/>
  <c r="AC97" i="44" s="1"/>
  <c r="AD97" i="44"/>
  <c r="AH97" i="44" s="1" a="1"/>
  <c r="AH97" i="44" s="1"/>
  <c r="AE97" i="44"/>
  <c r="Z98" i="44"/>
  <c r="AA98" i="44" s="1"/>
  <c r="AB98" i="44"/>
  <c r="AC98" i="44" s="1"/>
  <c r="AD98" i="44"/>
  <c r="AH98" i="44" s="1" a="1"/>
  <c r="AH98" i="44" s="1"/>
  <c r="AE98" i="44"/>
  <c r="AI98" i="44" s="1"/>
  <c r="Z99" i="44"/>
  <c r="AA99" i="44" s="1"/>
  <c r="AB99" i="44"/>
  <c r="AC99" i="44" s="1"/>
  <c r="AD99" i="44"/>
  <c r="AH99" i="44" s="1" a="1"/>
  <c r="AH99" i="44" s="1"/>
  <c r="AE99" i="44"/>
  <c r="Z100" i="44"/>
  <c r="AA100" i="44" s="1"/>
  <c r="AB100" i="44"/>
  <c r="AC100" i="44" s="1"/>
  <c r="AD100" i="44"/>
  <c r="AH100" i="44" s="1" a="1"/>
  <c r="AH100" i="44" s="1"/>
  <c r="AE100" i="44"/>
  <c r="AJ100" i="44" s="1"/>
  <c r="Z101" i="44"/>
  <c r="AA101" i="44" s="1"/>
  <c r="AB101" i="44"/>
  <c r="AC101" i="44" s="1"/>
  <c r="AD101" i="44"/>
  <c r="AH101" i="44" s="1" a="1"/>
  <c r="AH101" i="44" s="1"/>
  <c r="AE101" i="44"/>
  <c r="AJ101" i="44" s="1"/>
  <c r="Z102" i="44"/>
  <c r="AA102" i="44" s="1"/>
  <c r="AB102" i="44"/>
  <c r="AC102" i="44" s="1"/>
  <c r="AD102" i="44"/>
  <c r="AH102" i="44" s="1" a="1"/>
  <c r="AH102" i="44" s="1"/>
  <c r="AE102" i="44"/>
  <c r="Z103" i="44"/>
  <c r="AA103" i="44" s="1"/>
  <c r="AB103" i="44"/>
  <c r="AC103" i="44" s="1"/>
  <c r="AD103" i="44"/>
  <c r="AH103" i="44" s="1" a="1"/>
  <c r="AH103" i="44" s="1"/>
  <c r="AE103" i="44"/>
  <c r="AI103" i="44" s="1"/>
  <c r="Z104" i="44"/>
  <c r="AA104" i="44" s="1"/>
  <c r="AB104" i="44"/>
  <c r="AC104" i="44" s="1"/>
  <c r="AD104" i="44"/>
  <c r="AH104" i="44" s="1" a="1"/>
  <c r="AH104" i="44" s="1"/>
  <c r="AE104" i="44"/>
  <c r="Z105" i="44"/>
  <c r="AA105" i="44" s="1"/>
  <c r="AB105" i="44"/>
  <c r="AC105" i="44" s="1"/>
  <c r="AD105" i="44"/>
  <c r="AH105" i="44" s="1" a="1"/>
  <c r="AH105" i="44" s="1"/>
  <c r="AE105" i="44"/>
  <c r="AJ105" i="44" s="1"/>
  <c r="Z106" i="44"/>
  <c r="AA106" i="44" s="1"/>
  <c r="AB106" i="44"/>
  <c r="AC106" i="44" s="1"/>
  <c r="AD106" i="44"/>
  <c r="AH106" i="44" s="1" a="1"/>
  <c r="AH106" i="44" s="1"/>
  <c r="AE106" i="44"/>
  <c r="Z107" i="44"/>
  <c r="AA107" i="44" s="1"/>
  <c r="AB107" i="44"/>
  <c r="AC107" i="44" s="1"/>
  <c r="AD107" i="44"/>
  <c r="AH107" i="44" s="1" a="1"/>
  <c r="AH107" i="44" s="1"/>
  <c r="AE107" i="44"/>
  <c r="AJ107" i="44" s="1"/>
  <c r="Z108" i="44"/>
  <c r="AA108" i="44" s="1"/>
  <c r="AB108" i="44"/>
  <c r="AC108" i="44" s="1"/>
  <c r="AD108" i="44"/>
  <c r="AH108" i="44" s="1" a="1"/>
  <c r="AH108" i="44" s="1"/>
  <c r="AE108" i="44"/>
  <c r="AF108" i="44" s="1"/>
  <c r="AG108" i="44" s="1"/>
  <c r="Z109" i="44"/>
  <c r="AA109" i="44" s="1"/>
  <c r="AB109" i="44"/>
  <c r="AC109" i="44" s="1"/>
  <c r="AD109" i="44"/>
  <c r="AH109" i="44" s="1" a="1"/>
  <c r="AH109" i="44" s="1"/>
  <c r="AE109" i="44"/>
  <c r="AF109" i="44" s="1"/>
  <c r="AG109" i="44" s="1"/>
  <c r="Z110" i="44"/>
  <c r="AA110" i="44" s="1"/>
  <c r="AB110" i="44"/>
  <c r="AC110" i="44" s="1"/>
  <c r="AD110" i="44"/>
  <c r="AH110" i="44" s="1" a="1"/>
  <c r="AH110" i="44" s="1"/>
  <c r="AE110" i="44"/>
  <c r="AF110" i="44" s="1"/>
  <c r="AG110" i="44" s="1"/>
  <c r="Z111" i="44"/>
  <c r="AA111" i="44" s="1"/>
  <c r="AB111" i="44"/>
  <c r="AC111" i="44" s="1"/>
  <c r="AD111" i="44"/>
  <c r="AH111" i="44" s="1" a="1"/>
  <c r="AH111" i="44" s="1"/>
  <c r="AE111" i="44"/>
  <c r="Z112" i="44"/>
  <c r="AA112" i="44" s="1"/>
  <c r="AB112" i="44"/>
  <c r="AC112" i="44" s="1"/>
  <c r="AD112" i="44"/>
  <c r="AH112" i="44" s="1" a="1"/>
  <c r="AH112" i="44" s="1"/>
  <c r="AE112" i="44"/>
  <c r="AJ112" i="44" s="1"/>
  <c r="Z113" i="44"/>
  <c r="AA113" i="44" s="1"/>
  <c r="AB113" i="44"/>
  <c r="AC113" i="44" s="1"/>
  <c r="AD113" i="44"/>
  <c r="AH113" i="44" s="1" a="1"/>
  <c r="AH113" i="44" s="1"/>
  <c r="AE113" i="44"/>
  <c r="AI113" i="44" s="1"/>
  <c r="Z114" i="44"/>
  <c r="AA114" i="44" s="1"/>
  <c r="AB114" i="44"/>
  <c r="AC114" i="44" s="1"/>
  <c r="AD114" i="44"/>
  <c r="AH114" i="44" s="1" a="1"/>
  <c r="AH114" i="44" s="1"/>
  <c r="AE114" i="44"/>
  <c r="Z115" i="44"/>
  <c r="AA115" i="44" s="1"/>
  <c r="AB115" i="44"/>
  <c r="AC115" i="44" s="1"/>
  <c r="AD115" i="44"/>
  <c r="AH115" i="44" s="1" a="1"/>
  <c r="AH115" i="44" s="1"/>
  <c r="AE115" i="44"/>
  <c r="AF115" i="44" s="1"/>
  <c r="AG115" i="44" s="1"/>
  <c r="Z116" i="44"/>
  <c r="AA116" i="44" s="1"/>
  <c r="AB116" i="44"/>
  <c r="AC116" i="44" s="1"/>
  <c r="AD116" i="44"/>
  <c r="AH116" i="44" s="1" a="1"/>
  <c r="AH116" i="44" s="1"/>
  <c r="AE116" i="44"/>
  <c r="AI116" i="44" s="1"/>
  <c r="Z117" i="44"/>
  <c r="AA117" i="44" s="1"/>
  <c r="AB117" i="44"/>
  <c r="AC117" i="44" s="1"/>
  <c r="AD117" i="44"/>
  <c r="AH117" i="44" s="1" a="1"/>
  <c r="AH117" i="44" s="1"/>
  <c r="AE117" i="44"/>
  <c r="Z118" i="44"/>
  <c r="AA118" i="44" s="1"/>
  <c r="AB118" i="44"/>
  <c r="AC118" i="44" s="1"/>
  <c r="AD118" i="44"/>
  <c r="AH118" i="44" s="1" a="1"/>
  <c r="AH118" i="44" s="1"/>
  <c r="AE118" i="44"/>
  <c r="AI118" i="44" s="1"/>
  <c r="Z119" i="44"/>
  <c r="AA119" i="44" s="1"/>
  <c r="AB119" i="44"/>
  <c r="AC119" i="44" s="1"/>
  <c r="AD119" i="44"/>
  <c r="AH119" i="44" s="1" a="1"/>
  <c r="AH119" i="44" s="1"/>
  <c r="AE119" i="44"/>
  <c r="AI119" i="44" s="1"/>
  <c r="Z120" i="44"/>
  <c r="AA120" i="44" s="1"/>
  <c r="AB120" i="44"/>
  <c r="AC120" i="44" s="1"/>
  <c r="AD120" i="44"/>
  <c r="AH120" i="44" s="1" a="1"/>
  <c r="AH120" i="44" s="1"/>
  <c r="AE120" i="44"/>
  <c r="AJ120" i="44" s="1"/>
  <c r="Z121" i="44"/>
  <c r="AA121" i="44" s="1"/>
  <c r="AB121" i="44"/>
  <c r="AC121" i="44" s="1"/>
  <c r="AD121" i="44"/>
  <c r="AH121" i="44" s="1" a="1"/>
  <c r="AH121" i="44" s="1"/>
  <c r="AE121" i="44"/>
  <c r="Z122" i="44"/>
  <c r="AA122" i="44" s="1"/>
  <c r="AB122" i="44"/>
  <c r="AC122" i="44" s="1"/>
  <c r="AD122" i="44"/>
  <c r="AH122" i="44" s="1" a="1"/>
  <c r="AH122" i="44" s="1"/>
  <c r="AE122" i="44"/>
  <c r="AF122" i="44" s="1"/>
  <c r="AG122" i="44" s="1"/>
  <c r="Z123" i="44"/>
  <c r="AA123" i="44" s="1"/>
  <c r="AB123" i="44"/>
  <c r="AC123" i="44" s="1"/>
  <c r="AD123" i="44"/>
  <c r="AH123" i="44" s="1" a="1"/>
  <c r="AH123" i="44" s="1"/>
  <c r="AE123" i="44"/>
  <c r="Z124" i="44"/>
  <c r="AA124" i="44" s="1"/>
  <c r="AB124" i="44"/>
  <c r="AC124" i="44" s="1"/>
  <c r="AD124" i="44"/>
  <c r="AH124" i="44" s="1" a="1"/>
  <c r="AH124" i="44" s="1"/>
  <c r="AE124" i="44"/>
  <c r="AI124" i="44" s="1"/>
  <c r="Z125" i="44"/>
  <c r="AA125" i="44" s="1"/>
  <c r="AB125" i="44"/>
  <c r="AC125" i="44" s="1"/>
  <c r="AD125" i="44"/>
  <c r="AH125" i="44" s="1" a="1"/>
  <c r="AH125" i="44" s="1"/>
  <c r="AE125" i="44"/>
  <c r="Z126" i="44"/>
  <c r="AA126" i="44" s="1"/>
  <c r="AB126" i="44"/>
  <c r="AC126" i="44" s="1"/>
  <c r="AD126" i="44"/>
  <c r="AH126" i="44" s="1" a="1"/>
  <c r="AH126" i="44" s="1"/>
  <c r="AE126" i="44"/>
  <c r="AF126" i="44" s="1"/>
  <c r="AG126" i="44" s="1"/>
  <c r="Z127" i="44"/>
  <c r="AA127" i="44" s="1"/>
  <c r="AB127" i="44"/>
  <c r="AC127" i="44" s="1"/>
  <c r="AD127" i="44"/>
  <c r="AH127" i="44" s="1" a="1"/>
  <c r="AH127" i="44" s="1"/>
  <c r="AE127" i="44"/>
  <c r="Z128" i="44"/>
  <c r="AA128" i="44" s="1"/>
  <c r="AB128" i="44"/>
  <c r="AC128" i="44" s="1"/>
  <c r="AD128" i="44"/>
  <c r="AH128" i="44" s="1" a="1"/>
  <c r="AH128" i="44" s="1"/>
  <c r="AE128" i="44"/>
  <c r="AI128" i="44" s="1"/>
  <c r="Z129" i="44"/>
  <c r="AA129" i="44" s="1"/>
  <c r="AB129" i="44"/>
  <c r="AC129" i="44" s="1"/>
  <c r="AD129" i="44"/>
  <c r="AH129" i="44" s="1" a="1"/>
  <c r="AH129" i="44" s="1"/>
  <c r="AE129" i="44"/>
  <c r="AF129" i="44" s="1"/>
  <c r="AG129" i="44" s="1"/>
  <c r="Z130" i="44"/>
  <c r="AA130" i="44" s="1"/>
  <c r="AB130" i="44"/>
  <c r="AC130" i="44" s="1"/>
  <c r="AD130" i="44"/>
  <c r="AH130" i="44" s="1" a="1"/>
  <c r="AH130" i="44" s="1"/>
  <c r="AE130" i="44"/>
  <c r="AJ130" i="44" s="1"/>
  <c r="Z131" i="44"/>
  <c r="AA131" i="44" s="1"/>
  <c r="AB131" i="44"/>
  <c r="AC131" i="44" s="1"/>
  <c r="AD131" i="44"/>
  <c r="AH131" i="44" s="1" a="1"/>
  <c r="AH131" i="44" s="1"/>
  <c r="AE131" i="44"/>
  <c r="Z132" i="44"/>
  <c r="AA132" i="44" s="1"/>
  <c r="AB132" i="44"/>
  <c r="AC132" i="44" s="1"/>
  <c r="AD132" i="44"/>
  <c r="AH132" i="44" s="1" a="1"/>
  <c r="AH132" i="44" s="1"/>
  <c r="AE132" i="44"/>
  <c r="AJ132" i="44" s="1"/>
  <c r="Z133" i="44"/>
  <c r="AA133" i="44" s="1"/>
  <c r="AB133" i="44"/>
  <c r="AC133" i="44" s="1"/>
  <c r="AD133" i="44"/>
  <c r="AH133" i="44" s="1" a="1"/>
  <c r="AH133" i="44" s="1"/>
  <c r="AE133" i="44"/>
  <c r="Z134" i="44"/>
  <c r="AA134" i="44" s="1"/>
  <c r="AB134" i="44"/>
  <c r="AC134" i="44" s="1"/>
  <c r="AD134" i="44"/>
  <c r="AH134" i="44" s="1" a="1"/>
  <c r="AH134" i="44" s="1"/>
  <c r="AE134" i="44"/>
  <c r="AF134" i="44" s="1"/>
  <c r="AG134" i="44" s="1"/>
  <c r="Z135" i="44"/>
  <c r="AA135" i="44" s="1"/>
  <c r="AB135" i="44"/>
  <c r="AC135" i="44" s="1"/>
  <c r="AD135" i="44"/>
  <c r="AH135" i="44" s="1" a="1"/>
  <c r="AH135" i="44" s="1"/>
  <c r="AE135" i="44"/>
  <c r="Z136" i="44"/>
  <c r="AA136" i="44" s="1"/>
  <c r="AB136" i="44"/>
  <c r="AC136" i="44" s="1"/>
  <c r="AD136" i="44"/>
  <c r="AH136" i="44" s="1" a="1"/>
  <c r="AH136" i="44" s="1"/>
  <c r="AE136" i="44"/>
  <c r="AF136" i="44" s="1"/>
  <c r="AG136" i="44" s="1"/>
  <c r="Z137" i="44"/>
  <c r="AA137" i="44" s="1"/>
  <c r="AB137" i="44"/>
  <c r="AC137" i="44" s="1"/>
  <c r="AD137" i="44"/>
  <c r="AH137" i="44" s="1" a="1"/>
  <c r="AH137" i="44" s="1"/>
  <c r="AE137" i="44"/>
  <c r="Z138" i="44"/>
  <c r="AA138" i="44" s="1"/>
  <c r="AB138" i="44"/>
  <c r="AC138" i="44" s="1"/>
  <c r="AD138" i="44"/>
  <c r="AH138" i="44" s="1" a="1"/>
  <c r="AH138" i="44" s="1"/>
  <c r="AE138" i="44"/>
  <c r="AI138" i="44" s="1"/>
  <c r="Z139" i="44"/>
  <c r="AA139" i="44" s="1"/>
  <c r="AB139" i="44"/>
  <c r="AC139" i="44" s="1"/>
  <c r="AD139" i="44"/>
  <c r="AH139" i="44" s="1" a="1"/>
  <c r="AH139" i="44" s="1"/>
  <c r="AE139" i="44"/>
  <c r="Z140" i="44"/>
  <c r="AA140" i="44" s="1"/>
  <c r="AB140" i="44"/>
  <c r="AC140" i="44" s="1"/>
  <c r="AD140" i="44"/>
  <c r="AH140" i="44" s="1" a="1"/>
  <c r="AH140" i="44" s="1"/>
  <c r="AE140" i="44"/>
  <c r="AJ140" i="44" s="1"/>
  <c r="Z141" i="44"/>
  <c r="AA141" i="44" s="1"/>
  <c r="AB141" i="44"/>
  <c r="AC141" i="44" s="1"/>
  <c r="AD141" i="44"/>
  <c r="AH141" i="44" s="1" a="1"/>
  <c r="AH141" i="44" s="1"/>
  <c r="AE141" i="44"/>
  <c r="Z142" i="44"/>
  <c r="AA142" i="44" s="1"/>
  <c r="AB142" i="44"/>
  <c r="AC142" i="44" s="1"/>
  <c r="AD142" i="44"/>
  <c r="AH142" i="44" s="1" a="1"/>
  <c r="AH142" i="44" s="1"/>
  <c r="AE142" i="44"/>
  <c r="AI142" i="44" s="1"/>
  <c r="Z143" i="44"/>
  <c r="AA143" i="44" s="1"/>
  <c r="AB143" i="44"/>
  <c r="AC143" i="44" s="1"/>
  <c r="AD143" i="44"/>
  <c r="AH143" i="44" s="1" a="1"/>
  <c r="AH143" i="44" s="1"/>
  <c r="AE143" i="44"/>
  <c r="AJ143" i="44" s="1"/>
  <c r="Z144" i="44"/>
  <c r="AA144" i="44" s="1"/>
  <c r="AB144" i="44"/>
  <c r="AC144" i="44" s="1"/>
  <c r="AD144" i="44"/>
  <c r="AH144" i="44" s="1" a="1"/>
  <c r="AH144" i="44" s="1"/>
  <c r="AE144" i="44"/>
  <c r="Z145" i="44"/>
  <c r="AA145" i="44" s="1"/>
  <c r="AB145" i="44"/>
  <c r="AC145" i="44" s="1"/>
  <c r="AD145" i="44"/>
  <c r="AH145" i="44" s="1" a="1"/>
  <c r="AH145" i="44" s="1"/>
  <c r="AE145" i="44"/>
  <c r="AF145" i="44" s="1"/>
  <c r="AG145" i="44" s="1"/>
  <c r="Z146" i="44"/>
  <c r="AA146" i="44" s="1"/>
  <c r="AB146" i="44"/>
  <c r="AC146" i="44" s="1"/>
  <c r="AD146" i="44"/>
  <c r="AH146" i="44" s="1" a="1"/>
  <c r="AH146" i="44" s="1"/>
  <c r="AE146" i="44"/>
  <c r="AJ146" i="44" s="1"/>
  <c r="Z147" i="44"/>
  <c r="AA147" i="44" s="1"/>
  <c r="AB147" i="44"/>
  <c r="AC147" i="44" s="1"/>
  <c r="AD147" i="44"/>
  <c r="AH147" i="44" s="1" a="1"/>
  <c r="AH147" i="44" s="1"/>
  <c r="AE147" i="44"/>
  <c r="Z148" i="44"/>
  <c r="AA148" i="44" s="1"/>
  <c r="AB148" i="44"/>
  <c r="AC148" i="44" s="1"/>
  <c r="AD148" i="44"/>
  <c r="AH148" i="44" s="1" a="1"/>
  <c r="AH148" i="44" s="1"/>
  <c r="AE148" i="44"/>
  <c r="AI148" i="44" s="1"/>
  <c r="Z149" i="44"/>
  <c r="AA149" i="44" s="1"/>
  <c r="AB149" i="44"/>
  <c r="AC149" i="44" s="1"/>
  <c r="AD149" i="44"/>
  <c r="AH149" i="44" s="1" a="1"/>
  <c r="AH149" i="44" s="1"/>
  <c r="AE149" i="44"/>
  <c r="Z150" i="44"/>
  <c r="AA150" i="44" s="1"/>
  <c r="AB150" i="44"/>
  <c r="AC150" i="44" s="1"/>
  <c r="AD150" i="44"/>
  <c r="AH150" i="44" s="1" a="1"/>
  <c r="AH150" i="44" s="1"/>
  <c r="AE150" i="44"/>
  <c r="AI150" i="44" s="1"/>
  <c r="Z151" i="44"/>
  <c r="AA151" i="44" s="1"/>
  <c r="AB151" i="44"/>
  <c r="AC151" i="44" s="1"/>
  <c r="AD151" i="44"/>
  <c r="AH151" i="44" s="1" a="1"/>
  <c r="AH151" i="44" s="1"/>
  <c r="AE151" i="44"/>
  <c r="AJ151" i="44" s="1"/>
  <c r="Z152" i="44"/>
  <c r="AA152" i="44" s="1"/>
  <c r="AB152" i="44"/>
  <c r="AC152" i="44" s="1"/>
  <c r="AD152" i="44"/>
  <c r="AH152" i="44" s="1" a="1"/>
  <c r="AH152" i="44" s="1"/>
  <c r="AE152" i="44"/>
  <c r="AF152" i="44" s="1"/>
  <c r="AG152" i="44" s="1"/>
  <c r="Z153" i="44"/>
  <c r="AA153" i="44" s="1"/>
  <c r="AB153" i="44"/>
  <c r="AC153" i="44" s="1"/>
  <c r="AD153" i="44"/>
  <c r="AH153" i="44" s="1" a="1"/>
  <c r="AH153" i="44" s="1"/>
  <c r="AE153" i="44"/>
  <c r="AF153" i="44" s="1"/>
  <c r="AG153" i="44" s="1"/>
  <c r="Z154" i="44"/>
  <c r="AA154" i="44" s="1"/>
  <c r="AB154" i="44"/>
  <c r="AC154" i="44" s="1"/>
  <c r="AD154" i="44"/>
  <c r="AH154" i="44" s="1" a="1"/>
  <c r="AH154" i="44" s="1"/>
  <c r="AE154" i="44"/>
  <c r="Z155" i="44"/>
  <c r="AA155" i="44" s="1"/>
  <c r="AB155" i="44"/>
  <c r="AC155" i="44" s="1"/>
  <c r="AD155" i="44"/>
  <c r="AH155" i="44" s="1" a="1"/>
  <c r="AH155" i="44" s="1"/>
  <c r="AE155" i="44"/>
  <c r="Z156" i="44"/>
  <c r="AA156" i="44" s="1"/>
  <c r="AB156" i="44"/>
  <c r="AC156" i="44" s="1"/>
  <c r="AD156" i="44"/>
  <c r="AH156" i="44" s="1" a="1"/>
  <c r="AH156" i="44" s="1"/>
  <c r="AE156" i="44"/>
  <c r="AI156" i="44" s="1"/>
  <c r="Z157" i="44"/>
  <c r="AA157" i="44" s="1"/>
  <c r="AB157" i="44"/>
  <c r="AC157" i="44" s="1"/>
  <c r="AD157" i="44"/>
  <c r="AH157" i="44" s="1" a="1"/>
  <c r="AH157" i="44" s="1"/>
  <c r="AE157" i="44"/>
  <c r="Z158" i="44"/>
  <c r="AA158" i="44" s="1"/>
  <c r="AB158" i="44"/>
  <c r="AC158" i="44" s="1"/>
  <c r="AD158" i="44"/>
  <c r="AH158" i="44" s="1" a="1"/>
  <c r="AH158" i="44" s="1"/>
  <c r="AE158" i="44"/>
  <c r="AF158" i="44" s="1"/>
  <c r="AG158" i="44" s="1"/>
  <c r="Z159" i="44"/>
  <c r="AA159" i="44" s="1"/>
  <c r="AB159" i="44"/>
  <c r="AC159" i="44" s="1"/>
  <c r="AD159" i="44"/>
  <c r="AH159" i="44" s="1" a="1"/>
  <c r="AH159" i="44" s="1"/>
  <c r="AE159" i="44"/>
  <c r="AJ159" i="44" s="1"/>
  <c r="Z160" i="44"/>
  <c r="AA160" i="44" s="1"/>
  <c r="AB160" i="44"/>
  <c r="AC160" i="44" s="1"/>
  <c r="AD160" i="44"/>
  <c r="AH160" i="44" s="1" a="1"/>
  <c r="AH160" i="44" s="1"/>
  <c r="AE160" i="44"/>
  <c r="AJ160" i="44" s="1"/>
  <c r="Z161" i="44"/>
  <c r="AA161" i="44" s="1"/>
  <c r="AB161" i="44"/>
  <c r="AC161" i="44" s="1"/>
  <c r="AD161" i="44"/>
  <c r="AH161" i="44" s="1" a="1"/>
  <c r="AH161" i="44" s="1"/>
  <c r="AE161" i="44"/>
  <c r="AF161" i="44" s="1"/>
  <c r="AG161" i="44" s="1"/>
  <c r="Z162" i="44"/>
  <c r="AA162" i="44" s="1"/>
  <c r="AB162" i="44"/>
  <c r="AC162" i="44" s="1"/>
  <c r="AD162" i="44"/>
  <c r="AH162" i="44" s="1" a="1"/>
  <c r="AH162" i="44" s="1"/>
  <c r="AE162" i="44"/>
  <c r="AI162" i="44" s="1"/>
  <c r="Z163" i="44"/>
  <c r="AA163" i="44" s="1"/>
  <c r="AB163" i="44"/>
  <c r="AC163" i="44" s="1"/>
  <c r="AD163" i="44"/>
  <c r="AH163" i="44" s="1" a="1"/>
  <c r="AH163" i="44" s="1"/>
  <c r="AE163" i="44"/>
  <c r="Z164" i="44"/>
  <c r="AA164" i="44" s="1"/>
  <c r="AB164" i="44"/>
  <c r="AC164" i="44" s="1"/>
  <c r="AD164" i="44"/>
  <c r="AH164" i="44" s="1" a="1"/>
  <c r="AH164" i="44" s="1"/>
  <c r="AE164" i="44"/>
  <c r="AF164" i="44" s="1"/>
  <c r="AG164" i="44" s="1"/>
  <c r="Z165" i="44"/>
  <c r="AA165" i="44" s="1"/>
  <c r="AB165" i="44"/>
  <c r="AC165" i="44" s="1"/>
  <c r="AD165" i="44"/>
  <c r="AH165" i="44" s="1" a="1"/>
  <c r="AH165" i="44" s="1"/>
  <c r="AE165" i="44"/>
  <c r="Z166" i="44"/>
  <c r="AA166" i="44" s="1"/>
  <c r="AB166" i="44"/>
  <c r="AC166" i="44" s="1"/>
  <c r="AD166" i="44"/>
  <c r="AH166" i="44" s="1" a="1"/>
  <c r="AH166" i="44" s="1"/>
  <c r="AE166" i="44"/>
  <c r="AF166" i="44" s="1"/>
  <c r="AG166" i="44" s="1"/>
  <c r="Z167" i="44"/>
  <c r="AA167" i="44" s="1"/>
  <c r="AB167" i="44"/>
  <c r="AC167" i="44" s="1"/>
  <c r="AD167" i="44"/>
  <c r="AH167" i="44" s="1" a="1"/>
  <c r="AH167" i="44" s="1"/>
  <c r="AE167" i="44"/>
  <c r="AJ167" i="44" s="1"/>
  <c r="Z168" i="44"/>
  <c r="AA168" i="44" s="1"/>
  <c r="AB168" i="44"/>
  <c r="AC168" i="44" s="1"/>
  <c r="AD168" i="44"/>
  <c r="AH168" i="44" s="1" a="1"/>
  <c r="AH168" i="44" s="1"/>
  <c r="AE168" i="44"/>
  <c r="AI168" i="44" s="1"/>
  <c r="Z169" i="44"/>
  <c r="AA169" i="44" s="1"/>
  <c r="AB169" i="44"/>
  <c r="AC169" i="44" s="1"/>
  <c r="AD169" i="44"/>
  <c r="AH169" i="44" s="1" a="1"/>
  <c r="AH169" i="44" s="1"/>
  <c r="AE169" i="44"/>
  <c r="AF169" i="44" s="1"/>
  <c r="AG169" i="44" s="1"/>
  <c r="Z170" i="44"/>
  <c r="AA170" i="44" s="1"/>
  <c r="AB170" i="44"/>
  <c r="AC170" i="44" s="1"/>
  <c r="AD170" i="44"/>
  <c r="AH170" i="44" s="1" a="1"/>
  <c r="AH170" i="44" s="1"/>
  <c r="AE170" i="44"/>
  <c r="AF170" i="44" s="1"/>
  <c r="AG170" i="44" s="1"/>
  <c r="Z171" i="44"/>
  <c r="AA171" i="44" s="1"/>
  <c r="AB171" i="44"/>
  <c r="AC171" i="44" s="1"/>
  <c r="AD171" i="44"/>
  <c r="AH171" i="44" s="1" a="1"/>
  <c r="AH171" i="44" s="1"/>
  <c r="AE171" i="44"/>
  <c r="AI171" i="44" s="1"/>
  <c r="Z172" i="44"/>
  <c r="AA172" i="44" s="1"/>
  <c r="AB172" i="44"/>
  <c r="AC172" i="44" s="1"/>
  <c r="AD172" i="44"/>
  <c r="AH172" i="44" s="1" a="1"/>
  <c r="AH172" i="44" s="1"/>
  <c r="AE172" i="44"/>
  <c r="AJ172" i="44" s="1"/>
  <c r="Z173" i="44"/>
  <c r="AA173" i="44" s="1"/>
  <c r="AB173" i="44"/>
  <c r="AC173" i="44" s="1"/>
  <c r="AD173" i="44"/>
  <c r="AH173" i="44" s="1" a="1"/>
  <c r="AH173" i="44" s="1"/>
  <c r="AE173" i="44"/>
  <c r="AI173" i="44" s="1"/>
  <c r="Z174" i="44"/>
  <c r="AA174" i="44" s="1"/>
  <c r="AB174" i="44"/>
  <c r="AC174" i="44" s="1"/>
  <c r="AD174" i="44"/>
  <c r="AH174" i="44" s="1" a="1"/>
  <c r="AH174" i="44" s="1"/>
  <c r="AE174" i="44"/>
  <c r="AI174" i="44" s="1"/>
  <c r="Z175" i="44"/>
  <c r="AA175" i="44" s="1"/>
  <c r="AB175" i="44"/>
  <c r="AC175" i="44" s="1"/>
  <c r="AD175" i="44"/>
  <c r="AH175" i="44" s="1" a="1"/>
  <c r="AH175" i="44" s="1"/>
  <c r="AE175" i="44"/>
  <c r="Z176" i="44"/>
  <c r="AA176" i="44" s="1"/>
  <c r="AB176" i="44"/>
  <c r="AC176" i="44" s="1"/>
  <c r="AD176" i="44"/>
  <c r="AH176" i="44" s="1" a="1"/>
  <c r="AH176" i="44" s="1"/>
  <c r="AE176" i="44"/>
  <c r="AF176" i="44" s="1"/>
  <c r="AG176" i="44" s="1"/>
  <c r="Z177" i="44"/>
  <c r="AA177" i="44" s="1"/>
  <c r="AB177" i="44"/>
  <c r="AC177" i="44" s="1"/>
  <c r="AD177" i="44"/>
  <c r="AH177" i="44" s="1" a="1"/>
  <c r="AH177" i="44" s="1"/>
  <c r="AE177" i="44"/>
  <c r="AF177" i="44" s="1"/>
  <c r="AG177" i="44" s="1"/>
  <c r="Z178" i="44"/>
  <c r="AA178" i="44" s="1"/>
  <c r="AB178" i="44"/>
  <c r="AC178" i="44" s="1"/>
  <c r="AD178" i="44"/>
  <c r="AH178" i="44" s="1" a="1"/>
  <c r="AH178" i="44" s="1"/>
  <c r="AE178" i="44"/>
  <c r="AF178" i="44" s="1"/>
  <c r="AG178" i="44" s="1"/>
  <c r="Z179" i="44"/>
  <c r="AA179" i="44" s="1"/>
  <c r="AB179" i="44"/>
  <c r="AC179" i="44" s="1"/>
  <c r="AD179" i="44"/>
  <c r="AH179" i="44" s="1" a="1"/>
  <c r="AH179" i="44" s="1"/>
  <c r="AE179" i="44"/>
  <c r="AI179" i="44" s="1"/>
  <c r="Z180" i="44"/>
  <c r="AA180" i="44" s="1"/>
  <c r="AB180" i="44"/>
  <c r="AC180" i="44" s="1"/>
  <c r="AD180" i="44"/>
  <c r="AH180" i="44" s="1" a="1"/>
  <c r="AH180" i="44" s="1"/>
  <c r="AE180" i="44"/>
  <c r="Z181" i="44"/>
  <c r="AA181" i="44" s="1"/>
  <c r="AB181" i="44"/>
  <c r="AC181" i="44" s="1"/>
  <c r="AD181" i="44"/>
  <c r="AH181" i="44" s="1" a="1"/>
  <c r="AH181" i="44" s="1"/>
  <c r="AE181" i="44"/>
  <c r="AJ181" i="44" s="1"/>
  <c r="Z182" i="44"/>
  <c r="AA182" i="44" s="1"/>
  <c r="AB182" i="44"/>
  <c r="AC182" i="44" s="1"/>
  <c r="AD182" i="44"/>
  <c r="AH182" i="44" s="1" a="1"/>
  <c r="AH182" i="44" s="1"/>
  <c r="AE182" i="44"/>
  <c r="AF182" i="44" s="1"/>
  <c r="AG182" i="44" s="1"/>
  <c r="Z183" i="44"/>
  <c r="AA183" i="44" s="1"/>
  <c r="AB183" i="44"/>
  <c r="AC183" i="44" s="1"/>
  <c r="AD183" i="44"/>
  <c r="AH183" i="44" s="1" a="1"/>
  <c r="AH183" i="44" s="1"/>
  <c r="AE183" i="44"/>
  <c r="AI183" i="44" s="1"/>
  <c r="Z184" i="44"/>
  <c r="AA184" i="44" s="1"/>
  <c r="AB184" i="44"/>
  <c r="AC184" i="44" s="1"/>
  <c r="AD184" i="44"/>
  <c r="AH184" i="44" s="1" a="1"/>
  <c r="AH184" i="44" s="1"/>
  <c r="AE184" i="44"/>
  <c r="AF184" i="44" s="1"/>
  <c r="AG184" i="44" s="1"/>
  <c r="Z185" i="44"/>
  <c r="AA185" i="44" s="1"/>
  <c r="AB185" i="44"/>
  <c r="AC185" i="44" s="1"/>
  <c r="AD185" i="44"/>
  <c r="AH185" i="44" s="1" a="1"/>
  <c r="AH185" i="44" s="1"/>
  <c r="AE185" i="44"/>
  <c r="AF185" i="44" s="1"/>
  <c r="AG185" i="44" s="1"/>
  <c r="Z186" i="44"/>
  <c r="AA186" i="44" s="1"/>
  <c r="AB186" i="44"/>
  <c r="AC186" i="44" s="1"/>
  <c r="AD186" i="44"/>
  <c r="AH186" i="44" s="1" a="1"/>
  <c r="AH186" i="44" s="1"/>
  <c r="AE186" i="44"/>
  <c r="AJ186" i="44" s="1"/>
  <c r="Z187" i="44"/>
  <c r="AA187" i="44" s="1"/>
  <c r="AB187" i="44"/>
  <c r="AC187" i="44" s="1"/>
  <c r="AD187" i="44"/>
  <c r="AH187" i="44" s="1" a="1"/>
  <c r="AH187" i="44" s="1"/>
  <c r="AE187" i="44"/>
  <c r="AI187" i="44" s="1"/>
  <c r="Z188" i="44"/>
  <c r="AA188" i="44" s="1"/>
  <c r="AB188" i="44"/>
  <c r="AC188" i="44" s="1"/>
  <c r="AD188" i="44"/>
  <c r="AH188" i="44" s="1" a="1"/>
  <c r="AH188" i="44" s="1"/>
  <c r="AE188" i="44"/>
  <c r="AF188" i="44" s="1"/>
  <c r="AG188" i="44" s="1"/>
  <c r="Z189" i="44"/>
  <c r="AA189" i="44" s="1"/>
  <c r="AB189" i="44"/>
  <c r="AC189" i="44" s="1"/>
  <c r="AD189" i="44"/>
  <c r="AH189" i="44" s="1" a="1"/>
  <c r="AH189" i="44" s="1"/>
  <c r="AE189" i="44"/>
  <c r="Z190" i="44"/>
  <c r="AA190" i="44" s="1"/>
  <c r="AB190" i="44"/>
  <c r="AC190" i="44" s="1"/>
  <c r="AD190" i="44"/>
  <c r="AH190" i="44" s="1" a="1"/>
  <c r="AH190" i="44" s="1"/>
  <c r="AE190" i="44"/>
  <c r="AF190" i="44" s="1"/>
  <c r="AG190" i="44" s="1"/>
  <c r="Z191" i="44"/>
  <c r="AA191" i="44" s="1"/>
  <c r="AB191" i="44"/>
  <c r="AC191" i="44" s="1"/>
  <c r="AD191" i="44"/>
  <c r="AH191" i="44" s="1" a="1"/>
  <c r="AH191" i="44" s="1"/>
  <c r="AE191" i="44"/>
  <c r="AI191" i="44" s="1"/>
  <c r="Z192" i="44"/>
  <c r="AA192" i="44" s="1"/>
  <c r="AB192" i="44"/>
  <c r="AC192" i="44" s="1"/>
  <c r="AD192" i="44"/>
  <c r="AH192" i="44" s="1" a="1"/>
  <c r="AH192" i="44" s="1"/>
  <c r="AE192" i="44"/>
  <c r="AI192" i="44" s="1"/>
  <c r="Z193" i="44"/>
  <c r="AA193" i="44" s="1"/>
  <c r="AB193" i="44"/>
  <c r="AC193" i="44" s="1"/>
  <c r="AD193" i="44"/>
  <c r="AH193" i="44" s="1" a="1"/>
  <c r="AH193" i="44" s="1"/>
  <c r="AE193" i="44"/>
  <c r="Z194" i="44"/>
  <c r="AA194" i="44" s="1"/>
  <c r="AB194" i="44"/>
  <c r="AC194" i="44" s="1"/>
  <c r="AD194" i="44"/>
  <c r="AH194" i="44" s="1" a="1"/>
  <c r="AH194" i="44" s="1"/>
  <c r="AE194" i="44"/>
  <c r="AI194" i="44" s="1"/>
  <c r="Z195" i="44"/>
  <c r="AA195" i="44" s="1"/>
  <c r="AB195" i="44"/>
  <c r="AC195" i="44" s="1"/>
  <c r="AD195" i="44"/>
  <c r="AH195" i="44" s="1" a="1"/>
  <c r="AH195" i="44" s="1"/>
  <c r="AE195" i="44"/>
  <c r="AI195" i="44" s="1"/>
  <c r="Z196" i="44"/>
  <c r="AA196" i="44" s="1"/>
  <c r="AB196" i="44"/>
  <c r="AC196" i="44" s="1"/>
  <c r="AD196" i="44"/>
  <c r="AH196" i="44" s="1" a="1"/>
  <c r="AH196" i="44" s="1"/>
  <c r="AE196" i="44"/>
  <c r="Z197" i="44"/>
  <c r="AA197" i="44" s="1"/>
  <c r="AB197" i="44"/>
  <c r="AC197" i="44" s="1"/>
  <c r="AD197" i="44"/>
  <c r="AH197" i="44" s="1" a="1"/>
  <c r="AH197" i="44" s="1"/>
  <c r="AE197" i="44"/>
  <c r="AJ197" i="44" s="1"/>
  <c r="Z198" i="44"/>
  <c r="AA198" i="44" s="1"/>
  <c r="AB198" i="44"/>
  <c r="AC198" i="44" s="1"/>
  <c r="AD198" i="44"/>
  <c r="AH198" i="44" s="1" a="1"/>
  <c r="AH198" i="44" s="1"/>
  <c r="AE198" i="44"/>
  <c r="AF198" i="44" s="1"/>
  <c r="AG198" i="44" s="1"/>
  <c r="Z199" i="44"/>
  <c r="AA199" i="44" s="1"/>
  <c r="AB199" i="44"/>
  <c r="AC199" i="44" s="1"/>
  <c r="AD199" i="44"/>
  <c r="AH199" i="44" s="1" a="1"/>
  <c r="AH199" i="44" s="1"/>
  <c r="AE199" i="44"/>
  <c r="AI199" i="44" s="1"/>
  <c r="Z200" i="44"/>
  <c r="AA200" i="44" s="1"/>
  <c r="AB200" i="44"/>
  <c r="AC200" i="44" s="1"/>
  <c r="AD200" i="44"/>
  <c r="AH200" i="44" s="1" a="1"/>
  <c r="AH200" i="44" s="1"/>
  <c r="AE200" i="44"/>
  <c r="AJ200" i="44" s="1"/>
  <c r="Z201" i="44"/>
  <c r="AA201" i="44" s="1"/>
  <c r="AB201" i="44"/>
  <c r="AC201" i="44" s="1"/>
  <c r="AD201" i="44"/>
  <c r="AH201" i="44" s="1" a="1"/>
  <c r="AH201" i="44" s="1"/>
  <c r="AE201" i="44"/>
  <c r="AF201" i="44" s="1"/>
  <c r="AG201" i="44" s="1"/>
  <c r="Z202" i="44"/>
  <c r="AA202" i="44" s="1"/>
  <c r="AB202" i="44"/>
  <c r="AC202" i="44" s="1"/>
  <c r="AD202" i="44"/>
  <c r="AH202" i="44" s="1" a="1"/>
  <c r="AH202" i="44" s="1"/>
  <c r="AE202" i="44"/>
  <c r="AF202" i="44" s="1"/>
  <c r="AG202" i="44" s="1"/>
  <c r="Z203" i="44"/>
  <c r="AA203" i="44" s="1"/>
  <c r="AB203" i="44"/>
  <c r="AC203" i="44" s="1"/>
  <c r="AD203" i="44"/>
  <c r="AH203" i="44" s="1" a="1"/>
  <c r="AH203" i="44" s="1"/>
  <c r="AE203" i="44"/>
  <c r="Z204" i="44"/>
  <c r="AA204" i="44" s="1"/>
  <c r="AB204" i="44"/>
  <c r="AC204" i="44" s="1"/>
  <c r="AD204" i="44"/>
  <c r="AH204" i="44" s="1" a="1"/>
  <c r="AH204" i="44" s="1"/>
  <c r="AE204" i="44"/>
  <c r="AI204" i="44" s="1"/>
  <c r="Z205" i="44"/>
  <c r="AA205" i="44" s="1"/>
  <c r="AB205" i="44"/>
  <c r="AC205" i="44" s="1"/>
  <c r="AD205" i="44"/>
  <c r="AH205" i="44" s="1" a="1"/>
  <c r="AH205" i="44" s="1"/>
  <c r="AE205" i="44"/>
  <c r="Z206" i="44"/>
  <c r="AA206" i="44" s="1"/>
  <c r="AB206" i="44"/>
  <c r="AC206" i="44" s="1"/>
  <c r="AD206" i="44"/>
  <c r="AH206" i="44" s="1" a="1"/>
  <c r="AH206" i="44" s="1"/>
  <c r="AE206" i="44"/>
  <c r="AJ206" i="44" s="1"/>
  <c r="Z207" i="44"/>
  <c r="AA207" i="44" s="1"/>
  <c r="AB207" i="44"/>
  <c r="AC207" i="44" s="1"/>
  <c r="AD207" i="44"/>
  <c r="AH207" i="44" s="1" a="1"/>
  <c r="AH207" i="44" s="1"/>
  <c r="AE207" i="44"/>
  <c r="AJ207" i="44" s="1"/>
  <c r="Z208" i="44"/>
  <c r="AA208" i="44" s="1"/>
  <c r="AB208" i="44"/>
  <c r="AC208" i="44" s="1"/>
  <c r="AD208" i="44"/>
  <c r="AH208" i="44" s="1" a="1"/>
  <c r="AH208" i="44" s="1"/>
  <c r="AE208" i="44"/>
  <c r="AF208" i="44" s="1"/>
  <c r="AG208" i="44" s="1"/>
  <c r="Z209" i="44"/>
  <c r="AA209" i="44" s="1"/>
  <c r="AB209" i="44"/>
  <c r="AC209" i="44" s="1"/>
  <c r="AD209" i="44"/>
  <c r="AH209" i="44" s="1" a="1"/>
  <c r="AH209" i="44" s="1"/>
  <c r="AE209" i="44"/>
  <c r="Z210" i="44"/>
  <c r="AA210" i="44" s="1"/>
  <c r="AB210" i="44"/>
  <c r="AC210" i="44" s="1"/>
  <c r="AD210" i="44"/>
  <c r="AH210" i="44" s="1" a="1"/>
  <c r="AH210" i="44" s="1"/>
  <c r="AE210" i="44"/>
  <c r="AI210" i="44" s="1"/>
  <c r="Z211" i="44"/>
  <c r="AA211" i="44" s="1"/>
  <c r="AB211" i="44"/>
  <c r="AC211" i="44" s="1"/>
  <c r="AD211" i="44"/>
  <c r="AH211" i="44" s="1" a="1"/>
  <c r="AH211" i="44" s="1"/>
  <c r="AE211" i="44"/>
  <c r="AF211" i="44" s="1"/>
  <c r="AG211" i="44" s="1"/>
  <c r="Z212" i="44"/>
  <c r="AA212" i="44" s="1"/>
  <c r="AB212" i="44"/>
  <c r="AC212" i="44" s="1"/>
  <c r="AD212" i="44"/>
  <c r="AH212" i="44" s="1" a="1"/>
  <c r="AH212" i="44" s="1"/>
  <c r="AE212" i="44"/>
  <c r="AJ212" i="44" s="1"/>
  <c r="Z213" i="44"/>
  <c r="AA213" i="44" s="1"/>
  <c r="AB213" i="44"/>
  <c r="AC213" i="44" s="1"/>
  <c r="AD213" i="44"/>
  <c r="AH213" i="44" s="1" a="1"/>
  <c r="AH213" i="44" s="1"/>
  <c r="AE213" i="44"/>
  <c r="AF213" i="44" s="1"/>
  <c r="AG213" i="44" s="1"/>
  <c r="Z214" i="44"/>
  <c r="AA214" i="44" s="1"/>
  <c r="AB214" i="44"/>
  <c r="AC214" i="44" s="1"/>
  <c r="AD214" i="44"/>
  <c r="AH214" i="44" s="1" a="1"/>
  <c r="AH214" i="44" s="1"/>
  <c r="AE214" i="44"/>
  <c r="AI214" i="44" s="1"/>
  <c r="Z215" i="44"/>
  <c r="AA215" i="44" s="1"/>
  <c r="AB215" i="44"/>
  <c r="AC215" i="44" s="1"/>
  <c r="AD215" i="44"/>
  <c r="AH215" i="44" s="1" a="1"/>
  <c r="AH215" i="44" s="1"/>
  <c r="AE215" i="44"/>
  <c r="Z216" i="44"/>
  <c r="AA216" i="44" s="1"/>
  <c r="AB216" i="44"/>
  <c r="AC216" i="44" s="1"/>
  <c r="AD216" i="44"/>
  <c r="AH216" i="44" s="1" a="1"/>
  <c r="AH216" i="44" s="1"/>
  <c r="AE216" i="44"/>
  <c r="AJ216" i="44" s="1"/>
  <c r="Z217" i="44"/>
  <c r="AA217" i="44" s="1"/>
  <c r="AB217" i="44"/>
  <c r="AC217" i="44" s="1"/>
  <c r="AD217" i="44"/>
  <c r="AH217" i="44" s="1" a="1"/>
  <c r="AH217" i="44" s="1"/>
  <c r="AE217" i="44"/>
  <c r="AI217" i="44" s="1"/>
  <c r="Z218" i="44"/>
  <c r="AA218" i="44" s="1"/>
  <c r="AB218" i="44"/>
  <c r="AC218" i="44" s="1"/>
  <c r="AD218" i="44"/>
  <c r="AH218" i="44" s="1" a="1"/>
  <c r="AH218" i="44" s="1"/>
  <c r="AE218" i="44"/>
  <c r="AF218" i="44" s="1"/>
  <c r="AG218" i="44" s="1"/>
  <c r="Z219" i="44"/>
  <c r="AA219" i="44" s="1"/>
  <c r="AB219" i="44"/>
  <c r="AC219" i="44" s="1"/>
  <c r="AD219" i="44"/>
  <c r="AH219" i="44" s="1" a="1"/>
  <c r="AH219" i="44" s="1"/>
  <c r="AE219" i="44"/>
  <c r="AI219" i="44" s="1"/>
  <c r="Z220" i="44"/>
  <c r="AA220" i="44" s="1"/>
  <c r="AB220" i="44"/>
  <c r="AC220" i="44" s="1"/>
  <c r="AD220" i="44"/>
  <c r="AH220" i="44" s="1" a="1"/>
  <c r="AH220" i="44" s="1"/>
  <c r="AE220" i="44"/>
  <c r="AF220" i="44" s="1"/>
  <c r="AG220" i="44" s="1"/>
  <c r="Z221" i="44"/>
  <c r="AA221" i="44" s="1"/>
  <c r="AB221" i="44"/>
  <c r="AC221" i="44" s="1"/>
  <c r="AD221" i="44"/>
  <c r="AH221" i="44" s="1" a="1"/>
  <c r="AH221" i="44" s="1"/>
  <c r="AE221" i="44"/>
  <c r="AF221" i="44" s="1"/>
  <c r="AG221" i="44" s="1"/>
  <c r="Z222" i="44"/>
  <c r="AA222" i="44" s="1"/>
  <c r="AB222" i="44"/>
  <c r="AC222" i="44" s="1"/>
  <c r="AD222" i="44"/>
  <c r="AH222" i="44" s="1" a="1"/>
  <c r="AH222" i="44" s="1"/>
  <c r="AE222" i="44"/>
  <c r="AF222" i="44" s="1"/>
  <c r="AG222" i="44" s="1"/>
  <c r="Z223" i="44"/>
  <c r="AA223" i="44" s="1"/>
  <c r="AB223" i="44"/>
  <c r="AC223" i="44" s="1"/>
  <c r="AD223" i="44"/>
  <c r="AH223" i="44" s="1" a="1"/>
  <c r="AH223" i="44" s="1"/>
  <c r="AE223" i="44"/>
  <c r="AF223" i="44" s="1"/>
  <c r="AG223" i="44" s="1"/>
  <c r="Z224" i="44"/>
  <c r="AA224" i="44" s="1"/>
  <c r="AB224" i="44"/>
  <c r="AC224" i="44" s="1"/>
  <c r="AD224" i="44"/>
  <c r="AH224" i="44" s="1" a="1"/>
  <c r="AH224" i="44" s="1"/>
  <c r="AE224" i="44"/>
  <c r="AF224" i="44" s="1"/>
  <c r="AG224" i="44" s="1"/>
  <c r="Z225" i="44"/>
  <c r="AA225" i="44" s="1"/>
  <c r="AB225" i="44"/>
  <c r="AC225" i="44" s="1"/>
  <c r="AD225" i="44"/>
  <c r="AH225" i="44" s="1" a="1"/>
  <c r="AH225" i="44" s="1"/>
  <c r="AE225" i="44"/>
  <c r="AF225" i="44" s="1"/>
  <c r="AG225" i="44" s="1"/>
  <c r="Z226" i="44"/>
  <c r="AA226" i="44" s="1"/>
  <c r="AB226" i="44"/>
  <c r="AC226" i="44" s="1"/>
  <c r="AD226" i="44"/>
  <c r="AH226" i="44" s="1" a="1"/>
  <c r="AH226" i="44" s="1"/>
  <c r="AE226" i="44"/>
  <c r="AI226" i="44" s="1"/>
  <c r="Z227" i="44"/>
  <c r="AA227" i="44" s="1"/>
  <c r="AB227" i="44"/>
  <c r="AC227" i="44" s="1"/>
  <c r="AD227" i="44"/>
  <c r="AH227" i="44" s="1" a="1"/>
  <c r="AH227" i="44" s="1"/>
  <c r="AE227" i="44"/>
  <c r="AF227" i="44" s="1"/>
  <c r="AG227" i="44" s="1"/>
  <c r="Z228" i="44"/>
  <c r="AA228" i="44" s="1"/>
  <c r="AB228" i="44"/>
  <c r="AC228" i="44" s="1"/>
  <c r="AD228" i="44"/>
  <c r="AH228" i="44" s="1" a="1"/>
  <c r="AH228" i="44" s="1"/>
  <c r="AE228" i="44"/>
  <c r="AI228" i="44" s="1"/>
  <c r="Z229" i="44"/>
  <c r="AA229" i="44" s="1"/>
  <c r="AB229" i="44"/>
  <c r="AC229" i="44" s="1"/>
  <c r="AD229" i="44"/>
  <c r="AH229" i="44" s="1" a="1"/>
  <c r="AH229" i="44" s="1"/>
  <c r="AE229" i="44"/>
  <c r="AF229" i="44" s="1"/>
  <c r="AG229" i="44" s="1"/>
  <c r="Z230" i="44"/>
  <c r="AA230" i="44" s="1"/>
  <c r="AB230" i="44"/>
  <c r="AC230" i="44" s="1"/>
  <c r="AD230" i="44"/>
  <c r="AH230" i="44" s="1" a="1"/>
  <c r="AH230" i="44" s="1"/>
  <c r="AE230" i="44"/>
  <c r="AF230" i="44" s="1"/>
  <c r="AG230" i="44" s="1"/>
  <c r="Z231" i="44"/>
  <c r="AA231" i="44" s="1"/>
  <c r="AB231" i="44"/>
  <c r="AC231" i="44" s="1"/>
  <c r="AD231" i="44"/>
  <c r="AH231" i="44" s="1" a="1"/>
  <c r="AH231" i="44" s="1"/>
  <c r="AE231" i="44"/>
  <c r="AF231" i="44" s="1"/>
  <c r="AG231" i="44" s="1"/>
  <c r="Z232" i="44"/>
  <c r="AA232" i="44" s="1"/>
  <c r="AB232" i="44"/>
  <c r="AC232" i="44" s="1"/>
  <c r="AD232" i="44"/>
  <c r="AH232" i="44" s="1" a="1"/>
  <c r="AH232" i="44" s="1"/>
  <c r="AE232" i="44"/>
  <c r="AF232" i="44" s="1"/>
  <c r="AG232" i="44" s="1"/>
  <c r="Z233" i="44"/>
  <c r="AA233" i="44" s="1"/>
  <c r="AB233" i="44"/>
  <c r="AC233" i="44" s="1"/>
  <c r="AD233" i="44"/>
  <c r="AH233" i="44" s="1" a="1"/>
  <c r="AH233" i="44" s="1"/>
  <c r="AE233" i="44"/>
  <c r="AF233" i="44" s="1"/>
  <c r="AG233" i="44" s="1"/>
  <c r="Z234" i="44"/>
  <c r="AA234" i="44" s="1"/>
  <c r="AB234" i="44"/>
  <c r="AC234" i="44" s="1"/>
  <c r="AD234" i="44"/>
  <c r="AH234" i="44" s="1" a="1"/>
  <c r="AH234" i="44" s="1"/>
  <c r="AE234" i="44"/>
  <c r="Z235" i="44"/>
  <c r="AA235" i="44" s="1"/>
  <c r="AB235" i="44"/>
  <c r="AC235" i="44" s="1"/>
  <c r="AD235" i="44"/>
  <c r="AH235" i="44" s="1" a="1"/>
  <c r="AH235" i="44" s="1"/>
  <c r="AE235" i="44"/>
  <c r="AF235" i="44" s="1"/>
  <c r="AG235" i="44" s="1"/>
  <c r="Z236" i="44"/>
  <c r="AA236" i="44" s="1"/>
  <c r="AB236" i="44"/>
  <c r="AC236" i="44" s="1"/>
  <c r="AD236" i="44"/>
  <c r="AH236" i="44" s="1" a="1"/>
  <c r="AH236" i="44" s="1"/>
  <c r="AE236" i="44"/>
  <c r="AF236" i="44" s="1"/>
  <c r="AG236" i="44" s="1"/>
  <c r="Z237" i="44"/>
  <c r="AA237" i="44" s="1"/>
  <c r="AB237" i="44"/>
  <c r="AC237" i="44" s="1"/>
  <c r="AD237" i="44"/>
  <c r="AH237" i="44" s="1" a="1"/>
  <c r="AH237" i="44" s="1"/>
  <c r="AE237" i="44"/>
  <c r="AJ237" i="44" s="1"/>
  <c r="Z238" i="44"/>
  <c r="AA238" i="44" s="1"/>
  <c r="AB238" i="44"/>
  <c r="AC238" i="44" s="1"/>
  <c r="AD238" i="44"/>
  <c r="AH238" i="44" s="1" a="1"/>
  <c r="AH238" i="44" s="1"/>
  <c r="AE238" i="44"/>
  <c r="AI238" i="44" s="1"/>
  <c r="Z239" i="44"/>
  <c r="AA239" i="44" s="1"/>
  <c r="AB239" i="44"/>
  <c r="AC239" i="44" s="1"/>
  <c r="AD239" i="44"/>
  <c r="AH239" i="44" s="1" a="1"/>
  <c r="AH239" i="44" s="1"/>
  <c r="AE239" i="44"/>
  <c r="AF239" i="44" s="1"/>
  <c r="AG239" i="44" s="1"/>
  <c r="Z240" i="44"/>
  <c r="AA240" i="44" s="1"/>
  <c r="AB240" i="44"/>
  <c r="AC240" i="44" s="1"/>
  <c r="AD240" i="44"/>
  <c r="AH240" i="44" s="1" a="1"/>
  <c r="AH240" i="44" s="1"/>
  <c r="AE240" i="44"/>
  <c r="AF240" i="44" s="1"/>
  <c r="AG240" i="44" s="1"/>
  <c r="Z241" i="44"/>
  <c r="AA241" i="44" s="1"/>
  <c r="AB241" i="44"/>
  <c r="AC241" i="44" s="1"/>
  <c r="AD241" i="44"/>
  <c r="AH241" i="44" s="1" a="1"/>
  <c r="AH241" i="44" s="1"/>
  <c r="AE241" i="44"/>
  <c r="AF241" i="44" s="1"/>
  <c r="AG241" i="44" s="1"/>
  <c r="Z242" i="44"/>
  <c r="AA242" i="44" s="1"/>
  <c r="AB242" i="44"/>
  <c r="AC242" i="44" s="1"/>
  <c r="AD242" i="44"/>
  <c r="AH242" i="44" s="1" a="1"/>
  <c r="AH242" i="44" s="1"/>
  <c r="AE242" i="44"/>
  <c r="AF242" i="44" s="1"/>
  <c r="AG242" i="44" s="1"/>
  <c r="Z243" i="44"/>
  <c r="AA243" i="44" s="1"/>
  <c r="AB243" i="44"/>
  <c r="AC243" i="44" s="1"/>
  <c r="AD243" i="44"/>
  <c r="AH243" i="44" s="1" a="1"/>
  <c r="AH243" i="44" s="1"/>
  <c r="AE243" i="44"/>
  <c r="AJ243" i="44" s="1"/>
  <c r="Z244" i="44"/>
  <c r="AA244" i="44" s="1"/>
  <c r="AB244" i="44"/>
  <c r="AC244" i="44" s="1"/>
  <c r="AD244" i="44"/>
  <c r="AH244" i="44" s="1" a="1"/>
  <c r="AH244" i="44" s="1"/>
  <c r="AE244" i="44"/>
  <c r="AF244" i="44" s="1"/>
  <c r="AG244" i="44" s="1"/>
  <c r="Z245" i="44"/>
  <c r="AA245" i="44" s="1"/>
  <c r="AB245" i="44"/>
  <c r="AC245" i="44" s="1"/>
  <c r="AD245" i="44"/>
  <c r="AH245" i="44" s="1" a="1"/>
  <c r="AH245" i="44" s="1"/>
  <c r="AE245" i="44"/>
  <c r="Z246" i="44"/>
  <c r="AA246" i="44" s="1"/>
  <c r="AB246" i="44"/>
  <c r="AC246" i="44" s="1"/>
  <c r="AD246" i="44"/>
  <c r="AH246" i="44" s="1" a="1"/>
  <c r="AH246" i="44" s="1"/>
  <c r="AE246" i="44"/>
  <c r="AI246" i="44" s="1"/>
  <c r="Z247" i="44"/>
  <c r="AA247" i="44" s="1"/>
  <c r="AB247" i="44"/>
  <c r="AC247" i="44" s="1"/>
  <c r="AD247" i="44"/>
  <c r="AH247" i="44" s="1" a="1"/>
  <c r="AH247" i="44" s="1"/>
  <c r="AE247" i="44"/>
  <c r="Z248" i="44"/>
  <c r="AA248" i="44" s="1"/>
  <c r="AB248" i="44"/>
  <c r="AC248" i="44" s="1"/>
  <c r="AD248" i="44"/>
  <c r="AH248" i="44" s="1" a="1"/>
  <c r="AH248" i="44" s="1"/>
  <c r="AE248" i="44"/>
  <c r="AI248" i="44" s="1"/>
  <c r="Z249" i="44"/>
  <c r="AA249" i="44" s="1"/>
  <c r="AB249" i="44"/>
  <c r="AC249" i="44" s="1"/>
  <c r="AD249" i="44"/>
  <c r="AH249" i="44" s="1" a="1"/>
  <c r="AH249" i="44" s="1"/>
  <c r="AE249" i="44"/>
  <c r="AI249" i="44" s="1"/>
  <c r="Z250" i="44"/>
  <c r="AA250" i="44" s="1"/>
  <c r="AB250" i="44"/>
  <c r="AC250" i="44" s="1"/>
  <c r="AD250" i="44"/>
  <c r="AH250" i="44" s="1" a="1"/>
  <c r="AH250" i="44" s="1"/>
  <c r="AE250" i="44"/>
  <c r="AF250" i="44" s="1"/>
  <c r="AG250" i="44" s="1"/>
  <c r="Z251" i="44"/>
  <c r="AA251" i="44" s="1"/>
  <c r="AB251" i="44"/>
  <c r="AC251" i="44" s="1"/>
  <c r="AD251" i="44"/>
  <c r="AH251" i="44" s="1" a="1"/>
  <c r="AH251" i="44" s="1"/>
  <c r="AE251" i="44"/>
  <c r="AI251" i="44" s="1"/>
  <c r="Z252" i="44"/>
  <c r="AA252" i="44" s="1"/>
  <c r="AB252" i="44"/>
  <c r="AC252" i="44" s="1"/>
  <c r="AD252" i="44"/>
  <c r="AH252" i="44" s="1" a="1"/>
  <c r="AH252" i="44" s="1"/>
  <c r="AE252" i="44"/>
  <c r="AF252" i="44" s="1"/>
  <c r="AG252" i="44" s="1"/>
  <c r="Z253" i="44"/>
  <c r="AA253" i="44" s="1"/>
  <c r="AB253" i="44"/>
  <c r="AC253" i="44" s="1"/>
  <c r="AD253" i="44"/>
  <c r="AH253" i="44" s="1" a="1"/>
  <c r="AH253" i="44" s="1"/>
  <c r="AE253" i="44"/>
  <c r="AI253" i="44" s="1"/>
  <c r="Z254" i="44"/>
  <c r="AA254" i="44" s="1"/>
  <c r="AB254" i="44"/>
  <c r="AC254" i="44" s="1"/>
  <c r="AD254" i="44"/>
  <c r="AH254" i="44" s="1" a="1"/>
  <c r="AH254" i="44" s="1"/>
  <c r="AE254" i="44"/>
  <c r="AF254" i="44" s="1"/>
  <c r="AG254" i="44" s="1"/>
  <c r="Z255" i="44"/>
  <c r="AA255" i="44" s="1"/>
  <c r="AB255" i="44"/>
  <c r="AC255" i="44" s="1"/>
  <c r="AD255" i="44"/>
  <c r="AH255" i="44" s="1" a="1"/>
  <c r="AH255" i="44" s="1"/>
  <c r="AE255" i="44"/>
  <c r="AI255" i="44" s="1"/>
  <c r="Z256" i="44"/>
  <c r="AA256" i="44" s="1"/>
  <c r="AB256" i="44"/>
  <c r="AC256" i="44" s="1"/>
  <c r="AD256" i="44"/>
  <c r="AH256" i="44" s="1" a="1"/>
  <c r="AH256" i="44" s="1"/>
  <c r="AE256" i="44"/>
  <c r="AJ256" i="44" s="1"/>
  <c r="Z257" i="44"/>
  <c r="AA257" i="44" s="1"/>
  <c r="AB257" i="44"/>
  <c r="AC257" i="44" s="1"/>
  <c r="AD257" i="44"/>
  <c r="AH257" i="44" s="1" a="1"/>
  <c r="AH257" i="44" s="1"/>
  <c r="AE257" i="44"/>
  <c r="AI257" i="44" s="1"/>
  <c r="Z258" i="44"/>
  <c r="AA258" i="44" s="1"/>
  <c r="AB258" i="44"/>
  <c r="AC258" i="44" s="1"/>
  <c r="AD258" i="44"/>
  <c r="AH258" i="44" s="1" a="1"/>
  <c r="AH258" i="44" s="1"/>
  <c r="AE258" i="44"/>
  <c r="AF258" i="44" s="1"/>
  <c r="AG258" i="44" s="1"/>
  <c r="Z259" i="44"/>
  <c r="AA259" i="44" s="1"/>
  <c r="AB259" i="44"/>
  <c r="AC259" i="44" s="1"/>
  <c r="AD259" i="44"/>
  <c r="AH259" i="44" s="1" a="1"/>
  <c r="AH259" i="44" s="1"/>
  <c r="AE259" i="44"/>
  <c r="AJ259" i="44" s="1"/>
  <c r="Z260" i="44"/>
  <c r="AA260" i="44" s="1"/>
  <c r="AB260" i="44"/>
  <c r="AC260" i="44" s="1"/>
  <c r="AD260" i="44"/>
  <c r="AH260" i="44" s="1" a="1"/>
  <c r="AH260" i="44" s="1"/>
  <c r="AE260" i="44"/>
  <c r="AF260" i="44" s="1"/>
  <c r="AG260" i="44" s="1"/>
  <c r="Z261" i="44"/>
  <c r="AA261" i="44" s="1"/>
  <c r="AB261" i="44"/>
  <c r="AC261" i="44" s="1"/>
  <c r="AD261" i="44"/>
  <c r="AH261" i="44" s="1" a="1"/>
  <c r="AH261" i="44" s="1"/>
  <c r="AE261" i="44"/>
  <c r="AJ261" i="44" s="1"/>
  <c r="Z262" i="44"/>
  <c r="AA262" i="44" s="1"/>
  <c r="AB262" i="44"/>
  <c r="AC262" i="44" s="1"/>
  <c r="AD262" i="44"/>
  <c r="AH262" i="44" s="1" a="1"/>
  <c r="AH262" i="44" s="1"/>
  <c r="AE262" i="44"/>
  <c r="AI262" i="44" s="1"/>
  <c r="Z263" i="44"/>
  <c r="AA263" i="44" s="1"/>
  <c r="AB263" i="44"/>
  <c r="AC263" i="44" s="1"/>
  <c r="AD263" i="44"/>
  <c r="AH263" i="44" s="1" a="1"/>
  <c r="AH263" i="44" s="1"/>
  <c r="AE263" i="44"/>
  <c r="AJ263" i="44" s="1"/>
  <c r="Z264" i="44"/>
  <c r="AA264" i="44" s="1"/>
  <c r="AB264" i="44"/>
  <c r="AC264" i="44" s="1"/>
  <c r="AD264" i="44"/>
  <c r="AH264" i="44" s="1" a="1"/>
  <c r="AH264" i="44" s="1"/>
  <c r="AE264" i="44"/>
  <c r="AI264" i="44" s="1"/>
  <c r="Z265" i="44"/>
  <c r="AA265" i="44" s="1"/>
  <c r="AB265" i="44"/>
  <c r="AC265" i="44" s="1"/>
  <c r="AD265" i="44"/>
  <c r="AH265" i="44" s="1" a="1"/>
  <c r="AH265" i="44" s="1"/>
  <c r="AE265" i="44"/>
  <c r="AJ265" i="44" s="1"/>
  <c r="Z266" i="44"/>
  <c r="AA266" i="44" s="1"/>
  <c r="AB266" i="44"/>
  <c r="AC266" i="44" s="1"/>
  <c r="AD266" i="44"/>
  <c r="AH266" i="44" s="1" a="1"/>
  <c r="AH266" i="44" s="1"/>
  <c r="AE266" i="44"/>
  <c r="AF266" i="44" s="1"/>
  <c r="AG266" i="44" s="1"/>
  <c r="Z267" i="44"/>
  <c r="AA267" i="44" s="1"/>
  <c r="AB267" i="44"/>
  <c r="AC267" i="44" s="1"/>
  <c r="AD267" i="44"/>
  <c r="AH267" i="44" s="1" a="1"/>
  <c r="AH267" i="44" s="1"/>
  <c r="AE267" i="44"/>
  <c r="AJ267" i="44" s="1"/>
  <c r="Z268" i="44"/>
  <c r="AA268" i="44" s="1"/>
  <c r="AB268" i="44"/>
  <c r="AC268" i="44" s="1"/>
  <c r="AD268" i="44"/>
  <c r="AH268" i="44" s="1" a="1"/>
  <c r="AH268" i="44" s="1"/>
  <c r="AE268" i="44"/>
  <c r="AJ268" i="44" s="1"/>
  <c r="Z269" i="44"/>
  <c r="AA269" i="44" s="1"/>
  <c r="AB269" i="44"/>
  <c r="AC269" i="44" s="1"/>
  <c r="AD269" i="44"/>
  <c r="AH269" i="44" s="1" a="1"/>
  <c r="AH269" i="44" s="1"/>
  <c r="AE269" i="44"/>
  <c r="AJ269" i="44" s="1"/>
  <c r="Z270" i="44"/>
  <c r="AA270" i="44" s="1"/>
  <c r="AB270" i="44"/>
  <c r="AC270" i="44" s="1"/>
  <c r="AD270" i="44"/>
  <c r="AH270" i="44" s="1" a="1"/>
  <c r="AH270" i="44" s="1"/>
  <c r="AE270" i="44"/>
  <c r="AJ270" i="44" s="1"/>
  <c r="Z271" i="44"/>
  <c r="AA271" i="44" s="1"/>
  <c r="AB271" i="44"/>
  <c r="AC271" i="44" s="1"/>
  <c r="AD271" i="44"/>
  <c r="AH271" i="44" s="1" a="1"/>
  <c r="AH271" i="44" s="1"/>
  <c r="AE271" i="44"/>
  <c r="AJ271" i="44" s="1"/>
  <c r="Z272" i="44"/>
  <c r="AA272" i="44" s="1"/>
  <c r="AB272" i="44"/>
  <c r="AC272" i="44" s="1"/>
  <c r="AD272" i="44"/>
  <c r="AH272" i="44" s="1" a="1"/>
  <c r="AH272" i="44" s="1"/>
  <c r="AE272" i="44"/>
  <c r="AF272" i="44" s="1"/>
  <c r="AG272" i="44" s="1"/>
  <c r="Z273" i="44"/>
  <c r="AA273" i="44" s="1"/>
  <c r="AB273" i="44"/>
  <c r="AC273" i="44" s="1"/>
  <c r="AD273" i="44"/>
  <c r="AH273" i="44" s="1" a="1"/>
  <c r="AH273" i="44" s="1"/>
  <c r="AE273" i="44"/>
  <c r="Z274" i="44"/>
  <c r="AA274" i="44" s="1"/>
  <c r="AB274" i="44"/>
  <c r="AC274" i="44" s="1"/>
  <c r="AD274" i="44"/>
  <c r="AH274" i="44" s="1" a="1"/>
  <c r="AH274" i="44" s="1"/>
  <c r="AE274" i="44"/>
  <c r="AF274" i="44" s="1"/>
  <c r="AG274" i="44" s="1"/>
  <c r="Z275" i="44"/>
  <c r="AA275" i="44" s="1"/>
  <c r="AB275" i="44"/>
  <c r="AC275" i="44" s="1"/>
  <c r="AD275" i="44"/>
  <c r="AH275" i="44" s="1" a="1"/>
  <c r="AH275" i="44" s="1"/>
  <c r="AE275" i="44"/>
  <c r="AJ275" i="44" s="1"/>
  <c r="Z276" i="44"/>
  <c r="AA276" i="44" s="1"/>
  <c r="AB276" i="44"/>
  <c r="AC276" i="44" s="1"/>
  <c r="AD276" i="44"/>
  <c r="AH276" i="44" s="1" a="1"/>
  <c r="AH276" i="44" s="1"/>
  <c r="AE276" i="44"/>
  <c r="AF276" i="44" s="1"/>
  <c r="AG276" i="44" s="1"/>
  <c r="Z277" i="44"/>
  <c r="AA277" i="44" s="1"/>
  <c r="AB277" i="44"/>
  <c r="AC277" i="44" s="1"/>
  <c r="AD277" i="44"/>
  <c r="AH277" i="44" s="1" a="1"/>
  <c r="AH277" i="44" s="1"/>
  <c r="AE277" i="44"/>
  <c r="Z278" i="44"/>
  <c r="AA278" i="44" s="1"/>
  <c r="AB278" i="44"/>
  <c r="AC278" i="44" s="1"/>
  <c r="AD278" i="44"/>
  <c r="AH278" i="44" s="1" a="1"/>
  <c r="AH278" i="44" s="1"/>
  <c r="AE278" i="44"/>
  <c r="AI278" i="44" s="1"/>
  <c r="Z279" i="44"/>
  <c r="AA279" i="44" s="1"/>
  <c r="AB279" i="44"/>
  <c r="AC279" i="44" s="1"/>
  <c r="AD279" i="44"/>
  <c r="AH279" i="44" s="1" a="1"/>
  <c r="AH279" i="44" s="1"/>
  <c r="AE279" i="44"/>
  <c r="AJ279" i="44" s="1"/>
  <c r="Z280" i="44"/>
  <c r="AA280" i="44" s="1"/>
  <c r="AB280" i="44"/>
  <c r="AC280" i="44" s="1"/>
  <c r="AD280" i="44"/>
  <c r="AH280" i="44" s="1" a="1"/>
  <c r="AH280" i="44" s="1"/>
  <c r="AE280" i="44"/>
  <c r="AF280" i="44" s="1"/>
  <c r="AG280" i="44" s="1"/>
  <c r="Z281" i="44"/>
  <c r="AA281" i="44" s="1"/>
  <c r="AB281" i="44"/>
  <c r="AC281" i="44" s="1"/>
  <c r="AD281" i="44"/>
  <c r="AH281" i="44" s="1" a="1"/>
  <c r="AH281" i="44" s="1"/>
  <c r="AE281" i="44"/>
  <c r="AJ281" i="44" s="1"/>
  <c r="Z282" i="44"/>
  <c r="AA282" i="44" s="1"/>
  <c r="AB282" i="44"/>
  <c r="AC282" i="44" s="1"/>
  <c r="AD282" i="44"/>
  <c r="AH282" i="44" s="1" a="1"/>
  <c r="AH282" i="44" s="1"/>
  <c r="AE282" i="44"/>
  <c r="AI282" i="44" s="1"/>
  <c r="Z283" i="44"/>
  <c r="AA283" i="44" s="1"/>
  <c r="AB283" i="44"/>
  <c r="AC283" i="44" s="1"/>
  <c r="AD283" i="44"/>
  <c r="AH283" i="44" s="1" a="1"/>
  <c r="AH283" i="44" s="1"/>
  <c r="AE283" i="44"/>
  <c r="AJ283" i="44" s="1"/>
  <c r="Z284" i="44"/>
  <c r="AA284" i="44" s="1"/>
  <c r="AB284" i="44"/>
  <c r="AC284" i="44" s="1"/>
  <c r="AD284" i="44"/>
  <c r="AH284" i="44" s="1" a="1"/>
  <c r="AH284" i="44" s="1"/>
  <c r="AE284" i="44"/>
  <c r="AJ284" i="44" s="1"/>
  <c r="Z285" i="44"/>
  <c r="AA285" i="44" s="1"/>
  <c r="AB285" i="44"/>
  <c r="AC285" i="44" s="1"/>
  <c r="AD285" i="44"/>
  <c r="AH285" i="44" s="1" a="1"/>
  <c r="AH285" i="44" s="1"/>
  <c r="AE285" i="44"/>
  <c r="AJ285" i="44" s="1"/>
  <c r="Z286" i="44"/>
  <c r="AA286" i="44" s="1"/>
  <c r="AB286" i="44"/>
  <c r="AC286" i="44" s="1"/>
  <c r="AD286" i="44"/>
  <c r="AH286" i="44" s="1" a="1"/>
  <c r="AH286" i="44" s="1"/>
  <c r="AE286" i="44"/>
  <c r="AF286" i="44" s="1"/>
  <c r="AG286" i="44" s="1"/>
  <c r="Z287" i="44"/>
  <c r="AA287" i="44" s="1"/>
  <c r="AB287" i="44"/>
  <c r="AC287" i="44" s="1"/>
  <c r="AD287" i="44"/>
  <c r="AH287" i="44" s="1" a="1"/>
  <c r="AH287" i="44" s="1"/>
  <c r="AE287" i="44"/>
  <c r="AJ287" i="44" s="1"/>
  <c r="Z288" i="44"/>
  <c r="AA288" i="44" s="1"/>
  <c r="AB288" i="44"/>
  <c r="AC288" i="44" s="1"/>
  <c r="AD288" i="44"/>
  <c r="AH288" i="44" s="1" a="1"/>
  <c r="AH288" i="44" s="1"/>
  <c r="AE288" i="44"/>
  <c r="AF288" i="44" s="1"/>
  <c r="AG288" i="44" s="1"/>
  <c r="Z289" i="44"/>
  <c r="AA289" i="44" s="1"/>
  <c r="AB289" i="44"/>
  <c r="AC289" i="44" s="1"/>
  <c r="AD289" i="44"/>
  <c r="AH289" i="44" s="1" a="1"/>
  <c r="AH289" i="44" s="1"/>
  <c r="AE289" i="44"/>
  <c r="AJ289" i="44" s="1"/>
  <c r="Z290" i="44"/>
  <c r="AA290" i="44" s="1"/>
  <c r="AB290" i="44"/>
  <c r="AC290" i="44" s="1"/>
  <c r="AD290" i="44"/>
  <c r="AH290" i="44" s="1" a="1"/>
  <c r="AH290" i="44" s="1"/>
  <c r="AE290" i="44"/>
  <c r="AF290" i="44" s="1"/>
  <c r="AG290" i="44" s="1"/>
  <c r="Z291" i="44"/>
  <c r="AA291" i="44" s="1"/>
  <c r="AB291" i="44"/>
  <c r="AC291" i="44" s="1"/>
  <c r="AD291" i="44"/>
  <c r="AH291" i="44" s="1" a="1"/>
  <c r="AH291" i="44" s="1"/>
  <c r="AE291" i="44"/>
  <c r="Z292" i="44"/>
  <c r="AA292" i="44" s="1"/>
  <c r="AB292" i="44"/>
  <c r="AC292" i="44" s="1"/>
  <c r="AD292" i="44"/>
  <c r="AH292" i="44" s="1" a="1"/>
  <c r="AH292" i="44" s="1"/>
  <c r="AE292" i="44"/>
  <c r="Z293" i="44"/>
  <c r="AA293" i="44" s="1"/>
  <c r="AB293" i="44"/>
  <c r="AC293" i="44" s="1"/>
  <c r="AD293" i="44"/>
  <c r="AH293" i="44" s="1" a="1"/>
  <c r="AH293" i="44" s="1"/>
  <c r="AE293" i="44"/>
  <c r="AJ293" i="44" s="1"/>
  <c r="Z294" i="44"/>
  <c r="AA294" i="44" s="1"/>
  <c r="AB294" i="44"/>
  <c r="AC294" i="44" s="1"/>
  <c r="AD294" i="44"/>
  <c r="AH294" i="44" s="1" a="1"/>
  <c r="AH294" i="44" s="1"/>
  <c r="AE294" i="44"/>
  <c r="AI294" i="44" s="1"/>
  <c r="Z295" i="44"/>
  <c r="AA295" i="44" s="1"/>
  <c r="AB295" i="44"/>
  <c r="AC295" i="44" s="1"/>
  <c r="AD295" i="44"/>
  <c r="AH295" i="44" s="1" a="1"/>
  <c r="AH295" i="44" s="1"/>
  <c r="AE295" i="44"/>
  <c r="AJ295" i="44" s="1"/>
  <c r="Z296" i="44"/>
  <c r="AA296" i="44" s="1"/>
  <c r="AB296" i="44"/>
  <c r="AC296" i="44" s="1"/>
  <c r="AD296" i="44"/>
  <c r="AH296" i="44" s="1" a="1"/>
  <c r="AH296" i="44" s="1"/>
  <c r="AE296" i="44"/>
  <c r="AF296" i="44" s="1"/>
  <c r="AG296" i="44" s="1"/>
  <c r="Z297" i="44"/>
  <c r="AA297" i="44" s="1"/>
  <c r="AB297" i="44"/>
  <c r="AC297" i="44" s="1"/>
  <c r="AD297" i="44"/>
  <c r="AH297" i="44" s="1" a="1"/>
  <c r="AH297" i="44" s="1"/>
  <c r="AE297" i="44"/>
  <c r="Z298" i="44"/>
  <c r="AA298" i="44" s="1"/>
  <c r="AB298" i="44"/>
  <c r="AC298" i="44" s="1"/>
  <c r="AD298" i="44"/>
  <c r="AH298" i="44" s="1" a="1"/>
  <c r="AH298" i="44" s="1"/>
  <c r="AE298" i="44"/>
  <c r="AF298" i="44" s="1"/>
  <c r="AG298" i="44" s="1"/>
  <c r="Z299" i="44"/>
  <c r="AA299" i="44" s="1"/>
  <c r="AB299" i="44"/>
  <c r="AC299" i="44" s="1"/>
  <c r="AD299" i="44"/>
  <c r="AH299" i="44" s="1" a="1"/>
  <c r="AH299" i="44" s="1"/>
  <c r="AE299" i="44"/>
  <c r="AI299" i="44" s="1"/>
  <c r="Z300" i="44"/>
  <c r="AA300" i="44" s="1"/>
  <c r="AB300" i="44"/>
  <c r="AC300" i="44" s="1"/>
  <c r="AD300" i="44"/>
  <c r="AH300" i="44" s="1" a="1"/>
  <c r="AH300" i="44" s="1"/>
  <c r="AE300" i="44"/>
  <c r="AI300" i="44" s="1"/>
  <c r="Z301" i="44"/>
  <c r="AA301" i="44" s="1"/>
  <c r="AB301" i="44"/>
  <c r="AC301" i="44" s="1"/>
  <c r="AD301" i="44"/>
  <c r="AH301" i="44" s="1" a="1"/>
  <c r="AH301" i="44" s="1"/>
  <c r="AE301" i="44"/>
  <c r="AI301" i="44" s="1"/>
  <c r="Z302" i="44"/>
  <c r="AA302" i="44" s="1"/>
  <c r="AB302" i="44"/>
  <c r="AC302" i="44" s="1"/>
  <c r="AD302" i="44"/>
  <c r="AH302" i="44" s="1" a="1"/>
  <c r="AH302" i="44" s="1"/>
  <c r="AE302" i="44"/>
  <c r="AI302" i="44" s="1"/>
  <c r="Z303" i="44"/>
  <c r="AA303" i="44" s="1"/>
  <c r="AB303" i="44"/>
  <c r="AC303" i="44" s="1"/>
  <c r="AD303" i="44"/>
  <c r="AH303" i="44" s="1" a="1"/>
  <c r="AH303" i="44" s="1"/>
  <c r="AE303" i="44"/>
  <c r="AI303" i="44" s="1"/>
  <c r="Z304" i="44"/>
  <c r="AA304" i="44" s="1"/>
  <c r="AB304" i="44"/>
  <c r="AC304" i="44" s="1"/>
  <c r="AD304" i="44"/>
  <c r="AH304" i="44" s="1" a="1"/>
  <c r="AH304" i="44" s="1"/>
  <c r="AE304" i="44"/>
  <c r="AI304" i="44" s="1"/>
  <c r="Z305" i="44"/>
  <c r="AA305" i="44" s="1"/>
  <c r="AB305" i="44"/>
  <c r="AC305" i="44" s="1"/>
  <c r="AD305" i="44"/>
  <c r="AH305" i="44" s="1" a="1"/>
  <c r="AH305" i="44" s="1"/>
  <c r="AE305" i="44"/>
  <c r="AI305" i="44" s="1"/>
  <c r="Z306" i="44"/>
  <c r="AA306" i="44" s="1"/>
  <c r="AB306" i="44"/>
  <c r="AC306" i="44" s="1"/>
  <c r="AD306" i="44"/>
  <c r="AH306" i="44" s="1" a="1"/>
  <c r="AH306" i="44" s="1"/>
  <c r="AE306" i="44"/>
  <c r="AI306" i="44" s="1"/>
  <c r="Z307" i="44"/>
  <c r="AA307" i="44" s="1"/>
  <c r="AB307" i="44"/>
  <c r="AC307" i="44" s="1"/>
  <c r="AD307" i="44"/>
  <c r="AH307" i="44" s="1" a="1"/>
  <c r="AH307" i="44" s="1"/>
  <c r="AE307" i="44"/>
  <c r="AI307" i="44" s="1"/>
  <c r="Z308" i="44"/>
  <c r="AA308" i="44" s="1"/>
  <c r="AB308" i="44"/>
  <c r="AC308" i="44" s="1"/>
  <c r="AD308" i="44"/>
  <c r="AH308" i="44" s="1" a="1"/>
  <c r="AH308" i="44" s="1"/>
  <c r="AE308" i="44"/>
  <c r="AI308" i="44" s="1"/>
  <c r="Z309" i="44"/>
  <c r="AA309" i="44" s="1"/>
  <c r="AB309" i="44"/>
  <c r="AC309" i="44" s="1"/>
  <c r="AD309" i="44"/>
  <c r="AH309" i="44" s="1" a="1"/>
  <c r="AH309" i="44" s="1"/>
  <c r="AE309" i="44"/>
  <c r="AI309" i="44" s="1"/>
  <c r="Z310" i="44"/>
  <c r="AA310" i="44" s="1"/>
  <c r="AB310" i="44"/>
  <c r="AC310" i="44" s="1"/>
  <c r="AD310" i="44"/>
  <c r="AH310" i="44" s="1" a="1"/>
  <c r="AH310" i="44" s="1"/>
  <c r="AE310" i="44"/>
  <c r="AI310" i="44" s="1"/>
  <c r="Z311" i="44"/>
  <c r="AA311" i="44" s="1"/>
  <c r="AB311" i="44"/>
  <c r="AC311" i="44" s="1"/>
  <c r="AD311" i="44"/>
  <c r="AH311" i="44" s="1" a="1"/>
  <c r="AH311" i="44" s="1"/>
  <c r="AE311" i="44"/>
  <c r="AJ311" i="44" s="1"/>
  <c r="Z312" i="44"/>
  <c r="AA312" i="44" s="1"/>
  <c r="AB312" i="44"/>
  <c r="AC312" i="44" s="1"/>
  <c r="AD312" i="44"/>
  <c r="AH312" i="44" s="1" a="1"/>
  <c r="AH312" i="44" s="1"/>
  <c r="AE312" i="44"/>
  <c r="AF312" i="44" s="1"/>
  <c r="AG312" i="44" s="1"/>
  <c r="Z313" i="44"/>
  <c r="AA313" i="44" s="1"/>
  <c r="AB313" i="44"/>
  <c r="AC313" i="44" s="1"/>
  <c r="AD313" i="44"/>
  <c r="AH313" i="44" s="1" a="1"/>
  <c r="AH313" i="44" s="1"/>
  <c r="AE313" i="44"/>
  <c r="AF313" i="44" s="1"/>
  <c r="AG313" i="44" s="1"/>
  <c r="Z314" i="44"/>
  <c r="AA314" i="44" s="1"/>
  <c r="AB314" i="44"/>
  <c r="AC314" i="44" s="1"/>
  <c r="AD314" i="44"/>
  <c r="AH314" i="44" s="1" a="1"/>
  <c r="AH314" i="44" s="1"/>
  <c r="AE314" i="44"/>
  <c r="AF314" i="44" s="1"/>
  <c r="AG314" i="44" s="1"/>
  <c r="Z315" i="44"/>
  <c r="AA315" i="44" s="1"/>
  <c r="AB315" i="44"/>
  <c r="AC315" i="44" s="1"/>
  <c r="AD315" i="44"/>
  <c r="AH315" i="44" s="1" a="1"/>
  <c r="AH315" i="44" s="1"/>
  <c r="AE315" i="44"/>
  <c r="AF315" i="44" s="1"/>
  <c r="AG315" i="44" s="1"/>
  <c r="Z316" i="44"/>
  <c r="AA316" i="44" s="1"/>
  <c r="AB316" i="44"/>
  <c r="AC316" i="44" s="1"/>
  <c r="AD316" i="44"/>
  <c r="AH316" i="44" s="1" a="1"/>
  <c r="AH316" i="44" s="1"/>
  <c r="AE316" i="44"/>
  <c r="AF316" i="44" s="1"/>
  <c r="AG316" i="44" s="1"/>
  <c r="Z317" i="44"/>
  <c r="AA317" i="44" s="1"/>
  <c r="AB317" i="44"/>
  <c r="AC317" i="44" s="1"/>
  <c r="AD317" i="44"/>
  <c r="AH317" i="44" s="1" a="1"/>
  <c r="AH317" i="44" s="1"/>
  <c r="AE317" i="44"/>
  <c r="AI317" i="44" s="1"/>
  <c r="Z318" i="44"/>
  <c r="AA318" i="44" s="1"/>
  <c r="AB318" i="44"/>
  <c r="AC318" i="44" s="1"/>
  <c r="AD318" i="44"/>
  <c r="AH318" i="44" s="1" a="1"/>
  <c r="AH318" i="44" s="1"/>
  <c r="AE318" i="44"/>
  <c r="AJ318" i="44" s="1"/>
  <c r="Z319" i="44"/>
  <c r="AA319" i="44" s="1"/>
  <c r="AB319" i="44"/>
  <c r="AC319" i="44" s="1"/>
  <c r="AD319" i="44"/>
  <c r="AH319" i="44" s="1" a="1"/>
  <c r="AH319" i="44" s="1"/>
  <c r="AE319" i="44"/>
  <c r="Z320" i="44"/>
  <c r="AA320" i="44" s="1"/>
  <c r="AB320" i="44"/>
  <c r="AC320" i="44" s="1"/>
  <c r="AD320" i="44"/>
  <c r="AH320" i="44" s="1" a="1"/>
  <c r="AH320" i="44" s="1"/>
  <c r="AE320" i="44"/>
  <c r="AI320" i="44" s="1"/>
  <c r="Z321" i="44"/>
  <c r="AA321" i="44" s="1"/>
  <c r="AB321" i="44"/>
  <c r="AC321" i="44" s="1"/>
  <c r="AD321" i="44"/>
  <c r="AH321" i="44" s="1" a="1"/>
  <c r="AH321" i="44" s="1"/>
  <c r="AE321" i="44"/>
  <c r="AJ321" i="44" s="1"/>
  <c r="Z322" i="44"/>
  <c r="AA322" i="44" s="1"/>
  <c r="AB322" i="44"/>
  <c r="AC322" i="44" s="1"/>
  <c r="AD322" i="44"/>
  <c r="AH322" i="44" s="1" a="1"/>
  <c r="AH322" i="44" s="1"/>
  <c r="AE322" i="44"/>
  <c r="AJ322" i="44" s="1"/>
  <c r="Z323" i="44"/>
  <c r="AA323" i="44" s="1"/>
  <c r="AB323" i="44"/>
  <c r="AC323" i="44" s="1"/>
  <c r="AD323" i="44"/>
  <c r="AH323" i="44" s="1" a="1"/>
  <c r="AH323" i="44" s="1"/>
  <c r="AE323" i="44"/>
  <c r="AF323" i="44" s="1"/>
  <c r="AG323" i="44" s="1"/>
  <c r="Z324" i="44"/>
  <c r="AA324" i="44" s="1"/>
  <c r="AB324" i="44"/>
  <c r="AC324" i="44" s="1"/>
  <c r="AD324" i="44"/>
  <c r="AH324" i="44" s="1" a="1"/>
  <c r="AH324" i="44" s="1"/>
  <c r="AE324" i="44"/>
  <c r="AF324" i="44" s="1"/>
  <c r="AG324" i="44" s="1"/>
  <c r="Z325" i="44"/>
  <c r="AA325" i="44" s="1"/>
  <c r="AB325" i="44"/>
  <c r="AC325" i="44" s="1"/>
  <c r="AD325" i="44"/>
  <c r="AH325" i="44" s="1" a="1"/>
  <c r="AH325" i="44" s="1"/>
  <c r="AE325" i="44"/>
  <c r="AF325" i="44" s="1"/>
  <c r="AG325" i="44" s="1"/>
  <c r="Z326" i="44"/>
  <c r="AA326" i="44" s="1"/>
  <c r="AB326" i="44"/>
  <c r="AC326" i="44" s="1"/>
  <c r="AD326" i="44"/>
  <c r="AH326" i="44" s="1" a="1"/>
  <c r="AH326" i="44" s="1"/>
  <c r="AE326" i="44"/>
  <c r="AF326" i="44" s="1"/>
  <c r="AG326" i="44" s="1"/>
  <c r="Z327" i="44"/>
  <c r="AA327" i="44" s="1"/>
  <c r="AB327" i="44"/>
  <c r="AC327" i="44" s="1"/>
  <c r="AD327" i="44"/>
  <c r="AH327" i="44" s="1" a="1"/>
  <c r="AH327" i="44" s="1"/>
  <c r="AE327" i="44"/>
  <c r="AI327" i="44" s="1"/>
  <c r="Z328" i="44"/>
  <c r="AA328" i="44" s="1"/>
  <c r="AB328" i="44"/>
  <c r="AC328" i="44" s="1"/>
  <c r="AD328" i="44"/>
  <c r="AH328" i="44" s="1" a="1"/>
  <c r="AH328" i="44" s="1"/>
  <c r="AE328" i="44"/>
  <c r="AJ328" i="44" s="1"/>
  <c r="Z329" i="44"/>
  <c r="AA329" i="44" s="1"/>
  <c r="AB329" i="44"/>
  <c r="AC329" i="44" s="1"/>
  <c r="AD329" i="44"/>
  <c r="AH329" i="44" s="1" a="1"/>
  <c r="AH329" i="44" s="1"/>
  <c r="AE329" i="44"/>
  <c r="AF329" i="44" s="1"/>
  <c r="AG329" i="44" s="1"/>
  <c r="Z330" i="44"/>
  <c r="AA330" i="44" s="1"/>
  <c r="AB330" i="44"/>
  <c r="AC330" i="44" s="1"/>
  <c r="AD330" i="44"/>
  <c r="AH330" i="44" s="1" a="1"/>
  <c r="AH330" i="44" s="1"/>
  <c r="AE330" i="44"/>
  <c r="AI330" i="44" s="1"/>
  <c r="Z331" i="44"/>
  <c r="AA331" i="44" s="1"/>
  <c r="AB331" i="44"/>
  <c r="AC331" i="44" s="1"/>
  <c r="AD331" i="44"/>
  <c r="AH331" i="44" s="1" a="1"/>
  <c r="AH331" i="44" s="1"/>
  <c r="AE331" i="44"/>
  <c r="Z332" i="44"/>
  <c r="AA332" i="44" s="1"/>
  <c r="AB332" i="44"/>
  <c r="AC332" i="44" s="1"/>
  <c r="AD332" i="44"/>
  <c r="AH332" i="44" s="1" a="1"/>
  <c r="AH332" i="44" s="1"/>
  <c r="AE332" i="44"/>
  <c r="AF332" i="44" s="1"/>
  <c r="AG332" i="44" s="1"/>
  <c r="Z333" i="44"/>
  <c r="AA333" i="44" s="1"/>
  <c r="AB333" i="44"/>
  <c r="AC333" i="44" s="1"/>
  <c r="AD333" i="44"/>
  <c r="AH333" i="44" s="1" a="1"/>
  <c r="AH333" i="44" s="1"/>
  <c r="AE333" i="44"/>
  <c r="AF333" i="44" s="1"/>
  <c r="AG333" i="44" s="1"/>
  <c r="Z334" i="44"/>
  <c r="AA334" i="44" s="1"/>
  <c r="AB334" i="44"/>
  <c r="AC334" i="44" s="1"/>
  <c r="AD334" i="44"/>
  <c r="AH334" i="44" s="1" a="1"/>
  <c r="AH334" i="44" s="1"/>
  <c r="AE334" i="44"/>
  <c r="AF334" i="44" s="1"/>
  <c r="AG334" i="44" s="1"/>
  <c r="Z335" i="44"/>
  <c r="AA335" i="44" s="1"/>
  <c r="AB335" i="44"/>
  <c r="AC335" i="44" s="1"/>
  <c r="AD335" i="44"/>
  <c r="AH335" i="44" s="1" a="1"/>
  <c r="AH335" i="44" s="1"/>
  <c r="AE335" i="44"/>
  <c r="AJ335" i="44" s="1"/>
  <c r="Z336" i="44"/>
  <c r="AA336" i="44" s="1"/>
  <c r="AB336" i="44"/>
  <c r="AC336" i="44" s="1"/>
  <c r="AD336" i="44"/>
  <c r="AH336" i="44" s="1" a="1"/>
  <c r="AH336" i="44" s="1"/>
  <c r="AE336" i="44"/>
  <c r="AJ336" i="44" s="1"/>
  <c r="Z337" i="44"/>
  <c r="AA337" i="44" s="1"/>
  <c r="AB337" i="44"/>
  <c r="AC337" i="44" s="1"/>
  <c r="AD337" i="44"/>
  <c r="AH337" i="44" s="1" a="1"/>
  <c r="AH337" i="44" s="1"/>
  <c r="AE337" i="44"/>
  <c r="AF337" i="44" s="1"/>
  <c r="AG337" i="44" s="1"/>
  <c r="Z338" i="44"/>
  <c r="AA338" i="44" s="1"/>
  <c r="AB338" i="44"/>
  <c r="AC338" i="44" s="1"/>
  <c r="AD338" i="44"/>
  <c r="AH338" i="44" s="1" a="1"/>
  <c r="AH338" i="44" s="1"/>
  <c r="AE338" i="44"/>
  <c r="AI338" i="44" s="1"/>
  <c r="Z339" i="44"/>
  <c r="AA339" i="44" s="1"/>
  <c r="AB339" i="44"/>
  <c r="AC339" i="44" s="1"/>
  <c r="AD339" i="44"/>
  <c r="AH339" i="44" s="1" a="1"/>
  <c r="AH339" i="44" s="1"/>
  <c r="AE339" i="44"/>
  <c r="AJ339" i="44" s="1"/>
  <c r="Z340" i="44"/>
  <c r="AA340" i="44" s="1"/>
  <c r="AB340" i="44"/>
  <c r="AC340" i="44" s="1"/>
  <c r="AD340" i="44"/>
  <c r="AH340" i="44" s="1" a="1"/>
  <c r="AH340" i="44" s="1"/>
  <c r="AE340" i="44"/>
  <c r="AF340" i="44" s="1"/>
  <c r="AG340" i="44" s="1"/>
  <c r="Z341" i="44"/>
  <c r="AA341" i="44" s="1"/>
  <c r="AB341" i="44"/>
  <c r="AC341" i="44" s="1"/>
  <c r="AD341" i="44"/>
  <c r="AH341" i="44" s="1" a="1"/>
  <c r="AH341" i="44" s="1"/>
  <c r="AE341" i="44"/>
  <c r="AF341" i="44" s="1"/>
  <c r="AG341" i="44" s="1"/>
  <c r="Z342" i="44"/>
  <c r="AA342" i="44" s="1"/>
  <c r="AB342" i="44"/>
  <c r="AC342" i="44" s="1"/>
  <c r="AD342" i="44"/>
  <c r="AH342" i="44" s="1" a="1"/>
  <c r="AH342" i="44" s="1"/>
  <c r="AE342" i="44"/>
  <c r="AF342" i="44" s="1"/>
  <c r="AG342" i="44" s="1"/>
  <c r="Z343" i="44"/>
  <c r="AA343" i="44" s="1"/>
  <c r="AB343" i="44"/>
  <c r="AC343" i="44" s="1"/>
  <c r="AD343" i="44"/>
  <c r="AH343" i="44" s="1" a="1"/>
  <c r="AH343" i="44" s="1"/>
  <c r="AE343" i="44"/>
  <c r="AJ343" i="44" s="1"/>
  <c r="Z344" i="44"/>
  <c r="AA344" i="44" s="1"/>
  <c r="AB344" i="44"/>
  <c r="AC344" i="44" s="1"/>
  <c r="AD344" i="44"/>
  <c r="AH344" i="44" s="1" a="1"/>
  <c r="AH344" i="44" s="1"/>
  <c r="AE344" i="44"/>
  <c r="AF344" i="44" s="1"/>
  <c r="AG344" i="44" s="1"/>
  <c r="Z345" i="44"/>
  <c r="AA345" i="44" s="1"/>
  <c r="AB345" i="44"/>
  <c r="AC345" i="44" s="1"/>
  <c r="AD345" i="44"/>
  <c r="AH345" i="44" s="1" a="1"/>
  <c r="AH345" i="44" s="1"/>
  <c r="AE345" i="44"/>
  <c r="AF345" i="44" s="1"/>
  <c r="AG345" i="44" s="1"/>
  <c r="Z346" i="44"/>
  <c r="AA346" i="44" s="1"/>
  <c r="AB346" i="44"/>
  <c r="AC346" i="44" s="1"/>
  <c r="AD346" i="44"/>
  <c r="AH346" i="44" s="1" a="1"/>
  <c r="AH346" i="44" s="1"/>
  <c r="AE346" i="44"/>
  <c r="AI346" i="44" s="1"/>
  <c r="Z347" i="44"/>
  <c r="AA347" i="44" s="1"/>
  <c r="AB347" i="44"/>
  <c r="AC347" i="44" s="1"/>
  <c r="AD347" i="44"/>
  <c r="AH347" i="44" s="1" a="1"/>
  <c r="AH347" i="44" s="1"/>
  <c r="AE347" i="44"/>
  <c r="AJ347" i="44" s="1"/>
  <c r="Z348" i="44"/>
  <c r="AA348" i="44" s="1"/>
  <c r="AB348" i="44"/>
  <c r="AC348" i="44" s="1"/>
  <c r="AD348" i="44"/>
  <c r="AH348" i="44" s="1" a="1"/>
  <c r="AH348" i="44" s="1"/>
  <c r="AE348" i="44"/>
  <c r="AF348" i="44" s="1"/>
  <c r="AG348" i="44" s="1"/>
  <c r="Z349" i="44"/>
  <c r="AA349" i="44" s="1"/>
  <c r="AB349" i="44"/>
  <c r="AC349" i="44" s="1"/>
  <c r="AD349" i="44"/>
  <c r="AH349" i="44" s="1" a="1"/>
  <c r="AH349" i="44" s="1"/>
  <c r="AE349" i="44"/>
  <c r="AF349" i="44" s="1"/>
  <c r="AG349" i="44" s="1"/>
  <c r="Z350" i="44"/>
  <c r="AA350" i="44" s="1"/>
  <c r="AB350" i="44"/>
  <c r="AC350" i="44" s="1"/>
  <c r="AD350" i="44"/>
  <c r="AH350" i="44" s="1" a="1"/>
  <c r="AH350" i="44" s="1"/>
  <c r="AE350" i="44"/>
  <c r="AI350" i="44" s="1"/>
  <c r="Z351" i="44"/>
  <c r="AA351" i="44" s="1"/>
  <c r="AB351" i="44"/>
  <c r="AC351" i="44" s="1"/>
  <c r="AD351" i="44"/>
  <c r="AH351" i="44" s="1" a="1"/>
  <c r="AH351" i="44" s="1"/>
  <c r="AE351" i="44"/>
  <c r="AJ351" i="44" s="1"/>
  <c r="Z352" i="44"/>
  <c r="AA352" i="44" s="1"/>
  <c r="AB352" i="44"/>
  <c r="AC352" i="44" s="1"/>
  <c r="AD352" i="44"/>
  <c r="AH352" i="44" s="1" a="1"/>
  <c r="AH352" i="44" s="1"/>
  <c r="AE352" i="44"/>
  <c r="Z353" i="44"/>
  <c r="AA353" i="44" s="1"/>
  <c r="AB353" i="44"/>
  <c r="AC353" i="44" s="1"/>
  <c r="AD353" i="44"/>
  <c r="AH353" i="44" s="1" a="1"/>
  <c r="AH353" i="44" s="1"/>
  <c r="AE353" i="44"/>
  <c r="AF353" i="44" s="1"/>
  <c r="AG353" i="44" s="1"/>
  <c r="Z354" i="44"/>
  <c r="AA354" i="44" s="1"/>
  <c r="AB354" i="44"/>
  <c r="AC354" i="44" s="1"/>
  <c r="AD354" i="44"/>
  <c r="AH354" i="44" s="1" a="1"/>
  <c r="AH354" i="44" s="1"/>
  <c r="AE354" i="44"/>
  <c r="AI354" i="44" s="1"/>
  <c r="Z355" i="44"/>
  <c r="AA355" i="44" s="1"/>
  <c r="AB355" i="44"/>
  <c r="AC355" i="44" s="1"/>
  <c r="AD355" i="44"/>
  <c r="AH355" i="44" s="1" a="1"/>
  <c r="AH355" i="44" s="1"/>
  <c r="AE355" i="44"/>
  <c r="AF355" i="44" s="1"/>
  <c r="AG355" i="44" s="1"/>
  <c r="Z356" i="44"/>
  <c r="AA356" i="44" s="1"/>
  <c r="AB356" i="44"/>
  <c r="AC356" i="44" s="1"/>
  <c r="AD356" i="44"/>
  <c r="AH356" i="44" s="1" a="1"/>
  <c r="AH356" i="44" s="1"/>
  <c r="AE356" i="44"/>
  <c r="Z357" i="44"/>
  <c r="AA357" i="44" s="1"/>
  <c r="AB357" i="44"/>
  <c r="AC357" i="44" s="1"/>
  <c r="AD357" i="44"/>
  <c r="AH357" i="44" s="1" a="1"/>
  <c r="AH357" i="44" s="1"/>
  <c r="AE357" i="44"/>
  <c r="AF357" i="44" s="1"/>
  <c r="AG357" i="44" s="1"/>
  <c r="Z358" i="44"/>
  <c r="AA358" i="44" s="1"/>
  <c r="AB358" i="44"/>
  <c r="AC358" i="44" s="1"/>
  <c r="AD358" i="44"/>
  <c r="AH358" i="44" s="1" a="1"/>
  <c r="AH358" i="44" s="1"/>
  <c r="AE358" i="44"/>
  <c r="AI358" i="44" s="1"/>
  <c r="Z359" i="44"/>
  <c r="AA359" i="44" s="1"/>
  <c r="AB359" i="44"/>
  <c r="AC359" i="44" s="1"/>
  <c r="AD359" i="44"/>
  <c r="AH359" i="44" s="1" a="1"/>
  <c r="AH359" i="44" s="1"/>
  <c r="AE359" i="44"/>
  <c r="AI359" i="44" s="1"/>
  <c r="Z360" i="44"/>
  <c r="AA360" i="44" s="1"/>
  <c r="AB360" i="44"/>
  <c r="AC360" i="44" s="1"/>
  <c r="AD360" i="44"/>
  <c r="AH360" i="44" s="1" a="1"/>
  <c r="AH360" i="44" s="1"/>
  <c r="AE360" i="44"/>
  <c r="AJ360" i="44" s="1"/>
  <c r="Z361" i="44"/>
  <c r="AA361" i="44" s="1"/>
  <c r="AB361" i="44"/>
  <c r="AC361" i="44" s="1"/>
  <c r="AD361" i="44"/>
  <c r="AH361" i="44" s="1" a="1"/>
  <c r="AH361" i="44" s="1"/>
  <c r="AE361" i="44"/>
  <c r="AF361" i="44" s="1"/>
  <c r="AG361" i="44" s="1"/>
  <c r="Z362" i="44"/>
  <c r="AA362" i="44" s="1"/>
  <c r="AB362" i="44"/>
  <c r="AC362" i="44" s="1"/>
  <c r="AD362" i="44"/>
  <c r="AH362" i="44" s="1" a="1"/>
  <c r="AH362" i="44" s="1"/>
  <c r="AE362" i="44"/>
  <c r="AF362" i="44" s="1"/>
  <c r="AG362" i="44" s="1"/>
  <c r="Z363" i="44"/>
  <c r="AA363" i="44" s="1"/>
  <c r="AB363" i="44"/>
  <c r="AC363" i="44" s="1"/>
  <c r="AD363" i="44"/>
  <c r="AH363" i="44" s="1" a="1"/>
  <c r="AH363" i="44" s="1"/>
  <c r="AE363" i="44"/>
  <c r="AJ363" i="44" s="1"/>
  <c r="Z364" i="44"/>
  <c r="AA364" i="44" s="1"/>
  <c r="AB364" i="44"/>
  <c r="AC364" i="44" s="1"/>
  <c r="AD364" i="44"/>
  <c r="AH364" i="44" s="1" a="1"/>
  <c r="AH364" i="44" s="1"/>
  <c r="AE364" i="44"/>
  <c r="AI364" i="44" s="1"/>
  <c r="Z365" i="44"/>
  <c r="AA365" i="44" s="1"/>
  <c r="AB365" i="44"/>
  <c r="AC365" i="44" s="1"/>
  <c r="AD365" i="44"/>
  <c r="AH365" i="44" s="1" a="1"/>
  <c r="AH365" i="44" s="1"/>
  <c r="AE365" i="44"/>
  <c r="AJ365" i="44" s="1"/>
  <c r="Z366" i="44"/>
  <c r="AA366" i="44" s="1"/>
  <c r="AB366" i="44"/>
  <c r="AC366" i="44" s="1"/>
  <c r="AD366" i="44"/>
  <c r="AH366" i="44" s="1" a="1"/>
  <c r="AH366" i="44" s="1"/>
  <c r="AE366" i="44"/>
  <c r="AF366" i="44" s="1"/>
  <c r="AG366" i="44" s="1"/>
  <c r="Z367" i="44"/>
  <c r="AA367" i="44" s="1"/>
  <c r="AB367" i="44"/>
  <c r="AC367" i="44" s="1"/>
  <c r="AD367" i="44"/>
  <c r="AH367" i="44" s="1" a="1"/>
  <c r="AH367" i="44" s="1"/>
  <c r="AE367" i="44"/>
  <c r="AJ367" i="44" s="1"/>
  <c r="Z368" i="44"/>
  <c r="AA368" i="44" s="1"/>
  <c r="AB368" i="44"/>
  <c r="AC368" i="44" s="1"/>
  <c r="AD368" i="44"/>
  <c r="AH368" i="44" s="1" a="1"/>
  <c r="AH368" i="44" s="1"/>
  <c r="AE368" i="44"/>
  <c r="AI368" i="44" s="1"/>
  <c r="Z369" i="44"/>
  <c r="AA369" i="44" s="1"/>
  <c r="AB369" i="44"/>
  <c r="AC369" i="44" s="1"/>
  <c r="AD369" i="44"/>
  <c r="AH369" i="44" s="1" a="1"/>
  <c r="AH369" i="44" s="1"/>
  <c r="AE369" i="44"/>
  <c r="AJ369" i="44" s="1"/>
  <c r="Z370" i="44"/>
  <c r="AA370" i="44" s="1"/>
  <c r="AB370" i="44"/>
  <c r="AC370" i="44" s="1"/>
  <c r="AD370" i="44"/>
  <c r="AH370" i="44" s="1" a="1"/>
  <c r="AH370" i="44" s="1"/>
  <c r="AE370" i="44"/>
  <c r="AF370" i="44" s="1"/>
  <c r="AG370" i="44" s="1"/>
  <c r="Z371" i="44"/>
  <c r="AA371" i="44" s="1"/>
  <c r="AB371" i="44"/>
  <c r="AC371" i="44" s="1"/>
  <c r="AD371" i="44"/>
  <c r="AH371" i="44" s="1" a="1"/>
  <c r="AH371" i="44" s="1"/>
  <c r="AE371" i="44"/>
  <c r="AJ371" i="44" s="1"/>
  <c r="Z372" i="44"/>
  <c r="AA372" i="44" s="1"/>
  <c r="AB372" i="44"/>
  <c r="AC372" i="44" s="1"/>
  <c r="AD372" i="44"/>
  <c r="AH372" i="44" s="1" a="1"/>
  <c r="AH372" i="44" s="1"/>
  <c r="AE372" i="44"/>
  <c r="Z373" i="44"/>
  <c r="AA373" i="44" s="1"/>
  <c r="AB373" i="44"/>
  <c r="AC373" i="44" s="1"/>
  <c r="AD373" i="44"/>
  <c r="AH373" i="44" s="1" a="1"/>
  <c r="AH373" i="44" s="1"/>
  <c r="AE373" i="44"/>
  <c r="Z374" i="44"/>
  <c r="AA374" i="44" s="1"/>
  <c r="AB374" i="44"/>
  <c r="AC374" i="44" s="1"/>
  <c r="AD374" i="44"/>
  <c r="AH374" i="44" s="1" a="1"/>
  <c r="AH374" i="44" s="1"/>
  <c r="AE374" i="44"/>
  <c r="AI374" i="44" s="1"/>
  <c r="Z375" i="44"/>
  <c r="AA375" i="44" s="1"/>
  <c r="AB375" i="44"/>
  <c r="AC375" i="44" s="1"/>
  <c r="AD375" i="44"/>
  <c r="AH375" i="44" s="1" a="1"/>
  <c r="AH375" i="44" s="1"/>
  <c r="AE375" i="44"/>
  <c r="AF375" i="44" s="1"/>
  <c r="AG375" i="44" s="1"/>
  <c r="Z376" i="44"/>
  <c r="AA376" i="44" s="1"/>
  <c r="AB376" i="44"/>
  <c r="AC376" i="44" s="1"/>
  <c r="AD376" i="44"/>
  <c r="AH376" i="44" s="1" a="1"/>
  <c r="AH376" i="44" s="1"/>
  <c r="AE376" i="44"/>
  <c r="AI376" i="44" s="1"/>
  <c r="Z377" i="44"/>
  <c r="AA377" i="44" s="1"/>
  <c r="AB377" i="44"/>
  <c r="AC377" i="44" s="1"/>
  <c r="AD377" i="44"/>
  <c r="AH377" i="44" s="1" a="1"/>
  <c r="AH377" i="44" s="1"/>
  <c r="AE377" i="44"/>
  <c r="AJ377" i="44" s="1"/>
  <c r="Z378" i="44"/>
  <c r="AA378" i="44" s="1"/>
  <c r="AB378" i="44"/>
  <c r="AC378" i="44" s="1"/>
  <c r="AD378" i="44"/>
  <c r="AH378" i="44" s="1" a="1"/>
  <c r="AH378" i="44" s="1"/>
  <c r="AE378" i="44"/>
  <c r="Z379" i="44"/>
  <c r="AA379" i="44" s="1"/>
  <c r="AB379" i="44"/>
  <c r="AC379" i="44" s="1"/>
  <c r="AD379" i="44"/>
  <c r="AH379" i="44" s="1" a="1"/>
  <c r="AH379" i="44" s="1"/>
  <c r="AE379" i="44"/>
  <c r="AJ379" i="44" s="1"/>
  <c r="Z380" i="44"/>
  <c r="AA380" i="44" s="1"/>
  <c r="AB380" i="44"/>
  <c r="AC380" i="44" s="1"/>
  <c r="AD380" i="44"/>
  <c r="AH380" i="44" s="1" a="1"/>
  <c r="AH380" i="44" s="1"/>
  <c r="AE380" i="44"/>
  <c r="AI380" i="44" s="1"/>
  <c r="Z381" i="44"/>
  <c r="AA381" i="44" s="1"/>
  <c r="AB381" i="44"/>
  <c r="AC381" i="44" s="1"/>
  <c r="AD381" i="44"/>
  <c r="AH381" i="44" s="1" a="1"/>
  <c r="AH381" i="44" s="1"/>
  <c r="AE381" i="44"/>
  <c r="AJ381" i="44" s="1"/>
  <c r="Z382" i="44"/>
  <c r="AA382" i="44" s="1"/>
  <c r="AB382" i="44"/>
  <c r="AC382" i="44" s="1"/>
  <c r="AD382" i="44"/>
  <c r="AH382" i="44" s="1" a="1"/>
  <c r="AH382" i="44" s="1"/>
  <c r="AE382" i="44"/>
  <c r="AF382" i="44" s="1"/>
  <c r="AG382" i="44" s="1"/>
  <c r="Z383" i="44"/>
  <c r="AA383" i="44" s="1"/>
  <c r="AB383" i="44"/>
  <c r="AC383" i="44" s="1"/>
  <c r="AD383" i="44"/>
  <c r="AH383" i="44" s="1" a="1"/>
  <c r="AH383" i="44" s="1"/>
  <c r="AE383" i="44"/>
  <c r="AJ383" i="44" s="1"/>
  <c r="Z384" i="44"/>
  <c r="AA384" i="44" s="1"/>
  <c r="AB384" i="44"/>
  <c r="AC384" i="44" s="1"/>
  <c r="AD384" i="44"/>
  <c r="AH384" i="44" s="1" a="1"/>
  <c r="AH384" i="44" s="1"/>
  <c r="AE384" i="44"/>
  <c r="AF384" i="44" s="1"/>
  <c r="AG384" i="44" s="1"/>
  <c r="Z385" i="44"/>
  <c r="AA385" i="44" s="1"/>
  <c r="AB385" i="44"/>
  <c r="AC385" i="44" s="1"/>
  <c r="AD385" i="44"/>
  <c r="AH385" i="44" s="1" a="1"/>
  <c r="AH385" i="44" s="1"/>
  <c r="AE385" i="44"/>
  <c r="Z386" i="44"/>
  <c r="AA386" i="44" s="1"/>
  <c r="AB386" i="44"/>
  <c r="AC386" i="44" s="1"/>
  <c r="AD386" i="44"/>
  <c r="AH386" i="44" s="1" a="1"/>
  <c r="AH386" i="44" s="1"/>
  <c r="AE386" i="44"/>
  <c r="AF386" i="44" s="1"/>
  <c r="AG386" i="44" s="1"/>
  <c r="Z387" i="44"/>
  <c r="AA387" i="44" s="1"/>
  <c r="AB387" i="44"/>
  <c r="AC387" i="44" s="1"/>
  <c r="AD387" i="44"/>
  <c r="AH387" i="44" s="1" a="1"/>
  <c r="AH387" i="44" s="1"/>
  <c r="AE387" i="44"/>
  <c r="AJ387" i="44" s="1"/>
  <c r="Z388" i="44"/>
  <c r="AA388" i="44" s="1"/>
  <c r="AB388" i="44"/>
  <c r="AC388" i="44" s="1"/>
  <c r="AD388" i="44"/>
  <c r="AH388" i="44" s="1" a="1"/>
  <c r="AH388" i="44" s="1"/>
  <c r="AE388" i="44"/>
  <c r="Z389" i="44"/>
  <c r="AA389" i="44" s="1"/>
  <c r="AB389" i="44"/>
  <c r="AC389" i="44" s="1"/>
  <c r="AD389" i="44"/>
  <c r="AH389" i="44" s="1" a="1"/>
  <c r="AH389" i="44" s="1"/>
  <c r="AE389" i="44"/>
  <c r="AJ389" i="44" s="1"/>
  <c r="Z390" i="44"/>
  <c r="AA390" i="44" s="1"/>
  <c r="AB390" i="44"/>
  <c r="AC390" i="44" s="1"/>
  <c r="AD390" i="44"/>
  <c r="AH390" i="44" s="1" a="1"/>
  <c r="AH390" i="44" s="1"/>
  <c r="AE390" i="44"/>
  <c r="Z391" i="44"/>
  <c r="AA391" i="44" s="1"/>
  <c r="AB391" i="44"/>
  <c r="AC391" i="44" s="1"/>
  <c r="AD391" i="44"/>
  <c r="AH391" i="44" s="1" a="1"/>
  <c r="AH391" i="44" s="1"/>
  <c r="AE391" i="44"/>
  <c r="Z392" i="44"/>
  <c r="AA392" i="44" s="1"/>
  <c r="AB392" i="44"/>
  <c r="AC392" i="44" s="1"/>
  <c r="AD392" i="44"/>
  <c r="AH392" i="44" s="1" a="1"/>
  <c r="AH392" i="44" s="1"/>
  <c r="AE392" i="44"/>
  <c r="AI392" i="44" s="1"/>
  <c r="Z393" i="44"/>
  <c r="AA393" i="44" s="1"/>
  <c r="AB393" i="44"/>
  <c r="AC393" i="44" s="1"/>
  <c r="AD393" i="44"/>
  <c r="AH393" i="44" s="1" a="1"/>
  <c r="AH393" i="44" s="1"/>
  <c r="AE393" i="44"/>
  <c r="AJ393" i="44" s="1"/>
  <c r="Z394" i="44"/>
  <c r="AA394" i="44" s="1"/>
  <c r="AB394" i="44"/>
  <c r="AC394" i="44" s="1"/>
  <c r="AD394" i="44"/>
  <c r="AH394" i="44" s="1" a="1"/>
  <c r="AH394" i="44" s="1"/>
  <c r="AE394" i="44"/>
  <c r="AF394" i="44" s="1"/>
  <c r="AG394" i="44" s="1"/>
  <c r="Z395" i="44"/>
  <c r="AA395" i="44" s="1"/>
  <c r="AB395" i="44"/>
  <c r="AC395" i="44" s="1"/>
  <c r="AD395" i="44"/>
  <c r="AH395" i="44" s="1" a="1"/>
  <c r="AH395" i="44" s="1"/>
  <c r="AE395" i="44"/>
  <c r="AJ395" i="44" s="1"/>
  <c r="Z396" i="44"/>
  <c r="AA396" i="44" s="1"/>
  <c r="AB396" i="44"/>
  <c r="AC396" i="44" s="1"/>
  <c r="AD396" i="44"/>
  <c r="AH396" i="44" s="1" a="1"/>
  <c r="AH396" i="44" s="1"/>
  <c r="AE396" i="44"/>
  <c r="AI396" i="44" s="1"/>
  <c r="Z397" i="44"/>
  <c r="AA397" i="44" s="1"/>
  <c r="AB397" i="44"/>
  <c r="AC397" i="44" s="1"/>
  <c r="AD397" i="44"/>
  <c r="AH397" i="44" s="1" a="1"/>
  <c r="AH397" i="44" s="1"/>
  <c r="AE397" i="44"/>
  <c r="AJ397" i="44" s="1"/>
  <c r="Z398" i="44"/>
  <c r="AA398" i="44" s="1"/>
  <c r="AB398" i="44"/>
  <c r="AC398" i="44" s="1"/>
  <c r="AD398" i="44"/>
  <c r="AH398" i="44" s="1" a="1"/>
  <c r="AH398" i="44" s="1"/>
  <c r="AE398" i="44"/>
  <c r="Z399" i="44"/>
  <c r="AA399" i="44" s="1"/>
  <c r="AB399" i="44"/>
  <c r="AC399" i="44" s="1"/>
  <c r="AD399" i="44"/>
  <c r="AH399" i="44" s="1" a="1"/>
  <c r="AH399" i="44" s="1"/>
  <c r="AE399" i="44"/>
  <c r="Z400" i="44"/>
  <c r="AA400" i="44" s="1"/>
  <c r="AB400" i="44"/>
  <c r="AC400" i="44" s="1"/>
  <c r="AD400" i="44"/>
  <c r="AH400" i="44" s="1" a="1"/>
  <c r="AH400" i="44" s="1"/>
  <c r="AE400" i="44"/>
  <c r="AF400" i="44" s="1"/>
  <c r="AG400" i="44" s="1"/>
  <c r="Z401" i="44"/>
  <c r="AA401" i="44" s="1"/>
  <c r="AB401" i="44"/>
  <c r="AC401" i="44" s="1"/>
  <c r="AD401" i="44"/>
  <c r="AH401" i="44" s="1" a="1"/>
  <c r="AH401" i="44" s="1"/>
  <c r="AE401" i="44"/>
  <c r="AF401" i="44" s="1"/>
  <c r="AG401" i="44" s="1"/>
  <c r="Z402" i="44"/>
  <c r="AA402" i="44" s="1"/>
  <c r="AB402" i="44"/>
  <c r="AC402" i="44" s="1"/>
  <c r="AD402" i="44"/>
  <c r="AH402" i="44" s="1" a="1"/>
  <c r="AH402" i="44" s="1"/>
  <c r="AE402" i="44"/>
  <c r="AF402" i="44" s="1"/>
  <c r="AG402" i="44" s="1"/>
  <c r="Z403" i="44"/>
  <c r="AA403" i="44" s="1"/>
  <c r="AB403" i="44"/>
  <c r="AC403" i="44" s="1"/>
  <c r="AD403" i="44"/>
  <c r="AH403" i="44" s="1" a="1"/>
  <c r="AH403" i="44" s="1"/>
  <c r="AE403" i="44"/>
  <c r="AJ403" i="44" s="1"/>
  <c r="Z404" i="44"/>
  <c r="AA404" i="44" s="1"/>
  <c r="AB404" i="44"/>
  <c r="AC404" i="44" s="1"/>
  <c r="AD404" i="44"/>
  <c r="AH404" i="44" s="1" a="1"/>
  <c r="AH404" i="44" s="1"/>
  <c r="AE404" i="44"/>
  <c r="AF404" i="44" s="1"/>
  <c r="AG404" i="44" s="1"/>
  <c r="Z405" i="44"/>
  <c r="AA405" i="44" s="1"/>
  <c r="AB405" i="44"/>
  <c r="AC405" i="44" s="1"/>
  <c r="AD405" i="44"/>
  <c r="AH405" i="44" s="1" a="1"/>
  <c r="AH405" i="44" s="1"/>
  <c r="AE405" i="44"/>
  <c r="AF405" i="44" s="1"/>
  <c r="AG405" i="44" s="1"/>
  <c r="Z406" i="44"/>
  <c r="AA406" i="44" s="1"/>
  <c r="AB406" i="44"/>
  <c r="AC406" i="44" s="1"/>
  <c r="AD406" i="44"/>
  <c r="AH406" i="44" s="1" a="1"/>
  <c r="AH406" i="44" s="1"/>
  <c r="AE406" i="44"/>
  <c r="AF406" i="44" s="1"/>
  <c r="AG406" i="44" s="1"/>
  <c r="Z407" i="44"/>
  <c r="AA407" i="44" s="1"/>
  <c r="AB407" i="44"/>
  <c r="AC407" i="44" s="1"/>
  <c r="AD407" i="44"/>
  <c r="AH407" i="44" s="1" a="1"/>
  <c r="AH407" i="44" s="1"/>
  <c r="AE407" i="44"/>
  <c r="Z408" i="44"/>
  <c r="AA408" i="44" s="1"/>
  <c r="AB408" i="44"/>
  <c r="AC408" i="44" s="1"/>
  <c r="AD408" i="44"/>
  <c r="AH408" i="44" s="1" a="1"/>
  <c r="AH408" i="44" s="1"/>
  <c r="AE408" i="44"/>
  <c r="AF408" i="44" s="1"/>
  <c r="AG408" i="44" s="1"/>
  <c r="Z409" i="44"/>
  <c r="AA409" i="44" s="1"/>
  <c r="AB409" i="44"/>
  <c r="AC409" i="44" s="1"/>
  <c r="AD409" i="44"/>
  <c r="AH409" i="44" s="1" a="1"/>
  <c r="AH409" i="44" s="1"/>
  <c r="AE409" i="44"/>
  <c r="AF409" i="44" s="1"/>
  <c r="AG409" i="44" s="1"/>
  <c r="Z410" i="44"/>
  <c r="AA410" i="44" s="1"/>
  <c r="AB410" i="44"/>
  <c r="AC410" i="44" s="1"/>
  <c r="AD410" i="44"/>
  <c r="AH410" i="44" s="1" a="1"/>
  <c r="AH410" i="44" s="1"/>
  <c r="AE410" i="44"/>
  <c r="AF410" i="44" s="1"/>
  <c r="AG410" i="44" s="1"/>
  <c r="Z411" i="44"/>
  <c r="AA411" i="44" s="1"/>
  <c r="AB411" i="44"/>
  <c r="AC411" i="44" s="1"/>
  <c r="AD411" i="44"/>
  <c r="AH411" i="44" s="1" a="1"/>
  <c r="AH411" i="44" s="1"/>
  <c r="AE411" i="44"/>
  <c r="AF411" i="44" s="1"/>
  <c r="AG411" i="44" s="1"/>
  <c r="Z412" i="44"/>
  <c r="AA412" i="44" s="1"/>
  <c r="AB412" i="44"/>
  <c r="AC412" i="44" s="1"/>
  <c r="AD412" i="44"/>
  <c r="AH412" i="44" s="1" a="1"/>
  <c r="AH412" i="44" s="1"/>
  <c r="AE412" i="44"/>
  <c r="AF412" i="44" s="1"/>
  <c r="AG412" i="44" s="1"/>
  <c r="Z413" i="44"/>
  <c r="AA413" i="44" s="1"/>
  <c r="AB413" i="44"/>
  <c r="AC413" i="44" s="1"/>
  <c r="AD413" i="44"/>
  <c r="AH413" i="44" s="1" a="1"/>
  <c r="AH413" i="44" s="1"/>
  <c r="AE413" i="44"/>
  <c r="AF413" i="44" s="1"/>
  <c r="AG413" i="44" s="1"/>
  <c r="Z414" i="44"/>
  <c r="AA414" i="44" s="1"/>
  <c r="AB414" i="44"/>
  <c r="AC414" i="44" s="1"/>
  <c r="AD414" i="44"/>
  <c r="AH414" i="44" s="1" a="1"/>
  <c r="AH414" i="44" s="1"/>
  <c r="AE414" i="44"/>
  <c r="AF414" i="44" s="1"/>
  <c r="AG414" i="44" s="1"/>
  <c r="Z415" i="44"/>
  <c r="AA415" i="44" s="1"/>
  <c r="AB415" i="44"/>
  <c r="AC415" i="44" s="1"/>
  <c r="AD415" i="44"/>
  <c r="AH415" i="44" s="1" a="1"/>
  <c r="AH415" i="44" s="1"/>
  <c r="AE415" i="44"/>
  <c r="AF415" i="44" s="1"/>
  <c r="AG415" i="44" s="1"/>
  <c r="Z416" i="44"/>
  <c r="AA416" i="44" s="1"/>
  <c r="AB416" i="44"/>
  <c r="AC416" i="44" s="1"/>
  <c r="AD416" i="44"/>
  <c r="AH416" i="44" s="1" a="1"/>
  <c r="AH416" i="44" s="1"/>
  <c r="AE416" i="44"/>
  <c r="AF416" i="44" s="1"/>
  <c r="AG416" i="44" s="1"/>
  <c r="Z417" i="44"/>
  <c r="AA417" i="44" s="1"/>
  <c r="AB417" i="44"/>
  <c r="AC417" i="44" s="1"/>
  <c r="AD417" i="44"/>
  <c r="AH417" i="44" s="1" a="1"/>
  <c r="AH417" i="44" s="1"/>
  <c r="AE417" i="44"/>
  <c r="Z418" i="44"/>
  <c r="AA418" i="44" s="1"/>
  <c r="AB418" i="44"/>
  <c r="AC418" i="44" s="1"/>
  <c r="AD418" i="44"/>
  <c r="AH418" i="44" s="1" a="1"/>
  <c r="AH418" i="44" s="1"/>
  <c r="AE418" i="44"/>
  <c r="AF418" i="44" s="1"/>
  <c r="AG418" i="44" s="1"/>
  <c r="Z419" i="44"/>
  <c r="AA419" i="44" s="1"/>
  <c r="AB419" i="44"/>
  <c r="AC419" i="44" s="1"/>
  <c r="AD419" i="44"/>
  <c r="AH419" i="44" s="1" a="1"/>
  <c r="AH419" i="44" s="1"/>
  <c r="AE419" i="44"/>
  <c r="AF419" i="44" s="1"/>
  <c r="AG419" i="44" s="1"/>
  <c r="Z420" i="44"/>
  <c r="AA420" i="44" s="1"/>
  <c r="AB420" i="44"/>
  <c r="AC420" i="44" s="1"/>
  <c r="AD420" i="44"/>
  <c r="AH420" i="44" s="1" a="1"/>
  <c r="AH420" i="44" s="1"/>
  <c r="AE420" i="44"/>
  <c r="Z421" i="44"/>
  <c r="AA421" i="44" s="1"/>
  <c r="AB421" i="44"/>
  <c r="AC421" i="44" s="1"/>
  <c r="AD421" i="44"/>
  <c r="AH421" i="44" s="1" a="1"/>
  <c r="AH421" i="44" s="1"/>
  <c r="AE421" i="44"/>
  <c r="AF421" i="44" s="1"/>
  <c r="AG421" i="44" s="1"/>
  <c r="Z422" i="44"/>
  <c r="AA422" i="44" s="1"/>
  <c r="AB422" i="44"/>
  <c r="AC422" i="44" s="1"/>
  <c r="AD422" i="44"/>
  <c r="AH422" i="44" s="1" a="1"/>
  <c r="AH422" i="44" s="1"/>
  <c r="AE422" i="44"/>
  <c r="AJ422" i="44" s="1"/>
  <c r="Z423" i="44"/>
  <c r="AA423" i="44" s="1"/>
  <c r="AB423" i="44"/>
  <c r="AC423" i="44" s="1"/>
  <c r="AD423" i="44"/>
  <c r="AH423" i="44" s="1" a="1"/>
  <c r="AH423" i="44" s="1"/>
  <c r="AE423" i="44"/>
  <c r="Z424" i="44"/>
  <c r="AA424" i="44" s="1"/>
  <c r="AB424" i="44"/>
  <c r="AC424" i="44" s="1"/>
  <c r="AD424" i="44"/>
  <c r="AH424" i="44" s="1" a="1"/>
  <c r="AH424" i="44" s="1"/>
  <c r="AE424" i="44"/>
  <c r="AJ424" i="44" s="1"/>
  <c r="Z425" i="44"/>
  <c r="AA425" i="44" s="1"/>
  <c r="AB425" i="44"/>
  <c r="AC425" i="44" s="1"/>
  <c r="AD425" i="44"/>
  <c r="AH425" i="44" s="1" a="1"/>
  <c r="AH425" i="44" s="1"/>
  <c r="AE425" i="44"/>
  <c r="AI425" i="44" s="1"/>
  <c r="Z426" i="44"/>
  <c r="AA426" i="44" s="1"/>
  <c r="AB426" i="44"/>
  <c r="AC426" i="44" s="1"/>
  <c r="AD426" i="44"/>
  <c r="AH426" i="44" s="1" a="1"/>
  <c r="AH426" i="44" s="1"/>
  <c r="AE426" i="44"/>
  <c r="AJ426" i="44" s="1"/>
  <c r="Z427" i="44"/>
  <c r="AA427" i="44" s="1"/>
  <c r="AB427" i="44"/>
  <c r="AC427" i="44" s="1"/>
  <c r="AD427" i="44"/>
  <c r="AH427" i="44" s="1" a="1"/>
  <c r="AH427" i="44" s="1"/>
  <c r="AE427" i="44"/>
  <c r="AF427" i="44" s="1"/>
  <c r="AG427" i="44" s="1"/>
  <c r="Z428" i="44"/>
  <c r="AA428" i="44" s="1"/>
  <c r="AB428" i="44"/>
  <c r="AC428" i="44" s="1"/>
  <c r="AD428" i="44"/>
  <c r="AH428" i="44" s="1" a="1"/>
  <c r="AH428" i="44" s="1"/>
  <c r="AE428" i="44"/>
  <c r="AJ428" i="44" s="1"/>
  <c r="Z429" i="44"/>
  <c r="AA429" i="44" s="1"/>
  <c r="AB429" i="44"/>
  <c r="AC429" i="44" s="1"/>
  <c r="AD429" i="44"/>
  <c r="AH429" i="44" s="1" a="1"/>
  <c r="AH429" i="44" s="1"/>
  <c r="AE429" i="44"/>
  <c r="AF429" i="44" s="1"/>
  <c r="AG429" i="44" s="1"/>
  <c r="Z430" i="44"/>
  <c r="AA430" i="44" s="1"/>
  <c r="AB430" i="44"/>
  <c r="AC430" i="44" s="1"/>
  <c r="AD430" i="44"/>
  <c r="AH430" i="44" s="1" a="1"/>
  <c r="AH430" i="44" s="1"/>
  <c r="AE430" i="44"/>
  <c r="AJ430" i="44" s="1"/>
  <c r="Z431" i="44"/>
  <c r="AA431" i="44" s="1"/>
  <c r="AB431" i="44"/>
  <c r="AC431" i="44" s="1"/>
  <c r="AD431" i="44"/>
  <c r="AH431" i="44" s="1" a="1"/>
  <c r="AH431" i="44" s="1"/>
  <c r="AE431" i="44"/>
  <c r="AJ431" i="44" s="1"/>
  <c r="Z432" i="44"/>
  <c r="AA432" i="44" s="1"/>
  <c r="AB432" i="44"/>
  <c r="AC432" i="44" s="1"/>
  <c r="AD432" i="44"/>
  <c r="AH432" i="44" s="1" a="1"/>
  <c r="AH432" i="44" s="1"/>
  <c r="AE432" i="44"/>
  <c r="AJ432" i="44" s="1"/>
  <c r="Z433" i="44"/>
  <c r="AA433" i="44" s="1"/>
  <c r="AB433" i="44"/>
  <c r="AC433" i="44" s="1"/>
  <c r="AD433" i="44"/>
  <c r="AH433" i="44" s="1" a="1"/>
  <c r="AH433" i="44" s="1"/>
  <c r="AE433" i="44"/>
  <c r="AJ433" i="44" s="1"/>
  <c r="Z434" i="44"/>
  <c r="AA434" i="44" s="1"/>
  <c r="AB434" i="44"/>
  <c r="AC434" i="44" s="1"/>
  <c r="AD434" i="44"/>
  <c r="AH434" i="44" s="1" a="1"/>
  <c r="AH434" i="44" s="1"/>
  <c r="AE434" i="44"/>
  <c r="AJ434" i="44" s="1"/>
  <c r="Z435" i="44"/>
  <c r="AA435" i="44" s="1"/>
  <c r="AB435" i="44"/>
  <c r="AC435" i="44" s="1"/>
  <c r="AD435" i="44"/>
  <c r="AH435" i="44" s="1" a="1"/>
  <c r="AH435" i="44" s="1"/>
  <c r="AE435" i="44"/>
  <c r="AF435" i="44" s="1"/>
  <c r="AG435" i="44" s="1"/>
  <c r="Z436" i="44"/>
  <c r="AA436" i="44" s="1"/>
  <c r="AB436" i="44"/>
  <c r="AC436" i="44" s="1"/>
  <c r="AD436" i="44"/>
  <c r="AH436" i="44" s="1" a="1"/>
  <c r="AH436" i="44" s="1"/>
  <c r="AE436" i="44"/>
  <c r="AJ436" i="44" s="1"/>
  <c r="Z437" i="44"/>
  <c r="AA437" i="44" s="1"/>
  <c r="AB437" i="44"/>
  <c r="AC437" i="44" s="1"/>
  <c r="AD437" i="44"/>
  <c r="AH437" i="44" s="1" a="1"/>
  <c r="AH437" i="44" s="1"/>
  <c r="AE437" i="44"/>
  <c r="AI437" i="44" s="1"/>
  <c r="Z438" i="44"/>
  <c r="AA438" i="44" s="1"/>
  <c r="AB438" i="44"/>
  <c r="AC438" i="44" s="1"/>
  <c r="AD438" i="44"/>
  <c r="AH438" i="44" s="1" a="1"/>
  <c r="AH438" i="44" s="1"/>
  <c r="AE438" i="44"/>
  <c r="AJ438" i="44" s="1"/>
  <c r="Z439" i="44"/>
  <c r="AA439" i="44" s="1"/>
  <c r="AB439" i="44"/>
  <c r="AC439" i="44" s="1"/>
  <c r="AD439" i="44"/>
  <c r="AH439" i="44" s="1" a="1"/>
  <c r="AH439" i="44" s="1"/>
  <c r="AE439" i="44"/>
  <c r="AF439" i="44" s="1"/>
  <c r="AG439" i="44" s="1"/>
  <c r="Z440" i="44"/>
  <c r="AA440" i="44" s="1"/>
  <c r="AB440" i="44"/>
  <c r="AC440" i="44" s="1"/>
  <c r="AD440" i="44"/>
  <c r="AH440" i="44" s="1" a="1"/>
  <c r="AH440" i="44" s="1"/>
  <c r="AE440" i="44"/>
  <c r="AJ440" i="44" s="1"/>
  <c r="Z441" i="44"/>
  <c r="AA441" i="44" s="1"/>
  <c r="AB441" i="44"/>
  <c r="AC441" i="44" s="1"/>
  <c r="AD441" i="44"/>
  <c r="AH441" i="44" s="1" a="1"/>
  <c r="AH441" i="44" s="1"/>
  <c r="AE441" i="44"/>
  <c r="AF441" i="44" s="1"/>
  <c r="AG441" i="44" s="1"/>
  <c r="Z442" i="44"/>
  <c r="AA442" i="44" s="1"/>
  <c r="AB442" i="44"/>
  <c r="AC442" i="44" s="1"/>
  <c r="AD442" i="44"/>
  <c r="AH442" i="44" s="1" a="1"/>
  <c r="AH442" i="44" s="1"/>
  <c r="AE442" i="44"/>
  <c r="AJ442" i="44" s="1"/>
  <c r="Z443" i="44"/>
  <c r="AA443" i="44" s="1"/>
  <c r="AB443" i="44"/>
  <c r="AC443" i="44" s="1"/>
  <c r="AD443" i="44"/>
  <c r="AH443" i="44" s="1" a="1"/>
  <c r="AH443" i="44" s="1"/>
  <c r="AE443" i="44"/>
  <c r="AF443" i="44" s="1"/>
  <c r="AG443" i="44" s="1"/>
  <c r="Z444" i="44"/>
  <c r="AA444" i="44" s="1"/>
  <c r="AB444" i="44"/>
  <c r="AC444" i="44" s="1"/>
  <c r="AD444" i="44"/>
  <c r="AH444" i="44" s="1" a="1"/>
  <c r="AH444" i="44" s="1"/>
  <c r="AE444" i="44"/>
  <c r="AJ444" i="44" s="1"/>
  <c r="Z445" i="44"/>
  <c r="AA445" i="44" s="1"/>
  <c r="AB445" i="44"/>
  <c r="AC445" i="44" s="1"/>
  <c r="AD445" i="44"/>
  <c r="AH445" i="44" s="1" a="1"/>
  <c r="AH445" i="44" s="1"/>
  <c r="AE445" i="44"/>
  <c r="Z446" i="44"/>
  <c r="AA446" i="44" s="1"/>
  <c r="AB446" i="44"/>
  <c r="AC446" i="44" s="1"/>
  <c r="AD446" i="44"/>
  <c r="AH446" i="44" s="1" a="1"/>
  <c r="AH446" i="44" s="1"/>
  <c r="AE446" i="44"/>
  <c r="AJ446" i="44" s="1"/>
  <c r="Z447" i="44"/>
  <c r="AA447" i="44" s="1"/>
  <c r="AB447" i="44"/>
  <c r="AC447" i="44" s="1"/>
  <c r="AD447" i="44"/>
  <c r="AH447" i="44" s="1" a="1"/>
  <c r="AH447" i="44" s="1"/>
  <c r="AE447" i="44"/>
  <c r="AF447" i="44" s="1"/>
  <c r="AG447" i="44" s="1"/>
  <c r="Z448" i="44"/>
  <c r="AA448" i="44" s="1"/>
  <c r="AB448" i="44"/>
  <c r="AC448" i="44" s="1"/>
  <c r="AD448" i="44"/>
  <c r="AH448" i="44" s="1" a="1"/>
  <c r="AH448" i="44" s="1"/>
  <c r="AE448" i="44"/>
  <c r="AJ448" i="44" s="1"/>
  <c r="Z449" i="44"/>
  <c r="AA449" i="44" s="1"/>
  <c r="AB449" i="44"/>
  <c r="AC449" i="44" s="1"/>
  <c r="AD449" i="44"/>
  <c r="AH449" i="44" s="1" a="1"/>
  <c r="AH449" i="44" s="1"/>
  <c r="AE449" i="44"/>
  <c r="AF449" i="44" s="1"/>
  <c r="AG449" i="44" s="1"/>
  <c r="Z450" i="44"/>
  <c r="AA450" i="44" s="1"/>
  <c r="AB450" i="44"/>
  <c r="AC450" i="44" s="1"/>
  <c r="AD450" i="44"/>
  <c r="AH450" i="44" s="1" a="1"/>
  <c r="AH450" i="44" s="1"/>
  <c r="AE450" i="44"/>
  <c r="AJ450" i="44" s="1"/>
  <c r="Z451" i="44"/>
  <c r="AA451" i="44" s="1"/>
  <c r="AB451" i="44"/>
  <c r="AC451" i="44" s="1"/>
  <c r="AD451" i="44"/>
  <c r="AH451" i="44" s="1" a="1"/>
  <c r="AH451" i="44" s="1"/>
  <c r="AE451" i="44"/>
  <c r="AI451" i="44" s="1"/>
  <c r="Z452" i="44"/>
  <c r="AA452" i="44" s="1"/>
  <c r="AB452" i="44"/>
  <c r="AC452" i="44" s="1"/>
  <c r="AD452" i="44"/>
  <c r="AH452" i="44" s="1" a="1"/>
  <c r="AH452" i="44" s="1"/>
  <c r="AE452" i="44"/>
  <c r="AJ452" i="44" s="1"/>
  <c r="Z453" i="44"/>
  <c r="AA453" i="44" s="1"/>
  <c r="AB453" i="44"/>
  <c r="AC453" i="44" s="1"/>
  <c r="AD453" i="44"/>
  <c r="AH453" i="44" s="1" a="1"/>
  <c r="AH453" i="44" s="1"/>
  <c r="AE453" i="44"/>
  <c r="AF453" i="44" s="1"/>
  <c r="AG453" i="44" s="1"/>
  <c r="Z454" i="44"/>
  <c r="AA454" i="44" s="1"/>
  <c r="AB454" i="44"/>
  <c r="AC454" i="44" s="1"/>
  <c r="AD454" i="44"/>
  <c r="AH454" i="44" s="1" a="1"/>
  <c r="AH454" i="44" s="1"/>
  <c r="AE454" i="44"/>
  <c r="AJ454" i="44" s="1"/>
  <c r="Z455" i="44"/>
  <c r="AA455" i="44" s="1"/>
  <c r="AB455" i="44"/>
  <c r="AC455" i="44" s="1"/>
  <c r="AD455" i="44"/>
  <c r="AH455" i="44" s="1" a="1"/>
  <c r="AH455" i="44" s="1"/>
  <c r="AE455" i="44"/>
  <c r="AF455" i="44" s="1"/>
  <c r="AG455" i="44" s="1"/>
  <c r="Z456" i="44"/>
  <c r="AA456" i="44" s="1"/>
  <c r="AB456" i="44"/>
  <c r="AC456" i="44" s="1"/>
  <c r="AD456" i="44"/>
  <c r="AH456" i="44" s="1" a="1"/>
  <c r="AH456" i="44" s="1"/>
  <c r="AE456" i="44"/>
  <c r="AJ456" i="44" s="1"/>
  <c r="Z457" i="44"/>
  <c r="AA457" i="44" s="1"/>
  <c r="AB457" i="44"/>
  <c r="AC457" i="44" s="1"/>
  <c r="AD457" i="44"/>
  <c r="AH457" i="44" s="1" a="1"/>
  <c r="AH457" i="44" s="1"/>
  <c r="AE457" i="44"/>
  <c r="AF457" i="44" s="1"/>
  <c r="AG457" i="44" s="1"/>
  <c r="Z458" i="44"/>
  <c r="AA458" i="44" s="1"/>
  <c r="AB458" i="44"/>
  <c r="AC458" i="44" s="1"/>
  <c r="AD458" i="44"/>
  <c r="AH458" i="44" s="1" a="1"/>
  <c r="AH458" i="44" s="1"/>
  <c r="AE458" i="44"/>
  <c r="AJ458" i="44" s="1"/>
  <c r="Z459" i="44"/>
  <c r="AA459" i="44" s="1"/>
  <c r="AB459" i="44"/>
  <c r="AC459" i="44" s="1"/>
  <c r="AD459" i="44"/>
  <c r="AH459" i="44" s="1" a="1"/>
  <c r="AH459" i="44" s="1"/>
  <c r="AE459" i="44"/>
  <c r="AF459" i="44" s="1"/>
  <c r="AG459" i="44" s="1"/>
  <c r="Z460" i="44"/>
  <c r="AA460" i="44" s="1"/>
  <c r="AB460" i="44"/>
  <c r="AC460" i="44" s="1"/>
  <c r="AD460" i="44"/>
  <c r="AH460" i="44" s="1" a="1"/>
  <c r="AH460" i="44" s="1"/>
  <c r="AE460" i="44"/>
  <c r="AJ460" i="44" s="1"/>
  <c r="Z461" i="44"/>
  <c r="AA461" i="44" s="1"/>
  <c r="AB461" i="44"/>
  <c r="AC461" i="44" s="1"/>
  <c r="AD461" i="44"/>
  <c r="AH461" i="44" s="1" a="1"/>
  <c r="AH461" i="44" s="1"/>
  <c r="AE461" i="44"/>
  <c r="AI461" i="44" s="1"/>
  <c r="Z462" i="44"/>
  <c r="AA462" i="44" s="1"/>
  <c r="AB462" i="44"/>
  <c r="AC462" i="44" s="1"/>
  <c r="AD462" i="44"/>
  <c r="AH462" i="44" s="1" a="1"/>
  <c r="AH462" i="44" s="1"/>
  <c r="AE462" i="44"/>
  <c r="AJ462" i="44" s="1"/>
  <c r="Z463" i="44"/>
  <c r="AA463" i="44" s="1"/>
  <c r="AB463" i="44"/>
  <c r="AC463" i="44" s="1"/>
  <c r="AD463" i="44"/>
  <c r="AH463" i="44" s="1" a="1"/>
  <c r="AH463" i="44" s="1"/>
  <c r="AE463" i="44"/>
  <c r="AI463" i="44" s="1"/>
  <c r="Z464" i="44"/>
  <c r="AA464" i="44" s="1"/>
  <c r="AB464" i="44"/>
  <c r="AC464" i="44" s="1"/>
  <c r="AD464" i="44"/>
  <c r="AH464" i="44" s="1" a="1"/>
  <c r="AH464" i="44" s="1"/>
  <c r="AE464" i="44"/>
  <c r="AJ464" i="44" s="1"/>
  <c r="Z465" i="44"/>
  <c r="AA465" i="44" s="1"/>
  <c r="AB465" i="44"/>
  <c r="AC465" i="44" s="1"/>
  <c r="AD465" i="44"/>
  <c r="AH465" i="44" s="1" a="1"/>
  <c r="AH465" i="44" s="1"/>
  <c r="AE465" i="44"/>
  <c r="AF465" i="44" s="1"/>
  <c r="AG465" i="44" s="1"/>
  <c r="Z466" i="44"/>
  <c r="AA466" i="44" s="1"/>
  <c r="AB466" i="44"/>
  <c r="AC466" i="44" s="1"/>
  <c r="AD466" i="44"/>
  <c r="AH466" i="44" s="1" a="1"/>
  <c r="AH466" i="44" s="1"/>
  <c r="AE466" i="44"/>
  <c r="AJ466" i="44" s="1"/>
  <c r="Z467" i="44"/>
  <c r="AA467" i="44" s="1"/>
  <c r="AB467" i="44"/>
  <c r="AC467" i="44" s="1"/>
  <c r="AD467" i="44"/>
  <c r="AH467" i="44" s="1" a="1"/>
  <c r="AH467" i="44" s="1"/>
  <c r="AE467" i="44"/>
  <c r="AF467" i="44" s="1"/>
  <c r="AG467" i="44" s="1"/>
  <c r="Z468" i="44"/>
  <c r="AA468" i="44" s="1"/>
  <c r="AB468" i="44"/>
  <c r="AC468" i="44" s="1"/>
  <c r="AD468" i="44"/>
  <c r="AH468" i="44" s="1" a="1"/>
  <c r="AH468" i="44" s="1"/>
  <c r="AE468" i="44"/>
  <c r="AJ468" i="44" s="1"/>
  <c r="Z469" i="44"/>
  <c r="AA469" i="44" s="1"/>
  <c r="AB469" i="44"/>
  <c r="AC469" i="44" s="1"/>
  <c r="AD469" i="44"/>
  <c r="AH469" i="44" s="1" a="1"/>
  <c r="AH469" i="44" s="1"/>
  <c r="AE469" i="44"/>
  <c r="AI469" i="44" s="1"/>
  <c r="Z470" i="44"/>
  <c r="AA470" i="44" s="1"/>
  <c r="AB470" i="44"/>
  <c r="AC470" i="44" s="1"/>
  <c r="AD470" i="44"/>
  <c r="AH470" i="44" s="1" a="1"/>
  <c r="AH470" i="44" s="1"/>
  <c r="AE470" i="44"/>
  <c r="AJ470" i="44" s="1"/>
  <c r="Z471" i="44"/>
  <c r="AA471" i="44" s="1"/>
  <c r="AB471" i="44"/>
  <c r="AC471" i="44" s="1"/>
  <c r="AD471" i="44"/>
  <c r="AH471" i="44" s="1" a="1"/>
  <c r="AH471" i="44" s="1"/>
  <c r="AE471" i="44"/>
  <c r="AI471" i="44" s="1"/>
  <c r="Z472" i="44"/>
  <c r="AA472" i="44" s="1"/>
  <c r="AB472" i="44"/>
  <c r="AC472" i="44" s="1"/>
  <c r="AD472" i="44"/>
  <c r="AH472" i="44" s="1" a="1"/>
  <c r="AH472" i="44" s="1"/>
  <c r="AE472" i="44"/>
  <c r="AJ472" i="44" s="1"/>
  <c r="Z473" i="44"/>
  <c r="AA473" i="44" s="1"/>
  <c r="AB473" i="44"/>
  <c r="AC473" i="44" s="1"/>
  <c r="AD473" i="44"/>
  <c r="AH473" i="44" s="1" a="1"/>
  <c r="AH473" i="44" s="1"/>
  <c r="AE473" i="44"/>
  <c r="AF473" i="44" s="1"/>
  <c r="AG473" i="44" s="1"/>
  <c r="Z474" i="44"/>
  <c r="AA474" i="44" s="1"/>
  <c r="AB474" i="44"/>
  <c r="AC474" i="44" s="1"/>
  <c r="AD474" i="44"/>
  <c r="AH474" i="44" s="1" a="1"/>
  <c r="AH474" i="44" s="1"/>
  <c r="AE474" i="44"/>
  <c r="AJ474" i="44" s="1"/>
  <c r="Z475" i="44"/>
  <c r="AA475" i="44" s="1"/>
  <c r="AB475" i="44"/>
  <c r="AC475" i="44" s="1"/>
  <c r="AD475" i="44"/>
  <c r="AH475" i="44" s="1" a="1"/>
  <c r="AH475" i="44" s="1"/>
  <c r="AE475" i="44"/>
  <c r="Z476" i="44"/>
  <c r="AA476" i="44" s="1"/>
  <c r="AB476" i="44"/>
  <c r="AC476" i="44" s="1"/>
  <c r="AD476" i="44"/>
  <c r="AH476" i="44" s="1" a="1"/>
  <c r="AH476" i="44" s="1"/>
  <c r="AE476" i="44"/>
  <c r="AJ476" i="44" s="1"/>
  <c r="Z477" i="44"/>
  <c r="AA477" i="44" s="1"/>
  <c r="AB477" i="44"/>
  <c r="AC477" i="44" s="1"/>
  <c r="AD477" i="44"/>
  <c r="AH477" i="44" s="1" a="1"/>
  <c r="AH477" i="44" s="1"/>
  <c r="AE477" i="44"/>
  <c r="AJ477" i="44" s="1"/>
  <c r="Z478" i="44"/>
  <c r="AA478" i="44" s="1"/>
  <c r="AB478" i="44"/>
  <c r="AC478" i="44" s="1"/>
  <c r="AD478" i="44"/>
  <c r="AH478" i="44" s="1" a="1"/>
  <c r="AH478" i="44" s="1"/>
  <c r="AE478" i="44"/>
  <c r="AJ478" i="44" s="1"/>
  <c r="Z479" i="44"/>
  <c r="AA479" i="44" s="1"/>
  <c r="AB479" i="44"/>
  <c r="AC479" i="44" s="1"/>
  <c r="AD479" i="44"/>
  <c r="AH479" i="44" s="1" a="1"/>
  <c r="AH479" i="44" s="1"/>
  <c r="AE479" i="44"/>
  <c r="AF479" i="44" s="1"/>
  <c r="AG479" i="44" s="1"/>
  <c r="Z480" i="44"/>
  <c r="AA480" i="44" s="1"/>
  <c r="AB480" i="44"/>
  <c r="AC480" i="44" s="1"/>
  <c r="AD480" i="44"/>
  <c r="AH480" i="44" s="1" a="1"/>
  <c r="AH480" i="44" s="1"/>
  <c r="AE480" i="44"/>
  <c r="Z481" i="44"/>
  <c r="AA481" i="44" s="1"/>
  <c r="AB481" i="44"/>
  <c r="AC481" i="44" s="1"/>
  <c r="AD481" i="44"/>
  <c r="AH481" i="44" s="1" a="1"/>
  <c r="AH481" i="44" s="1"/>
  <c r="AE481" i="44"/>
  <c r="AI481" i="44" s="1"/>
  <c r="Z482" i="44"/>
  <c r="AA482" i="44" s="1"/>
  <c r="AB482" i="44"/>
  <c r="AC482" i="44" s="1"/>
  <c r="AD482" i="44"/>
  <c r="AH482" i="44" s="1" a="1"/>
  <c r="AH482" i="44" s="1"/>
  <c r="AE482" i="44"/>
  <c r="AJ482" i="44" s="1"/>
  <c r="Z483" i="44"/>
  <c r="AA483" i="44" s="1"/>
  <c r="AB483" i="44"/>
  <c r="AC483" i="44" s="1"/>
  <c r="AD483" i="44"/>
  <c r="AH483" i="44" s="1" a="1"/>
  <c r="AH483" i="44" s="1"/>
  <c r="AE483" i="44"/>
  <c r="AI483" i="44" s="1"/>
  <c r="Z484" i="44"/>
  <c r="AA484" i="44" s="1"/>
  <c r="AB484" i="44"/>
  <c r="AC484" i="44" s="1"/>
  <c r="AD484" i="44"/>
  <c r="AH484" i="44" s="1" a="1"/>
  <c r="AH484" i="44" s="1"/>
  <c r="AE484" i="44"/>
  <c r="AJ484" i="44" s="1"/>
  <c r="Z485" i="44"/>
  <c r="AA485" i="44" s="1"/>
  <c r="AB485" i="44"/>
  <c r="AC485" i="44" s="1"/>
  <c r="AD485" i="44"/>
  <c r="AH485" i="44" s="1" a="1"/>
  <c r="AH485" i="44" s="1"/>
  <c r="AE485" i="44"/>
  <c r="AF485" i="44" s="1"/>
  <c r="AG485" i="44" s="1"/>
  <c r="Z486" i="44"/>
  <c r="AA486" i="44" s="1"/>
  <c r="AB486" i="44"/>
  <c r="AC486" i="44" s="1"/>
  <c r="AD486" i="44"/>
  <c r="AH486" i="44" s="1" a="1"/>
  <c r="AH486" i="44" s="1"/>
  <c r="AE486" i="44"/>
  <c r="AJ486" i="44" s="1"/>
  <c r="Z487" i="44"/>
  <c r="AA487" i="44" s="1"/>
  <c r="AB487" i="44"/>
  <c r="AC487" i="44" s="1"/>
  <c r="AD487" i="44"/>
  <c r="AH487" i="44" s="1" a="1"/>
  <c r="AH487" i="44" s="1"/>
  <c r="AE487" i="44"/>
  <c r="AJ487" i="44" s="1"/>
  <c r="Z488" i="44"/>
  <c r="AA488" i="44" s="1"/>
  <c r="AB488" i="44"/>
  <c r="AC488" i="44" s="1"/>
  <c r="AD488" i="44"/>
  <c r="AH488" i="44" s="1" a="1"/>
  <c r="AH488" i="44" s="1"/>
  <c r="AE488" i="44"/>
  <c r="AJ488" i="44" s="1"/>
  <c r="Z489" i="44"/>
  <c r="AA489" i="44" s="1"/>
  <c r="AB489" i="44"/>
  <c r="AC489" i="44" s="1"/>
  <c r="AD489" i="44"/>
  <c r="AH489" i="44" s="1" a="1"/>
  <c r="AH489" i="44" s="1"/>
  <c r="AE489" i="44"/>
  <c r="AI489" i="44" s="1"/>
  <c r="Z490" i="44"/>
  <c r="AA490" i="44" s="1"/>
  <c r="AB490" i="44"/>
  <c r="AC490" i="44" s="1"/>
  <c r="AD490" i="44"/>
  <c r="AH490" i="44" s="1" a="1"/>
  <c r="AH490" i="44" s="1"/>
  <c r="AE490" i="44"/>
  <c r="AJ490" i="44" s="1"/>
  <c r="Z491" i="44"/>
  <c r="AA491" i="44" s="1"/>
  <c r="AB491" i="44"/>
  <c r="AC491" i="44" s="1"/>
  <c r="AD491" i="44"/>
  <c r="AH491" i="44" s="1" a="1"/>
  <c r="AH491" i="44" s="1"/>
  <c r="AE491" i="44"/>
  <c r="Z492" i="44"/>
  <c r="AA492" i="44" s="1"/>
  <c r="AB492" i="44"/>
  <c r="AC492" i="44" s="1"/>
  <c r="AD492" i="44"/>
  <c r="AH492" i="44" s="1" a="1"/>
  <c r="AH492" i="44" s="1"/>
  <c r="AE492" i="44"/>
  <c r="AJ492" i="44" s="1"/>
  <c r="Z493" i="44"/>
  <c r="AA493" i="44" s="1"/>
  <c r="AB493" i="44"/>
  <c r="AC493" i="44" s="1"/>
  <c r="AD493" i="44"/>
  <c r="AH493" i="44" s="1" a="1"/>
  <c r="AH493" i="44" s="1"/>
  <c r="AE493" i="44"/>
  <c r="AF493" i="44" s="1"/>
  <c r="AG493" i="44" s="1"/>
  <c r="Z494" i="44"/>
  <c r="AA494" i="44" s="1"/>
  <c r="AB494" i="44"/>
  <c r="AC494" i="44" s="1"/>
  <c r="AD494" i="44"/>
  <c r="AH494" i="44" s="1" a="1"/>
  <c r="AH494" i="44" s="1"/>
  <c r="AE494" i="44"/>
  <c r="AJ494" i="44" s="1"/>
  <c r="Z495" i="44"/>
  <c r="AA495" i="44" s="1"/>
  <c r="AB495" i="44"/>
  <c r="AC495" i="44" s="1"/>
  <c r="AD495" i="44"/>
  <c r="AH495" i="44" s="1" a="1"/>
  <c r="AH495" i="44" s="1"/>
  <c r="AE495" i="44"/>
  <c r="AI495" i="44" s="1"/>
  <c r="Z496" i="44"/>
  <c r="AA496" i="44" s="1"/>
  <c r="AB496" i="44"/>
  <c r="AC496" i="44" s="1"/>
  <c r="AD496" i="44"/>
  <c r="AH496" i="44" s="1" a="1"/>
  <c r="AH496" i="44" s="1"/>
  <c r="AE496" i="44"/>
  <c r="AJ496" i="44" s="1"/>
  <c r="Z497" i="44"/>
  <c r="AA497" i="44" s="1"/>
  <c r="AB497" i="44"/>
  <c r="AC497" i="44" s="1"/>
  <c r="AD497" i="44"/>
  <c r="AH497" i="44" s="1" a="1"/>
  <c r="AH497" i="44" s="1"/>
  <c r="AE497" i="44"/>
  <c r="AF497" i="44" s="1"/>
  <c r="AG497" i="44" s="1"/>
  <c r="Z498" i="44"/>
  <c r="AA498" i="44" s="1"/>
  <c r="AB498" i="44"/>
  <c r="AC498" i="44" s="1"/>
  <c r="AD498" i="44"/>
  <c r="AH498" i="44" s="1" a="1"/>
  <c r="AH498" i="44" s="1"/>
  <c r="AE498" i="44"/>
  <c r="AJ498" i="44" s="1"/>
  <c r="Z499" i="44"/>
  <c r="AA499" i="44" s="1"/>
  <c r="AB499" i="44"/>
  <c r="AC499" i="44" s="1"/>
  <c r="AD499" i="44"/>
  <c r="AH499" i="44" s="1" a="1"/>
  <c r="AH499" i="44" s="1"/>
  <c r="AE499" i="44"/>
  <c r="AF499" i="44" s="1"/>
  <c r="AG499" i="44" s="1"/>
  <c r="Z500" i="44"/>
  <c r="AA500" i="44" s="1"/>
  <c r="AB500" i="44"/>
  <c r="AC500" i="44" s="1"/>
  <c r="AD500" i="44"/>
  <c r="AH500" i="44" s="1" a="1"/>
  <c r="AH500" i="44" s="1"/>
  <c r="AE500" i="44"/>
  <c r="AJ500" i="44" s="1"/>
  <c r="AE2" i="44"/>
  <c r="AJ2" i="44" s="1"/>
  <c r="AD2" i="44"/>
  <c r="AH2" i="44" s="1" a="1"/>
  <c r="AH2" i="44" s="1"/>
  <c r="AB2" i="44"/>
  <c r="AC2" i="44" s="1"/>
  <c r="Z2" i="44"/>
  <c r="AA2" i="44" s="1"/>
  <c r="Z3" i="34"/>
  <c r="AA3" i="34" s="1"/>
  <c r="AB3" i="34"/>
  <c r="AC3" i="34" s="1"/>
  <c r="AD3" i="34"/>
  <c r="AH3" i="34" s="1" a="1"/>
  <c r="AH3" i="34" s="1"/>
  <c r="Z4" i="34"/>
  <c r="AA4" i="34" s="1"/>
  <c r="AB4" i="34"/>
  <c r="AE4" i="34" s="1"/>
  <c r="AF4" i="34" s="1"/>
  <c r="AG4" i="34" s="1"/>
  <c r="AD4" i="34"/>
  <c r="AH4" i="34" s="1" a="1"/>
  <c r="AH4" i="34" s="1"/>
  <c r="Z5" i="34"/>
  <c r="AA5" i="34" s="1"/>
  <c r="AB5" i="34"/>
  <c r="AC5" i="34" s="1"/>
  <c r="AD5" i="34"/>
  <c r="AH5" i="34" s="1" a="1"/>
  <c r="AH5" i="34" s="1"/>
  <c r="Z6" i="34"/>
  <c r="AA6" i="34" s="1"/>
  <c r="AB6" i="34"/>
  <c r="AE6" i="34" s="1"/>
  <c r="AD6" i="34"/>
  <c r="AH6" i="34" s="1" a="1"/>
  <c r="AH6" i="34" s="1"/>
  <c r="Z7" i="34"/>
  <c r="AA7" i="34" s="1"/>
  <c r="AB7" i="34"/>
  <c r="AC7" i="34" s="1"/>
  <c r="AD7" i="34"/>
  <c r="AH7" i="34" s="1" a="1"/>
  <c r="AH7" i="34" s="1"/>
  <c r="Z8" i="34"/>
  <c r="AA8" i="34" s="1"/>
  <c r="AB8" i="34"/>
  <c r="AE8" i="34" s="1"/>
  <c r="AI8" i="34" s="1"/>
  <c r="AD8" i="34"/>
  <c r="AH8" i="34" s="1" a="1"/>
  <c r="AH8" i="34" s="1"/>
  <c r="Z9" i="34"/>
  <c r="AA9" i="34" s="1"/>
  <c r="AB9" i="34"/>
  <c r="AC9" i="34" s="1"/>
  <c r="AD9" i="34"/>
  <c r="AH9" i="34" s="1" a="1"/>
  <c r="AH9" i="34" s="1"/>
  <c r="Z10" i="34"/>
  <c r="AA10" i="34" s="1"/>
  <c r="AB10" i="34"/>
  <c r="AD10" i="34"/>
  <c r="AH10" i="34" s="1" a="1"/>
  <c r="AH10" i="34" s="1"/>
  <c r="Z11" i="34"/>
  <c r="AA11" i="34" s="1"/>
  <c r="AB11" i="34"/>
  <c r="AC11" i="34" s="1"/>
  <c r="AD11" i="34"/>
  <c r="AH11" i="34" s="1" a="1"/>
  <c r="AH11" i="34" s="1"/>
  <c r="Z12" i="34"/>
  <c r="AA12" i="34" s="1"/>
  <c r="AB12" i="34"/>
  <c r="AD12" i="34"/>
  <c r="AH12" i="34" s="1" a="1"/>
  <c r="AH12" i="34" s="1"/>
  <c r="Z13" i="34"/>
  <c r="AA13" i="34" s="1"/>
  <c r="AB13" i="34"/>
  <c r="AD13" i="34"/>
  <c r="AH13" i="34" s="1" a="1"/>
  <c r="AH13" i="34" s="1"/>
  <c r="Z14" i="34"/>
  <c r="AA14" i="34" s="1"/>
  <c r="AB14" i="34"/>
  <c r="AE14" i="34" s="1"/>
  <c r="AD14" i="34"/>
  <c r="AH14" i="34" s="1" a="1"/>
  <c r="AH14" i="34" s="1"/>
  <c r="Z15" i="34"/>
  <c r="AA15" i="34" s="1"/>
  <c r="AB15" i="34"/>
  <c r="AC15" i="34" s="1"/>
  <c r="AD15" i="34"/>
  <c r="AH15" i="34" s="1" a="1"/>
  <c r="AH15" i="34" s="1"/>
  <c r="Z16" i="34"/>
  <c r="AA16" i="34" s="1"/>
  <c r="AB16" i="34"/>
  <c r="AC16" i="34" s="1"/>
  <c r="AD16" i="34"/>
  <c r="AH16" i="34" s="1" a="1"/>
  <c r="AH16" i="34" s="1"/>
  <c r="Z17" i="34"/>
  <c r="AA17" i="34" s="1"/>
  <c r="AB17" i="34"/>
  <c r="AC17" i="34" s="1"/>
  <c r="AD17" i="34"/>
  <c r="AH17" i="34" s="1" a="1"/>
  <c r="AH17" i="34" s="1"/>
  <c r="Z18" i="34"/>
  <c r="AA18" i="34" s="1"/>
  <c r="AB18" i="34"/>
  <c r="AC18" i="34" s="1"/>
  <c r="AD18" i="34"/>
  <c r="AH18" i="34" s="1" a="1"/>
  <c r="AH18" i="34" s="1"/>
  <c r="Z19" i="34"/>
  <c r="AA19" i="34" s="1"/>
  <c r="AB19" i="34"/>
  <c r="AC19" i="34" s="1"/>
  <c r="AD19" i="34"/>
  <c r="AH19" i="34" s="1" a="1"/>
  <c r="AH19" i="34" s="1"/>
  <c r="Z20" i="34"/>
  <c r="AA20" i="34" s="1"/>
  <c r="AB20" i="34"/>
  <c r="AC20" i="34" s="1"/>
  <c r="AD20" i="34"/>
  <c r="AH20" i="34" s="1" a="1"/>
  <c r="AH20" i="34" s="1"/>
  <c r="Z21" i="34"/>
  <c r="AA21" i="34" s="1"/>
  <c r="AB21" i="34"/>
  <c r="AC21" i="34" s="1"/>
  <c r="AD21" i="34"/>
  <c r="AH21" i="34" s="1" a="1"/>
  <c r="AH21" i="34" s="1"/>
  <c r="Z22" i="34"/>
  <c r="AA22" i="34" s="1"/>
  <c r="AB22" i="34"/>
  <c r="AE22" i="34" s="1"/>
  <c r="AD22" i="34"/>
  <c r="AH22" i="34" s="1" a="1"/>
  <c r="AH22" i="34" s="1"/>
  <c r="Z23" i="34"/>
  <c r="AA23" i="34" s="1"/>
  <c r="AB23" i="34"/>
  <c r="AC23" i="34" s="1"/>
  <c r="AD23" i="34"/>
  <c r="AH23" i="34" s="1" a="1"/>
  <c r="AH23" i="34" s="1"/>
  <c r="Z24" i="34"/>
  <c r="AA24" i="34" s="1"/>
  <c r="AB24" i="34"/>
  <c r="AD24" i="34"/>
  <c r="AH24" i="34" s="1" a="1"/>
  <c r="AH24" i="34" s="1"/>
  <c r="Z25" i="34"/>
  <c r="AA25" i="34" s="1"/>
  <c r="AB25" i="34"/>
  <c r="AC25" i="34" s="1"/>
  <c r="AD25" i="34"/>
  <c r="AH25" i="34" s="1" a="1"/>
  <c r="AH25" i="34" s="1"/>
  <c r="Z26" i="34"/>
  <c r="AA26" i="34" s="1"/>
  <c r="AB26" i="34"/>
  <c r="AD26" i="34"/>
  <c r="AH26" i="34" s="1" a="1"/>
  <c r="AH26" i="34" s="1"/>
  <c r="Z27" i="34"/>
  <c r="AA27" i="34" s="1"/>
  <c r="AB27" i="34"/>
  <c r="AC27" i="34" s="1"/>
  <c r="AD27" i="34"/>
  <c r="AH27" i="34" s="1" a="1"/>
  <c r="AH27" i="34" s="1"/>
  <c r="Z28" i="34"/>
  <c r="AA28" i="34" s="1"/>
  <c r="AB28" i="34"/>
  <c r="AE28" i="34" s="1"/>
  <c r="AI28" i="34" s="1"/>
  <c r="AD28" i="34"/>
  <c r="AH28" i="34" s="1" a="1"/>
  <c r="AH28" i="34" s="1"/>
  <c r="Z29" i="34"/>
  <c r="AA29" i="34" s="1"/>
  <c r="AB29" i="34"/>
  <c r="AD29" i="34"/>
  <c r="AH29" i="34" s="1" a="1"/>
  <c r="AH29" i="34" s="1"/>
  <c r="Z30" i="34"/>
  <c r="AA30" i="34" s="1"/>
  <c r="AB30" i="34"/>
  <c r="AC30" i="34" s="1"/>
  <c r="AD30" i="34"/>
  <c r="AH30" i="34" s="1" a="1"/>
  <c r="AH30" i="34" s="1"/>
  <c r="Z31" i="34"/>
  <c r="AA31" i="34" s="1"/>
  <c r="AB31" i="34"/>
  <c r="AC31" i="34" s="1"/>
  <c r="AD31" i="34"/>
  <c r="AH31" i="34" s="1" a="1"/>
  <c r="AH31" i="34" s="1"/>
  <c r="Z32" i="34"/>
  <c r="AA32" i="34" s="1"/>
  <c r="AB32" i="34"/>
  <c r="AD32" i="34"/>
  <c r="AH32" i="34" s="1" a="1"/>
  <c r="AH32" i="34" s="1"/>
  <c r="Z33" i="34"/>
  <c r="AA33" i="34" s="1"/>
  <c r="AB33" i="34"/>
  <c r="AD33" i="34"/>
  <c r="AH33" i="34" s="1" a="1"/>
  <c r="AH33" i="34" s="1"/>
  <c r="Z34" i="34"/>
  <c r="AA34" i="34" s="1"/>
  <c r="AB34" i="34"/>
  <c r="AD34" i="34"/>
  <c r="AH34" i="34" s="1" a="1"/>
  <c r="AH34" i="34" s="1"/>
  <c r="Z35" i="34"/>
  <c r="AA35" i="34" s="1"/>
  <c r="AB35" i="34"/>
  <c r="AD35" i="34"/>
  <c r="AH35" i="34" s="1" a="1"/>
  <c r="AH35" i="34" s="1"/>
  <c r="Z36" i="34"/>
  <c r="AA36" i="34" s="1"/>
  <c r="AB36" i="34"/>
  <c r="AD36" i="34"/>
  <c r="AH36" i="34" s="1" a="1"/>
  <c r="AH36" i="34" s="1"/>
  <c r="Z37" i="34"/>
  <c r="AA37" i="34" s="1"/>
  <c r="AB37" i="34"/>
  <c r="AD37" i="34"/>
  <c r="AH37" i="34" s="1" a="1"/>
  <c r="AH37" i="34" s="1"/>
  <c r="Z38" i="34"/>
  <c r="AA38" i="34" s="1"/>
  <c r="AB38" i="34"/>
  <c r="AE38" i="34" s="1"/>
  <c r="AJ38" i="34" s="1"/>
  <c r="AD38" i="34"/>
  <c r="AH38" i="34" s="1" a="1"/>
  <c r="AH38" i="34" s="1"/>
  <c r="Z39" i="34"/>
  <c r="AA39" i="34" s="1"/>
  <c r="AB39" i="34"/>
  <c r="AC39" i="34" s="1"/>
  <c r="AD39" i="34"/>
  <c r="AH39" i="34" s="1" a="1"/>
  <c r="AH39" i="34" s="1"/>
  <c r="Z40" i="34"/>
  <c r="AA40" i="34" s="1"/>
  <c r="AB40" i="34"/>
  <c r="AD40" i="34"/>
  <c r="AH40" i="34" s="1" a="1"/>
  <c r="AH40" i="34" s="1"/>
  <c r="Z41" i="34"/>
  <c r="AA41" i="34" s="1"/>
  <c r="AB41" i="34"/>
  <c r="AC41" i="34" s="1"/>
  <c r="AD41" i="34"/>
  <c r="AH41" i="34" s="1" a="1"/>
  <c r="AH41" i="34" s="1"/>
  <c r="Z42" i="34"/>
  <c r="AA42" i="34" s="1"/>
  <c r="AB42" i="34"/>
  <c r="AE42" i="34" s="1"/>
  <c r="AI42" i="34" s="1"/>
  <c r="AD42" i="34"/>
  <c r="AH42" i="34" s="1" a="1"/>
  <c r="AH42" i="34" s="1"/>
  <c r="Z43" i="34"/>
  <c r="AA43" i="34" s="1"/>
  <c r="AB43" i="34"/>
  <c r="AC43" i="34" s="1"/>
  <c r="AD43" i="34"/>
  <c r="AH43" i="34" s="1" a="1"/>
  <c r="AH43" i="34" s="1"/>
  <c r="Z44" i="34"/>
  <c r="AA44" i="34" s="1"/>
  <c r="AB44" i="34"/>
  <c r="AC44" i="34" s="1"/>
  <c r="AD44" i="34"/>
  <c r="AH44" i="34" s="1" a="1"/>
  <c r="AH44" i="34" s="1"/>
  <c r="Z45" i="34"/>
  <c r="AA45" i="34" s="1"/>
  <c r="AB45" i="34"/>
  <c r="AD45" i="34"/>
  <c r="AH45" i="34" s="1" a="1"/>
  <c r="AH45" i="34" s="1"/>
  <c r="Z46" i="34"/>
  <c r="AA46" i="34" s="1"/>
  <c r="AB46" i="34"/>
  <c r="AE46" i="34" s="1"/>
  <c r="AD46" i="34"/>
  <c r="AH46" i="34" s="1" a="1"/>
  <c r="AH46" i="34" s="1"/>
  <c r="Z47" i="34"/>
  <c r="AA47" i="34" s="1"/>
  <c r="AB47" i="34"/>
  <c r="AC47" i="34" s="1"/>
  <c r="AD47" i="34"/>
  <c r="AH47" i="34" s="1" a="1"/>
  <c r="AH47" i="34" s="1"/>
  <c r="Z48" i="34"/>
  <c r="AA48" i="34" s="1"/>
  <c r="AB48" i="34"/>
  <c r="AD48" i="34"/>
  <c r="AH48" i="34" s="1" a="1"/>
  <c r="AH48" i="34" s="1"/>
  <c r="Z49" i="34"/>
  <c r="AA49" i="34" s="1"/>
  <c r="AB49" i="34"/>
  <c r="AC49" i="34" s="1"/>
  <c r="AD49" i="34"/>
  <c r="AH49" i="34" s="1" a="1"/>
  <c r="AH49" i="34" s="1"/>
  <c r="Z50" i="34"/>
  <c r="AA50" i="34" s="1"/>
  <c r="AB50" i="34"/>
  <c r="AE50" i="34" s="1"/>
  <c r="AJ50" i="34" s="1"/>
  <c r="AD50" i="34"/>
  <c r="AH50" i="34" s="1" a="1"/>
  <c r="AH50" i="34" s="1"/>
  <c r="Z51" i="34"/>
  <c r="AA51" i="34" s="1"/>
  <c r="AB51" i="34"/>
  <c r="AC51" i="34" s="1"/>
  <c r="AD51" i="34"/>
  <c r="AH51" i="34" s="1" a="1"/>
  <c r="AH51" i="34" s="1"/>
  <c r="Z52" i="34"/>
  <c r="AA52" i="34" s="1"/>
  <c r="AB52" i="34"/>
  <c r="AC52" i="34" s="1"/>
  <c r="AD52" i="34"/>
  <c r="AH52" i="34" s="1" a="1"/>
  <c r="AH52" i="34" s="1"/>
  <c r="Z53" i="34"/>
  <c r="AA53" i="34" s="1"/>
  <c r="AB53" i="34"/>
  <c r="AC53" i="34" s="1"/>
  <c r="AD53" i="34"/>
  <c r="AH53" i="34" s="1" a="1"/>
  <c r="AH53" i="34" s="1"/>
  <c r="Z54" i="34"/>
  <c r="AA54" i="34" s="1"/>
  <c r="AB54" i="34"/>
  <c r="AC54" i="34" s="1"/>
  <c r="AD54" i="34"/>
  <c r="AH54" i="34" s="1" a="1"/>
  <c r="AH54" i="34" s="1"/>
  <c r="Z55" i="34"/>
  <c r="AA55" i="34" s="1"/>
  <c r="AB55" i="34"/>
  <c r="AC55" i="34" s="1"/>
  <c r="AD55" i="34"/>
  <c r="AH55" i="34" s="1" a="1"/>
  <c r="AH55" i="34" s="1"/>
  <c r="Z56" i="34"/>
  <c r="AA56" i="34" s="1"/>
  <c r="AB56" i="34"/>
  <c r="AD56" i="34"/>
  <c r="AH56" i="34" s="1" a="1"/>
  <c r="AH56" i="34" s="1"/>
  <c r="Z57" i="34"/>
  <c r="AA57" i="34" s="1"/>
  <c r="AB57" i="34"/>
  <c r="AC57" i="34" s="1"/>
  <c r="AD57" i="34"/>
  <c r="AH57" i="34" s="1" a="1"/>
  <c r="AH57" i="34" s="1"/>
  <c r="Z58" i="34"/>
  <c r="AA58" i="34" s="1"/>
  <c r="AB58" i="34"/>
  <c r="AC58" i="34" s="1"/>
  <c r="AD58" i="34"/>
  <c r="AH58" i="34" s="1" a="1"/>
  <c r="AH58" i="34" s="1"/>
  <c r="Z59" i="34"/>
  <c r="AA59" i="34" s="1"/>
  <c r="AB59" i="34"/>
  <c r="AC59" i="34" s="1"/>
  <c r="AD59" i="34"/>
  <c r="AH59" i="34" s="1" a="1"/>
  <c r="AH59" i="34" s="1"/>
  <c r="Z60" i="34"/>
  <c r="AA60" i="34" s="1"/>
  <c r="AB60" i="34"/>
  <c r="AC60" i="34" s="1"/>
  <c r="AD60" i="34"/>
  <c r="AH60" i="34" s="1" a="1"/>
  <c r="AH60" i="34" s="1"/>
  <c r="Z61" i="34"/>
  <c r="AA61" i="34" s="1"/>
  <c r="AB61" i="34"/>
  <c r="AE61" i="34" s="1"/>
  <c r="AD61" i="34"/>
  <c r="AH61" i="34" s="1" a="1"/>
  <c r="AH61" i="34" s="1"/>
  <c r="Z62" i="34"/>
  <c r="AA62" i="34" s="1"/>
  <c r="AB62" i="34"/>
  <c r="AC62" i="34" s="1"/>
  <c r="AD62" i="34"/>
  <c r="AH62" i="34" s="1" a="1"/>
  <c r="AH62" i="34" s="1"/>
  <c r="Z63" i="34"/>
  <c r="AA63" i="34" s="1"/>
  <c r="AB63" i="34"/>
  <c r="AE63" i="34" s="1"/>
  <c r="AD63" i="34"/>
  <c r="AH63" i="34" s="1" a="1"/>
  <c r="AH63" i="34" s="1"/>
  <c r="Z64" i="34"/>
  <c r="AA64" i="34" s="1"/>
  <c r="AB64" i="34"/>
  <c r="AC64" i="34" s="1"/>
  <c r="AD64" i="34"/>
  <c r="AH64" i="34" s="1" a="1"/>
  <c r="AH64" i="34" s="1"/>
  <c r="Z65" i="34"/>
  <c r="AA65" i="34" s="1"/>
  <c r="AB65" i="34"/>
  <c r="AC65" i="34" s="1"/>
  <c r="AD65" i="34"/>
  <c r="AH65" i="34" s="1" a="1"/>
  <c r="AH65" i="34" s="1"/>
  <c r="Z66" i="34"/>
  <c r="AA66" i="34" s="1"/>
  <c r="AB66" i="34"/>
  <c r="AD66" i="34"/>
  <c r="AH66" i="34" s="1" a="1"/>
  <c r="AH66" i="34" s="1"/>
  <c r="Z67" i="34"/>
  <c r="AA67" i="34" s="1"/>
  <c r="AB67" i="34"/>
  <c r="AD67" i="34"/>
  <c r="AH67" i="34" s="1" a="1"/>
  <c r="AH67" i="34" s="1"/>
  <c r="Z68" i="34"/>
  <c r="AA68" i="34" s="1"/>
  <c r="AB68" i="34"/>
  <c r="AC68" i="34" s="1"/>
  <c r="AD68" i="34"/>
  <c r="AH68" i="34" s="1" a="1"/>
  <c r="AH68" i="34" s="1"/>
  <c r="Z69" i="34"/>
  <c r="AA69" i="34" s="1"/>
  <c r="AB69" i="34"/>
  <c r="AE69" i="34" s="1"/>
  <c r="AD69" i="34"/>
  <c r="AH69" i="34" s="1" a="1"/>
  <c r="AH69" i="34" s="1"/>
  <c r="Z70" i="34"/>
  <c r="AA70" i="34" s="1"/>
  <c r="AB70" i="34"/>
  <c r="AC70" i="34" s="1"/>
  <c r="AD70" i="34"/>
  <c r="AH70" i="34" s="1" a="1"/>
  <c r="AH70" i="34" s="1"/>
  <c r="Z71" i="34"/>
  <c r="AA71" i="34" s="1"/>
  <c r="AB71" i="34"/>
  <c r="AC71" i="34" s="1"/>
  <c r="AD71" i="34"/>
  <c r="AH71" i="34" s="1" a="1"/>
  <c r="AH71" i="34" s="1"/>
  <c r="Z72" i="34"/>
  <c r="AA72" i="34" s="1"/>
  <c r="AB72" i="34"/>
  <c r="AC72" i="34" s="1"/>
  <c r="AD72" i="34"/>
  <c r="AH72" i="34" s="1" a="1"/>
  <c r="AH72" i="34" s="1"/>
  <c r="Z73" i="34"/>
  <c r="AA73" i="34" s="1"/>
  <c r="AB73" i="34"/>
  <c r="AC73" i="34" s="1"/>
  <c r="AD73" i="34"/>
  <c r="AH73" i="34" s="1" a="1"/>
  <c r="AH73" i="34" s="1"/>
  <c r="Z74" i="34"/>
  <c r="AA74" i="34" s="1"/>
  <c r="AB74" i="34"/>
  <c r="AC74" i="34" s="1"/>
  <c r="AD74" i="34"/>
  <c r="AH74" i="34" s="1" a="1"/>
  <c r="AH74" i="34" s="1"/>
  <c r="Z75" i="34"/>
  <c r="AA75" i="34" s="1"/>
  <c r="AB75" i="34"/>
  <c r="AC75" i="34" s="1"/>
  <c r="AD75" i="34"/>
  <c r="AH75" i="34" s="1" a="1"/>
  <c r="AH75" i="34" s="1"/>
  <c r="Z76" i="34"/>
  <c r="AA76" i="34" s="1"/>
  <c r="AB76" i="34"/>
  <c r="AC76" i="34" s="1"/>
  <c r="AD76" i="34"/>
  <c r="AH76" i="34" s="1" a="1"/>
  <c r="AH76" i="34" s="1"/>
  <c r="Z77" i="34"/>
  <c r="AA77" i="34" s="1"/>
  <c r="AB77" i="34"/>
  <c r="AC77" i="34" s="1"/>
  <c r="AD77" i="34"/>
  <c r="AH77" i="34" s="1" a="1"/>
  <c r="AH77" i="34" s="1"/>
  <c r="Z78" i="34"/>
  <c r="AA78" i="34" s="1"/>
  <c r="AB78" i="34"/>
  <c r="AC78" i="34" s="1"/>
  <c r="AD78" i="34"/>
  <c r="AH78" i="34" s="1" a="1"/>
  <c r="AH78" i="34" s="1"/>
  <c r="Z79" i="34"/>
  <c r="AA79" i="34" s="1"/>
  <c r="AB79" i="34"/>
  <c r="AC79" i="34" s="1"/>
  <c r="AD79" i="34"/>
  <c r="AH79" i="34" s="1" a="1"/>
  <c r="AH79" i="34" s="1"/>
  <c r="Z80" i="34"/>
  <c r="AA80" i="34" s="1"/>
  <c r="AB80" i="34"/>
  <c r="AC80" i="34" s="1"/>
  <c r="AD80" i="34"/>
  <c r="AH80" i="34" s="1" a="1"/>
  <c r="AH80" i="34" s="1"/>
  <c r="Z81" i="34"/>
  <c r="AA81" i="34" s="1"/>
  <c r="AB81" i="34"/>
  <c r="AC81" i="34" s="1"/>
  <c r="AD81" i="34"/>
  <c r="AH81" i="34" s="1" a="1"/>
  <c r="AH81" i="34" s="1"/>
  <c r="Z82" i="34"/>
  <c r="AA82" i="34" s="1"/>
  <c r="AB82" i="34"/>
  <c r="AC82" i="34" s="1"/>
  <c r="AD82" i="34"/>
  <c r="AH82" i="34" s="1" a="1"/>
  <c r="AH82" i="34" s="1"/>
  <c r="Z83" i="34"/>
  <c r="AA83" i="34" s="1"/>
  <c r="AB83" i="34"/>
  <c r="AC83" i="34" s="1"/>
  <c r="AD83" i="34"/>
  <c r="AH83" i="34" s="1" a="1"/>
  <c r="AH83" i="34" s="1"/>
  <c r="Z84" i="34"/>
  <c r="AA84" i="34" s="1"/>
  <c r="AB84" i="34"/>
  <c r="AC84" i="34" s="1"/>
  <c r="AD84" i="34"/>
  <c r="AH84" i="34" s="1" a="1"/>
  <c r="AH84" i="34" s="1"/>
  <c r="Z85" i="34"/>
  <c r="AA85" i="34" s="1"/>
  <c r="AB85" i="34"/>
  <c r="AC85" i="34" s="1"/>
  <c r="AD85" i="34"/>
  <c r="AH85" i="34" s="1" a="1"/>
  <c r="AH85" i="34" s="1"/>
  <c r="Z86" i="34"/>
  <c r="AA86" i="34" s="1"/>
  <c r="AB86" i="34"/>
  <c r="AC86" i="34" s="1"/>
  <c r="AD86" i="34"/>
  <c r="AH86" i="34" s="1" a="1"/>
  <c r="AH86" i="34" s="1"/>
  <c r="Z87" i="34"/>
  <c r="AA87" i="34" s="1"/>
  <c r="AB87" i="34"/>
  <c r="AC87" i="34" s="1"/>
  <c r="AD87" i="34"/>
  <c r="AH87" i="34" s="1" a="1"/>
  <c r="AH87" i="34" s="1"/>
  <c r="Z88" i="34"/>
  <c r="AA88" i="34" s="1"/>
  <c r="AB88" i="34"/>
  <c r="AC88" i="34" s="1"/>
  <c r="AD88" i="34"/>
  <c r="AH88" i="34" s="1" a="1"/>
  <c r="AH88" i="34" s="1"/>
  <c r="Z89" i="34"/>
  <c r="AA89" i="34" s="1"/>
  <c r="AB89" i="34"/>
  <c r="AC89" i="34" s="1"/>
  <c r="AD89" i="34"/>
  <c r="AH89" i="34" s="1" a="1"/>
  <c r="AH89" i="34" s="1"/>
  <c r="Z90" i="34"/>
  <c r="AA90" i="34" s="1"/>
  <c r="AB90" i="34"/>
  <c r="AC90" i="34" s="1"/>
  <c r="AD90" i="34"/>
  <c r="AH90" i="34" s="1" a="1"/>
  <c r="AH90" i="34" s="1"/>
  <c r="Z91" i="34"/>
  <c r="AA91" i="34" s="1"/>
  <c r="AB91" i="34"/>
  <c r="AC91" i="34" s="1"/>
  <c r="AD91" i="34"/>
  <c r="AH91" i="34" s="1" a="1"/>
  <c r="AH91" i="34" s="1"/>
  <c r="Z92" i="34"/>
  <c r="AA92" i="34" s="1"/>
  <c r="AB92" i="34"/>
  <c r="AC92" i="34" s="1"/>
  <c r="AD92" i="34"/>
  <c r="AH92" i="34" s="1" a="1"/>
  <c r="AH92" i="34" s="1"/>
  <c r="Z93" i="34"/>
  <c r="AA93" i="34" s="1"/>
  <c r="AB93" i="34"/>
  <c r="AC93" i="34" s="1"/>
  <c r="AD93" i="34"/>
  <c r="AH93" i="34" s="1" a="1"/>
  <c r="AH93" i="34" s="1"/>
  <c r="Z94" i="34"/>
  <c r="AA94" i="34" s="1"/>
  <c r="AB94" i="34"/>
  <c r="AC94" i="34" s="1"/>
  <c r="AD94" i="34"/>
  <c r="AH94" i="34" s="1" a="1"/>
  <c r="AH94" i="34" s="1"/>
  <c r="Z95" i="34"/>
  <c r="AA95" i="34" s="1"/>
  <c r="AB95" i="34"/>
  <c r="AC95" i="34" s="1"/>
  <c r="AD95" i="34"/>
  <c r="AH95" i="34" s="1" a="1"/>
  <c r="AH95" i="34" s="1"/>
  <c r="Z96" i="34"/>
  <c r="AA96" i="34" s="1"/>
  <c r="AB96" i="34"/>
  <c r="AC96" i="34" s="1"/>
  <c r="AD96" i="34"/>
  <c r="AH96" i="34" s="1" a="1"/>
  <c r="AH96" i="34" s="1"/>
  <c r="Z97" i="34"/>
  <c r="AA97" i="34" s="1"/>
  <c r="AB97" i="34"/>
  <c r="AC97" i="34" s="1"/>
  <c r="AD97" i="34"/>
  <c r="AH97" i="34" s="1" a="1"/>
  <c r="AH97" i="34" s="1"/>
  <c r="Z98" i="34"/>
  <c r="AA98" i="34" s="1"/>
  <c r="AB98" i="34"/>
  <c r="AC98" i="34" s="1"/>
  <c r="AD98" i="34"/>
  <c r="AH98" i="34" s="1" a="1"/>
  <c r="AH98" i="34" s="1"/>
  <c r="Z99" i="34"/>
  <c r="AA99" i="34" s="1"/>
  <c r="AB99" i="34"/>
  <c r="AC99" i="34" s="1"/>
  <c r="AD99" i="34"/>
  <c r="AH99" i="34" s="1" a="1"/>
  <c r="AH99" i="34" s="1"/>
  <c r="Z100" i="34"/>
  <c r="AA100" i="34" s="1"/>
  <c r="AB100" i="34"/>
  <c r="AC100" i="34" s="1"/>
  <c r="AD100" i="34"/>
  <c r="AH100" i="34" s="1" a="1"/>
  <c r="AH100" i="34" s="1"/>
  <c r="Z101" i="34"/>
  <c r="AA101" i="34" s="1"/>
  <c r="AB101" i="34"/>
  <c r="AC101" i="34" s="1"/>
  <c r="AD101" i="34"/>
  <c r="AH101" i="34" s="1" a="1"/>
  <c r="AH101" i="34" s="1"/>
  <c r="Z102" i="34"/>
  <c r="AA102" i="34" s="1"/>
  <c r="AB102" i="34"/>
  <c r="AC102" i="34" s="1"/>
  <c r="AD102" i="34"/>
  <c r="AH102" i="34" s="1" a="1"/>
  <c r="AH102" i="34" s="1"/>
  <c r="Z103" i="34"/>
  <c r="AA103" i="34" s="1"/>
  <c r="AB103" i="34"/>
  <c r="AC103" i="34" s="1"/>
  <c r="AD103" i="34"/>
  <c r="AH103" i="34" s="1" a="1"/>
  <c r="AH103" i="34" s="1"/>
  <c r="Z104" i="34"/>
  <c r="AA104" i="34" s="1"/>
  <c r="AB104" i="34"/>
  <c r="AC104" i="34" s="1"/>
  <c r="AD104" i="34"/>
  <c r="AH104" i="34" s="1" a="1"/>
  <c r="AH104" i="34" s="1"/>
  <c r="Z105" i="34"/>
  <c r="AA105" i="34" s="1"/>
  <c r="AB105" i="34"/>
  <c r="AC105" i="34" s="1"/>
  <c r="AD105" i="34"/>
  <c r="AH105" i="34" s="1" a="1"/>
  <c r="AH105" i="34" s="1"/>
  <c r="Z106" i="34"/>
  <c r="AA106" i="34" s="1"/>
  <c r="AB106" i="34"/>
  <c r="AC106" i="34" s="1"/>
  <c r="AD106" i="34"/>
  <c r="AH106" i="34" s="1" a="1"/>
  <c r="AH106" i="34" s="1"/>
  <c r="Z107" i="34"/>
  <c r="AA107" i="34" s="1"/>
  <c r="AB107" i="34"/>
  <c r="AC107" i="34" s="1"/>
  <c r="AD107" i="34"/>
  <c r="AH107" i="34" s="1" a="1"/>
  <c r="AH107" i="34" s="1"/>
  <c r="Z108" i="34"/>
  <c r="AA108" i="34" s="1"/>
  <c r="AB108" i="34"/>
  <c r="AC108" i="34" s="1"/>
  <c r="AD108" i="34"/>
  <c r="AH108" i="34" s="1" a="1"/>
  <c r="AH108" i="34" s="1"/>
  <c r="Z109" i="34"/>
  <c r="AA109" i="34" s="1"/>
  <c r="AB109" i="34"/>
  <c r="AC109" i="34" s="1"/>
  <c r="AD109" i="34"/>
  <c r="AH109" i="34" s="1" a="1"/>
  <c r="AH109" i="34" s="1"/>
  <c r="Z110" i="34"/>
  <c r="AA110" i="34" s="1"/>
  <c r="AB110" i="34"/>
  <c r="AC110" i="34" s="1"/>
  <c r="AD110" i="34"/>
  <c r="AH110" i="34" s="1" a="1"/>
  <c r="AH110" i="34" s="1"/>
  <c r="Z111" i="34"/>
  <c r="AA111" i="34" s="1"/>
  <c r="AB111" i="34"/>
  <c r="AC111" i="34" s="1"/>
  <c r="AD111" i="34"/>
  <c r="AH111" i="34" s="1" a="1"/>
  <c r="AH111" i="34" s="1"/>
  <c r="Z112" i="34"/>
  <c r="AA112" i="34" s="1"/>
  <c r="AB112" i="34"/>
  <c r="AC112" i="34" s="1"/>
  <c r="AD112" i="34"/>
  <c r="AH112" i="34" s="1" a="1"/>
  <c r="AH112" i="34" s="1"/>
  <c r="Z113" i="34"/>
  <c r="AA113" i="34" s="1"/>
  <c r="AB113" i="34"/>
  <c r="AC113" i="34" s="1"/>
  <c r="AD113" i="34"/>
  <c r="AH113" i="34" s="1" a="1"/>
  <c r="AH113" i="34" s="1"/>
  <c r="Z114" i="34"/>
  <c r="AA114" i="34" s="1"/>
  <c r="AB114" i="34"/>
  <c r="AC114" i="34" s="1"/>
  <c r="AD114" i="34"/>
  <c r="AH114" i="34" s="1" a="1"/>
  <c r="AH114" i="34" s="1"/>
  <c r="Z115" i="34"/>
  <c r="AA115" i="34" s="1"/>
  <c r="AB115" i="34"/>
  <c r="AC115" i="34" s="1"/>
  <c r="AD115" i="34"/>
  <c r="AH115" i="34" s="1" a="1"/>
  <c r="AH115" i="34" s="1"/>
  <c r="Z116" i="34"/>
  <c r="AA116" i="34" s="1"/>
  <c r="AB116" i="34"/>
  <c r="AC116" i="34" s="1"/>
  <c r="AD116" i="34"/>
  <c r="AH116" i="34" s="1" a="1"/>
  <c r="AH116" i="34" s="1"/>
  <c r="Z117" i="34"/>
  <c r="AA117" i="34" s="1"/>
  <c r="AB117" i="34"/>
  <c r="AC117" i="34" s="1"/>
  <c r="AD117" i="34"/>
  <c r="AH117" i="34" s="1" a="1"/>
  <c r="AH117" i="34" s="1"/>
  <c r="Z118" i="34"/>
  <c r="AA118" i="34" s="1"/>
  <c r="AB118" i="34"/>
  <c r="AC118" i="34" s="1"/>
  <c r="AD118" i="34"/>
  <c r="AH118" i="34" s="1" a="1"/>
  <c r="AH118" i="34" s="1"/>
  <c r="Z119" i="34"/>
  <c r="AA119" i="34" s="1"/>
  <c r="AB119" i="34"/>
  <c r="AC119" i="34" s="1"/>
  <c r="AD119" i="34"/>
  <c r="AH119" i="34" s="1" a="1"/>
  <c r="AH119" i="34" s="1"/>
  <c r="Z120" i="34"/>
  <c r="AA120" i="34" s="1"/>
  <c r="AB120" i="34"/>
  <c r="AC120" i="34" s="1"/>
  <c r="AD120" i="34"/>
  <c r="AH120" i="34" s="1" a="1"/>
  <c r="AH120" i="34" s="1"/>
  <c r="Z121" i="34"/>
  <c r="AA121" i="34" s="1"/>
  <c r="AB121" i="34"/>
  <c r="AC121" i="34" s="1"/>
  <c r="AD121" i="34"/>
  <c r="AH121" i="34" s="1" a="1"/>
  <c r="AH121" i="34" s="1"/>
  <c r="Z122" i="34"/>
  <c r="AA122" i="34" s="1"/>
  <c r="AB122" i="34"/>
  <c r="AC122" i="34" s="1"/>
  <c r="AD122" i="34"/>
  <c r="AH122" i="34" s="1" a="1"/>
  <c r="AH122" i="34" s="1"/>
  <c r="Z123" i="34"/>
  <c r="AA123" i="34" s="1"/>
  <c r="AB123" i="34"/>
  <c r="AC123" i="34" s="1"/>
  <c r="AD123" i="34"/>
  <c r="AH123" i="34" s="1" a="1"/>
  <c r="AH123" i="34" s="1"/>
  <c r="Z124" i="34"/>
  <c r="AA124" i="34" s="1"/>
  <c r="AB124" i="34"/>
  <c r="AC124" i="34" s="1"/>
  <c r="AD124" i="34"/>
  <c r="AH124" i="34" s="1" a="1"/>
  <c r="AH124" i="34" s="1"/>
  <c r="Z125" i="34"/>
  <c r="AA125" i="34" s="1"/>
  <c r="AB125" i="34"/>
  <c r="AC125" i="34" s="1"/>
  <c r="AD125" i="34"/>
  <c r="AH125" i="34" s="1" a="1"/>
  <c r="AH125" i="34" s="1"/>
  <c r="Z126" i="34"/>
  <c r="AA126" i="34" s="1"/>
  <c r="AB126" i="34"/>
  <c r="AC126" i="34" s="1"/>
  <c r="AD126" i="34"/>
  <c r="AH126" i="34" s="1" a="1"/>
  <c r="AH126" i="34" s="1"/>
  <c r="Z127" i="34"/>
  <c r="AA127" i="34" s="1"/>
  <c r="AB127" i="34"/>
  <c r="AC127" i="34" s="1"/>
  <c r="AD127" i="34"/>
  <c r="AH127" i="34" s="1" a="1"/>
  <c r="AH127" i="34" s="1"/>
  <c r="Z128" i="34"/>
  <c r="AA128" i="34" s="1"/>
  <c r="AB128" i="34"/>
  <c r="AC128" i="34" s="1"/>
  <c r="AD128" i="34"/>
  <c r="AH128" i="34" s="1" a="1"/>
  <c r="AH128" i="34" s="1"/>
  <c r="Z129" i="34"/>
  <c r="AA129" i="34" s="1"/>
  <c r="AB129" i="34"/>
  <c r="AC129" i="34" s="1"/>
  <c r="AD129" i="34"/>
  <c r="AH129" i="34" s="1" a="1"/>
  <c r="AH129" i="34" s="1"/>
  <c r="Z130" i="34"/>
  <c r="AA130" i="34" s="1"/>
  <c r="AB130" i="34"/>
  <c r="AC130" i="34" s="1"/>
  <c r="AD130" i="34"/>
  <c r="AH130" i="34" s="1" a="1"/>
  <c r="AH130" i="34" s="1"/>
  <c r="Z131" i="34"/>
  <c r="AA131" i="34" s="1"/>
  <c r="AB131" i="34"/>
  <c r="AC131" i="34" s="1"/>
  <c r="AD131" i="34"/>
  <c r="AH131" i="34" s="1" a="1"/>
  <c r="AH131" i="34" s="1"/>
  <c r="Z132" i="34"/>
  <c r="AA132" i="34" s="1"/>
  <c r="AB132" i="34"/>
  <c r="AC132" i="34" s="1"/>
  <c r="AD132" i="34"/>
  <c r="AH132" i="34" s="1" a="1"/>
  <c r="AH132" i="34" s="1"/>
  <c r="Z133" i="34"/>
  <c r="AA133" i="34" s="1"/>
  <c r="AB133" i="34"/>
  <c r="AC133" i="34" s="1"/>
  <c r="AD133" i="34"/>
  <c r="AH133" i="34" s="1" a="1"/>
  <c r="AH133" i="34" s="1"/>
  <c r="Z134" i="34"/>
  <c r="AA134" i="34" s="1"/>
  <c r="AB134" i="34"/>
  <c r="AC134" i="34" s="1"/>
  <c r="AD134" i="34"/>
  <c r="AH134" i="34" s="1" a="1"/>
  <c r="AH134" i="34" s="1"/>
  <c r="Z135" i="34"/>
  <c r="AA135" i="34" s="1"/>
  <c r="AB135" i="34"/>
  <c r="AC135" i="34" s="1"/>
  <c r="AD135" i="34"/>
  <c r="AH135" i="34" s="1" a="1"/>
  <c r="AH135" i="34" s="1"/>
  <c r="Z136" i="34"/>
  <c r="AA136" i="34" s="1"/>
  <c r="AB136" i="34"/>
  <c r="AC136" i="34" s="1"/>
  <c r="AD136" i="34"/>
  <c r="AH136" i="34" s="1" a="1"/>
  <c r="AH136" i="34" s="1"/>
  <c r="AE136" i="34"/>
  <c r="Z137" i="34"/>
  <c r="AA137" i="34" s="1"/>
  <c r="AB137" i="34"/>
  <c r="AC137" i="34" s="1"/>
  <c r="AD137" i="34"/>
  <c r="AH137" i="34" s="1" a="1"/>
  <c r="AH137" i="34" s="1"/>
  <c r="Z138" i="34"/>
  <c r="AA138" i="34" s="1"/>
  <c r="AB138" i="34"/>
  <c r="AC138" i="34" s="1"/>
  <c r="AD138" i="34"/>
  <c r="AH138" i="34" s="1" a="1"/>
  <c r="AH138" i="34" s="1"/>
  <c r="Z139" i="34"/>
  <c r="AA139" i="34" s="1"/>
  <c r="AB139" i="34"/>
  <c r="AC139" i="34" s="1"/>
  <c r="AD139" i="34"/>
  <c r="AH139" i="34" s="1" a="1"/>
  <c r="AH139" i="34" s="1"/>
  <c r="Z140" i="34"/>
  <c r="AA140" i="34" s="1"/>
  <c r="AB140" i="34"/>
  <c r="AC140" i="34" s="1"/>
  <c r="AD140" i="34"/>
  <c r="AH140" i="34" s="1" a="1"/>
  <c r="AH140" i="34" s="1"/>
  <c r="Z141" i="34"/>
  <c r="AA141" i="34" s="1"/>
  <c r="AB141" i="34"/>
  <c r="AC141" i="34" s="1"/>
  <c r="AD141" i="34"/>
  <c r="AH141" i="34" s="1" a="1"/>
  <c r="AH141" i="34" s="1"/>
  <c r="Z142" i="34"/>
  <c r="AA142" i="34" s="1"/>
  <c r="AB142" i="34"/>
  <c r="AC142" i="34" s="1"/>
  <c r="AD142" i="34"/>
  <c r="AH142" i="34" s="1" a="1"/>
  <c r="AH142" i="34" s="1"/>
  <c r="Z143" i="34"/>
  <c r="AA143" i="34" s="1"/>
  <c r="AB143" i="34"/>
  <c r="AC143" i="34" s="1"/>
  <c r="AD143" i="34"/>
  <c r="AH143" i="34" s="1" a="1"/>
  <c r="AH143" i="34" s="1"/>
  <c r="Z144" i="34"/>
  <c r="AA144" i="34" s="1"/>
  <c r="AB144" i="34"/>
  <c r="AC144" i="34" s="1"/>
  <c r="AD144" i="34"/>
  <c r="AH144" i="34" s="1" a="1"/>
  <c r="AH144" i="34" s="1"/>
  <c r="Z145" i="34"/>
  <c r="AA145" i="34" s="1"/>
  <c r="AB145" i="34"/>
  <c r="AC145" i="34" s="1"/>
  <c r="AD145" i="34"/>
  <c r="AH145" i="34" s="1" a="1"/>
  <c r="AH145" i="34" s="1"/>
  <c r="Z146" i="34"/>
  <c r="AA146" i="34" s="1"/>
  <c r="AB146" i="34"/>
  <c r="AC146" i="34" s="1"/>
  <c r="AD146" i="34"/>
  <c r="AH146" i="34" s="1" a="1"/>
  <c r="AH146" i="34" s="1"/>
  <c r="Z147" i="34"/>
  <c r="AA147" i="34" s="1"/>
  <c r="AB147" i="34"/>
  <c r="AC147" i="34" s="1"/>
  <c r="AD147" i="34"/>
  <c r="AH147" i="34" s="1" a="1"/>
  <c r="AH147" i="34" s="1"/>
  <c r="Z148" i="34"/>
  <c r="AA148" i="34" s="1"/>
  <c r="AB148" i="34"/>
  <c r="AC148" i="34" s="1"/>
  <c r="AD148" i="34"/>
  <c r="AH148" i="34" s="1" a="1"/>
  <c r="AH148" i="34" s="1"/>
  <c r="Z149" i="34"/>
  <c r="AA149" i="34" s="1"/>
  <c r="AB149" i="34"/>
  <c r="AC149" i="34" s="1"/>
  <c r="AD149" i="34"/>
  <c r="AH149" i="34" s="1" a="1"/>
  <c r="AH149" i="34" s="1"/>
  <c r="Z150" i="34"/>
  <c r="AA150" i="34" s="1"/>
  <c r="AB150" i="34"/>
  <c r="AC150" i="34" s="1"/>
  <c r="AD150" i="34"/>
  <c r="AH150" i="34" s="1" a="1"/>
  <c r="AH150" i="34" s="1"/>
  <c r="Z151" i="34"/>
  <c r="AA151" i="34" s="1"/>
  <c r="AB151" i="34"/>
  <c r="AC151" i="34" s="1"/>
  <c r="AD151" i="34"/>
  <c r="AH151" i="34" s="1" a="1"/>
  <c r="AH151" i="34" s="1"/>
  <c r="Z152" i="34"/>
  <c r="AA152" i="34" s="1"/>
  <c r="AB152" i="34"/>
  <c r="AC152" i="34" s="1"/>
  <c r="AD152" i="34"/>
  <c r="AH152" i="34" s="1" a="1"/>
  <c r="AH152" i="34" s="1"/>
  <c r="Z153" i="34"/>
  <c r="AA153" i="34" s="1"/>
  <c r="AB153" i="34"/>
  <c r="AC153" i="34" s="1"/>
  <c r="AD153" i="34"/>
  <c r="AH153" i="34" s="1" a="1"/>
  <c r="AH153" i="34" s="1"/>
  <c r="Z154" i="34"/>
  <c r="AA154" i="34" s="1"/>
  <c r="AB154" i="34"/>
  <c r="AC154" i="34" s="1"/>
  <c r="AD154" i="34"/>
  <c r="AH154" i="34" s="1" a="1"/>
  <c r="AH154" i="34" s="1"/>
  <c r="Z155" i="34"/>
  <c r="AA155" i="34" s="1"/>
  <c r="AB155" i="34"/>
  <c r="AC155" i="34" s="1"/>
  <c r="AD155" i="34"/>
  <c r="AH155" i="34" s="1" a="1"/>
  <c r="AH155" i="34" s="1"/>
  <c r="Z156" i="34"/>
  <c r="AA156" i="34" s="1"/>
  <c r="AB156" i="34"/>
  <c r="AC156" i="34" s="1"/>
  <c r="AD156" i="34"/>
  <c r="AH156" i="34" s="1" a="1"/>
  <c r="AH156" i="34" s="1"/>
  <c r="Z157" i="34"/>
  <c r="AA157" i="34" s="1"/>
  <c r="AB157" i="34"/>
  <c r="AC157" i="34" s="1"/>
  <c r="AD157" i="34"/>
  <c r="AH157" i="34" s="1" a="1"/>
  <c r="AH157" i="34" s="1"/>
  <c r="Z158" i="34"/>
  <c r="AA158" i="34" s="1"/>
  <c r="AB158" i="34"/>
  <c r="AC158" i="34" s="1"/>
  <c r="AD158" i="34"/>
  <c r="AH158" i="34" s="1" a="1"/>
  <c r="AH158" i="34" s="1"/>
  <c r="Z159" i="34"/>
  <c r="AA159" i="34" s="1"/>
  <c r="AB159" i="34"/>
  <c r="AC159" i="34" s="1"/>
  <c r="AD159" i="34"/>
  <c r="AH159" i="34" s="1" a="1"/>
  <c r="AH159" i="34" s="1"/>
  <c r="Z160" i="34"/>
  <c r="AA160" i="34" s="1"/>
  <c r="AB160" i="34"/>
  <c r="AC160" i="34" s="1"/>
  <c r="AD160" i="34"/>
  <c r="AH160" i="34" s="1" a="1"/>
  <c r="AH160" i="34" s="1"/>
  <c r="Z161" i="34"/>
  <c r="AA161" i="34" s="1"/>
  <c r="AB161" i="34"/>
  <c r="AC161" i="34" s="1"/>
  <c r="AD161" i="34"/>
  <c r="AH161" i="34" s="1" a="1"/>
  <c r="AH161" i="34" s="1"/>
  <c r="Z162" i="34"/>
  <c r="AA162" i="34" s="1"/>
  <c r="AB162" i="34"/>
  <c r="AC162" i="34" s="1"/>
  <c r="AD162" i="34"/>
  <c r="AH162" i="34" s="1" a="1"/>
  <c r="AH162" i="34" s="1"/>
  <c r="Z163" i="34"/>
  <c r="AA163" i="34" s="1"/>
  <c r="AB163" i="34"/>
  <c r="AC163" i="34" s="1"/>
  <c r="AD163" i="34"/>
  <c r="AH163" i="34" s="1" a="1"/>
  <c r="AH163" i="34" s="1"/>
  <c r="Z164" i="34"/>
  <c r="AA164" i="34" s="1"/>
  <c r="AB164" i="34"/>
  <c r="AC164" i="34" s="1"/>
  <c r="AD164" i="34"/>
  <c r="AH164" i="34" s="1" a="1"/>
  <c r="AH164" i="34" s="1"/>
  <c r="Z165" i="34"/>
  <c r="AA165" i="34" s="1"/>
  <c r="AB165" i="34"/>
  <c r="AC165" i="34" s="1"/>
  <c r="AD165" i="34"/>
  <c r="AH165" i="34" s="1" a="1"/>
  <c r="AH165" i="34" s="1"/>
  <c r="Z166" i="34"/>
  <c r="AA166" i="34" s="1"/>
  <c r="AB166" i="34"/>
  <c r="AC166" i="34" s="1"/>
  <c r="AD166" i="34"/>
  <c r="AH166" i="34" s="1" a="1"/>
  <c r="AH166" i="34" s="1"/>
  <c r="Z167" i="34"/>
  <c r="AA167" i="34" s="1"/>
  <c r="AB167" i="34"/>
  <c r="AC167" i="34" s="1"/>
  <c r="AD167" i="34"/>
  <c r="AH167" i="34" s="1" a="1"/>
  <c r="AH167" i="34" s="1"/>
  <c r="Z168" i="34"/>
  <c r="AA168" i="34" s="1"/>
  <c r="AB168" i="34"/>
  <c r="AC168" i="34" s="1"/>
  <c r="AD168" i="34"/>
  <c r="AH168" i="34" s="1" a="1"/>
  <c r="AH168" i="34" s="1"/>
  <c r="Z169" i="34"/>
  <c r="AA169" i="34" s="1"/>
  <c r="AB169" i="34"/>
  <c r="AC169" i="34" s="1"/>
  <c r="AD169" i="34"/>
  <c r="AH169" i="34" s="1" a="1"/>
  <c r="AH169" i="34" s="1"/>
  <c r="Z170" i="34"/>
  <c r="AA170" i="34" s="1"/>
  <c r="AB170" i="34"/>
  <c r="AC170" i="34" s="1"/>
  <c r="AD170" i="34"/>
  <c r="AH170" i="34" s="1" a="1"/>
  <c r="AH170" i="34" s="1"/>
  <c r="Z171" i="34"/>
  <c r="AA171" i="34" s="1"/>
  <c r="AB171" i="34"/>
  <c r="AC171" i="34" s="1"/>
  <c r="AD171" i="34"/>
  <c r="AH171" i="34" s="1" a="1"/>
  <c r="AH171" i="34" s="1"/>
  <c r="Z172" i="34"/>
  <c r="AA172" i="34" s="1"/>
  <c r="AB172" i="34"/>
  <c r="AC172" i="34" s="1"/>
  <c r="AD172" i="34"/>
  <c r="AH172" i="34" s="1" a="1"/>
  <c r="AH172" i="34" s="1"/>
  <c r="Z173" i="34"/>
  <c r="AA173" i="34" s="1"/>
  <c r="AB173" i="34"/>
  <c r="AC173" i="34" s="1"/>
  <c r="AD173" i="34"/>
  <c r="AH173" i="34" s="1" a="1"/>
  <c r="AH173" i="34" s="1"/>
  <c r="Z174" i="34"/>
  <c r="AA174" i="34" s="1"/>
  <c r="AB174" i="34"/>
  <c r="AC174" i="34" s="1"/>
  <c r="AD174" i="34"/>
  <c r="AH174" i="34" s="1" a="1"/>
  <c r="AH174" i="34" s="1"/>
  <c r="Z175" i="34"/>
  <c r="AA175" i="34" s="1"/>
  <c r="AB175" i="34"/>
  <c r="AC175" i="34" s="1"/>
  <c r="AD175" i="34"/>
  <c r="AH175" i="34" s="1" a="1"/>
  <c r="AH175" i="34" s="1"/>
  <c r="Z176" i="34"/>
  <c r="AA176" i="34" s="1"/>
  <c r="AB176" i="34"/>
  <c r="AC176" i="34" s="1"/>
  <c r="AD176" i="34"/>
  <c r="AH176" i="34" s="1" a="1"/>
  <c r="AH176" i="34" s="1"/>
  <c r="Z177" i="34"/>
  <c r="AA177" i="34" s="1"/>
  <c r="AB177" i="34"/>
  <c r="AC177" i="34" s="1"/>
  <c r="AD177" i="34"/>
  <c r="AH177" i="34" s="1" a="1"/>
  <c r="AH177" i="34" s="1"/>
  <c r="Z178" i="34"/>
  <c r="AA178" i="34" s="1"/>
  <c r="AB178" i="34"/>
  <c r="AC178" i="34" s="1"/>
  <c r="AD178" i="34"/>
  <c r="AH178" i="34" s="1" a="1"/>
  <c r="AH178" i="34" s="1"/>
  <c r="Z179" i="34"/>
  <c r="AA179" i="34" s="1"/>
  <c r="AB179" i="34"/>
  <c r="AC179" i="34" s="1"/>
  <c r="AD179" i="34"/>
  <c r="AH179" i="34" s="1" a="1"/>
  <c r="AH179" i="34" s="1"/>
  <c r="Z180" i="34"/>
  <c r="AA180" i="34" s="1"/>
  <c r="AB180" i="34"/>
  <c r="AC180" i="34" s="1"/>
  <c r="AD180" i="34"/>
  <c r="AH180" i="34" s="1" a="1"/>
  <c r="AH180" i="34" s="1"/>
  <c r="Z181" i="34"/>
  <c r="AA181" i="34" s="1"/>
  <c r="AB181" i="34"/>
  <c r="AC181" i="34" s="1"/>
  <c r="AD181" i="34"/>
  <c r="AH181" i="34" s="1" a="1"/>
  <c r="AH181" i="34" s="1"/>
  <c r="Z182" i="34"/>
  <c r="AA182" i="34" s="1"/>
  <c r="AB182" i="34"/>
  <c r="AC182" i="34" s="1"/>
  <c r="AD182" i="34"/>
  <c r="AH182" i="34" s="1" a="1"/>
  <c r="AH182" i="34" s="1"/>
  <c r="Z183" i="34"/>
  <c r="AA183" i="34" s="1"/>
  <c r="AB183" i="34"/>
  <c r="AC183" i="34" s="1"/>
  <c r="AD183" i="34"/>
  <c r="AH183" i="34" s="1" a="1"/>
  <c r="AH183" i="34" s="1"/>
  <c r="Z184" i="34"/>
  <c r="AA184" i="34" s="1"/>
  <c r="AB184" i="34"/>
  <c r="AC184" i="34" s="1"/>
  <c r="AD184" i="34"/>
  <c r="AH184" i="34" s="1" a="1"/>
  <c r="AH184" i="34" s="1"/>
  <c r="Z185" i="34"/>
  <c r="AA185" i="34" s="1"/>
  <c r="AB185" i="34"/>
  <c r="AC185" i="34" s="1"/>
  <c r="AD185" i="34"/>
  <c r="AH185" i="34" s="1" a="1"/>
  <c r="AH185" i="34" s="1"/>
  <c r="Z186" i="34"/>
  <c r="AA186" i="34" s="1"/>
  <c r="AB186" i="34"/>
  <c r="AC186" i="34" s="1"/>
  <c r="AD186" i="34"/>
  <c r="AH186" i="34" s="1" a="1"/>
  <c r="AH186" i="34" s="1"/>
  <c r="Z187" i="34"/>
  <c r="AA187" i="34" s="1"/>
  <c r="AB187" i="34"/>
  <c r="AC187" i="34" s="1"/>
  <c r="AD187" i="34"/>
  <c r="AH187" i="34" s="1" a="1"/>
  <c r="AH187" i="34" s="1"/>
  <c r="Z188" i="34"/>
  <c r="AA188" i="34" s="1"/>
  <c r="AB188" i="34"/>
  <c r="AC188" i="34" s="1"/>
  <c r="AD188" i="34"/>
  <c r="AH188" i="34" s="1" a="1"/>
  <c r="AH188" i="34" s="1"/>
  <c r="Z189" i="34"/>
  <c r="AA189" i="34" s="1"/>
  <c r="AB189" i="34"/>
  <c r="AC189" i="34" s="1"/>
  <c r="AD189" i="34"/>
  <c r="AH189" i="34" s="1" a="1"/>
  <c r="AH189" i="34" s="1"/>
  <c r="Z190" i="34"/>
  <c r="AA190" i="34" s="1"/>
  <c r="AB190" i="34"/>
  <c r="AC190" i="34" s="1"/>
  <c r="AD190" i="34"/>
  <c r="AH190" i="34" s="1" a="1"/>
  <c r="AH190" i="34" s="1"/>
  <c r="Z191" i="34"/>
  <c r="AA191" i="34" s="1"/>
  <c r="AB191" i="34"/>
  <c r="AC191" i="34" s="1"/>
  <c r="AD191" i="34"/>
  <c r="AH191" i="34" s="1" a="1"/>
  <c r="AH191" i="34" s="1"/>
  <c r="Z192" i="34"/>
  <c r="AA192" i="34" s="1"/>
  <c r="AB192" i="34"/>
  <c r="AC192" i="34" s="1"/>
  <c r="AD192" i="34"/>
  <c r="AH192" i="34" s="1" a="1"/>
  <c r="AH192" i="34" s="1"/>
  <c r="Z193" i="34"/>
  <c r="AA193" i="34" s="1"/>
  <c r="AB193" i="34"/>
  <c r="AC193" i="34" s="1"/>
  <c r="AD193" i="34"/>
  <c r="AH193" i="34" s="1" a="1"/>
  <c r="AH193" i="34" s="1"/>
  <c r="Z194" i="34"/>
  <c r="AA194" i="34" s="1"/>
  <c r="AB194" i="34"/>
  <c r="AC194" i="34" s="1"/>
  <c r="AD194" i="34"/>
  <c r="AH194" i="34" s="1" a="1"/>
  <c r="AH194" i="34" s="1"/>
  <c r="Z195" i="34"/>
  <c r="AA195" i="34" s="1"/>
  <c r="AB195" i="34"/>
  <c r="AC195" i="34" s="1"/>
  <c r="AD195" i="34"/>
  <c r="AH195" i="34" s="1" a="1"/>
  <c r="AH195" i="34" s="1"/>
  <c r="Z196" i="34"/>
  <c r="AA196" i="34" s="1"/>
  <c r="AB196" i="34"/>
  <c r="AC196" i="34" s="1"/>
  <c r="AD196" i="34"/>
  <c r="AH196" i="34" s="1" a="1"/>
  <c r="AH196" i="34" s="1"/>
  <c r="Z197" i="34"/>
  <c r="AA197" i="34" s="1"/>
  <c r="AB197" i="34"/>
  <c r="AC197" i="34" s="1"/>
  <c r="AD197" i="34"/>
  <c r="AH197" i="34" s="1" a="1"/>
  <c r="AH197" i="34" s="1"/>
  <c r="Z198" i="34"/>
  <c r="AA198" i="34" s="1"/>
  <c r="AB198" i="34"/>
  <c r="AC198" i="34" s="1"/>
  <c r="AD198" i="34"/>
  <c r="AH198" i="34" s="1" a="1"/>
  <c r="AH198" i="34" s="1"/>
  <c r="Z199" i="34"/>
  <c r="AA199" i="34" s="1"/>
  <c r="AB199" i="34"/>
  <c r="AC199" i="34" s="1"/>
  <c r="AD199" i="34"/>
  <c r="AH199" i="34" s="1" a="1"/>
  <c r="AH199" i="34" s="1"/>
  <c r="Z200" i="34"/>
  <c r="AA200" i="34" s="1"/>
  <c r="AB200" i="34"/>
  <c r="AC200" i="34" s="1"/>
  <c r="AD200" i="34"/>
  <c r="AH200" i="34" s="1" a="1"/>
  <c r="AH200" i="34" s="1"/>
  <c r="Z201" i="34"/>
  <c r="AA201" i="34" s="1"/>
  <c r="AB201" i="34"/>
  <c r="AC201" i="34" s="1"/>
  <c r="AD201" i="34"/>
  <c r="AH201" i="34" s="1" a="1"/>
  <c r="AH201" i="34" s="1"/>
  <c r="Z202" i="34"/>
  <c r="AA202" i="34" s="1"/>
  <c r="AB202" i="34"/>
  <c r="AC202" i="34" s="1"/>
  <c r="AD202" i="34"/>
  <c r="AH202" i="34" s="1" a="1"/>
  <c r="AH202" i="34" s="1"/>
  <c r="Z203" i="34"/>
  <c r="AA203" i="34" s="1"/>
  <c r="AB203" i="34"/>
  <c r="AC203" i="34" s="1"/>
  <c r="AD203" i="34"/>
  <c r="AH203" i="34" s="1" a="1"/>
  <c r="AH203" i="34" s="1"/>
  <c r="Z204" i="34"/>
  <c r="AA204" i="34" s="1"/>
  <c r="AB204" i="34"/>
  <c r="AC204" i="34" s="1"/>
  <c r="AD204" i="34"/>
  <c r="AH204" i="34" s="1" a="1"/>
  <c r="AH204" i="34" s="1"/>
  <c r="Z205" i="34"/>
  <c r="AA205" i="34" s="1"/>
  <c r="AB205" i="34"/>
  <c r="AC205" i="34" s="1"/>
  <c r="AD205" i="34"/>
  <c r="AH205" i="34" s="1" a="1"/>
  <c r="AH205" i="34" s="1"/>
  <c r="Z206" i="34"/>
  <c r="AA206" i="34" s="1"/>
  <c r="AB206" i="34"/>
  <c r="AC206" i="34" s="1"/>
  <c r="AD206" i="34"/>
  <c r="AH206" i="34" s="1" a="1"/>
  <c r="AH206" i="34" s="1"/>
  <c r="Z207" i="34"/>
  <c r="AA207" i="34" s="1"/>
  <c r="AB207" i="34"/>
  <c r="AC207" i="34" s="1"/>
  <c r="AD207" i="34"/>
  <c r="AH207" i="34" s="1" a="1"/>
  <c r="AH207" i="34" s="1"/>
  <c r="Z208" i="34"/>
  <c r="AA208" i="34" s="1"/>
  <c r="AB208" i="34"/>
  <c r="AC208" i="34" s="1"/>
  <c r="AD208" i="34"/>
  <c r="AH208" i="34" s="1" a="1"/>
  <c r="AH208" i="34" s="1"/>
  <c r="Z209" i="34"/>
  <c r="AA209" i="34" s="1"/>
  <c r="AB209" i="34"/>
  <c r="AC209" i="34" s="1"/>
  <c r="AD209" i="34"/>
  <c r="AH209" i="34" s="1" a="1"/>
  <c r="AH209" i="34" s="1"/>
  <c r="Z210" i="34"/>
  <c r="AA210" i="34" s="1"/>
  <c r="AB210" i="34"/>
  <c r="AC210" i="34" s="1"/>
  <c r="AD210" i="34"/>
  <c r="AH210" i="34" s="1" a="1"/>
  <c r="AH210" i="34" s="1"/>
  <c r="Z211" i="34"/>
  <c r="AA211" i="34" s="1"/>
  <c r="AB211" i="34"/>
  <c r="AC211" i="34" s="1"/>
  <c r="AD211" i="34"/>
  <c r="AH211" i="34" s="1" a="1"/>
  <c r="AH211" i="34" s="1"/>
  <c r="Z212" i="34"/>
  <c r="AA212" i="34" s="1"/>
  <c r="AB212" i="34"/>
  <c r="AC212" i="34" s="1"/>
  <c r="AD212" i="34"/>
  <c r="AH212" i="34" s="1" a="1"/>
  <c r="AH212" i="34" s="1"/>
  <c r="Z213" i="34"/>
  <c r="AA213" i="34" s="1"/>
  <c r="AB213" i="34"/>
  <c r="AC213" i="34" s="1"/>
  <c r="AD213" i="34"/>
  <c r="AH213" i="34" s="1" a="1"/>
  <c r="AH213" i="34" s="1"/>
  <c r="Z214" i="34"/>
  <c r="AA214" i="34" s="1"/>
  <c r="AB214" i="34"/>
  <c r="AC214" i="34" s="1"/>
  <c r="AD214" i="34"/>
  <c r="AH214" i="34" s="1" a="1"/>
  <c r="AH214" i="34" s="1"/>
  <c r="Z215" i="34"/>
  <c r="AA215" i="34" s="1"/>
  <c r="AB215" i="34"/>
  <c r="AD215" i="34"/>
  <c r="AH215" i="34" s="1" a="1"/>
  <c r="AH215" i="34" s="1"/>
  <c r="Z216" i="34"/>
  <c r="AA216" i="34" s="1"/>
  <c r="AB216" i="34"/>
  <c r="AC216" i="34" s="1"/>
  <c r="AD216" i="34"/>
  <c r="AH216" i="34" s="1" a="1"/>
  <c r="AH216" i="34" s="1"/>
  <c r="Z217" i="34"/>
  <c r="AA217" i="34" s="1"/>
  <c r="AB217" i="34"/>
  <c r="AC217" i="34" s="1"/>
  <c r="AD217" i="34"/>
  <c r="AH217" i="34" s="1" a="1"/>
  <c r="AH217" i="34" s="1"/>
  <c r="Z218" i="34"/>
  <c r="AA218" i="34" s="1"/>
  <c r="AB218" i="34"/>
  <c r="AC218" i="34" s="1"/>
  <c r="AD218" i="34"/>
  <c r="AH218" i="34" s="1" a="1"/>
  <c r="AH218" i="34" s="1"/>
  <c r="Z219" i="34"/>
  <c r="AA219" i="34" s="1"/>
  <c r="AB219" i="34"/>
  <c r="AC219" i="34" s="1"/>
  <c r="AD219" i="34"/>
  <c r="AH219" i="34" s="1" a="1"/>
  <c r="AH219" i="34" s="1"/>
  <c r="Z220" i="34"/>
  <c r="AA220" i="34" s="1"/>
  <c r="AB220" i="34"/>
  <c r="AC220" i="34" s="1"/>
  <c r="AD220" i="34"/>
  <c r="AH220" i="34" s="1" a="1"/>
  <c r="AH220" i="34" s="1"/>
  <c r="Z221" i="34"/>
  <c r="AA221" i="34" s="1"/>
  <c r="AB221" i="34"/>
  <c r="AC221" i="34" s="1"/>
  <c r="AD221" i="34"/>
  <c r="AH221" i="34" s="1" a="1"/>
  <c r="AH221" i="34" s="1"/>
  <c r="Z222" i="34"/>
  <c r="AA222" i="34" s="1"/>
  <c r="AB222" i="34"/>
  <c r="AC222" i="34" s="1"/>
  <c r="AD222" i="34"/>
  <c r="AH222" i="34" s="1" a="1"/>
  <c r="AH222" i="34" s="1"/>
  <c r="Z223" i="34"/>
  <c r="AA223" i="34" s="1"/>
  <c r="AB223" i="34"/>
  <c r="AC223" i="34" s="1"/>
  <c r="AD223" i="34"/>
  <c r="AH223" i="34" s="1" a="1"/>
  <c r="AH223" i="34" s="1"/>
  <c r="Z224" i="34"/>
  <c r="AA224" i="34" s="1"/>
  <c r="AB224" i="34"/>
  <c r="AC224" i="34" s="1"/>
  <c r="AD224" i="34"/>
  <c r="AH224" i="34" s="1" a="1"/>
  <c r="AH224" i="34" s="1"/>
  <c r="Z225" i="34"/>
  <c r="AA225" i="34" s="1"/>
  <c r="AB225" i="34"/>
  <c r="AC225" i="34" s="1"/>
  <c r="AD225" i="34"/>
  <c r="AH225" i="34" s="1" a="1"/>
  <c r="AH225" i="34" s="1"/>
  <c r="Z226" i="34"/>
  <c r="AA226" i="34" s="1"/>
  <c r="AB226" i="34"/>
  <c r="AC226" i="34" s="1"/>
  <c r="AD226" i="34"/>
  <c r="AH226" i="34" s="1" a="1"/>
  <c r="AH226" i="34" s="1"/>
  <c r="AE226" i="34"/>
  <c r="AI226" i="34" s="1"/>
  <c r="Z227" i="34"/>
  <c r="AA227" i="34" s="1"/>
  <c r="AB227" i="34"/>
  <c r="AC227" i="34" s="1"/>
  <c r="AD227" i="34"/>
  <c r="AH227" i="34" s="1" a="1"/>
  <c r="AH227" i="34" s="1"/>
  <c r="Z228" i="34"/>
  <c r="AA228" i="34" s="1"/>
  <c r="AB228" i="34"/>
  <c r="AC228" i="34" s="1"/>
  <c r="AD228" i="34"/>
  <c r="AH228" i="34" s="1" a="1"/>
  <c r="AH228" i="34" s="1"/>
  <c r="Z229" i="34"/>
  <c r="AA229" i="34" s="1"/>
  <c r="AB229" i="34"/>
  <c r="AC229" i="34" s="1"/>
  <c r="AD229" i="34"/>
  <c r="AH229" i="34" s="1" a="1"/>
  <c r="AH229" i="34" s="1"/>
  <c r="Z230" i="34"/>
  <c r="AA230" i="34" s="1"/>
  <c r="AB230" i="34"/>
  <c r="AC230" i="34" s="1"/>
  <c r="AD230" i="34"/>
  <c r="AH230" i="34" s="1" a="1"/>
  <c r="AH230" i="34" s="1"/>
  <c r="Z231" i="34"/>
  <c r="AA231" i="34" s="1"/>
  <c r="AB231" i="34"/>
  <c r="AC231" i="34" s="1"/>
  <c r="AD231" i="34"/>
  <c r="AH231" i="34" s="1" a="1"/>
  <c r="AH231" i="34" s="1"/>
  <c r="Z232" i="34"/>
  <c r="AA232" i="34" s="1"/>
  <c r="AB232" i="34"/>
  <c r="AC232" i="34" s="1"/>
  <c r="AD232" i="34"/>
  <c r="AH232" i="34" s="1" a="1"/>
  <c r="AH232" i="34" s="1"/>
  <c r="Z233" i="34"/>
  <c r="AA233" i="34" s="1"/>
  <c r="AB233" i="34"/>
  <c r="AC233" i="34" s="1"/>
  <c r="AD233" i="34"/>
  <c r="AH233" i="34" s="1" a="1"/>
  <c r="AH233" i="34" s="1"/>
  <c r="Z234" i="34"/>
  <c r="AA234" i="34" s="1"/>
  <c r="AB234" i="34"/>
  <c r="AC234" i="34" s="1"/>
  <c r="AD234" i="34"/>
  <c r="AH234" i="34" s="1" a="1"/>
  <c r="AH234" i="34" s="1"/>
  <c r="Z235" i="34"/>
  <c r="AA235" i="34" s="1"/>
  <c r="AB235" i="34"/>
  <c r="AC235" i="34" s="1"/>
  <c r="AD235" i="34"/>
  <c r="AH235" i="34" s="1" a="1"/>
  <c r="AH235" i="34" s="1"/>
  <c r="Z236" i="34"/>
  <c r="AA236" i="34" s="1"/>
  <c r="AB236" i="34"/>
  <c r="AC236" i="34" s="1"/>
  <c r="AD236" i="34"/>
  <c r="AH236" i="34" s="1" a="1"/>
  <c r="AH236" i="34" s="1"/>
  <c r="Z237" i="34"/>
  <c r="AA237" i="34" s="1"/>
  <c r="AB237" i="34"/>
  <c r="AC237" i="34" s="1"/>
  <c r="AD237" i="34"/>
  <c r="AH237" i="34" s="1" a="1"/>
  <c r="AH237" i="34" s="1"/>
  <c r="Z238" i="34"/>
  <c r="AA238" i="34" s="1"/>
  <c r="AB238" i="34"/>
  <c r="AC238" i="34" s="1"/>
  <c r="AD238" i="34"/>
  <c r="AH238" i="34" s="1" a="1"/>
  <c r="AH238" i="34" s="1"/>
  <c r="Z239" i="34"/>
  <c r="AA239" i="34" s="1"/>
  <c r="AB239" i="34"/>
  <c r="AC239" i="34" s="1"/>
  <c r="AD239" i="34"/>
  <c r="AH239" i="34" s="1" a="1"/>
  <c r="AH239" i="34" s="1"/>
  <c r="Z240" i="34"/>
  <c r="AA240" i="34" s="1"/>
  <c r="AB240" i="34"/>
  <c r="AC240" i="34" s="1"/>
  <c r="AD240" i="34"/>
  <c r="AH240" i="34" s="1" a="1"/>
  <c r="AH240" i="34" s="1"/>
  <c r="Z241" i="34"/>
  <c r="AA241" i="34" s="1"/>
  <c r="AB241" i="34"/>
  <c r="AC241" i="34" s="1"/>
  <c r="AD241" i="34"/>
  <c r="AH241" i="34" s="1" a="1"/>
  <c r="AH241" i="34" s="1"/>
  <c r="Z242" i="34"/>
  <c r="AA242" i="34" s="1"/>
  <c r="AB242" i="34"/>
  <c r="AC242" i="34" s="1"/>
  <c r="AD242" i="34"/>
  <c r="AH242" i="34" s="1" a="1"/>
  <c r="AH242" i="34" s="1"/>
  <c r="Z243" i="34"/>
  <c r="AA243" i="34" s="1"/>
  <c r="AB243" i="34"/>
  <c r="AC243" i="34" s="1"/>
  <c r="AD243" i="34"/>
  <c r="AH243" i="34" s="1" a="1"/>
  <c r="AH243" i="34" s="1"/>
  <c r="Z244" i="34"/>
  <c r="AA244" i="34" s="1"/>
  <c r="AB244" i="34"/>
  <c r="AC244" i="34" s="1"/>
  <c r="AD244" i="34"/>
  <c r="AH244" i="34" s="1" a="1"/>
  <c r="AH244" i="34" s="1"/>
  <c r="Z245" i="34"/>
  <c r="AA245" i="34" s="1"/>
  <c r="AB245" i="34"/>
  <c r="AC245" i="34" s="1"/>
  <c r="AD245" i="34"/>
  <c r="AH245" i="34" s="1" a="1"/>
  <c r="AH245" i="34" s="1"/>
  <c r="Z246" i="34"/>
  <c r="AA246" i="34" s="1"/>
  <c r="AB246" i="34"/>
  <c r="AC246" i="34" s="1"/>
  <c r="AD246" i="34"/>
  <c r="AH246" i="34" s="1" a="1"/>
  <c r="AH246" i="34" s="1"/>
  <c r="Z247" i="34"/>
  <c r="AA247" i="34" s="1"/>
  <c r="AB247" i="34"/>
  <c r="AC247" i="34" s="1"/>
  <c r="AD247" i="34"/>
  <c r="AH247" i="34" s="1" a="1"/>
  <c r="AH247" i="34" s="1"/>
  <c r="Z248" i="34"/>
  <c r="AA248" i="34" s="1"/>
  <c r="AB248" i="34"/>
  <c r="AC248" i="34" s="1"/>
  <c r="AD248" i="34"/>
  <c r="AH248" i="34" s="1" a="1"/>
  <c r="AH248" i="34" s="1"/>
  <c r="Z249" i="34"/>
  <c r="AA249" i="34" s="1"/>
  <c r="AB249" i="34"/>
  <c r="AC249" i="34" s="1"/>
  <c r="AD249" i="34"/>
  <c r="AH249" i="34" s="1" a="1"/>
  <c r="AH249" i="34" s="1"/>
  <c r="Z250" i="34"/>
  <c r="AA250" i="34" s="1"/>
  <c r="AB250" i="34"/>
  <c r="AC250" i="34" s="1"/>
  <c r="AD250" i="34"/>
  <c r="AH250" i="34" s="1" a="1"/>
  <c r="AH250" i="34" s="1"/>
  <c r="Z251" i="34"/>
  <c r="AA251" i="34" s="1"/>
  <c r="AB251" i="34"/>
  <c r="AC251" i="34" s="1"/>
  <c r="AD251" i="34"/>
  <c r="AH251" i="34" s="1" a="1"/>
  <c r="AH251" i="34" s="1"/>
  <c r="Z252" i="34"/>
  <c r="AA252" i="34" s="1"/>
  <c r="AB252" i="34"/>
  <c r="AC252" i="34" s="1"/>
  <c r="AD252" i="34"/>
  <c r="AH252" i="34" s="1" a="1"/>
  <c r="AH252" i="34" s="1"/>
  <c r="Z253" i="34"/>
  <c r="AA253" i="34" s="1"/>
  <c r="AB253" i="34"/>
  <c r="AC253" i="34" s="1"/>
  <c r="AD253" i="34"/>
  <c r="AH253" i="34" s="1" a="1"/>
  <c r="AH253" i="34" s="1"/>
  <c r="Z254" i="34"/>
  <c r="AA254" i="34" s="1"/>
  <c r="AB254" i="34"/>
  <c r="AC254" i="34" s="1"/>
  <c r="AD254" i="34"/>
  <c r="AH254" i="34" s="1" a="1"/>
  <c r="AH254" i="34" s="1"/>
  <c r="Z255" i="34"/>
  <c r="AA255" i="34" s="1"/>
  <c r="AB255" i="34"/>
  <c r="AC255" i="34" s="1"/>
  <c r="AD255" i="34"/>
  <c r="AH255" i="34" s="1" a="1"/>
  <c r="AH255" i="34" s="1"/>
  <c r="Z256" i="34"/>
  <c r="AA256" i="34" s="1"/>
  <c r="AB256" i="34"/>
  <c r="AC256" i="34" s="1"/>
  <c r="AD256" i="34"/>
  <c r="AH256" i="34" s="1" a="1"/>
  <c r="AH256" i="34" s="1"/>
  <c r="Z257" i="34"/>
  <c r="AA257" i="34" s="1"/>
  <c r="AB257" i="34"/>
  <c r="AC257" i="34" s="1"/>
  <c r="AD257" i="34"/>
  <c r="AH257" i="34" s="1" a="1"/>
  <c r="AH257" i="34" s="1"/>
  <c r="Z258" i="34"/>
  <c r="AA258" i="34" s="1"/>
  <c r="AB258" i="34"/>
  <c r="AC258" i="34" s="1"/>
  <c r="AD258" i="34"/>
  <c r="AH258" i="34" s="1" a="1"/>
  <c r="AH258" i="34" s="1"/>
  <c r="Z259" i="34"/>
  <c r="AA259" i="34" s="1"/>
  <c r="AB259" i="34"/>
  <c r="AC259" i="34" s="1"/>
  <c r="AD259" i="34"/>
  <c r="AH259" i="34" s="1" a="1"/>
  <c r="AH259" i="34" s="1"/>
  <c r="Z260" i="34"/>
  <c r="AA260" i="34" s="1"/>
  <c r="AB260" i="34"/>
  <c r="AC260" i="34" s="1"/>
  <c r="AD260" i="34"/>
  <c r="AH260" i="34" s="1" a="1"/>
  <c r="AH260" i="34" s="1"/>
  <c r="Z261" i="34"/>
  <c r="AA261" i="34" s="1"/>
  <c r="AB261" i="34"/>
  <c r="AC261" i="34" s="1"/>
  <c r="AD261" i="34"/>
  <c r="AH261" i="34" s="1" a="1"/>
  <c r="AH261" i="34" s="1"/>
  <c r="Z262" i="34"/>
  <c r="AA262" i="34" s="1"/>
  <c r="AB262" i="34"/>
  <c r="AC262" i="34" s="1"/>
  <c r="AD262" i="34"/>
  <c r="AH262" i="34" s="1" a="1"/>
  <c r="AH262" i="34" s="1"/>
  <c r="Z263" i="34"/>
  <c r="AA263" i="34" s="1"/>
  <c r="AB263" i="34"/>
  <c r="AC263" i="34" s="1"/>
  <c r="AD263" i="34"/>
  <c r="AH263" i="34" s="1" a="1"/>
  <c r="AH263" i="34" s="1"/>
  <c r="Z264" i="34"/>
  <c r="AA264" i="34" s="1"/>
  <c r="AB264" i="34"/>
  <c r="AC264" i="34" s="1"/>
  <c r="AD264" i="34"/>
  <c r="AH264" i="34" s="1" a="1"/>
  <c r="AH264" i="34" s="1"/>
  <c r="Z265" i="34"/>
  <c r="AA265" i="34" s="1"/>
  <c r="AB265" i="34"/>
  <c r="AC265" i="34" s="1"/>
  <c r="AD265" i="34"/>
  <c r="AH265" i="34" s="1" a="1"/>
  <c r="AH265" i="34" s="1"/>
  <c r="Z266" i="34"/>
  <c r="AA266" i="34" s="1"/>
  <c r="AB266" i="34"/>
  <c r="AC266" i="34" s="1"/>
  <c r="AD266" i="34"/>
  <c r="AH266" i="34" s="1" a="1"/>
  <c r="AH266" i="34" s="1"/>
  <c r="Z267" i="34"/>
  <c r="AA267" i="34" s="1"/>
  <c r="AB267" i="34"/>
  <c r="AC267" i="34" s="1"/>
  <c r="AD267" i="34"/>
  <c r="AH267" i="34" s="1" a="1"/>
  <c r="AH267" i="34" s="1"/>
  <c r="Z268" i="34"/>
  <c r="AA268" i="34" s="1"/>
  <c r="AB268" i="34"/>
  <c r="AC268" i="34" s="1"/>
  <c r="AD268" i="34"/>
  <c r="AH268" i="34" s="1" a="1"/>
  <c r="AH268" i="34" s="1"/>
  <c r="Z269" i="34"/>
  <c r="AA269" i="34" s="1"/>
  <c r="AB269" i="34"/>
  <c r="AC269" i="34" s="1"/>
  <c r="AD269" i="34"/>
  <c r="AH269" i="34" s="1" a="1"/>
  <c r="AH269" i="34" s="1"/>
  <c r="Z270" i="34"/>
  <c r="AA270" i="34" s="1"/>
  <c r="AB270" i="34"/>
  <c r="AC270" i="34" s="1"/>
  <c r="AD270" i="34"/>
  <c r="AH270" i="34" s="1" a="1"/>
  <c r="AH270" i="34" s="1"/>
  <c r="Z271" i="34"/>
  <c r="AA271" i="34" s="1"/>
  <c r="AB271" i="34"/>
  <c r="AC271" i="34" s="1"/>
  <c r="AD271" i="34"/>
  <c r="AH271" i="34" s="1" a="1"/>
  <c r="AH271" i="34" s="1"/>
  <c r="Z272" i="34"/>
  <c r="AA272" i="34" s="1"/>
  <c r="AB272" i="34"/>
  <c r="AC272" i="34" s="1"/>
  <c r="AD272" i="34"/>
  <c r="AH272" i="34" s="1" a="1"/>
  <c r="AH272" i="34" s="1"/>
  <c r="Z273" i="34"/>
  <c r="AA273" i="34" s="1"/>
  <c r="AB273" i="34"/>
  <c r="AC273" i="34" s="1"/>
  <c r="AD273" i="34"/>
  <c r="AH273" i="34" s="1" a="1"/>
  <c r="AH273" i="34" s="1"/>
  <c r="Z274" i="34"/>
  <c r="AA274" i="34" s="1"/>
  <c r="AB274" i="34"/>
  <c r="AC274" i="34" s="1"/>
  <c r="AD274" i="34"/>
  <c r="AH274" i="34" s="1" a="1"/>
  <c r="AH274" i="34" s="1"/>
  <c r="Z275" i="34"/>
  <c r="AA275" i="34" s="1"/>
  <c r="AB275" i="34"/>
  <c r="AC275" i="34" s="1"/>
  <c r="AD275" i="34"/>
  <c r="AH275" i="34" s="1" a="1"/>
  <c r="AH275" i="34" s="1"/>
  <c r="Z276" i="34"/>
  <c r="AA276" i="34" s="1"/>
  <c r="AB276" i="34"/>
  <c r="AC276" i="34" s="1"/>
  <c r="AD276" i="34"/>
  <c r="AH276" i="34" s="1" a="1"/>
  <c r="AH276" i="34" s="1"/>
  <c r="Z277" i="34"/>
  <c r="AA277" i="34" s="1"/>
  <c r="AB277" i="34"/>
  <c r="AC277" i="34" s="1"/>
  <c r="AD277" i="34"/>
  <c r="AH277" i="34" s="1" a="1"/>
  <c r="AH277" i="34" s="1"/>
  <c r="Z278" i="34"/>
  <c r="AA278" i="34" s="1"/>
  <c r="AB278" i="34"/>
  <c r="AC278" i="34" s="1"/>
  <c r="AD278" i="34"/>
  <c r="AH278" i="34" s="1" a="1"/>
  <c r="AH278" i="34" s="1"/>
  <c r="AE278" i="34"/>
  <c r="AF278" i="34" s="1"/>
  <c r="AG278" i="34" s="1"/>
  <c r="Z279" i="34"/>
  <c r="AA279" i="34" s="1"/>
  <c r="AB279" i="34"/>
  <c r="AC279" i="34" s="1"/>
  <c r="AD279" i="34"/>
  <c r="AH279" i="34" s="1" a="1"/>
  <c r="AH279" i="34" s="1"/>
  <c r="AE279" i="34"/>
  <c r="Z280" i="34"/>
  <c r="AA280" i="34" s="1"/>
  <c r="AB280" i="34"/>
  <c r="AC280" i="34" s="1"/>
  <c r="AD280" i="34"/>
  <c r="AH280" i="34" s="1" a="1"/>
  <c r="AH280" i="34" s="1"/>
  <c r="AE280" i="34"/>
  <c r="Z281" i="34"/>
  <c r="AA281" i="34" s="1"/>
  <c r="AB281" i="34"/>
  <c r="AC281" i="34" s="1"/>
  <c r="AD281" i="34"/>
  <c r="AH281" i="34" s="1" a="1"/>
  <c r="AH281" i="34" s="1"/>
  <c r="AE281" i="34"/>
  <c r="Z282" i="34"/>
  <c r="AA282" i="34" s="1"/>
  <c r="AB282" i="34"/>
  <c r="AC282" i="34" s="1"/>
  <c r="AD282" i="34"/>
  <c r="AH282" i="34" s="1" a="1"/>
  <c r="AH282" i="34" s="1"/>
  <c r="AE282" i="34"/>
  <c r="AF282" i="34" s="1"/>
  <c r="AG282" i="34" s="1"/>
  <c r="Z283" i="34"/>
  <c r="AA283" i="34" s="1"/>
  <c r="AB283" i="34"/>
  <c r="AC283" i="34" s="1"/>
  <c r="AD283" i="34"/>
  <c r="AH283" i="34" s="1" a="1"/>
  <c r="AH283" i="34" s="1"/>
  <c r="AE283" i="34"/>
  <c r="AF283" i="34" s="1"/>
  <c r="AG283" i="34" s="1"/>
  <c r="Z284" i="34"/>
  <c r="AA284" i="34" s="1"/>
  <c r="AB284" i="34"/>
  <c r="AC284" i="34" s="1"/>
  <c r="AD284" i="34"/>
  <c r="AH284" i="34" s="1" a="1"/>
  <c r="AH284" i="34" s="1"/>
  <c r="AE284" i="34"/>
  <c r="Z285" i="34"/>
  <c r="AA285" i="34" s="1"/>
  <c r="AB285" i="34"/>
  <c r="AC285" i="34" s="1"/>
  <c r="AD285" i="34"/>
  <c r="AH285" i="34" s="1" a="1"/>
  <c r="AH285" i="34" s="1"/>
  <c r="AE285" i="34"/>
  <c r="Z286" i="34"/>
  <c r="AA286" i="34" s="1"/>
  <c r="AB286" i="34"/>
  <c r="AC286" i="34" s="1"/>
  <c r="AD286" i="34"/>
  <c r="AH286" i="34" s="1" a="1"/>
  <c r="AH286" i="34" s="1"/>
  <c r="AE286" i="34"/>
  <c r="AF286" i="34" s="1"/>
  <c r="AG286" i="34" s="1"/>
  <c r="Z287" i="34"/>
  <c r="AA287" i="34" s="1"/>
  <c r="AB287" i="34"/>
  <c r="AC287" i="34" s="1"/>
  <c r="AD287" i="34"/>
  <c r="AH287" i="34" s="1" a="1"/>
  <c r="AH287" i="34" s="1"/>
  <c r="AE287" i="34"/>
  <c r="AF287" i="34" s="1"/>
  <c r="AG287" i="34" s="1"/>
  <c r="Z288" i="34"/>
  <c r="AA288" i="34" s="1"/>
  <c r="AB288" i="34"/>
  <c r="AC288" i="34" s="1"/>
  <c r="AD288" i="34"/>
  <c r="AH288" i="34" s="1" a="1"/>
  <c r="AH288" i="34" s="1"/>
  <c r="AE288" i="34"/>
  <c r="AF288" i="34" s="1"/>
  <c r="AG288" i="34" s="1"/>
  <c r="Z289" i="34"/>
  <c r="AA289" i="34" s="1"/>
  <c r="AB289" i="34"/>
  <c r="AC289" i="34" s="1"/>
  <c r="AD289" i="34"/>
  <c r="AH289" i="34" s="1" a="1"/>
  <c r="AH289" i="34" s="1"/>
  <c r="AE289" i="34"/>
  <c r="Z290" i="34"/>
  <c r="AA290" i="34" s="1"/>
  <c r="AB290" i="34"/>
  <c r="AC290" i="34" s="1"/>
  <c r="AD290" i="34"/>
  <c r="AH290" i="34" s="1" a="1"/>
  <c r="AH290" i="34" s="1"/>
  <c r="AE290" i="34"/>
  <c r="AJ290" i="34" s="1"/>
  <c r="Z291" i="34"/>
  <c r="AA291" i="34" s="1"/>
  <c r="AB291" i="34"/>
  <c r="AC291" i="34" s="1"/>
  <c r="AD291" i="34"/>
  <c r="AH291" i="34" s="1" a="1"/>
  <c r="AH291" i="34" s="1"/>
  <c r="AE291" i="34"/>
  <c r="AJ291" i="34" s="1"/>
  <c r="Z292" i="34"/>
  <c r="AA292" i="34" s="1"/>
  <c r="AB292" i="34"/>
  <c r="AC292" i="34" s="1"/>
  <c r="AD292" i="34"/>
  <c r="AH292" i="34" s="1" a="1"/>
  <c r="AH292" i="34" s="1"/>
  <c r="AE292" i="34"/>
  <c r="Z293" i="34"/>
  <c r="AA293" i="34" s="1"/>
  <c r="AB293" i="34"/>
  <c r="AC293" i="34" s="1"/>
  <c r="AD293" i="34"/>
  <c r="AH293" i="34" s="1" a="1"/>
  <c r="AH293" i="34" s="1"/>
  <c r="AE293" i="34"/>
  <c r="Z294" i="34"/>
  <c r="AA294" i="34" s="1"/>
  <c r="AB294" i="34"/>
  <c r="AC294" i="34" s="1"/>
  <c r="AD294" i="34"/>
  <c r="AH294" i="34" s="1" a="1"/>
  <c r="AH294" i="34" s="1"/>
  <c r="AE294" i="34"/>
  <c r="AF294" i="34" s="1"/>
  <c r="AG294" i="34" s="1"/>
  <c r="Z295" i="34"/>
  <c r="AA295" i="34" s="1"/>
  <c r="AB295" i="34"/>
  <c r="AC295" i="34" s="1"/>
  <c r="AD295" i="34"/>
  <c r="AH295" i="34" s="1" a="1"/>
  <c r="AH295" i="34" s="1"/>
  <c r="AE295" i="34"/>
  <c r="Z296" i="34"/>
  <c r="AA296" i="34" s="1"/>
  <c r="AB296" i="34"/>
  <c r="AC296" i="34" s="1"/>
  <c r="AD296" i="34"/>
  <c r="AH296" i="34" s="1" a="1"/>
  <c r="AH296" i="34" s="1"/>
  <c r="AE296" i="34"/>
  <c r="Z297" i="34"/>
  <c r="AA297" i="34" s="1"/>
  <c r="AB297" i="34"/>
  <c r="AC297" i="34" s="1"/>
  <c r="AD297" i="34"/>
  <c r="AH297" i="34" s="1" a="1"/>
  <c r="AH297" i="34" s="1"/>
  <c r="AE297" i="34"/>
  <c r="Z298" i="34"/>
  <c r="AA298" i="34" s="1"/>
  <c r="AB298" i="34"/>
  <c r="AC298" i="34" s="1"/>
  <c r="AD298" i="34"/>
  <c r="AH298" i="34" s="1" a="1"/>
  <c r="AH298" i="34" s="1"/>
  <c r="AE298" i="34"/>
  <c r="AF298" i="34" s="1"/>
  <c r="AG298" i="34" s="1"/>
  <c r="Z299" i="34"/>
  <c r="AA299" i="34" s="1"/>
  <c r="AB299" i="34"/>
  <c r="AC299" i="34" s="1"/>
  <c r="AD299" i="34"/>
  <c r="AH299" i="34" s="1" a="1"/>
  <c r="AH299" i="34" s="1"/>
  <c r="AE299" i="34"/>
  <c r="AJ299" i="34" s="1"/>
  <c r="Z300" i="34"/>
  <c r="AA300" i="34" s="1"/>
  <c r="AB300" i="34"/>
  <c r="AC300" i="34" s="1"/>
  <c r="AD300" i="34"/>
  <c r="AH300" i="34" s="1" a="1"/>
  <c r="AH300" i="34" s="1"/>
  <c r="AE300" i="34"/>
  <c r="Z301" i="34"/>
  <c r="AA301" i="34" s="1"/>
  <c r="AB301" i="34"/>
  <c r="AC301" i="34" s="1"/>
  <c r="AD301" i="34"/>
  <c r="AH301" i="34" s="1" a="1"/>
  <c r="AH301" i="34" s="1"/>
  <c r="AE301" i="34"/>
  <c r="Z302" i="34"/>
  <c r="AA302" i="34" s="1"/>
  <c r="AB302" i="34"/>
  <c r="AC302" i="34" s="1"/>
  <c r="AD302" i="34"/>
  <c r="AH302" i="34" s="1" a="1"/>
  <c r="AH302" i="34" s="1"/>
  <c r="AE302" i="34"/>
  <c r="Z303" i="34"/>
  <c r="AA303" i="34" s="1"/>
  <c r="AB303" i="34"/>
  <c r="AC303" i="34" s="1"/>
  <c r="AD303" i="34"/>
  <c r="AH303" i="34" s="1" a="1"/>
  <c r="AH303" i="34" s="1"/>
  <c r="AE303" i="34"/>
  <c r="AF303" i="34" s="1"/>
  <c r="AG303" i="34" s="1"/>
  <c r="Z304" i="34"/>
  <c r="AA304" i="34" s="1"/>
  <c r="AB304" i="34"/>
  <c r="AC304" i="34" s="1"/>
  <c r="AD304" i="34"/>
  <c r="AH304" i="34" s="1" a="1"/>
  <c r="AH304" i="34" s="1"/>
  <c r="AE304" i="34"/>
  <c r="AI304" i="34" s="1"/>
  <c r="Z305" i="34"/>
  <c r="AA305" i="34" s="1"/>
  <c r="AB305" i="34"/>
  <c r="AC305" i="34" s="1"/>
  <c r="AD305" i="34"/>
  <c r="AH305" i="34" s="1" a="1"/>
  <c r="AH305" i="34" s="1"/>
  <c r="AE305" i="34"/>
  <c r="AJ305" i="34" s="1"/>
  <c r="Z306" i="34"/>
  <c r="AA306" i="34" s="1"/>
  <c r="AB306" i="34"/>
  <c r="AC306" i="34" s="1"/>
  <c r="AD306" i="34"/>
  <c r="AH306" i="34" s="1" a="1"/>
  <c r="AH306" i="34" s="1"/>
  <c r="AE306" i="34"/>
  <c r="AJ306" i="34" s="1"/>
  <c r="Z307" i="34"/>
  <c r="AA307" i="34" s="1"/>
  <c r="AB307" i="34"/>
  <c r="AC307" i="34" s="1"/>
  <c r="AD307" i="34"/>
  <c r="AH307" i="34" s="1" a="1"/>
  <c r="AH307" i="34" s="1"/>
  <c r="AE307" i="34"/>
  <c r="AJ307" i="34" s="1"/>
  <c r="Z308" i="34"/>
  <c r="AA308" i="34" s="1"/>
  <c r="AB308" i="34"/>
  <c r="AC308" i="34" s="1"/>
  <c r="AD308" i="34"/>
  <c r="AH308" i="34" s="1" a="1"/>
  <c r="AH308" i="34" s="1"/>
  <c r="AE308" i="34"/>
  <c r="Z309" i="34"/>
  <c r="AA309" i="34" s="1"/>
  <c r="AB309" i="34"/>
  <c r="AC309" i="34" s="1"/>
  <c r="AD309" i="34"/>
  <c r="AH309" i="34" s="1" a="1"/>
  <c r="AH309" i="34" s="1"/>
  <c r="AE309" i="34"/>
  <c r="AJ309" i="34" s="1"/>
  <c r="Z310" i="34"/>
  <c r="AA310" i="34" s="1"/>
  <c r="AB310" i="34"/>
  <c r="AC310" i="34" s="1"/>
  <c r="AD310" i="34"/>
  <c r="AH310" i="34" s="1" a="1"/>
  <c r="AH310" i="34" s="1"/>
  <c r="AE310" i="34"/>
  <c r="AJ310" i="34" s="1"/>
  <c r="Z311" i="34"/>
  <c r="AA311" i="34" s="1"/>
  <c r="AB311" i="34"/>
  <c r="AC311" i="34" s="1"/>
  <c r="AD311" i="34"/>
  <c r="AH311" i="34" s="1" a="1"/>
  <c r="AH311" i="34" s="1"/>
  <c r="AE311" i="34"/>
  <c r="Z312" i="34"/>
  <c r="AA312" i="34" s="1"/>
  <c r="AB312" i="34"/>
  <c r="AC312" i="34" s="1"/>
  <c r="AD312" i="34"/>
  <c r="AH312" i="34" s="1" a="1"/>
  <c r="AH312" i="34" s="1"/>
  <c r="AE312" i="34"/>
  <c r="AI312" i="34" s="1"/>
  <c r="Z313" i="34"/>
  <c r="AA313" i="34" s="1"/>
  <c r="AB313" i="34"/>
  <c r="AC313" i="34" s="1"/>
  <c r="AD313" i="34"/>
  <c r="AH313" i="34" s="1" a="1"/>
  <c r="AH313" i="34" s="1"/>
  <c r="AE313" i="34"/>
  <c r="AF313" i="34" s="1"/>
  <c r="AG313" i="34" s="1"/>
  <c r="Z314" i="34"/>
  <c r="AA314" i="34" s="1"/>
  <c r="AB314" i="34"/>
  <c r="AC314" i="34" s="1"/>
  <c r="AD314" i="34"/>
  <c r="AH314" i="34" s="1" a="1"/>
  <c r="AH314" i="34" s="1"/>
  <c r="AE314" i="34"/>
  <c r="AF314" i="34" s="1"/>
  <c r="AG314" i="34" s="1"/>
  <c r="Z315" i="34"/>
  <c r="AA315" i="34" s="1"/>
  <c r="AB315" i="34"/>
  <c r="AC315" i="34" s="1"/>
  <c r="AD315" i="34"/>
  <c r="AH315" i="34" s="1" a="1"/>
  <c r="AH315" i="34" s="1"/>
  <c r="AE315" i="34"/>
  <c r="Z316" i="34"/>
  <c r="AA316" i="34" s="1"/>
  <c r="AB316" i="34"/>
  <c r="AC316" i="34" s="1"/>
  <c r="AD316" i="34"/>
  <c r="AH316" i="34" s="1" a="1"/>
  <c r="AH316" i="34" s="1"/>
  <c r="AE316" i="34"/>
  <c r="Z317" i="34"/>
  <c r="AA317" i="34" s="1"/>
  <c r="AB317" i="34"/>
  <c r="AC317" i="34" s="1"/>
  <c r="AD317" i="34"/>
  <c r="AH317" i="34" s="1" a="1"/>
  <c r="AH317" i="34" s="1"/>
  <c r="AE317" i="34"/>
  <c r="AJ317" i="34" s="1"/>
  <c r="Z318" i="34"/>
  <c r="AA318" i="34" s="1"/>
  <c r="AB318" i="34"/>
  <c r="AC318" i="34" s="1"/>
  <c r="AD318" i="34"/>
  <c r="AH318" i="34" s="1" a="1"/>
  <c r="AH318" i="34" s="1"/>
  <c r="AE318" i="34"/>
  <c r="AI318" i="34" s="1"/>
  <c r="Z319" i="34"/>
  <c r="AA319" i="34" s="1"/>
  <c r="AB319" i="34"/>
  <c r="AC319" i="34" s="1"/>
  <c r="AD319" i="34"/>
  <c r="AH319" i="34" s="1" a="1"/>
  <c r="AH319" i="34" s="1"/>
  <c r="AE319" i="34"/>
  <c r="AF319" i="34" s="1"/>
  <c r="AG319" i="34" s="1"/>
  <c r="Z320" i="34"/>
  <c r="AA320" i="34" s="1"/>
  <c r="AB320" i="34"/>
  <c r="AC320" i="34" s="1"/>
  <c r="AD320" i="34"/>
  <c r="AH320" i="34" s="1" a="1"/>
  <c r="AH320" i="34" s="1"/>
  <c r="AE320" i="34"/>
  <c r="Z321" i="34"/>
  <c r="AA321" i="34" s="1"/>
  <c r="AB321" i="34"/>
  <c r="AC321" i="34" s="1"/>
  <c r="AD321" i="34"/>
  <c r="AH321" i="34" s="1" a="1"/>
  <c r="AH321" i="34" s="1"/>
  <c r="AE321" i="34"/>
  <c r="Z322" i="34"/>
  <c r="AA322" i="34" s="1"/>
  <c r="AB322" i="34"/>
  <c r="AC322" i="34" s="1"/>
  <c r="AD322" i="34"/>
  <c r="AH322" i="34" s="1" a="1"/>
  <c r="AH322" i="34" s="1"/>
  <c r="AE322" i="34"/>
  <c r="AJ322" i="34" s="1"/>
  <c r="Z323" i="34"/>
  <c r="AA323" i="34" s="1"/>
  <c r="AB323" i="34"/>
  <c r="AC323" i="34" s="1"/>
  <c r="AD323" i="34"/>
  <c r="AH323" i="34" s="1" a="1"/>
  <c r="AH323" i="34" s="1"/>
  <c r="AE323" i="34"/>
  <c r="AJ323" i="34" s="1"/>
  <c r="Z324" i="34"/>
  <c r="AA324" i="34" s="1"/>
  <c r="AB324" i="34"/>
  <c r="AC324" i="34" s="1"/>
  <c r="AD324" i="34"/>
  <c r="AH324" i="34" s="1" a="1"/>
  <c r="AH324" i="34" s="1"/>
  <c r="AE324" i="34"/>
  <c r="AF324" i="34" s="1"/>
  <c r="AG324" i="34" s="1"/>
  <c r="Z325" i="34"/>
  <c r="AA325" i="34" s="1"/>
  <c r="AB325" i="34"/>
  <c r="AC325" i="34" s="1"/>
  <c r="AD325" i="34"/>
  <c r="AH325" i="34" s="1" a="1"/>
  <c r="AH325" i="34" s="1"/>
  <c r="AE325" i="34"/>
  <c r="AJ325" i="34" s="1"/>
  <c r="Z326" i="34"/>
  <c r="AA326" i="34" s="1"/>
  <c r="AB326" i="34"/>
  <c r="AC326" i="34" s="1"/>
  <c r="AD326" i="34"/>
  <c r="AH326" i="34" s="1" a="1"/>
  <c r="AH326" i="34" s="1"/>
  <c r="AE326" i="34"/>
  <c r="AI326" i="34" s="1"/>
  <c r="Z327" i="34"/>
  <c r="AA327" i="34" s="1"/>
  <c r="AB327" i="34"/>
  <c r="AC327" i="34" s="1"/>
  <c r="AD327" i="34"/>
  <c r="AH327" i="34" s="1" a="1"/>
  <c r="AH327" i="34" s="1"/>
  <c r="AE327" i="34"/>
  <c r="AI327" i="34" s="1"/>
  <c r="Z328" i="34"/>
  <c r="AA328" i="34" s="1"/>
  <c r="AB328" i="34"/>
  <c r="AC328" i="34" s="1"/>
  <c r="AD328" i="34"/>
  <c r="AH328" i="34" s="1" a="1"/>
  <c r="AH328" i="34" s="1"/>
  <c r="AE328" i="34"/>
  <c r="Z329" i="34"/>
  <c r="AA329" i="34" s="1"/>
  <c r="AB329" i="34"/>
  <c r="AC329" i="34" s="1"/>
  <c r="AD329" i="34"/>
  <c r="AH329" i="34" s="1" a="1"/>
  <c r="AH329" i="34" s="1"/>
  <c r="AE329" i="34"/>
  <c r="AF329" i="34" s="1"/>
  <c r="AG329" i="34" s="1"/>
  <c r="Z330" i="34"/>
  <c r="AA330" i="34" s="1"/>
  <c r="AB330" i="34"/>
  <c r="AC330" i="34" s="1"/>
  <c r="AD330" i="34"/>
  <c r="AH330" i="34" s="1" a="1"/>
  <c r="AH330" i="34" s="1"/>
  <c r="AE330" i="34"/>
  <c r="AF330" i="34" s="1"/>
  <c r="AG330" i="34" s="1"/>
  <c r="Z331" i="34"/>
  <c r="AA331" i="34" s="1"/>
  <c r="AB331" i="34"/>
  <c r="AC331" i="34" s="1"/>
  <c r="AD331" i="34"/>
  <c r="AH331" i="34" s="1" a="1"/>
  <c r="AH331" i="34" s="1"/>
  <c r="AE331" i="34"/>
  <c r="Z332" i="34"/>
  <c r="AA332" i="34" s="1"/>
  <c r="AB332" i="34"/>
  <c r="AC332" i="34" s="1"/>
  <c r="AD332" i="34"/>
  <c r="AH332" i="34" s="1" a="1"/>
  <c r="AH332" i="34" s="1"/>
  <c r="AE332" i="34"/>
  <c r="AI332" i="34" s="1"/>
  <c r="Z333" i="34"/>
  <c r="AA333" i="34" s="1"/>
  <c r="AB333" i="34"/>
  <c r="AC333" i="34" s="1"/>
  <c r="AD333" i="34"/>
  <c r="AH333" i="34" s="1" a="1"/>
  <c r="AH333" i="34" s="1"/>
  <c r="AE333" i="34"/>
  <c r="Z334" i="34"/>
  <c r="AA334" i="34" s="1"/>
  <c r="AB334" i="34"/>
  <c r="AC334" i="34" s="1"/>
  <c r="AD334" i="34"/>
  <c r="AH334" i="34" s="1" a="1"/>
  <c r="AH334" i="34" s="1"/>
  <c r="AE334" i="34"/>
  <c r="AI334" i="34" s="1"/>
  <c r="Z335" i="34"/>
  <c r="AA335" i="34" s="1"/>
  <c r="AB335" i="34"/>
  <c r="AC335" i="34" s="1"/>
  <c r="AD335" i="34"/>
  <c r="AH335" i="34" s="1" a="1"/>
  <c r="AH335" i="34" s="1"/>
  <c r="AE335" i="34"/>
  <c r="Z336" i="34"/>
  <c r="AA336" i="34" s="1"/>
  <c r="AB336" i="34"/>
  <c r="AC336" i="34" s="1"/>
  <c r="AD336" i="34"/>
  <c r="AH336" i="34" s="1" a="1"/>
  <c r="AH336" i="34" s="1"/>
  <c r="AE336" i="34"/>
  <c r="AI336" i="34" s="1"/>
  <c r="Z337" i="34"/>
  <c r="AA337" i="34" s="1"/>
  <c r="AB337" i="34"/>
  <c r="AC337" i="34" s="1"/>
  <c r="AD337" i="34"/>
  <c r="AH337" i="34" s="1" a="1"/>
  <c r="AH337" i="34" s="1"/>
  <c r="AE337" i="34"/>
  <c r="Z338" i="34"/>
  <c r="AA338" i="34" s="1"/>
  <c r="AB338" i="34"/>
  <c r="AC338" i="34" s="1"/>
  <c r="AD338" i="34"/>
  <c r="AH338" i="34" s="1" a="1"/>
  <c r="AH338" i="34" s="1"/>
  <c r="AE338" i="34"/>
  <c r="AI338" i="34" s="1"/>
  <c r="Z339" i="34"/>
  <c r="AA339" i="34" s="1"/>
  <c r="AB339" i="34"/>
  <c r="AC339" i="34" s="1"/>
  <c r="AD339" i="34"/>
  <c r="AH339" i="34" s="1" a="1"/>
  <c r="AH339" i="34" s="1"/>
  <c r="AE339" i="34"/>
  <c r="AJ339" i="34" s="1"/>
  <c r="Z340" i="34"/>
  <c r="AA340" i="34" s="1"/>
  <c r="AB340" i="34"/>
  <c r="AC340" i="34" s="1"/>
  <c r="AD340" i="34"/>
  <c r="AH340" i="34" s="1" a="1"/>
  <c r="AH340" i="34" s="1"/>
  <c r="AE340" i="34"/>
  <c r="AI340" i="34" s="1"/>
  <c r="Z341" i="34"/>
  <c r="AA341" i="34" s="1"/>
  <c r="AB341" i="34"/>
  <c r="AC341" i="34" s="1"/>
  <c r="AD341" i="34"/>
  <c r="AH341" i="34" s="1" a="1"/>
  <c r="AH341" i="34" s="1"/>
  <c r="AE341" i="34"/>
  <c r="Z342" i="34"/>
  <c r="AA342" i="34" s="1"/>
  <c r="AB342" i="34"/>
  <c r="AC342" i="34" s="1"/>
  <c r="AD342" i="34"/>
  <c r="AH342" i="34" s="1" a="1"/>
  <c r="AH342" i="34" s="1"/>
  <c r="AE342" i="34"/>
  <c r="Z343" i="34"/>
  <c r="AA343" i="34" s="1"/>
  <c r="AB343" i="34"/>
  <c r="AC343" i="34" s="1"/>
  <c r="AD343" i="34"/>
  <c r="AH343" i="34" s="1" a="1"/>
  <c r="AH343" i="34" s="1"/>
  <c r="AE343" i="34"/>
  <c r="AJ343" i="34" s="1"/>
  <c r="Z344" i="34"/>
  <c r="AA344" i="34" s="1"/>
  <c r="AB344" i="34"/>
  <c r="AC344" i="34" s="1"/>
  <c r="AD344" i="34"/>
  <c r="AH344" i="34" s="1" a="1"/>
  <c r="AH344" i="34" s="1"/>
  <c r="AE344" i="34"/>
  <c r="AI344" i="34" s="1"/>
  <c r="Z345" i="34"/>
  <c r="AA345" i="34" s="1"/>
  <c r="AB345" i="34"/>
  <c r="AC345" i="34" s="1"/>
  <c r="AD345" i="34"/>
  <c r="AH345" i="34" s="1" a="1"/>
  <c r="AH345" i="34" s="1"/>
  <c r="AE345" i="34"/>
  <c r="Z346" i="34"/>
  <c r="AA346" i="34" s="1"/>
  <c r="AB346" i="34"/>
  <c r="AC346" i="34" s="1"/>
  <c r="AD346" i="34"/>
  <c r="AH346" i="34" s="1" a="1"/>
  <c r="AH346" i="34" s="1"/>
  <c r="AE346" i="34"/>
  <c r="AI346" i="34" s="1"/>
  <c r="Z347" i="34"/>
  <c r="AA347" i="34" s="1"/>
  <c r="AB347" i="34"/>
  <c r="AC347" i="34" s="1"/>
  <c r="AD347" i="34"/>
  <c r="AH347" i="34" s="1" a="1"/>
  <c r="AH347" i="34" s="1"/>
  <c r="AE347" i="34"/>
  <c r="AJ347" i="34" s="1"/>
  <c r="Z348" i="34"/>
  <c r="AA348" i="34" s="1"/>
  <c r="AB348" i="34"/>
  <c r="AC348" i="34" s="1"/>
  <c r="AD348" i="34"/>
  <c r="AH348" i="34" s="1" a="1"/>
  <c r="AH348" i="34" s="1"/>
  <c r="AE348" i="34"/>
  <c r="AI348" i="34" s="1"/>
  <c r="Z349" i="34"/>
  <c r="AA349" i="34" s="1"/>
  <c r="AB349" i="34"/>
  <c r="AC349" i="34" s="1"/>
  <c r="AD349" i="34"/>
  <c r="AH349" i="34" s="1" a="1"/>
  <c r="AH349" i="34" s="1"/>
  <c r="AE349" i="34"/>
  <c r="AJ349" i="34" s="1"/>
  <c r="Z350" i="34"/>
  <c r="AA350" i="34" s="1"/>
  <c r="AB350" i="34"/>
  <c r="AC350" i="34" s="1"/>
  <c r="AD350" i="34"/>
  <c r="AH350" i="34" s="1" a="1"/>
  <c r="AH350" i="34" s="1"/>
  <c r="AE350" i="34"/>
  <c r="Z351" i="34"/>
  <c r="AA351" i="34" s="1"/>
  <c r="AB351" i="34"/>
  <c r="AC351" i="34" s="1"/>
  <c r="AD351" i="34"/>
  <c r="AH351" i="34" s="1" a="1"/>
  <c r="AH351" i="34" s="1"/>
  <c r="AE351" i="34"/>
  <c r="AJ351" i="34" s="1"/>
  <c r="Z352" i="34"/>
  <c r="AA352" i="34" s="1"/>
  <c r="AB352" i="34"/>
  <c r="AC352" i="34" s="1"/>
  <c r="AD352" i="34"/>
  <c r="AH352" i="34" s="1" a="1"/>
  <c r="AH352" i="34" s="1"/>
  <c r="AE352" i="34"/>
  <c r="AF352" i="34" s="1"/>
  <c r="AG352" i="34" s="1"/>
  <c r="Z353" i="34"/>
  <c r="AA353" i="34" s="1"/>
  <c r="AB353" i="34"/>
  <c r="AC353" i="34" s="1"/>
  <c r="AD353" i="34"/>
  <c r="AH353" i="34" s="1" a="1"/>
  <c r="AH353" i="34" s="1"/>
  <c r="AE353" i="34"/>
  <c r="AJ353" i="34" s="1"/>
  <c r="Z354" i="34"/>
  <c r="AA354" i="34" s="1"/>
  <c r="AB354" i="34"/>
  <c r="AC354" i="34" s="1"/>
  <c r="AD354" i="34"/>
  <c r="AH354" i="34" s="1" a="1"/>
  <c r="AH354" i="34" s="1"/>
  <c r="AE354" i="34"/>
  <c r="AF354" i="34" s="1"/>
  <c r="AG354" i="34" s="1"/>
  <c r="Z355" i="34"/>
  <c r="AA355" i="34" s="1"/>
  <c r="AB355" i="34"/>
  <c r="AC355" i="34" s="1"/>
  <c r="AD355" i="34"/>
  <c r="AH355" i="34" s="1" a="1"/>
  <c r="AH355" i="34" s="1"/>
  <c r="AE355" i="34"/>
  <c r="Z356" i="34"/>
  <c r="AA356" i="34" s="1"/>
  <c r="AB356" i="34"/>
  <c r="AC356" i="34" s="1"/>
  <c r="AD356" i="34"/>
  <c r="AH356" i="34" s="1" a="1"/>
  <c r="AH356" i="34" s="1"/>
  <c r="AE356" i="34"/>
  <c r="AF356" i="34" s="1"/>
  <c r="AG356" i="34" s="1"/>
  <c r="Z357" i="34"/>
  <c r="AA357" i="34" s="1"/>
  <c r="AB357" i="34"/>
  <c r="AC357" i="34" s="1"/>
  <c r="AD357" i="34"/>
  <c r="AH357" i="34" s="1" a="1"/>
  <c r="AH357" i="34" s="1"/>
  <c r="AE357" i="34"/>
  <c r="Z358" i="34"/>
  <c r="AA358" i="34" s="1"/>
  <c r="AB358" i="34"/>
  <c r="AC358" i="34" s="1"/>
  <c r="AD358" i="34"/>
  <c r="AH358" i="34" s="1" a="1"/>
  <c r="AH358" i="34" s="1"/>
  <c r="AE358" i="34"/>
  <c r="Z359" i="34"/>
  <c r="AA359" i="34" s="1"/>
  <c r="AB359" i="34"/>
  <c r="AC359" i="34" s="1"/>
  <c r="AD359" i="34"/>
  <c r="AH359" i="34" s="1" a="1"/>
  <c r="AH359" i="34" s="1"/>
  <c r="AE359" i="34"/>
  <c r="Z360" i="34"/>
  <c r="AA360" i="34" s="1"/>
  <c r="AB360" i="34"/>
  <c r="AC360" i="34" s="1"/>
  <c r="AD360" i="34"/>
  <c r="AH360" i="34" s="1" a="1"/>
  <c r="AH360" i="34" s="1"/>
  <c r="AE360" i="34"/>
  <c r="AI360" i="34" s="1"/>
  <c r="Z361" i="34"/>
  <c r="AA361" i="34" s="1"/>
  <c r="AB361" i="34"/>
  <c r="AC361" i="34" s="1"/>
  <c r="AD361" i="34"/>
  <c r="AH361" i="34" s="1" a="1"/>
  <c r="AH361" i="34" s="1"/>
  <c r="AE361" i="34"/>
  <c r="AJ361" i="34" s="1"/>
  <c r="Z362" i="34"/>
  <c r="AA362" i="34" s="1"/>
  <c r="AB362" i="34"/>
  <c r="AC362" i="34" s="1"/>
  <c r="AD362" i="34"/>
  <c r="AH362" i="34" s="1" a="1"/>
  <c r="AH362" i="34" s="1"/>
  <c r="AE362" i="34"/>
  <c r="Z363" i="34"/>
  <c r="AA363" i="34" s="1"/>
  <c r="AB363" i="34"/>
  <c r="AC363" i="34" s="1"/>
  <c r="AD363" i="34"/>
  <c r="AH363" i="34" s="1" a="1"/>
  <c r="AH363" i="34" s="1"/>
  <c r="AE363" i="34"/>
  <c r="AJ363" i="34" s="1"/>
  <c r="Z364" i="34"/>
  <c r="AA364" i="34" s="1"/>
  <c r="AB364" i="34"/>
  <c r="AC364" i="34" s="1"/>
  <c r="AD364" i="34"/>
  <c r="AH364" i="34" s="1" a="1"/>
  <c r="AH364" i="34" s="1"/>
  <c r="AE364" i="34"/>
  <c r="AI364" i="34" s="1"/>
  <c r="Z365" i="34"/>
  <c r="AA365" i="34" s="1"/>
  <c r="AB365" i="34"/>
  <c r="AC365" i="34" s="1"/>
  <c r="AD365" i="34"/>
  <c r="AH365" i="34" s="1" a="1"/>
  <c r="AH365" i="34" s="1"/>
  <c r="AE365" i="34"/>
  <c r="AJ365" i="34" s="1"/>
  <c r="Z366" i="34"/>
  <c r="AA366" i="34" s="1"/>
  <c r="AB366" i="34"/>
  <c r="AC366" i="34" s="1"/>
  <c r="AD366" i="34"/>
  <c r="AH366" i="34" s="1" a="1"/>
  <c r="AH366" i="34" s="1"/>
  <c r="AE366" i="34"/>
  <c r="AF366" i="34" s="1"/>
  <c r="AG366" i="34" s="1"/>
  <c r="Z367" i="34"/>
  <c r="AA367" i="34" s="1"/>
  <c r="AB367" i="34"/>
  <c r="AC367" i="34" s="1"/>
  <c r="AD367" i="34"/>
  <c r="AH367" i="34" s="1" a="1"/>
  <c r="AH367" i="34" s="1"/>
  <c r="AE367" i="34"/>
  <c r="AF367" i="34" s="1"/>
  <c r="AG367" i="34" s="1"/>
  <c r="Z368" i="34"/>
  <c r="AA368" i="34" s="1"/>
  <c r="AB368" i="34"/>
  <c r="AC368" i="34" s="1"/>
  <c r="AD368" i="34"/>
  <c r="AH368" i="34" s="1" a="1"/>
  <c r="AH368" i="34" s="1"/>
  <c r="AE368" i="34"/>
  <c r="AF368" i="34" s="1"/>
  <c r="AG368" i="34" s="1"/>
  <c r="Z369" i="34"/>
  <c r="AA369" i="34" s="1"/>
  <c r="AB369" i="34"/>
  <c r="AC369" i="34" s="1"/>
  <c r="AD369" i="34"/>
  <c r="AH369" i="34" s="1" a="1"/>
  <c r="AH369" i="34" s="1"/>
  <c r="AE369" i="34"/>
  <c r="AJ369" i="34" s="1"/>
  <c r="Z370" i="34"/>
  <c r="AA370" i="34" s="1"/>
  <c r="AB370" i="34"/>
  <c r="AC370" i="34" s="1"/>
  <c r="AD370" i="34"/>
  <c r="AH370" i="34" s="1" a="1"/>
  <c r="AH370" i="34" s="1"/>
  <c r="AE370" i="34"/>
  <c r="AI370" i="34" s="1"/>
  <c r="Z371" i="34"/>
  <c r="AA371" i="34" s="1"/>
  <c r="AB371" i="34"/>
  <c r="AC371" i="34" s="1"/>
  <c r="AD371" i="34"/>
  <c r="AH371" i="34" s="1" a="1"/>
  <c r="AH371" i="34" s="1"/>
  <c r="AE371" i="34"/>
  <c r="AJ371" i="34" s="1"/>
  <c r="Z372" i="34"/>
  <c r="AA372" i="34" s="1"/>
  <c r="AB372" i="34"/>
  <c r="AC372" i="34" s="1"/>
  <c r="AD372" i="34"/>
  <c r="AH372" i="34" s="1" a="1"/>
  <c r="AH372" i="34" s="1"/>
  <c r="AE372" i="34"/>
  <c r="Z373" i="34"/>
  <c r="AA373" i="34" s="1"/>
  <c r="AB373" i="34"/>
  <c r="AC373" i="34" s="1"/>
  <c r="AD373" i="34"/>
  <c r="AH373" i="34" s="1" a="1"/>
  <c r="AH373" i="34" s="1"/>
  <c r="AE373" i="34"/>
  <c r="AJ373" i="34" s="1"/>
  <c r="Z374" i="34"/>
  <c r="AA374" i="34" s="1"/>
  <c r="AB374" i="34"/>
  <c r="AC374" i="34" s="1"/>
  <c r="AD374" i="34"/>
  <c r="AH374" i="34" s="1" a="1"/>
  <c r="AH374" i="34" s="1"/>
  <c r="AE374" i="34"/>
  <c r="AI374" i="34" s="1"/>
  <c r="Z375" i="34"/>
  <c r="AA375" i="34" s="1"/>
  <c r="AB375" i="34"/>
  <c r="AC375" i="34" s="1"/>
  <c r="AD375" i="34"/>
  <c r="AH375" i="34" s="1" a="1"/>
  <c r="AH375" i="34" s="1"/>
  <c r="AE375" i="34"/>
  <c r="AJ375" i="34" s="1"/>
  <c r="Z376" i="34"/>
  <c r="AA376" i="34" s="1"/>
  <c r="AB376" i="34"/>
  <c r="AC376" i="34" s="1"/>
  <c r="AD376" i="34"/>
  <c r="AH376" i="34" s="1" a="1"/>
  <c r="AH376" i="34" s="1"/>
  <c r="AE376" i="34"/>
  <c r="AF376" i="34" s="1"/>
  <c r="AG376" i="34" s="1"/>
  <c r="Z377" i="34"/>
  <c r="AA377" i="34" s="1"/>
  <c r="AB377" i="34"/>
  <c r="AC377" i="34" s="1"/>
  <c r="AD377" i="34"/>
  <c r="AH377" i="34" s="1" a="1"/>
  <c r="AH377" i="34" s="1"/>
  <c r="AE377" i="34"/>
  <c r="AJ377" i="34" s="1"/>
  <c r="Z378" i="34"/>
  <c r="AA378" i="34" s="1"/>
  <c r="AB378" i="34"/>
  <c r="AC378" i="34" s="1"/>
  <c r="AD378" i="34"/>
  <c r="AH378" i="34" s="1" a="1"/>
  <c r="AH378" i="34" s="1"/>
  <c r="AE378" i="34"/>
  <c r="AF378" i="34" s="1"/>
  <c r="AG378" i="34" s="1"/>
  <c r="Z379" i="34"/>
  <c r="AA379" i="34" s="1"/>
  <c r="AB379" i="34"/>
  <c r="AC379" i="34" s="1"/>
  <c r="AD379" i="34"/>
  <c r="AH379" i="34" s="1" a="1"/>
  <c r="AH379" i="34" s="1"/>
  <c r="AE379" i="34"/>
  <c r="AJ379" i="34" s="1"/>
  <c r="Z380" i="34"/>
  <c r="AA380" i="34" s="1"/>
  <c r="AB380" i="34"/>
  <c r="AC380" i="34" s="1"/>
  <c r="AD380" i="34"/>
  <c r="AH380" i="34" s="1" a="1"/>
  <c r="AH380" i="34" s="1"/>
  <c r="AE380" i="34"/>
  <c r="Z381" i="34"/>
  <c r="AA381" i="34" s="1"/>
  <c r="AB381" i="34"/>
  <c r="AC381" i="34" s="1"/>
  <c r="AD381" i="34"/>
  <c r="AH381" i="34" s="1" a="1"/>
  <c r="AH381" i="34" s="1"/>
  <c r="AE381" i="34"/>
  <c r="AJ381" i="34" s="1"/>
  <c r="Z382" i="34"/>
  <c r="AA382" i="34" s="1"/>
  <c r="AB382" i="34"/>
  <c r="AC382" i="34" s="1"/>
  <c r="AD382" i="34"/>
  <c r="AH382" i="34" s="1" a="1"/>
  <c r="AH382" i="34" s="1"/>
  <c r="AE382" i="34"/>
  <c r="AF382" i="34" s="1"/>
  <c r="AG382" i="34" s="1"/>
  <c r="Z383" i="34"/>
  <c r="AA383" i="34" s="1"/>
  <c r="AB383" i="34"/>
  <c r="AC383" i="34" s="1"/>
  <c r="AD383" i="34"/>
  <c r="AH383" i="34" s="1" a="1"/>
  <c r="AH383" i="34" s="1"/>
  <c r="AE383" i="34"/>
  <c r="Z384" i="34"/>
  <c r="AA384" i="34" s="1"/>
  <c r="AB384" i="34"/>
  <c r="AC384" i="34" s="1"/>
  <c r="AD384" i="34"/>
  <c r="AH384" i="34" s="1" a="1"/>
  <c r="AH384" i="34" s="1"/>
  <c r="AE384" i="34"/>
  <c r="AF384" i="34" s="1"/>
  <c r="AG384" i="34" s="1"/>
  <c r="Z385" i="34"/>
  <c r="AA385" i="34" s="1"/>
  <c r="AB385" i="34"/>
  <c r="AC385" i="34" s="1"/>
  <c r="AD385" i="34"/>
  <c r="AH385" i="34" s="1" a="1"/>
  <c r="AH385" i="34" s="1"/>
  <c r="AE385" i="34"/>
  <c r="AJ385" i="34" s="1"/>
  <c r="Z386" i="34"/>
  <c r="AA386" i="34" s="1"/>
  <c r="AB386" i="34"/>
  <c r="AC386" i="34" s="1"/>
  <c r="AD386" i="34"/>
  <c r="AH386" i="34" s="1" a="1"/>
  <c r="AH386" i="34" s="1"/>
  <c r="AE386" i="34"/>
  <c r="Z387" i="34"/>
  <c r="AA387" i="34" s="1"/>
  <c r="AB387" i="34"/>
  <c r="AC387" i="34" s="1"/>
  <c r="AD387" i="34"/>
  <c r="AH387" i="34" s="1" a="1"/>
  <c r="AH387" i="34" s="1"/>
  <c r="AE387" i="34"/>
  <c r="Z388" i="34"/>
  <c r="AA388" i="34" s="1"/>
  <c r="AB388" i="34"/>
  <c r="AC388" i="34" s="1"/>
  <c r="AD388" i="34"/>
  <c r="AH388" i="34" s="1" a="1"/>
  <c r="AH388" i="34" s="1"/>
  <c r="AE388" i="34"/>
  <c r="AI388" i="34" s="1"/>
  <c r="Z389" i="34"/>
  <c r="AA389" i="34" s="1"/>
  <c r="AB389" i="34"/>
  <c r="AC389" i="34" s="1"/>
  <c r="AD389" i="34"/>
  <c r="AH389" i="34" s="1" a="1"/>
  <c r="AH389" i="34" s="1"/>
  <c r="AE389" i="34"/>
  <c r="AI389" i="34" s="1"/>
  <c r="Z390" i="34"/>
  <c r="AA390" i="34" s="1"/>
  <c r="AB390" i="34"/>
  <c r="AC390" i="34" s="1"/>
  <c r="AD390" i="34"/>
  <c r="AH390" i="34" s="1" a="1"/>
  <c r="AH390" i="34" s="1"/>
  <c r="AE390" i="34"/>
  <c r="AJ390" i="34" s="1"/>
  <c r="Z391" i="34"/>
  <c r="AA391" i="34" s="1"/>
  <c r="AB391" i="34"/>
  <c r="AC391" i="34" s="1"/>
  <c r="AD391" i="34"/>
  <c r="AH391" i="34" s="1" a="1"/>
  <c r="AH391" i="34" s="1"/>
  <c r="AE391" i="34"/>
  <c r="AI391" i="34" s="1"/>
  <c r="Z392" i="34"/>
  <c r="AA392" i="34" s="1"/>
  <c r="AB392" i="34"/>
  <c r="AC392" i="34" s="1"/>
  <c r="AD392" i="34"/>
  <c r="AH392" i="34" s="1" a="1"/>
  <c r="AH392" i="34" s="1"/>
  <c r="AE392" i="34"/>
  <c r="AI392" i="34" s="1"/>
  <c r="Z393" i="34"/>
  <c r="AA393" i="34" s="1"/>
  <c r="AB393" i="34"/>
  <c r="AC393" i="34" s="1"/>
  <c r="AD393" i="34"/>
  <c r="AH393" i="34" s="1" a="1"/>
  <c r="AH393" i="34" s="1"/>
  <c r="AE393" i="34"/>
  <c r="AI393" i="34" s="1"/>
  <c r="Z394" i="34"/>
  <c r="AA394" i="34" s="1"/>
  <c r="AB394" i="34"/>
  <c r="AC394" i="34" s="1"/>
  <c r="AD394" i="34"/>
  <c r="AH394" i="34" s="1" a="1"/>
  <c r="AH394" i="34" s="1"/>
  <c r="AE394" i="34"/>
  <c r="AJ394" i="34" s="1"/>
  <c r="Z395" i="34"/>
  <c r="AA395" i="34" s="1"/>
  <c r="AB395" i="34"/>
  <c r="AC395" i="34" s="1"/>
  <c r="AD395" i="34"/>
  <c r="AH395" i="34" s="1" a="1"/>
  <c r="AH395" i="34" s="1"/>
  <c r="AE395" i="34"/>
  <c r="AI395" i="34" s="1"/>
  <c r="Z396" i="34"/>
  <c r="AA396" i="34" s="1"/>
  <c r="AB396" i="34"/>
  <c r="AC396" i="34" s="1"/>
  <c r="AD396" i="34"/>
  <c r="AH396" i="34" s="1" a="1"/>
  <c r="AH396" i="34" s="1"/>
  <c r="AE396" i="34"/>
  <c r="AJ396" i="34" s="1"/>
  <c r="Z397" i="34"/>
  <c r="AA397" i="34" s="1"/>
  <c r="AB397" i="34"/>
  <c r="AC397" i="34" s="1"/>
  <c r="AD397" i="34"/>
  <c r="AH397" i="34" s="1" a="1"/>
  <c r="AH397" i="34" s="1"/>
  <c r="AE397" i="34"/>
  <c r="AI397" i="34" s="1"/>
  <c r="Z398" i="34"/>
  <c r="AA398" i="34" s="1"/>
  <c r="AB398" i="34"/>
  <c r="AC398" i="34" s="1"/>
  <c r="AD398" i="34"/>
  <c r="AH398" i="34" s="1" a="1"/>
  <c r="AH398" i="34" s="1"/>
  <c r="AE398" i="34"/>
  <c r="AF398" i="34" s="1"/>
  <c r="AG398" i="34" s="1"/>
  <c r="Z399" i="34"/>
  <c r="AA399" i="34" s="1"/>
  <c r="AB399" i="34"/>
  <c r="AC399" i="34" s="1"/>
  <c r="AD399" i="34"/>
  <c r="AH399" i="34" s="1" a="1"/>
  <c r="AH399" i="34" s="1"/>
  <c r="AE399" i="34"/>
  <c r="AI399" i="34" s="1"/>
  <c r="Z400" i="34"/>
  <c r="AA400" i="34" s="1"/>
  <c r="AB400" i="34"/>
  <c r="AC400" i="34" s="1"/>
  <c r="AD400" i="34"/>
  <c r="AH400" i="34" s="1" a="1"/>
  <c r="AH400" i="34" s="1"/>
  <c r="AE400" i="34"/>
  <c r="AI400" i="34" s="1"/>
  <c r="Z401" i="34"/>
  <c r="AA401" i="34" s="1"/>
  <c r="AB401" i="34"/>
  <c r="AC401" i="34" s="1"/>
  <c r="AD401" i="34"/>
  <c r="AH401" i="34" s="1" a="1"/>
  <c r="AH401" i="34" s="1"/>
  <c r="AE401" i="34"/>
  <c r="AI401" i="34" s="1"/>
  <c r="Z402" i="34"/>
  <c r="AA402" i="34" s="1"/>
  <c r="AB402" i="34"/>
  <c r="AC402" i="34" s="1"/>
  <c r="AD402" i="34"/>
  <c r="AH402" i="34" s="1" a="1"/>
  <c r="AH402" i="34" s="1"/>
  <c r="AE402" i="34"/>
  <c r="AF402" i="34" s="1"/>
  <c r="AG402" i="34" s="1"/>
  <c r="Z403" i="34"/>
  <c r="AA403" i="34" s="1"/>
  <c r="AB403" i="34"/>
  <c r="AC403" i="34" s="1"/>
  <c r="AD403" i="34"/>
  <c r="AH403" i="34" s="1" a="1"/>
  <c r="AH403" i="34" s="1"/>
  <c r="AE403" i="34"/>
  <c r="AI403" i="34" s="1"/>
  <c r="Z404" i="34"/>
  <c r="AA404" i="34" s="1"/>
  <c r="AB404" i="34"/>
  <c r="AC404" i="34" s="1"/>
  <c r="AD404" i="34"/>
  <c r="AH404" i="34" s="1" a="1"/>
  <c r="AH404" i="34" s="1"/>
  <c r="AE404" i="34"/>
  <c r="AI404" i="34" s="1"/>
  <c r="Z405" i="34"/>
  <c r="AA405" i="34" s="1"/>
  <c r="AB405" i="34"/>
  <c r="AC405" i="34" s="1"/>
  <c r="AD405" i="34"/>
  <c r="AH405" i="34" s="1" a="1"/>
  <c r="AH405" i="34" s="1"/>
  <c r="AE405" i="34"/>
  <c r="AI405" i="34" s="1"/>
  <c r="Z406" i="34"/>
  <c r="AA406" i="34" s="1"/>
  <c r="AB406" i="34"/>
  <c r="AC406" i="34" s="1"/>
  <c r="AD406" i="34"/>
  <c r="AH406" i="34" s="1" a="1"/>
  <c r="AH406" i="34" s="1"/>
  <c r="AE406" i="34"/>
  <c r="AJ406" i="34" s="1"/>
  <c r="Z407" i="34"/>
  <c r="AA407" i="34" s="1"/>
  <c r="AB407" i="34"/>
  <c r="AC407" i="34" s="1"/>
  <c r="AD407" i="34"/>
  <c r="AH407" i="34" s="1" a="1"/>
  <c r="AH407" i="34" s="1"/>
  <c r="AE407" i="34"/>
  <c r="AI407" i="34" s="1"/>
  <c r="Z408" i="34"/>
  <c r="AA408" i="34" s="1"/>
  <c r="AB408" i="34"/>
  <c r="AC408" i="34" s="1"/>
  <c r="AD408" i="34"/>
  <c r="AH408" i="34" s="1" a="1"/>
  <c r="AH408" i="34" s="1"/>
  <c r="AE408" i="34"/>
  <c r="AF408" i="34" s="1"/>
  <c r="AG408" i="34" s="1"/>
  <c r="Z409" i="34"/>
  <c r="AA409" i="34" s="1"/>
  <c r="AB409" i="34"/>
  <c r="AC409" i="34" s="1"/>
  <c r="AD409" i="34"/>
  <c r="AH409" i="34" s="1" a="1"/>
  <c r="AH409" i="34" s="1"/>
  <c r="AE409" i="34"/>
  <c r="AI409" i="34" s="1"/>
  <c r="Z410" i="34"/>
  <c r="AA410" i="34" s="1"/>
  <c r="AB410" i="34"/>
  <c r="AC410" i="34" s="1"/>
  <c r="AD410" i="34"/>
  <c r="AH410" i="34" s="1" a="1"/>
  <c r="AH410" i="34" s="1"/>
  <c r="AE410" i="34"/>
  <c r="AF410" i="34" s="1"/>
  <c r="AG410" i="34" s="1"/>
  <c r="Z411" i="34"/>
  <c r="AA411" i="34" s="1"/>
  <c r="AB411" i="34"/>
  <c r="AC411" i="34" s="1"/>
  <c r="AD411" i="34"/>
  <c r="AH411" i="34" s="1" a="1"/>
  <c r="AH411" i="34" s="1"/>
  <c r="AE411" i="34"/>
  <c r="Z412" i="34"/>
  <c r="AA412" i="34" s="1"/>
  <c r="AB412" i="34"/>
  <c r="AC412" i="34" s="1"/>
  <c r="AD412" i="34"/>
  <c r="AH412" i="34" s="1" a="1"/>
  <c r="AH412" i="34" s="1"/>
  <c r="AE412" i="34"/>
  <c r="AF412" i="34" s="1"/>
  <c r="AG412" i="34" s="1"/>
  <c r="Z413" i="34"/>
  <c r="AA413" i="34" s="1"/>
  <c r="AB413" i="34"/>
  <c r="AC413" i="34" s="1"/>
  <c r="AD413" i="34"/>
  <c r="AH413" i="34" s="1" a="1"/>
  <c r="AH413" i="34" s="1"/>
  <c r="AE413" i="34"/>
  <c r="AI413" i="34" s="1"/>
  <c r="Z414" i="34"/>
  <c r="AA414" i="34" s="1"/>
  <c r="AB414" i="34"/>
  <c r="AC414" i="34" s="1"/>
  <c r="AD414" i="34"/>
  <c r="AH414" i="34" s="1" a="1"/>
  <c r="AH414" i="34" s="1"/>
  <c r="AE414" i="34"/>
  <c r="Z415" i="34"/>
  <c r="AA415" i="34" s="1"/>
  <c r="AB415" i="34"/>
  <c r="AC415" i="34" s="1"/>
  <c r="AD415" i="34"/>
  <c r="AH415" i="34" s="1" a="1"/>
  <c r="AH415" i="34" s="1"/>
  <c r="AE415" i="34"/>
  <c r="AI415" i="34" s="1"/>
  <c r="Z416" i="34"/>
  <c r="AA416" i="34" s="1"/>
  <c r="AB416" i="34"/>
  <c r="AC416" i="34" s="1"/>
  <c r="AD416" i="34"/>
  <c r="AH416" i="34" s="1" a="1"/>
  <c r="AH416" i="34" s="1"/>
  <c r="AE416" i="34"/>
  <c r="AF416" i="34" s="1"/>
  <c r="AG416" i="34" s="1"/>
  <c r="Z417" i="34"/>
  <c r="AA417" i="34" s="1"/>
  <c r="AB417" i="34"/>
  <c r="AC417" i="34" s="1"/>
  <c r="AD417" i="34"/>
  <c r="AH417" i="34" s="1" a="1"/>
  <c r="AH417" i="34" s="1"/>
  <c r="AE417" i="34"/>
  <c r="AF417" i="34" s="1"/>
  <c r="AG417" i="34" s="1"/>
  <c r="Z418" i="34"/>
  <c r="AA418" i="34" s="1"/>
  <c r="AB418" i="34"/>
  <c r="AC418" i="34" s="1"/>
  <c r="AD418" i="34"/>
  <c r="AH418" i="34" s="1" a="1"/>
  <c r="AH418" i="34" s="1"/>
  <c r="AE418" i="34"/>
  <c r="AF418" i="34" s="1"/>
  <c r="AG418" i="34" s="1"/>
  <c r="Z419" i="34"/>
  <c r="AA419" i="34" s="1"/>
  <c r="AB419" i="34"/>
  <c r="AC419" i="34" s="1"/>
  <c r="AD419" i="34"/>
  <c r="AH419" i="34" s="1" a="1"/>
  <c r="AH419" i="34" s="1"/>
  <c r="AE419" i="34"/>
  <c r="AF419" i="34" s="1"/>
  <c r="AG419" i="34" s="1"/>
  <c r="Z420" i="34"/>
  <c r="AA420" i="34" s="1"/>
  <c r="AB420" i="34"/>
  <c r="AC420" i="34" s="1"/>
  <c r="AD420" i="34"/>
  <c r="AH420" i="34" s="1" a="1"/>
  <c r="AH420" i="34" s="1"/>
  <c r="AE420" i="34"/>
  <c r="AF420" i="34" s="1"/>
  <c r="AG420" i="34" s="1"/>
  <c r="Z421" i="34"/>
  <c r="AA421" i="34" s="1"/>
  <c r="AB421" i="34"/>
  <c r="AC421" i="34" s="1"/>
  <c r="AD421" i="34"/>
  <c r="AH421" i="34" s="1" a="1"/>
  <c r="AH421" i="34" s="1"/>
  <c r="AE421" i="34"/>
  <c r="AF421" i="34" s="1"/>
  <c r="AG421" i="34" s="1"/>
  <c r="Z422" i="34"/>
  <c r="AA422" i="34" s="1"/>
  <c r="AB422" i="34"/>
  <c r="AC422" i="34" s="1"/>
  <c r="AD422" i="34"/>
  <c r="AH422" i="34" s="1" a="1"/>
  <c r="AH422" i="34" s="1"/>
  <c r="AE422" i="34"/>
  <c r="Z423" i="34"/>
  <c r="AA423" i="34" s="1"/>
  <c r="AB423" i="34"/>
  <c r="AC423" i="34" s="1"/>
  <c r="AD423" i="34"/>
  <c r="AH423" i="34" s="1" a="1"/>
  <c r="AH423" i="34" s="1"/>
  <c r="AE423" i="34"/>
  <c r="AF423" i="34" s="1"/>
  <c r="AG423" i="34" s="1"/>
  <c r="Z424" i="34"/>
  <c r="AA424" i="34" s="1"/>
  <c r="AB424" i="34"/>
  <c r="AC424" i="34" s="1"/>
  <c r="AD424" i="34"/>
  <c r="AH424" i="34" s="1" a="1"/>
  <c r="AH424" i="34" s="1"/>
  <c r="AE424" i="34"/>
  <c r="AF424" i="34" s="1"/>
  <c r="AG424" i="34" s="1"/>
  <c r="Z425" i="34"/>
  <c r="AA425" i="34" s="1"/>
  <c r="AB425" i="34"/>
  <c r="AC425" i="34" s="1"/>
  <c r="AD425" i="34"/>
  <c r="AH425" i="34" s="1" a="1"/>
  <c r="AH425" i="34" s="1"/>
  <c r="AE425" i="34"/>
  <c r="AF425" i="34" s="1"/>
  <c r="AG425" i="34" s="1"/>
  <c r="Z426" i="34"/>
  <c r="AA426" i="34" s="1"/>
  <c r="AB426" i="34"/>
  <c r="AC426" i="34" s="1"/>
  <c r="AD426" i="34"/>
  <c r="AH426" i="34" s="1" a="1"/>
  <c r="AH426" i="34" s="1"/>
  <c r="AE426" i="34"/>
  <c r="AF426" i="34" s="1"/>
  <c r="AG426" i="34" s="1"/>
  <c r="Z427" i="34"/>
  <c r="AA427" i="34" s="1"/>
  <c r="AB427" i="34"/>
  <c r="AC427" i="34" s="1"/>
  <c r="AD427" i="34"/>
  <c r="AH427" i="34" s="1" a="1"/>
  <c r="AH427" i="34" s="1"/>
  <c r="AE427" i="34"/>
  <c r="AF427" i="34" s="1"/>
  <c r="AG427" i="34" s="1"/>
  <c r="Z428" i="34"/>
  <c r="AA428" i="34" s="1"/>
  <c r="AB428" i="34"/>
  <c r="AC428" i="34" s="1"/>
  <c r="AD428" i="34"/>
  <c r="AH428" i="34" s="1" a="1"/>
  <c r="AH428" i="34" s="1"/>
  <c r="AE428" i="34"/>
  <c r="AF428" i="34" s="1"/>
  <c r="AG428" i="34" s="1"/>
  <c r="Z429" i="34"/>
  <c r="AA429" i="34" s="1"/>
  <c r="AB429" i="34"/>
  <c r="AC429" i="34" s="1"/>
  <c r="AD429" i="34"/>
  <c r="AH429" i="34" s="1" a="1"/>
  <c r="AH429" i="34" s="1"/>
  <c r="AE429" i="34"/>
  <c r="AF429" i="34" s="1"/>
  <c r="AG429" i="34" s="1"/>
  <c r="Z430" i="34"/>
  <c r="AA430" i="34" s="1"/>
  <c r="AB430" i="34"/>
  <c r="AC430" i="34" s="1"/>
  <c r="AD430" i="34"/>
  <c r="AH430" i="34" s="1" a="1"/>
  <c r="AH430" i="34" s="1"/>
  <c r="AE430" i="34"/>
  <c r="Z431" i="34"/>
  <c r="AA431" i="34" s="1"/>
  <c r="AB431" i="34"/>
  <c r="AC431" i="34" s="1"/>
  <c r="AD431" i="34"/>
  <c r="AH431" i="34" s="1" a="1"/>
  <c r="AH431" i="34" s="1"/>
  <c r="AE431" i="34"/>
  <c r="AF431" i="34" s="1"/>
  <c r="AG431" i="34" s="1"/>
  <c r="Z432" i="34"/>
  <c r="AA432" i="34" s="1"/>
  <c r="AB432" i="34"/>
  <c r="AC432" i="34" s="1"/>
  <c r="AD432" i="34"/>
  <c r="AH432" i="34" s="1" a="1"/>
  <c r="AH432" i="34" s="1"/>
  <c r="AE432" i="34"/>
  <c r="AF432" i="34" s="1"/>
  <c r="AG432" i="34" s="1"/>
  <c r="Z433" i="34"/>
  <c r="AA433" i="34" s="1"/>
  <c r="AB433" i="34"/>
  <c r="AC433" i="34" s="1"/>
  <c r="AD433" i="34"/>
  <c r="AH433" i="34" s="1" a="1"/>
  <c r="AH433" i="34" s="1"/>
  <c r="AE433" i="34"/>
  <c r="AF433" i="34" s="1"/>
  <c r="AG433" i="34" s="1"/>
  <c r="Z434" i="34"/>
  <c r="AA434" i="34" s="1"/>
  <c r="AB434" i="34"/>
  <c r="AC434" i="34" s="1"/>
  <c r="AD434" i="34"/>
  <c r="AH434" i="34" s="1" a="1"/>
  <c r="AH434" i="34" s="1"/>
  <c r="AE434" i="34"/>
  <c r="AF434" i="34" s="1"/>
  <c r="AG434" i="34" s="1"/>
  <c r="Z435" i="34"/>
  <c r="AA435" i="34" s="1"/>
  <c r="AB435" i="34"/>
  <c r="AC435" i="34" s="1"/>
  <c r="AD435" i="34"/>
  <c r="AH435" i="34" s="1" a="1"/>
  <c r="AH435" i="34" s="1"/>
  <c r="AE435" i="34"/>
  <c r="AF435" i="34" s="1"/>
  <c r="AG435" i="34" s="1"/>
  <c r="Z436" i="34"/>
  <c r="AA436" i="34" s="1"/>
  <c r="AB436" i="34"/>
  <c r="AC436" i="34" s="1"/>
  <c r="AD436" i="34"/>
  <c r="AH436" i="34" s="1" a="1"/>
  <c r="AH436" i="34" s="1"/>
  <c r="AE436" i="34"/>
  <c r="AF436" i="34" s="1"/>
  <c r="AG436" i="34" s="1"/>
  <c r="Z437" i="34"/>
  <c r="AA437" i="34" s="1"/>
  <c r="AB437" i="34"/>
  <c r="AC437" i="34" s="1"/>
  <c r="AD437" i="34"/>
  <c r="AH437" i="34" s="1" a="1"/>
  <c r="AH437" i="34" s="1"/>
  <c r="AE437" i="34"/>
  <c r="AF437" i="34" s="1"/>
  <c r="AG437" i="34" s="1"/>
  <c r="Z438" i="34"/>
  <c r="AA438" i="34" s="1"/>
  <c r="AB438" i="34"/>
  <c r="AC438" i="34" s="1"/>
  <c r="AD438" i="34"/>
  <c r="AH438" i="34" s="1" a="1"/>
  <c r="AH438" i="34" s="1"/>
  <c r="AE438" i="34"/>
  <c r="Z439" i="34"/>
  <c r="AA439" i="34" s="1"/>
  <c r="AB439" i="34"/>
  <c r="AC439" i="34" s="1"/>
  <c r="AD439" i="34"/>
  <c r="AH439" i="34" s="1" a="1"/>
  <c r="AH439" i="34" s="1"/>
  <c r="AE439" i="34"/>
  <c r="AF439" i="34" s="1"/>
  <c r="AG439" i="34" s="1"/>
  <c r="Z440" i="34"/>
  <c r="AA440" i="34" s="1"/>
  <c r="AB440" i="34"/>
  <c r="AC440" i="34" s="1"/>
  <c r="AD440" i="34"/>
  <c r="AH440" i="34" s="1" a="1"/>
  <c r="AH440" i="34" s="1"/>
  <c r="AE440" i="34"/>
  <c r="AF440" i="34" s="1"/>
  <c r="AG440" i="34" s="1"/>
  <c r="Z441" i="34"/>
  <c r="AA441" i="34" s="1"/>
  <c r="AB441" i="34"/>
  <c r="AC441" i="34" s="1"/>
  <c r="AD441" i="34"/>
  <c r="AH441" i="34" s="1" a="1"/>
  <c r="AH441" i="34" s="1"/>
  <c r="AE441" i="34"/>
  <c r="AF441" i="34" s="1"/>
  <c r="AG441" i="34" s="1"/>
  <c r="Z442" i="34"/>
  <c r="AA442" i="34" s="1"/>
  <c r="AB442" i="34"/>
  <c r="AC442" i="34" s="1"/>
  <c r="AD442" i="34"/>
  <c r="AH442" i="34" s="1" a="1"/>
  <c r="AH442" i="34" s="1"/>
  <c r="AE442" i="34"/>
  <c r="AF442" i="34" s="1"/>
  <c r="AG442" i="34" s="1"/>
  <c r="Z443" i="34"/>
  <c r="AA443" i="34" s="1"/>
  <c r="AB443" i="34"/>
  <c r="AC443" i="34" s="1"/>
  <c r="AD443" i="34"/>
  <c r="AH443" i="34" s="1" a="1"/>
  <c r="AH443" i="34" s="1"/>
  <c r="AE443" i="34"/>
  <c r="AF443" i="34" s="1"/>
  <c r="AG443" i="34" s="1"/>
  <c r="Z444" i="34"/>
  <c r="AA444" i="34" s="1"/>
  <c r="AB444" i="34"/>
  <c r="AC444" i="34" s="1"/>
  <c r="AD444" i="34"/>
  <c r="AH444" i="34" s="1" a="1"/>
  <c r="AH444" i="34" s="1"/>
  <c r="AE444" i="34"/>
  <c r="AF444" i="34" s="1"/>
  <c r="AG444" i="34" s="1"/>
  <c r="Z445" i="34"/>
  <c r="AA445" i="34" s="1"/>
  <c r="AB445" i="34"/>
  <c r="AC445" i="34" s="1"/>
  <c r="AD445" i="34"/>
  <c r="AH445" i="34" s="1" a="1"/>
  <c r="AH445" i="34" s="1"/>
  <c r="AE445" i="34"/>
  <c r="AF445" i="34" s="1"/>
  <c r="AG445" i="34" s="1"/>
  <c r="Z446" i="34"/>
  <c r="AA446" i="34" s="1"/>
  <c r="AB446" i="34"/>
  <c r="AC446" i="34" s="1"/>
  <c r="AD446" i="34"/>
  <c r="AH446" i="34" s="1" a="1"/>
  <c r="AH446" i="34" s="1"/>
  <c r="AE446" i="34"/>
  <c r="AI446" i="34" s="1"/>
  <c r="Z447" i="34"/>
  <c r="AA447" i="34" s="1"/>
  <c r="AB447" i="34"/>
  <c r="AC447" i="34" s="1"/>
  <c r="AD447" i="34"/>
  <c r="AH447" i="34" s="1" a="1"/>
  <c r="AH447" i="34" s="1"/>
  <c r="AE447" i="34"/>
  <c r="AF447" i="34" s="1"/>
  <c r="AG447" i="34" s="1"/>
  <c r="Z448" i="34"/>
  <c r="AA448" i="34" s="1"/>
  <c r="AB448" i="34"/>
  <c r="AC448" i="34" s="1"/>
  <c r="AD448" i="34"/>
  <c r="AH448" i="34" s="1" a="1"/>
  <c r="AH448" i="34" s="1"/>
  <c r="AE448" i="34"/>
  <c r="AI448" i="34" s="1"/>
  <c r="Z449" i="34"/>
  <c r="AA449" i="34" s="1"/>
  <c r="AB449" i="34"/>
  <c r="AC449" i="34" s="1"/>
  <c r="AD449" i="34"/>
  <c r="AH449" i="34" s="1" a="1"/>
  <c r="AH449" i="34" s="1"/>
  <c r="AE449" i="34"/>
  <c r="AF449" i="34" s="1"/>
  <c r="AG449" i="34" s="1"/>
  <c r="Z450" i="34"/>
  <c r="AA450" i="34" s="1"/>
  <c r="AB450" i="34"/>
  <c r="AC450" i="34" s="1"/>
  <c r="AD450" i="34"/>
  <c r="AH450" i="34" s="1" a="1"/>
  <c r="AH450" i="34" s="1"/>
  <c r="AE450" i="34"/>
  <c r="AI450" i="34" s="1"/>
  <c r="Z451" i="34"/>
  <c r="AA451" i="34" s="1"/>
  <c r="AB451" i="34"/>
  <c r="AC451" i="34" s="1"/>
  <c r="AD451" i="34"/>
  <c r="AH451" i="34" s="1" a="1"/>
  <c r="AH451" i="34" s="1"/>
  <c r="AE451" i="34"/>
  <c r="AF451" i="34" s="1"/>
  <c r="AG451" i="34" s="1"/>
  <c r="Z452" i="34"/>
  <c r="AA452" i="34" s="1"/>
  <c r="AB452" i="34"/>
  <c r="AC452" i="34" s="1"/>
  <c r="AD452" i="34"/>
  <c r="AH452" i="34" s="1" a="1"/>
  <c r="AH452" i="34" s="1"/>
  <c r="AE452" i="34"/>
  <c r="AI452" i="34" s="1"/>
  <c r="Z453" i="34"/>
  <c r="AA453" i="34" s="1"/>
  <c r="AB453" i="34"/>
  <c r="AC453" i="34" s="1"/>
  <c r="AD453" i="34"/>
  <c r="AH453" i="34" s="1" a="1"/>
  <c r="AH453" i="34" s="1"/>
  <c r="AE453" i="34"/>
  <c r="AF453" i="34" s="1"/>
  <c r="AG453" i="34" s="1"/>
  <c r="Z454" i="34"/>
  <c r="AA454" i="34" s="1"/>
  <c r="AB454" i="34"/>
  <c r="AC454" i="34" s="1"/>
  <c r="AD454" i="34"/>
  <c r="AH454" i="34" s="1" a="1"/>
  <c r="AH454" i="34" s="1"/>
  <c r="AE454" i="34"/>
  <c r="AI454" i="34" s="1"/>
  <c r="Z455" i="34"/>
  <c r="AA455" i="34" s="1"/>
  <c r="AB455" i="34"/>
  <c r="AC455" i="34" s="1"/>
  <c r="AD455" i="34"/>
  <c r="AH455" i="34" s="1" a="1"/>
  <c r="AH455" i="34" s="1"/>
  <c r="AE455" i="34"/>
  <c r="AF455" i="34" s="1"/>
  <c r="AG455" i="34" s="1"/>
  <c r="Z456" i="34"/>
  <c r="AA456" i="34" s="1"/>
  <c r="AB456" i="34"/>
  <c r="AC456" i="34" s="1"/>
  <c r="AD456" i="34"/>
  <c r="AH456" i="34" s="1" a="1"/>
  <c r="AH456" i="34" s="1"/>
  <c r="AE456" i="34"/>
  <c r="AF456" i="34" s="1"/>
  <c r="AG456" i="34" s="1"/>
  <c r="Z457" i="34"/>
  <c r="AA457" i="34" s="1"/>
  <c r="AB457" i="34"/>
  <c r="AC457" i="34" s="1"/>
  <c r="AD457" i="34"/>
  <c r="AH457" i="34" s="1" a="1"/>
  <c r="AH457" i="34" s="1"/>
  <c r="AE457" i="34"/>
  <c r="AF457" i="34" s="1"/>
  <c r="AG457" i="34" s="1"/>
  <c r="Z458" i="34"/>
  <c r="AA458" i="34" s="1"/>
  <c r="AB458" i="34"/>
  <c r="AC458" i="34" s="1"/>
  <c r="AD458" i="34"/>
  <c r="AH458" i="34" s="1" a="1"/>
  <c r="AH458" i="34" s="1"/>
  <c r="AE458" i="34"/>
  <c r="AF458" i="34" s="1"/>
  <c r="AG458" i="34" s="1"/>
  <c r="Z459" i="34"/>
  <c r="AA459" i="34" s="1"/>
  <c r="AB459" i="34"/>
  <c r="AC459" i="34" s="1"/>
  <c r="AD459" i="34"/>
  <c r="AH459" i="34" s="1" a="1"/>
  <c r="AH459" i="34" s="1"/>
  <c r="AE459" i="34"/>
  <c r="AF459" i="34" s="1"/>
  <c r="AG459" i="34" s="1"/>
  <c r="Z460" i="34"/>
  <c r="AA460" i="34" s="1"/>
  <c r="AB460" i="34"/>
  <c r="AC460" i="34" s="1"/>
  <c r="AD460" i="34"/>
  <c r="AH460" i="34" s="1" a="1"/>
  <c r="AH460" i="34" s="1"/>
  <c r="AE460" i="34"/>
  <c r="AF460" i="34" s="1"/>
  <c r="AG460" i="34" s="1"/>
  <c r="Z461" i="34"/>
  <c r="AA461" i="34" s="1"/>
  <c r="AB461" i="34"/>
  <c r="AC461" i="34" s="1"/>
  <c r="AD461" i="34"/>
  <c r="AH461" i="34" s="1" a="1"/>
  <c r="AH461" i="34" s="1"/>
  <c r="AE461" i="34"/>
  <c r="AF461" i="34" s="1"/>
  <c r="AG461" i="34" s="1"/>
  <c r="Z462" i="34"/>
  <c r="AA462" i="34" s="1"/>
  <c r="AB462" i="34"/>
  <c r="AC462" i="34" s="1"/>
  <c r="AD462" i="34"/>
  <c r="AH462" i="34" s="1" a="1"/>
  <c r="AH462" i="34" s="1"/>
  <c r="AE462" i="34"/>
  <c r="AF462" i="34" s="1"/>
  <c r="AG462" i="34" s="1"/>
  <c r="Z463" i="34"/>
  <c r="AA463" i="34" s="1"/>
  <c r="AB463" i="34"/>
  <c r="AC463" i="34" s="1"/>
  <c r="AD463" i="34"/>
  <c r="AH463" i="34" s="1" a="1"/>
  <c r="AH463" i="34" s="1"/>
  <c r="AE463" i="34"/>
  <c r="Z464" i="34"/>
  <c r="AA464" i="34" s="1"/>
  <c r="AB464" i="34"/>
  <c r="AC464" i="34" s="1"/>
  <c r="AD464" i="34"/>
  <c r="AH464" i="34" s="1" a="1"/>
  <c r="AH464" i="34" s="1"/>
  <c r="AE464" i="34"/>
  <c r="AF464" i="34" s="1"/>
  <c r="AG464" i="34" s="1"/>
  <c r="Z465" i="34"/>
  <c r="AA465" i="34" s="1"/>
  <c r="AB465" i="34"/>
  <c r="AC465" i="34" s="1"/>
  <c r="AD465" i="34"/>
  <c r="AH465" i="34" s="1" a="1"/>
  <c r="AH465" i="34" s="1"/>
  <c r="AE465" i="34"/>
  <c r="AF465" i="34" s="1"/>
  <c r="AG465" i="34" s="1"/>
  <c r="Z466" i="34"/>
  <c r="AA466" i="34" s="1"/>
  <c r="AB466" i="34"/>
  <c r="AC466" i="34" s="1"/>
  <c r="AD466" i="34"/>
  <c r="AH466" i="34" s="1" a="1"/>
  <c r="AH466" i="34" s="1"/>
  <c r="AE466" i="34"/>
  <c r="AF466" i="34" s="1"/>
  <c r="AG466" i="34" s="1"/>
  <c r="Z467" i="34"/>
  <c r="AA467" i="34" s="1"/>
  <c r="AB467" i="34"/>
  <c r="AC467" i="34" s="1"/>
  <c r="AD467" i="34"/>
  <c r="AH467" i="34" s="1" a="1"/>
  <c r="AH467" i="34" s="1"/>
  <c r="AE467" i="34"/>
  <c r="AF467" i="34" s="1"/>
  <c r="AG467" i="34" s="1"/>
  <c r="Z468" i="34"/>
  <c r="AA468" i="34" s="1"/>
  <c r="AB468" i="34"/>
  <c r="AC468" i="34" s="1"/>
  <c r="AD468" i="34"/>
  <c r="AH468" i="34" s="1" a="1"/>
  <c r="AH468" i="34" s="1"/>
  <c r="AE468" i="34"/>
  <c r="Z469" i="34"/>
  <c r="AA469" i="34" s="1"/>
  <c r="AB469" i="34"/>
  <c r="AC469" i="34" s="1"/>
  <c r="AD469" i="34"/>
  <c r="AH469" i="34" s="1" a="1"/>
  <c r="AH469" i="34" s="1"/>
  <c r="AE469" i="34"/>
  <c r="AF469" i="34" s="1"/>
  <c r="AG469" i="34" s="1"/>
  <c r="Z470" i="34"/>
  <c r="AA470" i="34" s="1"/>
  <c r="AB470" i="34"/>
  <c r="AC470" i="34" s="1"/>
  <c r="AD470" i="34"/>
  <c r="AH470" i="34" s="1" a="1"/>
  <c r="AH470" i="34" s="1"/>
  <c r="AE470" i="34"/>
  <c r="AF470" i="34" s="1"/>
  <c r="AG470" i="34" s="1"/>
  <c r="Z471" i="34"/>
  <c r="AA471" i="34" s="1"/>
  <c r="AB471" i="34"/>
  <c r="AC471" i="34" s="1"/>
  <c r="AD471" i="34"/>
  <c r="AH471" i="34" s="1" a="1"/>
  <c r="AH471" i="34" s="1"/>
  <c r="AE471" i="34"/>
  <c r="Z472" i="34"/>
  <c r="AA472" i="34" s="1"/>
  <c r="AB472" i="34"/>
  <c r="AC472" i="34" s="1"/>
  <c r="AD472" i="34"/>
  <c r="AH472" i="34" s="1" a="1"/>
  <c r="AH472" i="34" s="1"/>
  <c r="AE472" i="34"/>
  <c r="AF472" i="34" s="1"/>
  <c r="AG472" i="34" s="1"/>
  <c r="Z473" i="34"/>
  <c r="AA473" i="34" s="1"/>
  <c r="AB473" i="34"/>
  <c r="AC473" i="34" s="1"/>
  <c r="AD473" i="34"/>
  <c r="AH473" i="34" s="1" a="1"/>
  <c r="AH473" i="34" s="1"/>
  <c r="AE473" i="34"/>
  <c r="AF473" i="34" s="1"/>
  <c r="AG473" i="34" s="1"/>
  <c r="Z474" i="34"/>
  <c r="AA474" i="34" s="1"/>
  <c r="AB474" i="34"/>
  <c r="AC474" i="34" s="1"/>
  <c r="AD474" i="34"/>
  <c r="AH474" i="34" s="1" a="1"/>
  <c r="AH474" i="34" s="1"/>
  <c r="AE474" i="34"/>
  <c r="Z475" i="34"/>
  <c r="AA475" i="34" s="1"/>
  <c r="AB475" i="34"/>
  <c r="AC475" i="34" s="1"/>
  <c r="AD475" i="34"/>
  <c r="AH475" i="34" s="1" a="1"/>
  <c r="AH475" i="34" s="1"/>
  <c r="AE475" i="34"/>
  <c r="AF475" i="34" s="1"/>
  <c r="AG475" i="34" s="1"/>
  <c r="Z476" i="34"/>
  <c r="AA476" i="34" s="1"/>
  <c r="AB476" i="34"/>
  <c r="AC476" i="34" s="1"/>
  <c r="AD476" i="34"/>
  <c r="AH476" i="34" s="1" a="1"/>
  <c r="AH476" i="34" s="1"/>
  <c r="AE476" i="34"/>
  <c r="AF476" i="34" s="1"/>
  <c r="AG476" i="34" s="1"/>
  <c r="Z477" i="34"/>
  <c r="AA477" i="34" s="1"/>
  <c r="AB477" i="34"/>
  <c r="AC477" i="34" s="1"/>
  <c r="AD477" i="34"/>
  <c r="AH477" i="34" s="1" a="1"/>
  <c r="AH477" i="34" s="1"/>
  <c r="AE477" i="34"/>
  <c r="AF477" i="34" s="1"/>
  <c r="AG477" i="34" s="1"/>
  <c r="Z478" i="34"/>
  <c r="AA478" i="34" s="1"/>
  <c r="AB478" i="34"/>
  <c r="AC478" i="34" s="1"/>
  <c r="AD478" i="34"/>
  <c r="AH478" i="34" s="1" a="1"/>
  <c r="AH478" i="34" s="1"/>
  <c r="AE478" i="34"/>
  <c r="AF478" i="34" s="1"/>
  <c r="AG478" i="34" s="1"/>
  <c r="Z479" i="34"/>
  <c r="AA479" i="34" s="1"/>
  <c r="AB479" i="34"/>
  <c r="AC479" i="34" s="1"/>
  <c r="AD479" i="34"/>
  <c r="AH479" i="34" s="1" a="1"/>
  <c r="AH479" i="34" s="1"/>
  <c r="AE479" i="34"/>
  <c r="Z480" i="34"/>
  <c r="AA480" i="34" s="1"/>
  <c r="AB480" i="34"/>
  <c r="AC480" i="34" s="1"/>
  <c r="AD480" i="34"/>
  <c r="AH480" i="34" s="1" a="1"/>
  <c r="AH480" i="34" s="1"/>
  <c r="AE480" i="34"/>
  <c r="AF480" i="34" s="1"/>
  <c r="AG480" i="34" s="1"/>
  <c r="Z481" i="34"/>
  <c r="AA481" i="34" s="1"/>
  <c r="AB481" i="34"/>
  <c r="AC481" i="34" s="1"/>
  <c r="AD481" i="34"/>
  <c r="AH481" i="34" s="1" a="1"/>
  <c r="AH481" i="34" s="1"/>
  <c r="AE481" i="34"/>
  <c r="AF481" i="34" s="1"/>
  <c r="AG481" i="34" s="1"/>
  <c r="Z482" i="34"/>
  <c r="AA482" i="34" s="1"/>
  <c r="AB482" i="34"/>
  <c r="AC482" i="34" s="1"/>
  <c r="AD482" i="34"/>
  <c r="AH482" i="34" s="1" a="1"/>
  <c r="AH482" i="34" s="1"/>
  <c r="AE482" i="34"/>
  <c r="AF482" i="34" s="1"/>
  <c r="AG482" i="34" s="1"/>
  <c r="Z483" i="34"/>
  <c r="AA483" i="34" s="1"/>
  <c r="AB483" i="34"/>
  <c r="AC483" i="34" s="1"/>
  <c r="AD483" i="34"/>
  <c r="AH483" i="34" s="1" a="1"/>
  <c r="AH483" i="34" s="1"/>
  <c r="AE483" i="34"/>
  <c r="AF483" i="34" s="1"/>
  <c r="AG483" i="34" s="1"/>
  <c r="Z484" i="34"/>
  <c r="AA484" i="34" s="1"/>
  <c r="AB484" i="34"/>
  <c r="AC484" i="34" s="1"/>
  <c r="AD484" i="34"/>
  <c r="AH484" i="34" s="1" a="1"/>
  <c r="AH484" i="34" s="1"/>
  <c r="AE484" i="34"/>
  <c r="AF484" i="34" s="1"/>
  <c r="AG484" i="34" s="1"/>
  <c r="Z485" i="34"/>
  <c r="AA485" i="34" s="1"/>
  <c r="AB485" i="34"/>
  <c r="AC485" i="34" s="1"/>
  <c r="AD485" i="34"/>
  <c r="AH485" i="34" s="1" a="1"/>
  <c r="AH485" i="34" s="1"/>
  <c r="AE485" i="34"/>
  <c r="AF485" i="34" s="1"/>
  <c r="AG485" i="34" s="1"/>
  <c r="Z486" i="34"/>
  <c r="AA486" i="34" s="1"/>
  <c r="AB486" i="34"/>
  <c r="AC486" i="34" s="1"/>
  <c r="AD486" i="34"/>
  <c r="AH486" i="34" s="1" a="1"/>
  <c r="AH486" i="34" s="1"/>
  <c r="AE486" i="34"/>
  <c r="AF486" i="34" s="1"/>
  <c r="AG486" i="34" s="1"/>
  <c r="Z487" i="34"/>
  <c r="AA487" i="34" s="1"/>
  <c r="AB487" i="34"/>
  <c r="AC487" i="34" s="1"/>
  <c r="AD487" i="34"/>
  <c r="AH487" i="34" s="1" a="1"/>
  <c r="AH487" i="34" s="1"/>
  <c r="AE487" i="34"/>
  <c r="Z488" i="34"/>
  <c r="AA488" i="34" s="1"/>
  <c r="AB488" i="34"/>
  <c r="AC488" i="34" s="1"/>
  <c r="AD488" i="34"/>
  <c r="AH488" i="34" s="1" a="1"/>
  <c r="AH488" i="34" s="1"/>
  <c r="AE488" i="34"/>
  <c r="AF488" i="34" s="1"/>
  <c r="AG488" i="34" s="1"/>
  <c r="Z489" i="34"/>
  <c r="AA489" i="34" s="1"/>
  <c r="AB489" i="34"/>
  <c r="AC489" i="34" s="1"/>
  <c r="AD489" i="34"/>
  <c r="AH489" i="34" s="1" a="1"/>
  <c r="AH489" i="34" s="1"/>
  <c r="AE489" i="34"/>
  <c r="AF489" i="34" s="1"/>
  <c r="AG489" i="34" s="1"/>
  <c r="Z490" i="34"/>
  <c r="AA490" i="34" s="1"/>
  <c r="AB490" i="34"/>
  <c r="AC490" i="34" s="1"/>
  <c r="AD490" i="34"/>
  <c r="AH490" i="34" s="1" a="1"/>
  <c r="AH490" i="34" s="1"/>
  <c r="AE490" i="34"/>
  <c r="AF490" i="34" s="1"/>
  <c r="AG490" i="34" s="1"/>
  <c r="Z491" i="34"/>
  <c r="AA491" i="34" s="1"/>
  <c r="AB491" i="34"/>
  <c r="AC491" i="34" s="1"/>
  <c r="AD491" i="34"/>
  <c r="AH491" i="34" s="1" a="1"/>
  <c r="AH491" i="34" s="1"/>
  <c r="AE491" i="34"/>
  <c r="AF491" i="34" s="1"/>
  <c r="AG491" i="34" s="1"/>
  <c r="Z492" i="34"/>
  <c r="AA492" i="34" s="1"/>
  <c r="AB492" i="34"/>
  <c r="AC492" i="34" s="1"/>
  <c r="AD492" i="34"/>
  <c r="AH492" i="34" s="1" a="1"/>
  <c r="AH492" i="34" s="1"/>
  <c r="AE492" i="34"/>
  <c r="AF492" i="34" s="1"/>
  <c r="AG492" i="34" s="1"/>
  <c r="Z493" i="34"/>
  <c r="AA493" i="34" s="1"/>
  <c r="AB493" i="34"/>
  <c r="AC493" i="34" s="1"/>
  <c r="AD493" i="34"/>
  <c r="AH493" i="34" s="1" a="1"/>
  <c r="AH493" i="34" s="1"/>
  <c r="AE493" i="34"/>
  <c r="AF493" i="34" s="1"/>
  <c r="AG493" i="34" s="1"/>
  <c r="Z494" i="34"/>
  <c r="AA494" i="34" s="1"/>
  <c r="AB494" i="34"/>
  <c r="AC494" i="34" s="1"/>
  <c r="AD494" i="34"/>
  <c r="AH494" i="34" s="1" a="1"/>
  <c r="AH494" i="34" s="1"/>
  <c r="AE494" i="34"/>
  <c r="AF494" i="34" s="1"/>
  <c r="AG494" i="34" s="1"/>
  <c r="Z495" i="34"/>
  <c r="AA495" i="34" s="1"/>
  <c r="AB495" i="34"/>
  <c r="AC495" i="34" s="1"/>
  <c r="AD495" i="34"/>
  <c r="AH495" i="34" s="1" a="1"/>
  <c r="AH495" i="34" s="1"/>
  <c r="AE495" i="34"/>
  <c r="Z496" i="34"/>
  <c r="AA496" i="34" s="1"/>
  <c r="AB496" i="34"/>
  <c r="AC496" i="34" s="1"/>
  <c r="AD496" i="34"/>
  <c r="AH496" i="34" s="1" a="1"/>
  <c r="AH496" i="34" s="1"/>
  <c r="AE496" i="34"/>
  <c r="AF496" i="34" s="1"/>
  <c r="AG496" i="34" s="1"/>
  <c r="Z497" i="34"/>
  <c r="AA497" i="34" s="1"/>
  <c r="AB497" i="34"/>
  <c r="AC497" i="34" s="1"/>
  <c r="AD497" i="34"/>
  <c r="AH497" i="34" s="1" a="1"/>
  <c r="AH497" i="34" s="1"/>
  <c r="AE497" i="34"/>
  <c r="AF497" i="34" s="1"/>
  <c r="AG497" i="34" s="1"/>
  <c r="Z498" i="34"/>
  <c r="AA498" i="34" s="1"/>
  <c r="AB498" i="34"/>
  <c r="AC498" i="34" s="1"/>
  <c r="AD498" i="34"/>
  <c r="AH498" i="34" s="1" a="1"/>
  <c r="AH498" i="34" s="1"/>
  <c r="AE498" i="34"/>
  <c r="AF498" i="34" s="1"/>
  <c r="AG498" i="34" s="1"/>
  <c r="Z499" i="34"/>
  <c r="AA499" i="34" s="1"/>
  <c r="AB499" i="34"/>
  <c r="AC499" i="34" s="1"/>
  <c r="AD499" i="34"/>
  <c r="AH499" i="34" s="1" a="1"/>
  <c r="AH499" i="34" s="1"/>
  <c r="AE499" i="34"/>
  <c r="AF499" i="34" s="1"/>
  <c r="AG499" i="34" s="1"/>
  <c r="Z500" i="34"/>
  <c r="AA500" i="34" s="1"/>
  <c r="AB500" i="34"/>
  <c r="AC500" i="34" s="1"/>
  <c r="AD500" i="34"/>
  <c r="AH500" i="34" s="1" a="1"/>
  <c r="AH500" i="34" s="1"/>
  <c r="AE500" i="34"/>
  <c r="AF500" i="34" s="1"/>
  <c r="AG500" i="34" s="1"/>
  <c r="AD2" i="34"/>
  <c r="AH2" i="34" s="1" a="1"/>
  <c r="AH2" i="34" s="1"/>
  <c r="AB2" i="34"/>
  <c r="AC2" i="34" s="1"/>
  <c r="Z2" i="34"/>
  <c r="AA2" i="34" s="1"/>
  <c r="Z3" i="14"/>
  <c r="AA3" i="14" s="1"/>
  <c r="AB3" i="14"/>
  <c r="AC3" i="14" s="1"/>
  <c r="AD3" i="14"/>
  <c r="AH3" i="14" s="1" a="1"/>
  <c r="AH3" i="14" s="1"/>
  <c r="Z4" i="14"/>
  <c r="AA4" i="14" s="1"/>
  <c r="AB4" i="14"/>
  <c r="AE4" i="14" s="1"/>
  <c r="AD4" i="14"/>
  <c r="AH4" i="14" s="1" a="1"/>
  <c r="AH4" i="14" s="1"/>
  <c r="Z5" i="14"/>
  <c r="AA5" i="14" s="1"/>
  <c r="AB5" i="14"/>
  <c r="AC5" i="14" s="1"/>
  <c r="AD5" i="14"/>
  <c r="AH5" i="14" s="1" a="1"/>
  <c r="AH5" i="14" s="1"/>
  <c r="Z6" i="14"/>
  <c r="AA6" i="14" s="1"/>
  <c r="AB6" i="14"/>
  <c r="AC6" i="14" s="1"/>
  <c r="AD6" i="14"/>
  <c r="AH6" i="14" s="1" a="1"/>
  <c r="AH6" i="14" s="1"/>
  <c r="Z7" i="14"/>
  <c r="AA7" i="14" s="1"/>
  <c r="AB7" i="14"/>
  <c r="AC7" i="14" s="1"/>
  <c r="AD7" i="14"/>
  <c r="AH7" i="14" s="1" a="1"/>
  <c r="AH7" i="14" s="1"/>
  <c r="Z8" i="14"/>
  <c r="AA8" i="14" s="1"/>
  <c r="AB8" i="14"/>
  <c r="AC8" i="14" s="1"/>
  <c r="AD8" i="14"/>
  <c r="AH8" i="14" s="1" a="1"/>
  <c r="AH8" i="14" s="1"/>
  <c r="Z9" i="14"/>
  <c r="AA9" i="14" s="1"/>
  <c r="AB9" i="14"/>
  <c r="AC9" i="14" s="1"/>
  <c r="AD9" i="14"/>
  <c r="AH9" i="14" s="1" a="1"/>
  <c r="AH9" i="14" s="1"/>
  <c r="Z10" i="14"/>
  <c r="AA10" i="14" s="1"/>
  <c r="AB10" i="14"/>
  <c r="AD10" i="14"/>
  <c r="AH10" i="14" s="1" a="1"/>
  <c r="AH10" i="14" s="1"/>
  <c r="Z11" i="14"/>
  <c r="AA11" i="14" s="1"/>
  <c r="AB11" i="14"/>
  <c r="AC11" i="14" s="1"/>
  <c r="AD11" i="14"/>
  <c r="AH11" i="14" s="1" a="1"/>
  <c r="AH11" i="14" s="1"/>
  <c r="Z12" i="14"/>
  <c r="AA12" i="14" s="1"/>
  <c r="AB12" i="14"/>
  <c r="AC12" i="14" s="1"/>
  <c r="AD12" i="14"/>
  <c r="AH12" i="14" s="1" a="1"/>
  <c r="AH12" i="14" s="1"/>
  <c r="Z13" i="14"/>
  <c r="AA13" i="14" s="1"/>
  <c r="AB13" i="14"/>
  <c r="AC13" i="14" s="1"/>
  <c r="AD13" i="14"/>
  <c r="AH13" i="14" s="1" a="1"/>
  <c r="AH13" i="14" s="1"/>
  <c r="Z14" i="14"/>
  <c r="AA14" i="14" s="1"/>
  <c r="AB14" i="14"/>
  <c r="AC14" i="14" s="1"/>
  <c r="AD14" i="14"/>
  <c r="AH14" i="14" s="1" a="1"/>
  <c r="AH14" i="14" s="1"/>
  <c r="Z15" i="14"/>
  <c r="AA15" i="14" s="1"/>
  <c r="AB15" i="14"/>
  <c r="AC15" i="14" s="1"/>
  <c r="AD15" i="14"/>
  <c r="AH15" i="14" s="1" a="1"/>
  <c r="AH15" i="14" s="1"/>
  <c r="Z16" i="14"/>
  <c r="AA16" i="14" s="1"/>
  <c r="AB16" i="14"/>
  <c r="AC16" i="14" s="1"/>
  <c r="AD16" i="14"/>
  <c r="AH16" i="14" s="1" a="1"/>
  <c r="AH16" i="14" s="1"/>
  <c r="Z17" i="14"/>
  <c r="AA17" i="14" s="1"/>
  <c r="AB17" i="14"/>
  <c r="AC17" i="14" s="1"/>
  <c r="AD17" i="14"/>
  <c r="AH17" i="14" s="1" a="1"/>
  <c r="AH17" i="14" s="1"/>
  <c r="Z18" i="14"/>
  <c r="AA18" i="14" s="1"/>
  <c r="AB18" i="14"/>
  <c r="AD18" i="14"/>
  <c r="AH18" i="14" s="1" a="1"/>
  <c r="AH18" i="14" s="1"/>
  <c r="Z19" i="14"/>
  <c r="AA19" i="14" s="1"/>
  <c r="AB19" i="14"/>
  <c r="AC19" i="14" s="1"/>
  <c r="AD19" i="14"/>
  <c r="AH19" i="14" s="1" a="1"/>
  <c r="AH19" i="14" s="1"/>
  <c r="Z20" i="14"/>
  <c r="AA20" i="14" s="1"/>
  <c r="AB20" i="14"/>
  <c r="AC20" i="14" s="1"/>
  <c r="AD20" i="14"/>
  <c r="AH20" i="14" s="1" a="1"/>
  <c r="AH20" i="14" s="1"/>
  <c r="Z21" i="14"/>
  <c r="AA21" i="14" s="1"/>
  <c r="AB21" i="14"/>
  <c r="AC21" i="14" s="1"/>
  <c r="AD21" i="14"/>
  <c r="AH21" i="14" s="1" a="1"/>
  <c r="AH21" i="14" s="1"/>
  <c r="Z22" i="14"/>
  <c r="AA22" i="14" s="1"/>
  <c r="AB22" i="14"/>
  <c r="AC22" i="14" s="1"/>
  <c r="AD22" i="14"/>
  <c r="AH22" i="14" s="1" a="1"/>
  <c r="AH22" i="14" s="1"/>
  <c r="Z23" i="14"/>
  <c r="AA23" i="14" s="1"/>
  <c r="AB23" i="14"/>
  <c r="AC23" i="14" s="1"/>
  <c r="AD23" i="14"/>
  <c r="AH23" i="14" s="1" a="1"/>
  <c r="AH23" i="14" s="1"/>
  <c r="Z24" i="14"/>
  <c r="AA24" i="14" s="1"/>
  <c r="AB24" i="14"/>
  <c r="AC24" i="14" s="1"/>
  <c r="AD24" i="14"/>
  <c r="AH24" i="14" s="1" a="1"/>
  <c r="AH24" i="14" s="1"/>
  <c r="Z25" i="14"/>
  <c r="AA25" i="14" s="1"/>
  <c r="AB25" i="14"/>
  <c r="AC25" i="14" s="1"/>
  <c r="AD25" i="14"/>
  <c r="AH25" i="14" s="1" a="1"/>
  <c r="AH25" i="14" s="1"/>
  <c r="Z26" i="14"/>
  <c r="AA26" i="14" s="1"/>
  <c r="AB26" i="14"/>
  <c r="AD26" i="14"/>
  <c r="AH26" i="14" s="1" a="1"/>
  <c r="AH26" i="14" s="1"/>
  <c r="Z27" i="14"/>
  <c r="AA27" i="14" s="1"/>
  <c r="AB27" i="14"/>
  <c r="AC27" i="14" s="1"/>
  <c r="AD27" i="14"/>
  <c r="AH27" i="14" s="1" a="1"/>
  <c r="AH27" i="14" s="1"/>
  <c r="Z28" i="14"/>
  <c r="AA28" i="14" s="1"/>
  <c r="AB28" i="14"/>
  <c r="AC28" i="14" s="1"/>
  <c r="AD28" i="14"/>
  <c r="AH28" i="14" s="1" a="1"/>
  <c r="AH28" i="14" s="1"/>
  <c r="Z29" i="14"/>
  <c r="AA29" i="14" s="1"/>
  <c r="AB29" i="14"/>
  <c r="AC29" i="14" s="1"/>
  <c r="AD29" i="14"/>
  <c r="AH29" i="14" s="1" a="1"/>
  <c r="AH29" i="14" s="1"/>
  <c r="Z30" i="14"/>
  <c r="AA30" i="14" s="1"/>
  <c r="AB30" i="14"/>
  <c r="AC30" i="14" s="1"/>
  <c r="AD30" i="14"/>
  <c r="AH30" i="14" s="1" a="1"/>
  <c r="AH30" i="14" s="1"/>
  <c r="Z31" i="14"/>
  <c r="AA31" i="14" s="1"/>
  <c r="AB31" i="14"/>
  <c r="AC31" i="14" s="1"/>
  <c r="AD31" i="14"/>
  <c r="AH31" i="14" s="1" a="1"/>
  <c r="AH31" i="14" s="1"/>
  <c r="Z32" i="14"/>
  <c r="AA32" i="14" s="1"/>
  <c r="AB32" i="14"/>
  <c r="AC32" i="14" s="1"/>
  <c r="AD32" i="14"/>
  <c r="AH32" i="14" s="1" a="1"/>
  <c r="AH32" i="14" s="1"/>
  <c r="Z33" i="14"/>
  <c r="AA33" i="14" s="1"/>
  <c r="AB33" i="14"/>
  <c r="AD33" i="14"/>
  <c r="AH33" i="14" s="1" a="1"/>
  <c r="AH33" i="14" s="1"/>
  <c r="Z34" i="14"/>
  <c r="AA34" i="14" s="1"/>
  <c r="AB34" i="14"/>
  <c r="AD34" i="14"/>
  <c r="AH34" i="14" s="1" a="1"/>
  <c r="AH34" i="14" s="1"/>
  <c r="Z35" i="14"/>
  <c r="AA35" i="14" s="1"/>
  <c r="AB35" i="14"/>
  <c r="AC35" i="14" s="1"/>
  <c r="AD35" i="14"/>
  <c r="AH35" i="14" s="1" a="1"/>
  <c r="AH35" i="14" s="1"/>
  <c r="Z36" i="14"/>
  <c r="AA36" i="14" s="1"/>
  <c r="AB36" i="14"/>
  <c r="AC36" i="14" s="1"/>
  <c r="AD36" i="14"/>
  <c r="AH36" i="14" s="1" a="1"/>
  <c r="AH36" i="14" s="1"/>
  <c r="Z37" i="14"/>
  <c r="AA37" i="14" s="1"/>
  <c r="AB37" i="14"/>
  <c r="AC37" i="14" s="1"/>
  <c r="AD37" i="14"/>
  <c r="AH37" i="14" s="1" a="1"/>
  <c r="AH37" i="14" s="1"/>
  <c r="Z38" i="14"/>
  <c r="AA38" i="14" s="1"/>
  <c r="AB38" i="14"/>
  <c r="AC38" i="14" s="1"/>
  <c r="AD38" i="14"/>
  <c r="AH38" i="14" s="1" a="1"/>
  <c r="AH38" i="14" s="1"/>
  <c r="Z39" i="14"/>
  <c r="AA39" i="14" s="1"/>
  <c r="AB39" i="14"/>
  <c r="AC39" i="14" s="1"/>
  <c r="AD39" i="14"/>
  <c r="AH39" i="14" s="1" a="1"/>
  <c r="AH39" i="14" s="1"/>
  <c r="Z40" i="14"/>
  <c r="AA40" i="14" s="1"/>
  <c r="AB40" i="14"/>
  <c r="AC40" i="14" s="1"/>
  <c r="AD40" i="14"/>
  <c r="AH40" i="14" s="1" a="1"/>
  <c r="AH40" i="14" s="1"/>
  <c r="Z41" i="14"/>
  <c r="AA41" i="14" s="1"/>
  <c r="AB41" i="14"/>
  <c r="AD41" i="14"/>
  <c r="AH41" i="14" s="1" a="1"/>
  <c r="AH41" i="14" s="1"/>
  <c r="Z42" i="14"/>
  <c r="AA42" i="14" s="1"/>
  <c r="AB42" i="14"/>
  <c r="AC42" i="14" s="1"/>
  <c r="AD42" i="14"/>
  <c r="AH42" i="14" s="1" a="1"/>
  <c r="AH42" i="14" s="1"/>
  <c r="Z43" i="14"/>
  <c r="AA43" i="14" s="1"/>
  <c r="AB43" i="14"/>
  <c r="AC43" i="14" s="1"/>
  <c r="AD43" i="14"/>
  <c r="AH43" i="14" s="1" a="1"/>
  <c r="AH43" i="14" s="1"/>
  <c r="Z44" i="14"/>
  <c r="AA44" i="14" s="1"/>
  <c r="AB44" i="14"/>
  <c r="AD44" i="14"/>
  <c r="AH44" i="14" s="1" a="1"/>
  <c r="AH44" i="14" s="1"/>
  <c r="Z45" i="14"/>
  <c r="AA45" i="14" s="1"/>
  <c r="AB45" i="14"/>
  <c r="AC45" i="14" s="1"/>
  <c r="AD45" i="14"/>
  <c r="AH45" i="14" s="1" a="1"/>
  <c r="AH45" i="14" s="1"/>
  <c r="Z46" i="14"/>
  <c r="AA46" i="14" s="1"/>
  <c r="AB46" i="14"/>
  <c r="AC46" i="14" s="1"/>
  <c r="AD46" i="14"/>
  <c r="AH46" i="14" s="1" a="1"/>
  <c r="AH46" i="14" s="1"/>
  <c r="Z47" i="14"/>
  <c r="AA47" i="14" s="1"/>
  <c r="AB47" i="14"/>
  <c r="AC47" i="14" s="1"/>
  <c r="AD47" i="14"/>
  <c r="AH47" i="14" s="1" a="1"/>
  <c r="AH47" i="14" s="1"/>
  <c r="Z48" i="14"/>
  <c r="AA48" i="14" s="1"/>
  <c r="AB48" i="14"/>
  <c r="AC48" i="14" s="1"/>
  <c r="AD48" i="14"/>
  <c r="AH48" i="14" s="1" a="1"/>
  <c r="AH48" i="14" s="1"/>
  <c r="Z49" i="14"/>
  <c r="AA49" i="14" s="1"/>
  <c r="AB49" i="14"/>
  <c r="AC49" i="14" s="1"/>
  <c r="AD49" i="14"/>
  <c r="AH49" i="14" s="1" a="1"/>
  <c r="AH49" i="14" s="1"/>
  <c r="Z50" i="14"/>
  <c r="AA50" i="14" s="1"/>
  <c r="AB50" i="14"/>
  <c r="AD50" i="14"/>
  <c r="AH50" i="14" s="1" a="1"/>
  <c r="AH50" i="14" s="1"/>
  <c r="Z51" i="14"/>
  <c r="AA51" i="14" s="1"/>
  <c r="AB51" i="14"/>
  <c r="AC51" i="14" s="1"/>
  <c r="AD51" i="14"/>
  <c r="AH51" i="14" s="1" a="1"/>
  <c r="AH51" i="14" s="1"/>
  <c r="Z52" i="14"/>
  <c r="AA52" i="14" s="1"/>
  <c r="AB52" i="14"/>
  <c r="AD52" i="14"/>
  <c r="AH52" i="14" s="1" a="1"/>
  <c r="AH52" i="14" s="1"/>
  <c r="Z53" i="14"/>
  <c r="AA53" i="14" s="1"/>
  <c r="AB53" i="14"/>
  <c r="AC53" i="14" s="1"/>
  <c r="AD53" i="14"/>
  <c r="AH53" i="14" s="1" a="1"/>
  <c r="AH53" i="14" s="1"/>
  <c r="Z54" i="14"/>
  <c r="AA54" i="14" s="1"/>
  <c r="AB54" i="14"/>
  <c r="AC54" i="14" s="1"/>
  <c r="AD54" i="14"/>
  <c r="AH54" i="14" s="1" a="1"/>
  <c r="AH54" i="14" s="1"/>
  <c r="Z55" i="14"/>
  <c r="AA55" i="14" s="1"/>
  <c r="AB55" i="14"/>
  <c r="AC55" i="14" s="1"/>
  <c r="AD55" i="14"/>
  <c r="AH55" i="14" s="1" a="1"/>
  <c r="AH55" i="14" s="1"/>
  <c r="Z56" i="14"/>
  <c r="AA56" i="14" s="1"/>
  <c r="AB56" i="14"/>
  <c r="AC56" i="14" s="1"/>
  <c r="AD56" i="14"/>
  <c r="AH56" i="14" s="1" a="1"/>
  <c r="AH56" i="14" s="1"/>
  <c r="Z57" i="14"/>
  <c r="AA57" i="14" s="1"/>
  <c r="AB57" i="14"/>
  <c r="AC57" i="14" s="1"/>
  <c r="AD57" i="14"/>
  <c r="AH57" i="14" s="1" a="1"/>
  <c r="AH57" i="14" s="1"/>
  <c r="Z58" i="14"/>
  <c r="AA58" i="14" s="1"/>
  <c r="AB58" i="14"/>
  <c r="AC58" i="14" s="1"/>
  <c r="AD58" i="14"/>
  <c r="AH58" i="14" s="1" a="1"/>
  <c r="AH58" i="14" s="1"/>
  <c r="Z59" i="14"/>
  <c r="AA59" i="14" s="1"/>
  <c r="AB59" i="14"/>
  <c r="AC59" i="14" s="1"/>
  <c r="AD59" i="14"/>
  <c r="AH59" i="14" s="1" a="1"/>
  <c r="AH59" i="14" s="1"/>
  <c r="Z60" i="14"/>
  <c r="AA60" i="14" s="1"/>
  <c r="AB60" i="14"/>
  <c r="AC60" i="14" s="1"/>
  <c r="AD60" i="14"/>
  <c r="AH60" i="14" s="1" a="1"/>
  <c r="AH60" i="14" s="1"/>
  <c r="Z61" i="14"/>
  <c r="AA61" i="14" s="1"/>
  <c r="AB61" i="14"/>
  <c r="AC61" i="14" s="1"/>
  <c r="AD61" i="14"/>
  <c r="AH61" i="14" s="1" a="1"/>
  <c r="AH61" i="14" s="1"/>
  <c r="Z62" i="14"/>
  <c r="AA62" i="14" s="1"/>
  <c r="AB62" i="14"/>
  <c r="AC62" i="14" s="1"/>
  <c r="AD62" i="14"/>
  <c r="AH62" i="14" s="1" a="1"/>
  <c r="AH62" i="14" s="1"/>
  <c r="Z63" i="14"/>
  <c r="AA63" i="14" s="1"/>
  <c r="AB63" i="14"/>
  <c r="AC63" i="14" s="1"/>
  <c r="AD63" i="14"/>
  <c r="AH63" i="14" s="1" a="1"/>
  <c r="AH63" i="14" s="1"/>
  <c r="Z64" i="14"/>
  <c r="AA64" i="14" s="1"/>
  <c r="AB64" i="14"/>
  <c r="AC64" i="14" s="1"/>
  <c r="AD64" i="14"/>
  <c r="AH64" i="14" s="1" a="1"/>
  <c r="AH64" i="14" s="1"/>
  <c r="Z65" i="14"/>
  <c r="AA65" i="14" s="1"/>
  <c r="AB65" i="14"/>
  <c r="AC65" i="14" s="1"/>
  <c r="AD65" i="14"/>
  <c r="AH65" i="14" s="1" a="1"/>
  <c r="AH65" i="14" s="1"/>
  <c r="Z66" i="14"/>
  <c r="AA66" i="14" s="1"/>
  <c r="AB66" i="14"/>
  <c r="AC66" i="14" s="1"/>
  <c r="AD66" i="14"/>
  <c r="AH66" i="14" s="1" a="1"/>
  <c r="AH66" i="14" s="1"/>
  <c r="Z67" i="14"/>
  <c r="AA67" i="14" s="1"/>
  <c r="AB67" i="14"/>
  <c r="AC67" i="14" s="1"/>
  <c r="AD67" i="14"/>
  <c r="AH67" i="14" s="1" a="1"/>
  <c r="AH67" i="14" s="1"/>
  <c r="Z68" i="14"/>
  <c r="AA68" i="14" s="1"/>
  <c r="AB68" i="14"/>
  <c r="AC68" i="14" s="1"/>
  <c r="AD68" i="14"/>
  <c r="AH68" i="14" s="1" a="1"/>
  <c r="AH68" i="14" s="1"/>
  <c r="Z69" i="14"/>
  <c r="AA69" i="14" s="1"/>
  <c r="AB69" i="14"/>
  <c r="AC69" i="14" s="1"/>
  <c r="AD69" i="14"/>
  <c r="AH69" i="14" s="1" a="1"/>
  <c r="AH69" i="14" s="1"/>
  <c r="Z70" i="14"/>
  <c r="AA70" i="14" s="1"/>
  <c r="AB70" i="14"/>
  <c r="AC70" i="14" s="1"/>
  <c r="AD70" i="14"/>
  <c r="AH70" i="14" s="1" a="1"/>
  <c r="AH70" i="14" s="1"/>
  <c r="Z71" i="14"/>
  <c r="AA71" i="14" s="1"/>
  <c r="AB71" i="14"/>
  <c r="AC71" i="14" s="1"/>
  <c r="AD71" i="14"/>
  <c r="AH71" i="14" s="1" a="1"/>
  <c r="AH71" i="14" s="1"/>
  <c r="Z72" i="14"/>
  <c r="AA72" i="14" s="1"/>
  <c r="AB72" i="14"/>
  <c r="AC72" i="14" s="1"/>
  <c r="AD72" i="14"/>
  <c r="AH72" i="14" s="1" a="1"/>
  <c r="AH72" i="14" s="1"/>
  <c r="Z73" i="14"/>
  <c r="AA73" i="14" s="1"/>
  <c r="AB73" i="14"/>
  <c r="AC73" i="14" s="1"/>
  <c r="AD73" i="14"/>
  <c r="AH73" i="14" s="1" a="1"/>
  <c r="AH73" i="14" s="1"/>
  <c r="Z74" i="14"/>
  <c r="AA74" i="14" s="1"/>
  <c r="AB74" i="14"/>
  <c r="AC74" i="14" s="1"/>
  <c r="AD74" i="14"/>
  <c r="AH74" i="14" s="1" a="1"/>
  <c r="AH74" i="14" s="1"/>
  <c r="Z75" i="14"/>
  <c r="AA75" i="14" s="1"/>
  <c r="AB75" i="14"/>
  <c r="AC75" i="14" s="1"/>
  <c r="AD75" i="14"/>
  <c r="AH75" i="14" s="1" a="1"/>
  <c r="AH75" i="14" s="1"/>
  <c r="Z76" i="14"/>
  <c r="AA76" i="14" s="1"/>
  <c r="AB76" i="14"/>
  <c r="AC76" i="14" s="1"/>
  <c r="AD76" i="14"/>
  <c r="AH76" i="14" s="1" a="1"/>
  <c r="AH76" i="14" s="1"/>
  <c r="Z77" i="14"/>
  <c r="AA77" i="14" s="1"/>
  <c r="AB77" i="14"/>
  <c r="AC77" i="14" s="1"/>
  <c r="AD77" i="14"/>
  <c r="AH77" i="14" s="1" a="1"/>
  <c r="AH77" i="14" s="1"/>
  <c r="Z78" i="14"/>
  <c r="AA78" i="14" s="1"/>
  <c r="AB78" i="14"/>
  <c r="AC78" i="14" s="1"/>
  <c r="AD78" i="14"/>
  <c r="AH78" i="14" s="1" a="1"/>
  <c r="AH78" i="14" s="1"/>
  <c r="Z79" i="14"/>
  <c r="AA79" i="14" s="1"/>
  <c r="AB79" i="14"/>
  <c r="AC79" i="14" s="1"/>
  <c r="AD79" i="14"/>
  <c r="AH79" i="14" s="1" a="1"/>
  <c r="AH79" i="14" s="1"/>
  <c r="Z80" i="14"/>
  <c r="AA80" i="14" s="1"/>
  <c r="AB80" i="14"/>
  <c r="AC80" i="14" s="1"/>
  <c r="AD80" i="14"/>
  <c r="AH80" i="14" s="1" a="1"/>
  <c r="AH80" i="14" s="1"/>
  <c r="Z81" i="14"/>
  <c r="AA81" i="14" s="1"/>
  <c r="AB81" i="14"/>
  <c r="AC81" i="14" s="1"/>
  <c r="AD81" i="14"/>
  <c r="AH81" i="14" s="1" a="1"/>
  <c r="AH81" i="14" s="1"/>
  <c r="Z82" i="14"/>
  <c r="AA82" i="14" s="1"/>
  <c r="AB82" i="14"/>
  <c r="AC82" i="14" s="1"/>
  <c r="AD82" i="14"/>
  <c r="AH82" i="14" s="1" a="1"/>
  <c r="AH82" i="14" s="1"/>
  <c r="Z83" i="14"/>
  <c r="AA83" i="14" s="1"/>
  <c r="AB83" i="14"/>
  <c r="AC83" i="14" s="1"/>
  <c r="AD83" i="14"/>
  <c r="AH83" i="14" s="1" a="1"/>
  <c r="AH83" i="14" s="1"/>
  <c r="Z84" i="14"/>
  <c r="AA84" i="14" s="1"/>
  <c r="AB84" i="14"/>
  <c r="AC84" i="14" s="1"/>
  <c r="AD84" i="14"/>
  <c r="AH84" i="14" s="1" a="1"/>
  <c r="AH84" i="14" s="1"/>
  <c r="Z85" i="14"/>
  <c r="AA85" i="14" s="1"/>
  <c r="AB85" i="14"/>
  <c r="AC85" i="14" s="1"/>
  <c r="AD85" i="14"/>
  <c r="AH85" i="14" s="1" a="1"/>
  <c r="AH85" i="14" s="1"/>
  <c r="Z86" i="14"/>
  <c r="AA86" i="14" s="1"/>
  <c r="AB86" i="14"/>
  <c r="AC86" i="14" s="1"/>
  <c r="AD86" i="14"/>
  <c r="AH86" i="14" s="1" a="1"/>
  <c r="AH86" i="14" s="1"/>
  <c r="Z87" i="14"/>
  <c r="AA87" i="14" s="1"/>
  <c r="AB87" i="14"/>
  <c r="AC87" i="14" s="1"/>
  <c r="AD87" i="14"/>
  <c r="AH87" i="14" s="1" a="1"/>
  <c r="AH87" i="14" s="1"/>
  <c r="Z88" i="14"/>
  <c r="AA88" i="14" s="1"/>
  <c r="AB88" i="14"/>
  <c r="AC88" i="14" s="1"/>
  <c r="AD88" i="14"/>
  <c r="AH88" i="14" s="1" a="1"/>
  <c r="AH88" i="14" s="1"/>
  <c r="Z89" i="14"/>
  <c r="AA89" i="14" s="1"/>
  <c r="AB89" i="14"/>
  <c r="AC89" i="14" s="1"/>
  <c r="AD89" i="14"/>
  <c r="AH89" i="14" s="1" a="1"/>
  <c r="AH89" i="14" s="1"/>
  <c r="Z90" i="14"/>
  <c r="AA90" i="14" s="1"/>
  <c r="AB90" i="14"/>
  <c r="AC90" i="14" s="1"/>
  <c r="AD90" i="14"/>
  <c r="AH90" i="14" s="1" a="1"/>
  <c r="AH90" i="14" s="1"/>
  <c r="Z91" i="14"/>
  <c r="AA91" i="14" s="1"/>
  <c r="AB91" i="14"/>
  <c r="AC91" i="14" s="1"/>
  <c r="AD91" i="14"/>
  <c r="AH91" i="14" s="1" a="1"/>
  <c r="AH91" i="14" s="1"/>
  <c r="Z92" i="14"/>
  <c r="AA92" i="14" s="1"/>
  <c r="AB92" i="14"/>
  <c r="AC92" i="14" s="1"/>
  <c r="AD92" i="14"/>
  <c r="AH92" i="14" s="1" a="1"/>
  <c r="AH92" i="14" s="1"/>
  <c r="Z93" i="14"/>
  <c r="AA93" i="14" s="1"/>
  <c r="AB93" i="14"/>
  <c r="AC93" i="14" s="1"/>
  <c r="AD93" i="14"/>
  <c r="AH93" i="14" s="1" a="1"/>
  <c r="AH93" i="14" s="1"/>
  <c r="Z94" i="14"/>
  <c r="AA94" i="14" s="1"/>
  <c r="AB94" i="14"/>
  <c r="AC94" i="14" s="1"/>
  <c r="AD94" i="14"/>
  <c r="AH94" i="14" s="1" a="1"/>
  <c r="AH94" i="14" s="1"/>
  <c r="Z95" i="14"/>
  <c r="AA95" i="14" s="1"/>
  <c r="AB95" i="14"/>
  <c r="AC95" i="14" s="1"/>
  <c r="AD95" i="14"/>
  <c r="AH95" i="14" s="1" a="1"/>
  <c r="AH95" i="14" s="1"/>
  <c r="Z96" i="14"/>
  <c r="AA96" i="14" s="1"/>
  <c r="AB96" i="14"/>
  <c r="AC96" i="14" s="1"/>
  <c r="AD96" i="14"/>
  <c r="AH96" i="14" s="1" a="1"/>
  <c r="AH96" i="14" s="1"/>
  <c r="Z97" i="14"/>
  <c r="AA97" i="14" s="1"/>
  <c r="AB97" i="14"/>
  <c r="AC97" i="14" s="1"/>
  <c r="AD97" i="14"/>
  <c r="AH97" i="14" s="1" a="1"/>
  <c r="AH97" i="14" s="1"/>
  <c r="Z98" i="14"/>
  <c r="AA98" i="14" s="1"/>
  <c r="AB98" i="14"/>
  <c r="AC98" i="14" s="1"/>
  <c r="AD98" i="14"/>
  <c r="AH98" i="14" s="1" a="1"/>
  <c r="AH98" i="14" s="1"/>
  <c r="Z99" i="14"/>
  <c r="AA99" i="14" s="1"/>
  <c r="AB99" i="14"/>
  <c r="AC99" i="14" s="1"/>
  <c r="AD99" i="14"/>
  <c r="AH99" i="14" s="1" a="1"/>
  <c r="AH99" i="14" s="1"/>
  <c r="Z100" i="14"/>
  <c r="AA100" i="14" s="1"/>
  <c r="AB100" i="14"/>
  <c r="AC100" i="14" s="1"/>
  <c r="AD100" i="14"/>
  <c r="AH100" i="14" s="1" a="1"/>
  <c r="AH100" i="14" s="1"/>
  <c r="Z101" i="14"/>
  <c r="AA101" i="14" s="1"/>
  <c r="AB101" i="14"/>
  <c r="AC101" i="14" s="1"/>
  <c r="AD101" i="14"/>
  <c r="AH101" i="14" s="1" a="1"/>
  <c r="AH101" i="14" s="1"/>
  <c r="Z102" i="14"/>
  <c r="AA102" i="14" s="1"/>
  <c r="AB102" i="14"/>
  <c r="AC102" i="14" s="1"/>
  <c r="AD102" i="14"/>
  <c r="AH102" i="14" s="1" a="1"/>
  <c r="AH102" i="14" s="1"/>
  <c r="Z103" i="14"/>
  <c r="AA103" i="14" s="1"/>
  <c r="AB103" i="14"/>
  <c r="AC103" i="14" s="1"/>
  <c r="AD103" i="14"/>
  <c r="AH103" i="14" s="1" a="1"/>
  <c r="AH103" i="14" s="1"/>
  <c r="Z104" i="14"/>
  <c r="AA104" i="14" s="1"/>
  <c r="AB104" i="14"/>
  <c r="AC104" i="14" s="1"/>
  <c r="AD104" i="14"/>
  <c r="AH104" i="14" s="1" a="1"/>
  <c r="AH104" i="14" s="1"/>
  <c r="Z105" i="14"/>
  <c r="AA105" i="14" s="1"/>
  <c r="AB105" i="14"/>
  <c r="AC105" i="14" s="1"/>
  <c r="AD105" i="14"/>
  <c r="AH105" i="14" s="1" a="1"/>
  <c r="AH105" i="14" s="1"/>
  <c r="Z106" i="14"/>
  <c r="AA106" i="14" s="1"/>
  <c r="AB106" i="14"/>
  <c r="AC106" i="14" s="1"/>
  <c r="AD106" i="14"/>
  <c r="AH106" i="14" s="1" a="1"/>
  <c r="AH106" i="14" s="1"/>
  <c r="AE106" i="14"/>
  <c r="Z107" i="14"/>
  <c r="AA107" i="14" s="1"/>
  <c r="AB107" i="14"/>
  <c r="AC107" i="14" s="1"/>
  <c r="AD107" i="14"/>
  <c r="AH107" i="14" s="1" a="1"/>
  <c r="AH107" i="14" s="1"/>
  <c r="AE107" i="14"/>
  <c r="AJ107" i="14" s="1"/>
  <c r="Z108" i="14"/>
  <c r="AA108" i="14" s="1"/>
  <c r="AB108" i="14"/>
  <c r="AC108" i="14" s="1"/>
  <c r="AD108" i="14"/>
  <c r="AH108" i="14" s="1" a="1"/>
  <c r="AH108" i="14" s="1"/>
  <c r="AE108" i="14"/>
  <c r="AF108" i="14" s="1"/>
  <c r="AG108" i="14" s="1"/>
  <c r="Z109" i="14"/>
  <c r="AA109" i="14" s="1"/>
  <c r="AB109" i="14"/>
  <c r="AC109" i="14" s="1"/>
  <c r="AD109" i="14"/>
  <c r="AH109" i="14" s="1" a="1"/>
  <c r="AH109" i="14" s="1"/>
  <c r="Z110" i="14"/>
  <c r="AA110" i="14" s="1"/>
  <c r="AB110" i="14"/>
  <c r="AC110" i="14" s="1"/>
  <c r="AD110" i="14"/>
  <c r="AH110" i="14" s="1" a="1"/>
  <c r="AH110" i="14" s="1"/>
  <c r="Z111" i="14"/>
  <c r="AA111" i="14" s="1"/>
  <c r="AB111" i="14"/>
  <c r="AC111" i="14" s="1"/>
  <c r="AD111" i="14"/>
  <c r="AH111" i="14" s="1" a="1"/>
  <c r="AH111" i="14" s="1"/>
  <c r="Z112" i="14"/>
  <c r="AA112" i="14" s="1"/>
  <c r="AB112" i="14"/>
  <c r="AC112" i="14" s="1"/>
  <c r="AD112" i="14"/>
  <c r="AH112" i="14" s="1" a="1"/>
  <c r="AH112" i="14" s="1"/>
  <c r="Z113" i="14"/>
  <c r="AA113" i="14" s="1"/>
  <c r="AB113" i="14"/>
  <c r="AC113" i="14" s="1"/>
  <c r="AD113" i="14"/>
  <c r="AH113" i="14" s="1" a="1"/>
  <c r="AH113" i="14" s="1"/>
  <c r="Z114" i="14"/>
  <c r="AA114" i="14" s="1"/>
  <c r="AB114" i="14"/>
  <c r="AC114" i="14" s="1"/>
  <c r="AD114" i="14"/>
  <c r="AH114" i="14" s="1" a="1"/>
  <c r="AH114" i="14" s="1"/>
  <c r="Z115" i="14"/>
  <c r="AA115" i="14" s="1"/>
  <c r="AB115" i="14"/>
  <c r="AC115" i="14" s="1"/>
  <c r="AD115" i="14"/>
  <c r="AH115" i="14" s="1" a="1"/>
  <c r="AH115" i="14" s="1"/>
  <c r="Z116" i="14"/>
  <c r="AA116" i="14" s="1"/>
  <c r="AB116" i="14"/>
  <c r="AC116" i="14" s="1"/>
  <c r="AD116" i="14"/>
  <c r="AH116" i="14" s="1" a="1"/>
  <c r="AH116" i="14" s="1"/>
  <c r="Z117" i="14"/>
  <c r="AA117" i="14" s="1"/>
  <c r="AB117" i="14"/>
  <c r="AC117" i="14" s="1"/>
  <c r="AD117" i="14"/>
  <c r="AH117" i="14" s="1" a="1"/>
  <c r="AH117" i="14" s="1"/>
  <c r="Z118" i="14"/>
  <c r="AA118" i="14" s="1"/>
  <c r="AB118" i="14"/>
  <c r="AC118" i="14" s="1"/>
  <c r="AD118" i="14"/>
  <c r="AH118" i="14" s="1" a="1"/>
  <c r="AH118" i="14" s="1"/>
  <c r="Z119" i="14"/>
  <c r="AA119" i="14" s="1"/>
  <c r="AB119" i="14"/>
  <c r="AC119" i="14" s="1"/>
  <c r="AD119" i="14"/>
  <c r="AH119" i="14" s="1" a="1"/>
  <c r="AH119" i="14" s="1"/>
  <c r="Z120" i="14"/>
  <c r="AA120" i="14" s="1"/>
  <c r="AB120" i="14"/>
  <c r="AC120" i="14" s="1"/>
  <c r="AD120" i="14"/>
  <c r="AH120" i="14" s="1" a="1"/>
  <c r="AH120" i="14" s="1"/>
  <c r="Z121" i="14"/>
  <c r="AA121" i="14" s="1"/>
  <c r="AB121" i="14"/>
  <c r="AC121" i="14" s="1"/>
  <c r="AD121" i="14"/>
  <c r="AH121" i="14" s="1" a="1"/>
  <c r="AH121" i="14" s="1"/>
  <c r="Z122" i="14"/>
  <c r="AA122" i="14" s="1"/>
  <c r="AB122" i="14"/>
  <c r="AC122" i="14" s="1"/>
  <c r="AD122" i="14"/>
  <c r="AH122" i="14" s="1" a="1"/>
  <c r="AH122" i="14" s="1"/>
  <c r="Z123" i="14"/>
  <c r="AA123" i="14" s="1"/>
  <c r="AB123" i="14"/>
  <c r="AC123" i="14" s="1"/>
  <c r="AD123" i="14"/>
  <c r="AH123" i="14" s="1" a="1"/>
  <c r="AH123" i="14" s="1"/>
  <c r="Z124" i="14"/>
  <c r="AA124" i="14" s="1"/>
  <c r="AB124" i="14"/>
  <c r="AC124" i="14" s="1"/>
  <c r="AD124" i="14"/>
  <c r="AH124" i="14" s="1" a="1"/>
  <c r="AH124" i="14" s="1"/>
  <c r="Z125" i="14"/>
  <c r="AA125" i="14" s="1"/>
  <c r="AB125" i="14"/>
  <c r="AC125" i="14" s="1"/>
  <c r="AD125" i="14"/>
  <c r="AH125" i="14" s="1" a="1"/>
  <c r="AH125" i="14" s="1"/>
  <c r="Z126" i="14"/>
  <c r="AA126" i="14" s="1"/>
  <c r="AB126" i="14"/>
  <c r="AC126" i="14" s="1"/>
  <c r="AD126" i="14"/>
  <c r="AH126" i="14" s="1" a="1"/>
  <c r="AH126" i="14" s="1"/>
  <c r="Z127" i="14"/>
  <c r="AA127" i="14" s="1"/>
  <c r="AB127" i="14"/>
  <c r="AC127" i="14" s="1"/>
  <c r="AD127" i="14"/>
  <c r="AH127" i="14" s="1" a="1"/>
  <c r="AH127" i="14" s="1"/>
  <c r="Z128" i="14"/>
  <c r="AA128" i="14" s="1"/>
  <c r="AB128" i="14"/>
  <c r="AC128" i="14" s="1"/>
  <c r="AD128" i="14"/>
  <c r="AH128" i="14" s="1" a="1"/>
  <c r="AH128" i="14" s="1"/>
  <c r="Z129" i="14"/>
  <c r="AA129" i="14" s="1"/>
  <c r="AB129" i="14"/>
  <c r="AC129" i="14" s="1"/>
  <c r="AD129" i="14"/>
  <c r="AH129" i="14" s="1" a="1"/>
  <c r="AH129" i="14" s="1"/>
  <c r="Z130" i="14"/>
  <c r="AA130" i="14" s="1"/>
  <c r="AB130" i="14"/>
  <c r="AC130" i="14" s="1"/>
  <c r="AD130" i="14"/>
  <c r="AH130" i="14" s="1" a="1"/>
  <c r="AH130" i="14" s="1"/>
  <c r="Z131" i="14"/>
  <c r="AA131" i="14" s="1"/>
  <c r="AB131" i="14"/>
  <c r="AC131" i="14" s="1"/>
  <c r="AD131" i="14"/>
  <c r="AH131" i="14" s="1" a="1"/>
  <c r="AH131" i="14" s="1"/>
  <c r="Z132" i="14"/>
  <c r="AA132" i="14" s="1"/>
  <c r="AB132" i="14"/>
  <c r="AC132" i="14" s="1"/>
  <c r="AD132" i="14"/>
  <c r="AH132" i="14" s="1" a="1"/>
  <c r="AH132" i="14" s="1"/>
  <c r="Z133" i="14"/>
  <c r="AA133" i="14" s="1"/>
  <c r="AB133" i="14"/>
  <c r="AC133" i="14" s="1"/>
  <c r="AD133" i="14"/>
  <c r="AH133" i="14" s="1" a="1"/>
  <c r="AH133" i="14" s="1"/>
  <c r="Z134" i="14"/>
  <c r="AA134" i="14" s="1"/>
  <c r="AB134" i="14"/>
  <c r="AC134" i="14" s="1"/>
  <c r="AD134" i="14"/>
  <c r="AH134" i="14" s="1" a="1"/>
  <c r="AH134" i="14" s="1"/>
  <c r="Z135" i="14"/>
  <c r="AA135" i="14" s="1"/>
  <c r="AB135" i="14"/>
  <c r="AC135" i="14" s="1"/>
  <c r="AD135" i="14"/>
  <c r="AH135" i="14" s="1" a="1"/>
  <c r="AH135" i="14" s="1"/>
  <c r="Z136" i="14"/>
  <c r="AA136" i="14" s="1"/>
  <c r="AB136" i="14"/>
  <c r="AC136" i="14" s="1"/>
  <c r="AD136" i="14"/>
  <c r="AH136" i="14" s="1" a="1"/>
  <c r="AH136" i="14" s="1"/>
  <c r="Z137" i="14"/>
  <c r="AA137" i="14" s="1"/>
  <c r="AB137" i="14"/>
  <c r="AC137" i="14" s="1"/>
  <c r="AD137" i="14"/>
  <c r="AH137" i="14" s="1" a="1"/>
  <c r="AH137" i="14" s="1"/>
  <c r="Z138" i="14"/>
  <c r="AA138" i="14" s="1"/>
  <c r="AB138" i="14"/>
  <c r="AC138" i="14" s="1"/>
  <c r="AD138" i="14"/>
  <c r="AH138" i="14" s="1" a="1"/>
  <c r="AH138" i="14" s="1"/>
  <c r="Z139" i="14"/>
  <c r="AA139" i="14" s="1"/>
  <c r="AB139" i="14"/>
  <c r="AC139" i="14" s="1"/>
  <c r="AD139" i="14"/>
  <c r="AH139" i="14" s="1" a="1"/>
  <c r="AH139" i="14" s="1"/>
  <c r="Z140" i="14"/>
  <c r="AA140" i="14" s="1"/>
  <c r="AB140" i="14"/>
  <c r="AC140" i="14" s="1"/>
  <c r="AD140" i="14"/>
  <c r="AH140" i="14" s="1" a="1"/>
  <c r="AH140" i="14" s="1"/>
  <c r="Z141" i="14"/>
  <c r="AA141" i="14" s="1"/>
  <c r="AB141" i="14"/>
  <c r="AC141" i="14" s="1"/>
  <c r="AD141" i="14"/>
  <c r="AH141" i="14" s="1" a="1"/>
  <c r="AH141" i="14" s="1"/>
  <c r="Z142" i="14"/>
  <c r="AA142" i="14" s="1"/>
  <c r="AB142" i="14"/>
  <c r="AC142" i="14" s="1"/>
  <c r="AD142" i="14"/>
  <c r="AH142" i="14" s="1" a="1"/>
  <c r="AH142" i="14" s="1"/>
  <c r="Z143" i="14"/>
  <c r="AA143" i="14" s="1"/>
  <c r="AB143" i="14"/>
  <c r="AC143" i="14" s="1"/>
  <c r="AD143" i="14"/>
  <c r="AH143" i="14" s="1" a="1"/>
  <c r="AH143" i="14" s="1"/>
  <c r="Z144" i="14"/>
  <c r="AA144" i="14" s="1"/>
  <c r="AB144" i="14"/>
  <c r="AC144" i="14" s="1"/>
  <c r="AD144" i="14"/>
  <c r="AH144" i="14" s="1" a="1"/>
  <c r="AH144" i="14" s="1"/>
  <c r="Z145" i="14"/>
  <c r="AA145" i="14" s="1"/>
  <c r="AB145" i="14"/>
  <c r="AC145" i="14" s="1"/>
  <c r="AD145" i="14"/>
  <c r="AH145" i="14" s="1" a="1"/>
  <c r="AH145" i="14" s="1"/>
  <c r="Z146" i="14"/>
  <c r="AA146" i="14" s="1"/>
  <c r="AB146" i="14"/>
  <c r="AC146" i="14" s="1"/>
  <c r="AD146" i="14"/>
  <c r="AH146" i="14" s="1" a="1"/>
  <c r="AH146" i="14" s="1"/>
  <c r="Z147" i="14"/>
  <c r="AA147" i="14" s="1"/>
  <c r="AB147" i="14"/>
  <c r="AC147" i="14" s="1"/>
  <c r="AD147" i="14"/>
  <c r="AH147" i="14" s="1" a="1"/>
  <c r="AH147" i="14" s="1"/>
  <c r="Z148" i="14"/>
  <c r="AA148" i="14" s="1"/>
  <c r="AB148" i="14"/>
  <c r="AC148" i="14" s="1"/>
  <c r="AD148" i="14"/>
  <c r="AH148" i="14" s="1" a="1"/>
  <c r="AH148" i="14" s="1"/>
  <c r="Z149" i="14"/>
  <c r="AA149" i="14" s="1"/>
  <c r="AB149" i="14"/>
  <c r="AC149" i="14" s="1"/>
  <c r="AD149" i="14"/>
  <c r="AH149" i="14" s="1" a="1"/>
  <c r="AH149" i="14" s="1"/>
  <c r="Z150" i="14"/>
  <c r="AA150" i="14" s="1"/>
  <c r="AB150" i="14"/>
  <c r="AC150" i="14" s="1"/>
  <c r="AD150" i="14"/>
  <c r="AH150" i="14" s="1" a="1"/>
  <c r="AH150" i="14" s="1"/>
  <c r="Z151" i="14"/>
  <c r="AA151" i="14" s="1"/>
  <c r="AB151" i="14"/>
  <c r="AC151" i="14" s="1"/>
  <c r="AD151" i="14"/>
  <c r="AH151" i="14" s="1" a="1"/>
  <c r="AH151" i="14" s="1"/>
  <c r="Z152" i="14"/>
  <c r="AA152" i="14" s="1"/>
  <c r="AB152" i="14"/>
  <c r="AC152" i="14" s="1"/>
  <c r="AD152" i="14"/>
  <c r="AH152" i="14" s="1" a="1"/>
  <c r="AH152" i="14" s="1"/>
  <c r="AE152" i="14"/>
  <c r="AJ152" i="14" s="1"/>
  <c r="Z153" i="14"/>
  <c r="AA153" i="14" s="1"/>
  <c r="AB153" i="14"/>
  <c r="AC153" i="14" s="1"/>
  <c r="AD153" i="14"/>
  <c r="AH153" i="14" s="1" a="1"/>
  <c r="AH153" i="14" s="1"/>
  <c r="AE153" i="14"/>
  <c r="AJ153" i="14" s="1"/>
  <c r="Z154" i="14"/>
  <c r="AA154" i="14" s="1"/>
  <c r="AB154" i="14"/>
  <c r="AC154" i="14" s="1"/>
  <c r="AD154" i="14"/>
  <c r="AH154" i="14" s="1" a="1"/>
  <c r="AH154" i="14" s="1"/>
  <c r="AE154" i="14"/>
  <c r="Z155" i="14"/>
  <c r="AA155" i="14" s="1"/>
  <c r="AB155" i="14"/>
  <c r="AC155" i="14" s="1"/>
  <c r="AD155" i="14"/>
  <c r="AH155" i="14" s="1" a="1"/>
  <c r="AH155" i="14" s="1"/>
  <c r="AE155" i="14"/>
  <c r="AJ155" i="14" s="1"/>
  <c r="Z156" i="14"/>
  <c r="AA156" i="14" s="1"/>
  <c r="AB156" i="14"/>
  <c r="AC156" i="14" s="1"/>
  <c r="AD156" i="14"/>
  <c r="AH156" i="14" s="1" a="1"/>
  <c r="AH156" i="14" s="1"/>
  <c r="AE156" i="14"/>
  <c r="AI156" i="14" s="1"/>
  <c r="Z157" i="14"/>
  <c r="AA157" i="14" s="1"/>
  <c r="AB157" i="14"/>
  <c r="AC157" i="14" s="1"/>
  <c r="AD157" i="14"/>
  <c r="AH157" i="14" s="1" a="1"/>
  <c r="AH157" i="14" s="1"/>
  <c r="AE157" i="14"/>
  <c r="Z158" i="14"/>
  <c r="AA158" i="14" s="1"/>
  <c r="AB158" i="14"/>
  <c r="AC158" i="14" s="1"/>
  <c r="AD158" i="14"/>
  <c r="AH158" i="14" s="1" a="1"/>
  <c r="AH158" i="14" s="1"/>
  <c r="AE158" i="14"/>
  <c r="Z159" i="14"/>
  <c r="AA159" i="14" s="1"/>
  <c r="AB159" i="14"/>
  <c r="AC159" i="14" s="1"/>
  <c r="AD159" i="14"/>
  <c r="AH159" i="14" s="1" a="1"/>
  <c r="AH159" i="14" s="1"/>
  <c r="AE159" i="14"/>
  <c r="AJ159" i="14" s="1"/>
  <c r="Z160" i="14"/>
  <c r="AA160" i="14" s="1"/>
  <c r="AB160" i="14"/>
  <c r="AC160" i="14" s="1"/>
  <c r="AD160" i="14"/>
  <c r="AH160" i="14" s="1" a="1"/>
  <c r="AH160" i="14" s="1"/>
  <c r="AE160" i="14"/>
  <c r="Z161" i="14"/>
  <c r="AA161" i="14" s="1"/>
  <c r="AB161" i="14"/>
  <c r="AC161" i="14" s="1"/>
  <c r="AD161" i="14"/>
  <c r="AH161" i="14" s="1" a="1"/>
  <c r="AH161" i="14" s="1"/>
  <c r="AE161" i="14"/>
  <c r="AF161" i="14" s="1"/>
  <c r="AG161" i="14" s="1"/>
  <c r="Z162" i="14"/>
  <c r="AA162" i="14" s="1"/>
  <c r="AB162" i="14"/>
  <c r="AC162" i="14" s="1"/>
  <c r="AD162" i="14"/>
  <c r="AH162" i="14" s="1" a="1"/>
  <c r="AH162" i="14" s="1"/>
  <c r="AE162" i="14"/>
  <c r="AJ162" i="14" s="1"/>
  <c r="Z163" i="14"/>
  <c r="AA163" i="14" s="1"/>
  <c r="AB163" i="14"/>
  <c r="AC163" i="14" s="1"/>
  <c r="AD163" i="14"/>
  <c r="AH163" i="14" s="1" a="1"/>
  <c r="AH163" i="14" s="1"/>
  <c r="AE163" i="14"/>
  <c r="AJ163" i="14" s="1"/>
  <c r="Z164" i="14"/>
  <c r="AA164" i="14" s="1"/>
  <c r="AB164" i="14"/>
  <c r="AC164" i="14" s="1"/>
  <c r="AD164" i="14"/>
  <c r="AH164" i="14" s="1" a="1"/>
  <c r="AH164" i="14" s="1"/>
  <c r="AE164" i="14"/>
  <c r="Z165" i="14"/>
  <c r="AA165" i="14" s="1"/>
  <c r="AB165" i="14"/>
  <c r="AC165" i="14" s="1"/>
  <c r="AD165" i="14"/>
  <c r="AH165" i="14" s="1" a="1"/>
  <c r="AH165" i="14" s="1"/>
  <c r="AE165" i="14"/>
  <c r="AF165" i="14" s="1"/>
  <c r="AG165" i="14" s="1"/>
  <c r="Z166" i="14"/>
  <c r="AA166" i="14" s="1"/>
  <c r="AB166" i="14"/>
  <c r="AC166" i="14" s="1"/>
  <c r="AD166" i="14"/>
  <c r="AH166" i="14" s="1" a="1"/>
  <c r="AH166" i="14" s="1"/>
  <c r="AE166" i="14"/>
  <c r="AI166" i="14" s="1"/>
  <c r="Z167" i="14"/>
  <c r="AA167" i="14" s="1"/>
  <c r="AB167" i="14"/>
  <c r="AC167" i="14" s="1"/>
  <c r="AD167" i="14"/>
  <c r="AH167" i="14" s="1" a="1"/>
  <c r="AH167" i="14" s="1"/>
  <c r="AE167" i="14"/>
  <c r="AJ167" i="14" s="1"/>
  <c r="Z168" i="14"/>
  <c r="AA168" i="14" s="1"/>
  <c r="AB168" i="14"/>
  <c r="AC168" i="14" s="1"/>
  <c r="AD168" i="14"/>
  <c r="AH168" i="14" s="1" a="1"/>
  <c r="AH168" i="14" s="1"/>
  <c r="AE168" i="14"/>
  <c r="Z169" i="14"/>
  <c r="AA169" i="14" s="1"/>
  <c r="AB169" i="14"/>
  <c r="AC169" i="14" s="1"/>
  <c r="AD169" i="14"/>
  <c r="AH169" i="14" s="1" a="1"/>
  <c r="AH169" i="14" s="1"/>
  <c r="AE169" i="14"/>
  <c r="AF169" i="14" s="1"/>
  <c r="AG169" i="14" s="1"/>
  <c r="Z170" i="14"/>
  <c r="AA170" i="14" s="1"/>
  <c r="AB170" i="14"/>
  <c r="AC170" i="14" s="1"/>
  <c r="AD170" i="14"/>
  <c r="AH170" i="14" s="1" a="1"/>
  <c r="AH170" i="14" s="1"/>
  <c r="AE170" i="14"/>
  <c r="AJ170" i="14" s="1"/>
  <c r="Z171" i="14"/>
  <c r="AA171" i="14" s="1"/>
  <c r="AB171" i="14"/>
  <c r="AC171" i="14" s="1"/>
  <c r="AD171" i="14"/>
  <c r="AH171" i="14" s="1" a="1"/>
  <c r="AH171" i="14" s="1"/>
  <c r="AE171" i="14"/>
  <c r="AJ171" i="14" s="1"/>
  <c r="Z172" i="14"/>
  <c r="AA172" i="14" s="1"/>
  <c r="AB172" i="14"/>
  <c r="AC172" i="14" s="1"/>
  <c r="AD172" i="14"/>
  <c r="AH172" i="14" s="1" a="1"/>
  <c r="AH172" i="14" s="1"/>
  <c r="AE172" i="14"/>
  <c r="AI172" i="14" s="1"/>
  <c r="Z173" i="14"/>
  <c r="AA173" i="14" s="1"/>
  <c r="AB173" i="14"/>
  <c r="AC173" i="14" s="1"/>
  <c r="AD173" i="14"/>
  <c r="AH173" i="14" s="1" a="1"/>
  <c r="AH173" i="14" s="1"/>
  <c r="AE173" i="14"/>
  <c r="Z174" i="14"/>
  <c r="AA174" i="14" s="1"/>
  <c r="AB174" i="14"/>
  <c r="AC174" i="14" s="1"/>
  <c r="AD174" i="14"/>
  <c r="AH174" i="14" s="1" a="1"/>
  <c r="AH174" i="14" s="1"/>
  <c r="AE174" i="14"/>
  <c r="AF174" i="14" s="1"/>
  <c r="AG174" i="14" s="1"/>
  <c r="Z175" i="14"/>
  <c r="AA175" i="14" s="1"/>
  <c r="AB175" i="14"/>
  <c r="AC175" i="14" s="1"/>
  <c r="AD175" i="14"/>
  <c r="AH175" i="14" s="1" a="1"/>
  <c r="AH175" i="14" s="1"/>
  <c r="AE175" i="14"/>
  <c r="Z176" i="14"/>
  <c r="AA176" i="14" s="1"/>
  <c r="AB176" i="14"/>
  <c r="AC176" i="14" s="1"/>
  <c r="AD176" i="14"/>
  <c r="AH176" i="14" s="1" a="1"/>
  <c r="AH176" i="14" s="1"/>
  <c r="AE176" i="14"/>
  <c r="AF176" i="14" s="1"/>
  <c r="AG176" i="14" s="1"/>
  <c r="Z177" i="14"/>
  <c r="AA177" i="14" s="1"/>
  <c r="AB177" i="14"/>
  <c r="AC177" i="14" s="1"/>
  <c r="AD177" i="14"/>
  <c r="AH177" i="14" s="1" a="1"/>
  <c r="AH177" i="14" s="1"/>
  <c r="AE177" i="14"/>
  <c r="Z178" i="14"/>
  <c r="AA178" i="14" s="1"/>
  <c r="AB178" i="14"/>
  <c r="AC178" i="14" s="1"/>
  <c r="AD178" i="14"/>
  <c r="AH178" i="14" s="1" a="1"/>
  <c r="AH178" i="14" s="1"/>
  <c r="AE178" i="14"/>
  <c r="Z179" i="14"/>
  <c r="AA179" i="14" s="1"/>
  <c r="AB179" i="14"/>
  <c r="AC179" i="14" s="1"/>
  <c r="AD179" i="14"/>
  <c r="AH179" i="14" s="1" a="1"/>
  <c r="AH179" i="14" s="1"/>
  <c r="AE179" i="14"/>
  <c r="Z180" i="14"/>
  <c r="AA180" i="14" s="1"/>
  <c r="AB180" i="14"/>
  <c r="AC180" i="14" s="1"/>
  <c r="AD180" i="14"/>
  <c r="AH180" i="14" s="1" a="1"/>
  <c r="AH180" i="14" s="1"/>
  <c r="AE180" i="14"/>
  <c r="AI180" i="14" s="1"/>
  <c r="Z181" i="14"/>
  <c r="AA181" i="14" s="1"/>
  <c r="AB181" i="14"/>
  <c r="AC181" i="14" s="1"/>
  <c r="AD181" i="14"/>
  <c r="AH181" i="14" s="1" a="1"/>
  <c r="AH181" i="14" s="1"/>
  <c r="AE181" i="14"/>
  <c r="AJ181" i="14" s="1"/>
  <c r="Z182" i="14"/>
  <c r="AA182" i="14" s="1"/>
  <c r="AB182" i="14"/>
  <c r="AC182" i="14" s="1"/>
  <c r="AD182" i="14"/>
  <c r="AH182" i="14" s="1" a="1"/>
  <c r="AH182" i="14" s="1"/>
  <c r="AE182" i="14"/>
  <c r="Z183" i="14"/>
  <c r="AA183" i="14" s="1"/>
  <c r="AB183" i="14"/>
  <c r="AC183" i="14" s="1"/>
  <c r="AD183" i="14"/>
  <c r="AH183" i="14" s="1" a="1"/>
  <c r="AH183" i="14" s="1"/>
  <c r="AE183" i="14"/>
  <c r="AF183" i="14" s="1"/>
  <c r="AG183" i="14" s="1"/>
  <c r="Z184" i="14"/>
  <c r="AA184" i="14" s="1"/>
  <c r="AB184" i="14"/>
  <c r="AC184" i="14" s="1"/>
  <c r="AD184" i="14"/>
  <c r="AH184" i="14" s="1" a="1"/>
  <c r="AH184" i="14" s="1"/>
  <c r="AE184" i="14"/>
  <c r="AI184" i="14" s="1"/>
  <c r="Z185" i="14"/>
  <c r="AA185" i="14" s="1"/>
  <c r="AB185" i="14"/>
  <c r="AC185" i="14" s="1"/>
  <c r="AD185" i="14"/>
  <c r="AH185" i="14" s="1" a="1"/>
  <c r="AH185" i="14" s="1"/>
  <c r="AE185" i="14"/>
  <c r="AJ185" i="14" s="1"/>
  <c r="Z186" i="14"/>
  <c r="AA186" i="14" s="1"/>
  <c r="AB186" i="14"/>
  <c r="AC186" i="14" s="1"/>
  <c r="AD186" i="14"/>
  <c r="AH186" i="14" s="1" a="1"/>
  <c r="AH186" i="14" s="1"/>
  <c r="AE186" i="14"/>
  <c r="Z187" i="14"/>
  <c r="AA187" i="14" s="1"/>
  <c r="AB187" i="14"/>
  <c r="AC187" i="14" s="1"/>
  <c r="AD187" i="14"/>
  <c r="AH187" i="14" s="1" a="1"/>
  <c r="AH187" i="14" s="1"/>
  <c r="AE187" i="14"/>
  <c r="Z188" i="14"/>
  <c r="AA188" i="14" s="1"/>
  <c r="AB188" i="14"/>
  <c r="AC188" i="14" s="1"/>
  <c r="AD188" i="14"/>
  <c r="AH188" i="14" s="1" a="1"/>
  <c r="AH188" i="14" s="1"/>
  <c r="AE188" i="14"/>
  <c r="Z189" i="14"/>
  <c r="AA189" i="14" s="1"/>
  <c r="AB189" i="14"/>
  <c r="AC189" i="14" s="1"/>
  <c r="AD189" i="14"/>
  <c r="AH189" i="14" s="1" a="1"/>
  <c r="AH189" i="14" s="1"/>
  <c r="AE189" i="14"/>
  <c r="AF189" i="14" s="1"/>
  <c r="AG189" i="14" s="1"/>
  <c r="Z190" i="14"/>
  <c r="AA190" i="14" s="1"/>
  <c r="AB190" i="14"/>
  <c r="AC190" i="14" s="1"/>
  <c r="AD190" i="14"/>
  <c r="AH190" i="14" s="1" a="1"/>
  <c r="AH190" i="14" s="1"/>
  <c r="AE190" i="14"/>
  <c r="AF190" i="14" s="1"/>
  <c r="AG190" i="14" s="1"/>
  <c r="Z191" i="14"/>
  <c r="AA191" i="14" s="1"/>
  <c r="AB191" i="14"/>
  <c r="AC191" i="14" s="1"/>
  <c r="AD191" i="14"/>
  <c r="AH191" i="14" s="1" a="1"/>
  <c r="AH191" i="14" s="1"/>
  <c r="AE191" i="14"/>
  <c r="AF191" i="14" s="1"/>
  <c r="AG191" i="14" s="1"/>
  <c r="Z192" i="14"/>
  <c r="AA192" i="14" s="1"/>
  <c r="AB192" i="14"/>
  <c r="AC192" i="14" s="1"/>
  <c r="AD192" i="14"/>
  <c r="AH192" i="14" s="1" a="1"/>
  <c r="AH192" i="14" s="1"/>
  <c r="AE192" i="14"/>
  <c r="AI192" i="14" s="1"/>
  <c r="Z193" i="14"/>
  <c r="AA193" i="14" s="1"/>
  <c r="AB193" i="14"/>
  <c r="AC193" i="14" s="1"/>
  <c r="AD193" i="14"/>
  <c r="AH193" i="14" s="1" a="1"/>
  <c r="AH193" i="14" s="1"/>
  <c r="AE193" i="14"/>
  <c r="AI193" i="14" s="1"/>
  <c r="Z194" i="14"/>
  <c r="AA194" i="14" s="1"/>
  <c r="AB194" i="14"/>
  <c r="AC194" i="14" s="1"/>
  <c r="AD194" i="14"/>
  <c r="AH194" i="14" s="1" a="1"/>
  <c r="AH194" i="14" s="1"/>
  <c r="AE194" i="14"/>
  <c r="Z195" i="14"/>
  <c r="AA195" i="14" s="1"/>
  <c r="AB195" i="14"/>
  <c r="AC195" i="14" s="1"/>
  <c r="AD195" i="14"/>
  <c r="AH195" i="14" s="1" a="1"/>
  <c r="AH195" i="14" s="1"/>
  <c r="AE195" i="14"/>
  <c r="AJ195" i="14" s="1"/>
  <c r="Z196" i="14"/>
  <c r="AA196" i="14" s="1"/>
  <c r="AB196" i="14"/>
  <c r="AC196" i="14" s="1"/>
  <c r="AD196" i="14"/>
  <c r="AH196" i="14" s="1" a="1"/>
  <c r="AH196" i="14" s="1"/>
  <c r="AE196" i="14"/>
  <c r="AF196" i="14" s="1"/>
  <c r="AG196" i="14" s="1"/>
  <c r="Z197" i="14"/>
  <c r="AA197" i="14" s="1"/>
  <c r="AB197" i="14"/>
  <c r="AC197" i="14" s="1"/>
  <c r="AD197" i="14"/>
  <c r="AH197" i="14" s="1" a="1"/>
  <c r="AH197" i="14" s="1"/>
  <c r="AE197" i="14"/>
  <c r="AF197" i="14" s="1"/>
  <c r="AG197" i="14" s="1"/>
  <c r="Z198" i="14"/>
  <c r="AA198" i="14" s="1"/>
  <c r="AB198" i="14"/>
  <c r="AC198" i="14" s="1"/>
  <c r="AD198" i="14"/>
  <c r="AH198" i="14" s="1" a="1"/>
  <c r="AH198" i="14" s="1"/>
  <c r="AE198" i="14"/>
  <c r="AF198" i="14" s="1"/>
  <c r="AG198" i="14" s="1"/>
  <c r="Z199" i="14"/>
  <c r="AA199" i="14" s="1"/>
  <c r="AB199" i="14"/>
  <c r="AC199" i="14" s="1"/>
  <c r="AD199" i="14"/>
  <c r="AH199" i="14" s="1" a="1"/>
  <c r="AH199" i="14" s="1"/>
  <c r="AE199" i="14"/>
  <c r="Z200" i="14"/>
  <c r="AA200" i="14" s="1"/>
  <c r="AB200" i="14"/>
  <c r="AC200" i="14" s="1"/>
  <c r="AD200" i="14"/>
  <c r="AH200" i="14" s="1" a="1"/>
  <c r="AH200" i="14" s="1"/>
  <c r="AE200" i="14"/>
  <c r="Z201" i="14"/>
  <c r="AA201" i="14" s="1"/>
  <c r="AB201" i="14"/>
  <c r="AC201" i="14" s="1"/>
  <c r="AD201" i="14"/>
  <c r="AH201" i="14" s="1" a="1"/>
  <c r="AH201" i="14" s="1"/>
  <c r="AE201" i="14"/>
  <c r="AF201" i="14" s="1"/>
  <c r="AG201" i="14" s="1"/>
  <c r="Z202" i="14"/>
  <c r="AA202" i="14" s="1"/>
  <c r="AB202" i="14"/>
  <c r="AC202" i="14" s="1"/>
  <c r="AD202" i="14"/>
  <c r="AH202" i="14" s="1" a="1"/>
  <c r="AH202" i="14" s="1"/>
  <c r="AE202" i="14"/>
  <c r="Z203" i="14"/>
  <c r="AA203" i="14" s="1"/>
  <c r="AB203" i="14"/>
  <c r="AC203" i="14" s="1"/>
  <c r="AD203" i="14"/>
  <c r="AH203" i="14" s="1" a="1"/>
  <c r="AH203" i="14" s="1"/>
  <c r="AE203" i="14"/>
  <c r="AF203" i="14" s="1"/>
  <c r="AG203" i="14" s="1"/>
  <c r="Z204" i="14"/>
  <c r="AA204" i="14" s="1"/>
  <c r="AB204" i="14"/>
  <c r="AC204" i="14" s="1"/>
  <c r="AD204" i="14"/>
  <c r="AH204" i="14" s="1" a="1"/>
  <c r="AH204" i="14" s="1"/>
  <c r="AE204" i="14"/>
  <c r="AF204" i="14" s="1"/>
  <c r="AG204" i="14" s="1"/>
  <c r="Z205" i="14"/>
  <c r="AA205" i="14" s="1"/>
  <c r="AB205" i="14"/>
  <c r="AC205" i="14" s="1"/>
  <c r="AD205" i="14"/>
  <c r="AH205" i="14" s="1" a="1"/>
  <c r="AH205" i="14" s="1"/>
  <c r="AE205" i="14"/>
  <c r="Z206" i="14"/>
  <c r="AA206" i="14" s="1"/>
  <c r="AB206" i="14"/>
  <c r="AC206" i="14" s="1"/>
  <c r="AD206" i="14"/>
  <c r="AH206" i="14" s="1" a="1"/>
  <c r="AH206" i="14" s="1"/>
  <c r="AE206" i="14"/>
  <c r="AJ206" i="14" s="1"/>
  <c r="Z207" i="14"/>
  <c r="AA207" i="14" s="1"/>
  <c r="AB207" i="14"/>
  <c r="AC207" i="14" s="1"/>
  <c r="AD207" i="14"/>
  <c r="AH207" i="14" s="1" a="1"/>
  <c r="AH207" i="14" s="1"/>
  <c r="AE207" i="14"/>
  <c r="AJ207" i="14" s="1"/>
  <c r="Z208" i="14"/>
  <c r="AA208" i="14" s="1"/>
  <c r="AB208" i="14"/>
  <c r="AC208" i="14" s="1"/>
  <c r="AD208" i="14"/>
  <c r="AH208" i="14" s="1" a="1"/>
  <c r="AH208" i="14" s="1"/>
  <c r="AE208" i="14"/>
  <c r="AF208" i="14" s="1"/>
  <c r="AG208" i="14" s="1"/>
  <c r="Z209" i="14"/>
  <c r="AA209" i="14" s="1"/>
  <c r="AB209" i="14"/>
  <c r="AC209" i="14" s="1"/>
  <c r="AD209" i="14"/>
  <c r="AH209" i="14" s="1" a="1"/>
  <c r="AH209" i="14" s="1"/>
  <c r="AE209" i="14"/>
  <c r="AJ209" i="14" s="1"/>
  <c r="Z210" i="14"/>
  <c r="AA210" i="14" s="1"/>
  <c r="AB210" i="14"/>
  <c r="AC210" i="14" s="1"/>
  <c r="AD210" i="14"/>
  <c r="AH210" i="14" s="1" a="1"/>
  <c r="AH210" i="14" s="1"/>
  <c r="AE210" i="14"/>
  <c r="AF210" i="14" s="1"/>
  <c r="AG210" i="14" s="1"/>
  <c r="Z211" i="14"/>
  <c r="AA211" i="14" s="1"/>
  <c r="AB211" i="14"/>
  <c r="AC211" i="14" s="1"/>
  <c r="AD211" i="14"/>
  <c r="AH211" i="14" s="1" a="1"/>
  <c r="AH211" i="14" s="1"/>
  <c r="AE211" i="14"/>
  <c r="AI211" i="14" s="1"/>
  <c r="Z212" i="14"/>
  <c r="AA212" i="14" s="1"/>
  <c r="AB212" i="14"/>
  <c r="AC212" i="14" s="1"/>
  <c r="AD212" i="14"/>
  <c r="AH212" i="14" s="1" a="1"/>
  <c r="AH212" i="14" s="1"/>
  <c r="AE212" i="14"/>
  <c r="AF212" i="14" s="1"/>
  <c r="AG212" i="14" s="1"/>
  <c r="Z213" i="14"/>
  <c r="AA213" i="14" s="1"/>
  <c r="AB213" i="14"/>
  <c r="AC213" i="14" s="1"/>
  <c r="AD213" i="14"/>
  <c r="AH213" i="14" s="1" a="1"/>
  <c r="AH213" i="14" s="1"/>
  <c r="AE213" i="14"/>
  <c r="Z214" i="14"/>
  <c r="AA214" i="14" s="1"/>
  <c r="AB214" i="14"/>
  <c r="AC214" i="14" s="1"/>
  <c r="AD214" i="14"/>
  <c r="AH214" i="14" s="1" a="1"/>
  <c r="AH214" i="14" s="1"/>
  <c r="AE214" i="14"/>
  <c r="AI214" i="14" s="1"/>
  <c r="Z215" i="14"/>
  <c r="AA215" i="14" s="1"/>
  <c r="AB215" i="14"/>
  <c r="AC215" i="14" s="1"/>
  <c r="AD215" i="14"/>
  <c r="AH215" i="14" s="1" a="1"/>
  <c r="AH215" i="14" s="1"/>
  <c r="AE215" i="14"/>
  <c r="Z216" i="14"/>
  <c r="AA216" i="14" s="1"/>
  <c r="AB216" i="14"/>
  <c r="AC216" i="14" s="1"/>
  <c r="AD216" i="14"/>
  <c r="AH216" i="14" s="1" a="1"/>
  <c r="AH216" i="14" s="1"/>
  <c r="AE216" i="14"/>
  <c r="Z217" i="14"/>
  <c r="AA217" i="14" s="1"/>
  <c r="AB217" i="14"/>
  <c r="AC217" i="14" s="1"/>
  <c r="AD217" i="14"/>
  <c r="AH217" i="14" s="1" a="1"/>
  <c r="AH217" i="14" s="1"/>
  <c r="AE217" i="14"/>
  <c r="AI217" i="14" s="1"/>
  <c r="Z218" i="14"/>
  <c r="AA218" i="14" s="1"/>
  <c r="AB218" i="14"/>
  <c r="AC218" i="14" s="1"/>
  <c r="AD218" i="14"/>
  <c r="AH218" i="14" s="1" a="1"/>
  <c r="AH218" i="14" s="1"/>
  <c r="AE218" i="14"/>
  <c r="Z219" i="14"/>
  <c r="AA219" i="14" s="1"/>
  <c r="AB219" i="14"/>
  <c r="AC219" i="14" s="1"/>
  <c r="AD219" i="14"/>
  <c r="AH219" i="14" s="1" a="1"/>
  <c r="AH219" i="14" s="1"/>
  <c r="AE219" i="14"/>
  <c r="AF219" i="14" s="1"/>
  <c r="AG219" i="14" s="1"/>
  <c r="Z220" i="14"/>
  <c r="AA220" i="14" s="1"/>
  <c r="AB220" i="14"/>
  <c r="AC220" i="14" s="1"/>
  <c r="AD220" i="14"/>
  <c r="AH220" i="14" s="1" a="1"/>
  <c r="AH220" i="14" s="1"/>
  <c r="AE220" i="14"/>
  <c r="AJ220" i="14" s="1"/>
  <c r="Z221" i="14"/>
  <c r="AA221" i="14" s="1"/>
  <c r="AB221" i="14"/>
  <c r="AC221" i="14" s="1"/>
  <c r="AD221" i="14"/>
  <c r="AH221" i="14" s="1" a="1"/>
  <c r="AH221" i="14" s="1"/>
  <c r="AE221" i="14"/>
  <c r="Z222" i="14"/>
  <c r="AA222" i="14" s="1"/>
  <c r="AB222" i="14"/>
  <c r="AC222" i="14" s="1"/>
  <c r="AD222" i="14"/>
  <c r="AH222" i="14" s="1" a="1"/>
  <c r="AH222" i="14" s="1"/>
  <c r="AE222" i="14"/>
  <c r="Z223" i="14"/>
  <c r="AA223" i="14" s="1"/>
  <c r="AB223" i="14"/>
  <c r="AC223" i="14" s="1"/>
  <c r="AD223" i="14"/>
  <c r="AH223" i="14" s="1" a="1"/>
  <c r="AH223" i="14" s="1"/>
  <c r="AE223" i="14"/>
  <c r="AI223" i="14" s="1"/>
  <c r="Z224" i="14"/>
  <c r="AA224" i="14" s="1"/>
  <c r="AB224" i="14"/>
  <c r="AC224" i="14" s="1"/>
  <c r="AD224" i="14"/>
  <c r="AH224" i="14" s="1" a="1"/>
  <c r="AH224" i="14" s="1"/>
  <c r="AE224" i="14"/>
  <c r="AI224" i="14" s="1"/>
  <c r="Z225" i="14"/>
  <c r="AA225" i="14" s="1"/>
  <c r="AB225" i="14"/>
  <c r="AC225" i="14" s="1"/>
  <c r="AD225" i="14"/>
  <c r="AH225" i="14" s="1" a="1"/>
  <c r="AH225" i="14" s="1"/>
  <c r="AE225" i="14"/>
  <c r="AI225" i="14" s="1"/>
  <c r="Z226" i="14"/>
  <c r="AA226" i="14" s="1"/>
  <c r="AB226" i="14"/>
  <c r="AC226" i="14" s="1"/>
  <c r="AD226" i="14"/>
  <c r="AH226" i="14" s="1" a="1"/>
  <c r="AH226" i="14" s="1"/>
  <c r="AE226" i="14"/>
  <c r="AI226" i="14" s="1"/>
  <c r="Z227" i="14"/>
  <c r="AA227" i="14" s="1"/>
  <c r="AB227" i="14"/>
  <c r="AC227" i="14" s="1"/>
  <c r="AD227" i="14"/>
  <c r="AH227" i="14" s="1" a="1"/>
  <c r="AH227" i="14" s="1"/>
  <c r="AE227" i="14"/>
  <c r="Z228" i="14"/>
  <c r="AA228" i="14" s="1"/>
  <c r="AB228" i="14"/>
  <c r="AC228" i="14" s="1"/>
  <c r="AD228" i="14"/>
  <c r="AH228" i="14" s="1" a="1"/>
  <c r="AH228" i="14" s="1"/>
  <c r="AE228" i="14"/>
  <c r="AI228" i="14" s="1"/>
  <c r="Z229" i="14"/>
  <c r="AA229" i="14" s="1"/>
  <c r="AB229" i="14"/>
  <c r="AC229" i="14" s="1"/>
  <c r="AD229" i="14"/>
  <c r="AH229" i="14" s="1" a="1"/>
  <c r="AH229" i="14" s="1"/>
  <c r="AE229" i="14"/>
  <c r="AI229" i="14" s="1"/>
  <c r="Z230" i="14"/>
  <c r="AA230" i="14" s="1"/>
  <c r="AB230" i="14"/>
  <c r="AC230" i="14" s="1"/>
  <c r="AD230" i="14"/>
  <c r="AH230" i="14" s="1" a="1"/>
  <c r="AH230" i="14" s="1"/>
  <c r="AE230" i="14"/>
  <c r="AI230" i="14" s="1"/>
  <c r="Z231" i="14"/>
  <c r="AA231" i="14" s="1"/>
  <c r="AB231" i="14"/>
  <c r="AC231" i="14" s="1"/>
  <c r="AD231" i="14"/>
  <c r="AH231" i="14" s="1" a="1"/>
  <c r="AH231" i="14" s="1"/>
  <c r="AE231" i="14"/>
  <c r="AJ231" i="14" s="1"/>
  <c r="Z232" i="14"/>
  <c r="AA232" i="14" s="1"/>
  <c r="AB232" i="14"/>
  <c r="AC232" i="14" s="1"/>
  <c r="AD232" i="14"/>
  <c r="AH232" i="14" s="1" a="1"/>
  <c r="AH232" i="14" s="1"/>
  <c r="AE232" i="14"/>
  <c r="Z233" i="14"/>
  <c r="AA233" i="14" s="1"/>
  <c r="AB233" i="14"/>
  <c r="AC233" i="14" s="1"/>
  <c r="AD233" i="14"/>
  <c r="AH233" i="14" s="1" a="1"/>
  <c r="AH233" i="14" s="1"/>
  <c r="AE233" i="14"/>
  <c r="AF233" i="14" s="1"/>
  <c r="AG233" i="14" s="1"/>
  <c r="Z234" i="14"/>
  <c r="AA234" i="14" s="1"/>
  <c r="AB234" i="14"/>
  <c r="AC234" i="14" s="1"/>
  <c r="AD234" i="14"/>
  <c r="AH234" i="14" s="1" a="1"/>
  <c r="AH234" i="14" s="1"/>
  <c r="AE234" i="14"/>
  <c r="Z235" i="14"/>
  <c r="AA235" i="14" s="1"/>
  <c r="AB235" i="14"/>
  <c r="AC235" i="14" s="1"/>
  <c r="AD235" i="14"/>
  <c r="AH235" i="14" s="1" a="1"/>
  <c r="AH235" i="14" s="1"/>
  <c r="AE235" i="14"/>
  <c r="Z236" i="14"/>
  <c r="AA236" i="14" s="1"/>
  <c r="AB236" i="14"/>
  <c r="AC236" i="14" s="1"/>
  <c r="AD236" i="14"/>
  <c r="AH236" i="14" s="1" a="1"/>
  <c r="AH236" i="14" s="1"/>
  <c r="AE236" i="14"/>
  <c r="AJ236" i="14" s="1"/>
  <c r="Z237" i="14"/>
  <c r="AA237" i="14" s="1"/>
  <c r="AB237" i="14"/>
  <c r="AC237" i="14" s="1"/>
  <c r="AD237" i="14"/>
  <c r="AH237" i="14" s="1" a="1"/>
  <c r="AH237" i="14" s="1"/>
  <c r="AE237" i="14"/>
  <c r="Z238" i="14"/>
  <c r="AA238" i="14" s="1"/>
  <c r="AB238" i="14"/>
  <c r="AC238" i="14" s="1"/>
  <c r="AD238" i="14"/>
  <c r="AH238" i="14" s="1" a="1"/>
  <c r="AH238" i="14" s="1"/>
  <c r="AE238" i="14"/>
  <c r="AJ238" i="14" s="1"/>
  <c r="Z239" i="14"/>
  <c r="AA239" i="14" s="1"/>
  <c r="AB239" i="14"/>
  <c r="AC239" i="14" s="1"/>
  <c r="AD239" i="14"/>
  <c r="AH239" i="14" s="1" a="1"/>
  <c r="AH239" i="14" s="1"/>
  <c r="AE239" i="14"/>
  <c r="AF239" i="14" s="1"/>
  <c r="AG239" i="14" s="1"/>
  <c r="Z240" i="14"/>
  <c r="AA240" i="14" s="1"/>
  <c r="AB240" i="14"/>
  <c r="AC240" i="14" s="1"/>
  <c r="AD240" i="14"/>
  <c r="AH240" i="14" s="1" a="1"/>
  <c r="AH240" i="14" s="1"/>
  <c r="AE240" i="14"/>
  <c r="Z241" i="14"/>
  <c r="AA241" i="14" s="1"/>
  <c r="AB241" i="14"/>
  <c r="AC241" i="14" s="1"/>
  <c r="AD241" i="14"/>
  <c r="AH241" i="14" s="1" a="1"/>
  <c r="AH241" i="14" s="1"/>
  <c r="AE241" i="14"/>
  <c r="Z242" i="14"/>
  <c r="AA242" i="14" s="1"/>
  <c r="AB242" i="14"/>
  <c r="AC242" i="14" s="1"/>
  <c r="AD242" i="14"/>
  <c r="AH242" i="14" s="1" a="1"/>
  <c r="AH242" i="14" s="1"/>
  <c r="AE242" i="14"/>
  <c r="AJ242" i="14" s="1"/>
  <c r="Z243" i="14"/>
  <c r="AA243" i="14" s="1"/>
  <c r="AB243" i="14"/>
  <c r="AC243" i="14" s="1"/>
  <c r="AD243" i="14"/>
  <c r="AH243" i="14" s="1" a="1"/>
  <c r="AH243" i="14" s="1"/>
  <c r="AE243" i="14"/>
  <c r="AI243" i="14" s="1"/>
  <c r="Z244" i="14"/>
  <c r="AA244" i="14" s="1"/>
  <c r="AB244" i="14"/>
  <c r="AC244" i="14" s="1"/>
  <c r="AD244" i="14"/>
  <c r="AH244" i="14" s="1" a="1"/>
  <c r="AH244" i="14" s="1"/>
  <c r="AE244" i="14"/>
  <c r="AJ244" i="14" s="1"/>
  <c r="Z245" i="14"/>
  <c r="AA245" i="14" s="1"/>
  <c r="AB245" i="14"/>
  <c r="AC245" i="14" s="1"/>
  <c r="AD245" i="14"/>
  <c r="AH245" i="14" s="1" a="1"/>
  <c r="AH245" i="14" s="1"/>
  <c r="AE245" i="14"/>
  <c r="AI245" i="14" s="1"/>
  <c r="Z246" i="14"/>
  <c r="AA246" i="14" s="1"/>
  <c r="AB246" i="14"/>
  <c r="AC246" i="14" s="1"/>
  <c r="AD246" i="14"/>
  <c r="AH246" i="14" s="1" a="1"/>
  <c r="AH246" i="14" s="1"/>
  <c r="AE246" i="14"/>
  <c r="AJ246" i="14" s="1"/>
  <c r="Z247" i="14"/>
  <c r="AA247" i="14" s="1"/>
  <c r="AB247" i="14"/>
  <c r="AC247" i="14" s="1"/>
  <c r="AD247" i="14"/>
  <c r="AH247" i="14" s="1" a="1"/>
  <c r="AH247" i="14" s="1"/>
  <c r="AE247" i="14"/>
  <c r="Z248" i="14"/>
  <c r="AA248" i="14" s="1"/>
  <c r="AB248" i="14"/>
  <c r="AC248" i="14" s="1"/>
  <c r="AD248" i="14"/>
  <c r="AH248" i="14" s="1" a="1"/>
  <c r="AH248" i="14" s="1"/>
  <c r="AE248" i="14"/>
  <c r="Z249" i="14"/>
  <c r="AA249" i="14" s="1"/>
  <c r="AB249" i="14"/>
  <c r="AC249" i="14" s="1"/>
  <c r="AD249" i="14"/>
  <c r="AH249" i="14" s="1" a="1"/>
  <c r="AH249" i="14" s="1"/>
  <c r="AE249" i="14"/>
  <c r="AF249" i="14" s="1"/>
  <c r="AG249" i="14" s="1"/>
  <c r="Z250" i="14"/>
  <c r="AA250" i="14" s="1"/>
  <c r="AB250" i="14"/>
  <c r="AC250" i="14" s="1"/>
  <c r="AD250" i="14"/>
  <c r="AH250" i="14" s="1" a="1"/>
  <c r="AH250" i="14" s="1"/>
  <c r="AE250" i="14"/>
  <c r="AJ250" i="14" s="1"/>
  <c r="Z251" i="14"/>
  <c r="AA251" i="14" s="1"/>
  <c r="AB251" i="14"/>
  <c r="AC251" i="14" s="1"/>
  <c r="AD251" i="14"/>
  <c r="AH251" i="14" s="1" a="1"/>
  <c r="AH251" i="14" s="1"/>
  <c r="AE251" i="14"/>
  <c r="Z252" i="14"/>
  <c r="AA252" i="14" s="1"/>
  <c r="AB252" i="14"/>
  <c r="AC252" i="14" s="1"/>
  <c r="AD252" i="14"/>
  <c r="AH252" i="14" s="1" a="1"/>
  <c r="AH252" i="14" s="1"/>
  <c r="AE252" i="14"/>
  <c r="AJ252" i="14" s="1"/>
  <c r="Z253" i="14"/>
  <c r="AA253" i="14" s="1"/>
  <c r="AB253" i="14"/>
  <c r="AC253" i="14" s="1"/>
  <c r="AD253" i="14"/>
  <c r="AH253" i="14" s="1" a="1"/>
  <c r="AH253" i="14" s="1"/>
  <c r="AE253" i="14"/>
  <c r="AF253" i="14" s="1"/>
  <c r="AG253" i="14" s="1"/>
  <c r="Z254" i="14"/>
  <c r="AA254" i="14" s="1"/>
  <c r="AB254" i="14"/>
  <c r="AC254" i="14" s="1"/>
  <c r="AD254" i="14"/>
  <c r="AH254" i="14" s="1" a="1"/>
  <c r="AH254" i="14" s="1"/>
  <c r="AE254" i="14"/>
  <c r="Z255" i="14"/>
  <c r="AA255" i="14" s="1"/>
  <c r="AB255" i="14"/>
  <c r="AC255" i="14" s="1"/>
  <c r="AD255" i="14"/>
  <c r="AH255" i="14" s="1" a="1"/>
  <c r="AH255" i="14" s="1"/>
  <c r="AE255" i="14"/>
  <c r="AF255" i="14" s="1"/>
  <c r="AG255" i="14" s="1"/>
  <c r="Z256" i="14"/>
  <c r="AA256" i="14" s="1"/>
  <c r="AB256" i="14"/>
  <c r="AC256" i="14" s="1"/>
  <c r="AD256" i="14"/>
  <c r="AH256" i="14" s="1" a="1"/>
  <c r="AH256" i="14" s="1"/>
  <c r="AE256" i="14"/>
  <c r="AJ256" i="14" s="1"/>
  <c r="Z257" i="14"/>
  <c r="AA257" i="14" s="1"/>
  <c r="AB257" i="14"/>
  <c r="AC257" i="14" s="1"/>
  <c r="AD257" i="14"/>
  <c r="AH257" i="14" s="1" a="1"/>
  <c r="AH257" i="14" s="1"/>
  <c r="AE257" i="14"/>
  <c r="AI257" i="14" s="1"/>
  <c r="Z258" i="14"/>
  <c r="AA258" i="14" s="1"/>
  <c r="AB258" i="14"/>
  <c r="AC258" i="14" s="1"/>
  <c r="AD258" i="14"/>
  <c r="AH258" i="14" s="1" a="1"/>
  <c r="AH258" i="14" s="1"/>
  <c r="AE258" i="14"/>
  <c r="Z259" i="14"/>
  <c r="AA259" i="14" s="1"/>
  <c r="AB259" i="14"/>
  <c r="AC259" i="14" s="1"/>
  <c r="AD259" i="14"/>
  <c r="AH259" i="14" s="1" a="1"/>
  <c r="AH259" i="14" s="1"/>
  <c r="AE259" i="14"/>
  <c r="AI259" i="14" s="1"/>
  <c r="Z260" i="14"/>
  <c r="AA260" i="14" s="1"/>
  <c r="AB260" i="14"/>
  <c r="AC260" i="14" s="1"/>
  <c r="AD260" i="14"/>
  <c r="AH260" i="14" s="1" a="1"/>
  <c r="AH260" i="14" s="1"/>
  <c r="AE260" i="14"/>
  <c r="Z261" i="14"/>
  <c r="AA261" i="14" s="1"/>
  <c r="AB261" i="14"/>
  <c r="AC261" i="14" s="1"/>
  <c r="AD261" i="14"/>
  <c r="AH261" i="14" s="1" a="1"/>
  <c r="AH261" i="14" s="1"/>
  <c r="AE261" i="14"/>
  <c r="AJ261" i="14" s="1"/>
  <c r="Z262" i="14"/>
  <c r="AA262" i="14" s="1"/>
  <c r="AB262" i="14"/>
  <c r="AC262" i="14" s="1"/>
  <c r="AD262" i="14"/>
  <c r="AH262" i="14" s="1" a="1"/>
  <c r="AH262" i="14" s="1"/>
  <c r="AE262" i="14"/>
  <c r="Z263" i="14"/>
  <c r="AA263" i="14" s="1"/>
  <c r="AB263" i="14"/>
  <c r="AC263" i="14" s="1"/>
  <c r="AD263" i="14"/>
  <c r="AH263" i="14" s="1" a="1"/>
  <c r="AH263" i="14" s="1"/>
  <c r="AE263" i="14"/>
  <c r="AJ263" i="14" s="1"/>
  <c r="Z264" i="14"/>
  <c r="AA264" i="14" s="1"/>
  <c r="AB264" i="14"/>
  <c r="AC264" i="14" s="1"/>
  <c r="AD264" i="14"/>
  <c r="AH264" i="14" s="1" a="1"/>
  <c r="AH264" i="14" s="1"/>
  <c r="AE264" i="14"/>
  <c r="Z265" i="14"/>
  <c r="AA265" i="14" s="1"/>
  <c r="AB265" i="14"/>
  <c r="AC265" i="14" s="1"/>
  <c r="AD265" i="14"/>
  <c r="AH265" i="14" s="1" a="1"/>
  <c r="AH265" i="14" s="1"/>
  <c r="AE265" i="14"/>
  <c r="AF265" i="14" s="1"/>
  <c r="AG265" i="14" s="1"/>
  <c r="Z266" i="14"/>
  <c r="AA266" i="14" s="1"/>
  <c r="AB266" i="14"/>
  <c r="AC266" i="14" s="1"/>
  <c r="AD266" i="14"/>
  <c r="AH266" i="14" s="1" a="1"/>
  <c r="AH266" i="14" s="1"/>
  <c r="AE266" i="14"/>
  <c r="Z267" i="14"/>
  <c r="AA267" i="14" s="1"/>
  <c r="AB267" i="14"/>
  <c r="AC267" i="14" s="1"/>
  <c r="AD267" i="14"/>
  <c r="AH267" i="14" s="1" a="1"/>
  <c r="AH267" i="14" s="1"/>
  <c r="AE267" i="14"/>
  <c r="Z268" i="14"/>
  <c r="AA268" i="14" s="1"/>
  <c r="AB268" i="14"/>
  <c r="AC268" i="14" s="1"/>
  <c r="AD268" i="14"/>
  <c r="AH268" i="14" s="1" a="1"/>
  <c r="AH268" i="14" s="1"/>
  <c r="AE268" i="14"/>
  <c r="AJ268" i="14" s="1"/>
  <c r="Z269" i="14"/>
  <c r="AA269" i="14" s="1"/>
  <c r="AB269" i="14"/>
  <c r="AC269" i="14" s="1"/>
  <c r="AD269" i="14"/>
  <c r="AH269" i="14" s="1" a="1"/>
  <c r="AH269" i="14" s="1"/>
  <c r="AE269" i="14"/>
  <c r="AF269" i="14" s="1"/>
  <c r="AG269" i="14" s="1"/>
  <c r="Z270" i="14"/>
  <c r="AA270" i="14" s="1"/>
  <c r="AB270" i="14"/>
  <c r="AC270" i="14" s="1"/>
  <c r="AD270" i="14"/>
  <c r="AH270" i="14" s="1" a="1"/>
  <c r="AH270" i="14" s="1"/>
  <c r="AE270" i="14"/>
  <c r="Z271" i="14"/>
  <c r="AA271" i="14" s="1"/>
  <c r="AB271" i="14"/>
  <c r="AC271" i="14" s="1"/>
  <c r="AD271" i="14"/>
  <c r="AH271" i="14" s="1" a="1"/>
  <c r="AH271" i="14" s="1"/>
  <c r="AE271" i="14"/>
  <c r="AF271" i="14" s="1"/>
  <c r="AG271" i="14" s="1"/>
  <c r="Z272" i="14"/>
  <c r="AA272" i="14" s="1"/>
  <c r="AB272" i="14"/>
  <c r="AC272" i="14" s="1"/>
  <c r="AD272" i="14"/>
  <c r="AH272" i="14" s="1" a="1"/>
  <c r="AH272" i="14" s="1"/>
  <c r="AE272" i="14"/>
  <c r="Z273" i="14"/>
  <c r="AA273" i="14" s="1"/>
  <c r="AB273" i="14"/>
  <c r="AC273" i="14" s="1"/>
  <c r="AD273" i="14"/>
  <c r="AH273" i="14" s="1" a="1"/>
  <c r="AH273" i="14" s="1"/>
  <c r="AE273" i="14"/>
  <c r="AI273" i="14" s="1"/>
  <c r="Z274" i="14"/>
  <c r="AA274" i="14" s="1"/>
  <c r="AB274" i="14"/>
  <c r="AC274" i="14" s="1"/>
  <c r="AD274" i="14"/>
  <c r="AH274" i="14" s="1" a="1"/>
  <c r="AH274" i="14" s="1"/>
  <c r="AE274" i="14"/>
  <c r="AJ274" i="14" s="1"/>
  <c r="Z275" i="14"/>
  <c r="AA275" i="14" s="1"/>
  <c r="AB275" i="14"/>
  <c r="AC275" i="14" s="1"/>
  <c r="AD275" i="14"/>
  <c r="AH275" i="14" s="1" a="1"/>
  <c r="AH275" i="14" s="1"/>
  <c r="AE275" i="14"/>
  <c r="AF275" i="14" s="1"/>
  <c r="AG275" i="14" s="1"/>
  <c r="Z276" i="14"/>
  <c r="AA276" i="14" s="1"/>
  <c r="AB276" i="14"/>
  <c r="AC276" i="14" s="1"/>
  <c r="AD276" i="14"/>
  <c r="AH276" i="14" s="1" a="1"/>
  <c r="AH276" i="14" s="1"/>
  <c r="AE276" i="14"/>
  <c r="AI276" i="14" s="1"/>
  <c r="Z277" i="14"/>
  <c r="AA277" i="14" s="1"/>
  <c r="AB277" i="14"/>
  <c r="AC277" i="14" s="1"/>
  <c r="AD277" i="14"/>
  <c r="AH277" i="14" s="1" a="1"/>
  <c r="AH277" i="14" s="1"/>
  <c r="AE277" i="14"/>
  <c r="Z278" i="14"/>
  <c r="AA278" i="14" s="1"/>
  <c r="AB278" i="14"/>
  <c r="AC278" i="14" s="1"/>
  <c r="AD278" i="14"/>
  <c r="AH278" i="14" s="1" a="1"/>
  <c r="AH278" i="14" s="1"/>
  <c r="AE278" i="14"/>
  <c r="AJ278" i="14" s="1"/>
  <c r="Z279" i="14"/>
  <c r="AA279" i="14" s="1"/>
  <c r="AB279" i="14"/>
  <c r="AC279" i="14" s="1"/>
  <c r="AD279" i="14"/>
  <c r="AH279" i="14" s="1" a="1"/>
  <c r="AH279" i="14" s="1"/>
  <c r="AE279" i="14"/>
  <c r="AF279" i="14" s="1"/>
  <c r="AG279" i="14" s="1"/>
  <c r="Z280" i="14"/>
  <c r="AA280" i="14" s="1"/>
  <c r="AB280" i="14"/>
  <c r="AC280" i="14" s="1"/>
  <c r="AD280" i="14"/>
  <c r="AH280" i="14" s="1" a="1"/>
  <c r="AH280" i="14" s="1"/>
  <c r="AE280" i="14"/>
  <c r="Z281" i="14"/>
  <c r="AA281" i="14" s="1"/>
  <c r="AB281" i="14"/>
  <c r="AC281" i="14" s="1"/>
  <c r="AD281" i="14"/>
  <c r="AH281" i="14" s="1" a="1"/>
  <c r="AH281" i="14" s="1"/>
  <c r="AE281" i="14"/>
  <c r="AF281" i="14" s="1"/>
  <c r="AG281" i="14" s="1"/>
  <c r="Z282" i="14"/>
  <c r="AA282" i="14" s="1"/>
  <c r="AB282" i="14"/>
  <c r="AC282" i="14" s="1"/>
  <c r="AD282" i="14"/>
  <c r="AH282" i="14" s="1" a="1"/>
  <c r="AH282" i="14" s="1"/>
  <c r="AE282" i="14"/>
  <c r="AJ282" i="14" s="1"/>
  <c r="Z283" i="14"/>
  <c r="AA283" i="14" s="1"/>
  <c r="AB283" i="14"/>
  <c r="AC283" i="14" s="1"/>
  <c r="AD283" i="14"/>
  <c r="AH283" i="14" s="1" a="1"/>
  <c r="AH283" i="14" s="1"/>
  <c r="AE283" i="14"/>
  <c r="Z284" i="14"/>
  <c r="AA284" i="14" s="1"/>
  <c r="AB284" i="14"/>
  <c r="AC284" i="14" s="1"/>
  <c r="AD284" i="14"/>
  <c r="AH284" i="14" s="1" a="1"/>
  <c r="AH284" i="14" s="1"/>
  <c r="AE284" i="14"/>
  <c r="Z285" i="14"/>
  <c r="AA285" i="14" s="1"/>
  <c r="AB285" i="14"/>
  <c r="AC285" i="14" s="1"/>
  <c r="AD285" i="14"/>
  <c r="AH285" i="14" s="1" a="1"/>
  <c r="AH285" i="14" s="1"/>
  <c r="AE285" i="14"/>
  <c r="AJ285" i="14" s="1"/>
  <c r="Z286" i="14"/>
  <c r="AA286" i="14" s="1"/>
  <c r="AB286" i="14"/>
  <c r="AC286" i="14" s="1"/>
  <c r="AD286" i="14"/>
  <c r="AH286" i="14" s="1" a="1"/>
  <c r="AH286" i="14" s="1"/>
  <c r="AE286" i="14"/>
  <c r="AJ286" i="14" s="1"/>
  <c r="Z287" i="14"/>
  <c r="AA287" i="14" s="1"/>
  <c r="AB287" i="14"/>
  <c r="AC287" i="14" s="1"/>
  <c r="AD287" i="14"/>
  <c r="AH287" i="14" s="1" a="1"/>
  <c r="AH287" i="14" s="1"/>
  <c r="AE287" i="14"/>
  <c r="Z288" i="14"/>
  <c r="AA288" i="14" s="1"/>
  <c r="AB288" i="14"/>
  <c r="AC288" i="14" s="1"/>
  <c r="AD288" i="14"/>
  <c r="AH288" i="14" s="1" a="1"/>
  <c r="AH288" i="14" s="1"/>
  <c r="AE288" i="14"/>
  <c r="Z289" i="14"/>
  <c r="AA289" i="14" s="1"/>
  <c r="AB289" i="14"/>
  <c r="AC289" i="14" s="1"/>
  <c r="AD289" i="14"/>
  <c r="AH289" i="14" s="1" a="1"/>
  <c r="AH289" i="14" s="1"/>
  <c r="AE289" i="14"/>
  <c r="Z290" i="14"/>
  <c r="AA290" i="14" s="1"/>
  <c r="AB290" i="14"/>
  <c r="AC290" i="14" s="1"/>
  <c r="AD290" i="14"/>
  <c r="AH290" i="14" s="1" a="1"/>
  <c r="AH290" i="14" s="1"/>
  <c r="AE290" i="14"/>
  <c r="Z291" i="14"/>
  <c r="AA291" i="14" s="1"/>
  <c r="AB291" i="14"/>
  <c r="AC291" i="14" s="1"/>
  <c r="AD291" i="14"/>
  <c r="AH291" i="14" s="1" a="1"/>
  <c r="AH291" i="14" s="1"/>
  <c r="AE291" i="14"/>
  <c r="Z292" i="14"/>
  <c r="AA292" i="14" s="1"/>
  <c r="AB292" i="14"/>
  <c r="AC292" i="14" s="1"/>
  <c r="AD292" i="14"/>
  <c r="AH292" i="14" s="1" a="1"/>
  <c r="AH292" i="14" s="1"/>
  <c r="AE292" i="14"/>
  <c r="AJ292" i="14" s="1"/>
  <c r="Z293" i="14"/>
  <c r="AA293" i="14" s="1"/>
  <c r="AB293" i="14"/>
  <c r="AC293" i="14" s="1"/>
  <c r="AD293" i="14"/>
  <c r="AH293" i="14" s="1" a="1"/>
  <c r="AH293" i="14" s="1"/>
  <c r="AE293" i="14"/>
  <c r="AJ293" i="14" s="1"/>
  <c r="Z294" i="14"/>
  <c r="AA294" i="14" s="1"/>
  <c r="AB294" i="14"/>
  <c r="AC294" i="14" s="1"/>
  <c r="AD294" i="14"/>
  <c r="AH294" i="14" s="1" a="1"/>
  <c r="AH294" i="14" s="1"/>
  <c r="AE294" i="14"/>
  <c r="AI294" i="14" s="1"/>
  <c r="Z295" i="14"/>
  <c r="AA295" i="14" s="1"/>
  <c r="AB295" i="14"/>
  <c r="AC295" i="14" s="1"/>
  <c r="AD295" i="14"/>
  <c r="AH295" i="14" s="1" a="1"/>
  <c r="AH295" i="14" s="1"/>
  <c r="AE295" i="14"/>
  <c r="AI295" i="14" s="1"/>
  <c r="Z296" i="14"/>
  <c r="AA296" i="14" s="1"/>
  <c r="AB296" i="14"/>
  <c r="AC296" i="14" s="1"/>
  <c r="AD296" i="14"/>
  <c r="AH296" i="14" s="1" a="1"/>
  <c r="AH296" i="14" s="1"/>
  <c r="AE296" i="14"/>
  <c r="Z297" i="14"/>
  <c r="AA297" i="14" s="1"/>
  <c r="AB297" i="14"/>
  <c r="AC297" i="14" s="1"/>
  <c r="AD297" i="14"/>
  <c r="AH297" i="14" s="1" a="1"/>
  <c r="AH297" i="14" s="1"/>
  <c r="AE297" i="14"/>
  <c r="AF297" i="14" s="1"/>
  <c r="AG297" i="14" s="1"/>
  <c r="Z298" i="14"/>
  <c r="AA298" i="14" s="1"/>
  <c r="AB298" i="14"/>
  <c r="AC298" i="14" s="1"/>
  <c r="AD298" i="14"/>
  <c r="AH298" i="14" s="1" a="1"/>
  <c r="AH298" i="14" s="1"/>
  <c r="AE298" i="14"/>
  <c r="AJ298" i="14" s="1"/>
  <c r="Z299" i="14"/>
  <c r="AA299" i="14" s="1"/>
  <c r="AB299" i="14"/>
  <c r="AC299" i="14" s="1"/>
  <c r="AD299" i="14"/>
  <c r="AH299" i="14" s="1" a="1"/>
  <c r="AH299" i="14" s="1"/>
  <c r="AE299" i="14"/>
  <c r="AI299" i="14" s="1"/>
  <c r="Z300" i="14"/>
  <c r="AA300" i="14" s="1"/>
  <c r="AB300" i="14"/>
  <c r="AC300" i="14" s="1"/>
  <c r="AD300" i="14"/>
  <c r="AH300" i="14" s="1" a="1"/>
  <c r="AH300" i="14" s="1"/>
  <c r="AE300" i="14"/>
  <c r="AJ300" i="14" s="1"/>
  <c r="Z301" i="14"/>
  <c r="AA301" i="14" s="1"/>
  <c r="AB301" i="14"/>
  <c r="AC301" i="14" s="1"/>
  <c r="AD301" i="14"/>
  <c r="AH301" i="14" s="1" a="1"/>
  <c r="AH301" i="14" s="1"/>
  <c r="AE301" i="14"/>
  <c r="Z302" i="14"/>
  <c r="AA302" i="14" s="1"/>
  <c r="AB302" i="14"/>
  <c r="AC302" i="14" s="1"/>
  <c r="AD302" i="14"/>
  <c r="AH302" i="14" s="1" a="1"/>
  <c r="AH302" i="14" s="1"/>
  <c r="AE302" i="14"/>
  <c r="AF302" i="14" s="1"/>
  <c r="AG302" i="14" s="1"/>
  <c r="Z303" i="14"/>
  <c r="AA303" i="14" s="1"/>
  <c r="AB303" i="14"/>
  <c r="AC303" i="14" s="1"/>
  <c r="AD303" i="14"/>
  <c r="AH303" i="14" s="1" a="1"/>
  <c r="AH303" i="14" s="1"/>
  <c r="AE303" i="14"/>
  <c r="AF303" i="14" s="1"/>
  <c r="AG303" i="14" s="1"/>
  <c r="Z304" i="14"/>
  <c r="AA304" i="14" s="1"/>
  <c r="AB304" i="14"/>
  <c r="AC304" i="14" s="1"/>
  <c r="AD304" i="14"/>
  <c r="AH304" i="14" s="1" a="1"/>
  <c r="AH304" i="14" s="1"/>
  <c r="AE304" i="14"/>
  <c r="AJ304" i="14" s="1"/>
  <c r="Z305" i="14"/>
  <c r="AA305" i="14" s="1"/>
  <c r="AB305" i="14"/>
  <c r="AC305" i="14" s="1"/>
  <c r="AD305" i="14"/>
  <c r="AH305" i="14" s="1" a="1"/>
  <c r="AH305" i="14" s="1"/>
  <c r="AE305" i="14"/>
  <c r="AF305" i="14" s="1"/>
  <c r="AG305" i="14" s="1"/>
  <c r="Z306" i="14"/>
  <c r="AA306" i="14" s="1"/>
  <c r="AB306" i="14"/>
  <c r="AC306" i="14" s="1"/>
  <c r="AD306" i="14"/>
  <c r="AH306" i="14" s="1" a="1"/>
  <c r="AH306" i="14" s="1"/>
  <c r="AE306" i="14"/>
  <c r="Z307" i="14"/>
  <c r="AA307" i="14" s="1"/>
  <c r="AB307" i="14"/>
  <c r="AC307" i="14" s="1"/>
  <c r="AD307" i="14"/>
  <c r="AH307" i="14" s="1" a="1"/>
  <c r="AH307" i="14" s="1"/>
  <c r="AE307" i="14"/>
  <c r="AF307" i="14" s="1"/>
  <c r="AG307" i="14" s="1"/>
  <c r="Z308" i="14"/>
  <c r="AA308" i="14" s="1"/>
  <c r="AB308" i="14"/>
  <c r="AC308" i="14" s="1"/>
  <c r="AD308" i="14"/>
  <c r="AH308" i="14" s="1" a="1"/>
  <c r="AH308" i="14" s="1"/>
  <c r="AE308" i="14"/>
  <c r="AJ308" i="14" s="1"/>
  <c r="Z309" i="14"/>
  <c r="AA309" i="14" s="1"/>
  <c r="AB309" i="14"/>
  <c r="AC309" i="14" s="1"/>
  <c r="AD309" i="14"/>
  <c r="AH309" i="14" s="1" a="1"/>
  <c r="AH309" i="14" s="1"/>
  <c r="AE309" i="14"/>
  <c r="AF309" i="14" s="1"/>
  <c r="AG309" i="14" s="1"/>
  <c r="Z310" i="14"/>
  <c r="AA310" i="14" s="1"/>
  <c r="AB310" i="14"/>
  <c r="AC310" i="14" s="1"/>
  <c r="AD310" i="14"/>
  <c r="AH310" i="14" s="1" a="1"/>
  <c r="AH310" i="14" s="1"/>
  <c r="AE310" i="14"/>
  <c r="Z311" i="14"/>
  <c r="AA311" i="14" s="1"/>
  <c r="AB311" i="14"/>
  <c r="AC311" i="14" s="1"/>
  <c r="AD311" i="14"/>
  <c r="AH311" i="14" s="1" a="1"/>
  <c r="AH311" i="14" s="1"/>
  <c r="AE311" i="14"/>
  <c r="Z312" i="14"/>
  <c r="AA312" i="14" s="1"/>
  <c r="AB312" i="14"/>
  <c r="AC312" i="14" s="1"/>
  <c r="AD312" i="14"/>
  <c r="AH312" i="14" s="1" a="1"/>
  <c r="AH312" i="14" s="1"/>
  <c r="AE312" i="14"/>
  <c r="Z313" i="14"/>
  <c r="AA313" i="14" s="1"/>
  <c r="AB313" i="14"/>
  <c r="AC313" i="14" s="1"/>
  <c r="AD313" i="14"/>
  <c r="AH313" i="14" s="1" a="1"/>
  <c r="AH313" i="14" s="1"/>
  <c r="AE313" i="14"/>
  <c r="AF313" i="14" s="1"/>
  <c r="AG313" i="14" s="1"/>
  <c r="Z314" i="14"/>
  <c r="AA314" i="14" s="1"/>
  <c r="AB314" i="14"/>
  <c r="AC314" i="14" s="1"/>
  <c r="AD314" i="14"/>
  <c r="AH314" i="14" s="1" a="1"/>
  <c r="AH314" i="14" s="1"/>
  <c r="AE314" i="14"/>
  <c r="Z315" i="14"/>
  <c r="AA315" i="14" s="1"/>
  <c r="AB315" i="14"/>
  <c r="AC315" i="14" s="1"/>
  <c r="AD315" i="14"/>
  <c r="AH315" i="14" s="1" a="1"/>
  <c r="AH315" i="14" s="1"/>
  <c r="AE315" i="14"/>
  <c r="AF315" i="14" s="1"/>
  <c r="AG315" i="14" s="1"/>
  <c r="Z316" i="14"/>
  <c r="AA316" i="14" s="1"/>
  <c r="AB316" i="14"/>
  <c r="AC316" i="14" s="1"/>
  <c r="AD316" i="14"/>
  <c r="AH316" i="14" s="1" a="1"/>
  <c r="AH316" i="14" s="1"/>
  <c r="AE316" i="14"/>
  <c r="Z317" i="14"/>
  <c r="AA317" i="14" s="1"/>
  <c r="AB317" i="14"/>
  <c r="AC317" i="14" s="1"/>
  <c r="AD317" i="14"/>
  <c r="AH317" i="14" s="1" a="1"/>
  <c r="AH317" i="14" s="1"/>
  <c r="AE317" i="14"/>
  <c r="AJ317" i="14" s="1"/>
  <c r="Z318" i="14"/>
  <c r="AA318" i="14" s="1"/>
  <c r="AB318" i="14"/>
  <c r="AC318" i="14" s="1"/>
  <c r="AD318" i="14"/>
  <c r="AH318" i="14" s="1" a="1"/>
  <c r="AH318" i="14" s="1"/>
  <c r="AE318" i="14"/>
  <c r="Z319" i="14"/>
  <c r="AA319" i="14" s="1"/>
  <c r="AB319" i="14"/>
  <c r="AC319" i="14" s="1"/>
  <c r="AD319" i="14"/>
  <c r="AH319" i="14" s="1" a="1"/>
  <c r="AH319" i="14" s="1"/>
  <c r="AE319" i="14"/>
  <c r="AF319" i="14" s="1"/>
  <c r="AG319" i="14" s="1"/>
  <c r="Z320" i="14"/>
  <c r="AA320" i="14" s="1"/>
  <c r="AB320" i="14"/>
  <c r="AC320" i="14" s="1"/>
  <c r="AD320" i="14"/>
  <c r="AH320" i="14" s="1" a="1"/>
  <c r="AH320" i="14" s="1"/>
  <c r="AE320" i="14"/>
  <c r="Z321" i="14"/>
  <c r="AA321" i="14" s="1"/>
  <c r="AB321" i="14"/>
  <c r="AC321" i="14" s="1"/>
  <c r="AD321" i="14"/>
  <c r="AH321" i="14" s="1" a="1"/>
  <c r="AH321" i="14" s="1"/>
  <c r="AE321" i="14"/>
  <c r="Z322" i="14"/>
  <c r="AA322" i="14" s="1"/>
  <c r="AB322" i="14"/>
  <c r="AC322" i="14" s="1"/>
  <c r="AD322" i="14"/>
  <c r="AH322" i="14" s="1" a="1"/>
  <c r="AH322" i="14" s="1"/>
  <c r="AE322" i="14"/>
  <c r="Z323" i="14"/>
  <c r="AA323" i="14" s="1"/>
  <c r="AB323" i="14"/>
  <c r="AC323" i="14" s="1"/>
  <c r="AD323" i="14"/>
  <c r="AH323" i="14" s="1" a="1"/>
  <c r="AH323" i="14" s="1"/>
  <c r="AE323" i="14"/>
  <c r="AF323" i="14" s="1"/>
  <c r="AG323" i="14" s="1"/>
  <c r="Z324" i="14"/>
  <c r="AA324" i="14" s="1"/>
  <c r="AB324" i="14"/>
  <c r="AC324" i="14" s="1"/>
  <c r="AD324" i="14"/>
  <c r="AH324" i="14" s="1" a="1"/>
  <c r="AH324" i="14" s="1"/>
  <c r="AE324" i="14"/>
  <c r="AF324" i="14" s="1"/>
  <c r="AG324" i="14" s="1"/>
  <c r="Z325" i="14"/>
  <c r="AA325" i="14" s="1"/>
  <c r="AB325" i="14"/>
  <c r="AC325" i="14" s="1"/>
  <c r="AD325" i="14"/>
  <c r="AH325" i="14" s="1" a="1"/>
  <c r="AH325" i="14" s="1"/>
  <c r="AE325" i="14"/>
  <c r="AF325" i="14" s="1"/>
  <c r="AG325" i="14" s="1"/>
  <c r="Z326" i="14"/>
  <c r="AA326" i="14" s="1"/>
  <c r="AB326" i="14"/>
  <c r="AC326" i="14" s="1"/>
  <c r="AD326" i="14"/>
  <c r="AH326" i="14" s="1" a="1"/>
  <c r="AH326" i="14" s="1"/>
  <c r="AE326" i="14"/>
  <c r="AJ326" i="14" s="1"/>
  <c r="Z327" i="14"/>
  <c r="AA327" i="14" s="1"/>
  <c r="AB327" i="14"/>
  <c r="AC327" i="14" s="1"/>
  <c r="AD327" i="14"/>
  <c r="AH327" i="14" s="1" a="1"/>
  <c r="AH327" i="14" s="1"/>
  <c r="AE327" i="14"/>
  <c r="Z328" i="14"/>
  <c r="AA328" i="14" s="1"/>
  <c r="AB328" i="14"/>
  <c r="AC328" i="14" s="1"/>
  <c r="AD328" i="14"/>
  <c r="AH328" i="14" s="1" a="1"/>
  <c r="AH328" i="14" s="1"/>
  <c r="AE328" i="14"/>
  <c r="Z329" i="14"/>
  <c r="AA329" i="14" s="1"/>
  <c r="AB329" i="14"/>
  <c r="AC329" i="14" s="1"/>
  <c r="AD329" i="14"/>
  <c r="AH329" i="14" s="1" a="1"/>
  <c r="AH329" i="14" s="1"/>
  <c r="AE329" i="14"/>
  <c r="AF329" i="14" s="1"/>
  <c r="AG329" i="14" s="1"/>
  <c r="Z330" i="14"/>
  <c r="AA330" i="14" s="1"/>
  <c r="AB330" i="14"/>
  <c r="AC330" i="14" s="1"/>
  <c r="AD330" i="14"/>
  <c r="AH330" i="14" s="1" a="1"/>
  <c r="AH330" i="14" s="1"/>
  <c r="AE330" i="14"/>
  <c r="Z331" i="14"/>
  <c r="AA331" i="14" s="1"/>
  <c r="AB331" i="14"/>
  <c r="AC331" i="14" s="1"/>
  <c r="AD331" i="14"/>
  <c r="AH331" i="14" s="1" a="1"/>
  <c r="AH331" i="14" s="1"/>
  <c r="AE331" i="14"/>
  <c r="Z332" i="14"/>
  <c r="AA332" i="14" s="1"/>
  <c r="AB332" i="14"/>
  <c r="AC332" i="14" s="1"/>
  <c r="AD332" i="14"/>
  <c r="AH332" i="14" s="1" a="1"/>
  <c r="AH332" i="14" s="1"/>
  <c r="AE332" i="14"/>
  <c r="AJ332" i="14" s="1"/>
  <c r="Z333" i="14"/>
  <c r="AA333" i="14" s="1"/>
  <c r="AB333" i="14"/>
  <c r="AC333" i="14" s="1"/>
  <c r="AD333" i="14"/>
  <c r="AH333" i="14" s="1" a="1"/>
  <c r="AH333" i="14" s="1"/>
  <c r="AE333" i="14"/>
  <c r="AJ333" i="14" s="1"/>
  <c r="Z334" i="14"/>
  <c r="AA334" i="14" s="1"/>
  <c r="AB334" i="14"/>
  <c r="AC334" i="14" s="1"/>
  <c r="AD334" i="14"/>
  <c r="AH334" i="14" s="1" a="1"/>
  <c r="AH334" i="14" s="1"/>
  <c r="AE334" i="14"/>
  <c r="Z335" i="14"/>
  <c r="AA335" i="14" s="1"/>
  <c r="AB335" i="14"/>
  <c r="AC335" i="14" s="1"/>
  <c r="AD335" i="14"/>
  <c r="AH335" i="14" s="1" a="1"/>
  <c r="AH335" i="14" s="1"/>
  <c r="AE335" i="14"/>
  <c r="AF335" i="14" s="1"/>
  <c r="AG335" i="14" s="1"/>
  <c r="Z336" i="14"/>
  <c r="AA336" i="14" s="1"/>
  <c r="AB336" i="14"/>
  <c r="AC336" i="14" s="1"/>
  <c r="AD336" i="14"/>
  <c r="AH336" i="14" s="1" a="1"/>
  <c r="AH336" i="14" s="1"/>
  <c r="AE336" i="14"/>
  <c r="AJ336" i="14" s="1"/>
  <c r="Z337" i="14"/>
  <c r="AA337" i="14" s="1"/>
  <c r="AB337" i="14"/>
  <c r="AC337" i="14" s="1"/>
  <c r="AD337" i="14"/>
  <c r="AH337" i="14" s="1" a="1"/>
  <c r="AH337" i="14" s="1"/>
  <c r="AE337" i="14"/>
  <c r="Z338" i="14"/>
  <c r="AA338" i="14" s="1"/>
  <c r="AB338" i="14"/>
  <c r="AC338" i="14" s="1"/>
  <c r="AD338" i="14"/>
  <c r="AH338" i="14" s="1" a="1"/>
  <c r="AH338" i="14" s="1"/>
  <c r="AE338" i="14"/>
  <c r="AJ338" i="14" s="1"/>
  <c r="Z339" i="14"/>
  <c r="AA339" i="14" s="1"/>
  <c r="AB339" i="14"/>
  <c r="AC339" i="14" s="1"/>
  <c r="AD339" i="14"/>
  <c r="AH339" i="14" s="1" a="1"/>
  <c r="AH339" i="14" s="1"/>
  <c r="AE339" i="14"/>
  <c r="AF339" i="14" s="1"/>
  <c r="AG339" i="14" s="1"/>
  <c r="Z340" i="14"/>
  <c r="AA340" i="14" s="1"/>
  <c r="AB340" i="14"/>
  <c r="AC340" i="14" s="1"/>
  <c r="AD340" i="14"/>
  <c r="AH340" i="14" s="1" a="1"/>
  <c r="AH340" i="14" s="1"/>
  <c r="AE340" i="14"/>
  <c r="AF340" i="14" s="1"/>
  <c r="AG340" i="14" s="1"/>
  <c r="Z341" i="14"/>
  <c r="AA341" i="14" s="1"/>
  <c r="AB341" i="14"/>
  <c r="AC341" i="14" s="1"/>
  <c r="AD341" i="14"/>
  <c r="AH341" i="14" s="1" a="1"/>
  <c r="AH341" i="14" s="1"/>
  <c r="AE341" i="14"/>
  <c r="AF341" i="14" s="1"/>
  <c r="AG341" i="14" s="1"/>
  <c r="Z342" i="14"/>
  <c r="AA342" i="14" s="1"/>
  <c r="AB342" i="14"/>
  <c r="AC342" i="14" s="1"/>
  <c r="AD342" i="14"/>
  <c r="AH342" i="14" s="1" a="1"/>
  <c r="AH342" i="14" s="1"/>
  <c r="AE342" i="14"/>
  <c r="AJ342" i="14" s="1"/>
  <c r="Z343" i="14"/>
  <c r="AA343" i="14" s="1"/>
  <c r="AB343" i="14"/>
  <c r="AC343" i="14" s="1"/>
  <c r="AD343" i="14"/>
  <c r="AH343" i="14" s="1" a="1"/>
  <c r="AH343" i="14" s="1"/>
  <c r="AE343" i="14"/>
  <c r="AF343" i="14" s="1"/>
  <c r="AG343" i="14" s="1"/>
  <c r="Z344" i="14"/>
  <c r="AA344" i="14" s="1"/>
  <c r="AB344" i="14"/>
  <c r="AC344" i="14" s="1"/>
  <c r="AD344" i="14"/>
  <c r="AH344" i="14" s="1" a="1"/>
  <c r="AH344" i="14" s="1"/>
  <c r="AE344" i="14"/>
  <c r="AF344" i="14" s="1"/>
  <c r="AG344" i="14" s="1"/>
  <c r="Z345" i="14"/>
  <c r="AA345" i="14" s="1"/>
  <c r="AB345" i="14"/>
  <c r="AC345" i="14" s="1"/>
  <c r="AD345" i="14"/>
  <c r="AH345" i="14" s="1" a="1"/>
  <c r="AH345" i="14" s="1"/>
  <c r="AE345" i="14"/>
  <c r="AF345" i="14" s="1"/>
  <c r="AG345" i="14" s="1"/>
  <c r="Z346" i="14"/>
  <c r="AA346" i="14" s="1"/>
  <c r="AB346" i="14"/>
  <c r="AC346" i="14" s="1"/>
  <c r="AD346" i="14"/>
  <c r="AH346" i="14" s="1" a="1"/>
  <c r="AH346" i="14" s="1"/>
  <c r="AE346" i="14"/>
  <c r="Z347" i="14"/>
  <c r="AA347" i="14" s="1"/>
  <c r="AB347" i="14"/>
  <c r="AC347" i="14" s="1"/>
  <c r="AD347" i="14"/>
  <c r="AH347" i="14" s="1" a="1"/>
  <c r="AH347" i="14" s="1"/>
  <c r="AE347" i="14"/>
  <c r="AF347" i="14" s="1"/>
  <c r="AG347" i="14" s="1"/>
  <c r="Z348" i="14"/>
  <c r="AA348" i="14" s="1"/>
  <c r="AB348" i="14"/>
  <c r="AC348" i="14" s="1"/>
  <c r="AD348" i="14"/>
  <c r="AH348" i="14" s="1" a="1"/>
  <c r="AH348" i="14" s="1"/>
  <c r="AE348" i="14"/>
  <c r="AJ348" i="14" s="1"/>
  <c r="Z349" i="14"/>
  <c r="AA349" i="14" s="1"/>
  <c r="AB349" i="14"/>
  <c r="AC349" i="14" s="1"/>
  <c r="AD349" i="14"/>
  <c r="AH349" i="14" s="1" a="1"/>
  <c r="AH349" i="14" s="1"/>
  <c r="AE349" i="14"/>
  <c r="AJ349" i="14" s="1"/>
  <c r="Z350" i="14"/>
  <c r="AA350" i="14" s="1"/>
  <c r="AB350" i="14"/>
  <c r="AC350" i="14" s="1"/>
  <c r="AD350" i="14"/>
  <c r="AH350" i="14" s="1" a="1"/>
  <c r="AH350" i="14" s="1"/>
  <c r="AE350" i="14"/>
  <c r="Z351" i="14"/>
  <c r="AA351" i="14" s="1"/>
  <c r="AB351" i="14"/>
  <c r="AC351" i="14" s="1"/>
  <c r="AD351" i="14"/>
  <c r="AH351" i="14" s="1" a="1"/>
  <c r="AH351" i="14" s="1"/>
  <c r="AE351" i="14"/>
  <c r="Z352" i="14"/>
  <c r="AA352" i="14" s="1"/>
  <c r="AB352" i="14"/>
  <c r="AC352" i="14" s="1"/>
  <c r="AD352" i="14"/>
  <c r="AH352" i="14" s="1" a="1"/>
  <c r="AH352" i="14" s="1"/>
  <c r="AE352" i="14"/>
  <c r="AJ352" i="14" s="1"/>
  <c r="Z353" i="14"/>
  <c r="AA353" i="14" s="1"/>
  <c r="AB353" i="14"/>
  <c r="AC353" i="14" s="1"/>
  <c r="AD353" i="14"/>
  <c r="AH353" i="14" s="1" a="1"/>
  <c r="AH353" i="14" s="1"/>
  <c r="AE353" i="14"/>
  <c r="Z354" i="14"/>
  <c r="AA354" i="14" s="1"/>
  <c r="AB354" i="14"/>
  <c r="AC354" i="14" s="1"/>
  <c r="AD354" i="14"/>
  <c r="AH354" i="14" s="1" a="1"/>
  <c r="AH354" i="14" s="1"/>
  <c r="AE354" i="14"/>
  <c r="AJ354" i="14" s="1"/>
  <c r="Z355" i="14"/>
  <c r="AA355" i="14" s="1"/>
  <c r="AB355" i="14"/>
  <c r="AC355" i="14" s="1"/>
  <c r="AD355" i="14"/>
  <c r="AH355" i="14" s="1" a="1"/>
  <c r="AH355" i="14" s="1"/>
  <c r="AE355" i="14"/>
  <c r="AF355" i="14" s="1"/>
  <c r="AG355" i="14" s="1"/>
  <c r="Z356" i="14"/>
  <c r="AA356" i="14" s="1"/>
  <c r="AB356" i="14"/>
  <c r="AC356" i="14" s="1"/>
  <c r="AD356" i="14"/>
  <c r="AH356" i="14" s="1" a="1"/>
  <c r="AH356" i="14" s="1"/>
  <c r="AE356" i="14"/>
  <c r="AF356" i="14" s="1"/>
  <c r="AG356" i="14" s="1"/>
  <c r="Z357" i="14"/>
  <c r="AA357" i="14" s="1"/>
  <c r="AB357" i="14"/>
  <c r="AC357" i="14" s="1"/>
  <c r="AD357" i="14"/>
  <c r="AH357" i="14" s="1" a="1"/>
  <c r="AH357" i="14" s="1"/>
  <c r="AE357" i="14"/>
  <c r="AF357" i="14" s="1"/>
  <c r="AG357" i="14" s="1"/>
  <c r="Z358" i="14"/>
  <c r="AA358" i="14" s="1"/>
  <c r="AB358" i="14"/>
  <c r="AC358" i="14" s="1"/>
  <c r="AD358" i="14"/>
  <c r="AH358" i="14" s="1" a="1"/>
  <c r="AH358" i="14" s="1"/>
  <c r="AE358" i="14"/>
  <c r="Z359" i="14"/>
  <c r="AA359" i="14" s="1"/>
  <c r="AB359" i="14"/>
  <c r="AC359" i="14" s="1"/>
  <c r="AD359" i="14"/>
  <c r="AH359" i="14" s="1" a="1"/>
  <c r="AH359" i="14" s="1"/>
  <c r="AE359" i="14"/>
  <c r="AF359" i="14" s="1"/>
  <c r="AG359" i="14" s="1"/>
  <c r="Z360" i="14"/>
  <c r="AA360" i="14" s="1"/>
  <c r="AB360" i="14"/>
  <c r="AC360" i="14" s="1"/>
  <c r="AD360" i="14"/>
  <c r="AH360" i="14" s="1" a="1"/>
  <c r="AH360" i="14" s="1"/>
  <c r="AE360" i="14"/>
  <c r="Z361" i="14"/>
  <c r="AA361" i="14" s="1"/>
  <c r="AB361" i="14"/>
  <c r="AC361" i="14" s="1"/>
  <c r="AD361" i="14"/>
  <c r="AH361" i="14" s="1" a="1"/>
  <c r="AH361" i="14" s="1"/>
  <c r="AE361" i="14"/>
  <c r="Z362" i="14"/>
  <c r="AA362" i="14" s="1"/>
  <c r="AB362" i="14"/>
  <c r="AC362" i="14" s="1"/>
  <c r="AD362" i="14"/>
  <c r="AH362" i="14" s="1" a="1"/>
  <c r="AH362" i="14" s="1"/>
  <c r="AE362" i="14"/>
  <c r="AJ362" i="14" s="1"/>
  <c r="Z363" i="14"/>
  <c r="AA363" i="14" s="1"/>
  <c r="AB363" i="14"/>
  <c r="AC363" i="14" s="1"/>
  <c r="AD363" i="14"/>
  <c r="AH363" i="14" s="1" a="1"/>
  <c r="AH363" i="14" s="1"/>
  <c r="AE363" i="14"/>
  <c r="Z364" i="14"/>
  <c r="AA364" i="14" s="1"/>
  <c r="AB364" i="14"/>
  <c r="AC364" i="14" s="1"/>
  <c r="AD364" i="14"/>
  <c r="AH364" i="14" s="1" a="1"/>
  <c r="AH364" i="14" s="1"/>
  <c r="AE364" i="14"/>
  <c r="AJ364" i="14" s="1"/>
  <c r="Z365" i="14"/>
  <c r="AA365" i="14" s="1"/>
  <c r="AB365" i="14"/>
  <c r="AC365" i="14" s="1"/>
  <c r="AD365" i="14"/>
  <c r="AH365" i="14" s="1" a="1"/>
  <c r="AH365" i="14" s="1"/>
  <c r="AE365" i="14"/>
  <c r="AJ365" i="14" s="1"/>
  <c r="Z366" i="14"/>
  <c r="AA366" i="14" s="1"/>
  <c r="AB366" i="14"/>
  <c r="AC366" i="14" s="1"/>
  <c r="AD366" i="14"/>
  <c r="AH366" i="14" s="1" a="1"/>
  <c r="AH366" i="14" s="1"/>
  <c r="AE366" i="14"/>
  <c r="AJ366" i="14" s="1"/>
  <c r="Z367" i="14"/>
  <c r="AA367" i="14" s="1"/>
  <c r="AB367" i="14"/>
  <c r="AC367" i="14" s="1"/>
  <c r="AD367" i="14"/>
  <c r="AH367" i="14" s="1" a="1"/>
  <c r="AH367" i="14" s="1"/>
  <c r="AE367" i="14"/>
  <c r="Z368" i="14"/>
  <c r="AA368" i="14" s="1"/>
  <c r="AB368" i="14"/>
  <c r="AC368" i="14" s="1"/>
  <c r="AD368" i="14"/>
  <c r="AH368" i="14" s="1" a="1"/>
  <c r="AH368" i="14" s="1"/>
  <c r="AE368" i="14"/>
  <c r="AJ368" i="14" s="1"/>
  <c r="Z369" i="14"/>
  <c r="AA369" i="14" s="1"/>
  <c r="AB369" i="14"/>
  <c r="AC369" i="14" s="1"/>
  <c r="AD369" i="14"/>
  <c r="AH369" i="14" s="1" a="1"/>
  <c r="AH369" i="14" s="1"/>
  <c r="AE369" i="14"/>
  <c r="AI369" i="14" s="1"/>
  <c r="Z370" i="14"/>
  <c r="AA370" i="14" s="1"/>
  <c r="AB370" i="14"/>
  <c r="AC370" i="14" s="1"/>
  <c r="AD370" i="14"/>
  <c r="AH370" i="14" s="1" a="1"/>
  <c r="AH370" i="14" s="1"/>
  <c r="AE370" i="14"/>
  <c r="AI370" i="14" s="1"/>
  <c r="Z371" i="14"/>
  <c r="AA371" i="14" s="1"/>
  <c r="AB371" i="14"/>
  <c r="AC371" i="14" s="1"/>
  <c r="AD371" i="14"/>
  <c r="AH371" i="14" s="1" a="1"/>
  <c r="AH371" i="14" s="1"/>
  <c r="AE371" i="14"/>
  <c r="Z372" i="14"/>
  <c r="AA372" i="14" s="1"/>
  <c r="AB372" i="14"/>
  <c r="AC372" i="14" s="1"/>
  <c r="AD372" i="14"/>
  <c r="AH372" i="14" s="1" a="1"/>
  <c r="AH372" i="14" s="1"/>
  <c r="AE372" i="14"/>
  <c r="Z373" i="14"/>
  <c r="AA373" i="14" s="1"/>
  <c r="AB373" i="14"/>
  <c r="AC373" i="14" s="1"/>
  <c r="AD373" i="14"/>
  <c r="AH373" i="14" s="1" a="1"/>
  <c r="AH373" i="14" s="1"/>
  <c r="AE373" i="14"/>
  <c r="AF373" i="14" s="1"/>
  <c r="AG373" i="14" s="1"/>
  <c r="Z374" i="14"/>
  <c r="AA374" i="14" s="1"/>
  <c r="AB374" i="14"/>
  <c r="AC374" i="14" s="1"/>
  <c r="AD374" i="14"/>
  <c r="AH374" i="14" s="1" a="1"/>
  <c r="AH374" i="14" s="1"/>
  <c r="AE374" i="14"/>
  <c r="AJ374" i="14" s="1"/>
  <c r="Z375" i="14"/>
  <c r="AA375" i="14" s="1"/>
  <c r="AB375" i="14"/>
  <c r="AC375" i="14" s="1"/>
  <c r="AD375" i="14"/>
  <c r="AH375" i="14" s="1" a="1"/>
  <c r="AH375" i="14" s="1"/>
  <c r="AE375" i="14"/>
  <c r="AF375" i="14" s="1"/>
  <c r="AG375" i="14" s="1"/>
  <c r="Z376" i="14"/>
  <c r="AA376" i="14" s="1"/>
  <c r="AB376" i="14"/>
  <c r="AC376" i="14" s="1"/>
  <c r="AD376" i="14"/>
  <c r="AH376" i="14" s="1" a="1"/>
  <c r="AH376" i="14" s="1"/>
  <c r="AE376" i="14"/>
  <c r="Z377" i="14"/>
  <c r="AA377" i="14" s="1"/>
  <c r="AB377" i="14"/>
  <c r="AC377" i="14" s="1"/>
  <c r="AD377" i="14"/>
  <c r="AH377" i="14" s="1" a="1"/>
  <c r="AH377" i="14" s="1"/>
  <c r="AE377" i="14"/>
  <c r="Z378" i="14"/>
  <c r="AA378" i="14" s="1"/>
  <c r="AB378" i="14"/>
  <c r="AC378" i="14" s="1"/>
  <c r="AD378" i="14"/>
  <c r="AH378" i="14" s="1" a="1"/>
  <c r="AH378" i="14" s="1"/>
  <c r="AE378" i="14"/>
  <c r="AF378" i="14" s="1"/>
  <c r="AG378" i="14" s="1"/>
  <c r="Z379" i="14"/>
  <c r="AA379" i="14" s="1"/>
  <c r="AB379" i="14"/>
  <c r="AC379" i="14" s="1"/>
  <c r="AD379" i="14"/>
  <c r="AH379" i="14" s="1" a="1"/>
  <c r="AH379" i="14" s="1"/>
  <c r="AE379" i="14"/>
  <c r="AJ379" i="14" s="1"/>
  <c r="Z380" i="14"/>
  <c r="AA380" i="14" s="1"/>
  <c r="AB380" i="14"/>
  <c r="AC380" i="14" s="1"/>
  <c r="AD380" i="14"/>
  <c r="AH380" i="14" s="1" a="1"/>
  <c r="AH380" i="14" s="1"/>
  <c r="AE380" i="14"/>
  <c r="Z381" i="14"/>
  <c r="AA381" i="14" s="1"/>
  <c r="AB381" i="14"/>
  <c r="AC381" i="14" s="1"/>
  <c r="AD381" i="14"/>
  <c r="AH381" i="14" s="1" a="1"/>
  <c r="AH381" i="14" s="1"/>
  <c r="AE381" i="14"/>
  <c r="Z382" i="14"/>
  <c r="AA382" i="14" s="1"/>
  <c r="AB382" i="14"/>
  <c r="AC382" i="14" s="1"/>
  <c r="AD382" i="14"/>
  <c r="AH382" i="14" s="1" a="1"/>
  <c r="AH382" i="14" s="1"/>
  <c r="AE382" i="14"/>
  <c r="AJ382" i="14" s="1"/>
  <c r="Z383" i="14"/>
  <c r="AA383" i="14" s="1"/>
  <c r="AB383" i="14"/>
  <c r="AC383" i="14" s="1"/>
  <c r="AD383" i="14"/>
  <c r="AH383" i="14" s="1" a="1"/>
  <c r="AH383" i="14" s="1"/>
  <c r="AE383" i="14"/>
  <c r="AF383" i="14" s="1"/>
  <c r="AG383" i="14" s="1"/>
  <c r="Z384" i="14"/>
  <c r="AA384" i="14" s="1"/>
  <c r="AB384" i="14"/>
  <c r="AC384" i="14" s="1"/>
  <c r="AD384" i="14"/>
  <c r="AH384" i="14" s="1" a="1"/>
  <c r="AH384" i="14" s="1"/>
  <c r="AE384" i="14"/>
  <c r="AJ384" i="14" s="1"/>
  <c r="Z385" i="14"/>
  <c r="AA385" i="14" s="1"/>
  <c r="AB385" i="14"/>
  <c r="AC385" i="14" s="1"/>
  <c r="AD385" i="14"/>
  <c r="AH385" i="14" s="1" a="1"/>
  <c r="AH385" i="14" s="1"/>
  <c r="AE385" i="14"/>
  <c r="Z386" i="14"/>
  <c r="AA386" i="14" s="1"/>
  <c r="AB386" i="14"/>
  <c r="AC386" i="14" s="1"/>
  <c r="AD386" i="14"/>
  <c r="AH386" i="14" s="1" a="1"/>
  <c r="AH386" i="14" s="1"/>
  <c r="AE386" i="14"/>
  <c r="Z387" i="14"/>
  <c r="AA387" i="14" s="1"/>
  <c r="AB387" i="14"/>
  <c r="AC387" i="14" s="1"/>
  <c r="AD387" i="14"/>
  <c r="AH387" i="14" s="1" a="1"/>
  <c r="AH387" i="14" s="1"/>
  <c r="AE387" i="14"/>
  <c r="AI387" i="14" s="1"/>
  <c r="Z388" i="14"/>
  <c r="AA388" i="14" s="1"/>
  <c r="AB388" i="14"/>
  <c r="AC388" i="14" s="1"/>
  <c r="AD388" i="14"/>
  <c r="AH388" i="14" s="1" a="1"/>
  <c r="AH388" i="14" s="1"/>
  <c r="AE388" i="14"/>
  <c r="AF388" i="14" s="1"/>
  <c r="AG388" i="14" s="1"/>
  <c r="Z389" i="14"/>
  <c r="AA389" i="14" s="1"/>
  <c r="AB389" i="14"/>
  <c r="AC389" i="14" s="1"/>
  <c r="AD389" i="14"/>
  <c r="AH389" i="14" s="1" a="1"/>
  <c r="AH389" i="14" s="1"/>
  <c r="AE389" i="14"/>
  <c r="AI389" i="14" s="1"/>
  <c r="Z390" i="14"/>
  <c r="AA390" i="14" s="1"/>
  <c r="AB390" i="14"/>
  <c r="AC390" i="14" s="1"/>
  <c r="AD390" i="14"/>
  <c r="AH390" i="14" s="1" a="1"/>
  <c r="AH390" i="14" s="1"/>
  <c r="AE390" i="14"/>
  <c r="AJ390" i="14" s="1"/>
  <c r="Z391" i="14"/>
  <c r="AA391" i="14" s="1"/>
  <c r="AB391" i="14"/>
  <c r="AC391" i="14" s="1"/>
  <c r="AD391" i="14"/>
  <c r="AH391" i="14" s="1" a="1"/>
  <c r="AH391" i="14" s="1"/>
  <c r="AE391" i="14"/>
  <c r="Z392" i="14"/>
  <c r="AA392" i="14" s="1"/>
  <c r="AB392" i="14"/>
  <c r="AC392" i="14" s="1"/>
  <c r="AD392" i="14"/>
  <c r="AH392" i="14" s="1" a="1"/>
  <c r="AH392" i="14" s="1"/>
  <c r="AE392" i="14"/>
  <c r="AJ392" i="14" s="1"/>
  <c r="Z393" i="14"/>
  <c r="AA393" i="14" s="1"/>
  <c r="AB393" i="14"/>
  <c r="AC393" i="14" s="1"/>
  <c r="AD393" i="14"/>
  <c r="AH393" i="14" s="1" a="1"/>
  <c r="AH393" i="14" s="1"/>
  <c r="AE393" i="14"/>
  <c r="Z394" i="14"/>
  <c r="AA394" i="14" s="1"/>
  <c r="AB394" i="14"/>
  <c r="AC394" i="14" s="1"/>
  <c r="AD394" i="14"/>
  <c r="AH394" i="14" s="1" a="1"/>
  <c r="AH394" i="14" s="1"/>
  <c r="AE394" i="14"/>
  <c r="Z395" i="14"/>
  <c r="AA395" i="14" s="1"/>
  <c r="AB395" i="14"/>
  <c r="AC395" i="14" s="1"/>
  <c r="AD395" i="14"/>
  <c r="AH395" i="14" s="1" a="1"/>
  <c r="AH395" i="14" s="1"/>
  <c r="AE395" i="14"/>
  <c r="AF395" i="14" s="1"/>
  <c r="AG395" i="14" s="1"/>
  <c r="Z396" i="14"/>
  <c r="AA396" i="14" s="1"/>
  <c r="AB396" i="14"/>
  <c r="AC396" i="14" s="1"/>
  <c r="AD396" i="14"/>
  <c r="AH396" i="14" s="1" a="1"/>
  <c r="AH396" i="14" s="1"/>
  <c r="AE396" i="14"/>
  <c r="Z397" i="14"/>
  <c r="AA397" i="14" s="1"/>
  <c r="AB397" i="14"/>
  <c r="AC397" i="14" s="1"/>
  <c r="AD397" i="14"/>
  <c r="AH397" i="14" s="1" a="1"/>
  <c r="AH397" i="14" s="1"/>
  <c r="AE397" i="14"/>
  <c r="AI397" i="14" s="1"/>
  <c r="Z398" i="14"/>
  <c r="AA398" i="14" s="1"/>
  <c r="AB398" i="14"/>
  <c r="AC398" i="14" s="1"/>
  <c r="AD398" i="14"/>
  <c r="AH398" i="14" s="1" a="1"/>
  <c r="AH398" i="14" s="1"/>
  <c r="AE398" i="14"/>
  <c r="AJ398" i="14" s="1"/>
  <c r="Z399" i="14"/>
  <c r="AA399" i="14" s="1"/>
  <c r="AB399" i="14"/>
  <c r="AC399" i="14" s="1"/>
  <c r="AD399" i="14"/>
  <c r="AH399" i="14" s="1" a="1"/>
  <c r="AH399" i="14" s="1"/>
  <c r="AE399" i="14"/>
  <c r="AI399" i="14" s="1"/>
  <c r="Z400" i="14"/>
  <c r="AA400" i="14" s="1"/>
  <c r="AB400" i="14"/>
  <c r="AC400" i="14" s="1"/>
  <c r="AD400" i="14"/>
  <c r="AH400" i="14" s="1" a="1"/>
  <c r="AH400" i="14" s="1"/>
  <c r="AE400" i="14"/>
  <c r="AJ400" i="14" s="1"/>
  <c r="Z401" i="14"/>
  <c r="AA401" i="14" s="1"/>
  <c r="AB401" i="14"/>
  <c r="AC401" i="14" s="1"/>
  <c r="AD401" i="14"/>
  <c r="AH401" i="14" s="1" a="1"/>
  <c r="AH401" i="14" s="1"/>
  <c r="AE401" i="14"/>
  <c r="AI401" i="14" s="1"/>
  <c r="Z402" i="14"/>
  <c r="AA402" i="14" s="1"/>
  <c r="AB402" i="14"/>
  <c r="AC402" i="14" s="1"/>
  <c r="AD402" i="14"/>
  <c r="AH402" i="14" s="1" a="1"/>
  <c r="AH402" i="14" s="1"/>
  <c r="AE402" i="14"/>
  <c r="AJ402" i="14" s="1"/>
  <c r="Z403" i="14"/>
  <c r="AA403" i="14" s="1"/>
  <c r="AB403" i="14"/>
  <c r="AC403" i="14" s="1"/>
  <c r="AD403" i="14"/>
  <c r="AH403" i="14" s="1" a="1"/>
  <c r="AH403" i="14" s="1"/>
  <c r="AE403" i="14"/>
  <c r="AJ403" i="14" s="1"/>
  <c r="Z404" i="14"/>
  <c r="AA404" i="14" s="1"/>
  <c r="AB404" i="14"/>
  <c r="AC404" i="14" s="1"/>
  <c r="AD404" i="14"/>
  <c r="AH404" i="14" s="1" a="1"/>
  <c r="AH404" i="14" s="1"/>
  <c r="AE404" i="14"/>
  <c r="Z405" i="14"/>
  <c r="AA405" i="14" s="1"/>
  <c r="AB405" i="14"/>
  <c r="AC405" i="14" s="1"/>
  <c r="AD405" i="14"/>
  <c r="AH405" i="14" s="1" a="1"/>
  <c r="AH405" i="14" s="1"/>
  <c r="AE405" i="14"/>
  <c r="AI405" i="14" s="1"/>
  <c r="Z406" i="14"/>
  <c r="AA406" i="14" s="1"/>
  <c r="AB406" i="14"/>
  <c r="AC406" i="14" s="1"/>
  <c r="AD406" i="14"/>
  <c r="AH406" i="14" s="1" a="1"/>
  <c r="AH406" i="14" s="1"/>
  <c r="AE406" i="14"/>
  <c r="Z407" i="14"/>
  <c r="AA407" i="14" s="1"/>
  <c r="AB407" i="14"/>
  <c r="AC407" i="14" s="1"/>
  <c r="AD407" i="14"/>
  <c r="AH407" i="14" s="1" a="1"/>
  <c r="AH407" i="14" s="1"/>
  <c r="AE407" i="14"/>
  <c r="AI407" i="14" s="1"/>
  <c r="Z408" i="14"/>
  <c r="AA408" i="14" s="1"/>
  <c r="AB408" i="14"/>
  <c r="AC408" i="14" s="1"/>
  <c r="AD408" i="14"/>
  <c r="AH408" i="14" s="1" a="1"/>
  <c r="AH408" i="14" s="1"/>
  <c r="AE408" i="14"/>
  <c r="Z409" i="14"/>
  <c r="AA409" i="14" s="1"/>
  <c r="AB409" i="14"/>
  <c r="AC409" i="14" s="1"/>
  <c r="AD409" i="14"/>
  <c r="AH409" i="14" s="1" a="1"/>
  <c r="AH409" i="14" s="1"/>
  <c r="AE409" i="14"/>
  <c r="Z410" i="14"/>
  <c r="AA410" i="14" s="1"/>
  <c r="AB410" i="14"/>
  <c r="AC410" i="14" s="1"/>
  <c r="AD410" i="14"/>
  <c r="AH410" i="14" s="1" a="1"/>
  <c r="AH410" i="14" s="1"/>
  <c r="AE410" i="14"/>
  <c r="AJ410" i="14" s="1"/>
  <c r="Z411" i="14"/>
  <c r="AA411" i="14" s="1"/>
  <c r="AB411" i="14"/>
  <c r="AC411" i="14" s="1"/>
  <c r="AD411" i="14"/>
  <c r="AH411" i="14" s="1" a="1"/>
  <c r="AH411" i="14" s="1"/>
  <c r="AE411" i="14"/>
  <c r="Z412" i="14"/>
  <c r="AA412" i="14" s="1"/>
  <c r="AB412" i="14"/>
  <c r="AC412" i="14" s="1"/>
  <c r="AD412" i="14"/>
  <c r="AH412" i="14" s="1" a="1"/>
  <c r="AH412" i="14" s="1"/>
  <c r="AE412" i="14"/>
  <c r="Z413" i="14"/>
  <c r="AA413" i="14" s="1"/>
  <c r="AB413" i="14"/>
  <c r="AC413" i="14" s="1"/>
  <c r="AD413" i="14"/>
  <c r="AH413" i="14" s="1" a="1"/>
  <c r="AH413" i="14" s="1"/>
  <c r="AE413" i="14"/>
  <c r="AF413" i="14" s="1"/>
  <c r="AG413" i="14" s="1"/>
  <c r="Z414" i="14"/>
  <c r="AA414" i="14" s="1"/>
  <c r="AB414" i="14"/>
  <c r="AC414" i="14" s="1"/>
  <c r="AD414" i="14"/>
  <c r="AH414" i="14" s="1" a="1"/>
  <c r="AH414" i="14" s="1"/>
  <c r="AE414" i="14"/>
  <c r="AJ414" i="14" s="1"/>
  <c r="Z415" i="14"/>
  <c r="AA415" i="14" s="1"/>
  <c r="AB415" i="14"/>
  <c r="AC415" i="14" s="1"/>
  <c r="AD415" i="14"/>
  <c r="AH415" i="14" s="1" a="1"/>
  <c r="AH415" i="14" s="1"/>
  <c r="AE415" i="14"/>
  <c r="AI415" i="14" s="1"/>
  <c r="Z416" i="14"/>
  <c r="AA416" i="14" s="1"/>
  <c r="AB416" i="14"/>
  <c r="AC416" i="14" s="1"/>
  <c r="AD416" i="14"/>
  <c r="AH416" i="14" s="1" a="1"/>
  <c r="AH416" i="14" s="1"/>
  <c r="AE416" i="14"/>
  <c r="AJ416" i="14" s="1"/>
  <c r="Z417" i="14"/>
  <c r="AA417" i="14" s="1"/>
  <c r="AB417" i="14"/>
  <c r="AC417" i="14" s="1"/>
  <c r="AD417" i="14"/>
  <c r="AH417" i="14" s="1" a="1"/>
  <c r="AH417" i="14" s="1"/>
  <c r="AE417" i="14"/>
  <c r="AI417" i="14" s="1"/>
  <c r="Z418" i="14"/>
  <c r="AA418" i="14" s="1"/>
  <c r="AB418" i="14"/>
  <c r="AC418" i="14" s="1"/>
  <c r="AD418" i="14"/>
  <c r="AH418" i="14" s="1" a="1"/>
  <c r="AH418" i="14" s="1"/>
  <c r="AE418" i="14"/>
  <c r="AJ418" i="14" s="1"/>
  <c r="Z419" i="14"/>
  <c r="AA419" i="14" s="1"/>
  <c r="AB419" i="14"/>
  <c r="AC419" i="14" s="1"/>
  <c r="AD419" i="14"/>
  <c r="AH419" i="14" s="1" a="1"/>
  <c r="AH419" i="14" s="1"/>
  <c r="AE419" i="14"/>
  <c r="AJ419" i="14" s="1"/>
  <c r="Z420" i="14"/>
  <c r="AA420" i="14" s="1"/>
  <c r="AB420" i="14"/>
  <c r="AC420" i="14" s="1"/>
  <c r="AD420" i="14"/>
  <c r="AH420" i="14" s="1" a="1"/>
  <c r="AH420" i="14" s="1"/>
  <c r="AE420" i="14"/>
  <c r="Z421" i="14"/>
  <c r="AA421" i="14" s="1"/>
  <c r="AB421" i="14"/>
  <c r="AC421" i="14" s="1"/>
  <c r="AD421" i="14"/>
  <c r="AH421" i="14" s="1" a="1"/>
  <c r="AH421" i="14" s="1"/>
  <c r="AE421" i="14"/>
  <c r="AI421" i="14" s="1"/>
  <c r="Z422" i="14"/>
  <c r="AA422" i="14" s="1"/>
  <c r="AB422" i="14"/>
  <c r="AC422" i="14" s="1"/>
  <c r="AD422" i="14"/>
  <c r="AH422" i="14" s="1" a="1"/>
  <c r="AH422" i="14" s="1"/>
  <c r="AE422" i="14"/>
  <c r="AJ422" i="14" s="1"/>
  <c r="Z423" i="14"/>
  <c r="AA423" i="14" s="1"/>
  <c r="AB423" i="14"/>
  <c r="AC423" i="14" s="1"/>
  <c r="AD423" i="14"/>
  <c r="AH423" i="14" s="1" a="1"/>
  <c r="AH423" i="14" s="1"/>
  <c r="AE423" i="14"/>
  <c r="AI423" i="14" s="1"/>
  <c r="Z424" i="14"/>
  <c r="AA424" i="14" s="1"/>
  <c r="AB424" i="14"/>
  <c r="AC424" i="14" s="1"/>
  <c r="AD424" i="14"/>
  <c r="AH424" i="14" s="1" a="1"/>
  <c r="AH424" i="14" s="1"/>
  <c r="AE424" i="14"/>
  <c r="AJ424" i="14" s="1"/>
  <c r="Z425" i="14"/>
  <c r="AA425" i="14" s="1"/>
  <c r="AB425" i="14"/>
  <c r="AC425" i="14" s="1"/>
  <c r="AD425" i="14"/>
  <c r="AH425" i="14" s="1" a="1"/>
  <c r="AH425" i="14" s="1"/>
  <c r="AE425" i="14"/>
  <c r="AF425" i="14" s="1"/>
  <c r="AG425" i="14" s="1"/>
  <c r="Z426" i="14"/>
  <c r="AA426" i="14" s="1"/>
  <c r="AB426" i="14"/>
  <c r="AC426" i="14" s="1"/>
  <c r="AD426" i="14"/>
  <c r="AH426" i="14" s="1" a="1"/>
  <c r="AH426" i="14" s="1"/>
  <c r="AE426" i="14"/>
  <c r="AJ426" i="14" s="1"/>
  <c r="Z427" i="14"/>
  <c r="AA427" i="14" s="1"/>
  <c r="AB427" i="14"/>
  <c r="AC427" i="14" s="1"/>
  <c r="AD427" i="14"/>
  <c r="AH427" i="14" s="1" a="1"/>
  <c r="AH427" i="14" s="1"/>
  <c r="AE427" i="14"/>
  <c r="AF427" i="14" s="1"/>
  <c r="AG427" i="14" s="1"/>
  <c r="Z428" i="14"/>
  <c r="AA428" i="14" s="1"/>
  <c r="AB428" i="14"/>
  <c r="AC428" i="14" s="1"/>
  <c r="AD428" i="14"/>
  <c r="AH428" i="14" s="1" a="1"/>
  <c r="AH428" i="14" s="1"/>
  <c r="AE428" i="14"/>
  <c r="Z429" i="14"/>
  <c r="AA429" i="14" s="1"/>
  <c r="AB429" i="14"/>
  <c r="AC429" i="14" s="1"/>
  <c r="AD429" i="14"/>
  <c r="AH429" i="14" s="1" a="1"/>
  <c r="AH429" i="14" s="1"/>
  <c r="AE429" i="14"/>
  <c r="AF429" i="14" s="1"/>
  <c r="AG429" i="14" s="1"/>
  <c r="Z430" i="14"/>
  <c r="AA430" i="14" s="1"/>
  <c r="AB430" i="14"/>
  <c r="AC430" i="14" s="1"/>
  <c r="AD430" i="14"/>
  <c r="AH430" i="14" s="1" a="1"/>
  <c r="AH430" i="14" s="1"/>
  <c r="AE430" i="14"/>
  <c r="AJ430" i="14" s="1"/>
  <c r="Z431" i="14"/>
  <c r="AA431" i="14" s="1"/>
  <c r="AB431" i="14"/>
  <c r="AC431" i="14" s="1"/>
  <c r="AD431" i="14"/>
  <c r="AH431" i="14" s="1" a="1"/>
  <c r="AH431" i="14" s="1"/>
  <c r="AE431" i="14"/>
  <c r="AJ431" i="14" s="1"/>
  <c r="Z432" i="14"/>
  <c r="AA432" i="14" s="1"/>
  <c r="AB432" i="14"/>
  <c r="AC432" i="14" s="1"/>
  <c r="AD432" i="14"/>
  <c r="AH432" i="14" s="1" a="1"/>
  <c r="AH432" i="14" s="1"/>
  <c r="AE432" i="14"/>
  <c r="AJ432" i="14" s="1"/>
  <c r="Z433" i="14"/>
  <c r="AA433" i="14" s="1"/>
  <c r="AB433" i="14"/>
  <c r="AC433" i="14" s="1"/>
  <c r="AD433" i="14"/>
  <c r="AH433" i="14" s="1" a="1"/>
  <c r="AH433" i="14" s="1"/>
  <c r="AE433" i="14"/>
  <c r="Z434" i="14"/>
  <c r="AA434" i="14" s="1"/>
  <c r="AB434" i="14"/>
  <c r="AC434" i="14" s="1"/>
  <c r="AD434" i="14"/>
  <c r="AH434" i="14" s="1" a="1"/>
  <c r="AH434" i="14" s="1"/>
  <c r="AE434" i="14"/>
  <c r="AF434" i="14" s="1"/>
  <c r="AG434" i="14" s="1"/>
  <c r="Z435" i="14"/>
  <c r="AA435" i="14" s="1"/>
  <c r="AB435" i="14"/>
  <c r="AC435" i="14" s="1"/>
  <c r="AD435" i="14"/>
  <c r="AH435" i="14" s="1" a="1"/>
  <c r="AH435" i="14" s="1"/>
  <c r="AE435" i="14"/>
  <c r="AJ435" i="14" s="1"/>
  <c r="Z436" i="14"/>
  <c r="AA436" i="14" s="1"/>
  <c r="AB436" i="14"/>
  <c r="AC436" i="14" s="1"/>
  <c r="AD436" i="14"/>
  <c r="AH436" i="14" s="1" a="1"/>
  <c r="AH436" i="14" s="1"/>
  <c r="AE436" i="14"/>
  <c r="AI436" i="14" s="1"/>
  <c r="Z437" i="14"/>
  <c r="AA437" i="14" s="1"/>
  <c r="AB437" i="14"/>
  <c r="AC437" i="14" s="1"/>
  <c r="AD437" i="14"/>
  <c r="AH437" i="14" s="1" a="1"/>
  <c r="AH437" i="14" s="1"/>
  <c r="AE437" i="14"/>
  <c r="AI437" i="14" s="1"/>
  <c r="Z438" i="14"/>
  <c r="AA438" i="14" s="1"/>
  <c r="AB438" i="14"/>
  <c r="AC438" i="14" s="1"/>
  <c r="AD438" i="14"/>
  <c r="AH438" i="14" s="1" a="1"/>
  <c r="AH438" i="14" s="1"/>
  <c r="AE438" i="14"/>
  <c r="Z439" i="14"/>
  <c r="AA439" i="14" s="1"/>
  <c r="AB439" i="14"/>
  <c r="AC439" i="14" s="1"/>
  <c r="AD439" i="14"/>
  <c r="AH439" i="14" s="1" a="1"/>
  <c r="AH439" i="14" s="1"/>
  <c r="AE439" i="14"/>
  <c r="Z440" i="14"/>
  <c r="AA440" i="14" s="1"/>
  <c r="AB440" i="14"/>
  <c r="AC440" i="14" s="1"/>
  <c r="AD440" i="14"/>
  <c r="AH440" i="14" s="1" a="1"/>
  <c r="AH440" i="14" s="1"/>
  <c r="AE440" i="14"/>
  <c r="AJ440" i="14" s="1"/>
  <c r="Z441" i="14"/>
  <c r="AA441" i="14" s="1"/>
  <c r="AB441" i="14"/>
  <c r="AC441" i="14" s="1"/>
  <c r="AD441" i="14"/>
  <c r="AH441" i="14" s="1" a="1"/>
  <c r="AH441" i="14" s="1"/>
  <c r="AE441" i="14"/>
  <c r="Z442" i="14"/>
  <c r="AA442" i="14" s="1"/>
  <c r="AB442" i="14"/>
  <c r="AC442" i="14" s="1"/>
  <c r="AD442" i="14"/>
  <c r="AH442" i="14" s="1" a="1"/>
  <c r="AH442" i="14" s="1"/>
  <c r="AE442" i="14"/>
  <c r="AJ442" i="14" s="1"/>
  <c r="Z443" i="14"/>
  <c r="AA443" i="14" s="1"/>
  <c r="AB443" i="14"/>
  <c r="AC443" i="14" s="1"/>
  <c r="AD443" i="14"/>
  <c r="AH443" i="14" s="1" a="1"/>
  <c r="AH443" i="14" s="1"/>
  <c r="AE443" i="14"/>
  <c r="AF443" i="14" s="1"/>
  <c r="AG443" i="14" s="1"/>
  <c r="Z444" i="14"/>
  <c r="AA444" i="14" s="1"/>
  <c r="AB444" i="14"/>
  <c r="AC444" i="14" s="1"/>
  <c r="AD444" i="14"/>
  <c r="AH444" i="14" s="1" a="1"/>
  <c r="AH444" i="14" s="1"/>
  <c r="AE444" i="14"/>
  <c r="AF444" i="14" s="1"/>
  <c r="AG444" i="14" s="1"/>
  <c r="Z445" i="14"/>
  <c r="AA445" i="14" s="1"/>
  <c r="AB445" i="14"/>
  <c r="AC445" i="14" s="1"/>
  <c r="AD445" i="14"/>
  <c r="AH445" i="14" s="1" a="1"/>
  <c r="AH445" i="14" s="1"/>
  <c r="AE445" i="14"/>
  <c r="Z446" i="14"/>
  <c r="AA446" i="14" s="1"/>
  <c r="AB446" i="14"/>
  <c r="AC446" i="14" s="1"/>
  <c r="AD446" i="14"/>
  <c r="AH446" i="14" s="1" a="1"/>
  <c r="AH446" i="14" s="1"/>
  <c r="AE446" i="14"/>
  <c r="Z447" i="14"/>
  <c r="AA447" i="14" s="1"/>
  <c r="AB447" i="14"/>
  <c r="AC447" i="14" s="1"/>
  <c r="AD447" i="14"/>
  <c r="AH447" i="14" s="1" a="1"/>
  <c r="AH447" i="14" s="1"/>
  <c r="AE447" i="14"/>
  <c r="AJ447" i="14" s="1"/>
  <c r="Z448" i="14"/>
  <c r="AA448" i="14" s="1"/>
  <c r="AB448" i="14"/>
  <c r="AC448" i="14" s="1"/>
  <c r="AD448" i="14"/>
  <c r="AH448" i="14" s="1" a="1"/>
  <c r="AH448" i="14" s="1"/>
  <c r="AE448" i="14"/>
  <c r="AJ448" i="14" s="1"/>
  <c r="Z449" i="14"/>
  <c r="AA449" i="14" s="1"/>
  <c r="AB449" i="14"/>
  <c r="AC449" i="14" s="1"/>
  <c r="AD449" i="14"/>
  <c r="AH449" i="14" s="1" a="1"/>
  <c r="AH449" i="14" s="1"/>
  <c r="AE449" i="14"/>
  <c r="Z450" i="14"/>
  <c r="AA450" i="14" s="1"/>
  <c r="AB450" i="14"/>
  <c r="AC450" i="14" s="1"/>
  <c r="AD450" i="14"/>
  <c r="AH450" i="14" s="1" a="1"/>
  <c r="AH450" i="14" s="1"/>
  <c r="AE450" i="14"/>
  <c r="AJ450" i="14" s="1"/>
  <c r="Z451" i="14"/>
  <c r="AA451" i="14" s="1"/>
  <c r="AB451" i="14"/>
  <c r="AC451" i="14" s="1"/>
  <c r="AD451" i="14"/>
  <c r="AH451" i="14" s="1" a="1"/>
  <c r="AH451" i="14" s="1"/>
  <c r="AE451" i="14"/>
  <c r="AJ451" i="14" s="1"/>
  <c r="Z452" i="14"/>
  <c r="AA452" i="14" s="1"/>
  <c r="AB452" i="14"/>
  <c r="AC452" i="14" s="1"/>
  <c r="AD452" i="14"/>
  <c r="AH452" i="14" s="1" a="1"/>
  <c r="AH452" i="14" s="1"/>
  <c r="AE452" i="14"/>
  <c r="AJ452" i="14" s="1"/>
  <c r="Z453" i="14"/>
  <c r="AA453" i="14" s="1"/>
  <c r="AB453" i="14"/>
  <c r="AC453" i="14" s="1"/>
  <c r="AD453" i="14"/>
  <c r="AH453" i="14" s="1" a="1"/>
  <c r="AH453" i="14" s="1"/>
  <c r="AE453" i="14"/>
  <c r="AI453" i="14" s="1"/>
  <c r="Z454" i="14"/>
  <c r="AA454" i="14" s="1"/>
  <c r="AB454" i="14"/>
  <c r="AC454" i="14" s="1"/>
  <c r="AD454" i="14"/>
  <c r="AH454" i="14" s="1" a="1"/>
  <c r="AH454" i="14" s="1"/>
  <c r="AE454" i="14"/>
  <c r="AJ454" i="14" s="1"/>
  <c r="Z455" i="14"/>
  <c r="AA455" i="14" s="1"/>
  <c r="AB455" i="14"/>
  <c r="AC455" i="14" s="1"/>
  <c r="AD455" i="14"/>
  <c r="AH455" i="14" s="1" a="1"/>
  <c r="AH455" i="14" s="1"/>
  <c r="AE455" i="14"/>
  <c r="AF455" i="14" s="1"/>
  <c r="AG455" i="14" s="1"/>
  <c r="Z456" i="14"/>
  <c r="AA456" i="14" s="1"/>
  <c r="AB456" i="14"/>
  <c r="AC456" i="14" s="1"/>
  <c r="AD456" i="14"/>
  <c r="AH456" i="14" s="1" a="1"/>
  <c r="AH456" i="14" s="1"/>
  <c r="AE456" i="14"/>
  <c r="Z457" i="14"/>
  <c r="AA457" i="14" s="1"/>
  <c r="AB457" i="14"/>
  <c r="AC457" i="14" s="1"/>
  <c r="AD457" i="14"/>
  <c r="AH457" i="14" s="1" a="1"/>
  <c r="AH457" i="14" s="1"/>
  <c r="AE457" i="14"/>
  <c r="AF457" i="14" s="1"/>
  <c r="AG457" i="14" s="1"/>
  <c r="Z458" i="14"/>
  <c r="AA458" i="14" s="1"/>
  <c r="AB458" i="14"/>
  <c r="AC458" i="14" s="1"/>
  <c r="AD458" i="14"/>
  <c r="AH458" i="14" s="1" a="1"/>
  <c r="AH458" i="14" s="1"/>
  <c r="AE458" i="14"/>
  <c r="AJ458" i="14" s="1"/>
  <c r="Z459" i="14"/>
  <c r="AA459" i="14" s="1"/>
  <c r="AB459" i="14"/>
  <c r="AC459" i="14" s="1"/>
  <c r="AD459" i="14"/>
  <c r="AH459" i="14" s="1" a="1"/>
  <c r="AH459" i="14" s="1"/>
  <c r="AE459" i="14"/>
  <c r="AI459" i="14" s="1"/>
  <c r="Z460" i="14"/>
  <c r="AA460" i="14" s="1"/>
  <c r="AB460" i="14"/>
  <c r="AC460" i="14" s="1"/>
  <c r="AD460" i="14"/>
  <c r="AH460" i="14" s="1" a="1"/>
  <c r="AH460" i="14" s="1"/>
  <c r="AE460" i="14"/>
  <c r="AJ460" i="14" s="1"/>
  <c r="Z461" i="14"/>
  <c r="AA461" i="14" s="1"/>
  <c r="AB461" i="14"/>
  <c r="AC461" i="14" s="1"/>
  <c r="AD461" i="14"/>
  <c r="AH461" i="14" s="1" a="1"/>
  <c r="AH461" i="14" s="1"/>
  <c r="AE461" i="14"/>
  <c r="AJ461" i="14" s="1"/>
  <c r="Z462" i="14"/>
  <c r="AA462" i="14" s="1"/>
  <c r="AB462" i="14"/>
  <c r="AC462" i="14" s="1"/>
  <c r="AD462" i="14"/>
  <c r="AH462" i="14" s="1" a="1"/>
  <c r="AH462" i="14" s="1"/>
  <c r="AE462" i="14"/>
  <c r="AF462" i="14" s="1"/>
  <c r="AG462" i="14" s="1"/>
  <c r="Z463" i="14"/>
  <c r="AA463" i="14" s="1"/>
  <c r="AB463" i="14"/>
  <c r="AC463" i="14" s="1"/>
  <c r="AD463" i="14"/>
  <c r="AH463" i="14" s="1" a="1"/>
  <c r="AH463" i="14" s="1"/>
  <c r="AE463" i="14"/>
  <c r="AF463" i="14" s="1"/>
  <c r="AG463" i="14" s="1"/>
  <c r="Z464" i="14"/>
  <c r="AA464" i="14" s="1"/>
  <c r="AB464" i="14"/>
  <c r="AC464" i="14" s="1"/>
  <c r="AD464" i="14"/>
  <c r="AH464" i="14" s="1" a="1"/>
  <c r="AH464" i="14" s="1"/>
  <c r="AE464" i="14"/>
  <c r="Z465" i="14"/>
  <c r="AA465" i="14" s="1"/>
  <c r="AB465" i="14"/>
  <c r="AC465" i="14" s="1"/>
  <c r="AD465" i="14"/>
  <c r="AH465" i="14" s="1" a="1"/>
  <c r="AH465" i="14" s="1"/>
  <c r="AE465" i="14"/>
  <c r="AF465" i="14" s="1"/>
  <c r="AG465" i="14" s="1"/>
  <c r="Z466" i="14"/>
  <c r="AA466" i="14" s="1"/>
  <c r="AB466" i="14"/>
  <c r="AC466" i="14" s="1"/>
  <c r="AD466" i="14"/>
  <c r="AH466" i="14" s="1" a="1"/>
  <c r="AH466" i="14" s="1"/>
  <c r="AE466" i="14"/>
  <c r="AJ466" i="14" s="1"/>
  <c r="Z467" i="14"/>
  <c r="AA467" i="14" s="1"/>
  <c r="AB467" i="14"/>
  <c r="AC467" i="14" s="1"/>
  <c r="AD467" i="14"/>
  <c r="AH467" i="14" s="1" a="1"/>
  <c r="AH467" i="14" s="1"/>
  <c r="AE467" i="14"/>
  <c r="AI467" i="14" s="1"/>
  <c r="Z468" i="14"/>
  <c r="AA468" i="14" s="1"/>
  <c r="AB468" i="14"/>
  <c r="AC468" i="14" s="1"/>
  <c r="AD468" i="14"/>
  <c r="AH468" i="14" s="1" a="1"/>
  <c r="AH468" i="14" s="1"/>
  <c r="AE468" i="14"/>
  <c r="AJ468" i="14" s="1"/>
  <c r="Z469" i="14"/>
  <c r="AA469" i="14" s="1"/>
  <c r="AB469" i="14"/>
  <c r="AC469" i="14" s="1"/>
  <c r="AD469" i="14"/>
  <c r="AH469" i="14" s="1" a="1"/>
  <c r="AH469" i="14" s="1"/>
  <c r="AE469" i="14"/>
  <c r="AI469" i="14" s="1"/>
  <c r="Z470" i="14"/>
  <c r="AA470" i="14" s="1"/>
  <c r="AB470" i="14"/>
  <c r="AC470" i="14" s="1"/>
  <c r="AD470" i="14"/>
  <c r="AH470" i="14" s="1" a="1"/>
  <c r="AH470" i="14" s="1"/>
  <c r="AE470" i="14"/>
  <c r="Z471" i="14"/>
  <c r="AA471" i="14" s="1"/>
  <c r="AB471" i="14"/>
  <c r="AC471" i="14" s="1"/>
  <c r="AD471" i="14"/>
  <c r="AH471" i="14" s="1" a="1"/>
  <c r="AH471" i="14" s="1"/>
  <c r="AE471" i="14"/>
  <c r="AF471" i="14" s="1"/>
  <c r="AG471" i="14" s="1"/>
  <c r="Z472" i="14"/>
  <c r="AA472" i="14" s="1"/>
  <c r="AB472" i="14"/>
  <c r="AC472" i="14" s="1"/>
  <c r="AD472" i="14"/>
  <c r="AH472" i="14" s="1" a="1"/>
  <c r="AH472" i="14" s="1"/>
  <c r="AE472" i="14"/>
  <c r="AF472" i="14" s="1"/>
  <c r="AG472" i="14" s="1"/>
  <c r="Z473" i="14"/>
  <c r="AA473" i="14" s="1"/>
  <c r="AB473" i="14"/>
  <c r="AC473" i="14" s="1"/>
  <c r="AD473" i="14"/>
  <c r="AH473" i="14" s="1" a="1"/>
  <c r="AH473" i="14" s="1"/>
  <c r="AE473" i="14"/>
  <c r="AF473" i="14" s="1"/>
  <c r="AG473" i="14" s="1"/>
  <c r="Z474" i="14"/>
  <c r="AA474" i="14" s="1"/>
  <c r="AB474" i="14"/>
  <c r="AC474" i="14" s="1"/>
  <c r="AD474" i="14"/>
  <c r="AH474" i="14" s="1" a="1"/>
  <c r="AH474" i="14" s="1"/>
  <c r="AE474" i="14"/>
  <c r="AI474" i="14" s="1"/>
  <c r="Z475" i="14"/>
  <c r="AA475" i="14" s="1"/>
  <c r="AB475" i="14"/>
  <c r="AC475" i="14" s="1"/>
  <c r="AD475" i="14"/>
  <c r="AH475" i="14" s="1" a="1"/>
  <c r="AH475" i="14" s="1"/>
  <c r="AE475" i="14"/>
  <c r="AJ475" i="14" s="1"/>
  <c r="Z476" i="14"/>
  <c r="AA476" i="14" s="1"/>
  <c r="AB476" i="14"/>
  <c r="AC476" i="14" s="1"/>
  <c r="AD476" i="14"/>
  <c r="AH476" i="14" s="1" a="1"/>
  <c r="AH476" i="14" s="1"/>
  <c r="AE476" i="14"/>
  <c r="AJ476" i="14" s="1"/>
  <c r="Z477" i="14"/>
  <c r="AA477" i="14" s="1"/>
  <c r="AB477" i="14"/>
  <c r="AC477" i="14" s="1"/>
  <c r="AD477" i="14"/>
  <c r="AH477" i="14" s="1" a="1"/>
  <c r="AH477" i="14" s="1"/>
  <c r="AE477" i="14"/>
  <c r="AI477" i="14" s="1"/>
  <c r="Z478" i="14"/>
  <c r="AA478" i="14" s="1"/>
  <c r="AB478" i="14"/>
  <c r="AC478" i="14" s="1"/>
  <c r="AD478" i="14"/>
  <c r="AH478" i="14" s="1" a="1"/>
  <c r="AH478" i="14" s="1"/>
  <c r="AE478" i="14"/>
  <c r="AJ478" i="14" s="1"/>
  <c r="Z479" i="14"/>
  <c r="AA479" i="14" s="1"/>
  <c r="AB479" i="14"/>
  <c r="AC479" i="14" s="1"/>
  <c r="AD479" i="14"/>
  <c r="AH479" i="14" s="1" a="1"/>
  <c r="AH479" i="14" s="1"/>
  <c r="AE479" i="14"/>
  <c r="AI479" i="14" s="1"/>
  <c r="Z480" i="14"/>
  <c r="AA480" i="14" s="1"/>
  <c r="AB480" i="14"/>
  <c r="AC480" i="14" s="1"/>
  <c r="AD480" i="14"/>
  <c r="AH480" i="14" s="1" a="1"/>
  <c r="AH480" i="14" s="1"/>
  <c r="AE480" i="14"/>
  <c r="Z481" i="14"/>
  <c r="AA481" i="14" s="1"/>
  <c r="AB481" i="14"/>
  <c r="AC481" i="14" s="1"/>
  <c r="AD481" i="14"/>
  <c r="AH481" i="14" s="1" a="1"/>
  <c r="AH481" i="14" s="1"/>
  <c r="AE481" i="14"/>
  <c r="AF481" i="14" s="1"/>
  <c r="AG481" i="14" s="1"/>
  <c r="Z482" i="14"/>
  <c r="AA482" i="14" s="1"/>
  <c r="AB482" i="14"/>
  <c r="AC482" i="14" s="1"/>
  <c r="AD482" i="14"/>
  <c r="AH482" i="14" s="1" a="1"/>
  <c r="AH482" i="14" s="1"/>
  <c r="AE482" i="14"/>
  <c r="AJ482" i="14" s="1"/>
  <c r="Z483" i="14"/>
  <c r="AA483" i="14" s="1"/>
  <c r="AB483" i="14"/>
  <c r="AC483" i="14" s="1"/>
  <c r="AD483" i="14"/>
  <c r="AH483" i="14" s="1" a="1"/>
  <c r="AH483" i="14" s="1"/>
  <c r="AE483" i="14"/>
  <c r="AF483" i="14" s="1"/>
  <c r="AG483" i="14" s="1"/>
  <c r="Z484" i="14"/>
  <c r="AA484" i="14" s="1"/>
  <c r="AB484" i="14"/>
  <c r="AC484" i="14" s="1"/>
  <c r="AD484" i="14"/>
  <c r="AH484" i="14" s="1" a="1"/>
  <c r="AH484" i="14" s="1"/>
  <c r="AE484" i="14"/>
  <c r="AI484" i="14" s="1"/>
  <c r="Z485" i="14"/>
  <c r="AA485" i="14" s="1"/>
  <c r="AB485" i="14"/>
  <c r="AC485" i="14" s="1"/>
  <c r="AD485" i="14"/>
  <c r="AH485" i="14" s="1" a="1"/>
  <c r="AH485" i="14" s="1"/>
  <c r="AE485" i="14"/>
  <c r="AF485" i="14" s="1"/>
  <c r="AG485" i="14" s="1"/>
  <c r="Z486" i="14"/>
  <c r="AA486" i="14" s="1"/>
  <c r="AB486" i="14"/>
  <c r="AC486" i="14" s="1"/>
  <c r="AD486" i="14"/>
  <c r="AH486" i="14" s="1" a="1"/>
  <c r="AH486" i="14" s="1"/>
  <c r="AE486" i="14"/>
  <c r="AI486" i="14" s="1"/>
  <c r="Z487" i="14"/>
  <c r="AA487" i="14" s="1"/>
  <c r="AB487" i="14"/>
  <c r="AC487" i="14" s="1"/>
  <c r="AD487" i="14"/>
  <c r="AH487" i="14" s="1" a="1"/>
  <c r="AH487" i="14" s="1"/>
  <c r="AE487" i="14"/>
  <c r="AF487" i="14" s="1"/>
  <c r="AG487" i="14" s="1"/>
  <c r="Z488" i="14"/>
  <c r="AA488" i="14" s="1"/>
  <c r="AB488" i="14"/>
  <c r="AC488" i="14" s="1"/>
  <c r="AD488" i="14"/>
  <c r="AH488" i="14" s="1" a="1"/>
  <c r="AH488" i="14" s="1"/>
  <c r="AE488" i="14"/>
  <c r="Z489" i="14"/>
  <c r="AA489" i="14" s="1"/>
  <c r="AB489" i="14"/>
  <c r="AC489" i="14" s="1"/>
  <c r="AD489" i="14"/>
  <c r="AH489" i="14" s="1" a="1"/>
  <c r="AH489" i="14" s="1"/>
  <c r="AE489" i="14"/>
  <c r="Z490" i="14"/>
  <c r="AA490" i="14" s="1"/>
  <c r="AB490" i="14"/>
  <c r="AC490" i="14" s="1"/>
  <c r="AD490" i="14"/>
  <c r="AH490" i="14" s="1" a="1"/>
  <c r="AH490" i="14" s="1"/>
  <c r="AE490" i="14"/>
  <c r="Z491" i="14"/>
  <c r="AA491" i="14" s="1"/>
  <c r="AB491" i="14"/>
  <c r="AC491" i="14" s="1"/>
  <c r="AD491" i="14"/>
  <c r="AH491" i="14" s="1" a="1"/>
  <c r="AH491" i="14" s="1"/>
  <c r="AE491" i="14"/>
  <c r="AI491" i="14" s="1"/>
  <c r="Z492" i="14"/>
  <c r="AA492" i="14" s="1"/>
  <c r="AB492" i="14"/>
  <c r="AC492" i="14" s="1"/>
  <c r="AD492" i="14"/>
  <c r="AH492" i="14" s="1" a="1"/>
  <c r="AH492" i="14" s="1"/>
  <c r="AE492" i="14"/>
  <c r="Z493" i="14"/>
  <c r="AA493" i="14" s="1"/>
  <c r="AB493" i="14"/>
  <c r="AC493" i="14" s="1"/>
  <c r="AD493" i="14"/>
  <c r="AH493" i="14" s="1" a="1"/>
  <c r="AH493" i="14" s="1"/>
  <c r="AE493" i="14"/>
  <c r="Z494" i="14"/>
  <c r="AA494" i="14" s="1"/>
  <c r="AB494" i="14"/>
  <c r="AC494" i="14" s="1"/>
  <c r="AD494" i="14"/>
  <c r="AH494" i="14" s="1" a="1"/>
  <c r="AH494" i="14" s="1"/>
  <c r="AE494" i="14"/>
  <c r="Z495" i="14"/>
  <c r="AA495" i="14" s="1"/>
  <c r="AB495" i="14"/>
  <c r="AC495" i="14" s="1"/>
  <c r="AD495" i="14"/>
  <c r="AH495" i="14" s="1" a="1"/>
  <c r="AH495" i="14" s="1"/>
  <c r="AE495" i="14"/>
  <c r="AF495" i="14" s="1"/>
  <c r="AG495" i="14" s="1"/>
  <c r="Z496" i="14"/>
  <c r="AA496" i="14" s="1"/>
  <c r="AB496" i="14"/>
  <c r="AC496" i="14" s="1"/>
  <c r="AD496" i="14"/>
  <c r="AH496" i="14" s="1" a="1"/>
  <c r="AH496" i="14" s="1"/>
  <c r="AE496" i="14"/>
  <c r="AI496" i="14" s="1"/>
  <c r="Z497" i="14"/>
  <c r="AA497" i="14" s="1"/>
  <c r="AB497" i="14"/>
  <c r="AC497" i="14" s="1"/>
  <c r="AD497" i="14"/>
  <c r="AH497" i="14" s="1" a="1"/>
  <c r="AH497" i="14" s="1"/>
  <c r="AE497" i="14"/>
  <c r="AF497" i="14" s="1"/>
  <c r="AG497" i="14" s="1"/>
  <c r="Z498" i="14"/>
  <c r="AA498" i="14" s="1"/>
  <c r="AB498" i="14"/>
  <c r="AC498" i="14" s="1"/>
  <c r="AD498" i="14"/>
  <c r="AH498" i="14" s="1" a="1"/>
  <c r="AH498" i="14" s="1"/>
  <c r="AE498" i="14"/>
  <c r="AI498" i="14" s="1"/>
  <c r="Z499" i="14"/>
  <c r="AA499" i="14" s="1"/>
  <c r="AB499" i="14"/>
  <c r="AC499" i="14" s="1"/>
  <c r="AD499" i="14"/>
  <c r="AH499" i="14" s="1" a="1"/>
  <c r="AH499" i="14" s="1"/>
  <c r="AE499" i="14"/>
  <c r="AF499" i="14" s="1"/>
  <c r="AG499" i="14" s="1"/>
  <c r="Z500" i="14"/>
  <c r="AA500" i="14" s="1"/>
  <c r="AB500" i="14"/>
  <c r="AC500" i="14" s="1"/>
  <c r="AD500" i="14"/>
  <c r="AH500" i="14" s="1" a="1"/>
  <c r="AH500" i="14" s="1"/>
  <c r="AE500" i="14"/>
  <c r="AI500" i="14" s="1"/>
  <c r="Z501" i="14"/>
  <c r="AA501" i="14" s="1"/>
  <c r="AB501" i="14"/>
  <c r="AC501" i="14" s="1"/>
  <c r="AD501" i="14"/>
  <c r="AH501" i="14" s="1" a="1"/>
  <c r="AH501" i="14" s="1"/>
  <c r="AE501" i="14"/>
  <c r="AF501" i="14" s="1"/>
  <c r="AG501" i="14" s="1"/>
  <c r="AD2" i="14"/>
  <c r="AH2" i="14" s="1" a="1"/>
  <c r="AH2" i="14" s="1"/>
  <c r="AB2" i="14"/>
  <c r="AC2" i="14" s="1"/>
  <c r="Z2" i="14"/>
  <c r="AA2" i="14" s="1"/>
  <c r="Z72" i="35"/>
  <c r="AA72" i="35" s="1"/>
  <c r="AB72" i="35"/>
  <c r="AD72" i="35"/>
  <c r="AH72" i="35" s="1" a="1"/>
  <c r="AH72" i="35" s="1"/>
  <c r="Z71" i="35"/>
  <c r="AA71" i="35" s="1"/>
  <c r="AB71" i="35"/>
  <c r="AD71" i="35"/>
  <c r="AH71" i="35" s="1" a="1"/>
  <c r="AH71" i="35" s="1"/>
  <c r="Z70" i="35"/>
  <c r="AA70" i="35" s="1"/>
  <c r="AB70" i="35"/>
  <c r="AD70" i="35"/>
  <c r="AH70" i="35" s="1" a="1"/>
  <c r="AH70" i="35" s="1"/>
  <c r="Z69" i="35"/>
  <c r="AA69" i="35" s="1"/>
  <c r="AB69" i="35"/>
  <c r="AE69" i="35" s="1"/>
  <c r="AD69" i="35"/>
  <c r="AH69" i="35" s="1" a="1"/>
  <c r="AH69" i="35" s="1"/>
  <c r="Z68" i="35"/>
  <c r="AA68" i="35" s="1"/>
  <c r="AB68" i="35"/>
  <c r="AD68" i="35"/>
  <c r="AH68" i="35" s="1" a="1"/>
  <c r="AH68" i="35" s="1"/>
  <c r="Z67" i="35"/>
  <c r="AA67" i="35" s="1"/>
  <c r="AB67" i="35"/>
  <c r="AD67" i="35"/>
  <c r="AH67" i="35" s="1" a="1"/>
  <c r="AH67" i="35" s="1"/>
  <c r="Z66" i="35"/>
  <c r="AA66" i="35" s="1"/>
  <c r="AB66" i="35"/>
  <c r="AD66" i="35"/>
  <c r="AH66" i="35" s="1" a="1"/>
  <c r="AH66" i="35" s="1"/>
  <c r="Z65" i="35"/>
  <c r="AA65" i="35" s="1"/>
  <c r="AB65" i="35"/>
  <c r="AD65" i="35"/>
  <c r="AH65" i="35" s="1" a="1"/>
  <c r="AH65" i="35" s="1"/>
  <c r="Z64" i="35"/>
  <c r="AA64" i="35" s="1"/>
  <c r="AB64" i="35"/>
  <c r="AD64" i="35"/>
  <c r="AH64" i="35" s="1" a="1"/>
  <c r="AH64" i="35" s="1"/>
  <c r="Z63" i="35"/>
  <c r="AA63" i="35" s="1"/>
  <c r="AB63" i="35"/>
  <c r="AD63" i="35"/>
  <c r="AH63" i="35" s="1" a="1"/>
  <c r="AH63" i="35" s="1"/>
  <c r="Z62" i="35"/>
  <c r="AA62" i="35" s="1"/>
  <c r="AB62" i="35"/>
  <c r="AD62" i="35"/>
  <c r="AH62" i="35" s="1" a="1"/>
  <c r="AH62" i="35" s="1"/>
  <c r="Z60" i="35"/>
  <c r="AA60" i="35" s="1"/>
  <c r="AB60" i="35"/>
  <c r="AE60" i="35" s="1"/>
  <c r="AD60" i="35"/>
  <c r="AH60" i="35" s="1" a="1"/>
  <c r="AH60" i="35" s="1"/>
  <c r="Z59" i="35"/>
  <c r="AA59" i="35" s="1"/>
  <c r="AB59" i="35"/>
  <c r="AD59" i="35"/>
  <c r="AH59" i="35" s="1" a="1"/>
  <c r="AH59" i="35" s="1"/>
  <c r="Z58" i="35"/>
  <c r="AA58" i="35" s="1"/>
  <c r="AB58" i="35"/>
  <c r="AE58" i="35" s="1"/>
  <c r="AD58" i="35"/>
  <c r="AH58" i="35" s="1" a="1"/>
  <c r="AH58" i="35" s="1"/>
  <c r="Z57" i="35"/>
  <c r="AA57" i="35" s="1"/>
  <c r="AB57" i="35"/>
  <c r="AD57" i="35"/>
  <c r="AH57" i="35" s="1" a="1"/>
  <c r="AH57" i="35" s="1"/>
  <c r="Z56" i="35"/>
  <c r="AA56" i="35" s="1"/>
  <c r="AB56" i="35"/>
  <c r="AD56" i="35"/>
  <c r="AH56" i="35" s="1" a="1"/>
  <c r="AH56" i="35" s="1"/>
  <c r="Z55" i="35"/>
  <c r="AA55" i="35" s="1"/>
  <c r="AB55" i="35"/>
  <c r="AD55" i="35"/>
  <c r="AH55" i="35" s="1" a="1"/>
  <c r="AH55" i="35" s="1"/>
  <c r="Z53" i="35"/>
  <c r="AA53" i="35" s="1"/>
  <c r="AB53" i="35"/>
  <c r="AE53" i="35" s="1"/>
  <c r="AD53" i="35"/>
  <c r="AH53" i="35" s="1" a="1"/>
  <c r="AH53" i="35" s="1"/>
  <c r="Z50" i="35"/>
  <c r="AA50" i="35" s="1"/>
  <c r="AB50" i="35"/>
  <c r="AD50" i="35"/>
  <c r="AH50" i="35" s="1" a="1"/>
  <c r="AH50" i="35" s="1"/>
  <c r="Z46" i="35"/>
  <c r="AA46" i="35" s="1"/>
  <c r="AB46" i="35"/>
  <c r="AE46" i="35" s="1"/>
  <c r="AD46" i="35"/>
  <c r="AH46" i="35" s="1" a="1"/>
  <c r="AH46" i="35" s="1"/>
  <c r="Z10" i="35"/>
  <c r="AA10" i="35" s="1"/>
  <c r="AB10" i="35"/>
  <c r="AD10" i="35"/>
  <c r="AH10" i="35" s="1" a="1"/>
  <c r="AH10" i="35" s="1"/>
  <c r="Z11" i="35"/>
  <c r="AA11" i="35" s="1"/>
  <c r="AB11" i="35"/>
  <c r="AD11" i="35"/>
  <c r="AH11" i="35" s="1" a="1"/>
  <c r="AH11" i="35" s="1"/>
  <c r="Z52" i="35"/>
  <c r="AA52" i="35" s="1"/>
  <c r="AB52" i="35"/>
  <c r="AD52" i="35"/>
  <c r="AH52" i="35" s="1" a="1"/>
  <c r="AH52" i="35" s="1"/>
  <c r="Z41" i="35"/>
  <c r="AA41" i="35" s="1"/>
  <c r="AB41" i="35"/>
  <c r="AD41" i="35"/>
  <c r="AH41" i="35" s="1" a="1"/>
  <c r="AH41" i="35" s="1"/>
  <c r="Z31" i="35"/>
  <c r="AA31" i="35" s="1"/>
  <c r="AB31" i="35"/>
  <c r="AD31" i="35"/>
  <c r="AH31" i="35" s="1" a="1"/>
  <c r="AH31" i="35" s="1"/>
  <c r="Z51" i="35"/>
  <c r="AA51" i="35" s="1"/>
  <c r="AB51" i="35"/>
  <c r="AD51" i="35"/>
  <c r="AH51" i="35" s="1" a="1"/>
  <c r="AH51" i="35" s="1"/>
  <c r="Z47" i="35"/>
  <c r="AA47" i="35" s="1"/>
  <c r="AB47" i="35"/>
  <c r="AD47" i="35"/>
  <c r="AH47" i="35" s="1" a="1"/>
  <c r="AH47" i="35" s="1"/>
  <c r="Z26" i="35"/>
  <c r="AA26" i="35" s="1"/>
  <c r="AB26" i="35"/>
  <c r="AE26" i="35" s="1"/>
  <c r="AD26" i="35"/>
  <c r="AH26" i="35" s="1" a="1"/>
  <c r="AH26" i="35" s="1"/>
  <c r="Z28" i="35"/>
  <c r="AA28" i="35" s="1"/>
  <c r="AB28" i="35"/>
  <c r="AD28" i="35"/>
  <c r="AH28" i="35" s="1" a="1"/>
  <c r="AH28" i="35" s="1"/>
  <c r="Z48" i="35"/>
  <c r="AA48" i="35" s="1"/>
  <c r="AB48" i="35"/>
  <c r="AE48" i="35" s="1"/>
  <c r="AD48" i="35"/>
  <c r="AH48" i="35" s="1" a="1"/>
  <c r="AH48" i="35" s="1"/>
  <c r="Z42" i="35"/>
  <c r="AA42" i="35" s="1"/>
  <c r="AB42" i="35"/>
  <c r="AD42" i="35"/>
  <c r="AH42" i="35" s="1" a="1"/>
  <c r="AH42" i="35" s="1"/>
  <c r="Z39" i="35"/>
  <c r="AA39" i="35" s="1"/>
  <c r="AB39" i="35"/>
  <c r="AD39" i="35"/>
  <c r="AH39" i="35" s="1" a="1"/>
  <c r="AH39" i="35" s="1"/>
  <c r="Z33" i="35"/>
  <c r="AA33" i="35" s="1"/>
  <c r="AB33" i="35"/>
  <c r="AD33" i="35"/>
  <c r="AH33" i="35" s="1" a="1"/>
  <c r="AH33" i="35" s="1"/>
  <c r="Z35" i="35"/>
  <c r="AA35" i="35" s="1"/>
  <c r="AB35" i="35"/>
  <c r="AE35" i="35" s="1"/>
  <c r="AD35" i="35"/>
  <c r="AH35" i="35" s="1" a="1"/>
  <c r="AH35" i="35" s="1"/>
  <c r="Z14" i="35"/>
  <c r="AA14" i="35" s="1"/>
  <c r="AB14" i="35"/>
  <c r="AD14" i="35"/>
  <c r="AH14" i="35" s="1" a="1"/>
  <c r="AH14" i="35" s="1"/>
  <c r="Z15" i="35"/>
  <c r="AA15" i="35" s="1"/>
  <c r="AB15" i="35"/>
  <c r="AE15" i="35" s="1"/>
  <c r="AD15" i="35"/>
  <c r="AH15" i="35" s="1" a="1"/>
  <c r="AH15" i="35" s="1"/>
  <c r="Z29" i="35"/>
  <c r="AA29" i="35" s="1"/>
  <c r="AB29" i="35"/>
  <c r="AD29" i="35"/>
  <c r="AH29" i="35" s="1" a="1"/>
  <c r="AH29" i="35" s="1"/>
  <c r="Z32" i="35"/>
  <c r="AA32" i="35" s="1"/>
  <c r="AB32" i="35"/>
  <c r="AD32" i="35"/>
  <c r="AH32" i="35" s="1" a="1"/>
  <c r="AH32" i="35" s="1"/>
  <c r="Z30" i="35"/>
  <c r="AA30" i="35" s="1"/>
  <c r="AB30" i="35"/>
  <c r="AD30" i="35"/>
  <c r="AH30" i="35" s="1" a="1"/>
  <c r="AH30" i="35" s="1"/>
  <c r="Z13" i="35"/>
  <c r="AA13" i="35" s="1"/>
  <c r="AB13" i="35"/>
  <c r="AD13" i="35"/>
  <c r="AH13" i="35" s="1" a="1"/>
  <c r="AH13" i="35" s="1"/>
  <c r="Z25" i="35"/>
  <c r="AA25" i="35" s="1"/>
  <c r="AB25" i="35"/>
  <c r="AD25" i="35"/>
  <c r="AH25" i="35" s="1" a="1"/>
  <c r="AH25" i="35" s="1"/>
  <c r="Z49" i="35"/>
  <c r="AA49" i="35" s="1"/>
  <c r="AB49" i="35"/>
  <c r="AD49" i="35"/>
  <c r="AH49" i="35" s="1" a="1"/>
  <c r="AH49" i="35" s="1"/>
  <c r="Z45" i="35"/>
  <c r="AA45" i="35" s="1"/>
  <c r="AB45" i="35"/>
  <c r="AD45" i="35"/>
  <c r="AH45" i="35" s="1" a="1"/>
  <c r="AH45" i="35" s="1"/>
  <c r="Z36" i="35"/>
  <c r="AA36" i="35" s="1"/>
  <c r="AB36" i="35"/>
  <c r="AE36" i="35" s="1"/>
  <c r="AD36" i="35"/>
  <c r="AH36" i="35" s="1" a="1"/>
  <c r="AH36" i="35" s="1"/>
  <c r="Z27" i="35"/>
  <c r="AA27" i="35" s="1"/>
  <c r="AB27" i="35"/>
  <c r="AD27" i="35"/>
  <c r="AH27" i="35" s="1" a="1"/>
  <c r="AH27" i="35" s="1"/>
  <c r="Z34" i="35"/>
  <c r="AA34" i="35" s="1"/>
  <c r="AB34" i="35"/>
  <c r="AE34" i="35" s="1"/>
  <c r="AD34" i="35"/>
  <c r="AH34" i="35" s="1" a="1"/>
  <c r="AH34" i="35" s="1"/>
  <c r="Z38" i="35"/>
  <c r="AA38" i="35" s="1"/>
  <c r="AB38" i="35"/>
  <c r="AD38" i="35"/>
  <c r="AH38" i="35" s="1" a="1"/>
  <c r="AH38" i="35" s="1"/>
  <c r="Z37" i="35"/>
  <c r="AA37" i="35" s="1"/>
  <c r="AB37" i="35"/>
  <c r="AD37" i="35"/>
  <c r="AH37" i="35" s="1" a="1"/>
  <c r="AH37" i="35" s="1"/>
  <c r="Z44" i="35"/>
  <c r="AA44" i="35" s="1"/>
  <c r="AB44" i="35"/>
  <c r="AD44" i="35"/>
  <c r="AH44" i="35" s="1" a="1"/>
  <c r="AH44" i="35" s="1"/>
  <c r="Z22" i="35"/>
  <c r="AA22" i="35" s="1"/>
  <c r="AB22" i="35"/>
  <c r="AD22" i="35"/>
  <c r="AH22" i="35" s="1" a="1"/>
  <c r="AH22" i="35" s="1"/>
  <c r="Z43" i="35"/>
  <c r="AA43" i="35" s="1"/>
  <c r="AB43" i="35"/>
  <c r="AD43" i="35"/>
  <c r="AH43" i="35" s="1" a="1"/>
  <c r="AH43" i="35" s="1"/>
  <c r="Z21" i="35"/>
  <c r="AA21" i="35" s="1"/>
  <c r="AB21" i="35"/>
  <c r="AE21" i="35" s="1"/>
  <c r="AD21" i="35"/>
  <c r="AH21" i="35" s="1" a="1"/>
  <c r="AH21" i="35" s="1"/>
  <c r="Z19" i="35"/>
  <c r="AA19" i="35" s="1"/>
  <c r="AB19" i="35"/>
  <c r="AD19" i="35"/>
  <c r="AH19" i="35" s="1" a="1"/>
  <c r="AH19" i="35" s="1"/>
  <c r="Z16" i="35"/>
  <c r="AA16" i="35" s="1"/>
  <c r="AB16" i="35"/>
  <c r="AD16" i="35"/>
  <c r="AH16" i="35" s="1" a="1"/>
  <c r="AH16" i="35" s="1"/>
  <c r="Z20" i="35"/>
  <c r="AA20" i="35" s="1"/>
  <c r="AB20" i="35"/>
  <c r="AD20" i="35"/>
  <c r="AH20" i="35" s="1" a="1"/>
  <c r="AH20" i="35" s="1"/>
  <c r="Z17" i="35"/>
  <c r="AA17" i="35" s="1"/>
  <c r="AB17" i="35"/>
  <c r="AD17" i="35"/>
  <c r="AH17" i="35" s="1" a="1"/>
  <c r="AH17" i="35" s="1"/>
  <c r="Z24" i="35"/>
  <c r="AA24" i="35" s="1"/>
  <c r="AB24" i="35"/>
  <c r="AD24" i="35"/>
  <c r="AH24" i="35" s="1" a="1"/>
  <c r="AH24" i="35" s="1"/>
  <c r="Z18" i="35"/>
  <c r="AA18" i="35" s="1"/>
  <c r="AB18" i="35"/>
  <c r="AE18" i="35" s="1"/>
  <c r="AD18" i="35"/>
  <c r="AH18" i="35" s="1" a="1"/>
  <c r="AH18" i="35" s="1"/>
  <c r="Z23" i="35"/>
  <c r="AA23" i="35" s="1"/>
  <c r="AB23" i="35"/>
  <c r="AD23" i="35"/>
  <c r="AH23" i="35" s="1" a="1"/>
  <c r="AH23" i="35" s="1"/>
  <c r="Z61" i="35"/>
  <c r="AA61" i="35" s="1"/>
  <c r="AB61" i="35"/>
  <c r="AE61" i="35" s="1"/>
  <c r="AD61" i="35"/>
  <c r="AH61" i="35" s="1" a="1"/>
  <c r="AH61" i="35" s="1"/>
  <c r="Z74" i="35"/>
  <c r="AA74" i="35" s="1"/>
  <c r="AB74" i="35"/>
  <c r="AE74" i="35" s="1"/>
  <c r="AD74" i="35"/>
  <c r="AH74" i="35" s="1" a="1"/>
  <c r="AH74" i="35" s="1"/>
  <c r="Z75" i="35"/>
  <c r="AA75" i="35" s="1"/>
  <c r="AB75" i="35"/>
  <c r="AE75" i="35" s="1"/>
  <c r="AD75" i="35"/>
  <c r="AH75" i="35" s="1" a="1"/>
  <c r="AH75" i="35" s="1"/>
  <c r="Z77" i="35"/>
  <c r="AA77" i="35" s="1"/>
  <c r="AB77" i="35"/>
  <c r="AE77" i="35" s="1"/>
  <c r="AD77" i="35"/>
  <c r="AH77" i="35" s="1" a="1"/>
  <c r="AH77" i="35" s="1"/>
  <c r="Z78" i="35"/>
  <c r="AA78" i="35" s="1"/>
  <c r="AB78" i="35"/>
  <c r="AE78" i="35" s="1"/>
  <c r="AD78" i="35"/>
  <c r="AH78" i="35" s="1" a="1"/>
  <c r="AH78" i="35" s="1"/>
  <c r="Z79" i="35"/>
  <c r="AA79" i="35" s="1"/>
  <c r="AB79" i="35"/>
  <c r="AE79" i="35" s="1"/>
  <c r="AD79" i="35"/>
  <c r="AH79" i="35" s="1" a="1"/>
  <c r="AH79" i="35" s="1"/>
  <c r="Z80" i="35"/>
  <c r="AA80" i="35" s="1"/>
  <c r="AB80" i="35"/>
  <c r="AE80" i="35" s="1"/>
  <c r="AD80" i="35"/>
  <c r="AH80" i="35" s="1" a="1"/>
  <c r="AH80" i="35" s="1"/>
  <c r="Z82" i="35"/>
  <c r="AA82" i="35" s="1"/>
  <c r="AB82" i="35"/>
  <c r="AE82" i="35" s="1"/>
  <c r="AD82" i="35"/>
  <c r="AH82" i="35" s="1" a="1"/>
  <c r="AH82" i="35" s="1"/>
  <c r="Z83" i="35"/>
  <c r="AA83" i="35" s="1"/>
  <c r="AB83" i="35"/>
  <c r="AE83" i="35" s="1"/>
  <c r="AD83" i="35"/>
  <c r="AH83" i="35" s="1" a="1"/>
  <c r="AH83" i="35" s="1"/>
  <c r="Z84" i="35"/>
  <c r="AA84" i="35" s="1"/>
  <c r="AB84" i="35"/>
  <c r="AE84" i="35" s="1"/>
  <c r="AD84" i="35"/>
  <c r="AH84" i="35" s="1" a="1"/>
  <c r="AH84" i="35" s="1"/>
  <c r="Z85" i="35"/>
  <c r="AA85" i="35" s="1"/>
  <c r="AB85" i="35"/>
  <c r="AE85" i="35" s="1"/>
  <c r="AD85" i="35"/>
  <c r="AH85" i="35" s="1" a="1"/>
  <c r="AH85" i="35" s="1"/>
  <c r="Z86" i="35"/>
  <c r="AA86" i="35" s="1"/>
  <c r="AB86" i="35"/>
  <c r="AD86" i="35"/>
  <c r="AH86" i="35" s="1" a="1"/>
  <c r="AH86" i="35" s="1"/>
  <c r="Z87" i="35"/>
  <c r="AA87" i="35" s="1"/>
  <c r="AB87" i="35"/>
  <c r="AE87" i="35" s="1"/>
  <c r="AD87" i="35"/>
  <c r="AH87" i="35" s="1" a="1"/>
  <c r="AH87" i="35" s="1"/>
  <c r="Z88" i="35"/>
  <c r="AA88" i="35" s="1"/>
  <c r="AB88" i="35"/>
  <c r="AD88" i="35"/>
  <c r="AH88" i="35" s="1" a="1"/>
  <c r="AH88" i="35" s="1"/>
  <c r="Z81" i="35"/>
  <c r="AA81" i="35" s="1"/>
  <c r="AB81" i="35"/>
  <c r="AE81" i="35" s="1"/>
  <c r="AD81" i="35"/>
  <c r="AH81" i="35" s="1" a="1"/>
  <c r="AH81" i="35" s="1"/>
  <c r="Z54" i="35"/>
  <c r="AA54" i="35" s="1"/>
  <c r="AB54" i="35"/>
  <c r="AE54" i="35" s="1"/>
  <c r="AD54" i="35"/>
  <c r="AH54" i="35" s="1" a="1"/>
  <c r="AH54" i="35" s="1"/>
  <c r="AD73" i="35"/>
  <c r="AH73" i="35" s="1" a="1"/>
  <c r="AH73" i="35" s="1"/>
  <c r="AB73" i="35"/>
  <c r="Z73" i="35"/>
  <c r="AA73" i="35" s="1"/>
  <c r="Z3" i="13"/>
  <c r="AA3" i="13" s="1"/>
  <c r="AB3" i="13"/>
  <c r="AC3" i="13" s="1"/>
  <c r="AD3" i="13"/>
  <c r="AH3" i="13" s="1" a="1"/>
  <c r="AH3" i="13" s="1"/>
  <c r="Z4" i="13"/>
  <c r="AA4" i="13" s="1"/>
  <c r="AB4" i="13"/>
  <c r="AE4" i="13" s="1"/>
  <c r="AJ4" i="13" s="1"/>
  <c r="AD4" i="13"/>
  <c r="AH4" i="13" s="1" a="1"/>
  <c r="AH4" i="13" s="1"/>
  <c r="Z5" i="13"/>
  <c r="AA5" i="13" s="1"/>
  <c r="AB5" i="13"/>
  <c r="AC5" i="13" s="1"/>
  <c r="AD5" i="13"/>
  <c r="AH5" i="13" s="1" a="1"/>
  <c r="AH5" i="13" s="1"/>
  <c r="Z6" i="13"/>
  <c r="AA6" i="13" s="1"/>
  <c r="AB6" i="13"/>
  <c r="AE6" i="13" s="1"/>
  <c r="AD6" i="13"/>
  <c r="AH6" i="13" s="1" a="1"/>
  <c r="AH6" i="13" s="1"/>
  <c r="Z7" i="13"/>
  <c r="AA7" i="13" s="1"/>
  <c r="AB7" i="13"/>
  <c r="AC7" i="13" s="1"/>
  <c r="AD7" i="13"/>
  <c r="AH7" i="13" s="1" a="1"/>
  <c r="AH7" i="13" s="1"/>
  <c r="Z8" i="13"/>
  <c r="AA8" i="13" s="1"/>
  <c r="AB8" i="13"/>
  <c r="AC8" i="13" s="1"/>
  <c r="AD8" i="13"/>
  <c r="AH8" i="13" s="1" a="1"/>
  <c r="AH8" i="13" s="1"/>
  <c r="Z9" i="13"/>
  <c r="AA9" i="13" s="1"/>
  <c r="AB9" i="13"/>
  <c r="AC9" i="13" s="1"/>
  <c r="AD9" i="13"/>
  <c r="AH9" i="13" s="1" a="1"/>
  <c r="AH9" i="13" s="1"/>
  <c r="Z10" i="13"/>
  <c r="AA10" i="13" s="1"/>
  <c r="AB10" i="13"/>
  <c r="AD10" i="13"/>
  <c r="AH10" i="13" s="1" a="1"/>
  <c r="AH10" i="13" s="1"/>
  <c r="Z11" i="13"/>
  <c r="AA11" i="13" s="1"/>
  <c r="AB11" i="13"/>
  <c r="AC11" i="13" s="1"/>
  <c r="AD11" i="13"/>
  <c r="AH11" i="13" s="1" a="1"/>
  <c r="AH11" i="13" s="1"/>
  <c r="Z12" i="13"/>
  <c r="AA12" i="13" s="1"/>
  <c r="AB12" i="13"/>
  <c r="AC12" i="13" s="1"/>
  <c r="AD12" i="13"/>
  <c r="AH12" i="13" s="1" a="1"/>
  <c r="AH12" i="13" s="1"/>
  <c r="Z13" i="13"/>
  <c r="AA13" i="13" s="1"/>
  <c r="AB13" i="13"/>
  <c r="AD13" i="13"/>
  <c r="AH13" i="13" s="1" a="1"/>
  <c r="AH13" i="13" s="1"/>
  <c r="Z14" i="13"/>
  <c r="AA14" i="13" s="1"/>
  <c r="AB14" i="13"/>
  <c r="AC14" i="13" s="1"/>
  <c r="AD14" i="13"/>
  <c r="AH14" i="13" s="1" a="1"/>
  <c r="AH14" i="13" s="1"/>
  <c r="Z15" i="13"/>
  <c r="AA15" i="13" s="1"/>
  <c r="AB15" i="13"/>
  <c r="AC15" i="13" s="1"/>
  <c r="AD15" i="13"/>
  <c r="AH15" i="13" s="1" a="1"/>
  <c r="AH15" i="13" s="1"/>
  <c r="Z16" i="13"/>
  <c r="AA16" i="13" s="1"/>
  <c r="AB16" i="13"/>
  <c r="AE16" i="13" s="1"/>
  <c r="AJ16" i="13" s="1"/>
  <c r="AD16" i="13"/>
  <c r="AH16" i="13" s="1" a="1"/>
  <c r="AH16" i="13" s="1"/>
  <c r="Z17" i="13"/>
  <c r="AA17" i="13" s="1"/>
  <c r="AB17" i="13"/>
  <c r="AC17" i="13" s="1"/>
  <c r="AD17" i="13"/>
  <c r="AH17" i="13" s="1" a="1"/>
  <c r="AH17" i="13" s="1"/>
  <c r="Z18" i="13"/>
  <c r="AA18" i="13" s="1"/>
  <c r="AB18" i="13"/>
  <c r="AC18" i="13" s="1"/>
  <c r="AD18" i="13"/>
  <c r="AH18" i="13" s="1" a="1"/>
  <c r="AH18" i="13" s="1"/>
  <c r="Z19" i="13"/>
  <c r="AA19" i="13" s="1"/>
  <c r="AB19" i="13"/>
  <c r="AD19" i="13"/>
  <c r="AH19" i="13" s="1" a="1"/>
  <c r="AH19" i="13" s="1"/>
  <c r="Z20" i="13"/>
  <c r="AA20" i="13" s="1"/>
  <c r="AB20" i="13"/>
  <c r="AC20" i="13" s="1"/>
  <c r="AD20" i="13"/>
  <c r="AH20" i="13" s="1" a="1"/>
  <c r="AH20" i="13" s="1"/>
  <c r="Z21" i="13"/>
  <c r="AA21" i="13" s="1"/>
  <c r="AB21" i="13"/>
  <c r="AC21" i="13" s="1"/>
  <c r="AD21" i="13"/>
  <c r="AH21" i="13" s="1" a="1"/>
  <c r="AH21" i="13" s="1"/>
  <c r="Z22" i="13"/>
  <c r="AA22" i="13" s="1"/>
  <c r="AB22" i="13"/>
  <c r="AD22" i="13"/>
  <c r="AH22" i="13" s="1" a="1"/>
  <c r="AH22" i="13" s="1"/>
  <c r="Z23" i="13"/>
  <c r="AA23" i="13" s="1"/>
  <c r="AB23" i="13"/>
  <c r="AC23" i="13" s="1"/>
  <c r="AD23" i="13"/>
  <c r="AH23" i="13" s="1" a="1"/>
  <c r="AH23" i="13" s="1"/>
  <c r="Z24" i="13"/>
  <c r="AA24" i="13" s="1"/>
  <c r="AB24" i="13"/>
  <c r="AC24" i="13" s="1"/>
  <c r="AD24" i="13"/>
  <c r="AH24" i="13" s="1" a="1"/>
  <c r="AH24" i="13" s="1"/>
  <c r="Z25" i="13"/>
  <c r="AA25" i="13" s="1"/>
  <c r="AB25" i="13"/>
  <c r="AD25" i="13"/>
  <c r="AH25" i="13" s="1" a="1"/>
  <c r="AH25" i="13" s="1"/>
  <c r="Z26" i="13"/>
  <c r="AA26" i="13" s="1"/>
  <c r="AB26" i="13"/>
  <c r="AD26" i="13"/>
  <c r="AH26" i="13" s="1" a="1"/>
  <c r="AH26" i="13" s="1"/>
  <c r="Z27" i="13"/>
  <c r="AA27" i="13" s="1"/>
  <c r="AB27" i="13"/>
  <c r="AC27" i="13" s="1"/>
  <c r="AD27" i="13"/>
  <c r="AH27" i="13" s="1" a="1"/>
  <c r="AH27" i="13" s="1"/>
  <c r="Z28" i="13"/>
  <c r="AA28" i="13" s="1"/>
  <c r="AB28" i="13"/>
  <c r="AE28" i="13" s="1"/>
  <c r="AD28" i="13"/>
  <c r="AH28" i="13" s="1" a="1"/>
  <c r="AH28" i="13" s="1"/>
  <c r="Z29" i="13"/>
  <c r="AA29" i="13" s="1"/>
  <c r="AB29" i="13"/>
  <c r="AD29" i="13"/>
  <c r="AH29" i="13" s="1" a="1"/>
  <c r="AH29" i="13" s="1"/>
  <c r="Z30" i="13"/>
  <c r="AA30" i="13" s="1"/>
  <c r="AB30" i="13"/>
  <c r="AC30" i="13" s="1"/>
  <c r="AD30" i="13"/>
  <c r="AH30" i="13" s="1" a="1"/>
  <c r="AH30" i="13" s="1"/>
  <c r="Z31" i="13"/>
  <c r="AA31" i="13" s="1"/>
  <c r="AB31" i="13"/>
  <c r="AC31" i="13" s="1"/>
  <c r="AD31" i="13"/>
  <c r="AH31" i="13" s="1" a="1"/>
  <c r="AH31" i="13" s="1"/>
  <c r="Z32" i="13"/>
  <c r="AA32" i="13" s="1"/>
  <c r="AB32" i="13"/>
  <c r="AE32" i="13" s="1"/>
  <c r="AD32" i="13"/>
  <c r="AH32" i="13" s="1" a="1"/>
  <c r="AH32" i="13" s="1"/>
  <c r="Z33" i="13"/>
  <c r="AA33" i="13" s="1"/>
  <c r="AB33" i="13"/>
  <c r="AC33" i="13" s="1"/>
  <c r="AD33" i="13"/>
  <c r="AH33" i="13" s="1" a="1"/>
  <c r="AH33" i="13" s="1"/>
  <c r="Z34" i="13"/>
  <c r="AA34" i="13" s="1"/>
  <c r="AB34" i="13"/>
  <c r="AC34" i="13" s="1"/>
  <c r="AD34" i="13"/>
  <c r="AH34" i="13" s="1" a="1"/>
  <c r="AH34" i="13" s="1"/>
  <c r="Z35" i="13"/>
  <c r="AA35" i="13" s="1"/>
  <c r="AB35" i="13"/>
  <c r="AD35" i="13"/>
  <c r="AH35" i="13" s="1" a="1"/>
  <c r="AH35" i="13" s="1"/>
  <c r="Z36" i="13"/>
  <c r="AA36" i="13" s="1"/>
  <c r="AB36" i="13"/>
  <c r="AC36" i="13" s="1"/>
  <c r="AD36" i="13"/>
  <c r="AH36" i="13" s="1" a="1"/>
  <c r="AH36" i="13" s="1"/>
  <c r="Z37" i="13"/>
  <c r="AA37" i="13" s="1"/>
  <c r="AB37" i="13"/>
  <c r="AC37" i="13" s="1"/>
  <c r="AD37" i="13"/>
  <c r="AH37" i="13" s="1" a="1"/>
  <c r="AH37" i="13" s="1"/>
  <c r="Z38" i="13"/>
  <c r="AA38" i="13" s="1"/>
  <c r="AB38" i="13"/>
  <c r="AE38" i="13" s="1"/>
  <c r="AD38" i="13"/>
  <c r="AH38" i="13" s="1" a="1"/>
  <c r="AH38" i="13" s="1"/>
  <c r="Z39" i="13"/>
  <c r="AA39" i="13" s="1"/>
  <c r="AB39" i="13"/>
  <c r="AC39" i="13" s="1"/>
  <c r="AD39" i="13"/>
  <c r="AH39" i="13" s="1" a="1"/>
  <c r="AH39" i="13" s="1"/>
  <c r="Z40" i="13"/>
  <c r="AA40" i="13" s="1"/>
  <c r="AB40" i="13"/>
  <c r="AC40" i="13" s="1"/>
  <c r="AD40" i="13"/>
  <c r="AH40" i="13" s="1" a="1"/>
  <c r="AH40" i="13" s="1"/>
  <c r="Z41" i="13"/>
  <c r="AA41" i="13" s="1"/>
  <c r="AB41" i="13"/>
  <c r="AC41" i="13" s="1"/>
  <c r="AD41" i="13"/>
  <c r="AH41" i="13" s="1" a="1"/>
  <c r="AH41" i="13" s="1"/>
  <c r="Z42" i="13"/>
  <c r="AA42" i="13" s="1"/>
  <c r="AB42" i="13"/>
  <c r="AD42" i="13"/>
  <c r="AH42" i="13" s="1" a="1"/>
  <c r="AH42" i="13" s="1"/>
  <c r="Z43" i="13"/>
  <c r="AA43" i="13" s="1"/>
  <c r="AB43" i="13"/>
  <c r="AC43" i="13" s="1"/>
  <c r="AD43" i="13"/>
  <c r="AH43" i="13" s="1" a="1"/>
  <c r="AH43" i="13" s="1"/>
  <c r="Z44" i="13"/>
  <c r="AA44" i="13" s="1"/>
  <c r="AB44" i="13"/>
  <c r="AD44" i="13"/>
  <c r="AH44" i="13" s="1" a="1"/>
  <c r="AH44" i="13" s="1"/>
  <c r="Z45" i="13"/>
  <c r="AA45" i="13" s="1"/>
  <c r="AB45" i="13"/>
  <c r="AD45" i="13"/>
  <c r="AH45" i="13" s="1" a="1"/>
  <c r="AH45" i="13" s="1"/>
  <c r="Z46" i="13"/>
  <c r="AA46" i="13" s="1"/>
  <c r="AB46" i="13"/>
  <c r="AC46" i="13" s="1"/>
  <c r="AD46" i="13"/>
  <c r="AH46" i="13" s="1" a="1"/>
  <c r="AH46" i="13" s="1"/>
  <c r="Z47" i="13"/>
  <c r="AA47" i="13" s="1"/>
  <c r="AB47" i="13"/>
  <c r="AC47" i="13" s="1"/>
  <c r="AD47" i="13"/>
  <c r="AH47" i="13" s="1" a="1"/>
  <c r="AH47" i="13" s="1"/>
  <c r="Z48" i="13"/>
  <c r="AA48" i="13" s="1"/>
  <c r="AB48" i="13"/>
  <c r="AC48" i="13" s="1"/>
  <c r="AD48" i="13"/>
  <c r="AH48" i="13" s="1" a="1"/>
  <c r="AH48" i="13" s="1"/>
  <c r="Z49" i="13"/>
  <c r="AA49" i="13" s="1"/>
  <c r="AB49" i="13"/>
  <c r="AD49" i="13"/>
  <c r="AH49" i="13" s="1" a="1"/>
  <c r="AH49" i="13" s="1"/>
  <c r="Z50" i="13"/>
  <c r="AA50" i="13" s="1"/>
  <c r="AB50" i="13"/>
  <c r="AC50" i="13" s="1"/>
  <c r="AD50" i="13"/>
  <c r="AH50" i="13" s="1" a="1"/>
  <c r="AH50" i="13" s="1"/>
  <c r="Z51" i="13"/>
  <c r="AA51" i="13" s="1"/>
  <c r="AB51" i="13"/>
  <c r="AD51" i="13"/>
  <c r="AH51" i="13" s="1" a="1"/>
  <c r="AH51" i="13" s="1"/>
  <c r="Z52" i="13"/>
  <c r="AA52" i="13" s="1"/>
  <c r="AB52" i="13"/>
  <c r="AC52" i="13" s="1"/>
  <c r="AD52" i="13"/>
  <c r="AH52" i="13" s="1" a="1"/>
  <c r="AH52" i="13" s="1"/>
  <c r="Z53" i="13"/>
  <c r="AA53" i="13" s="1"/>
  <c r="AB53" i="13"/>
  <c r="AC53" i="13" s="1"/>
  <c r="AD53" i="13"/>
  <c r="AH53" i="13" s="1" a="1"/>
  <c r="AH53" i="13" s="1"/>
  <c r="Z54" i="13"/>
  <c r="AA54" i="13" s="1"/>
  <c r="AB54" i="13"/>
  <c r="AE54" i="13" s="1"/>
  <c r="AI54" i="13" s="1"/>
  <c r="AD54" i="13"/>
  <c r="AH54" i="13" s="1" a="1"/>
  <c r="AH54" i="13" s="1"/>
  <c r="Z55" i="13"/>
  <c r="AA55" i="13" s="1"/>
  <c r="AB55" i="13"/>
  <c r="AC55" i="13" s="1"/>
  <c r="AD55" i="13"/>
  <c r="AH55" i="13" s="1" a="1"/>
  <c r="AH55" i="13" s="1"/>
  <c r="Z56" i="13"/>
  <c r="AA56" i="13" s="1"/>
  <c r="AB56" i="13"/>
  <c r="AC56" i="13" s="1"/>
  <c r="AD56" i="13"/>
  <c r="AH56" i="13" s="1" a="1"/>
  <c r="AH56" i="13" s="1"/>
  <c r="Z57" i="13"/>
  <c r="AA57" i="13" s="1"/>
  <c r="AB57" i="13"/>
  <c r="AC57" i="13" s="1"/>
  <c r="AD57" i="13"/>
  <c r="AH57" i="13" s="1" a="1"/>
  <c r="AH57" i="13" s="1"/>
  <c r="Z58" i="13"/>
  <c r="AA58" i="13" s="1"/>
  <c r="AB58" i="13"/>
  <c r="AE58" i="13" s="1"/>
  <c r="AJ58" i="13" s="1"/>
  <c r="AD58" i="13"/>
  <c r="AH58" i="13" s="1" a="1"/>
  <c r="AH58" i="13" s="1"/>
  <c r="Z59" i="13"/>
  <c r="AA59" i="13" s="1"/>
  <c r="AB59" i="13"/>
  <c r="AC59" i="13" s="1"/>
  <c r="AD59" i="13"/>
  <c r="AH59" i="13" s="1" a="1"/>
  <c r="AH59" i="13" s="1"/>
  <c r="Z60" i="13"/>
  <c r="AA60" i="13" s="1"/>
  <c r="AB60" i="13"/>
  <c r="AE60" i="13" s="1"/>
  <c r="AD60" i="13"/>
  <c r="AH60" i="13" s="1" a="1"/>
  <c r="AH60" i="13" s="1"/>
  <c r="Z61" i="13"/>
  <c r="AA61" i="13" s="1"/>
  <c r="AB61" i="13"/>
  <c r="AD61" i="13"/>
  <c r="AH61" i="13" s="1" a="1"/>
  <c r="AH61" i="13" s="1"/>
  <c r="Z62" i="13"/>
  <c r="AA62" i="13" s="1"/>
  <c r="AB62" i="13"/>
  <c r="AD62" i="13"/>
  <c r="AH62" i="13" s="1" a="1"/>
  <c r="AH62" i="13" s="1"/>
  <c r="Z63" i="13"/>
  <c r="AA63" i="13" s="1"/>
  <c r="AB63" i="13"/>
  <c r="AD63" i="13"/>
  <c r="AH63" i="13" s="1" a="1"/>
  <c r="AH63" i="13" s="1"/>
  <c r="Z64" i="13"/>
  <c r="AA64" i="13" s="1"/>
  <c r="AB64" i="13"/>
  <c r="AD64" i="13"/>
  <c r="AH64" i="13" s="1" a="1"/>
  <c r="AH64" i="13" s="1"/>
  <c r="Z65" i="13"/>
  <c r="AA65" i="13" s="1"/>
  <c r="AB65" i="13"/>
  <c r="AC65" i="13" s="1"/>
  <c r="AD65" i="13"/>
  <c r="AH65" i="13" s="1" a="1"/>
  <c r="AH65" i="13" s="1"/>
  <c r="Z66" i="13"/>
  <c r="AA66" i="13" s="1"/>
  <c r="AB66" i="13"/>
  <c r="AD66" i="13"/>
  <c r="AH66" i="13" s="1" a="1"/>
  <c r="AH66" i="13" s="1"/>
  <c r="Z67" i="13"/>
  <c r="AA67" i="13" s="1"/>
  <c r="AB67" i="13"/>
  <c r="AC67" i="13" s="1"/>
  <c r="AD67" i="13"/>
  <c r="AH67" i="13" s="1" a="1"/>
  <c r="AH67" i="13" s="1"/>
  <c r="Z68" i="13"/>
  <c r="AA68" i="13" s="1"/>
  <c r="AB68" i="13"/>
  <c r="AC68" i="13" s="1"/>
  <c r="AD68" i="13"/>
  <c r="AH68" i="13" s="1" a="1"/>
  <c r="AH68" i="13" s="1"/>
  <c r="Z69" i="13"/>
  <c r="AA69" i="13" s="1"/>
  <c r="AB69" i="13"/>
  <c r="AD69" i="13"/>
  <c r="AH69" i="13" s="1" a="1"/>
  <c r="AH69" i="13" s="1"/>
  <c r="Z70" i="13"/>
  <c r="AA70" i="13" s="1"/>
  <c r="AB70" i="13"/>
  <c r="AD70" i="13"/>
  <c r="AH70" i="13" s="1" a="1"/>
  <c r="AH70" i="13" s="1"/>
  <c r="Z71" i="13"/>
  <c r="AA71" i="13" s="1"/>
  <c r="AB71" i="13"/>
  <c r="AC71" i="13" s="1"/>
  <c r="AD71" i="13"/>
  <c r="AH71" i="13" s="1" a="1"/>
  <c r="AH71" i="13" s="1"/>
  <c r="Z72" i="13"/>
  <c r="AA72" i="13" s="1"/>
  <c r="AB72" i="13"/>
  <c r="AC72" i="13" s="1"/>
  <c r="AD72" i="13"/>
  <c r="AH72" i="13" s="1" a="1"/>
  <c r="AH72" i="13" s="1"/>
  <c r="Z73" i="13"/>
  <c r="AA73" i="13" s="1"/>
  <c r="AB73" i="13"/>
  <c r="AC73" i="13" s="1"/>
  <c r="AD73" i="13"/>
  <c r="AH73" i="13" s="1" a="1"/>
  <c r="AH73" i="13" s="1"/>
  <c r="Z74" i="13"/>
  <c r="AA74" i="13" s="1"/>
  <c r="AB74" i="13"/>
  <c r="AE74" i="13" s="1"/>
  <c r="AD74" i="13"/>
  <c r="AH74" i="13" s="1" a="1"/>
  <c r="AH74" i="13" s="1"/>
  <c r="Z75" i="13"/>
  <c r="AA75" i="13" s="1"/>
  <c r="AB75" i="13"/>
  <c r="AC75" i="13" s="1"/>
  <c r="AD75" i="13"/>
  <c r="AH75" i="13" s="1" a="1"/>
  <c r="AH75" i="13" s="1"/>
  <c r="Z76" i="13"/>
  <c r="AA76" i="13" s="1"/>
  <c r="AB76" i="13"/>
  <c r="AE76" i="13" s="1"/>
  <c r="AD76" i="13"/>
  <c r="AH76" i="13" s="1" a="1"/>
  <c r="AH76" i="13" s="1"/>
  <c r="Z77" i="13"/>
  <c r="AA77" i="13" s="1"/>
  <c r="AB77" i="13"/>
  <c r="AC77" i="13" s="1"/>
  <c r="AD77" i="13"/>
  <c r="AH77" i="13" s="1" a="1"/>
  <c r="AH77" i="13" s="1"/>
  <c r="Z78" i="13"/>
  <c r="AA78" i="13" s="1"/>
  <c r="AB78" i="13"/>
  <c r="AD78" i="13"/>
  <c r="AH78" i="13" s="1" a="1"/>
  <c r="AH78" i="13" s="1"/>
  <c r="Z79" i="13"/>
  <c r="AA79" i="13" s="1"/>
  <c r="AB79" i="13"/>
  <c r="AD79" i="13"/>
  <c r="AH79" i="13" s="1" a="1"/>
  <c r="AH79" i="13" s="1"/>
  <c r="Z80" i="13"/>
  <c r="AA80" i="13" s="1"/>
  <c r="AB80" i="13"/>
  <c r="AD80" i="13"/>
  <c r="AH80" i="13" s="1" a="1"/>
  <c r="AH80" i="13" s="1"/>
  <c r="Z81" i="13"/>
  <c r="AA81" i="13" s="1"/>
  <c r="AB81" i="13"/>
  <c r="AC81" i="13" s="1"/>
  <c r="AD81" i="13"/>
  <c r="AH81" i="13" s="1" a="1"/>
  <c r="AH81" i="13" s="1"/>
  <c r="Z82" i="13"/>
  <c r="AA82" i="13" s="1"/>
  <c r="AB82" i="13"/>
  <c r="AC82" i="13" s="1"/>
  <c r="AD82" i="13"/>
  <c r="AH82" i="13" s="1" a="1"/>
  <c r="AH82" i="13" s="1"/>
  <c r="Z83" i="13"/>
  <c r="AA83" i="13" s="1"/>
  <c r="AB83" i="13"/>
  <c r="AC83" i="13" s="1"/>
  <c r="AD83" i="13"/>
  <c r="AH83" i="13" s="1" a="1"/>
  <c r="AH83" i="13" s="1"/>
  <c r="Z84" i="13"/>
  <c r="AA84" i="13" s="1"/>
  <c r="AB84" i="13"/>
  <c r="AD84" i="13"/>
  <c r="AH84" i="13" s="1" a="1"/>
  <c r="AH84" i="13" s="1"/>
  <c r="Z85" i="13"/>
  <c r="AA85" i="13" s="1"/>
  <c r="AB85" i="13"/>
  <c r="AC85" i="13" s="1"/>
  <c r="AD85" i="13"/>
  <c r="AH85" i="13" s="1" a="1"/>
  <c r="AH85" i="13" s="1"/>
  <c r="Z86" i="13"/>
  <c r="AA86" i="13" s="1"/>
  <c r="AB86" i="13"/>
  <c r="AC86" i="13" s="1"/>
  <c r="AD86" i="13"/>
  <c r="AH86" i="13" s="1" a="1"/>
  <c r="AH86" i="13" s="1"/>
  <c r="Z87" i="13"/>
  <c r="AA87" i="13" s="1"/>
  <c r="AB87" i="13"/>
  <c r="AD87" i="13"/>
  <c r="AH87" i="13" s="1" a="1"/>
  <c r="AH87" i="13" s="1"/>
  <c r="Z88" i="13"/>
  <c r="AA88" i="13" s="1"/>
  <c r="AB88" i="13"/>
  <c r="AC88" i="13" s="1"/>
  <c r="AD88" i="13"/>
  <c r="AH88" i="13" s="1" a="1"/>
  <c r="AH88" i="13" s="1"/>
  <c r="Z89" i="13"/>
  <c r="AA89" i="13" s="1"/>
  <c r="AB89" i="13"/>
  <c r="AC89" i="13" s="1"/>
  <c r="AD89" i="13"/>
  <c r="AH89" i="13" s="1" a="1"/>
  <c r="AH89" i="13" s="1"/>
  <c r="Z90" i="13"/>
  <c r="AA90" i="13" s="1"/>
  <c r="AB90" i="13"/>
  <c r="AE90" i="13" s="1"/>
  <c r="AD90" i="13"/>
  <c r="AH90" i="13" s="1" a="1"/>
  <c r="AH90" i="13" s="1"/>
  <c r="Z91" i="13"/>
  <c r="AA91" i="13" s="1"/>
  <c r="AB91" i="13"/>
  <c r="AC91" i="13" s="1"/>
  <c r="AD91" i="13"/>
  <c r="AH91" i="13" s="1" a="1"/>
  <c r="AH91" i="13" s="1"/>
  <c r="Z92" i="13"/>
  <c r="AA92" i="13" s="1"/>
  <c r="AB92" i="13"/>
  <c r="AC92" i="13" s="1"/>
  <c r="AD92" i="13"/>
  <c r="AH92" i="13" s="1" a="1"/>
  <c r="AH92" i="13" s="1"/>
  <c r="Z93" i="13"/>
  <c r="AA93" i="13" s="1"/>
  <c r="AB93" i="13"/>
  <c r="AC93" i="13" s="1"/>
  <c r="AD93" i="13"/>
  <c r="AH93" i="13" s="1" a="1"/>
  <c r="AH93" i="13" s="1"/>
  <c r="Z94" i="13"/>
  <c r="AA94" i="13" s="1"/>
  <c r="AB94" i="13"/>
  <c r="AE94" i="13" s="1"/>
  <c r="AI94" i="13" s="1"/>
  <c r="AD94" i="13"/>
  <c r="AH94" i="13" s="1" a="1"/>
  <c r="AH94" i="13" s="1"/>
  <c r="Z95" i="13"/>
  <c r="AA95" i="13" s="1"/>
  <c r="AB95" i="13"/>
  <c r="AC95" i="13" s="1"/>
  <c r="AD95" i="13"/>
  <c r="AH95" i="13" s="1" a="1"/>
  <c r="AH95" i="13" s="1"/>
  <c r="Z96" i="13"/>
  <c r="AA96" i="13" s="1"/>
  <c r="AB96" i="13"/>
  <c r="AE96" i="13" s="1"/>
  <c r="AD96" i="13"/>
  <c r="AH96" i="13" s="1" a="1"/>
  <c r="AH96" i="13" s="1"/>
  <c r="Z97" i="13"/>
  <c r="AA97" i="13" s="1"/>
  <c r="AB97" i="13"/>
  <c r="AC97" i="13" s="1"/>
  <c r="AD97" i="13"/>
  <c r="AH97" i="13" s="1" a="1"/>
  <c r="AH97" i="13" s="1"/>
  <c r="Z98" i="13"/>
  <c r="AA98" i="13" s="1"/>
  <c r="AB98" i="13"/>
  <c r="AC98" i="13" s="1"/>
  <c r="AD98" i="13"/>
  <c r="AH98" i="13" s="1" a="1"/>
  <c r="AH98" i="13" s="1"/>
  <c r="Z99" i="13"/>
  <c r="AA99" i="13" s="1"/>
  <c r="AB99" i="13"/>
  <c r="AD99" i="13"/>
  <c r="AH99" i="13" s="1" a="1"/>
  <c r="AH99" i="13" s="1"/>
  <c r="Z100" i="13"/>
  <c r="AA100" i="13" s="1"/>
  <c r="AB100" i="13"/>
  <c r="AD100" i="13"/>
  <c r="AH100" i="13" s="1" a="1"/>
  <c r="AH100" i="13" s="1"/>
  <c r="Z101" i="13"/>
  <c r="AA101" i="13" s="1"/>
  <c r="AB101" i="13"/>
  <c r="AC101" i="13" s="1"/>
  <c r="AD101" i="13"/>
  <c r="AH101" i="13" s="1" a="1"/>
  <c r="AH101" i="13" s="1"/>
  <c r="Z102" i="13"/>
  <c r="AA102" i="13" s="1"/>
  <c r="AB102" i="13"/>
  <c r="AC102" i="13" s="1"/>
  <c r="AD102" i="13"/>
  <c r="AH102" i="13" s="1" a="1"/>
  <c r="AH102" i="13" s="1"/>
  <c r="Z103" i="13"/>
  <c r="AA103" i="13" s="1"/>
  <c r="AB103" i="13"/>
  <c r="AD103" i="13"/>
  <c r="AH103" i="13" s="1" a="1"/>
  <c r="AH103" i="13" s="1"/>
  <c r="Z104" i="13"/>
  <c r="AA104" i="13" s="1"/>
  <c r="AB104" i="13"/>
  <c r="AD104" i="13"/>
  <c r="AH104" i="13" s="1" a="1"/>
  <c r="AH104" i="13" s="1"/>
  <c r="Z105" i="13"/>
  <c r="AA105" i="13" s="1"/>
  <c r="AB105" i="13"/>
  <c r="AC105" i="13" s="1"/>
  <c r="AD105" i="13"/>
  <c r="AH105" i="13" s="1" a="1"/>
  <c r="AH105" i="13" s="1"/>
  <c r="Z106" i="13"/>
  <c r="AA106" i="13" s="1"/>
  <c r="AB106" i="13"/>
  <c r="AE106" i="13" s="1"/>
  <c r="AD106" i="13"/>
  <c r="AH106" i="13" s="1" a="1"/>
  <c r="AH106" i="13" s="1"/>
  <c r="Z107" i="13"/>
  <c r="AA107" i="13" s="1"/>
  <c r="AB107" i="13"/>
  <c r="AC107" i="13" s="1"/>
  <c r="AD107" i="13"/>
  <c r="AH107" i="13" s="1" a="1"/>
  <c r="AH107" i="13" s="1"/>
  <c r="Z108" i="13"/>
  <c r="AA108" i="13" s="1"/>
  <c r="AB108" i="13"/>
  <c r="AC108" i="13" s="1"/>
  <c r="AD108" i="13"/>
  <c r="AH108" i="13" s="1" a="1"/>
  <c r="AH108" i="13" s="1"/>
  <c r="Z109" i="13"/>
  <c r="AA109" i="13" s="1"/>
  <c r="AB109" i="13"/>
  <c r="AC109" i="13" s="1"/>
  <c r="AD109" i="13"/>
  <c r="AH109" i="13" s="1" a="1"/>
  <c r="AH109" i="13" s="1"/>
  <c r="Z110" i="13"/>
  <c r="AA110" i="13" s="1"/>
  <c r="AB110" i="13"/>
  <c r="AE110" i="13" s="1"/>
  <c r="AD110" i="13"/>
  <c r="AH110" i="13" s="1" a="1"/>
  <c r="AH110" i="13" s="1"/>
  <c r="Z111" i="13"/>
  <c r="AA111" i="13" s="1"/>
  <c r="AB111" i="13"/>
  <c r="AC111" i="13" s="1"/>
  <c r="AD111" i="13"/>
  <c r="AH111" i="13" s="1" a="1"/>
  <c r="AH111" i="13" s="1"/>
  <c r="Z112" i="13"/>
  <c r="AA112" i="13" s="1"/>
  <c r="AB112" i="13"/>
  <c r="AD112" i="13"/>
  <c r="AH112" i="13" s="1" a="1"/>
  <c r="AH112" i="13" s="1"/>
  <c r="Z113" i="13"/>
  <c r="AA113" i="13" s="1"/>
  <c r="AB113" i="13"/>
  <c r="AC113" i="13" s="1"/>
  <c r="AD113" i="13"/>
  <c r="AH113" i="13" s="1" a="1"/>
  <c r="AH113" i="13" s="1"/>
  <c r="Z114" i="13"/>
  <c r="AA114" i="13" s="1"/>
  <c r="AB114" i="13"/>
  <c r="AC114" i="13" s="1"/>
  <c r="AD114" i="13"/>
  <c r="AH114" i="13" s="1" a="1"/>
  <c r="AH114" i="13" s="1"/>
  <c r="Z115" i="13"/>
  <c r="AA115" i="13" s="1"/>
  <c r="AB115" i="13"/>
  <c r="AC115" i="13" s="1"/>
  <c r="AD115" i="13"/>
  <c r="AH115" i="13" s="1" a="1"/>
  <c r="AH115" i="13" s="1"/>
  <c r="Z116" i="13"/>
  <c r="AA116" i="13" s="1"/>
  <c r="AB116" i="13"/>
  <c r="AC116" i="13" s="1"/>
  <c r="AD116" i="13"/>
  <c r="AH116" i="13" s="1" a="1"/>
  <c r="AH116" i="13" s="1"/>
  <c r="Z117" i="13"/>
  <c r="AA117" i="13" s="1"/>
  <c r="AB117" i="13"/>
  <c r="AC117" i="13" s="1"/>
  <c r="AD117" i="13"/>
  <c r="AH117" i="13" s="1" a="1"/>
  <c r="AH117" i="13" s="1"/>
  <c r="Z118" i="13"/>
  <c r="AA118" i="13" s="1"/>
  <c r="AB118" i="13"/>
  <c r="AC118" i="13" s="1"/>
  <c r="AD118" i="13"/>
  <c r="AH118" i="13" s="1" a="1"/>
  <c r="AH118" i="13" s="1"/>
  <c r="Z119" i="13"/>
  <c r="AA119" i="13" s="1"/>
  <c r="AB119" i="13"/>
  <c r="AD119" i="13"/>
  <c r="AH119" i="13" s="1" a="1"/>
  <c r="AH119" i="13" s="1"/>
  <c r="Z120" i="13"/>
  <c r="AA120" i="13" s="1"/>
  <c r="AB120" i="13"/>
  <c r="AC120" i="13" s="1"/>
  <c r="AD120" i="13"/>
  <c r="AH120" i="13" s="1" a="1"/>
  <c r="AH120" i="13" s="1"/>
  <c r="Z121" i="13"/>
  <c r="AA121" i="13" s="1"/>
  <c r="AB121" i="13"/>
  <c r="AD121" i="13"/>
  <c r="AH121" i="13" s="1" a="1"/>
  <c r="AH121" i="13" s="1"/>
  <c r="Z122" i="13"/>
  <c r="AA122" i="13" s="1"/>
  <c r="AB122" i="13"/>
  <c r="AD122" i="13"/>
  <c r="AH122" i="13" s="1" a="1"/>
  <c r="AH122" i="13" s="1"/>
  <c r="Z123" i="13"/>
  <c r="AA123" i="13" s="1"/>
  <c r="AB123" i="13"/>
  <c r="AD123" i="13"/>
  <c r="AH123" i="13" s="1" a="1"/>
  <c r="AH123" i="13" s="1"/>
  <c r="Z124" i="13"/>
  <c r="AA124" i="13" s="1"/>
  <c r="AB124" i="13"/>
  <c r="AC124" i="13" s="1"/>
  <c r="AD124" i="13"/>
  <c r="AH124" i="13" s="1" a="1"/>
  <c r="AH124" i="13" s="1"/>
  <c r="Z125" i="13"/>
  <c r="AA125" i="13" s="1"/>
  <c r="AB125" i="13"/>
  <c r="AD125" i="13"/>
  <c r="AH125" i="13" s="1" a="1"/>
  <c r="AH125" i="13" s="1"/>
  <c r="Z126" i="13"/>
  <c r="AA126" i="13" s="1"/>
  <c r="AB126" i="13"/>
  <c r="AC126" i="13" s="1"/>
  <c r="AD126" i="13"/>
  <c r="AH126" i="13" s="1" a="1"/>
  <c r="AH126" i="13" s="1"/>
  <c r="Z127" i="13"/>
  <c r="AA127" i="13" s="1"/>
  <c r="AB127" i="13"/>
  <c r="AD127" i="13"/>
  <c r="AH127" i="13" s="1" a="1"/>
  <c r="AH127" i="13" s="1"/>
  <c r="Z128" i="13"/>
  <c r="AA128" i="13" s="1"/>
  <c r="AB128" i="13"/>
  <c r="AC128" i="13" s="1"/>
  <c r="AD128" i="13"/>
  <c r="AH128" i="13" s="1" a="1"/>
  <c r="AH128" i="13" s="1"/>
  <c r="Z129" i="13"/>
  <c r="AA129" i="13" s="1"/>
  <c r="AB129" i="13"/>
  <c r="AD129" i="13"/>
  <c r="AH129" i="13" s="1" a="1"/>
  <c r="AH129" i="13" s="1"/>
  <c r="Z130" i="13"/>
  <c r="AA130" i="13" s="1"/>
  <c r="AB130" i="13"/>
  <c r="AE130" i="13" s="1"/>
  <c r="AJ130" i="13" s="1"/>
  <c r="AD130" i="13"/>
  <c r="AH130" i="13" s="1" a="1"/>
  <c r="AH130" i="13" s="1"/>
  <c r="Z131" i="13"/>
  <c r="AA131" i="13" s="1"/>
  <c r="AB131" i="13"/>
  <c r="AD131" i="13"/>
  <c r="AH131" i="13" s="1" a="1"/>
  <c r="AH131" i="13" s="1"/>
  <c r="Z132" i="13"/>
  <c r="AA132" i="13" s="1"/>
  <c r="AB132" i="13"/>
  <c r="AC132" i="13" s="1"/>
  <c r="AD132" i="13"/>
  <c r="AH132" i="13" s="1" a="1"/>
  <c r="AH132" i="13" s="1"/>
  <c r="Z133" i="13"/>
  <c r="AA133" i="13" s="1"/>
  <c r="AB133" i="13"/>
  <c r="AD133" i="13"/>
  <c r="AH133" i="13" s="1" a="1"/>
  <c r="AH133" i="13" s="1"/>
  <c r="Z134" i="13"/>
  <c r="AA134" i="13" s="1"/>
  <c r="AB134" i="13"/>
  <c r="AD134" i="13"/>
  <c r="AH134" i="13" s="1" a="1"/>
  <c r="AH134" i="13" s="1"/>
  <c r="Z135" i="13"/>
  <c r="AA135" i="13" s="1"/>
  <c r="AB135" i="13"/>
  <c r="AD135" i="13"/>
  <c r="AH135" i="13" s="1" a="1"/>
  <c r="AH135" i="13" s="1"/>
  <c r="Z136" i="13"/>
  <c r="AA136" i="13" s="1"/>
  <c r="AB136" i="13"/>
  <c r="AC136" i="13" s="1"/>
  <c r="AD136" i="13"/>
  <c r="AH136" i="13" s="1" a="1"/>
  <c r="AH136" i="13" s="1"/>
  <c r="Z137" i="13"/>
  <c r="AA137" i="13" s="1"/>
  <c r="AB137" i="13"/>
  <c r="AD137" i="13"/>
  <c r="AH137" i="13" s="1" a="1"/>
  <c r="AH137" i="13" s="1"/>
  <c r="Z138" i="13"/>
  <c r="AA138" i="13" s="1"/>
  <c r="AB138" i="13"/>
  <c r="AE138" i="13" s="1"/>
  <c r="AJ138" i="13" s="1"/>
  <c r="AD138" i="13"/>
  <c r="AH138" i="13" s="1" a="1"/>
  <c r="AH138" i="13" s="1"/>
  <c r="Z139" i="13"/>
  <c r="AA139" i="13" s="1"/>
  <c r="AB139" i="13"/>
  <c r="AD139" i="13"/>
  <c r="AH139" i="13" s="1" a="1"/>
  <c r="AH139" i="13" s="1"/>
  <c r="Z140" i="13"/>
  <c r="AA140" i="13" s="1"/>
  <c r="AB140" i="13"/>
  <c r="AD140" i="13"/>
  <c r="AH140" i="13" s="1" a="1"/>
  <c r="AH140" i="13" s="1"/>
  <c r="Z141" i="13"/>
  <c r="AA141" i="13" s="1"/>
  <c r="AB141" i="13"/>
  <c r="AD141" i="13"/>
  <c r="AH141" i="13" s="1" a="1"/>
  <c r="AH141" i="13" s="1"/>
  <c r="Z142" i="13"/>
  <c r="AA142" i="13" s="1"/>
  <c r="AB142" i="13"/>
  <c r="AD142" i="13"/>
  <c r="AH142" i="13" s="1" a="1"/>
  <c r="AH142" i="13" s="1"/>
  <c r="Z143" i="13"/>
  <c r="AA143" i="13" s="1"/>
  <c r="AB143" i="13"/>
  <c r="AD143" i="13"/>
  <c r="AH143" i="13" s="1" a="1"/>
  <c r="AH143" i="13" s="1"/>
  <c r="Z144" i="13"/>
  <c r="AA144" i="13" s="1"/>
  <c r="AB144" i="13"/>
  <c r="AD144" i="13"/>
  <c r="AH144" i="13" s="1" a="1"/>
  <c r="AH144" i="13" s="1"/>
  <c r="Z145" i="13"/>
  <c r="AA145" i="13" s="1"/>
  <c r="AB145" i="13"/>
  <c r="AD145" i="13"/>
  <c r="AH145" i="13" s="1" a="1"/>
  <c r="AH145" i="13" s="1"/>
  <c r="Z146" i="13"/>
  <c r="AA146" i="13" s="1"/>
  <c r="AB146" i="13"/>
  <c r="AE146" i="13" s="1"/>
  <c r="AJ146" i="13" s="1"/>
  <c r="AD146" i="13"/>
  <c r="AH146" i="13" s="1" a="1"/>
  <c r="AH146" i="13" s="1"/>
  <c r="Z147" i="13"/>
  <c r="AA147" i="13" s="1"/>
  <c r="AB147" i="13"/>
  <c r="AD147" i="13"/>
  <c r="AH147" i="13" s="1" a="1"/>
  <c r="AH147" i="13" s="1"/>
  <c r="Z148" i="13"/>
  <c r="AA148" i="13" s="1"/>
  <c r="AB148" i="13"/>
  <c r="AD148" i="13"/>
  <c r="AH148" i="13" s="1" a="1"/>
  <c r="AH148" i="13" s="1"/>
  <c r="Z149" i="13"/>
  <c r="AA149" i="13" s="1"/>
  <c r="AB149" i="13"/>
  <c r="AD149" i="13"/>
  <c r="AH149" i="13" s="1" a="1"/>
  <c r="AH149" i="13" s="1"/>
  <c r="Z150" i="13"/>
  <c r="AA150" i="13" s="1"/>
  <c r="AB150" i="13"/>
  <c r="AD150" i="13"/>
  <c r="AH150" i="13" s="1" a="1"/>
  <c r="AH150" i="13" s="1"/>
  <c r="Z151" i="13"/>
  <c r="AA151" i="13" s="1"/>
  <c r="AB151" i="13"/>
  <c r="AE151" i="13" s="1"/>
  <c r="AF151" i="13" s="1"/>
  <c r="AG151" i="13" s="1"/>
  <c r="AD151" i="13"/>
  <c r="AH151" i="13" s="1" a="1"/>
  <c r="AH151" i="13" s="1"/>
  <c r="Z152" i="13"/>
  <c r="AA152" i="13" s="1"/>
  <c r="AB152" i="13"/>
  <c r="AD152" i="13"/>
  <c r="AH152" i="13" s="1" a="1"/>
  <c r="AH152" i="13" s="1"/>
  <c r="Z153" i="13"/>
  <c r="AA153" i="13" s="1"/>
  <c r="AB153" i="13"/>
  <c r="AC153" i="13" s="1"/>
  <c r="AD153" i="13"/>
  <c r="AH153" i="13" s="1" a="1"/>
  <c r="AH153" i="13" s="1"/>
  <c r="Z154" i="13"/>
  <c r="AA154" i="13" s="1"/>
  <c r="AB154" i="13"/>
  <c r="AD154" i="13"/>
  <c r="AH154" i="13" s="1" a="1"/>
  <c r="AH154" i="13" s="1"/>
  <c r="Z155" i="13"/>
  <c r="AA155" i="13" s="1"/>
  <c r="AB155" i="13"/>
  <c r="AC155" i="13" s="1"/>
  <c r="AD155" i="13"/>
  <c r="AH155" i="13" s="1" a="1"/>
  <c r="AH155" i="13" s="1"/>
  <c r="Z156" i="13"/>
  <c r="AA156" i="13" s="1"/>
  <c r="AB156" i="13"/>
  <c r="AD156" i="13"/>
  <c r="AH156" i="13" s="1" a="1"/>
  <c r="AH156" i="13" s="1"/>
  <c r="Z157" i="13"/>
  <c r="AA157" i="13" s="1"/>
  <c r="AB157" i="13"/>
  <c r="AC157" i="13" s="1"/>
  <c r="AD157" i="13"/>
  <c r="AH157" i="13" s="1" a="1"/>
  <c r="AH157" i="13" s="1"/>
  <c r="Z158" i="13"/>
  <c r="AA158" i="13" s="1"/>
  <c r="AB158" i="13"/>
  <c r="AD158" i="13"/>
  <c r="AH158" i="13" s="1" a="1"/>
  <c r="AH158" i="13" s="1"/>
  <c r="Z159" i="13"/>
  <c r="AA159" i="13" s="1"/>
  <c r="AB159" i="13"/>
  <c r="AC159" i="13" s="1"/>
  <c r="AD159" i="13"/>
  <c r="AH159" i="13" s="1" a="1"/>
  <c r="AH159" i="13" s="1"/>
  <c r="Z160" i="13"/>
  <c r="AA160" i="13" s="1"/>
  <c r="AB160" i="13"/>
  <c r="AC160" i="13" s="1"/>
  <c r="AD160" i="13"/>
  <c r="AH160" i="13" s="1" a="1"/>
  <c r="AH160" i="13" s="1"/>
  <c r="Z161" i="13"/>
  <c r="AA161" i="13" s="1"/>
  <c r="AB161" i="13"/>
  <c r="AC161" i="13" s="1"/>
  <c r="AD161" i="13"/>
  <c r="AH161" i="13" s="1" a="1"/>
  <c r="AH161" i="13" s="1"/>
  <c r="Z162" i="13"/>
  <c r="AA162" i="13" s="1"/>
  <c r="AB162" i="13"/>
  <c r="AC162" i="13" s="1"/>
  <c r="AD162" i="13"/>
  <c r="AH162" i="13" s="1" a="1"/>
  <c r="AH162" i="13" s="1"/>
  <c r="Z163" i="13"/>
  <c r="AA163" i="13" s="1"/>
  <c r="AB163" i="13"/>
  <c r="AD163" i="13"/>
  <c r="AH163" i="13" s="1" a="1"/>
  <c r="AH163" i="13" s="1"/>
  <c r="Z164" i="13"/>
  <c r="AA164" i="13" s="1"/>
  <c r="AB164" i="13"/>
  <c r="AC164" i="13" s="1"/>
  <c r="AD164" i="13"/>
  <c r="AH164" i="13" s="1" a="1"/>
  <c r="AH164" i="13" s="1"/>
  <c r="Z165" i="13"/>
  <c r="AA165" i="13" s="1"/>
  <c r="AB165" i="13"/>
  <c r="AC165" i="13" s="1"/>
  <c r="AD165" i="13"/>
  <c r="AH165" i="13" s="1" a="1"/>
  <c r="AH165" i="13" s="1"/>
  <c r="Z166" i="13"/>
  <c r="AA166" i="13" s="1"/>
  <c r="AB166" i="13"/>
  <c r="AC166" i="13" s="1"/>
  <c r="AD166" i="13"/>
  <c r="AH166" i="13" s="1" a="1"/>
  <c r="AH166" i="13" s="1"/>
  <c r="Z167" i="13"/>
  <c r="AA167" i="13" s="1"/>
  <c r="AB167" i="13"/>
  <c r="AC167" i="13" s="1"/>
  <c r="AD167" i="13"/>
  <c r="AH167" i="13" s="1" a="1"/>
  <c r="AH167" i="13" s="1"/>
  <c r="Z168" i="13"/>
  <c r="AA168" i="13" s="1"/>
  <c r="AB168" i="13"/>
  <c r="AC168" i="13" s="1"/>
  <c r="AD168" i="13"/>
  <c r="AH168" i="13" s="1" a="1"/>
  <c r="AH168" i="13" s="1"/>
  <c r="Z169" i="13"/>
  <c r="AA169" i="13" s="1"/>
  <c r="AB169" i="13"/>
  <c r="AC169" i="13" s="1"/>
  <c r="AD169" i="13"/>
  <c r="AH169" i="13" s="1" a="1"/>
  <c r="AH169" i="13" s="1"/>
  <c r="Z170" i="13"/>
  <c r="AA170" i="13" s="1"/>
  <c r="AB170" i="13"/>
  <c r="AC170" i="13" s="1"/>
  <c r="AD170" i="13"/>
  <c r="AH170" i="13" s="1" a="1"/>
  <c r="AH170" i="13" s="1"/>
  <c r="Z171" i="13"/>
  <c r="AA171" i="13" s="1"/>
  <c r="AB171" i="13"/>
  <c r="AD171" i="13"/>
  <c r="AH171" i="13" s="1" a="1"/>
  <c r="AH171" i="13" s="1"/>
  <c r="Z172" i="13"/>
  <c r="AA172" i="13" s="1"/>
  <c r="AB172" i="13"/>
  <c r="AC172" i="13" s="1"/>
  <c r="AD172" i="13"/>
  <c r="AH172" i="13" s="1" a="1"/>
  <c r="AH172" i="13" s="1"/>
  <c r="Z173" i="13"/>
  <c r="AA173" i="13" s="1"/>
  <c r="AB173" i="13"/>
  <c r="AC173" i="13" s="1"/>
  <c r="AD173" i="13"/>
  <c r="AH173" i="13" s="1" a="1"/>
  <c r="AH173" i="13" s="1"/>
  <c r="Z174" i="13"/>
  <c r="AA174" i="13" s="1"/>
  <c r="AB174" i="13"/>
  <c r="AC174" i="13" s="1"/>
  <c r="AD174" i="13"/>
  <c r="AH174" i="13" s="1" a="1"/>
  <c r="AH174" i="13" s="1"/>
  <c r="Z175" i="13"/>
  <c r="AA175" i="13" s="1"/>
  <c r="AB175" i="13"/>
  <c r="AC175" i="13" s="1"/>
  <c r="AD175" i="13"/>
  <c r="AH175" i="13" s="1" a="1"/>
  <c r="AH175" i="13" s="1"/>
  <c r="Z176" i="13"/>
  <c r="AA176" i="13" s="1"/>
  <c r="AB176" i="13"/>
  <c r="AC176" i="13" s="1"/>
  <c r="AD176" i="13"/>
  <c r="AH176" i="13" s="1" a="1"/>
  <c r="AH176" i="13" s="1"/>
  <c r="Z177" i="13"/>
  <c r="AA177" i="13" s="1"/>
  <c r="AB177" i="13"/>
  <c r="AC177" i="13" s="1"/>
  <c r="AD177" i="13"/>
  <c r="AH177" i="13" s="1" a="1"/>
  <c r="AH177" i="13" s="1"/>
  <c r="Z178" i="13"/>
  <c r="AA178" i="13" s="1"/>
  <c r="AB178" i="13"/>
  <c r="AC178" i="13" s="1"/>
  <c r="AD178" i="13"/>
  <c r="AH178" i="13" s="1" a="1"/>
  <c r="AH178" i="13" s="1"/>
  <c r="Z179" i="13"/>
  <c r="AA179" i="13" s="1"/>
  <c r="AB179" i="13"/>
  <c r="AD179" i="13"/>
  <c r="AH179" i="13" s="1" a="1"/>
  <c r="AH179" i="13" s="1"/>
  <c r="Z180" i="13"/>
  <c r="AA180" i="13" s="1"/>
  <c r="AB180" i="13"/>
  <c r="AC180" i="13" s="1"/>
  <c r="AD180" i="13"/>
  <c r="AH180" i="13" s="1" a="1"/>
  <c r="AH180" i="13" s="1"/>
  <c r="Z181" i="13"/>
  <c r="AA181" i="13" s="1"/>
  <c r="AB181" i="13"/>
  <c r="AC181" i="13" s="1"/>
  <c r="AD181" i="13"/>
  <c r="AH181" i="13" s="1" a="1"/>
  <c r="AH181" i="13" s="1"/>
  <c r="Z182" i="13"/>
  <c r="AA182" i="13" s="1"/>
  <c r="AB182" i="13"/>
  <c r="AC182" i="13" s="1"/>
  <c r="AD182" i="13"/>
  <c r="AH182" i="13" s="1" a="1"/>
  <c r="AH182" i="13" s="1"/>
  <c r="Z183" i="13"/>
  <c r="AA183" i="13" s="1"/>
  <c r="AB183" i="13"/>
  <c r="AC183" i="13" s="1"/>
  <c r="AD183" i="13"/>
  <c r="AH183" i="13" s="1" a="1"/>
  <c r="AH183" i="13" s="1"/>
  <c r="Z184" i="13"/>
  <c r="AA184" i="13" s="1"/>
  <c r="AB184" i="13"/>
  <c r="AC184" i="13" s="1"/>
  <c r="AD184" i="13"/>
  <c r="AH184" i="13" s="1" a="1"/>
  <c r="AH184" i="13" s="1"/>
  <c r="Z185" i="13"/>
  <c r="AA185" i="13" s="1"/>
  <c r="AB185" i="13"/>
  <c r="AC185" i="13" s="1"/>
  <c r="AD185" i="13"/>
  <c r="AH185" i="13" s="1" a="1"/>
  <c r="AH185" i="13" s="1"/>
  <c r="Z186" i="13"/>
  <c r="AA186" i="13" s="1"/>
  <c r="AB186" i="13"/>
  <c r="AC186" i="13" s="1"/>
  <c r="AD186" i="13"/>
  <c r="AH186" i="13" s="1" a="1"/>
  <c r="AH186" i="13" s="1"/>
  <c r="Z187" i="13"/>
  <c r="AA187" i="13" s="1"/>
  <c r="AB187" i="13"/>
  <c r="AC187" i="13" s="1"/>
  <c r="AD187" i="13"/>
  <c r="AH187" i="13" s="1" a="1"/>
  <c r="AH187" i="13" s="1"/>
  <c r="Z188" i="13"/>
  <c r="AA188" i="13" s="1"/>
  <c r="AB188" i="13"/>
  <c r="AC188" i="13" s="1"/>
  <c r="AD188" i="13"/>
  <c r="AH188" i="13" s="1" a="1"/>
  <c r="AH188" i="13" s="1"/>
  <c r="Z189" i="13"/>
  <c r="AA189" i="13" s="1"/>
  <c r="AB189" i="13"/>
  <c r="AE189" i="13" s="1"/>
  <c r="AD189" i="13"/>
  <c r="AH189" i="13" s="1" a="1"/>
  <c r="AH189" i="13" s="1"/>
  <c r="Z190" i="13"/>
  <c r="AA190" i="13" s="1"/>
  <c r="AB190" i="13"/>
  <c r="AC190" i="13" s="1"/>
  <c r="AD190" i="13"/>
  <c r="AH190" i="13" s="1" a="1"/>
  <c r="AH190" i="13" s="1"/>
  <c r="Z191" i="13"/>
  <c r="AA191" i="13" s="1"/>
  <c r="AB191" i="13"/>
  <c r="AD191" i="13"/>
  <c r="AH191" i="13" s="1" a="1"/>
  <c r="AH191" i="13" s="1"/>
  <c r="Z192" i="13"/>
  <c r="AA192" i="13" s="1"/>
  <c r="AB192" i="13"/>
  <c r="AC192" i="13" s="1"/>
  <c r="AD192" i="13"/>
  <c r="AH192" i="13" s="1" a="1"/>
  <c r="AH192" i="13" s="1"/>
  <c r="Z193" i="13"/>
  <c r="AA193" i="13" s="1"/>
  <c r="AB193" i="13"/>
  <c r="AD193" i="13"/>
  <c r="AH193" i="13" s="1" a="1"/>
  <c r="AH193" i="13" s="1"/>
  <c r="Z194" i="13"/>
  <c r="AA194" i="13" s="1"/>
  <c r="AB194" i="13"/>
  <c r="AD194" i="13"/>
  <c r="AH194" i="13" s="1" a="1"/>
  <c r="AH194" i="13" s="1"/>
  <c r="Z195" i="13"/>
  <c r="AA195" i="13" s="1"/>
  <c r="AB195" i="13"/>
  <c r="AC195" i="13" s="1"/>
  <c r="AD195" i="13"/>
  <c r="AH195" i="13" s="1" a="1"/>
  <c r="AH195" i="13" s="1"/>
  <c r="Z196" i="13"/>
  <c r="AA196" i="13" s="1"/>
  <c r="AB196" i="13"/>
  <c r="AD196" i="13"/>
  <c r="AH196" i="13" s="1" a="1"/>
  <c r="AH196" i="13" s="1"/>
  <c r="Z197" i="13"/>
  <c r="AA197" i="13" s="1"/>
  <c r="AB197" i="13"/>
  <c r="AE197" i="13" s="1"/>
  <c r="AD197" i="13"/>
  <c r="AH197" i="13" s="1" a="1"/>
  <c r="AH197" i="13" s="1"/>
  <c r="Z198" i="13"/>
  <c r="AA198" i="13" s="1"/>
  <c r="AB198" i="13"/>
  <c r="AC198" i="13" s="1"/>
  <c r="AD198" i="13"/>
  <c r="AH198" i="13" s="1" a="1"/>
  <c r="AH198" i="13" s="1"/>
  <c r="Z199" i="13"/>
  <c r="AA199" i="13" s="1"/>
  <c r="AB199" i="13"/>
  <c r="AE199" i="13" s="1"/>
  <c r="AI199" i="13" s="1"/>
  <c r="AD199" i="13"/>
  <c r="AH199" i="13" s="1" a="1"/>
  <c r="AH199" i="13" s="1"/>
  <c r="Z200" i="13"/>
  <c r="AA200" i="13" s="1"/>
  <c r="AB200" i="13"/>
  <c r="AD200" i="13"/>
  <c r="AH200" i="13" s="1" a="1"/>
  <c r="AH200" i="13" s="1"/>
  <c r="Z201" i="13"/>
  <c r="AA201" i="13" s="1"/>
  <c r="AB201" i="13"/>
  <c r="AE201" i="13" s="1"/>
  <c r="AD201" i="13"/>
  <c r="AH201" i="13" s="1" a="1"/>
  <c r="AH201" i="13" s="1"/>
  <c r="Z202" i="13"/>
  <c r="AA202" i="13" s="1"/>
  <c r="AB202" i="13"/>
  <c r="AC202" i="13" s="1"/>
  <c r="AD202" i="13"/>
  <c r="AH202" i="13" s="1" a="1"/>
  <c r="AH202" i="13" s="1"/>
  <c r="Z203" i="13"/>
  <c r="AA203" i="13" s="1"/>
  <c r="AB203" i="13"/>
  <c r="AC203" i="13" s="1"/>
  <c r="AD203" i="13"/>
  <c r="AH203" i="13" s="1" a="1"/>
  <c r="AH203" i="13" s="1"/>
  <c r="Z204" i="13"/>
  <c r="AA204" i="13" s="1"/>
  <c r="AB204" i="13"/>
  <c r="AD204" i="13"/>
  <c r="AH204" i="13" s="1" a="1"/>
  <c r="AH204" i="13" s="1"/>
  <c r="Z205" i="13"/>
  <c r="AA205" i="13" s="1"/>
  <c r="AB205" i="13"/>
  <c r="AD205" i="13"/>
  <c r="AH205" i="13" s="1" a="1"/>
  <c r="AH205" i="13" s="1"/>
  <c r="Z206" i="13"/>
  <c r="AA206" i="13" s="1"/>
  <c r="AB206" i="13"/>
  <c r="AC206" i="13" s="1"/>
  <c r="AD206" i="13"/>
  <c r="AH206" i="13" s="1" a="1"/>
  <c r="AH206" i="13" s="1"/>
  <c r="Z207" i="13"/>
  <c r="AA207" i="13" s="1"/>
  <c r="AB207" i="13"/>
  <c r="AC207" i="13" s="1"/>
  <c r="AD207" i="13"/>
  <c r="AH207" i="13" s="1" a="1"/>
  <c r="AH207" i="13" s="1"/>
  <c r="Z208" i="13"/>
  <c r="AA208" i="13" s="1"/>
  <c r="AB208" i="13"/>
  <c r="AC208" i="13" s="1"/>
  <c r="AD208" i="13"/>
  <c r="AH208" i="13" s="1" a="1"/>
  <c r="AH208" i="13" s="1"/>
  <c r="Z209" i="13"/>
  <c r="AA209" i="13" s="1"/>
  <c r="AB209" i="13"/>
  <c r="AD209" i="13"/>
  <c r="AH209" i="13" s="1" a="1"/>
  <c r="AH209" i="13" s="1"/>
  <c r="Z210" i="13"/>
  <c r="AA210" i="13" s="1"/>
  <c r="AB210" i="13"/>
  <c r="AC210" i="13" s="1"/>
  <c r="AD210" i="13"/>
  <c r="AH210" i="13" s="1" a="1"/>
  <c r="AH210" i="13" s="1"/>
  <c r="Z211" i="13"/>
  <c r="AA211" i="13" s="1"/>
  <c r="AB211" i="13"/>
  <c r="AC211" i="13" s="1"/>
  <c r="AD211" i="13"/>
  <c r="AH211" i="13" s="1" a="1"/>
  <c r="AH211" i="13" s="1"/>
  <c r="Z212" i="13"/>
  <c r="AA212" i="13" s="1"/>
  <c r="AB212" i="13"/>
  <c r="AD212" i="13"/>
  <c r="AH212" i="13" s="1" a="1"/>
  <c r="AH212" i="13" s="1"/>
  <c r="Z213" i="13"/>
  <c r="AA213" i="13" s="1"/>
  <c r="AB213" i="13"/>
  <c r="AE213" i="13" s="1"/>
  <c r="AD213" i="13"/>
  <c r="AH213" i="13" s="1" a="1"/>
  <c r="AH213" i="13" s="1"/>
  <c r="Z214" i="13"/>
  <c r="AA214" i="13" s="1"/>
  <c r="AB214" i="13"/>
  <c r="AD214" i="13"/>
  <c r="AH214" i="13" s="1" a="1"/>
  <c r="AH214" i="13" s="1"/>
  <c r="Z215" i="13"/>
  <c r="AA215" i="13" s="1"/>
  <c r="AB215" i="13"/>
  <c r="AE215" i="13" s="1"/>
  <c r="AI215" i="13" s="1"/>
  <c r="AD215" i="13"/>
  <c r="AH215" i="13" s="1" a="1"/>
  <c r="AH215" i="13" s="1"/>
  <c r="Z216" i="13"/>
  <c r="AA216" i="13" s="1"/>
  <c r="AB216" i="13"/>
  <c r="AC216" i="13" s="1"/>
  <c r="AD216" i="13"/>
  <c r="AH216" i="13" s="1" a="1"/>
  <c r="AH216" i="13" s="1"/>
  <c r="Z217" i="13"/>
  <c r="AA217" i="13" s="1"/>
  <c r="AB217" i="13"/>
  <c r="AC217" i="13" s="1"/>
  <c r="AD217" i="13"/>
  <c r="AH217" i="13" s="1" a="1"/>
  <c r="AH217" i="13" s="1"/>
  <c r="Z218" i="13"/>
  <c r="AA218" i="13" s="1"/>
  <c r="AB218" i="13"/>
  <c r="AC218" i="13" s="1"/>
  <c r="AD218" i="13"/>
  <c r="AH218" i="13" s="1" a="1"/>
  <c r="AH218" i="13" s="1"/>
  <c r="Z219" i="13"/>
  <c r="AA219" i="13" s="1"/>
  <c r="AB219" i="13"/>
  <c r="AC219" i="13" s="1"/>
  <c r="AD219" i="13"/>
  <c r="AH219" i="13" s="1" a="1"/>
  <c r="AH219" i="13" s="1"/>
  <c r="Z220" i="13"/>
  <c r="AA220" i="13" s="1"/>
  <c r="AB220" i="13"/>
  <c r="AC220" i="13" s="1"/>
  <c r="AD220" i="13"/>
  <c r="AH220" i="13" s="1" a="1"/>
  <c r="AH220" i="13" s="1"/>
  <c r="Z221" i="13"/>
  <c r="AA221" i="13" s="1"/>
  <c r="AB221" i="13"/>
  <c r="AD221" i="13"/>
  <c r="AH221" i="13" s="1" a="1"/>
  <c r="AH221" i="13" s="1"/>
  <c r="Z222" i="13"/>
  <c r="AA222" i="13" s="1"/>
  <c r="AB222" i="13"/>
  <c r="AC222" i="13" s="1"/>
  <c r="AD222" i="13"/>
  <c r="AH222" i="13" s="1" a="1"/>
  <c r="AH222" i="13" s="1"/>
  <c r="Z223" i="13"/>
  <c r="AA223" i="13" s="1"/>
  <c r="AB223" i="13"/>
  <c r="AD223" i="13"/>
  <c r="AH223" i="13" s="1" a="1"/>
  <c r="AH223" i="13" s="1"/>
  <c r="Z224" i="13"/>
  <c r="AA224" i="13" s="1"/>
  <c r="AB224" i="13"/>
  <c r="AD224" i="13"/>
  <c r="AH224" i="13" s="1" a="1"/>
  <c r="AH224" i="13" s="1"/>
  <c r="Z225" i="13"/>
  <c r="AA225" i="13" s="1"/>
  <c r="AB225" i="13"/>
  <c r="AC225" i="13" s="1"/>
  <c r="AD225" i="13"/>
  <c r="AH225" i="13" s="1" a="1"/>
  <c r="AH225" i="13" s="1"/>
  <c r="Z226" i="13"/>
  <c r="AA226" i="13" s="1"/>
  <c r="AB226" i="13"/>
  <c r="AC226" i="13" s="1"/>
  <c r="AD226" i="13"/>
  <c r="AH226" i="13" s="1" a="1"/>
  <c r="AH226" i="13" s="1"/>
  <c r="Z227" i="13"/>
  <c r="AA227" i="13" s="1"/>
  <c r="AB227" i="13"/>
  <c r="AD227" i="13"/>
  <c r="AH227" i="13" s="1" a="1"/>
  <c r="AH227" i="13" s="1"/>
  <c r="Z228" i="13"/>
  <c r="AA228" i="13" s="1"/>
  <c r="AB228" i="13"/>
  <c r="AD228" i="13"/>
  <c r="AH228" i="13" s="1" a="1"/>
  <c r="AH228" i="13" s="1"/>
  <c r="Z229" i="13"/>
  <c r="AA229" i="13" s="1"/>
  <c r="AB229" i="13"/>
  <c r="AC229" i="13" s="1"/>
  <c r="AD229" i="13"/>
  <c r="AH229" i="13" s="1" a="1"/>
  <c r="AH229" i="13" s="1"/>
  <c r="Z230" i="13"/>
  <c r="AA230" i="13" s="1"/>
  <c r="AB230" i="13"/>
  <c r="AD230" i="13"/>
  <c r="AH230" i="13" s="1" a="1"/>
  <c r="AH230" i="13" s="1"/>
  <c r="Z231" i="13"/>
  <c r="AA231" i="13" s="1"/>
  <c r="AB231" i="13"/>
  <c r="AD231" i="13"/>
  <c r="AH231" i="13" s="1" a="1"/>
  <c r="AH231" i="13" s="1"/>
  <c r="Z232" i="13"/>
  <c r="AA232" i="13" s="1"/>
  <c r="AB232" i="13"/>
  <c r="AC232" i="13" s="1"/>
  <c r="AD232" i="13"/>
  <c r="AH232" i="13" s="1" a="1"/>
  <c r="AH232" i="13" s="1"/>
  <c r="Z233" i="13"/>
  <c r="AA233" i="13" s="1"/>
  <c r="AB233" i="13"/>
  <c r="AC233" i="13" s="1"/>
  <c r="AD233" i="13"/>
  <c r="AH233" i="13" s="1" a="1"/>
  <c r="AH233" i="13" s="1"/>
  <c r="Z234" i="13"/>
  <c r="AA234" i="13" s="1"/>
  <c r="AB234" i="13"/>
  <c r="AD234" i="13"/>
  <c r="AH234" i="13" s="1" a="1"/>
  <c r="AH234" i="13" s="1"/>
  <c r="Z235" i="13"/>
  <c r="AA235" i="13" s="1"/>
  <c r="AB235" i="13"/>
  <c r="AC235" i="13" s="1"/>
  <c r="AD235" i="13"/>
  <c r="AH235" i="13" s="1" a="1"/>
  <c r="AH235" i="13" s="1"/>
  <c r="Z236" i="13"/>
  <c r="AA236" i="13" s="1"/>
  <c r="AB236" i="13"/>
  <c r="AC236" i="13" s="1"/>
  <c r="AD236" i="13"/>
  <c r="AH236" i="13" s="1" a="1"/>
  <c r="AH236" i="13" s="1"/>
  <c r="Z237" i="13"/>
  <c r="AA237" i="13" s="1"/>
  <c r="AB237" i="13"/>
  <c r="AD237" i="13"/>
  <c r="AH237" i="13" s="1" a="1"/>
  <c r="AH237" i="13" s="1"/>
  <c r="Z238" i="13"/>
  <c r="AA238" i="13" s="1"/>
  <c r="AB238" i="13"/>
  <c r="AD238" i="13"/>
  <c r="AH238" i="13" s="1" a="1"/>
  <c r="AH238" i="13" s="1"/>
  <c r="Z239" i="13"/>
  <c r="AA239" i="13" s="1"/>
  <c r="AB239" i="13"/>
  <c r="AE239" i="13" s="1"/>
  <c r="AD239" i="13"/>
  <c r="AH239" i="13" s="1" a="1"/>
  <c r="AH239" i="13" s="1"/>
  <c r="Z240" i="13"/>
  <c r="AA240" i="13" s="1"/>
  <c r="AB240" i="13"/>
  <c r="AD240" i="13"/>
  <c r="AH240" i="13" s="1" a="1"/>
  <c r="AH240" i="13" s="1"/>
  <c r="Z241" i="13"/>
  <c r="AA241" i="13" s="1"/>
  <c r="AB241" i="13"/>
  <c r="AC241" i="13" s="1"/>
  <c r="AD241" i="13"/>
  <c r="AH241" i="13" s="1" a="1"/>
  <c r="AH241" i="13" s="1"/>
  <c r="Z242" i="13"/>
  <c r="AA242" i="13" s="1"/>
  <c r="AB242" i="13"/>
  <c r="AD242" i="13"/>
  <c r="AH242" i="13" s="1" a="1"/>
  <c r="AH242" i="13" s="1"/>
  <c r="Z243" i="13"/>
  <c r="AA243" i="13" s="1"/>
  <c r="AB243" i="13"/>
  <c r="AC243" i="13" s="1"/>
  <c r="AD243" i="13"/>
  <c r="AH243" i="13" s="1" a="1"/>
  <c r="AH243" i="13" s="1"/>
  <c r="Z244" i="13"/>
  <c r="AA244" i="13" s="1"/>
  <c r="AB244" i="13"/>
  <c r="AD244" i="13"/>
  <c r="AH244" i="13" s="1" a="1"/>
  <c r="AH244" i="13" s="1"/>
  <c r="Z245" i="13"/>
  <c r="AA245" i="13" s="1"/>
  <c r="AB245" i="13"/>
  <c r="AC245" i="13" s="1"/>
  <c r="AD245" i="13"/>
  <c r="AH245" i="13" s="1" a="1"/>
  <c r="AH245" i="13" s="1"/>
  <c r="Z246" i="13"/>
  <c r="AA246" i="13" s="1"/>
  <c r="AB246" i="13"/>
  <c r="AC246" i="13" s="1"/>
  <c r="AD246" i="13"/>
  <c r="AH246" i="13" s="1" a="1"/>
  <c r="AH246" i="13" s="1"/>
  <c r="Z247" i="13"/>
  <c r="AA247" i="13" s="1"/>
  <c r="AB247" i="13"/>
  <c r="AE247" i="13" s="1"/>
  <c r="AD247" i="13"/>
  <c r="AH247" i="13" s="1" a="1"/>
  <c r="AH247" i="13" s="1"/>
  <c r="Z248" i="13"/>
  <c r="AA248" i="13" s="1"/>
  <c r="AB248" i="13"/>
  <c r="AD248" i="13"/>
  <c r="AH248" i="13" s="1" a="1"/>
  <c r="AH248" i="13" s="1"/>
  <c r="Z249" i="13"/>
  <c r="AA249" i="13" s="1"/>
  <c r="AB249" i="13"/>
  <c r="AC249" i="13" s="1"/>
  <c r="AD249" i="13"/>
  <c r="AH249" i="13" s="1" a="1"/>
  <c r="AH249" i="13" s="1"/>
  <c r="Z250" i="13"/>
  <c r="AA250" i="13" s="1"/>
  <c r="AB250" i="13"/>
  <c r="AD250" i="13"/>
  <c r="AH250" i="13" s="1" a="1"/>
  <c r="AH250" i="13" s="1"/>
  <c r="Z251" i="13"/>
  <c r="AA251" i="13" s="1"/>
  <c r="AB251" i="13"/>
  <c r="AD251" i="13"/>
  <c r="AH251" i="13" s="1" a="1"/>
  <c r="AH251" i="13" s="1"/>
  <c r="Z252" i="13"/>
  <c r="AA252" i="13" s="1"/>
  <c r="AB252" i="13"/>
  <c r="AD252" i="13"/>
  <c r="AH252" i="13" s="1" a="1"/>
  <c r="AH252" i="13" s="1"/>
  <c r="Z253" i="13"/>
  <c r="AA253" i="13" s="1"/>
  <c r="AB253" i="13"/>
  <c r="AC253" i="13" s="1"/>
  <c r="AD253" i="13"/>
  <c r="AH253" i="13" s="1" a="1"/>
  <c r="AH253" i="13" s="1"/>
  <c r="Z254" i="13"/>
  <c r="AA254" i="13" s="1"/>
  <c r="AB254" i="13"/>
  <c r="AD254" i="13"/>
  <c r="AH254" i="13" s="1" a="1"/>
  <c r="AH254" i="13" s="1"/>
  <c r="Z255" i="13"/>
  <c r="AA255" i="13" s="1"/>
  <c r="AB255" i="13"/>
  <c r="AE255" i="13" s="1"/>
  <c r="AD255" i="13"/>
  <c r="AH255" i="13" s="1" a="1"/>
  <c r="AH255" i="13" s="1"/>
  <c r="Z256" i="13"/>
  <c r="AA256" i="13" s="1"/>
  <c r="AB256" i="13"/>
  <c r="AD256" i="13"/>
  <c r="AH256" i="13" s="1" a="1"/>
  <c r="AH256" i="13" s="1"/>
  <c r="Z257" i="13"/>
  <c r="AA257" i="13" s="1"/>
  <c r="AB257" i="13"/>
  <c r="AC257" i="13" s="1"/>
  <c r="AD257" i="13"/>
  <c r="AH257" i="13" s="1" a="1"/>
  <c r="AH257" i="13" s="1"/>
  <c r="Z258" i="13"/>
  <c r="AA258" i="13" s="1"/>
  <c r="AB258" i="13"/>
  <c r="AD258" i="13"/>
  <c r="AH258" i="13" s="1" a="1"/>
  <c r="AH258" i="13" s="1"/>
  <c r="Z259" i="13"/>
  <c r="AA259" i="13" s="1"/>
  <c r="AB259" i="13"/>
  <c r="AE259" i="13" s="1"/>
  <c r="AF259" i="13" s="1"/>
  <c r="AG259" i="13" s="1"/>
  <c r="AD259" i="13"/>
  <c r="AH259" i="13" s="1" a="1"/>
  <c r="AH259" i="13" s="1"/>
  <c r="Z260" i="13"/>
  <c r="AA260" i="13" s="1"/>
  <c r="AB260" i="13"/>
  <c r="AD260" i="13"/>
  <c r="AH260" i="13" s="1" a="1"/>
  <c r="AH260" i="13" s="1"/>
  <c r="Z261" i="13"/>
  <c r="AA261" i="13" s="1"/>
  <c r="AB261" i="13"/>
  <c r="AC261" i="13" s="1"/>
  <c r="AD261" i="13"/>
  <c r="AH261" i="13" s="1" a="1"/>
  <c r="AH261" i="13" s="1"/>
  <c r="Z262" i="13"/>
  <c r="AA262" i="13" s="1"/>
  <c r="AB262" i="13"/>
  <c r="AD262" i="13"/>
  <c r="AH262" i="13" s="1" a="1"/>
  <c r="AH262" i="13" s="1"/>
  <c r="Z263" i="13"/>
  <c r="AA263" i="13" s="1"/>
  <c r="AB263" i="13"/>
  <c r="AD263" i="13"/>
  <c r="AH263" i="13" s="1" a="1"/>
  <c r="AH263" i="13" s="1"/>
  <c r="Z264" i="13"/>
  <c r="AA264" i="13" s="1"/>
  <c r="AB264" i="13"/>
  <c r="AC264" i="13" s="1"/>
  <c r="AD264" i="13"/>
  <c r="AH264" i="13" s="1" a="1"/>
  <c r="AH264" i="13" s="1"/>
  <c r="Z265" i="13"/>
  <c r="AA265" i="13" s="1"/>
  <c r="AB265" i="13"/>
  <c r="AC265" i="13" s="1"/>
  <c r="AD265" i="13"/>
  <c r="AH265" i="13" s="1" a="1"/>
  <c r="AH265" i="13" s="1"/>
  <c r="Z266" i="13"/>
  <c r="AA266" i="13" s="1"/>
  <c r="AB266" i="13"/>
  <c r="AC266" i="13" s="1"/>
  <c r="AD266" i="13"/>
  <c r="AH266" i="13" s="1" a="1"/>
  <c r="AH266" i="13" s="1"/>
  <c r="Z267" i="13"/>
  <c r="AA267" i="13" s="1"/>
  <c r="AB267" i="13"/>
  <c r="AD267" i="13"/>
  <c r="AH267" i="13" s="1" a="1"/>
  <c r="AH267" i="13" s="1"/>
  <c r="Z268" i="13"/>
  <c r="AA268" i="13" s="1"/>
  <c r="AB268" i="13"/>
  <c r="AC268" i="13" s="1"/>
  <c r="AD268" i="13"/>
  <c r="AH268" i="13" s="1" a="1"/>
  <c r="AH268" i="13" s="1"/>
  <c r="Z269" i="13"/>
  <c r="AA269" i="13" s="1"/>
  <c r="AB269" i="13"/>
  <c r="AC269" i="13" s="1"/>
  <c r="AD269" i="13"/>
  <c r="AH269" i="13" s="1" a="1"/>
  <c r="AH269" i="13" s="1"/>
  <c r="Z270" i="13"/>
  <c r="AA270" i="13" s="1"/>
  <c r="AB270" i="13"/>
  <c r="AC270" i="13" s="1"/>
  <c r="AD270" i="13"/>
  <c r="AH270" i="13" s="1" a="1"/>
  <c r="AH270" i="13" s="1"/>
  <c r="Z271" i="13"/>
  <c r="AA271" i="13" s="1"/>
  <c r="AB271" i="13"/>
  <c r="AC271" i="13" s="1"/>
  <c r="AD271" i="13"/>
  <c r="AH271" i="13" s="1" a="1"/>
  <c r="AH271" i="13" s="1"/>
  <c r="Z272" i="13"/>
  <c r="AA272" i="13" s="1"/>
  <c r="AB272" i="13"/>
  <c r="AC272" i="13" s="1"/>
  <c r="AD272" i="13"/>
  <c r="AH272" i="13" s="1" a="1"/>
  <c r="AH272" i="13" s="1"/>
  <c r="Z273" i="13"/>
  <c r="AA273" i="13" s="1"/>
  <c r="AB273" i="13"/>
  <c r="AC273" i="13" s="1"/>
  <c r="AD273" i="13"/>
  <c r="AH273" i="13" s="1" a="1"/>
  <c r="AH273" i="13" s="1"/>
  <c r="Z274" i="13"/>
  <c r="AA274" i="13" s="1"/>
  <c r="AB274" i="13"/>
  <c r="AC274" i="13" s="1"/>
  <c r="AD274" i="13"/>
  <c r="AH274" i="13" s="1" a="1"/>
  <c r="AH274" i="13" s="1"/>
  <c r="Z275" i="13"/>
  <c r="AA275" i="13" s="1"/>
  <c r="AB275" i="13"/>
  <c r="AC275" i="13" s="1"/>
  <c r="AD275" i="13"/>
  <c r="AH275" i="13" s="1" a="1"/>
  <c r="AH275" i="13" s="1"/>
  <c r="Z276" i="13"/>
  <c r="AA276" i="13" s="1"/>
  <c r="AB276" i="13"/>
  <c r="AC276" i="13" s="1"/>
  <c r="AD276" i="13"/>
  <c r="AH276" i="13" s="1" a="1"/>
  <c r="AH276" i="13" s="1"/>
  <c r="Z277" i="13"/>
  <c r="AA277" i="13" s="1"/>
  <c r="AB277" i="13"/>
  <c r="AC277" i="13" s="1"/>
  <c r="AD277" i="13"/>
  <c r="AH277" i="13" s="1" a="1"/>
  <c r="AH277" i="13" s="1"/>
  <c r="Z278" i="13"/>
  <c r="AA278" i="13" s="1"/>
  <c r="AB278" i="13"/>
  <c r="AC278" i="13" s="1"/>
  <c r="AD278" i="13"/>
  <c r="AH278" i="13" s="1" a="1"/>
  <c r="AH278" i="13" s="1"/>
  <c r="Z279" i="13"/>
  <c r="AA279" i="13" s="1"/>
  <c r="AB279" i="13"/>
  <c r="AC279" i="13" s="1"/>
  <c r="AD279" i="13"/>
  <c r="AH279" i="13" s="1" a="1"/>
  <c r="AH279" i="13" s="1"/>
  <c r="Z280" i="13"/>
  <c r="AA280" i="13" s="1"/>
  <c r="AB280" i="13"/>
  <c r="AC280" i="13" s="1"/>
  <c r="AD280" i="13"/>
  <c r="AH280" i="13" s="1" a="1"/>
  <c r="AH280" i="13" s="1"/>
  <c r="Z281" i="13"/>
  <c r="AA281" i="13" s="1"/>
  <c r="AB281" i="13"/>
  <c r="AC281" i="13" s="1"/>
  <c r="AD281" i="13"/>
  <c r="AH281" i="13" s="1" a="1"/>
  <c r="AH281" i="13" s="1"/>
  <c r="Z282" i="13"/>
  <c r="AA282" i="13" s="1"/>
  <c r="AB282" i="13"/>
  <c r="AC282" i="13" s="1"/>
  <c r="AD282" i="13"/>
  <c r="AH282" i="13" s="1" a="1"/>
  <c r="AH282" i="13" s="1"/>
  <c r="Z283" i="13"/>
  <c r="AA283" i="13" s="1"/>
  <c r="AB283" i="13"/>
  <c r="AC283" i="13" s="1"/>
  <c r="AD283" i="13"/>
  <c r="AH283" i="13" s="1" a="1"/>
  <c r="AH283" i="13" s="1"/>
  <c r="Z284" i="13"/>
  <c r="AA284" i="13" s="1"/>
  <c r="AB284" i="13"/>
  <c r="AC284" i="13" s="1"/>
  <c r="AD284" i="13"/>
  <c r="AH284" i="13" s="1" a="1"/>
  <c r="AH284" i="13" s="1"/>
  <c r="Z285" i="13"/>
  <c r="AA285" i="13" s="1"/>
  <c r="AB285" i="13"/>
  <c r="AC285" i="13" s="1"/>
  <c r="AD285" i="13"/>
  <c r="AH285" i="13" s="1" a="1"/>
  <c r="AH285" i="13" s="1"/>
  <c r="Z286" i="13"/>
  <c r="AA286" i="13" s="1"/>
  <c r="AB286" i="13"/>
  <c r="AC286" i="13" s="1"/>
  <c r="AD286" i="13"/>
  <c r="AH286" i="13" s="1" a="1"/>
  <c r="AH286" i="13" s="1"/>
  <c r="Z287" i="13"/>
  <c r="AA287" i="13" s="1"/>
  <c r="AB287" i="13"/>
  <c r="AC287" i="13" s="1"/>
  <c r="AD287" i="13"/>
  <c r="AH287" i="13" s="1" a="1"/>
  <c r="AH287" i="13" s="1"/>
  <c r="Z288" i="13"/>
  <c r="AA288" i="13" s="1"/>
  <c r="AB288" i="13"/>
  <c r="AC288" i="13" s="1"/>
  <c r="AD288" i="13"/>
  <c r="AH288" i="13" s="1" a="1"/>
  <c r="AH288" i="13" s="1"/>
  <c r="Z289" i="13"/>
  <c r="AA289" i="13" s="1"/>
  <c r="AB289" i="13"/>
  <c r="AC289" i="13" s="1"/>
  <c r="AD289" i="13"/>
  <c r="AH289" i="13" s="1" a="1"/>
  <c r="AH289" i="13" s="1"/>
  <c r="Z290" i="13"/>
  <c r="AA290" i="13" s="1"/>
  <c r="AB290" i="13"/>
  <c r="AC290" i="13" s="1"/>
  <c r="AD290" i="13"/>
  <c r="AH290" i="13" s="1" a="1"/>
  <c r="AH290" i="13" s="1"/>
  <c r="Z291" i="13"/>
  <c r="AA291" i="13" s="1"/>
  <c r="AB291" i="13"/>
  <c r="AC291" i="13" s="1"/>
  <c r="AD291" i="13"/>
  <c r="AH291" i="13" s="1" a="1"/>
  <c r="AH291" i="13" s="1"/>
  <c r="Z292" i="13"/>
  <c r="AA292" i="13" s="1"/>
  <c r="AB292" i="13"/>
  <c r="AC292" i="13" s="1"/>
  <c r="AD292" i="13"/>
  <c r="AH292" i="13" s="1" a="1"/>
  <c r="AH292" i="13" s="1"/>
  <c r="Z293" i="13"/>
  <c r="AA293" i="13" s="1"/>
  <c r="AB293" i="13"/>
  <c r="AC293" i="13" s="1"/>
  <c r="AD293" i="13"/>
  <c r="AH293" i="13" s="1" a="1"/>
  <c r="AH293" i="13" s="1"/>
  <c r="Z294" i="13"/>
  <c r="AA294" i="13" s="1"/>
  <c r="AB294" i="13"/>
  <c r="AC294" i="13" s="1"/>
  <c r="AD294" i="13"/>
  <c r="AH294" i="13" s="1" a="1"/>
  <c r="AH294" i="13" s="1"/>
  <c r="Z295" i="13"/>
  <c r="AA295" i="13" s="1"/>
  <c r="AB295" i="13"/>
  <c r="AC295" i="13" s="1"/>
  <c r="AD295" i="13"/>
  <c r="AH295" i="13" s="1" a="1"/>
  <c r="AH295" i="13" s="1"/>
  <c r="Z296" i="13"/>
  <c r="AA296" i="13" s="1"/>
  <c r="AB296" i="13"/>
  <c r="AC296" i="13" s="1"/>
  <c r="AD296" i="13"/>
  <c r="AH296" i="13" s="1" a="1"/>
  <c r="AH296" i="13" s="1"/>
  <c r="Z297" i="13"/>
  <c r="AA297" i="13" s="1"/>
  <c r="AB297" i="13"/>
  <c r="AC297" i="13" s="1"/>
  <c r="AD297" i="13"/>
  <c r="AH297" i="13" s="1" a="1"/>
  <c r="AH297" i="13" s="1"/>
  <c r="Z298" i="13"/>
  <c r="AA298" i="13" s="1"/>
  <c r="AB298" i="13"/>
  <c r="AC298" i="13" s="1"/>
  <c r="AD298" i="13"/>
  <c r="AH298" i="13" s="1" a="1"/>
  <c r="AH298" i="13" s="1"/>
  <c r="Z299" i="13"/>
  <c r="AA299" i="13" s="1"/>
  <c r="AB299" i="13"/>
  <c r="AC299" i="13" s="1"/>
  <c r="AD299" i="13"/>
  <c r="AH299" i="13" s="1" a="1"/>
  <c r="AH299" i="13" s="1"/>
  <c r="Z300" i="13"/>
  <c r="AA300" i="13" s="1"/>
  <c r="AB300" i="13"/>
  <c r="AC300" i="13" s="1"/>
  <c r="AD300" i="13"/>
  <c r="AH300" i="13" s="1" a="1"/>
  <c r="AH300" i="13" s="1"/>
  <c r="Z301" i="13"/>
  <c r="AA301" i="13" s="1"/>
  <c r="AB301" i="13"/>
  <c r="AC301" i="13" s="1"/>
  <c r="AD301" i="13"/>
  <c r="AH301" i="13" s="1" a="1"/>
  <c r="AH301" i="13" s="1"/>
  <c r="Z302" i="13"/>
  <c r="AA302" i="13" s="1"/>
  <c r="AB302" i="13"/>
  <c r="AC302" i="13" s="1"/>
  <c r="AD302" i="13"/>
  <c r="AH302" i="13" s="1" a="1"/>
  <c r="AH302" i="13" s="1"/>
  <c r="Z303" i="13"/>
  <c r="AA303" i="13" s="1"/>
  <c r="AB303" i="13"/>
  <c r="AC303" i="13" s="1"/>
  <c r="AD303" i="13"/>
  <c r="AH303" i="13" s="1" a="1"/>
  <c r="AH303" i="13" s="1"/>
  <c r="Z304" i="13"/>
  <c r="AA304" i="13" s="1"/>
  <c r="AB304" i="13"/>
  <c r="AC304" i="13" s="1"/>
  <c r="AD304" i="13"/>
  <c r="AH304" i="13" s="1" a="1"/>
  <c r="AH304" i="13" s="1"/>
  <c r="Z305" i="13"/>
  <c r="AA305" i="13" s="1"/>
  <c r="AB305" i="13"/>
  <c r="AC305" i="13" s="1"/>
  <c r="AD305" i="13"/>
  <c r="AH305" i="13" s="1" a="1"/>
  <c r="AH305" i="13" s="1"/>
  <c r="Z306" i="13"/>
  <c r="AA306" i="13" s="1"/>
  <c r="AB306" i="13"/>
  <c r="AC306" i="13" s="1"/>
  <c r="AD306" i="13"/>
  <c r="AH306" i="13" s="1" a="1"/>
  <c r="AH306" i="13" s="1"/>
  <c r="Z307" i="13"/>
  <c r="AA307" i="13" s="1"/>
  <c r="AB307" i="13"/>
  <c r="AC307" i="13" s="1"/>
  <c r="AD307" i="13"/>
  <c r="AH307" i="13" s="1" a="1"/>
  <c r="AH307" i="13" s="1"/>
  <c r="Z308" i="13"/>
  <c r="AA308" i="13" s="1"/>
  <c r="AB308" i="13"/>
  <c r="AC308" i="13" s="1"/>
  <c r="AD308" i="13"/>
  <c r="AH308" i="13" s="1" a="1"/>
  <c r="AH308" i="13" s="1"/>
  <c r="Z309" i="13"/>
  <c r="AA309" i="13" s="1"/>
  <c r="AB309" i="13"/>
  <c r="AC309" i="13" s="1"/>
  <c r="AD309" i="13"/>
  <c r="AH309" i="13" s="1" a="1"/>
  <c r="AH309" i="13" s="1"/>
  <c r="Z310" i="13"/>
  <c r="AA310" i="13" s="1"/>
  <c r="AB310" i="13"/>
  <c r="AC310" i="13" s="1"/>
  <c r="AD310" i="13"/>
  <c r="AH310" i="13" s="1" a="1"/>
  <c r="AH310" i="13" s="1"/>
  <c r="Z311" i="13"/>
  <c r="AA311" i="13" s="1"/>
  <c r="AB311" i="13"/>
  <c r="AC311" i="13" s="1"/>
  <c r="AD311" i="13"/>
  <c r="AH311" i="13" s="1" a="1"/>
  <c r="AH311" i="13" s="1"/>
  <c r="Z312" i="13"/>
  <c r="AA312" i="13" s="1"/>
  <c r="AB312" i="13"/>
  <c r="AC312" i="13" s="1"/>
  <c r="AD312" i="13"/>
  <c r="AH312" i="13" s="1" a="1"/>
  <c r="AH312" i="13" s="1"/>
  <c r="Z313" i="13"/>
  <c r="AA313" i="13" s="1"/>
  <c r="AB313" i="13"/>
  <c r="AC313" i="13" s="1"/>
  <c r="AD313" i="13"/>
  <c r="AH313" i="13" s="1" a="1"/>
  <c r="AH313" i="13" s="1"/>
  <c r="Z314" i="13"/>
  <c r="AA314" i="13" s="1"/>
  <c r="AB314" i="13"/>
  <c r="AC314" i="13" s="1"/>
  <c r="AD314" i="13"/>
  <c r="AH314" i="13" s="1" a="1"/>
  <c r="AH314" i="13" s="1"/>
  <c r="Z315" i="13"/>
  <c r="AA315" i="13" s="1"/>
  <c r="AB315" i="13"/>
  <c r="AC315" i="13" s="1"/>
  <c r="AD315" i="13"/>
  <c r="AH315" i="13" s="1" a="1"/>
  <c r="AH315" i="13" s="1"/>
  <c r="Z316" i="13"/>
  <c r="AA316" i="13" s="1"/>
  <c r="AB316" i="13"/>
  <c r="AC316" i="13" s="1"/>
  <c r="AD316" i="13"/>
  <c r="AH316" i="13" s="1" a="1"/>
  <c r="AH316" i="13" s="1"/>
  <c r="Z317" i="13"/>
  <c r="AA317" i="13" s="1"/>
  <c r="AB317" i="13"/>
  <c r="AC317" i="13" s="1"/>
  <c r="AD317" i="13"/>
  <c r="AH317" i="13" s="1" a="1"/>
  <c r="AH317" i="13" s="1"/>
  <c r="Z318" i="13"/>
  <c r="AA318" i="13" s="1"/>
  <c r="AB318" i="13"/>
  <c r="AC318" i="13" s="1"/>
  <c r="AD318" i="13"/>
  <c r="AH318" i="13" s="1" a="1"/>
  <c r="AH318" i="13" s="1"/>
  <c r="Z319" i="13"/>
  <c r="AA319" i="13" s="1"/>
  <c r="AB319" i="13"/>
  <c r="AC319" i="13" s="1"/>
  <c r="AD319" i="13"/>
  <c r="AH319" i="13" s="1" a="1"/>
  <c r="AH319" i="13" s="1"/>
  <c r="Z320" i="13"/>
  <c r="AA320" i="13" s="1"/>
  <c r="AB320" i="13"/>
  <c r="AC320" i="13" s="1"/>
  <c r="AD320" i="13"/>
  <c r="AH320" i="13" s="1" a="1"/>
  <c r="AH320" i="13" s="1"/>
  <c r="Z321" i="13"/>
  <c r="AA321" i="13" s="1"/>
  <c r="AB321" i="13"/>
  <c r="AC321" i="13" s="1"/>
  <c r="AD321" i="13"/>
  <c r="AH321" i="13" s="1" a="1"/>
  <c r="AH321" i="13" s="1"/>
  <c r="Z322" i="13"/>
  <c r="AA322" i="13" s="1"/>
  <c r="AB322" i="13"/>
  <c r="AC322" i="13" s="1"/>
  <c r="AD322" i="13"/>
  <c r="AH322" i="13" s="1" a="1"/>
  <c r="AH322" i="13" s="1"/>
  <c r="Z323" i="13"/>
  <c r="AA323" i="13" s="1"/>
  <c r="AB323" i="13"/>
  <c r="AC323" i="13" s="1"/>
  <c r="AD323" i="13"/>
  <c r="AH323" i="13" s="1" a="1"/>
  <c r="AH323" i="13" s="1"/>
  <c r="Z324" i="13"/>
  <c r="AA324" i="13" s="1"/>
  <c r="AB324" i="13"/>
  <c r="AC324" i="13" s="1"/>
  <c r="AD324" i="13"/>
  <c r="AH324" i="13" s="1" a="1"/>
  <c r="AH324" i="13" s="1"/>
  <c r="Z325" i="13"/>
  <c r="AA325" i="13" s="1"/>
  <c r="AB325" i="13"/>
  <c r="AC325" i="13" s="1"/>
  <c r="AD325" i="13"/>
  <c r="AH325" i="13" s="1" a="1"/>
  <c r="AH325" i="13" s="1"/>
  <c r="Z326" i="13"/>
  <c r="AA326" i="13" s="1"/>
  <c r="AB326" i="13"/>
  <c r="AC326" i="13" s="1"/>
  <c r="AD326" i="13"/>
  <c r="AH326" i="13" s="1" a="1"/>
  <c r="AH326" i="13" s="1"/>
  <c r="Z327" i="13"/>
  <c r="AA327" i="13" s="1"/>
  <c r="AB327" i="13"/>
  <c r="AC327" i="13" s="1"/>
  <c r="AD327" i="13"/>
  <c r="AH327" i="13" s="1" a="1"/>
  <c r="AH327" i="13" s="1"/>
  <c r="Z328" i="13"/>
  <c r="AA328" i="13" s="1"/>
  <c r="AB328" i="13"/>
  <c r="AC328" i="13" s="1"/>
  <c r="AD328" i="13"/>
  <c r="AH328" i="13" s="1" a="1"/>
  <c r="AH328" i="13" s="1"/>
  <c r="Z329" i="13"/>
  <c r="AA329" i="13" s="1"/>
  <c r="AB329" i="13"/>
  <c r="AC329" i="13" s="1"/>
  <c r="AD329" i="13"/>
  <c r="AH329" i="13" s="1" a="1"/>
  <c r="AH329" i="13" s="1"/>
  <c r="Z330" i="13"/>
  <c r="AA330" i="13" s="1"/>
  <c r="AB330" i="13"/>
  <c r="AC330" i="13" s="1"/>
  <c r="AD330" i="13"/>
  <c r="AH330" i="13" s="1" a="1"/>
  <c r="AH330" i="13" s="1"/>
  <c r="Z331" i="13"/>
  <c r="AA331" i="13" s="1"/>
  <c r="AB331" i="13"/>
  <c r="AC331" i="13" s="1"/>
  <c r="AD331" i="13"/>
  <c r="AH331" i="13" s="1" a="1"/>
  <c r="AH331" i="13" s="1"/>
  <c r="Z332" i="13"/>
  <c r="AA332" i="13" s="1"/>
  <c r="AB332" i="13"/>
  <c r="AC332" i="13" s="1"/>
  <c r="AD332" i="13"/>
  <c r="AH332" i="13" s="1" a="1"/>
  <c r="AH332" i="13" s="1"/>
  <c r="Z333" i="13"/>
  <c r="AA333" i="13" s="1"/>
  <c r="AB333" i="13"/>
  <c r="AC333" i="13" s="1"/>
  <c r="AD333" i="13"/>
  <c r="AH333" i="13" s="1" a="1"/>
  <c r="AH333" i="13" s="1"/>
  <c r="Z334" i="13"/>
  <c r="AA334" i="13" s="1"/>
  <c r="AB334" i="13"/>
  <c r="AC334" i="13" s="1"/>
  <c r="AD334" i="13"/>
  <c r="AH334" i="13" s="1" a="1"/>
  <c r="AH334" i="13" s="1"/>
  <c r="Z335" i="13"/>
  <c r="AA335" i="13" s="1"/>
  <c r="AB335" i="13"/>
  <c r="AC335" i="13" s="1"/>
  <c r="AD335" i="13"/>
  <c r="AH335" i="13" s="1" a="1"/>
  <c r="AH335" i="13" s="1"/>
  <c r="Z336" i="13"/>
  <c r="AA336" i="13" s="1"/>
  <c r="AB336" i="13"/>
  <c r="AC336" i="13" s="1"/>
  <c r="AD336" i="13"/>
  <c r="AH336" i="13" s="1" a="1"/>
  <c r="AH336" i="13" s="1"/>
  <c r="Z337" i="13"/>
  <c r="AA337" i="13" s="1"/>
  <c r="AB337" i="13"/>
  <c r="AC337" i="13" s="1"/>
  <c r="AD337" i="13"/>
  <c r="AH337" i="13" s="1" a="1"/>
  <c r="AH337" i="13" s="1"/>
  <c r="Z338" i="13"/>
  <c r="AA338" i="13" s="1"/>
  <c r="AB338" i="13"/>
  <c r="AC338" i="13" s="1"/>
  <c r="AD338" i="13"/>
  <c r="AH338" i="13" s="1" a="1"/>
  <c r="AH338" i="13" s="1"/>
  <c r="Z339" i="13"/>
  <c r="AA339" i="13" s="1"/>
  <c r="AB339" i="13"/>
  <c r="AC339" i="13" s="1"/>
  <c r="AD339" i="13"/>
  <c r="AH339" i="13" s="1" a="1"/>
  <c r="AH339" i="13" s="1"/>
  <c r="Z340" i="13"/>
  <c r="AA340" i="13" s="1"/>
  <c r="AB340" i="13"/>
  <c r="AC340" i="13" s="1"/>
  <c r="AD340" i="13"/>
  <c r="AH340" i="13" s="1" a="1"/>
  <c r="AH340" i="13" s="1"/>
  <c r="Z341" i="13"/>
  <c r="AA341" i="13" s="1"/>
  <c r="AB341" i="13"/>
  <c r="AC341" i="13" s="1"/>
  <c r="AD341" i="13"/>
  <c r="AH341" i="13" s="1" a="1"/>
  <c r="AH341" i="13" s="1"/>
  <c r="Z342" i="13"/>
  <c r="AA342" i="13" s="1"/>
  <c r="AB342" i="13"/>
  <c r="AC342" i="13" s="1"/>
  <c r="AD342" i="13"/>
  <c r="AH342" i="13" s="1" a="1"/>
  <c r="AH342" i="13" s="1"/>
  <c r="Z343" i="13"/>
  <c r="AA343" i="13" s="1"/>
  <c r="AB343" i="13"/>
  <c r="AC343" i="13" s="1"/>
  <c r="AD343" i="13"/>
  <c r="AH343" i="13" s="1" a="1"/>
  <c r="AH343" i="13" s="1"/>
  <c r="Z344" i="13"/>
  <c r="AA344" i="13" s="1"/>
  <c r="AB344" i="13"/>
  <c r="AC344" i="13" s="1"/>
  <c r="AD344" i="13"/>
  <c r="AH344" i="13" s="1" a="1"/>
  <c r="AH344" i="13" s="1"/>
  <c r="Z345" i="13"/>
  <c r="AA345" i="13" s="1"/>
  <c r="AB345" i="13"/>
  <c r="AC345" i="13" s="1"/>
  <c r="AD345" i="13"/>
  <c r="AH345" i="13" s="1" a="1"/>
  <c r="AH345" i="13" s="1"/>
  <c r="Z346" i="13"/>
  <c r="AA346" i="13" s="1"/>
  <c r="AB346" i="13"/>
  <c r="AC346" i="13" s="1"/>
  <c r="AD346" i="13"/>
  <c r="AH346" i="13" s="1" a="1"/>
  <c r="AH346" i="13" s="1"/>
  <c r="Z347" i="13"/>
  <c r="AA347" i="13" s="1"/>
  <c r="AB347" i="13"/>
  <c r="AC347" i="13" s="1"/>
  <c r="AD347" i="13"/>
  <c r="AH347" i="13" s="1" a="1"/>
  <c r="AH347" i="13" s="1"/>
  <c r="Z348" i="13"/>
  <c r="AA348" i="13" s="1"/>
  <c r="AB348" i="13"/>
  <c r="AC348" i="13" s="1"/>
  <c r="AD348" i="13"/>
  <c r="AH348" i="13" s="1" a="1"/>
  <c r="AH348" i="13" s="1"/>
  <c r="Z349" i="13"/>
  <c r="AA349" i="13" s="1"/>
  <c r="AB349" i="13"/>
  <c r="AC349" i="13" s="1"/>
  <c r="AD349" i="13"/>
  <c r="AH349" i="13" s="1" a="1"/>
  <c r="AH349" i="13" s="1"/>
  <c r="Z350" i="13"/>
  <c r="AA350" i="13" s="1"/>
  <c r="AB350" i="13"/>
  <c r="AC350" i="13" s="1"/>
  <c r="AD350" i="13"/>
  <c r="AH350" i="13" s="1" a="1"/>
  <c r="AH350" i="13" s="1"/>
  <c r="Z351" i="13"/>
  <c r="AA351" i="13" s="1"/>
  <c r="AB351" i="13"/>
  <c r="AC351" i="13" s="1"/>
  <c r="AD351" i="13"/>
  <c r="AH351" i="13" s="1" a="1"/>
  <c r="AH351" i="13" s="1"/>
  <c r="Z352" i="13"/>
  <c r="AA352" i="13" s="1"/>
  <c r="AB352" i="13"/>
  <c r="AC352" i="13" s="1"/>
  <c r="AD352" i="13"/>
  <c r="AH352" i="13" s="1" a="1"/>
  <c r="AH352" i="13" s="1"/>
  <c r="Z353" i="13"/>
  <c r="AA353" i="13" s="1"/>
  <c r="AB353" i="13"/>
  <c r="AC353" i="13" s="1"/>
  <c r="AD353" i="13"/>
  <c r="AH353" i="13" s="1" a="1"/>
  <c r="AH353" i="13" s="1"/>
  <c r="Z354" i="13"/>
  <c r="AA354" i="13" s="1"/>
  <c r="AB354" i="13"/>
  <c r="AC354" i="13" s="1"/>
  <c r="AD354" i="13"/>
  <c r="AH354" i="13" s="1" a="1"/>
  <c r="AH354" i="13" s="1"/>
  <c r="Z355" i="13"/>
  <c r="AA355" i="13" s="1"/>
  <c r="AB355" i="13"/>
  <c r="AC355" i="13" s="1"/>
  <c r="AD355" i="13"/>
  <c r="AH355" i="13" s="1" a="1"/>
  <c r="AH355" i="13" s="1"/>
  <c r="Z356" i="13"/>
  <c r="AA356" i="13" s="1"/>
  <c r="AB356" i="13"/>
  <c r="AC356" i="13" s="1"/>
  <c r="AD356" i="13"/>
  <c r="AH356" i="13" s="1" a="1"/>
  <c r="AH356" i="13" s="1"/>
  <c r="Z357" i="13"/>
  <c r="AA357" i="13" s="1"/>
  <c r="AB357" i="13"/>
  <c r="AC357" i="13" s="1"/>
  <c r="AD357" i="13"/>
  <c r="AH357" i="13" s="1" a="1"/>
  <c r="AH357" i="13" s="1"/>
  <c r="Z358" i="13"/>
  <c r="AA358" i="13" s="1"/>
  <c r="AB358" i="13"/>
  <c r="AC358" i="13" s="1"/>
  <c r="AD358" i="13"/>
  <c r="AH358" i="13" s="1" a="1"/>
  <c r="AH358" i="13" s="1"/>
  <c r="Z359" i="13"/>
  <c r="AA359" i="13" s="1"/>
  <c r="AB359" i="13"/>
  <c r="AC359" i="13" s="1"/>
  <c r="AD359" i="13"/>
  <c r="AH359" i="13" s="1" a="1"/>
  <c r="AH359" i="13" s="1"/>
  <c r="Z360" i="13"/>
  <c r="AA360" i="13" s="1"/>
  <c r="AB360" i="13"/>
  <c r="AC360" i="13" s="1"/>
  <c r="AD360" i="13"/>
  <c r="AH360" i="13" s="1" a="1"/>
  <c r="AH360" i="13" s="1"/>
  <c r="Z361" i="13"/>
  <c r="AA361" i="13" s="1"/>
  <c r="AB361" i="13"/>
  <c r="AC361" i="13" s="1"/>
  <c r="AD361" i="13"/>
  <c r="AH361" i="13" s="1" a="1"/>
  <c r="AH361" i="13" s="1"/>
  <c r="Z362" i="13"/>
  <c r="AA362" i="13" s="1"/>
  <c r="AB362" i="13"/>
  <c r="AC362" i="13" s="1"/>
  <c r="AD362" i="13"/>
  <c r="AH362" i="13" s="1" a="1"/>
  <c r="AH362" i="13" s="1"/>
  <c r="Z363" i="13"/>
  <c r="AA363" i="13" s="1"/>
  <c r="AB363" i="13"/>
  <c r="AC363" i="13" s="1"/>
  <c r="AD363" i="13"/>
  <c r="AH363" i="13" s="1" a="1"/>
  <c r="AH363" i="13" s="1"/>
  <c r="AE363" i="13"/>
  <c r="AJ363" i="13" s="1"/>
  <c r="Z364" i="13"/>
  <c r="AA364" i="13" s="1"/>
  <c r="AB364" i="13"/>
  <c r="AC364" i="13" s="1"/>
  <c r="AD364" i="13"/>
  <c r="AH364" i="13" s="1" a="1"/>
  <c r="AH364" i="13" s="1"/>
  <c r="Z365" i="13"/>
  <c r="AA365" i="13" s="1"/>
  <c r="AB365" i="13"/>
  <c r="AC365" i="13" s="1"/>
  <c r="AD365" i="13"/>
  <c r="AH365" i="13" s="1" a="1"/>
  <c r="AH365" i="13" s="1"/>
  <c r="Z366" i="13"/>
  <c r="AA366" i="13" s="1"/>
  <c r="AB366" i="13"/>
  <c r="AC366" i="13" s="1"/>
  <c r="AD366" i="13"/>
  <c r="AH366" i="13" s="1" a="1"/>
  <c r="AH366" i="13" s="1"/>
  <c r="Z367" i="13"/>
  <c r="AA367" i="13" s="1"/>
  <c r="AB367" i="13"/>
  <c r="AC367" i="13" s="1"/>
  <c r="AD367" i="13"/>
  <c r="AH367" i="13" s="1" a="1"/>
  <c r="AH367" i="13" s="1"/>
  <c r="Z368" i="13"/>
  <c r="AA368" i="13" s="1"/>
  <c r="AB368" i="13"/>
  <c r="AC368" i="13" s="1"/>
  <c r="AD368" i="13"/>
  <c r="AH368" i="13" s="1" a="1"/>
  <c r="AH368" i="13" s="1"/>
  <c r="Z369" i="13"/>
  <c r="AA369" i="13" s="1"/>
  <c r="AB369" i="13"/>
  <c r="AC369" i="13" s="1"/>
  <c r="AD369" i="13"/>
  <c r="AH369" i="13" s="1" a="1"/>
  <c r="AH369" i="13" s="1"/>
  <c r="Z370" i="13"/>
  <c r="AA370" i="13" s="1"/>
  <c r="AB370" i="13"/>
  <c r="AC370" i="13" s="1"/>
  <c r="AD370" i="13"/>
  <c r="AH370" i="13" s="1" a="1"/>
  <c r="AH370" i="13" s="1"/>
  <c r="Z371" i="13"/>
  <c r="AA371" i="13" s="1"/>
  <c r="AB371" i="13"/>
  <c r="AC371" i="13" s="1"/>
  <c r="AD371" i="13"/>
  <c r="AH371" i="13" s="1" a="1"/>
  <c r="AH371" i="13" s="1"/>
  <c r="Z372" i="13"/>
  <c r="AA372" i="13" s="1"/>
  <c r="AB372" i="13"/>
  <c r="AC372" i="13" s="1"/>
  <c r="AD372" i="13"/>
  <c r="AH372" i="13" s="1" a="1"/>
  <c r="AH372" i="13" s="1"/>
  <c r="Z373" i="13"/>
  <c r="AA373" i="13" s="1"/>
  <c r="AB373" i="13"/>
  <c r="AC373" i="13" s="1"/>
  <c r="AD373" i="13"/>
  <c r="AH373" i="13" s="1" a="1"/>
  <c r="AH373" i="13" s="1"/>
  <c r="Z374" i="13"/>
  <c r="AA374" i="13" s="1"/>
  <c r="AB374" i="13"/>
  <c r="AC374" i="13" s="1"/>
  <c r="AD374" i="13"/>
  <c r="AH374" i="13" s="1" a="1"/>
  <c r="AH374" i="13" s="1"/>
  <c r="Z375" i="13"/>
  <c r="AA375" i="13" s="1"/>
  <c r="AB375" i="13"/>
  <c r="AC375" i="13" s="1"/>
  <c r="AD375" i="13"/>
  <c r="AH375" i="13" s="1" a="1"/>
  <c r="AH375" i="13" s="1"/>
  <c r="Z376" i="13"/>
  <c r="AA376" i="13" s="1"/>
  <c r="AB376" i="13"/>
  <c r="AC376" i="13" s="1"/>
  <c r="AD376" i="13"/>
  <c r="AH376" i="13" s="1" a="1"/>
  <c r="AH376" i="13" s="1"/>
  <c r="Z377" i="13"/>
  <c r="AA377" i="13" s="1"/>
  <c r="AB377" i="13"/>
  <c r="AC377" i="13" s="1"/>
  <c r="AD377" i="13"/>
  <c r="AH377" i="13" s="1" a="1"/>
  <c r="AH377" i="13" s="1"/>
  <c r="Z378" i="13"/>
  <c r="AA378" i="13" s="1"/>
  <c r="AB378" i="13"/>
  <c r="AC378" i="13" s="1"/>
  <c r="AD378" i="13"/>
  <c r="AH378" i="13" s="1" a="1"/>
  <c r="AH378" i="13" s="1"/>
  <c r="Z379" i="13"/>
  <c r="AA379" i="13" s="1"/>
  <c r="AB379" i="13"/>
  <c r="AC379" i="13" s="1"/>
  <c r="AD379" i="13"/>
  <c r="AH379" i="13" s="1" a="1"/>
  <c r="AH379" i="13" s="1"/>
  <c r="Z380" i="13"/>
  <c r="AA380" i="13" s="1"/>
  <c r="AB380" i="13"/>
  <c r="AC380" i="13" s="1"/>
  <c r="AD380" i="13"/>
  <c r="AH380" i="13" s="1" a="1"/>
  <c r="AH380" i="13" s="1"/>
  <c r="Z381" i="13"/>
  <c r="AA381" i="13" s="1"/>
  <c r="AB381" i="13"/>
  <c r="AC381" i="13" s="1"/>
  <c r="AD381" i="13"/>
  <c r="AH381" i="13" s="1" a="1"/>
  <c r="AH381" i="13" s="1"/>
  <c r="Z382" i="13"/>
  <c r="AA382" i="13" s="1"/>
  <c r="AB382" i="13"/>
  <c r="AC382" i="13" s="1"/>
  <c r="AD382" i="13"/>
  <c r="AH382" i="13" s="1" a="1"/>
  <c r="AH382" i="13" s="1"/>
  <c r="Z383" i="13"/>
  <c r="AA383" i="13" s="1"/>
  <c r="AB383" i="13"/>
  <c r="AC383" i="13" s="1"/>
  <c r="AD383" i="13"/>
  <c r="AH383" i="13" s="1" a="1"/>
  <c r="AH383" i="13" s="1"/>
  <c r="Z384" i="13"/>
  <c r="AA384" i="13" s="1"/>
  <c r="AB384" i="13"/>
  <c r="AC384" i="13" s="1"/>
  <c r="AD384" i="13"/>
  <c r="AH384" i="13" s="1" a="1"/>
  <c r="AH384" i="13" s="1"/>
  <c r="Z385" i="13"/>
  <c r="AA385" i="13" s="1"/>
  <c r="AB385" i="13"/>
  <c r="AC385" i="13" s="1"/>
  <c r="AD385" i="13"/>
  <c r="AH385" i="13" s="1" a="1"/>
  <c r="AH385" i="13" s="1"/>
  <c r="Z386" i="13"/>
  <c r="AA386" i="13" s="1"/>
  <c r="AB386" i="13"/>
  <c r="AC386" i="13" s="1"/>
  <c r="AD386" i="13"/>
  <c r="AH386" i="13" s="1" a="1"/>
  <c r="AH386" i="13" s="1"/>
  <c r="Z387" i="13"/>
  <c r="AA387" i="13" s="1"/>
  <c r="AB387" i="13"/>
  <c r="AC387" i="13" s="1"/>
  <c r="AD387" i="13"/>
  <c r="AH387" i="13" s="1" a="1"/>
  <c r="AH387" i="13" s="1"/>
  <c r="Z388" i="13"/>
  <c r="AA388" i="13" s="1"/>
  <c r="AB388" i="13"/>
  <c r="AC388" i="13" s="1"/>
  <c r="AD388" i="13"/>
  <c r="AH388" i="13" s="1" a="1"/>
  <c r="AH388" i="13" s="1"/>
  <c r="Z389" i="13"/>
  <c r="AA389" i="13" s="1"/>
  <c r="AB389" i="13"/>
  <c r="AC389" i="13" s="1"/>
  <c r="AD389" i="13"/>
  <c r="AH389" i="13" s="1" a="1"/>
  <c r="AH389" i="13" s="1"/>
  <c r="Z390" i="13"/>
  <c r="AA390" i="13" s="1"/>
  <c r="AB390" i="13"/>
  <c r="AC390" i="13" s="1"/>
  <c r="AD390" i="13"/>
  <c r="AH390" i="13" s="1" a="1"/>
  <c r="AH390" i="13" s="1"/>
  <c r="Z391" i="13"/>
  <c r="AA391" i="13" s="1"/>
  <c r="AB391" i="13"/>
  <c r="AC391" i="13" s="1"/>
  <c r="AD391" i="13"/>
  <c r="AH391" i="13" s="1" a="1"/>
  <c r="AH391" i="13" s="1"/>
  <c r="Z392" i="13"/>
  <c r="AA392" i="13" s="1"/>
  <c r="AB392" i="13"/>
  <c r="AC392" i="13" s="1"/>
  <c r="AD392" i="13"/>
  <c r="AH392" i="13" s="1" a="1"/>
  <c r="AH392" i="13" s="1"/>
  <c r="Z393" i="13"/>
  <c r="AA393" i="13" s="1"/>
  <c r="AB393" i="13"/>
  <c r="AC393" i="13" s="1"/>
  <c r="AD393" i="13"/>
  <c r="AH393" i="13" s="1" a="1"/>
  <c r="AH393" i="13" s="1"/>
  <c r="Z394" i="13"/>
  <c r="AA394" i="13" s="1"/>
  <c r="AB394" i="13"/>
  <c r="AC394" i="13" s="1"/>
  <c r="AD394" i="13"/>
  <c r="AH394" i="13" s="1" a="1"/>
  <c r="AH394" i="13" s="1"/>
  <c r="Z395" i="13"/>
  <c r="AA395" i="13" s="1"/>
  <c r="AB395" i="13"/>
  <c r="AC395" i="13" s="1"/>
  <c r="AD395" i="13"/>
  <c r="AH395" i="13" s="1" a="1"/>
  <c r="AH395" i="13" s="1"/>
  <c r="Z396" i="13"/>
  <c r="AA396" i="13" s="1"/>
  <c r="AB396" i="13"/>
  <c r="AC396" i="13" s="1"/>
  <c r="AD396" i="13"/>
  <c r="AH396" i="13" s="1" a="1"/>
  <c r="AH396" i="13" s="1"/>
  <c r="Z397" i="13"/>
  <c r="AA397" i="13" s="1"/>
  <c r="AB397" i="13"/>
  <c r="AC397" i="13" s="1"/>
  <c r="AD397" i="13"/>
  <c r="AH397" i="13" s="1" a="1"/>
  <c r="AH397" i="13" s="1"/>
  <c r="Z398" i="13"/>
  <c r="AA398" i="13" s="1"/>
  <c r="AB398" i="13"/>
  <c r="AC398" i="13" s="1"/>
  <c r="AD398" i="13"/>
  <c r="AH398" i="13" s="1" a="1"/>
  <c r="AH398" i="13" s="1"/>
  <c r="Z399" i="13"/>
  <c r="AA399" i="13" s="1"/>
  <c r="AB399" i="13"/>
  <c r="AC399" i="13" s="1"/>
  <c r="AD399" i="13"/>
  <c r="AH399" i="13" s="1" a="1"/>
  <c r="AH399" i="13" s="1"/>
  <c r="Z400" i="13"/>
  <c r="AA400" i="13" s="1"/>
  <c r="AB400" i="13"/>
  <c r="AC400" i="13" s="1"/>
  <c r="AD400" i="13"/>
  <c r="AH400" i="13" s="1" a="1"/>
  <c r="AH400" i="13" s="1"/>
  <c r="Z401" i="13"/>
  <c r="AA401" i="13" s="1"/>
  <c r="AB401" i="13"/>
  <c r="AC401" i="13" s="1"/>
  <c r="AD401" i="13"/>
  <c r="AH401" i="13" s="1" a="1"/>
  <c r="AH401" i="13" s="1"/>
  <c r="Z402" i="13"/>
  <c r="AA402" i="13" s="1"/>
  <c r="AB402" i="13"/>
  <c r="AC402" i="13" s="1"/>
  <c r="AD402" i="13"/>
  <c r="AH402" i="13" s="1" a="1"/>
  <c r="AH402" i="13" s="1"/>
  <c r="Z403" i="13"/>
  <c r="AA403" i="13" s="1"/>
  <c r="AB403" i="13"/>
  <c r="AC403" i="13" s="1"/>
  <c r="AD403" i="13"/>
  <c r="AH403" i="13" s="1" a="1"/>
  <c r="AH403" i="13" s="1"/>
  <c r="Z404" i="13"/>
  <c r="AA404" i="13" s="1"/>
  <c r="AB404" i="13"/>
  <c r="AC404" i="13" s="1"/>
  <c r="AD404" i="13"/>
  <c r="AH404" i="13" s="1" a="1"/>
  <c r="AH404" i="13" s="1"/>
  <c r="Z405" i="13"/>
  <c r="AA405" i="13" s="1"/>
  <c r="AB405" i="13"/>
  <c r="AC405" i="13" s="1"/>
  <c r="AD405" i="13"/>
  <c r="AH405" i="13" s="1" a="1"/>
  <c r="AH405" i="13" s="1"/>
  <c r="Z406" i="13"/>
  <c r="AA406" i="13" s="1"/>
  <c r="AB406" i="13"/>
  <c r="AC406" i="13" s="1"/>
  <c r="AD406" i="13"/>
  <c r="AH406" i="13" s="1" a="1"/>
  <c r="AH406" i="13" s="1"/>
  <c r="Z407" i="13"/>
  <c r="AA407" i="13" s="1"/>
  <c r="AB407" i="13"/>
  <c r="AC407" i="13" s="1"/>
  <c r="AD407" i="13"/>
  <c r="AH407" i="13" s="1" a="1"/>
  <c r="AH407" i="13" s="1"/>
  <c r="Z408" i="13"/>
  <c r="AA408" i="13" s="1"/>
  <c r="AB408" i="13"/>
  <c r="AC408" i="13" s="1"/>
  <c r="AD408" i="13"/>
  <c r="AH408" i="13" s="1" a="1"/>
  <c r="AH408" i="13" s="1"/>
  <c r="Z409" i="13"/>
  <c r="AA409" i="13" s="1"/>
  <c r="AB409" i="13"/>
  <c r="AC409" i="13" s="1"/>
  <c r="AD409" i="13"/>
  <c r="AH409" i="13" s="1" a="1"/>
  <c r="AH409" i="13" s="1"/>
  <c r="Z410" i="13"/>
  <c r="AA410" i="13" s="1"/>
  <c r="AB410" i="13"/>
  <c r="AC410" i="13" s="1"/>
  <c r="AD410" i="13"/>
  <c r="AH410" i="13" s="1" a="1"/>
  <c r="AH410" i="13" s="1"/>
  <c r="Z411" i="13"/>
  <c r="AA411" i="13" s="1"/>
  <c r="AB411" i="13"/>
  <c r="AC411" i="13" s="1"/>
  <c r="AD411" i="13"/>
  <c r="AH411" i="13" s="1" a="1"/>
  <c r="AH411" i="13" s="1"/>
  <c r="Z412" i="13"/>
  <c r="AA412" i="13" s="1"/>
  <c r="AB412" i="13"/>
  <c r="AC412" i="13" s="1"/>
  <c r="AD412" i="13"/>
  <c r="AH412" i="13" s="1" a="1"/>
  <c r="AH412" i="13" s="1"/>
  <c r="Z413" i="13"/>
  <c r="AA413" i="13" s="1"/>
  <c r="AB413" i="13"/>
  <c r="AC413" i="13" s="1"/>
  <c r="AD413" i="13"/>
  <c r="AH413" i="13" s="1" a="1"/>
  <c r="AH413" i="13" s="1"/>
  <c r="Z414" i="13"/>
  <c r="AA414" i="13" s="1"/>
  <c r="AB414" i="13"/>
  <c r="AC414" i="13" s="1"/>
  <c r="AD414" i="13"/>
  <c r="AH414" i="13" s="1" a="1"/>
  <c r="AH414" i="13" s="1"/>
  <c r="Z415" i="13"/>
  <c r="AA415" i="13" s="1"/>
  <c r="AB415" i="13"/>
  <c r="AC415" i="13" s="1"/>
  <c r="AD415" i="13"/>
  <c r="AH415" i="13" s="1" a="1"/>
  <c r="AH415" i="13" s="1"/>
  <c r="Z416" i="13"/>
  <c r="AA416" i="13" s="1"/>
  <c r="AB416" i="13"/>
  <c r="AC416" i="13" s="1"/>
  <c r="AD416" i="13"/>
  <c r="AH416" i="13" s="1" a="1"/>
  <c r="AH416" i="13" s="1"/>
  <c r="Z417" i="13"/>
  <c r="AA417" i="13" s="1"/>
  <c r="AB417" i="13"/>
  <c r="AC417" i="13" s="1"/>
  <c r="AD417" i="13"/>
  <c r="AH417" i="13" s="1" a="1"/>
  <c r="AH417" i="13" s="1"/>
  <c r="Z418" i="13"/>
  <c r="AA418" i="13" s="1"/>
  <c r="AB418" i="13"/>
  <c r="AC418" i="13" s="1"/>
  <c r="AD418" i="13"/>
  <c r="AH418" i="13" s="1" a="1"/>
  <c r="AH418" i="13" s="1"/>
  <c r="Z419" i="13"/>
  <c r="AA419" i="13" s="1"/>
  <c r="AB419" i="13"/>
  <c r="AC419" i="13" s="1"/>
  <c r="AD419" i="13"/>
  <c r="AH419" i="13" s="1" a="1"/>
  <c r="AH419" i="13" s="1"/>
  <c r="Z420" i="13"/>
  <c r="AA420" i="13" s="1"/>
  <c r="AB420" i="13"/>
  <c r="AC420" i="13" s="1"/>
  <c r="AD420" i="13"/>
  <c r="AH420" i="13" s="1" a="1"/>
  <c r="AH420" i="13" s="1"/>
  <c r="Z421" i="13"/>
  <c r="AA421" i="13" s="1"/>
  <c r="AB421" i="13"/>
  <c r="AC421" i="13" s="1"/>
  <c r="AD421" i="13"/>
  <c r="AH421" i="13" s="1" a="1"/>
  <c r="AH421" i="13" s="1"/>
  <c r="Z422" i="13"/>
  <c r="AA422" i="13" s="1"/>
  <c r="AB422" i="13"/>
  <c r="AC422" i="13" s="1"/>
  <c r="AD422" i="13"/>
  <c r="AH422" i="13" s="1" a="1"/>
  <c r="AH422" i="13" s="1"/>
  <c r="Z423" i="13"/>
  <c r="AA423" i="13" s="1"/>
  <c r="AB423" i="13"/>
  <c r="AC423" i="13" s="1"/>
  <c r="AD423" i="13"/>
  <c r="AH423" i="13" s="1" a="1"/>
  <c r="AH423" i="13" s="1"/>
  <c r="Z424" i="13"/>
  <c r="AA424" i="13" s="1"/>
  <c r="AB424" i="13"/>
  <c r="AC424" i="13" s="1"/>
  <c r="AD424" i="13"/>
  <c r="AH424" i="13" s="1" a="1"/>
  <c r="AH424" i="13" s="1"/>
  <c r="Z425" i="13"/>
  <c r="AA425" i="13" s="1"/>
  <c r="AB425" i="13"/>
  <c r="AC425" i="13" s="1"/>
  <c r="AD425" i="13"/>
  <c r="AH425" i="13" s="1" a="1"/>
  <c r="AH425" i="13" s="1"/>
  <c r="Z426" i="13"/>
  <c r="AA426" i="13" s="1"/>
  <c r="AB426" i="13"/>
  <c r="AC426" i="13" s="1"/>
  <c r="AD426" i="13"/>
  <c r="AH426" i="13" s="1" a="1"/>
  <c r="AH426" i="13" s="1"/>
  <c r="Z427" i="13"/>
  <c r="AA427" i="13" s="1"/>
  <c r="AB427" i="13"/>
  <c r="AC427" i="13" s="1"/>
  <c r="AD427" i="13"/>
  <c r="AH427" i="13" s="1" a="1"/>
  <c r="AH427" i="13" s="1"/>
  <c r="Z428" i="13"/>
  <c r="AA428" i="13" s="1"/>
  <c r="AB428" i="13"/>
  <c r="AC428" i="13" s="1"/>
  <c r="AD428" i="13"/>
  <c r="AH428" i="13" s="1" a="1"/>
  <c r="AH428" i="13" s="1"/>
  <c r="Z429" i="13"/>
  <c r="AA429" i="13" s="1"/>
  <c r="AB429" i="13"/>
  <c r="AC429" i="13" s="1"/>
  <c r="AD429" i="13"/>
  <c r="AH429" i="13" s="1" a="1"/>
  <c r="AH429" i="13" s="1"/>
  <c r="Z430" i="13"/>
  <c r="AA430" i="13" s="1"/>
  <c r="AB430" i="13"/>
  <c r="AC430" i="13" s="1"/>
  <c r="AD430" i="13"/>
  <c r="AH430" i="13" s="1" a="1"/>
  <c r="AH430" i="13" s="1"/>
  <c r="Z431" i="13"/>
  <c r="AA431" i="13" s="1"/>
  <c r="AB431" i="13"/>
  <c r="AC431" i="13" s="1"/>
  <c r="AD431" i="13"/>
  <c r="AH431" i="13" s="1" a="1"/>
  <c r="AH431" i="13" s="1"/>
  <c r="Z432" i="13"/>
  <c r="AA432" i="13" s="1"/>
  <c r="AB432" i="13"/>
  <c r="AC432" i="13" s="1"/>
  <c r="AD432" i="13"/>
  <c r="AH432" i="13" s="1" a="1"/>
  <c r="AH432" i="13" s="1"/>
  <c r="Z433" i="13"/>
  <c r="AA433" i="13" s="1"/>
  <c r="AB433" i="13"/>
  <c r="AC433" i="13" s="1"/>
  <c r="AD433" i="13"/>
  <c r="AH433" i="13" s="1" a="1"/>
  <c r="AH433" i="13" s="1"/>
  <c r="Z434" i="13"/>
  <c r="AA434" i="13" s="1"/>
  <c r="AB434" i="13"/>
  <c r="AC434" i="13" s="1"/>
  <c r="AD434" i="13"/>
  <c r="AH434" i="13" s="1" a="1"/>
  <c r="AH434" i="13" s="1"/>
  <c r="Z435" i="13"/>
  <c r="AA435" i="13" s="1"/>
  <c r="AB435" i="13"/>
  <c r="AC435" i="13" s="1"/>
  <c r="AD435" i="13"/>
  <c r="AH435" i="13" s="1" a="1"/>
  <c r="AH435" i="13" s="1"/>
  <c r="Z436" i="13"/>
  <c r="AA436" i="13" s="1"/>
  <c r="AB436" i="13"/>
  <c r="AC436" i="13" s="1"/>
  <c r="AD436" i="13"/>
  <c r="AH436" i="13" s="1" a="1"/>
  <c r="AH436" i="13" s="1"/>
  <c r="Z437" i="13"/>
  <c r="AA437" i="13" s="1"/>
  <c r="AB437" i="13"/>
  <c r="AC437" i="13" s="1"/>
  <c r="AD437" i="13"/>
  <c r="AH437" i="13" s="1" a="1"/>
  <c r="AH437" i="13" s="1"/>
  <c r="Z438" i="13"/>
  <c r="AA438" i="13" s="1"/>
  <c r="AB438" i="13"/>
  <c r="AC438" i="13" s="1"/>
  <c r="AD438" i="13"/>
  <c r="AH438" i="13" s="1" a="1"/>
  <c r="AH438" i="13" s="1"/>
  <c r="Z439" i="13"/>
  <c r="AA439" i="13" s="1"/>
  <c r="AB439" i="13"/>
  <c r="AC439" i="13" s="1"/>
  <c r="AD439" i="13"/>
  <c r="AH439" i="13" s="1" a="1"/>
  <c r="AH439" i="13" s="1"/>
  <c r="Z440" i="13"/>
  <c r="AA440" i="13" s="1"/>
  <c r="AB440" i="13"/>
  <c r="AC440" i="13" s="1"/>
  <c r="AD440" i="13"/>
  <c r="AH440" i="13" s="1" a="1"/>
  <c r="AH440" i="13" s="1"/>
  <c r="Z441" i="13"/>
  <c r="AA441" i="13" s="1"/>
  <c r="AB441" i="13"/>
  <c r="AC441" i="13" s="1"/>
  <c r="AD441" i="13"/>
  <c r="AH441" i="13" s="1" a="1"/>
  <c r="AH441" i="13" s="1"/>
  <c r="Z442" i="13"/>
  <c r="AA442" i="13" s="1"/>
  <c r="AB442" i="13"/>
  <c r="AC442" i="13" s="1"/>
  <c r="AD442" i="13"/>
  <c r="AH442" i="13" s="1" a="1"/>
  <c r="AH442" i="13" s="1"/>
  <c r="Z443" i="13"/>
  <c r="AA443" i="13" s="1"/>
  <c r="AB443" i="13"/>
  <c r="AC443" i="13" s="1"/>
  <c r="AD443" i="13"/>
  <c r="AH443" i="13" s="1" a="1"/>
  <c r="AH443" i="13" s="1"/>
  <c r="Z444" i="13"/>
  <c r="AA444" i="13" s="1"/>
  <c r="AB444" i="13"/>
  <c r="AC444" i="13" s="1"/>
  <c r="AD444" i="13"/>
  <c r="AH444" i="13" s="1" a="1"/>
  <c r="AH444" i="13" s="1"/>
  <c r="Z445" i="13"/>
  <c r="AA445" i="13" s="1"/>
  <c r="AB445" i="13"/>
  <c r="AC445" i="13" s="1"/>
  <c r="AD445" i="13"/>
  <c r="AH445" i="13" s="1" a="1"/>
  <c r="AH445" i="13" s="1"/>
  <c r="Z446" i="13"/>
  <c r="AA446" i="13" s="1"/>
  <c r="AB446" i="13"/>
  <c r="AC446" i="13" s="1"/>
  <c r="AD446" i="13"/>
  <c r="AH446" i="13" s="1" a="1"/>
  <c r="AH446" i="13" s="1"/>
  <c r="Z447" i="13"/>
  <c r="AA447" i="13" s="1"/>
  <c r="AB447" i="13"/>
  <c r="AC447" i="13" s="1"/>
  <c r="AD447" i="13"/>
  <c r="AH447" i="13" s="1" a="1"/>
  <c r="AH447" i="13" s="1"/>
  <c r="Z448" i="13"/>
  <c r="AA448" i="13" s="1"/>
  <c r="AB448" i="13"/>
  <c r="AC448" i="13" s="1"/>
  <c r="AD448" i="13"/>
  <c r="AH448" i="13" s="1" a="1"/>
  <c r="AH448" i="13" s="1"/>
  <c r="Z449" i="13"/>
  <c r="AA449" i="13" s="1"/>
  <c r="AB449" i="13"/>
  <c r="AC449" i="13" s="1"/>
  <c r="AD449" i="13"/>
  <c r="AH449" i="13" s="1" a="1"/>
  <c r="AH449" i="13" s="1"/>
  <c r="Z450" i="13"/>
  <c r="AA450" i="13" s="1"/>
  <c r="AB450" i="13"/>
  <c r="AC450" i="13" s="1"/>
  <c r="AD450" i="13"/>
  <c r="AH450" i="13" s="1" a="1"/>
  <c r="AH450" i="13" s="1"/>
  <c r="Z451" i="13"/>
  <c r="AA451" i="13" s="1"/>
  <c r="AB451" i="13"/>
  <c r="AC451" i="13" s="1"/>
  <c r="AD451" i="13"/>
  <c r="AH451" i="13" s="1" a="1"/>
  <c r="AH451" i="13" s="1"/>
  <c r="Z452" i="13"/>
  <c r="AA452" i="13" s="1"/>
  <c r="AB452" i="13"/>
  <c r="AC452" i="13" s="1"/>
  <c r="AD452" i="13"/>
  <c r="AH452" i="13" s="1" a="1"/>
  <c r="AH452" i="13" s="1"/>
  <c r="Z453" i="13"/>
  <c r="AA453" i="13" s="1"/>
  <c r="AB453" i="13"/>
  <c r="AC453" i="13" s="1"/>
  <c r="AD453" i="13"/>
  <c r="AH453" i="13" s="1" a="1"/>
  <c r="AH453" i="13" s="1"/>
  <c r="Z454" i="13"/>
  <c r="AA454" i="13" s="1"/>
  <c r="AB454" i="13"/>
  <c r="AC454" i="13" s="1"/>
  <c r="AD454" i="13"/>
  <c r="AH454" i="13" s="1" a="1"/>
  <c r="AH454" i="13" s="1"/>
  <c r="Z455" i="13"/>
  <c r="AA455" i="13" s="1"/>
  <c r="AB455" i="13"/>
  <c r="AC455" i="13" s="1"/>
  <c r="AD455" i="13"/>
  <c r="AH455" i="13" s="1" a="1"/>
  <c r="AH455" i="13" s="1"/>
  <c r="Z456" i="13"/>
  <c r="AA456" i="13" s="1"/>
  <c r="AB456" i="13"/>
  <c r="AC456" i="13" s="1"/>
  <c r="AD456" i="13"/>
  <c r="AH456" i="13" s="1" a="1"/>
  <c r="AH456" i="13" s="1"/>
  <c r="Z457" i="13"/>
  <c r="AA457" i="13" s="1"/>
  <c r="AB457" i="13"/>
  <c r="AC457" i="13" s="1"/>
  <c r="AD457" i="13"/>
  <c r="AH457" i="13" s="1" a="1"/>
  <c r="AH457" i="13" s="1"/>
  <c r="Z458" i="13"/>
  <c r="AA458" i="13" s="1"/>
  <c r="AB458" i="13"/>
  <c r="AC458" i="13" s="1"/>
  <c r="AD458" i="13"/>
  <c r="AH458" i="13" s="1" a="1"/>
  <c r="AH458" i="13" s="1"/>
  <c r="Z459" i="13"/>
  <c r="AA459" i="13" s="1"/>
  <c r="AB459" i="13"/>
  <c r="AC459" i="13" s="1"/>
  <c r="AD459" i="13"/>
  <c r="AH459" i="13" s="1" a="1"/>
  <c r="AH459" i="13" s="1"/>
  <c r="Z460" i="13"/>
  <c r="AA460" i="13" s="1"/>
  <c r="AB460" i="13"/>
  <c r="AC460" i="13" s="1"/>
  <c r="AD460" i="13"/>
  <c r="AH460" i="13" s="1" a="1"/>
  <c r="AH460" i="13" s="1"/>
  <c r="Z461" i="13"/>
  <c r="AA461" i="13" s="1"/>
  <c r="AB461" i="13"/>
  <c r="AC461" i="13" s="1"/>
  <c r="AD461" i="13"/>
  <c r="AH461" i="13" s="1" a="1"/>
  <c r="AH461" i="13" s="1"/>
  <c r="Z462" i="13"/>
  <c r="AA462" i="13" s="1"/>
  <c r="AB462" i="13"/>
  <c r="AC462" i="13" s="1"/>
  <c r="AD462" i="13"/>
  <c r="AH462" i="13" s="1" a="1"/>
  <c r="AH462" i="13" s="1"/>
  <c r="Z463" i="13"/>
  <c r="AA463" i="13" s="1"/>
  <c r="AB463" i="13"/>
  <c r="AC463" i="13" s="1"/>
  <c r="AD463" i="13"/>
  <c r="AH463" i="13" s="1" a="1"/>
  <c r="AH463" i="13" s="1"/>
  <c r="Z464" i="13"/>
  <c r="AA464" i="13" s="1"/>
  <c r="AB464" i="13"/>
  <c r="AC464" i="13" s="1"/>
  <c r="AD464" i="13"/>
  <c r="AH464" i="13" s="1" a="1"/>
  <c r="AH464" i="13" s="1"/>
  <c r="Z465" i="13"/>
  <c r="AA465" i="13" s="1"/>
  <c r="AB465" i="13"/>
  <c r="AC465" i="13" s="1"/>
  <c r="AD465" i="13"/>
  <c r="AH465" i="13" s="1" a="1"/>
  <c r="AH465" i="13" s="1"/>
  <c r="Z466" i="13"/>
  <c r="AA466" i="13" s="1"/>
  <c r="AB466" i="13"/>
  <c r="AC466" i="13" s="1"/>
  <c r="AD466" i="13"/>
  <c r="AH466" i="13" s="1" a="1"/>
  <c r="AH466" i="13" s="1"/>
  <c r="Z467" i="13"/>
  <c r="AA467" i="13" s="1"/>
  <c r="AB467" i="13"/>
  <c r="AC467" i="13" s="1"/>
  <c r="AD467" i="13"/>
  <c r="AH467" i="13" s="1" a="1"/>
  <c r="AH467" i="13" s="1"/>
  <c r="Z468" i="13"/>
  <c r="AA468" i="13" s="1"/>
  <c r="AB468" i="13"/>
  <c r="AC468" i="13" s="1"/>
  <c r="AD468" i="13"/>
  <c r="AH468" i="13" s="1" a="1"/>
  <c r="AH468" i="13" s="1"/>
  <c r="Z469" i="13"/>
  <c r="AA469" i="13" s="1"/>
  <c r="AB469" i="13"/>
  <c r="AC469" i="13" s="1"/>
  <c r="AD469" i="13"/>
  <c r="AH469" i="13" s="1" a="1"/>
  <c r="AH469" i="13" s="1"/>
  <c r="Z470" i="13"/>
  <c r="AA470" i="13" s="1"/>
  <c r="AB470" i="13"/>
  <c r="AC470" i="13" s="1"/>
  <c r="AD470" i="13"/>
  <c r="AH470" i="13" s="1" a="1"/>
  <c r="AH470" i="13" s="1"/>
  <c r="Z471" i="13"/>
  <c r="AA471" i="13" s="1"/>
  <c r="AB471" i="13"/>
  <c r="AC471" i="13" s="1"/>
  <c r="AD471" i="13"/>
  <c r="AH471" i="13" s="1" a="1"/>
  <c r="AH471" i="13" s="1"/>
  <c r="Z472" i="13"/>
  <c r="AA472" i="13" s="1"/>
  <c r="AB472" i="13"/>
  <c r="AC472" i="13" s="1"/>
  <c r="AD472" i="13"/>
  <c r="AH472" i="13" s="1" a="1"/>
  <c r="AH472" i="13" s="1"/>
  <c r="Z473" i="13"/>
  <c r="AA473" i="13" s="1"/>
  <c r="AB473" i="13"/>
  <c r="AC473" i="13" s="1"/>
  <c r="AD473" i="13"/>
  <c r="AH473" i="13" s="1" a="1"/>
  <c r="AH473" i="13" s="1"/>
  <c r="Z474" i="13"/>
  <c r="AA474" i="13" s="1"/>
  <c r="AB474" i="13"/>
  <c r="AC474" i="13" s="1"/>
  <c r="AD474" i="13"/>
  <c r="AH474" i="13" s="1" a="1"/>
  <c r="AH474" i="13" s="1"/>
  <c r="AE474" i="13"/>
  <c r="AJ474" i="13" s="1"/>
  <c r="Z475" i="13"/>
  <c r="AA475" i="13" s="1"/>
  <c r="AB475" i="13"/>
  <c r="AC475" i="13" s="1"/>
  <c r="AD475" i="13"/>
  <c r="AH475" i="13" s="1" a="1"/>
  <c r="AH475" i="13" s="1"/>
  <c r="Z476" i="13"/>
  <c r="AA476" i="13" s="1"/>
  <c r="AB476" i="13"/>
  <c r="AC476" i="13" s="1"/>
  <c r="AD476" i="13"/>
  <c r="AH476" i="13" s="1" a="1"/>
  <c r="AH476" i="13" s="1"/>
  <c r="Z477" i="13"/>
  <c r="AA477" i="13" s="1"/>
  <c r="AB477" i="13"/>
  <c r="AC477" i="13" s="1"/>
  <c r="AD477" i="13"/>
  <c r="AH477" i="13" s="1" a="1"/>
  <c r="AH477" i="13" s="1"/>
  <c r="Z478" i="13"/>
  <c r="AA478" i="13" s="1"/>
  <c r="AB478" i="13"/>
  <c r="AC478" i="13" s="1"/>
  <c r="AD478" i="13"/>
  <c r="AH478" i="13" s="1" a="1"/>
  <c r="AH478" i="13" s="1"/>
  <c r="Z479" i="13"/>
  <c r="AA479" i="13" s="1"/>
  <c r="AB479" i="13"/>
  <c r="AC479" i="13" s="1"/>
  <c r="AD479" i="13"/>
  <c r="AH479" i="13" s="1" a="1"/>
  <c r="AH479" i="13" s="1"/>
  <c r="AE479" i="13"/>
  <c r="AF479" i="13" s="1"/>
  <c r="AG479" i="13" s="1"/>
  <c r="Z480" i="13"/>
  <c r="AA480" i="13" s="1"/>
  <c r="AB480" i="13"/>
  <c r="AC480" i="13" s="1"/>
  <c r="AD480" i="13"/>
  <c r="AH480" i="13" s="1" a="1"/>
  <c r="AH480" i="13" s="1"/>
  <c r="Z481" i="13"/>
  <c r="AA481" i="13" s="1"/>
  <c r="AB481" i="13"/>
  <c r="AC481" i="13" s="1"/>
  <c r="AD481" i="13"/>
  <c r="AH481" i="13" s="1" a="1"/>
  <c r="AH481" i="13" s="1"/>
  <c r="AD482" i="13"/>
  <c r="AH482" i="13" s="1" a="1"/>
  <c r="AH482" i="13" s="1"/>
  <c r="AD483" i="13"/>
  <c r="AH483" i="13" s="1" a="1"/>
  <c r="AH483" i="13" s="1"/>
  <c r="AE483" i="13"/>
  <c r="AF483" i="13" s="1"/>
  <c r="AG483" i="13" s="1"/>
  <c r="Z484" i="13"/>
  <c r="AA484" i="13" s="1"/>
  <c r="AB484" i="13"/>
  <c r="AC484" i="13" s="1"/>
  <c r="AD484" i="13"/>
  <c r="AH484" i="13" s="1" a="1"/>
  <c r="AH484" i="13" s="1"/>
  <c r="AE484" i="13"/>
  <c r="AJ484" i="13" s="1"/>
  <c r="Z485" i="13"/>
  <c r="AA485" i="13" s="1"/>
  <c r="AB485" i="13"/>
  <c r="AC485" i="13" s="1"/>
  <c r="AD485" i="13"/>
  <c r="AH485" i="13" s="1" a="1"/>
  <c r="AH485" i="13" s="1"/>
  <c r="Z486" i="13"/>
  <c r="AA486" i="13" s="1"/>
  <c r="AB486" i="13"/>
  <c r="AC486" i="13" s="1"/>
  <c r="AD486" i="13"/>
  <c r="AH486" i="13" s="1" a="1"/>
  <c r="AH486" i="13" s="1"/>
  <c r="Z487" i="13"/>
  <c r="AA487" i="13" s="1"/>
  <c r="AB487" i="13"/>
  <c r="AC487" i="13" s="1"/>
  <c r="AD487" i="13"/>
  <c r="AH487" i="13" s="1" a="1"/>
  <c r="AH487" i="13" s="1"/>
  <c r="AE487" i="13"/>
  <c r="Z488" i="13"/>
  <c r="AA488" i="13" s="1"/>
  <c r="AB488" i="13"/>
  <c r="AC488" i="13" s="1"/>
  <c r="AD488" i="13"/>
  <c r="AH488" i="13" s="1" a="1"/>
  <c r="AH488" i="13" s="1"/>
  <c r="AE488" i="13"/>
  <c r="AJ488" i="13" s="1"/>
  <c r="Z489" i="13"/>
  <c r="AA489" i="13" s="1"/>
  <c r="AB489" i="13"/>
  <c r="AC489" i="13" s="1"/>
  <c r="AD489" i="13"/>
  <c r="AH489" i="13" s="1" a="1"/>
  <c r="AH489" i="13" s="1"/>
  <c r="Z490" i="13"/>
  <c r="AA490" i="13" s="1"/>
  <c r="AB490" i="13"/>
  <c r="AC490" i="13" s="1"/>
  <c r="AD490" i="13"/>
  <c r="AH490" i="13" s="1" a="1"/>
  <c r="AH490" i="13" s="1"/>
  <c r="Z491" i="13"/>
  <c r="AA491" i="13" s="1"/>
  <c r="AB491" i="13"/>
  <c r="AC491" i="13" s="1"/>
  <c r="AD491" i="13"/>
  <c r="AH491" i="13" s="1" a="1"/>
  <c r="AH491" i="13" s="1"/>
  <c r="AE491" i="13"/>
  <c r="AF491" i="13" s="1"/>
  <c r="AG491" i="13" s="1"/>
  <c r="Z492" i="13"/>
  <c r="AA492" i="13" s="1"/>
  <c r="AB492" i="13"/>
  <c r="AC492" i="13" s="1"/>
  <c r="AD492" i="13"/>
  <c r="AH492" i="13" s="1" a="1"/>
  <c r="AH492" i="13" s="1"/>
  <c r="Z493" i="13"/>
  <c r="AA493" i="13" s="1"/>
  <c r="AB493" i="13"/>
  <c r="AC493" i="13" s="1"/>
  <c r="AD493" i="13"/>
  <c r="AH493" i="13" s="1" a="1"/>
  <c r="AH493" i="13" s="1"/>
  <c r="AE493" i="13"/>
  <c r="AJ493" i="13" s="1"/>
  <c r="Z494" i="13"/>
  <c r="AA494" i="13" s="1"/>
  <c r="AB494" i="13"/>
  <c r="AC494" i="13" s="1"/>
  <c r="AD494" i="13"/>
  <c r="AH494" i="13" s="1" a="1"/>
  <c r="AH494" i="13" s="1"/>
  <c r="Z495" i="13"/>
  <c r="AA495" i="13" s="1"/>
  <c r="AB495" i="13"/>
  <c r="AC495" i="13" s="1"/>
  <c r="AD495" i="13"/>
  <c r="AH495" i="13" s="1" a="1"/>
  <c r="AH495" i="13" s="1"/>
  <c r="Z496" i="13"/>
  <c r="AA496" i="13" s="1"/>
  <c r="AB496" i="13"/>
  <c r="AC496" i="13" s="1"/>
  <c r="AD496" i="13"/>
  <c r="AH496" i="13" s="1" a="1"/>
  <c r="AH496" i="13" s="1"/>
  <c r="AE496" i="13"/>
  <c r="AJ496" i="13" s="1"/>
  <c r="Z497" i="13"/>
  <c r="AA497" i="13" s="1"/>
  <c r="AB497" i="13"/>
  <c r="AC497" i="13" s="1"/>
  <c r="AD497" i="13"/>
  <c r="AH497" i="13" s="1" a="1"/>
  <c r="AH497" i="13" s="1"/>
  <c r="AE497" i="13"/>
  <c r="AF497" i="13" s="1"/>
  <c r="AG497" i="13" s="1"/>
  <c r="Z498" i="13"/>
  <c r="AA498" i="13" s="1"/>
  <c r="AB498" i="13"/>
  <c r="AC498" i="13" s="1"/>
  <c r="AD498" i="13"/>
  <c r="AH498" i="13" s="1" a="1"/>
  <c r="AH498" i="13" s="1"/>
  <c r="Z499" i="13"/>
  <c r="AA499" i="13" s="1"/>
  <c r="AB499" i="13"/>
  <c r="AC499" i="13" s="1"/>
  <c r="AD499" i="13"/>
  <c r="AH499" i="13" s="1" a="1"/>
  <c r="AH499" i="13" s="1"/>
  <c r="Z500" i="13"/>
  <c r="AA500" i="13" s="1"/>
  <c r="AB500" i="13"/>
  <c r="AC500" i="13" s="1"/>
  <c r="AD500" i="13"/>
  <c r="AH500" i="13" s="1" a="1"/>
  <c r="AH500" i="13" s="1"/>
  <c r="AE500" i="13"/>
  <c r="AJ500" i="13" s="1"/>
  <c r="AD2" i="13"/>
  <c r="AH2" i="13" s="1" a="1"/>
  <c r="AH2" i="13" s="1"/>
  <c r="AB2" i="13"/>
  <c r="AC2" i="13" s="1"/>
  <c r="Z2" i="13"/>
  <c r="AA2" i="13" s="1"/>
  <c r="Z3" i="15"/>
  <c r="AA3" i="15" s="1"/>
  <c r="AB3" i="15"/>
  <c r="Z4" i="15"/>
  <c r="AA4" i="15" s="1"/>
  <c r="AB4" i="15"/>
  <c r="Z5" i="15"/>
  <c r="AA5" i="15" s="1"/>
  <c r="AB5" i="15"/>
  <c r="Z6" i="15"/>
  <c r="AA6" i="15" s="1"/>
  <c r="AB6" i="15"/>
  <c r="AE6" i="15" s="1"/>
  <c r="Z7" i="15"/>
  <c r="AA7" i="15" s="1"/>
  <c r="AB7" i="15"/>
  <c r="Z8" i="15"/>
  <c r="AA8" i="15" s="1"/>
  <c r="AB8" i="15"/>
  <c r="Z9" i="15"/>
  <c r="AA9" i="15" s="1"/>
  <c r="AB9" i="15"/>
  <c r="Z10" i="15"/>
  <c r="AA10" i="15" s="1"/>
  <c r="AB10" i="15"/>
  <c r="Z11" i="15"/>
  <c r="AA11" i="15" s="1"/>
  <c r="AB11" i="15"/>
  <c r="Z12" i="15"/>
  <c r="AA12" i="15" s="1"/>
  <c r="AB12" i="15"/>
  <c r="AH12" i="15" a="1"/>
  <c r="AH12" i="15" s="1"/>
  <c r="Z13" i="15"/>
  <c r="AA13" i="15" s="1"/>
  <c r="AB13" i="15"/>
  <c r="Z14" i="15"/>
  <c r="AA14" i="15" s="1"/>
  <c r="AB14" i="15"/>
  <c r="Z15" i="15"/>
  <c r="AA15" i="15" s="1"/>
  <c r="AB15" i="15"/>
  <c r="Z16" i="15"/>
  <c r="AA16" i="15" s="1"/>
  <c r="AB16" i="15"/>
  <c r="AE16" i="15" s="1"/>
  <c r="Z17" i="15"/>
  <c r="AA17" i="15" s="1"/>
  <c r="AB17" i="15"/>
  <c r="Z18" i="15"/>
  <c r="AA18" i="15" s="1"/>
  <c r="AB18" i="15"/>
  <c r="AE18" i="15" s="1"/>
  <c r="Z19" i="15"/>
  <c r="AA19" i="15" s="1"/>
  <c r="AB19" i="15"/>
  <c r="AC19" i="15" s="1"/>
  <c r="Z20" i="15"/>
  <c r="AA20" i="15" s="1"/>
  <c r="AB20" i="15"/>
  <c r="Z21" i="15"/>
  <c r="AA21" i="15" s="1"/>
  <c r="AB21" i="15"/>
  <c r="Z22" i="15"/>
  <c r="AA22" i="15" s="1"/>
  <c r="AB22" i="15"/>
  <c r="Z23" i="15"/>
  <c r="AA23" i="15" s="1"/>
  <c r="AB23" i="15"/>
  <c r="Z24" i="15"/>
  <c r="AA24" i="15" s="1"/>
  <c r="AB24" i="15"/>
  <c r="Z25" i="15"/>
  <c r="AA25" i="15" s="1"/>
  <c r="AB25" i="15"/>
  <c r="Z26" i="15"/>
  <c r="AA26" i="15" s="1"/>
  <c r="AB26" i="15"/>
  <c r="Z27" i="15"/>
  <c r="AA27" i="15" s="1"/>
  <c r="AB27" i="15"/>
  <c r="AE27" i="15" s="1"/>
  <c r="Z28" i="15"/>
  <c r="AA28" i="15" s="1"/>
  <c r="AB28" i="15"/>
  <c r="Z29" i="15"/>
  <c r="AA29" i="15" s="1"/>
  <c r="AB29" i="15"/>
  <c r="Z30" i="15"/>
  <c r="AA30" i="15" s="1"/>
  <c r="AB30" i="15"/>
  <c r="Z31" i="15"/>
  <c r="AA31" i="15" s="1"/>
  <c r="AB31" i="15"/>
  <c r="AE31" i="15" s="1"/>
  <c r="Z32" i="15"/>
  <c r="AA32" i="15" s="1"/>
  <c r="AB32" i="15"/>
  <c r="Z33" i="15"/>
  <c r="AA33" i="15" s="1"/>
  <c r="AB33" i="15"/>
  <c r="Z34" i="15"/>
  <c r="AA34" i="15" s="1"/>
  <c r="AB34" i="15"/>
  <c r="AE34" i="15" s="1"/>
  <c r="Z35" i="15"/>
  <c r="AA35" i="15" s="1"/>
  <c r="AB35" i="15"/>
  <c r="AE35" i="15" s="1"/>
  <c r="Z36" i="15"/>
  <c r="AA36" i="15" s="1"/>
  <c r="AB36" i="15"/>
  <c r="AH36" i="15" a="1"/>
  <c r="AH36" i="15" s="1"/>
  <c r="Z37" i="15"/>
  <c r="AA37" i="15" s="1"/>
  <c r="AB37" i="15"/>
  <c r="AE37" i="15" s="1"/>
  <c r="Z38" i="15"/>
  <c r="AA38" i="15" s="1"/>
  <c r="AB38" i="15"/>
  <c r="Z39" i="15"/>
  <c r="AA39" i="15" s="1"/>
  <c r="AB39" i="15"/>
  <c r="AE39" i="15" s="1"/>
  <c r="Z40" i="15"/>
  <c r="AA40" i="15" s="1"/>
  <c r="AB40" i="15"/>
  <c r="Z41" i="15"/>
  <c r="AA41" i="15" s="1"/>
  <c r="AB41" i="15"/>
  <c r="Z42" i="15"/>
  <c r="AA42" i="15" s="1"/>
  <c r="AB42" i="15"/>
  <c r="Z43" i="15"/>
  <c r="AA43" i="15" s="1"/>
  <c r="AB43" i="15"/>
  <c r="Z44" i="15"/>
  <c r="AA44" i="15" s="1"/>
  <c r="AB44" i="15"/>
  <c r="Z45" i="15"/>
  <c r="AA45" i="15" s="1"/>
  <c r="AB45" i="15"/>
  <c r="Z46" i="15"/>
  <c r="AA46" i="15" s="1"/>
  <c r="AB46" i="15"/>
  <c r="AE46" i="15" s="1"/>
  <c r="Z47" i="15"/>
  <c r="AA47" i="15" s="1"/>
  <c r="AB47" i="15"/>
  <c r="AE47" i="15" s="1"/>
  <c r="Z48" i="15"/>
  <c r="AA48" i="15" s="1"/>
  <c r="AB48" i="15"/>
  <c r="Z49" i="15"/>
  <c r="AA49" i="15" s="1"/>
  <c r="AB49" i="15"/>
  <c r="AE49" i="15" s="1"/>
  <c r="Z50" i="15"/>
  <c r="AA50" i="15" s="1"/>
  <c r="AB50" i="15"/>
  <c r="AE50" i="15" s="1"/>
  <c r="Z51" i="15"/>
  <c r="AA51" i="15" s="1"/>
  <c r="AB51" i="15"/>
  <c r="AE51" i="15" s="1"/>
  <c r="Z52" i="15"/>
  <c r="AA52" i="15" s="1"/>
  <c r="AB52" i="15"/>
  <c r="Z53" i="15"/>
  <c r="AA53" i="15" s="1"/>
  <c r="AB53" i="15"/>
  <c r="Z54" i="15"/>
  <c r="AA54" i="15" s="1"/>
  <c r="AB54" i="15"/>
  <c r="AC54" i="15" s="1"/>
  <c r="Z55" i="15"/>
  <c r="AA55" i="15" s="1"/>
  <c r="AB55" i="15"/>
  <c r="Z56" i="15"/>
  <c r="AA56" i="15" s="1"/>
  <c r="AB56" i="15"/>
  <c r="AE56" i="15" s="1"/>
  <c r="Z57" i="15"/>
  <c r="AA57" i="15" s="1"/>
  <c r="AB57" i="15"/>
  <c r="Z58" i="15"/>
  <c r="AA58" i="15" s="1"/>
  <c r="AB58" i="15"/>
  <c r="Z59" i="15"/>
  <c r="AA59" i="15" s="1"/>
  <c r="AB59" i="15"/>
  <c r="Z60" i="15"/>
  <c r="AA60" i="15" s="1"/>
  <c r="AB60" i="15"/>
  <c r="AC60" i="15" s="1"/>
  <c r="Z61" i="15"/>
  <c r="AA61" i="15" s="1"/>
  <c r="AB61" i="15"/>
  <c r="Z62" i="15"/>
  <c r="AA62" i="15" s="1"/>
  <c r="AB62" i="15"/>
  <c r="Z63" i="15"/>
  <c r="AA63" i="15" s="1"/>
  <c r="AB63" i="15"/>
  <c r="Z64" i="15"/>
  <c r="AA64" i="15" s="1"/>
  <c r="AB64" i="15"/>
  <c r="Z65" i="15"/>
  <c r="AA65" i="15" s="1"/>
  <c r="AB65" i="15"/>
  <c r="Z66" i="15"/>
  <c r="AA66" i="15" s="1"/>
  <c r="AB66" i="15"/>
  <c r="Z67" i="15"/>
  <c r="AA67" i="15" s="1"/>
  <c r="AB67" i="15"/>
  <c r="Z68" i="15"/>
  <c r="AA68" i="15" s="1"/>
  <c r="AB68" i="15"/>
  <c r="Z69" i="15"/>
  <c r="AA69" i="15" s="1"/>
  <c r="AB69" i="15"/>
  <c r="Z70" i="15"/>
  <c r="AA70" i="15" s="1"/>
  <c r="AB70" i="15"/>
  <c r="AE70" i="15" s="1"/>
  <c r="Z71" i="15"/>
  <c r="AA71" i="15" s="1"/>
  <c r="AB71" i="15"/>
  <c r="Z72" i="15"/>
  <c r="AA72" i="15" s="1"/>
  <c r="AB72" i="15"/>
  <c r="Z73" i="15"/>
  <c r="AA73" i="15" s="1"/>
  <c r="AB73" i="15"/>
  <c r="Z74" i="15"/>
  <c r="AA74" i="15" s="1"/>
  <c r="AB74" i="15"/>
  <c r="Z75" i="15"/>
  <c r="AA75" i="15" s="1"/>
  <c r="AB75" i="15"/>
  <c r="Z76" i="15"/>
  <c r="AA76" i="15" s="1"/>
  <c r="AB76" i="15"/>
  <c r="AH76" i="15" a="1"/>
  <c r="AH76" i="15" s="1"/>
  <c r="Z77" i="15"/>
  <c r="AA77" i="15" s="1"/>
  <c r="AB77" i="15"/>
  <c r="Z78" i="15"/>
  <c r="AA78" i="15" s="1"/>
  <c r="AB78" i="15"/>
  <c r="AE78" i="15" s="1"/>
  <c r="Z79" i="15"/>
  <c r="AA79" i="15" s="1"/>
  <c r="AB79" i="15"/>
  <c r="AC79" i="15" s="1"/>
  <c r="Z80" i="15"/>
  <c r="AA80" i="15" s="1"/>
  <c r="AB80" i="15"/>
  <c r="Z81" i="15"/>
  <c r="AA81" i="15" s="1"/>
  <c r="AB81" i="15"/>
  <c r="Z82" i="15"/>
  <c r="AA82" i="15" s="1"/>
  <c r="AB82" i="15"/>
  <c r="AE82" i="15" s="1"/>
  <c r="Z83" i="15"/>
  <c r="AA83" i="15" s="1"/>
  <c r="AB83" i="15"/>
  <c r="Z84" i="15"/>
  <c r="AA84" i="15" s="1"/>
  <c r="AB84" i="15"/>
  <c r="Z85" i="15"/>
  <c r="AA85" i="15" s="1"/>
  <c r="AB85" i="15"/>
  <c r="AE85" i="15" s="1"/>
  <c r="Z86" i="15"/>
  <c r="AA86" i="15" s="1"/>
  <c r="AB86" i="15"/>
  <c r="Z87" i="15"/>
  <c r="AA87" i="15" s="1"/>
  <c r="AB87" i="15"/>
  <c r="AE87" i="15" s="1"/>
  <c r="Z88" i="15"/>
  <c r="AA88" i="15" s="1"/>
  <c r="AB88" i="15"/>
  <c r="Z89" i="15"/>
  <c r="AA89" i="15" s="1"/>
  <c r="AB89" i="15"/>
  <c r="Z90" i="15"/>
  <c r="AA90" i="15" s="1"/>
  <c r="AB90" i="15"/>
  <c r="Z91" i="15"/>
  <c r="AA91" i="15" s="1"/>
  <c r="AB91" i="15"/>
  <c r="Z92" i="15"/>
  <c r="AA92" i="15" s="1"/>
  <c r="AB92" i="15"/>
  <c r="Z93" i="15"/>
  <c r="AA93" i="15" s="1"/>
  <c r="AB93" i="15"/>
  <c r="Z94" i="15"/>
  <c r="AA94" i="15" s="1"/>
  <c r="AB94" i="15"/>
  <c r="Z95" i="15"/>
  <c r="AA95" i="15" s="1"/>
  <c r="AB95" i="15"/>
  <c r="AE95" i="15" s="1"/>
  <c r="Z96" i="15"/>
  <c r="AA96" i="15" s="1"/>
  <c r="AB96" i="15"/>
  <c r="Z97" i="15"/>
  <c r="AA97" i="15" s="1"/>
  <c r="AB97" i="15"/>
  <c r="Z98" i="15"/>
  <c r="AA98" i="15" s="1"/>
  <c r="AB98" i="15"/>
  <c r="Z99" i="15"/>
  <c r="AA99" i="15" s="1"/>
  <c r="AB99" i="15"/>
  <c r="Z100" i="15"/>
  <c r="AA100" i="15" s="1"/>
  <c r="AB100" i="15"/>
  <c r="Z101" i="15"/>
  <c r="AA101" i="15" s="1"/>
  <c r="AB101" i="15"/>
  <c r="AC101" i="15" s="1"/>
  <c r="Z102" i="15"/>
  <c r="AA102" i="15" s="1"/>
  <c r="AB102" i="15"/>
  <c r="Z103" i="15"/>
  <c r="AA103" i="15" s="1"/>
  <c r="AB103" i="15"/>
  <c r="AE103" i="15" s="1"/>
  <c r="Z104" i="15"/>
  <c r="AA104" i="15" s="1"/>
  <c r="AB104" i="15"/>
  <c r="Z105" i="15"/>
  <c r="AA105" i="15" s="1"/>
  <c r="AB105" i="15"/>
  <c r="Z106" i="15"/>
  <c r="AA106" i="15" s="1"/>
  <c r="AB106" i="15"/>
  <c r="Z107" i="15"/>
  <c r="AA107" i="15" s="1"/>
  <c r="AB107" i="15"/>
  <c r="Z108" i="15"/>
  <c r="AA108" i="15" s="1"/>
  <c r="AB108" i="15"/>
  <c r="AE108" i="15" s="1"/>
  <c r="Z109" i="15"/>
  <c r="AA109" i="15" s="1"/>
  <c r="AB109" i="15"/>
  <c r="Z110" i="15"/>
  <c r="AA110" i="15" s="1"/>
  <c r="AB110" i="15"/>
  <c r="Z111" i="15"/>
  <c r="AA111" i="15" s="1"/>
  <c r="AB111" i="15"/>
  <c r="AE111" i="15" s="1"/>
  <c r="Z112" i="15"/>
  <c r="AA112" i="15" s="1"/>
  <c r="AB112" i="15"/>
  <c r="AH112" i="15" a="1"/>
  <c r="AH112" i="15" s="1"/>
  <c r="Z113" i="15"/>
  <c r="AA113" i="15" s="1"/>
  <c r="AB113" i="15"/>
  <c r="Z114" i="15"/>
  <c r="AA114" i="15" s="1"/>
  <c r="AB114" i="15"/>
  <c r="AE114" i="15" s="1"/>
  <c r="Z115" i="15"/>
  <c r="AA115" i="15" s="1"/>
  <c r="AB115" i="15"/>
  <c r="Z116" i="15"/>
  <c r="AA116" i="15" s="1"/>
  <c r="AB116" i="15"/>
  <c r="AE116" i="15" s="1"/>
  <c r="Z117" i="15"/>
  <c r="AA117" i="15" s="1"/>
  <c r="AB117" i="15"/>
  <c r="AE117" i="15" s="1"/>
  <c r="Z118" i="15"/>
  <c r="AA118" i="15" s="1"/>
  <c r="AB118" i="15"/>
  <c r="Z119" i="15"/>
  <c r="AA119" i="15" s="1"/>
  <c r="AB119" i="15"/>
  <c r="Z120" i="15"/>
  <c r="AA120" i="15" s="1"/>
  <c r="AB120" i="15"/>
  <c r="Z121" i="15"/>
  <c r="AA121" i="15" s="1"/>
  <c r="AB121" i="15"/>
  <c r="Z122" i="15"/>
  <c r="AA122" i="15" s="1"/>
  <c r="AB122" i="15"/>
  <c r="Z123" i="15"/>
  <c r="AA123" i="15" s="1"/>
  <c r="AB123" i="15"/>
  <c r="Z124" i="15"/>
  <c r="AA124" i="15" s="1"/>
  <c r="AB124" i="15"/>
  <c r="AE124" i="15" s="1"/>
  <c r="Z125" i="15"/>
  <c r="AA125" i="15" s="1"/>
  <c r="AB125" i="15"/>
  <c r="AE125" i="15" s="1"/>
  <c r="Z126" i="15"/>
  <c r="AA126" i="15" s="1"/>
  <c r="AB126" i="15"/>
  <c r="Z127" i="15"/>
  <c r="AA127" i="15" s="1"/>
  <c r="AB127" i="15"/>
  <c r="Z128" i="15"/>
  <c r="AA128" i="15" s="1"/>
  <c r="AB128" i="15"/>
  <c r="Z129" i="15"/>
  <c r="AA129" i="15" s="1"/>
  <c r="AB129" i="15"/>
  <c r="Z130" i="15"/>
  <c r="AA130" i="15" s="1"/>
  <c r="AB130" i="15"/>
  <c r="Z131" i="15"/>
  <c r="AA131" i="15" s="1"/>
  <c r="AB131" i="15"/>
  <c r="Z132" i="15"/>
  <c r="AA132" i="15" s="1"/>
  <c r="AB132" i="15"/>
  <c r="AE132" i="15" s="1"/>
  <c r="Z133" i="15"/>
  <c r="AA133" i="15" s="1"/>
  <c r="AB133" i="15"/>
  <c r="Z134" i="15"/>
  <c r="AA134" i="15" s="1"/>
  <c r="AB134" i="15"/>
  <c r="Z135" i="15"/>
  <c r="AA135" i="15" s="1"/>
  <c r="AB135" i="15"/>
  <c r="AE135" i="15" s="1"/>
  <c r="Z136" i="15"/>
  <c r="AA136" i="15" s="1"/>
  <c r="AB136" i="15"/>
  <c r="Z137" i="15"/>
  <c r="AA137" i="15" s="1"/>
  <c r="AB137" i="15"/>
  <c r="Z138" i="15"/>
  <c r="AA138" i="15" s="1"/>
  <c r="AB138" i="15"/>
  <c r="AE138" i="15" s="1"/>
  <c r="AH138" i="15" a="1"/>
  <c r="AH138" i="15" s="1"/>
  <c r="Z139" i="15"/>
  <c r="AA139" i="15" s="1"/>
  <c r="AB139" i="15"/>
  <c r="AE139" i="15" s="1"/>
  <c r="Z140" i="15"/>
  <c r="AA140" i="15" s="1"/>
  <c r="AB140" i="15"/>
  <c r="AE140" i="15" s="1"/>
  <c r="Z141" i="15"/>
  <c r="AA141" i="15" s="1"/>
  <c r="AB141" i="15"/>
  <c r="Z142" i="15"/>
  <c r="AA142" i="15" s="1"/>
  <c r="AB142" i="15"/>
  <c r="Z143" i="15"/>
  <c r="AA143" i="15" s="1"/>
  <c r="AB143" i="15"/>
  <c r="Z144" i="15"/>
  <c r="AA144" i="15" s="1"/>
  <c r="AB144" i="15"/>
  <c r="Z145" i="15"/>
  <c r="AA145" i="15" s="1"/>
  <c r="AB145" i="15"/>
  <c r="AE145" i="15" s="1"/>
  <c r="Z146" i="15"/>
  <c r="AA146" i="15" s="1"/>
  <c r="AB146" i="15"/>
  <c r="Z147" i="15"/>
  <c r="AA147" i="15" s="1"/>
  <c r="AB147" i="15"/>
  <c r="Z148" i="15"/>
  <c r="AA148" i="15" s="1"/>
  <c r="AB148" i="15"/>
  <c r="Z149" i="15"/>
  <c r="AA149" i="15" s="1"/>
  <c r="AB149" i="15"/>
  <c r="Z150" i="15"/>
  <c r="AA150" i="15" s="1"/>
  <c r="AB150" i="15"/>
  <c r="Z151" i="15"/>
  <c r="AA151" i="15" s="1"/>
  <c r="AB151" i="15"/>
  <c r="Z152" i="15"/>
  <c r="AA152" i="15" s="1"/>
  <c r="AB152" i="15"/>
  <c r="Z153" i="15"/>
  <c r="AA153" i="15" s="1"/>
  <c r="AB153" i="15"/>
  <c r="AE153" i="15" s="1"/>
  <c r="Z154" i="15"/>
  <c r="AA154" i="15" s="1"/>
  <c r="AB154" i="15"/>
  <c r="Z155" i="15"/>
  <c r="AA155" i="15" s="1"/>
  <c r="AB155" i="15"/>
  <c r="Z156" i="15"/>
  <c r="AA156" i="15" s="1"/>
  <c r="AB156" i="15"/>
  <c r="Z157" i="15"/>
  <c r="AA157" i="15" s="1"/>
  <c r="AB157" i="15"/>
  <c r="AE157" i="15" s="1"/>
  <c r="Z158" i="15"/>
  <c r="AA158" i="15" s="1"/>
  <c r="AB158" i="15"/>
  <c r="Z159" i="15"/>
  <c r="AA159" i="15" s="1"/>
  <c r="AB159" i="15"/>
  <c r="Z160" i="15"/>
  <c r="AA160" i="15" s="1"/>
  <c r="AB160" i="15"/>
  <c r="Z161" i="15"/>
  <c r="AA161" i="15" s="1"/>
  <c r="AB161" i="15"/>
  <c r="Z162" i="15"/>
  <c r="AA162" i="15" s="1"/>
  <c r="AB162" i="15"/>
  <c r="Z163" i="15"/>
  <c r="AA163" i="15" s="1"/>
  <c r="AB163" i="15"/>
  <c r="Z164" i="15"/>
  <c r="AA164" i="15" s="1"/>
  <c r="AB164" i="15"/>
  <c r="Z165" i="15"/>
  <c r="AA165" i="15" s="1"/>
  <c r="AB165" i="15"/>
  <c r="AE165" i="15" s="1"/>
  <c r="Z166" i="15"/>
  <c r="AA166" i="15" s="1"/>
  <c r="AB166" i="15"/>
  <c r="Z167" i="15"/>
  <c r="AA167" i="15" s="1"/>
  <c r="AB167" i="15"/>
  <c r="AE167" i="15" s="1"/>
  <c r="Z168" i="15"/>
  <c r="AA168" i="15" s="1"/>
  <c r="AB168" i="15"/>
  <c r="AH168" i="15" a="1"/>
  <c r="AH168" i="15" s="1"/>
  <c r="Z169" i="15"/>
  <c r="AA169" i="15" s="1"/>
  <c r="AB169" i="15"/>
  <c r="Z170" i="15"/>
  <c r="AA170" i="15" s="1"/>
  <c r="AB170" i="15"/>
  <c r="AE170" i="15" s="1"/>
  <c r="Z171" i="15"/>
  <c r="AA171" i="15" s="1"/>
  <c r="AB171" i="15"/>
  <c r="Z172" i="15"/>
  <c r="AA172" i="15" s="1"/>
  <c r="AB172" i="15"/>
  <c r="Z173" i="15"/>
  <c r="AA173" i="15" s="1"/>
  <c r="AB173" i="15"/>
  <c r="Z174" i="15"/>
  <c r="AA174" i="15" s="1"/>
  <c r="AB174" i="15"/>
  <c r="Z175" i="15"/>
  <c r="AA175" i="15" s="1"/>
  <c r="AB175" i="15"/>
  <c r="AE175" i="15" s="1"/>
  <c r="Z176" i="15"/>
  <c r="AA176" i="15" s="1"/>
  <c r="AB176" i="15"/>
  <c r="Z177" i="15"/>
  <c r="AA177" i="15" s="1"/>
  <c r="AB177" i="15"/>
  <c r="Z178" i="15"/>
  <c r="AA178" i="15" s="1"/>
  <c r="AB178" i="15"/>
  <c r="Z179" i="15"/>
  <c r="AA179" i="15" s="1"/>
  <c r="AB179" i="15"/>
  <c r="Z180" i="15"/>
  <c r="AA180" i="15" s="1"/>
  <c r="AB180" i="15"/>
  <c r="AH180" i="15" a="1"/>
  <c r="AH180" i="15" s="1"/>
  <c r="Z181" i="15"/>
  <c r="AA181" i="15" s="1"/>
  <c r="AB181" i="15"/>
  <c r="Z182" i="15"/>
  <c r="AA182" i="15" s="1"/>
  <c r="AB182" i="15"/>
  <c r="Z183" i="15"/>
  <c r="AA183" i="15" s="1"/>
  <c r="AB183" i="15"/>
  <c r="AE183" i="15" s="1"/>
  <c r="Z184" i="15"/>
  <c r="AA184" i="15" s="1"/>
  <c r="AB184" i="15"/>
  <c r="Z185" i="15"/>
  <c r="AA185" i="15" s="1"/>
  <c r="AB185" i="15"/>
  <c r="AE185" i="15" s="1"/>
  <c r="Z186" i="15"/>
  <c r="AA186" i="15" s="1"/>
  <c r="AB186" i="15"/>
  <c r="AE186" i="15" s="1"/>
  <c r="Z187" i="15"/>
  <c r="AA187" i="15" s="1"/>
  <c r="AB187" i="15"/>
  <c r="AE187" i="15" s="1"/>
  <c r="Z188" i="15"/>
  <c r="AA188" i="15" s="1"/>
  <c r="AB188" i="15"/>
  <c r="AC188" i="15" s="1"/>
  <c r="Z189" i="15"/>
  <c r="AA189" i="15" s="1"/>
  <c r="AB189" i="15"/>
  <c r="AC189" i="15" s="1"/>
  <c r="Z190" i="15"/>
  <c r="AA190" i="15" s="1"/>
  <c r="AB190" i="15"/>
  <c r="Z191" i="15"/>
  <c r="AA191" i="15" s="1"/>
  <c r="AB191" i="15"/>
  <c r="AC191" i="15" s="1"/>
  <c r="Z192" i="15"/>
  <c r="AA192" i="15" s="1"/>
  <c r="AB192" i="15"/>
  <c r="Z193" i="15"/>
  <c r="AA193" i="15" s="1"/>
  <c r="AB193" i="15"/>
  <c r="AE193" i="15" s="1"/>
  <c r="Z194" i="15"/>
  <c r="AA194" i="15" s="1"/>
  <c r="AB194" i="15"/>
  <c r="Z195" i="15"/>
  <c r="AA195" i="15" s="1"/>
  <c r="AB195" i="15"/>
  <c r="AE195" i="15" s="1"/>
  <c r="Z196" i="15"/>
  <c r="AA196" i="15" s="1"/>
  <c r="AB196" i="15"/>
  <c r="Z197" i="15"/>
  <c r="AA197" i="15" s="1"/>
  <c r="AB197" i="15"/>
  <c r="Z198" i="15"/>
  <c r="AA198" i="15" s="1"/>
  <c r="AB198" i="15"/>
  <c r="Z199" i="15"/>
  <c r="AA199" i="15" s="1"/>
  <c r="AB199" i="15"/>
  <c r="Z200" i="15"/>
  <c r="AA200" i="15" s="1"/>
  <c r="AB200" i="15"/>
  <c r="Z201" i="15"/>
  <c r="AA201" i="15" s="1"/>
  <c r="AB201" i="15"/>
  <c r="Z202" i="15"/>
  <c r="AA202" i="15" s="1"/>
  <c r="AB202" i="15"/>
  <c r="AE202" i="15" s="1"/>
  <c r="Z203" i="15"/>
  <c r="AA203" i="15" s="1"/>
  <c r="AB203" i="15"/>
  <c r="Z204" i="15"/>
  <c r="AA204" i="15" s="1"/>
  <c r="AB204" i="15"/>
  <c r="Z205" i="15"/>
  <c r="AA205" i="15" s="1"/>
  <c r="AB205" i="15"/>
  <c r="Z206" i="15"/>
  <c r="AA206" i="15" s="1"/>
  <c r="AB206" i="15"/>
  <c r="Z207" i="15"/>
  <c r="AA207" i="15" s="1"/>
  <c r="AB207" i="15"/>
  <c r="Z208" i="15"/>
  <c r="AA208" i="15" s="1"/>
  <c r="AB208" i="15"/>
  <c r="Z209" i="15"/>
  <c r="AA209" i="15" s="1"/>
  <c r="AB209" i="15"/>
  <c r="AC209" i="15" s="1"/>
  <c r="Z210" i="15"/>
  <c r="AA210" i="15" s="1"/>
  <c r="AB210" i="15"/>
  <c r="Z211" i="15"/>
  <c r="AA211" i="15" s="1"/>
  <c r="AB211" i="15"/>
  <c r="Z212" i="15"/>
  <c r="AA212" i="15" s="1"/>
  <c r="AB212" i="15"/>
  <c r="AC212" i="15" s="1"/>
  <c r="Z213" i="15"/>
  <c r="AA213" i="15" s="1"/>
  <c r="AB213" i="15"/>
  <c r="Z214" i="15"/>
  <c r="AA214" i="15" s="1"/>
  <c r="AB214" i="15"/>
  <c r="Z215" i="15"/>
  <c r="AA215" i="15" s="1"/>
  <c r="AB215" i="15"/>
  <c r="AE215" i="15" s="1"/>
  <c r="Z216" i="15"/>
  <c r="AA216" i="15" s="1"/>
  <c r="AB216" i="15"/>
  <c r="AE216" i="15" s="1"/>
  <c r="Z217" i="15"/>
  <c r="AA217" i="15" s="1"/>
  <c r="AB217" i="15"/>
  <c r="Z218" i="15"/>
  <c r="AA218" i="15" s="1"/>
  <c r="AB218" i="15"/>
  <c r="Z219" i="15"/>
  <c r="AA219" i="15" s="1"/>
  <c r="AB219" i="15"/>
  <c r="AE219" i="15" s="1"/>
  <c r="Z220" i="15"/>
  <c r="AA220" i="15" s="1"/>
  <c r="AB220" i="15"/>
  <c r="Z221" i="15"/>
  <c r="AA221" i="15" s="1"/>
  <c r="AB221" i="15"/>
  <c r="AE221" i="15" s="1"/>
  <c r="Z222" i="15"/>
  <c r="AA222" i="15" s="1"/>
  <c r="AB222" i="15"/>
  <c r="AE222" i="15" s="1"/>
  <c r="Z223" i="15"/>
  <c r="AA223" i="15" s="1"/>
  <c r="AB223" i="15"/>
  <c r="AE223" i="15" s="1"/>
  <c r="Z224" i="15"/>
  <c r="AA224" i="15" s="1"/>
  <c r="AB224" i="15"/>
  <c r="Z225" i="15"/>
  <c r="AA225" i="15" s="1"/>
  <c r="AB225" i="15"/>
  <c r="Z226" i="15"/>
  <c r="AA226" i="15" s="1"/>
  <c r="AB226" i="15"/>
  <c r="AH226" i="15" a="1"/>
  <c r="AH226" i="15" s="1"/>
  <c r="Z227" i="15"/>
  <c r="AA227" i="15" s="1"/>
  <c r="AB227" i="15"/>
  <c r="AE227" i="15" s="1"/>
  <c r="Z228" i="15"/>
  <c r="AA228" i="15" s="1"/>
  <c r="AB228" i="15"/>
  <c r="AE228" i="15" s="1"/>
  <c r="AH228" i="15" a="1"/>
  <c r="AH228" i="15" s="1"/>
  <c r="Z229" i="15"/>
  <c r="AA229" i="15" s="1"/>
  <c r="AB229" i="15"/>
  <c r="Z230" i="15"/>
  <c r="AA230" i="15" s="1"/>
  <c r="AB230" i="15"/>
  <c r="Z231" i="15"/>
  <c r="AA231" i="15" s="1"/>
  <c r="AB231" i="15"/>
  <c r="AE231" i="15" s="1"/>
  <c r="Z232" i="15"/>
  <c r="AA232" i="15" s="1"/>
  <c r="AB232" i="15"/>
  <c r="AE232" i="15" s="1"/>
  <c r="Z233" i="15"/>
  <c r="AA233" i="15" s="1"/>
  <c r="AB233" i="15"/>
  <c r="AE233" i="15" s="1"/>
  <c r="Z234" i="15"/>
  <c r="AA234" i="15" s="1"/>
  <c r="AB234" i="15"/>
  <c r="Z235" i="15"/>
  <c r="AA235" i="15" s="1"/>
  <c r="AB235" i="15"/>
  <c r="Z236" i="15"/>
  <c r="AA236" i="15" s="1"/>
  <c r="AB236" i="15"/>
  <c r="Z237" i="15"/>
  <c r="AA237" i="15" s="1"/>
  <c r="AB237" i="15"/>
  <c r="Z238" i="15"/>
  <c r="AA238" i="15" s="1"/>
  <c r="AB238" i="15"/>
  <c r="Z239" i="15"/>
  <c r="AA239" i="15" s="1"/>
  <c r="AB239" i="15"/>
  <c r="AE239" i="15" s="1"/>
  <c r="Z240" i="15"/>
  <c r="AA240" i="15" s="1"/>
  <c r="AB240" i="15"/>
  <c r="AE240" i="15" s="1"/>
  <c r="Z241" i="15"/>
  <c r="AA241" i="15" s="1"/>
  <c r="AB241" i="15"/>
  <c r="Z242" i="15"/>
  <c r="AA242" i="15" s="1"/>
  <c r="AB242" i="15"/>
  <c r="Z243" i="15"/>
  <c r="AA243" i="15" s="1"/>
  <c r="AB243" i="15"/>
  <c r="Z244" i="15"/>
  <c r="AA244" i="15" s="1"/>
  <c r="AB244" i="15"/>
  <c r="Z245" i="15"/>
  <c r="AA245" i="15" s="1"/>
  <c r="AB245" i="15"/>
  <c r="Z246" i="15"/>
  <c r="AA246" i="15" s="1"/>
  <c r="AB246" i="15"/>
  <c r="AE246" i="15" s="1"/>
  <c r="Z247" i="15"/>
  <c r="AA247" i="15" s="1"/>
  <c r="AB247" i="15"/>
  <c r="AE247" i="15" s="1"/>
  <c r="Z248" i="15"/>
  <c r="AA248" i="15" s="1"/>
  <c r="AB248" i="15"/>
  <c r="AC248" i="15" s="1"/>
  <c r="Z249" i="15"/>
  <c r="AA249" i="15" s="1"/>
  <c r="AB249" i="15"/>
  <c r="Z250" i="15"/>
  <c r="AA250" i="15" s="1"/>
  <c r="AB250" i="15"/>
  <c r="Z251" i="15"/>
  <c r="AA251" i="15" s="1"/>
  <c r="AB251" i="15"/>
  <c r="AE251" i="15" s="1"/>
  <c r="Z252" i="15"/>
  <c r="AA252" i="15" s="1"/>
  <c r="AB252" i="15"/>
  <c r="Z253" i="15"/>
  <c r="AA253" i="15" s="1"/>
  <c r="AB253" i="15"/>
  <c r="AE253" i="15" s="1"/>
  <c r="Z254" i="15"/>
  <c r="AA254" i="15" s="1"/>
  <c r="AB254" i="15"/>
  <c r="AE254" i="15" s="1"/>
  <c r="Z255" i="15"/>
  <c r="AA255" i="15" s="1"/>
  <c r="AB255" i="15"/>
  <c r="Z256" i="15"/>
  <c r="AA256" i="15" s="1"/>
  <c r="AB256" i="15"/>
  <c r="Z257" i="15"/>
  <c r="AA257" i="15" s="1"/>
  <c r="AB257" i="15"/>
  <c r="Z258" i="15"/>
  <c r="AA258" i="15" s="1"/>
  <c r="AB258" i="15"/>
  <c r="Z259" i="15"/>
  <c r="AA259" i="15" s="1"/>
  <c r="AB259" i="15"/>
  <c r="Z260" i="15"/>
  <c r="AA260" i="15" s="1"/>
  <c r="AB260" i="15"/>
  <c r="AH260" i="15" a="1"/>
  <c r="AH260" i="15" s="1"/>
  <c r="Z261" i="15"/>
  <c r="AA261" i="15" s="1"/>
  <c r="AB261" i="15"/>
  <c r="Z262" i="15"/>
  <c r="AA262" i="15" s="1"/>
  <c r="AB262" i="15"/>
  <c r="Z263" i="15"/>
  <c r="AA263" i="15" s="1"/>
  <c r="AB263" i="15"/>
  <c r="Z264" i="15"/>
  <c r="AA264" i="15" s="1"/>
  <c r="AB264" i="15"/>
  <c r="Z265" i="15"/>
  <c r="AA265" i="15" s="1"/>
  <c r="AB265" i="15"/>
  <c r="AE265" i="15" s="1"/>
  <c r="Z266" i="15"/>
  <c r="AA266" i="15" s="1"/>
  <c r="AB266" i="15"/>
  <c r="Z267" i="15"/>
  <c r="AA267" i="15" s="1"/>
  <c r="AB267" i="15"/>
  <c r="AE267" i="15" s="1"/>
  <c r="Z268" i="15"/>
  <c r="AA268" i="15" s="1"/>
  <c r="AB268" i="15"/>
  <c r="Z269" i="15"/>
  <c r="AA269" i="15" s="1"/>
  <c r="AB269" i="15"/>
  <c r="Z270" i="15"/>
  <c r="AA270" i="15" s="1"/>
  <c r="AB270" i="15"/>
  <c r="Z271" i="15"/>
  <c r="AA271" i="15" s="1"/>
  <c r="AB271" i="15"/>
  <c r="AE271" i="15" s="1"/>
  <c r="Z272" i="15"/>
  <c r="AA272" i="15" s="1"/>
  <c r="AB272" i="15"/>
  <c r="Z273" i="15"/>
  <c r="AA273" i="15" s="1"/>
  <c r="AB273" i="15"/>
  <c r="Z274" i="15"/>
  <c r="AA274" i="15" s="1"/>
  <c r="AB274" i="15"/>
  <c r="AE274" i="15" s="1"/>
  <c r="Z275" i="15"/>
  <c r="AA275" i="15" s="1"/>
  <c r="AB275" i="15"/>
  <c r="Z276" i="15"/>
  <c r="AA276" i="15" s="1"/>
  <c r="AB276" i="15"/>
  <c r="AH276" i="15" a="1"/>
  <c r="AH276" i="15" s="1"/>
  <c r="Z277" i="15"/>
  <c r="AA277" i="15" s="1"/>
  <c r="AB277" i="15"/>
  <c r="Z278" i="15"/>
  <c r="AA278" i="15" s="1"/>
  <c r="AB278" i="15"/>
  <c r="Z279" i="15"/>
  <c r="AA279" i="15" s="1"/>
  <c r="AB279" i="15"/>
  <c r="AE279" i="15" s="1"/>
  <c r="Z280" i="15"/>
  <c r="AA280" i="15" s="1"/>
  <c r="AB280" i="15"/>
  <c r="Z281" i="15"/>
  <c r="AA281" i="15" s="1"/>
  <c r="AB281" i="15"/>
  <c r="Z282" i="15"/>
  <c r="AA282" i="15" s="1"/>
  <c r="AB282" i="15"/>
  <c r="Z283" i="15"/>
  <c r="AA283" i="15" s="1"/>
  <c r="AB283" i="15"/>
  <c r="Z284" i="15"/>
  <c r="AA284" i="15" s="1"/>
  <c r="AB284" i="15"/>
  <c r="Z285" i="15"/>
  <c r="AA285" i="15" s="1"/>
  <c r="AB285" i="15"/>
  <c r="Z286" i="15"/>
  <c r="AA286" i="15" s="1"/>
  <c r="AB286" i="15"/>
  <c r="AE286" i="15" s="1"/>
  <c r="Z287" i="15"/>
  <c r="AA287" i="15" s="1"/>
  <c r="AB287" i="15"/>
  <c r="Z288" i="15"/>
  <c r="AA288" i="15" s="1"/>
  <c r="AB288" i="15"/>
  <c r="Z289" i="15"/>
  <c r="AA289" i="15" s="1"/>
  <c r="AB289" i="15"/>
  <c r="AE289" i="15" s="1"/>
  <c r="Z290" i="15"/>
  <c r="AA290" i="15" s="1"/>
  <c r="AB290" i="15"/>
  <c r="AE290" i="15" s="1"/>
  <c r="Z291" i="15"/>
  <c r="AA291" i="15" s="1"/>
  <c r="AB291" i="15"/>
  <c r="Z292" i="15"/>
  <c r="AA292" i="15" s="1"/>
  <c r="AB292" i="15"/>
  <c r="AE292" i="15" s="1"/>
  <c r="AH292" i="15" a="1"/>
  <c r="AH292" i="15" s="1"/>
  <c r="Z293" i="15"/>
  <c r="AA293" i="15" s="1"/>
  <c r="AB293" i="15"/>
  <c r="Z294" i="15"/>
  <c r="AA294" i="15" s="1"/>
  <c r="AB294" i="15"/>
  <c r="Z295" i="15"/>
  <c r="AA295" i="15" s="1"/>
  <c r="AB295" i="15"/>
  <c r="AE295" i="15" s="1"/>
  <c r="Z296" i="15"/>
  <c r="AA296" i="15" s="1"/>
  <c r="AB296" i="15"/>
  <c r="AE296" i="15" s="1"/>
  <c r="Z297" i="15"/>
  <c r="AA297" i="15" s="1"/>
  <c r="AB297" i="15"/>
  <c r="AE297" i="15" s="1"/>
  <c r="Z298" i="15"/>
  <c r="AA298" i="15" s="1"/>
  <c r="AB298" i="15"/>
  <c r="Z299" i="15"/>
  <c r="AA299" i="15" s="1"/>
  <c r="AB299" i="15"/>
  <c r="Z300" i="15"/>
  <c r="AA300" i="15" s="1"/>
  <c r="AB300" i="15"/>
  <c r="Z301" i="15"/>
  <c r="AA301" i="15" s="1"/>
  <c r="AB301" i="15"/>
  <c r="Z302" i="15"/>
  <c r="AA302" i="15" s="1"/>
  <c r="AB302" i="15"/>
  <c r="AC302" i="15" s="1"/>
  <c r="Z303" i="15"/>
  <c r="AA303" i="15" s="1"/>
  <c r="AB303" i="15"/>
  <c r="Z304" i="15"/>
  <c r="AA304" i="15" s="1"/>
  <c r="AB304" i="15"/>
  <c r="Z305" i="15"/>
  <c r="AA305" i="15" s="1"/>
  <c r="AB305" i="15"/>
  <c r="Z306" i="15"/>
  <c r="AA306" i="15" s="1"/>
  <c r="AB306" i="15"/>
  <c r="AE306" i="15" s="1"/>
  <c r="Z307" i="15"/>
  <c r="AA307" i="15" s="1"/>
  <c r="AB307" i="15"/>
  <c r="Z308" i="15"/>
  <c r="AA308" i="15" s="1"/>
  <c r="AB308" i="15"/>
  <c r="Z309" i="15"/>
  <c r="AA309" i="15" s="1"/>
  <c r="AB309" i="15"/>
  <c r="Z310" i="15"/>
  <c r="AA310" i="15" s="1"/>
  <c r="AB310" i="15"/>
  <c r="Z311" i="15"/>
  <c r="AA311" i="15" s="1"/>
  <c r="AB311" i="15"/>
  <c r="Z312" i="15"/>
  <c r="AA312" i="15" s="1"/>
  <c r="AB312" i="15"/>
  <c r="Z313" i="15"/>
  <c r="AA313" i="15" s="1"/>
  <c r="AB313" i="15"/>
  <c r="Z314" i="15"/>
  <c r="AA314" i="15" s="1"/>
  <c r="AB314" i="15"/>
  <c r="Z315" i="15"/>
  <c r="AA315" i="15" s="1"/>
  <c r="AB315" i="15"/>
  <c r="Z316" i="15"/>
  <c r="AA316" i="15" s="1"/>
  <c r="AB316" i="15"/>
  <c r="Z317" i="15"/>
  <c r="AA317" i="15" s="1"/>
  <c r="AB317" i="15"/>
  <c r="Z318" i="15"/>
  <c r="AA318" i="15" s="1"/>
  <c r="AB318" i="15"/>
  <c r="Z319" i="15"/>
  <c r="AA319" i="15" s="1"/>
  <c r="AB319" i="15"/>
  <c r="Z320" i="15"/>
  <c r="AA320" i="15" s="1"/>
  <c r="AB320" i="15"/>
  <c r="Z321" i="15"/>
  <c r="AA321" i="15" s="1"/>
  <c r="AB321" i="15"/>
  <c r="AC321" i="15" s="1"/>
  <c r="Z322" i="15"/>
  <c r="AA322" i="15" s="1"/>
  <c r="AB322" i="15"/>
  <c r="Z323" i="15"/>
  <c r="AA323" i="15" s="1"/>
  <c r="AB323" i="15"/>
  <c r="Z324" i="15"/>
  <c r="AA324" i="15" s="1"/>
  <c r="AB324" i="15"/>
  <c r="AH324" i="15" a="1"/>
  <c r="AH324" i="15" s="1"/>
  <c r="Z325" i="15"/>
  <c r="AA325" i="15" s="1"/>
  <c r="AB325" i="15"/>
  <c r="Z326" i="15"/>
  <c r="AA326" i="15" s="1"/>
  <c r="AB326" i="15"/>
  <c r="Z327" i="15"/>
  <c r="AA327" i="15" s="1"/>
  <c r="AB327" i="15"/>
  <c r="Z328" i="15"/>
  <c r="AA328" i="15" s="1"/>
  <c r="AB328" i="15"/>
  <c r="AH328" i="15" a="1"/>
  <c r="AH328" i="15" s="1"/>
  <c r="Z329" i="15"/>
  <c r="AA329" i="15" s="1"/>
  <c r="AB329" i="15"/>
  <c r="Z330" i="15"/>
  <c r="AA330" i="15" s="1"/>
  <c r="AB330" i="15"/>
  <c r="Z331" i="15"/>
  <c r="AA331" i="15" s="1"/>
  <c r="AB331" i="15"/>
  <c r="Z332" i="15"/>
  <c r="AA332" i="15" s="1"/>
  <c r="AB332" i="15"/>
  <c r="Z333" i="15"/>
  <c r="AA333" i="15" s="1"/>
  <c r="AB333" i="15"/>
  <c r="Z334" i="15"/>
  <c r="AA334" i="15" s="1"/>
  <c r="AB334" i="15"/>
  <c r="Z335" i="15"/>
  <c r="AA335" i="15" s="1"/>
  <c r="AB335" i="15"/>
  <c r="AH335" i="15" a="1"/>
  <c r="AH335" i="15" s="1"/>
  <c r="Z336" i="15"/>
  <c r="AA336" i="15" s="1"/>
  <c r="AB336" i="15"/>
  <c r="Z337" i="15"/>
  <c r="AA337" i="15" s="1"/>
  <c r="AB337" i="15"/>
  <c r="Z338" i="15"/>
  <c r="AA338" i="15" s="1"/>
  <c r="AB338" i="15"/>
  <c r="Z339" i="15"/>
  <c r="AA339" i="15" s="1"/>
  <c r="AB339" i="15"/>
  <c r="Z340" i="15"/>
  <c r="AA340" i="15" s="1"/>
  <c r="AB340" i="15"/>
  <c r="Z341" i="15"/>
  <c r="AA341" i="15" s="1"/>
  <c r="AB341" i="15"/>
  <c r="Z342" i="15"/>
  <c r="AA342" i="15" s="1"/>
  <c r="AB342" i="15"/>
  <c r="Z343" i="15"/>
  <c r="AA343" i="15" s="1"/>
  <c r="AB343" i="15"/>
  <c r="AB2" i="15"/>
  <c r="Z2" i="15"/>
  <c r="AA2" i="15" s="1"/>
  <c r="Z3" i="43"/>
  <c r="AA3" i="43" s="1"/>
  <c r="AB3" i="43"/>
  <c r="AC3" i="43" s="1"/>
  <c r="AD3" i="43"/>
  <c r="AH3" i="43" s="1" a="1"/>
  <c r="AH3" i="43" s="1"/>
  <c r="Z4" i="43"/>
  <c r="AA4" i="43" s="1"/>
  <c r="AB4" i="43"/>
  <c r="AE4" i="43" s="1"/>
  <c r="AJ4" i="43" s="1"/>
  <c r="AD4" i="43"/>
  <c r="AH4" i="43" s="1" a="1"/>
  <c r="AH4" i="43" s="1"/>
  <c r="Z5" i="43"/>
  <c r="AA5" i="43" s="1"/>
  <c r="AB5" i="43"/>
  <c r="AC5" i="43" s="1"/>
  <c r="AD5" i="43"/>
  <c r="AH5" i="43" s="1" a="1"/>
  <c r="AH5" i="43" s="1"/>
  <c r="Z6" i="43"/>
  <c r="AA6" i="43" s="1"/>
  <c r="AB6" i="43"/>
  <c r="AE6" i="43" s="1"/>
  <c r="AD6" i="43"/>
  <c r="AH6" i="43" s="1" a="1"/>
  <c r="AH6" i="43" s="1"/>
  <c r="Z7" i="43"/>
  <c r="AA7" i="43" s="1"/>
  <c r="AB7" i="43"/>
  <c r="AC7" i="43" s="1"/>
  <c r="AD7" i="43"/>
  <c r="AH7" i="43" s="1" a="1"/>
  <c r="AH7" i="43" s="1"/>
  <c r="Z8" i="43"/>
  <c r="AA8" i="43" s="1"/>
  <c r="AB8" i="43"/>
  <c r="AC8" i="43" s="1"/>
  <c r="AD8" i="43"/>
  <c r="AH8" i="43" s="1" a="1"/>
  <c r="AH8" i="43" s="1"/>
  <c r="Z9" i="43"/>
  <c r="AA9" i="43" s="1"/>
  <c r="AB9" i="43"/>
  <c r="AC9" i="43" s="1"/>
  <c r="AD9" i="43"/>
  <c r="AH9" i="43" s="1" a="1"/>
  <c r="AH9" i="43" s="1"/>
  <c r="Z10" i="43"/>
  <c r="AA10" i="43" s="1"/>
  <c r="AB10" i="43"/>
  <c r="AD10" i="43"/>
  <c r="AH10" i="43" s="1" a="1"/>
  <c r="AH10" i="43" s="1"/>
  <c r="Z11" i="43"/>
  <c r="AA11" i="43" s="1"/>
  <c r="AB11" i="43"/>
  <c r="AC11" i="43" s="1"/>
  <c r="AD11" i="43"/>
  <c r="AH11" i="43" s="1" a="1"/>
  <c r="AH11" i="43" s="1"/>
  <c r="Z12" i="43"/>
  <c r="AA12" i="43" s="1"/>
  <c r="AB12" i="43"/>
  <c r="AE12" i="43" s="1"/>
  <c r="AD12" i="43"/>
  <c r="AH12" i="43" s="1" a="1"/>
  <c r="AH12" i="43" s="1"/>
  <c r="Z13" i="43"/>
  <c r="AA13" i="43" s="1"/>
  <c r="AB13" i="43"/>
  <c r="AD13" i="43"/>
  <c r="AH13" i="43" s="1" a="1"/>
  <c r="AH13" i="43" s="1"/>
  <c r="Z14" i="43"/>
  <c r="AA14" i="43" s="1"/>
  <c r="AB14" i="43"/>
  <c r="AD14" i="43"/>
  <c r="AH14" i="43" s="1" a="1"/>
  <c r="AH14" i="43" s="1"/>
  <c r="Z15" i="43"/>
  <c r="AA15" i="43" s="1"/>
  <c r="AB15" i="43"/>
  <c r="AC15" i="43" s="1"/>
  <c r="AD15" i="43"/>
  <c r="AH15" i="43" s="1" a="1"/>
  <c r="AH15" i="43" s="1"/>
  <c r="Z16" i="43"/>
  <c r="AA16" i="43" s="1"/>
  <c r="AB16" i="43"/>
  <c r="AD16" i="43"/>
  <c r="AH16" i="43" s="1" a="1"/>
  <c r="AH16" i="43" s="1"/>
  <c r="Z17" i="43"/>
  <c r="AA17" i="43" s="1"/>
  <c r="AB17" i="43"/>
  <c r="AC17" i="43" s="1"/>
  <c r="AD17" i="43"/>
  <c r="AH17" i="43" s="1" a="1"/>
  <c r="AH17" i="43" s="1"/>
  <c r="Z18" i="43"/>
  <c r="AA18" i="43" s="1"/>
  <c r="AB18" i="43"/>
  <c r="AC18" i="43" s="1"/>
  <c r="AD18" i="43"/>
  <c r="AH18" i="43" s="1" a="1"/>
  <c r="AH18" i="43" s="1"/>
  <c r="Z19" i="43"/>
  <c r="AA19" i="43" s="1"/>
  <c r="AB19" i="43"/>
  <c r="AC19" i="43" s="1"/>
  <c r="AD19" i="43"/>
  <c r="AH19" i="43" s="1" a="1"/>
  <c r="AH19" i="43" s="1"/>
  <c r="Z20" i="43"/>
  <c r="AA20" i="43" s="1"/>
  <c r="AB20" i="43"/>
  <c r="AE20" i="43" s="1"/>
  <c r="AD20" i="43"/>
  <c r="AH20" i="43" s="1" a="1"/>
  <c r="AH20" i="43" s="1"/>
  <c r="Z21" i="43"/>
  <c r="AA21" i="43" s="1"/>
  <c r="AB21" i="43"/>
  <c r="AC21" i="43" s="1"/>
  <c r="AD21" i="43"/>
  <c r="AH21" i="43" s="1" a="1"/>
  <c r="AH21" i="43" s="1"/>
  <c r="Z22" i="43"/>
  <c r="AA22" i="43" s="1"/>
  <c r="AB22" i="43"/>
  <c r="AE22" i="43" s="1"/>
  <c r="AD22" i="43"/>
  <c r="AH22" i="43" s="1" a="1"/>
  <c r="AH22" i="43" s="1"/>
  <c r="Z23" i="43"/>
  <c r="AA23" i="43" s="1"/>
  <c r="AB23" i="43"/>
  <c r="AC23" i="43" s="1"/>
  <c r="AD23" i="43"/>
  <c r="AH23" i="43" s="1" a="1"/>
  <c r="AH23" i="43" s="1"/>
  <c r="Z24" i="43"/>
  <c r="AA24" i="43" s="1"/>
  <c r="AB24" i="43"/>
  <c r="AC24" i="43" s="1"/>
  <c r="AD24" i="43"/>
  <c r="AH24" i="43" s="1" a="1"/>
  <c r="AH24" i="43" s="1"/>
  <c r="Z25" i="43"/>
  <c r="AA25" i="43" s="1"/>
  <c r="AB25" i="43"/>
  <c r="AC25" i="43" s="1"/>
  <c r="AD25" i="43"/>
  <c r="AH25" i="43" s="1" a="1"/>
  <c r="AH25" i="43" s="1"/>
  <c r="Z26" i="43"/>
  <c r="AA26" i="43" s="1"/>
  <c r="AB26" i="43"/>
  <c r="AC26" i="43" s="1"/>
  <c r="AD26" i="43"/>
  <c r="AH26" i="43" s="1" a="1"/>
  <c r="AH26" i="43" s="1"/>
  <c r="Z27" i="43"/>
  <c r="AA27" i="43" s="1"/>
  <c r="AB27" i="43"/>
  <c r="AC27" i="43" s="1"/>
  <c r="AD27" i="43"/>
  <c r="AH27" i="43" s="1" a="1"/>
  <c r="AH27" i="43" s="1"/>
  <c r="Z28" i="43"/>
  <c r="AA28" i="43" s="1"/>
  <c r="AB28" i="43"/>
  <c r="AC28" i="43" s="1"/>
  <c r="AD28" i="43"/>
  <c r="AH28" i="43" s="1" a="1"/>
  <c r="AH28" i="43" s="1"/>
  <c r="Z29" i="43"/>
  <c r="AA29" i="43" s="1"/>
  <c r="AB29" i="43"/>
  <c r="AC29" i="43" s="1"/>
  <c r="AD29" i="43"/>
  <c r="AH29" i="43" s="1" a="1"/>
  <c r="AH29" i="43" s="1"/>
  <c r="Z30" i="43"/>
  <c r="AA30" i="43" s="1"/>
  <c r="AB30" i="43"/>
  <c r="AC30" i="43" s="1"/>
  <c r="AD30" i="43"/>
  <c r="AH30" i="43" s="1" a="1"/>
  <c r="AH30" i="43" s="1"/>
  <c r="Z31" i="43"/>
  <c r="AA31" i="43" s="1"/>
  <c r="AB31" i="43"/>
  <c r="AC31" i="43" s="1"/>
  <c r="AD31" i="43"/>
  <c r="AH31" i="43" s="1" a="1"/>
  <c r="AH31" i="43" s="1"/>
  <c r="AB32" i="43"/>
  <c r="AC32" i="43" s="1"/>
  <c r="AD32" i="43"/>
  <c r="AH32" i="43" s="1" a="1"/>
  <c r="AH32" i="43" s="1"/>
  <c r="Z33" i="43"/>
  <c r="AA33" i="43" s="1"/>
  <c r="AB33" i="43"/>
  <c r="AC33" i="43" s="1"/>
  <c r="AD33" i="43"/>
  <c r="AH33" i="43" s="1" a="1"/>
  <c r="AH33" i="43" s="1"/>
  <c r="Z34" i="43"/>
  <c r="AA34" i="43" s="1"/>
  <c r="AB34" i="43"/>
  <c r="AC34" i="43" s="1"/>
  <c r="AD34" i="43"/>
  <c r="AH34" i="43" s="1" a="1"/>
  <c r="AH34" i="43" s="1"/>
  <c r="Z35" i="43"/>
  <c r="AA35" i="43" s="1"/>
  <c r="AB35" i="43"/>
  <c r="AC35" i="43" s="1"/>
  <c r="AD35" i="43"/>
  <c r="AH35" i="43" s="1" a="1"/>
  <c r="AH35" i="43" s="1"/>
  <c r="Z36" i="43"/>
  <c r="AA36" i="43" s="1"/>
  <c r="AB36" i="43"/>
  <c r="AC36" i="43" s="1"/>
  <c r="AD36" i="43"/>
  <c r="AH36" i="43" s="1" a="1"/>
  <c r="AH36" i="43" s="1"/>
  <c r="Z37" i="43"/>
  <c r="AA37" i="43" s="1"/>
  <c r="AB37" i="43"/>
  <c r="AC37" i="43" s="1"/>
  <c r="AD37" i="43"/>
  <c r="AH37" i="43" s="1" a="1"/>
  <c r="AH37" i="43" s="1"/>
  <c r="Z38" i="43"/>
  <c r="AA38" i="43" s="1"/>
  <c r="AB38" i="43"/>
  <c r="AC38" i="43" s="1"/>
  <c r="AD38" i="43"/>
  <c r="AH38" i="43" s="1" a="1"/>
  <c r="AH38" i="43" s="1"/>
  <c r="Z39" i="43"/>
  <c r="AA39" i="43" s="1"/>
  <c r="AB39" i="43"/>
  <c r="AC39" i="43" s="1"/>
  <c r="AD39" i="43"/>
  <c r="AH39" i="43" s="1" a="1"/>
  <c r="AH39" i="43" s="1"/>
  <c r="Z40" i="43"/>
  <c r="AA40" i="43" s="1"/>
  <c r="AB40" i="43"/>
  <c r="AC40" i="43" s="1"/>
  <c r="AD40" i="43"/>
  <c r="AH40" i="43" s="1" a="1"/>
  <c r="AH40" i="43" s="1"/>
  <c r="Z41" i="43"/>
  <c r="AA41" i="43" s="1"/>
  <c r="AB41" i="43"/>
  <c r="AC41" i="43" s="1"/>
  <c r="AD41" i="43"/>
  <c r="AH41" i="43" s="1" a="1"/>
  <c r="AH41" i="43" s="1"/>
  <c r="Z42" i="43"/>
  <c r="AA42" i="43" s="1"/>
  <c r="AB42" i="43"/>
  <c r="AC42" i="43" s="1"/>
  <c r="AD42" i="43"/>
  <c r="AH42" i="43" s="1" a="1"/>
  <c r="AH42" i="43" s="1"/>
  <c r="Z43" i="43"/>
  <c r="AA43" i="43" s="1"/>
  <c r="AB43" i="43"/>
  <c r="AC43" i="43" s="1"/>
  <c r="AD43" i="43"/>
  <c r="AH43" i="43" s="1" a="1"/>
  <c r="AH43" i="43" s="1"/>
  <c r="Z44" i="43"/>
  <c r="AA44" i="43" s="1"/>
  <c r="AB44" i="43"/>
  <c r="AC44" i="43" s="1"/>
  <c r="AD44" i="43"/>
  <c r="AH44" i="43" s="1" a="1"/>
  <c r="AH44" i="43" s="1"/>
  <c r="Z45" i="43"/>
  <c r="AA45" i="43" s="1"/>
  <c r="AB45" i="43"/>
  <c r="AC45" i="43" s="1"/>
  <c r="AD45" i="43"/>
  <c r="AH45" i="43" s="1" a="1"/>
  <c r="AH45" i="43" s="1"/>
  <c r="Z46" i="43"/>
  <c r="AA46" i="43" s="1"/>
  <c r="AB46" i="43"/>
  <c r="AC46" i="43" s="1"/>
  <c r="AD46" i="43"/>
  <c r="AH46" i="43" s="1" a="1"/>
  <c r="AH46" i="43" s="1"/>
  <c r="Z47" i="43"/>
  <c r="AA47" i="43" s="1"/>
  <c r="AB47" i="43"/>
  <c r="AC47" i="43" s="1"/>
  <c r="AD47" i="43"/>
  <c r="AH47" i="43" s="1" a="1"/>
  <c r="AH47" i="43" s="1"/>
  <c r="Z48" i="43"/>
  <c r="AA48" i="43" s="1"/>
  <c r="AB48" i="43"/>
  <c r="AC48" i="43" s="1"/>
  <c r="AD48" i="43"/>
  <c r="AH48" i="43" s="1" a="1"/>
  <c r="AH48" i="43" s="1"/>
  <c r="Z49" i="43"/>
  <c r="AA49" i="43" s="1"/>
  <c r="AB49" i="43"/>
  <c r="AC49" i="43" s="1"/>
  <c r="AD49" i="43"/>
  <c r="AH49" i="43" s="1" a="1"/>
  <c r="AH49" i="43" s="1"/>
  <c r="Z50" i="43"/>
  <c r="AA50" i="43" s="1"/>
  <c r="AB50" i="43"/>
  <c r="AC50" i="43" s="1"/>
  <c r="AD50" i="43"/>
  <c r="AH50" i="43" s="1" a="1"/>
  <c r="AH50" i="43" s="1"/>
  <c r="Z51" i="43"/>
  <c r="AA51" i="43" s="1"/>
  <c r="AB51" i="43"/>
  <c r="AC51" i="43" s="1"/>
  <c r="AD51" i="43"/>
  <c r="AH51" i="43" s="1" a="1"/>
  <c r="AH51" i="43" s="1"/>
  <c r="Z52" i="43"/>
  <c r="AA52" i="43" s="1"/>
  <c r="AB52" i="43"/>
  <c r="AC52" i="43" s="1"/>
  <c r="AD52" i="43"/>
  <c r="AH52" i="43" s="1" a="1"/>
  <c r="AH52" i="43" s="1"/>
  <c r="Z53" i="43"/>
  <c r="AA53" i="43" s="1"/>
  <c r="AB53" i="43"/>
  <c r="AC53" i="43" s="1"/>
  <c r="AD53" i="43"/>
  <c r="AH53" i="43" s="1" a="1"/>
  <c r="AH53" i="43" s="1"/>
  <c r="Z54" i="43"/>
  <c r="AA54" i="43" s="1"/>
  <c r="AB54" i="43"/>
  <c r="AC54" i="43" s="1"/>
  <c r="AD54" i="43"/>
  <c r="AH54" i="43" s="1" a="1"/>
  <c r="AH54" i="43" s="1"/>
  <c r="Z55" i="43"/>
  <c r="AA55" i="43" s="1"/>
  <c r="AB55" i="43"/>
  <c r="AC55" i="43" s="1"/>
  <c r="AD55" i="43"/>
  <c r="AH55" i="43" s="1" a="1"/>
  <c r="AH55" i="43" s="1"/>
  <c r="Z56" i="43"/>
  <c r="AA56" i="43" s="1"/>
  <c r="AB56" i="43"/>
  <c r="AC56" i="43" s="1"/>
  <c r="AD56" i="43"/>
  <c r="AH56" i="43" s="1" a="1"/>
  <c r="AH56" i="43" s="1"/>
  <c r="Z57" i="43"/>
  <c r="AA57" i="43" s="1"/>
  <c r="AB57" i="43"/>
  <c r="AC57" i="43" s="1"/>
  <c r="AD57" i="43"/>
  <c r="AH57" i="43" s="1" a="1"/>
  <c r="AH57" i="43" s="1"/>
  <c r="Z58" i="43"/>
  <c r="AA58" i="43" s="1"/>
  <c r="AB58" i="43"/>
  <c r="AC58" i="43" s="1"/>
  <c r="AD58" i="43"/>
  <c r="AH58" i="43" s="1" a="1"/>
  <c r="AH58" i="43" s="1"/>
  <c r="Z59" i="43"/>
  <c r="AA59" i="43" s="1"/>
  <c r="AB59" i="43"/>
  <c r="AC59" i="43" s="1"/>
  <c r="AD59" i="43"/>
  <c r="AH59" i="43" s="1" a="1"/>
  <c r="AH59" i="43" s="1"/>
  <c r="Z60" i="43"/>
  <c r="AA60" i="43" s="1"/>
  <c r="AB60" i="43"/>
  <c r="AC60" i="43" s="1"/>
  <c r="AD60" i="43"/>
  <c r="AH60" i="43" s="1" a="1"/>
  <c r="AH60" i="43" s="1"/>
  <c r="Z61" i="43"/>
  <c r="AA61" i="43" s="1"/>
  <c r="AB61" i="43"/>
  <c r="AC61" i="43" s="1"/>
  <c r="AD61" i="43"/>
  <c r="AH61" i="43" s="1" a="1"/>
  <c r="AH61" i="43" s="1"/>
  <c r="Z62" i="43"/>
  <c r="AA62" i="43" s="1"/>
  <c r="AB62" i="43"/>
  <c r="AC62" i="43" s="1"/>
  <c r="AD62" i="43"/>
  <c r="AH62" i="43" s="1" a="1"/>
  <c r="AH62" i="43" s="1"/>
  <c r="Z63" i="43"/>
  <c r="AA63" i="43" s="1"/>
  <c r="AB63" i="43"/>
  <c r="AC63" i="43" s="1"/>
  <c r="AD63" i="43"/>
  <c r="AH63" i="43" s="1" a="1"/>
  <c r="AH63" i="43" s="1"/>
  <c r="Z64" i="43"/>
  <c r="AA64" i="43" s="1"/>
  <c r="AB64" i="43"/>
  <c r="AC64" i="43" s="1"/>
  <c r="AD64" i="43"/>
  <c r="AH64" i="43" s="1" a="1"/>
  <c r="AH64" i="43" s="1"/>
  <c r="AE64" i="43"/>
  <c r="Z65" i="43"/>
  <c r="AA65" i="43" s="1"/>
  <c r="AB65" i="43"/>
  <c r="AC65" i="43" s="1"/>
  <c r="AD65" i="43"/>
  <c r="AH65" i="43" s="1" a="1"/>
  <c r="AH65" i="43" s="1"/>
  <c r="AE65" i="43"/>
  <c r="AI65" i="43" s="1"/>
  <c r="Z66" i="43"/>
  <c r="AA66" i="43" s="1"/>
  <c r="AB66" i="43"/>
  <c r="AC66" i="43" s="1"/>
  <c r="AD66" i="43"/>
  <c r="AH66" i="43" s="1" a="1"/>
  <c r="AH66" i="43" s="1"/>
  <c r="AE66" i="43"/>
  <c r="AI66" i="43" s="1"/>
  <c r="Z67" i="43"/>
  <c r="AA67" i="43" s="1"/>
  <c r="AB67" i="43"/>
  <c r="AC67" i="43" s="1"/>
  <c r="AD67" i="43"/>
  <c r="AH67" i="43" s="1" a="1"/>
  <c r="AH67" i="43" s="1"/>
  <c r="AE67" i="43"/>
  <c r="AJ67" i="43" s="1"/>
  <c r="Z68" i="43"/>
  <c r="AA68" i="43" s="1"/>
  <c r="AB68" i="43"/>
  <c r="AC68" i="43" s="1"/>
  <c r="AD68" i="43"/>
  <c r="AH68" i="43" s="1" a="1"/>
  <c r="AH68" i="43" s="1"/>
  <c r="AE68" i="43"/>
  <c r="Z69" i="43"/>
  <c r="AA69" i="43" s="1"/>
  <c r="AB69" i="43"/>
  <c r="AC69" i="43" s="1"/>
  <c r="AD69" i="43"/>
  <c r="AH69" i="43" s="1" a="1"/>
  <c r="AH69" i="43" s="1"/>
  <c r="AE69" i="43"/>
  <c r="Z70" i="43"/>
  <c r="AA70" i="43" s="1"/>
  <c r="AB70" i="43"/>
  <c r="AC70" i="43" s="1"/>
  <c r="AD70" i="43"/>
  <c r="AH70" i="43" s="1" a="1"/>
  <c r="AH70" i="43" s="1"/>
  <c r="AE70" i="43"/>
  <c r="AJ70" i="43" s="1"/>
  <c r="Z71" i="43"/>
  <c r="AA71" i="43" s="1"/>
  <c r="AB71" i="43"/>
  <c r="AC71" i="43" s="1"/>
  <c r="AD71" i="43"/>
  <c r="AH71" i="43" s="1" a="1"/>
  <c r="AH71" i="43" s="1"/>
  <c r="AE71" i="43"/>
  <c r="AI71" i="43" s="1"/>
  <c r="Z72" i="43"/>
  <c r="AA72" i="43" s="1"/>
  <c r="AB72" i="43"/>
  <c r="AC72" i="43" s="1"/>
  <c r="AD72" i="43"/>
  <c r="AH72" i="43" s="1" a="1"/>
  <c r="AH72" i="43" s="1"/>
  <c r="AE72" i="43"/>
  <c r="Z73" i="43"/>
  <c r="AA73" i="43" s="1"/>
  <c r="AB73" i="43"/>
  <c r="AC73" i="43" s="1"/>
  <c r="AD73" i="43"/>
  <c r="AH73" i="43" s="1" a="1"/>
  <c r="AH73" i="43" s="1"/>
  <c r="AE73" i="43"/>
  <c r="AI73" i="43" s="1"/>
  <c r="Z74" i="43"/>
  <c r="AA74" i="43" s="1"/>
  <c r="AB74" i="43"/>
  <c r="AC74" i="43" s="1"/>
  <c r="AD74" i="43"/>
  <c r="AH74" i="43" s="1" a="1"/>
  <c r="AH74" i="43" s="1"/>
  <c r="AE74" i="43"/>
  <c r="Z75" i="43"/>
  <c r="AA75" i="43" s="1"/>
  <c r="AB75" i="43"/>
  <c r="AC75" i="43" s="1"/>
  <c r="AD75" i="43"/>
  <c r="AH75" i="43" s="1" a="1"/>
  <c r="AH75" i="43" s="1"/>
  <c r="AE75" i="43"/>
  <c r="Z76" i="43"/>
  <c r="AA76" i="43" s="1"/>
  <c r="AB76" i="43"/>
  <c r="AC76" i="43" s="1"/>
  <c r="AD76" i="43"/>
  <c r="AH76" i="43" s="1" a="1"/>
  <c r="AH76" i="43" s="1"/>
  <c r="AE76" i="43"/>
  <c r="Z77" i="43"/>
  <c r="AA77" i="43" s="1"/>
  <c r="AB77" i="43"/>
  <c r="AC77" i="43" s="1"/>
  <c r="AD77" i="43"/>
  <c r="AH77" i="43" s="1" a="1"/>
  <c r="AH77" i="43" s="1"/>
  <c r="AE77" i="43"/>
  <c r="AI77" i="43" s="1"/>
  <c r="Z78" i="43"/>
  <c r="AA78" i="43" s="1"/>
  <c r="AB78" i="43"/>
  <c r="AC78" i="43" s="1"/>
  <c r="AD78" i="43"/>
  <c r="AH78" i="43" s="1" a="1"/>
  <c r="AH78" i="43" s="1"/>
  <c r="AE78" i="43"/>
  <c r="AF78" i="43" s="1"/>
  <c r="AG78" i="43" s="1"/>
  <c r="Z79" i="43"/>
  <c r="AA79" i="43" s="1"/>
  <c r="AB79" i="43"/>
  <c r="AC79" i="43" s="1"/>
  <c r="AD79" i="43"/>
  <c r="AH79" i="43" s="1" a="1"/>
  <c r="AH79" i="43" s="1"/>
  <c r="AE79" i="43"/>
  <c r="AF79" i="43" s="1"/>
  <c r="AG79" i="43" s="1"/>
  <c r="Z80" i="43"/>
  <c r="AA80" i="43" s="1"/>
  <c r="AB80" i="43"/>
  <c r="AC80" i="43" s="1"/>
  <c r="AD80" i="43"/>
  <c r="AH80" i="43" s="1" a="1"/>
  <c r="AH80" i="43" s="1"/>
  <c r="AE80" i="43"/>
  <c r="AJ80" i="43" s="1"/>
  <c r="Z81" i="43"/>
  <c r="AA81" i="43" s="1"/>
  <c r="AB81" i="43"/>
  <c r="AC81" i="43" s="1"/>
  <c r="AD81" i="43"/>
  <c r="AH81" i="43" s="1" a="1"/>
  <c r="AH81" i="43" s="1"/>
  <c r="AE81" i="43"/>
  <c r="Z82" i="43"/>
  <c r="AA82" i="43" s="1"/>
  <c r="AB82" i="43"/>
  <c r="AC82" i="43" s="1"/>
  <c r="AD82" i="43"/>
  <c r="AH82" i="43" s="1" a="1"/>
  <c r="AH82" i="43" s="1"/>
  <c r="AE82" i="43"/>
  <c r="AJ82" i="43" s="1"/>
  <c r="Z83" i="43"/>
  <c r="AA83" i="43" s="1"/>
  <c r="AB83" i="43"/>
  <c r="AC83" i="43" s="1"/>
  <c r="AD83" i="43"/>
  <c r="AH83" i="43" s="1" a="1"/>
  <c r="AH83" i="43" s="1"/>
  <c r="AE83" i="43"/>
  <c r="Z84" i="43"/>
  <c r="AA84" i="43" s="1"/>
  <c r="AB84" i="43"/>
  <c r="AC84" i="43" s="1"/>
  <c r="AD84" i="43"/>
  <c r="AH84" i="43" s="1" a="1"/>
  <c r="AH84" i="43" s="1"/>
  <c r="AE84" i="43"/>
  <c r="AF84" i="43" s="1"/>
  <c r="AG84" i="43" s="1"/>
  <c r="Z85" i="43"/>
  <c r="AA85" i="43" s="1"/>
  <c r="AB85" i="43"/>
  <c r="AC85" i="43" s="1"/>
  <c r="AD85" i="43"/>
  <c r="AH85" i="43" s="1" a="1"/>
  <c r="AH85" i="43" s="1"/>
  <c r="AE85" i="43"/>
  <c r="AJ85" i="43" s="1"/>
  <c r="Z86" i="43"/>
  <c r="AA86" i="43" s="1"/>
  <c r="AB86" i="43"/>
  <c r="AC86" i="43" s="1"/>
  <c r="AD86" i="43"/>
  <c r="AH86" i="43" s="1" a="1"/>
  <c r="AH86" i="43" s="1"/>
  <c r="AE86" i="43"/>
  <c r="AI86" i="43" s="1"/>
  <c r="Z87" i="43"/>
  <c r="AA87" i="43" s="1"/>
  <c r="AB87" i="43"/>
  <c r="AC87" i="43" s="1"/>
  <c r="AD87" i="43"/>
  <c r="AH87" i="43" s="1" a="1"/>
  <c r="AH87" i="43" s="1"/>
  <c r="AE87" i="43"/>
  <c r="AF87" i="43" s="1"/>
  <c r="AG87" i="43" s="1"/>
  <c r="Z88" i="43"/>
  <c r="AA88" i="43" s="1"/>
  <c r="AB88" i="43"/>
  <c r="AC88" i="43" s="1"/>
  <c r="AD88" i="43"/>
  <c r="AH88" i="43" s="1" a="1"/>
  <c r="AH88" i="43" s="1"/>
  <c r="AE88" i="43"/>
  <c r="AI88" i="43" s="1"/>
  <c r="Z89" i="43"/>
  <c r="AA89" i="43" s="1"/>
  <c r="AB89" i="43"/>
  <c r="AC89" i="43" s="1"/>
  <c r="AD89" i="43"/>
  <c r="AH89" i="43" s="1" a="1"/>
  <c r="AH89" i="43" s="1"/>
  <c r="AE89" i="43"/>
  <c r="AF89" i="43" s="1"/>
  <c r="AG89" i="43" s="1"/>
  <c r="Z90" i="43"/>
  <c r="AA90" i="43" s="1"/>
  <c r="AB90" i="43"/>
  <c r="AC90" i="43" s="1"/>
  <c r="AD90" i="43"/>
  <c r="AH90" i="43" s="1" a="1"/>
  <c r="AH90" i="43" s="1"/>
  <c r="AE90" i="43"/>
  <c r="Z91" i="43"/>
  <c r="AA91" i="43" s="1"/>
  <c r="AB91" i="43"/>
  <c r="AC91" i="43" s="1"/>
  <c r="AD91" i="43"/>
  <c r="AH91" i="43" s="1" a="1"/>
  <c r="AH91" i="43" s="1"/>
  <c r="AE91" i="43"/>
  <c r="AI91" i="43" s="1"/>
  <c r="Z92" i="43"/>
  <c r="AA92" i="43" s="1"/>
  <c r="AB92" i="43"/>
  <c r="AC92" i="43" s="1"/>
  <c r="AD92" i="43"/>
  <c r="AH92" i="43" s="1" a="1"/>
  <c r="AH92" i="43" s="1"/>
  <c r="AE92" i="43"/>
  <c r="AJ92" i="43" s="1"/>
  <c r="Z93" i="43"/>
  <c r="AA93" i="43" s="1"/>
  <c r="AB93" i="43"/>
  <c r="AC93" i="43" s="1"/>
  <c r="AD93" i="43"/>
  <c r="AH93" i="43" s="1" a="1"/>
  <c r="AH93" i="43" s="1"/>
  <c r="AE93" i="43"/>
  <c r="Z94" i="43"/>
  <c r="AA94" i="43" s="1"/>
  <c r="AB94" i="43"/>
  <c r="AC94" i="43" s="1"/>
  <c r="AD94" i="43"/>
  <c r="AH94" i="43" s="1" a="1"/>
  <c r="AH94" i="43" s="1"/>
  <c r="AE94" i="43"/>
  <c r="AJ94" i="43" s="1"/>
  <c r="Z95" i="43"/>
  <c r="AA95" i="43" s="1"/>
  <c r="AB95" i="43"/>
  <c r="AC95" i="43" s="1"/>
  <c r="AD95" i="43"/>
  <c r="AH95" i="43" s="1" a="1"/>
  <c r="AH95" i="43" s="1"/>
  <c r="AE95" i="43"/>
  <c r="Z96" i="43"/>
  <c r="AA96" i="43" s="1"/>
  <c r="AB96" i="43"/>
  <c r="AC96" i="43" s="1"/>
  <c r="AD96" i="43"/>
  <c r="AH96" i="43" s="1" a="1"/>
  <c r="AH96" i="43" s="1"/>
  <c r="AE96" i="43"/>
  <c r="Z97" i="43"/>
  <c r="AA97" i="43" s="1"/>
  <c r="AB97" i="43"/>
  <c r="AC97" i="43" s="1"/>
  <c r="AD97" i="43"/>
  <c r="AH97" i="43" s="1" a="1"/>
  <c r="AH97" i="43" s="1"/>
  <c r="AE97" i="43"/>
  <c r="AJ97" i="43" s="1"/>
  <c r="Z98" i="43"/>
  <c r="AA98" i="43" s="1"/>
  <c r="AB98" i="43"/>
  <c r="AC98" i="43" s="1"/>
  <c r="AD98" i="43"/>
  <c r="AH98" i="43" s="1" a="1"/>
  <c r="AH98" i="43" s="1"/>
  <c r="AE98" i="43"/>
  <c r="Z99" i="43"/>
  <c r="AA99" i="43" s="1"/>
  <c r="AB99" i="43"/>
  <c r="AC99" i="43" s="1"/>
  <c r="AD99" i="43"/>
  <c r="AH99" i="43" s="1" a="1"/>
  <c r="AH99" i="43" s="1"/>
  <c r="AE99" i="43"/>
  <c r="Z100" i="43"/>
  <c r="AA100" i="43" s="1"/>
  <c r="AB100" i="43"/>
  <c r="AC100" i="43" s="1"/>
  <c r="AD100" i="43"/>
  <c r="AH100" i="43" s="1" a="1"/>
  <c r="AH100" i="43" s="1"/>
  <c r="AE100" i="43"/>
  <c r="AI100" i="43" s="1"/>
  <c r="Z101" i="43"/>
  <c r="AA101" i="43" s="1"/>
  <c r="AB101" i="43"/>
  <c r="AC101" i="43" s="1"/>
  <c r="AD101" i="43"/>
  <c r="AH101" i="43" s="1" a="1"/>
  <c r="AH101" i="43" s="1"/>
  <c r="AE101" i="43"/>
  <c r="AF101" i="43" s="1"/>
  <c r="AG101" i="43" s="1"/>
  <c r="Z102" i="43"/>
  <c r="AA102" i="43" s="1"/>
  <c r="AB102" i="43"/>
  <c r="AC102" i="43" s="1"/>
  <c r="AD102" i="43"/>
  <c r="AH102" i="43" s="1" a="1"/>
  <c r="AH102" i="43" s="1"/>
  <c r="AE102" i="43"/>
  <c r="Z103" i="43"/>
  <c r="AA103" i="43" s="1"/>
  <c r="AB103" i="43"/>
  <c r="AC103" i="43" s="1"/>
  <c r="AD103" i="43"/>
  <c r="AH103" i="43" s="1" a="1"/>
  <c r="AH103" i="43" s="1"/>
  <c r="AE103" i="43"/>
  <c r="AI103" i="43" s="1"/>
  <c r="Z104" i="43"/>
  <c r="AA104" i="43" s="1"/>
  <c r="AB104" i="43"/>
  <c r="AC104" i="43" s="1"/>
  <c r="AD104" i="43"/>
  <c r="AH104" i="43" s="1" a="1"/>
  <c r="AH104" i="43" s="1"/>
  <c r="AE104" i="43"/>
  <c r="AJ104" i="43" s="1"/>
  <c r="Z105" i="43"/>
  <c r="AA105" i="43" s="1"/>
  <c r="AB105" i="43"/>
  <c r="AC105" i="43" s="1"/>
  <c r="AD105" i="43"/>
  <c r="AH105" i="43" s="1" a="1"/>
  <c r="AH105" i="43" s="1"/>
  <c r="AE105" i="43"/>
  <c r="Z106" i="43"/>
  <c r="AA106" i="43" s="1"/>
  <c r="AB106" i="43"/>
  <c r="AC106" i="43" s="1"/>
  <c r="AD106" i="43"/>
  <c r="AH106" i="43" s="1" a="1"/>
  <c r="AH106" i="43" s="1"/>
  <c r="AE106" i="43"/>
  <c r="AJ106" i="43" s="1"/>
  <c r="Z107" i="43"/>
  <c r="AA107" i="43" s="1"/>
  <c r="AB107" i="43"/>
  <c r="AC107" i="43" s="1"/>
  <c r="AD107" i="43"/>
  <c r="AH107" i="43" s="1" a="1"/>
  <c r="AH107" i="43" s="1"/>
  <c r="AE107" i="43"/>
  <c r="AI107" i="43" s="1"/>
  <c r="Z108" i="43"/>
  <c r="AA108" i="43" s="1"/>
  <c r="AB108" i="43"/>
  <c r="AC108" i="43" s="1"/>
  <c r="AD108" i="43"/>
  <c r="AH108" i="43" s="1" a="1"/>
  <c r="AH108" i="43" s="1"/>
  <c r="AE108" i="43"/>
  <c r="Z109" i="43"/>
  <c r="AA109" i="43" s="1"/>
  <c r="AB109" i="43"/>
  <c r="AC109" i="43" s="1"/>
  <c r="AD109" i="43"/>
  <c r="AH109" i="43" s="1" a="1"/>
  <c r="AH109" i="43" s="1"/>
  <c r="AE109" i="43"/>
  <c r="AF109" i="43" s="1"/>
  <c r="AG109" i="43" s="1"/>
  <c r="Z110" i="43"/>
  <c r="AA110" i="43" s="1"/>
  <c r="AB110" i="43"/>
  <c r="AC110" i="43" s="1"/>
  <c r="AD110" i="43"/>
  <c r="AH110" i="43" s="1" a="1"/>
  <c r="AH110" i="43" s="1"/>
  <c r="AE110" i="43"/>
  <c r="Z111" i="43"/>
  <c r="AA111" i="43" s="1"/>
  <c r="AB111" i="43"/>
  <c r="AC111" i="43" s="1"/>
  <c r="AD111" i="43"/>
  <c r="AH111" i="43" s="1" a="1"/>
  <c r="AH111" i="43" s="1"/>
  <c r="AE111" i="43"/>
  <c r="AI111" i="43" s="1"/>
  <c r="Z112" i="43"/>
  <c r="AA112" i="43" s="1"/>
  <c r="AB112" i="43"/>
  <c r="AC112" i="43" s="1"/>
  <c r="AD112" i="43"/>
  <c r="AH112" i="43" s="1" a="1"/>
  <c r="AH112" i="43" s="1"/>
  <c r="AE112" i="43"/>
  <c r="Z113" i="43"/>
  <c r="AA113" i="43" s="1"/>
  <c r="AB113" i="43"/>
  <c r="AC113" i="43" s="1"/>
  <c r="AD113" i="43"/>
  <c r="AH113" i="43" s="1" a="1"/>
  <c r="AH113" i="43" s="1"/>
  <c r="AE113" i="43"/>
  <c r="AJ113" i="43" s="1"/>
  <c r="Z114" i="43"/>
  <c r="AA114" i="43" s="1"/>
  <c r="AB114" i="43"/>
  <c r="AC114" i="43" s="1"/>
  <c r="AD114" i="43"/>
  <c r="AH114" i="43" s="1" a="1"/>
  <c r="AH114" i="43" s="1"/>
  <c r="AE114" i="43"/>
  <c r="Z115" i="43"/>
  <c r="AA115" i="43" s="1"/>
  <c r="AB115" i="43"/>
  <c r="AC115" i="43" s="1"/>
  <c r="AD115" i="43"/>
  <c r="AH115" i="43" s="1" a="1"/>
  <c r="AH115" i="43" s="1"/>
  <c r="AE115" i="43"/>
  <c r="Z116" i="43"/>
  <c r="AA116" i="43" s="1"/>
  <c r="AB116" i="43"/>
  <c r="AC116" i="43" s="1"/>
  <c r="AD116" i="43"/>
  <c r="AH116" i="43" s="1" a="1"/>
  <c r="AH116" i="43" s="1"/>
  <c r="AE116" i="43"/>
  <c r="AI116" i="43" s="1"/>
  <c r="Z117" i="43"/>
  <c r="AA117" i="43" s="1"/>
  <c r="AB117" i="43"/>
  <c r="AC117" i="43" s="1"/>
  <c r="AD117" i="43"/>
  <c r="AH117" i="43" s="1" a="1"/>
  <c r="AH117" i="43" s="1"/>
  <c r="AE117" i="43"/>
  <c r="AI117" i="43" s="1"/>
  <c r="Z118" i="43"/>
  <c r="AA118" i="43" s="1"/>
  <c r="AB118" i="43"/>
  <c r="AC118" i="43" s="1"/>
  <c r="AD118" i="43"/>
  <c r="AH118" i="43" s="1" a="1"/>
  <c r="AH118" i="43" s="1"/>
  <c r="AE118" i="43"/>
  <c r="Z119" i="43"/>
  <c r="AA119" i="43" s="1"/>
  <c r="AB119" i="43"/>
  <c r="AC119" i="43" s="1"/>
  <c r="AD119" i="43"/>
  <c r="AH119" i="43" s="1" a="1"/>
  <c r="AH119" i="43" s="1"/>
  <c r="AE119" i="43"/>
  <c r="AI119" i="43" s="1"/>
  <c r="Z120" i="43"/>
  <c r="AA120" i="43" s="1"/>
  <c r="AB120" i="43"/>
  <c r="AC120" i="43" s="1"/>
  <c r="AD120" i="43"/>
  <c r="AH120" i="43" s="1" a="1"/>
  <c r="AH120" i="43" s="1"/>
  <c r="AE120" i="43"/>
  <c r="AJ120" i="43" s="1"/>
  <c r="Z121" i="43"/>
  <c r="AA121" i="43" s="1"/>
  <c r="AB121" i="43"/>
  <c r="AC121" i="43" s="1"/>
  <c r="AD121" i="43"/>
  <c r="AH121" i="43" s="1" a="1"/>
  <c r="AH121" i="43" s="1"/>
  <c r="AE121" i="43"/>
  <c r="Z122" i="43"/>
  <c r="AA122" i="43" s="1"/>
  <c r="AB122" i="43"/>
  <c r="AC122" i="43" s="1"/>
  <c r="AD122" i="43"/>
  <c r="AH122" i="43" s="1" a="1"/>
  <c r="AH122" i="43" s="1"/>
  <c r="AE122" i="43"/>
  <c r="Z123" i="43"/>
  <c r="AA123" i="43" s="1"/>
  <c r="AB123" i="43"/>
  <c r="AC123" i="43" s="1"/>
  <c r="AD123" i="43"/>
  <c r="AH123" i="43" s="1" a="1"/>
  <c r="AH123" i="43" s="1"/>
  <c r="AE123" i="43"/>
  <c r="AI123" i="43" s="1"/>
  <c r="Z124" i="43"/>
  <c r="AA124" i="43" s="1"/>
  <c r="AB124" i="43"/>
  <c r="AC124" i="43" s="1"/>
  <c r="AD124" i="43"/>
  <c r="AH124" i="43" s="1" a="1"/>
  <c r="AH124" i="43" s="1"/>
  <c r="AE124" i="43"/>
  <c r="Z125" i="43"/>
  <c r="AA125" i="43" s="1"/>
  <c r="AB125" i="43"/>
  <c r="AC125" i="43" s="1"/>
  <c r="AD125" i="43"/>
  <c r="AH125" i="43" s="1" a="1"/>
  <c r="AH125" i="43" s="1"/>
  <c r="AE125" i="43"/>
  <c r="Z126" i="43"/>
  <c r="AA126" i="43" s="1"/>
  <c r="AB126" i="43"/>
  <c r="AC126" i="43" s="1"/>
  <c r="AD126" i="43"/>
  <c r="AH126" i="43" s="1" a="1"/>
  <c r="AH126" i="43" s="1"/>
  <c r="AE126" i="43"/>
  <c r="AJ126" i="43" s="1"/>
  <c r="Z127" i="43"/>
  <c r="AA127" i="43" s="1"/>
  <c r="AB127" i="43"/>
  <c r="AC127" i="43" s="1"/>
  <c r="AD127" i="43"/>
  <c r="AH127" i="43" s="1" a="1"/>
  <c r="AH127" i="43" s="1"/>
  <c r="AE127" i="43"/>
  <c r="Z128" i="43"/>
  <c r="AA128" i="43" s="1"/>
  <c r="AB128" i="43"/>
  <c r="AC128" i="43" s="1"/>
  <c r="AD128" i="43"/>
  <c r="AH128" i="43" s="1" a="1"/>
  <c r="AH128" i="43" s="1"/>
  <c r="AE128" i="43"/>
  <c r="AJ128" i="43" s="1"/>
  <c r="Z129" i="43"/>
  <c r="AA129" i="43" s="1"/>
  <c r="AB129" i="43"/>
  <c r="AC129" i="43" s="1"/>
  <c r="AD129" i="43"/>
  <c r="AH129" i="43" s="1" a="1"/>
  <c r="AH129" i="43" s="1"/>
  <c r="AE129" i="43"/>
  <c r="Z130" i="43"/>
  <c r="AA130" i="43" s="1"/>
  <c r="AB130" i="43"/>
  <c r="AC130" i="43" s="1"/>
  <c r="AD130" i="43"/>
  <c r="AH130" i="43" s="1" a="1"/>
  <c r="AH130" i="43" s="1"/>
  <c r="AE130" i="43"/>
  <c r="AJ130" i="43" s="1"/>
  <c r="Z131" i="43"/>
  <c r="AA131" i="43" s="1"/>
  <c r="AB131" i="43"/>
  <c r="AC131" i="43" s="1"/>
  <c r="AD131" i="43"/>
  <c r="AH131" i="43" s="1" a="1"/>
  <c r="AH131" i="43" s="1"/>
  <c r="AE131" i="43"/>
  <c r="AI131" i="43" s="1"/>
  <c r="Z132" i="43"/>
  <c r="AA132" i="43" s="1"/>
  <c r="AB132" i="43"/>
  <c r="AC132" i="43" s="1"/>
  <c r="AD132" i="43"/>
  <c r="AH132" i="43" s="1" a="1"/>
  <c r="AH132" i="43" s="1"/>
  <c r="AE132" i="43"/>
  <c r="AJ132" i="43" s="1"/>
  <c r="Z133" i="43"/>
  <c r="AA133" i="43" s="1"/>
  <c r="AB133" i="43"/>
  <c r="AC133" i="43" s="1"/>
  <c r="AD133" i="43"/>
  <c r="AH133" i="43" s="1" a="1"/>
  <c r="AH133" i="43" s="1"/>
  <c r="AE133" i="43"/>
  <c r="Z134" i="43"/>
  <c r="AA134" i="43" s="1"/>
  <c r="AB134" i="43"/>
  <c r="AC134" i="43" s="1"/>
  <c r="AD134" i="43"/>
  <c r="AH134" i="43" s="1" a="1"/>
  <c r="AH134" i="43" s="1"/>
  <c r="AE134" i="43"/>
  <c r="Z135" i="43"/>
  <c r="AA135" i="43" s="1"/>
  <c r="AB135" i="43"/>
  <c r="AC135" i="43" s="1"/>
  <c r="AD135" i="43"/>
  <c r="AH135" i="43" s="1" a="1"/>
  <c r="AH135" i="43" s="1"/>
  <c r="AE135" i="43"/>
  <c r="AF135" i="43" s="1"/>
  <c r="AG135" i="43" s="1"/>
  <c r="Z136" i="43"/>
  <c r="AA136" i="43" s="1"/>
  <c r="AB136" i="43"/>
  <c r="AC136" i="43" s="1"/>
  <c r="AD136" i="43"/>
  <c r="AH136" i="43" s="1" a="1"/>
  <c r="AH136" i="43" s="1"/>
  <c r="AE136" i="43"/>
  <c r="AF136" i="43" s="1"/>
  <c r="AG136" i="43" s="1"/>
  <c r="Z137" i="43"/>
  <c r="AA137" i="43" s="1"/>
  <c r="AB137" i="43"/>
  <c r="AC137" i="43" s="1"/>
  <c r="AD137" i="43"/>
  <c r="AH137" i="43" s="1" a="1"/>
  <c r="AH137" i="43" s="1"/>
  <c r="AE137" i="43"/>
  <c r="AF137" i="43" s="1"/>
  <c r="AG137" i="43" s="1"/>
  <c r="Z138" i="43"/>
  <c r="AA138" i="43" s="1"/>
  <c r="AB138" i="43"/>
  <c r="AC138" i="43" s="1"/>
  <c r="AD138" i="43"/>
  <c r="AH138" i="43" s="1" a="1"/>
  <c r="AH138" i="43" s="1"/>
  <c r="AE138" i="43"/>
  <c r="Z139" i="43"/>
  <c r="AA139" i="43" s="1"/>
  <c r="AB139" i="43"/>
  <c r="AC139" i="43" s="1"/>
  <c r="AD139" i="43"/>
  <c r="AH139" i="43" s="1" a="1"/>
  <c r="AH139" i="43" s="1"/>
  <c r="AE139" i="43"/>
  <c r="AF139" i="43" s="1"/>
  <c r="AG139" i="43" s="1"/>
  <c r="Z140" i="43"/>
  <c r="AA140" i="43" s="1"/>
  <c r="AB140" i="43"/>
  <c r="AC140" i="43" s="1"/>
  <c r="AD140" i="43"/>
  <c r="AH140" i="43" s="1" a="1"/>
  <c r="AH140" i="43" s="1"/>
  <c r="AE140" i="43"/>
  <c r="Z141" i="43"/>
  <c r="AA141" i="43" s="1"/>
  <c r="AB141" i="43"/>
  <c r="AC141" i="43" s="1"/>
  <c r="AD141" i="43"/>
  <c r="AH141" i="43" s="1" a="1"/>
  <c r="AH141" i="43" s="1"/>
  <c r="AE141" i="43"/>
  <c r="AF141" i="43" s="1"/>
  <c r="AG141" i="43" s="1"/>
  <c r="Z142" i="43"/>
  <c r="AA142" i="43" s="1"/>
  <c r="AB142" i="43"/>
  <c r="AC142" i="43" s="1"/>
  <c r="AD142" i="43"/>
  <c r="AH142" i="43" s="1" a="1"/>
  <c r="AH142" i="43" s="1"/>
  <c r="AE142" i="43"/>
  <c r="AF142" i="43" s="1"/>
  <c r="AG142" i="43" s="1"/>
  <c r="Z143" i="43"/>
  <c r="AA143" i="43" s="1"/>
  <c r="AB143" i="43"/>
  <c r="AC143" i="43" s="1"/>
  <c r="AD143" i="43"/>
  <c r="AH143" i="43" s="1" a="1"/>
  <c r="AH143" i="43" s="1"/>
  <c r="AE143" i="43"/>
  <c r="AF143" i="43" s="1"/>
  <c r="AG143" i="43" s="1"/>
  <c r="Z144" i="43"/>
  <c r="AA144" i="43" s="1"/>
  <c r="AB144" i="43"/>
  <c r="AC144" i="43" s="1"/>
  <c r="AD144" i="43"/>
  <c r="AH144" i="43" s="1" a="1"/>
  <c r="AH144" i="43" s="1"/>
  <c r="AE144" i="43"/>
  <c r="Z145" i="43"/>
  <c r="AA145" i="43" s="1"/>
  <c r="AB145" i="43"/>
  <c r="AC145" i="43" s="1"/>
  <c r="AD145" i="43"/>
  <c r="AH145" i="43" s="1" a="1"/>
  <c r="AH145" i="43" s="1"/>
  <c r="AE145" i="43"/>
  <c r="AF145" i="43" s="1"/>
  <c r="AG145" i="43" s="1"/>
  <c r="Z146" i="43"/>
  <c r="AA146" i="43" s="1"/>
  <c r="AB146" i="43"/>
  <c r="AC146" i="43" s="1"/>
  <c r="AD146" i="43"/>
  <c r="AH146" i="43" s="1" a="1"/>
  <c r="AH146" i="43" s="1"/>
  <c r="AE146" i="43"/>
  <c r="Z147" i="43"/>
  <c r="AA147" i="43" s="1"/>
  <c r="AB147" i="43"/>
  <c r="AC147" i="43" s="1"/>
  <c r="AD147" i="43"/>
  <c r="AH147" i="43" s="1" a="1"/>
  <c r="AH147" i="43" s="1"/>
  <c r="AE147" i="43"/>
  <c r="AF147" i="43" s="1"/>
  <c r="AG147" i="43" s="1"/>
  <c r="Z148" i="43"/>
  <c r="AA148" i="43" s="1"/>
  <c r="AB148" i="43"/>
  <c r="AC148" i="43" s="1"/>
  <c r="AD148" i="43"/>
  <c r="AH148" i="43" s="1" a="1"/>
  <c r="AH148" i="43" s="1"/>
  <c r="AE148" i="43"/>
  <c r="Z149" i="43"/>
  <c r="AA149" i="43" s="1"/>
  <c r="AB149" i="43"/>
  <c r="AC149" i="43" s="1"/>
  <c r="AD149" i="43"/>
  <c r="AH149" i="43" s="1" a="1"/>
  <c r="AH149" i="43" s="1"/>
  <c r="AE149" i="43"/>
  <c r="AF149" i="43" s="1"/>
  <c r="AG149" i="43" s="1"/>
  <c r="Z150" i="43"/>
  <c r="AA150" i="43" s="1"/>
  <c r="AB150" i="43"/>
  <c r="AC150" i="43" s="1"/>
  <c r="AD150" i="43"/>
  <c r="AH150" i="43" s="1" a="1"/>
  <c r="AH150" i="43" s="1"/>
  <c r="AE150" i="43"/>
  <c r="AI150" i="43" s="1"/>
  <c r="Z151" i="43"/>
  <c r="AA151" i="43" s="1"/>
  <c r="AB151" i="43"/>
  <c r="AC151" i="43" s="1"/>
  <c r="AD151" i="43"/>
  <c r="AH151" i="43" s="1" a="1"/>
  <c r="AH151" i="43" s="1"/>
  <c r="AE151" i="43"/>
  <c r="Z152" i="43"/>
  <c r="AA152" i="43" s="1"/>
  <c r="AB152" i="43"/>
  <c r="AC152" i="43" s="1"/>
  <c r="AD152" i="43"/>
  <c r="AH152" i="43" s="1" a="1"/>
  <c r="AH152" i="43" s="1"/>
  <c r="AE152" i="43"/>
  <c r="AI152" i="43" s="1"/>
  <c r="Z153" i="43"/>
  <c r="AA153" i="43" s="1"/>
  <c r="AB153" i="43"/>
  <c r="AC153" i="43" s="1"/>
  <c r="AD153" i="43"/>
  <c r="AH153" i="43" s="1" a="1"/>
  <c r="AH153" i="43" s="1"/>
  <c r="AE153" i="43"/>
  <c r="AF153" i="43" s="1"/>
  <c r="AG153" i="43" s="1"/>
  <c r="Z154" i="43"/>
  <c r="AA154" i="43" s="1"/>
  <c r="AB154" i="43"/>
  <c r="AC154" i="43" s="1"/>
  <c r="AD154" i="43"/>
  <c r="AH154" i="43" s="1" a="1"/>
  <c r="AH154" i="43" s="1"/>
  <c r="AE154" i="43"/>
  <c r="AI154" i="43" s="1"/>
  <c r="Z155" i="43"/>
  <c r="AA155" i="43" s="1"/>
  <c r="AB155" i="43"/>
  <c r="AC155" i="43" s="1"/>
  <c r="AD155" i="43"/>
  <c r="AH155" i="43" s="1" a="1"/>
  <c r="AH155" i="43" s="1"/>
  <c r="AE155" i="43"/>
  <c r="AJ155" i="43" s="1"/>
  <c r="Z156" i="43"/>
  <c r="AA156" i="43" s="1"/>
  <c r="AB156" i="43"/>
  <c r="AC156" i="43" s="1"/>
  <c r="AD156" i="43"/>
  <c r="AH156" i="43" s="1" a="1"/>
  <c r="AH156" i="43" s="1"/>
  <c r="AE156" i="43"/>
  <c r="AF156" i="43" s="1"/>
  <c r="AG156" i="43" s="1"/>
  <c r="Z157" i="43"/>
  <c r="AA157" i="43" s="1"/>
  <c r="AB157" i="43"/>
  <c r="AC157" i="43" s="1"/>
  <c r="AD157" i="43"/>
  <c r="AH157" i="43" s="1" a="1"/>
  <c r="AH157" i="43" s="1"/>
  <c r="AE157" i="43"/>
  <c r="AF157" i="43" s="1"/>
  <c r="AG157" i="43" s="1"/>
  <c r="Z158" i="43"/>
  <c r="AA158" i="43" s="1"/>
  <c r="AB158" i="43"/>
  <c r="AC158" i="43" s="1"/>
  <c r="AD158" i="43"/>
  <c r="AH158" i="43" s="1" a="1"/>
  <c r="AH158" i="43" s="1"/>
  <c r="AE158" i="43"/>
  <c r="AJ158" i="43" s="1"/>
  <c r="Z159" i="43"/>
  <c r="AA159" i="43" s="1"/>
  <c r="AB159" i="43"/>
  <c r="AC159" i="43" s="1"/>
  <c r="AD159" i="43"/>
  <c r="AH159" i="43" s="1" a="1"/>
  <c r="AH159" i="43" s="1"/>
  <c r="AE159" i="43"/>
  <c r="AI159" i="43" s="1"/>
  <c r="Z160" i="43"/>
  <c r="AA160" i="43" s="1"/>
  <c r="AB160" i="43"/>
  <c r="AC160" i="43" s="1"/>
  <c r="AD160" i="43"/>
  <c r="AH160" i="43" s="1" a="1"/>
  <c r="AH160" i="43" s="1"/>
  <c r="AE160" i="43"/>
  <c r="AI160" i="43" s="1"/>
  <c r="Z161" i="43"/>
  <c r="AA161" i="43" s="1"/>
  <c r="AB161" i="43"/>
  <c r="AC161" i="43" s="1"/>
  <c r="AD161" i="43"/>
  <c r="AH161" i="43" s="1" a="1"/>
  <c r="AH161" i="43" s="1"/>
  <c r="AE161" i="43"/>
  <c r="AF161" i="43" s="1"/>
  <c r="AG161" i="43" s="1"/>
  <c r="Z162" i="43"/>
  <c r="AA162" i="43" s="1"/>
  <c r="AB162" i="43"/>
  <c r="AC162" i="43" s="1"/>
  <c r="AD162" i="43"/>
  <c r="AH162" i="43" s="1" a="1"/>
  <c r="AH162" i="43" s="1"/>
  <c r="AE162" i="43"/>
  <c r="Z163" i="43"/>
  <c r="AA163" i="43" s="1"/>
  <c r="AB163" i="43"/>
  <c r="AC163" i="43" s="1"/>
  <c r="AD163" i="43"/>
  <c r="AH163" i="43" s="1" a="1"/>
  <c r="AH163" i="43" s="1"/>
  <c r="AE163" i="43"/>
  <c r="AI163" i="43" s="1"/>
  <c r="Z164" i="43"/>
  <c r="AA164" i="43" s="1"/>
  <c r="AB164" i="43"/>
  <c r="AC164" i="43" s="1"/>
  <c r="AD164" i="43"/>
  <c r="AH164" i="43" s="1" a="1"/>
  <c r="AH164" i="43" s="1"/>
  <c r="AE164" i="43"/>
  <c r="Z165" i="43"/>
  <c r="AA165" i="43" s="1"/>
  <c r="AB165" i="43"/>
  <c r="AC165" i="43" s="1"/>
  <c r="AD165" i="43"/>
  <c r="AH165" i="43" s="1" a="1"/>
  <c r="AH165" i="43" s="1"/>
  <c r="AE165" i="43"/>
  <c r="Z166" i="43"/>
  <c r="AA166" i="43" s="1"/>
  <c r="AB166" i="43"/>
  <c r="AC166" i="43" s="1"/>
  <c r="AD166" i="43"/>
  <c r="AH166" i="43" s="1" a="1"/>
  <c r="AH166" i="43" s="1"/>
  <c r="AE166" i="43"/>
  <c r="AJ166" i="43" s="1"/>
  <c r="Z167" i="43"/>
  <c r="AA167" i="43" s="1"/>
  <c r="AB167" i="43"/>
  <c r="AC167" i="43" s="1"/>
  <c r="AD167" i="43"/>
  <c r="AH167" i="43" s="1" a="1"/>
  <c r="AH167" i="43" s="1"/>
  <c r="AE167" i="43"/>
  <c r="AI167" i="43" s="1"/>
  <c r="Z168" i="43"/>
  <c r="AA168" i="43" s="1"/>
  <c r="AB168" i="43"/>
  <c r="AC168" i="43" s="1"/>
  <c r="AD168" i="43"/>
  <c r="AH168" i="43" s="1" a="1"/>
  <c r="AH168" i="43" s="1"/>
  <c r="AE168" i="43"/>
  <c r="Z169" i="43"/>
  <c r="AA169" i="43" s="1"/>
  <c r="AB169" i="43"/>
  <c r="AC169" i="43" s="1"/>
  <c r="AD169" i="43"/>
  <c r="AH169" i="43" s="1" a="1"/>
  <c r="AH169" i="43" s="1"/>
  <c r="AE169" i="43"/>
  <c r="Z170" i="43"/>
  <c r="AA170" i="43" s="1"/>
  <c r="AB170" i="43"/>
  <c r="AC170" i="43" s="1"/>
  <c r="AD170" i="43"/>
  <c r="AH170" i="43" s="1" a="1"/>
  <c r="AH170" i="43" s="1"/>
  <c r="AE170" i="43"/>
  <c r="AJ170" i="43" s="1"/>
  <c r="Z171" i="43"/>
  <c r="AA171" i="43" s="1"/>
  <c r="AB171" i="43"/>
  <c r="AC171" i="43" s="1"/>
  <c r="AD171" i="43"/>
  <c r="AH171" i="43" s="1" a="1"/>
  <c r="AH171" i="43" s="1"/>
  <c r="AE171" i="43"/>
  <c r="Z172" i="43"/>
  <c r="AA172" i="43" s="1"/>
  <c r="AB172" i="43"/>
  <c r="AC172" i="43" s="1"/>
  <c r="AD172" i="43"/>
  <c r="AH172" i="43" s="1" a="1"/>
  <c r="AH172" i="43" s="1"/>
  <c r="AE172" i="43"/>
  <c r="AJ172" i="43" s="1"/>
  <c r="Z173" i="43"/>
  <c r="AA173" i="43" s="1"/>
  <c r="AB173" i="43"/>
  <c r="AC173" i="43" s="1"/>
  <c r="AD173" i="43"/>
  <c r="AH173" i="43" s="1" a="1"/>
  <c r="AH173" i="43" s="1"/>
  <c r="AE173" i="43"/>
  <c r="AF173" i="43" s="1"/>
  <c r="AG173" i="43" s="1"/>
  <c r="Z174" i="43"/>
  <c r="AA174" i="43" s="1"/>
  <c r="AB174" i="43"/>
  <c r="AC174" i="43" s="1"/>
  <c r="AD174" i="43"/>
  <c r="AH174" i="43" s="1" a="1"/>
  <c r="AH174" i="43" s="1"/>
  <c r="AE174" i="43"/>
  <c r="AJ174" i="43" s="1"/>
  <c r="Z175" i="43"/>
  <c r="AA175" i="43" s="1"/>
  <c r="AB175" i="43"/>
  <c r="AC175" i="43" s="1"/>
  <c r="AD175" i="43"/>
  <c r="AH175" i="43" s="1" a="1"/>
  <c r="AH175" i="43" s="1"/>
  <c r="AE175" i="43"/>
  <c r="AJ175" i="43" s="1"/>
  <c r="Z176" i="43"/>
  <c r="AA176" i="43" s="1"/>
  <c r="AB176" i="43"/>
  <c r="AC176" i="43" s="1"/>
  <c r="AD176" i="43"/>
  <c r="AH176" i="43" s="1" a="1"/>
  <c r="AH176" i="43" s="1"/>
  <c r="AE176" i="43"/>
  <c r="Z177" i="43"/>
  <c r="AA177" i="43" s="1"/>
  <c r="AB177" i="43"/>
  <c r="AC177" i="43" s="1"/>
  <c r="AD177" i="43"/>
  <c r="AH177" i="43" s="1" a="1"/>
  <c r="AH177" i="43" s="1"/>
  <c r="AE177" i="43"/>
  <c r="AI177" i="43" s="1"/>
  <c r="Z178" i="43"/>
  <c r="AA178" i="43" s="1"/>
  <c r="AB178" i="43"/>
  <c r="AC178" i="43" s="1"/>
  <c r="AD178" i="43"/>
  <c r="AH178" i="43" s="1" a="1"/>
  <c r="AH178" i="43" s="1"/>
  <c r="AE178" i="43"/>
  <c r="AJ178" i="43" s="1"/>
  <c r="Z179" i="43"/>
  <c r="AA179" i="43" s="1"/>
  <c r="AB179" i="43"/>
  <c r="AC179" i="43" s="1"/>
  <c r="AD179" i="43"/>
  <c r="AH179" i="43" s="1" a="1"/>
  <c r="AH179" i="43" s="1"/>
  <c r="AE179" i="43"/>
  <c r="AF179" i="43" s="1"/>
  <c r="AG179" i="43" s="1"/>
  <c r="Z180" i="43"/>
  <c r="AA180" i="43" s="1"/>
  <c r="AB180" i="43"/>
  <c r="AC180" i="43" s="1"/>
  <c r="AD180" i="43"/>
  <c r="AH180" i="43" s="1" a="1"/>
  <c r="AH180" i="43" s="1"/>
  <c r="AE180" i="43"/>
  <c r="Z181" i="43"/>
  <c r="AA181" i="43" s="1"/>
  <c r="AB181" i="43"/>
  <c r="AC181" i="43" s="1"/>
  <c r="AD181" i="43"/>
  <c r="AH181" i="43" s="1" a="1"/>
  <c r="AH181" i="43" s="1"/>
  <c r="AE181" i="43"/>
  <c r="AI181" i="43" s="1"/>
  <c r="Z182" i="43"/>
  <c r="AA182" i="43" s="1"/>
  <c r="AB182" i="43"/>
  <c r="AC182" i="43" s="1"/>
  <c r="AD182" i="43"/>
  <c r="AH182" i="43" s="1" a="1"/>
  <c r="AH182" i="43" s="1"/>
  <c r="AE182" i="43"/>
  <c r="Z183" i="43"/>
  <c r="AA183" i="43" s="1"/>
  <c r="AB183" i="43"/>
  <c r="AC183" i="43" s="1"/>
  <c r="AD183" i="43"/>
  <c r="AH183" i="43" s="1" a="1"/>
  <c r="AH183" i="43" s="1"/>
  <c r="AE183" i="43"/>
  <c r="Z184" i="43"/>
  <c r="AA184" i="43" s="1"/>
  <c r="AB184" i="43"/>
  <c r="AC184" i="43" s="1"/>
  <c r="AD184" i="43"/>
  <c r="AH184" i="43" s="1" a="1"/>
  <c r="AH184" i="43" s="1"/>
  <c r="AE184" i="43"/>
  <c r="AJ184" i="43" s="1"/>
  <c r="Z185" i="43"/>
  <c r="AA185" i="43" s="1"/>
  <c r="AB185" i="43"/>
  <c r="AC185" i="43" s="1"/>
  <c r="AD185" i="43"/>
  <c r="AH185" i="43" s="1" a="1"/>
  <c r="AH185" i="43" s="1"/>
  <c r="AE185" i="43"/>
  <c r="Z186" i="43"/>
  <c r="AA186" i="43" s="1"/>
  <c r="AB186" i="43"/>
  <c r="AC186" i="43" s="1"/>
  <c r="AD186" i="43"/>
  <c r="AH186" i="43" s="1" a="1"/>
  <c r="AH186" i="43" s="1"/>
  <c r="AE186" i="43"/>
  <c r="AJ186" i="43" s="1"/>
  <c r="Z187" i="43"/>
  <c r="AA187" i="43" s="1"/>
  <c r="AB187" i="43"/>
  <c r="AC187" i="43" s="1"/>
  <c r="AD187" i="43"/>
  <c r="AH187" i="43" s="1" a="1"/>
  <c r="AH187" i="43" s="1"/>
  <c r="AE187" i="43"/>
  <c r="Z188" i="43"/>
  <c r="AA188" i="43" s="1"/>
  <c r="AB188" i="43"/>
  <c r="AC188" i="43" s="1"/>
  <c r="AD188" i="43"/>
  <c r="AH188" i="43" s="1" a="1"/>
  <c r="AH188" i="43" s="1"/>
  <c r="AE188" i="43"/>
  <c r="Z189" i="43"/>
  <c r="AA189" i="43" s="1"/>
  <c r="AB189" i="43"/>
  <c r="AC189" i="43" s="1"/>
  <c r="AD189" i="43"/>
  <c r="AH189" i="43" s="1" a="1"/>
  <c r="AH189" i="43" s="1"/>
  <c r="AE189" i="43"/>
  <c r="AF189" i="43" s="1"/>
  <c r="AG189" i="43" s="1"/>
  <c r="Z190" i="43"/>
  <c r="AA190" i="43" s="1"/>
  <c r="AB190" i="43"/>
  <c r="AC190" i="43" s="1"/>
  <c r="AD190" i="43"/>
  <c r="AH190" i="43" s="1" a="1"/>
  <c r="AH190" i="43" s="1"/>
  <c r="AE190" i="43"/>
  <c r="Z191" i="43"/>
  <c r="AA191" i="43" s="1"/>
  <c r="AB191" i="43"/>
  <c r="AC191" i="43" s="1"/>
  <c r="AD191" i="43"/>
  <c r="AH191" i="43" s="1" a="1"/>
  <c r="AH191" i="43" s="1"/>
  <c r="AE191" i="43"/>
  <c r="AI191" i="43" s="1"/>
  <c r="Z192" i="43"/>
  <c r="AA192" i="43" s="1"/>
  <c r="AB192" i="43"/>
  <c r="AC192" i="43" s="1"/>
  <c r="AD192" i="43"/>
  <c r="AH192" i="43" s="1" a="1"/>
  <c r="AH192" i="43" s="1"/>
  <c r="AE192" i="43"/>
  <c r="Z193" i="43"/>
  <c r="AA193" i="43" s="1"/>
  <c r="AB193" i="43"/>
  <c r="AC193" i="43" s="1"/>
  <c r="AD193" i="43"/>
  <c r="AH193" i="43" s="1" a="1"/>
  <c r="AH193" i="43" s="1"/>
  <c r="AE193" i="43"/>
  <c r="AF193" i="43" s="1"/>
  <c r="AG193" i="43" s="1"/>
  <c r="Z194" i="43"/>
  <c r="AA194" i="43" s="1"/>
  <c r="AB194" i="43"/>
  <c r="AC194" i="43" s="1"/>
  <c r="AD194" i="43"/>
  <c r="AH194" i="43" s="1" a="1"/>
  <c r="AH194" i="43" s="1"/>
  <c r="AE194" i="43"/>
  <c r="Z195" i="43"/>
  <c r="AA195" i="43" s="1"/>
  <c r="AB195" i="43"/>
  <c r="AC195" i="43" s="1"/>
  <c r="AD195" i="43"/>
  <c r="AH195" i="43" s="1" a="1"/>
  <c r="AH195" i="43" s="1"/>
  <c r="AE195" i="43"/>
  <c r="Z196" i="43"/>
  <c r="AA196" i="43" s="1"/>
  <c r="AB196" i="43"/>
  <c r="AC196" i="43" s="1"/>
  <c r="AD196" i="43"/>
  <c r="AH196" i="43" s="1" a="1"/>
  <c r="AH196" i="43" s="1"/>
  <c r="AE196" i="43"/>
  <c r="AJ196" i="43" s="1"/>
  <c r="Z197" i="43"/>
  <c r="AA197" i="43" s="1"/>
  <c r="AB197" i="43"/>
  <c r="AC197" i="43" s="1"/>
  <c r="AD197" i="43"/>
  <c r="AH197" i="43" s="1" a="1"/>
  <c r="AH197" i="43" s="1"/>
  <c r="AE197" i="43"/>
  <c r="AJ197" i="43" s="1"/>
  <c r="Z198" i="43"/>
  <c r="AA198" i="43" s="1"/>
  <c r="AB198" i="43"/>
  <c r="AC198" i="43" s="1"/>
  <c r="AD198" i="43"/>
  <c r="AH198" i="43" s="1" a="1"/>
  <c r="AH198" i="43" s="1"/>
  <c r="AE198" i="43"/>
  <c r="Z199" i="43"/>
  <c r="AA199" i="43" s="1"/>
  <c r="AB199" i="43"/>
  <c r="AC199" i="43" s="1"/>
  <c r="AD199" i="43"/>
  <c r="AH199" i="43" s="1" a="1"/>
  <c r="AH199" i="43" s="1"/>
  <c r="AE199" i="43"/>
  <c r="AF199" i="43" s="1"/>
  <c r="AG199" i="43" s="1"/>
  <c r="Z200" i="43"/>
  <c r="AA200" i="43" s="1"/>
  <c r="AB200" i="43"/>
  <c r="AC200" i="43" s="1"/>
  <c r="AD200" i="43"/>
  <c r="AH200" i="43" s="1" a="1"/>
  <c r="AH200" i="43" s="1"/>
  <c r="AE200" i="43"/>
  <c r="Z201" i="43"/>
  <c r="AA201" i="43" s="1"/>
  <c r="AB201" i="43"/>
  <c r="AC201" i="43" s="1"/>
  <c r="AD201" i="43"/>
  <c r="AH201" i="43" s="1" a="1"/>
  <c r="AH201" i="43" s="1"/>
  <c r="AE201" i="43"/>
  <c r="Z202" i="43"/>
  <c r="AA202" i="43" s="1"/>
  <c r="AB202" i="43"/>
  <c r="AC202" i="43" s="1"/>
  <c r="AD202" i="43"/>
  <c r="AH202" i="43" s="1" a="1"/>
  <c r="AH202" i="43" s="1"/>
  <c r="AE202" i="43"/>
  <c r="AJ202" i="43" s="1"/>
  <c r="Z203" i="43"/>
  <c r="AA203" i="43" s="1"/>
  <c r="AB203" i="43"/>
  <c r="AC203" i="43" s="1"/>
  <c r="AD203" i="43"/>
  <c r="AH203" i="43" s="1" a="1"/>
  <c r="AH203" i="43" s="1"/>
  <c r="AE203" i="43"/>
  <c r="AI203" i="43" s="1"/>
  <c r="Z204" i="43"/>
  <c r="AA204" i="43" s="1"/>
  <c r="AB204" i="43"/>
  <c r="AC204" i="43" s="1"/>
  <c r="AD204" i="43"/>
  <c r="AH204" i="43" s="1" a="1"/>
  <c r="AH204" i="43" s="1"/>
  <c r="AE204" i="43"/>
  <c r="Z205" i="43"/>
  <c r="AA205" i="43" s="1"/>
  <c r="AB205" i="43"/>
  <c r="AC205" i="43" s="1"/>
  <c r="AD205" i="43"/>
  <c r="AH205" i="43" s="1" a="1"/>
  <c r="AH205" i="43" s="1"/>
  <c r="AE205" i="43"/>
  <c r="AF205" i="43" s="1"/>
  <c r="AG205" i="43" s="1"/>
  <c r="Z206" i="43"/>
  <c r="AA206" i="43" s="1"/>
  <c r="AB206" i="43"/>
  <c r="AC206" i="43" s="1"/>
  <c r="AD206" i="43"/>
  <c r="AH206" i="43" s="1" a="1"/>
  <c r="AH206" i="43" s="1"/>
  <c r="AE206" i="43"/>
  <c r="Z207" i="43"/>
  <c r="AA207" i="43" s="1"/>
  <c r="AB207" i="43"/>
  <c r="AC207" i="43" s="1"/>
  <c r="AD207" i="43"/>
  <c r="AH207" i="43" s="1" a="1"/>
  <c r="AH207" i="43" s="1"/>
  <c r="AE207" i="43"/>
  <c r="AJ207" i="43" s="1"/>
  <c r="Z208" i="43"/>
  <c r="AA208" i="43" s="1"/>
  <c r="AB208" i="43"/>
  <c r="AC208" i="43" s="1"/>
  <c r="AD208" i="43"/>
  <c r="AH208" i="43" s="1" a="1"/>
  <c r="AH208" i="43" s="1"/>
  <c r="AE208" i="43"/>
  <c r="AJ208" i="43" s="1"/>
  <c r="Z209" i="43"/>
  <c r="AA209" i="43" s="1"/>
  <c r="AB209" i="43"/>
  <c r="AC209" i="43" s="1"/>
  <c r="AD209" i="43"/>
  <c r="AH209" i="43" s="1" a="1"/>
  <c r="AH209" i="43" s="1"/>
  <c r="AE209" i="43"/>
  <c r="AI209" i="43" s="1"/>
  <c r="Z210" i="43"/>
  <c r="AA210" i="43" s="1"/>
  <c r="AB210" i="43"/>
  <c r="AC210" i="43" s="1"/>
  <c r="AD210" i="43"/>
  <c r="AH210" i="43" s="1" a="1"/>
  <c r="AH210" i="43" s="1"/>
  <c r="AE210" i="43"/>
  <c r="AF210" i="43" s="1"/>
  <c r="AG210" i="43" s="1"/>
  <c r="Z211" i="43"/>
  <c r="AA211" i="43" s="1"/>
  <c r="AB211" i="43"/>
  <c r="AC211" i="43" s="1"/>
  <c r="AD211" i="43"/>
  <c r="AH211" i="43" s="1" a="1"/>
  <c r="AH211" i="43" s="1"/>
  <c r="AE211" i="43"/>
  <c r="AI211" i="43" s="1"/>
  <c r="Z212" i="43"/>
  <c r="AA212" i="43" s="1"/>
  <c r="AB212" i="43"/>
  <c r="AC212" i="43" s="1"/>
  <c r="AD212" i="43"/>
  <c r="AH212" i="43" s="1" a="1"/>
  <c r="AH212" i="43" s="1"/>
  <c r="AE212" i="43"/>
  <c r="AJ212" i="43" s="1"/>
  <c r="Z213" i="43"/>
  <c r="AA213" i="43" s="1"/>
  <c r="AB213" i="43"/>
  <c r="AC213" i="43" s="1"/>
  <c r="AD213" i="43"/>
  <c r="AH213" i="43" s="1" a="1"/>
  <c r="AH213" i="43" s="1"/>
  <c r="AE213" i="43"/>
  <c r="AI213" i="43" s="1"/>
  <c r="Z214" i="43"/>
  <c r="AA214" i="43" s="1"/>
  <c r="AB214" i="43"/>
  <c r="AC214" i="43" s="1"/>
  <c r="AD214" i="43"/>
  <c r="AH214" i="43" s="1" a="1"/>
  <c r="AH214" i="43" s="1"/>
  <c r="AE214" i="43"/>
  <c r="Z215" i="43"/>
  <c r="AA215" i="43" s="1"/>
  <c r="AB215" i="43"/>
  <c r="AC215" i="43" s="1"/>
  <c r="AD215" i="43"/>
  <c r="AH215" i="43" s="1" a="1"/>
  <c r="AH215" i="43" s="1"/>
  <c r="AE215" i="43"/>
  <c r="AF215" i="43" s="1"/>
  <c r="AG215" i="43" s="1"/>
  <c r="Z216" i="43"/>
  <c r="AA216" i="43" s="1"/>
  <c r="AB216" i="43"/>
  <c r="AC216" i="43" s="1"/>
  <c r="AD216" i="43"/>
  <c r="AH216" i="43" s="1" a="1"/>
  <c r="AH216" i="43" s="1"/>
  <c r="AE216" i="43"/>
  <c r="Z217" i="43"/>
  <c r="AA217" i="43" s="1"/>
  <c r="AB217" i="43"/>
  <c r="AC217" i="43" s="1"/>
  <c r="AD217" i="43"/>
  <c r="AH217" i="43" s="1" a="1"/>
  <c r="AH217" i="43" s="1"/>
  <c r="AE217" i="43"/>
  <c r="Z218" i="43"/>
  <c r="AA218" i="43" s="1"/>
  <c r="AB218" i="43"/>
  <c r="AC218" i="43" s="1"/>
  <c r="AD218" i="43"/>
  <c r="AH218" i="43" s="1" a="1"/>
  <c r="AH218" i="43" s="1"/>
  <c r="AE218" i="43"/>
  <c r="AJ218" i="43" s="1"/>
  <c r="Z219" i="43"/>
  <c r="AA219" i="43" s="1"/>
  <c r="AB219" i="43"/>
  <c r="AC219" i="43" s="1"/>
  <c r="AD219" i="43"/>
  <c r="AH219" i="43" s="1" a="1"/>
  <c r="AH219" i="43" s="1"/>
  <c r="AE219" i="43"/>
  <c r="Z220" i="43"/>
  <c r="AA220" i="43" s="1"/>
  <c r="AB220" i="43"/>
  <c r="AC220" i="43" s="1"/>
  <c r="AD220" i="43"/>
  <c r="AH220" i="43" s="1" a="1"/>
  <c r="AH220" i="43" s="1"/>
  <c r="AE220" i="43"/>
  <c r="AJ220" i="43" s="1"/>
  <c r="Z221" i="43"/>
  <c r="AA221" i="43" s="1"/>
  <c r="AB221" i="43"/>
  <c r="AC221" i="43" s="1"/>
  <c r="AD221" i="43"/>
  <c r="AH221" i="43" s="1" a="1"/>
  <c r="AH221" i="43" s="1"/>
  <c r="AE221" i="43"/>
  <c r="AF221" i="43" s="1"/>
  <c r="AG221" i="43" s="1"/>
  <c r="Z222" i="43"/>
  <c r="AA222" i="43" s="1"/>
  <c r="AB222" i="43"/>
  <c r="AC222" i="43" s="1"/>
  <c r="AD222" i="43"/>
  <c r="AH222" i="43" s="1" a="1"/>
  <c r="AH222" i="43" s="1"/>
  <c r="AE222" i="43"/>
  <c r="AJ222" i="43" s="1"/>
  <c r="Z223" i="43"/>
  <c r="AA223" i="43" s="1"/>
  <c r="AB223" i="43"/>
  <c r="AC223" i="43" s="1"/>
  <c r="AD223" i="43"/>
  <c r="AH223" i="43" s="1" a="1"/>
  <c r="AH223" i="43" s="1"/>
  <c r="AE223" i="43"/>
  <c r="Z224" i="43"/>
  <c r="AA224" i="43" s="1"/>
  <c r="AB224" i="43"/>
  <c r="AC224" i="43" s="1"/>
  <c r="AD224" i="43"/>
  <c r="AH224" i="43" s="1" a="1"/>
  <c r="AH224" i="43" s="1"/>
  <c r="AE224" i="43"/>
  <c r="Z225" i="43"/>
  <c r="AA225" i="43" s="1"/>
  <c r="AB225" i="43"/>
  <c r="AC225" i="43" s="1"/>
  <c r="AD225" i="43"/>
  <c r="AH225" i="43" s="1" a="1"/>
  <c r="AH225" i="43" s="1"/>
  <c r="AE225" i="43"/>
  <c r="Z226" i="43"/>
  <c r="AA226" i="43" s="1"/>
  <c r="AB226" i="43"/>
  <c r="AC226" i="43" s="1"/>
  <c r="AD226" i="43"/>
  <c r="AH226" i="43" s="1" a="1"/>
  <c r="AH226" i="43" s="1"/>
  <c r="AE226" i="43"/>
  <c r="Z227" i="43"/>
  <c r="AA227" i="43" s="1"/>
  <c r="AB227" i="43"/>
  <c r="AC227" i="43" s="1"/>
  <c r="AD227" i="43"/>
  <c r="AH227" i="43" s="1" a="1"/>
  <c r="AH227" i="43" s="1"/>
  <c r="AE227" i="43"/>
  <c r="Z228" i="43"/>
  <c r="AA228" i="43" s="1"/>
  <c r="AB228" i="43"/>
  <c r="AC228" i="43" s="1"/>
  <c r="AD228" i="43"/>
  <c r="AH228" i="43" s="1" a="1"/>
  <c r="AH228" i="43" s="1"/>
  <c r="AE228" i="43"/>
  <c r="AJ228" i="43" s="1"/>
  <c r="Z229" i="43"/>
  <c r="AA229" i="43" s="1"/>
  <c r="AB229" i="43"/>
  <c r="AC229" i="43" s="1"/>
  <c r="AD229" i="43"/>
  <c r="AH229" i="43" s="1" a="1"/>
  <c r="AH229" i="43" s="1"/>
  <c r="AE229" i="43"/>
  <c r="AI229" i="43" s="1"/>
  <c r="Z230" i="43"/>
  <c r="AA230" i="43" s="1"/>
  <c r="AB230" i="43"/>
  <c r="AC230" i="43" s="1"/>
  <c r="AD230" i="43"/>
  <c r="AH230" i="43" s="1" a="1"/>
  <c r="AH230" i="43" s="1"/>
  <c r="AE230" i="43"/>
  <c r="Z231" i="43"/>
  <c r="AA231" i="43" s="1"/>
  <c r="AB231" i="43"/>
  <c r="AC231" i="43" s="1"/>
  <c r="AD231" i="43"/>
  <c r="AH231" i="43" s="1" a="1"/>
  <c r="AH231" i="43" s="1"/>
  <c r="AE231" i="43"/>
  <c r="AF231" i="43" s="1"/>
  <c r="AG231" i="43" s="1"/>
  <c r="Z232" i="43"/>
  <c r="AA232" i="43" s="1"/>
  <c r="AB232" i="43"/>
  <c r="AC232" i="43" s="1"/>
  <c r="AD232" i="43"/>
  <c r="AH232" i="43" s="1" a="1"/>
  <c r="AH232" i="43" s="1"/>
  <c r="AE232" i="43"/>
  <c r="Z233" i="43"/>
  <c r="AA233" i="43" s="1"/>
  <c r="AB233" i="43"/>
  <c r="AC233" i="43" s="1"/>
  <c r="AD233" i="43"/>
  <c r="AH233" i="43" s="1" a="1"/>
  <c r="AH233" i="43" s="1"/>
  <c r="AE233" i="43"/>
  <c r="AJ233" i="43" s="1"/>
  <c r="Z234" i="43"/>
  <c r="AA234" i="43" s="1"/>
  <c r="AB234" i="43"/>
  <c r="AC234" i="43" s="1"/>
  <c r="AD234" i="43"/>
  <c r="AH234" i="43" s="1" a="1"/>
  <c r="AH234" i="43" s="1"/>
  <c r="AE234" i="43"/>
  <c r="AF234" i="43" s="1"/>
  <c r="AG234" i="43" s="1"/>
  <c r="Z235" i="43"/>
  <c r="AA235" i="43" s="1"/>
  <c r="AB235" i="43"/>
  <c r="AC235" i="43" s="1"/>
  <c r="AD235" i="43"/>
  <c r="AH235" i="43" s="1" a="1"/>
  <c r="AH235" i="43" s="1"/>
  <c r="AE235" i="43"/>
  <c r="AJ235" i="43" s="1"/>
  <c r="Z236" i="43"/>
  <c r="AA236" i="43" s="1"/>
  <c r="AB236" i="43"/>
  <c r="AC236" i="43" s="1"/>
  <c r="AD236" i="43"/>
  <c r="AH236" i="43" s="1" a="1"/>
  <c r="AH236" i="43" s="1"/>
  <c r="AE236" i="43"/>
  <c r="Z237" i="43"/>
  <c r="AA237" i="43" s="1"/>
  <c r="AB237" i="43"/>
  <c r="AC237" i="43" s="1"/>
  <c r="AD237" i="43"/>
  <c r="AH237" i="43" s="1" a="1"/>
  <c r="AH237" i="43" s="1"/>
  <c r="AE237" i="43"/>
  <c r="AF237" i="43" s="1"/>
  <c r="AG237" i="43" s="1"/>
  <c r="Z238" i="43"/>
  <c r="AA238" i="43" s="1"/>
  <c r="AB238" i="43"/>
  <c r="AC238" i="43" s="1"/>
  <c r="AD238" i="43"/>
  <c r="AH238" i="43" s="1" a="1"/>
  <c r="AH238" i="43" s="1"/>
  <c r="AE238" i="43"/>
  <c r="Z239" i="43"/>
  <c r="AA239" i="43" s="1"/>
  <c r="AB239" i="43"/>
  <c r="AC239" i="43" s="1"/>
  <c r="AD239" i="43"/>
  <c r="AH239" i="43" s="1" a="1"/>
  <c r="AH239" i="43" s="1"/>
  <c r="AE239" i="43"/>
  <c r="AI239" i="43" s="1"/>
  <c r="Z240" i="43"/>
  <c r="AA240" i="43" s="1"/>
  <c r="AB240" i="43"/>
  <c r="AC240" i="43" s="1"/>
  <c r="AD240" i="43"/>
  <c r="AH240" i="43" s="1" a="1"/>
  <c r="AH240" i="43" s="1"/>
  <c r="AE240" i="43"/>
  <c r="Z241" i="43"/>
  <c r="AA241" i="43" s="1"/>
  <c r="AB241" i="43"/>
  <c r="AC241" i="43" s="1"/>
  <c r="AD241" i="43"/>
  <c r="AH241" i="43" s="1" a="1"/>
  <c r="AH241" i="43" s="1"/>
  <c r="AE241" i="43"/>
  <c r="AF241" i="43" s="1"/>
  <c r="AG241" i="43" s="1"/>
  <c r="Z242" i="43"/>
  <c r="AA242" i="43" s="1"/>
  <c r="AB242" i="43"/>
  <c r="AC242" i="43" s="1"/>
  <c r="AD242" i="43"/>
  <c r="AH242" i="43" s="1" a="1"/>
  <c r="AH242" i="43" s="1"/>
  <c r="AE242" i="43"/>
  <c r="Z243" i="43"/>
  <c r="AA243" i="43" s="1"/>
  <c r="AB243" i="43"/>
  <c r="AC243" i="43" s="1"/>
  <c r="AD243" i="43"/>
  <c r="AH243" i="43" s="1" a="1"/>
  <c r="AH243" i="43" s="1"/>
  <c r="AE243" i="43"/>
  <c r="Z244" i="43"/>
  <c r="AA244" i="43" s="1"/>
  <c r="AB244" i="43"/>
  <c r="AC244" i="43" s="1"/>
  <c r="AD244" i="43"/>
  <c r="AH244" i="43" s="1" a="1"/>
  <c r="AH244" i="43" s="1"/>
  <c r="AE244" i="43"/>
  <c r="AI244" i="43" s="1"/>
  <c r="Z245" i="43"/>
  <c r="AA245" i="43" s="1"/>
  <c r="AB245" i="43"/>
  <c r="AC245" i="43" s="1"/>
  <c r="AD245" i="43"/>
  <c r="AH245" i="43" s="1" a="1"/>
  <c r="AH245" i="43" s="1"/>
  <c r="AE245" i="43"/>
  <c r="Z246" i="43"/>
  <c r="AA246" i="43" s="1"/>
  <c r="AB246" i="43"/>
  <c r="AC246" i="43" s="1"/>
  <c r="AD246" i="43"/>
  <c r="AH246" i="43" s="1" a="1"/>
  <c r="AH246" i="43" s="1"/>
  <c r="AE246" i="43"/>
  <c r="AJ246" i="43" s="1"/>
  <c r="Z247" i="43"/>
  <c r="AA247" i="43" s="1"/>
  <c r="AB247" i="43"/>
  <c r="AC247" i="43" s="1"/>
  <c r="AD247" i="43"/>
  <c r="AH247" i="43" s="1" a="1"/>
  <c r="AH247" i="43" s="1"/>
  <c r="AE247" i="43"/>
  <c r="AJ247" i="43" s="1"/>
  <c r="Z248" i="43"/>
  <c r="AA248" i="43" s="1"/>
  <c r="AB248" i="43"/>
  <c r="AC248" i="43" s="1"/>
  <c r="AD248" i="43"/>
  <c r="AH248" i="43" s="1" a="1"/>
  <c r="AH248" i="43" s="1"/>
  <c r="AE248" i="43"/>
  <c r="AJ248" i="43" s="1"/>
  <c r="Z249" i="43"/>
  <c r="AA249" i="43" s="1"/>
  <c r="AB249" i="43"/>
  <c r="AC249" i="43" s="1"/>
  <c r="AD249" i="43"/>
  <c r="AH249" i="43" s="1" a="1"/>
  <c r="AH249" i="43" s="1"/>
  <c r="AE249" i="43"/>
  <c r="AI249" i="43" s="1"/>
  <c r="Z250" i="43"/>
  <c r="AA250" i="43" s="1"/>
  <c r="AB250" i="43"/>
  <c r="AC250" i="43" s="1"/>
  <c r="AD250" i="43"/>
  <c r="AH250" i="43" s="1" a="1"/>
  <c r="AH250" i="43" s="1"/>
  <c r="AE250" i="43"/>
  <c r="AI250" i="43" s="1"/>
  <c r="Z251" i="43"/>
  <c r="AA251" i="43" s="1"/>
  <c r="AB251" i="43"/>
  <c r="AC251" i="43" s="1"/>
  <c r="AD251" i="43"/>
  <c r="AH251" i="43" s="1" a="1"/>
  <c r="AH251" i="43" s="1"/>
  <c r="AE251" i="43"/>
  <c r="AJ251" i="43" s="1"/>
  <c r="Z252" i="43"/>
  <c r="AA252" i="43" s="1"/>
  <c r="AB252" i="43"/>
  <c r="AC252" i="43" s="1"/>
  <c r="AD252" i="43"/>
  <c r="AH252" i="43" s="1" a="1"/>
  <c r="AH252" i="43" s="1"/>
  <c r="AE252" i="43"/>
  <c r="AF252" i="43" s="1"/>
  <c r="AG252" i="43" s="1"/>
  <c r="Z253" i="43"/>
  <c r="AA253" i="43" s="1"/>
  <c r="AB253" i="43"/>
  <c r="AC253" i="43" s="1"/>
  <c r="AD253" i="43"/>
  <c r="AH253" i="43" s="1" a="1"/>
  <c r="AH253" i="43" s="1"/>
  <c r="AE253" i="43"/>
  <c r="AI253" i="43" s="1"/>
  <c r="Z254" i="43"/>
  <c r="AA254" i="43" s="1"/>
  <c r="AB254" i="43"/>
  <c r="AC254" i="43" s="1"/>
  <c r="AD254" i="43"/>
  <c r="AH254" i="43" s="1" a="1"/>
  <c r="AH254" i="43" s="1"/>
  <c r="AE254" i="43"/>
  <c r="Z255" i="43"/>
  <c r="AA255" i="43" s="1"/>
  <c r="AB255" i="43"/>
  <c r="AC255" i="43" s="1"/>
  <c r="AD255" i="43"/>
  <c r="AH255" i="43" s="1" a="1"/>
  <c r="AH255" i="43" s="1"/>
  <c r="AE255" i="43"/>
  <c r="AI255" i="43" s="1"/>
  <c r="Z256" i="43"/>
  <c r="AA256" i="43" s="1"/>
  <c r="AB256" i="43"/>
  <c r="AC256" i="43" s="1"/>
  <c r="AD256" i="43"/>
  <c r="AH256" i="43" s="1" a="1"/>
  <c r="AH256" i="43" s="1"/>
  <c r="AE256" i="43"/>
  <c r="AF256" i="43" s="1"/>
  <c r="AG256" i="43" s="1"/>
  <c r="Z257" i="43"/>
  <c r="AA257" i="43" s="1"/>
  <c r="AB257" i="43"/>
  <c r="AC257" i="43" s="1"/>
  <c r="AD257" i="43"/>
  <c r="AH257" i="43" s="1" a="1"/>
  <c r="AH257" i="43" s="1"/>
  <c r="AE257" i="43"/>
  <c r="Z258" i="43"/>
  <c r="AA258" i="43" s="1"/>
  <c r="AB258" i="43"/>
  <c r="AC258" i="43" s="1"/>
  <c r="AD258" i="43"/>
  <c r="AH258" i="43" s="1" a="1"/>
  <c r="AH258" i="43" s="1"/>
  <c r="AE258" i="43"/>
  <c r="AI258" i="43" s="1"/>
  <c r="Z259" i="43"/>
  <c r="AA259" i="43" s="1"/>
  <c r="AB259" i="43"/>
  <c r="AC259" i="43" s="1"/>
  <c r="AD259" i="43"/>
  <c r="AH259" i="43" s="1" a="1"/>
  <c r="AH259" i="43" s="1"/>
  <c r="AE259" i="43"/>
  <c r="AI259" i="43" s="1"/>
  <c r="Z260" i="43"/>
  <c r="AA260" i="43" s="1"/>
  <c r="AB260" i="43"/>
  <c r="AC260" i="43" s="1"/>
  <c r="AD260" i="43"/>
  <c r="AH260" i="43" s="1" a="1"/>
  <c r="AH260" i="43" s="1"/>
  <c r="AE260" i="43"/>
  <c r="AJ260" i="43" s="1"/>
  <c r="Z261" i="43"/>
  <c r="AA261" i="43" s="1"/>
  <c r="AB261" i="43"/>
  <c r="AC261" i="43" s="1"/>
  <c r="AD261" i="43"/>
  <c r="AH261" i="43" s="1" a="1"/>
  <c r="AH261" i="43" s="1"/>
  <c r="AE261" i="43"/>
  <c r="AI261" i="43" s="1"/>
  <c r="Z262" i="43"/>
  <c r="AA262" i="43" s="1"/>
  <c r="AB262" i="43"/>
  <c r="AC262" i="43" s="1"/>
  <c r="AD262" i="43"/>
  <c r="AH262" i="43" s="1" a="1"/>
  <c r="AH262" i="43" s="1"/>
  <c r="AE262" i="43"/>
  <c r="AF262" i="43" s="1"/>
  <c r="AG262" i="43" s="1"/>
  <c r="Z263" i="43"/>
  <c r="AA263" i="43" s="1"/>
  <c r="AB263" i="43"/>
  <c r="AC263" i="43" s="1"/>
  <c r="AD263" i="43"/>
  <c r="AH263" i="43" s="1" a="1"/>
  <c r="AH263" i="43" s="1"/>
  <c r="AE263" i="43"/>
  <c r="AF263" i="43" s="1"/>
  <c r="AG263" i="43" s="1"/>
  <c r="Z264" i="43"/>
  <c r="AA264" i="43" s="1"/>
  <c r="AB264" i="43"/>
  <c r="AC264" i="43" s="1"/>
  <c r="AD264" i="43"/>
  <c r="AH264" i="43" s="1" a="1"/>
  <c r="AH264" i="43" s="1"/>
  <c r="AE264" i="43"/>
  <c r="AI264" i="43" s="1"/>
  <c r="Z265" i="43"/>
  <c r="AA265" i="43" s="1"/>
  <c r="AB265" i="43"/>
  <c r="AC265" i="43" s="1"/>
  <c r="AD265" i="43"/>
  <c r="AH265" i="43" s="1" a="1"/>
  <c r="AH265" i="43" s="1"/>
  <c r="AE265" i="43"/>
  <c r="Z266" i="43"/>
  <c r="AA266" i="43" s="1"/>
  <c r="AB266" i="43"/>
  <c r="AC266" i="43" s="1"/>
  <c r="AD266" i="43"/>
  <c r="AH266" i="43" s="1" a="1"/>
  <c r="AH266" i="43" s="1"/>
  <c r="AE266" i="43"/>
  <c r="AJ266" i="43" s="1"/>
  <c r="Z267" i="43"/>
  <c r="AA267" i="43" s="1"/>
  <c r="AB267" i="43"/>
  <c r="AC267" i="43" s="1"/>
  <c r="AD267" i="43"/>
  <c r="AH267" i="43" s="1" a="1"/>
  <c r="AH267" i="43" s="1"/>
  <c r="AE267" i="43"/>
  <c r="Z268" i="43"/>
  <c r="AA268" i="43" s="1"/>
  <c r="AB268" i="43"/>
  <c r="AC268" i="43" s="1"/>
  <c r="AD268" i="43"/>
  <c r="AH268" i="43" s="1" a="1"/>
  <c r="AH268" i="43" s="1"/>
  <c r="AE268" i="43"/>
  <c r="Z269" i="43"/>
  <c r="AA269" i="43" s="1"/>
  <c r="AB269" i="43"/>
  <c r="AC269" i="43" s="1"/>
  <c r="AD269" i="43"/>
  <c r="AH269" i="43" s="1" a="1"/>
  <c r="AH269" i="43" s="1"/>
  <c r="AE269" i="43"/>
  <c r="AF269" i="43" s="1"/>
  <c r="AG269" i="43" s="1"/>
  <c r="Z270" i="43"/>
  <c r="AA270" i="43" s="1"/>
  <c r="AB270" i="43"/>
  <c r="AC270" i="43" s="1"/>
  <c r="AD270" i="43"/>
  <c r="AH270" i="43" s="1" a="1"/>
  <c r="AH270" i="43" s="1"/>
  <c r="AE270" i="43"/>
  <c r="Z271" i="43"/>
  <c r="AA271" i="43" s="1"/>
  <c r="AB271" i="43"/>
  <c r="AC271" i="43" s="1"/>
  <c r="AD271" i="43"/>
  <c r="AH271" i="43" s="1" a="1"/>
  <c r="AH271" i="43" s="1"/>
  <c r="AE271" i="43"/>
  <c r="Z272" i="43"/>
  <c r="AA272" i="43" s="1"/>
  <c r="AB272" i="43"/>
  <c r="AC272" i="43" s="1"/>
  <c r="AD272" i="43"/>
  <c r="AH272" i="43" s="1" a="1"/>
  <c r="AH272" i="43" s="1"/>
  <c r="AE272" i="43"/>
  <c r="AJ272" i="43" s="1"/>
  <c r="Z273" i="43"/>
  <c r="AA273" i="43" s="1"/>
  <c r="AB273" i="43"/>
  <c r="AC273" i="43" s="1"/>
  <c r="AD273" i="43"/>
  <c r="AH273" i="43" s="1" a="1"/>
  <c r="AH273" i="43" s="1"/>
  <c r="AE273" i="43"/>
  <c r="AJ273" i="43" s="1"/>
  <c r="Z274" i="43"/>
  <c r="AA274" i="43" s="1"/>
  <c r="AB274" i="43"/>
  <c r="AC274" i="43" s="1"/>
  <c r="AD274" i="43"/>
  <c r="AH274" i="43" s="1" a="1"/>
  <c r="AH274" i="43" s="1"/>
  <c r="AE274" i="43"/>
  <c r="AJ274" i="43" s="1"/>
  <c r="Z275" i="43"/>
  <c r="AA275" i="43" s="1"/>
  <c r="AB275" i="43"/>
  <c r="AC275" i="43" s="1"/>
  <c r="AD275" i="43"/>
  <c r="AH275" i="43" s="1" a="1"/>
  <c r="AH275" i="43" s="1"/>
  <c r="AE275" i="43"/>
  <c r="AI275" i="43" s="1"/>
  <c r="Z276" i="43"/>
  <c r="AA276" i="43" s="1"/>
  <c r="AB276" i="43"/>
  <c r="AC276" i="43" s="1"/>
  <c r="AD276" i="43"/>
  <c r="AH276" i="43" s="1" a="1"/>
  <c r="AH276" i="43" s="1"/>
  <c r="AE276" i="43"/>
  <c r="Z277" i="43"/>
  <c r="AA277" i="43" s="1"/>
  <c r="AB277" i="43"/>
  <c r="AC277" i="43" s="1"/>
  <c r="AD277" i="43"/>
  <c r="AH277" i="43" s="1" a="1"/>
  <c r="AH277" i="43" s="1"/>
  <c r="AE277" i="43"/>
  <c r="AI277" i="43" s="1"/>
  <c r="Z278" i="43"/>
  <c r="AA278" i="43" s="1"/>
  <c r="AB278" i="43"/>
  <c r="AC278" i="43" s="1"/>
  <c r="AD278" i="43"/>
  <c r="AH278" i="43" s="1" a="1"/>
  <c r="AH278" i="43" s="1"/>
  <c r="AE278" i="43"/>
  <c r="AJ278" i="43" s="1"/>
  <c r="Z279" i="43"/>
  <c r="AA279" i="43" s="1"/>
  <c r="AB279" i="43"/>
  <c r="AC279" i="43" s="1"/>
  <c r="AD279" i="43"/>
  <c r="AH279" i="43" s="1" a="1"/>
  <c r="AH279" i="43" s="1"/>
  <c r="AE279" i="43"/>
  <c r="Z280" i="43"/>
  <c r="AA280" i="43" s="1"/>
  <c r="AB280" i="43"/>
  <c r="AC280" i="43" s="1"/>
  <c r="AD280" i="43"/>
  <c r="AH280" i="43" s="1" a="1"/>
  <c r="AH280" i="43" s="1"/>
  <c r="AE280" i="43"/>
  <c r="Z281" i="43"/>
  <c r="AA281" i="43" s="1"/>
  <c r="AB281" i="43"/>
  <c r="AC281" i="43" s="1"/>
  <c r="AD281" i="43"/>
  <c r="AH281" i="43" s="1" a="1"/>
  <c r="AH281" i="43" s="1"/>
  <c r="AE281" i="43"/>
  <c r="AF281" i="43" s="1"/>
  <c r="AG281" i="43" s="1"/>
  <c r="Z282" i="43"/>
  <c r="AA282" i="43" s="1"/>
  <c r="AB282" i="43"/>
  <c r="AC282" i="43" s="1"/>
  <c r="AD282" i="43"/>
  <c r="AH282" i="43" s="1" a="1"/>
  <c r="AH282" i="43" s="1"/>
  <c r="AE282" i="43"/>
  <c r="AJ282" i="43" s="1"/>
  <c r="Z283" i="43"/>
  <c r="AA283" i="43" s="1"/>
  <c r="AB283" i="43"/>
  <c r="AC283" i="43" s="1"/>
  <c r="AD283" i="43"/>
  <c r="AH283" i="43" s="1" a="1"/>
  <c r="AH283" i="43" s="1"/>
  <c r="AE283" i="43"/>
  <c r="Z284" i="43"/>
  <c r="AA284" i="43" s="1"/>
  <c r="AB284" i="43"/>
  <c r="AC284" i="43" s="1"/>
  <c r="AD284" i="43"/>
  <c r="AH284" i="43" s="1" a="1"/>
  <c r="AH284" i="43" s="1"/>
  <c r="AE284" i="43"/>
  <c r="Z285" i="43"/>
  <c r="AA285" i="43" s="1"/>
  <c r="AB285" i="43"/>
  <c r="AC285" i="43" s="1"/>
  <c r="AD285" i="43"/>
  <c r="AH285" i="43" s="1" a="1"/>
  <c r="AH285" i="43" s="1"/>
  <c r="AE285" i="43"/>
  <c r="AF285" i="43" s="1"/>
  <c r="AG285" i="43" s="1"/>
  <c r="Z286" i="43"/>
  <c r="AA286" i="43" s="1"/>
  <c r="AB286" i="43"/>
  <c r="AC286" i="43" s="1"/>
  <c r="AD286" i="43"/>
  <c r="AH286" i="43" s="1" a="1"/>
  <c r="AH286" i="43" s="1"/>
  <c r="AE286" i="43"/>
  <c r="Z287" i="43"/>
  <c r="AA287" i="43" s="1"/>
  <c r="AB287" i="43"/>
  <c r="AC287" i="43" s="1"/>
  <c r="AD287" i="43"/>
  <c r="AH287" i="43" s="1" a="1"/>
  <c r="AH287" i="43" s="1"/>
  <c r="AE287" i="43"/>
  <c r="AI287" i="43" s="1"/>
  <c r="Z288" i="43"/>
  <c r="AA288" i="43" s="1"/>
  <c r="AB288" i="43"/>
  <c r="AC288" i="43" s="1"/>
  <c r="AD288" i="43"/>
  <c r="AH288" i="43" s="1" a="1"/>
  <c r="AH288" i="43" s="1"/>
  <c r="AE288" i="43"/>
  <c r="AI288" i="43" s="1"/>
  <c r="Z289" i="43"/>
  <c r="AA289" i="43" s="1"/>
  <c r="AB289" i="43"/>
  <c r="AC289" i="43" s="1"/>
  <c r="AD289" i="43"/>
  <c r="AH289" i="43" s="1" a="1"/>
  <c r="AH289" i="43" s="1"/>
  <c r="AE289" i="43"/>
  <c r="AJ289" i="43" s="1"/>
  <c r="Z290" i="43"/>
  <c r="AA290" i="43" s="1"/>
  <c r="AB290" i="43"/>
  <c r="AC290" i="43" s="1"/>
  <c r="AD290" i="43"/>
  <c r="AH290" i="43" s="1" a="1"/>
  <c r="AH290" i="43" s="1"/>
  <c r="AE290" i="43"/>
  <c r="AJ290" i="43" s="1"/>
  <c r="Z291" i="43"/>
  <c r="AA291" i="43" s="1"/>
  <c r="AB291" i="43"/>
  <c r="AC291" i="43" s="1"/>
  <c r="AD291" i="43"/>
  <c r="AH291" i="43" s="1" a="1"/>
  <c r="AH291" i="43" s="1"/>
  <c r="AE291" i="43"/>
  <c r="AI291" i="43" s="1"/>
  <c r="Z292" i="43"/>
  <c r="AA292" i="43" s="1"/>
  <c r="AB292" i="43"/>
  <c r="AC292" i="43" s="1"/>
  <c r="AD292" i="43"/>
  <c r="AH292" i="43" s="1" a="1"/>
  <c r="AH292" i="43" s="1"/>
  <c r="AE292" i="43"/>
  <c r="AJ292" i="43" s="1"/>
  <c r="Z293" i="43"/>
  <c r="AA293" i="43" s="1"/>
  <c r="AB293" i="43"/>
  <c r="AC293" i="43" s="1"/>
  <c r="AD293" i="43"/>
  <c r="AH293" i="43" s="1" a="1"/>
  <c r="AH293" i="43" s="1"/>
  <c r="AE293" i="43"/>
  <c r="AI293" i="43" s="1"/>
  <c r="Z294" i="43"/>
  <c r="AA294" i="43" s="1"/>
  <c r="AB294" i="43"/>
  <c r="AC294" i="43" s="1"/>
  <c r="AD294" i="43"/>
  <c r="AH294" i="43" s="1" a="1"/>
  <c r="AH294" i="43" s="1"/>
  <c r="AE294" i="43"/>
  <c r="Z295" i="43"/>
  <c r="AA295" i="43" s="1"/>
  <c r="AB295" i="43"/>
  <c r="AC295" i="43" s="1"/>
  <c r="AD295" i="43"/>
  <c r="AH295" i="43" s="1" a="1"/>
  <c r="AH295" i="43" s="1"/>
  <c r="AE295" i="43"/>
  <c r="AF295" i="43" s="1"/>
  <c r="AG295" i="43" s="1"/>
  <c r="Z296" i="43"/>
  <c r="AA296" i="43" s="1"/>
  <c r="AB296" i="43"/>
  <c r="AC296" i="43" s="1"/>
  <c r="AD296" i="43"/>
  <c r="AH296" i="43" s="1" a="1"/>
  <c r="AH296" i="43" s="1"/>
  <c r="AE296" i="43"/>
  <c r="Z297" i="43"/>
  <c r="AA297" i="43" s="1"/>
  <c r="AB297" i="43"/>
  <c r="AC297" i="43" s="1"/>
  <c r="AD297" i="43"/>
  <c r="AH297" i="43" s="1" a="1"/>
  <c r="AH297" i="43" s="1"/>
  <c r="AE297" i="43"/>
  <c r="Z298" i="43"/>
  <c r="AA298" i="43" s="1"/>
  <c r="AB298" i="43"/>
  <c r="AC298" i="43" s="1"/>
  <c r="AD298" i="43"/>
  <c r="AH298" i="43" s="1" a="1"/>
  <c r="AH298" i="43" s="1"/>
  <c r="AE298" i="43"/>
  <c r="AJ298" i="43" s="1"/>
  <c r="Z299" i="43"/>
  <c r="AA299" i="43" s="1"/>
  <c r="AB299" i="43"/>
  <c r="AC299" i="43" s="1"/>
  <c r="AD299" i="43"/>
  <c r="AH299" i="43" s="1" a="1"/>
  <c r="AH299" i="43" s="1"/>
  <c r="AE299" i="43"/>
  <c r="Z300" i="43"/>
  <c r="AA300" i="43" s="1"/>
  <c r="AB300" i="43"/>
  <c r="AC300" i="43" s="1"/>
  <c r="AD300" i="43"/>
  <c r="AH300" i="43" s="1" a="1"/>
  <c r="AH300" i="43" s="1"/>
  <c r="AE300" i="43"/>
  <c r="AJ300" i="43" s="1"/>
  <c r="Z301" i="43"/>
  <c r="AA301" i="43" s="1"/>
  <c r="AB301" i="43"/>
  <c r="AC301" i="43" s="1"/>
  <c r="AD301" i="43"/>
  <c r="AH301" i="43" s="1" a="1"/>
  <c r="AH301" i="43" s="1"/>
  <c r="AE301" i="43"/>
  <c r="Z302" i="43"/>
  <c r="AA302" i="43" s="1"/>
  <c r="AB302" i="43"/>
  <c r="AC302" i="43" s="1"/>
  <c r="AD302" i="43"/>
  <c r="AH302" i="43" s="1" a="1"/>
  <c r="AH302" i="43" s="1"/>
  <c r="AE302" i="43"/>
  <c r="AJ302" i="43" s="1"/>
  <c r="Z303" i="43"/>
  <c r="AA303" i="43" s="1"/>
  <c r="AB303" i="43"/>
  <c r="AC303" i="43" s="1"/>
  <c r="AD303" i="43"/>
  <c r="AH303" i="43" s="1" a="1"/>
  <c r="AH303" i="43" s="1"/>
  <c r="AE303" i="43"/>
  <c r="Z304" i="43"/>
  <c r="AA304" i="43" s="1"/>
  <c r="AB304" i="43"/>
  <c r="AC304" i="43" s="1"/>
  <c r="AD304" i="43"/>
  <c r="AH304" i="43" s="1" a="1"/>
  <c r="AH304" i="43" s="1"/>
  <c r="AE304" i="43"/>
  <c r="AJ304" i="43" s="1"/>
  <c r="Z305" i="43"/>
  <c r="AA305" i="43" s="1"/>
  <c r="AB305" i="43"/>
  <c r="AC305" i="43" s="1"/>
  <c r="AD305" i="43"/>
  <c r="AH305" i="43" s="1" a="1"/>
  <c r="AH305" i="43" s="1"/>
  <c r="AE305" i="43"/>
  <c r="AJ305" i="43" s="1"/>
  <c r="Z306" i="43"/>
  <c r="AA306" i="43" s="1"/>
  <c r="AB306" i="43"/>
  <c r="AC306" i="43" s="1"/>
  <c r="AD306" i="43"/>
  <c r="AH306" i="43" s="1" a="1"/>
  <c r="AH306" i="43" s="1"/>
  <c r="AE306" i="43"/>
  <c r="Z307" i="43"/>
  <c r="AA307" i="43" s="1"/>
  <c r="AB307" i="43"/>
  <c r="AC307" i="43" s="1"/>
  <c r="AD307" i="43"/>
  <c r="AH307" i="43" s="1" a="1"/>
  <c r="AH307" i="43" s="1"/>
  <c r="AE307" i="43"/>
  <c r="AI307" i="43" s="1"/>
  <c r="Z308" i="43"/>
  <c r="AA308" i="43" s="1"/>
  <c r="AB308" i="43"/>
  <c r="AC308" i="43" s="1"/>
  <c r="AD308" i="43"/>
  <c r="AH308" i="43" s="1" a="1"/>
  <c r="AH308" i="43" s="1"/>
  <c r="AE308" i="43"/>
  <c r="Z309" i="43"/>
  <c r="AA309" i="43" s="1"/>
  <c r="AB309" i="43"/>
  <c r="AC309" i="43" s="1"/>
  <c r="AD309" i="43"/>
  <c r="AH309" i="43" s="1" a="1"/>
  <c r="AH309" i="43" s="1"/>
  <c r="AE309" i="43"/>
  <c r="AF309" i="43" s="1"/>
  <c r="AG309" i="43" s="1"/>
  <c r="Z310" i="43"/>
  <c r="AA310" i="43" s="1"/>
  <c r="AB310" i="43"/>
  <c r="AC310" i="43" s="1"/>
  <c r="AD310" i="43"/>
  <c r="AH310" i="43" s="1" a="1"/>
  <c r="AH310" i="43" s="1"/>
  <c r="AE310" i="43"/>
  <c r="Z311" i="43"/>
  <c r="AA311" i="43" s="1"/>
  <c r="AB311" i="43"/>
  <c r="AC311" i="43" s="1"/>
  <c r="AD311" i="43"/>
  <c r="AH311" i="43" s="1" a="1"/>
  <c r="AH311" i="43" s="1"/>
  <c r="AE311" i="43"/>
  <c r="AF311" i="43" s="1"/>
  <c r="AG311" i="43" s="1"/>
  <c r="Z312" i="43"/>
  <c r="AA312" i="43" s="1"/>
  <c r="AB312" i="43"/>
  <c r="AC312" i="43" s="1"/>
  <c r="AD312" i="43"/>
  <c r="AH312" i="43" s="1" a="1"/>
  <c r="AH312" i="43" s="1"/>
  <c r="AE312" i="43"/>
  <c r="AF312" i="43" s="1"/>
  <c r="AG312" i="43" s="1"/>
  <c r="Z313" i="43"/>
  <c r="AA313" i="43" s="1"/>
  <c r="AB313" i="43"/>
  <c r="AC313" i="43" s="1"/>
  <c r="AD313" i="43"/>
  <c r="AH313" i="43" s="1" a="1"/>
  <c r="AH313" i="43" s="1"/>
  <c r="AE313" i="43"/>
  <c r="AJ313" i="43" s="1"/>
  <c r="Z314" i="43"/>
  <c r="AA314" i="43" s="1"/>
  <c r="AB314" i="43"/>
  <c r="AC314" i="43" s="1"/>
  <c r="AD314" i="43"/>
  <c r="AH314" i="43" s="1" a="1"/>
  <c r="AH314" i="43" s="1"/>
  <c r="AE314" i="43"/>
  <c r="AI314" i="43" s="1"/>
  <c r="Z315" i="43"/>
  <c r="AA315" i="43" s="1"/>
  <c r="AB315" i="43"/>
  <c r="AC315" i="43" s="1"/>
  <c r="AD315" i="43"/>
  <c r="AH315" i="43" s="1" a="1"/>
  <c r="AH315" i="43" s="1"/>
  <c r="AE315" i="43"/>
  <c r="AJ315" i="43" s="1"/>
  <c r="Z316" i="43"/>
  <c r="AA316" i="43" s="1"/>
  <c r="AB316" i="43"/>
  <c r="AC316" i="43" s="1"/>
  <c r="AD316" i="43"/>
  <c r="AH316" i="43" s="1" a="1"/>
  <c r="AH316" i="43" s="1"/>
  <c r="AE316" i="43"/>
  <c r="AF316" i="43" s="1"/>
  <c r="AG316" i="43" s="1"/>
  <c r="Z317" i="43"/>
  <c r="AA317" i="43" s="1"/>
  <c r="AB317" i="43"/>
  <c r="AC317" i="43" s="1"/>
  <c r="AD317" i="43"/>
  <c r="AH317" i="43" s="1" a="1"/>
  <c r="AH317" i="43" s="1"/>
  <c r="AE317" i="43"/>
  <c r="Z318" i="43"/>
  <c r="AA318" i="43" s="1"/>
  <c r="AB318" i="43"/>
  <c r="AC318" i="43" s="1"/>
  <c r="AD318" i="43"/>
  <c r="AH318" i="43" s="1" a="1"/>
  <c r="AH318" i="43" s="1"/>
  <c r="AE318" i="43"/>
  <c r="AI318" i="43" s="1"/>
  <c r="Z319" i="43"/>
  <c r="AA319" i="43" s="1"/>
  <c r="AB319" i="43"/>
  <c r="AC319" i="43" s="1"/>
  <c r="AD319" i="43"/>
  <c r="AH319" i="43" s="1" a="1"/>
  <c r="AH319" i="43" s="1"/>
  <c r="AE319" i="43"/>
  <c r="Z320" i="43"/>
  <c r="AA320" i="43" s="1"/>
  <c r="AB320" i="43"/>
  <c r="AC320" i="43" s="1"/>
  <c r="AD320" i="43"/>
  <c r="AH320" i="43" s="1" a="1"/>
  <c r="AH320" i="43" s="1"/>
  <c r="AE320" i="43"/>
  <c r="AF320" i="43" s="1"/>
  <c r="AG320" i="43" s="1"/>
  <c r="Z321" i="43"/>
  <c r="AA321" i="43" s="1"/>
  <c r="AB321" i="43"/>
  <c r="AC321" i="43" s="1"/>
  <c r="AD321" i="43"/>
  <c r="AH321" i="43" s="1" a="1"/>
  <c r="AH321" i="43" s="1"/>
  <c r="AE321" i="43"/>
  <c r="AJ321" i="43" s="1"/>
  <c r="Z322" i="43"/>
  <c r="AA322" i="43" s="1"/>
  <c r="AB322" i="43"/>
  <c r="AC322" i="43" s="1"/>
  <c r="AD322" i="43"/>
  <c r="AH322" i="43" s="1" a="1"/>
  <c r="AH322" i="43" s="1"/>
  <c r="AE322" i="43"/>
  <c r="Z323" i="43"/>
  <c r="AA323" i="43" s="1"/>
  <c r="AB323" i="43"/>
  <c r="AC323" i="43" s="1"/>
  <c r="AD323" i="43"/>
  <c r="AH323" i="43" s="1" a="1"/>
  <c r="AH323" i="43" s="1"/>
  <c r="AE323" i="43"/>
  <c r="AJ323" i="43" s="1"/>
  <c r="Z324" i="43"/>
  <c r="AA324" i="43" s="1"/>
  <c r="AB324" i="43"/>
  <c r="AC324" i="43" s="1"/>
  <c r="AD324" i="43"/>
  <c r="AH324" i="43" s="1" a="1"/>
  <c r="AH324" i="43" s="1"/>
  <c r="AE324" i="43"/>
  <c r="Z325" i="43"/>
  <c r="AA325" i="43" s="1"/>
  <c r="AB325" i="43"/>
  <c r="AC325" i="43" s="1"/>
  <c r="AD325" i="43"/>
  <c r="AH325" i="43" s="1" a="1"/>
  <c r="AH325" i="43" s="1"/>
  <c r="AE325" i="43"/>
  <c r="AJ325" i="43" s="1"/>
  <c r="Z326" i="43"/>
  <c r="AA326" i="43" s="1"/>
  <c r="AB326" i="43"/>
  <c r="AC326" i="43" s="1"/>
  <c r="AD326" i="43"/>
  <c r="AH326" i="43" s="1" a="1"/>
  <c r="AH326" i="43" s="1"/>
  <c r="AE326" i="43"/>
  <c r="Z327" i="43"/>
  <c r="AA327" i="43" s="1"/>
  <c r="AB327" i="43"/>
  <c r="AC327" i="43" s="1"/>
  <c r="AD327" i="43"/>
  <c r="AH327" i="43" s="1" a="1"/>
  <c r="AH327" i="43" s="1"/>
  <c r="AE327" i="43"/>
  <c r="AJ327" i="43" s="1"/>
  <c r="Z328" i="43"/>
  <c r="AA328" i="43" s="1"/>
  <c r="AB328" i="43"/>
  <c r="AC328" i="43" s="1"/>
  <c r="AD328" i="43"/>
  <c r="AH328" i="43" s="1" a="1"/>
  <c r="AH328" i="43" s="1"/>
  <c r="AE328" i="43"/>
  <c r="AI328" i="43" s="1"/>
  <c r="Z329" i="43"/>
  <c r="AA329" i="43" s="1"/>
  <c r="AB329" i="43"/>
  <c r="AC329" i="43" s="1"/>
  <c r="AD329" i="43"/>
  <c r="AH329" i="43" s="1" a="1"/>
  <c r="AH329" i="43" s="1"/>
  <c r="AE329" i="43"/>
  <c r="AJ329" i="43" s="1"/>
  <c r="Z330" i="43"/>
  <c r="AA330" i="43" s="1"/>
  <c r="AB330" i="43"/>
  <c r="AC330" i="43" s="1"/>
  <c r="AD330" i="43"/>
  <c r="AH330" i="43" s="1" a="1"/>
  <c r="AH330" i="43" s="1"/>
  <c r="AE330" i="43"/>
  <c r="AI330" i="43" s="1"/>
  <c r="Z331" i="43"/>
  <c r="AA331" i="43" s="1"/>
  <c r="AB331" i="43"/>
  <c r="AC331" i="43" s="1"/>
  <c r="AD331" i="43"/>
  <c r="AH331" i="43" s="1" a="1"/>
  <c r="AH331" i="43" s="1"/>
  <c r="AE331" i="43"/>
  <c r="Z332" i="43"/>
  <c r="AA332" i="43" s="1"/>
  <c r="AB332" i="43"/>
  <c r="AC332" i="43" s="1"/>
  <c r="AD332" i="43"/>
  <c r="AH332" i="43" s="1" a="1"/>
  <c r="AH332" i="43" s="1"/>
  <c r="AE332" i="43"/>
  <c r="Z333" i="43"/>
  <c r="AA333" i="43" s="1"/>
  <c r="AB333" i="43"/>
  <c r="AC333" i="43" s="1"/>
  <c r="AD333" i="43"/>
  <c r="AH333" i="43" s="1" a="1"/>
  <c r="AH333" i="43" s="1"/>
  <c r="AE333" i="43"/>
  <c r="AJ333" i="43" s="1"/>
  <c r="Z334" i="43"/>
  <c r="AA334" i="43" s="1"/>
  <c r="AB334" i="43"/>
  <c r="AC334" i="43" s="1"/>
  <c r="AD334" i="43"/>
  <c r="AH334" i="43" s="1" a="1"/>
  <c r="AH334" i="43" s="1"/>
  <c r="AE334" i="43"/>
  <c r="Z335" i="43"/>
  <c r="AA335" i="43" s="1"/>
  <c r="AB335" i="43"/>
  <c r="AC335" i="43" s="1"/>
  <c r="AD335" i="43"/>
  <c r="AH335" i="43" s="1" a="1"/>
  <c r="AH335" i="43" s="1"/>
  <c r="AE335" i="43"/>
  <c r="Z336" i="43"/>
  <c r="AA336" i="43" s="1"/>
  <c r="AB336" i="43"/>
  <c r="AC336" i="43" s="1"/>
  <c r="AD336" i="43"/>
  <c r="AH336" i="43" s="1" a="1"/>
  <c r="AH336" i="43" s="1"/>
  <c r="AE336" i="43"/>
  <c r="Z337" i="43"/>
  <c r="AA337" i="43" s="1"/>
  <c r="AB337" i="43"/>
  <c r="AC337" i="43" s="1"/>
  <c r="AD337" i="43"/>
  <c r="AH337" i="43" s="1" a="1"/>
  <c r="AH337" i="43" s="1"/>
  <c r="AE337" i="43"/>
  <c r="AJ337" i="43" s="1"/>
  <c r="Z338" i="43"/>
  <c r="AA338" i="43" s="1"/>
  <c r="AB338" i="43"/>
  <c r="AC338" i="43" s="1"/>
  <c r="AD338" i="43"/>
  <c r="AH338" i="43" s="1" a="1"/>
  <c r="AH338" i="43" s="1"/>
  <c r="AE338" i="43"/>
  <c r="Z339" i="43"/>
  <c r="AA339" i="43" s="1"/>
  <c r="AB339" i="43"/>
  <c r="AC339" i="43" s="1"/>
  <c r="AD339" i="43"/>
  <c r="AH339" i="43" s="1" a="1"/>
  <c r="AH339" i="43" s="1"/>
  <c r="AE339" i="43"/>
  <c r="AJ339" i="43" s="1"/>
  <c r="Z340" i="43"/>
  <c r="AA340" i="43" s="1"/>
  <c r="AB340" i="43"/>
  <c r="AC340" i="43" s="1"/>
  <c r="AD340" i="43"/>
  <c r="AH340" i="43" s="1" a="1"/>
  <c r="AH340" i="43" s="1"/>
  <c r="AE340" i="43"/>
  <c r="Z341" i="43"/>
  <c r="AA341" i="43" s="1"/>
  <c r="AB341" i="43"/>
  <c r="AC341" i="43" s="1"/>
  <c r="AD341" i="43"/>
  <c r="AH341" i="43" s="1" a="1"/>
  <c r="AH341" i="43" s="1"/>
  <c r="AE341" i="43"/>
  <c r="AJ341" i="43" s="1"/>
  <c r="Z342" i="43"/>
  <c r="AA342" i="43" s="1"/>
  <c r="AB342" i="43"/>
  <c r="AC342" i="43" s="1"/>
  <c r="AD342" i="43"/>
  <c r="AH342" i="43" s="1" a="1"/>
  <c r="AH342" i="43" s="1"/>
  <c r="AE342" i="43"/>
  <c r="AI342" i="43" s="1"/>
  <c r="Z343" i="43"/>
  <c r="AA343" i="43" s="1"/>
  <c r="AB343" i="43"/>
  <c r="AC343" i="43" s="1"/>
  <c r="AD343" i="43"/>
  <c r="AH343" i="43" s="1" a="1"/>
  <c r="AH343" i="43" s="1"/>
  <c r="AE343" i="43"/>
  <c r="AJ343" i="43" s="1"/>
  <c r="Z344" i="43"/>
  <c r="AA344" i="43" s="1"/>
  <c r="AB344" i="43"/>
  <c r="AC344" i="43" s="1"/>
  <c r="AD344" i="43"/>
  <c r="AH344" i="43" s="1" a="1"/>
  <c r="AH344" i="43" s="1"/>
  <c r="AE344" i="43"/>
  <c r="AI344" i="43" s="1"/>
  <c r="Z345" i="43"/>
  <c r="AA345" i="43" s="1"/>
  <c r="AB345" i="43"/>
  <c r="AC345" i="43" s="1"/>
  <c r="AD345" i="43"/>
  <c r="AH345" i="43" s="1" a="1"/>
  <c r="AH345" i="43" s="1"/>
  <c r="AE345" i="43"/>
  <c r="Z346" i="43"/>
  <c r="AA346" i="43" s="1"/>
  <c r="AB346" i="43"/>
  <c r="AC346" i="43" s="1"/>
  <c r="AD346" i="43"/>
  <c r="AH346" i="43" s="1" a="1"/>
  <c r="AH346" i="43" s="1"/>
  <c r="AE346" i="43"/>
  <c r="Z347" i="43"/>
  <c r="AA347" i="43" s="1"/>
  <c r="AB347" i="43"/>
  <c r="AC347" i="43" s="1"/>
  <c r="AD347" i="43"/>
  <c r="AH347" i="43" s="1" a="1"/>
  <c r="AH347" i="43" s="1"/>
  <c r="AE347" i="43"/>
  <c r="Z348" i="43"/>
  <c r="AA348" i="43" s="1"/>
  <c r="AB348" i="43"/>
  <c r="AC348" i="43" s="1"/>
  <c r="AD348" i="43"/>
  <c r="AH348" i="43" s="1" a="1"/>
  <c r="AH348" i="43" s="1"/>
  <c r="AE348" i="43"/>
  <c r="Z349" i="43"/>
  <c r="AA349" i="43" s="1"/>
  <c r="AB349" i="43"/>
  <c r="AC349" i="43" s="1"/>
  <c r="AD349" i="43"/>
  <c r="AH349" i="43" s="1" a="1"/>
  <c r="AH349" i="43" s="1"/>
  <c r="AE349" i="43"/>
  <c r="AJ349" i="43" s="1"/>
  <c r="Z350" i="43"/>
  <c r="AA350" i="43" s="1"/>
  <c r="AB350" i="43"/>
  <c r="AC350" i="43" s="1"/>
  <c r="AD350" i="43"/>
  <c r="AH350" i="43" s="1" a="1"/>
  <c r="AH350" i="43" s="1"/>
  <c r="AE350" i="43"/>
  <c r="Z351" i="43"/>
  <c r="AA351" i="43" s="1"/>
  <c r="AB351" i="43"/>
  <c r="AC351" i="43" s="1"/>
  <c r="AD351" i="43"/>
  <c r="AH351" i="43" s="1" a="1"/>
  <c r="AH351" i="43" s="1"/>
  <c r="AE351" i="43"/>
  <c r="AI351" i="43" s="1"/>
  <c r="Z352" i="43"/>
  <c r="AA352" i="43" s="1"/>
  <c r="AB352" i="43"/>
  <c r="AC352" i="43" s="1"/>
  <c r="AD352" i="43"/>
  <c r="AH352" i="43" s="1" a="1"/>
  <c r="AH352" i="43" s="1"/>
  <c r="AE352" i="43"/>
  <c r="AF352" i="43" s="1"/>
  <c r="AG352" i="43" s="1"/>
  <c r="Z353" i="43"/>
  <c r="AA353" i="43" s="1"/>
  <c r="AB353" i="43"/>
  <c r="AC353" i="43" s="1"/>
  <c r="AD353" i="43"/>
  <c r="AH353" i="43" s="1" a="1"/>
  <c r="AH353" i="43" s="1"/>
  <c r="AE353" i="43"/>
  <c r="Z354" i="43"/>
  <c r="AA354" i="43" s="1"/>
  <c r="AB354" i="43"/>
  <c r="AC354" i="43" s="1"/>
  <c r="AD354" i="43"/>
  <c r="AH354" i="43" s="1" a="1"/>
  <c r="AH354" i="43" s="1"/>
  <c r="AE354" i="43"/>
  <c r="Z355" i="43"/>
  <c r="AA355" i="43" s="1"/>
  <c r="AB355" i="43"/>
  <c r="AC355" i="43" s="1"/>
  <c r="AD355" i="43"/>
  <c r="AH355" i="43" s="1" a="1"/>
  <c r="AH355" i="43" s="1"/>
  <c r="AE355" i="43"/>
  <c r="AJ355" i="43" s="1"/>
  <c r="Z356" i="43"/>
  <c r="AA356" i="43" s="1"/>
  <c r="AB356" i="43"/>
  <c r="AC356" i="43" s="1"/>
  <c r="AD356" i="43"/>
  <c r="AH356" i="43" s="1" a="1"/>
  <c r="AH356" i="43" s="1"/>
  <c r="AE356" i="43"/>
  <c r="AI356" i="43" s="1"/>
  <c r="Z357" i="43"/>
  <c r="AA357" i="43" s="1"/>
  <c r="AB357" i="43"/>
  <c r="AC357" i="43" s="1"/>
  <c r="AD357" i="43"/>
  <c r="AH357" i="43" s="1" a="1"/>
  <c r="AH357" i="43" s="1"/>
  <c r="AE357" i="43"/>
  <c r="AJ357" i="43" s="1"/>
  <c r="Z358" i="43"/>
  <c r="AA358" i="43" s="1"/>
  <c r="AB358" i="43"/>
  <c r="AC358" i="43" s="1"/>
  <c r="AD358" i="43"/>
  <c r="AH358" i="43" s="1" a="1"/>
  <c r="AH358" i="43" s="1"/>
  <c r="AE358" i="43"/>
  <c r="Z359" i="43"/>
  <c r="AA359" i="43" s="1"/>
  <c r="AB359" i="43"/>
  <c r="AC359" i="43" s="1"/>
  <c r="AD359" i="43"/>
  <c r="AH359" i="43" s="1" a="1"/>
  <c r="AH359" i="43" s="1"/>
  <c r="AE359" i="43"/>
  <c r="AJ359" i="43" s="1"/>
  <c r="Z360" i="43"/>
  <c r="AA360" i="43" s="1"/>
  <c r="AB360" i="43"/>
  <c r="AC360" i="43" s="1"/>
  <c r="AD360" i="43"/>
  <c r="AH360" i="43" s="1" a="1"/>
  <c r="AH360" i="43" s="1"/>
  <c r="AE360" i="43"/>
  <c r="AI360" i="43" s="1"/>
  <c r="Z361" i="43"/>
  <c r="AA361" i="43" s="1"/>
  <c r="AB361" i="43"/>
  <c r="AC361" i="43" s="1"/>
  <c r="AD361" i="43"/>
  <c r="AH361" i="43" s="1" a="1"/>
  <c r="AH361" i="43" s="1"/>
  <c r="AE361" i="43"/>
  <c r="Z362" i="43"/>
  <c r="AA362" i="43" s="1"/>
  <c r="AB362" i="43"/>
  <c r="AC362" i="43" s="1"/>
  <c r="AD362" i="43"/>
  <c r="AH362" i="43" s="1" a="1"/>
  <c r="AH362" i="43" s="1"/>
  <c r="AE362" i="43"/>
  <c r="AI362" i="43" s="1"/>
  <c r="Z363" i="43"/>
  <c r="AA363" i="43" s="1"/>
  <c r="AB363" i="43"/>
  <c r="AC363" i="43" s="1"/>
  <c r="AD363" i="43"/>
  <c r="AH363" i="43" s="1" a="1"/>
  <c r="AH363" i="43" s="1"/>
  <c r="AE363" i="43"/>
  <c r="Z364" i="43"/>
  <c r="AA364" i="43" s="1"/>
  <c r="AB364" i="43"/>
  <c r="AC364" i="43" s="1"/>
  <c r="AD364" i="43"/>
  <c r="AH364" i="43" s="1" a="1"/>
  <c r="AH364" i="43" s="1"/>
  <c r="AE364" i="43"/>
  <c r="AF364" i="43" s="1"/>
  <c r="AG364" i="43" s="1"/>
  <c r="Z365" i="43"/>
  <c r="AA365" i="43" s="1"/>
  <c r="AB365" i="43"/>
  <c r="AC365" i="43" s="1"/>
  <c r="AD365" i="43"/>
  <c r="AH365" i="43" s="1" a="1"/>
  <c r="AH365" i="43" s="1"/>
  <c r="AE365" i="43"/>
  <c r="AJ365" i="43" s="1"/>
  <c r="Z366" i="43"/>
  <c r="AA366" i="43" s="1"/>
  <c r="AB366" i="43"/>
  <c r="AC366" i="43" s="1"/>
  <c r="AD366" i="43"/>
  <c r="AH366" i="43" s="1" a="1"/>
  <c r="AH366" i="43" s="1"/>
  <c r="AE366" i="43"/>
  <c r="Z367" i="43"/>
  <c r="AA367" i="43" s="1"/>
  <c r="AB367" i="43"/>
  <c r="AC367" i="43" s="1"/>
  <c r="AD367" i="43"/>
  <c r="AH367" i="43" s="1" a="1"/>
  <c r="AH367" i="43" s="1"/>
  <c r="AE367" i="43"/>
  <c r="Z368" i="43"/>
  <c r="AA368" i="43" s="1"/>
  <c r="AB368" i="43"/>
  <c r="AC368" i="43" s="1"/>
  <c r="AD368" i="43"/>
  <c r="AH368" i="43" s="1" a="1"/>
  <c r="AH368" i="43" s="1"/>
  <c r="AE368" i="43"/>
  <c r="Z369" i="43"/>
  <c r="AA369" i="43" s="1"/>
  <c r="AB369" i="43"/>
  <c r="AC369" i="43" s="1"/>
  <c r="AD369" i="43"/>
  <c r="AH369" i="43" s="1" a="1"/>
  <c r="AH369" i="43" s="1"/>
  <c r="AE369" i="43"/>
  <c r="Z370" i="43"/>
  <c r="AA370" i="43" s="1"/>
  <c r="AB370" i="43"/>
  <c r="AC370" i="43" s="1"/>
  <c r="AD370" i="43"/>
  <c r="AH370" i="43" s="1" a="1"/>
  <c r="AH370" i="43" s="1"/>
  <c r="AE370" i="43"/>
  <c r="Z371" i="43"/>
  <c r="AA371" i="43" s="1"/>
  <c r="AB371" i="43"/>
  <c r="AC371" i="43" s="1"/>
  <c r="AD371" i="43"/>
  <c r="AH371" i="43" s="1" a="1"/>
  <c r="AH371" i="43" s="1"/>
  <c r="AE371" i="43"/>
  <c r="AJ371" i="43" s="1"/>
  <c r="Z372" i="43"/>
  <c r="AA372" i="43" s="1"/>
  <c r="AB372" i="43"/>
  <c r="AC372" i="43" s="1"/>
  <c r="AD372" i="43"/>
  <c r="AH372" i="43" s="1" a="1"/>
  <c r="AH372" i="43" s="1"/>
  <c r="AE372" i="43"/>
  <c r="AI372" i="43" s="1"/>
  <c r="Z373" i="43"/>
  <c r="AA373" i="43" s="1"/>
  <c r="AB373" i="43"/>
  <c r="AC373" i="43" s="1"/>
  <c r="AD373" i="43"/>
  <c r="AH373" i="43" s="1" a="1"/>
  <c r="AH373" i="43" s="1"/>
  <c r="AE373" i="43"/>
  <c r="AJ373" i="43" s="1"/>
  <c r="Z374" i="43"/>
  <c r="AA374" i="43" s="1"/>
  <c r="AB374" i="43"/>
  <c r="AC374" i="43" s="1"/>
  <c r="AD374" i="43"/>
  <c r="AH374" i="43" s="1" a="1"/>
  <c r="AH374" i="43" s="1"/>
  <c r="AE374" i="43"/>
  <c r="AI374" i="43" s="1"/>
  <c r="Z375" i="43"/>
  <c r="AA375" i="43" s="1"/>
  <c r="AB375" i="43"/>
  <c r="AC375" i="43" s="1"/>
  <c r="AD375" i="43"/>
  <c r="AH375" i="43" s="1" a="1"/>
  <c r="AH375" i="43" s="1"/>
  <c r="AE375" i="43"/>
  <c r="Z376" i="43"/>
  <c r="AA376" i="43" s="1"/>
  <c r="AB376" i="43"/>
  <c r="AC376" i="43" s="1"/>
  <c r="AD376" i="43"/>
  <c r="AH376" i="43" s="1" a="1"/>
  <c r="AH376" i="43" s="1"/>
  <c r="AE376" i="43"/>
  <c r="AI376" i="43" s="1"/>
  <c r="Z377" i="43"/>
  <c r="AA377" i="43" s="1"/>
  <c r="AB377" i="43"/>
  <c r="AC377" i="43" s="1"/>
  <c r="AD377" i="43"/>
  <c r="AH377" i="43" s="1" a="1"/>
  <c r="AH377" i="43" s="1"/>
  <c r="AE377" i="43"/>
  <c r="Z378" i="43"/>
  <c r="AA378" i="43" s="1"/>
  <c r="AB378" i="43"/>
  <c r="AC378" i="43" s="1"/>
  <c r="AD378" i="43"/>
  <c r="AH378" i="43" s="1" a="1"/>
  <c r="AH378" i="43" s="1"/>
  <c r="AE378" i="43"/>
  <c r="AJ378" i="43" s="1"/>
  <c r="Z379" i="43"/>
  <c r="AA379" i="43" s="1"/>
  <c r="AB379" i="43"/>
  <c r="AC379" i="43" s="1"/>
  <c r="AD379" i="43"/>
  <c r="AH379" i="43" s="1" a="1"/>
  <c r="AH379" i="43" s="1"/>
  <c r="AE379" i="43"/>
  <c r="Z380" i="43"/>
  <c r="AA380" i="43" s="1"/>
  <c r="AB380" i="43"/>
  <c r="AC380" i="43" s="1"/>
  <c r="AD380" i="43"/>
  <c r="AH380" i="43" s="1" a="1"/>
  <c r="AH380" i="43" s="1"/>
  <c r="AE380" i="43"/>
  <c r="AJ380" i="43" s="1"/>
  <c r="Z381" i="43"/>
  <c r="AA381" i="43" s="1"/>
  <c r="AB381" i="43"/>
  <c r="AC381" i="43" s="1"/>
  <c r="AD381" i="43"/>
  <c r="AH381" i="43" s="1" a="1"/>
  <c r="AH381" i="43" s="1"/>
  <c r="AE381" i="43"/>
  <c r="AJ381" i="43" s="1"/>
  <c r="Z382" i="43"/>
  <c r="AA382" i="43" s="1"/>
  <c r="AB382" i="43"/>
  <c r="AC382" i="43" s="1"/>
  <c r="AD382" i="43"/>
  <c r="AH382" i="43" s="1" a="1"/>
  <c r="AH382" i="43" s="1"/>
  <c r="AE382" i="43"/>
  <c r="Z383" i="43"/>
  <c r="AA383" i="43" s="1"/>
  <c r="AB383" i="43"/>
  <c r="AC383" i="43" s="1"/>
  <c r="AD383" i="43"/>
  <c r="AH383" i="43" s="1" a="1"/>
  <c r="AH383" i="43" s="1"/>
  <c r="AE383" i="43"/>
  <c r="Z384" i="43"/>
  <c r="AA384" i="43" s="1"/>
  <c r="AB384" i="43"/>
  <c r="AC384" i="43" s="1"/>
  <c r="AD384" i="43"/>
  <c r="AH384" i="43" s="1" a="1"/>
  <c r="AH384" i="43" s="1"/>
  <c r="AE384" i="43"/>
  <c r="Z385" i="43"/>
  <c r="AA385" i="43" s="1"/>
  <c r="AB385" i="43"/>
  <c r="AC385" i="43" s="1"/>
  <c r="AD385" i="43"/>
  <c r="AH385" i="43" s="1" a="1"/>
  <c r="AH385" i="43" s="1"/>
  <c r="AE385" i="43"/>
  <c r="AJ385" i="43" s="1"/>
  <c r="Z386" i="43"/>
  <c r="AA386" i="43" s="1"/>
  <c r="AB386" i="43"/>
  <c r="AC386" i="43" s="1"/>
  <c r="AD386" i="43"/>
  <c r="AH386" i="43" s="1" a="1"/>
  <c r="AH386" i="43" s="1"/>
  <c r="AE386" i="43"/>
  <c r="Z387" i="43"/>
  <c r="AA387" i="43" s="1"/>
  <c r="AB387" i="43"/>
  <c r="AC387" i="43" s="1"/>
  <c r="AD387" i="43"/>
  <c r="AH387" i="43" s="1" a="1"/>
  <c r="AH387" i="43" s="1"/>
  <c r="AE387" i="43"/>
  <c r="AJ387" i="43" s="1"/>
  <c r="Z388" i="43"/>
  <c r="AA388" i="43" s="1"/>
  <c r="AB388" i="43"/>
  <c r="AC388" i="43" s="1"/>
  <c r="AD388" i="43"/>
  <c r="AH388" i="43" s="1" a="1"/>
  <c r="AH388" i="43" s="1"/>
  <c r="AE388" i="43"/>
  <c r="AI388" i="43" s="1"/>
  <c r="Z389" i="43"/>
  <c r="AA389" i="43" s="1"/>
  <c r="AB389" i="43"/>
  <c r="AC389" i="43" s="1"/>
  <c r="AD389" i="43"/>
  <c r="AH389" i="43" s="1" a="1"/>
  <c r="AH389" i="43" s="1"/>
  <c r="AE389" i="43"/>
  <c r="AJ389" i="43" s="1"/>
  <c r="Z390" i="43"/>
  <c r="AA390" i="43" s="1"/>
  <c r="AB390" i="43"/>
  <c r="AC390" i="43" s="1"/>
  <c r="AD390" i="43"/>
  <c r="AH390" i="43" s="1" a="1"/>
  <c r="AH390" i="43" s="1"/>
  <c r="AE390" i="43"/>
  <c r="Z391" i="43"/>
  <c r="AA391" i="43" s="1"/>
  <c r="AB391" i="43"/>
  <c r="AC391" i="43" s="1"/>
  <c r="AD391" i="43"/>
  <c r="AH391" i="43" s="1" a="1"/>
  <c r="AH391" i="43" s="1"/>
  <c r="AE391" i="43"/>
  <c r="Z392" i="43"/>
  <c r="AA392" i="43" s="1"/>
  <c r="AB392" i="43"/>
  <c r="AC392" i="43" s="1"/>
  <c r="AD392" i="43"/>
  <c r="AH392" i="43" s="1" a="1"/>
  <c r="AH392" i="43" s="1"/>
  <c r="AE392" i="43"/>
  <c r="AI392" i="43" s="1"/>
  <c r="Z393" i="43"/>
  <c r="AA393" i="43" s="1"/>
  <c r="AB393" i="43"/>
  <c r="AC393" i="43" s="1"/>
  <c r="AD393" i="43"/>
  <c r="AH393" i="43" s="1" a="1"/>
  <c r="AH393" i="43" s="1"/>
  <c r="AE393" i="43"/>
  <c r="AJ393" i="43" s="1"/>
  <c r="Z394" i="43"/>
  <c r="AA394" i="43" s="1"/>
  <c r="AB394" i="43"/>
  <c r="AC394" i="43" s="1"/>
  <c r="AD394" i="43"/>
  <c r="AH394" i="43" s="1" a="1"/>
  <c r="AH394" i="43" s="1"/>
  <c r="AE394" i="43"/>
  <c r="AI394" i="43" s="1"/>
  <c r="Z395" i="43"/>
  <c r="AA395" i="43" s="1"/>
  <c r="AB395" i="43"/>
  <c r="AC395" i="43" s="1"/>
  <c r="AD395" i="43"/>
  <c r="AH395" i="43" s="1" a="1"/>
  <c r="AH395" i="43" s="1"/>
  <c r="AE395" i="43"/>
  <c r="Z396" i="43"/>
  <c r="AA396" i="43" s="1"/>
  <c r="AB396" i="43"/>
  <c r="AC396" i="43" s="1"/>
  <c r="AD396" i="43"/>
  <c r="AH396" i="43" s="1" a="1"/>
  <c r="AH396" i="43" s="1"/>
  <c r="AE396" i="43"/>
  <c r="AI396" i="43" s="1"/>
  <c r="Z397" i="43"/>
  <c r="AA397" i="43" s="1"/>
  <c r="AB397" i="43"/>
  <c r="AC397" i="43" s="1"/>
  <c r="AD397" i="43"/>
  <c r="AH397" i="43" s="1" a="1"/>
  <c r="AH397" i="43" s="1"/>
  <c r="AE397" i="43"/>
  <c r="AJ397" i="43" s="1"/>
  <c r="Z398" i="43"/>
  <c r="AA398" i="43" s="1"/>
  <c r="AB398" i="43"/>
  <c r="AC398" i="43" s="1"/>
  <c r="AD398" i="43"/>
  <c r="AH398" i="43" s="1" a="1"/>
  <c r="AH398" i="43" s="1"/>
  <c r="AE398" i="43"/>
  <c r="Z399" i="43"/>
  <c r="AA399" i="43" s="1"/>
  <c r="AB399" i="43"/>
  <c r="AC399" i="43" s="1"/>
  <c r="AD399" i="43"/>
  <c r="AH399" i="43" s="1" a="1"/>
  <c r="AH399" i="43" s="1"/>
  <c r="AE399" i="43"/>
  <c r="Z400" i="43"/>
  <c r="AA400" i="43" s="1"/>
  <c r="AB400" i="43"/>
  <c r="AC400" i="43" s="1"/>
  <c r="AD400" i="43"/>
  <c r="AH400" i="43" s="1" a="1"/>
  <c r="AH400" i="43" s="1"/>
  <c r="AE400" i="43"/>
  <c r="Z401" i="43"/>
  <c r="AA401" i="43" s="1"/>
  <c r="AB401" i="43"/>
  <c r="AC401" i="43" s="1"/>
  <c r="AD401" i="43"/>
  <c r="AH401" i="43" s="1" a="1"/>
  <c r="AH401" i="43" s="1"/>
  <c r="AE401" i="43"/>
  <c r="AF401" i="43" s="1"/>
  <c r="AG401" i="43" s="1"/>
  <c r="Z402" i="43"/>
  <c r="AA402" i="43" s="1"/>
  <c r="AB402" i="43"/>
  <c r="AC402" i="43" s="1"/>
  <c r="AD402" i="43"/>
  <c r="AH402" i="43" s="1" a="1"/>
  <c r="AH402" i="43" s="1"/>
  <c r="AE402" i="43"/>
  <c r="AF402" i="43" s="1"/>
  <c r="AG402" i="43" s="1"/>
  <c r="Z403" i="43"/>
  <c r="AA403" i="43" s="1"/>
  <c r="AB403" i="43"/>
  <c r="AC403" i="43" s="1"/>
  <c r="AD403" i="43"/>
  <c r="AH403" i="43" s="1" a="1"/>
  <c r="AH403" i="43" s="1"/>
  <c r="AE403" i="43"/>
  <c r="AF403" i="43" s="1"/>
  <c r="AG403" i="43" s="1"/>
  <c r="Z404" i="43"/>
  <c r="AA404" i="43" s="1"/>
  <c r="AB404" i="43"/>
  <c r="AC404" i="43" s="1"/>
  <c r="AD404" i="43"/>
  <c r="AH404" i="43" s="1" a="1"/>
  <c r="AH404" i="43" s="1"/>
  <c r="AE404" i="43"/>
  <c r="AF404" i="43" s="1"/>
  <c r="AG404" i="43" s="1"/>
  <c r="Z405" i="43"/>
  <c r="AA405" i="43" s="1"/>
  <c r="AB405" i="43"/>
  <c r="AC405" i="43" s="1"/>
  <c r="AD405" i="43"/>
  <c r="AH405" i="43" s="1" a="1"/>
  <c r="AH405" i="43" s="1"/>
  <c r="AE405" i="43"/>
  <c r="AF405" i="43" s="1"/>
  <c r="AG405" i="43" s="1"/>
  <c r="Z406" i="43"/>
  <c r="AA406" i="43" s="1"/>
  <c r="AB406" i="43"/>
  <c r="AC406" i="43" s="1"/>
  <c r="AD406" i="43"/>
  <c r="AH406" i="43" s="1" a="1"/>
  <c r="AH406" i="43" s="1"/>
  <c r="AE406" i="43"/>
  <c r="AJ406" i="43" s="1"/>
  <c r="Z407" i="43"/>
  <c r="AA407" i="43" s="1"/>
  <c r="AB407" i="43"/>
  <c r="AC407" i="43" s="1"/>
  <c r="AD407" i="43"/>
  <c r="AH407" i="43" s="1" a="1"/>
  <c r="AH407" i="43" s="1"/>
  <c r="AE407" i="43"/>
  <c r="AF407" i="43" s="1"/>
  <c r="AG407" i="43" s="1"/>
  <c r="Z408" i="43"/>
  <c r="AA408" i="43" s="1"/>
  <c r="AB408" i="43"/>
  <c r="AC408" i="43" s="1"/>
  <c r="AD408" i="43"/>
  <c r="AH408" i="43" s="1" a="1"/>
  <c r="AH408" i="43" s="1"/>
  <c r="AE408" i="43"/>
  <c r="AJ408" i="43" s="1"/>
  <c r="Z409" i="43"/>
  <c r="AA409" i="43" s="1"/>
  <c r="AB409" i="43"/>
  <c r="AC409" i="43" s="1"/>
  <c r="AD409" i="43"/>
  <c r="AH409" i="43" s="1" a="1"/>
  <c r="AH409" i="43" s="1"/>
  <c r="AE409" i="43"/>
  <c r="AF409" i="43" s="1"/>
  <c r="AG409" i="43" s="1"/>
  <c r="Z410" i="43"/>
  <c r="AA410" i="43" s="1"/>
  <c r="AB410" i="43"/>
  <c r="AC410" i="43" s="1"/>
  <c r="AD410" i="43"/>
  <c r="AH410" i="43" s="1" a="1"/>
  <c r="AH410" i="43" s="1"/>
  <c r="AE410" i="43"/>
  <c r="AF410" i="43" s="1"/>
  <c r="AG410" i="43" s="1"/>
  <c r="Z411" i="43"/>
  <c r="AA411" i="43" s="1"/>
  <c r="AB411" i="43"/>
  <c r="AC411" i="43" s="1"/>
  <c r="AD411" i="43"/>
  <c r="AH411" i="43" s="1" a="1"/>
  <c r="AH411" i="43" s="1"/>
  <c r="AE411" i="43"/>
  <c r="AF411" i="43" s="1"/>
  <c r="AG411" i="43" s="1"/>
  <c r="Z412" i="43"/>
  <c r="AA412" i="43" s="1"/>
  <c r="AB412" i="43"/>
  <c r="AC412" i="43" s="1"/>
  <c r="AD412" i="43"/>
  <c r="AH412" i="43" s="1" a="1"/>
  <c r="AH412" i="43" s="1"/>
  <c r="AE412" i="43"/>
  <c r="AF412" i="43" s="1"/>
  <c r="AG412" i="43" s="1"/>
  <c r="Z413" i="43"/>
  <c r="AA413" i="43" s="1"/>
  <c r="AB413" i="43"/>
  <c r="AC413" i="43" s="1"/>
  <c r="AD413" i="43"/>
  <c r="AH413" i="43" s="1" a="1"/>
  <c r="AH413" i="43" s="1"/>
  <c r="AE413" i="43"/>
  <c r="AF413" i="43" s="1"/>
  <c r="AG413" i="43" s="1"/>
  <c r="Z414" i="43"/>
  <c r="AA414" i="43" s="1"/>
  <c r="AB414" i="43"/>
  <c r="AC414" i="43" s="1"/>
  <c r="AD414" i="43"/>
  <c r="AH414" i="43" s="1" a="1"/>
  <c r="AH414" i="43" s="1"/>
  <c r="AE414" i="43"/>
  <c r="AF414" i="43" s="1"/>
  <c r="AG414" i="43" s="1"/>
  <c r="Z415" i="43"/>
  <c r="AA415" i="43" s="1"/>
  <c r="AB415" i="43"/>
  <c r="AC415" i="43" s="1"/>
  <c r="AD415" i="43"/>
  <c r="AH415" i="43" s="1" a="1"/>
  <c r="AH415" i="43" s="1"/>
  <c r="AE415" i="43"/>
  <c r="AF415" i="43" s="1"/>
  <c r="AG415" i="43" s="1"/>
  <c r="Z416" i="43"/>
  <c r="AA416" i="43" s="1"/>
  <c r="AB416" i="43"/>
  <c r="AC416" i="43" s="1"/>
  <c r="AD416" i="43"/>
  <c r="AH416" i="43" s="1" a="1"/>
  <c r="AH416" i="43" s="1"/>
  <c r="AE416" i="43"/>
  <c r="AF416" i="43" s="1"/>
  <c r="AG416" i="43" s="1"/>
  <c r="Z417" i="43"/>
  <c r="AA417" i="43" s="1"/>
  <c r="AB417" i="43"/>
  <c r="AC417" i="43" s="1"/>
  <c r="AD417" i="43"/>
  <c r="AH417" i="43" s="1" a="1"/>
  <c r="AH417" i="43" s="1"/>
  <c r="AE417" i="43"/>
  <c r="AF417" i="43" s="1"/>
  <c r="AG417" i="43" s="1"/>
  <c r="Z418" i="43"/>
  <c r="AA418" i="43" s="1"/>
  <c r="AB418" i="43"/>
  <c r="AC418" i="43" s="1"/>
  <c r="AD418" i="43"/>
  <c r="AH418" i="43" s="1" a="1"/>
  <c r="AH418" i="43" s="1"/>
  <c r="AE418" i="43"/>
  <c r="AF418" i="43" s="1"/>
  <c r="AG418" i="43" s="1"/>
  <c r="Z419" i="43"/>
  <c r="AA419" i="43" s="1"/>
  <c r="AB419" i="43"/>
  <c r="AC419" i="43" s="1"/>
  <c r="AD419" i="43"/>
  <c r="AH419" i="43" s="1" a="1"/>
  <c r="AH419" i="43" s="1"/>
  <c r="AE419" i="43"/>
  <c r="AF419" i="43" s="1"/>
  <c r="AG419" i="43" s="1"/>
  <c r="Z420" i="43"/>
  <c r="AA420" i="43" s="1"/>
  <c r="AB420" i="43"/>
  <c r="AC420" i="43" s="1"/>
  <c r="AD420" i="43"/>
  <c r="AH420" i="43" s="1" a="1"/>
  <c r="AH420" i="43" s="1"/>
  <c r="AE420" i="43"/>
  <c r="AF420" i="43" s="1"/>
  <c r="AG420" i="43" s="1"/>
  <c r="Z421" i="43"/>
  <c r="AA421" i="43" s="1"/>
  <c r="AB421" i="43"/>
  <c r="AC421" i="43" s="1"/>
  <c r="AD421" i="43"/>
  <c r="AH421" i="43" s="1" a="1"/>
  <c r="AH421" i="43" s="1"/>
  <c r="AE421" i="43"/>
  <c r="AF421" i="43" s="1"/>
  <c r="AG421" i="43" s="1"/>
  <c r="Z422" i="43"/>
  <c r="AA422" i="43" s="1"/>
  <c r="AB422" i="43"/>
  <c r="AC422" i="43" s="1"/>
  <c r="AD422" i="43"/>
  <c r="AH422" i="43" s="1" a="1"/>
  <c r="AH422" i="43" s="1"/>
  <c r="AE422" i="43"/>
  <c r="AF422" i="43" s="1"/>
  <c r="AG422" i="43" s="1"/>
  <c r="Z423" i="43"/>
  <c r="AA423" i="43" s="1"/>
  <c r="AB423" i="43"/>
  <c r="AC423" i="43" s="1"/>
  <c r="AD423" i="43"/>
  <c r="AH423" i="43" s="1" a="1"/>
  <c r="AH423" i="43" s="1"/>
  <c r="AE423" i="43"/>
  <c r="AF423" i="43" s="1"/>
  <c r="AG423" i="43" s="1"/>
  <c r="Z424" i="43"/>
  <c r="AA424" i="43" s="1"/>
  <c r="AB424" i="43"/>
  <c r="AC424" i="43" s="1"/>
  <c r="AD424" i="43"/>
  <c r="AH424" i="43" s="1" a="1"/>
  <c r="AH424" i="43" s="1"/>
  <c r="AE424" i="43"/>
  <c r="AF424" i="43" s="1"/>
  <c r="AG424" i="43" s="1"/>
  <c r="Z425" i="43"/>
  <c r="AA425" i="43" s="1"/>
  <c r="AB425" i="43"/>
  <c r="AC425" i="43" s="1"/>
  <c r="AD425" i="43"/>
  <c r="AH425" i="43" s="1" a="1"/>
  <c r="AH425" i="43" s="1"/>
  <c r="AE425" i="43"/>
  <c r="AF425" i="43" s="1"/>
  <c r="AG425" i="43" s="1"/>
  <c r="Z426" i="43"/>
  <c r="AA426" i="43" s="1"/>
  <c r="AB426" i="43"/>
  <c r="AC426" i="43" s="1"/>
  <c r="AD426" i="43"/>
  <c r="AH426" i="43" s="1" a="1"/>
  <c r="AH426" i="43" s="1"/>
  <c r="AE426" i="43"/>
  <c r="AF426" i="43" s="1"/>
  <c r="AG426" i="43" s="1"/>
  <c r="Z427" i="43"/>
  <c r="AA427" i="43" s="1"/>
  <c r="AB427" i="43"/>
  <c r="AC427" i="43" s="1"/>
  <c r="AD427" i="43"/>
  <c r="AH427" i="43" s="1" a="1"/>
  <c r="AH427" i="43" s="1"/>
  <c r="AE427" i="43"/>
  <c r="AF427" i="43" s="1"/>
  <c r="AG427" i="43" s="1"/>
  <c r="Z428" i="43"/>
  <c r="AA428" i="43" s="1"/>
  <c r="AB428" i="43"/>
  <c r="AC428" i="43" s="1"/>
  <c r="AD428" i="43"/>
  <c r="AH428" i="43" s="1" a="1"/>
  <c r="AH428" i="43" s="1"/>
  <c r="AE428" i="43"/>
  <c r="AF428" i="43" s="1"/>
  <c r="AG428" i="43" s="1"/>
  <c r="Z429" i="43"/>
  <c r="AA429" i="43" s="1"/>
  <c r="AB429" i="43"/>
  <c r="AC429" i="43" s="1"/>
  <c r="AD429" i="43"/>
  <c r="AH429" i="43" s="1" a="1"/>
  <c r="AH429" i="43" s="1"/>
  <c r="AE429" i="43"/>
  <c r="AF429" i="43" s="1"/>
  <c r="AG429" i="43" s="1"/>
  <c r="Z430" i="43"/>
  <c r="AA430" i="43" s="1"/>
  <c r="AB430" i="43"/>
  <c r="AC430" i="43" s="1"/>
  <c r="AD430" i="43"/>
  <c r="AH430" i="43" s="1" a="1"/>
  <c r="AH430" i="43" s="1"/>
  <c r="AE430" i="43"/>
  <c r="AF430" i="43" s="1"/>
  <c r="AG430" i="43" s="1"/>
  <c r="Z431" i="43"/>
  <c r="AA431" i="43" s="1"/>
  <c r="AB431" i="43"/>
  <c r="AC431" i="43" s="1"/>
  <c r="AD431" i="43"/>
  <c r="AH431" i="43" s="1" a="1"/>
  <c r="AH431" i="43" s="1"/>
  <c r="AE431" i="43"/>
  <c r="AF431" i="43" s="1"/>
  <c r="AG431" i="43" s="1"/>
  <c r="Z432" i="43"/>
  <c r="AA432" i="43" s="1"/>
  <c r="AB432" i="43"/>
  <c r="AC432" i="43" s="1"/>
  <c r="AD432" i="43"/>
  <c r="AH432" i="43" s="1" a="1"/>
  <c r="AH432" i="43" s="1"/>
  <c r="AE432" i="43"/>
  <c r="AF432" i="43" s="1"/>
  <c r="AG432" i="43" s="1"/>
  <c r="Z433" i="43"/>
  <c r="AA433" i="43" s="1"/>
  <c r="AB433" i="43"/>
  <c r="AC433" i="43" s="1"/>
  <c r="AD433" i="43"/>
  <c r="AH433" i="43" s="1" a="1"/>
  <c r="AH433" i="43" s="1"/>
  <c r="AE433" i="43"/>
  <c r="AF433" i="43" s="1"/>
  <c r="AG433" i="43" s="1"/>
  <c r="Z434" i="43"/>
  <c r="AA434" i="43" s="1"/>
  <c r="AB434" i="43"/>
  <c r="AC434" i="43" s="1"/>
  <c r="AD434" i="43"/>
  <c r="AH434" i="43" s="1" a="1"/>
  <c r="AH434" i="43" s="1"/>
  <c r="AE434" i="43"/>
  <c r="AF434" i="43" s="1"/>
  <c r="AG434" i="43" s="1"/>
  <c r="Z435" i="43"/>
  <c r="AA435" i="43" s="1"/>
  <c r="AB435" i="43"/>
  <c r="AC435" i="43" s="1"/>
  <c r="AD435" i="43"/>
  <c r="AH435" i="43" s="1" a="1"/>
  <c r="AH435" i="43" s="1"/>
  <c r="AE435" i="43"/>
  <c r="AF435" i="43" s="1"/>
  <c r="AG435" i="43" s="1"/>
  <c r="Z436" i="43"/>
  <c r="AA436" i="43" s="1"/>
  <c r="AB436" i="43"/>
  <c r="AC436" i="43" s="1"/>
  <c r="AD436" i="43"/>
  <c r="AH436" i="43" s="1" a="1"/>
  <c r="AH436" i="43" s="1"/>
  <c r="AE436" i="43"/>
  <c r="AF436" i="43" s="1"/>
  <c r="AG436" i="43" s="1"/>
  <c r="Z437" i="43"/>
  <c r="AA437" i="43" s="1"/>
  <c r="AB437" i="43"/>
  <c r="AC437" i="43" s="1"/>
  <c r="AD437" i="43"/>
  <c r="AH437" i="43" s="1" a="1"/>
  <c r="AH437" i="43" s="1"/>
  <c r="AE437" i="43"/>
  <c r="AF437" i="43" s="1"/>
  <c r="AG437" i="43" s="1"/>
  <c r="Z438" i="43"/>
  <c r="AA438" i="43" s="1"/>
  <c r="AB438" i="43"/>
  <c r="AC438" i="43" s="1"/>
  <c r="AD438" i="43"/>
  <c r="AH438" i="43" s="1" a="1"/>
  <c r="AH438" i="43" s="1"/>
  <c r="AE438" i="43"/>
  <c r="AF438" i="43" s="1"/>
  <c r="AG438" i="43" s="1"/>
  <c r="Z439" i="43"/>
  <c r="AA439" i="43" s="1"/>
  <c r="AB439" i="43"/>
  <c r="AC439" i="43" s="1"/>
  <c r="AD439" i="43"/>
  <c r="AH439" i="43" s="1" a="1"/>
  <c r="AH439" i="43" s="1"/>
  <c r="AE439" i="43"/>
  <c r="Z440" i="43"/>
  <c r="AA440" i="43" s="1"/>
  <c r="AB440" i="43"/>
  <c r="AC440" i="43" s="1"/>
  <c r="AD440" i="43"/>
  <c r="AH440" i="43" s="1" a="1"/>
  <c r="AH440" i="43" s="1"/>
  <c r="AE440" i="43"/>
  <c r="Z441" i="43"/>
  <c r="AA441" i="43" s="1"/>
  <c r="AB441" i="43"/>
  <c r="AC441" i="43" s="1"/>
  <c r="AD441" i="43"/>
  <c r="AH441" i="43" s="1" a="1"/>
  <c r="AH441" i="43" s="1"/>
  <c r="AE441" i="43"/>
  <c r="AI441" i="43" s="1"/>
  <c r="Z442" i="43"/>
  <c r="AA442" i="43" s="1"/>
  <c r="AB442" i="43"/>
  <c r="AC442" i="43" s="1"/>
  <c r="AD442" i="43"/>
  <c r="AH442" i="43" s="1" a="1"/>
  <c r="AH442" i="43" s="1"/>
  <c r="AE442" i="43"/>
  <c r="AI442" i="43" s="1"/>
  <c r="Z443" i="43"/>
  <c r="AA443" i="43" s="1"/>
  <c r="AB443" i="43"/>
  <c r="AC443" i="43" s="1"/>
  <c r="AD443" i="43"/>
  <c r="AH443" i="43" s="1" a="1"/>
  <c r="AH443" i="43" s="1"/>
  <c r="AE443" i="43"/>
  <c r="Z444" i="43"/>
  <c r="AA444" i="43" s="1"/>
  <c r="AB444" i="43"/>
  <c r="AC444" i="43" s="1"/>
  <c r="AD444" i="43"/>
  <c r="AH444" i="43" s="1" a="1"/>
  <c r="AH444" i="43" s="1"/>
  <c r="AE444" i="43"/>
  <c r="AI444" i="43" s="1"/>
  <c r="Z445" i="43"/>
  <c r="AA445" i="43" s="1"/>
  <c r="AB445" i="43"/>
  <c r="AC445" i="43" s="1"/>
  <c r="AD445" i="43"/>
  <c r="AH445" i="43" s="1" a="1"/>
  <c r="AH445" i="43" s="1"/>
  <c r="AE445" i="43"/>
  <c r="AJ445" i="43" s="1"/>
  <c r="Z446" i="43"/>
  <c r="AA446" i="43" s="1"/>
  <c r="AB446" i="43"/>
  <c r="AC446" i="43" s="1"/>
  <c r="AD446" i="43"/>
  <c r="AH446" i="43" s="1" a="1"/>
  <c r="AH446" i="43" s="1"/>
  <c r="AE446" i="43"/>
  <c r="AF446" i="43" s="1"/>
  <c r="AG446" i="43" s="1"/>
  <c r="Z447" i="43"/>
  <c r="AA447" i="43" s="1"/>
  <c r="AB447" i="43"/>
  <c r="AC447" i="43" s="1"/>
  <c r="AD447" i="43"/>
  <c r="AH447" i="43" s="1" a="1"/>
  <c r="AH447" i="43" s="1"/>
  <c r="AE447" i="43"/>
  <c r="Z448" i="43"/>
  <c r="AA448" i="43" s="1"/>
  <c r="AB448" i="43"/>
  <c r="AC448" i="43" s="1"/>
  <c r="AD448" i="43"/>
  <c r="AH448" i="43" s="1" a="1"/>
  <c r="AH448" i="43" s="1"/>
  <c r="AE448" i="43"/>
  <c r="Z449" i="43"/>
  <c r="AA449" i="43" s="1"/>
  <c r="AB449" i="43"/>
  <c r="AC449" i="43" s="1"/>
  <c r="AD449" i="43"/>
  <c r="AH449" i="43" s="1" a="1"/>
  <c r="AH449" i="43" s="1"/>
  <c r="AE449" i="43"/>
  <c r="Z450" i="43"/>
  <c r="AA450" i="43" s="1"/>
  <c r="AB450" i="43"/>
  <c r="AC450" i="43" s="1"/>
  <c r="AD450" i="43"/>
  <c r="AH450" i="43" s="1" a="1"/>
  <c r="AH450" i="43" s="1"/>
  <c r="AE450" i="43"/>
  <c r="AF450" i="43" s="1"/>
  <c r="AG450" i="43" s="1"/>
  <c r="Z451" i="43"/>
  <c r="AA451" i="43" s="1"/>
  <c r="AB451" i="43"/>
  <c r="AC451" i="43" s="1"/>
  <c r="AD451" i="43"/>
  <c r="AH451" i="43" s="1" a="1"/>
  <c r="AH451" i="43" s="1"/>
  <c r="AE451" i="43"/>
  <c r="AI451" i="43" s="1"/>
  <c r="Z452" i="43"/>
  <c r="AA452" i="43" s="1"/>
  <c r="AB452" i="43"/>
  <c r="AC452" i="43" s="1"/>
  <c r="AD452" i="43"/>
  <c r="AH452" i="43" s="1" a="1"/>
  <c r="AH452" i="43" s="1"/>
  <c r="AE452" i="43"/>
  <c r="Z453" i="43"/>
  <c r="AA453" i="43" s="1"/>
  <c r="AB453" i="43"/>
  <c r="AC453" i="43" s="1"/>
  <c r="AD453" i="43"/>
  <c r="AH453" i="43" s="1" a="1"/>
  <c r="AH453" i="43" s="1"/>
  <c r="AE453" i="43"/>
  <c r="Z454" i="43"/>
  <c r="AA454" i="43" s="1"/>
  <c r="AB454" i="43"/>
  <c r="AC454" i="43" s="1"/>
  <c r="AD454" i="43"/>
  <c r="AH454" i="43" s="1" a="1"/>
  <c r="AH454" i="43" s="1"/>
  <c r="AE454" i="43"/>
  <c r="AI454" i="43" s="1"/>
  <c r="Z455" i="43"/>
  <c r="AA455" i="43" s="1"/>
  <c r="AB455" i="43"/>
  <c r="AC455" i="43" s="1"/>
  <c r="AD455" i="43"/>
  <c r="AH455" i="43" s="1" a="1"/>
  <c r="AH455" i="43" s="1"/>
  <c r="AE455" i="43"/>
  <c r="AF455" i="43" s="1"/>
  <c r="AG455" i="43" s="1"/>
  <c r="Z456" i="43"/>
  <c r="AA456" i="43" s="1"/>
  <c r="AB456" i="43"/>
  <c r="AC456" i="43" s="1"/>
  <c r="AD456" i="43"/>
  <c r="AH456" i="43" s="1" a="1"/>
  <c r="AH456" i="43" s="1"/>
  <c r="AE456" i="43"/>
  <c r="Z457" i="43"/>
  <c r="AA457" i="43" s="1"/>
  <c r="AB457" i="43"/>
  <c r="AC457" i="43" s="1"/>
  <c r="AD457" i="43"/>
  <c r="AH457" i="43" s="1" a="1"/>
  <c r="AH457" i="43" s="1"/>
  <c r="AE457" i="43"/>
  <c r="Z458" i="43"/>
  <c r="AA458" i="43" s="1"/>
  <c r="AB458" i="43"/>
  <c r="AC458" i="43" s="1"/>
  <c r="AD458" i="43"/>
  <c r="AH458" i="43" s="1" a="1"/>
  <c r="AH458" i="43" s="1"/>
  <c r="AE458" i="43"/>
  <c r="Z459" i="43"/>
  <c r="AA459" i="43" s="1"/>
  <c r="AB459" i="43"/>
  <c r="AC459" i="43" s="1"/>
  <c r="AD459" i="43"/>
  <c r="AH459" i="43" s="1" a="1"/>
  <c r="AH459" i="43" s="1"/>
  <c r="AE459" i="43"/>
  <c r="AF459" i="43" s="1"/>
  <c r="AG459" i="43" s="1"/>
  <c r="Z460" i="43"/>
  <c r="AA460" i="43" s="1"/>
  <c r="AB460" i="43"/>
  <c r="AC460" i="43" s="1"/>
  <c r="AD460" i="43"/>
  <c r="AH460" i="43" s="1" a="1"/>
  <c r="AH460" i="43" s="1"/>
  <c r="AE460" i="43"/>
  <c r="AI460" i="43" s="1"/>
  <c r="Z461" i="43"/>
  <c r="AA461" i="43" s="1"/>
  <c r="AB461" i="43"/>
  <c r="AC461" i="43" s="1"/>
  <c r="AD461" i="43"/>
  <c r="AH461" i="43" s="1" a="1"/>
  <c r="AH461" i="43" s="1"/>
  <c r="AE461" i="43"/>
  <c r="Z462" i="43"/>
  <c r="AA462" i="43" s="1"/>
  <c r="AB462" i="43"/>
  <c r="AC462" i="43" s="1"/>
  <c r="AD462" i="43"/>
  <c r="AH462" i="43" s="1" a="1"/>
  <c r="AH462" i="43" s="1"/>
  <c r="AE462" i="43"/>
  <c r="AI462" i="43" s="1"/>
  <c r="Z463" i="43"/>
  <c r="AA463" i="43" s="1"/>
  <c r="AB463" i="43"/>
  <c r="AC463" i="43" s="1"/>
  <c r="AD463" i="43"/>
  <c r="AH463" i="43" s="1" a="1"/>
  <c r="AH463" i="43" s="1"/>
  <c r="AE463" i="43"/>
  <c r="AI463" i="43" s="1"/>
  <c r="Z464" i="43"/>
  <c r="AA464" i="43" s="1"/>
  <c r="AB464" i="43"/>
  <c r="AC464" i="43" s="1"/>
  <c r="AD464" i="43"/>
  <c r="AH464" i="43" s="1" a="1"/>
  <c r="AH464" i="43" s="1"/>
  <c r="AE464" i="43"/>
  <c r="AJ464" i="43" s="1"/>
  <c r="Z465" i="43"/>
  <c r="AA465" i="43" s="1"/>
  <c r="AB465" i="43"/>
  <c r="AC465" i="43" s="1"/>
  <c r="AD465" i="43"/>
  <c r="AH465" i="43" s="1" a="1"/>
  <c r="AH465" i="43" s="1"/>
  <c r="AE465" i="43"/>
  <c r="AJ465" i="43" s="1"/>
  <c r="Z466" i="43"/>
  <c r="AA466" i="43" s="1"/>
  <c r="AB466" i="43"/>
  <c r="AC466" i="43" s="1"/>
  <c r="AD466" i="43"/>
  <c r="AH466" i="43" s="1" a="1"/>
  <c r="AH466" i="43" s="1"/>
  <c r="AE466" i="43"/>
  <c r="AJ466" i="43" s="1"/>
  <c r="Z467" i="43"/>
  <c r="AA467" i="43" s="1"/>
  <c r="AB467" i="43"/>
  <c r="AC467" i="43" s="1"/>
  <c r="AD467" i="43"/>
  <c r="AH467" i="43" s="1" a="1"/>
  <c r="AH467" i="43" s="1"/>
  <c r="AE467" i="43"/>
  <c r="AI467" i="43" s="1"/>
  <c r="Z468" i="43"/>
  <c r="AA468" i="43" s="1"/>
  <c r="AB468" i="43"/>
  <c r="AC468" i="43" s="1"/>
  <c r="AD468" i="43"/>
  <c r="AH468" i="43" s="1" a="1"/>
  <c r="AH468" i="43" s="1"/>
  <c r="AE468" i="43"/>
  <c r="Z469" i="43"/>
  <c r="AA469" i="43" s="1"/>
  <c r="AB469" i="43"/>
  <c r="AC469" i="43" s="1"/>
  <c r="AD469" i="43"/>
  <c r="AH469" i="43" s="1" a="1"/>
  <c r="AH469" i="43" s="1"/>
  <c r="AE469" i="43"/>
  <c r="AI469" i="43" s="1"/>
  <c r="Z470" i="43"/>
  <c r="AA470" i="43" s="1"/>
  <c r="AB470" i="43"/>
  <c r="AC470" i="43" s="1"/>
  <c r="AD470" i="43"/>
  <c r="AH470" i="43" s="1" a="1"/>
  <c r="AH470" i="43" s="1"/>
  <c r="AE470" i="43"/>
  <c r="Z471" i="43"/>
  <c r="AA471" i="43" s="1"/>
  <c r="AB471" i="43"/>
  <c r="AC471" i="43" s="1"/>
  <c r="AD471" i="43"/>
  <c r="AH471" i="43" s="1" a="1"/>
  <c r="AH471" i="43" s="1"/>
  <c r="AE471" i="43"/>
  <c r="Z472" i="43"/>
  <c r="AA472" i="43" s="1"/>
  <c r="AB472" i="43"/>
  <c r="AC472" i="43" s="1"/>
  <c r="AD472" i="43"/>
  <c r="AH472" i="43" s="1" a="1"/>
  <c r="AH472" i="43" s="1"/>
  <c r="AE472" i="43"/>
  <c r="Z473" i="43"/>
  <c r="AA473" i="43" s="1"/>
  <c r="AB473" i="43"/>
  <c r="AC473" i="43" s="1"/>
  <c r="AD473" i="43"/>
  <c r="AH473" i="43" s="1" a="1"/>
  <c r="AH473" i="43" s="1"/>
  <c r="AE473" i="43"/>
  <c r="Z474" i="43"/>
  <c r="AA474" i="43" s="1"/>
  <c r="AB474" i="43"/>
  <c r="AC474" i="43" s="1"/>
  <c r="AD474" i="43"/>
  <c r="AH474" i="43" s="1" a="1"/>
  <c r="AH474" i="43" s="1"/>
  <c r="AE474" i="43"/>
  <c r="Z475" i="43"/>
  <c r="AA475" i="43" s="1"/>
  <c r="AB475" i="43"/>
  <c r="AC475" i="43" s="1"/>
  <c r="AD475" i="43"/>
  <c r="AH475" i="43" s="1" a="1"/>
  <c r="AH475" i="43" s="1"/>
  <c r="AE475" i="43"/>
  <c r="Z476" i="43"/>
  <c r="AA476" i="43" s="1"/>
  <c r="AB476" i="43"/>
  <c r="AC476" i="43" s="1"/>
  <c r="AD476" i="43"/>
  <c r="AH476" i="43" s="1" a="1"/>
  <c r="AH476" i="43" s="1"/>
  <c r="AE476" i="43"/>
  <c r="Z477" i="43"/>
  <c r="AA477" i="43" s="1"/>
  <c r="AB477" i="43"/>
  <c r="AC477" i="43" s="1"/>
  <c r="AD477" i="43"/>
  <c r="AH477" i="43" s="1" a="1"/>
  <c r="AH477" i="43" s="1"/>
  <c r="AE477" i="43"/>
  <c r="Z478" i="43"/>
  <c r="AA478" i="43" s="1"/>
  <c r="AB478" i="43"/>
  <c r="AC478" i="43" s="1"/>
  <c r="AD478" i="43"/>
  <c r="AH478" i="43" s="1" a="1"/>
  <c r="AH478" i="43" s="1"/>
  <c r="AE478" i="43"/>
  <c r="AJ478" i="43" s="1"/>
  <c r="Z479" i="43"/>
  <c r="AA479" i="43" s="1"/>
  <c r="AB479" i="43"/>
  <c r="AC479" i="43" s="1"/>
  <c r="AD479" i="43"/>
  <c r="AH479" i="43" s="1" a="1"/>
  <c r="AH479" i="43" s="1"/>
  <c r="AE479" i="43"/>
  <c r="Z480" i="43"/>
  <c r="AA480" i="43" s="1"/>
  <c r="AB480" i="43"/>
  <c r="AC480" i="43" s="1"/>
  <c r="AD480" i="43"/>
  <c r="AH480" i="43" s="1" a="1"/>
  <c r="AH480" i="43" s="1"/>
  <c r="AE480" i="43"/>
  <c r="AJ480" i="43" s="1"/>
  <c r="Z481" i="43"/>
  <c r="AA481" i="43" s="1"/>
  <c r="AB481" i="43"/>
  <c r="AC481" i="43" s="1"/>
  <c r="AD481" i="43"/>
  <c r="AH481" i="43" s="1" a="1"/>
  <c r="AH481" i="43" s="1"/>
  <c r="AE481" i="43"/>
  <c r="AF481" i="43" s="1"/>
  <c r="AG481" i="43" s="1"/>
  <c r="Z482" i="43"/>
  <c r="AA482" i="43" s="1"/>
  <c r="AB482" i="43"/>
  <c r="AC482" i="43" s="1"/>
  <c r="AD482" i="43"/>
  <c r="AH482" i="43" s="1" a="1"/>
  <c r="AH482" i="43" s="1"/>
  <c r="AE482" i="43"/>
  <c r="Z483" i="43"/>
  <c r="AA483" i="43" s="1"/>
  <c r="AB483" i="43"/>
  <c r="AC483" i="43" s="1"/>
  <c r="AD483" i="43"/>
  <c r="AH483" i="43" s="1" a="1"/>
  <c r="AH483" i="43" s="1"/>
  <c r="AE483" i="43"/>
  <c r="AI483" i="43" s="1"/>
  <c r="Z484" i="43"/>
  <c r="AA484" i="43" s="1"/>
  <c r="AB484" i="43"/>
  <c r="AC484" i="43" s="1"/>
  <c r="AD484" i="43"/>
  <c r="AH484" i="43" s="1" a="1"/>
  <c r="AH484" i="43" s="1"/>
  <c r="AE484" i="43"/>
  <c r="AJ484" i="43" s="1"/>
  <c r="Z485" i="43"/>
  <c r="AA485" i="43" s="1"/>
  <c r="AB485" i="43"/>
  <c r="AC485" i="43" s="1"/>
  <c r="AD485" i="43"/>
  <c r="AH485" i="43" s="1" a="1"/>
  <c r="AH485" i="43" s="1"/>
  <c r="AE485" i="43"/>
  <c r="AF485" i="43" s="1"/>
  <c r="AG485" i="43" s="1"/>
  <c r="Z486" i="43"/>
  <c r="AA486" i="43" s="1"/>
  <c r="AB486" i="43"/>
  <c r="AC486" i="43" s="1"/>
  <c r="AD486" i="43"/>
  <c r="AH486" i="43" s="1" a="1"/>
  <c r="AH486" i="43" s="1"/>
  <c r="AE486" i="43"/>
  <c r="Z487" i="43"/>
  <c r="AA487" i="43" s="1"/>
  <c r="AB487" i="43"/>
  <c r="AC487" i="43" s="1"/>
  <c r="AD487" i="43"/>
  <c r="AH487" i="43" s="1" a="1"/>
  <c r="AH487" i="43" s="1"/>
  <c r="AE487" i="43"/>
  <c r="Z488" i="43"/>
  <c r="AA488" i="43" s="1"/>
  <c r="AB488" i="43"/>
  <c r="AC488" i="43" s="1"/>
  <c r="AD488" i="43"/>
  <c r="AH488" i="43" s="1" a="1"/>
  <c r="AH488" i="43" s="1"/>
  <c r="AE488" i="43"/>
  <c r="AJ488" i="43" s="1"/>
  <c r="Z489" i="43"/>
  <c r="AA489" i="43" s="1"/>
  <c r="AB489" i="43"/>
  <c r="AC489" i="43" s="1"/>
  <c r="AD489" i="43"/>
  <c r="AH489" i="43" s="1" a="1"/>
  <c r="AH489" i="43" s="1"/>
  <c r="AE489" i="43"/>
  <c r="Z490" i="43"/>
  <c r="AA490" i="43" s="1"/>
  <c r="AB490" i="43"/>
  <c r="AC490" i="43" s="1"/>
  <c r="AD490" i="43"/>
  <c r="AH490" i="43" s="1" a="1"/>
  <c r="AH490" i="43" s="1"/>
  <c r="AE490" i="43"/>
  <c r="Z491" i="43"/>
  <c r="AA491" i="43" s="1"/>
  <c r="AB491" i="43"/>
  <c r="AC491" i="43" s="1"/>
  <c r="AD491" i="43"/>
  <c r="AH491" i="43" s="1" a="1"/>
  <c r="AH491" i="43" s="1"/>
  <c r="AE491" i="43"/>
  <c r="Z492" i="43"/>
  <c r="AA492" i="43" s="1"/>
  <c r="AB492" i="43"/>
  <c r="AC492" i="43" s="1"/>
  <c r="AD492" i="43"/>
  <c r="AH492" i="43" s="1" a="1"/>
  <c r="AH492" i="43" s="1"/>
  <c r="AE492" i="43"/>
  <c r="AJ492" i="43" s="1"/>
  <c r="Z493" i="43"/>
  <c r="AA493" i="43" s="1"/>
  <c r="AB493" i="43"/>
  <c r="AC493" i="43" s="1"/>
  <c r="AD493" i="43"/>
  <c r="AH493" i="43" s="1" a="1"/>
  <c r="AH493" i="43" s="1"/>
  <c r="AE493" i="43"/>
  <c r="Z494" i="43"/>
  <c r="AA494" i="43" s="1"/>
  <c r="AB494" i="43"/>
  <c r="AC494" i="43" s="1"/>
  <c r="AD494" i="43"/>
  <c r="AH494" i="43" s="1" a="1"/>
  <c r="AH494" i="43" s="1"/>
  <c r="AE494" i="43"/>
  <c r="AI494" i="43" s="1"/>
  <c r="Z495" i="43"/>
  <c r="AA495" i="43" s="1"/>
  <c r="AB495" i="43"/>
  <c r="AC495" i="43" s="1"/>
  <c r="AD495" i="43"/>
  <c r="AH495" i="43" s="1" a="1"/>
  <c r="AH495" i="43" s="1"/>
  <c r="AE495" i="43"/>
  <c r="AJ495" i="43" s="1"/>
  <c r="Z496" i="43"/>
  <c r="AA496" i="43" s="1"/>
  <c r="AB496" i="43"/>
  <c r="AC496" i="43" s="1"/>
  <c r="AD496" i="43"/>
  <c r="AH496" i="43" s="1" a="1"/>
  <c r="AH496" i="43" s="1"/>
  <c r="AE496" i="43"/>
  <c r="AJ496" i="43" s="1"/>
  <c r="Z497" i="43"/>
  <c r="AA497" i="43" s="1"/>
  <c r="AB497" i="43"/>
  <c r="AC497" i="43" s="1"/>
  <c r="AD497" i="43"/>
  <c r="AH497" i="43" s="1" a="1"/>
  <c r="AH497" i="43" s="1"/>
  <c r="AE497" i="43"/>
  <c r="AJ497" i="43" s="1"/>
  <c r="Z498" i="43"/>
  <c r="AA498" i="43" s="1"/>
  <c r="AB498" i="43"/>
  <c r="AC498" i="43" s="1"/>
  <c r="AD498" i="43"/>
  <c r="AH498" i="43" s="1" a="1"/>
  <c r="AH498" i="43" s="1"/>
  <c r="AE498" i="43"/>
  <c r="AJ498" i="43" s="1"/>
  <c r="Z499" i="43"/>
  <c r="AA499" i="43" s="1"/>
  <c r="AB499" i="43"/>
  <c r="AC499" i="43" s="1"/>
  <c r="AD499" i="43"/>
  <c r="AH499" i="43" s="1" a="1"/>
  <c r="AH499" i="43" s="1"/>
  <c r="AE499" i="43"/>
  <c r="AI499" i="43" s="1"/>
  <c r="Z500" i="43"/>
  <c r="AA500" i="43" s="1"/>
  <c r="AB500" i="43"/>
  <c r="AC500" i="43" s="1"/>
  <c r="AD500" i="43"/>
  <c r="AH500" i="43" s="1" a="1"/>
  <c r="AH500" i="43" s="1"/>
  <c r="AE500" i="43"/>
  <c r="Z501" i="43"/>
  <c r="AA501" i="43" s="1"/>
  <c r="AB501" i="43"/>
  <c r="AC501" i="43" s="1"/>
  <c r="AD501" i="43"/>
  <c r="AH501" i="43" s="1" a="1"/>
  <c r="AH501" i="43" s="1"/>
  <c r="AE501" i="43"/>
  <c r="AF501" i="43" s="1"/>
  <c r="AG501" i="43" s="1"/>
  <c r="Z502" i="43"/>
  <c r="AA502" i="43" s="1"/>
  <c r="AB502" i="43"/>
  <c r="AC502" i="43" s="1"/>
  <c r="AD502" i="43"/>
  <c r="AH502" i="43" s="1" a="1"/>
  <c r="AH502" i="43" s="1"/>
  <c r="AE502" i="43"/>
  <c r="Z503" i="43"/>
  <c r="AA503" i="43" s="1"/>
  <c r="AB503" i="43"/>
  <c r="AC503" i="43" s="1"/>
  <c r="AD503" i="43"/>
  <c r="AH503" i="43" s="1" a="1"/>
  <c r="AH503" i="43" s="1"/>
  <c r="AE503" i="43"/>
  <c r="AF503" i="43" s="1"/>
  <c r="AG503" i="43" s="1"/>
  <c r="Z504" i="43"/>
  <c r="AA504" i="43" s="1"/>
  <c r="AB504" i="43"/>
  <c r="AC504" i="43" s="1"/>
  <c r="AD504" i="43"/>
  <c r="AH504" i="43" s="1" a="1"/>
  <c r="AH504" i="43" s="1"/>
  <c r="AE504" i="43"/>
  <c r="AJ504" i="43" s="1"/>
  <c r="Z505" i="43"/>
  <c r="AA505" i="43" s="1"/>
  <c r="AB505" i="43"/>
  <c r="AC505" i="43" s="1"/>
  <c r="AD505" i="43"/>
  <c r="AH505" i="43" s="1" a="1"/>
  <c r="AH505" i="43" s="1"/>
  <c r="AE505" i="43"/>
  <c r="Z506" i="43"/>
  <c r="AA506" i="43" s="1"/>
  <c r="AB506" i="43"/>
  <c r="AC506" i="43" s="1"/>
  <c r="AD506" i="43"/>
  <c r="AH506" i="43" s="1" a="1"/>
  <c r="AH506" i="43" s="1"/>
  <c r="AE506" i="43"/>
  <c r="Z507" i="43"/>
  <c r="AA507" i="43" s="1"/>
  <c r="AB507" i="43"/>
  <c r="AC507" i="43" s="1"/>
  <c r="AD507" i="43"/>
  <c r="AH507" i="43" s="1" a="1"/>
  <c r="AH507" i="43" s="1"/>
  <c r="AE507" i="43"/>
  <c r="Z508" i="43"/>
  <c r="AA508" i="43" s="1"/>
  <c r="AB508" i="43"/>
  <c r="AC508" i="43" s="1"/>
  <c r="AD508" i="43"/>
  <c r="AH508" i="43" s="1" a="1"/>
  <c r="AH508" i="43" s="1"/>
  <c r="AE508" i="43"/>
  <c r="AF508" i="43" s="1"/>
  <c r="AG508" i="43" s="1"/>
  <c r="Z509" i="43"/>
  <c r="AA509" i="43" s="1"/>
  <c r="AB509" i="43"/>
  <c r="AC509" i="43" s="1"/>
  <c r="AD509" i="43"/>
  <c r="AH509" i="43" s="1" a="1"/>
  <c r="AH509" i="43" s="1"/>
  <c r="AE509" i="43"/>
  <c r="Z510" i="43"/>
  <c r="AA510" i="43" s="1"/>
  <c r="AB510" i="43"/>
  <c r="AC510" i="43" s="1"/>
  <c r="AD510" i="43"/>
  <c r="AH510" i="43" s="1" a="1"/>
  <c r="AH510" i="43" s="1"/>
  <c r="AE510" i="43"/>
  <c r="AF510" i="43" s="1"/>
  <c r="AG510" i="43" s="1"/>
  <c r="Z511" i="43"/>
  <c r="AA511" i="43" s="1"/>
  <c r="AB511" i="43"/>
  <c r="AC511" i="43" s="1"/>
  <c r="AD511" i="43"/>
  <c r="AH511" i="43" s="1" a="1"/>
  <c r="AH511" i="43" s="1"/>
  <c r="AE511" i="43"/>
  <c r="AJ511" i="43" s="1"/>
  <c r="Z512" i="43"/>
  <c r="AA512" i="43" s="1"/>
  <c r="AB512" i="43"/>
  <c r="AC512" i="43" s="1"/>
  <c r="AD512" i="43"/>
  <c r="AH512" i="43" s="1" a="1"/>
  <c r="AH512" i="43" s="1"/>
  <c r="AE512" i="43"/>
  <c r="AJ512" i="43" s="1"/>
  <c r="Z513" i="43"/>
  <c r="AA513" i="43" s="1"/>
  <c r="AB513" i="43"/>
  <c r="AC513" i="43" s="1"/>
  <c r="AD513" i="43"/>
  <c r="AH513" i="43" s="1" a="1"/>
  <c r="AH513" i="43" s="1"/>
  <c r="AE513" i="43"/>
  <c r="AF513" i="43" s="1"/>
  <c r="AG513" i="43" s="1"/>
  <c r="Z514" i="43"/>
  <c r="AA514" i="43" s="1"/>
  <c r="AB514" i="43"/>
  <c r="AC514" i="43" s="1"/>
  <c r="AD514" i="43"/>
  <c r="AH514" i="43" s="1" a="1"/>
  <c r="AH514" i="43" s="1"/>
  <c r="AE514" i="43"/>
  <c r="Z515" i="43"/>
  <c r="AA515" i="43" s="1"/>
  <c r="AB515" i="43"/>
  <c r="AC515" i="43" s="1"/>
  <c r="AD515" i="43"/>
  <c r="AH515" i="43" s="1" a="1"/>
  <c r="AH515" i="43" s="1"/>
  <c r="AE515" i="43"/>
  <c r="AJ515" i="43" s="1"/>
  <c r="Z516" i="43"/>
  <c r="AA516" i="43" s="1"/>
  <c r="AB516" i="43"/>
  <c r="AC516" i="43" s="1"/>
  <c r="AD516" i="43"/>
  <c r="AH516" i="43" s="1" a="1"/>
  <c r="AH516" i="43" s="1"/>
  <c r="AE516" i="43"/>
  <c r="AJ516" i="43" s="1"/>
  <c r="Z517" i="43"/>
  <c r="AA517" i="43" s="1"/>
  <c r="AB517" i="43"/>
  <c r="AC517" i="43" s="1"/>
  <c r="AD517" i="43"/>
  <c r="AH517" i="43" s="1" a="1"/>
  <c r="AH517" i="43" s="1"/>
  <c r="AE517" i="43"/>
  <c r="AJ517" i="43" s="1"/>
  <c r="Z518" i="43"/>
  <c r="AA518" i="43" s="1"/>
  <c r="AB518" i="43"/>
  <c r="AC518" i="43" s="1"/>
  <c r="AD518" i="43"/>
  <c r="AH518" i="43" s="1" a="1"/>
  <c r="AH518" i="43" s="1"/>
  <c r="AE518" i="43"/>
  <c r="Z519" i="43"/>
  <c r="AA519" i="43" s="1"/>
  <c r="AB519" i="43"/>
  <c r="AC519" i="43" s="1"/>
  <c r="AD519" i="43"/>
  <c r="AH519" i="43" s="1" a="1"/>
  <c r="AH519" i="43" s="1"/>
  <c r="AE519" i="43"/>
  <c r="Z520" i="43"/>
  <c r="AA520" i="43" s="1"/>
  <c r="AB520" i="43"/>
  <c r="AC520" i="43" s="1"/>
  <c r="AD520" i="43"/>
  <c r="AH520" i="43" s="1" a="1"/>
  <c r="AH520" i="43" s="1"/>
  <c r="AE520" i="43"/>
  <c r="AJ520" i="43" s="1"/>
  <c r="Z521" i="43"/>
  <c r="AA521" i="43" s="1"/>
  <c r="AB521" i="43"/>
  <c r="AC521" i="43" s="1"/>
  <c r="AD521" i="43"/>
  <c r="AH521" i="43" s="1" a="1"/>
  <c r="AH521" i="43" s="1"/>
  <c r="AE521" i="43"/>
  <c r="Z522" i="43"/>
  <c r="AA522" i="43" s="1"/>
  <c r="AB522" i="43"/>
  <c r="AC522" i="43" s="1"/>
  <c r="AD522" i="43"/>
  <c r="AH522" i="43" s="1" a="1"/>
  <c r="AH522" i="43" s="1"/>
  <c r="AE522" i="43"/>
  <c r="Z523" i="43"/>
  <c r="AA523" i="43" s="1"/>
  <c r="AB523" i="43"/>
  <c r="AC523" i="43" s="1"/>
  <c r="AD523" i="43"/>
  <c r="AH523" i="43" s="1" a="1"/>
  <c r="AH523" i="43" s="1"/>
  <c r="AE523" i="43"/>
  <c r="AF523" i="43" s="1"/>
  <c r="AG523" i="43" s="1"/>
  <c r="Z524" i="43"/>
  <c r="AA524" i="43" s="1"/>
  <c r="AB524" i="43"/>
  <c r="AC524" i="43" s="1"/>
  <c r="AD524" i="43"/>
  <c r="AH524" i="43" s="1" a="1"/>
  <c r="AH524" i="43" s="1"/>
  <c r="AE524" i="43"/>
  <c r="Z525" i="43"/>
  <c r="AA525" i="43" s="1"/>
  <c r="AB525" i="43"/>
  <c r="AC525" i="43" s="1"/>
  <c r="AD525" i="43"/>
  <c r="AH525" i="43" s="1" a="1"/>
  <c r="AH525" i="43" s="1"/>
  <c r="AE525" i="43"/>
  <c r="Z526" i="43"/>
  <c r="AA526" i="43" s="1"/>
  <c r="AB526" i="43"/>
  <c r="AC526" i="43" s="1"/>
  <c r="AD526" i="43"/>
  <c r="AH526" i="43" s="1" a="1"/>
  <c r="AH526" i="43" s="1"/>
  <c r="AE526" i="43"/>
  <c r="AJ526" i="43" s="1"/>
  <c r="Z527" i="43"/>
  <c r="AA527" i="43" s="1"/>
  <c r="AB527" i="43"/>
  <c r="AC527" i="43" s="1"/>
  <c r="AD527" i="43"/>
  <c r="AH527" i="43" s="1" a="1"/>
  <c r="AH527" i="43" s="1"/>
  <c r="AE527" i="43"/>
  <c r="AF527" i="43" s="1"/>
  <c r="AG527" i="43" s="1"/>
  <c r="Z528" i="43"/>
  <c r="AA528" i="43" s="1"/>
  <c r="AB528" i="43"/>
  <c r="AC528" i="43" s="1"/>
  <c r="AD528" i="43"/>
  <c r="AH528" i="43" s="1" a="1"/>
  <c r="AH528" i="43" s="1"/>
  <c r="AE528" i="43"/>
  <c r="Z529" i="43"/>
  <c r="AA529" i="43" s="1"/>
  <c r="AB529" i="43"/>
  <c r="AC529" i="43" s="1"/>
  <c r="AD529" i="43"/>
  <c r="AH529" i="43" s="1" a="1"/>
  <c r="AH529" i="43" s="1"/>
  <c r="AE529" i="43"/>
  <c r="AJ529" i="43" s="1"/>
  <c r="Z530" i="43"/>
  <c r="AA530" i="43" s="1"/>
  <c r="AB530" i="43"/>
  <c r="AC530" i="43" s="1"/>
  <c r="AD530" i="43"/>
  <c r="AH530" i="43" s="1" a="1"/>
  <c r="AH530" i="43" s="1"/>
  <c r="AE530" i="43"/>
  <c r="AJ530" i="43" s="1"/>
  <c r="Z531" i="43"/>
  <c r="AA531" i="43" s="1"/>
  <c r="AB531" i="43"/>
  <c r="AC531" i="43" s="1"/>
  <c r="AD531" i="43"/>
  <c r="AH531" i="43" s="1" a="1"/>
  <c r="AH531" i="43" s="1"/>
  <c r="AE531" i="43"/>
  <c r="AJ531" i="43" s="1"/>
  <c r="Z532" i="43"/>
  <c r="AA532" i="43" s="1"/>
  <c r="AB532" i="43"/>
  <c r="AC532" i="43" s="1"/>
  <c r="AD532" i="43"/>
  <c r="AH532" i="43" s="1" a="1"/>
  <c r="AH532" i="43" s="1"/>
  <c r="AE532" i="43"/>
  <c r="AJ532" i="43" s="1"/>
  <c r="Z533" i="43"/>
  <c r="AA533" i="43" s="1"/>
  <c r="AB533" i="43"/>
  <c r="AC533" i="43" s="1"/>
  <c r="AD533" i="43"/>
  <c r="AH533" i="43" s="1" a="1"/>
  <c r="AH533" i="43" s="1"/>
  <c r="AE533" i="43"/>
  <c r="AJ533" i="43" s="1"/>
  <c r="Z534" i="43"/>
  <c r="AA534" i="43" s="1"/>
  <c r="AB534" i="43"/>
  <c r="AC534" i="43" s="1"/>
  <c r="AD534" i="43"/>
  <c r="AH534" i="43" s="1" a="1"/>
  <c r="AH534" i="43" s="1"/>
  <c r="AE534" i="43"/>
  <c r="Z535" i="43"/>
  <c r="AA535" i="43" s="1"/>
  <c r="AB535" i="43"/>
  <c r="AC535" i="43" s="1"/>
  <c r="AD535" i="43"/>
  <c r="AH535" i="43" s="1" a="1"/>
  <c r="AH535" i="43" s="1"/>
  <c r="AE535" i="43"/>
  <c r="AF535" i="43" s="1"/>
  <c r="AG535" i="43" s="1"/>
  <c r="Z536" i="43"/>
  <c r="AA536" i="43" s="1"/>
  <c r="AB536" i="43"/>
  <c r="AC536" i="43" s="1"/>
  <c r="AD536" i="43"/>
  <c r="AH536" i="43" s="1" a="1"/>
  <c r="AH536" i="43" s="1"/>
  <c r="AE536" i="43"/>
  <c r="AJ536" i="43" s="1"/>
  <c r="Z537" i="43"/>
  <c r="AA537" i="43" s="1"/>
  <c r="AB537" i="43"/>
  <c r="AC537" i="43" s="1"/>
  <c r="AD537" i="43"/>
  <c r="AH537" i="43" s="1" a="1"/>
  <c r="AH537" i="43" s="1"/>
  <c r="AE537" i="43"/>
  <c r="Z538" i="43"/>
  <c r="AA538" i="43" s="1"/>
  <c r="AB538" i="43"/>
  <c r="AC538" i="43" s="1"/>
  <c r="AD538" i="43"/>
  <c r="AH538" i="43" s="1" a="1"/>
  <c r="AH538" i="43" s="1"/>
  <c r="AE538" i="43"/>
  <c r="Z539" i="43"/>
  <c r="AA539" i="43" s="1"/>
  <c r="AB539" i="43"/>
  <c r="AC539" i="43" s="1"/>
  <c r="AD539" i="43"/>
  <c r="AH539" i="43" s="1" a="1"/>
  <c r="AH539" i="43" s="1"/>
  <c r="AE539" i="43"/>
  <c r="Z540" i="43"/>
  <c r="AA540" i="43" s="1"/>
  <c r="AB540" i="43"/>
  <c r="AC540" i="43" s="1"/>
  <c r="AD540" i="43"/>
  <c r="AH540" i="43" s="1" a="1"/>
  <c r="AH540" i="43" s="1"/>
  <c r="AE540" i="43"/>
  <c r="AF540" i="43" s="1"/>
  <c r="AG540" i="43" s="1"/>
  <c r="Z541" i="43"/>
  <c r="AA541" i="43" s="1"/>
  <c r="AB541" i="43"/>
  <c r="AC541" i="43" s="1"/>
  <c r="AD541" i="43"/>
  <c r="AH541" i="43" s="1" a="1"/>
  <c r="AH541" i="43" s="1"/>
  <c r="AE541" i="43"/>
  <c r="Z542" i="43"/>
  <c r="AA542" i="43" s="1"/>
  <c r="AB542" i="43"/>
  <c r="AC542" i="43" s="1"/>
  <c r="AD542" i="43"/>
  <c r="AH542" i="43" s="1" a="1"/>
  <c r="AH542" i="43" s="1"/>
  <c r="AE542" i="43"/>
  <c r="AI542" i="43" s="1"/>
  <c r="Z543" i="43"/>
  <c r="AA543" i="43" s="1"/>
  <c r="AB543" i="43"/>
  <c r="AC543" i="43" s="1"/>
  <c r="AD543" i="43"/>
  <c r="AH543" i="43" s="1" a="1"/>
  <c r="AH543" i="43" s="1"/>
  <c r="AE543" i="43"/>
  <c r="AF543" i="43" s="1"/>
  <c r="AG543" i="43" s="1"/>
  <c r="Z544" i="43"/>
  <c r="AA544" i="43" s="1"/>
  <c r="AB544" i="43"/>
  <c r="AC544" i="43" s="1"/>
  <c r="AD544" i="43"/>
  <c r="AH544" i="43" s="1" a="1"/>
  <c r="AH544" i="43" s="1"/>
  <c r="AE544" i="43"/>
  <c r="AI544" i="43" s="1"/>
  <c r="Z545" i="43"/>
  <c r="AA545" i="43" s="1"/>
  <c r="AB545" i="43"/>
  <c r="AC545" i="43" s="1"/>
  <c r="AD545" i="43"/>
  <c r="AH545" i="43" s="1" a="1"/>
  <c r="AH545" i="43" s="1"/>
  <c r="AE545" i="43"/>
  <c r="AF545" i="43" s="1"/>
  <c r="AG545" i="43" s="1"/>
  <c r="Z546" i="43"/>
  <c r="AA546" i="43" s="1"/>
  <c r="AB546" i="43"/>
  <c r="AC546" i="43" s="1"/>
  <c r="AD546" i="43"/>
  <c r="AH546" i="43" s="1" a="1"/>
  <c r="AH546" i="43" s="1"/>
  <c r="AE546" i="43"/>
  <c r="AI546" i="43" s="1"/>
  <c r="Z547" i="43"/>
  <c r="AA547" i="43" s="1"/>
  <c r="AB547" i="43"/>
  <c r="AC547" i="43" s="1"/>
  <c r="AD547" i="43"/>
  <c r="AH547" i="43" s="1" a="1"/>
  <c r="AH547" i="43" s="1"/>
  <c r="AE547" i="43"/>
  <c r="AF547" i="43" s="1"/>
  <c r="AG547" i="43" s="1"/>
  <c r="Z548" i="43"/>
  <c r="AA548" i="43" s="1"/>
  <c r="AB548" i="43"/>
  <c r="AC548" i="43" s="1"/>
  <c r="AD548" i="43"/>
  <c r="AH548" i="43" s="1" a="1"/>
  <c r="AH548" i="43" s="1"/>
  <c r="AE548" i="43"/>
  <c r="AI548" i="43" s="1"/>
  <c r="Z549" i="43"/>
  <c r="AA549" i="43" s="1"/>
  <c r="AB549" i="43"/>
  <c r="AC549" i="43" s="1"/>
  <c r="AD549" i="43"/>
  <c r="AH549" i="43" s="1" a="1"/>
  <c r="AH549" i="43" s="1"/>
  <c r="AE549" i="43"/>
  <c r="AF549" i="43" s="1"/>
  <c r="AG549" i="43" s="1"/>
  <c r="Z550" i="43"/>
  <c r="AA550" i="43" s="1"/>
  <c r="AB550" i="43"/>
  <c r="AC550" i="43" s="1"/>
  <c r="AD550" i="43"/>
  <c r="AH550" i="43" s="1" a="1"/>
  <c r="AH550" i="43" s="1"/>
  <c r="AE550" i="43"/>
  <c r="AI550" i="43" s="1"/>
  <c r="Z551" i="43"/>
  <c r="AA551" i="43" s="1"/>
  <c r="AB551" i="43"/>
  <c r="AC551" i="43" s="1"/>
  <c r="AD551" i="43"/>
  <c r="AH551" i="43" s="1" a="1"/>
  <c r="AH551" i="43" s="1"/>
  <c r="AE551" i="43"/>
  <c r="AF551" i="43" s="1"/>
  <c r="AG551" i="43" s="1"/>
  <c r="Z552" i="43"/>
  <c r="AA552" i="43" s="1"/>
  <c r="AB552" i="43"/>
  <c r="AC552" i="43" s="1"/>
  <c r="AD552" i="43"/>
  <c r="AH552" i="43" s="1" a="1"/>
  <c r="AH552" i="43" s="1"/>
  <c r="AE552" i="43"/>
  <c r="Z553" i="43"/>
  <c r="AA553" i="43" s="1"/>
  <c r="AB553" i="43"/>
  <c r="AC553" i="43" s="1"/>
  <c r="AD553" i="43"/>
  <c r="AH553" i="43" s="1" a="1"/>
  <c r="AH553" i="43" s="1"/>
  <c r="AE553" i="43"/>
  <c r="Z554" i="43"/>
  <c r="AA554" i="43" s="1"/>
  <c r="AB554" i="43"/>
  <c r="AC554" i="43" s="1"/>
  <c r="AD554" i="43"/>
  <c r="AH554" i="43" s="1" a="1"/>
  <c r="AH554" i="43" s="1"/>
  <c r="AE554" i="43"/>
  <c r="Z555" i="43"/>
  <c r="AA555" i="43" s="1"/>
  <c r="AB555" i="43"/>
  <c r="AC555" i="43" s="1"/>
  <c r="AD555" i="43"/>
  <c r="AH555" i="43" s="1" a="1"/>
  <c r="AH555" i="43" s="1"/>
  <c r="AE555" i="43"/>
  <c r="AF555" i="43" s="1"/>
  <c r="AG555" i="43" s="1"/>
  <c r="Z556" i="43"/>
  <c r="AA556" i="43" s="1"/>
  <c r="AB556" i="43"/>
  <c r="AC556" i="43" s="1"/>
  <c r="AD556" i="43"/>
  <c r="AH556" i="43" s="1" a="1"/>
  <c r="AH556" i="43" s="1"/>
  <c r="AE556" i="43"/>
  <c r="Z557" i="43"/>
  <c r="AA557" i="43" s="1"/>
  <c r="AB557" i="43"/>
  <c r="AC557" i="43" s="1"/>
  <c r="AD557" i="43"/>
  <c r="AH557" i="43" s="1" a="1"/>
  <c r="AH557" i="43" s="1"/>
  <c r="AE557" i="43"/>
  <c r="AF557" i="43" s="1"/>
  <c r="AG557" i="43" s="1"/>
  <c r="Z558" i="43"/>
  <c r="AA558" i="43" s="1"/>
  <c r="AB558" i="43"/>
  <c r="AC558" i="43" s="1"/>
  <c r="AD558" i="43"/>
  <c r="AH558" i="43" s="1" a="1"/>
  <c r="AH558" i="43" s="1"/>
  <c r="AE558" i="43"/>
  <c r="AI558" i="43" s="1"/>
  <c r="Z559" i="43"/>
  <c r="AA559" i="43" s="1"/>
  <c r="AB559" i="43"/>
  <c r="AC559" i="43" s="1"/>
  <c r="AD559" i="43"/>
  <c r="AH559" i="43" s="1" a="1"/>
  <c r="AH559" i="43" s="1"/>
  <c r="AE559" i="43"/>
  <c r="AF559" i="43" s="1"/>
  <c r="AG559" i="43" s="1"/>
  <c r="Z560" i="43"/>
  <c r="AA560" i="43" s="1"/>
  <c r="AB560" i="43"/>
  <c r="AC560" i="43" s="1"/>
  <c r="AD560" i="43"/>
  <c r="AH560" i="43" s="1" a="1"/>
  <c r="AH560" i="43" s="1"/>
  <c r="AE560" i="43"/>
  <c r="AI560" i="43" s="1"/>
  <c r="Z561" i="43"/>
  <c r="AA561" i="43" s="1"/>
  <c r="AB561" i="43"/>
  <c r="AC561" i="43" s="1"/>
  <c r="AD561" i="43"/>
  <c r="AH561" i="43" s="1" a="1"/>
  <c r="AH561" i="43" s="1"/>
  <c r="AE561" i="43"/>
  <c r="Z562" i="43"/>
  <c r="AA562" i="43" s="1"/>
  <c r="AB562" i="43"/>
  <c r="AC562" i="43" s="1"/>
  <c r="AD562" i="43"/>
  <c r="AH562" i="43" s="1" a="1"/>
  <c r="AH562" i="43" s="1"/>
  <c r="AE562" i="43"/>
  <c r="AF562" i="43" s="1"/>
  <c r="AG562" i="43" s="1"/>
  <c r="Z563" i="43"/>
  <c r="AA563" i="43" s="1"/>
  <c r="AB563" i="43"/>
  <c r="AC563" i="43" s="1"/>
  <c r="AD563" i="43"/>
  <c r="AH563" i="43" s="1" a="1"/>
  <c r="AH563" i="43" s="1"/>
  <c r="AE563" i="43"/>
  <c r="AJ563" i="43" s="1"/>
  <c r="Z564" i="43"/>
  <c r="AA564" i="43" s="1"/>
  <c r="AB564" i="43"/>
  <c r="AC564" i="43" s="1"/>
  <c r="AD564" i="43"/>
  <c r="AH564" i="43" s="1" a="1"/>
  <c r="AH564" i="43" s="1"/>
  <c r="AE564" i="43"/>
  <c r="AI564" i="43" s="1"/>
  <c r="Z565" i="43"/>
  <c r="AA565" i="43" s="1"/>
  <c r="AB565" i="43"/>
  <c r="AC565" i="43" s="1"/>
  <c r="AD565" i="43"/>
  <c r="AH565" i="43" s="1" a="1"/>
  <c r="AH565" i="43" s="1"/>
  <c r="AE565" i="43"/>
  <c r="AJ565" i="43" s="1"/>
  <c r="Z566" i="43"/>
  <c r="AA566" i="43" s="1"/>
  <c r="AB566" i="43"/>
  <c r="AC566" i="43" s="1"/>
  <c r="AD566" i="43"/>
  <c r="AH566" i="43" s="1" a="1"/>
  <c r="AH566" i="43" s="1"/>
  <c r="AE566" i="43"/>
  <c r="AI566" i="43" s="1"/>
  <c r="Z567" i="43"/>
  <c r="AA567" i="43" s="1"/>
  <c r="AB567" i="43"/>
  <c r="AC567" i="43" s="1"/>
  <c r="AD567" i="43"/>
  <c r="AH567" i="43" s="1" a="1"/>
  <c r="AH567" i="43" s="1"/>
  <c r="AE567" i="43"/>
  <c r="Z568" i="43"/>
  <c r="AA568" i="43" s="1"/>
  <c r="AB568" i="43"/>
  <c r="AC568" i="43" s="1"/>
  <c r="AD568" i="43"/>
  <c r="AH568" i="43" s="1" a="1"/>
  <c r="AH568" i="43" s="1"/>
  <c r="AE568" i="43"/>
  <c r="AI568" i="43" s="1"/>
  <c r="Z569" i="43"/>
  <c r="AA569" i="43" s="1"/>
  <c r="AB569" i="43"/>
  <c r="AC569" i="43" s="1"/>
  <c r="AD569" i="43"/>
  <c r="AH569" i="43" s="1" a="1"/>
  <c r="AH569" i="43" s="1"/>
  <c r="AE569" i="43"/>
  <c r="AJ569" i="43" s="1"/>
  <c r="Z570" i="43"/>
  <c r="AA570" i="43" s="1"/>
  <c r="AB570" i="43"/>
  <c r="AC570" i="43" s="1"/>
  <c r="AD570" i="43"/>
  <c r="AH570" i="43" s="1" a="1"/>
  <c r="AH570" i="43" s="1"/>
  <c r="AE570" i="43"/>
  <c r="AF570" i="43" s="1"/>
  <c r="AG570" i="43" s="1"/>
  <c r="Z571" i="43"/>
  <c r="AA571" i="43" s="1"/>
  <c r="AB571" i="43"/>
  <c r="AC571" i="43" s="1"/>
  <c r="AD571" i="43"/>
  <c r="AH571" i="43" s="1" a="1"/>
  <c r="AH571" i="43" s="1"/>
  <c r="AE571" i="43"/>
  <c r="AJ571" i="43" s="1"/>
  <c r="Z572" i="43"/>
  <c r="AA572" i="43" s="1"/>
  <c r="AB572" i="43"/>
  <c r="AC572" i="43" s="1"/>
  <c r="AD572" i="43"/>
  <c r="AH572" i="43" s="1" a="1"/>
  <c r="AH572" i="43" s="1"/>
  <c r="AE572" i="43"/>
  <c r="AJ572" i="43" s="1"/>
  <c r="Z573" i="43"/>
  <c r="AA573" i="43" s="1"/>
  <c r="AB573" i="43"/>
  <c r="AC573" i="43" s="1"/>
  <c r="AD573" i="43"/>
  <c r="AH573" i="43" s="1" a="1"/>
  <c r="AH573" i="43" s="1"/>
  <c r="AE573" i="43"/>
  <c r="AJ573" i="43" s="1"/>
  <c r="Z574" i="43"/>
  <c r="AA574" i="43" s="1"/>
  <c r="AB574" i="43"/>
  <c r="AC574" i="43" s="1"/>
  <c r="AD574" i="43"/>
  <c r="AH574" i="43" s="1" a="1"/>
  <c r="AH574" i="43" s="1"/>
  <c r="AE574" i="43"/>
  <c r="AI574" i="43" s="1"/>
  <c r="Z575" i="43"/>
  <c r="AA575" i="43" s="1"/>
  <c r="AB575" i="43"/>
  <c r="AC575" i="43" s="1"/>
  <c r="AD575" i="43"/>
  <c r="AH575" i="43" s="1" a="1"/>
  <c r="AH575" i="43" s="1"/>
  <c r="AE575" i="43"/>
  <c r="AJ575" i="43" s="1"/>
  <c r="Z576" i="43"/>
  <c r="AA576" i="43" s="1"/>
  <c r="AB576" i="43"/>
  <c r="AC576" i="43" s="1"/>
  <c r="AD576" i="43"/>
  <c r="AH576" i="43" s="1" a="1"/>
  <c r="AH576" i="43" s="1"/>
  <c r="AE576" i="43"/>
  <c r="AI576" i="43" s="1"/>
  <c r="Z577" i="43"/>
  <c r="AA577" i="43" s="1"/>
  <c r="AB577" i="43"/>
  <c r="AC577" i="43" s="1"/>
  <c r="AD577" i="43"/>
  <c r="AH577" i="43" s="1" a="1"/>
  <c r="AH577" i="43" s="1"/>
  <c r="AE577" i="43"/>
  <c r="AJ577" i="43" s="1"/>
  <c r="Z578" i="43"/>
  <c r="AA578" i="43" s="1"/>
  <c r="AB578" i="43"/>
  <c r="AC578" i="43" s="1"/>
  <c r="AD578" i="43"/>
  <c r="AH578" i="43" s="1" a="1"/>
  <c r="AH578" i="43" s="1"/>
  <c r="AE578" i="43"/>
  <c r="AF578" i="43" s="1"/>
  <c r="AG578" i="43" s="1"/>
  <c r="Z579" i="43"/>
  <c r="AA579" i="43" s="1"/>
  <c r="AB579" i="43"/>
  <c r="AC579" i="43" s="1"/>
  <c r="AD579" i="43"/>
  <c r="AH579" i="43" s="1" a="1"/>
  <c r="AH579" i="43" s="1"/>
  <c r="AE579" i="43"/>
  <c r="AI579" i="43" s="1"/>
  <c r="Z580" i="43"/>
  <c r="AA580" i="43" s="1"/>
  <c r="AB580" i="43"/>
  <c r="AC580" i="43" s="1"/>
  <c r="AD580" i="43"/>
  <c r="AH580" i="43" s="1" a="1"/>
  <c r="AH580" i="43" s="1"/>
  <c r="AE580" i="43"/>
  <c r="AI580" i="43" s="1"/>
  <c r="Z581" i="43"/>
  <c r="AA581" i="43" s="1"/>
  <c r="AB581" i="43"/>
  <c r="AC581" i="43" s="1"/>
  <c r="AD581" i="43"/>
  <c r="AH581" i="43" s="1" a="1"/>
  <c r="AH581" i="43" s="1"/>
  <c r="AE581" i="43"/>
  <c r="AJ581" i="43" s="1"/>
  <c r="Z582" i="43"/>
  <c r="AA582" i="43" s="1"/>
  <c r="AB582" i="43"/>
  <c r="AC582" i="43" s="1"/>
  <c r="AD582" i="43"/>
  <c r="AH582" i="43" s="1" a="1"/>
  <c r="AH582" i="43" s="1"/>
  <c r="AE582" i="43"/>
  <c r="AI582" i="43" s="1"/>
  <c r="Z583" i="43"/>
  <c r="AA583" i="43" s="1"/>
  <c r="AB583" i="43"/>
  <c r="AC583" i="43" s="1"/>
  <c r="AD583" i="43"/>
  <c r="AH583" i="43" s="1" a="1"/>
  <c r="AH583" i="43" s="1"/>
  <c r="AE583" i="43"/>
  <c r="AJ583" i="43" s="1"/>
  <c r="Z584" i="43"/>
  <c r="AA584" i="43" s="1"/>
  <c r="AB584" i="43"/>
  <c r="AC584" i="43" s="1"/>
  <c r="AD584" i="43"/>
  <c r="AH584" i="43" s="1" a="1"/>
  <c r="AH584" i="43" s="1"/>
  <c r="AE584" i="43"/>
  <c r="AI584" i="43" s="1"/>
  <c r="Z585" i="43"/>
  <c r="AA585" i="43" s="1"/>
  <c r="AB585" i="43"/>
  <c r="AC585" i="43" s="1"/>
  <c r="AD585" i="43"/>
  <c r="AH585" i="43" s="1" a="1"/>
  <c r="AH585" i="43" s="1"/>
  <c r="AE585" i="43"/>
  <c r="Z586" i="43"/>
  <c r="AA586" i="43" s="1"/>
  <c r="AB586" i="43"/>
  <c r="AC586" i="43" s="1"/>
  <c r="AD586" i="43"/>
  <c r="AH586" i="43" s="1" a="1"/>
  <c r="AH586" i="43" s="1"/>
  <c r="AE586" i="43"/>
  <c r="AJ586" i="43" s="1"/>
  <c r="Z587" i="43"/>
  <c r="AA587" i="43" s="1"/>
  <c r="AB587" i="43"/>
  <c r="AC587" i="43" s="1"/>
  <c r="AD587" i="43"/>
  <c r="AH587" i="43" s="1" a="1"/>
  <c r="AH587" i="43" s="1"/>
  <c r="AE587" i="43"/>
  <c r="AJ587" i="43" s="1"/>
  <c r="Z588" i="43"/>
  <c r="AA588" i="43" s="1"/>
  <c r="AB588" i="43"/>
  <c r="AC588" i="43" s="1"/>
  <c r="AD588" i="43"/>
  <c r="AH588" i="43" s="1" a="1"/>
  <c r="AH588" i="43" s="1"/>
  <c r="AE588" i="43"/>
  <c r="AF588" i="43" s="1"/>
  <c r="AG588" i="43" s="1"/>
  <c r="Z589" i="43"/>
  <c r="AA589" i="43" s="1"/>
  <c r="AB589" i="43"/>
  <c r="AC589" i="43" s="1"/>
  <c r="AD589" i="43"/>
  <c r="AH589" i="43" s="1" a="1"/>
  <c r="AH589" i="43" s="1"/>
  <c r="AE589" i="43"/>
  <c r="AJ589" i="43" s="1"/>
  <c r="Z590" i="43"/>
  <c r="AA590" i="43" s="1"/>
  <c r="AB590" i="43"/>
  <c r="AC590" i="43" s="1"/>
  <c r="AD590" i="43"/>
  <c r="AH590" i="43" s="1" a="1"/>
  <c r="AH590" i="43" s="1"/>
  <c r="AE590" i="43"/>
  <c r="AI590" i="43" s="1"/>
  <c r="Z591" i="43"/>
  <c r="AA591" i="43" s="1"/>
  <c r="AB591" i="43"/>
  <c r="AC591" i="43" s="1"/>
  <c r="AD591" i="43"/>
  <c r="AH591" i="43" s="1" a="1"/>
  <c r="AH591" i="43" s="1"/>
  <c r="AE591" i="43"/>
  <c r="AJ591" i="43" s="1"/>
  <c r="Z592" i="43"/>
  <c r="AA592" i="43" s="1"/>
  <c r="AB592" i="43"/>
  <c r="AC592" i="43" s="1"/>
  <c r="AD592" i="43"/>
  <c r="AH592" i="43" s="1" a="1"/>
  <c r="AH592" i="43" s="1"/>
  <c r="AE592" i="43"/>
  <c r="Z593" i="43"/>
  <c r="AA593" i="43" s="1"/>
  <c r="AB593" i="43"/>
  <c r="AC593" i="43" s="1"/>
  <c r="AD593" i="43"/>
  <c r="AH593" i="43" s="1" a="1"/>
  <c r="AH593" i="43" s="1"/>
  <c r="AE593" i="43"/>
  <c r="Z594" i="43"/>
  <c r="AA594" i="43" s="1"/>
  <c r="AB594" i="43"/>
  <c r="AC594" i="43" s="1"/>
  <c r="AD594" i="43"/>
  <c r="AH594" i="43" s="1" a="1"/>
  <c r="AH594" i="43" s="1"/>
  <c r="AE594" i="43"/>
  <c r="AF594" i="43" s="1"/>
  <c r="AG594" i="43" s="1"/>
  <c r="Z595" i="43"/>
  <c r="AA595" i="43" s="1"/>
  <c r="AB595" i="43"/>
  <c r="AC595" i="43" s="1"/>
  <c r="AD595" i="43"/>
  <c r="AH595" i="43" s="1" a="1"/>
  <c r="AH595" i="43" s="1"/>
  <c r="AE595" i="43"/>
  <c r="AJ595" i="43" s="1"/>
  <c r="Z596" i="43"/>
  <c r="AA596" i="43" s="1"/>
  <c r="AB596" i="43"/>
  <c r="AC596" i="43" s="1"/>
  <c r="AD596" i="43"/>
  <c r="AH596" i="43" s="1" a="1"/>
  <c r="AH596" i="43" s="1"/>
  <c r="AE596" i="43"/>
  <c r="Z597" i="43"/>
  <c r="AA597" i="43" s="1"/>
  <c r="AB597" i="43"/>
  <c r="AC597" i="43" s="1"/>
  <c r="AD597" i="43"/>
  <c r="AH597" i="43" s="1" a="1"/>
  <c r="AH597" i="43" s="1"/>
  <c r="AE597" i="43"/>
  <c r="AJ597" i="43" s="1"/>
  <c r="Z598" i="43"/>
  <c r="AA598" i="43" s="1"/>
  <c r="AB598" i="43"/>
  <c r="AC598" i="43" s="1"/>
  <c r="AD598" i="43"/>
  <c r="AH598" i="43" s="1" a="1"/>
  <c r="AH598" i="43" s="1"/>
  <c r="AE598" i="43"/>
  <c r="AJ598" i="43" s="1"/>
  <c r="Z599" i="43"/>
  <c r="AA599" i="43" s="1"/>
  <c r="AB599" i="43"/>
  <c r="AC599" i="43" s="1"/>
  <c r="AD599" i="43"/>
  <c r="AH599" i="43" s="1" a="1"/>
  <c r="AH599" i="43" s="1"/>
  <c r="AE599" i="43"/>
  <c r="AJ599" i="43" s="1"/>
  <c r="Z600" i="43"/>
  <c r="AA600" i="43" s="1"/>
  <c r="AB600" i="43"/>
  <c r="AC600" i="43" s="1"/>
  <c r="AD600" i="43"/>
  <c r="AH600" i="43" s="1" a="1"/>
  <c r="AH600" i="43" s="1"/>
  <c r="AE600" i="43"/>
  <c r="AD2" i="43"/>
  <c r="AH2" i="43" s="1" a="1"/>
  <c r="AH2" i="43" s="1"/>
  <c r="AB2" i="43"/>
  <c r="AC2" i="43" s="1"/>
  <c r="Z3" i="26"/>
  <c r="AA3" i="26" s="1"/>
  <c r="AB3" i="26"/>
  <c r="AD3" i="26"/>
  <c r="AH3" i="26" s="1" a="1"/>
  <c r="AH3" i="26" s="1"/>
  <c r="Z4" i="26"/>
  <c r="AA4" i="26" s="1"/>
  <c r="AB4" i="26"/>
  <c r="AD4" i="26"/>
  <c r="AH4" i="26" s="1" a="1"/>
  <c r="AH4" i="26" s="1"/>
  <c r="Z5" i="26"/>
  <c r="AA5" i="26" s="1"/>
  <c r="AB5" i="26"/>
  <c r="AC5" i="26" s="1"/>
  <c r="AD5" i="26"/>
  <c r="AH5" i="26" s="1" a="1"/>
  <c r="AH5" i="26" s="1"/>
  <c r="Z6" i="26"/>
  <c r="AA6" i="26" s="1"/>
  <c r="AB6" i="26"/>
  <c r="AD6" i="26"/>
  <c r="AH6" i="26" s="1" a="1"/>
  <c r="AH6" i="26" s="1"/>
  <c r="Z7" i="26"/>
  <c r="AA7" i="26" s="1"/>
  <c r="AB7" i="26"/>
  <c r="AD7" i="26"/>
  <c r="AH7" i="26" s="1" a="1"/>
  <c r="AH7" i="26" s="1"/>
  <c r="Z8" i="26"/>
  <c r="AA8" i="26" s="1"/>
  <c r="AB8" i="26"/>
  <c r="AD8" i="26"/>
  <c r="AH8" i="26" s="1" a="1"/>
  <c r="AH8" i="26" s="1"/>
  <c r="Z9" i="26"/>
  <c r="AA9" i="26" s="1"/>
  <c r="AB9" i="26"/>
  <c r="AD9" i="26"/>
  <c r="AH9" i="26" s="1" a="1"/>
  <c r="AH9" i="26" s="1"/>
  <c r="Z10" i="26"/>
  <c r="AA10" i="26" s="1"/>
  <c r="AB10" i="26"/>
  <c r="AD10" i="26"/>
  <c r="AH10" i="26" s="1" a="1"/>
  <c r="AH10" i="26" s="1"/>
  <c r="Z11" i="26"/>
  <c r="AA11" i="26" s="1"/>
  <c r="AB11" i="26"/>
  <c r="AD11" i="26"/>
  <c r="AH11" i="26" s="1" a="1"/>
  <c r="AH11" i="26" s="1"/>
  <c r="Z12" i="26"/>
  <c r="AA12" i="26" s="1"/>
  <c r="AB12" i="26"/>
  <c r="AD12" i="26"/>
  <c r="AH12" i="26" s="1" a="1"/>
  <c r="AH12" i="26" s="1"/>
  <c r="Z13" i="26"/>
  <c r="AA13" i="26" s="1"/>
  <c r="AB13" i="26"/>
  <c r="AD13" i="26"/>
  <c r="AH13" i="26" s="1" a="1"/>
  <c r="AH13" i="26" s="1"/>
  <c r="Z14" i="26"/>
  <c r="AA14" i="26" s="1"/>
  <c r="AB14" i="26"/>
  <c r="AC14" i="26" s="1"/>
  <c r="AD14" i="26"/>
  <c r="AH14" i="26" s="1" a="1"/>
  <c r="AH14" i="26" s="1"/>
  <c r="AI14" i="26"/>
  <c r="Z15" i="26"/>
  <c r="AA15" i="26" s="1"/>
  <c r="AB15" i="26"/>
  <c r="AC15" i="26" s="1"/>
  <c r="AD15" i="26"/>
  <c r="AH15" i="26" s="1" a="1"/>
  <c r="AH15" i="26" s="1"/>
  <c r="AJ15" i="26"/>
  <c r="Z16" i="26"/>
  <c r="AA16" i="26" s="1"/>
  <c r="AB16" i="26"/>
  <c r="AC16" i="26" s="1"/>
  <c r="AD16" i="26"/>
  <c r="AH16" i="26" s="1" a="1"/>
  <c r="AH16" i="26" s="1"/>
  <c r="AI16" i="26"/>
  <c r="Z17" i="26"/>
  <c r="AA17" i="26" s="1"/>
  <c r="AB17" i="26"/>
  <c r="AC17" i="26" s="1"/>
  <c r="AD17" i="26"/>
  <c r="AH17" i="26" s="1" a="1"/>
  <c r="AH17" i="26" s="1"/>
  <c r="Z18" i="26"/>
  <c r="AA18" i="26" s="1"/>
  <c r="AB18" i="26"/>
  <c r="AC18" i="26" s="1"/>
  <c r="AD18" i="26"/>
  <c r="AH18" i="26" s="1" a="1"/>
  <c r="AH18" i="26" s="1"/>
  <c r="AI18" i="26"/>
  <c r="Z19" i="26"/>
  <c r="AA19" i="26" s="1"/>
  <c r="AB19" i="26"/>
  <c r="AC19" i="26" s="1"/>
  <c r="AD19" i="26"/>
  <c r="AH19" i="26" s="1" a="1"/>
  <c r="AH19" i="26" s="1"/>
  <c r="AJ19" i="26"/>
  <c r="Z20" i="26"/>
  <c r="AA20" i="26" s="1"/>
  <c r="AB20" i="26"/>
  <c r="AC20" i="26" s="1"/>
  <c r="AD20" i="26"/>
  <c r="AH20" i="26" s="1" a="1"/>
  <c r="AH20" i="26" s="1"/>
  <c r="AJ20" i="26"/>
  <c r="Z21" i="26"/>
  <c r="AA21" i="26" s="1"/>
  <c r="AB21" i="26"/>
  <c r="AC21" i="26" s="1"/>
  <c r="AD21" i="26"/>
  <c r="AH21" i="26" s="1" a="1"/>
  <c r="AH21" i="26" s="1"/>
  <c r="Z22" i="26"/>
  <c r="AA22" i="26" s="1"/>
  <c r="AB22" i="26"/>
  <c r="AC22" i="26" s="1"/>
  <c r="AD22" i="26"/>
  <c r="AH22" i="26" s="1" a="1"/>
  <c r="AH22" i="26" s="1"/>
  <c r="AI22" i="26"/>
  <c r="Z23" i="26"/>
  <c r="AA23" i="26" s="1"/>
  <c r="AB23" i="26"/>
  <c r="AC23" i="26" s="1"/>
  <c r="AD23" i="26"/>
  <c r="AH23" i="26" s="1" a="1"/>
  <c r="AH23" i="26" s="1"/>
  <c r="AJ23" i="26"/>
  <c r="Z24" i="26"/>
  <c r="AA24" i="26" s="1"/>
  <c r="AB24" i="26"/>
  <c r="AC24" i="26" s="1"/>
  <c r="AD24" i="26"/>
  <c r="AH24" i="26" s="1" a="1"/>
  <c r="AH24" i="26" s="1"/>
  <c r="Z25" i="26"/>
  <c r="AA25" i="26" s="1"/>
  <c r="AB25" i="26"/>
  <c r="AC25" i="26" s="1"/>
  <c r="AD25" i="26"/>
  <c r="AH25" i="26" s="1" a="1"/>
  <c r="AH25" i="26" s="1"/>
  <c r="AJ25" i="26"/>
  <c r="Z26" i="26"/>
  <c r="AA26" i="26" s="1"/>
  <c r="AB26" i="26"/>
  <c r="AC26" i="26" s="1"/>
  <c r="AD26" i="26"/>
  <c r="AH26" i="26" s="1" a="1"/>
  <c r="AH26" i="26" s="1"/>
  <c r="AF26" i="26"/>
  <c r="AG26" i="26" s="1"/>
  <c r="Z27" i="26"/>
  <c r="AA27" i="26" s="1"/>
  <c r="AB27" i="26"/>
  <c r="AC27" i="26" s="1"/>
  <c r="AD27" i="26"/>
  <c r="AH27" i="26" s="1" a="1"/>
  <c r="AH27" i="26" s="1"/>
  <c r="AJ27" i="26"/>
  <c r="Z28" i="26"/>
  <c r="AA28" i="26" s="1"/>
  <c r="AB28" i="26"/>
  <c r="AC28" i="26" s="1"/>
  <c r="AD28" i="26"/>
  <c r="AH28" i="26" s="1" a="1"/>
  <c r="AH28" i="26" s="1"/>
  <c r="AF28" i="26"/>
  <c r="AG28" i="26" s="1"/>
  <c r="Z29" i="26"/>
  <c r="AA29" i="26" s="1"/>
  <c r="AB29" i="26"/>
  <c r="AC29" i="26" s="1"/>
  <c r="AD29" i="26"/>
  <c r="AH29" i="26" s="1" a="1"/>
  <c r="AH29" i="26" s="1"/>
  <c r="Z30" i="26"/>
  <c r="AA30" i="26" s="1"/>
  <c r="AB30" i="26"/>
  <c r="AC30" i="26" s="1"/>
  <c r="AD30" i="26"/>
  <c r="AH30" i="26" s="1" a="1"/>
  <c r="AH30" i="26" s="1"/>
  <c r="AI30" i="26"/>
  <c r="Z31" i="26"/>
  <c r="AA31" i="26" s="1"/>
  <c r="AB31" i="26"/>
  <c r="AC31" i="26" s="1"/>
  <c r="AD31" i="26"/>
  <c r="AH31" i="26" s="1" a="1"/>
  <c r="AH31" i="26" s="1"/>
  <c r="AJ31" i="26"/>
  <c r="Z32" i="26"/>
  <c r="AA32" i="26" s="1"/>
  <c r="AB32" i="26"/>
  <c r="AC32" i="26" s="1"/>
  <c r="AD32" i="26"/>
  <c r="AH32" i="26" s="1" a="1"/>
  <c r="AH32" i="26" s="1"/>
  <c r="Z33" i="26"/>
  <c r="AA33" i="26" s="1"/>
  <c r="AB33" i="26"/>
  <c r="AC33" i="26" s="1"/>
  <c r="AD33" i="26"/>
  <c r="AH33" i="26" s="1" a="1"/>
  <c r="AH33" i="26" s="1"/>
  <c r="Z34" i="26"/>
  <c r="AA34" i="26" s="1"/>
  <c r="AB34" i="26"/>
  <c r="AC34" i="26" s="1"/>
  <c r="AD34" i="26"/>
  <c r="AH34" i="26" s="1" a="1"/>
  <c r="AH34" i="26" s="1"/>
  <c r="AJ34" i="26"/>
  <c r="Z35" i="26"/>
  <c r="AA35" i="26" s="1"/>
  <c r="AB35" i="26"/>
  <c r="AC35" i="26" s="1"/>
  <c r="AD35" i="26"/>
  <c r="AH35" i="26" s="1" a="1"/>
  <c r="AH35" i="26" s="1"/>
  <c r="AF35" i="26"/>
  <c r="AG35" i="26" s="1"/>
  <c r="Z36" i="26"/>
  <c r="AA36" i="26" s="1"/>
  <c r="AB36" i="26"/>
  <c r="AC36" i="26" s="1"/>
  <c r="AD36" i="26"/>
  <c r="AH36" i="26" s="1" a="1"/>
  <c r="AH36" i="26" s="1"/>
  <c r="AJ36" i="26"/>
  <c r="Z37" i="26"/>
  <c r="AA37" i="26" s="1"/>
  <c r="AB37" i="26"/>
  <c r="AC37" i="26" s="1"/>
  <c r="AD37" i="26"/>
  <c r="AH37" i="26" s="1" a="1"/>
  <c r="AH37" i="26" s="1"/>
  <c r="Z38" i="26"/>
  <c r="AA38" i="26" s="1"/>
  <c r="AB38" i="26"/>
  <c r="AC38" i="26" s="1"/>
  <c r="AD38" i="26"/>
  <c r="AH38" i="26" s="1" a="1"/>
  <c r="AH38" i="26" s="1"/>
  <c r="AJ38" i="26"/>
  <c r="Z39" i="26"/>
  <c r="AA39" i="26" s="1"/>
  <c r="AB39" i="26"/>
  <c r="AC39" i="26" s="1"/>
  <c r="AD39" i="26"/>
  <c r="AH39" i="26" s="1" a="1"/>
  <c r="AH39" i="26" s="1"/>
  <c r="AJ39" i="26"/>
  <c r="Z40" i="26"/>
  <c r="AA40" i="26" s="1"/>
  <c r="AB40" i="26"/>
  <c r="AC40" i="26" s="1"/>
  <c r="AD40" i="26"/>
  <c r="AH40" i="26" s="1" a="1"/>
  <c r="AH40" i="26" s="1"/>
  <c r="Z41" i="26"/>
  <c r="AA41" i="26" s="1"/>
  <c r="AB41" i="26"/>
  <c r="AC41" i="26" s="1"/>
  <c r="AD41" i="26"/>
  <c r="AH41" i="26" s="1" a="1"/>
  <c r="AH41" i="26" s="1"/>
  <c r="Z42" i="26"/>
  <c r="AA42" i="26" s="1"/>
  <c r="AB42" i="26"/>
  <c r="AC42" i="26" s="1"/>
  <c r="AD42" i="26"/>
  <c r="AH42" i="26" s="1" a="1"/>
  <c r="AH42" i="26" s="1"/>
  <c r="AF42" i="26"/>
  <c r="AG42" i="26" s="1"/>
  <c r="Z43" i="26"/>
  <c r="AA43" i="26" s="1"/>
  <c r="AB43" i="26"/>
  <c r="AC43" i="26" s="1"/>
  <c r="AD43" i="26"/>
  <c r="AH43" i="26" s="1" a="1"/>
  <c r="AH43" i="26" s="1"/>
  <c r="AJ43" i="26"/>
  <c r="Z44" i="26"/>
  <c r="AA44" i="26" s="1"/>
  <c r="AB44" i="26"/>
  <c r="AC44" i="26" s="1"/>
  <c r="AD44" i="26"/>
  <c r="AH44" i="26" s="1" a="1"/>
  <c r="AH44" i="26" s="1"/>
  <c r="Z45" i="26"/>
  <c r="AA45" i="26" s="1"/>
  <c r="AB45" i="26"/>
  <c r="AC45" i="26" s="1"/>
  <c r="AD45" i="26"/>
  <c r="AH45" i="26" s="1" a="1"/>
  <c r="AH45" i="26" s="1"/>
  <c r="Z46" i="26"/>
  <c r="AA46" i="26" s="1"/>
  <c r="AB46" i="26"/>
  <c r="AC46" i="26" s="1"/>
  <c r="AD46" i="26"/>
  <c r="AH46" i="26" s="1" a="1"/>
  <c r="AH46" i="26" s="1"/>
  <c r="Z47" i="26"/>
  <c r="AA47" i="26" s="1"/>
  <c r="AB47" i="26"/>
  <c r="AC47" i="26" s="1"/>
  <c r="AD47" i="26"/>
  <c r="AH47" i="26" s="1" a="1"/>
  <c r="AH47" i="26" s="1"/>
  <c r="AF47" i="26"/>
  <c r="AG47" i="26" s="1"/>
  <c r="Z48" i="26"/>
  <c r="AA48" i="26" s="1"/>
  <c r="AB48" i="26"/>
  <c r="AC48" i="26" s="1"/>
  <c r="AD48" i="26"/>
  <c r="AH48" i="26" s="1" a="1"/>
  <c r="AH48" i="26" s="1"/>
  <c r="AI48" i="26"/>
  <c r="Z49" i="26"/>
  <c r="AA49" i="26" s="1"/>
  <c r="AB49" i="26"/>
  <c r="AC49" i="26" s="1"/>
  <c r="AD49" i="26"/>
  <c r="AH49" i="26" s="1" a="1"/>
  <c r="AH49" i="26" s="1"/>
  <c r="AJ49" i="26"/>
  <c r="Z50" i="26"/>
  <c r="AA50" i="26" s="1"/>
  <c r="AB50" i="26"/>
  <c r="AC50" i="26" s="1"/>
  <c r="AD50" i="26"/>
  <c r="AH50" i="26" s="1" a="1"/>
  <c r="AH50" i="26" s="1"/>
  <c r="AF50" i="26"/>
  <c r="AG50" i="26" s="1"/>
  <c r="Z51" i="26"/>
  <c r="AA51" i="26" s="1"/>
  <c r="AB51" i="26"/>
  <c r="AC51" i="26" s="1"/>
  <c r="AD51" i="26"/>
  <c r="AH51" i="26" s="1" a="1"/>
  <c r="AH51" i="26" s="1"/>
  <c r="AI51" i="26"/>
  <c r="Z52" i="26"/>
  <c r="AA52" i="26" s="1"/>
  <c r="AB52" i="26"/>
  <c r="AC52" i="26" s="1"/>
  <c r="AD52" i="26"/>
  <c r="AH52" i="26" s="1" a="1"/>
  <c r="AH52" i="26" s="1"/>
  <c r="AF52" i="26"/>
  <c r="AG52" i="26" s="1"/>
  <c r="Z53" i="26"/>
  <c r="AA53" i="26" s="1"/>
  <c r="AB53" i="26"/>
  <c r="AC53" i="26" s="1"/>
  <c r="AD53" i="26"/>
  <c r="AH53" i="26" s="1" a="1"/>
  <c r="AH53" i="26" s="1"/>
  <c r="AI53" i="26"/>
  <c r="Z54" i="26"/>
  <c r="AA54" i="26" s="1"/>
  <c r="AB54" i="26"/>
  <c r="AC54" i="26" s="1"/>
  <c r="AD54" i="26"/>
  <c r="AH54" i="26" s="1" a="1"/>
  <c r="AH54" i="26" s="1"/>
  <c r="AF54" i="26"/>
  <c r="AG54" i="26" s="1"/>
  <c r="Z55" i="26"/>
  <c r="AA55" i="26" s="1"/>
  <c r="AB55" i="26"/>
  <c r="AC55" i="26" s="1"/>
  <c r="AD55" i="26"/>
  <c r="AH55" i="26" s="1" a="1"/>
  <c r="AH55" i="26" s="1"/>
  <c r="AI55" i="26"/>
  <c r="Z56" i="26"/>
  <c r="AA56" i="26" s="1"/>
  <c r="AB56" i="26"/>
  <c r="AC56" i="26" s="1"/>
  <c r="AD56" i="26"/>
  <c r="AH56" i="26" s="1" a="1"/>
  <c r="AH56" i="26" s="1"/>
  <c r="AJ56" i="26"/>
  <c r="Z57" i="26"/>
  <c r="AA57" i="26" s="1"/>
  <c r="AB57" i="26"/>
  <c r="AC57" i="26" s="1"/>
  <c r="AD57" i="26"/>
  <c r="AH57" i="26" s="1" a="1"/>
  <c r="AH57" i="26" s="1"/>
  <c r="Z58" i="26"/>
  <c r="AA58" i="26" s="1"/>
  <c r="AB58" i="26"/>
  <c r="AC58" i="26" s="1"/>
  <c r="AD58" i="26"/>
  <c r="AH58" i="26" s="1" a="1"/>
  <c r="AH58" i="26" s="1"/>
  <c r="AI58" i="26"/>
  <c r="Z59" i="26"/>
  <c r="AA59" i="26" s="1"/>
  <c r="AB59" i="26"/>
  <c r="AC59" i="26" s="1"/>
  <c r="AD59" i="26"/>
  <c r="AH59" i="26" s="1" a="1"/>
  <c r="AH59" i="26" s="1"/>
  <c r="AI59" i="26"/>
  <c r="Z60" i="26"/>
  <c r="AA60" i="26" s="1"/>
  <c r="AB60" i="26"/>
  <c r="AC60" i="26" s="1"/>
  <c r="AD60" i="26"/>
  <c r="AH60" i="26" s="1" a="1"/>
  <c r="AH60" i="26" s="1"/>
  <c r="AF60" i="26"/>
  <c r="AG60" i="26" s="1"/>
  <c r="Z61" i="26"/>
  <c r="AA61" i="26" s="1"/>
  <c r="AB61" i="26"/>
  <c r="AC61" i="26" s="1"/>
  <c r="AD61" i="26"/>
  <c r="AH61" i="26" s="1" a="1"/>
  <c r="AH61" i="26" s="1"/>
  <c r="AI61" i="26"/>
  <c r="Z62" i="26"/>
  <c r="AA62" i="26" s="1"/>
  <c r="AB62" i="26"/>
  <c r="AC62" i="26" s="1"/>
  <c r="AD62" i="26"/>
  <c r="AH62" i="26" s="1" a="1"/>
  <c r="AH62" i="26" s="1"/>
  <c r="AI62" i="26"/>
  <c r="Z63" i="26"/>
  <c r="AA63" i="26" s="1"/>
  <c r="AB63" i="26"/>
  <c r="AC63" i="26" s="1"/>
  <c r="AD63" i="26"/>
  <c r="AH63" i="26" s="1" a="1"/>
  <c r="AH63" i="26" s="1"/>
  <c r="AJ63" i="26"/>
  <c r="Z64" i="26"/>
  <c r="AA64" i="26" s="1"/>
  <c r="AB64" i="26"/>
  <c r="AC64" i="26" s="1"/>
  <c r="AD64" i="26"/>
  <c r="AH64" i="26" s="1" a="1"/>
  <c r="AH64" i="26" s="1"/>
  <c r="AJ64" i="26"/>
  <c r="Z65" i="26"/>
  <c r="AA65" i="26" s="1"/>
  <c r="AB65" i="26"/>
  <c r="AC65" i="26" s="1"/>
  <c r="AD65" i="26"/>
  <c r="AH65" i="26" s="1" a="1"/>
  <c r="AH65" i="26" s="1"/>
  <c r="AJ65" i="26"/>
  <c r="Z66" i="26"/>
  <c r="AA66" i="26" s="1"/>
  <c r="AB66" i="26"/>
  <c r="AC66" i="26" s="1"/>
  <c r="AD66" i="26"/>
  <c r="AH66" i="26" s="1" a="1"/>
  <c r="AH66" i="26" s="1"/>
  <c r="AF66" i="26"/>
  <c r="AG66" i="26" s="1"/>
  <c r="Z67" i="26"/>
  <c r="AA67" i="26" s="1"/>
  <c r="AB67" i="26"/>
  <c r="AC67" i="26" s="1"/>
  <c r="AD67" i="26"/>
  <c r="AH67" i="26" s="1" a="1"/>
  <c r="AH67" i="26" s="1"/>
  <c r="AJ67" i="26"/>
  <c r="Z68" i="26"/>
  <c r="AA68" i="26" s="1"/>
  <c r="AB68" i="26"/>
  <c r="AC68" i="26" s="1"/>
  <c r="AD68" i="26"/>
  <c r="AH68" i="26" s="1" a="1"/>
  <c r="AH68" i="26" s="1"/>
  <c r="AJ68" i="26"/>
  <c r="Z69" i="26"/>
  <c r="AA69" i="26" s="1"/>
  <c r="AB69" i="26"/>
  <c r="AC69" i="26" s="1"/>
  <c r="AD69" i="26"/>
  <c r="AH69" i="26" s="1" a="1"/>
  <c r="AH69" i="26" s="1"/>
  <c r="AF69" i="26"/>
  <c r="AG69" i="26" s="1"/>
  <c r="Z70" i="26"/>
  <c r="AA70" i="26" s="1"/>
  <c r="AB70" i="26"/>
  <c r="AC70" i="26" s="1"/>
  <c r="AD70" i="26"/>
  <c r="AH70" i="26" s="1" a="1"/>
  <c r="AH70" i="26" s="1"/>
  <c r="AJ70" i="26"/>
  <c r="Z71" i="26"/>
  <c r="AA71" i="26" s="1"/>
  <c r="AB71" i="26"/>
  <c r="AC71" i="26" s="1"/>
  <c r="AD71" i="26"/>
  <c r="AH71" i="26" s="1" a="1"/>
  <c r="AH71" i="26" s="1"/>
  <c r="AJ71" i="26"/>
  <c r="Z72" i="26"/>
  <c r="AA72" i="26" s="1"/>
  <c r="AB72" i="26"/>
  <c r="AC72" i="26" s="1"/>
  <c r="AD72" i="26"/>
  <c r="AH72" i="26" s="1" a="1"/>
  <c r="AH72" i="26" s="1"/>
  <c r="AF72" i="26"/>
  <c r="AG72" i="26" s="1"/>
  <c r="Z73" i="26"/>
  <c r="AA73" i="26" s="1"/>
  <c r="AB73" i="26"/>
  <c r="AC73" i="26" s="1"/>
  <c r="AD73" i="26"/>
  <c r="AH73" i="26" s="1" a="1"/>
  <c r="AH73" i="26" s="1"/>
  <c r="AF73" i="26"/>
  <c r="AG73" i="26" s="1"/>
  <c r="Z74" i="26"/>
  <c r="AA74" i="26" s="1"/>
  <c r="AB74" i="26"/>
  <c r="AC74" i="26" s="1"/>
  <c r="AD74" i="26"/>
  <c r="AH74" i="26" s="1" a="1"/>
  <c r="AH74" i="26" s="1"/>
  <c r="AI74" i="26"/>
  <c r="Z75" i="26"/>
  <c r="AA75" i="26" s="1"/>
  <c r="AB75" i="26"/>
  <c r="AC75" i="26" s="1"/>
  <c r="AD75" i="26"/>
  <c r="AH75" i="26" s="1" a="1"/>
  <c r="AH75" i="26" s="1"/>
  <c r="AI75" i="26"/>
  <c r="Z76" i="26"/>
  <c r="AA76" i="26" s="1"/>
  <c r="AB76" i="26"/>
  <c r="AC76" i="26" s="1"/>
  <c r="AD76" i="26"/>
  <c r="AH76" i="26" s="1" a="1"/>
  <c r="AH76" i="26" s="1"/>
  <c r="AJ76" i="26"/>
  <c r="Z77" i="26"/>
  <c r="AA77" i="26" s="1"/>
  <c r="AB77" i="26"/>
  <c r="AC77" i="26" s="1"/>
  <c r="AD77" i="26"/>
  <c r="AH77" i="26" s="1" a="1"/>
  <c r="AH77" i="26" s="1"/>
  <c r="AF77" i="26"/>
  <c r="AG77" i="26" s="1"/>
  <c r="Z78" i="26"/>
  <c r="AA78" i="26" s="1"/>
  <c r="AB78" i="26"/>
  <c r="AC78" i="26" s="1"/>
  <c r="AD78" i="26"/>
  <c r="AH78" i="26" s="1" a="1"/>
  <c r="AH78" i="26" s="1"/>
  <c r="AF78" i="26"/>
  <c r="AG78" i="26" s="1"/>
  <c r="Z79" i="26"/>
  <c r="AA79" i="26" s="1"/>
  <c r="AB79" i="26"/>
  <c r="AC79" i="26" s="1"/>
  <c r="AD79" i="26"/>
  <c r="AH79" i="26" s="1" a="1"/>
  <c r="AH79" i="26" s="1"/>
  <c r="AJ79" i="26"/>
  <c r="Z80" i="26"/>
  <c r="AA80" i="26" s="1"/>
  <c r="AB80" i="26"/>
  <c r="AC80" i="26" s="1"/>
  <c r="AD80" i="26"/>
  <c r="AH80" i="26" s="1" a="1"/>
  <c r="AH80" i="26" s="1"/>
  <c r="AI80" i="26"/>
  <c r="Z81" i="26"/>
  <c r="AA81" i="26" s="1"/>
  <c r="AB81" i="26"/>
  <c r="AC81" i="26" s="1"/>
  <c r="AD81" i="26"/>
  <c r="AH81" i="26" s="1" a="1"/>
  <c r="AH81" i="26" s="1"/>
  <c r="AI81" i="26"/>
  <c r="Z82" i="26"/>
  <c r="AA82" i="26" s="1"/>
  <c r="AB82" i="26"/>
  <c r="AC82" i="26" s="1"/>
  <c r="AD82" i="26"/>
  <c r="AH82" i="26" s="1" a="1"/>
  <c r="AH82" i="26" s="1"/>
  <c r="AI82" i="26"/>
  <c r="Z83" i="26"/>
  <c r="AA83" i="26" s="1"/>
  <c r="AB83" i="26"/>
  <c r="AC83" i="26" s="1"/>
  <c r="AD83" i="26"/>
  <c r="AH83" i="26" s="1" a="1"/>
  <c r="AH83" i="26" s="1"/>
  <c r="AI83" i="26"/>
  <c r="Z84" i="26"/>
  <c r="AA84" i="26" s="1"/>
  <c r="AB84" i="26"/>
  <c r="AC84" i="26" s="1"/>
  <c r="AD84" i="26"/>
  <c r="AH84" i="26" s="1" a="1"/>
  <c r="AH84" i="26" s="1"/>
  <c r="AF84" i="26"/>
  <c r="AG84" i="26" s="1"/>
  <c r="Z85" i="26"/>
  <c r="AA85" i="26" s="1"/>
  <c r="AB85" i="26"/>
  <c r="AC85" i="26" s="1"/>
  <c r="AD85" i="26"/>
  <c r="AH85" i="26" s="1" a="1"/>
  <c r="AH85" i="26" s="1"/>
  <c r="AF85" i="26"/>
  <c r="AG85" i="26" s="1"/>
  <c r="Z86" i="26"/>
  <c r="AA86" i="26" s="1"/>
  <c r="AB86" i="26"/>
  <c r="AC86" i="26" s="1"/>
  <c r="AD86" i="26"/>
  <c r="AH86" i="26" s="1" a="1"/>
  <c r="AH86" i="26" s="1"/>
  <c r="AF86" i="26"/>
  <c r="AG86" i="26" s="1"/>
  <c r="Z87" i="26"/>
  <c r="AA87" i="26" s="1"/>
  <c r="AB87" i="26"/>
  <c r="AC87" i="26" s="1"/>
  <c r="AD87" i="26"/>
  <c r="AH87" i="26" s="1" a="1"/>
  <c r="AH87" i="26" s="1"/>
  <c r="AJ87" i="26"/>
  <c r="Z88" i="26"/>
  <c r="AA88" i="26" s="1"/>
  <c r="AB88" i="26"/>
  <c r="AC88" i="26" s="1"/>
  <c r="AD88" i="26"/>
  <c r="AH88" i="26" s="1" a="1"/>
  <c r="AH88" i="26" s="1"/>
  <c r="AI88" i="26"/>
  <c r="Z89" i="26"/>
  <c r="AA89" i="26" s="1"/>
  <c r="AB89" i="26"/>
  <c r="AC89" i="26" s="1"/>
  <c r="AD89" i="26"/>
  <c r="AH89" i="26" s="1" a="1"/>
  <c r="AH89" i="26" s="1"/>
  <c r="AI89" i="26"/>
  <c r="Z90" i="26"/>
  <c r="AA90" i="26" s="1"/>
  <c r="AB90" i="26"/>
  <c r="AC90" i="26" s="1"/>
  <c r="AD90" i="26"/>
  <c r="AH90" i="26" s="1" a="1"/>
  <c r="AH90" i="26" s="1"/>
  <c r="AI90" i="26"/>
  <c r="Z91" i="26"/>
  <c r="AA91" i="26" s="1"/>
  <c r="AB91" i="26"/>
  <c r="AC91" i="26" s="1"/>
  <c r="AD91" i="26"/>
  <c r="AH91" i="26" s="1" a="1"/>
  <c r="AH91" i="26" s="1"/>
  <c r="Z92" i="26"/>
  <c r="AA92" i="26" s="1"/>
  <c r="AB92" i="26"/>
  <c r="AC92" i="26" s="1"/>
  <c r="AD92" i="26"/>
  <c r="AH92" i="26" s="1" a="1"/>
  <c r="AH92" i="26" s="1"/>
  <c r="AF92" i="26"/>
  <c r="AG92" i="26" s="1"/>
  <c r="Z93" i="26"/>
  <c r="AA93" i="26" s="1"/>
  <c r="AB93" i="26"/>
  <c r="AC93" i="26" s="1"/>
  <c r="AD93" i="26"/>
  <c r="AH93" i="26" s="1" a="1"/>
  <c r="AH93" i="26" s="1"/>
  <c r="AF93" i="26"/>
  <c r="AG93" i="26" s="1"/>
  <c r="Z94" i="26"/>
  <c r="AA94" i="26" s="1"/>
  <c r="AB94" i="26"/>
  <c r="AC94" i="26" s="1"/>
  <c r="AD94" i="26"/>
  <c r="AH94" i="26" s="1" a="1"/>
  <c r="AH94" i="26" s="1"/>
  <c r="AI94" i="26"/>
  <c r="Z95" i="26"/>
  <c r="AA95" i="26" s="1"/>
  <c r="AB95" i="26"/>
  <c r="AC95" i="26" s="1"/>
  <c r="AD95" i="26"/>
  <c r="AH95" i="26" s="1" a="1"/>
  <c r="AH95" i="26" s="1"/>
  <c r="Z96" i="26"/>
  <c r="AA96" i="26" s="1"/>
  <c r="AB96" i="26"/>
  <c r="AC96" i="26" s="1"/>
  <c r="AD96" i="26"/>
  <c r="AH96" i="26" s="1" a="1"/>
  <c r="AH96" i="26" s="1"/>
  <c r="AJ96" i="26"/>
  <c r="Z97" i="26"/>
  <c r="AA97" i="26" s="1"/>
  <c r="AB97" i="26"/>
  <c r="AC97" i="26" s="1"/>
  <c r="AD97" i="26"/>
  <c r="AH97" i="26" s="1" a="1"/>
  <c r="AH97" i="26" s="1"/>
  <c r="AJ97" i="26"/>
  <c r="Z98" i="26"/>
  <c r="AA98" i="26" s="1"/>
  <c r="AB98" i="26"/>
  <c r="AC98" i="26" s="1"/>
  <c r="AD98" i="26"/>
  <c r="AH98" i="26" s="1" a="1"/>
  <c r="AH98" i="26" s="1"/>
  <c r="AI98" i="26"/>
  <c r="Z99" i="26"/>
  <c r="AA99" i="26" s="1"/>
  <c r="AB99" i="26"/>
  <c r="AC99" i="26" s="1"/>
  <c r="AD99" i="26"/>
  <c r="AH99" i="26" s="1" a="1"/>
  <c r="AH99" i="26" s="1"/>
  <c r="AI99" i="26"/>
  <c r="Z100" i="26"/>
  <c r="AA100" i="26" s="1"/>
  <c r="AB100" i="26"/>
  <c r="AC100" i="26" s="1"/>
  <c r="AD100" i="26"/>
  <c r="AH100" i="26" s="1" a="1"/>
  <c r="AH100" i="26" s="1"/>
  <c r="AJ100" i="26"/>
  <c r="Z101" i="26"/>
  <c r="AA101" i="26" s="1"/>
  <c r="AB101" i="26"/>
  <c r="AC101" i="26" s="1"/>
  <c r="AD101" i="26"/>
  <c r="AH101" i="26" s="1" a="1"/>
  <c r="AH101" i="26" s="1"/>
  <c r="AI101" i="26"/>
  <c r="Z102" i="26"/>
  <c r="AA102" i="26" s="1"/>
  <c r="AB102" i="26"/>
  <c r="AC102" i="26" s="1"/>
  <c r="AD102" i="26"/>
  <c r="AH102" i="26" s="1" a="1"/>
  <c r="AH102" i="26" s="1"/>
  <c r="AJ102" i="26"/>
  <c r="Z103" i="26"/>
  <c r="AA103" i="26" s="1"/>
  <c r="AB103" i="26"/>
  <c r="AC103" i="26" s="1"/>
  <c r="AD103" i="26"/>
  <c r="AH103" i="26" s="1" a="1"/>
  <c r="AH103" i="26" s="1"/>
  <c r="Z104" i="26"/>
  <c r="AA104" i="26" s="1"/>
  <c r="AB104" i="26"/>
  <c r="AC104" i="26" s="1"/>
  <c r="AD104" i="26"/>
  <c r="AH104" i="26" s="1" a="1"/>
  <c r="AH104" i="26" s="1"/>
  <c r="Z105" i="26"/>
  <c r="AA105" i="26" s="1"/>
  <c r="AB105" i="26"/>
  <c r="AC105" i="26" s="1"/>
  <c r="AD105" i="26"/>
  <c r="AH105" i="26" s="1" a="1"/>
  <c r="AH105" i="26" s="1"/>
  <c r="Z106" i="26"/>
  <c r="AA106" i="26" s="1"/>
  <c r="AB106" i="26"/>
  <c r="AC106" i="26" s="1"/>
  <c r="AD106" i="26"/>
  <c r="AH106" i="26" s="1" a="1"/>
  <c r="AH106" i="26" s="1"/>
  <c r="AJ106" i="26"/>
  <c r="Z107" i="26"/>
  <c r="AA107" i="26" s="1"/>
  <c r="AB107" i="26"/>
  <c r="AC107" i="26" s="1"/>
  <c r="AD107" i="26"/>
  <c r="AH107" i="26" s="1" a="1"/>
  <c r="AH107" i="26" s="1"/>
  <c r="AI107" i="26"/>
  <c r="Z108" i="26"/>
  <c r="AA108" i="26" s="1"/>
  <c r="AB108" i="26"/>
  <c r="AC108" i="26" s="1"/>
  <c r="AD108" i="26"/>
  <c r="AH108" i="26" s="1" a="1"/>
  <c r="AH108" i="26" s="1"/>
  <c r="AJ108" i="26"/>
  <c r="Z109" i="26"/>
  <c r="AA109" i="26" s="1"/>
  <c r="AB109" i="26"/>
  <c r="AC109" i="26" s="1"/>
  <c r="AD109" i="26"/>
  <c r="AH109" i="26" s="1" a="1"/>
  <c r="AH109" i="26" s="1"/>
  <c r="Z110" i="26"/>
  <c r="AA110" i="26" s="1"/>
  <c r="AB110" i="26"/>
  <c r="AC110" i="26" s="1"/>
  <c r="AD110" i="26"/>
  <c r="AH110" i="26" s="1" a="1"/>
  <c r="AH110" i="26" s="1"/>
  <c r="Z111" i="26"/>
  <c r="AA111" i="26" s="1"/>
  <c r="AB111" i="26"/>
  <c r="AC111" i="26" s="1"/>
  <c r="AD111" i="26"/>
  <c r="AH111" i="26" s="1" a="1"/>
  <c r="AH111" i="26" s="1"/>
  <c r="AJ111" i="26"/>
  <c r="Z112" i="26"/>
  <c r="AA112" i="26" s="1"/>
  <c r="AB112" i="26"/>
  <c r="AC112" i="26" s="1"/>
  <c r="AD112" i="26"/>
  <c r="AH112" i="26" s="1" a="1"/>
  <c r="AH112" i="26" s="1"/>
  <c r="Z113" i="26"/>
  <c r="AA113" i="26" s="1"/>
  <c r="AB113" i="26"/>
  <c r="AC113" i="26" s="1"/>
  <c r="AD113" i="26"/>
  <c r="AH113" i="26" s="1" a="1"/>
  <c r="AH113" i="26" s="1"/>
  <c r="AF113" i="26"/>
  <c r="AG113" i="26" s="1"/>
  <c r="Z114" i="26"/>
  <c r="AA114" i="26" s="1"/>
  <c r="AB114" i="26"/>
  <c r="AC114" i="26" s="1"/>
  <c r="AD114" i="26"/>
  <c r="AH114" i="26" s="1" a="1"/>
  <c r="AH114" i="26" s="1"/>
  <c r="AJ114" i="26"/>
  <c r="Z115" i="26"/>
  <c r="AA115" i="26" s="1"/>
  <c r="AB115" i="26"/>
  <c r="AC115" i="26" s="1"/>
  <c r="AD115" i="26"/>
  <c r="AH115" i="26" s="1" a="1"/>
  <c r="AH115" i="26" s="1"/>
  <c r="Z116" i="26"/>
  <c r="AA116" i="26" s="1"/>
  <c r="AB116" i="26"/>
  <c r="AC116" i="26" s="1"/>
  <c r="AD116" i="26"/>
  <c r="AH116" i="26" s="1" a="1"/>
  <c r="AH116" i="26" s="1"/>
  <c r="AJ116" i="26"/>
  <c r="Z117" i="26"/>
  <c r="AA117" i="26" s="1"/>
  <c r="AB117" i="26"/>
  <c r="AC117" i="26" s="1"/>
  <c r="AD117" i="26"/>
  <c r="AH117" i="26" s="1" a="1"/>
  <c r="AH117" i="26" s="1"/>
  <c r="AI117" i="26"/>
  <c r="Z118" i="26"/>
  <c r="AA118" i="26" s="1"/>
  <c r="AB118" i="26"/>
  <c r="AC118" i="26" s="1"/>
  <c r="AD118" i="26"/>
  <c r="AH118" i="26" s="1" a="1"/>
  <c r="AH118" i="26" s="1"/>
  <c r="AJ118" i="26"/>
  <c r="Z119" i="26"/>
  <c r="AA119" i="26" s="1"/>
  <c r="AB119" i="26"/>
  <c r="AC119" i="26" s="1"/>
  <c r="AD119" i="26"/>
  <c r="AH119" i="26" s="1" a="1"/>
  <c r="AH119" i="26" s="1"/>
  <c r="Z120" i="26"/>
  <c r="AA120" i="26" s="1"/>
  <c r="AB120" i="26"/>
  <c r="AC120" i="26" s="1"/>
  <c r="AD120" i="26"/>
  <c r="AH120" i="26" s="1" a="1"/>
  <c r="AH120" i="26" s="1"/>
  <c r="Z121" i="26"/>
  <c r="AA121" i="26" s="1"/>
  <c r="AB121" i="26"/>
  <c r="AC121" i="26" s="1"/>
  <c r="AD121" i="26"/>
  <c r="AH121" i="26" s="1" a="1"/>
  <c r="AH121" i="26" s="1"/>
  <c r="AI121" i="26"/>
  <c r="Z122" i="26"/>
  <c r="AA122" i="26" s="1"/>
  <c r="AB122" i="26"/>
  <c r="AC122" i="26" s="1"/>
  <c r="AD122" i="26"/>
  <c r="AH122" i="26" s="1" a="1"/>
  <c r="AH122" i="26" s="1"/>
  <c r="AJ122" i="26"/>
  <c r="Z123" i="26"/>
  <c r="AA123" i="26" s="1"/>
  <c r="AB123" i="26"/>
  <c r="AC123" i="26" s="1"/>
  <c r="AD123" i="26"/>
  <c r="AH123" i="26" s="1" a="1"/>
  <c r="AH123" i="26" s="1"/>
  <c r="AI123" i="26"/>
  <c r="Z124" i="26"/>
  <c r="AA124" i="26" s="1"/>
  <c r="AB124" i="26"/>
  <c r="AC124" i="26" s="1"/>
  <c r="AD124" i="26"/>
  <c r="AH124" i="26" s="1" a="1"/>
  <c r="AH124" i="26" s="1"/>
  <c r="AJ124" i="26"/>
  <c r="Z125" i="26"/>
  <c r="AA125" i="26" s="1"/>
  <c r="AB125" i="26"/>
  <c r="AC125" i="26" s="1"/>
  <c r="AD125" i="26"/>
  <c r="AH125" i="26" s="1" a="1"/>
  <c r="AH125" i="26" s="1"/>
  <c r="Z126" i="26"/>
  <c r="AA126" i="26" s="1"/>
  <c r="AB126" i="26"/>
  <c r="AC126" i="26" s="1"/>
  <c r="AD126" i="26"/>
  <c r="AH126" i="26" s="1" a="1"/>
  <c r="AH126" i="26" s="1"/>
  <c r="Z127" i="26"/>
  <c r="AA127" i="26" s="1"/>
  <c r="AB127" i="26"/>
  <c r="AC127" i="26" s="1"/>
  <c r="AD127" i="26"/>
  <c r="AH127" i="26" s="1" a="1"/>
  <c r="AH127" i="26" s="1"/>
  <c r="AJ127" i="26"/>
  <c r="Z128" i="26"/>
  <c r="AA128" i="26" s="1"/>
  <c r="AB128" i="26"/>
  <c r="AC128" i="26" s="1"/>
  <c r="AD128" i="26"/>
  <c r="AH128" i="26" s="1" a="1"/>
  <c r="AH128" i="26" s="1"/>
  <c r="Z129" i="26"/>
  <c r="AA129" i="26" s="1"/>
  <c r="AB129" i="26"/>
  <c r="AC129" i="26" s="1"/>
  <c r="AD129" i="26"/>
  <c r="AH129" i="26" s="1" a="1"/>
  <c r="AH129" i="26" s="1"/>
  <c r="AF129" i="26"/>
  <c r="AG129" i="26" s="1"/>
  <c r="Z130" i="26"/>
  <c r="AA130" i="26" s="1"/>
  <c r="AB130" i="26"/>
  <c r="AC130" i="26" s="1"/>
  <c r="AD130" i="26"/>
  <c r="AH130" i="26" s="1" a="1"/>
  <c r="AH130" i="26" s="1"/>
  <c r="AJ130" i="26"/>
  <c r="Z131" i="26"/>
  <c r="AA131" i="26" s="1"/>
  <c r="AB131" i="26"/>
  <c r="AC131" i="26" s="1"/>
  <c r="AD131" i="26"/>
  <c r="AH131" i="26" s="1" a="1"/>
  <c r="AH131" i="26" s="1"/>
  <c r="Z132" i="26"/>
  <c r="AA132" i="26" s="1"/>
  <c r="AB132" i="26"/>
  <c r="AC132" i="26" s="1"/>
  <c r="AD132" i="26"/>
  <c r="AH132" i="26" s="1" a="1"/>
  <c r="AH132" i="26" s="1"/>
  <c r="AJ132" i="26"/>
  <c r="Z133" i="26"/>
  <c r="AA133" i="26" s="1"/>
  <c r="AB133" i="26"/>
  <c r="AC133" i="26" s="1"/>
  <c r="AD133" i="26"/>
  <c r="AH133" i="26" s="1" a="1"/>
  <c r="AH133" i="26" s="1"/>
  <c r="AI133" i="26"/>
  <c r="Z134" i="26"/>
  <c r="AA134" i="26" s="1"/>
  <c r="AB134" i="26"/>
  <c r="AC134" i="26" s="1"/>
  <c r="AD134" i="26"/>
  <c r="AH134" i="26" s="1" a="1"/>
  <c r="AH134" i="26" s="1"/>
  <c r="AJ134" i="26"/>
  <c r="Z135" i="26"/>
  <c r="AA135" i="26" s="1"/>
  <c r="AB135" i="26"/>
  <c r="AC135" i="26" s="1"/>
  <c r="AD135" i="26"/>
  <c r="AH135" i="26" s="1" a="1"/>
  <c r="AH135" i="26" s="1"/>
  <c r="Z136" i="26"/>
  <c r="AA136" i="26" s="1"/>
  <c r="AB136" i="26"/>
  <c r="AC136" i="26" s="1"/>
  <c r="AD136" i="26"/>
  <c r="AH136" i="26" s="1" a="1"/>
  <c r="AH136" i="26" s="1"/>
  <c r="Z137" i="26"/>
  <c r="AA137" i="26" s="1"/>
  <c r="AB137" i="26"/>
  <c r="AC137" i="26" s="1"/>
  <c r="AD137" i="26"/>
  <c r="AH137" i="26" s="1" a="1"/>
  <c r="AH137" i="26" s="1"/>
  <c r="AI137" i="26"/>
  <c r="Z138" i="26"/>
  <c r="AA138" i="26" s="1"/>
  <c r="AB138" i="26"/>
  <c r="AC138" i="26" s="1"/>
  <c r="AD138" i="26"/>
  <c r="AH138" i="26" s="1" a="1"/>
  <c r="AH138" i="26" s="1"/>
  <c r="AJ138" i="26"/>
  <c r="Z139" i="26"/>
  <c r="AA139" i="26" s="1"/>
  <c r="AB139" i="26"/>
  <c r="AC139" i="26" s="1"/>
  <c r="AD139" i="26"/>
  <c r="AH139" i="26" s="1" a="1"/>
  <c r="AH139" i="26" s="1"/>
  <c r="AI139" i="26"/>
  <c r="Z140" i="26"/>
  <c r="AA140" i="26" s="1"/>
  <c r="AB140" i="26"/>
  <c r="AC140" i="26" s="1"/>
  <c r="AD140" i="26"/>
  <c r="AH140" i="26" s="1" a="1"/>
  <c r="AH140" i="26" s="1"/>
  <c r="AJ140" i="26"/>
  <c r="Z141" i="26"/>
  <c r="AA141" i="26" s="1"/>
  <c r="AB141" i="26"/>
  <c r="AC141" i="26" s="1"/>
  <c r="AD141" i="26"/>
  <c r="AH141" i="26" s="1" a="1"/>
  <c r="AH141" i="26" s="1"/>
  <c r="Z142" i="26"/>
  <c r="AA142" i="26" s="1"/>
  <c r="AB142" i="26"/>
  <c r="AC142" i="26" s="1"/>
  <c r="AD142" i="26"/>
  <c r="AH142" i="26" s="1" a="1"/>
  <c r="AH142" i="26" s="1"/>
  <c r="Z143" i="26"/>
  <c r="AA143" i="26" s="1"/>
  <c r="AB143" i="26"/>
  <c r="AC143" i="26" s="1"/>
  <c r="AD143" i="26"/>
  <c r="AH143" i="26" s="1" a="1"/>
  <c r="AH143" i="26" s="1"/>
  <c r="AJ143" i="26"/>
  <c r="Z144" i="26"/>
  <c r="AA144" i="26" s="1"/>
  <c r="AB144" i="26"/>
  <c r="AC144" i="26" s="1"/>
  <c r="AD144" i="26"/>
  <c r="AH144" i="26" s="1" a="1"/>
  <c r="AH144" i="26" s="1"/>
  <c r="Z145" i="26"/>
  <c r="AA145" i="26" s="1"/>
  <c r="AB145" i="26"/>
  <c r="AC145" i="26" s="1"/>
  <c r="AD145" i="26"/>
  <c r="AH145" i="26" s="1" a="1"/>
  <c r="AH145" i="26" s="1"/>
  <c r="AJ145" i="26"/>
  <c r="Z146" i="26"/>
  <c r="AA146" i="26" s="1"/>
  <c r="AB146" i="26"/>
  <c r="AC146" i="26" s="1"/>
  <c r="AD146" i="26"/>
  <c r="AH146" i="26" s="1" a="1"/>
  <c r="AH146" i="26" s="1"/>
  <c r="AJ146" i="26"/>
  <c r="Z147" i="26"/>
  <c r="AA147" i="26" s="1"/>
  <c r="AB147" i="26"/>
  <c r="AC147" i="26" s="1"/>
  <c r="AD147" i="26"/>
  <c r="AH147" i="26" s="1" a="1"/>
  <c r="AH147" i="26" s="1"/>
  <c r="Z148" i="26"/>
  <c r="AA148" i="26" s="1"/>
  <c r="AB148" i="26"/>
  <c r="AC148" i="26" s="1"/>
  <c r="AD148" i="26"/>
  <c r="AH148" i="26" s="1" a="1"/>
  <c r="AH148" i="26" s="1"/>
  <c r="Z149" i="26"/>
  <c r="AA149" i="26" s="1"/>
  <c r="AB149" i="26"/>
  <c r="AC149" i="26" s="1"/>
  <c r="AD149" i="26"/>
  <c r="AH149" i="26" s="1" a="1"/>
  <c r="AH149" i="26" s="1"/>
  <c r="AI149" i="26"/>
  <c r="Z150" i="26"/>
  <c r="AA150" i="26" s="1"/>
  <c r="AB150" i="26"/>
  <c r="AC150" i="26" s="1"/>
  <c r="AD150" i="26"/>
  <c r="AH150" i="26" s="1" a="1"/>
  <c r="AH150" i="26" s="1"/>
  <c r="AJ150" i="26"/>
  <c r="Z151" i="26"/>
  <c r="AA151" i="26" s="1"/>
  <c r="AB151" i="26"/>
  <c r="AC151" i="26" s="1"/>
  <c r="AD151" i="26"/>
  <c r="AH151" i="26" s="1" a="1"/>
  <c r="AH151" i="26" s="1"/>
  <c r="Z152" i="26"/>
  <c r="AA152" i="26" s="1"/>
  <c r="AB152" i="26"/>
  <c r="AC152" i="26" s="1"/>
  <c r="AD152" i="26"/>
  <c r="AH152" i="26" s="1" a="1"/>
  <c r="AH152" i="26" s="1"/>
  <c r="AJ152" i="26"/>
  <c r="Z153" i="26"/>
  <c r="AA153" i="26" s="1"/>
  <c r="AB153" i="26"/>
  <c r="AC153" i="26" s="1"/>
  <c r="AD153" i="26"/>
  <c r="AH153" i="26" s="1" a="1"/>
  <c r="AH153" i="26" s="1"/>
  <c r="AF153" i="26"/>
  <c r="AG153" i="26" s="1"/>
  <c r="Z154" i="26"/>
  <c r="AA154" i="26" s="1"/>
  <c r="AB154" i="26"/>
  <c r="AC154" i="26" s="1"/>
  <c r="AD154" i="26"/>
  <c r="AH154" i="26" s="1" a="1"/>
  <c r="AH154" i="26" s="1"/>
  <c r="AJ154" i="26"/>
  <c r="Z155" i="26"/>
  <c r="AA155" i="26" s="1"/>
  <c r="AB155" i="26"/>
  <c r="AC155" i="26" s="1"/>
  <c r="AD155" i="26"/>
  <c r="AH155" i="26" s="1" a="1"/>
  <c r="AH155" i="26" s="1"/>
  <c r="AF155" i="26"/>
  <c r="AG155" i="26" s="1"/>
  <c r="Z156" i="26"/>
  <c r="AA156" i="26" s="1"/>
  <c r="AB156" i="26"/>
  <c r="AC156" i="26" s="1"/>
  <c r="AD156" i="26"/>
  <c r="AH156" i="26" s="1" a="1"/>
  <c r="AH156" i="26" s="1"/>
  <c r="AJ156" i="26"/>
  <c r="Z157" i="26"/>
  <c r="AA157" i="26" s="1"/>
  <c r="AB157" i="26"/>
  <c r="AC157" i="26" s="1"/>
  <c r="AD157" i="26"/>
  <c r="AH157" i="26" s="1" a="1"/>
  <c r="AH157" i="26" s="1"/>
  <c r="Z158" i="26"/>
  <c r="AA158" i="26" s="1"/>
  <c r="AB158" i="26"/>
  <c r="AC158" i="26" s="1"/>
  <c r="AD158" i="26"/>
  <c r="AH158" i="26" s="1" a="1"/>
  <c r="AH158" i="26" s="1"/>
  <c r="AJ158" i="26"/>
  <c r="Z159" i="26"/>
  <c r="AA159" i="26" s="1"/>
  <c r="AB159" i="26"/>
  <c r="AC159" i="26" s="1"/>
  <c r="AD159" i="26"/>
  <c r="AH159" i="26" s="1" a="1"/>
  <c r="AH159" i="26" s="1"/>
  <c r="Z160" i="26"/>
  <c r="AA160" i="26" s="1"/>
  <c r="AB160" i="26"/>
  <c r="AC160" i="26" s="1"/>
  <c r="AD160" i="26"/>
  <c r="AH160" i="26" s="1" a="1"/>
  <c r="AH160" i="26" s="1"/>
  <c r="AF160" i="26"/>
  <c r="AG160" i="26" s="1"/>
  <c r="Z161" i="26"/>
  <c r="AA161" i="26" s="1"/>
  <c r="AB161" i="26"/>
  <c r="AC161" i="26" s="1"/>
  <c r="AD161" i="26"/>
  <c r="AH161" i="26" s="1" a="1"/>
  <c r="AH161" i="26" s="1"/>
  <c r="AF161" i="26"/>
  <c r="AG161" i="26" s="1"/>
  <c r="Z162" i="26"/>
  <c r="AA162" i="26" s="1"/>
  <c r="AB162" i="26"/>
  <c r="AC162" i="26" s="1"/>
  <c r="AD162" i="26"/>
  <c r="AH162" i="26" s="1" a="1"/>
  <c r="AH162" i="26" s="1"/>
  <c r="AJ162" i="26"/>
  <c r="Z163" i="26"/>
  <c r="AA163" i="26" s="1"/>
  <c r="AB163" i="26"/>
  <c r="AC163" i="26" s="1"/>
  <c r="AD163" i="26"/>
  <c r="AH163" i="26" s="1" a="1"/>
  <c r="AH163" i="26" s="1"/>
  <c r="AJ163" i="26"/>
  <c r="Z164" i="26"/>
  <c r="AA164" i="26" s="1"/>
  <c r="AB164" i="26"/>
  <c r="AC164" i="26" s="1"/>
  <c r="AD164" i="26"/>
  <c r="AH164" i="26" s="1" a="1"/>
  <c r="AH164" i="26" s="1"/>
  <c r="AI164" i="26"/>
  <c r="Z165" i="26"/>
  <c r="AA165" i="26" s="1"/>
  <c r="AB165" i="26"/>
  <c r="AC165" i="26" s="1"/>
  <c r="AD165" i="26"/>
  <c r="AH165" i="26" s="1" a="1"/>
  <c r="AH165" i="26" s="1"/>
  <c r="AI165" i="26"/>
  <c r="Z166" i="26"/>
  <c r="AA166" i="26" s="1"/>
  <c r="AB166" i="26"/>
  <c r="AC166" i="26" s="1"/>
  <c r="AD166" i="26"/>
  <c r="AH166" i="26" s="1" a="1"/>
  <c r="AH166" i="26" s="1"/>
  <c r="AJ166" i="26"/>
  <c r="Z167" i="26"/>
  <c r="AA167" i="26" s="1"/>
  <c r="AB167" i="26"/>
  <c r="AC167" i="26" s="1"/>
  <c r="AD167" i="26"/>
  <c r="AH167" i="26" s="1" a="1"/>
  <c r="AH167" i="26" s="1"/>
  <c r="AF167" i="26"/>
  <c r="AG167" i="26" s="1"/>
  <c r="Z168" i="26"/>
  <c r="AA168" i="26" s="1"/>
  <c r="AB168" i="26"/>
  <c r="AC168" i="26" s="1"/>
  <c r="AD168" i="26"/>
  <c r="AH168" i="26" s="1" a="1"/>
  <c r="AH168" i="26" s="1"/>
  <c r="AI168" i="26"/>
  <c r="Z169" i="26"/>
  <c r="AA169" i="26" s="1"/>
  <c r="AB169" i="26"/>
  <c r="AC169" i="26" s="1"/>
  <c r="AD169" i="26"/>
  <c r="AH169" i="26" s="1" a="1"/>
  <c r="AH169" i="26" s="1"/>
  <c r="AI169" i="26"/>
  <c r="Z170" i="26"/>
  <c r="AA170" i="26" s="1"/>
  <c r="AB170" i="26"/>
  <c r="AC170" i="26" s="1"/>
  <c r="AD170" i="26"/>
  <c r="AH170" i="26" s="1" a="1"/>
  <c r="AH170" i="26" s="1"/>
  <c r="AJ170" i="26"/>
  <c r="Z171" i="26"/>
  <c r="AA171" i="26" s="1"/>
  <c r="AB171" i="26"/>
  <c r="AC171" i="26" s="1"/>
  <c r="AD171" i="26"/>
  <c r="AH171" i="26" s="1" a="1"/>
  <c r="AH171" i="26" s="1"/>
  <c r="AF171" i="26"/>
  <c r="AG171" i="26" s="1"/>
  <c r="Z172" i="26"/>
  <c r="AA172" i="26" s="1"/>
  <c r="AB172" i="26"/>
  <c r="AC172" i="26" s="1"/>
  <c r="AD172" i="26"/>
  <c r="AH172" i="26" s="1" a="1"/>
  <c r="AH172" i="26" s="1"/>
  <c r="AF172" i="26"/>
  <c r="AG172" i="26" s="1"/>
  <c r="Z173" i="26"/>
  <c r="AA173" i="26" s="1"/>
  <c r="AB173" i="26"/>
  <c r="AC173" i="26" s="1"/>
  <c r="AD173" i="26"/>
  <c r="AH173" i="26" s="1" a="1"/>
  <c r="AH173" i="26" s="1"/>
  <c r="AI173" i="26"/>
  <c r="Z174" i="26"/>
  <c r="AA174" i="26" s="1"/>
  <c r="AB174" i="26"/>
  <c r="AC174" i="26" s="1"/>
  <c r="AD174" i="26"/>
  <c r="AH174" i="26" s="1" a="1"/>
  <c r="AH174" i="26" s="1"/>
  <c r="AJ174" i="26"/>
  <c r="Z175" i="26"/>
  <c r="AA175" i="26" s="1"/>
  <c r="AB175" i="26"/>
  <c r="AC175" i="26" s="1"/>
  <c r="AD175" i="26"/>
  <c r="AH175" i="26" s="1" a="1"/>
  <c r="AH175" i="26" s="1"/>
  <c r="Z176" i="26"/>
  <c r="AA176" i="26" s="1"/>
  <c r="AB176" i="26"/>
  <c r="AC176" i="26" s="1"/>
  <c r="AD176" i="26"/>
  <c r="AH176" i="26" s="1" a="1"/>
  <c r="AH176" i="26" s="1"/>
  <c r="Z177" i="26"/>
  <c r="AA177" i="26" s="1"/>
  <c r="AB177" i="26"/>
  <c r="AC177" i="26" s="1"/>
  <c r="AD177" i="26"/>
  <c r="AH177" i="26" s="1" a="1"/>
  <c r="AH177" i="26" s="1"/>
  <c r="AI177" i="26"/>
  <c r="Z178" i="26"/>
  <c r="AA178" i="26" s="1"/>
  <c r="AB178" i="26"/>
  <c r="AC178" i="26" s="1"/>
  <c r="AD178" i="26"/>
  <c r="AH178" i="26" s="1" a="1"/>
  <c r="AH178" i="26" s="1"/>
  <c r="AJ178" i="26"/>
  <c r="Z179" i="26"/>
  <c r="AA179" i="26" s="1"/>
  <c r="AB179" i="26"/>
  <c r="AC179" i="26" s="1"/>
  <c r="AD179" i="26"/>
  <c r="AH179" i="26" s="1" a="1"/>
  <c r="AH179" i="26" s="1"/>
  <c r="AJ179" i="26"/>
  <c r="Z180" i="26"/>
  <c r="AA180" i="26" s="1"/>
  <c r="AB180" i="26"/>
  <c r="AC180" i="26" s="1"/>
  <c r="AD180" i="26"/>
  <c r="AH180" i="26" s="1" a="1"/>
  <c r="AH180" i="26" s="1"/>
  <c r="AJ180" i="26"/>
  <c r="Z181" i="26"/>
  <c r="AA181" i="26" s="1"/>
  <c r="AB181" i="26"/>
  <c r="AC181" i="26" s="1"/>
  <c r="AD181" i="26"/>
  <c r="AH181" i="26" s="1" a="1"/>
  <c r="AH181" i="26" s="1"/>
  <c r="AF181" i="26"/>
  <c r="AG181" i="26" s="1"/>
  <c r="Z182" i="26"/>
  <c r="AA182" i="26" s="1"/>
  <c r="AB182" i="26"/>
  <c r="AC182" i="26" s="1"/>
  <c r="AD182" i="26"/>
  <c r="AH182" i="26" s="1" a="1"/>
  <c r="AH182" i="26" s="1"/>
  <c r="AF182" i="26"/>
  <c r="AG182" i="26" s="1"/>
  <c r="Z183" i="26"/>
  <c r="AA183" i="26" s="1"/>
  <c r="AB183" i="26"/>
  <c r="AC183" i="26" s="1"/>
  <c r="AD183" i="26"/>
  <c r="AH183" i="26" s="1" a="1"/>
  <c r="AH183" i="26" s="1"/>
  <c r="AF183" i="26"/>
  <c r="AG183" i="26" s="1"/>
  <c r="Z184" i="26"/>
  <c r="AA184" i="26" s="1"/>
  <c r="AB184" i="26"/>
  <c r="AC184" i="26" s="1"/>
  <c r="AD184" i="26"/>
  <c r="AH184" i="26" s="1" a="1"/>
  <c r="AH184" i="26" s="1"/>
  <c r="AI184" i="26"/>
  <c r="Z185" i="26"/>
  <c r="AA185" i="26" s="1"/>
  <c r="AB185" i="26"/>
  <c r="AC185" i="26" s="1"/>
  <c r="AD185" i="26"/>
  <c r="AH185" i="26" s="1" a="1"/>
  <c r="AH185" i="26" s="1"/>
  <c r="AF185" i="26"/>
  <c r="AG185" i="26" s="1"/>
  <c r="Z186" i="26"/>
  <c r="AA186" i="26" s="1"/>
  <c r="AB186" i="26"/>
  <c r="AC186" i="26" s="1"/>
  <c r="AD186" i="26"/>
  <c r="AH186" i="26" s="1" a="1"/>
  <c r="AH186" i="26" s="1"/>
  <c r="AJ186" i="26"/>
  <c r="Z187" i="26"/>
  <c r="AA187" i="26" s="1"/>
  <c r="AB187" i="26"/>
  <c r="AC187" i="26" s="1"/>
  <c r="AD187" i="26"/>
  <c r="AH187" i="26" s="1" a="1"/>
  <c r="AH187" i="26" s="1"/>
  <c r="Z188" i="26"/>
  <c r="AA188" i="26" s="1"/>
  <c r="AB188" i="26"/>
  <c r="AC188" i="26" s="1"/>
  <c r="AD188" i="26"/>
  <c r="AH188" i="26" s="1" a="1"/>
  <c r="AH188" i="26" s="1"/>
  <c r="AJ188" i="26"/>
  <c r="Z189" i="26"/>
  <c r="AA189" i="26" s="1"/>
  <c r="AB189" i="26"/>
  <c r="AC189" i="26" s="1"/>
  <c r="AD189" i="26"/>
  <c r="AH189" i="26" s="1" a="1"/>
  <c r="AH189" i="26" s="1"/>
  <c r="AI189" i="26"/>
  <c r="Z190" i="26"/>
  <c r="AA190" i="26" s="1"/>
  <c r="AB190" i="26"/>
  <c r="AC190" i="26" s="1"/>
  <c r="AD190" i="26"/>
  <c r="AH190" i="26" s="1" a="1"/>
  <c r="AH190" i="26" s="1"/>
  <c r="AJ190" i="26"/>
  <c r="Z191" i="26"/>
  <c r="AA191" i="26" s="1"/>
  <c r="AB191" i="26"/>
  <c r="AC191" i="26" s="1"/>
  <c r="AD191" i="26"/>
  <c r="AH191" i="26" s="1" a="1"/>
  <c r="AH191" i="26" s="1"/>
  <c r="AI191" i="26"/>
  <c r="Z192" i="26"/>
  <c r="AA192" i="26" s="1"/>
  <c r="AB192" i="26"/>
  <c r="AC192" i="26" s="1"/>
  <c r="AD192" i="26"/>
  <c r="AH192" i="26" s="1" a="1"/>
  <c r="AH192" i="26" s="1"/>
  <c r="AF192" i="26"/>
  <c r="AG192" i="26" s="1"/>
  <c r="Z193" i="26"/>
  <c r="AA193" i="26" s="1"/>
  <c r="AB193" i="26"/>
  <c r="AC193" i="26" s="1"/>
  <c r="AD193" i="26"/>
  <c r="AH193" i="26" s="1" a="1"/>
  <c r="AH193" i="26" s="1"/>
  <c r="AF193" i="26"/>
  <c r="AG193" i="26" s="1"/>
  <c r="Z194" i="26"/>
  <c r="AA194" i="26" s="1"/>
  <c r="AB194" i="26"/>
  <c r="AC194" i="26" s="1"/>
  <c r="AD194" i="26"/>
  <c r="AH194" i="26" s="1" a="1"/>
  <c r="AH194" i="26" s="1"/>
  <c r="AJ194" i="26"/>
  <c r="Z195" i="26"/>
  <c r="AA195" i="26" s="1"/>
  <c r="AB195" i="26"/>
  <c r="AC195" i="26" s="1"/>
  <c r="AD195" i="26"/>
  <c r="AH195" i="26" s="1" a="1"/>
  <c r="AH195" i="26" s="1"/>
  <c r="AJ195" i="26"/>
  <c r="Z196" i="26"/>
  <c r="AA196" i="26" s="1"/>
  <c r="AB196" i="26"/>
  <c r="AC196" i="26" s="1"/>
  <c r="AD196" i="26"/>
  <c r="AH196" i="26" s="1" a="1"/>
  <c r="AH196" i="26" s="1"/>
  <c r="AF196" i="26"/>
  <c r="AG196" i="26" s="1"/>
  <c r="Z197" i="26"/>
  <c r="AA197" i="26" s="1"/>
  <c r="AB197" i="26"/>
  <c r="AC197" i="26" s="1"/>
  <c r="AD197" i="26"/>
  <c r="AH197" i="26" s="1" a="1"/>
  <c r="AH197" i="26" s="1"/>
  <c r="AJ197" i="26"/>
  <c r="Z198" i="26"/>
  <c r="AA198" i="26" s="1"/>
  <c r="AB198" i="26"/>
  <c r="AC198" i="26" s="1"/>
  <c r="AD198" i="26"/>
  <c r="AH198" i="26" s="1" a="1"/>
  <c r="AH198" i="26" s="1"/>
  <c r="AI198" i="26"/>
  <c r="Z199" i="26"/>
  <c r="AA199" i="26" s="1"/>
  <c r="AB199" i="26"/>
  <c r="AC199" i="26" s="1"/>
  <c r="AD199" i="26"/>
  <c r="AH199" i="26" s="1" a="1"/>
  <c r="AH199" i="26" s="1"/>
  <c r="AJ199" i="26"/>
  <c r="Z200" i="26"/>
  <c r="AA200" i="26" s="1"/>
  <c r="AB200" i="26"/>
  <c r="AC200" i="26" s="1"/>
  <c r="AD200" i="26"/>
  <c r="AH200" i="26" s="1" a="1"/>
  <c r="AH200" i="26" s="1"/>
  <c r="AF200" i="26"/>
  <c r="AG200" i="26" s="1"/>
  <c r="Z201" i="26"/>
  <c r="AA201" i="26" s="1"/>
  <c r="AB201" i="26"/>
  <c r="AC201" i="26" s="1"/>
  <c r="AD201" i="26"/>
  <c r="AH201" i="26" s="1" a="1"/>
  <c r="AH201" i="26" s="1"/>
  <c r="AJ201" i="26"/>
  <c r="Z202" i="26"/>
  <c r="AA202" i="26" s="1"/>
  <c r="AB202" i="26"/>
  <c r="AC202" i="26" s="1"/>
  <c r="AD202" i="26"/>
  <c r="AH202" i="26" s="1" a="1"/>
  <c r="AH202" i="26" s="1"/>
  <c r="AI202" i="26"/>
  <c r="Z203" i="26"/>
  <c r="AA203" i="26" s="1"/>
  <c r="AB203" i="26"/>
  <c r="AC203" i="26" s="1"/>
  <c r="AD203" i="26"/>
  <c r="AH203" i="26" s="1" a="1"/>
  <c r="AH203" i="26" s="1"/>
  <c r="AJ203" i="26"/>
  <c r="Z204" i="26"/>
  <c r="AA204" i="26" s="1"/>
  <c r="AB204" i="26"/>
  <c r="AC204" i="26" s="1"/>
  <c r="AD204" i="26"/>
  <c r="AH204" i="26" s="1" a="1"/>
  <c r="AH204" i="26" s="1"/>
  <c r="AF204" i="26"/>
  <c r="AG204" i="26" s="1"/>
  <c r="Z205" i="26"/>
  <c r="AA205" i="26" s="1"/>
  <c r="AB205" i="26"/>
  <c r="AC205" i="26" s="1"/>
  <c r="AD205" i="26"/>
  <c r="AH205" i="26" s="1" a="1"/>
  <c r="AH205" i="26" s="1"/>
  <c r="Z206" i="26"/>
  <c r="AA206" i="26" s="1"/>
  <c r="AB206" i="26"/>
  <c r="AC206" i="26" s="1"/>
  <c r="AD206" i="26"/>
  <c r="AH206" i="26" s="1" a="1"/>
  <c r="AH206" i="26" s="1"/>
  <c r="Z207" i="26"/>
  <c r="AA207" i="26" s="1"/>
  <c r="AB207" i="26"/>
  <c r="AC207" i="26" s="1"/>
  <c r="AD207" i="26"/>
  <c r="AH207" i="26" s="1" a="1"/>
  <c r="AH207" i="26" s="1"/>
  <c r="AJ207" i="26"/>
  <c r="Z208" i="26"/>
  <c r="AA208" i="26" s="1"/>
  <c r="AB208" i="26"/>
  <c r="AC208" i="26" s="1"/>
  <c r="AD208" i="26"/>
  <c r="AH208" i="26" s="1" a="1"/>
  <c r="AH208" i="26" s="1"/>
  <c r="Z209" i="26"/>
  <c r="AA209" i="26" s="1"/>
  <c r="AB209" i="26"/>
  <c r="AC209" i="26" s="1"/>
  <c r="AD209" i="26"/>
  <c r="AH209" i="26" s="1" a="1"/>
  <c r="AH209" i="26" s="1"/>
  <c r="AJ209" i="26"/>
  <c r="Z210" i="26"/>
  <c r="AA210" i="26" s="1"/>
  <c r="AB210" i="26"/>
  <c r="AC210" i="26" s="1"/>
  <c r="AD210" i="26"/>
  <c r="AH210" i="26" s="1" a="1"/>
  <c r="AH210" i="26" s="1"/>
  <c r="AF210" i="26"/>
  <c r="AG210" i="26" s="1"/>
  <c r="Z211" i="26"/>
  <c r="AA211" i="26" s="1"/>
  <c r="AB211" i="26"/>
  <c r="AC211" i="26" s="1"/>
  <c r="AD211" i="26"/>
  <c r="AH211" i="26" s="1" a="1"/>
  <c r="AH211" i="26" s="1"/>
  <c r="AJ211" i="26"/>
  <c r="Z212" i="26"/>
  <c r="AA212" i="26" s="1"/>
  <c r="AB212" i="26"/>
  <c r="AC212" i="26" s="1"/>
  <c r="AD212" i="26"/>
  <c r="AH212" i="26" s="1" a="1"/>
  <c r="AH212" i="26" s="1"/>
  <c r="AF212" i="26"/>
  <c r="AG212" i="26" s="1"/>
  <c r="Z213" i="26"/>
  <c r="AA213" i="26" s="1"/>
  <c r="AB213" i="26"/>
  <c r="AC213" i="26" s="1"/>
  <c r="AD213" i="26"/>
  <c r="AH213" i="26" s="1" a="1"/>
  <c r="AH213" i="26" s="1"/>
  <c r="AJ213" i="26"/>
  <c r="Z214" i="26"/>
  <c r="AA214" i="26" s="1"/>
  <c r="AB214" i="26"/>
  <c r="AC214" i="26" s="1"/>
  <c r="AD214" i="26"/>
  <c r="AH214" i="26" s="1" a="1"/>
  <c r="AH214" i="26" s="1"/>
  <c r="AI214" i="26"/>
  <c r="Z215" i="26"/>
  <c r="AA215" i="26" s="1"/>
  <c r="AB215" i="26"/>
  <c r="AC215" i="26" s="1"/>
  <c r="AD215" i="26"/>
  <c r="AH215" i="26" s="1" a="1"/>
  <c r="AH215" i="26" s="1"/>
  <c r="Z216" i="26"/>
  <c r="AA216" i="26" s="1"/>
  <c r="AB216" i="26"/>
  <c r="AC216" i="26" s="1"/>
  <c r="AD216" i="26"/>
  <c r="AH216" i="26" s="1" a="1"/>
  <c r="AH216" i="26" s="1"/>
  <c r="AF216" i="26"/>
  <c r="AG216" i="26" s="1"/>
  <c r="Z217" i="26"/>
  <c r="AA217" i="26" s="1"/>
  <c r="AB217" i="26"/>
  <c r="AC217" i="26" s="1"/>
  <c r="AD217" i="26"/>
  <c r="AH217" i="26" s="1" a="1"/>
  <c r="AH217" i="26" s="1"/>
  <c r="AJ217" i="26"/>
  <c r="Z218" i="26"/>
  <c r="AA218" i="26" s="1"/>
  <c r="AB218" i="26"/>
  <c r="AC218" i="26" s="1"/>
  <c r="AD218" i="26"/>
  <c r="AH218" i="26" s="1" a="1"/>
  <c r="AH218" i="26" s="1"/>
  <c r="AI218" i="26"/>
  <c r="Z219" i="26"/>
  <c r="AA219" i="26" s="1"/>
  <c r="AB219" i="26"/>
  <c r="AC219" i="26" s="1"/>
  <c r="AD219" i="26"/>
  <c r="AH219" i="26" s="1" a="1"/>
  <c r="AH219" i="26" s="1"/>
  <c r="AJ219" i="26"/>
  <c r="Z220" i="26"/>
  <c r="AA220" i="26" s="1"/>
  <c r="AB220" i="26"/>
  <c r="AC220" i="26" s="1"/>
  <c r="AD220" i="26"/>
  <c r="AH220" i="26" s="1" a="1"/>
  <c r="AH220" i="26" s="1"/>
  <c r="AF220" i="26"/>
  <c r="AG220" i="26" s="1"/>
  <c r="Z221" i="26"/>
  <c r="AA221" i="26" s="1"/>
  <c r="AB221" i="26"/>
  <c r="AC221" i="26" s="1"/>
  <c r="AD221" i="26"/>
  <c r="AH221" i="26" s="1" a="1"/>
  <c r="AH221" i="26" s="1"/>
  <c r="Z222" i="26"/>
  <c r="AA222" i="26" s="1"/>
  <c r="AB222" i="26"/>
  <c r="AC222" i="26" s="1"/>
  <c r="AD222" i="26"/>
  <c r="AH222" i="26" s="1" a="1"/>
  <c r="AH222" i="26" s="1"/>
  <c r="AF222" i="26"/>
  <c r="AG222" i="26" s="1"/>
  <c r="Z223" i="26"/>
  <c r="AA223" i="26" s="1"/>
  <c r="AB223" i="26"/>
  <c r="AC223" i="26" s="1"/>
  <c r="AD223" i="26"/>
  <c r="AH223" i="26" s="1" a="1"/>
  <c r="AH223" i="26" s="1"/>
  <c r="AI223" i="26"/>
  <c r="Z224" i="26"/>
  <c r="AA224" i="26" s="1"/>
  <c r="AB224" i="26"/>
  <c r="AC224" i="26" s="1"/>
  <c r="AD224" i="26"/>
  <c r="AH224" i="26" s="1" a="1"/>
  <c r="AH224" i="26" s="1"/>
  <c r="Z225" i="26"/>
  <c r="AA225" i="26" s="1"/>
  <c r="AB225" i="26"/>
  <c r="AC225" i="26" s="1"/>
  <c r="AD225" i="26"/>
  <c r="AH225" i="26" s="1" a="1"/>
  <c r="AH225" i="26" s="1"/>
  <c r="Z226" i="26"/>
  <c r="AA226" i="26" s="1"/>
  <c r="AB226" i="26"/>
  <c r="AC226" i="26" s="1"/>
  <c r="AD226" i="26"/>
  <c r="AH226" i="26" s="1" a="1"/>
  <c r="AH226" i="26" s="1"/>
  <c r="AI226" i="26"/>
  <c r="Z227" i="26"/>
  <c r="AA227" i="26" s="1"/>
  <c r="AB227" i="26"/>
  <c r="AC227" i="26" s="1"/>
  <c r="AD227" i="26"/>
  <c r="AH227" i="26" s="1" a="1"/>
  <c r="AH227" i="26" s="1"/>
  <c r="AJ227" i="26"/>
  <c r="Z228" i="26"/>
  <c r="AA228" i="26" s="1"/>
  <c r="AB228" i="26"/>
  <c r="AC228" i="26" s="1"/>
  <c r="AD228" i="26"/>
  <c r="AH228" i="26" s="1" a="1"/>
  <c r="AH228" i="26" s="1"/>
  <c r="AF228" i="26"/>
  <c r="AG228" i="26" s="1"/>
  <c r="Z229" i="26"/>
  <c r="AA229" i="26" s="1"/>
  <c r="AB229" i="26"/>
  <c r="AC229" i="26" s="1"/>
  <c r="AD229" i="26"/>
  <c r="AH229" i="26" s="1" a="1"/>
  <c r="AH229" i="26" s="1"/>
  <c r="Z230" i="26"/>
  <c r="AA230" i="26" s="1"/>
  <c r="AB230" i="26"/>
  <c r="AC230" i="26" s="1"/>
  <c r="AD230" i="26"/>
  <c r="AH230" i="26" s="1" a="1"/>
  <c r="AH230" i="26" s="1"/>
  <c r="AF230" i="26"/>
  <c r="AG230" i="26" s="1"/>
  <c r="Z231" i="26"/>
  <c r="AA231" i="26" s="1"/>
  <c r="AB231" i="26"/>
  <c r="AC231" i="26" s="1"/>
  <c r="AD231" i="26"/>
  <c r="AH231" i="26" s="1" a="1"/>
  <c r="AH231" i="26" s="1"/>
  <c r="AJ231" i="26"/>
  <c r="Z232" i="26"/>
  <c r="AA232" i="26" s="1"/>
  <c r="AB232" i="26"/>
  <c r="AC232" i="26" s="1"/>
  <c r="AD232" i="26"/>
  <c r="AH232" i="26" s="1" a="1"/>
  <c r="AH232" i="26" s="1"/>
  <c r="AJ232" i="26"/>
  <c r="Z233" i="26"/>
  <c r="AA233" i="26" s="1"/>
  <c r="AB233" i="26"/>
  <c r="AC233" i="26" s="1"/>
  <c r="AD233" i="26"/>
  <c r="AH233" i="26" s="1" a="1"/>
  <c r="AH233" i="26" s="1"/>
  <c r="AF233" i="26"/>
  <c r="AG233" i="26" s="1"/>
  <c r="Z234" i="26"/>
  <c r="AA234" i="26" s="1"/>
  <c r="AB234" i="26"/>
  <c r="AC234" i="26" s="1"/>
  <c r="AD234" i="26"/>
  <c r="AH234" i="26" s="1" a="1"/>
  <c r="AH234" i="26" s="1"/>
  <c r="AI234" i="26"/>
  <c r="Z235" i="26"/>
  <c r="AA235" i="26" s="1"/>
  <c r="AB235" i="26"/>
  <c r="AC235" i="26" s="1"/>
  <c r="AD235" i="26"/>
  <c r="AH235" i="26" s="1" a="1"/>
  <c r="AH235" i="26" s="1"/>
  <c r="AI235" i="26"/>
  <c r="Z236" i="26"/>
  <c r="AA236" i="26" s="1"/>
  <c r="AB236" i="26"/>
  <c r="AC236" i="26" s="1"/>
  <c r="AD236" i="26"/>
  <c r="AH236" i="26" s="1" a="1"/>
  <c r="AH236" i="26" s="1"/>
  <c r="AI236" i="26"/>
  <c r="Z237" i="26"/>
  <c r="AA237" i="26" s="1"/>
  <c r="AB237" i="26"/>
  <c r="AC237" i="26" s="1"/>
  <c r="AD237" i="26"/>
  <c r="AH237" i="26" s="1" a="1"/>
  <c r="AH237" i="26" s="1"/>
  <c r="AF237" i="26"/>
  <c r="AG237" i="26" s="1"/>
  <c r="Z238" i="26"/>
  <c r="AA238" i="26" s="1"/>
  <c r="AB238" i="26"/>
  <c r="AC238" i="26" s="1"/>
  <c r="AD238" i="26"/>
  <c r="AH238" i="26" s="1" a="1"/>
  <c r="AH238" i="26" s="1"/>
  <c r="Z239" i="26"/>
  <c r="AA239" i="26" s="1"/>
  <c r="AB239" i="26"/>
  <c r="AC239" i="26" s="1"/>
  <c r="AD239" i="26"/>
  <c r="AH239" i="26" s="1" a="1"/>
  <c r="AH239" i="26" s="1"/>
  <c r="AJ239" i="26"/>
  <c r="Z240" i="26"/>
  <c r="AA240" i="26" s="1"/>
  <c r="AB240" i="26"/>
  <c r="AC240" i="26" s="1"/>
  <c r="AD240" i="26"/>
  <c r="AH240" i="26" s="1" a="1"/>
  <c r="AH240" i="26" s="1"/>
  <c r="Z241" i="26"/>
  <c r="AA241" i="26" s="1"/>
  <c r="AB241" i="26"/>
  <c r="AC241" i="26" s="1"/>
  <c r="AD241" i="26"/>
  <c r="AH241" i="26" s="1" a="1"/>
  <c r="AH241" i="26" s="1"/>
  <c r="AJ241" i="26"/>
  <c r="Z242" i="26"/>
  <c r="AA242" i="26" s="1"/>
  <c r="AB242" i="26"/>
  <c r="AC242" i="26" s="1"/>
  <c r="AD242" i="26"/>
  <c r="AH242" i="26" s="1" a="1"/>
  <c r="AH242" i="26" s="1"/>
  <c r="AF242" i="26"/>
  <c r="AG242" i="26" s="1"/>
  <c r="Z243" i="26"/>
  <c r="AA243" i="26" s="1"/>
  <c r="AB243" i="26"/>
  <c r="AC243" i="26" s="1"/>
  <c r="AD243" i="26"/>
  <c r="AH243" i="26" s="1" a="1"/>
  <c r="AH243" i="26" s="1"/>
  <c r="Z244" i="26"/>
  <c r="AA244" i="26" s="1"/>
  <c r="AB244" i="26"/>
  <c r="AC244" i="26" s="1"/>
  <c r="AD244" i="26"/>
  <c r="AH244" i="26" s="1" a="1"/>
  <c r="AH244" i="26" s="1"/>
  <c r="AI244" i="26"/>
  <c r="Z245" i="26"/>
  <c r="AA245" i="26" s="1"/>
  <c r="AB245" i="26"/>
  <c r="AC245" i="26" s="1"/>
  <c r="AD245" i="26"/>
  <c r="AH245" i="26" s="1" a="1"/>
  <c r="AH245" i="26" s="1"/>
  <c r="AJ245" i="26"/>
  <c r="Z246" i="26"/>
  <c r="AA246" i="26" s="1"/>
  <c r="AB246" i="26"/>
  <c r="AC246" i="26" s="1"/>
  <c r="AD246" i="26"/>
  <c r="AH246" i="26" s="1" a="1"/>
  <c r="AH246" i="26" s="1"/>
  <c r="AJ246" i="26"/>
  <c r="Z247" i="26"/>
  <c r="AA247" i="26" s="1"/>
  <c r="AB247" i="26"/>
  <c r="AC247" i="26" s="1"/>
  <c r="AD247" i="26"/>
  <c r="AH247" i="26" s="1" a="1"/>
  <c r="AH247" i="26" s="1"/>
  <c r="AJ247" i="26"/>
  <c r="Z248" i="26"/>
  <c r="AA248" i="26" s="1"/>
  <c r="AB248" i="26"/>
  <c r="AC248" i="26" s="1"/>
  <c r="AD248" i="26"/>
  <c r="AH248" i="26" s="1" a="1"/>
  <c r="AH248" i="26" s="1"/>
  <c r="AF248" i="26"/>
  <c r="AG248" i="26" s="1"/>
  <c r="Z249" i="26"/>
  <c r="AA249" i="26" s="1"/>
  <c r="AB249" i="26"/>
  <c r="AC249" i="26" s="1"/>
  <c r="AD249" i="26"/>
  <c r="AH249" i="26" s="1" a="1"/>
  <c r="AH249" i="26" s="1"/>
  <c r="AJ249" i="26"/>
  <c r="Z250" i="26"/>
  <c r="AA250" i="26" s="1"/>
  <c r="AB250" i="26"/>
  <c r="AC250" i="26" s="1"/>
  <c r="AD250" i="26"/>
  <c r="AH250" i="26" s="1" a="1"/>
  <c r="AH250" i="26" s="1"/>
  <c r="AI250" i="26"/>
  <c r="Z251" i="26"/>
  <c r="AA251" i="26" s="1"/>
  <c r="AB251" i="26"/>
  <c r="AC251" i="26" s="1"/>
  <c r="AD251" i="26"/>
  <c r="AH251" i="26" s="1" a="1"/>
  <c r="AH251" i="26" s="1"/>
  <c r="Z252" i="26"/>
  <c r="AA252" i="26" s="1"/>
  <c r="AB252" i="26"/>
  <c r="AC252" i="26" s="1"/>
  <c r="AD252" i="26"/>
  <c r="AH252" i="26" s="1" a="1"/>
  <c r="AH252" i="26" s="1"/>
  <c r="AI252" i="26"/>
  <c r="Z253" i="26"/>
  <c r="AA253" i="26" s="1"/>
  <c r="AB253" i="26"/>
  <c r="AC253" i="26" s="1"/>
  <c r="AD253" i="26"/>
  <c r="AH253" i="26" s="1" a="1"/>
  <c r="AH253" i="26" s="1"/>
  <c r="AJ253" i="26"/>
  <c r="Z254" i="26"/>
  <c r="AA254" i="26" s="1"/>
  <c r="AB254" i="26"/>
  <c r="AC254" i="26" s="1"/>
  <c r="AD254" i="26"/>
  <c r="AH254" i="26" s="1" a="1"/>
  <c r="AH254" i="26" s="1"/>
  <c r="Z255" i="26"/>
  <c r="AA255" i="26" s="1"/>
  <c r="AB255" i="26"/>
  <c r="AC255" i="26" s="1"/>
  <c r="AD255" i="26"/>
  <c r="AH255" i="26" s="1" a="1"/>
  <c r="AH255" i="26" s="1"/>
  <c r="AJ255" i="26"/>
  <c r="Z256" i="26"/>
  <c r="AA256" i="26" s="1"/>
  <c r="AB256" i="26"/>
  <c r="AC256" i="26" s="1"/>
  <c r="AD256" i="26"/>
  <c r="AH256" i="26" s="1" a="1"/>
  <c r="AH256" i="26" s="1"/>
  <c r="Z257" i="26"/>
  <c r="AA257" i="26" s="1"/>
  <c r="AB257" i="26"/>
  <c r="AC257" i="26" s="1"/>
  <c r="AD257" i="26"/>
  <c r="AH257" i="26" s="1" a="1"/>
  <c r="AH257" i="26" s="1"/>
  <c r="AJ257" i="26"/>
  <c r="Z258" i="26"/>
  <c r="AA258" i="26" s="1"/>
  <c r="AB258" i="26"/>
  <c r="AC258" i="26" s="1"/>
  <c r="AD258" i="26"/>
  <c r="AH258" i="26" s="1" a="1"/>
  <c r="AH258" i="26" s="1"/>
  <c r="AF258" i="26"/>
  <c r="AG258" i="26" s="1"/>
  <c r="Z259" i="26"/>
  <c r="AA259" i="26" s="1"/>
  <c r="AB259" i="26"/>
  <c r="AC259" i="26" s="1"/>
  <c r="AD259" i="26"/>
  <c r="AH259" i="26" s="1" a="1"/>
  <c r="AH259" i="26" s="1"/>
  <c r="Z260" i="26"/>
  <c r="AA260" i="26" s="1"/>
  <c r="AB260" i="26"/>
  <c r="AC260" i="26" s="1"/>
  <c r="AD260" i="26"/>
  <c r="AH260" i="26" s="1" a="1"/>
  <c r="AH260" i="26" s="1"/>
  <c r="AI260" i="26"/>
  <c r="Z261" i="26"/>
  <c r="AA261" i="26" s="1"/>
  <c r="AB261" i="26"/>
  <c r="AC261" i="26" s="1"/>
  <c r="AD261" i="26"/>
  <c r="AH261" i="26" s="1" a="1"/>
  <c r="AH261" i="26" s="1"/>
  <c r="AJ261" i="26"/>
  <c r="Z262" i="26"/>
  <c r="AA262" i="26" s="1"/>
  <c r="AB262" i="26"/>
  <c r="AC262" i="26" s="1"/>
  <c r="AD262" i="26"/>
  <c r="AH262" i="26" s="1" a="1"/>
  <c r="AH262" i="26" s="1"/>
  <c r="AI262" i="26"/>
  <c r="Z263" i="26"/>
  <c r="AA263" i="26" s="1"/>
  <c r="AB263" i="26"/>
  <c r="AC263" i="26" s="1"/>
  <c r="AD263" i="26"/>
  <c r="AH263" i="26" s="1" a="1"/>
  <c r="AH263" i="26" s="1"/>
  <c r="AF263" i="26"/>
  <c r="AG263" i="26" s="1"/>
  <c r="Z264" i="26"/>
  <c r="AA264" i="26" s="1"/>
  <c r="AB264" i="26"/>
  <c r="AC264" i="26" s="1"/>
  <c r="AD264" i="26"/>
  <c r="AH264" i="26" s="1" a="1"/>
  <c r="AH264" i="26" s="1"/>
  <c r="AJ264" i="26"/>
  <c r="Z265" i="26"/>
  <c r="AA265" i="26" s="1"/>
  <c r="AB265" i="26"/>
  <c r="AC265" i="26" s="1"/>
  <c r="AD265" i="26"/>
  <c r="AH265" i="26" s="1" a="1"/>
  <c r="AH265" i="26" s="1"/>
  <c r="AJ265" i="26"/>
  <c r="Z266" i="26"/>
  <c r="AA266" i="26" s="1"/>
  <c r="AB266" i="26"/>
  <c r="AC266" i="26" s="1"/>
  <c r="AD266" i="26"/>
  <c r="AH266" i="26" s="1" a="1"/>
  <c r="AH266" i="26" s="1"/>
  <c r="Z267" i="26"/>
  <c r="AA267" i="26" s="1"/>
  <c r="AB267" i="26"/>
  <c r="AC267" i="26" s="1"/>
  <c r="AD267" i="26"/>
  <c r="AH267" i="26" s="1" a="1"/>
  <c r="AH267" i="26" s="1"/>
  <c r="AI267" i="26"/>
  <c r="Z268" i="26"/>
  <c r="AA268" i="26" s="1"/>
  <c r="AB268" i="26"/>
  <c r="AC268" i="26" s="1"/>
  <c r="AD268" i="26"/>
  <c r="AH268" i="26" s="1" a="1"/>
  <c r="AH268" i="26" s="1"/>
  <c r="AJ268" i="26"/>
  <c r="Z269" i="26"/>
  <c r="AA269" i="26" s="1"/>
  <c r="AB269" i="26"/>
  <c r="AC269" i="26" s="1"/>
  <c r="AD269" i="26"/>
  <c r="AH269" i="26" s="1" a="1"/>
  <c r="AH269" i="26" s="1"/>
  <c r="Z270" i="26"/>
  <c r="AA270" i="26" s="1"/>
  <c r="AB270" i="26"/>
  <c r="AC270" i="26" s="1"/>
  <c r="AD270" i="26"/>
  <c r="AH270" i="26" s="1" a="1"/>
  <c r="AH270" i="26" s="1"/>
  <c r="AJ270" i="26"/>
  <c r="Z271" i="26"/>
  <c r="AA271" i="26" s="1"/>
  <c r="AB271" i="26"/>
  <c r="AC271" i="26" s="1"/>
  <c r="AD271" i="26"/>
  <c r="AH271" i="26" s="1" a="1"/>
  <c r="AH271" i="26" s="1"/>
  <c r="AF271" i="26"/>
  <c r="AG271" i="26" s="1"/>
  <c r="Z272" i="26"/>
  <c r="AA272" i="26" s="1"/>
  <c r="AB272" i="26"/>
  <c r="AC272" i="26" s="1"/>
  <c r="AD272" i="26"/>
  <c r="AH272" i="26" s="1" a="1"/>
  <c r="AH272" i="26" s="1"/>
  <c r="AF272" i="26"/>
  <c r="AG272" i="26" s="1"/>
  <c r="Z273" i="26"/>
  <c r="AA273" i="26" s="1"/>
  <c r="AB273" i="26"/>
  <c r="AC273" i="26" s="1"/>
  <c r="AD273" i="26"/>
  <c r="AH273" i="26" s="1" a="1"/>
  <c r="AH273" i="26" s="1"/>
  <c r="AJ273" i="26"/>
  <c r="Z274" i="26"/>
  <c r="AA274" i="26" s="1"/>
  <c r="AB274" i="26"/>
  <c r="AC274" i="26" s="1"/>
  <c r="AD274" i="26"/>
  <c r="AH274" i="26" s="1" a="1"/>
  <c r="AH274" i="26" s="1"/>
  <c r="AJ274" i="26"/>
  <c r="Z275" i="26"/>
  <c r="AA275" i="26" s="1"/>
  <c r="AB275" i="26"/>
  <c r="AC275" i="26" s="1"/>
  <c r="AD275" i="26"/>
  <c r="AH275" i="26" s="1" a="1"/>
  <c r="AH275" i="26" s="1"/>
  <c r="AJ275" i="26"/>
  <c r="Z276" i="26"/>
  <c r="AA276" i="26" s="1"/>
  <c r="AB276" i="26"/>
  <c r="AC276" i="26" s="1"/>
  <c r="AD276" i="26"/>
  <c r="AH276" i="26" s="1" a="1"/>
  <c r="AH276" i="26" s="1"/>
  <c r="AF276" i="26"/>
  <c r="AG276" i="26" s="1"/>
  <c r="Z277" i="26"/>
  <c r="AA277" i="26" s="1"/>
  <c r="AB277" i="26"/>
  <c r="AC277" i="26" s="1"/>
  <c r="AD277" i="26"/>
  <c r="AH277" i="26" s="1" a="1"/>
  <c r="AH277" i="26" s="1"/>
  <c r="Z278" i="26"/>
  <c r="AA278" i="26" s="1"/>
  <c r="AB278" i="26"/>
  <c r="AC278" i="26" s="1"/>
  <c r="AD278" i="26"/>
  <c r="AH278" i="26" s="1" a="1"/>
  <c r="AH278" i="26" s="1"/>
  <c r="AI278" i="26"/>
  <c r="Z279" i="26"/>
  <c r="AA279" i="26" s="1"/>
  <c r="AB279" i="26"/>
  <c r="AC279" i="26" s="1"/>
  <c r="AD279" i="26"/>
  <c r="AH279" i="26" s="1" a="1"/>
  <c r="AH279" i="26" s="1"/>
  <c r="AJ279" i="26"/>
  <c r="Z280" i="26"/>
  <c r="AA280" i="26" s="1"/>
  <c r="AB280" i="26"/>
  <c r="AC280" i="26" s="1"/>
  <c r="AD280" i="26"/>
  <c r="AH280" i="26" s="1" a="1"/>
  <c r="AH280" i="26" s="1"/>
  <c r="AI280" i="26"/>
  <c r="Z281" i="26"/>
  <c r="AA281" i="26" s="1"/>
  <c r="AB281" i="26"/>
  <c r="AC281" i="26" s="1"/>
  <c r="AD281" i="26"/>
  <c r="AH281" i="26" s="1" a="1"/>
  <c r="AH281" i="26" s="1"/>
  <c r="AJ281" i="26"/>
  <c r="Z282" i="26"/>
  <c r="AA282" i="26" s="1"/>
  <c r="AB282" i="26"/>
  <c r="AC282" i="26" s="1"/>
  <c r="AD282" i="26"/>
  <c r="AH282" i="26" s="1" a="1"/>
  <c r="AH282" i="26" s="1"/>
  <c r="AI282" i="26"/>
  <c r="Z283" i="26"/>
  <c r="AA283" i="26" s="1"/>
  <c r="AB283" i="26"/>
  <c r="AC283" i="26" s="1"/>
  <c r="AD283" i="26"/>
  <c r="AH283" i="26" s="1" a="1"/>
  <c r="AH283" i="26" s="1"/>
  <c r="AJ283" i="26"/>
  <c r="Z284" i="26"/>
  <c r="AA284" i="26" s="1"/>
  <c r="AB284" i="26"/>
  <c r="AC284" i="26" s="1"/>
  <c r="AD284" i="26"/>
  <c r="AH284" i="26" s="1" a="1"/>
  <c r="AH284" i="26" s="1"/>
  <c r="AI284" i="26"/>
  <c r="Z285" i="26"/>
  <c r="AA285" i="26" s="1"/>
  <c r="AB285" i="26"/>
  <c r="AC285" i="26" s="1"/>
  <c r="AD285" i="26"/>
  <c r="AH285" i="26" s="1" a="1"/>
  <c r="AH285" i="26" s="1"/>
  <c r="AJ285" i="26"/>
  <c r="Z286" i="26"/>
  <c r="AA286" i="26" s="1"/>
  <c r="AB286" i="26"/>
  <c r="AC286" i="26" s="1"/>
  <c r="AD286" i="26"/>
  <c r="AH286" i="26" s="1" a="1"/>
  <c r="AH286" i="26" s="1"/>
  <c r="AF286" i="26"/>
  <c r="AG286" i="26" s="1"/>
  <c r="Z287" i="26"/>
  <c r="AA287" i="26" s="1"/>
  <c r="AB287" i="26"/>
  <c r="AC287" i="26" s="1"/>
  <c r="AD287" i="26"/>
  <c r="AH287" i="26" s="1" a="1"/>
  <c r="AH287" i="26" s="1"/>
  <c r="AF287" i="26"/>
  <c r="AG287" i="26" s="1"/>
  <c r="Z288" i="26"/>
  <c r="AA288" i="26" s="1"/>
  <c r="AB288" i="26"/>
  <c r="AC288" i="26" s="1"/>
  <c r="AD288" i="26"/>
  <c r="AH288" i="26" s="1" a="1"/>
  <c r="AH288" i="26" s="1"/>
  <c r="AF288" i="26"/>
  <c r="AG288" i="26" s="1"/>
  <c r="Z289" i="26"/>
  <c r="AA289" i="26" s="1"/>
  <c r="AB289" i="26"/>
  <c r="AC289" i="26" s="1"/>
  <c r="AD289" i="26"/>
  <c r="AH289" i="26" s="1" a="1"/>
  <c r="AH289" i="26" s="1"/>
  <c r="AJ289" i="26"/>
  <c r="Z290" i="26"/>
  <c r="AA290" i="26" s="1"/>
  <c r="AB290" i="26"/>
  <c r="AC290" i="26" s="1"/>
  <c r="AD290" i="26"/>
  <c r="AH290" i="26" s="1" a="1"/>
  <c r="AH290" i="26" s="1"/>
  <c r="AF290" i="26"/>
  <c r="AG290" i="26" s="1"/>
  <c r="Z291" i="26"/>
  <c r="AA291" i="26" s="1"/>
  <c r="AB291" i="26"/>
  <c r="AC291" i="26" s="1"/>
  <c r="AD291" i="26"/>
  <c r="AH291" i="26" s="1" a="1"/>
  <c r="AH291" i="26" s="1"/>
  <c r="AJ291" i="26"/>
  <c r="Z292" i="26"/>
  <c r="AA292" i="26" s="1"/>
  <c r="AB292" i="26"/>
  <c r="AC292" i="26" s="1"/>
  <c r="AD292" i="26"/>
  <c r="AH292" i="26" s="1" a="1"/>
  <c r="AH292" i="26" s="1"/>
  <c r="AF292" i="26"/>
  <c r="AG292" i="26" s="1"/>
  <c r="Z293" i="26"/>
  <c r="AA293" i="26" s="1"/>
  <c r="AB293" i="26"/>
  <c r="AC293" i="26" s="1"/>
  <c r="AD293" i="26"/>
  <c r="AH293" i="26" s="1" a="1"/>
  <c r="AH293" i="26" s="1"/>
  <c r="AJ293" i="26"/>
  <c r="Z294" i="26"/>
  <c r="AA294" i="26" s="1"/>
  <c r="AB294" i="26"/>
  <c r="AC294" i="26" s="1"/>
  <c r="AD294" i="26"/>
  <c r="AH294" i="26" s="1" a="1"/>
  <c r="AH294" i="26" s="1"/>
  <c r="AF294" i="26"/>
  <c r="AG294" i="26" s="1"/>
  <c r="Z295" i="26"/>
  <c r="AA295" i="26" s="1"/>
  <c r="AB295" i="26"/>
  <c r="AC295" i="26" s="1"/>
  <c r="AD295" i="26"/>
  <c r="AH295" i="26" s="1" a="1"/>
  <c r="AH295" i="26" s="1"/>
  <c r="AJ295" i="26"/>
  <c r="Z296" i="26"/>
  <c r="AA296" i="26" s="1"/>
  <c r="AB296" i="26"/>
  <c r="AC296" i="26" s="1"/>
  <c r="AD296" i="26"/>
  <c r="AH296" i="26" s="1" a="1"/>
  <c r="AH296" i="26" s="1"/>
  <c r="Z297" i="26"/>
  <c r="AA297" i="26" s="1"/>
  <c r="AB297" i="26"/>
  <c r="AC297" i="26" s="1"/>
  <c r="AD297" i="26"/>
  <c r="AH297" i="26" s="1" a="1"/>
  <c r="AH297" i="26" s="1"/>
  <c r="Z298" i="26"/>
  <c r="AA298" i="26" s="1"/>
  <c r="AB298" i="26"/>
  <c r="AC298" i="26" s="1"/>
  <c r="AD298" i="26"/>
  <c r="AH298" i="26" s="1" a="1"/>
  <c r="AH298" i="26" s="1"/>
  <c r="AJ298" i="26"/>
  <c r="Z299" i="26"/>
  <c r="AA299" i="26" s="1"/>
  <c r="AB299" i="26"/>
  <c r="AC299" i="26" s="1"/>
  <c r="AD299" i="26"/>
  <c r="AH299" i="26" s="1" a="1"/>
  <c r="AH299" i="26" s="1"/>
  <c r="AI299" i="26"/>
  <c r="Z300" i="26"/>
  <c r="AA300" i="26" s="1"/>
  <c r="AB300" i="26"/>
  <c r="AC300" i="26" s="1"/>
  <c r="AD300" i="26"/>
  <c r="AH300" i="26" s="1" a="1"/>
  <c r="AH300" i="26" s="1"/>
  <c r="Z301" i="26"/>
  <c r="AA301" i="26" s="1"/>
  <c r="AB301" i="26"/>
  <c r="AC301" i="26" s="1"/>
  <c r="AD301" i="26"/>
  <c r="AH301" i="26" s="1" a="1"/>
  <c r="AH301" i="26" s="1"/>
  <c r="AJ301" i="26"/>
  <c r="Z302" i="26"/>
  <c r="AA302" i="26" s="1"/>
  <c r="AB302" i="26"/>
  <c r="AC302" i="26" s="1"/>
  <c r="AD302" i="26"/>
  <c r="AH302" i="26" s="1" a="1"/>
  <c r="AH302" i="26" s="1"/>
  <c r="AI302" i="26"/>
  <c r="Z303" i="26"/>
  <c r="AA303" i="26" s="1"/>
  <c r="AB303" i="26"/>
  <c r="AC303" i="26" s="1"/>
  <c r="AD303" i="26"/>
  <c r="AH303" i="26" s="1" a="1"/>
  <c r="AH303" i="26" s="1"/>
  <c r="Z304" i="26"/>
  <c r="AA304" i="26" s="1"/>
  <c r="AB304" i="26"/>
  <c r="AC304" i="26" s="1"/>
  <c r="AD304" i="26"/>
  <c r="AH304" i="26" s="1" a="1"/>
  <c r="AH304" i="26" s="1"/>
  <c r="AJ304" i="26"/>
  <c r="Z305" i="26"/>
  <c r="AA305" i="26" s="1"/>
  <c r="AB305" i="26"/>
  <c r="AC305" i="26" s="1"/>
  <c r="AD305" i="26"/>
  <c r="AH305" i="26" s="1" a="1"/>
  <c r="AH305" i="26" s="1"/>
  <c r="AJ305" i="26"/>
  <c r="Z306" i="26"/>
  <c r="AA306" i="26" s="1"/>
  <c r="AB306" i="26"/>
  <c r="AC306" i="26" s="1"/>
  <c r="AD306" i="26"/>
  <c r="AH306" i="26" s="1" a="1"/>
  <c r="AH306" i="26" s="1"/>
  <c r="AF306" i="26"/>
  <c r="AG306" i="26" s="1"/>
  <c r="Z307" i="26"/>
  <c r="AA307" i="26" s="1"/>
  <c r="AB307" i="26"/>
  <c r="AC307" i="26" s="1"/>
  <c r="AD307" i="26"/>
  <c r="AH307" i="26" s="1" a="1"/>
  <c r="AH307" i="26" s="1"/>
  <c r="AJ307" i="26"/>
  <c r="Z308" i="26"/>
  <c r="AA308" i="26" s="1"/>
  <c r="AB308" i="26"/>
  <c r="AC308" i="26" s="1"/>
  <c r="AD308" i="26"/>
  <c r="AH308" i="26" s="1" a="1"/>
  <c r="AH308" i="26" s="1"/>
  <c r="AF308" i="26"/>
  <c r="AG308" i="26" s="1"/>
  <c r="Z309" i="26"/>
  <c r="AA309" i="26" s="1"/>
  <c r="AB309" i="26"/>
  <c r="AC309" i="26" s="1"/>
  <c r="AD309" i="26"/>
  <c r="AH309" i="26" s="1" a="1"/>
  <c r="AH309" i="26" s="1"/>
  <c r="AJ309" i="26"/>
  <c r="Z310" i="26"/>
  <c r="AA310" i="26" s="1"/>
  <c r="AB310" i="26"/>
  <c r="AC310" i="26" s="1"/>
  <c r="AD310" i="26"/>
  <c r="AH310" i="26" s="1" a="1"/>
  <c r="AH310" i="26" s="1"/>
  <c r="AF310" i="26"/>
  <c r="AG310" i="26" s="1"/>
  <c r="Z311" i="26"/>
  <c r="AA311" i="26" s="1"/>
  <c r="AB311" i="26"/>
  <c r="AC311" i="26" s="1"/>
  <c r="AD311" i="26"/>
  <c r="AH311" i="26" s="1" a="1"/>
  <c r="AH311" i="26" s="1"/>
  <c r="AJ311" i="26"/>
  <c r="Z312" i="26"/>
  <c r="AA312" i="26" s="1"/>
  <c r="AB312" i="26"/>
  <c r="AC312" i="26" s="1"/>
  <c r="AD312" i="26"/>
  <c r="AH312" i="26" s="1" a="1"/>
  <c r="AH312" i="26" s="1"/>
  <c r="AI312" i="26"/>
  <c r="Z313" i="26"/>
  <c r="AA313" i="26" s="1"/>
  <c r="AB313" i="26"/>
  <c r="AC313" i="26" s="1"/>
  <c r="AD313" i="26"/>
  <c r="AH313" i="26" s="1" a="1"/>
  <c r="AH313" i="26" s="1"/>
  <c r="Z314" i="26"/>
  <c r="AA314" i="26" s="1"/>
  <c r="AB314" i="26"/>
  <c r="AC314" i="26" s="1"/>
  <c r="AD314" i="26"/>
  <c r="AH314" i="26" s="1" a="1"/>
  <c r="AH314" i="26" s="1"/>
  <c r="AF314" i="26"/>
  <c r="AG314" i="26" s="1"/>
  <c r="Z315" i="26"/>
  <c r="AA315" i="26" s="1"/>
  <c r="AB315" i="26"/>
  <c r="AC315" i="26" s="1"/>
  <c r="AD315" i="26"/>
  <c r="AH315" i="26" s="1" a="1"/>
  <c r="AH315" i="26" s="1"/>
  <c r="AJ315" i="26"/>
  <c r="Z316" i="26"/>
  <c r="AA316" i="26" s="1"/>
  <c r="AB316" i="26"/>
  <c r="AC316" i="26" s="1"/>
  <c r="AD316" i="26"/>
  <c r="AH316" i="26" s="1" a="1"/>
  <c r="AH316" i="26" s="1"/>
  <c r="Z317" i="26"/>
  <c r="AA317" i="26" s="1"/>
  <c r="AB317" i="26"/>
  <c r="AC317" i="26" s="1"/>
  <c r="AD317" i="26"/>
  <c r="AH317" i="26" s="1" a="1"/>
  <c r="AH317" i="26" s="1"/>
  <c r="AJ317" i="26"/>
  <c r="Z318" i="26"/>
  <c r="AA318" i="26" s="1"/>
  <c r="AB318" i="26"/>
  <c r="AC318" i="26" s="1"/>
  <c r="AD318" i="26"/>
  <c r="AH318" i="26" s="1" a="1"/>
  <c r="AH318" i="26" s="1"/>
  <c r="AF318" i="26"/>
  <c r="AG318" i="26" s="1"/>
  <c r="Z319" i="26"/>
  <c r="AA319" i="26" s="1"/>
  <c r="AB319" i="26"/>
  <c r="AC319" i="26" s="1"/>
  <c r="AD319" i="26"/>
  <c r="AH319" i="26" s="1" a="1"/>
  <c r="AH319" i="26" s="1"/>
  <c r="AF319" i="26"/>
  <c r="AG319" i="26" s="1"/>
  <c r="Z320" i="26"/>
  <c r="AA320" i="26" s="1"/>
  <c r="AB320" i="26"/>
  <c r="AC320" i="26" s="1"/>
  <c r="AD320" i="26"/>
  <c r="AH320" i="26" s="1" a="1"/>
  <c r="AH320" i="26" s="1"/>
  <c r="AF320" i="26"/>
  <c r="AG320" i="26" s="1"/>
  <c r="Z321" i="26"/>
  <c r="AA321" i="26" s="1"/>
  <c r="AB321" i="26"/>
  <c r="AC321" i="26" s="1"/>
  <c r="AD321" i="26"/>
  <c r="AH321" i="26" s="1" a="1"/>
  <c r="AH321" i="26" s="1"/>
  <c r="AJ321" i="26"/>
  <c r="Z322" i="26"/>
  <c r="AA322" i="26" s="1"/>
  <c r="AB322" i="26"/>
  <c r="AC322" i="26" s="1"/>
  <c r="AD322" i="26"/>
  <c r="AH322" i="26" s="1" a="1"/>
  <c r="AH322" i="26" s="1"/>
  <c r="Z323" i="26"/>
  <c r="AA323" i="26" s="1"/>
  <c r="AB323" i="26"/>
  <c r="AC323" i="26" s="1"/>
  <c r="AD323" i="26"/>
  <c r="AH323" i="26" s="1" a="1"/>
  <c r="AH323" i="26" s="1"/>
  <c r="AJ323" i="26"/>
  <c r="Z324" i="26"/>
  <c r="AA324" i="26" s="1"/>
  <c r="AB324" i="26"/>
  <c r="AC324" i="26" s="1"/>
  <c r="AD324" i="26"/>
  <c r="AH324" i="26" s="1" a="1"/>
  <c r="AH324" i="26" s="1"/>
  <c r="AF324" i="26"/>
  <c r="AG324" i="26" s="1"/>
  <c r="Z325" i="26"/>
  <c r="AA325" i="26" s="1"/>
  <c r="AB325" i="26"/>
  <c r="AC325" i="26" s="1"/>
  <c r="AD325" i="26"/>
  <c r="AH325" i="26" s="1" a="1"/>
  <c r="AH325" i="26" s="1"/>
  <c r="AJ325" i="26"/>
  <c r="Z326" i="26"/>
  <c r="AA326" i="26" s="1"/>
  <c r="AB326" i="26"/>
  <c r="AC326" i="26" s="1"/>
  <c r="AD326" i="26"/>
  <c r="AH326" i="26" s="1" a="1"/>
  <c r="AH326" i="26" s="1"/>
  <c r="AF326" i="26"/>
  <c r="AG326" i="26" s="1"/>
  <c r="Z327" i="26"/>
  <c r="AA327" i="26" s="1"/>
  <c r="AB327" i="26"/>
  <c r="AC327" i="26" s="1"/>
  <c r="AD327" i="26"/>
  <c r="AH327" i="26" s="1" a="1"/>
  <c r="AH327" i="26" s="1"/>
  <c r="AJ327" i="26"/>
  <c r="Z328" i="26"/>
  <c r="AA328" i="26" s="1"/>
  <c r="AB328" i="26"/>
  <c r="AC328" i="26" s="1"/>
  <c r="AD328" i="26"/>
  <c r="AH328" i="26" s="1" a="1"/>
  <c r="AH328" i="26" s="1"/>
  <c r="AI328" i="26"/>
  <c r="Z329" i="26"/>
  <c r="AA329" i="26" s="1"/>
  <c r="AB329" i="26"/>
  <c r="AC329" i="26" s="1"/>
  <c r="AD329" i="26"/>
  <c r="AH329" i="26" s="1" a="1"/>
  <c r="AH329" i="26" s="1"/>
  <c r="Z330" i="26"/>
  <c r="AA330" i="26" s="1"/>
  <c r="AB330" i="26"/>
  <c r="AC330" i="26" s="1"/>
  <c r="AD330" i="26"/>
  <c r="AH330" i="26" s="1" a="1"/>
  <c r="AH330" i="26" s="1"/>
  <c r="AF330" i="26"/>
  <c r="AG330" i="26" s="1"/>
  <c r="Z331" i="26"/>
  <c r="AA331" i="26" s="1"/>
  <c r="AB331" i="26"/>
  <c r="AC331" i="26" s="1"/>
  <c r="AD331" i="26"/>
  <c r="AH331" i="26" s="1" a="1"/>
  <c r="AH331" i="26" s="1"/>
  <c r="AJ331" i="26"/>
  <c r="Z332" i="26"/>
  <c r="AA332" i="26" s="1"/>
  <c r="AB332" i="26"/>
  <c r="AC332" i="26" s="1"/>
  <c r="AD332" i="26"/>
  <c r="AH332" i="26" s="1" a="1"/>
  <c r="AH332" i="26" s="1"/>
  <c r="Z333" i="26"/>
  <c r="AA333" i="26" s="1"/>
  <c r="AB333" i="26"/>
  <c r="AC333" i="26" s="1"/>
  <c r="AD333" i="26"/>
  <c r="AH333" i="26" s="1" a="1"/>
  <c r="AH333" i="26" s="1"/>
  <c r="AJ333" i="26"/>
  <c r="Z334" i="26"/>
  <c r="AA334" i="26" s="1"/>
  <c r="AB334" i="26"/>
  <c r="AC334" i="26" s="1"/>
  <c r="AD334" i="26"/>
  <c r="AH334" i="26" s="1" a="1"/>
  <c r="AH334" i="26" s="1"/>
  <c r="AJ334" i="26"/>
  <c r="Z335" i="26"/>
  <c r="AA335" i="26" s="1"/>
  <c r="AB335" i="26"/>
  <c r="AC335" i="26" s="1"/>
  <c r="AD335" i="26"/>
  <c r="AH335" i="26" s="1" a="1"/>
  <c r="AH335" i="26" s="1"/>
  <c r="AF335" i="26"/>
  <c r="AG335" i="26" s="1"/>
  <c r="Z336" i="26"/>
  <c r="AA336" i="26" s="1"/>
  <c r="AB336" i="26"/>
  <c r="AC336" i="26" s="1"/>
  <c r="AD336" i="26"/>
  <c r="AH336" i="26" s="1" a="1"/>
  <c r="AH336" i="26" s="1"/>
  <c r="AI336" i="26"/>
  <c r="Z337" i="26"/>
  <c r="AA337" i="26" s="1"/>
  <c r="AB337" i="26"/>
  <c r="AC337" i="26" s="1"/>
  <c r="AD337" i="26"/>
  <c r="AH337" i="26" s="1" a="1"/>
  <c r="AH337" i="26" s="1"/>
  <c r="AJ337" i="26"/>
  <c r="Z338" i="26"/>
  <c r="AA338" i="26" s="1"/>
  <c r="AB338" i="26"/>
  <c r="AC338" i="26" s="1"/>
  <c r="AD338" i="26"/>
  <c r="AH338" i="26" s="1" a="1"/>
  <c r="AH338" i="26" s="1"/>
  <c r="AF338" i="26"/>
  <c r="AG338" i="26" s="1"/>
  <c r="Z339" i="26"/>
  <c r="AA339" i="26" s="1"/>
  <c r="AB339" i="26"/>
  <c r="AC339" i="26" s="1"/>
  <c r="AD339" i="26"/>
  <c r="AH339" i="26" s="1" a="1"/>
  <c r="AH339" i="26" s="1"/>
  <c r="AJ339" i="26"/>
  <c r="Z340" i="26"/>
  <c r="AA340" i="26" s="1"/>
  <c r="AB340" i="26"/>
  <c r="AC340" i="26" s="1"/>
  <c r="AD340" i="26"/>
  <c r="AH340" i="26" s="1" a="1"/>
  <c r="AH340" i="26" s="1"/>
  <c r="AF340" i="26"/>
  <c r="AG340" i="26" s="1"/>
  <c r="Z341" i="26"/>
  <c r="AA341" i="26" s="1"/>
  <c r="AB341" i="26"/>
  <c r="AC341" i="26" s="1"/>
  <c r="AD341" i="26"/>
  <c r="AH341" i="26" s="1" a="1"/>
  <c r="AH341" i="26" s="1"/>
  <c r="AJ341" i="26"/>
  <c r="Z342" i="26"/>
  <c r="AA342" i="26" s="1"/>
  <c r="AB342" i="26"/>
  <c r="AC342" i="26" s="1"/>
  <c r="AD342" i="26"/>
  <c r="AH342" i="26" s="1" a="1"/>
  <c r="AH342" i="26" s="1"/>
  <c r="AF342" i="26"/>
  <c r="AG342" i="26" s="1"/>
  <c r="Z343" i="26"/>
  <c r="AA343" i="26" s="1"/>
  <c r="AB343" i="26"/>
  <c r="AC343" i="26" s="1"/>
  <c r="AD343" i="26"/>
  <c r="AH343" i="26" s="1" a="1"/>
  <c r="AH343" i="26" s="1"/>
  <c r="AJ343" i="26"/>
  <c r="Z344" i="26"/>
  <c r="AA344" i="26" s="1"/>
  <c r="AB344" i="26"/>
  <c r="AC344" i="26" s="1"/>
  <c r="AD344" i="26"/>
  <c r="AH344" i="26" s="1" a="1"/>
  <c r="AH344" i="26" s="1"/>
  <c r="AF344" i="26"/>
  <c r="AG344" i="26" s="1"/>
  <c r="Z345" i="26"/>
  <c r="AA345" i="26" s="1"/>
  <c r="AB345" i="26"/>
  <c r="AC345" i="26" s="1"/>
  <c r="AD345" i="26"/>
  <c r="AH345" i="26" s="1" a="1"/>
  <c r="AH345" i="26" s="1"/>
  <c r="Z346" i="26"/>
  <c r="AA346" i="26" s="1"/>
  <c r="AB346" i="26"/>
  <c r="AC346" i="26" s="1"/>
  <c r="AD346" i="26"/>
  <c r="AH346" i="26" s="1" a="1"/>
  <c r="AH346" i="26" s="1"/>
  <c r="AF346" i="26"/>
  <c r="AG346" i="26" s="1"/>
  <c r="Z347" i="26"/>
  <c r="AA347" i="26" s="1"/>
  <c r="AB347" i="26"/>
  <c r="AC347" i="26" s="1"/>
  <c r="AD347" i="26"/>
  <c r="AH347" i="26" s="1" a="1"/>
  <c r="AH347" i="26" s="1"/>
  <c r="AJ347" i="26"/>
  <c r="Z348" i="26"/>
  <c r="AA348" i="26" s="1"/>
  <c r="AB348" i="26"/>
  <c r="AC348" i="26" s="1"/>
  <c r="AD348" i="26"/>
  <c r="AH348" i="26" s="1" a="1"/>
  <c r="AH348" i="26" s="1"/>
  <c r="Z349" i="26"/>
  <c r="AA349" i="26" s="1"/>
  <c r="AB349" i="26"/>
  <c r="AC349" i="26" s="1"/>
  <c r="AD349" i="26"/>
  <c r="AH349" i="26" s="1" a="1"/>
  <c r="AH349" i="26" s="1"/>
  <c r="AJ349" i="26"/>
  <c r="Z350" i="26"/>
  <c r="AA350" i="26" s="1"/>
  <c r="AB350" i="26"/>
  <c r="AC350" i="26" s="1"/>
  <c r="AD350" i="26"/>
  <c r="AH350" i="26" s="1" a="1"/>
  <c r="AH350" i="26" s="1"/>
  <c r="AI350" i="26"/>
  <c r="Z351" i="26"/>
  <c r="AA351" i="26" s="1"/>
  <c r="AB351" i="26"/>
  <c r="AC351" i="26" s="1"/>
  <c r="AD351" i="26"/>
  <c r="AH351" i="26" s="1" a="1"/>
  <c r="AH351" i="26" s="1"/>
  <c r="AF351" i="26"/>
  <c r="AG351" i="26" s="1"/>
  <c r="Z352" i="26"/>
  <c r="AA352" i="26" s="1"/>
  <c r="AB352" i="26"/>
  <c r="AC352" i="26" s="1"/>
  <c r="AD352" i="26"/>
  <c r="AH352" i="26" s="1" a="1"/>
  <c r="AH352" i="26" s="1"/>
  <c r="AI352" i="26"/>
  <c r="Z353" i="26"/>
  <c r="AA353" i="26" s="1"/>
  <c r="AB353" i="26"/>
  <c r="AC353" i="26" s="1"/>
  <c r="AD353" i="26"/>
  <c r="AH353" i="26" s="1" a="1"/>
  <c r="AH353" i="26" s="1"/>
  <c r="AJ353" i="26"/>
  <c r="Z354" i="26"/>
  <c r="AA354" i="26" s="1"/>
  <c r="AB354" i="26"/>
  <c r="AC354" i="26" s="1"/>
  <c r="AD354" i="26"/>
  <c r="AH354" i="26" s="1" a="1"/>
  <c r="AH354" i="26" s="1"/>
  <c r="AF354" i="26"/>
  <c r="AG354" i="26" s="1"/>
  <c r="Z355" i="26"/>
  <c r="AA355" i="26" s="1"/>
  <c r="AB355" i="26"/>
  <c r="AC355" i="26" s="1"/>
  <c r="AD355" i="26"/>
  <c r="AH355" i="26" s="1" a="1"/>
  <c r="AH355" i="26" s="1"/>
  <c r="AJ355" i="26"/>
  <c r="Z356" i="26"/>
  <c r="AA356" i="26" s="1"/>
  <c r="AB356" i="26"/>
  <c r="AC356" i="26" s="1"/>
  <c r="AD356" i="26"/>
  <c r="AH356" i="26" s="1" a="1"/>
  <c r="AH356" i="26" s="1"/>
  <c r="AF356" i="26"/>
  <c r="AG356" i="26" s="1"/>
  <c r="Z357" i="26"/>
  <c r="AA357" i="26" s="1"/>
  <c r="AB357" i="26"/>
  <c r="AC357" i="26" s="1"/>
  <c r="AD357" i="26"/>
  <c r="AH357" i="26" s="1" a="1"/>
  <c r="AH357" i="26" s="1"/>
  <c r="AF357" i="26"/>
  <c r="AG357" i="26" s="1"/>
  <c r="Z358" i="26"/>
  <c r="AA358" i="26" s="1"/>
  <c r="AB358" i="26"/>
  <c r="AC358" i="26" s="1"/>
  <c r="AD358" i="26"/>
  <c r="AH358" i="26" s="1" a="1"/>
  <c r="AH358" i="26" s="1"/>
  <c r="AJ358" i="26"/>
  <c r="Z359" i="26"/>
  <c r="AA359" i="26" s="1"/>
  <c r="AB359" i="26"/>
  <c r="AC359" i="26" s="1"/>
  <c r="AD359" i="26"/>
  <c r="AH359" i="26" s="1" a="1"/>
  <c r="AH359" i="26" s="1"/>
  <c r="AJ359" i="26"/>
  <c r="Z360" i="26"/>
  <c r="AA360" i="26" s="1"/>
  <c r="AB360" i="26"/>
  <c r="AC360" i="26" s="1"/>
  <c r="AD360" i="26"/>
  <c r="AH360" i="26" s="1" a="1"/>
  <c r="AH360" i="26" s="1"/>
  <c r="AF360" i="26"/>
  <c r="AG360" i="26" s="1"/>
  <c r="Z361" i="26"/>
  <c r="AA361" i="26" s="1"/>
  <c r="AB361" i="26"/>
  <c r="AC361" i="26" s="1"/>
  <c r="AD361" i="26"/>
  <c r="AH361" i="26" s="1" a="1"/>
  <c r="AH361" i="26" s="1"/>
  <c r="AF361" i="26"/>
  <c r="AG361" i="26" s="1"/>
  <c r="Z362" i="26"/>
  <c r="AA362" i="26" s="1"/>
  <c r="AB362" i="26"/>
  <c r="AC362" i="26" s="1"/>
  <c r="AD362" i="26"/>
  <c r="AH362" i="26" s="1" a="1"/>
  <c r="AH362" i="26" s="1"/>
  <c r="AF362" i="26"/>
  <c r="AG362" i="26" s="1"/>
  <c r="Z363" i="26"/>
  <c r="AA363" i="26" s="1"/>
  <c r="AB363" i="26"/>
  <c r="AC363" i="26" s="1"/>
  <c r="AD363" i="26"/>
  <c r="AH363" i="26" s="1" a="1"/>
  <c r="AH363" i="26" s="1"/>
  <c r="AJ363" i="26"/>
  <c r="Z364" i="26"/>
  <c r="AA364" i="26" s="1"/>
  <c r="AB364" i="26"/>
  <c r="AC364" i="26" s="1"/>
  <c r="AD364" i="26"/>
  <c r="AH364" i="26" s="1" a="1"/>
  <c r="AH364" i="26" s="1"/>
  <c r="Z365" i="26"/>
  <c r="AA365" i="26" s="1"/>
  <c r="AB365" i="26"/>
  <c r="AC365" i="26" s="1"/>
  <c r="AD365" i="26"/>
  <c r="AH365" i="26" s="1" a="1"/>
  <c r="AH365" i="26" s="1"/>
  <c r="AI365" i="26"/>
  <c r="Z366" i="26"/>
  <c r="AA366" i="26" s="1"/>
  <c r="AB366" i="26"/>
  <c r="AC366" i="26" s="1"/>
  <c r="AD366" i="26"/>
  <c r="AH366" i="26" s="1" a="1"/>
  <c r="AH366" i="26" s="1"/>
  <c r="AI366" i="26"/>
  <c r="Z367" i="26"/>
  <c r="AA367" i="26" s="1"/>
  <c r="AB367" i="26"/>
  <c r="AC367" i="26" s="1"/>
  <c r="AD367" i="26"/>
  <c r="AH367" i="26" s="1" a="1"/>
  <c r="AH367" i="26" s="1"/>
  <c r="AI367" i="26"/>
  <c r="Z368" i="26"/>
  <c r="AA368" i="26" s="1"/>
  <c r="AB368" i="26"/>
  <c r="AC368" i="26" s="1"/>
  <c r="AD368" i="26"/>
  <c r="AH368" i="26" s="1" a="1"/>
  <c r="AH368" i="26" s="1"/>
  <c r="AI368" i="26"/>
  <c r="Z369" i="26"/>
  <c r="AA369" i="26" s="1"/>
  <c r="AB369" i="26"/>
  <c r="AC369" i="26" s="1"/>
  <c r="AD369" i="26"/>
  <c r="AH369" i="26" s="1" a="1"/>
  <c r="AH369" i="26" s="1"/>
  <c r="Z370" i="26"/>
  <c r="AA370" i="26" s="1"/>
  <c r="AB370" i="26"/>
  <c r="AC370" i="26" s="1"/>
  <c r="AD370" i="26"/>
  <c r="AH370" i="26" s="1" a="1"/>
  <c r="AH370" i="26" s="1"/>
  <c r="AI370" i="26"/>
  <c r="Z371" i="26"/>
  <c r="AA371" i="26" s="1"/>
  <c r="AB371" i="26"/>
  <c r="AC371" i="26" s="1"/>
  <c r="AD371" i="26"/>
  <c r="AH371" i="26" s="1" a="1"/>
  <c r="AH371" i="26" s="1"/>
  <c r="AI371" i="26"/>
  <c r="Z372" i="26"/>
  <c r="AA372" i="26" s="1"/>
  <c r="AB372" i="26"/>
  <c r="AC372" i="26" s="1"/>
  <c r="AD372" i="26"/>
  <c r="AH372" i="26" s="1" a="1"/>
  <c r="AH372" i="26" s="1"/>
  <c r="AI372" i="26"/>
  <c r="Z373" i="26"/>
  <c r="AA373" i="26" s="1"/>
  <c r="AB373" i="26"/>
  <c r="AC373" i="26" s="1"/>
  <c r="AD373" i="26"/>
  <c r="AH373" i="26" s="1" a="1"/>
  <c r="AH373" i="26" s="1"/>
  <c r="Z374" i="26"/>
  <c r="AA374" i="26" s="1"/>
  <c r="AB374" i="26"/>
  <c r="AC374" i="26" s="1"/>
  <c r="AD374" i="26"/>
  <c r="AH374" i="26" s="1" a="1"/>
  <c r="AH374" i="26" s="1"/>
  <c r="AI374" i="26"/>
  <c r="Z375" i="26"/>
  <c r="AA375" i="26" s="1"/>
  <c r="AB375" i="26"/>
  <c r="AC375" i="26" s="1"/>
  <c r="AD375" i="26"/>
  <c r="AH375" i="26" s="1" a="1"/>
  <c r="AH375" i="26" s="1"/>
  <c r="Z376" i="26"/>
  <c r="AA376" i="26" s="1"/>
  <c r="AB376" i="26"/>
  <c r="AC376" i="26" s="1"/>
  <c r="AD376" i="26"/>
  <c r="AH376" i="26" s="1" a="1"/>
  <c r="AH376" i="26" s="1"/>
  <c r="AI376" i="26"/>
  <c r="Z377" i="26"/>
  <c r="AA377" i="26" s="1"/>
  <c r="AB377" i="26"/>
  <c r="AC377" i="26" s="1"/>
  <c r="AD377" i="26"/>
  <c r="AH377" i="26" s="1" a="1"/>
  <c r="AH377" i="26" s="1"/>
  <c r="AI377" i="26"/>
  <c r="Z378" i="26"/>
  <c r="AA378" i="26" s="1"/>
  <c r="AB378" i="26"/>
  <c r="AC378" i="26" s="1"/>
  <c r="AD378" i="26"/>
  <c r="AH378" i="26" s="1" a="1"/>
  <c r="AH378" i="26" s="1"/>
  <c r="AI378" i="26"/>
  <c r="Z379" i="26"/>
  <c r="AA379" i="26" s="1"/>
  <c r="AB379" i="26"/>
  <c r="AC379" i="26" s="1"/>
  <c r="AD379" i="26"/>
  <c r="AH379" i="26" s="1" a="1"/>
  <c r="AH379" i="26" s="1"/>
  <c r="AI379" i="26"/>
  <c r="Z380" i="26"/>
  <c r="AA380" i="26" s="1"/>
  <c r="AB380" i="26"/>
  <c r="AC380" i="26" s="1"/>
  <c r="AD380" i="26"/>
  <c r="AH380" i="26" s="1" a="1"/>
  <c r="AH380" i="26" s="1"/>
  <c r="Z381" i="26"/>
  <c r="AA381" i="26" s="1"/>
  <c r="AB381" i="26"/>
  <c r="AC381" i="26" s="1"/>
  <c r="AD381" i="26"/>
  <c r="AH381" i="26" s="1" a="1"/>
  <c r="AH381" i="26" s="1"/>
  <c r="AI381" i="26"/>
  <c r="Z382" i="26"/>
  <c r="AA382" i="26" s="1"/>
  <c r="AB382" i="26"/>
  <c r="AC382" i="26" s="1"/>
  <c r="AD382" i="26"/>
  <c r="AH382" i="26" s="1" a="1"/>
  <c r="AH382" i="26" s="1"/>
  <c r="AI382" i="26"/>
  <c r="Z383" i="26"/>
  <c r="AA383" i="26" s="1"/>
  <c r="AB383" i="26"/>
  <c r="AC383" i="26" s="1"/>
  <c r="AD383" i="26"/>
  <c r="AH383" i="26" s="1" a="1"/>
  <c r="AH383" i="26" s="1"/>
  <c r="AI383" i="26"/>
  <c r="Z384" i="26"/>
  <c r="AA384" i="26" s="1"/>
  <c r="AB384" i="26"/>
  <c r="AC384" i="26" s="1"/>
  <c r="AD384" i="26"/>
  <c r="AH384" i="26" s="1" a="1"/>
  <c r="AH384" i="26" s="1"/>
  <c r="AI384" i="26"/>
  <c r="Z385" i="26"/>
  <c r="AA385" i="26" s="1"/>
  <c r="AB385" i="26"/>
  <c r="AC385" i="26" s="1"/>
  <c r="AD385" i="26"/>
  <c r="AH385" i="26" s="1" a="1"/>
  <c r="AH385" i="26" s="1"/>
  <c r="Z386" i="26"/>
  <c r="AA386" i="26" s="1"/>
  <c r="AB386" i="26"/>
  <c r="AC386" i="26" s="1"/>
  <c r="AD386" i="26"/>
  <c r="AH386" i="26" s="1" a="1"/>
  <c r="AH386" i="26" s="1"/>
  <c r="AI386" i="26"/>
  <c r="Z387" i="26"/>
  <c r="AA387" i="26" s="1"/>
  <c r="AB387" i="26"/>
  <c r="AC387" i="26" s="1"/>
  <c r="AD387" i="26"/>
  <c r="AH387" i="26" s="1" a="1"/>
  <c r="AH387" i="26" s="1"/>
  <c r="AJ387" i="26"/>
  <c r="Z388" i="26"/>
  <c r="AA388" i="26" s="1"/>
  <c r="AB388" i="26"/>
  <c r="AC388" i="26" s="1"/>
  <c r="AD388" i="26"/>
  <c r="AH388" i="26" s="1" a="1"/>
  <c r="AH388" i="26" s="1"/>
  <c r="AJ388" i="26"/>
  <c r="Z389" i="26"/>
  <c r="AA389" i="26" s="1"/>
  <c r="AB389" i="26"/>
  <c r="AC389" i="26" s="1"/>
  <c r="AD389" i="26"/>
  <c r="AH389" i="26" s="1" a="1"/>
  <c r="AH389" i="26" s="1"/>
  <c r="Z390" i="26"/>
  <c r="AA390" i="26" s="1"/>
  <c r="AB390" i="26"/>
  <c r="AC390" i="26" s="1"/>
  <c r="AD390" i="26"/>
  <c r="AH390" i="26" s="1" a="1"/>
  <c r="AH390" i="26" s="1"/>
  <c r="AF390" i="26"/>
  <c r="AG390" i="26" s="1"/>
  <c r="Z391" i="26"/>
  <c r="AA391" i="26" s="1"/>
  <c r="AB391" i="26"/>
  <c r="AC391" i="26" s="1"/>
  <c r="AD391" i="26"/>
  <c r="AH391" i="26" s="1" a="1"/>
  <c r="AH391" i="26" s="1"/>
  <c r="AJ391" i="26"/>
  <c r="Z392" i="26"/>
  <c r="AA392" i="26" s="1"/>
  <c r="AB392" i="26"/>
  <c r="AC392" i="26" s="1"/>
  <c r="AD392" i="26"/>
  <c r="AH392" i="26" s="1" a="1"/>
  <c r="AH392" i="26" s="1"/>
  <c r="Z393" i="26"/>
  <c r="AA393" i="26" s="1"/>
  <c r="AB393" i="26"/>
  <c r="AC393" i="26" s="1"/>
  <c r="AD393" i="26"/>
  <c r="AH393" i="26" s="1" a="1"/>
  <c r="AH393" i="26" s="1"/>
  <c r="AJ393" i="26"/>
  <c r="Z394" i="26"/>
  <c r="AA394" i="26" s="1"/>
  <c r="AB394" i="26"/>
  <c r="AC394" i="26" s="1"/>
  <c r="AD394" i="26"/>
  <c r="AH394" i="26" s="1" a="1"/>
  <c r="AH394" i="26" s="1"/>
  <c r="AI394" i="26"/>
  <c r="Z395" i="26"/>
  <c r="AA395" i="26" s="1"/>
  <c r="AB395" i="26"/>
  <c r="AC395" i="26" s="1"/>
  <c r="AD395" i="26"/>
  <c r="AH395" i="26" s="1" a="1"/>
  <c r="AH395" i="26" s="1"/>
  <c r="AJ395" i="26"/>
  <c r="Z396" i="26"/>
  <c r="AA396" i="26" s="1"/>
  <c r="AB396" i="26"/>
  <c r="AC396" i="26" s="1"/>
  <c r="AD396" i="26"/>
  <c r="AH396" i="26" s="1" a="1"/>
  <c r="AH396" i="26" s="1"/>
  <c r="AF396" i="26"/>
  <c r="AG396" i="26" s="1"/>
  <c r="Z397" i="26"/>
  <c r="AA397" i="26" s="1"/>
  <c r="AB397" i="26"/>
  <c r="AC397" i="26" s="1"/>
  <c r="AD397" i="26"/>
  <c r="AH397" i="26" s="1" a="1"/>
  <c r="AH397" i="26" s="1"/>
  <c r="AJ397" i="26"/>
  <c r="Z398" i="26"/>
  <c r="AA398" i="26" s="1"/>
  <c r="AB398" i="26"/>
  <c r="AC398" i="26" s="1"/>
  <c r="AD398" i="26"/>
  <c r="AH398" i="26" s="1" a="1"/>
  <c r="AH398" i="26" s="1"/>
  <c r="AI398" i="26"/>
  <c r="Z399" i="26"/>
  <c r="AA399" i="26" s="1"/>
  <c r="AB399" i="26"/>
  <c r="AC399" i="26" s="1"/>
  <c r="AD399" i="26"/>
  <c r="AH399" i="26" s="1" a="1"/>
  <c r="AH399" i="26" s="1"/>
  <c r="AJ399" i="26"/>
  <c r="Z400" i="26"/>
  <c r="AA400" i="26" s="1"/>
  <c r="AB400" i="26"/>
  <c r="AC400" i="26" s="1"/>
  <c r="AD400" i="26"/>
  <c r="AH400" i="26" s="1" a="1"/>
  <c r="AH400" i="26" s="1"/>
  <c r="AI400" i="26"/>
  <c r="Z401" i="26"/>
  <c r="AA401" i="26" s="1"/>
  <c r="AB401" i="26"/>
  <c r="AC401" i="26" s="1"/>
  <c r="AD401" i="26"/>
  <c r="AH401" i="26" s="1" a="1"/>
  <c r="AH401" i="26" s="1"/>
  <c r="AJ401" i="26"/>
  <c r="Z402" i="26"/>
  <c r="AA402" i="26" s="1"/>
  <c r="AB402" i="26"/>
  <c r="AC402" i="26" s="1"/>
  <c r="AD402" i="26"/>
  <c r="AH402" i="26" s="1" a="1"/>
  <c r="AH402" i="26" s="1"/>
  <c r="AJ402" i="26"/>
  <c r="Z403" i="26"/>
  <c r="AA403" i="26" s="1"/>
  <c r="AB403" i="26"/>
  <c r="AC403" i="26" s="1"/>
  <c r="AD403" i="26"/>
  <c r="AH403" i="26" s="1" a="1"/>
  <c r="AH403" i="26" s="1"/>
  <c r="AJ403" i="26"/>
  <c r="Z404" i="26"/>
  <c r="AA404" i="26" s="1"/>
  <c r="AB404" i="26"/>
  <c r="AC404" i="26" s="1"/>
  <c r="AD404" i="26"/>
  <c r="AH404" i="26" s="1" a="1"/>
  <c r="AH404" i="26" s="1"/>
  <c r="AJ404" i="26"/>
  <c r="Z405" i="26"/>
  <c r="AA405" i="26" s="1"/>
  <c r="AB405" i="26"/>
  <c r="AC405" i="26" s="1"/>
  <c r="AD405" i="26"/>
  <c r="AH405" i="26" s="1" a="1"/>
  <c r="AH405" i="26" s="1"/>
  <c r="Z406" i="26"/>
  <c r="AA406" i="26" s="1"/>
  <c r="AB406" i="26"/>
  <c r="AC406" i="26" s="1"/>
  <c r="AD406" i="26"/>
  <c r="AH406" i="26" s="1" a="1"/>
  <c r="AH406" i="26" s="1"/>
  <c r="AF406" i="26"/>
  <c r="AG406" i="26" s="1"/>
  <c r="Z407" i="26"/>
  <c r="AA407" i="26" s="1"/>
  <c r="AB407" i="26"/>
  <c r="AC407" i="26" s="1"/>
  <c r="AD407" i="26"/>
  <c r="AH407" i="26" s="1" a="1"/>
  <c r="AH407" i="26" s="1"/>
  <c r="AJ407" i="26"/>
  <c r="Z408" i="26"/>
  <c r="AA408" i="26" s="1"/>
  <c r="AB408" i="26"/>
  <c r="AC408" i="26" s="1"/>
  <c r="AD408" i="26"/>
  <c r="AH408" i="26" s="1" a="1"/>
  <c r="AH408" i="26" s="1"/>
  <c r="Z409" i="26"/>
  <c r="AA409" i="26" s="1"/>
  <c r="AB409" i="26"/>
  <c r="AC409" i="26" s="1"/>
  <c r="AD409" i="26"/>
  <c r="AH409" i="26" s="1" a="1"/>
  <c r="AH409" i="26" s="1"/>
  <c r="AJ409" i="26"/>
  <c r="Z410" i="26"/>
  <c r="AA410" i="26" s="1"/>
  <c r="AB410" i="26"/>
  <c r="AC410" i="26" s="1"/>
  <c r="AD410" i="26"/>
  <c r="AH410" i="26" s="1" a="1"/>
  <c r="AH410" i="26" s="1"/>
  <c r="AI410" i="26"/>
  <c r="Z411" i="26"/>
  <c r="AA411" i="26" s="1"/>
  <c r="AB411" i="26"/>
  <c r="AC411" i="26" s="1"/>
  <c r="AD411" i="26"/>
  <c r="AH411" i="26" s="1" a="1"/>
  <c r="AH411" i="26" s="1"/>
  <c r="AJ411" i="26"/>
  <c r="Z412" i="26"/>
  <c r="AA412" i="26" s="1"/>
  <c r="AB412" i="26"/>
  <c r="AC412" i="26" s="1"/>
  <c r="AD412" i="26"/>
  <c r="AH412" i="26" s="1" a="1"/>
  <c r="AH412" i="26" s="1"/>
  <c r="AF412" i="26"/>
  <c r="AG412" i="26" s="1"/>
  <c r="Z413" i="26"/>
  <c r="AA413" i="26" s="1"/>
  <c r="AB413" i="26"/>
  <c r="AC413" i="26" s="1"/>
  <c r="AD413" i="26"/>
  <c r="AH413" i="26" s="1" a="1"/>
  <c r="AH413" i="26" s="1"/>
  <c r="AJ413" i="26"/>
  <c r="Z414" i="26"/>
  <c r="AA414" i="26" s="1"/>
  <c r="AB414" i="26"/>
  <c r="AC414" i="26" s="1"/>
  <c r="AD414" i="26"/>
  <c r="AH414" i="26" s="1" a="1"/>
  <c r="AH414" i="26" s="1"/>
  <c r="AI414" i="26"/>
  <c r="Z415" i="26"/>
  <c r="AA415" i="26" s="1"/>
  <c r="AB415" i="26"/>
  <c r="AC415" i="26" s="1"/>
  <c r="AD415" i="26"/>
  <c r="AH415" i="26" s="1" a="1"/>
  <c r="AH415" i="26" s="1"/>
  <c r="AJ415" i="26"/>
  <c r="Z416" i="26"/>
  <c r="AA416" i="26" s="1"/>
  <c r="AB416" i="26"/>
  <c r="AC416" i="26" s="1"/>
  <c r="AD416" i="26"/>
  <c r="AH416" i="26" s="1" a="1"/>
  <c r="AH416" i="26" s="1"/>
  <c r="AF416" i="26"/>
  <c r="AG416" i="26" s="1"/>
  <c r="Z417" i="26"/>
  <c r="AA417" i="26" s="1"/>
  <c r="AB417" i="26"/>
  <c r="AC417" i="26" s="1"/>
  <c r="AD417" i="26"/>
  <c r="AH417" i="26" s="1" a="1"/>
  <c r="AH417" i="26" s="1"/>
  <c r="AJ417" i="26"/>
  <c r="Z418" i="26"/>
  <c r="AA418" i="26" s="1"/>
  <c r="AB418" i="26"/>
  <c r="AC418" i="26" s="1"/>
  <c r="AD418" i="26"/>
  <c r="AH418" i="26" s="1" a="1"/>
  <c r="AH418" i="26" s="1"/>
  <c r="AI418" i="26"/>
  <c r="Z419" i="26"/>
  <c r="AA419" i="26" s="1"/>
  <c r="AB419" i="26"/>
  <c r="AC419" i="26" s="1"/>
  <c r="AD419" i="26"/>
  <c r="AH419" i="26" s="1" a="1"/>
  <c r="AH419" i="26" s="1"/>
  <c r="AJ419" i="26"/>
  <c r="Z420" i="26"/>
  <c r="AA420" i="26" s="1"/>
  <c r="AB420" i="26"/>
  <c r="AC420" i="26" s="1"/>
  <c r="AD420" i="26"/>
  <c r="AH420" i="26" s="1" a="1"/>
  <c r="AH420" i="26" s="1"/>
  <c r="AJ420" i="26"/>
  <c r="Z421" i="26"/>
  <c r="AA421" i="26" s="1"/>
  <c r="AB421" i="26"/>
  <c r="AC421" i="26" s="1"/>
  <c r="AD421" i="26"/>
  <c r="AH421" i="26" s="1" a="1"/>
  <c r="AH421" i="26" s="1"/>
  <c r="Z422" i="26"/>
  <c r="AA422" i="26" s="1"/>
  <c r="AB422" i="26"/>
  <c r="AC422" i="26" s="1"/>
  <c r="AD422" i="26"/>
  <c r="AH422" i="26" s="1" a="1"/>
  <c r="AH422" i="26" s="1"/>
  <c r="AF422" i="26"/>
  <c r="AG422" i="26" s="1"/>
  <c r="Z423" i="26"/>
  <c r="AA423" i="26" s="1"/>
  <c r="AB423" i="26"/>
  <c r="AC423" i="26" s="1"/>
  <c r="AD423" i="26"/>
  <c r="AH423" i="26" s="1" a="1"/>
  <c r="AH423" i="26" s="1"/>
  <c r="AJ423" i="26"/>
  <c r="Z424" i="26"/>
  <c r="AA424" i="26" s="1"/>
  <c r="AB424" i="26"/>
  <c r="AC424" i="26" s="1"/>
  <c r="AD424" i="26"/>
  <c r="AH424" i="26" s="1" a="1"/>
  <c r="AH424" i="26" s="1"/>
  <c r="Z425" i="26"/>
  <c r="AA425" i="26" s="1"/>
  <c r="AB425" i="26"/>
  <c r="AC425" i="26" s="1"/>
  <c r="AD425" i="26"/>
  <c r="AH425" i="26" s="1" a="1"/>
  <c r="AH425" i="26" s="1"/>
  <c r="AJ425" i="26"/>
  <c r="Z426" i="26"/>
  <c r="AA426" i="26" s="1"/>
  <c r="AB426" i="26"/>
  <c r="AC426" i="26" s="1"/>
  <c r="AD426" i="26"/>
  <c r="AH426" i="26" s="1" a="1"/>
  <c r="AH426" i="26" s="1"/>
  <c r="AI426" i="26"/>
  <c r="Z427" i="26"/>
  <c r="AA427" i="26" s="1"/>
  <c r="AB427" i="26"/>
  <c r="AC427" i="26" s="1"/>
  <c r="AD427" i="26"/>
  <c r="AH427" i="26" s="1" a="1"/>
  <c r="AH427" i="26" s="1"/>
  <c r="AJ427" i="26"/>
  <c r="Z428" i="26"/>
  <c r="AA428" i="26" s="1"/>
  <c r="AB428" i="26"/>
  <c r="AC428" i="26" s="1"/>
  <c r="AD428" i="26"/>
  <c r="AH428" i="26" s="1" a="1"/>
  <c r="AH428" i="26" s="1"/>
  <c r="AF428" i="26"/>
  <c r="AG428" i="26" s="1"/>
  <c r="Z429" i="26"/>
  <c r="AA429" i="26" s="1"/>
  <c r="AB429" i="26"/>
  <c r="AC429" i="26" s="1"/>
  <c r="AD429" i="26"/>
  <c r="AH429" i="26" s="1" a="1"/>
  <c r="AH429" i="26" s="1"/>
  <c r="AJ429" i="26"/>
  <c r="Z430" i="26"/>
  <c r="AA430" i="26" s="1"/>
  <c r="AB430" i="26"/>
  <c r="AC430" i="26" s="1"/>
  <c r="AD430" i="26"/>
  <c r="AH430" i="26" s="1" a="1"/>
  <c r="AH430" i="26" s="1"/>
  <c r="AI430" i="26"/>
  <c r="Z431" i="26"/>
  <c r="AA431" i="26" s="1"/>
  <c r="AB431" i="26"/>
  <c r="AC431" i="26" s="1"/>
  <c r="AD431" i="26"/>
  <c r="AH431" i="26" s="1" a="1"/>
  <c r="AH431" i="26" s="1"/>
  <c r="AJ431" i="26"/>
  <c r="Z432" i="26"/>
  <c r="AA432" i="26" s="1"/>
  <c r="AB432" i="26"/>
  <c r="AC432" i="26" s="1"/>
  <c r="AD432" i="26"/>
  <c r="AH432" i="26" s="1" a="1"/>
  <c r="AH432" i="26" s="1"/>
  <c r="AF432" i="26"/>
  <c r="AG432" i="26" s="1"/>
  <c r="Z433" i="26"/>
  <c r="AA433" i="26" s="1"/>
  <c r="AB433" i="26"/>
  <c r="AC433" i="26" s="1"/>
  <c r="AD433" i="26"/>
  <c r="AH433" i="26" s="1" a="1"/>
  <c r="AH433" i="26" s="1"/>
  <c r="AI433" i="26"/>
  <c r="Z434" i="26"/>
  <c r="AA434" i="26" s="1"/>
  <c r="AB434" i="26"/>
  <c r="AC434" i="26" s="1"/>
  <c r="AD434" i="26"/>
  <c r="AH434" i="26" s="1" a="1"/>
  <c r="AH434" i="26" s="1"/>
  <c r="AJ434" i="26"/>
  <c r="Z435" i="26"/>
  <c r="AA435" i="26" s="1"/>
  <c r="AB435" i="26"/>
  <c r="AC435" i="26" s="1"/>
  <c r="AD435" i="26"/>
  <c r="AH435" i="26" s="1" a="1"/>
  <c r="AH435" i="26" s="1"/>
  <c r="AI435" i="26"/>
  <c r="Z436" i="26"/>
  <c r="AA436" i="26" s="1"/>
  <c r="AB436" i="26"/>
  <c r="AC436" i="26" s="1"/>
  <c r="AD436" i="26"/>
  <c r="AH436" i="26" s="1" a="1"/>
  <c r="AH436" i="26" s="1"/>
  <c r="AJ436" i="26"/>
  <c r="Z437" i="26"/>
  <c r="AA437" i="26" s="1"/>
  <c r="AB437" i="26"/>
  <c r="AC437" i="26" s="1"/>
  <c r="AD437" i="26"/>
  <c r="AH437" i="26" s="1" a="1"/>
  <c r="AH437" i="26" s="1"/>
  <c r="AI437" i="26"/>
  <c r="Z438" i="26"/>
  <c r="AA438" i="26" s="1"/>
  <c r="AB438" i="26"/>
  <c r="AC438" i="26" s="1"/>
  <c r="AD438" i="26"/>
  <c r="AH438" i="26" s="1" a="1"/>
  <c r="AH438" i="26" s="1"/>
  <c r="AJ438" i="26"/>
  <c r="Z439" i="26"/>
  <c r="AA439" i="26" s="1"/>
  <c r="AB439" i="26"/>
  <c r="AC439" i="26" s="1"/>
  <c r="AD439" i="26"/>
  <c r="AH439" i="26" s="1" a="1"/>
  <c r="AH439" i="26" s="1"/>
  <c r="AI439" i="26"/>
  <c r="Z440" i="26"/>
  <c r="AA440" i="26" s="1"/>
  <c r="AB440" i="26"/>
  <c r="AC440" i="26" s="1"/>
  <c r="AD440" i="26"/>
  <c r="AH440" i="26" s="1" a="1"/>
  <c r="AH440" i="26" s="1"/>
  <c r="AJ440" i="26"/>
  <c r="Z441" i="26"/>
  <c r="AA441" i="26" s="1"/>
  <c r="AB441" i="26"/>
  <c r="AC441" i="26" s="1"/>
  <c r="AD441" i="26"/>
  <c r="AH441" i="26" s="1" a="1"/>
  <c r="AH441" i="26" s="1"/>
  <c r="AI441" i="26"/>
  <c r="Z442" i="26"/>
  <c r="AA442" i="26" s="1"/>
  <c r="AB442" i="26"/>
  <c r="AC442" i="26" s="1"/>
  <c r="AD442" i="26"/>
  <c r="AH442" i="26" s="1" a="1"/>
  <c r="AH442" i="26" s="1"/>
  <c r="AJ442" i="26"/>
  <c r="Z443" i="26"/>
  <c r="AA443" i="26" s="1"/>
  <c r="AB443" i="26"/>
  <c r="AC443" i="26" s="1"/>
  <c r="AD443" i="26"/>
  <c r="AH443" i="26" s="1" a="1"/>
  <c r="AH443" i="26" s="1"/>
  <c r="AI443" i="26"/>
  <c r="Z444" i="26"/>
  <c r="AA444" i="26" s="1"/>
  <c r="AB444" i="26"/>
  <c r="AC444" i="26" s="1"/>
  <c r="AD444" i="26"/>
  <c r="AH444" i="26" s="1" a="1"/>
  <c r="AH444" i="26" s="1"/>
  <c r="AJ444" i="26"/>
  <c r="Z445" i="26"/>
  <c r="AA445" i="26" s="1"/>
  <c r="AB445" i="26"/>
  <c r="AC445" i="26" s="1"/>
  <c r="AD445" i="26"/>
  <c r="AH445" i="26" s="1" a="1"/>
  <c r="AH445" i="26" s="1"/>
  <c r="AI445" i="26"/>
  <c r="Z446" i="26"/>
  <c r="AA446" i="26" s="1"/>
  <c r="AB446" i="26"/>
  <c r="AC446" i="26" s="1"/>
  <c r="AD446" i="26"/>
  <c r="AH446" i="26" s="1" a="1"/>
  <c r="AH446" i="26" s="1"/>
  <c r="AJ446" i="26"/>
  <c r="Z447" i="26"/>
  <c r="AA447" i="26" s="1"/>
  <c r="AB447" i="26"/>
  <c r="AC447" i="26" s="1"/>
  <c r="AD447" i="26"/>
  <c r="AH447" i="26" s="1" a="1"/>
  <c r="AH447" i="26" s="1"/>
  <c r="AI447" i="26"/>
  <c r="Z448" i="26"/>
  <c r="AA448" i="26" s="1"/>
  <c r="AB448" i="26"/>
  <c r="AC448" i="26" s="1"/>
  <c r="AD448" i="26"/>
  <c r="AH448" i="26" s="1" a="1"/>
  <c r="AH448" i="26" s="1"/>
  <c r="AJ448" i="26"/>
  <c r="Z449" i="26"/>
  <c r="AA449" i="26" s="1"/>
  <c r="AB449" i="26"/>
  <c r="AC449" i="26" s="1"/>
  <c r="AD449" i="26"/>
  <c r="AH449" i="26" s="1" a="1"/>
  <c r="AH449" i="26" s="1"/>
  <c r="AI449" i="26"/>
  <c r="Z450" i="26"/>
  <c r="AA450" i="26" s="1"/>
  <c r="AB450" i="26"/>
  <c r="AC450" i="26" s="1"/>
  <c r="AD450" i="26"/>
  <c r="AH450" i="26" s="1" a="1"/>
  <c r="AH450" i="26" s="1"/>
  <c r="AJ450" i="26"/>
  <c r="Z451" i="26"/>
  <c r="AA451" i="26" s="1"/>
  <c r="AB451" i="26"/>
  <c r="AC451" i="26" s="1"/>
  <c r="AD451" i="26"/>
  <c r="AH451" i="26" s="1" a="1"/>
  <c r="AH451" i="26" s="1"/>
  <c r="AI451" i="26"/>
  <c r="Z452" i="26"/>
  <c r="AA452" i="26" s="1"/>
  <c r="AB452" i="26"/>
  <c r="AC452" i="26" s="1"/>
  <c r="AD452" i="26"/>
  <c r="AH452" i="26" s="1" a="1"/>
  <c r="AH452" i="26" s="1"/>
  <c r="AJ452" i="26"/>
  <c r="Z453" i="26"/>
  <c r="AA453" i="26" s="1"/>
  <c r="AB453" i="26"/>
  <c r="AC453" i="26" s="1"/>
  <c r="AD453" i="26"/>
  <c r="AH453" i="26" s="1" a="1"/>
  <c r="AH453" i="26" s="1"/>
  <c r="AI453" i="26"/>
  <c r="Z454" i="26"/>
  <c r="AA454" i="26" s="1"/>
  <c r="AB454" i="26"/>
  <c r="AC454" i="26" s="1"/>
  <c r="AD454" i="26"/>
  <c r="AH454" i="26" s="1" a="1"/>
  <c r="AH454" i="26" s="1"/>
  <c r="AJ454" i="26"/>
  <c r="Z455" i="26"/>
  <c r="AA455" i="26" s="1"/>
  <c r="AB455" i="26"/>
  <c r="AC455" i="26" s="1"/>
  <c r="AD455" i="26"/>
  <c r="AH455" i="26" s="1" a="1"/>
  <c r="AH455" i="26" s="1"/>
  <c r="AI455" i="26"/>
  <c r="Z456" i="26"/>
  <c r="AA456" i="26" s="1"/>
  <c r="AB456" i="26"/>
  <c r="AC456" i="26" s="1"/>
  <c r="AD456" i="26"/>
  <c r="AH456" i="26" s="1" a="1"/>
  <c r="AH456" i="26" s="1"/>
  <c r="AJ456" i="26"/>
  <c r="Z457" i="26"/>
  <c r="AA457" i="26" s="1"/>
  <c r="AB457" i="26"/>
  <c r="AC457" i="26" s="1"/>
  <c r="AD457" i="26"/>
  <c r="AH457" i="26" s="1" a="1"/>
  <c r="AH457" i="26" s="1"/>
  <c r="AI457" i="26"/>
  <c r="Z458" i="26"/>
  <c r="AA458" i="26" s="1"/>
  <c r="AB458" i="26"/>
  <c r="AC458" i="26" s="1"/>
  <c r="AD458" i="26"/>
  <c r="AH458" i="26" s="1" a="1"/>
  <c r="AH458" i="26" s="1"/>
  <c r="AJ458" i="26"/>
  <c r="Z459" i="26"/>
  <c r="AA459" i="26" s="1"/>
  <c r="AB459" i="26"/>
  <c r="AC459" i="26" s="1"/>
  <c r="AD459" i="26"/>
  <c r="AH459" i="26" s="1" a="1"/>
  <c r="AH459" i="26" s="1"/>
  <c r="AI459" i="26"/>
  <c r="Z460" i="26"/>
  <c r="AA460" i="26" s="1"/>
  <c r="AB460" i="26"/>
  <c r="AC460" i="26" s="1"/>
  <c r="AD460" i="26"/>
  <c r="AH460" i="26" s="1" a="1"/>
  <c r="AH460" i="26" s="1"/>
  <c r="AJ460" i="26"/>
  <c r="Z461" i="26"/>
  <c r="AA461" i="26" s="1"/>
  <c r="AB461" i="26"/>
  <c r="AC461" i="26" s="1"/>
  <c r="AD461" i="26"/>
  <c r="AH461" i="26" s="1" a="1"/>
  <c r="AH461" i="26" s="1"/>
  <c r="AI461" i="26"/>
  <c r="Z462" i="26"/>
  <c r="AA462" i="26" s="1"/>
  <c r="AB462" i="26"/>
  <c r="AC462" i="26" s="1"/>
  <c r="AD462" i="26"/>
  <c r="AH462" i="26" s="1" a="1"/>
  <c r="AH462" i="26" s="1"/>
  <c r="AJ462" i="26"/>
  <c r="Z463" i="26"/>
  <c r="AA463" i="26" s="1"/>
  <c r="AB463" i="26"/>
  <c r="AC463" i="26" s="1"/>
  <c r="AD463" i="26"/>
  <c r="AH463" i="26" s="1" a="1"/>
  <c r="AH463" i="26" s="1"/>
  <c r="AI463" i="26"/>
  <c r="Z464" i="26"/>
  <c r="AA464" i="26" s="1"/>
  <c r="AB464" i="26"/>
  <c r="AC464" i="26" s="1"/>
  <c r="AD464" i="26"/>
  <c r="AH464" i="26" s="1" a="1"/>
  <c r="AH464" i="26" s="1"/>
  <c r="AJ464" i="26"/>
  <c r="Z465" i="26"/>
  <c r="AA465" i="26" s="1"/>
  <c r="AB465" i="26"/>
  <c r="AC465" i="26" s="1"/>
  <c r="AD465" i="26"/>
  <c r="AH465" i="26" s="1" a="1"/>
  <c r="AH465" i="26" s="1"/>
  <c r="AJ465" i="26"/>
  <c r="Z466" i="26"/>
  <c r="AA466" i="26" s="1"/>
  <c r="AB466" i="26"/>
  <c r="AC466" i="26" s="1"/>
  <c r="AD466" i="26"/>
  <c r="AH466" i="26" s="1" a="1"/>
  <c r="AH466" i="26" s="1"/>
  <c r="AJ466" i="26"/>
  <c r="Z467" i="26"/>
  <c r="AA467" i="26" s="1"/>
  <c r="AB467" i="26"/>
  <c r="AC467" i="26" s="1"/>
  <c r="AD467" i="26"/>
  <c r="AH467" i="26" s="1" a="1"/>
  <c r="AH467" i="26" s="1"/>
  <c r="AJ467" i="26"/>
  <c r="Z468" i="26"/>
  <c r="AA468" i="26" s="1"/>
  <c r="AB468" i="26"/>
  <c r="AC468" i="26" s="1"/>
  <c r="AD468" i="26"/>
  <c r="AH468" i="26" s="1" a="1"/>
  <c r="AH468" i="26" s="1"/>
  <c r="AJ468" i="26"/>
  <c r="Z469" i="26"/>
  <c r="AA469" i="26" s="1"/>
  <c r="AB469" i="26"/>
  <c r="AC469" i="26" s="1"/>
  <c r="AD469" i="26"/>
  <c r="AH469" i="26" s="1" a="1"/>
  <c r="AH469" i="26" s="1"/>
  <c r="AJ469" i="26"/>
  <c r="Z470" i="26"/>
  <c r="AA470" i="26" s="1"/>
  <c r="AB470" i="26"/>
  <c r="AC470" i="26" s="1"/>
  <c r="AD470" i="26"/>
  <c r="AH470" i="26" s="1" a="1"/>
  <c r="AH470" i="26" s="1"/>
  <c r="AJ470" i="26"/>
  <c r="Z471" i="26"/>
  <c r="AA471" i="26" s="1"/>
  <c r="AB471" i="26"/>
  <c r="AC471" i="26" s="1"/>
  <c r="AD471" i="26"/>
  <c r="AH471" i="26" s="1" a="1"/>
  <c r="AH471" i="26" s="1"/>
  <c r="AJ471" i="26"/>
  <c r="Z472" i="26"/>
  <c r="AA472" i="26" s="1"/>
  <c r="AB472" i="26"/>
  <c r="AC472" i="26" s="1"/>
  <c r="AD472" i="26"/>
  <c r="AH472" i="26" s="1" a="1"/>
  <c r="AH472" i="26" s="1"/>
  <c r="AJ472" i="26"/>
  <c r="Z473" i="26"/>
  <c r="AA473" i="26" s="1"/>
  <c r="AB473" i="26"/>
  <c r="AC473" i="26" s="1"/>
  <c r="AD473" i="26"/>
  <c r="AH473" i="26" s="1" a="1"/>
  <c r="AH473" i="26" s="1"/>
  <c r="AJ473" i="26"/>
  <c r="Z474" i="26"/>
  <c r="AA474" i="26" s="1"/>
  <c r="AB474" i="26"/>
  <c r="AC474" i="26" s="1"/>
  <c r="AD474" i="26"/>
  <c r="AH474" i="26" s="1" a="1"/>
  <c r="AH474" i="26" s="1"/>
  <c r="AJ474" i="26"/>
  <c r="Z475" i="26"/>
  <c r="AA475" i="26" s="1"/>
  <c r="AB475" i="26"/>
  <c r="AC475" i="26" s="1"/>
  <c r="AD475" i="26"/>
  <c r="AH475" i="26" s="1" a="1"/>
  <c r="AH475" i="26" s="1"/>
  <c r="AJ475" i="26"/>
  <c r="Z476" i="26"/>
  <c r="AA476" i="26" s="1"/>
  <c r="AB476" i="26"/>
  <c r="AC476" i="26" s="1"/>
  <c r="AD476" i="26"/>
  <c r="AH476" i="26" s="1" a="1"/>
  <c r="AH476" i="26" s="1"/>
  <c r="AJ476" i="26"/>
  <c r="Z477" i="26"/>
  <c r="AA477" i="26" s="1"/>
  <c r="AB477" i="26"/>
  <c r="AC477" i="26" s="1"/>
  <c r="AD477" i="26"/>
  <c r="AH477" i="26" s="1" a="1"/>
  <c r="AH477" i="26" s="1"/>
  <c r="AJ477" i="26"/>
  <c r="Z478" i="26"/>
  <c r="AA478" i="26" s="1"/>
  <c r="AB478" i="26"/>
  <c r="AC478" i="26" s="1"/>
  <c r="AD478" i="26"/>
  <c r="AH478" i="26" s="1" a="1"/>
  <c r="AH478" i="26" s="1"/>
  <c r="AJ478" i="26"/>
  <c r="Z479" i="26"/>
  <c r="AA479" i="26" s="1"/>
  <c r="AB479" i="26"/>
  <c r="AC479" i="26" s="1"/>
  <c r="AD479" i="26"/>
  <c r="AH479" i="26" s="1" a="1"/>
  <c r="AH479" i="26" s="1"/>
  <c r="AJ479" i="26"/>
  <c r="Z480" i="26"/>
  <c r="AA480" i="26" s="1"/>
  <c r="AB480" i="26"/>
  <c r="AC480" i="26" s="1"/>
  <c r="AD480" i="26"/>
  <c r="AH480" i="26" s="1" a="1"/>
  <c r="AH480" i="26" s="1"/>
  <c r="AJ480" i="26"/>
  <c r="Z481" i="26"/>
  <c r="AA481" i="26" s="1"/>
  <c r="AB481" i="26"/>
  <c r="AC481" i="26" s="1"/>
  <c r="AD481" i="26"/>
  <c r="AH481" i="26" s="1" a="1"/>
  <c r="AH481" i="26" s="1"/>
  <c r="AJ481" i="26"/>
  <c r="Z482" i="26"/>
  <c r="AA482" i="26" s="1"/>
  <c r="AB482" i="26"/>
  <c r="AC482" i="26" s="1"/>
  <c r="AD482" i="26"/>
  <c r="AH482" i="26" s="1" a="1"/>
  <c r="AH482" i="26" s="1"/>
  <c r="AJ482" i="26"/>
  <c r="Z483" i="26"/>
  <c r="AA483" i="26" s="1"/>
  <c r="AB483" i="26"/>
  <c r="AC483" i="26" s="1"/>
  <c r="AD483" i="26"/>
  <c r="AH483" i="26" s="1" a="1"/>
  <c r="AH483" i="26" s="1"/>
  <c r="AJ483" i="26"/>
  <c r="Z484" i="26"/>
  <c r="AA484" i="26" s="1"/>
  <c r="AB484" i="26"/>
  <c r="AC484" i="26" s="1"/>
  <c r="AD484" i="26"/>
  <c r="AH484" i="26" s="1" a="1"/>
  <c r="AH484" i="26" s="1"/>
  <c r="AJ484" i="26"/>
  <c r="Z485" i="26"/>
  <c r="AA485" i="26" s="1"/>
  <c r="AB485" i="26"/>
  <c r="AC485" i="26" s="1"/>
  <c r="AD485" i="26"/>
  <c r="AH485" i="26" s="1" a="1"/>
  <c r="AH485" i="26" s="1"/>
  <c r="AJ485" i="26"/>
  <c r="Z486" i="26"/>
  <c r="AA486" i="26" s="1"/>
  <c r="AB486" i="26"/>
  <c r="AC486" i="26" s="1"/>
  <c r="AD486" i="26"/>
  <c r="AH486" i="26" s="1" a="1"/>
  <c r="AH486" i="26" s="1"/>
  <c r="AJ486" i="26"/>
  <c r="Z487" i="26"/>
  <c r="AA487" i="26" s="1"/>
  <c r="AB487" i="26"/>
  <c r="AC487" i="26" s="1"/>
  <c r="AD487" i="26"/>
  <c r="AH487" i="26" s="1" a="1"/>
  <c r="AH487" i="26" s="1"/>
  <c r="AJ487" i="26"/>
  <c r="Z488" i="26"/>
  <c r="AA488" i="26" s="1"/>
  <c r="AB488" i="26"/>
  <c r="AC488" i="26" s="1"/>
  <c r="AD488" i="26"/>
  <c r="AH488" i="26" s="1" a="1"/>
  <c r="AH488" i="26" s="1"/>
  <c r="AJ488" i="26"/>
  <c r="Z489" i="26"/>
  <c r="AA489" i="26" s="1"/>
  <c r="AB489" i="26"/>
  <c r="AC489" i="26" s="1"/>
  <c r="AD489" i="26"/>
  <c r="AH489" i="26" s="1" a="1"/>
  <c r="AH489" i="26" s="1"/>
  <c r="AJ489" i="26"/>
  <c r="Z490" i="26"/>
  <c r="AA490" i="26" s="1"/>
  <c r="AB490" i="26"/>
  <c r="AC490" i="26" s="1"/>
  <c r="AD490" i="26"/>
  <c r="AH490" i="26" s="1" a="1"/>
  <c r="AH490" i="26" s="1"/>
  <c r="AJ490" i="26"/>
  <c r="Z491" i="26"/>
  <c r="AA491" i="26" s="1"/>
  <c r="AB491" i="26"/>
  <c r="AC491" i="26" s="1"/>
  <c r="AD491" i="26"/>
  <c r="AH491" i="26" s="1" a="1"/>
  <c r="AH491" i="26" s="1"/>
  <c r="AJ491" i="26"/>
  <c r="Z492" i="26"/>
  <c r="AA492" i="26" s="1"/>
  <c r="AB492" i="26"/>
  <c r="AC492" i="26" s="1"/>
  <c r="AD492" i="26"/>
  <c r="AH492" i="26" s="1" a="1"/>
  <c r="AH492" i="26" s="1"/>
  <c r="AJ492" i="26"/>
  <c r="Z493" i="26"/>
  <c r="AA493" i="26" s="1"/>
  <c r="AB493" i="26"/>
  <c r="AC493" i="26" s="1"/>
  <c r="AD493" i="26"/>
  <c r="AH493" i="26" s="1" a="1"/>
  <c r="AH493" i="26" s="1"/>
  <c r="AJ493" i="26"/>
  <c r="Z494" i="26"/>
  <c r="AA494" i="26" s="1"/>
  <c r="AB494" i="26"/>
  <c r="AC494" i="26" s="1"/>
  <c r="AD494" i="26"/>
  <c r="AH494" i="26" s="1" a="1"/>
  <c r="AH494" i="26" s="1"/>
  <c r="AJ494" i="26"/>
  <c r="Z495" i="26"/>
  <c r="AA495" i="26" s="1"/>
  <c r="AB495" i="26"/>
  <c r="AC495" i="26" s="1"/>
  <c r="AD495" i="26"/>
  <c r="AH495" i="26" s="1" a="1"/>
  <c r="AH495" i="26" s="1"/>
  <c r="AJ495" i="26"/>
  <c r="Z496" i="26"/>
  <c r="AA496" i="26" s="1"/>
  <c r="AB496" i="26"/>
  <c r="AC496" i="26" s="1"/>
  <c r="AD496" i="26"/>
  <c r="AH496" i="26" s="1" a="1"/>
  <c r="AH496" i="26" s="1"/>
  <c r="AJ496" i="26"/>
  <c r="Z497" i="26"/>
  <c r="AA497" i="26" s="1"/>
  <c r="AB497" i="26"/>
  <c r="AC497" i="26" s="1"/>
  <c r="AD497" i="26"/>
  <c r="AH497" i="26" s="1" a="1"/>
  <c r="AH497" i="26" s="1"/>
  <c r="AJ497" i="26"/>
  <c r="Z498" i="26"/>
  <c r="AA498" i="26" s="1"/>
  <c r="AB498" i="26"/>
  <c r="AC498" i="26" s="1"/>
  <c r="AD498" i="26"/>
  <c r="AH498" i="26" s="1" a="1"/>
  <c r="AH498" i="26" s="1"/>
  <c r="AJ498" i="26"/>
  <c r="Z499" i="26"/>
  <c r="AA499" i="26" s="1"/>
  <c r="AB499" i="26"/>
  <c r="AC499" i="26" s="1"/>
  <c r="AD499" i="26"/>
  <c r="AH499" i="26" s="1" a="1"/>
  <c r="AH499" i="26" s="1"/>
  <c r="AJ499" i="26"/>
  <c r="Z500" i="26"/>
  <c r="AA500" i="26" s="1"/>
  <c r="AB500" i="26"/>
  <c r="AC500" i="26" s="1"/>
  <c r="AD500" i="26"/>
  <c r="AH500" i="26" s="1" a="1"/>
  <c r="AH500" i="26" s="1"/>
  <c r="AJ500" i="26"/>
  <c r="AD2" i="26"/>
  <c r="AH2" i="26" s="1" a="1"/>
  <c r="AH2" i="26" s="1"/>
  <c r="AB2" i="26"/>
  <c r="Z2" i="26"/>
  <c r="AA2" i="26" s="1"/>
  <c r="Z11" i="24"/>
  <c r="AA11" i="24" s="1"/>
  <c r="AB11" i="24"/>
  <c r="Z19" i="24"/>
  <c r="AA19" i="24" s="1"/>
  <c r="AB19" i="24"/>
  <c r="Z20" i="24"/>
  <c r="AA20" i="24" s="1"/>
  <c r="AB20" i="24"/>
  <c r="Z21" i="24"/>
  <c r="AA21" i="24" s="1"/>
  <c r="AB21" i="24"/>
  <c r="AH21" i="24" a="1"/>
  <c r="AH21" i="24" s="1"/>
  <c r="Z7" i="24"/>
  <c r="AA7" i="24" s="1"/>
  <c r="AB7" i="24"/>
  <c r="Z8" i="24"/>
  <c r="AA8" i="24" s="1"/>
  <c r="AB8" i="24"/>
  <c r="AE8" i="24" s="1"/>
  <c r="Z9" i="24"/>
  <c r="AA9" i="24" s="1"/>
  <c r="AB9" i="24"/>
  <c r="Z3" i="24"/>
  <c r="AA3" i="24" s="1"/>
  <c r="AB3" i="24"/>
  <c r="AA2" i="24"/>
  <c r="AB2" i="24"/>
  <c r="Z24" i="24"/>
  <c r="AA24" i="24" s="1"/>
  <c r="AB24" i="24"/>
  <c r="Z25" i="24"/>
  <c r="AA25" i="24" s="1"/>
  <c r="AB25" i="24"/>
  <c r="Z27" i="24"/>
  <c r="AA27" i="24" s="1"/>
  <c r="AB27" i="24"/>
  <c r="Z28" i="24"/>
  <c r="AA28" i="24" s="1"/>
  <c r="AB28" i="24"/>
  <c r="Z31" i="24"/>
  <c r="AA31" i="24" s="1"/>
  <c r="AB31" i="24"/>
  <c r="Z32" i="24"/>
  <c r="AA32" i="24" s="1"/>
  <c r="AB32" i="24"/>
  <c r="AE32" i="24" s="1"/>
  <c r="Z34" i="24"/>
  <c r="AA34" i="24" s="1"/>
  <c r="AB34" i="24"/>
  <c r="Z39" i="24"/>
  <c r="AA39" i="24" s="1"/>
  <c r="AB39" i="24"/>
  <c r="Z26" i="24"/>
  <c r="AA26" i="24" s="1"/>
  <c r="AB26" i="24"/>
  <c r="AC26" i="24" s="1"/>
  <c r="Z4" i="24"/>
  <c r="AA4" i="24" s="1"/>
  <c r="AB4" i="24"/>
  <c r="Z5" i="24"/>
  <c r="AA5" i="24" s="1"/>
  <c r="AB5" i="24"/>
  <c r="AH5" i="24" a="1"/>
  <c r="AH5" i="24" s="1"/>
  <c r="Z6" i="24"/>
  <c r="AA6" i="24" s="1"/>
  <c r="AB6" i="24"/>
  <c r="Z12" i="24"/>
  <c r="AA12" i="24" s="1"/>
  <c r="AB12" i="24"/>
  <c r="Z13" i="24"/>
  <c r="AA13" i="24" s="1"/>
  <c r="AB13" i="24"/>
  <c r="Z14" i="24"/>
  <c r="AA14" i="24" s="1"/>
  <c r="AB14" i="24"/>
  <c r="Z15" i="24"/>
  <c r="AA15" i="24" s="1"/>
  <c r="AB15" i="24"/>
  <c r="Z16" i="24"/>
  <c r="AA16" i="24" s="1"/>
  <c r="AB16" i="24"/>
  <c r="Z17" i="24"/>
  <c r="AA17" i="24" s="1"/>
  <c r="AB17" i="24"/>
  <c r="Z18" i="24"/>
  <c r="AA18" i="24" s="1"/>
  <c r="AB18" i="24"/>
  <c r="AH18" i="24" a="1"/>
  <c r="AH18" i="24" s="1"/>
  <c r="Z22" i="24"/>
  <c r="AA22" i="24" s="1"/>
  <c r="AB22" i="24"/>
  <c r="Z23" i="24"/>
  <c r="AA23" i="24" s="1"/>
  <c r="AB23" i="24"/>
  <c r="Z29" i="24"/>
  <c r="AA29" i="24" s="1"/>
  <c r="AB29" i="24"/>
  <c r="Z30" i="24"/>
  <c r="AA30" i="24" s="1"/>
  <c r="AB30" i="24"/>
  <c r="Z33" i="24"/>
  <c r="AA33" i="24" s="1"/>
  <c r="AB33" i="24"/>
  <c r="Z35" i="24"/>
  <c r="AA35" i="24" s="1"/>
  <c r="AB35" i="24"/>
  <c r="Z36" i="24"/>
  <c r="AA36" i="24" s="1"/>
  <c r="AB36" i="24"/>
  <c r="Z37" i="24"/>
  <c r="AA37" i="24" s="1"/>
  <c r="AB37" i="24"/>
  <c r="Z38" i="24"/>
  <c r="AA38" i="24" s="1"/>
  <c r="AB38" i="24"/>
  <c r="Z40" i="24"/>
  <c r="AA40" i="24" s="1"/>
  <c r="AB40" i="24"/>
  <c r="Z41" i="24"/>
  <c r="AA41" i="24" s="1"/>
  <c r="AB41" i="24"/>
  <c r="Z42" i="24"/>
  <c r="AA42" i="24" s="1"/>
  <c r="AB42" i="24"/>
  <c r="Z43" i="24"/>
  <c r="AA43" i="24" s="1"/>
  <c r="AB43" i="24"/>
  <c r="Z44" i="24"/>
  <c r="AA44" i="24" s="1"/>
  <c r="AB44" i="24"/>
  <c r="Z45" i="24"/>
  <c r="AA45" i="24" s="1"/>
  <c r="AB45" i="24"/>
  <c r="Z46" i="24"/>
  <c r="AA46" i="24" s="1"/>
  <c r="AB46" i="24"/>
  <c r="Z47" i="24"/>
  <c r="AA47" i="24" s="1"/>
  <c r="AB47" i="24"/>
  <c r="Z48" i="24"/>
  <c r="AA48" i="24" s="1"/>
  <c r="AB48" i="24"/>
  <c r="Z49" i="24"/>
  <c r="AA49" i="24" s="1"/>
  <c r="AB49" i="24"/>
  <c r="Z50" i="24"/>
  <c r="AA50" i="24" s="1"/>
  <c r="AB50" i="24"/>
  <c r="Z51" i="24"/>
  <c r="AA51" i="24" s="1"/>
  <c r="AB51" i="24"/>
  <c r="Z52" i="24"/>
  <c r="AA52" i="24" s="1"/>
  <c r="AB52" i="24"/>
  <c r="Z53" i="24"/>
  <c r="AA53" i="24" s="1"/>
  <c r="AB53" i="24"/>
  <c r="Z54" i="24"/>
  <c r="AA54" i="24" s="1"/>
  <c r="AB54" i="24"/>
  <c r="AH54" i="24" a="1"/>
  <c r="AH54" i="24" s="1"/>
  <c r="Z55" i="24"/>
  <c r="AA55" i="24" s="1"/>
  <c r="AB55" i="24"/>
  <c r="Z56" i="24"/>
  <c r="AA56" i="24" s="1"/>
  <c r="AB56" i="24"/>
  <c r="Z57" i="24"/>
  <c r="AA57" i="24" s="1"/>
  <c r="AB57" i="24"/>
  <c r="Z58" i="24"/>
  <c r="AA58" i="24" s="1"/>
  <c r="AB58" i="24"/>
  <c r="Z59" i="24"/>
  <c r="AA59" i="24" s="1"/>
  <c r="AB59" i="24"/>
  <c r="Z60" i="24"/>
  <c r="AA60" i="24" s="1"/>
  <c r="AB60" i="24"/>
  <c r="Z61" i="24"/>
  <c r="AA61" i="24" s="1"/>
  <c r="AB61" i="24"/>
  <c r="Z62" i="24"/>
  <c r="AA62" i="24" s="1"/>
  <c r="AB62" i="24"/>
  <c r="AH62" i="24" a="1"/>
  <c r="AH62" i="24" s="1"/>
  <c r="Z63" i="24"/>
  <c r="AA63" i="24" s="1"/>
  <c r="AB63" i="24"/>
  <c r="AH63" i="24" a="1"/>
  <c r="AH63" i="24" s="1"/>
  <c r="Z64" i="24"/>
  <c r="AA64" i="24" s="1"/>
  <c r="AB64" i="24"/>
  <c r="Z65" i="24"/>
  <c r="AA65" i="24" s="1"/>
  <c r="AB65" i="24"/>
  <c r="AH65" i="24" a="1"/>
  <c r="AH65" i="24" s="1"/>
  <c r="Z66" i="24"/>
  <c r="AA66" i="24" s="1"/>
  <c r="AB66" i="24"/>
  <c r="Z67" i="24"/>
  <c r="AA67" i="24" s="1"/>
  <c r="AB67" i="24"/>
  <c r="Z68" i="24"/>
  <c r="AA68" i="24" s="1"/>
  <c r="AB68" i="24"/>
  <c r="Z69" i="24"/>
  <c r="AA69" i="24" s="1"/>
  <c r="AB69" i="24"/>
  <c r="Z70" i="24"/>
  <c r="AA70" i="24" s="1"/>
  <c r="AB70" i="24"/>
  <c r="Z71" i="24"/>
  <c r="AA71" i="24" s="1"/>
  <c r="AB71" i="24"/>
  <c r="Z72" i="24"/>
  <c r="AA72" i="24" s="1"/>
  <c r="AB72" i="24"/>
  <c r="Z73" i="24"/>
  <c r="AA73" i="24" s="1"/>
  <c r="AB73" i="24"/>
  <c r="Z74" i="24"/>
  <c r="AA74" i="24" s="1"/>
  <c r="AB74" i="24"/>
  <c r="Z75" i="24"/>
  <c r="AA75" i="24" s="1"/>
  <c r="AB75" i="24"/>
  <c r="Z76" i="24"/>
  <c r="AA76" i="24" s="1"/>
  <c r="AB76" i="24"/>
  <c r="Z77" i="24"/>
  <c r="AA77" i="24" s="1"/>
  <c r="AB77" i="24"/>
  <c r="Z78" i="24"/>
  <c r="AA78" i="24" s="1"/>
  <c r="AB78" i="24"/>
  <c r="AH78" i="24" a="1"/>
  <c r="AH78" i="24" s="1"/>
  <c r="Z79" i="24"/>
  <c r="AA79" i="24" s="1"/>
  <c r="AB79" i="24"/>
  <c r="Z80" i="24"/>
  <c r="AA80" i="24" s="1"/>
  <c r="AB80" i="24"/>
  <c r="Z81" i="24"/>
  <c r="AA81" i="24" s="1"/>
  <c r="AB81" i="24"/>
  <c r="Z82" i="24"/>
  <c r="AA82" i="24" s="1"/>
  <c r="AB82" i="24"/>
  <c r="Z83" i="24"/>
  <c r="AA83" i="24" s="1"/>
  <c r="AB83" i="24"/>
  <c r="Z84" i="24"/>
  <c r="AA84" i="24" s="1"/>
  <c r="AB84" i="24"/>
  <c r="Z85" i="24"/>
  <c r="AA85" i="24" s="1"/>
  <c r="AB85" i="24"/>
  <c r="Z86" i="24"/>
  <c r="AA86" i="24" s="1"/>
  <c r="AB86" i="24"/>
  <c r="Z87" i="24"/>
  <c r="AA87" i="24" s="1"/>
  <c r="AB87" i="24"/>
  <c r="AC87" i="24" s="1"/>
  <c r="Z88" i="24"/>
  <c r="AA88" i="24" s="1"/>
  <c r="AB88" i="24"/>
  <c r="Z89" i="24"/>
  <c r="AA89" i="24" s="1"/>
  <c r="AB89" i="24"/>
  <c r="Z90" i="24"/>
  <c r="AA90" i="24" s="1"/>
  <c r="AB90" i="24"/>
  <c r="Z91" i="24"/>
  <c r="AA91" i="24" s="1"/>
  <c r="AB91" i="24"/>
  <c r="Z92" i="24"/>
  <c r="AA92" i="24" s="1"/>
  <c r="AB92" i="24"/>
  <c r="Z93" i="24"/>
  <c r="AA93" i="24" s="1"/>
  <c r="AB93" i="24"/>
  <c r="Z94" i="24"/>
  <c r="AA94" i="24" s="1"/>
  <c r="AB94" i="24"/>
  <c r="Z95" i="24"/>
  <c r="AA95" i="24" s="1"/>
  <c r="AB95" i="24"/>
  <c r="Z96" i="24"/>
  <c r="AA96" i="24" s="1"/>
  <c r="AB96" i="24"/>
  <c r="Z97" i="24"/>
  <c r="AA97" i="24" s="1"/>
  <c r="AB97" i="24"/>
  <c r="Z98" i="24"/>
  <c r="AA98" i="24" s="1"/>
  <c r="AB98" i="24"/>
  <c r="Z99" i="24"/>
  <c r="AA99" i="24" s="1"/>
  <c r="AB99" i="24"/>
  <c r="Z100" i="24"/>
  <c r="AA100" i="24" s="1"/>
  <c r="AB100" i="24"/>
  <c r="Z101" i="24"/>
  <c r="AA101" i="24" s="1"/>
  <c r="AB101" i="24"/>
  <c r="Z102" i="24"/>
  <c r="AA102" i="24" s="1"/>
  <c r="AB102" i="24"/>
  <c r="AH102" i="24" a="1"/>
  <c r="AH102" i="24" s="1"/>
  <c r="Z103" i="24"/>
  <c r="AA103" i="24" s="1"/>
  <c r="AB103" i="24"/>
  <c r="Z104" i="24"/>
  <c r="AA104" i="24" s="1"/>
  <c r="AB104" i="24"/>
  <c r="Z105" i="24"/>
  <c r="AA105" i="24" s="1"/>
  <c r="AB105" i="24"/>
  <c r="Z106" i="24"/>
  <c r="AA106" i="24" s="1"/>
  <c r="AB106" i="24"/>
  <c r="Z107" i="24"/>
  <c r="AA107" i="24" s="1"/>
  <c r="AB107" i="24"/>
  <c r="Z108" i="24"/>
  <c r="AA108" i="24" s="1"/>
  <c r="AB108" i="24"/>
  <c r="Z109" i="24"/>
  <c r="AA109" i="24" s="1"/>
  <c r="AB109" i="24"/>
  <c r="Z110" i="24"/>
  <c r="AA110" i="24" s="1"/>
  <c r="AB110" i="24"/>
  <c r="AH110" i="24" a="1"/>
  <c r="AH110" i="24" s="1"/>
  <c r="Z111" i="24"/>
  <c r="AA111" i="24" s="1"/>
  <c r="AB111" i="24"/>
  <c r="Z112" i="24"/>
  <c r="AA112" i="24" s="1"/>
  <c r="AB112" i="24"/>
  <c r="Z113" i="24"/>
  <c r="AA113" i="24" s="1"/>
  <c r="AB113" i="24"/>
  <c r="Z114" i="24"/>
  <c r="AA114" i="24" s="1"/>
  <c r="AB114" i="24"/>
  <c r="Z115" i="24"/>
  <c r="AA115" i="24" s="1"/>
  <c r="AB115" i="24"/>
  <c r="Z116" i="24"/>
  <c r="AA116" i="24" s="1"/>
  <c r="AB116" i="24"/>
  <c r="Z117" i="24"/>
  <c r="AA117" i="24" s="1"/>
  <c r="AB117" i="24"/>
  <c r="Z118" i="24"/>
  <c r="AA118" i="24" s="1"/>
  <c r="AB118" i="24"/>
  <c r="Z120" i="24"/>
  <c r="AA120" i="24" s="1"/>
  <c r="AB120" i="24"/>
  <c r="Z121" i="24"/>
  <c r="AA121" i="24" s="1"/>
  <c r="AB121" i="24"/>
  <c r="Z119" i="24"/>
  <c r="AA119" i="24" s="1"/>
  <c r="AB119" i="24"/>
  <c r="AC119" i="24" s="1"/>
  <c r="Z122" i="24"/>
  <c r="AA122" i="24" s="1"/>
  <c r="AB122" i="24"/>
  <c r="Z123" i="24"/>
  <c r="AA123" i="24" s="1"/>
  <c r="AB123" i="24"/>
  <c r="Z124" i="24"/>
  <c r="AA124" i="24" s="1"/>
  <c r="AB124" i="24"/>
  <c r="Z125" i="24"/>
  <c r="AA125" i="24" s="1"/>
  <c r="AB125" i="24"/>
  <c r="Z126" i="24"/>
  <c r="AA126" i="24" s="1"/>
  <c r="AB126" i="24"/>
  <c r="Z127" i="24"/>
  <c r="AA127" i="24" s="1"/>
  <c r="AB127" i="24"/>
  <c r="Z128" i="24"/>
  <c r="AA128" i="24" s="1"/>
  <c r="AB128" i="24"/>
  <c r="Z129" i="24"/>
  <c r="AA129" i="24" s="1"/>
  <c r="AB129" i="24"/>
  <c r="Z130" i="24"/>
  <c r="AA130" i="24" s="1"/>
  <c r="AB130" i="24"/>
  <c r="Z131" i="24"/>
  <c r="AA131" i="24" s="1"/>
  <c r="AB131" i="24"/>
  <c r="Z132" i="24"/>
  <c r="AA132" i="24" s="1"/>
  <c r="AB132" i="24"/>
  <c r="Z133" i="24"/>
  <c r="AA133" i="24" s="1"/>
  <c r="AB133" i="24"/>
  <c r="Z134" i="24"/>
  <c r="AA134" i="24" s="1"/>
  <c r="AB134" i="24"/>
  <c r="AH134" i="24" a="1"/>
  <c r="AH134" i="24" s="1"/>
  <c r="Z135" i="24"/>
  <c r="AA135" i="24" s="1"/>
  <c r="AB135" i="24"/>
  <c r="Z136" i="24"/>
  <c r="AA136" i="24" s="1"/>
  <c r="AB136" i="24"/>
  <c r="Z137" i="24"/>
  <c r="AA137" i="24" s="1"/>
  <c r="AB137" i="24"/>
  <c r="Z138" i="24"/>
  <c r="AA138" i="24" s="1"/>
  <c r="AB138" i="24"/>
  <c r="Z139" i="24"/>
  <c r="AA139" i="24" s="1"/>
  <c r="AB139" i="24"/>
  <c r="Z140" i="24"/>
  <c r="AA140" i="24" s="1"/>
  <c r="AB140" i="24"/>
  <c r="Z141" i="24"/>
  <c r="AA141" i="24" s="1"/>
  <c r="AB141" i="24"/>
  <c r="Z142" i="24"/>
  <c r="AA142" i="24" s="1"/>
  <c r="AB142" i="24"/>
  <c r="AH142" i="24" a="1"/>
  <c r="AH142" i="24" s="1"/>
  <c r="Z143" i="24"/>
  <c r="AA143" i="24" s="1"/>
  <c r="AB143" i="24"/>
  <c r="Z144" i="24"/>
  <c r="AA144" i="24" s="1"/>
  <c r="AB144" i="24"/>
  <c r="Z145" i="24"/>
  <c r="AA145" i="24" s="1"/>
  <c r="AB145" i="24"/>
  <c r="Z146" i="24"/>
  <c r="AA146" i="24" s="1"/>
  <c r="AB146" i="24"/>
  <c r="Z147" i="24"/>
  <c r="AA147" i="24" s="1"/>
  <c r="AB147" i="24"/>
  <c r="Z148" i="24"/>
  <c r="AA148" i="24" s="1"/>
  <c r="AB148" i="24"/>
  <c r="Z149" i="24"/>
  <c r="AA149" i="24" s="1"/>
  <c r="AB149" i="24"/>
  <c r="Z150" i="24"/>
  <c r="AA150" i="24" s="1"/>
  <c r="AB150" i="24"/>
  <c r="AH150" i="24" a="1"/>
  <c r="AH150" i="24" s="1"/>
  <c r="Z151" i="24"/>
  <c r="AA151" i="24" s="1"/>
  <c r="AB151" i="24"/>
  <c r="Z152" i="24"/>
  <c r="AA152" i="24" s="1"/>
  <c r="AB152" i="24"/>
  <c r="Z153" i="24"/>
  <c r="AA153" i="24" s="1"/>
  <c r="AB153" i="24"/>
  <c r="Z154" i="24"/>
  <c r="AA154" i="24" s="1"/>
  <c r="AB154" i="24"/>
  <c r="Z155" i="24"/>
  <c r="AA155" i="24" s="1"/>
  <c r="AB155" i="24"/>
  <c r="Z156" i="24"/>
  <c r="AA156" i="24" s="1"/>
  <c r="AB156" i="24"/>
  <c r="Z157" i="24"/>
  <c r="AA157" i="24" s="1"/>
  <c r="AB157" i="24"/>
  <c r="Z158" i="24"/>
  <c r="AA158" i="24" s="1"/>
  <c r="AB158" i="24"/>
  <c r="AH158" i="24" a="1"/>
  <c r="AH158" i="24" s="1"/>
  <c r="Z159" i="24"/>
  <c r="AA159" i="24" s="1"/>
  <c r="AB159" i="24"/>
  <c r="Z160" i="24"/>
  <c r="AA160" i="24" s="1"/>
  <c r="AB160" i="24"/>
  <c r="Z161" i="24"/>
  <c r="AA161" i="24" s="1"/>
  <c r="AB161" i="24"/>
  <c r="Z162" i="24"/>
  <c r="AA162" i="24" s="1"/>
  <c r="AB162" i="24"/>
  <c r="Z163" i="24"/>
  <c r="AA163" i="24" s="1"/>
  <c r="AB163" i="24"/>
  <c r="Z164" i="24"/>
  <c r="AA164" i="24" s="1"/>
  <c r="AB164" i="24"/>
  <c r="Z165" i="24"/>
  <c r="AA165" i="24" s="1"/>
  <c r="AB165" i="24"/>
  <c r="Z166" i="24"/>
  <c r="AA166" i="24" s="1"/>
  <c r="AB166" i="24"/>
  <c r="Z167" i="24"/>
  <c r="AA167" i="24" s="1"/>
  <c r="AB167" i="24"/>
  <c r="Z168" i="24"/>
  <c r="AA168" i="24" s="1"/>
  <c r="AB168" i="24"/>
  <c r="Z169" i="24"/>
  <c r="AA169" i="24" s="1"/>
  <c r="AB169" i="24"/>
  <c r="Z170" i="24"/>
  <c r="AA170" i="24" s="1"/>
  <c r="AB170" i="24"/>
  <c r="AE170" i="24" s="1"/>
  <c r="Z171" i="24"/>
  <c r="AA171" i="24" s="1"/>
  <c r="AB171" i="24"/>
  <c r="Z172" i="24"/>
  <c r="AA172" i="24" s="1"/>
  <c r="AB172" i="24"/>
  <c r="Z173" i="24"/>
  <c r="AA173" i="24" s="1"/>
  <c r="AB173" i="24"/>
  <c r="Z174" i="24"/>
  <c r="AA174" i="24" s="1"/>
  <c r="AB174" i="24"/>
  <c r="AH174" i="24" a="1"/>
  <c r="AH174" i="24" s="1"/>
  <c r="Z175" i="24"/>
  <c r="AA175" i="24" s="1"/>
  <c r="AB175" i="24"/>
  <c r="Z176" i="24"/>
  <c r="AA176" i="24" s="1"/>
  <c r="AB176" i="24"/>
  <c r="Z177" i="24"/>
  <c r="AA177" i="24" s="1"/>
  <c r="AB177" i="24"/>
  <c r="Z178" i="24"/>
  <c r="AA178" i="24" s="1"/>
  <c r="AB178" i="24"/>
  <c r="Z179" i="24"/>
  <c r="AA179" i="24" s="1"/>
  <c r="AB179" i="24"/>
  <c r="Z180" i="24"/>
  <c r="AA180" i="24" s="1"/>
  <c r="AB180" i="24"/>
  <c r="Z181" i="24"/>
  <c r="AA181" i="24" s="1"/>
  <c r="AB181" i="24"/>
  <c r="AH181" i="24" a="1"/>
  <c r="AH181" i="24" s="1"/>
  <c r="Z182" i="24"/>
  <c r="AA182" i="24" s="1"/>
  <c r="AB182" i="24"/>
  <c r="AH182" i="24" a="1"/>
  <c r="AH182" i="24" s="1"/>
  <c r="Z183" i="24"/>
  <c r="AA183" i="24" s="1"/>
  <c r="AB183" i="24"/>
  <c r="Z184" i="24"/>
  <c r="AA184" i="24" s="1"/>
  <c r="AB184" i="24"/>
  <c r="Z185" i="24"/>
  <c r="AA185" i="24" s="1"/>
  <c r="AB185" i="24"/>
  <c r="Z186" i="24"/>
  <c r="AA186" i="24" s="1"/>
  <c r="AB186" i="24"/>
  <c r="Z187" i="24"/>
  <c r="AA187" i="24" s="1"/>
  <c r="AB187" i="24"/>
  <c r="Z189" i="24"/>
  <c r="AA189" i="24" s="1"/>
  <c r="AB189" i="24"/>
  <c r="Z190" i="24"/>
  <c r="AA190" i="24" s="1"/>
  <c r="AB190" i="24"/>
  <c r="AH190" i="24" a="1"/>
  <c r="AH190" i="24" s="1"/>
  <c r="Z191" i="24"/>
  <c r="AA191" i="24" s="1"/>
  <c r="AB191" i="24"/>
  <c r="Z192" i="24"/>
  <c r="AA192" i="24" s="1"/>
  <c r="AB192" i="24"/>
  <c r="Z193" i="24"/>
  <c r="AA193" i="24" s="1"/>
  <c r="AB193" i="24"/>
  <c r="AH193" i="24" a="1"/>
  <c r="AH193" i="24" s="1"/>
  <c r="Z194" i="24"/>
  <c r="AA194" i="24" s="1"/>
  <c r="AB194" i="24"/>
  <c r="Z195" i="24"/>
  <c r="AA195" i="24" s="1"/>
  <c r="AB195" i="24"/>
  <c r="Z196" i="24"/>
  <c r="AA196" i="24" s="1"/>
  <c r="AB196" i="24"/>
  <c r="Z197" i="24"/>
  <c r="AA197" i="24" s="1"/>
  <c r="AB197" i="24"/>
  <c r="Z198" i="24"/>
  <c r="AA198" i="24" s="1"/>
  <c r="AB198" i="24"/>
  <c r="AH198" i="24" a="1"/>
  <c r="AH198" i="24" s="1"/>
  <c r="Z199" i="24"/>
  <c r="AA199" i="24" s="1"/>
  <c r="AB199" i="24"/>
  <c r="Z200" i="24"/>
  <c r="AA200" i="24" s="1"/>
  <c r="AB200" i="24"/>
  <c r="Z201" i="24"/>
  <c r="AA201" i="24" s="1"/>
  <c r="AB201" i="24"/>
  <c r="Z202" i="24"/>
  <c r="AA202" i="24" s="1"/>
  <c r="AB202" i="24"/>
  <c r="Z203" i="24"/>
  <c r="AA203" i="24" s="1"/>
  <c r="AB203" i="24"/>
  <c r="Z204" i="24"/>
  <c r="AA204" i="24" s="1"/>
  <c r="AB204" i="24"/>
  <c r="Z205" i="24"/>
  <c r="AA205" i="24" s="1"/>
  <c r="AB205" i="24"/>
  <c r="Z206" i="24"/>
  <c r="AA206" i="24" s="1"/>
  <c r="AB206" i="24"/>
  <c r="AH206" i="24" a="1"/>
  <c r="AH206" i="24" s="1"/>
  <c r="Z207" i="24"/>
  <c r="AA207" i="24" s="1"/>
  <c r="AB207" i="24"/>
  <c r="Z208" i="24"/>
  <c r="AA208" i="24" s="1"/>
  <c r="AB208" i="24"/>
  <c r="Z209" i="24"/>
  <c r="AA209" i="24" s="1"/>
  <c r="AB209" i="24"/>
  <c r="AH209" i="24" a="1"/>
  <c r="AH209" i="24" s="1"/>
  <c r="Z210" i="24"/>
  <c r="AA210" i="24" s="1"/>
  <c r="AB210" i="24"/>
  <c r="Z211" i="24"/>
  <c r="AA211" i="24" s="1"/>
  <c r="AB211" i="24"/>
  <c r="Z212" i="24"/>
  <c r="AA212" i="24" s="1"/>
  <c r="AB212" i="24"/>
  <c r="Z213" i="24"/>
  <c r="AA213" i="24" s="1"/>
  <c r="AB213" i="24"/>
  <c r="Z214" i="24"/>
  <c r="AA214" i="24" s="1"/>
  <c r="AB214" i="24"/>
  <c r="AH214" i="24" a="1"/>
  <c r="AH214" i="24" s="1"/>
  <c r="Z215" i="24"/>
  <c r="AA215" i="24" s="1"/>
  <c r="AB215" i="24"/>
  <c r="Z216" i="24"/>
  <c r="AA216" i="24" s="1"/>
  <c r="AB216" i="24"/>
  <c r="Z217" i="24"/>
  <c r="AA217" i="24" s="1"/>
  <c r="AB217" i="24"/>
  <c r="Z218" i="24"/>
  <c r="AA218" i="24" s="1"/>
  <c r="AB218" i="24"/>
  <c r="Z219" i="24"/>
  <c r="AA219" i="24" s="1"/>
  <c r="AB219" i="24"/>
  <c r="Z220" i="24"/>
  <c r="AA220" i="24" s="1"/>
  <c r="AB220" i="24"/>
  <c r="Z221" i="24"/>
  <c r="AA221" i="24" s="1"/>
  <c r="AB221" i="24"/>
  <c r="Z222" i="24"/>
  <c r="AA222" i="24" s="1"/>
  <c r="AB222" i="24"/>
  <c r="AH222" i="24" a="1"/>
  <c r="AH222" i="24" s="1"/>
  <c r="Z223" i="24"/>
  <c r="AA223" i="24" s="1"/>
  <c r="AB223" i="24"/>
  <c r="Z224" i="24"/>
  <c r="AA224" i="24" s="1"/>
  <c r="AB224" i="24"/>
  <c r="Z225" i="24"/>
  <c r="AA225" i="24" s="1"/>
  <c r="AB225" i="24"/>
  <c r="AH225" i="24" a="1"/>
  <c r="AH225" i="24" s="1"/>
  <c r="Z226" i="24"/>
  <c r="AA226" i="24" s="1"/>
  <c r="AB226" i="24"/>
  <c r="Z227" i="24"/>
  <c r="AA227" i="24" s="1"/>
  <c r="AB227" i="24"/>
  <c r="Z228" i="24"/>
  <c r="AA228" i="24" s="1"/>
  <c r="AB228" i="24"/>
  <c r="Z229" i="24"/>
  <c r="AA229" i="24" s="1"/>
  <c r="AB229" i="24"/>
  <c r="Z230" i="24"/>
  <c r="AA230" i="24" s="1"/>
  <c r="AB230" i="24"/>
  <c r="AH230" i="24" a="1"/>
  <c r="AH230" i="24" s="1"/>
  <c r="Z231" i="24"/>
  <c r="AA231" i="24" s="1"/>
  <c r="AB231" i="24"/>
  <c r="Z232" i="24"/>
  <c r="AA232" i="24" s="1"/>
  <c r="AB232" i="24"/>
  <c r="Z233" i="24"/>
  <c r="AA233" i="24" s="1"/>
  <c r="AB233" i="24"/>
  <c r="Z234" i="24"/>
  <c r="AA234" i="24" s="1"/>
  <c r="AB234" i="24"/>
  <c r="Z235" i="24"/>
  <c r="AA235" i="24" s="1"/>
  <c r="AB235" i="24"/>
  <c r="Z236" i="24"/>
  <c r="AA236" i="24" s="1"/>
  <c r="AB236" i="24"/>
  <c r="Z237" i="24"/>
  <c r="AA237" i="24" s="1"/>
  <c r="AB237" i="24"/>
  <c r="Z238" i="24"/>
  <c r="AA238" i="24" s="1"/>
  <c r="AB238" i="24"/>
  <c r="Z239" i="24"/>
  <c r="AA239" i="24" s="1"/>
  <c r="AB239" i="24"/>
  <c r="Z256" i="24"/>
  <c r="AA256" i="24" s="1"/>
  <c r="AB256" i="24"/>
  <c r="AE256" i="24" s="1"/>
  <c r="Z257" i="24"/>
  <c r="AA257" i="24" s="1"/>
  <c r="AB257" i="24"/>
  <c r="AE257" i="24" s="1"/>
  <c r="Z258" i="24"/>
  <c r="AA258" i="24" s="1"/>
  <c r="AB258" i="24"/>
  <c r="AE258" i="24" s="1"/>
  <c r="Z259" i="24"/>
  <c r="AA259" i="24" s="1"/>
  <c r="AB259" i="24"/>
  <c r="AE259" i="24" s="1"/>
  <c r="Z260" i="24"/>
  <c r="AA260" i="24" s="1"/>
  <c r="AB260" i="24"/>
  <c r="AE260" i="24" s="1"/>
  <c r="Z261" i="24"/>
  <c r="AA261" i="24" s="1"/>
  <c r="AB261" i="24"/>
  <c r="AE261" i="24" s="1"/>
  <c r="Z262" i="24"/>
  <c r="AA262" i="24" s="1"/>
  <c r="AB262" i="24"/>
  <c r="AE262" i="24" s="1"/>
  <c r="Z263" i="24"/>
  <c r="AA263" i="24" s="1"/>
  <c r="AB263" i="24"/>
  <c r="AE263" i="24" s="1"/>
  <c r="Z264" i="24"/>
  <c r="AA264" i="24" s="1"/>
  <c r="AB264" i="24"/>
  <c r="AE264" i="24" s="1"/>
  <c r="Z265" i="24"/>
  <c r="AA265" i="24" s="1"/>
  <c r="AB265" i="24"/>
  <c r="AE265" i="24" s="1"/>
  <c r="Z266" i="24"/>
  <c r="AA266" i="24" s="1"/>
  <c r="AB266" i="24"/>
  <c r="AE266" i="24" s="1"/>
  <c r="Z267" i="24"/>
  <c r="AA267" i="24" s="1"/>
  <c r="AB267" i="24"/>
  <c r="AE267" i="24" s="1"/>
  <c r="Z268" i="24"/>
  <c r="AA268" i="24" s="1"/>
  <c r="AB268" i="24"/>
  <c r="AE268" i="24" s="1"/>
  <c r="Z269" i="24"/>
  <c r="AA269" i="24" s="1"/>
  <c r="AB269" i="24"/>
  <c r="AE269" i="24" s="1"/>
  <c r="Z270" i="24"/>
  <c r="AA270" i="24" s="1"/>
  <c r="AB270" i="24"/>
  <c r="AE270" i="24" s="1"/>
  <c r="Z271" i="24"/>
  <c r="AA271" i="24" s="1"/>
  <c r="AB271" i="24"/>
  <c r="AE271" i="24" s="1"/>
  <c r="Z272" i="24"/>
  <c r="AA272" i="24" s="1"/>
  <c r="AB272" i="24"/>
  <c r="AE272" i="24" s="1"/>
  <c r="Z273" i="24"/>
  <c r="AA273" i="24" s="1"/>
  <c r="AB273" i="24"/>
  <c r="AE273" i="24" s="1"/>
  <c r="Z274" i="24"/>
  <c r="AA274" i="24" s="1"/>
  <c r="AB274" i="24"/>
  <c r="AE274" i="24" s="1"/>
  <c r="Z275" i="24"/>
  <c r="AA275" i="24" s="1"/>
  <c r="AB275" i="24"/>
  <c r="AE275" i="24" s="1"/>
  <c r="Z276" i="24"/>
  <c r="AA276" i="24" s="1"/>
  <c r="AB276" i="24"/>
  <c r="AE276" i="24" s="1"/>
  <c r="Z277" i="24"/>
  <c r="AA277" i="24" s="1"/>
  <c r="AB277" i="24"/>
  <c r="Z278" i="24"/>
  <c r="AA278" i="24" s="1"/>
  <c r="AB278" i="24"/>
  <c r="AE278" i="24" s="1"/>
  <c r="Z279" i="24"/>
  <c r="AA279" i="24" s="1"/>
  <c r="AB279" i="24"/>
  <c r="AE279" i="24" s="1"/>
  <c r="Z280" i="24"/>
  <c r="AA280" i="24" s="1"/>
  <c r="AB280" i="24"/>
  <c r="AE280" i="24" s="1"/>
  <c r="Z281" i="24"/>
  <c r="AA281" i="24" s="1"/>
  <c r="AB281" i="24"/>
  <c r="Z282" i="24"/>
  <c r="AA282" i="24" s="1"/>
  <c r="AB282" i="24"/>
  <c r="Z283" i="24"/>
  <c r="AA283" i="24" s="1"/>
  <c r="AB283" i="24"/>
  <c r="Z284" i="24"/>
  <c r="AA284" i="24" s="1"/>
  <c r="AB284" i="24"/>
  <c r="Z285" i="24"/>
  <c r="AA285" i="24" s="1"/>
  <c r="AB285" i="24"/>
  <c r="Z286" i="24"/>
  <c r="AA286" i="24" s="1"/>
  <c r="AB286" i="24"/>
  <c r="Z287" i="24"/>
  <c r="AA287" i="24" s="1"/>
  <c r="AB287" i="24"/>
  <c r="Z288" i="24"/>
  <c r="AA288" i="24" s="1"/>
  <c r="AB288" i="24"/>
  <c r="Z289" i="24"/>
  <c r="AA289" i="24" s="1"/>
  <c r="AB289" i="24"/>
  <c r="AC289" i="24" s="1"/>
  <c r="Z290" i="24"/>
  <c r="AA290" i="24" s="1"/>
  <c r="AB290" i="24"/>
  <c r="Z291" i="24"/>
  <c r="AA291" i="24" s="1"/>
  <c r="AB291" i="24"/>
  <c r="Z292" i="24"/>
  <c r="AA292" i="24" s="1"/>
  <c r="AB292" i="24"/>
  <c r="Z293" i="24"/>
  <c r="AA293" i="24" s="1"/>
  <c r="AB293" i="24"/>
  <c r="Z294" i="24"/>
  <c r="AA294" i="24" s="1"/>
  <c r="AB294" i="24"/>
  <c r="Z295" i="24"/>
  <c r="AA295" i="24" s="1"/>
  <c r="AB295" i="24"/>
  <c r="Z296" i="24"/>
  <c r="AA296" i="24" s="1"/>
  <c r="AB296" i="24"/>
  <c r="Z297" i="24"/>
  <c r="AA297" i="24" s="1"/>
  <c r="AB297" i="24"/>
  <c r="Z298" i="24"/>
  <c r="AA298" i="24" s="1"/>
  <c r="AB298" i="24"/>
  <c r="Z299" i="24"/>
  <c r="AA299" i="24" s="1"/>
  <c r="AB299" i="24"/>
  <c r="Z300" i="24"/>
  <c r="AA300" i="24" s="1"/>
  <c r="AB300" i="24"/>
  <c r="Z301" i="24"/>
  <c r="AA301" i="24" s="1"/>
  <c r="AB301" i="24"/>
  <c r="Z302" i="24"/>
  <c r="AA302" i="24" s="1"/>
  <c r="AB302" i="24"/>
  <c r="Z303" i="24"/>
  <c r="AA303" i="24" s="1"/>
  <c r="AB303" i="24"/>
  <c r="Z304" i="24"/>
  <c r="AA304" i="24" s="1"/>
  <c r="AB304" i="24"/>
  <c r="Z305" i="24"/>
  <c r="AA305" i="24" s="1"/>
  <c r="AB305" i="24"/>
  <c r="Z306" i="24"/>
  <c r="AA306" i="24" s="1"/>
  <c r="AB306" i="24"/>
  <c r="Z307" i="24"/>
  <c r="AA307" i="24" s="1"/>
  <c r="AB307" i="24"/>
  <c r="Z308" i="24"/>
  <c r="AA308" i="24" s="1"/>
  <c r="AB308" i="24"/>
  <c r="AC308" i="24" s="1"/>
  <c r="Z309" i="24"/>
  <c r="AA309" i="24" s="1"/>
  <c r="AB309" i="24"/>
  <c r="AC309" i="24" s="1"/>
  <c r="Z310" i="24"/>
  <c r="AA310" i="24" s="1"/>
  <c r="AB310" i="24"/>
  <c r="AC310" i="24" s="1"/>
  <c r="Z311" i="24"/>
  <c r="AA311" i="24" s="1"/>
  <c r="AB311" i="24"/>
  <c r="AC311" i="24" s="1"/>
  <c r="Z312" i="24"/>
  <c r="AA312" i="24" s="1"/>
  <c r="AB312" i="24"/>
  <c r="AC312" i="24" s="1"/>
  <c r="Z313" i="24"/>
  <c r="AA313" i="24" s="1"/>
  <c r="AB313" i="24"/>
  <c r="AC313" i="24" s="1"/>
  <c r="Z314" i="24"/>
  <c r="AA314" i="24" s="1"/>
  <c r="AB314" i="24"/>
  <c r="AC314" i="24" s="1"/>
  <c r="Z315" i="24"/>
  <c r="AA315" i="24" s="1"/>
  <c r="AB315" i="24"/>
  <c r="AC315" i="24" s="1"/>
  <c r="Z316" i="24"/>
  <c r="AA316" i="24" s="1"/>
  <c r="AB316" i="24"/>
  <c r="AC316" i="24" s="1"/>
  <c r="Z317" i="24"/>
  <c r="AA317" i="24" s="1"/>
  <c r="AB317" i="24"/>
  <c r="AC317" i="24" s="1"/>
  <c r="Z318" i="24"/>
  <c r="AA318" i="24" s="1"/>
  <c r="AB318" i="24"/>
  <c r="AC318" i="24" s="1"/>
  <c r="Z319" i="24"/>
  <c r="AA319" i="24" s="1"/>
  <c r="AB319" i="24"/>
  <c r="AC319" i="24" s="1"/>
  <c r="Z320" i="24"/>
  <c r="AA320" i="24" s="1"/>
  <c r="AB320" i="24"/>
  <c r="AC320" i="24" s="1"/>
  <c r="Z321" i="24"/>
  <c r="AA321" i="24" s="1"/>
  <c r="AB321" i="24"/>
  <c r="AC321" i="24" s="1"/>
  <c r="Z322" i="24"/>
  <c r="AA322" i="24" s="1"/>
  <c r="AB322" i="24"/>
  <c r="AC322" i="24" s="1"/>
  <c r="Z323" i="24"/>
  <c r="AA323" i="24" s="1"/>
  <c r="AB323" i="24"/>
  <c r="AC323" i="24" s="1"/>
  <c r="Z324" i="24"/>
  <c r="AA324" i="24" s="1"/>
  <c r="AB324" i="24"/>
  <c r="AC324" i="24" s="1"/>
  <c r="Z325" i="24"/>
  <c r="AA325" i="24" s="1"/>
  <c r="AB325" i="24"/>
  <c r="AC325" i="24" s="1"/>
  <c r="Z326" i="24"/>
  <c r="AA326" i="24" s="1"/>
  <c r="AB326" i="24"/>
  <c r="AC326" i="24" s="1"/>
  <c r="Z327" i="24"/>
  <c r="AA327" i="24" s="1"/>
  <c r="AB327" i="24"/>
  <c r="AC327" i="24" s="1"/>
  <c r="Z328" i="24"/>
  <c r="AA328" i="24" s="1"/>
  <c r="AB328" i="24"/>
  <c r="AC328" i="24" s="1"/>
  <c r="Z329" i="24"/>
  <c r="AA329" i="24" s="1"/>
  <c r="AB329" i="24"/>
  <c r="AC329" i="24" s="1"/>
  <c r="Z330" i="24"/>
  <c r="AA330" i="24" s="1"/>
  <c r="AB330" i="24"/>
  <c r="AC330" i="24" s="1"/>
  <c r="Z331" i="24"/>
  <c r="AA331" i="24" s="1"/>
  <c r="AB331" i="24"/>
  <c r="AC331" i="24" s="1"/>
  <c r="Z332" i="24"/>
  <c r="AA332" i="24" s="1"/>
  <c r="AB332" i="24"/>
  <c r="AC332" i="24" s="1"/>
  <c r="Z333" i="24"/>
  <c r="AA333" i="24" s="1"/>
  <c r="AB333" i="24"/>
  <c r="AC333" i="24" s="1"/>
  <c r="Z334" i="24"/>
  <c r="AA334" i="24" s="1"/>
  <c r="AB334" i="24"/>
  <c r="AC334" i="24" s="1"/>
  <c r="Z335" i="24"/>
  <c r="AA335" i="24" s="1"/>
  <c r="AB335" i="24"/>
  <c r="AC335" i="24" s="1"/>
  <c r="Z336" i="24"/>
  <c r="AA336" i="24" s="1"/>
  <c r="AB336" i="24"/>
  <c r="AC336" i="24" s="1"/>
  <c r="Z337" i="24"/>
  <c r="AA337" i="24" s="1"/>
  <c r="AB337" i="24"/>
  <c r="AC337" i="24" s="1"/>
  <c r="Z338" i="24"/>
  <c r="AA338" i="24" s="1"/>
  <c r="AB338" i="24"/>
  <c r="AC338" i="24" s="1"/>
  <c r="Z339" i="24"/>
  <c r="AA339" i="24" s="1"/>
  <c r="AB339" i="24"/>
  <c r="AC339" i="24" s="1"/>
  <c r="Z340" i="24"/>
  <c r="AA340" i="24" s="1"/>
  <c r="AB340" i="24"/>
  <c r="AC340" i="24" s="1"/>
  <c r="Z341" i="24"/>
  <c r="AA341" i="24" s="1"/>
  <c r="AB341" i="24"/>
  <c r="AC341" i="24" s="1"/>
  <c r="Z342" i="24"/>
  <c r="AA342" i="24" s="1"/>
  <c r="AB342" i="24"/>
  <c r="AC342" i="24" s="1"/>
  <c r="Z343" i="24"/>
  <c r="AA343" i="24" s="1"/>
  <c r="AB343" i="24"/>
  <c r="AC343" i="24" s="1"/>
  <c r="Z344" i="24"/>
  <c r="AA344" i="24" s="1"/>
  <c r="AB344" i="24"/>
  <c r="AC344" i="24" s="1"/>
  <c r="Z345" i="24"/>
  <c r="AA345" i="24" s="1"/>
  <c r="AB345" i="24"/>
  <c r="AC345" i="24" s="1"/>
  <c r="Z346" i="24"/>
  <c r="AA346" i="24" s="1"/>
  <c r="AB346" i="24"/>
  <c r="AC346" i="24" s="1"/>
  <c r="Z347" i="24"/>
  <c r="AA347" i="24" s="1"/>
  <c r="AB347" i="24"/>
  <c r="AC347" i="24" s="1"/>
  <c r="Z348" i="24"/>
  <c r="AA348" i="24" s="1"/>
  <c r="AB348" i="24"/>
  <c r="AC348" i="24" s="1"/>
  <c r="Z349" i="24"/>
  <c r="AA349" i="24" s="1"/>
  <c r="AB349" i="24"/>
  <c r="AC349" i="24" s="1"/>
  <c r="Z350" i="24"/>
  <c r="AA350" i="24" s="1"/>
  <c r="AB350" i="24"/>
  <c r="AC350" i="24" s="1"/>
  <c r="Z351" i="24"/>
  <c r="AA351" i="24" s="1"/>
  <c r="AB351" i="24"/>
  <c r="AC351" i="24" s="1"/>
  <c r="Z352" i="24"/>
  <c r="AA352" i="24" s="1"/>
  <c r="AB352" i="24"/>
  <c r="AC352" i="24" s="1"/>
  <c r="Z353" i="24"/>
  <c r="AA353" i="24" s="1"/>
  <c r="AB353" i="24"/>
  <c r="AC353" i="24" s="1"/>
  <c r="Z354" i="24"/>
  <c r="AA354" i="24" s="1"/>
  <c r="AB354" i="24"/>
  <c r="AC354" i="24" s="1"/>
  <c r="Z355" i="24"/>
  <c r="AA355" i="24" s="1"/>
  <c r="AB355" i="24"/>
  <c r="AC355" i="24" s="1"/>
  <c r="Z356" i="24"/>
  <c r="AA356" i="24" s="1"/>
  <c r="AB356" i="24"/>
  <c r="AC356" i="24" s="1"/>
  <c r="Z357" i="24"/>
  <c r="AA357" i="24" s="1"/>
  <c r="AB357" i="24"/>
  <c r="AC357" i="24" s="1"/>
  <c r="Z358" i="24"/>
  <c r="AA358" i="24" s="1"/>
  <c r="AB358" i="24"/>
  <c r="AC358" i="24" s="1"/>
  <c r="Z359" i="24"/>
  <c r="AA359" i="24" s="1"/>
  <c r="AB359" i="24"/>
  <c r="AC359" i="24" s="1"/>
  <c r="Z360" i="24"/>
  <c r="AA360" i="24" s="1"/>
  <c r="AB360" i="24"/>
  <c r="AC360" i="24" s="1"/>
  <c r="Z361" i="24"/>
  <c r="AA361" i="24" s="1"/>
  <c r="AB361" i="24"/>
  <c r="AC361" i="24" s="1"/>
  <c r="Z362" i="24"/>
  <c r="AA362" i="24" s="1"/>
  <c r="AB362" i="24"/>
  <c r="AC362" i="24" s="1"/>
  <c r="Z363" i="24"/>
  <c r="AA363" i="24" s="1"/>
  <c r="AB363" i="24"/>
  <c r="AC363" i="24" s="1"/>
  <c r="Z364" i="24"/>
  <c r="AA364" i="24" s="1"/>
  <c r="AB364" i="24"/>
  <c r="AC364" i="24" s="1"/>
  <c r="Z365" i="24"/>
  <c r="AA365" i="24" s="1"/>
  <c r="AB365" i="24"/>
  <c r="AC365" i="24" s="1"/>
  <c r="Z366" i="24"/>
  <c r="AA366" i="24" s="1"/>
  <c r="AB366" i="24"/>
  <c r="AC366" i="24" s="1"/>
  <c r="Z367" i="24"/>
  <c r="AA367" i="24" s="1"/>
  <c r="AB367" i="24"/>
  <c r="AC367" i="24" s="1"/>
  <c r="Z368" i="24"/>
  <c r="AA368" i="24" s="1"/>
  <c r="AB368" i="24"/>
  <c r="AC368" i="24" s="1"/>
  <c r="Z369" i="24"/>
  <c r="AA369" i="24" s="1"/>
  <c r="AB369" i="24"/>
  <c r="AC369" i="24" s="1"/>
  <c r="Z370" i="24"/>
  <c r="AA370" i="24" s="1"/>
  <c r="AB370" i="24"/>
  <c r="AC370" i="24" s="1"/>
  <c r="Z371" i="24"/>
  <c r="AA371" i="24" s="1"/>
  <c r="AB371" i="24"/>
  <c r="AC371" i="24" s="1"/>
  <c r="Z372" i="24"/>
  <c r="AA372" i="24" s="1"/>
  <c r="AB372" i="24"/>
  <c r="AC372" i="24" s="1"/>
  <c r="Z373" i="24"/>
  <c r="AA373" i="24" s="1"/>
  <c r="AB373" i="24"/>
  <c r="AC373" i="24" s="1"/>
  <c r="Z374" i="24"/>
  <c r="AA374" i="24" s="1"/>
  <c r="AB374" i="24"/>
  <c r="AC374" i="24" s="1"/>
  <c r="Z375" i="24"/>
  <c r="AA375" i="24" s="1"/>
  <c r="AB375" i="24"/>
  <c r="AC375" i="24" s="1"/>
  <c r="Z376" i="24"/>
  <c r="AA376" i="24" s="1"/>
  <c r="AB376" i="24"/>
  <c r="AC376" i="24" s="1"/>
  <c r="Z377" i="24"/>
  <c r="AA377" i="24" s="1"/>
  <c r="AB377" i="24"/>
  <c r="AC377" i="24" s="1"/>
  <c r="Z378" i="24"/>
  <c r="AA378" i="24" s="1"/>
  <c r="AB378" i="24"/>
  <c r="AC378" i="24" s="1"/>
  <c r="Z379" i="24"/>
  <c r="AA379" i="24" s="1"/>
  <c r="AB379" i="24"/>
  <c r="AC379" i="24" s="1"/>
  <c r="Z380" i="24"/>
  <c r="AA380" i="24" s="1"/>
  <c r="AB380" i="24"/>
  <c r="AC380" i="24" s="1"/>
  <c r="Z381" i="24"/>
  <c r="AA381" i="24" s="1"/>
  <c r="AB381" i="24"/>
  <c r="AC381" i="24" s="1"/>
  <c r="Z382" i="24"/>
  <c r="AA382" i="24" s="1"/>
  <c r="AB382" i="24"/>
  <c r="AC382" i="24" s="1"/>
  <c r="Z383" i="24"/>
  <c r="AA383" i="24" s="1"/>
  <c r="AB383" i="24"/>
  <c r="AC383" i="24" s="1"/>
  <c r="Z384" i="24"/>
  <c r="AA384" i="24" s="1"/>
  <c r="AB384" i="24"/>
  <c r="AC384" i="24" s="1"/>
  <c r="Z385" i="24"/>
  <c r="AA385" i="24" s="1"/>
  <c r="AB385" i="24"/>
  <c r="AC385" i="24" s="1"/>
  <c r="Z386" i="24"/>
  <c r="AA386" i="24" s="1"/>
  <c r="AB386" i="24"/>
  <c r="AC386" i="24" s="1"/>
  <c r="Z387" i="24"/>
  <c r="AA387" i="24" s="1"/>
  <c r="AB387" i="24"/>
  <c r="AC387" i="24" s="1"/>
  <c r="Z388" i="24"/>
  <c r="AA388" i="24" s="1"/>
  <c r="AB388" i="24"/>
  <c r="AC388" i="24" s="1"/>
  <c r="Z389" i="24"/>
  <c r="AA389" i="24" s="1"/>
  <c r="AB389" i="24"/>
  <c r="AC389" i="24" s="1"/>
  <c r="Z390" i="24"/>
  <c r="AA390" i="24" s="1"/>
  <c r="AB390" i="24"/>
  <c r="AC390" i="24" s="1"/>
  <c r="Z391" i="24"/>
  <c r="AA391" i="24" s="1"/>
  <c r="AB391" i="24"/>
  <c r="AC391" i="24" s="1"/>
  <c r="Z392" i="24"/>
  <c r="AA392" i="24" s="1"/>
  <c r="AB392" i="24"/>
  <c r="AC392" i="24" s="1"/>
  <c r="Z393" i="24"/>
  <c r="AA393" i="24" s="1"/>
  <c r="AB393" i="24"/>
  <c r="AC393" i="24" s="1"/>
  <c r="Z394" i="24"/>
  <c r="AA394" i="24" s="1"/>
  <c r="AB394" i="24"/>
  <c r="AC394" i="24" s="1"/>
  <c r="Z395" i="24"/>
  <c r="AA395" i="24" s="1"/>
  <c r="AB395" i="24"/>
  <c r="AC395" i="24" s="1"/>
  <c r="Z396" i="24"/>
  <c r="AA396" i="24" s="1"/>
  <c r="AB396" i="24"/>
  <c r="AC396" i="24" s="1"/>
  <c r="Z397" i="24"/>
  <c r="AA397" i="24" s="1"/>
  <c r="AB397" i="24"/>
  <c r="AC397" i="24" s="1"/>
  <c r="Z398" i="24"/>
  <c r="AA398" i="24" s="1"/>
  <c r="AB398" i="24"/>
  <c r="AC398" i="24" s="1"/>
  <c r="Z399" i="24"/>
  <c r="AA399" i="24" s="1"/>
  <c r="AB399" i="24"/>
  <c r="AC399" i="24" s="1"/>
  <c r="Z400" i="24"/>
  <c r="AA400" i="24" s="1"/>
  <c r="AB400" i="24"/>
  <c r="AC400" i="24" s="1"/>
  <c r="Z401" i="24"/>
  <c r="AA401" i="24" s="1"/>
  <c r="AB401" i="24"/>
  <c r="AC401" i="24" s="1"/>
  <c r="Z402" i="24"/>
  <c r="AA402" i="24" s="1"/>
  <c r="AB402" i="24"/>
  <c r="AC402" i="24" s="1"/>
  <c r="AH10" i="24" a="1"/>
  <c r="AH10" i="24" s="1"/>
  <c r="AB10" i="24"/>
  <c r="AE10" i="24" s="1"/>
  <c r="X15" i="25"/>
  <c r="X14" i="25"/>
  <c r="X13" i="25"/>
  <c r="X11" i="25"/>
  <c r="X10" i="25"/>
  <c r="X12" i="25"/>
  <c r="X16" i="25"/>
  <c r="W17" i="25"/>
  <c r="W16" i="25"/>
  <c r="X17" i="25"/>
  <c r="W15" i="25"/>
  <c r="W14" i="25"/>
  <c r="W13" i="25"/>
  <c r="W12" i="25"/>
  <c r="W11" i="25"/>
  <c r="T14" i="25"/>
  <c r="W10" i="25"/>
  <c r="S17" i="25"/>
  <c r="S16" i="25"/>
  <c r="S15" i="25"/>
  <c r="S14" i="25"/>
  <c r="S13" i="25"/>
  <c r="S12" i="25"/>
  <c r="S11" i="25"/>
  <c r="S10" i="25"/>
  <c r="S34" i="25"/>
  <c r="S37" i="25"/>
  <c r="S36" i="25"/>
  <c r="O37" i="25"/>
  <c r="O36" i="25"/>
  <c r="K38" i="25"/>
  <c r="K37" i="25"/>
  <c r="K36" i="25"/>
  <c r="K35" i="25"/>
  <c r="K34" i="25"/>
  <c r="K33" i="25"/>
  <c r="K32" i="25"/>
  <c r="G32" i="25"/>
  <c r="G33" i="25"/>
  <c r="G34" i="25"/>
  <c r="G35" i="25"/>
  <c r="G36" i="25"/>
  <c r="G37" i="25"/>
  <c r="G39" i="25"/>
  <c r="G38" i="25"/>
  <c r="F33" i="25"/>
  <c r="R37" i="25"/>
  <c r="R36" i="25"/>
  <c r="R34" i="25"/>
  <c r="N37" i="25"/>
  <c r="N36" i="25"/>
  <c r="J38" i="25"/>
  <c r="J37" i="25"/>
  <c r="J36" i="25"/>
  <c r="J35" i="25"/>
  <c r="J34" i="25"/>
  <c r="J33" i="25"/>
  <c r="J32" i="25"/>
  <c r="F39" i="25"/>
  <c r="F38" i="25"/>
  <c r="F37" i="25"/>
  <c r="F36" i="25"/>
  <c r="F35" i="25"/>
  <c r="F34" i="25"/>
  <c r="F32" i="25"/>
  <c r="E39" i="25"/>
  <c r="I38" i="25"/>
  <c r="E38" i="25"/>
  <c r="Q37" i="25"/>
  <c r="M37" i="25"/>
  <c r="I37" i="25"/>
  <c r="E37" i="25"/>
  <c r="Q36" i="25"/>
  <c r="M36" i="25"/>
  <c r="I36" i="25"/>
  <c r="E36" i="25"/>
  <c r="I35" i="25"/>
  <c r="E35" i="25"/>
  <c r="Q34" i="25"/>
  <c r="I34" i="25"/>
  <c r="E34" i="25"/>
  <c r="I33" i="25"/>
  <c r="E33" i="25"/>
  <c r="I32" i="25"/>
  <c r="E32" i="25"/>
  <c r="P39" i="25"/>
  <c r="P36" i="25"/>
  <c r="P35" i="25"/>
  <c r="P34" i="25"/>
  <c r="P33" i="25"/>
  <c r="P32" i="25"/>
  <c r="L39" i="25"/>
  <c r="L36" i="25"/>
  <c r="L35" i="25"/>
  <c r="L34" i="25"/>
  <c r="L33" i="25"/>
  <c r="L32" i="25"/>
  <c r="H39" i="25"/>
  <c r="H36" i="25"/>
  <c r="H35" i="25"/>
  <c r="H34" i="25"/>
  <c r="H33" i="25"/>
  <c r="H32" i="25"/>
  <c r="T17" i="25"/>
  <c r="T16" i="25"/>
  <c r="T15" i="25"/>
  <c r="T13" i="25"/>
  <c r="T12" i="25"/>
  <c r="T11" i="25"/>
  <c r="Q14" i="25"/>
  <c r="Q13" i="25"/>
  <c r="Q11" i="25"/>
  <c r="Q10" i="25"/>
  <c r="N14" i="25"/>
  <c r="N13" i="25"/>
  <c r="N11" i="25"/>
  <c r="K14" i="25"/>
  <c r="K13" i="25"/>
  <c r="K11" i="25"/>
  <c r="K10" i="25"/>
  <c r="H17" i="25"/>
  <c r="H14" i="25"/>
  <c r="H13" i="25"/>
  <c r="H12" i="25"/>
  <c r="H11" i="25"/>
  <c r="H10" i="25"/>
  <c r="E14" i="25"/>
  <c r="E13" i="25"/>
  <c r="E12" i="25"/>
  <c r="E11" i="25"/>
  <c r="E10" i="25"/>
  <c r="P17" i="25"/>
  <c r="P16" i="25"/>
  <c r="P15" i="25"/>
  <c r="P14" i="25"/>
  <c r="P13" i="25"/>
  <c r="P12" i="25"/>
  <c r="P11" i="25"/>
  <c r="P10" i="25"/>
  <c r="M17" i="25"/>
  <c r="M16" i="25"/>
  <c r="M15" i="25"/>
  <c r="M14" i="25"/>
  <c r="M13" i="25"/>
  <c r="M12" i="25"/>
  <c r="M11" i="25"/>
  <c r="M10" i="25"/>
  <c r="J17" i="25"/>
  <c r="J16" i="25"/>
  <c r="J15" i="25"/>
  <c r="J14" i="25"/>
  <c r="J13" i="25"/>
  <c r="J12" i="25"/>
  <c r="J11" i="25"/>
  <c r="J10" i="25"/>
  <c r="G17" i="25"/>
  <c r="G16" i="25"/>
  <c r="G15" i="25"/>
  <c r="G14" i="25"/>
  <c r="G13" i="25"/>
  <c r="G12" i="25"/>
  <c r="G11" i="25"/>
  <c r="G10" i="25"/>
  <c r="D17" i="25"/>
  <c r="D16" i="25"/>
  <c r="D15" i="25"/>
  <c r="D14" i="25"/>
  <c r="D13" i="25"/>
  <c r="D12" i="25"/>
  <c r="D10" i="25"/>
  <c r="T10" i="25"/>
  <c r="E17" i="25"/>
  <c r="K17" i="25"/>
  <c r="N17" i="25"/>
  <c r="AB583" i="13"/>
  <c r="AC583" i="13" s="1"/>
  <c r="AD583" i="13"/>
  <c r="AH583" i="13" s="1" a="1"/>
  <c r="AH583" i="13" s="1"/>
  <c r="AB584" i="13"/>
  <c r="AC584" i="13" s="1"/>
  <c r="AD584" i="13"/>
  <c r="AH584" i="13" s="1" a="1"/>
  <c r="AH584" i="13" s="1"/>
  <c r="AB585" i="13"/>
  <c r="AC585" i="13" s="1"/>
  <c r="AD585" i="13"/>
  <c r="AH585" i="13" s="1" a="1"/>
  <c r="AH585" i="13" s="1"/>
  <c r="AB586" i="13"/>
  <c r="AC586" i="13" s="1"/>
  <c r="AD586" i="13"/>
  <c r="AH586" i="13" s="1" a="1"/>
  <c r="AH586" i="13" s="1"/>
  <c r="AB587" i="13"/>
  <c r="AC587" i="13" s="1"/>
  <c r="AD587" i="13"/>
  <c r="AH587" i="13" s="1" a="1"/>
  <c r="AH587" i="13" s="1"/>
  <c r="AB588" i="13"/>
  <c r="AC588" i="13" s="1"/>
  <c r="AD588" i="13"/>
  <c r="AH588" i="13" s="1" a="1"/>
  <c r="AH588" i="13" s="1"/>
  <c r="AB589" i="13"/>
  <c r="AC589" i="13" s="1"/>
  <c r="AD589" i="13"/>
  <c r="AH589" i="13" s="1" a="1"/>
  <c r="AH589" i="13" s="1"/>
  <c r="AB590" i="13"/>
  <c r="AC590" i="13" s="1"/>
  <c r="AD590" i="13"/>
  <c r="AH590" i="13" s="1" a="1"/>
  <c r="AH590" i="13" s="1"/>
  <c r="AB591" i="13"/>
  <c r="AC591" i="13" s="1"/>
  <c r="AD591" i="13"/>
  <c r="AH591" i="13" s="1" a="1"/>
  <c r="AH591" i="13" s="1"/>
  <c r="AB592" i="13"/>
  <c r="AC592" i="13" s="1"/>
  <c r="AD592" i="13"/>
  <c r="AH592" i="13" s="1" a="1"/>
  <c r="AH592" i="13" s="1"/>
  <c r="AA583" i="13"/>
  <c r="AA584" i="13"/>
  <c r="AA585" i="13"/>
  <c r="AA586" i="13"/>
  <c r="AA587" i="13"/>
  <c r="AA588" i="13"/>
  <c r="AA589" i="13"/>
  <c r="AA590" i="13"/>
  <c r="J1" i="48"/>
  <c r="U20" i="25"/>
  <c r="V20" i="25"/>
  <c r="AE276" i="34" l="1"/>
  <c r="AF276" i="34" s="1"/>
  <c r="AG276" i="34" s="1"/>
  <c r="AE277" i="34"/>
  <c r="AE151" i="14"/>
  <c r="AJ151" i="14" s="1"/>
  <c r="AE150" i="14"/>
  <c r="AI150" i="14" s="1"/>
  <c r="AC13" i="26"/>
  <c r="AE13" i="26"/>
  <c r="AJ13" i="26" s="1"/>
  <c r="AC12" i="26"/>
  <c r="AE12" i="26"/>
  <c r="AF12" i="26" s="1"/>
  <c r="AG12" i="26" s="1"/>
  <c r="AC11" i="26"/>
  <c r="AE11" i="26"/>
  <c r="AJ11" i="26" s="1"/>
  <c r="AC10" i="26"/>
  <c r="AE10" i="26"/>
  <c r="AF10" i="26" s="1"/>
  <c r="AG10" i="26" s="1"/>
  <c r="AC9" i="26"/>
  <c r="AE9" i="26"/>
  <c r="AJ9" i="26" s="1"/>
  <c r="AC8" i="26"/>
  <c r="AE8" i="26"/>
  <c r="AC7" i="26"/>
  <c r="AE7" i="26"/>
  <c r="AI7" i="26" s="1"/>
  <c r="AC6" i="26"/>
  <c r="AE6" i="26"/>
  <c r="AJ6" i="26" s="1"/>
  <c r="AE275" i="34"/>
  <c r="AJ275" i="34" s="1"/>
  <c r="AE149" i="14"/>
  <c r="AJ149" i="14" s="1"/>
  <c r="AC307" i="24"/>
  <c r="AE307" i="24"/>
  <c r="AF307" i="24" s="1"/>
  <c r="AG307" i="24" s="1"/>
  <c r="AC306" i="24"/>
  <c r="AE306" i="24"/>
  <c r="AF306" i="24" s="1"/>
  <c r="AG306" i="24" s="1"/>
  <c r="AC305" i="24"/>
  <c r="AE305" i="24"/>
  <c r="AF305" i="24" s="1"/>
  <c r="AG305" i="24" s="1"/>
  <c r="AC304" i="24"/>
  <c r="AE304" i="24"/>
  <c r="AF304" i="24" s="1"/>
  <c r="AG304" i="24" s="1"/>
  <c r="AC303" i="24"/>
  <c r="AE303" i="24"/>
  <c r="AF303" i="24" s="1"/>
  <c r="AG303" i="24" s="1"/>
  <c r="AC302" i="24"/>
  <c r="AE302" i="24"/>
  <c r="AF302" i="24" s="1"/>
  <c r="AG302" i="24" s="1"/>
  <c r="AC301" i="24"/>
  <c r="AE301" i="24"/>
  <c r="AF301" i="24" s="1"/>
  <c r="AG301" i="24" s="1"/>
  <c r="AC300" i="24"/>
  <c r="AE300" i="24"/>
  <c r="AF300" i="24" s="1"/>
  <c r="AG300" i="24" s="1"/>
  <c r="AC299" i="24"/>
  <c r="AE299" i="24"/>
  <c r="AF299" i="24" s="1"/>
  <c r="AG299" i="24" s="1"/>
  <c r="AC298" i="24"/>
  <c r="AE298" i="24"/>
  <c r="AF298" i="24" s="1"/>
  <c r="AG298" i="24" s="1"/>
  <c r="AC296" i="24"/>
  <c r="AE296" i="24"/>
  <c r="AF296" i="24" s="1"/>
  <c r="AG296" i="24" s="1"/>
  <c r="AC293" i="24"/>
  <c r="AE293" i="24"/>
  <c r="AF293" i="24" s="1"/>
  <c r="AG293" i="24" s="1"/>
  <c r="AC290" i="24"/>
  <c r="AE290" i="24"/>
  <c r="AF290" i="24" s="1"/>
  <c r="AG290" i="24" s="1"/>
  <c r="AC297" i="24"/>
  <c r="AE297" i="24"/>
  <c r="AF297" i="24" s="1"/>
  <c r="AG297" i="24" s="1"/>
  <c r="AC294" i="24"/>
  <c r="AE294" i="24"/>
  <c r="AF294" i="24" s="1"/>
  <c r="AG294" i="24" s="1"/>
  <c r="AC291" i="24"/>
  <c r="AE291" i="24"/>
  <c r="AF291" i="24" s="1"/>
  <c r="AG291" i="24" s="1"/>
  <c r="AC295" i="24"/>
  <c r="AE295" i="24"/>
  <c r="AF295" i="24" s="1"/>
  <c r="AG295" i="24" s="1"/>
  <c r="AC292" i="24"/>
  <c r="AE292" i="24"/>
  <c r="AF292" i="24" s="1"/>
  <c r="AG292" i="24" s="1"/>
  <c r="AE289" i="24"/>
  <c r="AF289" i="24" s="1"/>
  <c r="AG289" i="24" s="1"/>
  <c r="AC288" i="24"/>
  <c r="AE288" i="24"/>
  <c r="AF288" i="24" s="1"/>
  <c r="AG288" i="24" s="1"/>
  <c r="AE273" i="34"/>
  <c r="AJ273" i="34" s="1"/>
  <c r="AE274" i="34"/>
  <c r="AF274" i="34" s="1"/>
  <c r="AG274" i="34" s="1"/>
  <c r="AE63" i="43"/>
  <c r="AJ63" i="43" s="1"/>
  <c r="AE269" i="34"/>
  <c r="AJ269" i="34" s="1"/>
  <c r="AE882" i="42"/>
  <c r="AI882" i="42" s="1"/>
  <c r="AE62" i="43"/>
  <c r="AI62" i="43" s="1"/>
  <c r="AE61" i="43"/>
  <c r="AE272" i="34"/>
  <c r="AF272" i="34" s="1"/>
  <c r="AG272" i="34" s="1"/>
  <c r="AE271" i="34"/>
  <c r="AI271" i="34" s="1"/>
  <c r="AE270" i="34"/>
  <c r="AI270" i="34" s="1"/>
  <c r="AE891" i="42"/>
  <c r="AF891" i="42" s="1"/>
  <c r="AG891" i="42" s="1"/>
  <c r="AE888" i="42"/>
  <c r="AJ888" i="42" s="1"/>
  <c r="AE890" i="42"/>
  <c r="AI890" i="42" s="1"/>
  <c r="AE892" i="42"/>
  <c r="AI892" i="42" s="1"/>
  <c r="AE889" i="42"/>
  <c r="AI889" i="42" s="1"/>
  <c r="AE886" i="42"/>
  <c r="AI886" i="42" s="1"/>
  <c r="AE883" i="42"/>
  <c r="AI883" i="42" s="1"/>
  <c r="AE880" i="42"/>
  <c r="AI880" i="42" s="1"/>
  <c r="AE885" i="42"/>
  <c r="AJ885" i="42" s="1"/>
  <c r="AE887" i="42"/>
  <c r="AI887" i="42" s="1"/>
  <c r="AE884" i="42"/>
  <c r="AI884" i="42" s="1"/>
  <c r="AE881" i="42"/>
  <c r="AI881" i="42" s="1"/>
  <c r="AE148" i="14"/>
  <c r="AF148" i="14" s="1"/>
  <c r="AG148" i="14" s="1"/>
  <c r="AE879" i="42"/>
  <c r="AF879" i="42" s="1"/>
  <c r="AG879" i="42" s="1"/>
  <c r="AE878" i="42"/>
  <c r="AI878" i="42" s="1"/>
  <c r="AE873" i="42"/>
  <c r="AI873" i="42" s="1"/>
  <c r="AE875" i="42"/>
  <c r="AI875" i="42" s="1"/>
  <c r="AE877" i="42"/>
  <c r="AI877" i="42" s="1"/>
  <c r="AE876" i="42"/>
  <c r="AJ876" i="42" s="1"/>
  <c r="AE874" i="42"/>
  <c r="AI874" i="42" s="1"/>
  <c r="AE147" i="14"/>
  <c r="AE870" i="42"/>
  <c r="AF870" i="42" s="1"/>
  <c r="AG870" i="42" s="1"/>
  <c r="AE871" i="42"/>
  <c r="AI871" i="42" s="1"/>
  <c r="AE872" i="42"/>
  <c r="AI872" i="42" s="1"/>
  <c r="AE868" i="42"/>
  <c r="AI868" i="42" s="1"/>
  <c r="AE865" i="42"/>
  <c r="AI865" i="42" s="1"/>
  <c r="AE867" i="42"/>
  <c r="AJ867" i="42" s="1"/>
  <c r="AE869" i="42"/>
  <c r="AI869" i="42" s="1"/>
  <c r="AE866" i="42"/>
  <c r="AI866" i="42" s="1"/>
  <c r="AE146" i="14"/>
  <c r="AE145" i="14"/>
  <c r="AJ145" i="14" s="1"/>
  <c r="AE144" i="14"/>
  <c r="AI144" i="14" s="1"/>
  <c r="AE143" i="14"/>
  <c r="AJ143" i="14" s="1"/>
  <c r="AE863" i="42"/>
  <c r="AI863" i="42" s="1"/>
  <c r="AE864" i="42"/>
  <c r="AJ864" i="42" s="1"/>
  <c r="AE861" i="42"/>
  <c r="AF861" i="42" s="1"/>
  <c r="AG861" i="42" s="1"/>
  <c r="AE860" i="42"/>
  <c r="AI860" i="42" s="1"/>
  <c r="AE266" i="34"/>
  <c r="AF266" i="34" s="1"/>
  <c r="AG266" i="34" s="1"/>
  <c r="AE268" i="34"/>
  <c r="AJ268" i="34" s="1"/>
  <c r="AE267" i="34"/>
  <c r="AJ267" i="34" s="1"/>
  <c r="AC287" i="24"/>
  <c r="AE287" i="24"/>
  <c r="AF287" i="24" s="1"/>
  <c r="AG287" i="24" s="1"/>
  <c r="AC286" i="24"/>
  <c r="AE286" i="24"/>
  <c r="AF286" i="24" s="1"/>
  <c r="AG286" i="24" s="1"/>
  <c r="AC285" i="24"/>
  <c r="AE285" i="24"/>
  <c r="AF285" i="24" s="1"/>
  <c r="AG285" i="24" s="1"/>
  <c r="AC284" i="24"/>
  <c r="AE284" i="24"/>
  <c r="AF284" i="24" s="1"/>
  <c r="AG284" i="24" s="1"/>
  <c r="AC283" i="24"/>
  <c r="AE283" i="24"/>
  <c r="AF283" i="24" s="1"/>
  <c r="AG283" i="24" s="1"/>
  <c r="AC282" i="24"/>
  <c r="AE282" i="24"/>
  <c r="AF282" i="24" s="1"/>
  <c r="AG282" i="24" s="1"/>
  <c r="AC281" i="24"/>
  <c r="AE281" i="24"/>
  <c r="AF281" i="24" s="1"/>
  <c r="AG281" i="24" s="1"/>
  <c r="AE142" i="14"/>
  <c r="AF142" i="14" s="1"/>
  <c r="AG142" i="14" s="1"/>
  <c r="AE141" i="14"/>
  <c r="AF141" i="14" s="1"/>
  <c r="AG141" i="14" s="1"/>
  <c r="AE140" i="14"/>
  <c r="AF140" i="14" s="1"/>
  <c r="AG140" i="14" s="1"/>
  <c r="AC2" i="26"/>
  <c r="AE2" i="26"/>
  <c r="AE4" i="26"/>
  <c r="AJ4" i="26" s="1"/>
  <c r="AC3" i="26"/>
  <c r="AE5" i="26"/>
  <c r="AE3" i="26"/>
  <c r="AI257" i="51"/>
  <c r="AI234" i="51"/>
  <c r="AJ109" i="51"/>
  <c r="AF109" i="51"/>
  <c r="AG109" i="51" s="1"/>
  <c r="AI322" i="51"/>
  <c r="AI243" i="51"/>
  <c r="AI222" i="51"/>
  <c r="AJ118" i="51"/>
  <c r="AI228" i="51"/>
  <c r="AI225" i="51"/>
  <c r="AI202" i="51"/>
  <c r="AI197" i="51"/>
  <c r="AI266" i="51"/>
  <c r="AI262" i="51"/>
  <c r="AI246" i="51"/>
  <c r="AJ182" i="51"/>
  <c r="AJ72" i="51"/>
  <c r="AJ115" i="51"/>
  <c r="AI37" i="51"/>
  <c r="AI224" i="51"/>
  <c r="AJ222" i="51"/>
  <c r="AI216" i="51"/>
  <c r="AI212" i="51"/>
  <c r="AJ171" i="51"/>
  <c r="AJ161" i="51"/>
  <c r="AJ81" i="51"/>
  <c r="AJ77" i="51"/>
  <c r="AJ41" i="51"/>
  <c r="AI328" i="51"/>
  <c r="AJ96" i="51"/>
  <c r="AF72" i="51"/>
  <c r="AG72" i="51" s="1"/>
  <c r="AJ71" i="51"/>
  <c r="AJ34" i="51"/>
  <c r="AI32" i="51"/>
  <c r="AI260" i="51"/>
  <c r="AI237" i="51"/>
  <c r="AJ234" i="51"/>
  <c r="AJ189" i="51"/>
  <c r="AI329" i="51"/>
  <c r="AI313" i="51"/>
  <c r="AI309" i="51"/>
  <c r="AI261" i="51"/>
  <c r="AJ243" i="51"/>
  <c r="AJ237" i="51"/>
  <c r="AJ225" i="51"/>
  <c r="AI220" i="51"/>
  <c r="AI215" i="51"/>
  <c r="AJ213" i="51"/>
  <c r="AI198" i="51"/>
  <c r="AJ180" i="51"/>
  <c r="AJ174" i="51"/>
  <c r="AJ172" i="51"/>
  <c r="AJ169" i="51"/>
  <c r="AJ162" i="51"/>
  <c r="AJ149" i="51"/>
  <c r="AF115" i="51"/>
  <c r="AG115" i="51" s="1"/>
  <c r="AF77" i="51"/>
  <c r="AG77" i="51" s="1"/>
  <c r="AI35" i="51"/>
  <c r="AI327" i="51"/>
  <c r="AF322" i="51"/>
  <c r="AG322" i="51" s="1"/>
  <c r="AJ262" i="51"/>
  <c r="AF257" i="51"/>
  <c r="AG257" i="51" s="1"/>
  <c r="AJ256" i="51"/>
  <c r="AI250" i="51"/>
  <c r="AJ246" i="51"/>
  <c r="AI244" i="51"/>
  <c r="AI240" i="51"/>
  <c r="AI238" i="51"/>
  <c r="AJ228" i="51"/>
  <c r="AI221" i="51"/>
  <c r="AJ216" i="51"/>
  <c r="AI211" i="51"/>
  <c r="AF189" i="51"/>
  <c r="AG189" i="51" s="1"/>
  <c r="AJ188" i="51"/>
  <c r="AJ181" i="51"/>
  <c r="AJ175" i="51"/>
  <c r="AJ170" i="51"/>
  <c r="AJ154" i="51"/>
  <c r="AJ150" i="51"/>
  <c r="AJ112" i="51"/>
  <c r="AI93" i="51"/>
  <c r="AF41" i="51"/>
  <c r="AG41" i="51" s="1"/>
  <c r="AF33" i="51"/>
  <c r="AG33" i="51" s="1"/>
  <c r="AJ32" i="51"/>
  <c r="AI26" i="51"/>
  <c r="AI326" i="51"/>
  <c r="AF313" i="51"/>
  <c r="AG313" i="51" s="1"/>
  <c r="AI311" i="51"/>
  <c r="AI308" i="51"/>
  <c r="AJ259" i="51"/>
  <c r="AF259" i="51"/>
  <c r="AG259" i="51" s="1"/>
  <c r="AF258" i="51"/>
  <c r="AG258" i="51" s="1"/>
  <c r="AJ258" i="51"/>
  <c r="AF245" i="51"/>
  <c r="AG245" i="51" s="1"/>
  <c r="AI245" i="51"/>
  <c r="AJ317" i="51"/>
  <c r="AI317" i="51"/>
  <c r="AI259" i="51"/>
  <c r="AI258" i="51"/>
  <c r="AF249" i="51"/>
  <c r="AG249" i="51" s="1"/>
  <c r="AJ249" i="51"/>
  <c r="AI325" i="51"/>
  <c r="AI320" i="51"/>
  <c r="AI319" i="51"/>
  <c r="AI318" i="51"/>
  <c r="AI316" i="51"/>
  <c r="AI310" i="51"/>
  <c r="AI249" i="51"/>
  <c r="AI231" i="51"/>
  <c r="AI206" i="51"/>
  <c r="AI203" i="51"/>
  <c r="AJ193" i="51"/>
  <c r="AJ192" i="51"/>
  <c r="AJ186" i="51"/>
  <c r="AJ185" i="51"/>
  <c r="AJ159" i="51"/>
  <c r="AJ158" i="51"/>
  <c r="AJ157" i="51"/>
  <c r="AJ119" i="51"/>
  <c r="AJ117" i="51"/>
  <c r="AJ113" i="51"/>
  <c r="AJ111" i="51"/>
  <c r="AJ78" i="51"/>
  <c r="AI34" i="51"/>
  <c r="AI264" i="51"/>
  <c r="AI252" i="51"/>
  <c r="AI236" i="51"/>
  <c r="AI235" i="51"/>
  <c r="AI229" i="51"/>
  <c r="AI223" i="51"/>
  <c r="AI214" i="51"/>
  <c r="AI210" i="51"/>
  <c r="AJ194" i="51"/>
  <c r="AJ173" i="51"/>
  <c r="AJ163" i="51"/>
  <c r="AJ160" i="51"/>
  <c r="AJ153" i="51"/>
  <c r="AJ144" i="51"/>
  <c r="AJ140" i="51"/>
  <c r="AJ138" i="51"/>
  <c r="AJ132" i="51"/>
  <c r="AJ126" i="51"/>
  <c r="AJ120" i="51"/>
  <c r="AI94" i="51"/>
  <c r="AJ83" i="51"/>
  <c r="AF81" i="51"/>
  <c r="AG81" i="51" s="1"/>
  <c r="AJ75" i="51"/>
  <c r="AI39" i="51"/>
  <c r="AF37" i="51"/>
  <c r="AG37" i="51" s="1"/>
  <c r="AJ36" i="51"/>
  <c r="AJ33" i="51"/>
  <c r="AF325" i="51"/>
  <c r="AG325" i="51" s="1"/>
  <c r="AI321" i="51"/>
  <c r="AF316" i="51"/>
  <c r="AG316" i="51" s="1"/>
  <c r="AI312" i="51"/>
  <c r="AJ264" i="51"/>
  <c r="AF261" i="51"/>
  <c r="AG261" i="51" s="1"/>
  <c r="AJ260" i="51"/>
  <c r="AJ252" i="51"/>
  <c r="AI242" i="51"/>
  <c r="AI241" i="51"/>
  <c r="AJ240" i="51"/>
  <c r="AI233" i="51"/>
  <c r="AI232" i="51"/>
  <c r="AJ231" i="51"/>
  <c r="AF219" i="51"/>
  <c r="AG219" i="51" s="1"/>
  <c r="AJ219" i="51"/>
  <c r="AJ208" i="51"/>
  <c r="AF208" i="51"/>
  <c r="AG208" i="51" s="1"/>
  <c r="AF226" i="51"/>
  <c r="AG226" i="51" s="1"/>
  <c r="AI226" i="51"/>
  <c r="AF217" i="51"/>
  <c r="AG217" i="51" s="1"/>
  <c r="AI217" i="51"/>
  <c r="AI208" i="51"/>
  <c r="AF328" i="51"/>
  <c r="AG328" i="51" s="1"/>
  <c r="AI324" i="51"/>
  <c r="AI323" i="51"/>
  <c r="AF319" i="51"/>
  <c r="AG319" i="51" s="1"/>
  <c r="AI315" i="51"/>
  <c r="AI314" i="51"/>
  <c r="AF310" i="51"/>
  <c r="AG310" i="51" s="1"/>
  <c r="AI268" i="51"/>
  <c r="AI251" i="51"/>
  <c r="AI247" i="51"/>
  <c r="AI239" i="51"/>
  <c r="AI230" i="51"/>
  <c r="AF227" i="51"/>
  <c r="AG227" i="51" s="1"/>
  <c r="AI227" i="51"/>
  <c r="AF218" i="51"/>
  <c r="AG218" i="51" s="1"/>
  <c r="AI218" i="51"/>
  <c r="AJ207" i="51"/>
  <c r="AI207" i="51"/>
  <c r="AF211" i="51"/>
  <c r="AG211" i="51" s="1"/>
  <c r="AF203" i="51"/>
  <c r="AG203" i="51" s="1"/>
  <c r="AI200" i="51"/>
  <c r="AJ197" i="51"/>
  <c r="AJ190" i="51"/>
  <c r="AF185" i="51"/>
  <c r="AG185" i="51" s="1"/>
  <c r="AJ184" i="51"/>
  <c r="AJ178" i="51"/>
  <c r="AJ177" i="51"/>
  <c r="AJ176" i="51"/>
  <c r="AJ167" i="51"/>
  <c r="AJ166" i="51"/>
  <c r="AJ165" i="51"/>
  <c r="AJ164" i="51"/>
  <c r="AJ155" i="51"/>
  <c r="AJ151" i="51"/>
  <c r="AJ148" i="51"/>
  <c r="AJ130" i="51"/>
  <c r="AJ124" i="51"/>
  <c r="AF119" i="51"/>
  <c r="AG119" i="51" s="1"/>
  <c r="AJ116" i="51"/>
  <c r="AF113" i="51"/>
  <c r="AG113" i="51" s="1"/>
  <c r="AJ110" i="51"/>
  <c r="AJ80" i="51"/>
  <c r="AI28" i="51"/>
  <c r="AJ27" i="51"/>
  <c r="AI201" i="51"/>
  <c r="AJ198" i="51"/>
  <c r="AF193" i="51"/>
  <c r="AG193" i="51" s="1"/>
  <c r="AF181" i="51"/>
  <c r="AG181" i="51" s="1"/>
  <c r="AJ168" i="51"/>
  <c r="AJ156" i="51"/>
  <c r="AF153" i="51"/>
  <c r="AG153" i="51" s="1"/>
  <c r="AJ152" i="51"/>
  <c r="AF149" i="51"/>
  <c r="AG149" i="51" s="1"/>
  <c r="AJ128" i="51"/>
  <c r="AJ122" i="51"/>
  <c r="AF117" i="51"/>
  <c r="AG117" i="51" s="1"/>
  <c r="AJ114" i="51"/>
  <c r="AF111" i="51"/>
  <c r="AG111" i="51" s="1"/>
  <c r="AJ108" i="51"/>
  <c r="AJ94" i="51"/>
  <c r="AJ93" i="51"/>
  <c r="AI87" i="51"/>
  <c r="AF78" i="51"/>
  <c r="AG78" i="51" s="1"/>
  <c r="AF75" i="51"/>
  <c r="AG75" i="51" s="1"/>
  <c r="AJ74" i="51"/>
  <c r="AF27" i="51"/>
  <c r="AG27" i="51" s="1"/>
  <c r="AJ26" i="51"/>
  <c r="AC26" i="51"/>
  <c r="AI270" i="51"/>
  <c r="AF270" i="51"/>
  <c r="AG270" i="51" s="1"/>
  <c r="AI269" i="51"/>
  <c r="AF269" i="51"/>
  <c r="AG269" i="51" s="1"/>
  <c r="AJ268" i="51"/>
  <c r="AI267" i="51"/>
  <c r="AF267" i="51"/>
  <c r="AG267" i="51" s="1"/>
  <c r="AJ266" i="51"/>
  <c r="AI265" i="51"/>
  <c r="AF265" i="51"/>
  <c r="AG265" i="51" s="1"/>
  <c r="AI263" i="51"/>
  <c r="AF263" i="51"/>
  <c r="AG263" i="51" s="1"/>
  <c r="AF327" i="51"/>
  <c r="AG327" i="51" s="1"/>
  <c r="AF324" i="51"/>
  <c r="AG324" i="51" s="1"/>
  <c r="AF321" i="51"/>
  <c r="AG321" i="51" s="1"/>
  <c r="AF318" i="51"/>
  <c r="AG318" i="51" s="1"/>
  <c r="AF315" i="51"/>
  <c r="AG315" i="51" s="1"/>
  <c r="AF312" i="51"/>
  <c r="AG312" i="51" s="1"/>
  <c r="AF309" i="51"/>
  <c r="AG309" i="51" s="1"/>
  <c r="AI256" i="51"/>
  <c r="AF255" i="51"/>
  <c r="AG255" i="51" s="1"/>
  <c r="AI255" i="51"/>
  <c r="AF254" i="51"/>
  <c r="AG254" i="51" s="1"/>
  <c r="AJ254" i="51"/>
  <c r="AF329" i="51"/>
  <c r="AG329" i="51" s="1"/>
  <c r="AF326" i="51"/>
  <c r="AG326" i="51" s="1"/>
  <c r="AF323" i="51"/>
  <c r="AG323" i="51" s="1"/>
  <c r="AF320" i="51"/>
  <c r="AG320" i="51" s="1"/>
  <c r="AF317" i="51"/>
  <c r="AG317" i="51" s="1"/>
  <c r="AF314" i="51"/>
  <c r="AG314" i="51" s="1"/>
  <c r="AF311" i="51"/>
  <c r="AG311" i="51" s="1"/>
  <c r="AF308" i="51"/>
  <c r="AG308" i="51" s="1"/>
  <c r="AI254" i="51"/>
  <c r="AF253" i="51"/>
  <c r="AG253" i="51" s="1"/>
  <c r="AI253" i="51"/>
  <c r="AJ251" i="51"/>
  <c r="AF248" i="51"/>
  <c r="AG248" i="51" s="1"/>
  <c r="AJ248" i="51"/>
  <c r="AJ147" i="51"/>
  <c r="AI143" i="51"/>
  <c r="AF143" i="51"/>
  <c r="AG143" i="51" s="1"/>
  <c r="AJ143" i="51"/>
  <c r="AI137" i="51"/>
  <c r="AF137" i="51"/>
  <c r="AG137" i="51" s="1"/>
  <c r="AJ137" i="51"/>
  <c r="AI134" i="51"/>
  <c r="AJ134" i="51"/>
  <c r="AJ250" i="51"/>
  <c r="AJ247" i="51"/>
  <c r="AJ244" i="51"/>
  <c r="AJ241" i="51"/>
  <c r="AJ238" i="51"/>
  <c r="AJ235" i="51"/>
  <c r="AJ232" i="51"/>
  <c r="AJ229" i="51"/>
  <c r="AJ226" i="51"/>
  <c r="AJ223" i="51"/>
  <c r="AJ220" i="51"/>
  <c r="AJ217" i="51"/>
  <c r="AJ214" i="51"/>
  <c r="AI213" i="51"/>
  <c r="AJ212" i="51"/>
  <c r="AI204" i="51"/>
  <c r="AF201" i="51"/>
  <c r="AG201" i="51" s="1"/>
  <c r="AJ199" i="51"/>
  <c r="AJ196" i="51"/>
  <c r="AF178" i="51"/>
  <c r="AG178" i="51" s="1"/>
  <c r="AF174" i="51"/>
  <c r="AG174" i="51" s="1"/>
  <c r="AF170" i="51"/>
  <c r="AG170" i="51" s="1"/>
  <c r="AF166" i="51"/>
  <c r="AG166" i="51" s="1"/>
  <c r="AF162" i="51"/>
  <c r="AG162" i="51" s="1"/>
  <c r="AF158" i="51"/>
  <c r="AG158" i="51" s="1"/>
  <c r="AF154" i="51"/>
  <c r="AG154" i="51" s="1"/>
  <c r="AF150" i="51"/>
  <c r="AG150" i="51" s="1"/>
  <c r="AI146" i="51"/>
  <c r="AJ146" i="51"/>
  <c r="AI145" i="51"/>
  <c r="AF145" i="51"/>
  <c r="AG145" i="51" s="1"/>
  <c r="AJ145" i="51"/>
  <c r="AJ142" i="51"/>
  <c r="AI139" i="51"/>
  <c r="AF139" i="51"/>
  <c r="AG139" i="51" s="1"/>
  <c r="AJ139" i="51"/>
  <c r="AJ136" i="51"/>
  <c r="AJ245" i="51"/>
  <c r="AJ242" i="51"/>
  <c r="AJ239" i="51"/>
  <c r="AJ236" i="51"/>
  <c r="AJ233" i="51"/>
  <c r="AJ230" i="51"/>
  <c r="AJ227" i="51"/>
  <c r="AJ224" i="51"/>
  <c r="AJ221" i="51"/>
  <c r="AJ218" i="51"/>
  <c r="AJ215" i="51"/>
  <c r="AI209" i="51"/>
  <c r="AF207" i="51"/>
  <c r="AG207" i="51" s="1"/>
  <c r="AI205" i="51"/>
  <c r="AF200" i="51"/>
  <c r="AG200" i="51" s="1"/>
  <c r="AI199" i="51"/>
  <c r="AI196" i="51"/>
  <c r="AF194" i="51"/>
  <c r="AG194" i="51" s="1"/>
  <c r="AF190" i="51"/>
  <c r="AG190" i="51" s="1"/>
  <c r="AF186" i="51"/>
  <c r="AG186" i="51" s="1"/>
  <c r="AF182" i="51"/>
  <c r="AG182" i="51" s="1"/>
  <c r="AF177" i="51"/>
  <c r="AG177" i="51" s="1"/>
  <c r="AF173" i="51"/>
  <c r="AG173" i="51" s="1"/>
  <c r="AF169" i="51"/>
  <c r="AG169" i="51" s="1"/>
  <c r="AF165" i="51"/>
  <c r="AG165" i="51" s="1"/>
  <c r="AF161" i="51"/>
  <c r="AG161" i="51" s="1"/>
  <c r="AF157" i="51"/>
  <c r="AG157" i="51" s="1"/>
  <c r="AI141" i="51"/>
  <c r="AF141" i="51"/>
  <c r="AG141" i="51" s="1"/>
  <c r="AJ141" i="51"/>
  <c r="AI135" i="51"/>
  <c r="AF135" i="51"/>
  <c r="AG135" i="51" s="1"/>
  <c r="AJ135" i="51"/>
  <c r="AJ107" i="51"/>
  <c r="AF107" i="51"/>
  <c r="AG107" i="51" s="1"/>
  <c r="AJ106" i="51"/>
  <c r="AF106" i="51"/>
  <c r="AG106" i="51" s="1"/>
  <c r="AJ105" i="51"/>
  <c r="AF105" i="51"/>
  <c r="AG105" i="51" s="1"/>
  <c r="AJ104" i="51"/>
  <c r="AF104" i="51"/>
  <c r="AG104" i="51" s="1"/>
  <c r="AJ103" i="51"/>
  <c r="AF103" i="51"/>
  <c r="AG103" i="51" s="1"/>
  <c r="AJ102" i="51"/>
  <c r="AF102" i="51"/>
  <c r="AG102" i="51" s="1"/>
  <c r="AJ101" i="51"/>
  <c r="AF101" i="51"/>
  <c r="AG101" i="51" s="1"/>
  <c r="AJ100" i="51"/>
  <c r="AF100" i="51"/>
  <c r="AG100" i="51" s="1"/>
  <c r="AJ99" i="51"/>
  <c r="AF99" i="51"/>
  <c r="AG99" i="51" s="1"/>
  <c r="AJ98" i="51"/>
  <c r="AF98" i="51"/>
  <c r="AG98" i="51" s="1"/>
  <c r="AF92" i="51"/>
  <c r="AG92" i="51" s="1"/>
  <c r="AI92" i="51"/>
  <c r="AI91" i="51"/>
  <c r="AF90" i="51"/>
  <c r="AG90" i="51" s="1"/>
  <c r="AI90" i="51"/>
  <c r="AF80" i="51"/>
  <c r="AG80" i="51" s="1"/>
  <c r="AI76" i="51"/>
  <c r="AF76" i="51"/>
  <c r="AG76" i="51" s="1"/>
  <c r="AF71" i="51"/>
  <c r="AG71" i="51" s="1"/>
  <c r="AJ39" i="51"/>
  <c r="AF36" i="51"/>
  <c r="AG36" i="51" s="1"/>
  <c r="AJ35" i="51"/>
  <c r="AF31" i="51"/>
  <c r="AG31" i="51" s="1"/>
  <c r="AI31" i="51"/>
  <c r="AI30" i="51"/>
  <c r="AF24" i="51"/>
  <c r="AG24" i="51" s="1"/>
  <c r="AJ24" i="51"/>
  <c r="AF95" i="51"/>
  <c r="AG95" i="51" s="1"/>
  <c r="AJ95" i="51"/>
  <c r="AI82" i="51"/>
  <c r="AF82" i="51"/>
  <c r="AG82" i="51" s="1"/>
  <c r="AI73" i="51"/>
  <c r="AF73" i="51"/>
  <c r="AG73" i="51" s="1"/>
  <c r="AF40" i="51"/>
  <c r="AG40" i="51" s="1"/>
  <c r="AI40" i="51"/>
  <c r="AF29" i="51"/>
  <c r="AG29" i="51" s="1"/>
  <c r="AJ29" i="51"/>
  <c r="AF28" i="51"/>
  <c r="AG28" i="51" s="1"/>
  <c r="AF23" i="51"/>
  <c r="AG23" i="51" s="1"/>
  <c r="AJ23" i="51"/>
  <c r="AJ133" i="51"/>
  <c r="AF133" i="51"/>
  <c r="AG133" i="51" s="1"/>
  <c r="AJ131" i="51"/>
  <c r="AF131" i="51"/>
  <c r="AG131" i="51" s="1"/>
  <c r="AJ129" i="51"/>
  <c r="AF129" i="51"/>
  <c r="AG129" i="51" s="1"/>
  <c r="AJ127" i="51"/>
  <c r="AF127" i="51"/>
  <c r="AG127" i="51" s="1"/>
  <c r="AJ125" i="51"/>
  <c r="AF125" i="51"/>
  <c r="AG125" i="51" s="1"/>
  <c r="AJ123" i="51"/>
  <c r="AF123" i="51"/>
  <c r="AG123" i="51" s="1"/>
  <c r="AJ121" i="51"/>
  <c r="AF121" i="51"/>
  <c r="AG121" i="51" s="1"/>
  <c r="AI96" i="51"/>
  <c r="AI95" i="51"/>
  <c r="AJ91" i="51"/>
  <c r="AF89" i="51"/>
  <c r="AG89" i="51" s="1"/>
  <c r="AI89" i="51"/>
  <c r="AF88" i="51"/>
  <c r="AG88" i="51" s="1"/>
  <c r="AI88" i="51"/>
  <c r="AF83" i="51"/>
  <c r="AG83" i="51" s="1"/>
  <c r="AJ82" i="51"/>
  <c r="AI79" i="51"/>
  <c r="AF79" i="51"/>
  <c r="AG79" i="51" s="1"/>
  <c r="AF74" i="51"/>
  <c r="AG74" i="51" s="1"/>
  <c r="AJ73" i="51"/>
  <c r="AI70" i="51"/>
  <c r="AF70" i="51"/>
  <c r="AG70" i="51" s="1"/>
  <c r="AF38" i="51"/>
  <c r="AG38" i="51" s="1"/>
  <c r="AJ38" i="51"/>
  <c r="AJ30" i="51"/>
  <c r="AF22" i="51"/>
  <c r="AG22" i="51" s="1"/>
  <c r="AJ22" i="51"/>
  <c r="AI4" i="51"/>
  <c r="AF4" i="51"/>
  <c r="AK4" i="51" s="1"/>
  <c r="AJ4" i="51"/>
  <c r="AI3" i="51"/>
  <c r="AF3" i="51"/>
  <c r="AG3" i="51" s="1"/>
  <c r="AJ3" i="51"/>
  <c r="AI21" i="51"/>
  <c r="AI307" i="51"/>
  <c r="AF307" i="51"/>
  <c r="AG307" i="51" s="1"/>
  <c r="AI306" i="51"/>
  <c r="AF306" i="51"/>
  <c r="AG306" i="51" s="1"/>
  <c r="AI305" i="51"/>
  <c r="AF305" i="51"/>
  <c r="AG305" i="51" s="1"/>
  <c r="AI304" i="51"/>
  <c r="AF304" i="51"/>
  <c r="AG304" i="51" s="1"/>
  <c r="AI303" i="51"/>
  <c r="AF303" i="51"/>
  <c r="AG303" i="51" s="1"/>
  <c r="AI302" i="51"/>
  <c r="AF302" i="51"/>
  <c r="AG302" i="51" s="1"/>
  <c r="AI301" i="51"/>
  <c r="AF301" i="51"/>
  <c r="AG301" i="51" s="1"/>
  <c r="AI300" i="51"/>
  <c r="AF300" i="51"/>
  <c r="AG300" i="51" s="1"/>
  <c r="AI299" i="51"/>
  <c r="AF299" i="51"/>
  <c r="AG299" i="51" s="1"/>
  <c r="AI298" i="51"/>
  <c r="AF298" i="51"/>
  <c r="AG298" i="51" s="1"/>
  <c r="AI297" i="51"/>
  <c r="AF297" i="51"/>
  <c r="AG297" i="51" s="1"/>
  <c r="AI296" i="51"/>
  <c r="AF296" i="51"/>
  <c r="AG296" i="51" s="1"/>
  <c r="AI295" i="51"/>
  <c r="AF295" i="51"/>
  <c r="AG295" i="51" s="1"/>
  <c r="AI294" i="51"/>
  <c r="AF294" i="51"/>
  <c r="AG294" i="51" s="1"/>
  <c r="AI293" i="51"/>
  <c r="AF293" i="51"/>
  <c r="AG293" i="51" s="1"/>
  <c r="AI292" i="51"/>
  <c r="AF292" i="51"/>
  <c r="AG292" i="51" s="1"/>
  <c r="AI291" i="51"/>
  <c r="AF291" i="51"/>
  <c r="AG291" i="51" s="1"/>
  <c r="AI290" i="51"/>
  <c r="AF290" i="51"/>
  <c r="AG290" i="51" s="1"/>
  <c r="AI289" i="51"/>
  <c r="AF289" i="51"/>
  <c r="AG289" i="51" s="1"/>
  <c r="AI288" i="51"/>
  <c r="AF288" i="51"/>
  <c r="AG288" i="51" s="1"/>
  <c r="AI287" i="51"/>
  <c r="AF287" i="51"/>
  <c r="AG287" i="51" s="1"/>
  <c r="AI286" i="51"/>
  <c r="AF286" i="51"/>
  <c r="AG286" i="51" s="1"/>
  <c r="AI285" i="51"/>
  <c r="AF285" i="51"/>
  <c r="AG285" i="51" s="1"/>
  <c r="AI284" i="51"/>
  <c r="AF284" i="51"/>
  <c r="AG284" i="51" s="1"/>
  <c r="AI283" i="51"/>
  <c r="AF283" i="51"/>
  <c r="AG283" i="51" s="1"/>
  <c r="AI282" i="51"/>
  <c r="AF282" i="51"/>
  <c r="AG282" i="51" s="1"/>
  <c r="AI281" i="51"/>
  <c r="AF281" i="51"/>
  <c r="AG281" i="51" s="1"/>
  <c r="AI280" i="51"/>
  <c r="AF280" i="51"/>
  <c r="AG280" i="51" s="1"/>
  <c r="AI279" i="51"/>
  <c r="AF279" i="51"/>
  <c r="AG279" i="51" s="1"/>
  <c r="AI278" i="51"/>
  <c r="AF278" i="51"/>
  <c r="AG278" i="51" s="1"/>
  <c r="AI277" i="51"/>
  <c r="AF277" i="51"/>
  <c r="AG277" i="51" s="1"/>
  <c r="AI276" i="51"/>
  <c r="AF276" i="51"/>
  <c r="AG276" i="51" s="1"/>
  <c r="AI275" i="51"/>
  <c r="AF275" i="51"/>
  <c r="AG275" i="51" s="1"/>
  <c r="AI274" i="51"/>
  <c r="AF274" i="51"/>
  <c r="AG274" i="51" s="1"/>
  <c r="AI273" i="51"/>
  <c r="AF273" i="51"/>
  <c r="AG273" i="51" s="1"/>
  <c r="AI272" i="51"/>
  <c r="AF272" i="51"/>
  <c r="AG272" i="51" s="1"/>
  <c r="AI271" i="51"/>
  <c r="AF271" i="51"/>
  <c r="AG271" i="51" s="1"/>
  <c r="AE40" i="45"/>
  <c r="AI40" i="45" s="1"/>
  <c r="AF204" i="51"/>
  <c r="AG204" i="51" s="1"/>
  <c r="AI191" i="51"/>
  <c r="AF191" i="51"/>
  <c r="AG191" i="51" s="1"/>
  <c r="AI183" i="51"/>
  <c r="AF183" i="51"/>
  <c r="AG183" i="51" s="1"/>
  <c r="AF210" i="51"/>
  <c r="AG210" i="51" s="1"/>
  <c r="AF206" i="51"/>
  <c r="AG206" i="51" s="1"/>
  <c r="AF202" i="51"/>
  <c r="AG202" i="51" s="1"/>
  <c r="AF195" i="51"/>
  <c r="AG195" i="51" s="1"/>
  <c r="AJ195" i="51"/>
  <c r="AI187" i="51"/>
  <c r="AF187" i="51"/>
  <c r="AG187" i="51" s="1"/>
  <c r="AI179" i="51"/>
  <c r="AF179" i="51"/>
  <c r="AG179" i="51" s="1"/>
  <c r="AF209" i="51"/>
  <c r="AG209" i="51" s="1"/>
  <c r="AF205" i="51"/>
  <c r="AG205" i="51" s="1"/>
  <c r="AJ179" i="51"/>
  <c r="AF192" i="51"/>
  <c r="AG192" i="51" s="1"/>
  <c r="AF188" i="51"/>
  <c r="AG188" i="51" s="1"/>
  <c r="AF184" i="51"/>
  <c r="AG184" i="51" s="1"/>
  <c r="AF180" i="51"/>
  <c r="AG180" i="51" s="1"/>
  <c r="AF176" i="51"/>
  <c r="AG176" i="51" s="1"/>
  <c r="AF172" i="51"/>
  <c r="AG172" i="51" s="1"/>
  <c r="AF168" i="51"/>
  <c r="AG168" i="51" s="1"/>
  <c r="AF164" i="51"/>
  <c r="AG164" i="51" s="1"/>
  <c r="AF160" i="51"/>
  <c r="AG160" i="51" s="1"/>
  <c r="AF156" i="51"/>
  <c r="AG156" i="51" s="1"/>
  <c r="AF152" i="51"/>
  <c r="AG152" i="51" s="1"/>
  <c r="AF148" i="51"/>
  <c r="AG148" i="51" s="1"/>
  <c r="AF144" i="51"/>
  <c r="AG144" i="51" s="1"/>
  <c r="AF140" i="51"/>
  <c r="AG140" i="51" s="1"/>
  <c r="AF136" i="51"/>
  <c r="AG136" i="51" s="1"/>
  <c r="AF132" i="51"/>
  <c r="AG132" i="51" s="1"/>
  <c r="AF128" i="51"/>
  <c r="AG128" i="51" s="1"/>
  <c r="AF124" i="51"/>
  <c r="AG124" i="51" s="1"/>
  <c r="AF120" i="51"/>
  <c r="AG120" i="51" s="1"/>
  <c r="AC119" i="51"/>
  <c r="AF116" i="51"/>
  <c r="AG116" i="51" s="1"/>
  <c r="AF112" i="51"/>
  <c r="AG112" i="51" s="1"/>
  <c r="AF108" i="51"/>
  <c r="AG108" i="51" s="1"/>
  <c r="AF175" i="51"/>
  <c r="AG175" i="51" s="1"/>
  <c r="AF171" i="51"/>
  <c r="AG171" i="51" s="1"/>
  <c r="AF167" i="51"/>
  <c r="AG167" i="51" s="1"/>
  <c r="AF163" i="51"/>
  <c r="AG163" i="51" s="1"/>
  <c r="AF159" i="51"/>
  <c r="AG159" i="51" s="1"/>
  <c r="AF155" i="51"/>
  <c r="AG155" i="51" s="1"/>
  <c r="AF151" i="51"/>
  <c r="AG151" i="51" s="1"/>
  <c r="AF147" i="51"/>
  <c r="AG147" i="51" s="1"/>
  <c r="AF146" i="51"/>
  <c r="AG146" i="51" s="1"/>
  <c r="AF142" i="51"/>
  <c r="AG142" i="51" s="1"/>
  <c r="AF138" i="51"/>
  <c r="AG138" i="51" s="1"/>
  <c r="AF134" i="51"/>
  <c r="AG134" i="51" s="1"/>
  <c r="AF130" i="51"/>
  <c r="AG130" i="51" s="1"/>
  <c r="AF126" i="51"/>
  <c r="AG126" i="51" s="1"/>
  <c r="AF122" i="51"/>
  <c r="AG122" i="51" s="1"/>
  <c r="AF118" i="51"/>
  <c r="AG118" i="51" s="1"/>
  <c r="AF114" i="51"/>
  <c r="AG114" i="51" s="1"/>
  <c r="AF110" i="51"/>
  <c r="AG110" i="51" s="1"/>
  <c r="AJ90" i="51"/>
  <c r="AJ89" i="51"/>
  <c r="AJ88" i="51"/>
  <c r="AJ87" i="51"/>
  <c r="AE86" i="51"/>
  <c r="AF86" i="51" s="1"/>
  <c r="AG86" i="51" s="1"/>
  <c r="AC87" i="51"/>
  <c r="AJ85" i="51"/>
  <c r="AF85" i="51"/>
  <c r="AG85" i="51" s="1"/>
  <c r="AJ84" i="51"/>
  <c r="AF84" i="51"/>
  <c r="AG84" i="51" s="1"/>
  <c r="AI69" i="51"/>
  <c r="AF69" i="51"/>
  <c r="AG69" i="51" s="1"/>
  <c r="AI68" i="51"/>
  <c r="AF68" i="51"/>
  <c r="AG68" i="51" s="1"/>
  <c r="AJ68" i="51"/>
  <c r="AI67" i="51"/>
  <c r="AF67" i="51"/>
  <c r="AG67" i="51" s="1"/>
  <c r="AJ67" i="51"/>
  <c r="AI66" i="51"/>
  <c r="AF66" i="51"/>
  <c r="AG66" i="51" s="1"/>
  <c r="AJ66" i="51"/>
  <c r="AI65" i="51"/>
  <c r="AF65" i="51"/>
  <c r="AG65" i="51" s="1"/>
  <c r="AJ65" i="51"/>
  <c r="AI64" i="51"/>
  <c r="AF64" i="51"/>
  <c r="AG64" i="51" s="1"/>
  <c r="AJ64" i="51"/>
  <c r="AI63" i="51"/>
  <c r="AF63" i="51"/>
  <c r="AG63" i="51" s="1"/>
  <c r="AJ63" i="51"/>
  <c r="AI62" i="51"/>
  <c r="AF62" i="51"/>
  <c r="AG62" i="51" s="1"/>
  <c r="AJ62" i="51"/>
  <c r="AI61" i="51"/>
  <c r="AF61" i="51"/>
  <c r="AG61" i="51" s="1"/>
  <c r="AJ61" i="51"/>
  <c r="AI60" i="51"/>
  <c r="AF60" i="51"/>
  <c r="AG60" i="51" s="1"/>
  <c r="AJ60" i="51"/>
  <c r="AI59" i="51"/>
  <c r="AF59" i="51"/>
  <c r="AG59" i="51" s="1"/>
  <c r="AJ59" i="51"/>
  <c r="AI58" i="51"/>
  <c r="AF58" i="51"/>
  <c r="AG58" i="51" s="1"/>
  <c r="AJ58" i="51"/>
  <c r="AI57" i="51"/>
  <c r="AF57" i="51"/>
  <c r="AG57" i="51" s="1"/>
  <c r="AJ57" i="51"/>
  <c r="AI56" i="51"/>
  <c r="AF56" i="51"/>
  <c r="AG56" i="51" s="1"/>
  <c r="AJ56" i="51"/>
  <c r="AI55" i="51"/>
  <c r="AF55" i="51"/>
  <c r="AG55" i="51" s="1"/>
  <c r="AJ55" i="51"/>
  <c r="AI54" i="51"/>
  <c r="AF54" i="51"/>
  <c r="AG54" i="51" s="1"/>
  <c r="AJ54" i="51"/>
  <c r="AI53" i="51"/>
  <c r="AF53" i="51"/>
  <c r="AG53" i="51" s="1"/>
  <c r="AJ53" i="51"/>
  <c r="AI52" i="51"/>
  <c r="AF52" i="51"/>
  <c r="AG52" i="51" s="1"/>
  <c r="AJ52" i="51"/>
  <c r="AI51" i="51"/>
  <c r="AF51" i="51"/>
  <c r="AG51" i="51" s="1"/>
  <c r="AJ51" i="51"/>
  <c r="AI50" i="51"/>
  <c r="AF50" i="51"/>
  <c r="AG50" i="51" s="1"/>
  <c r="AJ50" i="51"/>
  <c r="AI49" i="51"/>
  <c r="AF49" i="51"/>
  <c r="AG49" i="51" s="1"/>
  <c r="AJ49" i="51"/>
  <c r="AI48" i="51"/>
  <c r="AF48" i="51"/>
  <c r="AG48" i="51" s="1"/>
  <c r="AJ48" i="51"/>
  <c r="AI47" i="51"/>
  <c r="AF47" i="51"/>
  <c r="AG47" i="51" s="1"/>
  <c r="AJ47" i="51"/>
  <c r="AI46" i="51"/>
  <c r="AF46" i="51"/>
  <c r="AG46" i="51" s="1"/>
  <c r="AJ46" i="51"/>
  <c r="AI45" i="51"/>
  <c r="AF45" i="51"/>
  <c r="AG45" i="51" s="1"/>
  <c r="AJ45" i="51"/>
  <c r="AI44" i="51"/>
  <c r="AF44" i="51"/>
  <c r="AG44" i="51" s="1"/>
  <c r="AJ44" i="51"/>
  <c r="AI43" i="51"/>
  <c r="AF43" i="51"/>
  <c r="AG43" i="51" s="1"/>
  <c r="AJ43" i="51"/>
  <c r="AJ21" i="51"/>
  <c r="AF19" i="51"/>
  <c r="AG19" i="51" s="1"/>
  <c r="AJ19" i="51"/>
  <c r="AF16" i="51"/>
  <c r="AG16" i="51" s="1"/>
  <c r="AJ16" i="51"/>
  <c r="AF13" i="51"/>
  <c r="AG13" i="51" s="1"/>
  <c r="AJ13" i="51"/>
  <c r="AF10" i="51"/>
  <c r="AG10" i="51" s="1"/>
  <c r="AJ10" i="51"/>
  <c r="AF7" i="51"/>
  <c r="AG7" i="51" s="1"/>
  <c r="AJ7" i="51"/>
  <c r="AJ42" i="51"/>
  <c r="AF42" i="51"/>
  <c r="AG42" i="51" s="1"/>
  <c r="AF18" i="51"/>
  <c r="AG18" i="51" s="1"/>
  <c r="AJ18" i="51"/>
  <c r="AF15" i="51"/>
  <c r="AG15" i="51" s="1"/>
  <c r="AJ15" i="51"/>
  <c r="AF12" i="51"/>
  <c r="AG12" i="51" s="1"/>
  <c r="AJ12" i="51"/>
  <c r="AF9" i="51"/>
  <c r="AG9" i="51" s="1"/>
  <c r="AJ9" i="51"/>
  <c r="AF6" i="51"/>
  <c r="AG6" i="51" s="1"/>
  <c r="AJ6" i="51"/>
  <c r="AG4" i="51"/>
  <c r="AF20" i="51"/>
  <c r="AG20" i="51" s="1"/>
  <c r="AJ20" i="51"/>
  <c r="AI18" i="51"/>
  <c r="AF17" i="51"/>
  <c r="AG17" i="51" s="1"/>
  <c r="AJ17" i="51"/>
  <c r="AI15" i="51"/>
  <c r="AF14" i="51"/>
  <c r="AG14" i="51" s="1"/>
  <c r="AJ14" i="51"/>
  <c r="AI12" i="51"/>
  <c r="AF11" i="51"/>
  <c r="AG11" i="51" s="1"/>
  <c r="AJ11" i="51"/>
  <c r="AI9" i="51"/>
  <c r="AF8" i="51"/>
  <c r="AG8" i="51" s="1"/>
  <c r="AJ8" i="51"/>
  <c r="AI6" i="51"/>
  <c r="AF5" i="51"/>
  <c r="AG5" i="51" s="1"/>
  <c r="AJ5" i="51"/>
  <c r="AC277" i="24"/>
  <c r="AE277" i="24"/>
  <c r="AF277" i="24" s="1"/>
  <c r="AG277" i="24" s="1"/>
  <c r="AC239" i="24"/>
  <c r="AE239" i="24"/>
  <c r="AI239" i="24" s="1"/>
  <c r="AC238" i="24"/>
  <c r="AE238" i="24"/>
  <c r="AI238" i="24" s="1"/>
  <c r="AC237" i="24"/>
  <c r="AE237" i="24"/>
  <c r="AI237" i="24" s="1"/>
  <c r="AC236" i="24"/>
  <c r="AE236" i="24"/>
  <c r="AJ236" i="24" s="1"/>
  <c r="AC235" i="24"/>
  <c r="AE235" i="24"/>
  <c r="AC234" i="24"/>
  <c r="AE234" i="24"/>
  <c r="AJ234" i="24" s="1"/>
  <c r="AC233" i="24"/>
  <c r="AE233" i="24"/>
  <c r="AJ233" i="24" s="1"/>
  <c r="AC232" i="24"/>
  <c r="AE232" i="24"/>
  <c r="AJ232" i="24" s="1"/>
  <c r="AC231" i="24"/>
  <c r="AE231" i="24"/>
  <c r="AF231" i="24" s="1"/>
  <c r="AG231" i="24" s="1"/>
  <c r="AC230" i="24"/>
  <c r="AE230" i="24"/>
  <c r="AF230" i="24" s="1"/>
  <c r="AG230" i="24" s="1"/>
  <c r="AC229" i="24"/>
  <c r="AE229" i="24"/>
  <c r="AI229" i="24" s="1"/>
  <c r="AC228" i="24"/>
  <c r="AE228" i="24"/>
  <c r="AJ228" i="24" s="1"/>
  <c r="AC227" i="24"/>
  <c r="AE227" i="24"/>
  <c r="AI227" i="24" s="1"/>
  <c r="AC226" i="24"/>
  <c r="AE226" i="24"/>
  <c r="AI226" i="24" s="1"/>
  <c r="AC225" i="24"/>
  <c r="AE225" i="24"/>
  <c r="AF225" i="24" s="1"/>
  <c r="AG225" i="24" s="1"/>
  <c r="AC224" i="24"/>
  <c r="AE224" i="24"/>
  <c r="AI224" i="24" s="1"/>
  <c r="AC223" i="24"/>
  <c r="AE223" i="24"/>
  <c r="AF223" i="24" s="1"/>
  <c r="AG223" i="24" s="1"/>
  <c r="AC222" i="24"/>
  <c r="AE222" i="24"/>
  <c r="AF222" i="24" s="1"/>
  <c r="AG222" i="24" s="1"/>
  <c r="AC221" i="24"/>
  <c r="AE221" i="24"/>
  <c r="AJ221" i="24" s="1"/>
  <c r="AC220" i="24"/>
  <c r="AE220" i="24"/>
  <c r="AI220" i="24" s="1"/>
  <c r="AC219" i="24"/>
  <c r="AE219" i="24"/>
  <c r="AI219" i="24" s="1"/>
  <c r="AC218" i="24"/>
  <c r="AE218" i="24"/>
  <c r="AJ218" i="24" s="1"/>
  <c r="AC217" i="24"/>
  <c r="AE217" i="24"/>
  <c r="AI217" i="24" s="1"/>
  <c r="AC216" i="24"/>
  <c r="AE216" i="24"/>
  <c r="AJ216" i="24" s="1"/>
  <c r="AC215" i="24"/>
  <c r="AE215" i="24"/>
  <c r="AI215" i="24" s="1"/>
  <c r="AC214" i="24"/>
  <c r="AE214" i="24"/>
  <c r="AJ214" i="24" s="1"/>
  <c r="AC213" i="24"/>
  <c r="AE213" i="24"/>
  <c r="AF213" i="24" s="1"/>
  <c r="AG213" i="24" s="1"/>
  <c r="AC212" i="24"/>
  <c r="AE212" i="24"/>
  <c r="AI212" i="24" s="1"/>
  <c r="AC211" i="24"/>
  <c r="AE211" i="24"/>
  <c r="AJ211" i="24" s="1"/>
  <c r="AC210" i="24"/>
  <c r="AE210" i="24"/>
  <c r="AI210" i="24" s="1"/>
  <c r="AC209" i="24"/>
  <c r="AE209" i="24"/>
  <c r="AJ209" i="24" s="1"/>
  <c r="AC208" i="24"/>
  <c r="AE208" i="24"/>
  <c r="AI208" i="24" s="1"/>
  <c r="AC207" i="24"/>
  <c r="AE207" i="24"/>
  <c r="AF207" i="24" s="1"/>
  <c r="AG207" i="24" s="1"/>
  <c r="AC206" i="24"/>
  <c r="AE206" i="24"/>
  <c r="AI206" i="24" s="1"/>
  <c r="AC205" i="24"/>
  <c r="AE205" i="24"/>
  <c r="AI205" i="24" s="1"/>
  <c r="AC204" i="24"/>
  <c r="AE204" i="24"/>
  <c r="AF204" i="24" s="1"/>
  <c r="AG204" i="24" s="1"/>
  <c r="AC203" i="24"/>
  <c r="AE203" i="24"/>
  <c r="AF203" i="24" s="1"/>
  <c r="AG203" i="24" s="1"/>
  <c r="AC202" i="24"/>
  <c r="AE202" i="24"/>
  <c r="AJ202" i="24" s="1"/>
  <c r="AC201" i="24"/>
  <c r="AE201" i="24"/>
  <c r="AI201" i="24" s="1"/>
  <c r="AC200" i="24"/>
  <c r="AE200" i="24"/>
  <c r="AJ200" i="24" s="1"/>
  <c r="AC199" i="24"/>
  <c r="AE199" i="24"/>
  <c r="AJ199" i="24" s="1"/>
  <c r="AC198" i="24"/>
  <c r="AE198" i="24"/>
  <c r="AF198" i="24" s="1"/>
  <c r="AG198" i="24" s="1"/>
  <c r="AC197" i="24"/>
  <c r="AE197" i="24"/>
  <c r="AJ197" i="24" s="1"/>
  <c r="AC196" i="24"/>
  <c r="AE196" i="24"/>
  <c r="AI196" i="24" s="1"/>
  <c r="AC195" i="24"/>
  <c r="AE195" i="24"/>
  <c r="AJ195" i="24" s="1"/>
  <c r="AC194" i="24"/>
  <c r="AE194" i="24"/>
  <c r="AJ194" i="24" s="1"/>
  <c r="AC193" i="24"/>
  <c r="AE193" i="24"/>
  <c r="AI193" i="24" s="1"/>
  <c r="AC192" i="24"/>
  <c r="AE192" i="24"/>
  <c r="AF192" i="24" s="1"/>
  <c r="AG192" i="24" s="1"/>
  <c r="AC191" i="24"/>
  <c r="AE191" i="24"/>
  <c r="AF191" i="24" s="1"/>
  <c r="AG191" i="24" s="1"/>
  <c r="AC190" i="24"/>
  <c r="AE190" i="24"/>
  <c r="AI190" i="24" s="1"/>
  <c r="AC189" i="24"/>
  <c r="AE189" i="24"/>
  <c r="AI189" i="24" s="1"/>
  <c r="AC187" i="24"/>
  <c r="AE187" i="24"/>
  <c r="AJ187" i="24" s="1"/>
  <c r="AC186" i="24"/>
  <c r="AE186" i="24"/>
  <c r="AJ186" i="24" s="1"/>
  <c r="AC185" i="24"/>
  <c r="AE185" i="24"/>
  <c r="AJ185" i="24" s="1"/>
  <c r="AC184" i="24"/>
  <c r="AE184" i="24"/>
  <c r="AF184" i="24" s="1"/>
  <c r="AG184" i="24" s="1"/>
  <c r="AC183" i="24"/>
  <c r="AE183" i="24"/>
  <c r="AI183" i="24" s="1"/>
  <c r="AC182" i="24"/>
  <c r="AE182" i="24"/>
  <c r="AF182" i="24" s="1"/>
  <c r="AG182" i="24" s="1"/>
  <c r="AC181" i="24"/>
  <c r="AE181" i="24"/>
  <c r="AI181" i="24" s="1"/>
  <c r="AC180" i="24"/>
  <c r="AE180" i="24"/>
  <c r="AF180" i="24" s="1"/>
  <c r="AG180" i="24" s="1"/>
  <c r="AC179" i="24"/>
  <c r="AE179" i="24"/>
  <c r="AF179" i="24" s="1"/>
  <c r="AG179" i="24" s="1"/>
  <c r="AC178" i="24"/>
  <c r="AE178" i="24"/>
  <c r="AI178" i="24" s="1"/>
  <c r="AC177" i="24"/>
  <c r="AE177" i="24"/>
  <c r="AI177" i="24" s="1"/>
  <c r="AC176" i="24"/>
  <c r="AE176" i="24"/>
  <c r="AJ176" i="24" s="1"/>
  <c r="AC175" i="24"/>
  <c r="AE175" i="24"/>
  <c r="AI175" i="24" s="1"/>
  <c r="AC174" i="24"/>
  <c r="AE174" i="24"/>
  <c r="AJ174" i="24" s="1"/>
  <c r="AC173" i="24"/>
  <c r="AE173" i="24"/>
  <c r="AJ173" i="24" s="1"/>
  <c r="AC172" i="24"/>
  <c r="AE172" i="24"/>
  <c r="AF172" i="24" s="1"/>
  <c r="AG172" i="24" s="1"/>
  <c r="AC171" i="24"/>
  <c r="AE171" i="24"/>
  <c r="AI171" i="24" s="1"/>
  <c r="AC169" i="24"/>
  <c r="AE169" i="24"/>
  <c r="AJ169" i="24" s="1"/>
  <c r="AC168" i="24"/>
  <c r="AE168" i="24"/>
  <c r="AI168" i="24" s="1"/>
  <c r="AC167" i="24"/>
  <c r="AE167" i="24"/>
  <c r="AF167" i="24" s="1"/>
  <c r="AG167" i="24" s="1"/>
  <c r="AC166" i="24"/>
  <c r="AE166" i="24"/>
  <c r="AF166" i="24" s="1"/>
  <c r="AG166" i="24" s="1"/>
  <c r="AC165" i="24"/>
  <c r="AE165" i="24"/>
  <c r="AI165" i="24" s="1"/>
  <c r="AC164" i="24"/>
  <c r="AE164" i="24"/>
  <c r="AJ164" i="24" s="1"/>
  <c r="AC163" i="24"/>
  <c r="AE163" i="24"/>
  <c r="AI163" i="24" s="1"/>
  <c r="AC162" i="24"/>
  <c r="AE162" i="24"/>
  <c r="AI162" i="24" s="1"/>
  <c r="AC161" i="24"/>
  <c r="AE161" i="24"/>
  <c r="AF161" i="24" s="1"/>
  <c r="AG161" i="24" s="1"/>
  <c r="AC160" i="24"/>
  <c r="AE160" i="24"/>
  <c r="AI160" i="24" s="1"/>
  <c r="AC159" i="24"/>
  <c r="AE159" i="24"/>
  <c r="AI159" i="24" s="1"/>
  <c r="AC158" i="24"/>
  <c r="AE158" i="24"/>
  <c r="AJ158" i="24" s="1"/>
  <c r="AC157" i="24"/>
  <c r="AE157" i="24"/>
  <c r="AI157" i="24" s="1"/>
  <c r="AC156" i="24"/>
  <c r="AE156" i="24"/>
  <c r="AI156" i="24" s="1"/>
  <c r="AC155" i="24"/>
  <c r="AE155" i="24"/>
  <c r="AI155" i="24" s="1"/>
  <c r="AC154" i="24"/>
  <c r="AE154" i="24"/>
  <c r="AI154" i="24" s="1"/>
  <c r="AC153" i="24"/>
  <c r="AE153" i="24"/>
  <c r="AJ153" i="24" s="1"/>
  <c r="AC152" i="24"/>
  <c r="AE152" i="24"/>
  <c r="AI152" i="24" s="1"/>
  <c r="AC151" i="24"/>
  <c r="AE151" i="24"/>
  <c r="AJ151" i="24" s="1"/>
  <c r="AC150" i="24"/>
  <c r="AE150" i="24"/>
  <c r="AJ150" i="24" s="1"/>
  <c r="AC149" i="24"/>
  <c r="AE149" i="24"/>
  <c r="AJ149" i="24" s="1"/>
  <c r="AC148" i="24"/>
  <c r="AE148" i="24"/>
  <c r="AI148" i="24" s="1"/>
  <c r="AC147" i="24"/>
  <c r="AE147" i="24"/>
  <c r="AJ147" i="24" s="1"/>
  <c r="AC146" i="24"/>
  <c r="AE146" i="24"/>
  <c r="AI146" i="24" s="1"/>
  <c r="AC145" i="24"/>
  <c r="AE145" i="24"/>
  <c r="AJ145" i="24" s="1"/>
  <c r="AC144" i="24"/>
  <c r="AE144" i="24"/>
  <c r="AF144" i="24" s="1"/>
  <c r="AG144" i="24" s="1"/>
  <c r="AC143" i="24"/>
  <c r="AE143" i="24"/>
  <c r="AJ143" i="24" s="1"/>
  <c r="AC142" i="24"/>
  <c r="AE142" i="24"/>
  <c r="AJ142" i="24" s="1"/>
  <c r="AC141" i="24"/>
  <c r="AE141" i="24"/>
  <c r="AF141" i="24" s="1"/>
  <c r="AG141" i="24" s="1"/>
  <c r="AC140" i="24"/>
  <c r="AE140" i="24"/>
  <c r="AF140" i="24" s="1"/>
  <c r="AG140" i="24" s="1"/>
  <c r="AC139" i="24"/>
  <c r="AE139" i="24"/>
  <c r="AI139" i="24" s="1"/>
  <c r="AC138" i="24"/>
  <c r="AE138" i="24"/>
  <c r="AF138" i="24" s="1"/>
  <c r="AG138" i="24" s="1"/>
  <c r="AC137" i="24"/>
  <c r="AE137" i="24"/>
  <c r="AI137" i="24" s="1"/>
  <c r="AC136" i="24"/>
  <c r="AE136" i="24"/>
  <c r="AJ136" i="24" s="1"/>
  <c r="AC135" i="24"/>
  <c r="AE135" i="24"/>
  <c r="AJ135" i="24" s="1"/>
  <c r="AC134" i="24"/>
  <c r="AE134" i="24"/>
  <c r="AF134" i="24" s="1"/>
  <c r="AG134" i="24" s="1"/>
  <c r="AC133" i="24"/>
  <c r="AE133" i="24"/>
  <c r="AJ133" i="24" s="1"/>
  <c r="AC132" i="24"/>
  <c r="AE132" i="24"/>
  <c r="AI132" i="24" s="1"/>
  <c r="AC131" i="24"/>
  <c r="AE131" i="24"/>
  <c r="AI131" i="24" s="1"/>
  <c r="AC130" i="24"/>
  <c r="AE130" i="24"/>
  <c r="AI130" i="24" s="1"/>
  <c r="AC129" i="24"/>
  <c r="AE129" i="24"/>
  <c r="AF129" i="24" s="1"/>
  <c r="AG129" i="24" s="1"/>
  <c r="AC128" i="24"/>
  <c r="AE128" i="24"/>
  <c r="AJ128" i="24" s="1"/>
  <c r="AC127" i="24"/>
  <c r="AE127" i="24"/>
  <c r="AF127" i="24" s="1"/>
  <c r="AG127" i="24" s="1"/>
  <c r="AC126" i="24"/>
  <c r="AE126" i="24"/>
  <c r="AJ126" i="24" s="1"/>
  <c r="AC125" i="24"/>
  <c r="AE125" i="24"/>
  <c r="AI125" i="24" s="1"/>
  <c r="AC124" i="24"/>
  <c r="AE124" i="24"/>
  <c r="AI124" i="24" s="1"/>
  <c r="AC123" i="24"/>
  <c r="AE123" i="24"/>
  <c r="AI123" i="24" s="1"/>
  <c r="AC122" i="24"/>
  <c r="AE122" i="24"/>
  <c r="AI122" i="24" s="1"/>
  <c r="AC121" i="24"/>
  <c r="AE121" i="24"/>
  <c r="AI121" i="24" s="1"/>
  <c r="AC120" i="24"/>
  <c r="AE120" i="24"/>
  <c r="AI120" i="24" s="1"/>
  <c r="AC118" i="24"/>
  <c r="AE118" i="24"/>
  <c r="AI118" i="24" s="1"/>
  <c r="AC117" i="24"/>
  <c r="AE117" i="24"/>
  <c r="AJ117" i="24" s="1"/>
  <c r="AC116" i="24"/>
  <c r="AE116" i="24"/>
  <c r="AI116" i="24" s="1"/>
  <c r="AC115" i="24"/>
  <c r="AE115" i="24"/>
  <c r="AF115" i="24" s="1"/>
  <c r="AG115" i="24" s="1"/>
  <c r="AC114" i="24"/>
  <c r="AE114" i="24"/>
  <c r="AI114" i="24" s="1"/>
  <c r="AC113" i="24"/>
  <c r="AE113" i="24"/>
  <c r="AJ113" i="24" s="1"/>
  <c r="AC112" i="24"/>
  <c r="AE112" i="24"/>
  <c r="AJ112" i="24" s="1"/>
  <c r="AC111" i="24"/>
  <c r="AE111" i="24"/>
  <c r="AJ111" i="24" s="1"/>
  <c r="AC110" i="24"/>
  <c r="AE110" i="24"/>
  <c r="AJ110" i="24" s="1"/>
  <c r="AC109" i="24"/>
  <c r="AE109" i="24"/>
  <c r="AJ109" i="24" s="1"/>
  <c r="AC108" i="24"/>
  <c r="AE108" i="24"/>
  <c r="AI108" i="24" s="1"/>
  <c r="AC107" i="24"/>
  <c r="AE107" i="24"/>
  <c r="AI107" i="24" s="1"/>
  <c r="AC106" i="24"/>
  <c r="AE106" i="24"/>
  <c r="AI106" i="24" s="1"/>
  <c r="AC105" i="24"/>
  <c r="AE105" i="24"/>
  <c r="AJ105" i="24" s="1"/>
  <c r="AC104" i="24"/>
  <c r="AE104" i="24"/>
  <c r="AJ104" i="24" s="1"/>
  <c r="AC103" i="24"/>
  <c r="AE103" i="24"/>
  <c r="AC102" i="24"/>
  <c r="AE102" i="24"/>
  <c r="AF102" i="24" s="1"/>
  <c r="AG102" i="24" s="1"/>
  <c r="AC101" i="24"/>
  <c r="AE101" i="24"/>
  <c r="AF101" i="24" s="1"/>
  <c r="AG101" i="24" s="1"/>
  <c r="AC100" i="24"/>
  <c r="AE100" i="24"/>
  <c r="AF100" i="24" s="1"/>
  <c r="AG100" i="24" s="1"/>
  <c r="AC99" i="24"/>
  <c r="AE99" i="24"/>
  <c r="AC98" i="24"/>
  <c r="AE98" i="24"/>
  <c r="AC97" i="24"/>
  <c r="AE119" i="24"/>
  <c r="AF119" i="24" s="1"/>
  <c r="AG119" i="24" s="1"/>
  <c r="AE97" i="24"/>
  <c r="AC96" i="24"/>
  <c r="AE96" i="24"/>
  <c r="AC95" i="24"/>
  <c r="AE95" i="24"/>
  <c r="AC94" i="24"/>
  <c r="AE94" i="24"/>
  <c r="AC93" i="24"/>
  <c r="AE93" i="24"/>
  <c r="AC92" i="24"/>
  <c r="AE92" i="24"/>
  <c r="AC91" i="24"/>
  <c r="AE91" i="24"/>
  <c r="AC90" i="24"/>
  <c r="AE90" i="24"/>
  <c r="AC89" i="24"/>
  <c r="AE89" i="24"/>
  <c r="AC88" i="24"/>
  <c r="AE88" i="24"/>
  <c r="AC86" i="24"/>
  <c r="AE87" i="24"/>
  <c r="AE86" i="24"/>
  <c r="AC85" i="24"/>
  <c r="AE85" i="24"/>
  <c r="AC84" i="24"/>
  <c r="AE84" i="24"/>
  <c r="AC83" i="24"/>
  <c r="AE83" i="24"/>
  <c r="AC82" i="24"/>
  <c r="AE82" i="24"/>
  <c r="AC81" i="24"/>
  <c r="AE81" i="24"/>
  <c r="AC80" i="24"/>
  <c r="AE80" i="24"/>
  <c r="AC79" i="24"/>
  <c r="AE79" i="24"/>
  <c r="AC78" i="24"/>
  <c r="AE78" i="24"/>
  <c r="AC77" i="24"/>
  <c r="AE77" i="24"/>
  <c r="AC76" i="24"/>
  <c r="AE76" i="24"/>
  <c r="AC75" i="24"/>
  <c r="AE75" i="24"/>
  <c r="AC74" i="24"/>
  <c r="AE74" i="24"/>
  <c r="AC73" i="24"/>
  <c r="AE73" i="24"/>
  <c r="AC72" i="24"/>
  <c r="AE72" i="24"/>
  <c r="AC71" i="24"/>
  <c r="AE71" i="24"/>
  <c r="AC70" i="24"/>
  <c r="AE70" i="24"/>
  <c r="AC69" i="24"/>
  <c r="AE69" i="24"/>
  <c r="AC68" i="24"/>
  <c r="AE68" i="24"/>
  <c r="AC67" i="24"/>
  <c r="AE67" i="24"/>
  <c r="AC66" i="24"/>
  <c r="AE66" i="24"/>
  <c r="AC65" i="24"/>
  <c r="AE65" i="24"/>
  <c r="AC64" i="24"/>
  <c r="AE64" i="24"/>
  <c r="AC63" i="24"/>
  <c r="AE63" i="24"/>
  <c r="AC62" i="24"/>
  <c r="AE62" i="24"/>
  <c r="AC61" i="24"/>
  <c r="AE61" i="24"/>
  <c r="AC60" i="24"/>
  <c r="AE60" i="24"/>
  <c r="AC59" i="24"/>
  <c r="AE59" i="24"/>
  <c r="AC58" i="24"/>
  <c r="AE58" i="24"/>
  <c r="AC57" i="24"/>
  <c r="AE57" i="24"/>
  <c r="AC56" i="24"/>
  <c r="AE56" i="24"/>
  <c r="AC55" i="24"/>
  <c r="AE55" i="24"/>
  <c r="AC54" i="24"/>
  <c r="AE54" i="24"/>
  <c r="AC53" i="24"/>
  <c r="AE53" i="24"/>
  <c r="AC52" i="24"/>
  <c r="AE52" i="24"/>
  <c r="AC51" i="24"/>
  <c r="AE51" i="24"/>
  <c r="AC50" i="24"/>
  <c r="AE50" i="24"/>
  <c r="AC49" i="24"/>
  <c r="AE49" i="24"/>
  <c r="AC48" i="24"/>
  <c r="AE48" i="24"/>
  <c r="AC47" i="24"/>
  <c r="AE47" i="24"/>
  <c r="AC46" i="24"/>
  <c r="AE46" i="24"/>
  <c r="AC45" i="24"/>
  <c r="AE45" i="24"/>
  <c r="AC44" i="24"/>
  <c r="AE44" i="24"/>
  <c r="AC43" i="24"/>
  <c r="AE43" i="24"/>
  <c r="AC42" i="24"/>
  <c r="AE42" i="24"/>
  <c r="AC41" i="24"/>
  <c r="AE41" i="24"/>
  <c r="AC40" i="24"/>
  <c r="AE40" i="24"/>
  <c r="AC38" i="24"/>
  <c r="AE38" i="24"/>
  <c r="AC37" i="24"/>
  <c r="AE37" i="24"/>
  <c r="AC36" i="24"/>
  <c r="AE36" i="24"/>
  <c r="AC35" i="24"/>
  <c r="AE35" i="24"/>
  <c r="AC33" i="24"/>
  <c r="AE33" i="24"/>
  <c r="AC30" i="24"/>
  <c r="AE30" i="24"/>
  <c r="AC29" i="24"/>
  <c r="AE29" i="24"/>
  <c r="AC23" i="24"/>
  <c r="AE23" i="24"/>
  <c r="AC22" i="24"/>
  <c r="AE22" i="24"/>
  <c r="AC18" i="24"/>
  <c r="AE18" i="24"/>
  <c r="AC17" i="24"/>
  <c r="AE17" i="24"/>
  <c r="AC16" i="24"/>
  <c r="AE16" i="24"/>
  <c r="AC15" i="24"/>
  <c r="AE15" i="24"/>
  <c r="AC14" i="24"/>
  <c r="AE14" i="24"/>
  <c r="AC13" i="24"/>
  <c r="AE13" i="24"/>
  <c r="AC12" i="24"/>
  <c r="AE12" i="24"/>
  <c r="AC6" i="24"/>
  <c r="AE6" i="24"/>
  <c r="AC5" i="24"/>
  <c r="AE5" i="24"/>
  <c r="AC4" i="24"/>
  <c r="AE4" i="24"/>
  <c r="AC39" i="24"/>
  <c r="AE39" i="24"/>
  <c r="AC34" i="24"/>
  <c r="AE34" i="24"/>
  <c r="AC31" i="24"/>
  <c r="AE31" i="24"/>
  <c r="AC28" i="24"/>
  <c r="AE28" i="24"/>
  <c r="AC27" i="24"/>
  <c r="AE27" i="24"/>
  <c r="AC25" i="24"/>
  <c r="AE26" i="24"/>
  <c r="AE25" i="24"/>
  <c r="AC24" i="24"/>
  <c r="AE24" i="24"/>
  <c r="AC2" i="24"/>
  <c r="AE2" i="24"/>
  <c r="AC3" i="24"/>
  <c r="AE3" i="24"/>
  <c r="AC9" i="24"/>
  <c r="AE9" i="24"/>
  <c r="AC7" i="24"/>
  <c r="AE7" i="24"/>
  <c r="AC21" i="24"/>
  <c r="AE21" i="24"/>
  <c r="AC20" i="24"/>
  <c r="AE20" i="24"/>
  <c r="AC19" i="24"/>
  <c r="AE19" i="24"/>
  <c r="AC11" i="24"/>
  <c r="AE11" i="24"/>
  <c r="AC188" i="24"/>
  <c r="AE188" i="24"/>
  <c r="AC254" i="24"/>
  <c r="AE254" i="24"/>
  <c r="AF254" i="24" s="1"/>
  <c r="AG254" i="24" s="1"/>
  <c r="AC253" i="24"/>
  <c r="AE253" i="24"/>
  <c r="AC251" i="24"/>
  <c r="AE251" i="24"/>
  <c r="AF251" i="24" s="1"/>
  <c r="AG251" i="24" s="1"/>
  <c r="AC250" i="24"/>
  <c r="AE250" i="24"/>
  <c r="AJ250" i="24" s="1"/>
  <c r="AC247" i="24"/>
  <c r="AE247" i="24"/>
  <c r="AI247" i="24" s="1"/>
  <c r="AC246" i="24"/>
  <c r="AE246" i="24"/>
  <c r="AI246" i="24" s="1"/>
  <c r="AC244" i="24"/>
  <c r="AE244" i="24"/>
  <c r="AI244" i="24" s="1"/>
  <c r="AC243" i="24"/>
  <c r="AE243" i="24"/>
  <c r="AC241" i="24"/>
  <c r="AE241" i="24"/>
  <c r="AI241" i="24" s="1"/>
  <c r="AF97" i="51"/>
  <c r="AG97" i="51" s="1"/>
  <c r="AI97" i="51"/>
  <c r="AJ97" i="51"/>
  <c r="AF25" i="51"/>
  <c r="AG25" i="51" s="1"/>
  <c r="AI25" i="51"/>
  <c r="AJ25" i="51"/>
  <c r="AE686" i="42"/>
  <c r="AF686" i="42" s="1"/>
  <c r="AG686" i="42" s="1"/>
  <c r="AE712" i="42"/>
  <c r="AF712" i="42" s="1"/>
  <c r="AG712" i="42" s="1"/>
  <c r="AE683" i="42"/>
  <c r="AI683" i="42" s="1"/>
  <c r="AE710" i="42"/>
  <c r="AF710" i="42" s="1"/>
  <c r="AG710" i="42" s="1"/>
  <c r="AE680" i="42"/>
  <c r="AF680" i="42" s="1"/>
  <c r="AG680" i="42" s="1"/>
  <c r="AE678" i="42"/>
  <c r="AI678" i="42" s="1"/>
  <c r="AE675" i="42"/>
  <c r="AI675" i="42" s="1"/>
  <c r="AE756" i="42"/>
  <c r="AI756" i="42" s="1"/>
  <c r="AE2" i="51"/>
  <c r="AC2" i="51"/>
  <c r="AJ330" i="51"/>
  <c r="AI330" i="51"/>
  <c r="AF330" i="51"/>
  <c r="AG330" i="51" s="1"/>
  <c r="AJ331" i="51"/>
  <c r="AI331" i="51"/>
  <c r="AF331" i="51"/>
  <c r="AG331" i="51" s="1"/>
  <c r="AJ332" i="51"/>
  <c r="AI332" i="51"/>
  <c r="AF332" i="51"/>
  <c r="AG332" i="51" s="1"/>
  <c r="AJ333" i="51"/>
  <c r="AI333" i="51"/>
  <c r="AF333" i="51"/>
  <c r="AG333" i="51" s="1"/>
  <c r="AJ334" i="51"/>
  <c r="AI334" i="51"/>
  <c r="AF334" i="51"/>
  <c r="AG334" i="51" s="1"/>
  <c r="AJ335" i="51"/>
  <c r="AI335" i="51"/>
  <c r="AF335" i="51"/>
  <c r="AG335" i="51" s="1"/>
  <c r="AJ336" i="51"/>
  <c r="AI336" i="51"/>
  <c r="AF336" i="51"/>
  <c r="AG336" i="51" s="1"/>
  <c r="AJ337" i="51"/>
  <c r="AI337" i="51"/>
  <c r="AF337" i="51"/>
  <c r="AG337" i="51" s="1"/>
  <c r="AJ338" i="51"/>
  <c r="AI338" i="51"/>
  <c r="AF338" i="51"/>
  <c r="AG338" i="51" s="1"/>
  <c r="AJ339" i="51"/>
  <c r="AI339" i="51"/>
  <c r="AF339" i="51"/>
  <c r="AG339" i="51" s="1"/>
  <c r="AJ340" i="51"/>
  <c r="AI340" i="51"/>
  <c r="AF340" i="51"/>
  <c r="AG340" i="51" s="1"/>
  <c r="AJ341" i="51"/>
  <c r="AI341" i="51"/>
  <c r="AF341" i="51"/>
  <c r="AG341" i="51" s="1"/>
  <c r="AJ342" i="51"/>
  <c r="AI342" i="51"/>
  <c r="AF342" i="51"/>
  <c r="AG342" i="51" s="1"/>
  <c r="AJ343" i="51"/>
  <c r="AI343" i="51"/>
  <c r="AF343" i="51"/>
  <c r="AG343" i="51" s="1"/>
  <c r="AJ344" i="51"/>
  <c r="AI344" i="51"/>
  <c r="AF344" i="51"/>
  <c r="AG344" i="51" s="1"/>
  <c r="AJ345" i="51"/>
  <c r="AI345" i="51"/>
  <c r="AF345" i="51"/>
  <c r="AG345" i="51" s="1"/>
  <c r="AJ346" i="51"/>
  <c r="AI346" i="51"/>
  <c r="AF346" i="51"/>
  <c r="AG346" i="51" s="1"/>
  <c r="AJ347" i="51"/>
  <c r="AI347" i="51"/>
  <c r="AF347" i="51"/>
  <c r="AG347" i="51" s="1"/>
  <c r="AJ348" i="51"/>
  <c r="AI348" i="51"/>
  <c r="AF348" i="51"/>
  <c r="AG348" i="51" s="1"/>
  <c r="AJ349" i="51"/>
  <c r="AI349" i="51"/>
  <c r="AF349" i="51"/>
  <c r="AG349" i="51" s="1"/>
  <c r="AJ350" i="51"/>
  <c r="AI350" i="51"/>
  <c r="AF350" i="51"/>
  <c r="AG350" i="51" s="1"/>
  <c r="AJ351" i="51"/>
  <c r="AI351" i="51"/>
  <c r="AF351" i="51"/>
  <c r="AG351" i="51" s="1"/>
  <c r="AJ352" i="51"/>
  <c r="AI352" i="51"/>
  <c r="AF352" i="51"/>
  <c r="AG352" i="51" s="1"/>
  <c r="AJ353" i="51"/>
  <c r="AI353" i="51"/>
  <c r="AF353" i="51"/>
  <c r="AG353" i="51" s="1"/>
  <c r="AJ354" i="51"/>
  <c r="AI354" i="51"/>
  <c r="AF354" i="51"/>
  <c r="AG354" i="51" s="1"/>
  <c r="AJ355" i="51"/>
  <c r="AI355" i="51"/>
  <c r="AF355" i="51"/>
  <c r="AG355" i="51" s="1"/>
  <c r="AJ356" i="51"/>
  <c r="AI356" i="51"/>
  <c r="AF356" i="51"/>
  <c r="AG356" i="51" s="1"/>
  <c r="AJ357" i="51"/>
  <c r="AI357" i="51"/>
  <c r="AF357" i="51"/>
  <c r="AG357" i="51" s="1"/>
  <c r="AJ358" i="51"/>
  <c r="AI358" i="51"/>
  <c r="AF358" i="51"/>
  <c r="AG358" i="51" s="1"/>
  <c r="AJ359" i="51"/>
  <c r="AI359" i="51"/>
  <c r="AF359" i="51"/>
  <c r="AG359" i="51" s="1"/>
  <c r="AJ360" i="51"/>
  <c r="AI360" i="51"/>
  <c r="AF360" i="51"/>
  <c r="AG360" i="51" s="1"/>
  <c r="AJ361" i="51"/>
  <c r="AI361" i="51"/>
  <c r="AF361" i="51"/>
  <c r="AG361" i="51" s="1"/>
  <c r="AJ362" i="51"/>
  <c r="AI362" i="51"/>
  <c r="AF362" i="51"/>
  <c r="AG362" i="51" s="1"/>
  <c r="AJ363" i="51"/>
  <c r="AI363" i="51"/>
  <c r="AF363" i="51"/>
  <c r="AG363" i="51" s="1"/>
  <c r="AJ364" i="51"/>
  <c r="AI364" i="51"/>
  <c r="AF364" i="51"/>
  <c r="AG364" i="51" s="1"/>
  <c r="AJ365" i="51"/>
  <c r="AI365" i="51"/>
  <c r="AF365" i="51"/>
  <c r="AG365" i="51" s="1"/>
  <c r="AJ366" i="51"/>
  <c r="AI366" i="51"/>
  <c r="AF366" i="51"/>
  <c r="AG366" i="51" s="1"/>
  <c r="AJ367" i="51"/>
  <c r="AI367" i="51"/>
  <c r="AF367" i="51"/>
  <c r="AG367" i="51" s="1"/>
  <c r="AJ368" i="51"/>
  <c r="AI368" i="51"/>
  <c r="AF368" i="51"/>
  <c r="AG368" i="51" s="1"/>
  <c r="AJ369" i="51"/>
  <c r="AI369" i="51"/>
  <c r="AF369" i="51"/>
  <c r="AG369" i="51" s="1"/>
  <c r="AJ370" i="51"/>
  <c r="AI370" i="51"/>
  <c r="AF370" i="51"/>
  <c r="AG370" i="51" s="1"/>
  <c r="AJ371" i="51"/>
  <c r="AI371" i="51"/>
  <c r="AF371" i="51"/>
  <c r="AG371" i="51" s="1"/>
  <c r="AJ372" i="51"/>
  <c r="AI372" i="51"/>
  <c r="AF372" i="51"/>
  <c r="AG372" i="51" s="1"/>
  <c r="AJ373" i="51"/>
  <c r="AI373" i="51"/>
  <c r="AF373" i="51"/>
  <c r="AG373" i="51" s="1"/>
  <c r="AJ374" i="51"/>
  <c r="AI374" i="51"/>
  <c r="AF374" i="51"/>
  <c r="AG374" i="51" s="1"/>
  <c r="AJ375" i="51"/>
  <c r="AI375" i="51"/>
  <c r="AF375" i="51"/>
  <c r="AG375" i="51" s="1"/>
  <c r="AJ376" i="51"/>
  <c r="AI376" i="51"/>
  <c r="AF376" i="51"/>
  <c r="AG376" i="51" s="1"/>
  <c r="AJ377" i="51"/>
  <c r="AI377" i="51"/>
  <c r="AF377" i="51"/>
  <c r="AG377" i="51" s="1"/>
  <c r="AJ378" i="51"/>
  <c r="AI378" i="51"/>
  <c r="AF378" i="51"/>
  <c r="AG378" i="51" s="1"/>
  <c r="AJ379" i="51"/>
  <c r="AI379" i="51"/>
  <c r="AF379" i="51"/>
  <c r="AG379" i="51" s="1"/>
  <c r="AJ380" i="51"/>
  <c r="AI380" i="51"/>
  <c r="AF380" i="51"/>
  <c r="AG380" i="51" s="1"/>
  <c r="AJ381" i="51"/>
  <c r="AI381" i="51"/>
  <c r="AF381" i="51"/>
  <c r="AG381" i="51" s="1"/>
  <c r="AJ382" i="51"/>
  <c r="AI382" i="51"/>
  <c r="AF382" i="51"/>
  <c r="AG382" i="51" s="1"/>
  <c r="AJ383" i="51"/>
  <c r="AI383" i="51"/>
  <c r="AF383" i="51"/>
  <c r="AG383" i="51" s="1"/>
  <c r="AJ384" i="51"/>
  <c r="AI384" i="51"/>
  <c r="AF384" i="51"/>
  <c r="AG384" i="51" s="1"/>
  <c r="AJ385" i="51"/>
  <c r="AI385" i="51"/>
  <c r="AF385" i="51"/>
  <c r="AG385" i="51" s="1"/>
  <c r="AJ386" i="51"/>
  <c r="AI386" i="51"/>
  <c r="AF386" i="51"/>
  <c r="AG386" i="51" s="1"/>
  <c r="AJ387" i="51"/>
  <c r="AI387" i="51"/>
  <c r="AF387" i="51"/>
  <c r="AG387" i="51" s="1"/>
  <c r="AJ388" i="51"/>
  <c r="AI388" i="51"/>
  <c r="AF388" i="51"/>
  <c r="AG388" i="51" s="1"/>
  <c r="AJ389" i="51"/>
  <c r="AI389" i="51"/>
  <c r="AF389" i="51"/>
  <c r="AG389" i="51" s="1"/>
  <c r="AJ390" i="51"/>
  <c r="AI390" i="51"/>
  <c r="AF390" i="51"/>
  <c r="AG390" i="51" s="1"/>
  <c r="AJ391" i="51"/>
  <c r="AI391" i="51"/>
  <c r="AF391" i="51"/>
  <c r="AG391" i="51" s="1"/>
  <c r="AJ392" i="51"/>
  <c r="AI392" i="51"/>
  <c r="AF392" i="51"/>
  <c r="AG392" i="51" s="1"/>
  <c r="AJ393" i="51"/>
  <c r="AI393" i="51"/>
  <c r="AF393" i="51"/>
  <c r="AG393" i="51" s="1"/>
  <c r="AJ394" i="51"/>
  <c r="AI394" i="51"/>
  <c r="AF394" i="51"/>
  <c r="AG394" i="51" s="1"/>
  <c r="AJ395" i="51"/>
  <c r="AI395" i="51"/>
  <c r="AF395" i="51"/>
  <c r="AG395" i="51" s="1"/>
  <c r="AJ396" i="51"/>
  <c r="AI396" i="51"/>
  <c r="AF396" i="51"/>
  <c r="AG396" i="51" s="1"/>
  <c r="AJ397" i="51"/>
  <c r="AI397" i="51"/>
  <c r="AF397" i="51"/>
  <c r="AG397" i="51" s="1"/>
  <c r="AJ398" i="51"/>
  <c r="AI398" i="51"/>
  <c r="AF398" i="51"/>
  <c r="AG398" i="51" s="1"/>
  <c r="AJ399" i="51"/>
  <c r="AI399" i="51"/>
  <c r="AF399" i="51"/>
  <c r="AG399" i="51" s="1"/>
  <c r="AJ400" i="51"/>
  <c r="AI400" i="51"/>
  <c r="AF400" i="51"/>
  <c r="AG400" i="51" s="1"/>
  <c r="AJ401" i="51"/>
  <c r="AI401" i="51"/>
  <c r="AF401" i="51"/>
  <c r="AG401" i="51" s="1"/>
  <c r="AJ402" i="51"/>
  <c r="AI402" i="51"/>
  <c r="AF402" i="51"/>
  <c r="AG402" i="51" s="1"/>
  <c r="AE265" i="34"/>
  <c r="AF265" i="34" s="1"/>
  <c r="AG265" i="34" s="1"/>
  <c r="AE263" i="34"/>
  <c r="AJ263" i="34" s="1"/>
  <c r="AC280" i="24"/>
  <c r="AF280" i="24"/>
  <c r="AG280" i="24" s="1"/>
  <c r="AE38" i="45"/>
  <c r="AI38" i="45" s="1"/>
  <c r="AE260" i="34"/>
  <c r="AF260" i="34" s="1"/>
  <c r="AG260" i="34" s="1"/>
  <c r="AE264" i="34"/>
  <c r="AI264" i="34" s="1"/>
  <c r="AE262" i="34"/>
  <c r="AJ262" i="34" s="1"/>
  <c r="AE139" i="14"/>
  <c r="AJ139" i="14" s="1"/>
  <c r="AE134" i="14"/>
  <c r="AI134" i="14" s="1"/>
  <c r="AC279" i="24"/>
  <c r="AF279" i="24"/>
  <c r="AG279" i="24" s="1"/>
  <c r="AE138" i="14"/>
  <c r="AJ138" i="14" s="1"/>
  <c r="AE137" i="14"/>
  <c r="AJ137" i="14" s="1"/>
  <c r="AE136" i="14"/>
  <c r="AJ136" i="14" s="1"/>
  <c r="AE135" i="14"/>
  <c r="AJ135" i="14" s="1"/>
  <c r="AE254" i="34"/>
  <c r="AJ254" i="34" s="1"/>
  <c r="AE261" i="34"/>
  <c r="AJ261" i="34" s="1"/>
  <c r="AE133" i="14"/>
  <c r="AF133" i="14" s="1"/>
  <c r="AG133" i="14" s="1"/>
  <c r="AE59" i="43"/>
  <c r="AI59" i="43" s="1"/>
  <c r="AE60" i="43"/>
  <c r="AI60" i="43" s="1"/>
  <c r="AE259" i="34"/>
  <c r="AJ259" i="34" s="1"/>
  <c r="AE258" i="34"/>
  <c r="AF258" i="34" s="1"/>
  <c r="AG258" i="34" s="1"/>
  <c r="AE257" i="34"/>
  <c r="AJ257" i="34" s="1"/>
  <c r="AE256" i="34"/>
  <c r="AI256" i="34" s="1"/>
  <c r="AE255" i="34"/>
  <c r="AF255" i="34" s="1"/>
  <c r="AG255" i="34" s="1"/>
  <c r="AC859" i="42"/>
  <c r="AE859" i="42"/>
  <c r="AI859" i="42" s="1"/>
  <c r="AC858" i="42"/>
  <c r="AE858" i="42"/>
  <c r="AJ858" i="42" s="1"/>
  <c r="AC857" i="42"/>
  <c r="AE857" i="42"/>
  <c r="AI857" i="42" s="1"/>
  <c r="AE132" i="14"/>
  <c r="AF132" i="14" s="1"/>
  <c r="AG132" i="14" s="1"/>
  <c r="AE131" i="14"/>
  <c r="AJ131" i="14" s="1"/>
  <c r="AE856" i="42"/>
  <c r="AI856" i="42" s="1"/>
  <c r="AE855" i="42"/>
  <c r="AF855" i="42" s="1"/>
  <c r="AG855" i="42" s="1"/>
  <c r="AC854" i="42"/>
  <c r="AE854" i="42"/>
  <c r="AI854" i="42" s="1"/>
  <c r="AE253" i="34"/>
  <c r="AJ253" i="34" s="1"/>
  <c r="AE252" i="34"/>
  <c r="AJ252" i="34" s="1"/>
  <c r="AE251" i="34"/>
  <c r="AJ251" i="34" s="1"/>
  <c r="AE677" i="42"/>
  <c r="AF677" i="42" s="1"/>
  <c r="AG677" i="42" s="1"/>
  <c r="AE245" i="34"/>
  <c r="AJ245" i="34" s="1"/>
  <c r="AE250" i="34"/>
  <c r="AF250" i="34" s="1"/>
  <c r="AG250" i="34" s="1"/>
  <c r="AE129" i="14"/>
  <c r="AJ129" i="14" s="1"/>
  <c r="AE130" i="14"/>
  <c r="AI130" i="14" s="1"/>
  <c r="AE249" i="34"/>
  <c r="AF249" i="34" s="1"/>
  <c r="AG249" i="34" s="1"/>
  <c r="AE248" i="34"/>
  <c r="AI248" i="34" s="1"/>
  <c r="AE247" i="34"/>
  <c r="AJ247" i="34" s="1"/>
  <c r="AC278" i="24"/>
  <c r="AF278" i="24"/>
  <c r="AG278" i="24" s="1"/>
  <c r="AE246" i="34"/>
  <c r="AF246" i="34" s="1"/>
  <c r="AG246" i="34" s="1"/>
  <c r="AE58" i="43"/>
  <c r="AI58" i="43" s="1"/>
  <c r="AE687" i="42"/>
  <c r="AI687" i="42" s="1"/>
  <c r="AE711" i="42"/>
  <c r="AF711" i="42" s="1"/>
  <c r="AG711" i="42" s="1"/>
  <c r="AE682" i="42"/>
  <c r="AF682" i="42" s="1"/>
  <c r="AG682" i="42" s="1"/>
  <c r="AE674" i="42"/>
  <c r="AF674" i="42" s="1"/>
  <c r="AG674" i="42" s="1"/>
  <c r="AE684" i="42"/>
  <c r="AF684" i="42" s="1"/>
  <c r="AG684" i="42" s="1"/>
  <c r="AE679" i="42"/>
  <c r="AF679" i="42" s="1"/>
  <c r="AG679" i="42" s="1"/>
  <c r="AE681" i="42"/>
  <c r="AI681" i="42" s="1"/>
  <c r="AE676" i="42"/>
  <c r="AI676" i="42" s="1"/>
  <c r="AE685" i="42"/>
  <c r="AF685" i="42" s="1"/>
  <c r="AG685" i="42" s="1"/>
  <c r="AE709" i="42"/>
  <c r="AI709" i="42" s="1"/>
  <c r="AE673" i="42"/>
  <c r="AI673" i="42" s="1"/>
  <c r="AE127" i="14"/>
  <c r="AJ127" i="14" s="1"/>
  <c r="AE244" i="34"/>
  <c r="AJ244" i="34" s="1"/>
  <c r="AE128" i="14"/>
  <c r="AF128" i="14" s="1"/>
  <c r="AG128" i="14" s="1"/>
  <c r="AE243" i="34"/>
  <c r="AJ243" i="34" s="1"/>
  <c r="AE242" i="34"/>
  <c r="AI242" i="34" s="1"/>
  <c r="AE126" i="14"/>
  <c r="AF126" i="14" s="1"/>
  <c r="AG126" i="14" s="1"/>
  <c r="AE241" i="34"/>
  <c r="AF241" i="34" s="1"/>
  <c r="AG241" i="34" s="1"/>
  <c r="AE853" i="42"/>
  <c r="AI853" i="42" s="1"/>
  <c r="AE852" i="42"/>
  <c r="AJ852" i="42" s="1"/>
  <c r="AE851" i="42"/>
  <c r="AI851" i="42" s="1"/>
  <c r="AE850" i="42"/>
  <c r="AF850" i="42" s="1"/>
  <c r="AG850" i="42" s="1"/>
  <c r="AE849" i="42"/>
  <c r="AJ849" i="42" s="1"/>
  <c r="AE125" i="14"/>
  <c r="AJ125" i="14" s="1"/>
  <c r="AE237" i="34"/>
  <c r="AI237" i="34" s="1"/>
  <c r="AE240" i="34"/>
  <c r="AF240" i="34" s="1"/>
  <c r="AG240" i="34" s="1"/>
  <c r="AE239" i="34"/>
  <c r="AF239" i="34" s="1"/>
  <c r="AG239" i="34" s="1"/>
  <c r="AE238" i="34"/>
  <c r="AF238" i="34" s="1"/>
  <c r="AG238" i="34" s="1"/>
  <c r="AE57" i="43"/>
  <c r="AF57" i="43" s="1"/>
  <c r="AG57" i="43" s="1"/>
  <c r="AE236" i="34"/>
  <c r="AF236" i="34" s="1"/>
  <c r="AG236" i="34" s="1"/>
  <c r="AE235" i="34"/>
  <c r="AF235" i="34" s="1"/>
  <c r="AG235" i="34" s="1"/>
  <c r="AE234" i="34"/>
  <c r="AJ234" i="34" s="1"/>
  <c r="AE233" i="34"/>
  <c r="AJ233" i="34" s="1"/>
  <c r="AE123" i="14"/>
  <c r="AI123" i="14" s="1"/>
  <c r="AE122" i="14"/>
  <c r="AI122" i="14" s="1"/>
  <c r="AE232" i="34"/>
  <c r="AF232" i="34" s="1"/>
  <c r="AG232" i="34" s="1"/>
  <c r="AC2" i="42"/>
  <c r="AE2" i="42"/>
  <c r="AE37" i="45"/>
  <c r="AJ37" i="45" s="1"/>
  <c r="AE36" i="45"/>
  <c r="AJ36" i="45" s="1"/>
  <c r="AE34" i="45"/>
  <c r="AI34" i="45" s="1"/>
  <c r="AE35" i="45"/>
  <c r="AJ35" i="45" s="1"/>
  <c r="AI738" i="42"/>
  <c r="AE33" i="45"/>
  <c r="AI33" i="45" s="1"/>
  <c r="AE32" i="45"/>
  <c r="AJ32" i="45" s="1"/>
  <c r="AE231" i="34"/>
  <c r="AF231" i="34" s="1"/>
  <c r="AG231" i="34" s="1"/>
  <c r="AE124" i="14"/>
  <c r="AI124" i="14" s="1"/>
  <c r="AE697" i="42"/>
  <c r="AI697" i="42" s="1"/>
  <c r="AE715" i="42"/>
  <c r="AF715" i="42" s="1"/>
  <c r="AG715" i="42" s="1"/>
  <c r="AE693" i="42"/>
  <c r="AI693" i="42" s="1"/>
  <c r="AE707" i="42"/>
  <c r="AF707" i="42" s="1"/>
  <c r="AG707" i="42" s="1"/>
  <c r="AE660" i="42"/>
  <c r="AF660" i="42" s="1"/>
  <c r="AG660" i="42" s="1"/>
  <c r="AE708" i="42"/>
  <c r="AI708" i="42" s="1"/>
  <c r="AE701" i="42"/>
  <c r="AF701" i="42" s="1"/>
  <c r="AG701" i="42" s="1"/>
  <c r="AE666" i="42"/>
  <c r="AF666" i="42" s="1"/>
  <c r="AG666" i="42" s="1"/>
  <c r="AE704" i="42"/>
  <c r="AF704" i="42" s="1"/>
  <c r="AG704" i="42" s="1"/>
  <c r="AE692" i="42"/>
  <c r="AF692" i="42" s="1"/>
  <c r="AG692" i="42" s="1"/>
  <c r="AE705" i="42"/>
  <c r="AI705" i="42" s="1"/>
  <c r="AE700" i="42"/>
  <c r="AI700" i="42" s="1"/>
  <c r="AE688" i="42"/>
  <c r="AI688" i="42" s="1"/>
  <c r="AE658" i="42"/>
  <c r="AI658" i="42" s="1"/>
  <c r="AE662" i="42"/>
  <c r="AF662" i="42" s="1"/>
  <c r="AG662" i="42" s="1"/>
  <c r="AE702" i="42"/>
  <c r="AI702" i="42" s="1"/>
  <c r="AE698" i="42"/>
  <c r="AF698" i="42" s="1"/>
  <c r="AG698" i="42" s="1"/>
  <c r="AE689" i="42"/>
  <c r="AF689" i="42" s="1"/>
  <c r="AG689" i="42" s="1"/>
  <c r="AE752" i="42"/>
  <c r="AF752" i="42" s="1"/>
  <c r="AG752" i="42" s="1"/>
  <c r="AJ243" i="24"/>
  <c r="AE718" i="42"/>
  <c r="AF718" i="42" s="1"/>
  <c r="AG718" i="42" s="1"/>
  <c r="AE699" i="42"/>
  <c r="AF699" i="42" s="1"/>
  <c r="AG699" i="42" s="1"/>
  <c r="AE696" i="42"/>
  <c r="AE691" i="42"/>
  <c r="AI691" i="42" s="1"/>
  <c r="AE668" i="42"/>
  <c r="AF668" i="42" s="1"/>
  <c r="AG668" i="42" s="1"/>
  <c r="AE661" i="42"/>
  <c r="AF661" i="42" s="1"/>
  <c r="AG661" i="42" s="1"/>
  <c r="AE659" i="42"/>
  <c r="AF659" i="42" s="1"/>
  <c r="AG659" i="42" s="1"/>
  <c r="AE750" i="42"/>
  <c r="AF750" i="42" s="1"/>
  <c r="AG750" i="42" s="1"/>
  <c r="AC671" i="42"/>
  <c r="AE671" i="42"/>
  <c r="AF671" i="42" s="1"/>
  <c r="AG671" i="42" s="1"/>
  <c r="AC245" i="24"/>
  <c r="AJ245" i="24"/>
  <c r="AE761" i="42"/>
  <c r="AE760" i="42"/>
  <c r="AE759" i="42"/>
  <c r="AC758" i="42"/>
  <c r="AE758" i="42"/>
  <c r="AE754" i="42"/>
  <c r="AE749" i="42"/>
  <c r="AE717" i="42"/>
  <c r="AE714" i="42"/>
  <c r="AE694" i="42"/>
  <c r="AC242" i="24"/>
  <c r="AJ242" i="24"/>
  <c r="AC757" i="42"/>
  <c r="AE757" i="42"/>
  <c r="AE753" i="42"/>
  <c r="AE751" i="42"/>
  <c r="AE748" i="42"/>
  <c r="AE716" i="42"/>
  <c r="AE713" i="42"/>
  <c r="AE706" i="42"/>
  <c r="AE703" i="42"/>
  <c r="AC695" i="42"/>
  <c r="AE695" i="42"/>
  <c r="AF695" i="42" s="1"/>
  <c r="AG695" i="42" s="1"/>
  <c r="AE690" i="42"/>
  <c r="AC663" i="42"/>
  <c r="AE663" i="42"/>
  <c r="AF663" i="42" s="1"/>
  <c r="AG663" i="42" s="1"/>
  <c r="AC255" i="24"/>
  <c r="AI255" i="24"/>
  <c r="AC252" i="24"/>
  <c r="AJ252" i="24"/>
  <c r="AC248" i="24"/>
  <c r="AE672" i="42"/>
  <c r="AE669" i="42"/>
  <c r="AE670" i="42"/>
  <c r="AE667" i="42"/>
  <c r="AE664" i="42"/>
  <c r="AE665" i="42"/>
  <c r="AC249" i="24"/>
  <c r="AC240" i="24"/>
  <c r="AC73" i="35"/>
  <c r="AE73" i="35"/>
  <c r="AJ73" i="35" s="1"/>
  <c r="AC88" i="35"/>
  <c r="AE88" i="35"/>
  <c r="AC86" i="35"/>
  <c r="AE86" i="35"/>
  <c r="AC23" i="35"/>
  <c r="AE23" i="35"/>
  <c r="AC24" i="35"/>
  <c r="AE24" i="35"/>
  <c r="AC17" i="35"/>
  <c r="AE17" i="35"/>
  <c r="AC20" i="35"/>
  <c r="AE20" i="35"/>
  <c r="AJ20" i="35" s="1"/>
  <c r="AC16" i="35"/>
  <c r="AE16" i="35"/>
  <c r="AC19" i="35"/>
  <c r="AE19" i="35"/>
  <c r="AJ19" i="35" s="1"/>
  <c r="AC43" i="35"/>
  <c r="AE43" i="35"/>
  <c r="AC22" i="35"/>
  <c r="AE22" i="35"/>
  <c r="AF22" i="35" s="1"/>
  <c r="AG22" i="35" s="1"/>
  <c r="AC44" i="35"/>
  <c r="AE44" i="35"/>
  <c r="AC37" i="35"/>
  <c r="AE37" i="35"/>
  <c r="AI37" i="35" s="1"/>
  <c r="AC38" i="35"/>
  <c r="AE38" i="35"/>
  <c r="AJ38" i="35" s="1"/>
  <c r="AC27" i="35"/>
  <c r="AE27" i="35"/>
  <c r="AI27" i="35" s="1"/>
  <c r="AC45" i="35"/>
  <c r="AE45" i="35"/>
  <c r="AC49" i="35"/>
  <c r="AE49" i="35"/>
  <c r="AF49" i="35" s="1"/>
  <c r="AG49" i="35" s="1"/>
  <c r="AC25" i="35"/>
  <c r="AE25" i="35"/>
  <c r="AC13" i="35"/>
  <c r="AE13" i="35"/>
  <c r="AC30" i="35"/>
  <c r="AE30" i="35"/>
  <c r="AJ30" i="35" s="1"/>
  <c r="AC32" i="35"/>
  <c r="AE32" i="35"/>
  <c r="AC29" i="35"/>
  <c r="AE29" i="35"/>
  <c r="AI29" i="35" s="1"/>
  <c r="AC14" i="35"/>
  <c r="AE14" i="35"/>
  <c r="AC33" i="35"/>
  <c r="AE33" i="35"/>
  <c r="AC39" i="35"/>
  <c r="AE39" i="35"/>
  <c r="AJ39" i="35" s="1"/>
  <c r="AC42" i="35"/>
  <c r="AE42" i="35"/>
  <c r="AC28" i="35"/>
  <c r="AE28" i="35"/>
  <c r="AJ28" i="35" s="1"/>
  <c r="AC47" i="35"/>
  <c r="AE47" i="35"/>
  <c r="AC51" i="35"/>
  <c r="AE51" i="35"/>
  <c r="AF51" i="35" s="1"/>
  <c r="AG51" i="35" s="1"/>
  <c r="AC31" i="35"/>
  <c r="AE31" i="35"/>
  <c r="AC41" i="35"/>
  <c r="AE41" i="35"/>
  <c r="AC52" i="35"/>
  <c r="AE52" i="35"/>
  <c r="AJ52" i="35" s="1"/>
  <c r="AC11" i="35"/>
  <c r="AE11" i="35"/>
  <c r="AC10" i="35"/>
  <c r="AE10" i="35"/>
  <c r="AC50" i="35"/>
  <c r="AE50" i="35"/>
  <c r="AC55" i="35"/>
  <c r="AE55" i="35"/>
  <c r="AC56" i="35"/>
  <c r="AE56" i="35"/>
  <c r="AI56" i="35" s="1"/>
  <c r="AC57" i="35"/>
  <c r="AE57" i="35"/>
  <c r="AC59" i="35"/>
  <c r="AE59" i="35"/>
  <c r="AI59" i="35" s="1"/>
  <c r="AC62" i="35"/>
  <c r="AE62" i="35"/>
  <c r="AC63" i="35"/>
  <c r="AE63" i="35"/>
  <c r="AF63" i="35" s="1"/>
  <c r="AG63" i="35" s="1"/>
  <c r="AC64" i="35"/>
  <c r="AE64" i="35"/>
  <c r="AC65" i="35"/>
  <c r="AE65" i="35"/>
  <c r="AC66" i="35"/>
  <c r="AE66" i="35"/>
  <c r="AJ66" i="35" s="1"/>
  <c r="AC67" i="35"/>
  <c r="AE67" i="35"/>
  <c r="AC68" i="35"/>
  <c r="AE68" i="35"/>
  <c r="AC70" i="35"/>
  <c r="AE70" i="35"/>
  <c r="AE71" i="35"/>
  <c r="AJ71" i="35" s="1"/>
  <c r="AC72" i="35"/>
  <c r="AE72" i="35"/>
  <c r="AC276" i="24"/>
  <c r="AF276" i="24"/>
  <c r="AG276" i="24" s="1"/>
  <c r="AC275" i="24"/>
  <c r="AF275" i="24"/>
  <c r="AG275" i="24" s="1"/>
  <c r="AC274" i="24"/>
  <c r="AF274" i="24"/>
  <c r="AG274" i="24" s="1"/>
  <c r="AC273" i="24"/>
  <c r="AF273" i="24"/>
  <c r="AG273" i="24" s="1"/>
  <c r="AC272" i="24"/>
  <c r="AF272" i="24"/>
  <c r="AG272" i="24" s="1"/>
  <c r="AC271" i="24"/>
  <c r="AF271" i="24"/>
  <c r="AG271" i="24" s="1"/>
  <c r="AC270" i="24"/>
  <c r="AF270" i="24"/>
  <c r="AG270" i="24" s="1"/>
  <c r="AC269" i="24"/>
  <c r="AF269" i="24"/>
  <c r="AG269" i="24" s="1"/>
  <c r="AC268" i="24"/>
  <c r="AF268" i="24"/>
  <c r="AG268" i="24" s="1"/>
  <c r="AC267" i="24"/>
  <c r="AF267" i="24"/>
  <c r="AG267" i="24" s="1"/>
  <c r="AC266" i="24"/>
  <c r="AF266" i="24"/>
  <c r="AG266" i="24" s="1"/>
  <c r="AC265" i="24"/>
  <c r="AF265" i="24"/>
  <c r="AG265" i="24" s="1"/>
  <c r="AC264" i="24"/>
  <c r="AF264" i="24"/>
  <c r="AG264" i="24" s="1"/>
  <c r="AC263" i="24"/>
  <c r="AF263" i="24"/>
  <c r="AG263" i="24" s="1"/>
  <c r="AC262" i="24"/>
  <c r="AF262" i="24"/>
  <c r="AG262" i="24" s="1"/>
  <c r="AC261" i="24"/>
  <c r="AF261" i="24"/>
  <c r="AG261" i="24" s="1"/>
  <c r="AC260" i="24"/>
  <c r="AF260" i="24"/>
  <c r="AG260" i="24" s="1"/>
  <c r="AC259" i="24"/>
  <c r="AF259" i="24"/>
  <c r="AG259" i="24" s="1"/>
  <c r="AC258" i="24"/>
  <c r="AF258" i="24"/>
  <c r="AG258" i="24" s="1"/>
  <c r="AC257" i="24"/>
  <c r="AF257" i="24"/>
  <c r="AG257" i="24" s="1"/>
  <c r="AC256" i="24"/>
  <c r="AF256" i="24"/>
  <c r="AG256" i="24" s="1"/>
  <c r="AE230" i="34"/>
  <c r="AI230" i="34" s="1"/>
  <c r="AE227" i="34"/>
  <c r="AF227" i="34" s="1"/>
  <c r="AG227" i="34" s="1"/>
  <c r="AE229" i="34"/>
  <c r="AF229" i="34" s="1"/>
  <c r="AG229" i="34" s="1"/>
  <c r="AE228" i="34"/>
  <c r="AI228" i="34" s="1"/>
  <c r="AE121" i="14"/>
  <c r="AF121" i="14" s="1"/>
  <c r="AG121" i="14" s="1"/>
  <c r="AC847" i="42"/>
  <c r="AE847" i="42"/>
  <c r="AJ847" i="42" s="1"/>
  <c r="AC846" i="42"/>
  <c r="AE846" i="42"/>
  <c r="AF846" i="42" s="1"/>
  <c r="AG846" i="42" s="1"/>
  <c r="AC845" i="42"/>
  <c r="AE845" i="42"/>
  <c r="AI845" i="42" s="1"/>
  <c r="AC844" i="42"/>
  <c r="AE844" i="42"/>
  <c r="AF844" i="42" s="1"/>
  <c r="AG844" i="42" s="1"/>
  <c r="AC843" i="42"/>
  <c r="AE843" i="42"/>
  <c r="AF843" i="42" s="1"/>
  <c r="AG843" i="42" s="1"/>
  <c r="AC842" i="42"/>
  <c r="AE842" i="42"/>
  <c r="AI842" i="42" s="1"/>
  <c r="AC841" i="42"/>
  <c r="AE841" i="42"/>
  <c r="AF841" i="42" s="1"/>
  <c r="AG841" i="42" s="1"/>
  <c r="AC840" i="42"/>
  <c r="AE840" i="42"/>
  <c r="AF840" i="42" s="1"/>
  <c r="AG840" i="42" s="1"/>
  <c r="AC839" i="42"/>
  <c r="AE839" i="42"/>
  <c r="AI839" i="42" s="1"/>
  <c r="AC838" i="42"/>
  <c r="AE838" i="42"/>
  <c r="AJ838" i="42" s="1"/>
  <c r="AC837" i="42"/>
  <c r="AE837" i="42"/>
  <c r="AF837" i="42" s="1"/>
  <c r="AG837" i="42" s="1"/>
  <c r="AC836" i="42"/>
  <c r="AE836" i="42"/>
  <c r="AI836" i="42" s="1"/>
  <c r="AC835" i="42"/>
  <c r="AE835" i="42"/>
  <c r="AF835" i="42" s="1"/>
  <c r="AG835" i="42" s="1"/>
  <c r="AC834" i="42"/>
  <c r="AE834" i="42"/>
  <c r="AF834" i="42" s="1"/>
  <c r="AG834" i="42" s="1"/>
  <c r="AC833" i="42"/>
  <c r="AE833" i="42"/>
  <c r="AI833" i="42" s="1"/>
  <c r="AC832" i="42"/>
  <c r="AE832" i="42"/>
  <c r="AF832" i="42" s="1"/>
  <c r="AG832" i="42" s="1"/>
  <c r="AC831" i="42"/>
  <c r="AE831" i="42"/>
  <c r="AF831" i="42" s="1"/>
  <c r="AG831" i="42" s="1"/>
  <c r="AC830" i="42"/>
  <c r="AE830" i="42"/>
  <c r="AI830" i="42" s="1"/>
  <c r="AC829" i="42"/>
  <c r="AE829" i="42"/>
  <c r="AJ829" i="42" s="1"/>
  <c r="AC828" i="42"/>
  <c r="AE828" i="42"/>
  <c r="AF828" i="42" s="1"/>
  <c r="AG828" i="42" s="1"/>
  <c r="AC827" i="42"/>
  <c r="AE827" i="42"/>
  <c r="AI827" i="42" s="1"/>
  <c r="AC826" i="42"/>
  <c r="AE826" i="42"/>
  <c r="AJ826" i="42" s="1"/>
  <c r="AC825" i="42"/>
  <c r="AE825" i="42"/>
  <c r="AF825" i="42" s="1"/>
  <c r="AG825" i="42" s="1"/>
  <c r="AC824" i="42"/>
  <c r="AE824" i="42"/>
  <c r="AI824" i="42" s="1"/>
  <c r="AC823" i="42"/>
  <c r="AE823" i="42"/>
  <c r="AF823" i="42" s="1"/>
  <c r="AG823" i="42" s="1"/>
  <c r="AC822" i="42"/>
  <c r="AE822" i="42"/>
  <c r="AF822" i="42" s="1"/>
  <c r="AG822" i="42" s="1"/>
  <c r="AC821" i="42"/>
  <c r="AE821" i="42"/>
  <c r="AF821" i="42" s="1"/>
  <c r="AG821" i="42" s="1"/>
  <c r="AC820" i="42"/>
  <c r="AE820" i="42"/>
  <c r="AF820" i="42" s="1"/>
  <c r="AG820" i="42" s="1"/>
  <c r="AC819" i="42"/>
  <c r="AE819" i="42"/>
  <c r="AF819" i="42" s="1"/>
  <c r="AG819" i="42" s="1"/>
  <c r="AC818" i="42"/>
  <c r="AE818" i="42"/>
  <c r="AF818" i="42" s="1"/>
  <c r="AG818" i="42" s="1"/>
  <c r="AC817" i="42"/>
  <c r="AE817" i="42"/>
  <c r="AF817" i="42" s="1"/>
  <c r="AG817" i="42" s="1"/>
  <c r="AC816" i="42"/>
  <c r="AE816" i="42"/>
  <c r="AF816" i="42" s="1"/>
  <c r="AG816" i="42" s="1"/>
  <c r="AC815" i="42"/>
  <c r="AE815" i="42"/>
  <c r="AF815" i="42" s="1"/>
  <c r="AG815" i="42" s="1"/>
  <c r="AC814" i="42"/>
  <c r="AE814" i="42"/>
  <c r="AF814" i="42" s="1"/>
  <c r="AG814" i="42" s="1"/>
  <c r="AC813" i="42"/>
  <c r="AE813" i="42"/>
  <c r="AF813" i="42" s="1"/>
  <c r="AG813" i="42" s="1"/>
  <c r="AC812" i="42"/>
  <c r="AE812" i="42"/>
  <c r="AI812" i="42" s="1"/>
  <c r="AC811" i="42"/>
  <c r="AE811" i="42"/>
  <c r="AI811" i="42" s="1"/>
  <c r="AC810" i="42"/>
  <c r="AE810" i="42"/>
  <c r="AF810" i="42" s="1"/>
  <c r="AG810" i="42" s="1"/>
  <c r="AC809" i="42"/>
  <c r="AE809" i="42"/>
  <c r="AI809" i="42" s="1"/>
  <c r="AE808" i="42"/>
  <c r="AJ808" i="42" s="1"/>
  <c r="AC807" i="42"/>
  <c r="AE807" i="42"/>
  <c r="AI807" i="42" s="1"/>
  <c r="AE120" i="14"/>
  <c r="AJ120" i="14" s="1"/>
  <c r="AE119" i="14"/>
  <c r="AJ119" i="14" s="1"/>
  <c r="AE118" i="14"/>
  <c r="AJ118" i="14" s="1"/>
  <c r="AC633" i="42"/>
  <c r="AE633" i="42"/>
  <c r="AI633" i="42" s="1"/>
  <c r="AC806" i="42"/>
  <c r="AE806" i="42"/>
  <c r="AI806" i="42" s="1"/>
  <c r="AE801" i="42"/>
  <c r="AI801" i="42" s="1"/>
  <c r="AC805" i="42"/>
  <c r="AE805" i="42"/>
  <c r="AI805" i="42" s="1"/>
  <c r="AC804" i="42"/>
  <c r="AE804" i="42"/>
  <c r="AI804" i="42" s="1"/>
  <c r="AC803" i="42"/>
  <c r="AE803" i="42"/>
  <c r="AJ803" i="42" s="1"/>
  <c r="AC802" i="42"/>
  <c r="AE802" i="42"/>
  <c r="AI802" i="42" s="1"/>
  <c r="AC800" i="42"/>
  <c r="AE800" i="42"/>
  <c r="AF800" i="42" s="1"/>
  <c r="AG800" i="42" s="1"/>
  <c r="AC794" i="42"/>
  <c r="AE794" i="42"/>
  <c r="AF794" i="42" s="1"/>
  <c r="AG794" i="42" s="1"/>
  <c r="AC793" i="42"/>
  <c r="AE793" i="42"/>
  <c r="AI793" i="42" s="1"/>
  <c r="AC792" i="42"/>
  <c r="AE792" i="42"/>
  <c r="AI792" i="42" s="1"/>
  <c r="AC791" i="42"/>
  <c r="AE791" i="42"/>
  <c r="AJ791" i="42" s="1"/>
  <c r="AC790" i="42"/>
  <c r="AE790" i="42"/>
  <c r="AI790" i="42" s="1"/>
  <c r="AC789" i="42"/>
  <c r="AE789" i="42"/>
  <c r="AI789" i="42" s="1"/>
  <c r="AC788" i="42"/>
  <c r="AE788" i="42"/>
  <c r="AI788" i="42" s="1"/>
  <c r="AE632" i="42"/>
  <c r="AI632" i="42" s="1"/>
  <c r="AC590" i="42"/>
  <c r="AE590" i="42"/>
  <c r="AF590" i="42" s="1"/>
  <c r="AG590" i="42" s="1"/>
  <c r="AC589" i="42"/>
  <c r="AE589" i="42"/>
  <c r="AJ589" i="42" s="1"/>
  <c r="AC588" i="42"/>
  <c r="AE588" i="42"/>
  <c r="AJ588" i="42" s="1"/>
  <c r="AC587" i="42"/>
  <c r="AE587" i="42"/>
  <c r="AF587" i="42" s="1"/>
  <c r="AG587" i="42" s="1"/>
  <c r="AE584" i="42"/>
  <c r="AF584" i="42" s="1"/>
  <c r="AG584" i="42" s="1"/>
  <c r="AE583" i="42"/>
  <c r="AJ583" i="42" s="1"/>
  <c r="AE634" i="42"/>
  <c r="AI634" i="42" s="1"/>
  <c r="AI235" i="24"/>
  <c r="AE796" i="42"/>
  <c r="AI796" i="42" s="1"/>
  <c r="AC799" i="42"/>
  <c r="AE799" i="42"/>
  <c r="AI799" i="42" s="1"/>
  <c r="AC798" i="42"/>
  <c r="AE798" i="42"/>
  <c r="AI798" i="42" s="1"/>
  <c r="AC797" i="42"/>
  <c r="AE797" i="42"/>
  <c r="AJ797" i="42" s="1"/>
  <c r="AC795" i="42"/>
  <c r="AE795" i="42"/>
  <c r="AI795" i="42" s="1"/>
  <c r="AE768" i="42"/>
  <c r="AI768" i="42" s="1"/>
  <c r="AE767" i="42"/>
  <c r="AI767" i="42" s="1"/>
  <c r="AE766" i="42"/>
  <c r="AJ766" i="42" s="1"/>
  <c r="AE765" i="42"/>
  <c r="AI765" i="42" s="1"/>
  <c r="AE764" i="42"/>
  <c r="AI764" i="42" s="1"/>
  <c r="AE726" i="42"/>
  <c r="AI726" i="42" s="1"/>
  <c r="AE725" i="42"/>
  <c r="AF725" i="42" s="1"/>
  <c r="AG725" i="42" s="1"/>
  <c r="AE720" i="42"/>
  <c r="AF720" i="42" s="1"/>
  <c r="AG720" i="42" s="1"/>
  <c r="AE724" i="42"/>
  <c r="AI724" i="42" s="1"/>
  <c r="AE728" i="42"/>
  <c r="AF728" i="42" s="1"/>
  <c r="AG728" i="42" s="1"/>
  <c r="AE742" i="42"/>
  <c r="AJ742" i="42" s="1"/>
  <c r="AE763" i="42"/>
  <c r="AJ763" i="42" s="1"/>
  <c r="AE776" i="42"/>
  <c r="AI776" i="42" s="1"/>
  <c r="AE762" i="42"/>
  <c r="AI762" i="42" s="1"/>
  <c r="AE775" i="42"/>
  <c r="AI775" i="42" s="1"/>
  <c r="AC755" i="42"/>
  <c r="AC747" i="42"/>
  <c r="AI747" i="42"/>
  <c r="AC746" i="42"/>
  <c r="AI746" i="42"/>
  <c r="AC745" i="42"/>
  <c r="AC744" i="42"/>
  <c r="AI744" i="42"/>
  <c r="AC743" i="42"/>
  <c r="AI743" i="42"/>
  <c r="AC741" i="42"/>
  <c r="AI741" i="42"/>
  <c r="AC740" i="42"/>
  <c r="AI740" i="42"/>
  <c r="AC739" i="42"/>
  <c r="AC737" i="42"/>
  <c r="AI737" i="42"/>
  <c r="AC736" i="42"/>
  <c r="AC735" i="42"/>
  <c r="AF735" i="42"/>
  <c r="AG735" i="42" s="1"/>
  <c r="AC734" i="42"/>
  <c r="AF734" i="42"/>
  <c r="AG734" i="42" s="1"/>
  <c r="AC733" i="42"/>
  <c r="AF733" i="42"/>
  <c r="AG733" i="42" s="1"/>
  <c r="AC732" i="42"/>
  <c r="AF732" i="42"/>
  <c r="AG732" i="42" s="1"/>
  <c r="AC622" i="42"/>
  <c r="AE622" i="42"/>
  <c r="AI622" i="42" s="1"/>
  <c r="AC621" i="42"/>
  <c r="AE621" i="42"/>
  <c r="AI621" i="42" s="1"/>
  <c r="AC620" i="42"/>
  <c r="AE620" i="42"/>
  <c r="AI620" i="42" s="1"/>
  <c r="AC619" i="42"/>
  <c r="AE619" i="42"/>
  <c r="AI619" i="42" s="1"/>
  <c r="AC618" i="42"/>
  <c r="AE618" i="42"/>
  <c r="AJ618" i="42" s="1"/>
  <c r="AC787" i="42"/>
  <c r="AF787" i="42"/>
  <c r="AG787" i="42" s="1"/>
  <c r="AC786" i="42"/>
  <c r="AI786" i="42"/>
  <c r="AC785" i="42"/>
  <c r="AI785" i="42"/>
  <c r="AC784" i="42"/>
  <c r="AF784" i="42"/>
  <c r="AG784" i="42" s="1"/>
  <c r="AC783" i="42"/>
  <c r="AI783" i="42"/>
  <c r="AE222" i="34"/>
  <c r="AJ222" i="34" s="1"/>
  <c r="AE220" i="34"/>
  <c r="AI220" i="34" s="1"/>
  <c r="AC215" i="34"/>
  <c r="AE215" i="34"/>
  <c r="AF215" i="34" s="1"/>
  <c r="AG215" i="34" s="1"/>
  <c r="AC782" i="42"/>
  <c r="AI782" i="42"/>
  <c r="AC781" i="42"/>
  <c r="AJ781" i="42"/>
  <c r="AC780" i="42"/>
  <c r="AI780" i="42"/>
  <c r="AE223" i="34"/>
  <c r="AF223" i="34" s="1"/>
  <c r="AG223" i="34" s="1"/>
  <c r="AE221" i="34"/>
  <c r="AF221" i="34" s="1"/>
  <c r="AG221" i="34" s="1"/>
  <c r="AE225" i="34"/>
  <c r="AF225" i="34" s="1"/>
  <c r="AG225" i="34" s="1"/>
  <c r="AE216" i="34"/>
  <c r="AI216" i="34" s="1"/>
  <c r="AE217" i="34"/>
  <c r="AF217" i="34" s="1"/>
  <c r="AG217" i="34" s="1"/>
  <c r="AE56" i="43"/>
  <c r="AJ56" i="43" s="1"/>
  <c r="AE55" i="43"/>
  <c r="AF55" i="43" s="1"/>
  <c r="AG55" i="43" s="1"/>
  <c r="AE54" i="43"/>
  <c r="AJ54" i="43" s="1"/>
  <c r="AE218" i="34"/>
  <c r="AJ218" i="34" s="1"/>
  <c r="AE224" i="34"/>
  <c r="AI224" i="34" s="1"/>
  <c r="AE219" i="34"/>
  <c r="AJ219" i="34" s="1"/>
  <c r="AE117" i="14"/>
  <c r="AJ117" i="14" s="1"/>
  <c r="AE116" i="14"/>
  <c r="AF116" i="14" s="1"/>
  <c r="AG116" i="14" s="1"/>
  <c r="AE213" i="34"/>
  <c r="AJ213" i="34" s="1"/>
  <c r="AE212" i="34"/>
  <c r="AJ212" i="34" s="1"/>
  <c r="AE210" i="34"/>
  <c r="AF210" i="34" s="1"/>
  <c r="AG210" i="34" s="1"/>
  <c r="AE209" i="34"/>
  <c r="AI209" i="34" s="1"/>
  <c r="AE208" i="34"/>
  <c r="AF208" i="34" s="1"/>
  <c r="AG208" i="34" s="1"/>
  <c r="AE207" i="34"/>
  <c r="AF207" i="34" s="1"/>
  <c r="AG207" i="34" s="1"/>
  <c r="AE214" i="34"/>
  <c r="AF214" i="34" s="1"/>
  <c r="AG214" i="34" s="1"/>
  <c r="AE211" i="34"/>
  <c r="AF211" i="34" s="1"/>
  <c r="AG211" i="34" s="1"/>
  <c r="AE206" i="34"/>
  <c r="AI206" i="34" s="1"/>
  <c r="AE114" i="14"/>
  <c r="AI114" i="14" s="1"/>
  <c r="AE113" i="14"/>
  <c r="AJ113" i="14" s="1"/>
  <c r="AE115" i="14"/>
  <c r="AJ115" i="14" s="1"/>
  <c r="AE112" i="14"/>
  <c r="AI112" i="14" s="1"/>
  <c r="AE53" i="43"/>
  <c r="AJ53" i="43" s="1"/>
  <c r="AE205" i="34"/>
  <c r="AI205" i="34" s="1"/>
  <c r="AE204" i="34"/>
  <c r="AJ204" i="34" s="1"/>
  <c r="AE202" i="34"/>
  <c r="AJ202" i="34" s="1"/>
  <c r="AE203" i="34"/>
  <c r="AI203" i="34" s="1"/>
  <c r="AE201" i="34"/>
  <c r="AJ201" i="34" s="1"/>
  <c r="AE52" i="43"/>
  <c r="AJ52" i="43" s="1"/>
  <c r="AE200" i="34"/>
  <c r="AI200" i="34" s="1"/>
  <c r="AE29" i="45"/>
  <c r="AF29" i="45" s="1"/>
  <c r="AG29" i="45" s="1"/>
  <c r="AE30" i="45"/>
  <c r="AJ30" i="45" s="1"/>
  <c r="AE27" i="45"/>
  <c r="AJ27" i="45" s="1"/>
  <c r="AE31" i="45"/>
  <c r="AJ31" i="45" s="1"/>
  <c r="AE28" i="45"/>
  <c r="AI28" i="45" s="1"/>
  <c r="AE111" i="14"/>
  <c r="AJ111" i="14" s="1"/>
  <c r="AE110" i="14"/>
  <c r="AF110" i="14" s="1"/>
  <c r="AG110" i="14" s="1"/>
  <c r="AC779" i="42"/>
  <c r="AI779" i="42"/>
  <c r="AC778" i="42"/>
  <c r="AI778" i="42"/>
  <c r="AC777" i="42"/>
  <c r="AJ777" i="42"/>
  <c r="AE199" i="34"/>
  <c r="AI199" i="34" s="1"/>
  <c r="AE196" i="34"/>
  <c r="AI196" i="34" s="1"/>
  <c r="AE197" i="34"/>
  <c r="AI197" i="34" s="1"/>
  <c r="AE198" i="34"/>
  <c r="AI198" i="34" s="1"/>
  <c r="AE192" i="34"/>
  <c r="AI192" i="34" s="1"/>
  <c r="AE195" i="34"/>
  <c r="AI195" i="34" s="1"/>
  <c r="AE194" i="34"/>
  <c r="AF194" i="34" s="1"/>
  <c r="AG194" i="34" s="1"/>
  <c r="AE193" i="34"/>
  <c r="AI193" i="34" s="1"/>
  <c r="AE109" i="14"/>
  <c r="AJ109" i="14" s="1"/>
  <c r="AE191" i="34"/>
  <c r="AI191" i="34" s="1"/>
  <c r="AE190" i="34"/>
  <c r="AI190" i="34" s="1"/>
  <c r="AE189" i="34"/>
  <c r="AI189" i="34" s="1"/>
  <c r="AC774" i="42"/>
  <c r="AF774" i="42"/>
  <c r="AG774" i="42" s="1"/>
  <c r="AC773" i="42"/>
  <c r="AI773" i="42"/>
  <c r="AC772" i="42"/>
  <c r="AI772" i="42"/>
  <c r="AE185" i="34"/>
  <c r="AF185" i="34" s="1"/>
  <c r="AG185" i="34" s="1"/>
  <c r="AE188" i="34"/>
  <c r="AJ188" i="34" s="1"/>
  <c r="AE187" i="34"/>
  <c r="AI187" i="34" s="1"/>
  <c r="AE186" i="34"/>
  <c r="AF186" i="34" s="1"/>
  <c r="AG186" i="34" s="1"/>
  <c r="AE51" i="43"/>
  <c r="AJ51" i="43" s="1"/>
  <c r="AE50" i="43"/>
  <c r="AI50" i="43" s="1"/>
  <c r="AE49" i="43"/>
  <c r="AJ49" i="43" s="1"/>
  <c r="AE48" i="43"/>
  <c r="AI48" i="43" s="1"/>
  <c r="AE182" i="34"/>
  <c r="AJ182" i="34" s="1"/>
  <c r="AE47" i="43"/>
  <c r="AI47" i="43" s="1"/>
  <c r="AE46" i="43"/>
  <c r="AI46" i="43" s="1"/>
  <c r="AE184" i="34"/>
  <c r="AI184" i="34" s="1"/>
  <c r="AE183" i="34"/>
  <c r="AI183" i="34" s="1"/>
  <c r="AE104" i="14"/>
  <c r="AJ104" i="14" s="1"/>
  <c r="AE103" i="14"/>
  <c r="AJ103" i="14" s="1"/>
  <c r="AE105" i="14"/>
  <c r="AF105" i="14" s="1"/>
  <c r="AG105" i="14" s="1"/>
  <c r="AC771" i="42"/>
  <c r="AF771" i="42"/>
  <c r="AG771" i="42" s="1"/>
  <c r="AC770" i="42"/>
  <c r="AI770" i="42"/>
  <c r="AC769" i="42"/>
  <c r="AI769" i="42"/>
  <c r="AC657" i="42"/>
  <c r="AF657" i="42"/>
  <c r="AG657" i="42" s="1"/>
  <c r="AC656" i="42"/>
  <c r="AE656" i="42"/>
  <c r="AF656" i="42" s="1"/>
  <c r="AG656" i="42" s="1"/>
  <c r="AC655" i="42"/>
  <c r="AE655" i="42"/>
  <c r="AF655" i="42" s="1"/>
  <c r="AG655" i="42" s="1"/>
  <c r="AC654" i="42"/>
  <c r="AE654" i="42"/>
  <c r="AF654" i="42" s="1"/>
  <c r="AG654" i="42" s="1"/>
  <c r="AC763" i="42"/>
  <c r="AC762" i="42"/>
  <c r="AC577" i="42"/>
  <c r="AE577" i="42"/>
  <c r="AI577" i="42" s="1"/>
  <c r="AC626" i="42"/>
  <c r="AE626" i="42"/>
  <c r="AI626" i="42" s="1"/>
  <c r="AC625" i="42"/>
  <c r="AE625" i="42"/>
  <c r="AJ625" i="42" s="1"/>
  <c r="AC623" i="42"/>
  <c r="AE623" i="42"/>
  <c r="AI623" i="42" s="1"/>
  <c r="AE631" i="42"/>
  <c r="AJ631" i="42" s="1"/>
  <c r="AE630" i="42"/>
  <c r="AI630" i="42" s="1"/>
  <c r="AE629" i="42"/>
  <c r="AI629" i="42" s="1"/>
  <c r="AE628" i="42"/>
  <c r="AJ628" i="42" s="1"/>
  <c r="AE627" i="42"/>
  <c r="AI627" i="42" s="1"/>
  <c r="AC576" i="42"/>
  <c r="AE576" i="42"/>
  <c r="AJ576" i="42" s="1"/>
  <c r="AC617" i="42"/>
  <c r="AE617" i="42"/>
  <c r="AI617" i="42" s="1"/>
  <c r="AC616" i="42"/>
  <c r="AE616" i="42"/>
  <c r="AI616" i="42" s="1"/>
  <c r="AC615" i="42"/>
  <c r="AE615" i="42"/>
  <c r="AJ615" i="42" s="1"/>
  <c r="AC614" i="42"/>
  <c r="AE614" i="42"/>
  <c r="AI614" i="42" s="1"/>
  <c r="AC593" i="42"/>
  <c r="AE593" i="42"/>
  <c r="AJ593" i="42" s="1"/>
  <c r="AE597" i="42"/>
  <c r="AI597" i="42" s="1"/>
  <c r="AE606" i="42"/>
  <c r="AJ606" i="42" s="1"/>
  <c r="AE607" i="42"/>
  <c r="AI607" i="42" s="1"/>
  <c r="AE610" i="42"/>
  <c r="AI610" i="42" s="1"/>
  <c r="AE604" i="42"/>
  <c r="AI604" i="42" s="1"/>
  <c r="AE611" i="42"/>
  <c r="AI611" i="42" s="1"/>
  <c r="AE608" i="42"/>
  <c r="AI608" i="42" s="1"/>
  <c r="AE600" i="42"/>
  <c r="AJ600" i="42" s="1"/>
  <c r="AE605" i="42"/>
  <c r="AI605" i="42" s="1"/>
  <c r="AE609" i="42"/>
  <c r="AJ609" i="42" s="1"/>
  <c r="AE613" i="42"/>
  <c r="AI613" i="42" s="1"/>
  <c r="AE612" i="42"/>
  <c r="AJ612" i="42" s="1"/>
  <c r="AE603" i="42"/>
  <c r="AI603" i="42" s="1"/>
  <c r="AE602" i="42"/>
  <c r="AI602" i="42" s="1"/>
  <c r="AE601" i="42"/>
  <c r="AI601" i="42" s="1"/>
  <c r="AE599" i="42"/>
  <c r="AF599" i="42" s="1"/>
  <c r="AG599" i="42" s="1"/>
  <c r="AE598" i="42"/>
  <c r="AF598" i="42" s="1"/>
  <c r="AG598" i="42" s="1"/>
  <c r="AC578" i="42"/>
  <c r="AE578" i="42"/>
  <c r="AI578" i="42" s="1"/>
  <c r="AC575" i="42"/>
  <c r="AE575" i="42"/>
  <c r="AI575" i="42" s="1"/>
  <c r="AC574" i="42"/>
  <c r="AE574" i="42"/>
  <c r="AF574" i="42" s="1"/>
  <c r="AG574" i="42" s="1"/>
  <c r="AC595" i="42"/>
  <c r="AE595" i="42"/>
  <c r="AJ595" i="42" s="1"/>
  <c r="AC594" i="42"/>
  <c r="AE594" i="42"/>
  <c r="AJ594" i="42" s="1"/>
  <c r="AC568" i="42"/>
  <c r="AE596" i="42"/>
  <c r="AI596" i="42" s="1"/>
  <c r="AC731" i="42"/>
  <c r="AF731" i="42"/>
  <c r="AG731" i="42" s="1"/>
  <c r="AC730" i="42"/>
  <c r="AF730" i="42"/>
  <c r="AG730" i="42" s="1"/>
  <c r="AC729" i="42"/>
  <c r="AF729" i="42"/>
  <c r="AG729" i="42" s="1"/>
  <c r="AC727" i="42"/>
  <c r="AF727" i="42"/>
  <c r="AG727" i="42" s="1"/>
  <c r="AC723" i="42"/>
  <c r="AJ723" i="42"/>
  <c r="AC722" i="42"/>
  <c r="AF722" i="42"/>
  <c r="AG722" i="42" s="1"/>
  <c r="AC721" i="42"/>
  <c r="AF721" i="42"/>
  <c r="AG721" i="42" s="1"/>
  <c r="AC719" i="42"/>
  <c r="AJ719" i="42"/>
  <c r="AC573" i="42"/>
  <c r="AE573" i="42"/>
  <c r="AJ573" i="42" s="1"/>
  <c r="AE582" i="42"/>
  <c r="AI582" i="42" s="1"/>
  <c r="AC580" i="42"/>
  <c r="AE580" i="42"/>
  <c r="AF580" i="42" s="1"/>
  <c r="AG580" i="42" s="1"/>
  <c r="AE579" i="42"/>
  <c r="AF579" i="42" s="1"/>
  <c r="AG579" i="42" s="1"/>
  <c r="AE581" i="42"/>
  <c r="AJ581" i="42" s="1"/>
  <c r="AC653" i="42"/>
  <c r="AE653" i="42"/>
  <c r="AF653" i="42" s="1"/>
  <c r="AG653" i="42" s="1"/>
  <c r="AC652" i="42"/>
  <c r="AE652" i="42"/>
  <c r="AF652" i="42" s="1"/>
  <c r="AG652" i="42" s="1"/>
  <c r="AC650" i="42"/>
  <c r="AE650" i="42"/>
  <c r="AI650" i="42" s="1"/>
  <c r="AC649" i="42"/>
  <c r="AE649" i="42"/>
  <c r="AI649" i="42" s="1"/>
  <c r="AC648" i="42"/>
  <c r="AE648" i="42"/>
  <c r="AF648" i="42" s="1"/>
  <c r="AG648" i="42" s="1"/>
  <c r="AC647" i="42"/>
  <c r="AE647" i="42"/>
  <c r="AI647" i="42" s="1"/>
  <c r="AC646" i="42"/>
  <c r="AE646" i="42"/>
  <c r="AI646" i="42" s="1"/>
  <c r="AC645" i="42"/>
  <c r="AE645" i="42"/>
  <c r="AF645" i="42" s="1"/>
  <c r="AG645" i="42" s="1"/>
  <c r="AC641" i="42"/>
  <c r="AE641" i="42"/>
  <c r="AJ641" i="42" s="1"/>
  <c r="AC640" i="42"/>
  <c r="AE640" i="42"/>
  <c r="AF640" i="42" s="1"/>
  <c r="AG640" i="42" s="1"/>
  <c r="AC639" i="42"/>
  <c r="AE639" i="42"/>
  <c r="AF639" i="42" s="1"/>
  <c r="AG639" i="42" s="1"/>
  <c r="AC638" i="42"/>
  <c r="AE638" i="42"/>
  <c r="AJ638" i="42" s="1"/>
  <c r="AC637" i="42"/>
  <c r="AE637" i="42"/>
  <c r="AF637" i="42" s="1"/>
  <c r="AG637" i="42" s="1"/>
  <c r="AC636" i="42"/>
  <c r="AE636" i="42"/>
  <c r="AF636" i="42" s="1"/>
  <c r="AG636" i="42" s="1"/>
  <c r="AC635" i="42"/>
  <c r="AE635" i="42"/>
  <c r="AJ635" i="42" s="1"/>
  <c r="AE644" i="42"/>
  <c r="AF644" i="42" s="1"/>
  <c r="AG644" i="42" s="1"/>
  <c r="AE643" i="42"/>
  <c r="AF643" i="42" s="1"/>
  <c r="AG643" i="42" s="1"/>
  <c r="AE642" i="42"/>
  <c r="AF642" i="42" s="1"/>
  <c r="AG642" i="42" s="1"/>
  <c r="AE651" i="42"/>
  <c r="AF651" i="42" s="1"/>
  <c r="AG651" i="42" s="1"/>
  <c r="AE181" i="34"/>
  <c r="AI181" i="34" s="1"/>
  <c r="AE26" i="45"/>
  <c r="AI26" i="45" s="1"/>
  <c r="AE25" i="45"/>
  <c r="AJ25" i="45" s="1"/>
  <c r="AE179" i="34"/>
  <c r="AI179" i="34" s="1"/>
  <c r="AE178" i="34"/>
  <c r="AJ178" i="34" s="1"/>
  <c r="AE180" i="34"/>
  <c r="AJ180" i="34" s="1"/>
  <c r="AE102" i="14"/>
  <c r="AF102" i="14" s="1"/>
  <c r="AG102" i="14" s="1"/>
  <c r="AE177" i="34"/>
  <c r="AI177" i="34" s="1"/>
  <c r="AE176" i="34"/>
  <c r="AF176" i="34" s="1"/>
  <c r="AG176" i="34" s="1"/>
  <c r="AE101" i="14"/>
  <c r="AJ101" i="14" s="1"/>
  <c r="AE24" i="45"/>
  <c r="AJ24" i="45" s="1"/>
  <c r="AE174" i="34"/>
  <c r="AF174" i="34" s="1"/>
  <c r="AG174" i="34" s="1"/>
  <c r="AE175" i="34"/>
  <c r="AI175" i="34" s="1"/>
  <c r="AE165" i="34"/>
  <c r="AI165" i="34" s="1"/>
  <c r="AE173" i="34"/>
  <c r="AI173" i="34" s="1"/>
  <c r="AE172" i="34"/>
  <c r="AF172" i="34" s="1"/>
  <c r="AG172" i="34" s="1"/>
  <c r="AE171" i="34"/>
  <c r="AI171" i="34" s="1"/>
  <c r="AE170" i="34"/>
  <c r="AF170" i="34" s="1"/>
  <c r="AG170" i="34" s="1"/>
  <c r="AE169" i="34"/>
  <c r="AF169" i="34" s="1"/>
  <c r="AG169" i="34" s="1"/>
  <c r="AE168" i="34"/>
  <c r="AF168" i="34" s="1"/>
  <c r="AG168" i="34" s="1"/>
  <c r="AE167" i="34"/>
  <c r="AI167" i="34" s="1"/>
  <c r="AE166" i="34"/>
  <c r="AF166" i="34" s="1"/>
  <c r="AG166" i="34" s="1"/>
  <c r="AE98" i="14"/>
  <c r="AI98" i="14" s="1"/>
  <c r="AE100" i="14"/>
  <c r="AF100" i="14" s="1"/>
  <c r="AG100" i="14" s="1"/>
  <c r="AE99" i="14"/>
  <c r="AJ99" i="14" s="1"/>
  <c r="AE44" i="43"/>
  <c r="AI44" i="43" s="1"/>
  <c r="AE45" i="43"/>
  <c r="AF45" i="43" s="1"/>
  <c r="AG45" i="43" s="1"/>
  <c r="AE43" i="43"/>
  <c r="AJ43" i="43" s="1"/>
  <c r="AE97" i="14"/>
  <c r="AJ97" i="14" s="1"/>
  <c r="AE96" i="14"/>
  <c r="AF96" i="14" s="1"/>
  <c r="AG96" i="14" s="1"/>
  <c r="AE95" i="14"/>
  <c r="AJ95" i="14" s="1"/>
  <c r="AE23" i="45"/>
  <c r="AJ23" i="45" s="1"/>
  <c r="AE22" i="45"/>
  <c r="AF22" i="45" s="1"/>
  <c r="AG22" i="45" s="1"/>
  <c r="AE164" i="34"/>
  <c r="AJ164" i="34" s="1"/>
  <c r="AE163" i="34"/>
  <c r="AJ163" i="34" s="1"/>
  <c r="AE162" i="34"/>
  <c r="AI162" i="34" s="1"/>
  <c r="AE21" i="45"/>
  <c r="AJ21" i="45" s="1"/>
  <c r="AE159" i="34"/>
  <c r="AJ159" i="34" s="1"/>
  <c r="AE94" i="14"/>
  <c r="AF94" i="14" s="1"/>
  <c r="AG94" i="14" s="1"/>
  <c r="AE93" i="14"/>
  <c r="AI93" i="14" s="1"/>
  <c r="AE92" i="14"/>
  <c r="AJ92" i="14" s="1"/>
  <c r="AE91" i="14"/>
  <c r="AJ91" i="14" s="1"/>
  <c r="AE161" i="34"/>
  <c r="AJ161" i="34" s="1"/>
  <c r="AE42" i="43"/>
  <c r="AJ42" i="43" s="1"/>
  <c r="AE158" i="34"/>
  <c r="AI158" i="34" s="1"/>
  <c r="AE153" i="34"/>
  <c r="AJ153" i="34" s="1"/>
  <c r="AE160" i="34"/>
  <c r="AI160" i="34" s="1"/>
  <c r="AE157" i="34"/>
  <c r="AJ157" i="34" s="1"/>
  <c r="AE156" i="34"/>
  <c r="AF156" i="34" s="1"/>
  <c r="AG156" i="34" s="1"/>
  <c r="AE155" i="34"/>
  <c r="AJ155" i="34" s="1"/>
  <c r="AE154" i="34"/>
  <c r="AI154" i="34" s="1"/>
  <c r="AE89" i="14"/>
  <c r="AJ89" i="14" s="1"/>
  <c r="AE90" i="14"/>
  <c r="AI90" i="14" s="1"/>
  <c r="AE88" i="14"/>
  <c r="AJ88" i="14" s="1"/>
  <c r="AC170" i="24"/>
  <c r="AE86" i="14"/>
  <c r="AI86" i="14" s="1"/>
  <c r="AE87" i="14"/>
  <c r="AI87" i="14" s="1"/>
  <c r="AE151" i="34"/>
  <c r="AJ151" i="34" s="1"/>
  <c r="AE152" i="34"/>
  <c r="AF152" i="34" s="1"/>
  <c r="AG152" i="34" s="1"/>
  <c r="AF124" i="42"/>
  <c r="AG124" i="42" s="1"/>
  <c r="AE85" i="14"/>
  <c r="AF85" i="14" s="1"/>
  <c r="AG85" i="14" s="1"/>
  <c r="AI205" i="42"/>
  <c r="AJ167" i="42"/>
  <c r="AJ124" i="42"/>
  <c r="AF175" i="42"/>
  <c r="AG175" i="42" s="1"/>
  <c r="AJ10" i="42"/>
  <c r="AI229" i="42"/>
  <c r="AI70" i="42"/>
  <c r="AJ43" i="42"/>
  <c r="AF231" i="42"/>
  <c r="AG231" i="42" s="1"/>
  <c r="AF72" i="42"/>
  <c r="AG72" i="42" s="1"/>
  <c r="AF70" i="42"/>
  <c r="AG70" i="42" s="1"/>
  <c r="AI47" i="42"/>
  <c r="AC35" i="42"/>
  <c r="AF235" i="42"/>
  <c r="AG235" i="42" s="1"/>
  <c r="AF147" i="42"/>
  <c r="AG147" i="42" s="1"/>
  <c r="AJ36" i="42"/>
  <c r="AI148" i="42"/>
  <c r="AF74" i="42"/>
  <c r="AG74" i="42" s="1"/>
  <c r="AF199" i="42"/>
  <c r="AG199" i="42" s="1"/>
  <c r="AJ23" i="42"/>
  <c r="AF18" i="42"/>
  <c r="AG18" i="42" s="1"/>
  <c r="AF160" i="42"/>
  <c r="AG160" i="42" s="1"/>
  <c r="AF94" i="42"/>
  <c r="AG94" i="42" s="1"/>
  <c r="AJ35" i="42"/>
  <c r="AJ33" i="42"/>
  <c r="AF272" i="42"/>
  <c r="AG272" i="42" s="1"/>
  <c r="AC249" i="42"/>
  <c r="AI39" i="42"/>
  <c r="AF26" i="42"/>
  <c r="AG26" i="42" s="1"/>
  <c r="AC17" i="42"/>
  <c r="AC9" i="42"/>
  <c r="AF222" i="42"/>
  <c r="AG222" i="42" s="1"/>
  <c r="AI190" i="42"/>
  <c r="AJ229" i="42"/>
  <c r="AF204" i="42"/>
  <c r="AG204" i="42" s="1"/>
  <c r="AF192" i="42"/>
  <c r="AG192" i="42" s="1"/>
  <c r="AF167" i="42"/>
  <c r="AG167" i="42" s="1"/>
  <c r="AJ145" i="42"/>
  <c r="AF125" i="42"/>
  <c r="AG125" i="42" s="1"/>
  <c r="AC124" i="42"/>
  <c r="AI50" i="42"/>
  <c r="AI48" i="42"/>
  <c r="AC43" i="42"/>
  <c r="AF36" i="42"/>
  <c r="AG36" i="42" s="1"/>
  <c r="AJ34" i="42"/>
  <c r="AJ16" i="42"/>
  <c r="AE150" i="34"/>
  <c r="AI150" i="34" s="1"/>
  <c r="AJ275" i="42"/>
  <c r="AF83" i="42"/>
  <c r="AG83" i="42" s="1"/>
  <c r="AF44" i="42"/>
  <c r="AG44" i="42" s="1"/>
  <c r="AF34" i="42"/>
  <c r="AG34" i="42" s="1"/>
  <c r="AC27" i="42"/>
  <c r="AI277" i="42"/>
  <c r="AI275" i="42"/>
  <c r="AF249" i="42"/>
  <c r="AG249" i="42" s="1"/>
  <c r="AI235" i="42"/>
  <c r="AC67" i="42"/>
  <c r="AC16" i="42"/>
  <c r="AJ42" i="42"/>
  <c r="AJ32" i="42"/>
  <c r="AJ19" i="42"/>
  <c r="AI238" i="42"/>
  <c r="AF148" i="42"/>
  <c r="AG148" i="42" s="1"/>
  <c r="AF145" i="42"/>
  <c r="AG145" i="42" s="1"/>
  <c r="AI136" i="42"/>
  <c r="AF114" i="42"/>
  <c r="AG114" i="42" s="1"/>
  <c r="AF68" i="42"/>
  <c r="AG68" i="42" s="1"/>
  <c r="AF42" i="42"/>
  <c r="AG42" i="42" s="1"/>
  <c r="AJ40" i="42"/>
  <c r="AI32" i="42"/>
  <c r="AC25" i="42"/>
  <c r="AI23" i="42"/>
  <c r="AC10" i="42"/>
  <c r="AF236" i="42"/>
  <c r="AG236" i="42" s="1"/>
  <c r="AF213" i="42"/>
  <c r="AG213" i="42" s="1"/>
  <c r="AC147" i="42"/>
  <c r="AF129" i="42"/>
  <c r="AG129" i="42" s="1"/>
  <c r="AC119" i="42"/>
  <c r="AC94" i="42"/>
  <c r="AC85" i="42"/>
  <c r="AC70" i="42"/>
  <c r="AI61" i="42"/>
  <c r="AJ48" i="42"/>
  <c r="AC18" i="42"/>
  <c r="AI15" i="42"/>
  <c r="AC148" i="42"/>
  <c r="AC104" i="42"/>
  <c r="AC42" i="42"/>
  <c r="AC40" i="42"/>
  <c r="AC32" i="42"/>
  <c r="AC8" i="42"/>
  <c r="AI193" i="42"/>
  <c r="AI163" i="42"/>
  <c r="AJ9" i="42"/>
  <c r="AF195" i="42"/>
  <c r="AG195" i="42" s="1"/>
  <c r="AF163" i="42"/>
  <c r="AG163" i="42" s="1"/>
  <c r="AJ94" i="42"/>
  <c r="AF93" i="42"/>
  <c r="AG93" i="42" s="1"/>
  <c r="AJ49" i="42"/>
  <c r="AC48" i="42"/>
  <c r="AC26" i="42"/>
  <c r="AJ17" i="42"/>
  <c r="AI16" i="42"/>
  <c r="AI9" i="42"/>
  <c r="AF187" i="42"/>
  <c r="AG187" i="42" s="1"/>
  <c r="AC156" i="42"/>
  <c r="AI147" i="42"/>
  <c r="AI135" i="42"/>
  <c r="AJ44" i="42"/>
  <c r="AJ27" i="42"/>
  <c r="AJ18" i="42"/>
  <c r="AI17" i="42"/>
  <c r="AJ5" i="42"/>
  <c r="AJ272" i="42"/>
  <c r="AF234" i="42"/>
  <c r="AG234" i="42" s="1"/>
  <c r="AI212" i="42"/>
  <c r="AJ178" i="42"/>
  <c r="AF174" i="42"/>
  <c r="AG174" i="42" s="1"/>
  <c r="AF166" i="42"/>
  <c r="AG166" i="42" s="1"/>
  <c r="AF164" i="42"/>
  <c r="AG164" i="42" s="1"/>
  <c r="AF156" i="42"/>
  <c r="AG156" i="42" s="1"/>
  <c r="AJ154" i="42"/>
  <c r="AC139" i="42"/>
  <c r="AI119" i="42"/>
  <c r="AF104" i="42"/>
  <c r="AG104" i="42" s="1"/>
  <c r="AI93" i="42"/>
  <c r="AI76" i="42"/>
  <c r="AJ28" i="42"/>
  <c r="AF12" i="42"/>
  <c r="AG12" i="42" s="1"/>
  <c r="AJ249" i="42"/>
  <c r="AI237" i="42"/>
  <c r="AF225" i="42"/>
  <c r="AG225" i="42" s="1"/>
  <c r="AF212" i="42"/>
  <c r="AG212" i="42" s="1"/>
  <c r="AJ205" i="42"/>
  <c r="AF201" i="42"/>
  <c r="AG201" i="42" s="1"/>
  <c r="AC196" i="42"/>
  <c r="AI160" i="42"/>
  <c r="AF144" i="42"/>
  <c r="AG144" i="42" s="1"/>
  <c r="AJ142" i="42"/>
  <c r="AC126" i="42"/>
  <c r="AF56" i="42"/>
  <c r="AG56" i="42" s="1"/>
  <c r="AF52" i="42"/>
  <c r="AG52" i="42" s="1"/>
  <c r="AC51" i="42"/>
  <c r="AJ47" i="42"/>
  <c r="AC41" i="42"/>
  <c r="AJ31" i="42"/>
  <c r="AJ22" i="42"/>
  <c r="AI49" i="42"/>
  <c r="AI33" i="42"/>
  <c r="AF28" i="42"/>
  <c r="AG28" i="42" s="1"/>
  <c r="AJ20" i="42"/>
  <c r="AJ6" i="42"/>
  <c r="AF177" i="42"/>
  <c r="AG177" i="42" s="1"/>
  <c r="AC93" i="42"/>
  <c r="AJ50" i="42"/>
  <c r="AJ39" i="42"/>
  <c r="AJ24" i="42"/>
  <c r="AJ14" i="42"/>
  <c r="AJ11" i="42"/>
  <c r="AJ7" i="42"/>
  <c r="AI6" i="42"/>
  <c r="AJ3" i="42"/>
  <c r="AI104" i="42"/>
  <c r="AJ51" i="42"/>
  <c r="AJ41" i="42"/>
  <c r="AJ25" i="42"/>
  <c r="AI24" i="42"/>
  <c r="AJ8" i="42"/>
  <c r="AI7" i="42"/>
  <c r="AJ208" i="42"/>
  <c r="AF139" i="42"/>
  <c r="AG139" i="42" s="1"/>
  <c r="AF136" i="42"/>
  <c r="AG136" i="42" s="1"/>
  <c r="AI126" i="42"/>
  <c r="AJ61" i="42"/>
  <c r="AC57" i="42"/>
  <c r="AJ55" i="42"/>
  <c r="AJ52" i="42"/>
  <c r="AC49" i="42"/>
  <c r="AI41" i="42"/>
  <c r="AI40" i="42"/>
  <c r="AC33" i="42"/>
  <c r="AJ26" i="42"/>
  <c r="AI25" i="42"/>
  <c r="AF20" i="42"/>
  <c r="AG20" i="42" s="1"/>
  <c r="AC19" i="42"/>
  <c r="AJ15" i="42"/>
  <c r="AJ12" i="42"/>
  <c r="AI8" i="42"/>
  <c r="AI234" i="42"/>
  <c r="AF232" i="42"/>
  <c r="AG232" i="42" s="1"/>
  <c r="AI208" i="42"/>
  <c r="AF196" i="42"/>
  <c r="AG196" i="42" s="1"/>
  <c r="AC195" i="42"/>
  <c r="AF193" i="42"/>
  <c r="AG193" i="42" s="1"/>
  <c r="AC163" i="42"/>
  <c r="AF152" i="42"/>
  <c r="AG152" i="42" s="1"/>
  <c r="AJ119" i="42"/>
  <c r="AF115" i="42"/>
  <c r="AG115" i="42" s="1"/>
  <c r="AF103" i="42"/>
  <c r="AG103" i="42" s="1"/>
  <c r="AJ76" i="42"/>
  <c r="AI55" i="42"/>
  <c r="AC50" i="42"/>
  <c r="AC34" i="42"/>
  <c r="AC24" i="42"/>
  <c r="AC7" i="42"/>
  <c r="AJ4" i="42"/>
  <c r="AI286" i="42"/>
  <c r="AI285" i="42"/>
  <c r="AI284" i="42"/>
  <c r="AI278" i="42"/>
  <c r="AI276" i="42"/>
  <c r="AF273" i="42"/>
  <c r="AG273" i="42" s="1"/>
  <c r="AF270" i="42"/>
  <c r="AG270" i="42" s="1"/>
  <c r="AF247" i="42"/>
  <c r="AG247" i="42" s="1"/>
  <c r="AI220" i="42"/>
  <c r="AI209" i="42"/>
  <c r="AF202" i="42"/>
  <c r="AG202" i="42" s="1"/>
  <c r="AI196" i="42"/>
  <c r="AI195" i="42"/>
  <c r="AF194" i="42"/>
  <c r="AG194" i="42" s="1"/>
  <c r="AC189" i="42"/>
  <c r="AC182" i="42"/>
  <c r="AI172" i="42"/>
  <c r="AI166" i="42"/>
  <c r="AC142" i="42"/>
  <c r="AC141" i="42"/>
  <c r="AI139" i="42"/>
  <c r="AC135" i="42"/>
  <c r="AF126" i="42"/>
  <c r="AG126" i="42" s="1"/>
  <c r="AF122" i="42"/>
  <c r="AG122" i="42" s="1"/>
  <c r="AF120" i="42"/>
  <c r="AG120" i="42" s="1"/>
  <c r="AI115" i="42"/>
  <c r="AJ87" i="42"/>
  <c r="AI87" i="42"/>
  <c r="AF87" i="42"/>
  <c r="AG87" i="42" s="1"/>
  <c r="AE29" i="42"/>
  <c r="AC29" i="42"/>
  <c r="AC238" i="42"/>
  <c r="AC237" i="42"/>
  <c r="AF233" i="42"/>
  <c r="AG233" i="42" s="1"/>
  <c r="AC229" i="42"/>
  <c r="AF223" i="42"/>
  <c r="AG223" i="42" s="1"/>
  <c r="AJ203" i="42"/>
  <c r="AF178" i="42"/>
  <c r="AG178" i="42" s="1"/>
  <c r="AF162" i="42"/>
  <c r="AG162" i="42" s="1"/>
  <c r="AF154" i="42"/>
  <c r="AG154" i="42" s="1"/>
  <c r="AF153" i="42"/>
  <c r="AG153" i="42" s="1"/>
  <c r="AC130" i="42"/>
  <c r="AF127" i="42"/>
  <c r="AG127" i="42" s="1"/>
  <c r="AF117" i="42"/>
  <c r="AG117" i="42" s="1"/>
  <c r="AF113" i="42"/>
  <c r="AG113" i="42" s="1"/>
  <c r="AE88" i="42"/>
  <c r="AC88" i="42"/>
  <c r="AJ77" i="42"/>
  <c r="AF77" i="42"/>
  <c r="AG77" i="42" s="1"/>
  <c r="AE37" i="42"/>
  <c r="AC37" i="42"/>
  <c r="AF286" i="42"/>
  <c r="AG286" i="42" s="1"/>
  <c r="AF285" i="42"/>
  <c r="AG285" i="42" s="1"/>
  <c r="AF284" i="42"/>
  <c r="AG284" i="42" s="1"/>
  <c r="AJ274" i="42"/>
  <c r="AJ271" i="42"/>
  <c r="AJ224" i="42"/>
  <c r="AF220" i="42"/>
  <c r="AG220" i="42" s="1"/>
  <c r="AC208" i="42"/>
  <c r="AC205" i="42"/>
  <c r="AF203" i="42"/>
  <c r="AG203" i="42" s="1"/>
  <c r="AF200" i="42"/>
  <c r="AG200" i="42" s="1"/>
  <c r="AJ182" i="42"/>
  <c r="AJ176" i="42"/>
  <c r="AF172" i="42"/>
  <c r="AG172" i="42" s="1"/>
  <c r="AF169" i="42"/>
  <c r="AG169" i="42" s="1"/>
  <c r="AF133" i="42"/>
  <c r="AG133" i="42" s="1"/>
  <c r="AF132" i="42"/>
  <c r="AG132" i="42" s="1"/>
  <c r="AF118" i="42"/>
  <c r="AG118" i="42" s="1"/>
  <c r="AF116" i="42"/>
  <c r="AG116" i="42" s="1"/>
  <c r="AE105" i="42"/>
  <c r="AC105" i="42"/>
  <c r="AE84" i="42"/>
  <c r="AC84" i="42"/>
  <c r="AE45" i="42"/>
  <c r="AC45" i="42"/>
  <c r="AE38" i="42"/>
  <c r="AC38" i="42"/>
  <c r="AE30" i="42"/>
  <c r="AC30" i="42"/>
  <c r="AE13" i="42"/>
  <c r="AC13" i="42"/>
  <c r="AF274" i="42"/>
  <c r="AG274" i="42" s="1"/>
  <c r="AF271" i="42"/>
  <c r="AG271" i="42" s="1"/>
  <c r="AF248" i="42"/>
  <c r="AG248" i="42" s="1"/>
  <c r="AJ238" i="42"/>
  <c r="AF224" i="42"/>
  <c r="AG224" i="42" s="1"/>
  <c r="AF221" i="42"/>
  <c r="AG221" i="42" s="1"/>
  <c r="AI189" i="42"/>
  <c r="AI182" i="42"/>
  <c r="AC178" i="42"/>
  <c r="AF176" i="42"/>
  <c r="AG176" i="42" s="1"/>
  <c r="AF173" i="42"/>
  <c r="AG173" i="42" s="1"/>
  <c r="AC154" i="42"/>
  <c r="AC153" i="42"/>
  <c r="AC145" i="42"/>
  <c r="AI142" i="42"/>
  <c r="AI141" i="42"/>
  <c r="AF140" i="42"/>
  <c r="AG140" i="42" s="1"/>
  <c r="AF138" i="42"/>
  <c r="AG138" i="42" s="1"/>
  <c r="AJ130" i="42"/>
  <c r="AF123" i="42"/>
  <c r="AG123" i="42" s="1"/>
  <c r="AC113" i="42"/>
  <c r="AF86" i="42"/>
  <c r="AG86" i="42" s="1"/>
  <c r="AE81" i="42"/>
  <c r="AC81" i="42"/>
  <c r="AI75" i="42"/>
  <c r="AF75" i="42"/>
  <c r="AG75" i="42" s="1"/>
  <c r="AE53" i="42"/>
  <c r="AC53" i="42"/>
  <c r="AE46" i="42"/>
  <c r="AC46" i="42"/>
  <c r="AC286" i="42"/>
  <c r="AC285" i="42"/>
  <c r="AC284" i="42"/>
  <c r="AC169" i="42"/>
  <c r="AC133" i="42"/>
  <c r="AC132" i="42"/>
  <c r="AI130" i="42"/>
  <c r="AC118" i="42"/>
  <c r="AC116" i="42"/>
  <c r="AE96" i="42"/>
  <c r="AC96" i="42"/>
  <c r="AJ85" i="42"/>
  <c r="AF85" i="42"/>
  <c r="AG85" i="42" s="1"/>
  <c r="AE78" i="42"/>
  <c r="AC78" i="42"/>
  <c r="AE54" i="42"/>
  <c r="AC54" i="42"/>
  <c r="AE97" i="42"/>
  <c r="AC97" i="42"/>
  <c r="AE90" i="42"/>
  <c r="AC90" i="42"/>
  <c r="AE82" i="42"/>
  <c r="AC82" i="42"/>
  <c r="AE73" i="42"/>
  <c r="AC73" i="42"/>
  <c r="AE64" i="42"/>
  <c r="AC64" i="42"/>
  <c r="AJ62" i="42"/>
  <c r="AF62" i="42"/>
  <c r="AG62" i="42" s="1"/>
  <c r="AE21" i="42"/>
  <c r="AC21" i="42"/>
  <c r="AC235" i="42"/>
  <c r="AC234" i="42"/>
  <c r="AI202" i="42"/>
  <c r="AF189" i="42"/>
  <c r="AG189" i="42" s="1"/>
  <c r="AJ169" i="42"/>
  <c r="AI153" i="42"/>
  <c r="AF141" i="42"/>
  <c r="AG141" i="42" s="1"/>
  <c r="AF135" i="42"/>
  <c r="AG135" i="42" s="1"/>
  <c r="AJ133" i="42"/>
  <c r="AI118" i="42"/>
  <c r="AJ116" i="42"/>
  <c r="AC115" i="42"/>
  <c r="AJ113" i="42"/>
  <c r="AJ71" i="42"/>
  <c r="AF71" i="42"/>
  <c r="AG71" i="42" s="1"/>
  <c r="AE66" i="42"/>
  <c r="AJ66" i="42" s="1"/>
  <c r="AC66" i="42"/>
  <c r="AE60" i="42"/>
  <c r="AC60" i="42"/>
  <c r="AE58" i="42"/>
  <c r="AC58" i="42"/>
  <c r="AJ273" i="42"/>
  <c r="AJ270" i="42"/>
  <c r="AF237" i="42"/>
  <c r="AG237" i="42" s="1"/>
  <c r="AI223" i="42"/>
  <c r="AI199" i="42"/>
  <c r="AF198" i="42"/>
  <c r="AG198" i="42" s="1"/>
  <c r="AF190" i="42"/>
  <c r="AG190" i="42" s="1"/>
  <c r="AI175" i="42"/>
  <c r="AF168" i="42"/>
  <c r="AG168" i="42" s="1"/>
  <c r="AF165" i="42"/>
  <c r="AG165" i="42" s="1"/>
  <c r="AI132" i="42"/>
  <c r="AF131" i="42"/>
  <c r="AG131" i="42" s="1"/>
  <c r="AI127" i="42"/>
  <c r="AE91" i="42"/>
  <c r="AC91" i="42"/>
  <c r="AC87" i="42"/>
  <c r="AF80" i="42"/>
  <c r="AG80" i="42" s="1"/>
  <c r="AE79" i="42"/>
  <c r="AC79" i="42"/>
  <c r="AC11" i="42"/>
  <c r="AF5" i="42"/>
  <c r="AG5" i="42" s="1"/>
  <c r="AC3" i="42"/>
  <c r="AC76" i="42"/>
  <c r="AF67" i="42"/>
  <c r="AG67" i="42" s="1"/>
  <c r="AC63" i="42"/>
  <c r="AC61" i="42"/>
  <c r="AF57" i="42"/>
  <c r="AG57" i="42" s="1"/>
  <c r="AI22" i="42"/>
  <c r="AI14" i="42"/>
  <c r="AF10" i="42"/>
  <c r="AG10" i="42" s="1"/>
  <c r="AJ74" i="42"/>
  <c r="AF69" i="42"/>
  <c r="AG69" i="42" s="1"/>
  <c r="AI51" i="42"/>
  <c r="AI43" i="42"/>
  <c r="AI35" i="42"/>
  <c r="AF31" i="42"/>
  <c r="AG31" i="42" s="1"/>
  <c r="AI27" i="42"/>
  <c r="AI19" i="42"/>
  <c r="AI11" i="42"/>
  <c r="AC5" i="42"/>
  <c r="AI3" i="42"/>
  <c r="AF4" i="42"/>
  <c r="AG4" i="42" s="1"/>
  <c r="AC55" i="42"/>
  <c r="AC47" i="42"/>
  <c r="AC39" i="42"/>
  <c r="AC31" i="42"/>
  <c r="AC23" i="42"/>
  <c r="AC15" i="42"/>
  <c r="AJ67" i="42"/>
  <c r="AI57" i="42"/>
  <c r="AC52" i="42"/>
  <c r="AC44" i="42"/>
  <c r="AC36" i="42"/>
  <c r="AC28" i="42"/>
  <c r="AC20" i="42"/>
  <c r="AC12" i="42"/>
  <c r="AC4" i="42"/>
  <c r="AF65" i="42"/>
  <c r="AG65" i="42" s="1"/>
  <c r="AF63" i="42"/>
  <c r="AG63" i="42" s="1"/>
  <c r="AF59" i="42"/>
  <c r="AG59" i="42" s="1"/>
  <c r="AC22" i="42"/>
  <c r="AC14" i="42"/>
  <c r="AC6" i="42"/>
  <c r="AI231" i="42"/>
  <c r="AC231" i="42"/>
  <c r="AC220" i="42"/>
  <c r="AJ218" i="42"/>
  <c r="AC212" i="42"/>
  <c r="AJ210" i="42"/>
  <c r="AJ206" i="42"/>
  <c r="AC199" i="42"/>
  <c r="AI198" i="42"/>
  <c r="AC198" i="42"/>
  <c r="AI192" i="42"/>
  <c r="AC192" i="42"/>
  <c r="AC190" i="42"/>
  <c r="AI187" i="42"/>
  <c r="AC187" i="42"/>
  <c r="AJ179" i="42"/>
  <c r="AC172" i="42"/>
  <c r="AJ170" i="42"/>
  <c r="AC160" i="42"/>
  <c r="AJ159" i="42"/>
  <c r="AF159" i="42"/>
  <c r="AG159" i="42" s="1"/>
  <c r="AE151" i="42"/>
  <c r="AC151" i="42"/>
  <c r="AE150" i="42"/>
  <c r="AC150" i="42"/>
  <c r="AI155" i="42"/>
  <c r="AF155" i="42"/>
  <c r="AG155" i="42" s="1"/>
  <c r="AI149" i="42"/>
  <c r="AF149" i="42"/>
  <c r="AG149" i="42" s="1"/>
  <c r="AC274" i="42"/>
  <c r="AC271" i="42"/>
  <c r="AF250" i="42"/>
  <c r="AG250" i="42" s="1"/>
  <c r="AI248" i="42"/>
  <c r="AC248" i="42"/>
  <c r="AF240" i="42"/>
  <c r="AG240" i="42" s="1"/>
  <c r="AF239" i="42"/>
  <c r="AG239" i="42" s="1"/>
  <c r="AC232" i="42"/>
  <c r="AC223" i="42"/>
  <c r="AJ221" i="42"/>
  <c r="AF219" i="42"/>
  <c r="AG219" i="42" s="1"/>
  <c r="AF218" i="42"/>
  <c r="AG218" i="42" s="1"/>
  <c r="AJ213" i="42"/>
  <c r="AF211" i="42"/>
  <c r="AG211" i="42" s="1"/>
  <c r="AF210" i="42"/>
  <c r="AG210" i="42" s="1"/>
  <c r="AF206" i="42"/>
  <c r="AG206" i="42" s="1"/>
  <c r="AC202" i="42"/>
  <c r="AF197" i="42"/>
  <c r="AG197" i="42" s="1"/>
  <c r="AC193" i="42"/>
  <c r="AF191" i="42"/>
  <c r="AG191" i="42" s="1"/>
  <c r="AF179" i="42"/>
  <c r="AG179" i="42" s="1"/>
  <c r="AC175" i="42"/>
  <c r="AJ173" i="42"/>
  <c r="AF171" i="42"/>
  <c r="AG171" i="42" s="1"/>
  <c r="AF170" i="42"/>
  <c r="AG170" i="42" s="1"/>
  <c r="AC166" i="42"/>
  <c r="AJ164" i="42"/>
  <c r="AE157" i="42"/>
  <c r="AC157" i="42"/>
  <c r="AE92" i="42"/>
  <c r="AC92" i="42"/>
  <c r="AF143" i="42"/>
  <c r="AG143" i="42" s="1"/>
  <c r="AF137" i="42"/>
  <c r="AG137" i="42" s="1"/>
  <c r="AF128" i="42"/>
  <c r="AG128" i="42" s="1"/>
  <c r="AI123" i="42"/>
  <c r="AC123" i="42"/>
  <c r="AJ117" i="42"/>
  <c r="AJ114" i="42"/>
  <c r="AJ103" i="42"/>
  <c r="AE95" i="42"/>
  <c r="AC95" i="42"/>
  <c r="AF146" i="42"/>
  <c r="AG146" i="42" s="1"/>
  <c r="AI144" i="42"/>
  <c r="AC144" i="42"/>
  <c r="AI138" i="42"/>
  <c r="AC138" i="42"/>
  <c r="AC136" i="42"/>
  <c r="AF134" i="42"/>
  <c r="AG134" i="42" s="1"/>
  <c r="AI129" i="42"/>
  <c r="AC129" i="42"/>
  <c r="AC127" i="42"/>
  <c r="AC117" i="42"/>
  <c r="AC114" i="42"/>
  <c r="AC103" i="42"/>
  <c r="AE98" i="42"/>
  <c r="AC98" i="42"/>
  <c r="AJ89" i="42"/>
  <c r="AI89" i="42"/>
  <c r="AC89" i="42"/>
  <c r="AI86" i="42"/>
  <c r="AC86" i="42"/>
  <c r="AI83" i="42"/>
  <c r="AC83" i="42"/>
  <c r="AI80" i="42"/>
  <c r="AC80" i="42"/>
  <c r="AI77" i="42"/>
  <c r="AC77" i="42"/>
  <c r="AJ75" i="42"/>
  <c r="AC74" i="42"/>
  <c r="AJ72" i="42"/>
  <c r="AI71" i="42"/>
  <c r="AC71" i="42"/>
  <c r="AJ69" i="42"/>
  <c r="AI68" i="42"/>
  <c r="AC68" i="42"/>
  <c r="AI65" i="42"/>
  <c r="AC65" i="42"/>
  <c r="AJ63" i="42"/>
  <c r="AI62" i="42"/>
  <c r="AC62" i="42"/>
  <c r="AI59" i="42"/>
  <c r="AC59" i="42"/>
  <c r="AI56" i="42"/>
  <c r="AC56" i="42"/>
  <c r="AC75" i="42"/>
  <c r="AC72" i="42"/>
  <c r="AC69" i="42"/>
  <c r="AJ250" i="42"/>
  <c r="AJ247" i="42"/>
  <c r="AJ240" i="42"/>
  <c r="AI239" i="42"/>
  <c r="AC239" i="42"/>
  <c r="AI236" i="42"/>
  <c r="AC236" i="42"/>
  <c r="AI233" i="42"/>
  <c r="AC233" i="42"/>
  <c r="AI225" i="42"/>
  <c r="AC225" i="42"/>
  <c r="AI222" i="42"/>
  <c r="AC222" i="42"/>
  <c r="AI219" i="42"/>
  <c r="AC219" i="42"/>
  <c r="AI211" i="42"/>
  <c r="AC211" i="42"/>
  <c r="AJ209" i="42"/>
  <c r="AC275" i="42"/>
  <c r="AC272" i="42"/>
  <c r="AC250" i="42"/>
  <c r="AC247" i="42"/>
  <c r="AC240" i="42"/>
  <c r="AJ232" i="42"/>
  <c r="AJ278" i="42"/>
  <c r="AC278" i="42"/>
  <c r="AJ277" i="42"/>
  <c r="AC277" i="42"/>
  <c r="AJ276" i="42"/>
  <c r="AC276" i="42"/>
  <c r="AC273" i="42"/>
  <c r="AC270" i="42"/>
  <c r="AC224" i="42"/>
  <c r="AC221" i="42"/>
  <c r="AC218" i="42"/>
  <c r="AC213" i="42"/>
  <c r="AC210" i="42"/>
  <c r="AI207" i="42"/>
  <c r="AJ207" i="42"/>
  <c r="AJ200" i="42"/>
  <c r="AJ197" i="42"/>
  <c r="AJ194" i="42"/>
  <c r="AJ191" i="42"/>
  <c r="AC179" i="42"/>
  <c r="AJ177" i="42"/>
  <c r="AC176" i="42"/>
  <c r="AJ174" i="42"/>
  <c r="AC173" i="42"/>
  <c r="AJ171" i="42"/>
  <c r="AC170" i="42"/>
  <c r="AJ168" i="42"/>
  <c r="AC167" i="42"/>
  <c r="AJ165" i="42"/>
  <c r="AC164" i="42"/>
  <c r="AJ162" i="42"/>
  <c r="AI159" i="42"/>
  <c r="AC159" i="42"/>
  <c r="AJ158" i="42"/>
  <c r="AF158" i="42"/>
  <c r="AG158" i="42" s="1"/>
  <c r="AC209" i="42"/>
  <c r="AC206" i="42"/>
  <c r="AJ204" i="42"/>
  <c r="AC203" i="42"/>
  <c r="AJ201" i="42"/>
  <c r="AC200" i="42"/>
  <c r="AC197" i="42"/>
  <c r="AC194" i="42"/>
  <c r="AC191" i="42"/>
  <c r="AC177" i="42"/>
  <c r="AC174" i="42"/>
  <c r="AC171" i="42"/>
  <c r="AC168" i="42"/>
  <c r="AC165" i="42"/>
  <c r="AC162" i="42"/>
  <c r="AC207" i="42"/>
  <c r="AC204" i="42"/>
  <c r="AC201" i="42"/>
  <c r="AE161" i="42"/>
  <c r="AC161" i="42"/>
  <c r="AI156" i="42"/>
  <c r="AJ155" i="42"/>
  <c r="AJ152" i="42"/>
  <c r="AJ149" i="42"/>
  <c r="AJ146" i="42"/>
  <c r="AJ143" i="42"/>
  <c r="AJ140" i="42"/>
  <c r="AJ137" i="42"/>
  <c r="AJ134" i="42"/>
  <c r="AJ131" i="42"/>
  <c r="AJ128" i="42"/>
  <c r="AJ125" i="42"/>
  <c r="AJ122" i="42"/>
  <c r="AJ120" i="42"/>
  <c r="AC158" i="42"/>
  <c r="AC155" i="42"/>
  <c r="AC152" i="42"/>
  <c r="AC149" i="42"/>
  <c r="AC146" i="42"/>
  <c r="AC143" i="42"/>
  <c r="AC140" i="42"/>
  <c r="AC137" i="42"/>
  <c r="AC134" i="42"/>
  <c r="AC131" i="42"/>
  <c r="AC128" i="42"/>
  <c r="AC125" i="42"/>
  <c r="AC122" i="42"/>
  <c r="AC120" i="42"/>
  <c r="AE146" i="34"/>
  <c r="AF146" i="34" s="1"/>
  <c r="AG146" i="34" s="1"/>
  <c r="AE149" i="34"/>
  <c r="AJ149" i="34" s="1"/>
  <c r="AE148" i="34"/>
  <c r="AF148" i="34" s="1"/>
  <c r="AG148" i="34" s="1"/>
  <c r="AE147" i="34"/>
  <c r="AJ147" i="34" s="1"/>
  <c r="AE571" i="42"/>
  <c r="AI571" i="42" s="1"/>
  <c r="AE570" i="42"/>
  <c r="AJ570" i="42" s="1"/>
  <c r="AE568" i="42"/>
  <c r="AJ568" i="42" s="1"/>
  <c r="AC569" i="42"/>
  <c r="AC567" i="42"/>
  <c r="AE567" i="42"/>
  <c r="AI567" i="42" s="1"/>
  <c r="AC566" i="42"/>
  <c r="AE566" i="42"/>
  <c r="AJ566" i="42" s="1"/>
  <c r="AC565" i="42"/>
  <c r="AE565" i="42"/>
  <c r="AI565" i="42" s="1"/>
  <c r="AC564" i="42"/>
  <c r="AE564" i="42"/>
  <c r="AI564" i="42" s="1"/>
  <c r="AC563" i="42"/>
  <c r="AE563" i="42"/>
  <c r="AI563" i="42" s="1"/>
  <c r="AC562" i="42"/>
  <c r="AE562" i="42"/>
  <c r="AI562" i="42" s="1"/>
  <c r="AC561" i="42"/>
  <c r="AE561" i="42"/>
  <c r="AJ561" i="42" s="1"/>
  <c r="AC560" i="42"/>
  <c r="AE560" i="42"/>
  <c r="AI560" i="42" s="1"/>
  <c r="AC559" i="42"/>
  <c r="AE559" i="42"/>
  <c r="AI559" i="42" s="1"/>
  <c r="AC558" i="42"/>
  <c r="AE558" i="42"/>
  <c r="AJ558" i="42" s="1"/>
  <c r="AC557" i="42"/>
  <c r="AE557" i="42"/>
  <c r="AC556" i="42"/>
  <c r="AE556" i="42"/>
  <c r="AJ556" i="42" s="1"/>
  <c r="AC555" i="42"/>
  <c r="AE555" i="42"/>
  <c r="AI555" i="42" s="1"/>
  <c r="AC554" i="42"/>
  <c r="AE554" i="42"/>
  <c r="AF554" i="42" s="1"/>
  <c r="AG554" i="42" s="1"/>
  <c r="AC553" i="42"/>
  <c r="AE553" i="42"/>
  <c r="AJ553" i="42" s="1"/>
  <c r="AC552" i="42"/>
  <c r="AE552" i="42"/>
  <c r="AJ552" i="42" s="1"/>
  <c r="AC551" i="42"/>
  <c r="AE551" i="42"/>
  <c r="AF551" i="42" s="1"/>
  <c r="AG551" i="42" s="1"/>
  <c r="AC550" i="42"/>
  <c r="AE550" i="42"/>
  <c r="AF550" i="42" s="1"/>
  <c r="AG550" i="42" s="1"/>
  <c r="AC549" i="42"/>
  <c r="AE549" i="42"/>
  <c r="AI549" i="42" s="1"/>
  <c r="AC548" i="42"/>
  <c r="AE548" i="42"/>
  <c r="AI548" i="42" s="1"/>
  <c r="AC547" i="42"/>
  <c r="AE547" i="42"/>
  <c r="AF547" i="42" s="1"/>
  <c r="AG547" i="42" s="1"/>
  <c r="AC546" i="42"/>
  <c r="AE546" i="42"/>
  <c r="AI546" i="42" s="1"/>
  <c r="AC545" i="42"/>
  <c r="AE545" i="42"/>
  <c r="AI545" i="42" s="1"/>
  <c r="AC544" i="42"/>
  <c r="AE544" i="42"/>
  <c r="AF544" i="42" s="1"/>
  <c r="AG544" i="42" s="1"/>
  <c r="AC543" i="42"/>
  <c r="AE543" i="42"/>
  <c r="AI543" i="42" s="1"/>
  <c r="AC542" i="42"/>
  <c r="AE542" i="42"/>
  <c r="AF542" i="42" s="1"/>
  <c r="AG542" i="42" s="1"/>
  <c r="AC541" i="42"/>
  <c r="AE541" i="42"/>
  <c r="AF541" i="42" s="1"/>
  <c r="AG541" i="42" s="1"/>
  <c r="AC540" i="42"/>
  <c r="AE540" i="42"/>
  <c r="AF540" i="42" s="1"/>
  <c r="AG540" i="42" s="1"/>
  <c r="AC539" i="42"/>
  <c r="AE539" i="42"/>
  <c r="AF539" i="42" s="1"/>
  <c r="AG539" i="42" s="1"/>
  <c r="AC538" i="42"/>
  <c r="AE538" i="42"/>
  <c r="AF538" i="42" s="1"/>
  <c r="AG538" i="42" s="1"/>
  <c r="AC537" i="42"/>
  <c r="AE537" i="42"/>
  <c r="AF537" i="42" s="1"/>
  <c r="AG537" i="42" s="1"/>
  <c r="AC536" i="42"/>
  <c r="AE536" i="42"/>
  <c r="AF536" i="42" s="1"/>
  <c r="AG536" i="42" s="1"/>
  <c r="AC535" i="42"/>
  <c r="AE535" i="42"/>
  <c r="AF535" i="42" s="1"/>
  <c r="AG535" i="42" s="1"/>
  <c r="AC534" i="42"/>
  <c r="AE534" i="42"/>
  <c r="AF534" i="42" s="1"/>
  <c r="AG534" i="42" s="1"/>
  <c r="AE569" i="42"/>
  <c r="AJ569" i="42" s="1"/>
  <c r="AC533" i="42"/>
  <c r="AE533" i="42"/>
  <c r="AF533" i="42" s="1"/>
  <c r="AG533" i="42" s="1"/>
  <c r="AC526" i="42"/>
  <c r="AE526" i="42"/>
  <c r="AF526" i="42" s="1"/>
  <c r="AG526" i="42" s="1"/>
  <c r="AC525" i="42"/>
  <c r="AE525" i="42"/>
  <c r="AF525" i="42" s="1"/>
  <c r="AG525" i="42" s="1"/>
  <c r="AC524" i="42"/>
  <c r="AE524" i="42"/>
  <c r="AI524" i="42" s="1"/>
  <c r="AC523" i="42"/>
  <c r="AE523" i="42"/>
  <c r="AJ523" i="42" s="1"/>
  <c r="AC515" i="42"/>
  <c r="AE515" i="42"/>
  <c r="AF515" i="42" s="1"/>
  <c r="AG515" i="42" s="1"/>
  <c r="AC514" i="42"/>
  <c r="AE514" i="42"/>
  <c r="AF514" i="42" s="1"/>
  <c r="AG514" i="42" s="1"/>
  <c r="AC513" i="42"/>
  <c r="AE513" i="42"/>
  <c r="AF513" i="42" s="1"/>
  <c r="AG513" i="42" s="1"/>
  <c r="AC511" i="42"/>
  <c r="AE511" i="42"/>
  <c r="AF511" i="42" s="1"/>
  <c r="AG511" i="42" s="1"/>
  <c r="AC510" i="42"/>
  <c r="AE510" i="42"/>
  <c r="AF510" i="42" s="1"/>
  <c r="AG510" i="42" s="1"/>
  <c r="AC509" i="42"/>
  <c r="AE509" i="42"/>
  <c r="AJ509" i="42" s="1"/>
  <c r="AC508" i="42"/>
  <c r="AE508" i="42"/>
  <c r="AF508" i="42" s="1"/>
  <c r="AG508" i="42" s="1"/>
  <c r="AC507" i="42"/>
  <c r="AE507" i="42"/>
  <c r="AJ507" i="42" s="1"/>
  <c r="AC506" i="42"/>
  <c r="AE506" i="42"/>
  <c r="AF506" i="42" s="1"/>
  <c r="AG506" i="42" s="1"/>
  <c r="AC505" i="42"/>
  <c r="AE505" i="42"/>
  <c r="AF505" i="42" s="1"/>
  <c r="AG505" i="42" s="1"/>
  <c r="AC504" i="42"/>
  <c r="AE504" i="42"/>
  <c r="AF504" i="42" s="1"/>
  <c r="AG504" i="42" s="1"/>
  <c r="AC503" i="42"/>
  <c r="AE503" i="42"/>
  <c r="AJ503" i="42" s="1"/>
  <c r="AC502" i="42"/>
  <c r="AE502" i="42"/>
  <c r="AI502" i="42" s="1"/>
  <c r="AC501" i="42"/>
  <c r="AE501" i="42"/>
  <c r="AJ501" i="42" s="1"/>
  <c r="AC500" i="42"/>
  <c r="AE500" i="42"/>
  <c r="AJ500" i="42" s="1"/>
  <c r="AC499" i="42"/>
  <c r="AE499" i="42"/>
  <c r="AC498" i="42"/>
  <c r="AE498" i="42"/>
  <c r="AJ498" i="42" s="1"/>
  <c r="AC497" i="42"/>
  <c r="AE497" i="42"/>
  <c r="AJ497" i="42" s="1"/>
  <c r="AC489" i="42"/>
  <c r="AE489" i="42"/>
  <c r="AJ489" i="42" s="1"/>
  <c r="AC488" i="42"/>
  <c r="AE488" i="42"/>
  <c r="AJ488" i="42" s="1"/>
  <c r="AC487" i="42"/>
  <c r="AE487" i="42"/>
  <c r="AF487" i="42" s="1"/>
  <c r="AG487" i="42" s="1"/>
  <c r="AC486" i="42"/>
  <c r="AE486" i="42"/>
  <c r="AF486" i="42" s="1"/>
  <c r="AG486" i="42" s="1"/>
  <c r="AC485" i="42"/>
  <c r="AE485" i="42"/>
  <c r="AJ485" i="42" s="1"/>
  <c r="AC484" i="42"/>
  <c r="AE484" i="42"/>
  <c r="AJ484" i="42" s="1"/>
  <c r="AC482" i="42"/>
  <c r="AE482" i="42"/>
  <c r="AC481" i="42"/>
  <c r="AE481" i="42"/>
  <c r="AC480" i="42"/>
  <c r="AE480" i="42"/>
  <c r="AC479" i="42"/>
  <c r="AE479" i="42"/>
  <c r="AC478" i="42"/>
  <c r="AE478" i="42"/>
  <c r="AC477" i="42"/>
  <c r="AE477" i="42"/>
  <c r="AC476" i="42"/>
  <c r="AE476" i="42"/>
  <c r="AC474" i="42"/>
  <c r="AE474" i="42"/>
  <c r="AF474" i="42" s="1"/>
  <c r="AG474" i="42" s="1"/>
  <c r="AC473" i="42"/>
  <c r="AE473" i="42"/>
  <c r="AC472" i="42"/>
  <c r="AE472" i="42"/>
  <c r="AJ472" i="42" s="1"/>
  <c r="AC471" i="42"/>
  <c r="AE471" i="42"/>
  <c r="AF471" i="42" s="1"/>
  <c r="AG471" i="42" s="1"/>
  <c r="AC470" i="42"/>
  <c r="AE470" i="42"/>
  <c r="AC464" i="42"/>
  <c r="AE464" i="42"/>
  <c r="AJ464" i="42" s="1"/>
  <c r="AC463" i="42"/>
  <c r="AE463" i="42"/>
  <c r="AF463" i="42" s="1"/>
  <c r="AG463" i="42" s="1"/>
  <c r="AC462" i="42"/>
  <c r="AE462" i="42"/>
  <c r="AF462" i="42" s="1"/>
  <c r="AG462" i="42" s="1"/>
  <c r="AC461" i="42"/>
  <c r="AE461" i="42"/>
  <c r="AF461" i="42" s="1"/>
  <c r="AG461" i="42" s="1"/>
  <c r="AC460" i="42"/>
  <c r="AE460" i="42"/>
  <c r="AF460" i="42" s="1"/>
  <c r="AG460" i="42" s="1"/>
  <c r="AC459" i="42"/>
  <c r="AE459" i="42"/>
  <c r="AJ459" i="42" s="1"/>
  <c r="AC458" i="42"/>
  <c r="AE458" i="42"/>
  <c r="AJ458" i="42" s="1"/>
  <c r="AC457" i="42"/>
  <c r="AE457" i="42"/>
  <c r="AI457" i="42" s="1"/>
  <c r="AC456" i="42"/>
  <c r="AE456" i="42"/>
  <c r="AJ456" i="42" s="1"/>
  <c r="AC455" i="42"/>
  <c r="AE455" i="42"/>
  <c r="AF455" i="42" s="1"/>
  <c r="AG455" i="42" s="1"/>
  <c r="AC454" i="42"/>
  <c r="AE454" i="42"/>
  <c r="AJ454" i="42" s="1"/>
  <c r="AC453" i="42"/>
  <c r="AE453" i="42"/>
  <c r="AJ453" i="42" s="1"/>
  <c r="AC452" i="42"/>
  <c r="AE452" i="42"/>
  <c r="AF452" i="42" s="1"/>
  <c r="AG452" i="42" s="1"/>
  <c r="AC451" i="42"/>
  <c r="AE451" i="42"/>
  <c r="AF451" i="42" s="1"/>
  <c r="AG451" i="42" s="1"/>
  <c r="AC450" i="42"/>
  <c r="AE450" i="42"/>
  <c r="AC449" i="42"/>
  <c r="AE449" i="42"/>
  <c r="AF449" i="42" s="1"/>
  <c r="AG449" i="42" s="1"/>
  <c r="AC448" i="42"/>
  <c r="AE448" i="42"/>
  <c r="AF448" i="42" s="1"/>
  <c r="AG448" i="42" s="1"/>
  <c r="AC447" i="42"/>
  <c r="AE447" i="42"/>
  <c r="AF447" i="42" s="1"/>
  <c r="AG447" i="42" s="1"/>
  <c r="AC446" i="42"/>
  <c r="AE446" i="42"/>
  <c r="AF446" i="42" s="1"/>
  <c r="AG446" i="42" s="1"/>
  <c r="AC445" i="42"/>
  <c r="AE445" i="42"/>
  <c r="AF445" i="42" s="1"/>
  <c r="AG445" i="42" s="1"/>
  <c r="AC444" i="42"/>
  <c r="AE444" i="42"/>
  <c r="AF444" i="42" s="1"/>
  <c r="AG444" i="42" s="1"/>
  <c r="AC443" i="42"/>
  <c r="AE443" i="42"/>
  <c r="AF443" i="42" s="1"/>
  <c r="AG443" i="42" s="1"/>
  <c r="AC442" i="42"/>
  <c r="AE442" i="42"/>
  <c r="AF442" i="42" s="1"/>
  <c r="AG442" i="42" s="1"/>
  <c r="AC441" i="42"/>
  <c r="AE441" i="42"/>
  <c r="AI441" i="42" s="1"/>
  <c r="AC440" i="42"/>
  <c r="AE440" i="42"/>
  <c r="AF440" i="42" s="1"/>
  <c r="AG440" i="42" s="1"/>
  <c r="AC439" i="42"/>
  <c r="AE439" i="42"/>
  <c r="AF439" i="42" s="1"/>
  <c r="AG439" i="42" s="1"/>
  <c r="AC438" i="42"/>
  <c r="AE438" i="42"/>
  <c r="AI438" i="42" s="1"/>
  <c r="AC437" i="42"/>
  <c r="AE437" i="42"/>
  <c r="AF437" i="42" s="1"/>
  <c r="AG437" i="42" s="1"/>
  <c r="AC436" i="42"/>
  <c r="AE436" i="42"/>
  <c r="AF436" i="42" s="1"/>
  <c r="AG436" i="42" s="1"/>
  <c r="AC435" i="42"/>
  <c r="AE435" i="42"/>
  <c r="AI435" i="42" s="1"/>
  <c r="AC434" i="42"/>
  <c r="AE434" i="42"/>
  <c r="AF434" i="42" s="1"/>
  <c r="AG434" i="42" s="1"/>
  <c r="AC433" i="42"/>
  <c r="AE433" i="42"/>
  <c r="AF433" i="42" s="1"/>
  <c r="AG433" i="42" s="1"/>
  <c r="AC432" i="42"/>
  <c r="AE432" i="42"/>
  <c r="AI432" i="42" s="1"/>
  <c r="AC431" i="42"/>
  <c r="AE431" i="42"/>
  <c r="AF431" i="42" s="1"/>
  <c r="AG431" i="42" s="1"/>
  <c r="AC429" i="42"/>
  <c r="AE429" i="42"/>
  <c r="AF429" i="42" s="1"/>
  <c r="AG429" i="42" s="1"/>
  <c r="AC428" i="42"/>
  <c r="AE428" i="42"/>
  <c r="AI428" i="42" s="1"/>
  <c r="AC427" i="42"/>
  <c r="AE427" i="42"/>
  <c r="AF427" i="42" s="1"/>
  <c r="AG427" i="42" s="1"/>
  <c r="AC426" i="42"/>
  <c r="AE426" i="42"/>
  <c r="AF426" i="42" s="1"/>
  <c r="AG426" i="42" s="1"/>
  <c r="AC425" i="42"/>
  <c r="AE425" i="42"/>
  <c r="AI425" i="42" s="1"/>
  <c r="AC424" i="42"/>
  <c r="AE424" i="42"/>
  <c r="AF424" i="42" s="1"/>
  <c r="AG424" i="42" s="1"/>
  <c r="AC423" i="42"/>
  <c r="AE423" i="42"/>
  <c r="AF423" i="42" s="1"/>
  <c r="AG423" i="42" s="1"/>
  <c r="AC422" i="42"/>
  <c r="AE422" i="42"/>
  <c r="AI422" i="42" s="1"/>
  <c r="AC421" i="42"/>
  <c r="AE421" i="42"/>
  <c r="AF421" i="42" s="1"/>
  <c r="AG421" i="42" s="1"/>
  <c r="AC420" i="42"/>
  <c r="AE420" i="42"/>
  <c r="AF420" i="42" s="1"/>
  <c r="AG420" i="42" s="1"/>
  <c r="AC419" i="42"/>
  <c r="AE419" i="42"/>
  <c r="AI419" i="42" s="1"/>
  <c r="AC418" i="42"/>
  <c r="AE418" i="42"/>
  <c r="AF418" i="42" s="1"/>
  <c r="AG418" i="42" s="1"/>
  <c r="AE430" i="42"/>
  <c r="AE417" i="42"/>
  <c r="AF417" i="42" s="1"/>
  <c r="AG417" i="42" s="1"/>
  <c r="AC416" i="42"/>
  <c r="AE416" i="42"/>
  <c r="AI416" i="42" s="1"/>
  <c r="AC415" i="42"/>
  <c r="AE415" i="42"/>
  <c r="AC414" i="42"/>
  <c r="AE414" i="42"/>
  <c r="AC413" i="42"/>
  <c r="AE413" i="42"/>
  <c r="AC412" i="42"/>
  <c r="AE412" i="42"/>
  <c r="AC411" i="42"/>
  <c r="AE411" i="42"/>
  <c r="AC410" i="42"/>
  <c r="AE410" i="42"/>
  <c r="AC409" i="42"/>
  <c r="AE409" i="42"/>
  <c r="AC408" i="42"/>
  <c r="AE408" i="42"/>
  <c r="AC407" i="42"/>
  <c r="AE407" i="42"/>
  <c r="AC406" i="42"/>
  <c r="AE406" i="42"/>
  <c r="AJ406" i="42" s="1"/>
  <c r="AC405" i="42"/>
  <c r="AE405" i="42"/>
  <c r="AC404" i="42"/>
  <c r="AE404" i="42"/>
  <c r="AC403" i="42"/>
  <c r="AE403" i="42"/>
  <c r="AI403" i="42" s="1"/>
  <c r="AC402" i="42"/>
  <c r="AE402" i="42"/>
  <c r="AC401" i="42"/>
  <c r="AE401" i="42"/>
  <c r="AC400" i="42"/>
  <c r="AE400" i="42"/>
  <c r="AI400" i="42" s="1"/>
  <c r="AC399" i="42"/>
  <c r="AE399" i="42"/>
  <c r="AC398" i="42"/>
  <c r="AE398" i="42"/>
  <c r="AC397" i="42"/>
  <c r="AE397" i="42"/>
  <c r="AF397" i="42" s="1"/>
  <c r="AG397" i="42" s="1"/>
  <c r="AC396" i="42"/>
  <c r="AE396" i="42"/>
  <c r="AC395" i="42"/>
  <c r="AE395" i="42"/>
  <c r="AC394" i="42"/>
  <c r="AE394" i="42"/>
  <c r="AF394" i="42" s="1"/>
  <c r="AG394" i="42" s="1"/>
  <c r="AC393" i="42"/>
  <c r="AE393" i="42"/>
  <c r="AC392" i="42"/>
  <c r="AE392" i="42"/>
  <c r="AC387" i="42"/>
  <c r="AE387" i="42"/>
  <c r="AC386" i="42"/>
  <c r="AE386" i="42"/>
  <c r="AC385" i="42"/>
  <c r="AE385" i="42"/>
  <c r="AC384" i="42"/>
  <c r="AE384" i="42"/>
  <c r="AC383" i="42"/>
  <c r="AE383" i="42"/>
  <c r="AC382" i="42"/>
  <c r="AE382" i="42"/>
  <c r="AC381" i="42"/>
  <c r="AE381" i="42"/>
  <c r="AI381" i="42" s="1"/>
  <c r="AC380" i="42"/>
  <c r="AE380" i="42"/>
  <c r="AI380" i="42" s="1"/>
  <c r="AC379" i="42"/>
  <c r="AE379" i="42"/>
  <c r="AI379" i="42" s="1"/>
  <c r="AC378" i="42"/>
  <c r="AE378" i="42"/>
  <c r="AI378" i="42" s="1"/>
  <c r="AC376" i="42"/>
  <c r="AE376" i="42"/>
  <c r="AI376" i="42" s="1"/>
  <c r="AC374" i="42"/>
  <c r="AE374" i="42"/>
  <c r="AF374" i="42" s="1"/>
  <c r="AG374" i="42" s="1"/>
  <c r="AC373" i="42"/>
  <c r="AE373" i="42"/>
  <c r="AI373" i="42" s="1"/>
  <c r="AC372" i="42"/>
  <c r="AE372" i="42"/>
  <c r="AI372" i="42" s="1"/>
  <c r="AC371" i="42"/>
  <c r="AE371" i="42"/>
  <c r="AC370" i="42"/>
  <c r="AE370" i="42"/>
  <c r="AC369" i="42"/>
  <c r="AE369" i="42"/>
  <c r="AC362" i="42"/>
  <c r="AE362" i="42"/>
  <c r="AJ362" i="42" s="1"/>
  <c r="AC361" i="42"/>
  <c r="AE361" i="42"/>
  <c r="AF361" i="42" s="1"/>
  <c r="AG361" i="42" s="1"/>
  <c r="AC360" i="42"/>
  <c r="AE360" i="42"/>
  <c r="AC359" i="42"/>
  <c r="AE359" i="42"/>
  <c r="AI359" i="42" s="1"/>
  <c r="AC358" i="42"/>
  <c r="AE358" i="42"/>
  <c r="AI358" i="42" s="1"/>
  <c r="AC357" i="42"/>
  <c r="AE357" i="42"/>
  <c r="AI357" i="42" s="1"/>
  <c r="AC356" i="42"/>
  <c r="AE356" i="42"/>
  <c r="AI356" i="42" s="1"/>
  <c r="AC355" i="42"/>
  <c r="AE355" i="42"/>
  <c r="AI355" i="42" s="1"/>
  <c r="AC354" i="42"/>
  <c r="AE354" i="42"/>
  <c r="AF354" i="42" s="1"/>
  <c r="AG354" i="42" s="1"/>
  <c r="AC353" i="42"/>
  <c r="AE353" i="42"/>
  <c r="AI353" i="42" s="1"/>
  <c r="AC352" i="42"/>
  <c r="AE352" i="42"/>
  <c r="AI352" i="42" s="1"/>
  <c r="AC351" i="42"/>
  <c r="AE351" i="42"/>
  <c r="AJ351" i="42" s="1"/>
  <c r="AC350" i="42"/>
  <c r="AE350" i="42"/>
  <c r="AI350" i="42" s="1"/>
  <c r="AC349" i="42"/>
  <c r="AE349" i="42"/>
  <c r="AI349" i="42" s="1"/>
  <c r="AC348" i="42"/>
  <c r="AE348" i="42"/>
  <c r="AF348" i="42" s="1"/>
  <c r="AG348" i="42" s="1"/>
  <c r="AC347" i="42"/>
  <c r="AE347" i="42"/>
  <c r="AI347" i="42" s="1"/>
  <c r="AC346" i="42"/>
  <c r="AE346" i="42"/>
  <c r="AI346" i="42" s="1"/>
  <c r="AC345" i="42"/>
  <c r="AE345" i="42"/>
  <c r="AF345" i="42" s="1"/>
  <c r="AG345" i="42" s="1"/>
  <c r="AC344" i="42"/>
  <c r="AE344" i="42"/>
  <c r="AI344" i="42" s="1"/>
  <c r="AC343" i="42"/>
  <c r="AE343" i="42"/>
  <c r="AI343" i="42" s="1"/>
  <c r="AC342" i="42"/>
  <c r="AE342" i="42"/>
  <c r="AJ342" i="42" s="1"/>
  <c r="AC341" i="42"/>
  <c r="AE341" i="42"/>
  <c r="AI341" i="42" s="1"/>
  <c r="AC340" i="42"/>
  <c r="AE340" i="42"/>
  <c r="AI340" i="42" s="1"/>
  <c r="AC339" i="42"/>
  <c r="AE339" i="42"/>
  <c r="AF339" i="42" s="1"/>
  <c r="AG339" i="42" s="1"/>
  <c r="AC338" i="42"/>
  <c r="AE338" i="42"/>
  <c r="AI338" i="42" s="1"/>
  <c r="AC337" i="42"/>
  <c r="AE337" i="42"/>
  <c r="AI337" i="42" s="1"/>
  <c r="AC336" i="42"/>
  <c r="AE336" i="42"/>
  <c r="AF336" i="42" s="1"/>
  <c r="AG336" i="42" s="1"/>
  <c r="AC335" i="42"/>
  <c r="AE335" i="42"/>
  <c r="AI335" i="42" s="1"/>
  <c r="AC334" i="42"/>
  <c r="AE334" i="42"/>
  <c r="AI334" i="42" s="1"/>
  <c r="AC333" i="42"/>
  <c r="AE333" i="42"/>
  <c r="AI333" i="42" s="1"/>
  <c r="AC332" i="42"/>
  <c r="AE332" i="42"/>
  <c r="AI332" i="42" s="1"/>
  <c r="AC331" i="42"/>
  <c r="AE331" i="42"/>
  <c r="AI331" i="42" s="1"/>
  <c r="AC330" i="42"/>
  <c r="AE330" i="42"/>
  <c r="AI330" i="42" s="1"/>
  <c r="AC329" i="42"/>
  <c r="AE329" i="42"/>
  <c r="AI329" i="42" s="1"/>
  <c r="AC328" i="42"/>
  <c r="AE328" i="42"/>
  <c r="AI328" i="42" s="1"/>
  <c r="AC327" i="42"/>
  <c r="AE327" i="42"/>
  <c r="AI327" i="42" s="1"/>
  <c r="AC326" i="42"/>
  <c r="AE326" i="42"/>
  <c r="AI326" i="42" s="1"/>
  <c r="AC325" i="42"/>
  <c r="AE325" i="42"/>
  <c r="AI325" i="42" s="1"/>
  <c r="AC324" i="42"/>
  <c r="AE324" i="42"/>
  <c r="AI324" i="42" s="1"/>
  <c r="AC323" i="42"/>
  <c r="AE323" i="42"/>
  <c r="AI323" i="42" s="1"/>
  <c r="AC322" i="42"/>
  <c r="AE322" i="42"/>
  <c r="AI322" i="42" s="1"/>
  <c r="AC321" i="42"/>
  <c r="AE321" i="42"/>
  <c r="AI321" i="42" s="1"/>
  <c r="AC320" i="42"/>
  <c r="AE320" i="42"/>
  <c r="AI320" i="42" s="1"/>
  <c r="AC319" i="42"/>
  <c r="AE319" i="42"/>
  <c r="AI319" i="42" s="1"/>
  <c r="AC318" i="42"/>
  <c r="AE318" i="42"/>
  <c r="AI318" i="42" s="1"/>
  <c r="AC317" i="42"/>
  <c r="AE317" i="42"/>
  <c r="AI317" i="42" s="1"/>
  <c r="AC316" i="42"/>
  <c r="AE316" i="42"/>
  <c r="AI316" i="42" s="1"/>
  <c r="AC315" i="42"/>
  <c r="AE315" i="42"/>
  <c r="AC314" i="42"/>
  <c r="AE314" i="42"/>
  <c r="AJ314" i="42" s="1"/>
  <c r="AC313" i="42"/>
  <c r="AE313" i="42"/>
  <c r="AC312" i="42"/>
  <c r="AE312" i="42"/>
  <c r="AF312" i="42" s="1"/>
  <c r="AG312" i="42" s="1"/>
  <c r="AC311" i="42"/>
  <c r="AE311" i="42"/>
  <c r="AJ311" i="42" s="1"/>
  <c r="AC310" i="42"/>
  <c r="AE310" i="42"/>
  <c r="AC309" i="42"/>
  <c r="AE309" i="42"/>
  <c r="AF309" i="42" s="1"/>
  <c r="AG309" i="42" s="1"/>
  <c r="AC308" i="42"/>
  <c r="AE308" i="42"/>
  <c r="AF308" i="42" s="1"/>
  <c r="AG308" i="42" s="1"/>
  <c r="AC307" i="42"/>
  <c r="AE307" i="42"/>
  <c r="AC306" i="42"/>
  <c r="AE306" i="42"/>
  <c r="AF306" i="42" s="1"/>
  <c r="AG306" i="42" s="1"/>
  <c r="AC305" i="42"/>
  <c r="AE305" i="42"/>
  <c r="AC304" i="42"/>
  <c r="AE304" i="42"/>
  <c r="AJ304" i="42" s="1"/>
  <c r="AC303" i="42"/>
  <c r="AE303" i="42"/>
  <c r="AC302" i="42"/>
  <c r="AE302" i="42"/>
  <c r="AC301" i="42"/>
  <c r="AE301" i="42"/>
  <c r="AF301" i="42" s="1"/>
  <c r="AG301" i="42" s="1"/>
  <c r="AC300" i="42"/>
  <c r="AE300" i="42"/>
  <c r="AJ300" i="42" s="1"/>
  <c r="AC299" i="42"/>
  <c r="AE299" i="42"/>
  <c r="AC298" i="42"/>
  <c r="AE298" i="42"/>
  <c r="AF298" i="42" s="1"/>
  <c r="AG298" i="42" s="1"/>
  <c r="AC297" i="42"/>
  <c r="AE297" i="42"/>
  <c r="AJ297" i="42" s="1"/>
  <c r="AC296" i="42"/>
  <c r="AE296" i="42"/>
  <c r="AC295" i="42"/>
  <c r="AE295" i="42"/>
  <c r="AI295" i="42" s="1"/>
  <c r="AC294" i="42"/>
  <c r="AE294" i="42"/>
  <c r="AJ294" i="42" s="1"/>
  <c r="AC293" i="42"/>
  <c r="AE293" i="42"/>
  <c r="AC292" i="42"/>
  <c r="AE292" i="42"/>
  <c r="AI292" i="42" s="1"/>
  <c r="AC291" i="42"/>
  <c r="AE291" i="42"/>
  <c r="AJ291" i="42" s="1"/>
  <c r="AC290" i="42"/>
  <c r="AE290" i="42"/>
  <c r="AC289" i="42"/>
  <c r="AE289" i="42"/>
  <c r="AF289" i="42" s="1"/>
  <c r="AG289" i="42" s="1"/>
  <c r="AC288" i="42"/>
  <c r="AE288" i="42"/>
  <c r="AJ288" i="42" s="1"/>
  <c r="AC287" i="42"/>
  <c r="AE287" i="42"/>
  <c r="AI287" i="42" s="1"/>
  <c r="AC283" i="42"/>
  <c r="AE283" i="42"/>
  <c r="AI283" i="42" s="1"/>
  <c r="AC282" i="42"/>
  <c r="AE282" i="42"/>
  <c r="AJ282" i="42" s="1"/>
  <c r="AC281" i="42"/>
  <c r="AE281" i="42"/>
  <c r="AI281" i="42" s="1"/>
  <c r="AC280" i="42"/>
  <c r="AE280" i="42"/>
  <c r="AC269" i="42"/>
  <c r="AE465" i="42"/>
  <c r="AI465" i="42" s="1"/>
  <c r="AE269" i="42"/>
  <c r="AF269" i="42" s="1"/>
  <c r="AG269" i="42" s="1"/>
  <c r="AC268" i="42"/>
  <c r="AE468" i="42"/>
  <c r="AF468" i="42" s="1"/>
  <c r="AG468" i="42" s="1"/>
  <c r="AE268" i="42"/>
  <c r="AI268" i="42" s="1"/>
  <c r="AE466" i="42"/>
  <c r="AJ466" i="42" s="1"/>
  <c r="AE267" i="42"/>
  <c r="AF267" i="42" s="1"/>
  <c r="AG267" i="42" s="1"/>
  <c r="AC266" i="42"/>
  <c r="AE467" i="42"/>
  <c r="AE266" i="42"/>
  <c r="AJ266" i="42" s="1"/>
  <c r="AC265" i="42"/>
  <c r="AE265" i="42"/>
  <c r="AC264" i="42"/>
  <c r="AE469" i="42"/>
  <c r="AJ469" i="42" s="1"/>
  <c r="AE264" i="42"/>
  <c r="AF264" i="42" s="1"/>
  <c r="AG264" i="42" s="1"/>
  <c r="AC263" i="42"/>
  <c r="AE263" i="42"/>
  <c r="AI263" i="42" s="1"/>
  <c r="AC262" i="42"/>
  <c r="AE262" i="42"/>
  <c r="AI262" i="42" s="1"/>
  <c r="AC261" i="42"/>
  <c r="AE261" i="42"/>
  <c r="AI261" i="42" s="1"/>
  <c r="AC260" i="42"/>
  <c r="AE260" i="42"/>
  <c r="AI260" i="42" s="1"/>
  <c r="AC259" i="42"/>
  <c r="AE259" i="42"/>
  <c r="AI259" i="42" s="1"/>
  <c r="AC258" i="42"/>
  <c r="AE258" i="42"/>
  <c r="AI258" i="42" s="1"/>
  <c r="AC257" i="42"/>
  <c r="AE257" i="42"/>
  <c r="AI257" i="42" s="1"/>
  <c r="AC256" i="42"/>
  <c r="AE256" i="42"/>
  <c r="AI256" i="42" s="1"/>
  <c r="AC255" i="42"/>
  <c r="AE255" i="42"/>
  <c r="AI255" i="42" s="1"/>
  <c r="AC254" i="42"/>
  <c r="AE254" i="42"/>
  <c r="AI254" i="42" s="1"/>
  <c r="AC253" i="42"/>
  <c r="AE253" i="42"/>
  <c r="AI253" i="42" s="1"/>
  <c r="AC252" i="42"/>
  <c r="AE252" i="42"/>
  <c r="AI252" i="42" s="1"/>
  <c r="AC251" i="42"/>
  <c r="AE251" i="42"/>
  <c r="AI251" i="42" s="1"/>
  <c r="AE532" i="42"/>
  <c r="AF532" i="42" s="1"/>
  <c r="AG532" i="42" s="1"/>
  <c r="AE246" i="42"/>
  <c r="AE531" i="42"/>
  <c r="AF531" i="42" s="1"/>
  <c r="AG531" i="42" s="1"/>
  <c r="AE245" i="42"/>
  <c r="AE530" i="42"/>
  <c r="AI530" i="42" s="1"/>
  <c r="AE244" i="42"/>
  <c r="AE529" i="42"/>
  <c r="AF529" i="42" s="1"/>
  <c r="AG529" i="42" s="1"/>
  <c r="AE243" i="42"/>
  <c r="AE528" i="42"/>
  <c r="AI528" i="42" s="1"/>
  <c r="AE242" i="42"/>
  <c r="AE527" i="42"/>
  <c r="AI527" i="42" s="1"/>
  <c r="AE241" i="42"/>
  <c r="AE512" i="42"/>
  <c r="AI512" i="42" s="1"/>
  <c r="AE230" i="42"/>
  <c r="AE519" i="42"/>
  <c r="AF519" i="42" s="1"/>
  <c r="AG519" i="42" s="1"/>
  <c r="AE228" i="42"/>
  <c r="AE518" i="42"/>
  <c r="AF518" i="42" s="1"/>
  <c r="AG518" i="42" s="1"/>
  <c r="AE227" i="42"/>
  <c r="AE520" i="42"/>
  <c r="AE226" i="42"/>
  <c r="AE522" i="42"/>
  <c r="AE217" i="42"/>
  <c r="AE521" i="42"/>
  <c r="AF521" i="42" s="1"/>
  <c r="AG521" i="42" s="1"/>
  <c r="AE216" i="42"/>
  <c r="AE516" i="42"/>
  <c r="AF516" i="42" s="1"/>
  <c r="AG516" i="42" s="1"/>
  <c r="AE215" i="42"/>
  <c r="AE517" i="42"/>
  <c r="AI517" i="42" s="1"/>
  <c r="AE214" i="42"/>
  <c r="AE496" i="42"/>
  <c r="AE188" i="42"/>
  <c r="AF188" i="42" s="1"/>
  <c r="AG188" i="42" s="1"/>
  <c r="AE493" i="42"/>
  <c r="AJ493" i="42" s="1"/>
  <c r="AE186" i="42"/>
  <c r="AF186" i="42" s="1"/>
  <c r="AG186" i="42" s="1"/>
  <c r="AE495" i="42"/>
  <c r="AF495" i="42" s="1"/>
  <c r="AG495" i="42" s="1"/>
  <c r="AE185" i="42"/>
  <c r="AF185" i="42" s="1"/>
  <c r="AG185" i="42" s="1"/>
  <c r="AE492" i="42"/>
  <c r="AJ492" i="42" s="1"/>
  <c r="AE184" i="42"/>
  <c r="AF184" i="42" s="1"/>
  <c r="AG184" i="42" s="1"/>
  <c r="AE490" i="42"/>
  <c r="AF490" i="42" s="1"/>
  <c r="AG490" i="42" s="1"/>
  <c r="AE183" i="42"/>
  <c r="AI183" i="42" s="1"/>
  <c r="AE491" i="42"/>
  <c r="AJ491" i="42" s="1"/>
  <c r="AE181" i="42"/>
  <c r="AF181" i="42" s="1"/>
  <c r="AG181" i="42" s="1"/>
  <c r="AE494" i="42"/>
  <c r="AF494" i="42" s="1"/>
  <c r="AG494" i="42" s="1"/>
  <c r="AE180" i="42"/>
  <c r="AF180" i="42" s="1"/>
  <c r="AG180" i="42" s="1"/>
  <c r="AE368" i="42"/>
  <c r="AE121" i="42"/>
  <c r="AI121" i="42" s="1"/>
  <c r="AE365" i="42"/>
  <c r="AJ365" i="42" s="1"/>
  <c r="AE112" i="42"/>
  <c r="AI112" i="42" s="1"/>
  <c r="AE367" i="42"/>
  <c r="AI367" i="42" s="1"/>
  <c r="AE111" i="42"/>
  <c r="AI111" i="42" s="1"/>
  <c r="AE377" i="42"/>
  <c r="AI377" i="42" s="1"/>
  <c r="AE110" i="42"/>
  <c r="AI110" i="42" s="1"/>
  <c r="AE366" i="42"/>
  <c r="AF366" i="42" s="1"/>
  <c r="AG366" i="42" s="1"/>
  <c r="AE109" i="42"/>
  <c r="AF109" i="42" s="1"/>
  <c r="AG109" i="42" s="1"/>
  <c r="AE364" i="42"/>
  <c r="AI364" i="42" s="1"/>
  <c r="AE108" i="42"/>
  <c r="AI108" i="42" s="1"/>
  <c r="AE375" i="42"/>
  <c r="AI375" i="42" s="1"/>
  <c r="AE107" i="42"/>
  <c r="AI107" i="42" s="1"/>
  <c r="AE363" i="42"/>
  <c r="AI363" i="42" s="1"/>
  <c r="AE106" i="42"/>
  <c r="AF106" i="42" s="1"/>
  <c r="AG106" i="42" s="1"/>
  <c r="AE391" i="42"/>
  <c r="AI391" i="42" s="1"/>
  <c r="AE102" i="42"/>
  <c r="AI102" i="42" s="1"/>
  <c r="AE390" i="42"/>
  <c r="AE101" i="42"/>
  <c r="AJ101" i="42" s="1"/>
  <c r="AE389" i="42"/>
  <c r="AE100" i="42"/>
  <c r="AE388" i="42"/>
  <c r="AE99" i="42"/>
  <c r="AC417" i="42"/>
  <c r="AJ279" i="42"/>
  <c r="AF279" i="42"/>
  <c r="AG279" i="42" s="1"/>
  <c r="AE145" i="34"/>
  <c r="AJ145" i="34" s="1"/>
  <c r="AE144" i="34"/>
  <c r="AI144" i="34" s="1"/>
  <c r="AE41" i="43"/>
  <c r="AF41" i="43" s="1"/>
  <c r="AG41" i="43" s="1"/>
  <c r="AE143" i="34"/>
  <c r="AJ143" i="34" s="1"/>
  <c r="AE142" i="34"/>
  <c r="AI142" i="34" s="1"/>
  <c r="AC391" i="42"/>
  <c r="AC390" i="42"/>
  <c r="AC389" i="42"/>
  <c r="AC388" i="42"/>
  <c r="AC377" i="42"/>
  <c r="AC375" i="42"/>
  <c r="AC368" i="42"/>
  <c r="AC367" i="42"/>
  <c r="AC366" i="42"/>
  <c r="AC365" i="42"/>
  <c r="AC364" i="42"/>
  <c r="AC363" i="42"/>
  <c r="AC467" i="42"/>
  <c r="AC475" i="42"/>
  <c r="AF475" i="42"/>
  <c r="AG475" i="42" s="1"/>
  <c r="AC469" i="42"/>
  <c r="AC466" i="42"/>
  <c r="AC468" i="42"/>
  <c r="AC465" i="42"/>
  <c r="AC493" i="42"/>
  <c r="AC532" i="42"/>
  <c r="AC531" i="42"/>
  <c r="AC530" i="42"/>
  <c r="AC529" i="42"/>
  <c r="AC528" i="42"/>
  <c r="AC527" i="42"/>
  <c r="AC522" i="42"/>
  <c r="AC521" i="42"/>
  <c r="AC520" i="42"/>
  <c r="AC519" i="42"/>
  <c r="AC518" i="42"/>
  <c r="AC517" i="42"/>
  <c r="AC516" i="42"/>
  <c r="AC512" i="42"/>
  <c r="AC490" i="42"/>
  <c r="AE84" i="14"/>
  <c r="AJ84" i="14" s="1"/>
  <c r="AC496" i="42"/>
  <c r="AC494" i="42"/>
  <c r="AC491" i="42"/>
  <c r="AC495" i="42"/>
  <c r="AC492" i="42"/>
  <c r="AI732" i="42"/>
  <c r="AI734" i="42"/>
  <c r="AI733" i="42"/>
  <c r="AI735" i="42"/>
  <c r="AJ732" i="42"/>
  <c r="AJ1413" i="42"/>
  <c r="AF1413" i="42"/>
  <c r="AG1413" i="42" s="1"/>
  <c r="AJ1412" i="42"/>
  <c r="AF1412" i="42"/>
  <c r="AG1412" i="42" s="1"/>
  <c r="AJ1411" i="42"/>
  <c r="AF1411" i="42"/>
  <c r="AG1411" i="42" s="1"/>
  <c r="AJ1410" i="42"/>
  <c r="AF1410" i="42"/>
  <c r="AG1410" i="42" s="1"/>
  <c r="AJ1409" i="42"/>
  <c r="AF1409" i="42"/>
  <c r="AG1409" i="42" s="1"/>
  <c r="AJ1408" i="42"/>
  <c r="AF1408" i="42"/>
  <c r="AG1408" i="42" s="1"/>
  <c r="AJ1407" i="42"/>
  <c r="AF1407" i="42"/>
  <c r="AG1407" i="42" s="1"/>
  <c r="AJ1406" i="42"/>
  <c r="AF1406" i="42"/>
  <c r="AG1406" i="42" s="1"/>
  <c r="AJ1405" i="42"/>
  <c r="AF1405" i="42"/>
  <c r="AG1405" i="42" s="1"/>
  <c r="AJ1404" i="42"/>
  <c r="AF1404" i="42"/>
  <c r="AG1404" i="42" s="1"/>
  <c r="AJ1403" i="42"/>
  <c r="AF1403" i="42"/>
  <c r="AG1403" i="42" s="1"/>
  <c r="AJ1402" i="42"/>
  <c r="AF1402" i="42"/>
  <c r="AG1402" i="42" s="1"/>
  <c r="AJ1401" i="42"/>
  <c r="AF1401" i="42"/>
  <c r="AG1401" i="42" s="1"/>
  <c r="AJ1400" i="42"/>
  <c r="AF1400" i="42"/>
  <c r="AG1400" i="42" s="1"/>
  <c r="AJ1399" i="42"/>
  <c r="AF1399" i="42"/>
  <c r="AG1399" i="42" s="1"/>
  <c r="AJ1398" i="42"/>
  <c r="AF1398" i="42"/>
  <c r="AG1398" i="42" s="1"/>
  <c r="AJ1397" i="42"/>
  <c r="AF1397" i="42"/>
  <c r="AG1397" i="42" s="1"/>
  <c r="AJ1396" i="42"/>
  <c r="AF1396" i="42"/>
  <c r="AG1396" i="42" s="1"/>
  <c r="AJ1395" i="42"/>
  <c r="AF1395" i="42"/>
  <c r="AG1395" i="42" s="1"/>
  <c r="AJ1394" i="42"/>
  <c r="AF1394" i="42"/>
  <c r="AG1394" i="42" s="1"/>
  <c r="AJ1393" i="42"/>
  <c r="AF1393" i="42"/>
  <c r="AG1393" i="42" s="1"/>
  <c r="AJ1392" i="42"/>
  <c r="AF1392" i="42"/>
  <c r="AG1392" i="42" s="1"/>
  <c r="AJ1391" i="42"/>
  <c r="AF1391" i="42"/>
  <c r="AG1391" i="42" s="1"/>
  <c r="AJ1390" i="42"/>
  <c r="AF1390" i="42"/>
  <c r="AG1390" i="42" s="1"/>
  <c r="AJ1389" i="42"/>
  <c r="AF1389" i="42"/>
  <c r="AG1389" i="42" s="1"/>
  <c r="AJ1388" i="42"/>
  <c r="AF1388" i="42"/>
  <c r="AG1388" i="42" s="1"/>
  <c r="AJ1387" i="42"/>
  <c r="AF1387" i="42"/>
  <c r="AG1387" i="42" s="1"/>
  <c r="AJ1386" i="42"/>
  <c r="AF1386" i="42"/>
  <c r="AG1386" i="42" s="1"/>
  <c r="AJ1385" i="42"/>
  <c r="AF1385" i="42"/>
  <c r="AG1385" i="42" s="1"/>
  <c r="AJ1384" i="42"/>
  <c r="AF1384" i="42"/>
  <c r="AG1384" i="42" s="1"/>
  <c r="AJ1383" i="42"/>
  <c r="AF1383" i="42"/>
  <c r="AG1383" i="42" s="1"/>
  <c r="AJ1382" i="42"/>
  <c r="AF1382" i="42"/>
  <c r="AG1382" i="42" s="1"/>
  <c r="AJ1381" i="42"/>
  <c r="AF1381" i="42"/>
  <c r="AG1381" i="42" s="1"/>
  <c r="AJ1380" i="42"/>
  <c r="AF1380" i="42"/>
  <c r="AG1380" i="42" s="1"/>
  <c r="AJ1379" i="42"/>
  <c r="AF1379" i="42"/>
  <c r="AG1379" i="42" s="1"/>
  <c r="AJ1378" i="42"/>
  <c r="AF1378" i="42"/>
  <c r="AG1378" i="42" s="1"/>
  <c r="AJ1377" i="42"/>
  <c r="AF1377" i="42"/>
  <c r="AG1377" i="42" s="1"/>
  <c r="AJ1376" i="42"/>
  <c r="AF1376" i="42"/>
  <c r="AG1376" i="42" s="1"/>
  <c r="AJ1375" i="42"/>
  <c r="AF1375" i="42"/>
  <c r="AG1375" i="42" s="1"/>
  <c r="AJ1374" i="42"/>
  <c r="AF1374" i="42"/>
  <c r="AG1374" i="42" s="1"/>
  <c r="AJ1373" i="42"/>
  <c r="AF1373" i="42"/>
  <c r="AG1373" i="42" s="1"/>
  <c r="AJ1372" i="42"/>
  <c r="AF1372" i="42"/>
  <c r="AG1372" i="42" s="1"/>
  <c r="AJ1371" i="42"/>
  <c r="AF1371" i="42"/>
  <c r="AG1371" i="42" s="1"/>
  <c r="AJ1370" i="42"/>
  <c r="AF1370" i="42"/>
  <c r="AG1370" i="42" s="1"/>
  <c r="AJ1369" i="42"/>
  <c r="AF1369" i="42"/>
  <c r="AG1369" i="42" s="1"/>
  <c r="AJ1368" i="42"/>
  <c r="AF1368" i="42"/>
  <c r="AG1368" i="42" s="1"/>
  <c r="AJ1367" i="42"/>
  <c r="AF1367" i="42"/>
  <c r="AG1367" i="42" s="1"/>
  <c r="AJ1366" i="42"/>
  <c r="AF1366" i="42"/>
  <c r="AG1366" i="42" s="1"/>
  <c r="AJ1365" i="42"/>
  <c r="AF1365" i="42"/>
  <c r="AG1365" i="42" s="1"/>
  <c r="AJ1364" i="42"/>
  <c r="AF1364" i="42"/>
  <c r="AG1364" i="42" s="1"/>
  <c r="AJ1363" i="42"/>
  <c r="AF1363" i="42"/>
  <c r="AG1363" i="42" s="1"/>
  <c r="AJ1362" i="42"/>
  <c r="AF1362" i="42"/>
  <c r="AG1362" i="42" s="1"/>
  <c r="AJ1361" i="42"/>
  <c r="AF1361" i="42"/>
  <c r="AG1361" i="42" s="1"/>
  <c r="AJ1360" i="42"/>
  <c r="AF1360" i="42"/>
  <c r="AG1360" i="42" s="1"/>
  <c r="AJ1359" i="42"/>
  <c r="AF1359" i="42"/>
  <c r="AG1359" i="42" s="1"/>
  <c r="AJ1358" i="42"/>
  <c r="AF1358" i="42"/>
  <c r="AG1358" i="42" s="1"/>
  <c r="AJ1357" i="42"/>
  <c r="AF1357" i="42"/>
  <c r="AG1357" i="42" s="1"/>
  <c r="AJ1356" i="42"/>
  <c r="AF1356" i="42"/>
  <c r="AG1356" i="42" s="1"/>
  <c r="AJ1355" i="42"/>
  <c r="AF1355" i="42"/>
  <c r="AG1355" i="42" s="1"/>
  <c r="AJ1354" i="42"/>
  <c r="AF1354" i="42"/>
  <c r="AG1354" i="42" s="1"/>
  <c r="AJ1353" i="42"/>
  <c r="AF1353" i="42"/>
  <c r="AG1353" i="42" s="1"/>
  <c r="AJ1352" i="42"/>
  <c r="AF1352" i="42"/>
  <c r="AG1352" i="42" s="1"/>
  <c r="AJ1351" i="42"/>
  <c r="AF1351" i="42"/>
  <c r="AG1351" i="42" s="1"/>
  <c r="AJ1350" i="42"/>
  <c r="AF1350" i="42"/>
  <c r="AG1350" i="42" s="1"/>
  <c r="AJ1349" i="42"/>
  <c r="AF1349" i="42"/>
  <c r="AG1349" i="42" s="1"/>
  <c r="AJ1348" i="42"/>
  <c r="AF1348" i="42"/>
  <c r="AG1348" i="42" s="1"/>
  <c r="AJ1347" i="42"/>
  <c r="AF1347" i="42"/>
  <c r="AG1347" i="42" s="1"/>
  <c r="AJ1346" i="42"/>
  <c r="AF1346" i="42"/>
  <c r="AG1346" i="42" s="1"/>
  <c r="AJ1345" i="42"/>
  <c r="AF1345" i="42"/>
  <c r="AG1345" i="42" s="1"/>
  <c r="AJ1344" i="42"/>
  <c r="AF1344" i="42"/>
  <c r="AG1344" i="42" s="1"/>
  <c r="AJ1343" i="42"/>
  <c r="AF1343" i="42"/>
  <c r="AG1343" i="42" s="1"/>
  <c r="AJ1342" i="42"/>
  <c r="AF1342" i="42"/>
  <c r="AG1342" i="42" s="1"/>
  <c r="AJ1341" i="42"/>
  <c r="AF1341" i="42"/>
  <c r="AG1341" i="42" s="1"/>
  <c r="AJ1340" i="42"/>
  <c r="AF1340" i="42"/>
  <c r="AG1340" i="42" s="1"/>
  <c r="AJ1339" i="42"/>
  <c r="AF1339" i="42"/>
  <c r="AG1339" i="42" s="1"/>
  <c r="AJ1338" i="42"/>
  <c r="AF1338" i="42"/>
  <c r="AG1338" i="42" s="1"/>
  <c r="AJ1337" i="42"/>
  <c r="AF1337" i="42"/>
  <c r="AG1337" i="42" s="1"/>
  <c r="AJ1336" i="42"/>
  <c r="AF1336" i="42"/>
  <c r="AG1336" i="42" s="1"/>
  <c r="AJ1335" i="42"/>
  <c r="AF1335" i="42"/>
  <c r="AG1335" i="42" s="1"/>
  <c r="AJ1334" i="42"/>
  <c r="AF1334" i="42"/>
  <c r="AG1334" i="42" s="1"/>
  <c r="AJ1333" i="42"/>
  <c r="AF1333" i="42"/>
  <c r="AG1333" i="42" s="1"/>
  <c r="AJ1332" i="42"/>
  <c r="AF1332" i="42"/>
  <c r="AG1332" i="42" s="1"/>
  <c r="AJ1331" i="42"/>
  <c r="AF1331" i="42"/>
  <c r="AG1331" i="42" s="1"/>
  <c r="AJ1330" i="42"/>
  <c r="AF1330" i="42"/>
  <c r="AG1330" i="42" s="1"/>
  <c r="AJ1329" i="42"/>
  <c r="AF1329" i="42"/>
  <c r="AG1329" i="42" s="1"/>
  <c r="AJ1328" i="42"/>
  <c r="AF1328" i="42"/>
  <c r="AG1328" i="42" s="1"/>
  <c r="AJ1327" i="42"/>
  <c r="AF1327" i="42"/>
  <c r="AG1327" i="42" s="1"/>
  <c r="AJ1326" i="42"/>
  <c r="AF1326" i="42"/>
  <c r="AG1326" i="42" s="1"/>
  <c r="AJ1325" i="42"/>
  <c r="AF1325" i="42"/>
  <c r="AG1325" i="42" s="1"/>
  <c r="AJ1324" i="42"/>
  <c r="AF1324" i="42"/>
  <c r="AG1324" i="42" s="1"/>
  <c r="AJ1323" i="42"/>
  <c r="AF1323" i="42"/>
  <c r="AG1323" i="42" s="1"/>
  <c r="AJ1322" i="42"/>
  <c r="AF1322" i="42"/>
  <c r="AG1322" i="42" s="1"/>
  <c r="AJ1321" i="42"/>
  <c r="AF1321" i="42"/>
  <c r="AG1321" i="42" s="1"/>
  <c r="AJ1320" i="42"/>
  <c r="AF1320" i="42"/>
  <c r="AG1320" i="42" s="1"/>
  <c r="AJ1319" i="42"/>
  <c r="AF1319" i="42"/>
  <c r="AG1319" i="42" s="1"/>
  <c r="AJ1318" i="42"/>
  <c r="AF1318" i="42"/>
  <c r="AG1318" i="42" s="1"/>
  <c r="AJ1317" i="42"/>
  <c r="AF1317" i="42"/>
  <c r="AG1317" i="42" s="1"/>
  <c r="AJ1316" i="42"/>
  <c r="AF1316" i="42"/>
  <c r="AG1316" i="42" s="1"/>
  <c r="AJ1315" i="42"/>
  <c r="AF1315" i="42"/>
  <c r="AG1315" i="42" s="1"/>
  <c r="AJ1314" i="42"/>
  <c r="AF1314" i="42"/>
  <c r="AG1314" i="42" s="1"/>
  <c r="AJ1313" i="42"/>
  <c r="AF1313" i="42"/>
  <c r="AG1313" i="42" s="1"/>
  <c r="AJ1312" i="42"/>
  <c r="AF1312" i="42"/>
  <c r="AG1312" i="42" s="1"/>
  <c r="AJ1311" i="42"/>
  <c r="AF1311" i="42"/>
  <c r="AG1311" i="42" s="1"/>
  <c r="AJ1310" i="42"/>
  <c r="AF1310" i="42"/>
  <c r="AG1310" i="42" s="1"/>
  <c r="AJ1309" i="42"/>
  <c r="AF1309" i="42"/>
  <c r="AG1309" i="42" s="1"/>
  <c r="AJ1308" i="42"/>
  <c r="AF1308" i="42"/>
  <c r="AG1308" i="42" s="1"/>
  <c r="AJ1307" i="42"/>
  <c r="AF1307" i="42"/>
  <c r="AG1307" i="42" s="1"/>
  <c r="AJ1306" i="42"/>
  <c r="AF1306" i="42"/>
  <c r="AG1306" i="42" s="1"/>
  <c r="AJ1305" i="42"/>
  <c r="AF1305" i="42"/>
  <c r="AG1305" i="42" s="1"/>
  <c r="AJ1304" i="42"/>
  <c r="AF1304" i="42"/>
  <c r="AG1304" i="42" s="1"/>
  <c r="AJ1303" i="42"/>
  <c r="AF1303" i="42"/>
  <c r="AG1303" i="42" s="1"/>
  <c r="AJ1302" i="42"/>
  <c r="AF1302" i="42"/>
  <c r="AG1302" i="42" s="1"/>
  <c r="AJ1301" i="42"/>
  <c r="AF1301" i="42"/>
  <c r="AG1301" i="42" s="1"/>
  <c r="AJ1300" i="42"/>
  <c r="AF1300" i="42"/>
  <c r="AG1300" i="42" s="1"/>
  <c r="AJ1299" i="42"/>
  <c r="AF1299" i="42"/>
  <c r="AG1299" i="42" s="1"/>
  <c r="AJ1298" i="42"/>
  <c r="AF1298" i="42"/>
  <c r="AG1298" i="42" s="1"/>
  <c r="AJ1297" i="42"/>
  <c r="AF1297" i="42"/>
  <c r="AG1297" i="42" s="1"/>
  <c r="AJ1296" i="42"/>
  <c r="AF1296" i="42"/>
  <c r="AG1296" i="42" s="1"/>
  <c r="AJ1295" i="42"/>
  <c r="AF1295" i="42"/>
  <c r="AG1295" i="42" s="1"/>
  <c r="AJ1294" i="42"/>
  <c r="AF1294" i="42"/>
  <c r="AG1294" i="42" s="1"/>
  <c r="AJ1293" i="42"/>
  <c r="AF1293" i="42"/>
  <c r="AG1293" i="42" s="1"/>
  <c r="AJ1292" i="42"/>
  <c r="AF1292" i="42"/>
  <c r="AG1292" i="42" s="1"/>
  <c r="AJ1291" i="42"/>
  <c r="AF1291" i="42"/>
  <c r="AG1291" i="42" s="1"/>
  <c r="AJ1290" i="42"/>
  <c r="AF1290" i="42"/>
  <c r="AG1290" i="42" s="1"/>
  <c r="AJ1289" i="42"/>
  <c r="AF1289" i="42"/>
  <c r="AG1289" i="42" s="1"/>
  <c r="AJ1288" i="42"/>
  <c r="AF1288" i="42"/>
  <c r="AG1288" i="42" s="1"/>
  <c r="AJ1287" i="42"/>
  <c r="AF1287" i="42"/>
  <c r="AG1287" i="42" s="1"/>
  <c r="AJ1286" i="42"/>
  <c r="AF1286" i="42"/>
  <c r="AG1286" i="42" s="1"/>
  <c r="AJ1285" i="42"/>
  <c r="AF1285" i="42"/>
  <c r="AG1285" i="42" s="1"/>
  <c r="AJ1284" i="42"/>
  <c r="AF1284" i="42"/>
  <c r="AG1284" i="42" s="1"/>
  <c r="AJ1283" i="42"/>
  <c r="AF1283" i="42"/>
  <c r="AG1283" i="42" s="1"/>
  <c r="AJ1282" i="42"/>
  <c r="AF1282" i="42"/>
  <c r="AG1282" i="42" s="1"/>
  <c r="AJ1281" i="42"/>
  <c r="AF1281" i="42"/>
  <c r="AG1281" i="42" s="1"/>
  <c r="AJ1280" i="42"/>
  <c r="AF1280" i="42"/>
  <c r="AG1280" i="42" s="1"/>
  <c r="AJ1279" i="42"/>
  <c r="AF1279" i="42"/>
  <c r="AG1279" i="42" s="1"/>
  <c r="AJ1278" i="42"/>
  <c r="AF1278" i="42"/>
  <c r="AG1278" i="42" s="1"/>
  <c r="AJ1277" i="42"/>
  <c r="AF1277" i="42"/>
  <c r="AG1277" i="42" s="1"/>
  <c r="AJ1276" i="42"/>
  <c r="AF1276" i="42"/>
  <c r="AG1276" i="42" s="1"/>
  <c r="AJ1275" i="42"/>
  <c r="AF1275" i="42"/>
  <c r="AG1275" i="42" s="1"/>
  <c r="AJ1274" i="42"/>
  <c r="AF1274" i="42"/>
  <c r="AG1274" i="42" s="1"/>
  <c r="AJ1273" i="42"/>
  <c r="AF1273" i="42"/>
  <c r="AG1273" i="42" s="1"/>
  <c r="AJ1272" i="42"/>
  <c r="AF1272" i="42"/>
  <c r="AG1272" i="42" s="1"/>
  <c r="AJ1271" i="42"/>
  <c r="AF1271" i="42"/>
  <c r="AG1271" i="42" s="1"/>
  <c r="AJ1270" i="42"/>
  <c r="AF1270" i="42"/>
  <c r="AG1270" i="42" s="1"/>
  <c r="AJ1269" i="42"/>
  <c r="AF1269" i="42"/>
  <c r="AG1269" i="42" s="1"/>
  <c r="AJ1268" i="42"/>
  <c r="AF1268" i="42"/>
  <c r="AG1268" i="42" s="1"/>
  <c r="AJ1267" i="42"/>
  <c r="AF1267" i="42"/>
  <c r="AG1267" i="42" s="1"/>
  <c r="AJ1266" i="42"/>
  <c r="AF1266" i="42"/>
  <c r="AG1266" i="42" s="1"/>
  <c r="AJ1265" i="42"/>
  <c r="AF1265" i="42"/>
  <c r="AG1265" i="42" s="1"/>
  <c r="AJ1264" i="42"/>
  <c r="AF1264" i="42"/>
  <c r="AG1264" i="42" s="1"/>
  <c r="AJ1263" i="42"/>
  <c r="AF1263" i="42"/>
  <c r="AG1263" i="42" s="1"/>
  <c r="AJ1262" i="42"/>
  <c r="AF1262" i="42"/>
  <c r="AG1262" i="42" s="1"/>
  <c r="AJ1261" i="42"/>
  <c r="AF1261" i="42"/>
  <c r="AG1261" i="42" s="1"/>
  <c r="AJ1260" i="42"/>
  <c r="AF1260" i="42"/>
  <c r="AG1260" i="42" s="1"/>
  <c r="AJ1259" i="42"/>
  <c r="AF1259" i="42"/>
  <c r="AG1259" i="42" s="1"/>
  <c r="AJ1258" i="42"/>
  <c r="AF1258" i="42"/>
  <c r="AG1258" i="42" s="1"/>
  <c r="AJ1257" i="42"/>
  <c r="AF1257" i="42"/>
  <c r="AG1257" i="42" s="1"/>
  <c r="AJ1256" i="42"/>
  <c r="AF1256" i="42"/>
  <c r="AG1256" i="42" s="1"/>
  <c r="AJ1255" i="42"/>
  <c r="AF1255" i="42"/>
  <c r="AG1255" i="42" s="1"/>
  <c r="AJ1254" i="42"/>
  <c r="AF1254" i="42"/>
  <c r="AG1254" i="42" s="1"/>
  <c r="AJ1253" i="42"/>
  <c r="AF1253" i="42"/>
  <c r="AG1253" i="42" s="1"/>
  <c r="AJ1252" i="42"/>
  <c r="AF1252" i="42"/>
  <c r="AG1252" i="42" s="1"/>
  <c r="AJ1251" i="42"/>
  <c r="AF1251" i="42"/>
  <c r="AG1251" i="42" s="1"/>
  <c r="AJ1250" i="42"/>
  <c r="AF1250" i="42"/>
  <c r="AG1250" i="42" s="1"/>
  <c r="AJ1249" i="42"/>
  <c r="AF1249" i="42"/>
  <c r="AG1249" i="42" s="1"/>
  <c r="AJ1248" i="42"/>
  <c r="AF1248" i="42"/>
  <c r="AG1248" i="42" s="1"/>
  <c r="AJ1247" i="42"/>
  <c r="AF1247" i="42"/>
  <c r="AG1247" i="42" s="1"/>
  <c r="AJ1246" i="42"/>
  <c r="AF1246" i="42"/>
  <c r="AG1246" i="42" s="1"/>
  <c r="AJ1245" i="42"/>
  <c r="AF1245" i="42"/>
  <c r="AG1245" i="42" s="1"/>
  <c r="AJ1244" i="42"/>
  <c r="AF1244" i="42"/>
  <c r="AG1244" i="42" s="1"/>
  <c r="AJ1243" i="42"/>
  <c r="AF1243" i="42"/>
  <c r="AG1243" i="42" s="1"/>
  <c r="AJ1242" i="42"/>
  <c r="AF1242" i="42"/>
  <c r="AG1242" i="42" s="1"/>
  <c r="AJ1241" i="42"/>
  <c r="AF1241" i="42"/>
  <c r="AG1241" i="42" s="1"/>
  <c r="AJ1240" i="42"/>
  <c r="AF1240" i="42"/>
  <c r="AG1240" i="42" s="1"/>
  <c r="AJ1239" i="42"/>
  <c r="AF1239" i="42"/>
  <c r="AG1239" i="42" s="1"/>
  <c r="AJ1238" i="42"/>
  <c r="AF1238" i="42"/>
  <c r="AG1238" i="42" s="1"/>
  <c r="AJ1237" i="42"/>
  <c r="AF1237" i="42"/>
  <c r="AG1237" i="42" s="1"/>
  <c r="AJ1236" i="42"/>
  <c r="AF1236" i="42"/>
  <c r="AG1236" i="42" s="1"/>
  <c r="AJ1235" i="42"/>
  <c r="AF1235" i="42"/>
  <c r="AG1235" i="42" s="1"/>
  <c r="AJ1234" i="42"/>
  <c r="AF1234" i="42"/>
  <c r="AG1234" i="42" s="1"/>
  <c r="AJ1233" i="42"/>
  <c r="AF1233" i="42"/>
  <c r="AG1233" i="42" s="1"/>
  <c r="AJ1232" i="42"/>
  <c r="AF1232" i="42"/>
  <c r="AG1232" i="42" s="1"/>
  <c r="AJ1231" i="42"/>
  <c r="AF1231" i="42"/>
  <c r="AG1231" i="42" s="1"/>
  <c r="AJ1230" i="42"/>
  <c r="AF1230" i="42"/>
  <c r="AG1230" i="42" s="1"/>
  <c r="AJ1229" i="42"/>
  <c r="AF1229" i="42"/>
  <c r="AG1229" i="42" s="1"/>
  <c r="AJ1228" i="42"/>
  <c r="AF1228" i="42"/>
  <c r="AG1228" i="42" s="1"/>
  <c r="AJ1227" i="42"/>
  <c r="AF1227" i="42"/>
  <c r="AG1227" i="42" s="1"/>
  <c r="AJ1226" i="42"/>
  <c r="AF1226" i="42"/>
  <c r="AG1226" i="42" s="1"/>
  <c r="AJ1225" i="42"/>
  <c r="AF1225" i="42"/>
  <c r="AG1225" i="42" s="1"/>
  <c r="AJ1224" i="42"/>
  <c r="AF1224" i="42"/>
  <c r="AG1224" i="42" s="1"/>
  <c r="AJ1223" i="42"/>
  <c r="AF1223" i="42"/>
  <c r="AG1223" i="42" s="1"/>
  <c r="AJ1222" i="42"/>
  <c r="AF1222" i="42"/>
  <c r="AG1222" i="42" s="1"/>
  <c r="AJ1221" i="42"/>
  <c r="AF1221" i="42"/>
  <c r="AG1221" i="42" s="1"/>
  <c r="AJ1220" i="42"/>
  <c r="AF1220" i="42"/>
  <c r="AG1220" i="42" s="1"/>
  <c r="AJ1219" i="42"/>
  <c r="AF1219" i="42"/>
  <c r="AG1219" i="42" s="1"/>
  <c r="AJ1218" i="42"/>
  <c r="AF1218" i="42"/>
  <c r="AG1218" i="42" s="1"/>
  <c r="AJ1217" i="42"/>
  <c r="AF1217" i="42"/>
  <c r="AG1217" i="42" s="1"/>
  <c r="AJ1216" i="42"/>
  <c r="AF1216" i="42"/>
  <c r="AG1216" i="42" s="1"/>
  <c r="AJ1215" i="42"/>
  <c r="AF1215" i="42"/>
  <c r="AG1215" i="42" s="1"/>
  <c r="AJ1214" i="42"/>
  <c r="AF1214" i="42"/>
  <c r="AG1214" i="42" s="1"/>
  <c r="AJ1213" i="42"/>
  <c r="AF1213" i="42"/>
  <c r="AG1213" i="42" s="1"/>
  <c r="AJ1212" i="42"/>
  <c r="AF1212" i="42"/>
  <c r="AG1212" i="42" s="1"/>
  <c r="AJ1211" i="42"/>
  <c r="AF1211" i="42"/>
  <c r="AG1211" i="42" s="1"/>
  <c r="AJ1210" i="42"/>
  <c r="AF1210" i="42"/>
  <c r="AG1210" i="42" s="1"/>
  <c r="AJ1209" i="42"/>
  <c r="AF1209" i="42"/>
  <c r="AG1209" i="42" s="1"/>
  <c r="AJ1208" i="42"/>
  <c r="AF1208" i="42"/>
  <c r="AG1208" i="42" s="1"/>
  <c r="AJ1207" i="42"/>
  <c r="AF1207" i="42"/>
  <c r="AG1207" i="42" s="1"/>
  <c r="AJ1206" i="42"/>
  <c r="AF1206" i="42"/>
  <c r="AG1206" i="42" s="1"/>
  <c r="AJ1205" i="42"/>
  <c r="AF1205" i="42"/>
  <c r="AG1205" i="42" s="1"/>
  <c r="AJ1204" i="42"/>
  <c r="AF1204" i="42"/>
  <c r="AG1204" i="42" s="1"/>
  <c r="AJ1203" i="42"/>
  <c r="AF1203" i="42"/>
  <c r="AG1203" i="42" s="1"/>
  <c r="AJ1202" i="42"/>
  <c r="AF1202" i="42"/>
  <c r="AG1202" i="42" s="1"/>
  <c r="AJ1201" i="42"/>
  <c r="AF1201" i="42"/>
  <c r="AG1201" i="42" s="1"/>
  <c r="AJ1200" i="42"/>
  <c r="AF1200" i="42"/>
  <c r="AG1200" i="42" s="1"/>
  <c r="AJ1199" i="42"/>
  <c r="AF1199" i="42"/>
  <c r="AG1199" i="42" s="1"/>
  <c r="AJ1198" i="42"/>
  <c r="AF1198" i="42"/>
  <c r="AG1198" i="42" s="1"/>
  <c r="AJ1197" i="42"/>
  <c r="AF1197" i="42"/>
  <c r="AG1197" i="42" s="1"/>
  <c r="AJ1196" i="42"/>
  <c r="AF1196" i="42"/>
  <c r="AG1196" i="42" s="1"/>
  <c r="AJ1195" i="42"/>
  <c r="AF1195" i="42"/>
  <c r="AG1195" i="42" s="1"/>
  <c r="AJ1194" i="42"/>
  <c r="AF1194" i="42"/>
  <c r="AG1194" i="42" s="1"/>
  <c r="AJ1193" i="42"/>
  <c r="AF1193" i="42"/>
  <c r="AG1193" i="42" s="1"/>
  <c r="AJ1192" i="42"/>
  <c r="AF1192" i="42"/>
  <c r="AG1192" i="42" s="1"/>
  <c r="AJ1191" i="42"/>
  <c r="AF1191" i="42"/>
  <c r="AG1191" i="42" s="1"/>
  <c r="AJ1190" i="42"/>
  <c r="AF1190" i="42"/>
  <c r="AG1190" i="42" s="1"/>
  <c r="AJ1189" i="42"/>
  <c r="AF1189" i="42"/>
  <c r="AG1189" i="42" s="1"/>
  <c r="AJ1188" i="42"/>
  <c r="AF1188" i="42"/>
  <c r="AG1188" i="42" s="1"/>
  <c r="AJ1187" i="42"/>
  <c r="AF1187" i="42"/>
  <c r="AG1187" i="42" s="1"/>
  <c r="AJ1186" i="42"/>
  <c r="AF1186" i="42"/>
  <c r="AG1186" i="42" s="1"/>
  <c r="AJ1185" i="42"/>
  <c r="AF1185" i="42"/>
  <c r="AG1185" i="42" s="1"/>
  <c r="AJ1184" i="42"/>
  <c r="AF1184" i="42"/>
  <c r="AG1184" i="42" s="1"/>
  <c r="AJ1183" i="42"/>
  <c r="AF1183" i="42"/>
  <c r="AG1183" i="42" s="1"/>
  <c r="AJ1182" i="42"/>
  <c r="AF1182" i="42"/>
  <c r="AG1182" i="42" s="1"/>
  <c r="AJ1181" i="42"/>
  <c r="AF1181" i="42"/>
  <c r="AG1181" i="42" s="1"/>
  <c r="AJ1180" i="42"/>
  <c r="AF1180" i="42"/>
  <c r="AG1180" i="42" s="1"/>
  <c r="AJ1179" i="42"/>
  <c r="AF1179" i="42"/>
  <c r="AG1179" i="42" s="1"/>
  <c r="AJ1178" i="42"/>
  <c r="AF1178" i="42"/>
  <c r="AG1178" i="42" s="1"/>
  <c r="AJ1177" i="42"/>
  <c r="AF1177" i="42"/>
  <c r="AG1177" i="42" s="1"/>
  <c r="AJ1176" i="42"/>
  <c r="AF1176" i="42"/>
  <c r="AG1176" i="42" s="1"/>
  <c r="AJ1175" i="42"/>
  <c r="AF1175" i="42"/>
  <c r="AG1175" i="42" s="1"/>
  <c r="AJ1174" i="42"/>
  <c r="AF1174" i="42"/>
  <c r="AG1174" i="42" s="1"/>
  <c r="AJ1173" i="42"/>
  <c r="AF1173" i="42"/>
  <c r="AG1173" i="42" s="1"/>
  <c r="AJ1172" i="42"/>
  <c r="AF1172" i="42"/>
  <c r="AG1172" i="42" s="1"/>
  <c r="AJ1171" i="42"/>
  <c r="AF1171" i="42"/>
  <c r="AG1171" i="42" s="1"/>
  <c r="AJ1170" i="42"/>
  <c r="AF1170" i="42"/>
  <c r="AG1170" i="42" s="1"/>
  <c r="AJ1169" i="42"/>
  <c r="AF1169" i="42"/>
  <c r="AG1169" i="42" s="1"/>
  <c r="AJ1168" i="42"/>
  <c r="AF1168" i="42"/>
  <c r="AG1168" i="42" s="1"/>
  <c r="AJ1167" i="42"/>
  <c r="AF1167" i="42"/>
  <c r="AG1167" i="42" s="1"/>
  <c r="AJ1166" i="42"/>
  <c r="AF1166" i="42"/>
  <c r="AG1166" i="42" s="1"/>
  <c r="AJ1165" i="42"/>
  <c r="AF1165" i="42"/>
  <c r="AG1165" i="42" s="1"/>
  <c r="AI1120" i="42"/>
  <c r="AF1120" i="42"/>
  <c r="AG1120" i="42" s="1"/>
  <c r="AJ1120" i="42"/>
  <c r="AI1117" i="42"/>
  <c r="AF1117" i="42"/>
  <c r="AG1117" i="42" s="1"/>
  <c r="AJ1117" i="42"/>
  <c r="AI1114" i="42"/>
  <c r="AF1114" i="42"/>
  <c r="AG1114" i="42" s="1"/>
  <c r="AJ1114" i="42"/>
  <c r="AI1111" i="42"/>
  <c r="AF1111" i="42"/>
  <c r="AG1111" i="42" s="1"/>
  <c r="AJ1111" i="42"/>
  <c r="AI1108" i="42"/>
  <c r="AF1108" i="42"/>
  <c r="AG1108" i="42" s="1"/>
  <c r="AJ1108" i="42"/>
  <c r="AI1105" i="42"/>
  <c r="AF1105" i="42"/>
  <c r="AG1105" i="42" s="1"/>
  <c r="AJ1105" i="42"/>
  <c r="AI1102" i="42"/>
  <c r="AF1102" i="42"/>
  <c r="AG1102" i="42" s="1"/>
  <c r="AJ1102" i="42"/>
  <c r="AI1099" i="42"/>
  <c r="AF1099" i="42"/>
  <c r="AG1099" i="42" s="1"/>
  <c r="AJ1099" i="42"/>
  <c r="AI1096" i="42"/>
  <c r="AF1096" i="42"/>
  <c r="AG1096" i="42" s="1"/>
  <c r="AJ1096" i="42"/>
  <c r="AI1093" i="42"/>
  <c r="AF1093" i="42"/>
  <c r="AG1093" i="42" s="1"/>
  <c r="AJ1093" i="42"/>
  <c r="AI1090" i="42"/>
  <c r="AF1090" i="42"/>
  <c r="AG1090" i="42" s="1"/>
  <c r="AJ1090" i="42"/>
  <c r="AI1087" i="42"/>
  <c r="AF1087" i="42"/>
  <c r="AG1087" i="42" s="1"/>
  <c r="AJ1087" i="42"/>
  <c r="AI1084" i="42"/>
  <c r="AF1084" i="42"/>
  <c r="AG1084" i="42" s="1"/>
  <c r="AJ1084" i="42"/>
  <c r="AI1081" i="42"/>
  <c r="AF1081" i="42"/>
  <c r="AG1081" i="42" s="1"/>
  <c r="AJ1081" i="42"/>
  <c r="AI1078" i="42"/>
  <c r="AF1078" i="42"/>
  <c r="AG1078" i="42" s="1"/>
  <c r="AJ1078" i="42"/>
  <c r="AI1164" i="42"/>
  <c r="AF1164" i="42"/>
  <c r="AG1164" i="42" s="1"/>
  <c r="AJ1164" i="42"/>
  <c r="AI1163" i="42"/>
  <c r="AF1163" i="42"/>
  <c r="AG1163" i="42" s="1"/>
  <c r="AJ1163" i="42"/>
  <c r="AI1162" i="42"/>
  <c r="AF1162" i="42"/>
  <c r="AG1162" i="42" s="1"/>
  <c r="AJ1162" i="42"/>
  <c r="AI1161" i="42"/>
  <c r="AF1161" i="42"/>
  <c r="AG1161" i="42" s="1"/>
  <c r="AJ1161" i="42"/>
  <c r="AI1160" i="42"/>
  <c r="AF1160" i="42"/>
  <c r="AG1160" i="42" s="1"/>
  <c r="AJ1160" i="42"/>
  <c r="AI1159" i="42"/>
  <c r="AF1159" i="42"/>
  <c r="AG1159" i="42" s="1"/>
  <c r="AJ1159" i="42"/>
  <c r="AI1158" i="42"/>
  <c r="AF1158" i="42"/>
  <c r="AG1158" i="42" s="1"/>
  <c r="AJ1158" i="42"/>
  <c r="AI1157" i="42"/>
  <c r="AF1157" i="42"/>
  <c r="AG1157" i="42" s="1"/>
  <c r="AJ1157" i="42"/>
  <c r="AI1156" i="42"/>
  <c r="AF1156" i="42"/>
  <c r="AG1156" i="42" s="1"/>
  <c r="AJ1156" i="42"/>
  <c r="AI1155" i="42"/>
  <c r="AF1155" i="42"/>
  <c r="AG1155" i="42" s="1"/>
  <c r="AJ1155" i="42"/>
  <c r="AI1154" i="42"/>
  <c r="AF1154" i="42"/>
  <c r="AG1154" i="42" s="1"/>
  <c r="AJ1154" i="42"/>
  <c r="AI1153" i="42"/>
  <c r="AF1153" i="42"/>
  <c r="AG1153" i="42" s="1"/>
  <c r="AJ1153" i="42"/>
  <c r="AI1152" i="42"/>
  <c r="AF1152" i="42"/>
  <c r="AG1152" i="42" s="1"/>
  <c r="AJ1152" i="42"/>
  <c r="AI1151" i="42"/>
  <c r="AF1151" i="42"/>
  <c r="AG1151" i="42" s="1"/>
  <c r="AJ1151" i="42"/>
  <c r="AI1150" i="42"/>
  <c r="AF1150" i="42"/>
  <c r="AG1150" i="42" s="1"/>
  <c r="AJ1150" i="42"/>
  <c r="AI1149" i="42"/>
  <c r="AF1149" i="42"/>
  <c r="AG1149" i="42" s="1"/>
  <c r="AJ1149" i="42"/>
  <c r="AI1148" i="42"/>
  <c r="AF1148" i="42"/>
  <c r="AG1148" i="42" s="1"/>
  <c r="AJ1148" i="42"/>
  <c r="AI1147" i="42"/>
  <c r="AF1147" i="42"/>
  <c r="AG1147" i="42" s="1"/>
  <c r="AJ1147" i="42"/>
  <c r="AI1146" i="42"/>
  <c r="AF1146" i="42"/>
  <c r="AG1146" i="42" s="1"/>
  <c r="AJ1146" i="42"/>
  <c r="AI1145" i="42"/>
  <c r="AF1145" i="42"/>
  <c r="AG1145" i="42" s="1"/>
  <c r="AJ1145" i="42"/>
  <c r="AI1144" i="42"/>
  <c r="AF1144" i="42"/>
  <c r="AG1144" i="42" s="1"/>
  <c r="AJ1144" i="42"/>
  <c r="AI1143" i="42"/>
  <c r="AF1143" i="42"/>
  <c r="AG1143" i="42" s="1"/>
  <c r="AJ1143" i="42"/>
  <c r="AI1142" i="42"/>
  <c r="AF1142" i="42"/>
  <c r="AG1142" i="42" s="1"/>
  <c r="AJ1142" i="42"/>
  <c r="AI1141" i="42"/>
  <c r="AF1141" i="42"/>
  <c r="AG1141" i="42" s="1"/>
  <c r="AJ1141" i="42"/>
  <c r="AI1140" i="42"/>
  <c r="AF1140" i="42"/>
  <c r="AG1140" i="42" s="1"/>
  <c r="AJ1140" i="42"/>
  <c r="AI1139" i="42"/>
  <c r="AF1139" i="42"/>
  <c r="AG1139" i="42" s="1"/>
  <c r="AJ1139" i="42"/>
  <c r="AI1138" i="42"/>
  <c r="AF1138" i="42"/>
  <c r="AG1138" i="42" s="1"/>
  <c r="AJ1138" i="42"/>
  <c r="AI1137" i="42"/>
  <c r="AF1137" i="42"/>
  <c r="AG1137" i="42" s="1"/>
  <c r="AJ1137" i="42"/>
  <c r="AI1136" i="42"/>
  <c r="AF1136" i="42"/>
  <c r="AG1136" i="42" s="1"/>
  <c r="AJ1136" i="42"/>
  <c r="AI1135" i="42"/>
  <c r="AF1135" i="42"/>
  <c r="AG1135" i="42" s="1"/>
  <c r="AJ1135" i="42"/>
  <c r="AI1134" i="42"/>
  <c r="AF1134" i="42"/>
  <c r="AG1134" i="42" s="1"/>
  <c r="AJ1134" i="42"/>
  <c r="AI1133" i="42"/>
  <c r="AF1133" i="42"/>
  <c r="AG1133" i="42" s="1"/>
  <c r="AJ1133" i="42"/>
  <c r="AI1132" i="42"/>
  <c r="AF1132" i="42"/>
  <c r="AG1132" i="42" s="1"/>
  <c r="AJ1132" i="42"/>
  <c r="AI1131" i="42"/>
  <c r="AF1131" i="42"/>
  <c r="AG1131" i="42" s="1"/>
  <c r="AJ1131" i="42"/>
  <c r="AI1130" i="42"/>
  <c r="AF1130" i="42"/>
  <c r="AG1130" i="42" s="1"/>
  <c r="AJ1130" i="42"/>
  <c r="AI1129" i="42"/>
  <c r="AF1129" i="42"/>
  <c r="AG1129" i="42" s="1"/>
  <c r="AJ1129" i="42"/>
  <c r="AI1128" i="42"/>
  <c r="AF1128" i="42"/>
  <c r="AG1128" i="42" s="1"/>
  <c r="AJ1128" i="42"/>
  <c r="AI1127" i="42"/>
  <c r="AF1127" i="42"/>
  <c r="AG1127" i="42" s="1"/>
  <c r="AJ1127" i="42"/>
  <c r="AI1126" i="42"/>
  <c r="AF1126" i="42"/>
  <c r="AG1126" i="42" s="1"/>
  <c r="AJ1126" i="42"/>
  <c r="AI1125" i="42"/>
  <c r="AF1125" i="42"/>
  <c r="AG1125" i="42" s="1"/>
  <c r="AJ1125" i="42"/>
  <c r="AI1124" i="42"/>
  <c r="AF1124" i="42"/>
  <c r="AG1124" i="42" s="1"/>
  <c r="AJ1124" i="42"/>
  <c r="AI1123" i="42"/>
  <c r="AF1123" i="42"/>
  <c r="AG1123" i="42" s="1"/>
  <c r="AJ1123" i="42"/>
  <c r="AI1122" i="42"/>
  <c r="AF1122" i="42"/>
  <c r="AG1122" i="42" s="1"/>
  <c r="AJ1122" i="42"/>
  <c r="AI1121" i="42"/>
  <c r="AF1121" i="42"/>
  <c r="AG1121" i="42" s="1"/>
  <c r="AJ1121" i="42"/>
  <c r="AI1118" i="42"/>
  <c r="AF1118" i="42"/>
  <c r="AG1118" i="42" s="1"/>
  <c r="AJ1118" i="42"/>
  <c r="AI1115" i="42"/>
  <c r="AF1115" i="42"/>
  <c r="AG1115" i="42" s="1"/>
  <c r="AJ1115" i="42"/>
  <c r="AI1112" i="42"/>
  <c r="AF1112" i="42"/>
  <c r="AG1112" i="42" s="1"/>
  <c r="AJ1112" i="42"/>
  <c r="AI1109" i="42"/>
  <c r="AF1109" i="42"/>
  <c r="AG1109" i="42" s="1"/>
  <c r="AJ1109" i="42"/>
  <c r="AI1106" i="42"/>
  <c r="AF1106" i="42"/>
  <c r="AG1106" i="42" s="1"/>
  <c r="AJ1106" i="42"/>
  <c r="AI1103" i="42"/>
  <c r="AF1103" i="42"/>
  <c r="AG1103" i="42" s="1"/>
  <c r="AJ1103" i="42"/>
  <c r="AI1100" i="42"/>
  <c r="AF1100" i="42"/>
  <c r="AG1100" i="42" s="1"/>
  <c r="AJ1100" i="42"/>
  <c r="AI1097" i="42"/>
  <c r="AF1097" i="42"/>
  <c r="AG1097" i="42" s="1"/>
  <c r="AJ1097" i="42"/>
  <c r="AI1094" i="42"/>
  <c r="AF1094" i="42"/>
  <c r="AG1094" i="42" s="1"/>
  <c r="AJ1094" i="42"/>
  <c r="AI1091" i="42"/>
  <c r="AF1091" i="42"/>
  <c r="AG1091" i="42" s="1"/>
  <c r="AJ1091" i="42"/>
  <c r="AI1088" i="42"/>
  <c r="AF1088" i="42"/>
  <c r="AG1088" i="42" s="1"/>
  <c r="AJ1088" i="42"/>
  <c r="AI1085" i="42"/>
  <c r="AF1085" i="42"/>
  <c r="AG1085" i="42" s="1"/>
  <c r="AJ1085" i="42"/>
  <c r="AI1082" i="42"/>
  <c r="AF1082" i="42"/>
  <c r="AG1082" i="42" s="1"/>
  <c r="AJ1082" i="42"/>
  <c r="AI1079" i="42"/>
  <c r="AF1079" i="42"/>
  <c r="AG1079" i="42" s="1"/>
  <c r="AJ1079" i="42"/>
  <c r="AI1119" i="42"/>
  <c r="AF1119" i="42"/>
  <c r="AG1119" i="42" s="1"/>
  <c r="AJ1119" i="42"/>
  <c r="AI1116" i="42"/>
  <c r="AF1116" i="42"/>
  <c r="AG1116" i="42" s="1"/>
  <c r="AJ1116" i="42"/>
  <c r="AI1113" i="42"/>
  <c r="AF1113" i="42"/>
  <c r="AG1113" i="42" s="1"/>
  <c r="AJ1113" i="42"/>
  <c r="AI1110" i="42"/>
  <c r="AF1110" i="42"/>
  <c r="AG1110" i="42" s="1"/>
  <c r="AJ1110" i="42"/>
  <c r="AI1107" i="42"/>
  <c r="AF1107" i="42"/>
  <c r="AG1107" i="42" s="1"/>
  <c r="AJ1107" i="42"/>
  <c r="AI1104" i="42"/>
  <c r="AF1104" i="42"/>
  <c r="AG1104" i="42" s="1"/>
  <c r="AJ1104" i="42"/>
  <c r="AI1101" i="42"/>
  <c r="AF1101" i="42"/>
  <c r="AG1101" i="42" s="1"/>
  <c r="AJ1101" i="42"/>
  <c r="AI1098" i="42"/>
  <c r="AF1098" i="42"/>
  <c r="AG1098" i="42" s="1"/>
  <c r="AJ1098" i="42"/>
  <c r="AI1095" i="42"/>
  <c r="AF1095" i="42"/>
  <c r="AG1095" i="42" s="1"/>
  <c r="AJ1095" i="42"/>
  <c r="AI1092" i="42"/>
  <c r="AF1092" i="42"/>
  <c r="AG1092" i="42" s="1"/>
  <c r="AJ1092" i="42"/>
  <c r="AI1089" i="42"/>
  <c r="AF1089" i="42"/>
  <c r="AG1089" i="42" s="1"/>
  <c r="AJ1089" i="42"/>
  <c r="AI1086" i="42"/>
  <c r="AF1086" i="42"/>
  <c r="AG1086" i="42" s="1"/>
  <c r="AJ1086" i="42"/>
  <c r="AI1083" i="42"/>
  <c r="AF1083" i="42"/>
  <c r="AG1083" i="42" s="1"/>
  <c r="AJ1083" i="42"/>
  <c r="AI1080" i="42"/>
  <c r="AF1080" i="42"/>
  <c r="AG1080" i="42" s="1"/>
  <c r="AJ1080" i="42"/>
  <c r="AI1077" i="42"/>
  <c r="AF1077" i="42"/>
  <c r="AG1077" i="42" s="1"/>
  <c r="AJ1077" i="42"/>
  <c r="AF1066" i="42"/>
  <c r="AG1066" i="42" s="1"/>
  <c r="AJ1066" i="42"/>
  <c r="AF1063" i="42"/>
  <c r="AG1063" i="42" s="1"/>
  <c r="AJ1063" i="42"/>
  <c r="AF1060" i="42"/>
  <c r="AG1060" i="42" s="1"/>
  <c r="AJ1060" i="42"/>
  <c r="AF1057" i="42"/>
  <c r="AG1057" i="42" s="1"/>
  <c r="AJ1057" i="42"/>
  <c r="AF1054" i="42"/>
  <c r="AG1054" i="42" s="1"/>
  <c r="AJ1054" i="42"/>
  <c r="AF1051" i="42"/>
  <c r="AG1051" i="42" s="1"/>
  <c r="AJ1051" i="42"/>
  <c r="AF1048" i="42"/>
  <c r="AG1048" i="42" s="1"/>
  <c r="AJ1048" i="42"/>
  <c r="AF1045" i="42"/>
  <c r="AG1045" i="42" s="1"/>
  <c r="AJ1045" i="42"/>
  <c r="AF1042" i="42"/>
  <c r="AG1042" i="42" s="1"/>
  <c r="AJ1042" i="42"/>
  <c r="AF1039" i="42"/>
  <c r="AG1039" i="42" s="1"/>
  <c r="AJ1039" i="42"/>
  <c r="AF1036" i="42"/>
  <c r="AG1036" i="42" s="1"/>
  <c r="AJ1036" i="42"/>
  <c r="AF1033" i="42"/>
  <c r="AG1033" i="42" s="1"/>
  <c r="AJ1033" i="42"/>
  <c r="AF1030" i="42"/>
  <c r="AG1030" i="42" s="1"/>
  <c r="AJ1030" i="42"/>
  <c r="AF1027" i="42"/>
  <c r="AG1027" i="42" s="1"/>
  <c r="AJ1027" i="42"/>
  <c r="AF1024" i="42"/>
  <c r="AG1024" i="42" s="1"/>
  <c r="AJ1024" i="42"/>
  <c r="AF1021" i="42"/>
  <c r="AG1021" i="42" s="1"/>
  <c r="AJ1021" i="42"/>
  <c r="AF1018" i="42"/>
  <c r="AG1018" i="42" s="1"/>
  <c r="AJ1018" i="42"/>
  <c r="AF1015" i="42"/>
  <c r="AG1015" i="42" s="1"/>
  <c r="AJ1015" i="42"/>
  <c r="AF1012" i="42"/>
  <c r="AG1012" i="42" s="1"/>
  <c r="AJ1012" i="42"/>
  <c r="AF1009" i="42"/>
  <c r="AG1009" i="42" s="1"/>
  <c r="AJ1009" i="42"/>
  <c r="AF1006" i="42"/>
  <c r="AG1006" i="42" s="1"/>
  <c r="AJ1006" i="42"/>
  <c r="AF1003" i="42"/>
  <c r="AG1003" i="42" s="1"/>
  <c r="AJ1003" i="42"/>
  <c r="AF1000" i="42"/>
  <c r="AG1000" i="42" s="1"/>
  <c r="AJ1000" i="42"/>
  <c r="AF997" i="42"/>
  <c r="AG997" i="42" s="1"/>
  <c r="AJ997" i="42"/>
  <c r="AF994" i="42"/>
  <c r="AG994" i="42" s="1"/>
  <c r="AJ994" i="42"/>
  <c r="AF991" i="42"/>
  <c r="AG991" i="42" s="1"/>
  <c r="AJ991" i="42"/>
  <c r="AF988" i="42"/>
  <c r="AG988" i="42" s="1"/>
  <c r="AJ988" i="42"/>
  <c r="AF985" i="42"/>
  <c r="AG985" i="42" s="1"/>
  <c r="AJ985" i="42"/>
  <c r="AF982" i="42"/>
  <c r="AG982" i="42" s="1"/>
  <c r="AJ982" i="42"/>
  <c r="AF979" i="42"/>
  <c r="AG979" i="42" s="1"/>
  <c r="AJ979" i="42"/>
  <c r="AF976" i="42"/>
  <c r="AG976" i="42" s="1"/>
  <c r="AJ976" i="42"/>
  <c r="AF973" i="42"/>
  <c r="AG973" i="42" s="1"/>
  <c r="AJ973" i="42"/>
  <c r="AF970" i="42"/>
  <c r="AG970" i="42" s="1"/>
  <c r="AJ970" i="42"/>
  <c r="AF967" i="42"/>
  <c r="AG967" i="42" s="1"/>
  <c r="AJ967" i="42"/>
  <c r="AF964" i="42"/>
  <c r="AG964" i="42" s="1"/>
  <c r="AJ964" i="42"/>
  <c r="AF961" i="42"/>
  <c r="AG961" i="42" s="1"/>
  <c r="AJ961" i="42"/>
  <c r="AF958" i="42"/>
  <c r="AG958" i="42" s="1"/>
  <c r="AJ958" i="42"/>
  <c r="AF955" i="42"/>
  <c r="AG955" i="42" s="1"/>
  <c r="AJ955" i="42"/>
  <c r="AF952" i="42"/>
  <c r="AG952" i="42" s="1"/>
  <c r="AJ952" i="42"/>
  <c r="AF949" i="42"/>
  <c r="AG949" i="42" s="1"/>
  <c r="AJ949" i="42"/>
  <c r="AF946" i="42"/>
  <c r="AG946" i="42" s="1"/>
  <c r="AJ946" i="42"/>
  <c r="AF943" i="42"/>
  <c r="AG943" i="42" s="1"/>
  <c r="AJ943" i="42"/>
  <c r="AF940" i="42"/>
  <c r="AG940" i="42" s="1"/>
  <c r="AJ940" i="42"/>
  <c r="AF937" i="42"/>
  <c r="AG937" i="42" s="1"/>
  <c r="AJ937" i="42"/>
  <c r="AF934" i="42"/>
  <c r="AG934" i="42" s="1"/>
  <c r="AJ934" i="42"/>
  <c r="AF931" i="42"/>
  <c r="AG931" i="42" s="1"/>
  <c r="AJ931" i="42"/>
  <c r="AF928" i="42"/>
  <c r="AG928" i="42" s="1"/>
  <c r="AJ928" i="42"/>
  <c r="AF925" i="42"/>
  <c r="AG925" i="42" s="1"/>
  <c r="AJ925" i="42"/>
  <c r="AF922" i="42"/>
  <c r="AG922" i="42" s="1"/>
  <c r="AJ922" i="42"/>
  <c r="AF919" i="42"/>
  <c r="AG919" i="42" s="1"/>
  <c r="AJ919" i="42"/>
  <c r="AF916" i="42"/>
  <c r="AG916" i="42" s="1"/>
  <c r="AJ916" i="42"/>
  <c r="AF913" i="42"/>
  <c r="AG913" i="42" s="1"/>
  <c r="AJ913" i="42"/>
  <c r="AF910" i="42"/>
  <c r="AG910" i="42" s="1"/>
  <c r="AJ910" i="42"/>
  <c r="AF907" i="42"/>
  <c r="AG907" i="42" s="1"/>
  <c r="AJ907" i="42"/>
  <c r="AF904" i="42"/>
  <c r="AG904" i="42" s="1"/>
  <c r="AJ904" i="42"/>
  <c r="AF901" i="42"/>
  <c r="AG901" i="42" s="1"/>
  <c r="AJ901" i="42"/>
  <c r="AF898" i="42"/>
  <c r="AG898" i="42" s="1"/>
  <c r="AJ898" i="42"/>
  <c r="AF895" i="42"/>
  <c r="AG895" i="42" s="1"/>
  <c r="AJ895" i="42"/>
  <c r="AF889" i="42"/>
  <c r="AG889" i="42" s="1"/>
  <c r="AF886" i="42"/>
  <c r="AG886" i="42" s="1"/>
  <c r="AF862" i="42"/>
  <c r="AG862" i="42" s="1"/>
  <c r="AJ862" i="42"/>
  <c r="AF1065" i="42"/>
  <c r="AG1065" i="42" s="1"/>
  <c r="AJ1065" i="42"/>
  <c r="AF1062" i="42"/>
  <c r="AG1062" i="42" s="1"/>
  <c r="AJ1062" i="42"/>
  <c r="AF1059" i="42"/>
  <c r="AG1059" i="42" s="1"/>
  <c r="AJ1059" i="42"/>
  <c r="AF1056" i="42"/>
  <c r="AG1056" i="42" s="1"/>
  <c r="AJ1056" i="42"/>
  <c r="AF1053" i="42"/>
  <c r="AG1053" i="42" s="1"/>
  <c r="AJ1053" i="42"/>
  <c r="AF1050" i="42"/>
  <c r="AG1050" i="42" s="1"/>
  <c r="AJ1050" i="42"/>
  <c r="AF1047" i="42"/>
  <c r="AG1047" i="42" s="1"/>
  <c r="AJ1047" i="42"/>
  <c r="AF1044" i="42"/>
  <c r="AG1044" i="42" s="1"/>
  <c r="AJ1044" i="42"/>
  <c r="AF1041" i="42"/>
  <c r="AG1041" i="42" s="1"/>
  <c r="AJ1041" i="42"/>
  <c r="AF1038" i="42"/>
  <c r="AG1038" i="42" s="1"/>
  <c r="AJ1038" i="42"/>
  <c r="AF1035" i="42"/>
  <c r="AG1035" i="42" s="1"/>
  <c r="AJ1035" i="42"/>
  <c r="AF1032" i="42"/>
  <c r="AG1032" i="42" s="1"/>
  <c r="AJ1032" i="42"/>
  <c r="AF1029" i="42"/>
  <c r="AG1029" i="42" s="1"/>
  <c r="AJ1029" i="42"/>
  <c r="AF1026" i="42"/>
  <c r="AG1026" i="42" s="1"/>
  <c r="AJ1026" i="42"/>
  <c r="AF1023" i="42"/>
  <c r="AG1023" i="42" s="1"/>
  <c r="AJ1023" i="42"/>
  <c r="AF1020" i="42"/>
  <c r="AG1020" i="42" s="1"/>
  <c r="AJ1020" i="42"/>
  <c r="AF1017" i="42"/>
  <c r="AG1017" i="42" s="1"/>
  <c r="AJ1017" i="42"/>
  <c r="AF1014" i="42"/>
  <c r="AG1014" i="42" s="1"/>
  <c r="AJ1014" i="42"/>
  <c r="AF1011" i="42"/>
  <c r="AG1011" i="42" s="1"/>
  <c r="AJ1011" i="42"/>
  <c r="AF1008" i="42"/>
  <c r="AG1008" i="42" s="1"/>
  <c r="AJ1008" i="42"/>
  <c r="AF1005" i="42"/>
  <c r="AG1005" i="42" s="1"/>
  <c r="AJ1005" i="42"/>
  <c r="AF1002" i="42"/>
  <c r="AG1002" i="42" s="1"/>
  <c r="AJ1002" i="42"/>
  <c r="AF999" i="42"/>
  <c r="AG999" i="42" s="1"/>
  <c r="AJ999" i="42"/>
  <c r="AF996" i="42"/>
  <c r="AG996" i="42" s="1"/>
  <c r="AJ996" i="42"/>
  <c r="AF993" i="42"/>
  <c r="AG993" i="42" s="1"/>
  <c r="AJ993" i="42"/>
  <c r="AF990" i="42"/>
  <c r="AG990" i="42" s="1"/>
  <c r="AJ990" i="42"/>
  <c r="AF987" i="42"/>
  <c r="AG987" i="42" s="1"/>
  <c r="AJ987" i="42"/>
  <c r="AF984" i="42"/>
  <c r="AG984" i="42" s="1"/>
  <c r="AJ984" i="42"/>
  <c r="AF981" i="42"/>
  <c r="AG981" i="42" s="1"/>
  <c r="AJ981" i="42"/>
  <c r="AF978" i="42"/>
  <c r="AG978" i="42" s="1"/>
  <c r="AJ978" i="42"/>
  <c r="AF975" i="42"/>
  <c r="AG975" i="42" s="1"/>
  <c r="AJ975" i="42"/>
  <c r="AF972" i="42"/>
  <c r="AG972" i="42" s="1"/>
  <c r="AJ972" i="42"/>
  <c r="AF969" i="42"/>
  <c r="AG969" i="42" s="1"/>
  <c r="AJ969" i="42"/>
  <c r="AF966" i="42"/>
  <c r="AG966" i="42" s="1"/>
  <c r="AJ966" i="42"/>
  <c r="AF963" i="42"/>
  <c r="AG963" i="42" s="1"/>
  <c r="AJ963" i="42"/>
  <c r="AF960" i="42"/>
  <c r="AG960" i="42" s="1"/>
  <c r="AJ960" i="42"/>
  <c r="AF957" i="42"/>
  <c r="AG957" i="42" s="1"/>
  <c r="AJ957" i="42"/>
  <c r="AF954" i="42"/>
  <c r="AG954" i="42" s="1"/>
  <c r="AJ954" i="42"/>
  <c r="AF951" i="42"/>
  <c r="AG951" i="42" s="1"/>
  <c r="AJ951" i="42"/>
  <c r="AF948" i="42"/>
  <c r="AG948" i="42" s="1"/>
  <c r="AJ948" i="42"/>
  <c r="AF945" i="42"/>
  <c r="AG945" i="42" s="1"/>
  <c r="AJ945" i="42"/>
  <c r="AF942" i="42"/>
  <c r="AG942" i="42" s="1"/>
  <c r="AJ942" i="42"/>
  <c r="AF939" i="42"/>
  <c r="AG939" i="42" s="1"/>
  <c r="AJ939" i="42"/>
  <c r="AF936" i="42"/>
  <c r="AG936" i="42" s="1"/>
  <c r="AJ936" i="42"/>
  <c r="AF933" i="42"/>
  <c r="AG933" i="42" s="1"/>
  <c r="AJ933" i="42"/>
  <c r="AF930" i="42"/>
  <c r="AG930" i="42" s="1"/>
  <c r="AJ930" i="42"/>
  <c r="AF927" i="42"/>
  <c r="AG927" i="42" s="1"/>
  <c r="AJ927" i="42"/>
  <c r="AF924" i="42"/>
  <c r="AG924" i="42" s="1"/>
  <c r="AJ924" i="42"/>
  <c r="AF921" i="42"/>
  <c r="AG921" i="42" s="1"/>
  <c r="AJ921" i="42"/>
  <c r="AF918" i="42"/>
  <c r="AG918" i="42" s="1"/>
  <c r="AJ918" i="42"/>
  <c r="AF915" i="42"/>
  <c r="AG915" i="42" s="1"/>
  <c r="AJ915" i="42"/>
  <c r="AF912" i="42"/>
  <c r="AG912" i="42" s="1"/>
  <c r="AJ912" i="42"/>
  <c r="AF909" i="42"/>
  <c r="AG909" i="42" s="1"/>
  <c r="AJ909" i="42"/>
  <c r="AF906" i="42"/>
  <c r="AG906" i="42" s="1"/>
  <c r="AJ906" i="42"/>
  <c r="AF903" i="42"/>
  <c r="AG903" i="42" s="1"/>
  <c r="AJ903" i="42"/>
  <c r="AF900" i="42"/>
  <c r="AG900" i="42" s="1"/>
  <c r="AJ900" i="42"/>
  <c r="AF897" i="42"/>
  <c r="AG897" i="42" s="1"/>
  <c r="AJ897" i="42"/>
  <c r="AF894" i="42"/>
  <c r="AG894" i="42" s="1"/>
  <c r="AJ894" i="42"/>
  <c r="AJ870" i="42"/>
  <c r="AF867" i="42"/>
  <c r="AG867" i="42" s="1"/>
  <c r="AI1076" i="42"/>
  <c r="AF1076" i="42"/>
  <c r="AG1076" i="42" s="1"/>
  <c r="AI1075" i="42"/>
  <c r="AF1075" i="42"/>
  <c r="AG1075" i="42" s="1"/>
  <c r="AI1074" i="42"/>
  <c r="AF1074" i="42"/>
  <c r="AG1074" i="42" s="1"/>
  <c r="AI1073" i="42"/>
  <c r="AF1073" i="42"/>
  <c r="AG1073" i="42" s="1"/>
  <c r="AI1072" i="42"/>
  <c r="AF1072" i="42"/>
  <c r="AG1072" i="42" s="1"/>
  <c r="AI1071" i="42"/>
  <c r="AF1071" i="42"/>
  <c r="AG1071" i="42" s="1"/>
  <c r="AI1070" i="42"/>
  <c r="AF1070" i="42"/>
  <c r="AG1070" i="42" s="1"/>
  <c r="AI1069" i="42"/>
  <c r="AF1069" i="42"/>
  <c r="AG1069" i="42" s="1"/>
  <c r="AI1068" i="42"/>
  <c r="AF1068" i="42"/>
  <c r="AG1068" i="42" s="1"/>
  <c r="AI1067" i="42"/>
  <c r="AF1067" i="42"/>
  <c r="AG1067" i="42" s="1"/>
  <c r="AI1065" i="42"/>
  <c r="AF1064" i="42"/>
  <c r="AG1064" i="42" s="1"/>
  <c r="AJ1064" i="42"/>
  <c r="AI1062" i="42"/>
  <c r="AF1061" i="42"/>
  <c r="AG1061" i="42" s="1"/>
  <c r="AJ1061" i="42"/>
  <c r="AI1059" i="42"/>
  <c r="AF1058" i="42"/>
  <c r="AG1058" i="42" s="1"/>
  <c r="AJ1058" i="42"/>
  <c r="AI1056" i="42"/>
  <c r="AF1055" i="42"/>
  <c r="AG1055" i="42" s="1"/>
  <c r="AJ1055" i="42"/>
  <c r="AI1053" i="42"/>
  <c r="AF1052" i="42"/>
  <c r="AG1052" i="42" s="1"/>
  <c r="AJ1052" i="42"/>
  <c r="AI1050" i="42"/>
  <c r="AF1049" i="42"/>
  <c r="AG1049" i="42" s="1"/>
  <c r="AJ1049" i="42"/>
  <c r="AI1047" i="42"/>
  <c r="AF1046" i="42"/>
  <c r="AG1046" i="42" s="1"/>
  <c r="AJ1046" i="42"/>
  <c r="AI1044" i="42"/>
  <c r="AF1043" i="42"/>
  <c r="AG1043" i="42" s="1"/>
  <c r="AJ1043" i="42"/>
  <c r="AI1041" i="42"/>
  <c r="AF1040" i="42"/>
  <c r="AG1040" i="42" s="1"/>
  <c r="AJ1040" i="42"/>
  <c r="AI1038" i="42"/>
  <c r="AF1037" i="42"/>
  <c r="AG1037" i="42" s="1"/>
  <c r="AJ1037" i="42"/>
  <c r="AI1035" i="42"/>
  <c r="AF1034" i="42"/>
  <c r="AG1034" i="42" s="1"/>
  <c r="AJ1034" i="42"/>
  <c r="AI1032" i="42"/>
  <c r="AF1031" i="42"/>
  <c r="AG1031" i="42" s="1"/>
  <c r="AJ1031" i="42"/>
  <c r="AI1029" i="42"/>
  <c r="AF1028" i="42"/>
  <c r="AG1028" i="42" s="1"/>
  <c r="AJ1028" i="42"/>
  <c r="AI1026" i="42"/>
  <c r="AF1025" i="42"/>
  <c r="AG1025" i="42" s="1"/>
  <c r="AJ1025" i="42"/>
  <c r="AI1023" i="42"/>
  <c r="AF1022" i="42"/>
  <c r="AG1022" i="42" s="1"/>
  <c r="AJ1022" i="42"/>
  <c r="AI1020" i="42"/>
  <c r="AF1019" i="42"/>
  <c r="AG1019" i="42" s="1"/>
  <c r="AJ1019" i="42"/>
  <c r="AI1017" i="42"/>
  <c r="AF1016" i="42"/>
  <c r="AG1016" i="42" s="1"/>
  <c r="AJ1016" i="42"/>
  <c r="AI1014" i="42"/>
  <c r="AF1013" i="42"/>
  <c r="AG1013" i="42" s="1"/>
  <c r="AJ1013" i="42"/>
  <c r="AI1011" i="42"/>
  <c r="AF1010" i="42"/>
  <c r="AG1010" i="42" s="1"/>
  <c r="AJ1010" i="42"/>
  <c r="AI1008" i="42"/>
  <c r="AF1007" i="42"/>
  <c r="AG1007" i="42" s="1"/>
  <c r="AJ1007" i="42"/>
  <c r="AI1005" i="42"/>
  <c r="AF1004" i="42"/>
  <c r="AG1004" i="42" s="1"/>
  <c r="AJ1004" i="42"/>
  <c r="AI1002" i="42"/>
  <c r="AF1001" i="42"/>
  <c r="AG1001" i="42" s="1"/>
  <c r="AJ1001" i="42"/>
  <c r="AI999" i="42"/>
  <c r="AF998" i="42"/>
  <c r="AG998" i="42" s="1"/>
  <c r="AJ998" i="42"/>
  <c r="AI996" i="42"/>
  <c r="AF995" i="42"/>
  <c r="AG995" i="42" s="1"/>
  <c r="AJ995" i="42"/>
  <c r="AI993" i="42"/>
  <c r="AF992" i="42"/>
  <c r="AG992" i="42" s="1"/>
  <c r="AJ992" i="42"/>
  <c r="AI990" i="42"/>
  <c r="AF989" i="42"/>
  <c r="AG989" i="42" s="1"/>
  <c r="AJ989" i="42"/>
  <c r="AI987" i="42"/>
  <c r="AF986" i="42"/>
  <c r="AG986" i="42" s="1"/>
  <c r="AJ986" i="42"/>
  <c r="AI984" i="42"/>
  <c r="AF983" i="42"/>
  <c r="AG983" i="42" s="1"/>
  <c r="AJ983" i="42"/>
  <c r="AI981" i="42"/>
  <c r="AF980" i="42"/>
  <c r="AG980" i="42" s="1"/>
  <c r="AJ980" i="42"/>
  <c r="AI978" i="42"/>
  <c r="AF977" i="42"/>
  <c r="AG977" i="42" s="1"/>
  <c r="AJ977" i="42"/>
  <c r="AI975" i="42"/>
  <c r="AF974" i="42"/>
  <c r="AG974" i="42" s="1"/>
  <c r="AJ974" i="42"/>
  <c r="AI972" i="42"/>
  <c r="AF971" i="42"/>
  <c r="AG971" i="42" s="1"/>
  <c r="AJ971" i="42"/>
  <c r="AI969" i="42"/>
  <c r="AF968" i="42"/>
  <c r="AG968" i="42" s="1"/>
  <c r="AJ968" i="42"/>
  <c r="AI966" i="42"/>
  <c r="AF965" i="42"/>
  <c r="AG965" i="42" s="1"/>
  <c r="AJ965" i="42"/>
  <c r="AI963" i="42"/>
  <c r="AF962" i="42"/>
  <c r="AG962" i="42" s="1"/>
  <c r="AJ962" i="42"/>
  <c r="AI960" i="42"/>
  <c r="AF959" i="42"/>
  <c r="AG959" i="42" s="1"/>
  <c r="AJ959" i="42"/>
  <c r="AI957" i="42"/>
  <c r="AF956" i="42"/>
  <c r="AG956" i="42" s="1"/>
  <c r="AJ956" i="42"/>
  <c r="AI954" i="42"/>
  <c r="AF953" i="42"/>
  <c r="AG953" i="42" s="1"/>
  <c r="AJ953" i="42"/>
  <c r="AI951" i="42"/>
  <c r="AF950" i="42"/>
  <c r="AG950" i="42" s="1"/>
  <c r="AJ950" i="42"/>
  <c r="AI948" i="42"/>
  <c r="AF947" i="42"/>
  <c r="AG947" i="42" s="1"/>
  <c r="AJ947" i="42"/>
  <c r="AI945" i="42"/>
  <c r="AF944" i="42"/>
  <c r="AG944" i="42" s="1"/>
  <c r="AJ944" i="42"/>
  <c r="AI942" i="42"/>
  <c r="AF941" i="42"/>
  <c r="AG941" i="42" s="1"/>
  <c r="AJ941" i="42"/>
  <c r="AI939" i="42"/>
  <c r="AF938" i="42"/>
  <c r="AG938" i="42" s="1"/>
  <c r="AJ938" i="42"/>
  <c r="AI936" i="42"/>
  <c r="AF935" i="42"/>
  <c r="AG935" i="42" s="1"/>
  <c r="AJ935" i="42"/>
  <c r="AI933" i="42"/>
  <c r="AF932" i="42"/>
  <c r="AG932" i="42" s="1"/>
  <c r="AJ932" i="42"/>
  <c r="AI930" i="42"/>
  <c r="AF929" i="42"/>
  <c r="AG929" i="42" s="1"/>
  <c r="AJ929" i="42"/>
  <c r="AI927" i="42"/>
  <c r="AF926" i="42"/>
  <c r="AG926" i="42" s="1"/>
  <c r="AJ926" i="42"/>
  <c r="AI924" i="42"/>
  <c r="AF923" i="42"/>
  <c r="AG923" i="42" s="1"/>
  <c r="AJ923" i="42"/>
  <c r="AI921" i="42"/>
  <c r="AF920" i="42"/>
  <c r="AG920" i="42" s="1"/>
  <c r="AJ920" i="42"/>
  <c r="AI918" i="42"/>
  <c r="AF917" i="42"/>
  <c r="AG917" i="42" s="1"/>
  <c r="AJ917" i="42"/>
  <c r="AI915" i="42"/>
  <c r="AF914" i="42"/>
  <c r="AG914" i="42" s="1"/>
  <c r="AJ914" i="42"/>
  <c r="AI912" i="42"/>
  <c r="AF911" i="42"/>
  <c r="AG911" i="42" s="1"/>
  <c r="AJ911" i="42"/>
  <c r="AI909" i="42"/>
  <c r="AF908" i="42"/>
  <c r="AG908" i="42" s="1"/>
  <c r="AJ908" i="42"/>
  <c r="AI906" i="42"/>
  <c r="AF905" i="42"/>
  <c r="AG905" i="42" s="1"/>
  <c r="AJ905" i="42"/>
  <c r="AI903" i="42"/>
  <c r="AF902" i="42"/>
  <c r="AG902" i="42" s="1"/>
  <c r="AJ902" i="42"/>
  <c r="AI900" i="42"/>
  <c r="AF899" i="42"/>
  <c r="AG899" i="42" s="1"/>
  <c r="AJ899" i="42"/>
  <c r="AI897" i="42"/>
  <c r="AF896" i="42"/>
  <c r="AG896" i="42" s="1"/>
  <c r="AJ896" i="42"/>
  <c r="AI894" i="42"/>
  <c r="AF893" i="42"/>
  <c r="AG893" i="42" s="1"/>
  <c r="AJ893" i="42"/>
  <c r="AF887" i="42"/>
  <c r="AG887" i="42" s="1"/>
  <c r="AI885" i="42"/>
  <c r="AI867" i="42"/>
  <c r="AF848" i="42"/>
  <c r="AG848" i="42" s="1"/>
  <c r="AJ848" i="42"/>
  <c r="AF746" i="42"/>
  <c r="AG746" i="42" s="1"/>
  <c r="AJ746" i="42"/>
  <c r="AF743" i="42"/>
  <c r="AG743" i="42" s="1"/>
  <c r="AJ743" i="42"/>
  <c r="AF740" i="42"/>
  <c r="AG740" i="42" s="1"/>
  <c r="AJ740" i="42"/>
  <c r="AF737" i="42"/>
  <c r="AG737" i="42" s="1"/>
  <c r="AJ737" i="42"/>
  <c r="AF755" i="42"/>
  <c r="AG755" i="42" s="1"/>
  <c r="AJ755" i="42"/>
  <c r="AF745" i="42"/>
  <c r="AG745" i="42" s="1"/>
  <c r="AJ745" i="42"/>
  <c r="AF739" i="42"/>
  <c r="AG739" i="42" s="1"/>
  <c r="AJ739" i="42"/>
  <c r="AF736" i="42"/>
  <c r="AG736" i="42" s="1"/>
  <c r="AJ736" i="42"/>
  <c r="AI787" i="42"/>
  <c r="AF786" i="42"/>
  <c r="AG786" i="42" s="1"/>
  <c r="AF783" i="42"/>
  <c r="AG783" i="42" s="1"/>
  <c r="AI755" i="42"/>
  <c r="AF747" i="42"/>
  <c r="AG747" i="42" s="1"/>
  <c r="AJ747" i="42"/>
  <c r="AI745" i="42"/>
  <c r="AF744" i="42"/>
  <c r="AG744" i="42" s="1"/>
  <c r="AJ744" i="42"/>
  <c r="AF741" i="42"/>
  <c r="AG741" i="42" s="1"/>
  <c r="AJ741" i="42"/>
  <c r="AI739" i="42"/>
  <c r="AF738" i="42"/>
  <c r="AG738" i="42" s="1"/>
  <c r="AJ738" i="42"/>
  <c r="AI736" i="42"/>
  <c r="AJ735" i="42"/>
  <c r="AJ734" i="42"/>
  <c r="AJ733" i="42"/>
  <c r="AI572" i="42"/>
  <c r="AF572" i="42"/>
  <c r="AG572" i="42" s="1"/>
  <c r="AJ572" i="42"/>
  <c r="AE83" i="14"/>
  <c r="AF83" i="14" s="1"/>
  <c r="AG83" i="14" s="1"/>
  <c r="AE82" i="14"/>
  <c r="AJ82" i="14" s="1"/>
  <c r="AE40" i="43"/>
  <c r="AI40" i="43" s="1"/>
  <c r="AI170" i="24"/>
  <c r="AE141" i="34"/>
  <c r="AJ141" i="34" s="1"/>
  <c r="AE140" i="34"/>
  <c r="AJ140" i="34" s="1"/>
  <c r="AE20" i="45"/>
  <c r="AI20" i="45" s="1"/>
  <c r="AC2" i="15"/>
  <c r="AE2" i="15"/>
  <c r="AC343" i="15"/>
  <c r="AE343" i="15"/>
  <c r="AI343" i="15" s="1"/>
  <c r="AC342" i="15"/>
  <c r="AE342" i="15"/>
  <c r="AJ342" i="15" s="1"/>
  <c r="AC341" i="15"/>
  <c r="AE341" i="15"/>
  <c r="AF341" i="15" s="1"/>
  <c r="AG341" i="15" s="1"/>
  <c r="AC340" i="15"/>
  <c r="AE340" i="15"/>
  <c r="AJ340" i="15" s="1"/>
  <c r="AC339" i="15"/>
  <c r="AE339" i="15"/>
  <c r="AI339" i="15" s="1"/>
  <c r="AC338" i="15"/>
  <c r="AE338" i="15"/>
  <c r="AJ338" i="15" s="1"/>
  <c r="AC337" i="15"/>
  <c r="AE337" i="15"/>
  <c r="AI337" i="15" s="1"/>
  <c r="AC336" i="15"/>
  <c r="AE336" i="15"/>
  <c r="AJ336" i="15" s="1"/>
  <c r="AC335" i="15"/>
  <c r="AE335" i="15"/>
  <c r="AI335" i="15" s="1"/>
  <c r="AC334" i="15"/>
  <c r="AE334" i="15"/>
  <c r="AJ334" i="15" s="1"/>
  <c r="AC333" i="15"/>
  <c r="AE333" i="15"/>
  <c r="AF333" i="15" s="1"/>
  <c r="AG333" i="15" s="1"/>
  <c r="AC332" i="15"/>
  <c r="AE332" i="15"/>
  <c r="AJ332" i="15" s="1"/>
  <c r="AC331" i="15"/>
  <c r="AE331" i="15"/>
  <c r="AJ331" i="15" s="1"/>
  <c r="AC330" i="15"/>
  <c r="AE330" i="15"/>
  <c r="AI330" i="15" s="1"/>
  <c r="AC329" i="15"/>
  <c r="AE329" i="15"/>
  <c r="AJ329" i="15" s="1"/>
  <c r="AC328" i="15"/>
  <c r="AE328" i="15"/>
  <c r="AF328" i="15" s="1"/>
  <c r="AG328" i="15" s="1"/>
  <c r="AC327" i="15"/>
  <c r="AE327" i="15"/>
  <c r="AJ327" i="15" s="1"/>
  <c r="AC326" i="15"/>
  <c r="AE326" i="15"/>
  <c r="AF326" i="15" s="1"/>
  <c r="AG326" i="15" s="1"/>
  <c r="AC325" i="15"/>
  <c r="AE325" i="15"/>
  <c r="AJ325" i="15" s="1"/>
  <c r="AC324" i="15"/>
  <c r="AE324" i="15"/>
  <c r="AI324" i="15" s="1"/>
  <c r="AC323" i="15"/>
  <c r="AE323" i="15"/>
  <c r="AJ323" i="15" s="1"/>
  <c r="AC322" i="15"/>
  <c r="AE322" i="15"/>
  <c r="AJ322" i="15" s="1"/>
  <c r="AC320" i="15"/>
  <c r="AE320" i="15"/>
  <c r="AI320" i="15" s="1"/>
  <c r="AC319" i="15"/>
  <c r="AE319" i="15"/>
  <c r="AJ319" i="15" s="1"/>
  <c r="AC318" i="15"/>
  <c r="AE318" i="15"/>
  <c r="AJ318" i="15" s="1"/>
  <c r="AC317" i="15"/>
  <c r="AE317" i="15"/>
  <c r="AJ317" i="15" s="1"/>
  <c r="AC316" i="15"/>
  <c r="AE316" i="15"/>
  <c r="AF316" i="15" s="1"/>
  <c r="AG316" i="15" s="1"/>
  <c r="AC315" i="15"/>
  <c r="AE315" i="15"/>
  <c r="AJ315" i="15" s="1"/>
  <c r="AC314" i="15"/>
  <c r="AE314" i="15"/>
  <c r="AI314" i="15" s="1"/>
  <c r="AC313" i="15"/>
  <c r="AE313" i="15"/>
  <c r="AJ313" i="15" s="1"/>
  <c r="AC312" i="15"/>
  <c r="AE312" i="15"/>
  <c r="AF312" i="15" s="1"/>
  <c r="AG312" i="15" s="1"/>
  <c r="AC311" i="15"/>
  <c r="AE311" i="15"/>
  <c r="AJ311" i="15" s="1"/>
  <c r="AC310" i="15"/>
  <c r="AE310" i="15"/>
  <c r="AF310" i="15" s="1"/>
  <c r="AG310" i="15" s="1"/>
  <c r="AC309" i="15"/>
  <c r="AE309" i="15"/>
  <c r="AJ309" i="15" s="1"/>
  <c r="AC308" i="15"/>
  <c r="AE308" i="15"/>
  <c r="AI308" i="15" s="1"/>
  <c r="AC307" i="15"/>
  <c r="AE307" i="15"/>
  <c r="AJ307" i="15" s="1"/>
  <c r="AC305" i="15"/>
  <c r="AE305" i="15"/>
  <c r="AC304" i="15"/>
  <c r="AE304" i="15"/>
  <c r="AF304" i="15" s="1"/>
  <c r="AG304" i="15" s="1"/>
  <c r="AC303" i="15"/>
  <c r="AE303" i="15"/>
  <c r="AF303" i="15" s="1"/>
  <c r="AG303" i="15" s="1"/>
  <c r="AC301" i="15"/>
  <c r="AE301" i="15"/>
  <c r="AC300" i="15"/>
  <c r="AE302" i="15"/>
  <c r="AF302" i="15" s="1"/>
  <c r="AG302" i="15" s="1"/>
  <c r="AE300" i="15"/>
  <c r="AJ300" i="15" s="1"/>
  <c r="AC299" i="15"/>
  <c r="AE299" i="15"/>
  <c r="AI299" i="15" s="1"/>
  <c r="AE298" i="15"/>
  <c r="AI298" i="15" s="1"/>
  <c r="AC294" i="15"/>
  <c r="AE294" i="15"/>
  <c r="AI294" i="15" s="1"/>
  <c r="AC293" i="15"/>
  <c r="AE293" i="15"/>
  <c r="AF293" i="15" s="1"/>
  <c r="AG293" i="15" s="1"/>
  <c r="AC291" i="15"/>
  <c r="AE291" i="15"/>
  <c r="AC288" i="15"/>
  <c r="AE288" i="15"/>
  <c r="AC287" i="15"/>
  <c r="AE287" i="15"/>
  <c r="AJ287" i="15" s="1"/>
  <c r="AC285" i="15"/>
  <c r="AE285" i="15"/>
  <c r="AF285" i="15" s="1"/>
  <c r="AG285" i="15" s="1"/>
  <c r="AC284" i="15"/>
  <c r="AE284" i="15"/>
  <c r="AF284" i="15" s="1"/>
  <c r="AG284" i="15" s="1"/>
  <c r="AC283" i="15"/>
  <c r="AE283" i="15"/>
  <c r="AE282" i="15"/>
  <c r="AJ282" i="15" s="1"/>
  <c r="AC281" i="15"/>
  <c r="AE281" i="15"/>
  <c r="AF281" i="15" s="1"/>
  <c r="AG281" i="15" s="1"/>
  <c r="AC278" i="15"/>
  <c r="AE278" i="15"/>
  <c r="AJ278" i="15" s="1"/>
  <c r="AE277" i="15"/>
  <c r="AF277" i="15" s="1"/>
  <c r="AG277" i="15" s="1"/>
  <c r="AC276" i="15"/>
  <c r="AE276" i="15"/>
  <c r="AJ276" i="15" s="1"/>
  <c r="AC275" i="15"/>
  <c r="AE275" i="15"/>
  <c r="AJ275" i="15" s="1"/>
  <c r="AC273" i="15"/>
  <c r="AE273" i="15"/>
  <c r="AI273" i="15" s="1"/>
  <c r="AC272" i="15"/>
  <c r="AE272" i="15"/>
  <c r="AC270" i="15"/>
  <c r="AE270" i="15"/>
  <c r="AC269" i="15"/>
  <c r="AE269" i="15"/>
  <c r="AI269" i="15" s="1"/>
  <c r="AC268" i="15"/>
  <c r="AE268" i="15"/>
  <c r="AF268" i="15" s="1"/>
  <c r="AG268" i="15" s="1"/>
  <c r="AC266" i="15"/>
  <c r="AE266" i="15"/>
  <c r="AI266" i="15" s="1"/>
  <c r="AC264" i="15"/>
  <c r="AE264" i="15"/>
  <c r="AE261" i="15"/>
  <c r="AI261" i="15" s="1"/>
  <c r="AC260" i="15"/>
  <c r="AE260" i="15"/>
  <c r="AC259" i="15"/>
  <c r="AE259" i="15"/>
  <c r="AC258" i="15"/>
  <c r="AE258" i="15"/>
  <c r="AC257" i="15"/>
  <c r="AE257" i="15"/>
  <c r="AJ257" i="15" s="1"/>
  <c r="AC256" i="15"/>
  <c r="AE256" i="15"/>
  <c r="AC255" i="15"/>
  <c r="AE255" i="15"/>
  <c r="AC252" i="15"/>
  <c r="AE252" i="15"/>
  <c r="AC250" i="15"/>
  <c r="AE250" i="15"/>
  <c r="AF250" i="15" s="1"/>
  <c r="AG250" i="15" s="1"/>
  <c r="AE249" i="15"/>
  <c r="AI249" i="15" s="1"/>
  <c r="AC245" i="15"/>
  <c r="AE245" i="15"/>
  <c r="AC244" i="15"/>
  <c r="AE244" i="15"/>
  <c r="AJ244" i="15" s="1"/>
  <c r="AE243" i="15"/>
  <c r="AF243" i="15" s="1"/>
  <c r="AG243" i="15" s="1"/>
  <c r="AC242" i="15"/>
  <c r="AE242" i="15"/>
  <c r="AJ242" i="15" s="1"/>
  <c r="AC241" i="15"/>
  <c r="AE241" i="15"/>
  <c r="AJ241" i="15" s="1"/>
  <c r="AC238" i="15"/>
  <c r="AE238" i="15"/>
  <c r="AF238" i="15" s="1"/>
  <c r="AG238" i="15" s="1"/>
  <c r="AC237" i="15"/>
  <c r="AE237" i="15"/>
  <c r="AI237" i="15" s="1"/>
  <c r="AC236" i="15"/>
  <c r="AE236" i="15"/>
  <c r="AF236" i="15" s="1"/>
  <c r="AG236" i="15" s="1"/>
  <c r="AC235" i="15"/>
  <c r="AE235" i="15"/>
  <c r="AC234" i="15"/>
  <c r="AE234" i="15"/>
  <c r="AC230" i="15"/>
  <c r="AE230" i="15"/>
  <c r="AI230" i="15" s="1"/>
  <c r="AC229" i="15"/>
  <c r="AE229" i="15"/>
  <c r="AC226" i="15"/>
  <c r="AE226" i="15"/>
  <c r="AC225" i="15"/>
  <c r="AE225" i="15"/>
  <c r="AI225" i="15" s="1"/>
  <c r="AC224" i="15"/>
  <c r="AE224" i="15"/>
  <c r="AC220" i="15"/>
  <c r="AE220" i="15"/>
  <c r="AC218" i="15"/>
  <c r="AE218" i="15"/>
  <c r="AC217" i="15"/>
  <c r="AE217" i="15"/>
  <c r="AI217" i="15" s="1"/>
  <c r="AC214" i="15"/>
  <c r="AE214" i="15"/>
  <c r="AJ214" i="15" s="1"/>
  <c r="AC213" i="15"/>
  <c r="AE213" i="15"/>
  <c r="AE211" i="15"/>
  <c r="AF211" i="15" s="1"/>
  <c r="AG211" i="15" s="1"/>
  <c r="AC210" i="15"/>
  <c r="AE210" i="15"/>
  <c r="AC208" i="15"/>
  <c r="AE208" i="15"/>
  <c r="AC207" i="15"/>
  <c r="AE207" i="15"/>
  <c r="AJ207" i="15" s="1"/>
  <c r="AC205" i="15"/>
  <c r="AE205" i="15"/>
  <c r="AF205" i="15" s="1"/>
  <c r="AG205" i="15" s="1"/>
  <c r="AC204" i="15"/>
  <c r="AE204" i="15"/>
  <c r="AC201" i="15"/>
  <c r="AE201" i="15"/>
  <c r="AI201" i="15" s="1"/>
  <c r="AC200" i="15"/>
  <c r="AE206" i="15"/>
  <c r="AE200" i="15"/>
  <c r="AC198" i="15"/>
  <c r="AE198" i="15"/>
  <c r="AJ198" i="15" s="1"/>
  <c r="AC197" i="15"/>
  <c r="AE197" i="15"/>
  <c r="AC196" i="15"/>
  <c r="AE196" i="15"/>
  <c r="AJ196" i="15" s="1"/>
  <c r="AC194" i="15"/>
  <c r="AE194" i="15"/>
  <c r="AC192" i="15"/>
  <c r="AE192" i="15"/>
  <c r="AC184" i="15"/>
  <c r="AE184" i="15"/>
  <c r="AF184" i="15" s="1"/>
  <c r="AG184" i="15" s="1"/>
  <c r="AC182" i="15"/>
  <c r="AE182" i="15"/>
  <c r="AI182" i="15" s="1"/>
  <c r="AC181" i="15"/>
  <c r="AE203" i="15"/>
  <c r="AE181" i="15"/>
  <c r="AC180" i="15"/>
  <c r="AE180" i="15"/>
  <c r="AC179" i="15"/>
  <c r="AE179" i="15"/>
  <c r="AC178" i="15"/>
  <c r="AE178" i="15"/>
  <c r="AE177" i="15"/>
  <c r="AI177" i="15" s="1"/>
  <c r="AC176" i="15"/>
  <c r="AE176" i="15"/>
  <c r="AI176" i="15" s="1"/>
  <c r="AC174" i="15"/>
  <c r="AE174" i="15"/>
  <c r="AE173" i="15"/>
  <c r="AF173" i="15" s="1"/>
  <c r="AG173" i="15" s="1"/>
  <c r="AC172" i="15"/>
  <c r="AE172" i="15"/>
  <c r="AC171" i="15"/>
  <c r="AE171" i="15"/>
  <c r="AC169" i="15"/>
  <c r="AE169" i="15"/>
  <c r="AF169" i="15" s="1"/>
  <c r="AG169" i="15" s="1"/>
  <c r="AC168" i="15"/>
  <c r="AE168" i="15"/>
  <c r="AF168" i="15" s="1"/>
  <c r="AG168" i="15" s="1"/>
  <c r="AC166" i="15"/>
  <c r="AE166" i="15"/>
  <c r="AJ166" i="15" s="1"/>
  <c r="AC164" i="15"/>
  <c r="AE164" i="15"/>
  <c r="AF164" i="15" s="1"/>
  <c r="AG164" i="15" s="1"/>
  <c r="AE163" i="15"/>
  <c r="AJ163" i="15" s="1"/>
  <c r="AC162" i="15"/>
  <c r="AE162" i="15"/>
  <c r="AJ162" i="15" s="1"/>
  <c r="AC161" i="15"/>
  <c r="AE161" i="15"/>
  <c r="AC160" i="15"/>
  <c r="AE160" i="15"/>
  <c r="AF160" i="15" s="1"/>
  <c r="AG160" i="15" s="1"/>
  <c r="AC159" i="15"/>
  <c r="AE159" i="15"/>
  <c r="AC158" i="15"/>
  <c r="AE158" i="15"/>
  <c r="AJ158" i="15" s="1"/>
  <c r="AC156" i="15"/>
  <c r="AE156" i="15"/>
  <c r="AJ156" i="15" s="1"/>
  <c r="AC155" i="15"/>
  <c r="AE155" i="15"/>
  <c r="AC154" i="15"/>
  <c r="AE154" i="15"/>
  <c r="AI154" i="15" s="1"/>
  <c r="AC152" i="15"/>
  <c r="AE152" i="15"/>
  <c r="AJ152" i="15" s="1"/>
  <c r="AC151" i="15"/>
  <c r="AE151" i="15"/>
  <c r="AF151" i="15" s="1"/>
  <c r="AG151" i="15" s="1"/>
  <c r="AC150" i="15"/>
  <c r="AE150" i="15"/>
  <c r="AJ150" i="15" s="1"/>
  <c r="AC149" i="15"/>
  <c r="AE149" i="15"/>
  <c r="AJ149" i="15" s="1"/>
  <c r="AC148" i="15"/>
  <c r="AE148" i="15"/>
  <c r="AJ148" i="15" s="1"/>
  <c r="AE147" i="15"/>
  <c r="AI147" i="15" s="1"/>
  <c r="AC146" i="15"/>
  <c r="AE146" i="15"/>
  <c r="AC144" i="15"/>
  <c r="AE144" i="15"/>
  <c r="AE143" i="15"/>
  <c r="AF143" i="15" s="1"/>
  <c r="AG143" i="15" s="1"/>
  <c r="AC142" i="15"/>
  <c r="AE142" i="15"/>
  <c r="AC141" i="15"/>
  <c r="AE141" i="15"/>
  <c r="AC137" i="15"/>
  <c r="AE137" i="15"/>
  <c r="AI137" i="15" s="1"/>
  <c r="AC136" i="15"/>
  <c r="AE136" i="15"/>
  <c r="AC134" i="15"/>
  <c r="AE134" i="15"/>
  <c r="AC133" i="15"/>
  <c r="AE133" i="15"/>
  <c r="AI133" i="15" s="1"/>
  <c r="AC131" i="15"/>
  <c r="AE131" i="15"/>
  <c r="AI131" i="15" s="1"/>
  <c r="AC130" i="15"/>
  <c r="AE130" i="15"/>
  <c r="AF130" i="15" s="1"/>
  <c r="AG130" i="15" s="1"/>
  <c r="AC129" i="15"/>
  <c r="AE129" i="15"/>
  <c r="AC128" i="15"/>
  <c r="AE128" i="15"/>
  <c r="AC127" i="15"/>
  <c r="AE127" i="15"/>
  <c r="AC126" i="15"/>
  <c r="AE126" i="15"/>
  <c r="AE123" i="15"/>
  <c r="AJ123" i="15" s="1"/>
  <c r="AC122" i="15"/>
  <c r="AE122" i="15"/>
  <c r="AE121" i="15"/>
  <c r="AF121" i="15" s="1"/>
  <c r="AG121" i="15" s="1"/>
  <c r="AC120" i="15"/>
  <c r="AE120" i="15"/>
  <c r="AF120" i="15" s="1"/>
  <c r="AG120" i="15" s="1"/>
  <c r="AE119" i="15"/>
  <c r="AJ119" i="15" s="1"/>
  <c r="AC118" i="15"/>
  <c r="AE118" i="15"/>
  <c r="AE115" i="15"/>
  <c r="AI115" i="15" s="1"/>
  <c r="AC113" i="15"/>
  <c r="AE113" i="15"/>
  <c r="AC112" i="15"/>
  <c r="AE112" i="15"/>
  <c r="AC110" i="15"/>
  <c r="AE110" i="15"/>
  <c r="AF110" i="15" s="1"/>
  <c r="AG110" i="15" s="1"/>
  <c r="AC109" i="15"/>
  <c r="AE109" i="15"/>
  <c r="AE107" i="15"/>
  <c r="AI107" i="15" s="1"/>
  <c r="AC106" i="15"/>
  <c r="AE106" i="15"/>
  <c r="AC105" i="15"/>
  <c r="AE105" i="15"/>
  <c r="AC104" i="15"/>
  <c r="AE104" i="15"/>
  <c r="AJ104" i="15" s="1"/>
  <c r="AC102" i="15"/>
  <c r="AE102" i="15"/>
  <c r="AC100" i="15"/>
  <c r="AE100" i="15"/>
  <c r="AC99" i="15"/>
  <c r="AE99" i="15"/>
  <c r="AF99" i="15" s="1"/>
  <c r="AG99" i="15" s="1"/>
  <c r="AE101" i="15"/>
  <c r="AE98" i="15"/>
  <c r="AC97" i="15"/>
  <c r="AE97" i="15"/>
  <c r="AI97" i="15" s="1"/>
  <c r="AC96" i="15"/>
  <c r="AE96" i="15"/>
  <c r="AC94" i="15"/>
  <c r="AE94" i="15"/>
  <c r="AJ94" i="15" s="1"/>
  <c r="AC93" i="15"/>
  <c r="AE93" i="15"/>
  <c r="AC92" i="15"/>
  <c r="AE262" i="15"/>
  <c r="AJ262" i="15" s="1"/>
  <c r="AE199" i="15"/>
  <c r="AE92" i="15"/>
  <c r="AC91" i="15"/>
  <c r="AE91" i="15"/>
  <c r="AF91" i="15" s="1"/>
  <c r="AG91" i="15" s="1"/>
  <c r="AC90" i="15"/>
  <c r="AE90" i="15"/>
  <c r="AC89" i="15"/>
  <c r="AE89" i="15"/>
  <c r="AC88" i="15"/>
  <c r="AE88" i="15"/>
  <c r="AJ88" i="15" s="1"/>
  <c r="AC86" i="15"/>
  <c r="AE86" i="15"/>
  <c r="AC84" i="15"/>
  <c r="AE84" i="15"/>
  <c r="AC83" i="15"/>
  <c r="AE83" i="15"/>
  <c r="AJ83" i="15" s="1"/>
  <c r="AC80" i="15"/>
  <c r="AE80" i="15"/>
  <c r="AE77" i="15"/>
  <c r="AF77" i="15" s="1"/>
  <c r="AG77" i="15" s="1"/>
  <c r="AC76" i="15"/>
  <c r="AE321" i="15"/>
  <c r="AJ321" i="15" s="1"/>
  <c r="AE76" i="15"/>
  <c r="AJ76" i="15" s="1"/>
  <c r="AE75" i="15"/>
  <c r="AJ75" i="15" s="1"/>
  <c r="AC74" i="15"/>
  <c r="AE248" i="15"/>
  <c r="AE74" i="15"/>
  <c r="AE73" i="15"/>
  <c r="AJ73" i="15" s="1"/>
  <c r="AC72" i="15"/>
  <c r="AE72" i="15"/>
  <c r="AE71" i="15"/>
  <c r="AF71" i="15" s="1"/>
  <c r="AG71" i="15" s="1"/>
  <c r="AE69" i="15"/>
  <c r="AJ69" i="15" s="1"/>
  <c r="AC68" i="15"/>
  <c r="AE68" i="15"/>
  <c r="AJ68" i="15" s="1"/>
  <c r="AE67" i="15"/>
  <c r="AJ67" i="15" s="1"/>
  <c r="AC66" i="15"/>
  <c r="AE263" i="15"/>
  <c r="AE212" i="15"/>
  <c r="AI212" i="15" s="1"/>
  <c r="AE188" i="15"/>
  <c r="AE66" i="15"/>
  <c r="AE65" i="15"/>
  <c r="AF65" i="15" s="1"/>
  <c r="AG65" i="15" s="1"/>
  <c r="AC64" i="15"/>
  <c r="AE190" i="15"/>
  <c r="AE64" i="15"/>
  <c r="AC63" i="15"/>
  <c r="AE191" i="15"/>
  <c r="AJ191" i="15" s="1"/>
  <c r="AE63" i="15"/>
  <c r="AC62" i="15"/>
  <c r="AE62" i="15"/>
  <c r="AJ62" i="15" s="1"/>
  <c r="AE61" i="15"/>
  <c r="AF61" i="15" s="1"/>
  <c r="AG61" i="15" s="1"/>
  <c r="AE59" i="15"/>
  <c r="AF59" i="15" s="1"/>
  <c r="AG59" i="15" s="1"/>
  <c r="AC58" i="15"/>
  <c r="AE58" i="15"/>
  <c r="AF58" i="15" s="1"/>
  <c r="AG58" i="15" s="1"/>
  <c r="AC57" i="15"/>
  <c r="AE57" i="15"/>
  <c r="AC55" i="15"/>
  <c r="AE55" i="15"/>
  <c r="AJ55" i="15" s="1"/>
  <c r="AE53" i="15"/>
  <c r="AF53" i="15" s="1"/>
  <c r="AG53" i="15" s="1"/>
  <c r="AC52" i="15"/>
  <c r="AE52" i="15"/>
  <c r="AI52" i="15" s="1"/>
  <c r="AC48" i="15"/>
  <c r="AE280" i="15"/>
  <c r="AI280" i="15" s="1"/>
  <c r="AE189" i="15"/>
  <c r="AI189" i="15" s="1"/>
  <c r="AE48" i="15"/>
  <c r="AE45" i="15"/>
  <c r="AF45" i="15" s="1"/>
  <c r="AG45" i="15" s="1"/>
  <c r="AC44" i="15"/>
  <c r="AE44" i="15"/>
  <c r="AE43" i="15"/>
  <c r="AJ43" i="15" s="1"/>
  <c r="AC42" i="15"/>
  <c r="AE42" i="15"/>
  <c r="AI42" i="15" s="1"/>
  <c r="AC41" i="15"/>
  <c r="AE81" i="15"/>
  <c r="AF81" i="15" s="1"/>
  <c r="AG81" i="15" s="1"/>
  <c r="AE41" i="15"/>
  <c r="AF41" i="15" s="1"/>
  <c r="AG41" i="15" s="1"/>
  <c r="AC40" i="15"/>
  <c r="AE40" i="15"/>
  <c r="AC38" i="15"/>
  <c r="AE38" i="15"/>
  <c r="AI38" i="15" s="1"/>
  <c r="AC36" i="15"/>
  <c r="AE36" i="15"/>
  <c r="AJ36" i="15" s="1"/>
  <c r="AC33" i="15"/>
  <c r="AE33" i="15"/>
  <c r="AF33" i="15" s="1"/>
  <c r="AG33" i="15" s="1"/>
  <c r="AC32" i="15"/>
  <c r="AE32" i="15"/>
  <c r="AC30" i="15"/>
  <c r="AE30" i="15"/>
  <c r="AJ30" i="15" s="1"/>
  <c r="AC29" i="15"/>
  <c r="AE29" i="15"/>
  <c r="AI29" i="15" s="1"/>
  <c r="AC28" i="15"/>
  <c r="AE28" i="15"/>
  <c r="AC26" i="15"/>
  <c r="AE54" i="15"/>
  <c r="AI54" i="15" s="1"/>
  <c r="AE26" i="15"/>
  <c r="AC25" i="15"/>
  <c r="AE25" i="15"/>
  <c r="AJ25" i="15" s="1"/>
  <c r="AC24" i="15"/>
  <c r="AE209" i="15"/>
  <c r="AJ209" i="15" s="1"/>
  <c r="AE24" i="15"/>
  <c r="AC23" i="15"/>
  <c r="AE23" i="15"/>
  <c r="AI23" i="15" s="1"/>
  <c r="AC22" i="15"/>
  <c r="AE22" i="15"/>
  <c r="AI22" i="15" s="1"/>
  <c r="AC21" i="15"/>
  <c r="AE21" i="15"/>
  <c r="AJ21" i="15" s="1"/>
  <c r="AC20" i="15"/>
  <c r="AE20" i="15"/>
  <c r="AI20" i="15" s="1"/>
  <c r="AC17" i="15"/>
  <c r="AE17" i="15"/>
  <c r="AC15" i="15"/>
  <c r="AE19" i="15"/>
  <c r="AE15" i="15"/>
  <c r="AC14" i="15"/>
  <c r="AE79" i="15"/>
  <c r="AE14" i="15"/>
  <c r="AC13" i="15"/>
  <c r="AE13" i="15"/>
  <c r="AE60" i="15"/>
  <c r="AF60" i="15" s="1"/>
  <c r="AG60" i="15" s="1"/>
  <c r="AE12" i="15"/>
  <c r="AJ12" i="15" s="1"/>
  <c r="AC11" i="15"/>
  <c r="AE11" i="15"/>
  <c r="AI11" i="15" s="1"/>
  <c r="AC10" i="15"/>
  <c r="AE10" i="15"/>
  <c r="AF10" i="15" s="1"/>
  <c r="AG10" i="15" s="1"/>
  <c r="AC9" i="15"/>
  <c r="AE9" i="15"/>
  <c r="AC8" i="15"/>
  <c r="AE8" i="15"/>
  <c r="AJ8" i="15" s="1"/>
  <c r="AC7" i="15"/>
  <c r="AE7" i="15"/>
  <c r="AJ7" i="15" s="1"/>
  <c r="AC5" i="15"/>
  <c r="AE5" i="15"/>
  <c r="AJ5" i="15" s="1"/>
  <c r="AE4" i="15"/>
  <c r="AI4" i="15" s="1"/>
  <c r="AC3" i="15"/>
  <c r="AE3" i="15"/>
  <c r="AF3" i="15" s="1"/>
  <c r="AG3" i="15" s="1"/>
  <c r="AE19" i="45"/>
  <c r="AJ19" i="45" s="1"/>
  <c r="AE18" i="45"/>
  <c r="AF18" i="45" s="1"/>
  <c r="AG18" i="45" s="1"/>
  <c r="AE17" i="45"/>
  <c r="AJ17" i="45" s="1"/>
  <c r="AE592" i="13"/>
  <c r="AG592" i="13" s="1"/>
  <c r="AE591" i="13"/>
  <c r="AF591" i="13" s="1"/>
  <c r="AE590" i="13"/>
  <c r="AF590" i="13" s="1"/>
  <c r="AE589" i="13"/>
  <c r="AF589" i="13" s="1"/>
  <c r="AE588" i="13"/>
  <c r="AF588" i="13" s="1"/>
  <c r="AE587" i="13"/>
  <c r="AF587" i="13" s="1"/>
  <c r="AE586" i="13"/>
  <c r="AG586" i="13" s="1"/>
  <c r="AE585" i="13"/>
  <c r="AG585" i="13" s="1"/>
  <c r="AE584" i="13"/>
  <c r="AG584" i="13" s="1"/>
  <c r="AE583" i="13"/>
  <c r="AF583" i="13" s="1"/>
  <c r="AE499" i="13"/>
  <c r="AF499" i="13" s="1"/>
  <c r="AG499" i="13" s="1"/>
  <c r="AE494" i="13"/>
  <c r="AJ494" i="13" s="1"/>
  <c r="AE490" i="13"/>
  <c r="AJ490" i="13" s="1"/>
  <c r="AE485" i="13"/>
  <c r="AF485" i="13" s="1"/>
  <c r="AG485" i="13" s="1"/>
  <c r="AE498" i="13"/>
  <c r="AJ498" i="13" s="1"/>
  <c r="AE495" i="13"/>
  <c r="AI495" i="13" s="1"/>
  <c r="AE492" i="13"/>
  <c r="AJ492" i="13" s="1"/>
  <c r="AE489" i="13"/>
  <c r="AF489" i="13" s="1"/>
  <c r="AG489" i="13" s="1"/>
  <c r="AE486" i="13"/>
  <c r="AJ486" i="13" s="1"/>
  <c r="AE138" i="34"/>
  <c r="AI138" i="34" s="1"/>
  <c r="AE139" i="34"/>
  <c r="AJ139" i="34" s="1"/>
  <c r="AE480" i="13"/>
  <c r="AI480" i="13" s="1"/>
  <c r="AE482" i="13"/>
  <c r="AJ482" i="13" s="1"/>
  <c r="AE481" i="13"/>
  <c r="AF481" i="13" s="1"/>
  <c r="AG481" i="13" s="1"/>
  <c r="AE477" i="13"/>
  <c r="AJ477" i="13" s="1"/>
  <c r="AE476" i="13"/>
  <c r="AJ476" i="13" s="1"/>
  <c r="AE478" i="13"/>
  <c r="AJ478" i="13" s="1"/>
  <c r="AE475" i="13"/>
  <c r="AF475" i="13" s="1"/>
  <c r="AG475" i="13" s="1"/>
  <c r="AE450" i="13"/>
  <c r="AF450" i="13" s="1"/>
  <c r="AG450" i="13" s="1"/>
  <c r="AE463" i="13"/>
  <c r="AJ463" i="13" s="1"/>
  <c r="AE457" i="13"/>
  <c r="AJ457" i="13" s="1"/>
  <c r="AE469" i="13"/>
  <c r="AF469" i="13" s="1"/>
  <c r="AG469" i="13" s="1"/>
  <c r="AE462" i="13"/>
  <c r="AF462" i="13" s="1"/>
  <c r="AG462" i="13" s="1"/>
  <c r="AE454" i="13"/>
  <c r="AJ454" i="13" s="1"/>
  <c r="AE466" i="13"/>
  <c r="AJ466" i="13" s="1"/>
  <c r="AE459" i="13"/>
  <c r="AJ459" i="13" s="1"/>
  <c r="AE453" i="13"/>
  <c r="AJ453" i="13" s="1"/>
  <c r="AE472" i="13"/>
  <c r="AJ472" i="13" s="1"/>
  <c r="AE465" i="13"/>
  <c r="AJ465" i="13" s="1"/>
  <c r="AE460" i="13"/>
  <c r="AJ460" i="13" s="1"/>
  <c r="AE456" i="13"/>
  <c r="AJ456" i="13" s="1"/>
  <c r="AE451" i="13"/>
  <c r="AJ451" i="13" s="1"/>
  <c r="AE471" i="13"/>
  <c r="AI471" i="13" s="1"/>
  <c r="AE468" i="13"/>
  <c r="AJ468" i="13" s="1"/>
  <c r="AE473" i="13"/>
  <c r="AF473" i="13" s="1"/>
  <c r="AG473" i="13" s="1"/>
  <c r="AE470" i="13"/>
  <c r="AJ470" i="13" s="1"/>
  <c r="AE467" i="13"/>
  <c r="AJ467" i="13" s="1"/>
  <c r="AE464" i="13"/>
  <c r="AJ464" i="13" s="1"/>
  <c r="AE461" i="13"/>
  <c r="AJ461" i="13" s="1"/>
  <c r="AE458" i="13"/>
  <c r="AJ458" i="13" s="1"/>
  <c r="AE455" i="13"/>
  <c r="AJ455" i="13" s="1"/>
  <c r="AE452" i="13"/>
  <c r="AJ452" i="13" s="1"/>
  <c r="AC54" i="35"/>
  <c r="AE137" i="34"/>
  <c r="AJ137" i="34" s="1"/>
  <c r="AE39" i="43"/>
  <c r="AF39" i="43" s="1"/>
  <c r="AG39" i="43" s="1"/>
  <c r="AE15" i="45"/>
  <c r="AJ15" i="45" s="1"/>
  <c r="AE16" i="45"/>
  <c r="AI16" i="45" s="1"/>
  <c r="AE14" i="45"/>
  <c r="AJ14" i="45" s="1"/>
  <c r="AE4" i="45"/>
  <c r="AJ4" i="45" s="1"/>
  <c r="AE13" i="45"/>
  <c r="AI13" i="45" s="1"/>
  <c r="AE135" i="34"/>
  <c r="AJ135" i="34" s="1"/>
  <c r="AE371" i="13"/>
  <c r="AJ371" i="13" s="1"/>
  <c r="AE449" i="13"/>
  <c r="AJ449" i="13" s="1"/>
  <c r="AE446" i="13"/>
  <c r="AJ446" i="13" s="1"/>
  <c r="AE447" i="13"/>
  <c r="AJ447" i="13" s="1"/>
  <c r="AE444" i="13"/>
  <c r="AJ444" i="13" s="1"/>
  <c r="AE448" i="13"/>
  <c r="AJ448" i="13" s="1"/>
  <c r="AE445" i="13"/>
  <c r="AJ445" i="13" s="1"/>
  <c r="AE414" i="13"/>
  <c r="AJ414" i="13" s="1"/>
  <c r="AE428" i="13"/>
  <c r="AJ428" i="13" s="1"/>
  <c r="AE384" i="13"/>
  <c r="AI384" i="13" s="1"/>
  <c r="AE398" i="13"/>
  <c r="AJ398" i="13" s="1"/>
  <c r="AE440" i="13"/>
  <c r="AJ440" i="13" s="1"/>
  <c r="AE423" i="13"/>
  <c r="AJ423" i="13" s="1"/>
  <c r="AE410" i="13"/>
  <c r="AF410" i="13" s="1"/>
  <c r="AG410" i="13" s="1"/>
  <c r="AE393" i="13"/>
  <c r="AJ393" i="13" s="1"/>
  <c r="AE380" i="13"/>
  <c r="AJ380" i="13" s="1"/>
  <c r="AE435" i="13"/>
  <c r="AJ435" i="13" s="1"/>
  <c r="AE419" i="13"/>
  <c r="AJ419" i="13" s="1"/>
  <c r="AE404" i="13"/>
  <c r="AJ404" i="13" s="1"/>
  <c r="AE389" i="13"/>
  <c r="AI389" i="13" s="1"/>
  <c r="AE375" i="13"/>
  <c r="AJ375" i="13" s="1"/>
  <c r="AE443" i="13"/>
  <c r="AJ443" i="13" s="1"/>
  <c r="AE438" i="13"/>
  <c r="AJ438" i="13" s="1"/>
  <c r="AE431" i="13"/>
  <c r="AJ431" i="13" s="1"/>
  <c r="AE426" i="13"/>
  <c r="AJ426" i="13" s="1"/>
  <c r="AE422" i="13"/>
  <c r="AJ422" i="13" s="1"/>
  <c r="AE417" i="13"/>
  <c r="AJ417" i="13" s="1"/>
  <c r="AE413" i="13"/>
  <c r="AJ413" i="13" s="1"/>
  <c r="AE408" i="13"/>
  <c r="AJ408" i="13" s="1"/>
  <c r="AE401" i="13"/>
  <c r="AJ401" i="13" s="1"/>
  <c r="AE396" i="13"/>
  <c r="AJ396" i="13" s="1"/>
  <c r="AE392" i="13"/>
  <c r="AF392" i="13" s="1"/>
  <c r="AG392" i="13" s="1"/>
  <c r="AE387" i="13"/>
  <c r="AJ387" i="13" s="1"/>
  <c r="AE383" i="13"/>
  <c r="AJ383" i="13" s="1"/>
  <c r="AE378" i="13"/>
  <c r="AJ378" i="13" s="1"/>
  <c r="AE374" i="13"/>
  <c r="AI374" i="13" s="1"/>
  <c r="AE441" i="13"/>
  <c r="AJ441" i="13" s="1"/>
  <c r="AE437" i="13"/>
  <c r="AJ437" i="13" s="1"/>
  <c r="AE429" i="13"/>
  <c r="AJ429" i="13" s="1"/>
  <c r="AE425" i="13"/>
  <c r="AJ425" i="13" s="1"/>
  <c r="AE420" i="13"/>
  <c r="AJ420" i="13" s="1"/>
  <c r="AE416" i="13"/>
  <c r="AJ416" i="13" s="1"/>
  <c r="AE411" i="13"/>
  <c r="AJ411" i="13" s="1"/>
  <c r="AE405" i="13"/>
  <c r="AJ405" i="13" s="1"/>
  <c r="AE399" i="13"/>
  <c r="AF399" i="13" s="1"/>
  <c r="AG399" i="13" s="1"/>
  <c r="AE395" i="13"/>
  <c r="AF395" i="13" s="1"/>
  <c r="AG395" i="13" s="1"/>
  <c r="AE390" i="13"/>
  <c r="AF390" i="13" s="1"/>
  <c r="AG390" i="13" s="1"/>
  <c r="AE386" i="13"/>
  <c r="AI386" i="13" s="1"/>
  <c r="AE381" i="13"/>
  <c r="AJ381" i="13" s="1"/>
  <c r="AE377" i="13"/>
  <c r="AJ377" i="13" s="1"/>
  <c r="AE372" i="13"/>
  <c r="AI372" i="13" s="1"/>
  <c r="AE442" i="13"/>
  <c r="AJ442" i="13" s="1"/>
  <c r="AE439" i="13"/>
  <c r="AJ439" i="13" s="1"/>
  <c r="AE436" i="13"/>
  <c r="AJ436" i="13" s="1"/>
  <c r="AE433" i="13"/>
  <c r="AJ433" i="13" s="1"/>
  <c r="AE430" i="13"/>
  <c r="AJ430" i="13" s="1"/>
  <c r="AE427" i="13"/>
  <c r="AJ427" i="13" s="1"/>
  <c r="AE424" i="13"/>
  <c r="AJ424" i="13" s="1"/>
  <c r="AE421" i="13"/>
  <c r="AJ421" i="13" s="1"/>
  <c r="AE418" i="13"/>
  <c r="AI418" i="13" s="1"/>
  <c r="AE415" i="13"/>
  <c r="AJ415" i="13" s="1"/>
  <c r="AE412" i="13"/>
  <c r="AJ412" i="13" s="1"/>
  <c r="AE409" i="13"/>
  <c r="AJ409" i="13" s="1"/>
  <c r="AE406" i="13"/>
  <c r="AJ406" i="13" s="1"/>
  <c r="AE403" i="13"/>
  <c r="AJ403" i="13" s="1"/>
  <c r="AE400" i="13"/>
  <c r="AJ400" i="13" s="1"/>
  <c r="AE397" i="13"/>
  <c r="AJ397" i="13" s="1"/>
  <c r="AE394" i="13"/>
  <c r="AJ394" i="13" s="1"/>
  <c r="AE391" i="13"/>
  <c r="AF391" i="13" s="1"/>
  <c r="AG391" i="13" s="1"/>
  <c r="AE388" i="13"/>
  <c r="AI388" i="13" s="1"/>
  <c r="AE385" i="13"/>
  <c r="AJ385" i="13" s="1"/>
  <c r="AE382" i="13"/>
  <c r="AF382" i="13" s="1"/>
  <c r="AG382" i="13" s="1"/>
  <c r="AE379" i="13"/>
  <c r="AJ379" i="13" s="1"/>
  <c r="AE376" i="13"/>
  <c r="AI376" i="13" s="1"/>
  <c r="AE373" i="13"/>
  <c r="AI373" i="13" s="1"/>
  <c r="AE432" i="13"/>
  <c r="AJ432" i="13" s="1"/>
  <c r="AE402" i="13"/>
  <c r="AF402" i="13" s="1"/>
  <c r="AG402" i="13" s="1"/>
  <c r="AE434" i="13"/>
  <c r="AJ434" i="13" s="1"/>
  <c r="AE407" i="13"/>
  <c r="AJ407" i="13" s="1"/>
  <c r="AE354" i="13"/>
  <c r="AJ354" i="13" s="1"/>
  <c r="AE369" i="13"/>
  <c r="AI369" i="13" s="1"/>
  <c r="AE360" i="13"/>
  <c r="AI360" i="13" s="1"/>
  <c r="AE351" i="13"/>
  <c r="AI351" i="13" s="1"/>
  <c r="AE366" i="13"/>
  <c r="AI366" i="13" s="1"/>
  <c r="AE357" i="13"/>
  <c r="AJ357" i="13" s="1"/>
  <c r="AE368" i="13"/>
  <c r="AI368" i="13" s="1"/>
  <c r="AE365" i="13"/>
  <c r="AJ365" i="13" s="1"/>
  <c r="AE362" i="13"/>
  <c r="AI362" i="13" s="1"/>
  <c r="AE359" i="13"/>
  <c r="AF359" i="13" s="1"/>
  <c r="AG359" i="13" s="1"/>
  <c r="AE356" i="13"/>
  <c r="AF356" i="13" s="1"/>
  <c r="AG356" i="13" s="1"/>
  <c r="AE353" i="13"/>
  <c r="AJ353" i="13" s="1"/>
  <c r="AE350" i="13"/>
  <c r="AJ350" i="13" s="1"/>
  <c r="AE370" i="13"/>
  <c r="AI370" i="13" s="1"/>
  <c r="AE367" i="13"/>
  <c r="AI367" i="13" s="1"/>
  <c r="AE364" i="13"/>
  <c r="AJ364" i="13" s="1"/>
  <c r="AE361" i="13"/>
  <c r="AJ361" i="13" s="1"/>
  <c r="AE358" i="13"/>
  <c r="AJ358" i="13" s="1"/>
  <c r="AE355" i="13"/>
  <c r="AF355" i="13" s="1"/>
  <c r="AG355" i="13" s="1"/>
  <c r="AE352" i="13"/>
  <c r="AF352" i="13" s="1"/>
  <c r="AG352" i="13" s="1"/>
  <c r="AE341" i="13"/>
  <c r="AI341" i="13" s="1"/>
  <c r="AE347" i="13"/>
  <c r="AF347" i="13" s="1"/>
  <c r="AG347" i="13" s="1"/>
  <c r="AE338" i="13"/>
  <c r="AF338" i="13" s="1"/>
  <c r="AG338" i="13" s="1"/>
  <c r="AE344" i="13"/>
  <c r="AJ344" i="13" s="1"/>
  <c r="AE348" i="13"/>
  <c r="AJ348" i="13" s="1"/>
  <c r="AE345" i="13"/>
  <c r="AI345" i="13" s="1"/>
  <c r="AE342" i="13"/>
  <c r="AJ342" i="13" s="1"/>
  <c r="AE339" i="13"/>
  <c r="AF339" i="13" s="1"/>
  <c r="AG339" i="13" s="1"/>
  <c r="AE335" i="13"/>
  <c r="AF335" i="13" s="1"/>
  <c r="AG335" i="13" s="1"/>
  <c r="AE349" i="13"/>
  <c r="AF349" i="13" s="1"/>
  <c r="AG349" i="13" s="1"/>
  <c r="AE346" i="13"/>
  <c r="AJ346" i="13" s="1"/>
  <c r="AE343" i="13"/>
  <c r="AF343" i="13" s="1"/>
  <c r="AG343" i="13" s="1"/>
  <c r="AE340" i="13"/>
  <c r="AI340" i="13" s="1"/>
  <c r="AE337" i="13"/>
  <c r="AJ337" i="13" s="1"/>
  <c r="AE334" i="13"/>
  <c r="AF334" i="13" s="1"/>
  <c r="AG334" i="13" s="1"/>
  <c r="AE333" i="13"/>
  <c r="AF333" i="13" s="1"/>
  <c r="AG333" i="13" s="1"/>
  <c r="AE324" i="13"/>
  <c r="AI324" i="13" s="1"/>
  <c r="AE336" i="13"/>
  <c r="AF336" i="13" s="1"/>
  <c r="AG336" i="13" s="1"/>
  <c r="AE327" i="13"/>
  <c r="AF327" i="13" s="1"/>
  <c r="AG327" i="13" s="1"/>
  <c r="AE330" i="13"/>
  <c r="AF330" i="13" s="1"/>
  <c r="AG330" i="13" s="1"/>
  <c r="AE321" i="13"/>
  <c r="AF321" i="13" s="1"/>
  <c r="AG321" i="13" s="1"/>
  <c r="AE263" i="13"/>
  <c r="AF263" i="13" s="1"/>
  <c r="AG263" i="13" s="1"/>
  <c r="AE332" i="13"/>
  <c r="AF332" i="13" s="1"/>
  <c r="AG332" i="13" s="1"/>
  <c r="AE329" i="13"/>
  <c r="AF329" i="13" s="1"/>
  <c r="AG329" i="13" s="1"/>
  <c r="AE326" i="13"/>
  <c r="AF326" i="13" s="1"/>
  <c r="AG326" i="13" s="1"/>
  <c r="AE323" i="13"/>
  <c r="AF323" i="13" s="1"/>
  <c r="AG323" i="13" s="1"/>
  <c r="AE320" i="13"/>
  <c r="AI320" i="13" s="1"/>
  <c r="AE331" i="13"/>
  <c r="AF331" i="13" s="1"/>
  <c r="AG331" i="13" s="1"/>
  <c r="AE328" i="13"/>
  <c r="AF328" i="13" s="1"/>
  <c r="AG328" i="13" s="1"/>
  <c r="AE325" i="13"/>
  <c r="AF325" i="13" s="1"/>
  <c r="AG325" i="13" s="1"/>
  <c r="AE322" i="13"/>
  <c r="AF322" i="13" s="1"/>
  <c r="AG322" i="13" s="1"/>
  <c r="AE319" i="13"/>
  <c r="AF319" i="13" s="1"/>
  <c r="AG319" i="13" s="1"/>
  <c r="AE318" i="13"/>
  <c r="AJ318" i="13" s="1"/>
  <c r="AE317" i="13"/>
  <c r="AF317" i="13" s="1"/>
  <c r="AG317" i="13" s="1"/>
  <c r="AE316" i="13"/>
  <c r="AF316" i="13" s="1"/>
  <c r="AG316" i="13" s="1"/>
  <c r="AE315" i="13"/>
  <c r="AF315" i="13" s="1"/>
  <c r="AG315" i="13" s="1"/>
  <c r="AE314" i="13"/>
  <c r="AJ314" i="13" s="1"/>
  <c r="AE313" i="13"/>
  <c r="AF313" i="13" s="1"/>
  <c r="AG313" i="13" s="1"/>
  <c r="AE312" i="13"/>
  <c r="AI312" i="13" s="1"/>
  <c r="AE311" i="13"/>
  <c r="AF311" i="13" s="1"/>
  <c r="AG311" i="13" s="1"/>
  <c r="AE310" i="13"/>
  <c r="AF310" i="13" s="1"/>
  <c r="AG310" i="13" s="1"/>
  <c r="AE12" i="45"/>
  <c r="AI12" i="45" s="1"/>
  <c r="AE134" i="34"/>
  <c r="AF134" i="34" s="1"/>
  <c r="AG134" i="34" s="1"/>
  <c r="AE133" i="34"/>
  <c r="AJ133" i="34" s="1"/>
  <c r="AE81" i="14"/>
  <c r="AF81" i="14" s="1"/>
  <c r="AG81" i="14" s="1"/>
  <c r="AE80" i="14"/>
  <c r="AF80" i="14" s="1"/>
  <c r="AG80" i="14" s="1"/>
  <c r="AE79" i="14"/>
  <c r="AF79" i="14" s="1"/>
  <c r="AG79" i="14" s="1"/>
  <c r="AE78" i="14"/>
  <c r="AI78" i="14" s="1"/>
  <c r="AE38" i="43"/>
  <c r="AI38" i="43" s="1"/>
  <c r="AE132" i="34"/>
  <c r="AJ132" i="34" s="1"/>
  <c r="AE131" i="34"/>
  <c r="AI131" i="34" s="1"/>
  <c r="AE130" i="34"/>
  <c r="AI130" i="34" s="1"/>
  <c r="AE129" i="34"/>
  <c r="AI129" i="34" s="1"/>
  <c r="AE37" i="43"/>
  <c r="AJ37" i="43" s="1"/>
  <c r="AE36" i="43"/>
  <c r="AJ36" i="43" s="1"/>
  <c r="AE35" i="43"/>
  <c r="AJ35" i="43" s="1"/>
  <c r="AE34" i="43"/>
  <c r="AI34" i="43" s="1"/>
  <c r="AE128" i="34"/>
  <c r="AI128" i="34" s="1"/>
  <c r="AE127" i="34"/>
  <c r="AI127" i="34" s="1"/>
  <c r="AE126" i="34"/>
  <c r="AI126" i="34" s="1"/>
  <c r="AE125" i="34"/>
  <c r="AF125" i="34" s="1"/>
  <c r="AG125" i="34" s="1"/>
  <c r="AE77" i="14"/>
  <c r="AI77" i="14" s="1"/>
  <c r="AE124" i="34"/>
  <c r="AJ124" i="34" s="1"/>
  <c r="AE123" i="34"/>
  <c r="AI123" i="34" s="1"/>
  <c r="AE122" i="34"/>
  <c r="AI122" i="34" s="1"/>
  <c r="AE76" i="14"/>
  <c r="AJ76" i="14" s="1"/>
  <c r="AE75" i="14"/>
  <c r="AF75" i="14" s="1"/>
  <c r="AG75" i="14" s="1"/>
  <c r="AE74" i="14"/>
  <c r="AJ74" i="14" s="1"/>
  <c r="AE121" i="34"/>
  <c r="AI121" i="34" s="1"/>
  <c r="AE120" i="34"/>
  <c r="AI120" i="34" s="1"/>
  <c r="AE119" i="34"/>
  <c r="AI119" i="34" s="1"/>
  <c r="AE118" i="34"/>
  <c r="AF118" i="34" s="1"/>
  <c r="AG118" i="34" s="1"/>
  <c r="AE117" i="34"/>
  <c r="AJ117" i="34" s="1"/>
  <c r="AE116" i="34"/>
  <c r="AJ116" i="34" s="1"/>
  <c r="AE115" i="34"/>
  <c r="AJ115" i="34" s="1"/>
  <c r="AE114" i="34"/>
  <c r="AJ114" i="34" s="1"/>
  <c r="AE11" i="45"/>
  <c r="AI11" i="45" s="1"/>
  <c r="AE113" i="34"/>
  <c r="AJ113" i="34" s="1"/>
  <c r="AE112" i="34"/>
  <c r="AF112" i="34" s="1"/>
  <c r="AG112" i="34" s="1"/>
  <c r="AE111" i="34"/>
  <c r="AJ111" i="34" s="1"/>
  <c r="AE110" i="34"/>
  <c r="AF110" i="34" s="1"/>
  <c r="AG110" i="34" s="1"/>
  <c r="AE109" i="34"/>
  <c r="AJ109" i="34" s="1"/>
  <c r="AC10" i="45"/>
  <c r="AE9" i="45"/>
  <c r="AF9" i="45" s="1"/>
  <c r="AG9" i="45" s="1"/>
  <c r="AE8" i="45"/>
  <c r="AJ8" i="45" s="1"/>
  <c r="AV22" i="48"/>
  <c r="AE108" i="34"/>
  <c r="AJ108" i="34" s="1"/>
  <c r="AE107" i="34"/>
  <c r="AI107" i="34" s="1"/>
  <c r="AE72" i="14"/>
  <c r="AI72" i="14" s="1"/>
  <c r="AE73" i="14"/>
  <c r="AF73" i="14" s="1"/>
  <c r="AG73" i="14" s="1"/>
  <c r="AJ14" i="47"/>
  <c r="AE106" i="34"/>
  <c r="AF106" i="34" s="1"/>
  <c r="AG106" i="34" s="1"/>
  <c r="AE105" i="34"/>
  <c r="AJ105" i="34" s="1"/>
  <c r="AE104" i="34"/>
  <c r="AI104" i="34" s="1"/>
  <c r="AF93" i="47"/>
  <c r="AG93" i="47" s="1"/>
  <c r="AI49" i="47"/>
  <c r="AI47" i="47"/>
  <c r="AE307" i="13"/>
  <c r="AF307" i="13" s="1"/>
  <c r="AG307" i="13" s="1"/>
  <c r="AE304" i="13"/>
  <c r="AF304" i="13" s="1"/>
  <c r="AG304" i="13" s="1"/>
  <c r="AE309" i="13"/>
  <c r="AF309" i="13" s="1"/>
  <c r="AG309" i="13" s="1"/>
  <c r="AE306" i="13"/>
  <c r="AF306" i="13" s="1"/>
  <c r="AG306" i="13" s="1"/>
  <c r="AE303" i="13"/>
  <c r="AF303" i="13" s="1"/>
  <c r="AG303" i="13" s="1"/>
  <c r="AE308" i="13"/>
  <c r="AJ308" i="13" s="1"/>
  <c r="AE305" i="13"/>
  <c r="AF305" i="13" s="1"/>
  <c r="AG305" i="13" s="1"/>
  <c r="AE70" i="14"/>
  <c r="AF70" i="14" s="1"/>
  <c r="AG70" i="14" s="1"/>
  <c r="AE69" i="14"/>
  <c r="AF69" i="14" s="1"/>
  <c r="AG69" i="14" s="1"/>
  <c r="AE71" i="14"/>
  <c r="AI71" i="14" s="1"/>
  <c r="AE103" i="34"/>
  <c r="AJ103" i="34" s="1"/>
  <c r="AE68" i="14"/>
  <c r="AJ68" i="14" s="1"/>
  <c r="AE67" i="14"/>
  <c r="AF67" i="14" s="1"/>
  <c r="AG67" i="14" s="1"/>
  <c r="AE66" i="14"/>
  <c r="AJ66" i="14" s="1"/>
  <c r="AE102" i="34"/>
  <c r="AF102" i="34" s="1"/>
  <c r="AG102" i="34" s="1"/>
  <c r="AE101" i="34"/>
  <c r="AJ101" i="34" s="1"/>
  <c r="AI93" i="47"/>
  <c r="AF183" i="47"/>
  <c r="AG183" i="47" s="1"/>
  <c r="AE281" i="13"/>
  <c r="AJ281" i="13" s="1"/>
  <c r="AE296" i="13"/>
  <c r="AF296" i="13" s="1"/>
  <c r="AG296" i="13" s="1"/>
  <c r="AE275" i="13"/>
  <c r="AJ275" i="13" s="1"/>
  <c r="AE291" i="13"/>
  <c r="AF291" i="13" s="1"/>
  <c r="AG291" i="13" s="1"/>
  <c r="AE300" i="13"/>
  <c r="AF300" i="13" s="1"/>
  <c r="AG300" i="13" s="1"/>
  <c r="AE287" i="13"/>
  <c r="AF287" i="13" s="1"/>
  <c r="AG287" i="13" s="1"/>
  <c r="AE270" i="13"/>
  <c r="AJ270" i="13" s="1"/>
  <c r="AE299" i="13"/>
  <c r="AF299" i="13" s="1"/>
  <c r="AG299" i="13" s="1"/>
  <c r="AE294" i="13"/>
  <c r="AF294" i="13" s="1"/>
  <c r="AG294" i="13" s="1"/>
  <c r="AE290" i="13"/>
  <c r="AJ290" i="13" s="1"/>
  <c r="AE284" i="13"/>
  <c r="AJ284" i="13" s="1"/>
  <c r="AE278" i="13"/>
  <c r="AF278" i="13" s="1"/>
  <c r="AG278" i="13" s="1"/>
  <c r="AE273" i="13"/>
  <c r="AJ273" i="13" s="1"/>
  <c r="AE269" i="13"/>
  <c r="AI269" i="13" s="1"/>
  <c r="AE302" i="13"/>
  <c r="AJ302" i="13" s="1"/>
  <c r="AE297" i="13"/>
  <c r="AF297" i="13" s="1"/>
  <c r="AG297" i="13" s="1"/>
  <c r="AE293" i="13"/>
  <c r="AI293" i="13" s="1"/>
  <c r="AE288" i="13"/>
  <c r="AF288" i="13" s="1"/>
  <c r="AG288" i="13" s="1"/>
  <c r="AE282" i="13"/>
  <c r="AF282" i="13" s="1"/>
  <c r="AG282" i="13" s="1"/>
  <c r="AE276" i="13"/>
  <c r="AJ276" i="13" s="1"/>
  <c r="AE272" i="13"/>
  <c r="AF272" i="13" s="1"/>
  <c r="AG272" i="13" s="1"/>
  <c r="AE301" i="13"/>
  <c r="AF301" i="13" s="1"/>
  <c r="AG301" i="13" s="1"/>
  <c r="AE298" i="13"/>
  <c r="AF298" i="13" s="1"/>
  <c r="AG298" i="13" s="1"/>
  <c r="AE295" i="13"/>
  <c r="AI295" i="13" s="1"/>
  <c r="AE292" i="13"/>
  <c r="AF292" i="13" s="1"/>
  <c r="AG292" i="13" s="1"/>
  <c r="AE289" i="13"/>
  <c r="AF289" i="13" s="1"/>
  <c r="AG289" i="13" s="1"/>
  <c r="AE286" i="13"/>
  <c r="AJ286" i="13" s="1"/>
  <c r="AE283" i="13"/>
  <c r="AF283" i="13" s="1"/>
  <c r="AG283" i="13" s="1"/>
  <c r="AE280" i="13"/>
  <c r="AJ280" i="13" s="1"/>
  <c r="AE277" i="13"/>
  <c r="AJ277" i="13" s="1"/>
  <c r="AE274" i="13"/>
  <c r="AJ274" i="13" s="1"/>
  <c r="AE271" i="13"/>
  <c r="AI271" i="13" s="1"/>
  <c r="AE268" i="13"/>
  <c r="AJ268" i="13" s="1"/>
  <c r="AE285" i="13"/>
  <c r="AJ285" i="13" s="1"/>
  <c r="AE279" i="13"/>
  <c r="AF279" i="13" s="1"/>
  <c r="AG279" i="13" s="1"/>
  <c r="AE33" i="43"/>
  <c r="AJ33" i="43" s="1"/>
  <c r="AE100" i="34"/>
  <c r="AI100" i="34" s="1"/>
  <c r="AE99" i="34"/>
  <c r="AJ99" i="34" s="1"/>
  <c r="AJ138" i="47"/>
  <c r="AJ130" i="47"/>
  <c r="AI27" i="47"/>
  <c r="AF14" i="47"/>
  <c r="AG14" i="47" s="1"/>
  <c r="AE98" i="34"/>
  <c r="AF98" i="34" s="1"/>
  <c r="AG98" i="34" s="1"/>
  <c r="AF192" i="47"/>
  <c r="AG192" i="47" s="1"/>
  <c r="AF179" i="47"/>
  <c r="AG179" i="47" s="1"/>
  <c r="AJ168" i="47"/>
  <c r="AJ103" i="24"/>
  <c r="AE32" i="43"/>
  <c r="AJ32" i="43" s="1"/>
  <c r="AE31" i="43"/>
  <c r="AJ31" i="43" s="1"/>
  <c r="AE30" i="43"/>
  <c r="AI30" i="43" s="1"/>
  <c r="AE29" i="43"/>
  <c r="AJ29" i="43" s="1"/>
  <c r="AF330" i="47"/>
  <c r="AG330" i="47" s="1"/>
  <c r="AI319" i="47"/>
  <c r="AF317" i="47"/>
  <c r="AG317" i="47" s="1"/>
  <c r="AJ261" i="47"/>
  <c r="AJ247" i="47"/>
  <c r="AJ238" i="47"/>
  <c r="AF236" i="47"/>
  <c r="AG236" i="47" s="1"/>
  <c r="AI188" i="47"/>
  <c r="AJ186" i="47"/>
  <c r="AI182" i="47"/>
  <c r="AJ180" i="47"/>
  <c r="AI156" i="47"/>
  <c r="AI126" i="47"/>
  <c r="AI69" i="47"/>
  <c r="AJ67" i="47"/>
  <c r="AI40" i="47"/>
  <c r="AF299" i="47"/>
  <c r="AG299" i="47" s="1"/>
  <c r="AF261" i="47"/>
  <c r="AG261" i="47" s="1"/>
  <c r="AF259" i="47"/>
  <c r="AG259" i="47" s="1"/>
  <c r="AJ257" i="47"/>
  <c r="AF239" i="47"/>
  <c r="AG239" i="47" s="1"/>
  <c r="AF215" i="47"/>
  <c r="AG215" i="47" s="1"/>
  <c r="AI239" i="47"/>
  <c r="AJ166" i="47"/>
  <c r="AJ136" i="47"/>
  <c r="AJ118" i="47"/>
  <c r="AJ108" i="47"/>
  <c r="AJ65" i="47"/>
  <c r="AF237" i="47"/>
  <c r="AG237" i="47" s="1"/>
  <c r="AI218" i="47"/>
  <c r="AI200" i="47"/>
  <c r="AJ179" i="47"/>
  <c r="AI172" i="47"/>
  <c r="AF166" i="47"/>
  <c r="AG166" i="47" s="1"/>
  <c r="AJ156" i="47"/>
  <c r="AI155" i="47"/>
  <c r="AJ150" i="47"/>
  <c r="AJ148" i="47"/>
  <c r="AJ146" i="47"/>
  <c r="AJ144" i="47"/>
  <c r="AF136" i="47"/>
  <c r="AG136" i="47" s="1"/>
  <c r="AI129" i="47"/>
  <c r="AI127" i="47"/>
  <c r="AI118" i="47"/>
  <c r="AI108" i="47"/>
  <c r="AJ69" i="47"/>
  <c r="AI66" i="47"/>
  <c r="AI65" i="47"/>
  <c r="AJ36" i="47"/>
  <c r="AJ20" i="47"/>
  <c r="AE28" i="43"/>
  <c r="AJ28" i="43" s="1"/>
  <c r="AE27" i="43"/>
  <c r="AI27" i="43" s="1"/>
  <c r="AI332" i="47"/>
  <c r="AF238" i="47"/>
  <c r="AG238" i="47" s="1"/>
  <c r="AJ224" i="47"/>
  <c r="AJ300" i="47"/>
  <c r="AI380" i="47"/>
  <c r="AF333" i="47"/>
  <c r="AG333" i="47" s="1"/>
  <c r="AI300" i="47"/>
  <c r="AF248" i="47"/>
  <c r="AG248" i="47" s="1"/>
  <c r="AF244" i="47"/>
  <c r="AG244" i="47" s="1"/>
  <c r="AI242" i="47"/>
  <c r="AJ240" i="47"/>
  <c r="AI355" i="47"/>
  <c r="AF451" i="47"/>
  <c r="AG451" i="47" s="1"/>
  <c r="AF437" i="47"/>
  <c r="AG437" i="47" s="1"/>
  <c r="AF395" i="47"/>
  <c r="AG395" i="47" s="1"/>
  <c r="AI393" i="47"/>
  <c r="AF371" i="47"/>
  <c r="AG371" i="47" s="1"/>
  <c r="AF366" i="47"/>
  <c r="AG366" i="47" s="1"/>
  <c r="AJ364" i="47"/>
  <c r="AF345" i="47"/>
  <c r="AG345" i="47" s="1"/>
  <c r="AF343" i="47"/>
  <c r="AG343" i="47" s="1"/>
  <c r="AI313" i="47"/>
  <c r="AJ276" i="47"/>
  <c r="AF275" i="47"/>
  <c r="AG275" i="47" s="1"/>
  <c r="AF268" i="47"/>
  <c r="AG268" i="47" s="1"/>
  <c r="AI262" i="47"/>
  <c r="AF457" i="47"/>
  <c r="AG457" i="47" s="1"/>
  <c r="AF412" i="47"/>
  <c r="AG412" i="47" s="1"/>
  <c r="AJ410" i="47"/>
  <c r="AJ408" i="47"/>
  <c r="AF400" i="47"/>
  <c r="AG400" i="47" s="1"/>
  <c r="AJ395" i="47"/>
  <c r="AI306" i="47"/>
  <c r="AJ275" i="47"/>
  <c r="AI274" i="47"/>
  <c r="AF267" i="47"/>
  <c r="AG267" i="47" s="1"/>
  <c r="AJ265" i="47"/>
  <c r="AJ384" i="47"/>
  <c r="AJ338" i="47"/>
  <c r="AI307" i="47"/>
  <c r="AI180" i="47"/>
  <c r="AJ176" i="47"/>
  <c r="AF127" i="47"/>
  <c r="AG127" i="47" s="1"/>
  <c r="AF126" i="47"/>
  <c r="AG126" i="47" s="1"/>
  <c r="AF91" i="47"/>
  <c r="AG91" i="47" s="1"/>
  <c r="AI67" i="47"/>
  <c r="AI63" i="47"/>
  <c r="AI55" i="47"/>
  <c r="AJ50" i="47"/>
  <c r="AF47" i="47"/>
  <c r="AG47" i="47" s="1"/>
  <c r="AI36" i="47"/>
  <c r="AI34" i="47"/>
  <c r="AI21" i="47"/>
  <c r="AJ404" i="47"/>
  <c r="AF384" i="47"/>
  <c r="AG384" i="47" s="1"/>
  <c r="AI371" i="47"/>
  <c r="AJ342" i="47"/>
  <c r="AI338" i="47"/>
  <c r="AI336" i="47"/>
  <c r="AI334" i="47"/>
  <c r="AI316" i="47"/>
  <c r="AF307" i="47"/>
  <c r="AG307" i="47" s="1"/>
  <c r="AI280" i="47"/>
  <c r="AJ264" i="47"/>
  <c r="AJ262" i="47"/>
  <c r="AF249" i="47"/>
  <c r="AG249" i="47" s="1"/>
  <c r="AI246" i="47"/>
  <c r="AJ244" i="47"/>
  <c r="AJ243" i="47"/>
  <c r="AI237" i="47"/>
  <c r="AJ236" i="47"/>
  <c r="AF235" i="47"/>
  <c r="AG235" i="47" s="1"/>
  <c r="AJ218" i="47"/>
  <c r="AJ196" i="47"/>
  <c r="AJ194" i="47"/>
  <c r="AI192" i="47"/>
  <c r="AI176" i="47"/>
  <c r="AF174" i="47"/>
  <c r="AG174" i="47" s="1"/>
  <c r="AJ172" i="47"/>
  <c r="AF171" i="47"/>
  <c r="AG171" i="47" s="1"/>
  <c r="AI145" i="47"/>
  <c r="AF139" i="47"/>
  <c r="AG139" i="47" s="1"/>
  <c r="AJ120" i="47"/>
  <c r="AF92" i="47"/>
  <c r="AG92" i="47" s="1"/>
  <c r="AJ86" i="47"/>
  <c r="AF58" i="47"/>
  <c r="AG58" i="47" s="1"/>
  <c r="AF56" i="47"/>
  <c r="AG56" i="47" s="1"/>
  <c r="AI39" i="47"/>
  <c r="AI7" i="47"/>
  <c r="AF453" i="47"/>
  <c r="AG453" i="47" s="1"/>
  <c r="AI451" i="47"/>
  <c r="AI485" i="47"/>
  <c r="AF477" i="47"/>
  <c r="AG477" i="47" s="1"/>
  <c r="AI475" i="47"/>
  <c r="AF458" i="47"/>
  <c r="AG458" i="47" s="1"/>
  <c r="AJ425" i="47"/>
  <c r="AJ403" i="47"/>
  <c r="AI401" i="47"/>
  <c r="AI397" i="47"/>
  <c r="AI387" i="47"/>
  <c r="AI4" i="46"/>
  <c r="AF493" i="47"/>
  <c r="AG493" i="47" s="1"/>
  <c r="AJ439" i="47"/>
  <c r="AF434" i="47"/>
  <c r="AG434" i="47" s="1"/>
  <c r="AI432" i="47"/>
  <c r="AF425" i="47"/>
  <c r="AG425" i="47" s="1"/>
  <c r="AJ423" i="47"/>
  <c r="AF419" i="47"/>
  <c r="AG419" i="47" s="1"/>
  <c r="AI21" i="46"/>
  <c r="AI10" i="46"/>
  <c r="AI494" i="47"/>
  <c r="AF482" i="47"/>
  <c r="AG482" i="47" s="1"/>
  <c r="AI477" i="47"/>
  <c r="AF474" i="47"/>
  <c r="AG474" i="47" s="1"/>
  <c r="AI460" i="47"/>
  <c r="AJ458" i="47"/>
  <c r="AJ457" i="47"/>
  <c r="AJ453" i="47"/>
  <c r="AF442" i="47"/>
  <c r="AG442" i="47" s="1"/>
  <c r="AI440" i="47"/>
  <c r="AJ437" i="47"/>
  <c r="AJ420" i="47"/>
  <c r="AI416" i="47"/>
  <c r="AJ414" i="47"/>
  <c r="AE97" i="34"/>
  <c r="AJ97" i="34" s="1"/>
  <c r="AJ32" i="46"/>
  <c r="AJ6" i="46"/>
  <c r="AF473" i="47"/>
  <c r="AG473" i="47" s="1"/>
  <c r="AF469" i="47"/>
  <c r="AG469" i="47" s="1"/>
  <c r="AF22" i="46"/>
  <c r="AG22" i="46" s="1"/>
  <c r="AF21" i="46"/>
  <c r="AG21" i="46" s="1"/>
  <c r="AJ16" i="46"/>
  <c r="AF5" i="46"/>
  <c r="AG5" i="46" s="1"/>
  <c r="AF494" i="47"/>
  <c r="AG494" i="47" s="1"/>
  <c r="AF485" i="47"/>
  <c r="AG485" i="47" s="1"/>
  <c r="AF24" i="46"/>
  <c r="AG24" i="46" s="1"/>
  <c r="AJ24" i="46"/>
  <c r="AE96" i="34"/>
  <c r="AF96" i="34" s="1"/>
  <c r="AG96" i="34" s="1"/>
  <c r="AF32" i="46"/>
  <c r="AG32" i="46" s="1"/>
  <c r="AE65" i="14"/>
  <c r="AF65" i="14" s="1"/>
  <c r="AG65" i="14" s="1"/>
  <c r="AE64" i="14"/>
  <c r="AJ64" i="14" s="1"/>
  <c r="AI86" i="46"/>
  <c r="AJ96" i="46"/>
  <c r="AI95" i="46"/>
  <c r="AJ76" i="46"/>
  <c r="AI42" i="46"/>
  <c r="AF40" i="46"/>
  <c r="AG40" i="46" s="1"/>
  <c r="AI38" i="46"/>
  <c r="AJ60" i="46"/>
  <c r="AF96" i="46"/>
  <c r="AG96" i="46" s="1"/>
  <c r="AJ92" i="46"/>
  <c r="AF80" i="46"/>
  <c r="AG80" i="46" s="1"/>
  <c r="AI76" i="46"/>
  <c r="AJ54" i="46"/>
  <c r="AI188" i="46"/>
  <c r="AF180" i="46"/>
  <c r="AG180" i="46" s="1"/>
  <c r="AJ108" i="46"/>
  <c r="AJ344" i="46"/>
  <c r="AF164" i="46"/>
  <c r="AG164" i="46" s="1"/>
  <c r="AI153" i="46"/>
  <c r="AF148" i="46"/>
  <c r="AG148" i="46" s="1"/>
  <c r="AF138" i="46"/>
  <c r="AG138" i="46" s="1"/>
  <c r="AF104" i="46"/>
  <c r="AG104" i="46" s="1"/>
  <c r="AI108" i="46"/>
  <c r="AJ61" i="46"/>
  <c r="AF60" i="46"/>
  <c r="AG60" i="46" s="1"/>
  <c r="AF54" i="46"/>
  <c r="AG54" i="46" s="1"/>
  <c r="AI244" i="46"/>
  <c r="AF106" i="46"/>
  <c r="AG106" i="46" s="1"/>
  <c r="AI104" i="46"/>
  <c r="AI85" i="46"/>
  <c r="AJ80" i="46"/>
  <c r="AI79" i="46"/>
  <c r="AI64" i="46"/>
  <c r="AJ62" i="46"/>
  <c r="AF57" i="46"/>
  <c r="AG57" i="46" s="1"/>
  <c r="AI262" i="46"/>
  <c r="AF262" i="46"/>
  <c r="AG262" i="46" s="1"/>
  <c r="AJ251" i="46"/>
  <c r="AJ236" i="46"/>
  <c r="AJ179" i="46"/>
  <c r="AI344" i="46"/>
  <c r="AF472" i="46"/>
  <c r="AG472" i="46" s="1"/>
  <c r="AJ468" i="46"/>
  <c r="AF440" i="46"/>
  <c r="AG440" i="46" s="1"/>
  <c r="AJ438" i="46"/>
  <c r="AI433" i="46"/>
  <c r="AJ362" i="46"/>
  <c r="AJ342" i="46"/>
  <c r="AF251" i="46"/>
  <c r="AG251" i="46" s="1"/>
  <c r="AF244" i="46"/>
  <c r="AG244" i="46" s="1"/>
  <c r="AI232" i="46"/>
  <c r="AF198" i="46"/>
  <c r="AG198" i="46" s="1"/>
  <c r="AF333" i="26"/>
  <c r="AG333" i="26" s="1"/>
  <c r="AJ82" i="26"/>
  <c r="AF74" i="26"/>
  <c r="AG74" i="26" s="1"/>
  <c r="AI291" i="46"/>
  <c r="AF283" i="46"/>
  <c r="AG283" i="46" s="1"/>
  <c r="AJ275" i="46"/>
  <c r="AF273" i="46"/>
  <c r="AG273" i="46" s="1"/>
  <c r="AJ271" i="46"/>
  <c r="AF87" i="45"/>
  <c r="AG87" i="45" s="1"/>
  <c r="AF472" i="26"/>
  <c r="AG472" i="26" s="1"/>
  <c r="AF269" i="46"/>
  <c r="AG269" i="46" s="1"/>
  <c r="AJ267" i="46"/>
  <c r="AJ247" i="46"/>
  <c r="AI236" i="46"/>
  <c r="AI144" i="46"/>
  <c r="AI87" i="44"/>
  <c r="AF80" i="45"/>
  <c r="AG80" i="45" s="1"/>
  <c r="AI270" i="46"/>
  <c r="AI267" i="46"/>
  <c r="AI248" i="46"/>
  <c r="AI247" i="46"/>
  <c r="AI218" i="46"/>
  <c r="AJ217" i="46"/>
  <c r="AF218" i="46"/>
  <c r="AG218" i="46" s="1"/>
  <c r="AF217" i="46"/>
  <c r="AG217" i="46" s="1"/>
  <c r="AF212" i="46"/>
  <c r="AG212" i="46" s="1"/>
  <c r="AJ207" i="46"/>
  <c r="AI199" i="46"/>
  <c r="AJ175" i="46"/>
  <c r="AJ173" i="46"/>
  <c r="AI154" i="46"/>
  <c r="AI389" i="44"/>
  <c r="AJ108" i="44"/>
  <c r="AJ426" i="46"/>
  <c r="AJ400" i="46"/>
  <c r="AJ340" i="26"/>
  <c r="AI292" i="26"/>
  <c r="AI80" i="45"/>
  <c r="AF79" i="45"/>
  <c r="AG79" i="45" s="1"/>
  <c r="AF74" i="45"/>
  <c r="AG74" i="45" s="1"/>
  <c r="AI39" i="45"/>
  <c r="AI488" i="46"/>
  <c r="AI400" i="46"/>
  <c r="AJ302" i="26"/>
  <c r="AI181" i="26"/>
  <c r="AI64" i="26"/>
  <c r="AJ59" i="26"/>
  <c r="AF6" i="26"/>
  <c r="AG6" i="26" s="1"/>
  <c r="AJ441" i="43"/>
  <c r="AJ404" i="43"/>
  <c r="AI493" i="13"/>
  <c r="AI479" i="13"/>
  <c r="AJ451" i="44"/>
  <c r="AJ449" i="44"/>
  <c r="AJ337" i="44"/>
  <c r="AI260" i="44"/>
  <c r="AI485" i="46"/>
  <c r="AI108" i="44"/>
  <c r="AI63" i="44"/>
  <c r="AI241" i="45"/>
  <c r="AJ481" i="43"/>
  <c r="AI478" i="44"/>
  <c r="AJ324" i="44"/>
  <c r="AI322" i="44"/>
  <c r="AF317" i="44"/>
  <c r="AG317" i="44" s="1"/>
  <c r="AF306" i="44"/>
  <c r="AG306" i="44" s="1"/>
  <c r="AI158" i="44"/>
  <c r="AI314" i="26"/>
  <c r="AF312" i="26"/>
  <c r="AG312" i="26" s="1"/>
  <c r="AF121" i="26"/>
  <c r="AG121" i="26" s="1"/>
  <c r="AJ113" i="26"/>
  <c r="AF31" i="26"/>
  <c r="AG31" i="26" s="1"/>
  <c r="AF512" i="43"/>
  <c r="AG512" i="43" s="1"/>
  <c r="AI481" i="43"/>
  <c r="AJ24" i="44"/>
  <c r="AJ4" i="44"/>
  <c r="AI450" i="26"/>
  <c r="AI399" i="26"/>
  <c r="AI305" i="26"/>
  <c r="AF302" i="26"/>
  <c r="AG302" i="26" s="1"/>
  <c r="AF298" i="26"/>
  <c r="AG298" i="26" s="1"/>
  <c r="AF177" i="26"/>
  <c r="AG177" i="26" s="1"/>
  <c r="AF162" i="26"/>
  <c r="AG162" i="26" s="1"/>
  <c r="AF146" i="26"/>
  <c r="AG146" i="26" s="1"/>
  <c r="AF82" i="26"/>
  <c r="AG82" i="26" s="1"/>
  <c r="AJ459" i="43"/>
  <c r="AI493" i="44"/>
  <c r="AI459" i="44"/>
  <c r="AJ457" i="44"/>
  <c r="AI433" i="44"/>
  <c r="AI431" i="44"/>
  <c r="AJ429" i="44"/>
  <c r="AJ421" i="44"/>
  <c r="AI419" i="44"/>
  <c r="AJ280" i="44"/>
  <c r="AJ272" i="44"/>
  <c r="AF270" i="44"/>
  <c r="AG270" i="44" s="1"/>
  <c r="AI235" i="44"/>
  <c r="AF212" i="44"/>
  <c r="AG212" i="44" s="1"/>
  <c r="AF210" i="44"/>
  <c r="AG210" i="44" s="1"/>
  <c r="AJ208" i="44"/>
  <c r="AI206" i="44"/>
  <c r="AF204" i="44"/>
  <c r="AG204" i="44" s="1"/>
  <c r="AJ202" i="44"/>
  <c r="AI200" i="44"/>
  <c r="AJ198" i="44"/>
  <c r="AI176" i="44"/>
  <c r="AF90" i="44"/>
  <c r="AG90" i="44" s="1"/>
  <c r="AF24" i="44"/>
  <c r="AG24" i="44" s="1"/>
  <c r="AJ169" i="45"/>
  <c r="AF111" i="45"/>
  <c r="AG111" i="45" s="1"/>
  <c r="AJ79" i="45"/>
  <c r="AF494" i="46"/>
  <c r="AG494" i="46" s="1"/>
  <c r="AI478" i="46"/>
  <c r="AI474" i="46"/>
  <c r="AJ472" i="46"/>
  <c r="AI453" i="46"/>
  <c r="AJ361" i="44"/>
  <c r="AI478" i="26"/>
  <c r="AF476" i="26"/>
  <c r="AG476" i="26" s="1"/>
  <c r="AI434" i="26"/>
  <c r="AI423" i="26"/>
  <c r="AF374" i="26"/>
  <c r="AG374" i="26" s="1"/>
  <c r="AF363" i="26"/>
  <c r="AG363" i="26" s="1"/>
  <c r="AI343" i="26"/>
  <c r="AF341" i="26"/>
  <c r="AG341" i="26" s="1"/>
  <c r="AI340" i="26"/>
  <c r="AJ324" i="26"/>
  <c r="AI298" i="26"/>
  <c r="AI286" i="26"/>
  <c r="AF278" i="26"/>
  <c r="AG278" i="26" s="1"/>
  <c r="AI270" i="26"/>
  <c r="AI265" i="26"/>
  <c r="AF246" i="26"/>
  <c r="AG246" i="26" s="1"/>
  <c r="AI185" i="26"/>
  <c r="AF173" i="26"/>
  <c r="AG173" i="26" s="1"/>
  <c r="AF165" i="26"/>
  <c r="AG165" i="26" s="1"/>
  <c r="AI146" i="26"/>
  <c r="AF96" i="26"/>
  <c r="AG96" i="26" s="1"/>
  <c r="AJ86" i="26"/>
  <c r="AJ78" i="26"/>
  <c r="AI71" i="26"/>
  <c r="AI595" i="43"/>
  <c r="AE63" i="14"/>
  <c r="AF63" i="14" s="1"/>
  <c r="AG63" i="14" s="1"/>
  <c r="AJ493" i="44"/>
  <c r="AF368" i="44"/>
  <c r="AG368" i="44" s="1"/>
  <c r="AI361" i="44"/>
  <c r="AI336" i="44"/>
  <c r="AJ313" i="44"/>
  <c r="AI311" i="44"/>
  <c r="AF309" i="44"/>
  <c r="AG309" i="44" s="1"/>
  <c r="AF269" i="44"/>
  <c r="AG269" i="44" s="1"/>
  <c r="AF264" i="44"/>
  <c r="AG264" i="44" s="1"/>
  <c r="AI182" i="44"/>
  <c r="AI143" i="44"/>
  <c r="AJ138" i="44"/>
  <c r="AI4" i="44"/>
  <c r="AJ290" i="45"/>
  <c r="AI156" i="45"/>
  <c r="AJ494" i="46"/>
  <c r="AJ478" i="46"/>
  <c r="AJ474" i="46"/>
  <c r="AJ386" i="46"/>
  <c r="AI488" i="26"/>
  <c r="AF468" i="26"/>
  <c r="AG468" i="26" s="1"/>
  <c r="AI440" i="26"/>
  <c r="AI362" i="26"/>
  <c r="AF315" i="26"/>
  <c r="AG315" i="26" s="1"/>
  <c r="AJ292" i="26"/>
  <c r="AI258" i="26"/>
  <c r="AJ222" i="26"/>
  <c r="AF217" i="26"/>
  <c r="AG217" i="26" s="1"/>
  <c r="AI197" i="26"/>
  <c r="AJ181" i="26"/>
  <c r="AJ177" i="26"/>
  <c r="AJ173" i="26"/>
  <c r="AI127" i="26"/>
  <c r="AJ117" i="26"/>
  <c r="AJ74" i="26"/>
  <c r="AI63" i="26"/>
  <c r="AF36" i="26"/>
  <c r="AG36" i="26" s="1"/>
  <c r="AF496" i="43"/>
  <c r="AG496" i="43" s="1"/>
  <c r="AF362" i="43"/>
  <c r="AG362" i="43" s="1"/>
  <c r="AF321" i="43"/>
  <c r="AG321" i="43" s="1"/>
  <c r="AI292" i="43"/>
  <c r="AI153" i="43"/>
  <c r="AF500" i="13"/>
  <c r="AG500" i="13" s="1"/>
  <c r="AI498" i="44"/>
  <c r="AF482" i="44"/>
  <c r="AG482" i="44" s="1"/>
  <c r="AJ469" i="44"/>
  <c r="AF454" i="44"/>
  <c r="AG454" i="44" s="1"/>
  <c r="AI452" i="44"/>
  <c r="AJ411" i="44"/>
  <c r="AI402" i="44"/>
  <c r="AF389" i="44"/>
  <c r="AG389" i="44" s="1"/>
  <c r="AJ384" i="44"/>
  <c r="AF359" i="44"/>
  <c r="AG359" i="44" s="1"/>
  <c r="AI337" i="44"/>
  <c r="AI321" i="44"/>
  <c r="AF303" i="44"/>
  <c r="AG303" i="44" s="1"/>
  <c r="AF301" i="44"/>
  <c r="AG301" i="44" s="1"/>
  <c r="AJ290" i="44"/>
  <c r="AJ260" i="44"/>
  <c r="AF238" i="44"/>
  <c r="AG238" i="44" s="1"/>
  <c r="AJ231" i="44"/>
  <c r="AI230" i="44"/>
  <c r="AJ213" i="44"/>
  <c r="AI186" i="44"/>
  <c r="AF172" i="44"/>
  <c r="AG172" i="44" s="1"/>
  <c r="AI167" i="44"/>
  <c r="AF162" i="44"/>
  <c r="AG162" i="44" s="1"/>
  <c r="AJ152" i="44"/>
  <c r="AF138" i="44"/>
  <c r="AG138" i="44" s="1"/>
  <c r="AI134" i="44"/>
  <c r="AI129" i="44"/>
  <c r="AJ63" i="44"/>
  <c r="AI435" i="45"/>
  <c r="AJ346" i="45"/>
  <c r="AI286" i="45"/>
  <c r="AF273" i="45"/>
  <c r="AG273" i="45" s="1"/>
  <c r="AF229" i="45"/>
  <c r="AG229" i="45" s="1"/>
  <c r="AI190" i="45"/>
  <c r="AF180" i="45"/>
  <c r="AG180" i="45" s="1"/>
  <c r="AF178" i="45"/>
  <c r="AG178" i="45" s="1"/>
  <c r="AJ173" i="45"/>
  <c r="AI171" i="45"/>
  <c r="AI353" i="46"/>
  <c r="AJ348" i="46"/>
  <c r="AF330" i="46"/>
  <c r="AG330" i="46" s="1"/>
  <c r="AI499" i="44"/>
  <c r="AF498" i="44"/>
  <c r="AG498" i="44" s="1"/>
  <c r="AF489" i="44"/>
  <c r="AG489" i="44" s="1"/>
  <c r="AJ439" i="44"/>
  <c r="AJ415" i="44"/>
  <c r="AI411" i="44"/>
  <c r="AI409" i="44"/>
  <c r="AI335" i="44"/>
  <c r="AI49" i="45"/>
  <c r="AJ430" i="46"/>
  <c r="AJ258" i="26"/>
  <c r="AI36" i="26"/>
  <c r="AJ230" i="44"/>
  <c r="AJ134" i="44"/>
  <c r="AJ52" i="44"/>
  <c r="AI13" i="44"/>
  <c r="AI416" i="45"/>
  <c r="AI414" i="45"/>
  <c r="AF406" i="45"/>
  <c r="AG406" i="45" s="1"/>
  <c r="AF404" i="45"/>
  <c r="AG404" i="45" s="1"/>
  <c r="AF387" i="45"/>
  <c r="AG387" i="45" s="1"/>
  <c r="AF382" i="45"/>
  <c r="AG382" i="45" s="1"/>
  <c r="AF309" i="45"/>
  <c r="AG309" i="45" s="1"/>
  <c r="AI273" i="45"/>
  <c r="AF266" i="45"/>
  <c r="AG266" i="45" s="1"/>
  <c r="AF213" i="45"/>
  <c r="AG213" i="45" s="1"/>
  <c r="AJ190" i="45"/>
  <c r="AJ180" i="45"/>
  <c r="AJ170" i="45"/>
  <c r="AI166" i="45"/>
  <c r="AI129" i="45"/>
  <c r="AI59" i="45"/>
  <c r="AF49" i="45"/>
  <c r="AG49" i="45" s="1"/>
  <c r="AJ488" i="46"/>
  <c r="AF485" i="46"/>
  <c r="AG485" i="46" s="1"/>
  <c r="AI483" i="46"/>
  <c r="AJ458" i="46"/>
  <c r="AJ452" i="46"/>
  <c r="AI430" i="46"/>
  <c r="AJ408" i="46"/>
  <c r="AI403" i="46"/>
  <c r="AI386" i="46"/>
  <c r="AI369" i="46"/>
  <c r="AF362" i="46"/>
  <c r="AG362" i="46" s="1"/>
  <c r="AI330" i="46"/>
  <c r="AI323" i="46"/>
  <c r="AI497" i="26"/>
  <c r="AF495" i="26"/>
  <c r="AG495" i="26" s="1"/>
  <c r="AF482" i="26"/>
  <c r="AG482" i="26" s="1"/>
  <c r="AI469" i="26"/>
  <c r="AI466" i="26"/>
  <c r="AJ418" i="26"/>
  <c r="AJ400" i="26"/>
  <c r="AI397" i="26"/>
  <c r="AJ330" i="26"/>
  <c r="AI268" i="26"/>
  <c r="AJ248" i="26"/>
  <c r="AI222" i="26"/>
  <c r="AJ202" i="26"/>
  <c r="AI186" i="26"/>
  <c r="AI114" i="26"/>
  <c r="AI111" i="26"/>
  <c r="AJ90" i="26"/>
  <c r="AI86" i="26"/>
  <c r="AJ72" i="26"/>
  <c r="AJ50" i="26"/>
  <c r="AJ226" i="43"/>
  <c r="AF226" i="43"/>
  <c r="AG226" i="43" s="1"/>
  <c r="AI472" i="26"/>
  <c r="AF469" i="26"/>
  <c r="AG469" i="26" s="1"/>
  <c r="AF466" i="26"/>
  <c r="AG466" i="26" s="1"/>
  <c r="AF464" i="26"/>
  <c r="AG464" i="26" s="1"/>
  <c r="AI456" i="26"/>
  <c r="AI446" i="26"/>
  <c r="AI431" i="26"/>
  <c r="AJ426" i="26"/>
  <c r="AJ422" i="26"/>
  <c r="AF418" i="26"/>
  <c r="AG418" i="26" s="1"/>
  <c r="AF410" i="26"/>
  <c r="AG410" i="26" s="1"/>
  <c r="AF400" i="26"/>
  <c r="AG400" i="26" s="1"/>
  <c r="AF397" i="26"/>
  <c r="AG397" i="26" s="1"/>
  <c r="AJ386" i="26"/>
  <c r="AJ370" i="26"/>
  <c r="AJ350" i="26"/>
  <c r="AI330" i="26"/>
  <c r="AF325" i="26"/>
  <c r="AG325" i="26" s="1"/>
  <c r="AI315" i="26"/>
  <c r="AJ314" i="26"/>
  <c r="AI304" i="26"/>
  <c r="AI295" i="26"/>
  <c r="AI289" i="26"/>
  <c r="AJ282" i="26"/>
  <c r="AJ280" i="26"/>
  <c r="AJ278" i="26"/>
  <c r="AI274" i="26"/>
  <c r="AF268" i="26"/>
  <c r="AG268" i="26" s="1"/>
  <c r="AI255" i="26"/>
  <c r="AI248" i="26"/>
  <c r="AI246" i="26"/>
  <c r="AI228" i="26"/>
  <c r="AI217" i="26"/>
  <c r="AF202" i="26"/>
  <c r="AG202" i="26" s="1"/>
  <c r="AJ200" i="26"/>
  <c r="AF190" i="26"/>
  <c r="AG190" i="26" s="1"/>
  <c r="AF186" i="26"/>
  <c r="AG186" i="26" s="1"/>
  <c r="AI162" i="26"/>
  <c r="AI152" i="26"/>
  <c r="AI130" i="26"/>
  <c r="AF114" i="26"/>
  <c r="AG114" i="26" s="1"/>
  <c r="AF111" i="26"/>
  <c r="AG111" i="26" s="1"/>
  <c r="AJ101" i="26"/>
  <c r="AF90" i="26"/>
  <c r="AG90" i="26" s="1"/>
  <c r="AF88" i="26"/>
  <c r="AG88" i="26" s="1"/>
  <c r="AI84" i="26"/>
  <c r="AI72" i="26"/>
  <c r="AI68" i="26"/>
  <c r="AJ62" i="26"/>
  <c r="AI50" i="26"/>
  <c r="AI31" i="26"/>
  <c r="AF30" i="26"/>
  <c r="AG30" i="26" s="1"/>
  <c r="AI6" i="26"/>
  <c r="AI378" i="43"/>
  <c r="AF378" i="43"/>
  <c r="AG378" i="43" s="1"/>
  <c r="AI165" i="43"/>
  <c r="AF165" i="43"/>
  <c r="AG165" i="43" s="1"/>
  <c r="AF487" i="43"/>
  <c r="AG487" i="43" s="1"/>
  <c r="AJ487" i="43"/>
  <c r="AI226" i="43"/>
  <c r="AJ200" i="43"/>
  <c r="AI200" i="43"/>
  <c r="AJ188" i="43"/>
  <c r="AF188" i="43"/>
  <c r="AG188" i="43" s="1"/>
  <c r="AI132" i="43"/>
  <c r="AI106" i="43"/>
  <c r="AF286" i="14"/>
  <c r="AG286" i="14" s="1"/>
  <c r="AJ495" i="44"/>
  <c r="AI487" i="44"/>
  <c r="AF483" i="44"/>
  <c r="AG483" i="44" s="1"/>
  <c r="AI473" i="44"/>
  <c r="AJ463" i="44"/>
  <c r="AI457" i="44"/>
  <c r="AF452" i="44"/>
  <c r="AG452" i="44" s="1"/>
  <c r="AI449" i="44"/>
  <c r="AF448" i="44"/>
  <c r="AG448" i="44" s="1"/>
  <c r="AJ443" i="44"/>
  <c r="AI439" i="44"/>
  <c r="AF436" i="44"/>
  <c r="AG436" i="44" s="1"/>
  <c r="AF434" i="44"/>
  <c r="AG434" i="44" s="1"/>
  <c r="AI429" i="44"/>
  <c r="AJ392" i="44"/>
  <c r="AI384" i="44"/>
  <c r="AI377" i="44"/>
  <c r="AF350" i="44"/>
  <c r="AG350" i="44" s="1"/>
  <c r="AJ348" i="44"/>
  <c r="AI347" i="44"/>
  <c r="AJ344" i="44"/>
  <c r="AI343" i="44"/>
  <c r="AF336" i="44"/>
  <c r="AG336" i="44" s="1"/>
  <c r="AI332" i="44"/>
  <c r="AI328" i="44"/>
  <c r="AF307" i="44"/>
  <c r="AG307" i="44" s="1"/>
  <c r="AF304" i="44"/>
  <c r="AG304" i="44" s="1"/>
  <c r="AJ298" i="44"/>
  <c r="AI296" i="44"/>
  <c r="AF287" i="44"/>
  <c r="AG287" i="44" s="1"/>
  <c r="AI256" i="44"/>
  <c r="AI243" i="44"/>
  <c r="AJ217" i="44"/>
  <c r="AI216" i="44"/>
  <c r="AI198" i="44"/>
  <c r="AJ194" i="44"/>
  <c r="AI132" i="44"/>
  <c r="AJ126" i="44"/>
  <c r="AI120" i="44"/>
  <c r="AJ109" i="44"/>
  <c r="AI93" i="44"/>
  <c r="AF93" i="44"/>
  <c r="AG93" i="44" s="1"/>
  <c r="AF495" i="44"/>
  <c r="AG495" i="44" s="1"/>
  <c r="AI488" i="44"/>
  <c r="AF487" i="44"/>
  <c r="AG487" i="44" s="1"/>
  <c r="AJ481" i="44"/>
  <c r="AI477" i="44"/>
  <c r="AI468" i="44"/>
  <c r="AF466" i="44"/>
  <c r="AG466" i="44" s="1"/>
  <c r="AF464" i="44"/>
  <c r="AG464" i="44" s="1"/>
  <c r="AF437" i="44"/>
  <c r="AG437" i="44" s="1"/>
  <c r="AI427" i="44"/>
  <c r="AJ405" i="44"/>
  <c r="AF396" i="44"/>
  <c r="AG396" i="44" s="1"/>
  <c r="AF364" i="44"/>
  <c r="AG364" i="44" s="1"/>
  <c r="AJ362" i="44"/>
  <c r="AJ355" i="44"/>
  <c r="AI353" i="44"/>
  <c r="AI351" i="44"/>
  <c r="AI348" i="44"/>
  <c r="AF347" i="44"/>
  <c r="AG347" i="44" s="1"/>
  <c r="AJ345" i="44"/>
  <c r="AI344" i="44"/>
  <c r="AF343" i="44"/>
  <c r="AG343" i="44" s="1"/>
  <c r="AJ341" i="44"/>
  <c r="AI339" i="44"/>
  <c r="AJ329" i="44"/>
  <c r="AJ323" i="44"/>
  <c r="AF320" i="44"/>
  <c r="AG320" i="44" s="1"/>
  <c r="AI318" i="44"/>
  <c r="AF308" i="44"/>
  <c r="AG308" i="44" s="1"/>
  <c r="AF305" i="44"/>
  <c r="AG305" i="44" s="1"/>
  <c r="AI293" i="44"/>
  <c r="AJ276" i="44"/>
  <c r="AJ250" i="44"/>
  <c r="AF243" i="44"/>
  <c r="AG243" i="44" s="1"/>
  <c r="AJ238" i="44"/>
  <c r="AJ224" i="44"/>
  <c r="AF217" i="44"/>
  <c r="AG217" i="44" s="1"/>
  <c r="AF216" i="44"/>
  <c r="AG216" i="44" s="1"/>
  <c r="AJ214" i="44"/>
  <c r="AF194" i="44"/>
  <c r="AG194" i="44" s="1"/>
  <c r="AF192" i="44"/>
  <c r="AG192" i="44" s="1"/>
  <c r="AJ182" i="44"/>
  <c r="AJ176" i="44"/>
  <c r="AI172" i="44"/>
  <c r="AJ158" i="44"/>
  <c r="AI146" i="44"/>
  <c r="AF132" i="44"/>
  <c r="AG132" i="44" s="1"/>
  <c r="AI126" i="44"/>
  <c r="AF120" i="44"/>
  <c r="AG120" i="44" s="1"/>
  <c r="AI109" i="44"/>
  <c r="AJ102" i="44"/>
  <c r="AF102" i="44"/>
  <c r="AG102" i="44" s="1"/>
  <c r="AI94" i="44"/>
  <c r="AJ56" i="44"/>
  <c r="AF56" i="44"/>
  <c r="AG56" i="44" s="1"/>
  <c r="AF51" i="44"/>
  <c r="AG51" i="44" s="1"/>
  <c r="AJ44" i="44"/>
  <c r="AJ36" i="44"/>
  <c r="AJ28" i="44"/>
  <c r="AJ21" i="44"/>
  <c r="AI21" i="44"/>
  <c r="AJ68" i="44"/>
  <c r="AF68" i="44"/>
  <c r="AG68" i="44" s="1"/>
  <c r="AF6" i="44"/>
  <c r="AG6" i="44" s="1"/>
  <c r="AI6" i="44"/>
  <c r="AF493" i="45"/>
  <c r="AG493" i="45" s="1"/>
  <c r="AI469" i="45"/>
  <c r="AI457" i="45"/>
  <c r="AF455" i="45"/>
  <c r="AG455" i="45" s="1"/>
  <c r="AF451" i="45"/>
  <c r="AG451" i="45" s="1"/>
  <c r="AF427" i="45"/>
  <c r="AG427" i="45" s="1"/>
  <c r="AF398" i="45"/>
  <c r="AG398" i="45" s="1"/>
  <c r="AF370" i="45"/>
  <c r="AG370" i="45" s="1"/>
  <c r="AI360" i="45"/>
  <c r="AF318" i="45"/>
  <c r="AG318" i="45" s="1"/>
  <c r="AI308" i="45"/>
  <c r="AF303" i="45"/>
  <c r="AG303" i="45" s="1"/>
  <c r="AI275" i="45"/>
  <c r="AI222" i="45"/>
  <c r="AI212" i="45"/>
  <c r="AI187" i="45"/>
  <c r="AF169" i="45"/>
  <c r="AG169" i="45" s="1"/>
  <c r="AI149" i="45"/>
  <c r="AF135" i="45"/>
  <c r="AG135" i="45" s="1"/>
  <c r="AF68" i="45"/>
  <c r="AG68" i="45" s="1"/>
  <c r="AJ42" i="45"/>
  <c r="AJ490" i="46"/>
  <c r="AF468" i="46"/>
  <c r="AG468" i="46" s="1"/>
  <c r="AI463" i="46"/>
  <c r="AF452" i="46"/>
  <c r="AG452" i="46" s="1"/>
  <c r="AI447" i="46"/>
  <c r="AI446" i="46"/>
  <c r="AI437" i="46"/>
  <c r="AI436" i="46"/>
  <c r="AJ432" i="46"/>
  <c r="AI405" i="46"/>
  <c r="AJ399" i="46"/>
  <c r="AI398" i="46"/>
  <c r="AF390" i="46"/>
  <c r="AG390" i="46" s="1"/>
  <c r="AI364" i="46"/>
  <c r="AI361" i="46"/>
  <c r="AF348" i="46"/>
  <c r="AG348" i="46" s="1"/>
  <c r="AF342" i="46"/>
  <c r="AG342" i="46" s="1"/>
  <c r="AJ334" i="46"/>
  <c r="AF318" i="46"/>
  <c r="AG318" i="46" s="1"/>
  <c r="AF316" i="46"/>
  <c r="AG316" i="46" s="1"/>
  <c r="AF310" i="46"/>
  <c r="AG310" i="46" s="1"/>
  <c r="AJ260" i="45"/>
  <c r="AF20" i="44"/>
  <c r="AG20" i="44" s="1"/>
  <c r="AJ493" i="45"/>
  <c r="AJ483" i="45"/>
  <c r="AF478" i="45"/>
  <c r="AG478" i="45" s="1"/>
  <c r="AI465" i="45"/>
  <c r="AF460" i="45"/>
  <c r="AG460" i="45" s="1"/>
  <c r="AJ451" i="45"/>
  <c r="AJ450" i="45"/>
  <c r="AI445" i="45"/>
  <c r="AF435" i="45"/>
  <c r="AG435" i="45" s="1"/>
  <c r="AI427" i="45"/>
  <c r="AI420" i="45"/>
  <c r="AI401" i="45"/>
  <c r="AF394" i="45"/>
  <c r="AG394" i="45" s="1"/>
  <c r="AI366" i="45"/>
  <c r="AI353" i="45"/>
  <c r="AF329" i="45"/>
  <c r="AG329" i="45" s="1"/>
  <c r="AJ318" i="45"/>
  <c r="AI299" i="45"/>
  <c r="AI294" i="45"/>
  <c r="AF290" i="45"/>
  <c r="AG290" i="45" s="1"/>
  <c r="AI278" i="45"/>
  <c r="AF260" i="45"/>
  <c r="AG260" i="45" s="1"/>
  <c r="AF258" i="45"/>
  <c r="AG258" i="45" s="1"/>
  <c r="AI205" i="45"/>
  <c r="AF186" i="45"/>
  <c r="AG186" i="45" s="1"/>
  <c r="AF171" i="45"/>
  <c r="AG171" i="45" s="1"/>
  <c r="AF170" i="45"/>
  <c r="AG170" i="45" s="1"/>
  <c r="AF160" i="45"/>
  <c r="AG160" i="45" s="1"/>
  <c r="AF102" i="45"/>
  <c r="AG102" i="45" s="1"/>
  <c r="AF71" i="45"/>
  <c r="AG71" i="45" s="1"/>
  <c r="AF483" i="46"/>
  <c r="AG483" i="46" s="1"/>
  <c r="AF459" i="46"/>
  <c r="AG459" i="46" s="1"/>
  <c r="AI458" i="46"/>
  <c r="AF453" i="46"/>
  <c r="AG453" i="46" s="1"/>
  <c r="AJ446" i="46"/>
  <c r="AJ436" i="46"/>
  <c r="AF421" i="46"/>
  <c r="AG421" i="46" s="1"/>
  <c r="AI417" i="46"/>
  <c r="AI408" i="46"/>
  <c r="AJ404" i="46"/>
  <c r="AF403" i="46"/>
  <c r="AG403" i="46" s="1"/>
  <c r="AJ398" i="46"/>
  <c r="AI378" i="46"/>
  <c r="AJ373" i="46"/>
  <c r="AF369" i="46"/>
  <c r="AG369" i="46" s="1"/>
  <c r="AJ364" i="46"/>
  <c r="AI360" i="46"/>
  <c r="AI333" i="46"/>
  <c r="AJ318" i="46"/>
  <c r="AI309" i="46"/>
  <c r="AF299" i="46"/>
  <c r="AG299" i="46" s="1"/>
  <c r="AF295" i="46"/>
  <c r="AG295" i="46" s="1"/>
  <c r="AF291" i="46"/>
  <c r="AG291" i="46" s="1"/>
  <c r="AF289" i="46"/>
  <c r="AG289" i="46" s="1"/>
  <c r="AI2" i="47"/>
  <c r="AJ2" i="47"/>
  <c r="AE95" i="34"/>
  <c r="AJ95" i="34" s="1"/>
  <c r="AE94" i="34"/>
  <c r="AJ94" i="34" s="1"/>
  <c r="AE93" i="34"/>
  <c r="AJ93" i="34" s="1"/>
  <c r="AE92" i="34"/>
  <c r="AJ92" i="34" s="1"/>
  <c r="AI299" i="34"/>
  <c r="AF360" i="34"/>
  <c r="AG360" i="34" s="1"/>
  <c r="AF304" i="34"/>
  <c r="AG304" i="34" s="1"/>
  <c r="AJ294" i="34"/>
  <c r="AE91" i="34"/>
  <c r="AJ91" i="34" s="1"/>
  <c r="AI324" i="34"/>
  <c r="AI440" i="34"/>
  <c r="AJ304" i="34"/>
  <c r="AF299" i="34"/>
  <c r="AG299" i="34" s="1"/>
  <c r="AJ410" i="34"/>
  <c r="AI339" i="34"/>
  <c r="AI231" i="14"/>
  <c r="AE62" i="14"/>
  <c r="AF62" i="14" s="1"/>
  <c r="AG62" i="14" s="1"/>
  <c r="AE56" i="14"/>
  <c r="AF56" i="14" s="1"/>
  <c r="AG56" i="14" s="1"/>
  <c r="AE89" i="34"/>
  <c r="AJ89" i="34" s="1"/>
  <c r="AE82" i="34"/>
  <c r="AF82" i="34" s="1"/>
  <c r="AG82" i="34" s="1"/>
  <c r="AE58" i="14"/>
  <c r="AJ58" i="14" s="1"/>
  <c r="AE85" i="34"/>
  <c r="AJ85" i="34" s="1"/>
  <c r="AE60" i="14"/>
  <c r="AJ60" i="14" s="1"/>
  <c r="AE87" i="34"/>
  <c r="AJ87" i="34" s="1"/>
  <c r="AE80" i="34"/>
  <c r="AF80" i="34" s="1"/>
  <c r="AG80" i="34" s="1"/>
  <c r="AE77" i="34"/>
  <c r="AJ77" i="34" s="1"/>
  <c r="AE54" i="14"/>
  <c r="AJ54" i="14" s="1"/>
  <c r="AI569" i="43"/>
  <c r="AI526" i="43"/>
  <c r="AI501" i="43"/>
  <c r="AI364" i="43"/>
  <c r="AI285" i="43"/>
  <c r="AF174" i="43"/>
  <c r="AG174" i="43" s="1"/>
  <c r="AE61" i="14"/>
  <c r="AI61" i="14" s="1"/>
  <c r="AE59" i="14"/>
  <c r="AF59" i="14" s="1"/>
  <c r="AG59" i="14" s="1"/>
  <c r="AE57" i="14"/>
  <c r="AJ57" i="14" s="1"/>
  <c r="AE55" i="14"/>
  <c r="AJ55" i="14" s="1"/>
  <c r="AE53" i="14"/>
  <c r="AF53" i="14" s="1"/>
  <c r="AG53" i="14" s="1"/>
  <c r="AI460" i="34"/>
  <c r="AF392" i="34"/>
  <c r="AG392" i="34" s="1"/>
  <c r="AF318" i="34"/>
  <c r="AG318" i="34" s="1"/>
  <c r="AI282" i="34"/>
  <c r="AE90" i="34"/>
  <c r="AI90" i="34" s="1"/>
  <c r="AE88" i="34"/>
  <c r="AI88" i="34" s="1"/>
  <c r="AE86" i="34"/>
  <c r="AF86" i="34" s="1"/>
  <c r="AG86" i="34" s="1"/>
  <c r="AE84" i="34"/>
  <c r="AI84" i="34" s="1"/>
  <c r="AI478" i="43"/>
  <c r="AF292" i="43"/>
  <c r="AG292" i="43" s="1"/>
  <c r="AF273" i="43"/>
  <c r="AG273" i="43" s="1"/>
  <c r="AF213" i="43"/>
  <c r="AG213" i="43" s="1"/>
  <c r="AJ156" i="43"/>
  <c r="AI149" i="43"/>
  <c r="AF132" i="43"/>
  <c r="AG132" i="43" s="1"/>
  <c r="AJ432" i="34"/>
  <c r="AE78" i="34"/>
  <c r="AE76" i="34"/>
  <c r="AJ76" i="34" s="1"/>
  <c r="AF478" i="43"/>
  <c r="AG478" i="43" s="1"/>
  <c r="AI445" i="43"/>
  <c r="AI438" i="43"/>
  <c r="AI156" i="43"/>
  <c r="AI147" i="43"/>
  <c r="AF128" i="43"/>
  <c r="AG128" i="43" s="1"/>
  <c r="AJ89" i="43"/>
  <c r="AF70" i="43"/>
  <c r="AG70" i="43" s="1"/>
  <c r="AE26" i="43"/>
  <c r="AJ26" i="43" s="1"/>
  <c r="AE24" i="43"/>
  <c r="AI24" i="43" s="1"/>
  <c r="AF153" i="14"/>
  <c r="AG153" i="14" s="1"/>
  <c r="AI432" i="34"/>
  <c r="AI376" i="34"/>
  <c r="AE7" i="45"/>
  <c r="AF7" i="45" s="1"/>
  <c r="AG7" i="45" s="1"/>
  <c r="AF445" i="43"/>
  <c r="AG445" i="43" s="1"/>
  <c r="AI430" i="43"/>
  <c r="AF330" i="43"/>
  <c r="AG330" i="43" s="1"/>
  <c r="AF305" i="43"/>
  <c r="AG305" i="43" s="1"/>
  <c r="AF207" i="43"/>
  <c r="AG207" i="43" s="1"/>
  <c r="AI196" i="43"/>
  <c r="AF154" i="43"/>
  <c r="AG154" i="43" s="1"/>
  <c r="AI141" i="43"/>
  <c r="AI89" i="43"/>
  <c r="AI500" i="34"/>
  <c r="AJ402" i="34"/>
  <c r="AJ354" i="34"/>
  <c r="AE83" i="34"/>
  <c r="AE81" i="34"/>
  <c r="AJ81" i="34" s="1"/>
  <c r="AE79" i="34"/>
  <c r="AI79" i="34" s="1"/>
  <c r="AF595" i="43"/>
  <c r="AG595" i="43" s="1"/>
  <c r="AF441" i="43"/>
  <c r="AG441" i="43" s="1"/>
  <c r="AI393" i="43"/>
  <c r="AF372" i="43"/>
  <c r="AG372" i="43" s="1"/>
  <c r="AI320" i="43"/>
  <c r="AJ231" i="43"/>
  <c r="AI197" i="43"/>
  <c r="AI178" i="43"/>
  <c r="AF71" i="43"/>
  <c r="AG71" i="43" s="1"/>
  <c r="AF156" i="14"/>
  <c r="AG156" i="14" s="1"/>
  <c r="AJ472" i="34"/>
  <c r="AI402" i="34"/>
  <c r="AI385" i="34"/>
  <c r="AJ501" i="43"/>
  <c r="AJ418" i="43"/>
  <c r="AI387" i="43"/>
  <c r="AJ364" i="43"/>
  <c r="AF337" i="43"/>
  <c r="AG337" i="43" s="1"/>
  <c r="AI312" i="43"/>
  <c r="AF287" i="43"/>
  <c r="AG287" i="43" s="1"/>
  <c r="AI212" i="43"/>
  <c r="AF197" i="43"/>
  <c r="AG197" i="43" s="1"/>
  <c r="AF178" i="43"/>
  <c r="AG178" i="43" s="1"/>
  <c r="AE25" i="43"/>
  <c r="AJ25" i="43" s="1"/>
  <c r="AI379" i="14"/>
  <c r="AJ460" i="34"/>
  <c r="AE75" i="34"/>
  <c r="AI75" i="34" s="1"/>
  <c r="AE6" i="45"/>
  <c r="AI6" i="45" s="1"/>
  <c r="AI488" i="43"/>
  <c r="AI422" i="43"/>
  <c r="AF394" i="43"/>
  <c r="AG394" i="43" s="1"/>
  <c r="AI355" i="43"/>
  <c r="AF327" i="43"/>
  <c r="AG327" i="43" s="1"/>
  <c r="AI241" i="43"/>
  <c r="AI166" i="43"/>
  <c r="AF77" i="43"/>
  <c r="AG77" i="43" s="1"/>
  <c r="AJ307" i="14"/>
  <c r="AJ442" i="34"/>
  <c r="AJ392" i="34"/>
  <c r="AI379" i="34"/>
  <c r="AF370" i="34"/>
  <c r="AG370" i="34" s="1"/>
  <c r="AF325" i="34"/>
  <c r="AG325" i="34" s="1"/>
  <c r="AJ318" i="34"/>
  <c r="AI307" i="34"/>
  <c r="AI276" i="34"/>
  <c r="AI253" i="34"/>
  <c r="AE73" i="34"/>
  <c r="AF73" i="34" s="1"/>
  <c r="AG73" i="34" s="1"/>
  <c r="AE71" i="34"/>
  <c r="AI71" i="34" s="1"/>
  <c r="AF473" i="45"/>
  <c r="AG473" i="45" s="1"/>
  <c r="AJ458" i="45"/>
  <c r="AJ398" i="45"/>
  <c r="AJ374" i="45"/>
  <c r="AJ298" i="45"/>
  <c r="AF284" i="45"/>
  <c r="AG284" i="45" s="1"/>
  <c r="AF264" i="45"/>
  <c r="AG264" i="45" s="1"/>
  <c r="AI229" i="45"/>
  <c r="AI193" i="45"/>
  <c r="AF168" i="45"/>
  <c r="AG168" i="45" s="1"/>
  <c r="AF130" i="45"/>
  <c r="AG130" i="45" s="1"/>
  <c r="AF67" i="45"/>
  <c r="AG67" i="45" s="1"/>
  <c r="AF52" i="45"/>
  <c r="AG52" i="45" s="1"/>
  <c r="AF47" i="45"/>
  <c r="AG47" i="45" s="1"/>
  <c r="AJ446" i="43"/>
  <c r="AI343" i="43"/>
  <c r="AJ160" i="43"/>
  <c r="AI155" i="43"/>
  <c r="AI82" i="43"/>
  <c r="AJ436" i="34"/>
  <c r="AI406" i="34"/>
  <c r="AI323" i="34"/>
  <c r="AJ481" i="45"/>
  <c r="AJ126" i="45"/>
  <c r="AJ94" i="45"/>
  <c r="AI563" i="43"/>
  <c r="AJ523" i="43"/>
  <c r="AF495" i="43"/>
  <c r="AG495" i="43" s="1"/>
  <c r="AI484" i="43"/>
  <c r="AF466" i="43"/>
  <c r="AG466" i="43" s="1"/>
  <c r="AI446" i="43"/>
  <c r="AF371" i="43"/>
  <c r="AG371" i="43" s="1"/>
  <c r="AF356" i="43"/>
  <c r="AG356" i="43" s="1"/>
  <c r="AF343" i="43"/>
  <c r="AG343" i="43" s="1"/>
  <c r="AF304" i="43"/>
  <c r="AG304" i="43" s="1"/>
  <c r="AI289" i="43"/>
  <c r="AI222" i="43"/>
  <c r="AJ193" i="43"/>
  <c r="AF160" i="43"/>
  <c r="AG160" i="43" s="1"/>
  <c r="AF155" i="43"/>
  <c r="AG155" i="43" s="1"/>
  <c r="AJ150" i="43"/>
  <c r="AJ143" i="43"/>
  <c r="AI130" i="43"/>
  <c r="AI113" i="43"/>
  <c r="AF82" i="43"/>
  <c r="AG82" i="43" s="1"/>
  <c r="AF336" i="14"/>
  <c r="AG336" i="14" s="1"/>
  <c r="AI484" i="34"/>
  <c r="AI436" i="34"/>
  <c r="AF406" i="34"/>
  <c r="AG406" i="34" s="1"/>
  <c r="AF323" i="34"/>
  <c r="AG323" i="34" s="1"/>
  <c r="AJ286" i="34"/>
  <c r="AI481" i="45"/>
  <c r="AJ362" i="45"/>
  <c r="AI334" i="45"/>
  <c r="AI247" i="45"/>
  <c r="AJ186" i="45"/>
  <c r="AI153" i="45"/>
  <c r="AI138" i="45"/>
  <c r="AI126" i="45"/>
  <c r="AI94" i="45"/>
  <c r="AF599" i="43"/>
  <c r="AG599" i="43" s="1"/>
  <c r="AF563" i="43"/>
  <c r="AG563" i="43" s="1"/>
  <c r="AI530" i="43"/>
  <c r="AI515" i="43"/>
  <c r="AJ451" i="43"/>
  <c r="AJ434" i="43"/>
  <c r="AJ410" i="43"/>
  <c r="AI315" i="43"/>
  <c r="AF300" i="43"/>
  <c r="AG300" i="43" s="1"/>
  <c r="AF289" i="43"/>
  <c r="AG289" i="43" s="1"/>
  <c r="AI278" i="43"/>
  <c r="AJ263" i="43"/>
  <c r="AF222" i="43"/>
  <c r="AG222" i="43" s="1"/>
  <c r="AI193" i="43"/>
  <c r="AF150" i="43"/>
  <c r="AG150" i="43" s="1"/>
  <c r="AI143" i="43"/>
  <c r="AJ136" i="43"/>
  <c r="AF130" i="43"/>
  <c r="AG130" i="43" s="1"/>
  <c r="AF111" i="43"/>
  <c r="AG111" i="43" s="1"/>
  <c r="AF94" i="43"/>
  <c r="AG94" i="43" s="1"/>
  <c r="AF405" i="14"/>
  <c r="AG405" i="14" s="1"/>
  <c r="AI286" i="34"/>
  <c r="AE74" i="34"/>
  <c r="AJ74" i="34" s="1"/>
  <c r="AE72" i="34"/>
  <c r="AJ72" i="34" s="1"/>
  <c r="AE70" i="34"/>
  <c r="AJ70" i="34" s="1"/>
  <c r="AJ449" i="45"/>
  <c r="AI404" i="45"/>
  <c r="AJ382" i="45"/>
  <c r="AF362" i="45"/>
  <c r="AG362" i="45" s="1"/>
  <c r="AF345" i="45"/>
  <c r="AG345" i="45" s="1"/>
  <c r="AF334" i="45"/>
  <c r="AG334" i="45" s="1"/>
  <c r="AJ308" i="45"/>
  <c r="AJ286" i="45"/>
  <c r="AJ256" i="45"/>
  <c r="AF247" i="45"/>
  <c r="AG247" i="45" s="1"/>
  <c r="AI213" i="45"/>
  <c r="AI189" i="45"/>
  <c r="AJ156" i="45"/>
  <c r="AF153" i="45"/>
  <c r="AG153" i="45" s="1"/>
  <c r="AF138" i="45"/>
  <c r="AG138" i="45" s="1"/>
  <c r="AI85" i="45"/>
  <c r="AJ71" i="45"/>
  <c r="AI136" i="43"/>
  <c r="AJ454" i="43"/>
  <c r="AJ181" i="43"/>
  <c r="AJ137" i="43"/>
  <c r="AF379" i="14"/>
  <c r="AG379" i="14" s="1"/>
  <c r="AI424" i="34"/>
  <c r="AJ398" i="34"/>
  <c r="AJ370" i="34"/>
  <c r="AI317" i="34"/>
  <c r="AJ278" i="34"/>
  <c r="AI477" i="45"/>
  <c r="AF457" i="45"/>
  <c r="AG457" i="45" s="1"/>
  <c r="AF402" i="45"/>
  <c r="AG402" i="45" s="1"/>
  <c r="AI378" i="45"/>
  <c r="AF328" i="45"/>
  <c r="AG328" i="45" s="1"/>
  <c r="AI311" i="45"/>
  <c r="AI228" i="45"/>
  <c r="AF187" i="45"/>
  <c r="AG187" i="45" s="1"/>
  <c r="AF184" i="45"/>
  <c r="AG184" i="45" s="1"/>
  <c r="AJ168" i="45"/>
  <c r="AI165" i="45"/>
  <c r="AF149" i="45"/>
  <c r="AG149" i="45" s="1"/>
  <c r="AJ130" i="45"/>
  <c r="AI88" i="45"/>
  <c r="AF76" i="45"/>
  <c r="AG76" i="45" s="1"/>
  <c r="AI583" i="43"/>
  <c r="AI531" i="43"/>
  <c r="AF480" i="43"/>
  <c r="AG480" i="43" s="1"/>
  <c r="AF454" i="43"/>
  <c r="AG454" i="43" s="1"/>
  <c r="AF444" i="43"/>
  <c r="AG444" i="43" s="1"/>
  <c r="AJ426" i="43"/>
  <c r="AI402" i="43"/>
  <c r="AF385" i="43"/>
  <c r="AG385" i="43" s="1"/>
  <c r="AI329" i="43"/>
  <c r="AI316" i="43"/>
  <c r="AJ281" i="43"/>
  <c r="AI272" i="43"/>
  <c r="AJ241" i="43"/>
  <c r="AI228" i="43"/>
  <c r="AJ199" i="43"/>
  <c r="AF181" i="43"/>
  <c r="AG181" i="43" s="1"/>
  <c r="AF172" i="43"/>
  <c r="AG172" i="43" s="1"/>
  <c r="AI137" i="43"/>
  <c r="AI97" i="43"/>
  <c r="AF86" i="43"/>
  <c r="AG86" i="43" s="1"/>
  <c r="AF454" i="14"/>
  <c r="AG454" i="14" s="1"/>
  <c r="AJ276" i="34"/>
  <c r="AJ473" i="45"/>
  <c r="AJ284" i="45"/>
  <c r="AI67" i="45"/>
  <c r="AI52" i="45"/>
  <c r="AF490" i="26"/>
  <c r="AG490" i="26" s="1"/>
  <c r="AF480" i="26"/>
  <c r="AG480" i="26" s="1"/>
  <c r="AF470" i="26"/>
  <c r="AG470" i="26" s="1"/>
  <c r="AF467" i="26"/>
  <c r="AG467" i="26" s="1"/>
  <c r="AI452" i="26"/>
  <c r="AI436" i="26"/>
  <c r="AF414" i="26"/>
  <c r="AG414" i="26" s="1"/>
  <c r="AF407" i="26"/>
  <c r="AG407" i="26" s="1"/>
  <c r="AI388" i="26"/>
  <c r="AF372" i="26"/>
  <c r="AG372" i="26" s="1"/>
  <c r="AF350" i="26"/>
  <c r="AG350" i="26" s="1"/>
  <c r="AF317" i="26"/>
  <c r="AG317" i="26" s="1"/>
  <c r="AI311" i="26"/>
  <c r="AF293" i="26"/>
  <c r="AG293" i="26" s="1"/>
  <c r="AI288" i="26"/>
  <c r="AF282" i="26"/>
  <c r="AG282" i="26" s="1"/>
  <c r="AF279" i="26"/>
  <c r="AG279" i="26" s="1"/>
  <c r="AF273" i="26"/>
  <c r="AG273" i="26" s="1"/>
  <c r="AF199" i="26"/>
  <c r="AG199" i="26" s="1"/>
  <c r="AJ189" i="26"/>
  <c r="AF174" i="26"/>
  <c r="AG174" i="26" s="1"/>
  <c r="AJ149" i="26"/>
  <c r="AJ133" i="26"/>
  <c r="AI100" i="26"/>
  <c r="AI73" i="26"/>
  <c r="AF34" i="26"/>
  <c r="AG34" i="26" s="1"/>
  <c r="AF27" i="26"/>
  <c r="AG27" i="26" s="1"/>
  <c r="AI520" i="43"/>
  <c r="AJ500" i="43"/>
  <c r="AI500" i="43"/>
  <c r="AF498" i="43"/>
  <c r="AG498" i="43" s="1"/>
  <c r="AI479" i="43"/>
  <c r="AJ479" i="43"/>
  <c r="AI452" i="43"/>
  <c r="AJ452" i="43"/>
  <c r="AF384" i="43"/>
  <c r="AG384" i="43" s="1"/>
  <c r="AI384" i="43"/>
  <c r="AJ375" i="43"/>
  <c r="AI375" i="43"/>
  <c r="AJ353" i="43"/>
  <c r="AF353" i="43"/>
  <c r="AG353" i="43" s="1"/>
  <c r="AF307" i="43"/>
  <c r="AG307" i="43" s="1"/>
  <c r="AI225" i="43"/>
  <c r="AJ225" i="43"/>
  <c r="AJ203" i="43"/>
  <c r="AI151" i="43"/>
  <c r="AF151" i="43"/>
  <c r="AG151" i="43" s="1"/>
  <c r="AI148" i="43"/>
  <c r="AJ148" i="43"/>
  <c r="AJ83" i="26"/>
  <c r="AF83" i="26"/>
  <c r="AG83" i="26" s="1"/>
  <c r="AJ585" i="43"/>
  <c r="AI585" i="43"/>
  <c r="AF576" i="43"/>
  <c r="AG576" i="43" s="1"/>
  <c r="AJ576" i="43"/>
  <c r="AJ566" i="43"/>
  <c r="AF566" i="43"/>
  <c r="AG566" i="43" s="1"/>
  <c r="AI455" i="43"/>
  <c r="AJ455" i="43"/>
  <c r="AJ391" i="43"/>
  <c r="AF391" i="43"/>
  <c r="AG391" i="43" s="1"/>
  <c r="AI340" i="43"/>
  <c r="AF340" i="43"/>
  <c r="AG340" i="43" s="1"/>
  <c r="AF265" i="43"/>
  <c r="AG265" i="43" s="1"/>
  <c r="AJ265" i="43"/>
  <c r="AI187" i="43"/>
  <c r="AJ187" i="43"/>
  <c r="AJ164" i="43"/>
  <c r="AF164" i="43"/>
  <c r="AG164" i="43" s="1"/>
  <c r="AJ146" i="43"/>
  <c r="AF146" i="43"/>
  <c r="AG146" i="43" s="1"/>
  <c r="AI146" i="43"/>
  <c r="AI79" i="43"/>
  <c r="AJ79" i="43"/>
  <c r="AI493" i="26"/>
  <c r="AF488" i="26"/>
  <c r="AG488" i="26" s="1"/>
  <c r="AF478" i="26"/>
  <c r="AG478" i="26" s="1"/>
  <c r="AI462" i="26"/>
  <c r="AI448" i="26"/>
  <c r="AJ432" i="26"/>
  <c r="AF431" i="26"/>
  <c r="AG431" i="26" s="1"/>
  <c r="AJ410" i="26"/>
  <c r="AI403" i="26"/>
  <c r="AI391" i="26"/>
  <c r="AF386" i="26"/>
  <c r="AG386" i="26" s="1"/>
  <c r="AF370" i="26"/>
  <c r="AG370" i="26" s="1"/>
  <c r="AJ356" i="26"/>
  <c r="AJ346" i="26"/>
  <c r="AF343" i="26"/>
  <c r="AG343" i="26" s="1"/>
  <c r="AI333" i="26"/>
  <c r="AI318" i="26"/>
  <c r="AF309" i="26"/>
  <c r="AG309" i="26" s="1"/>
  <c r="AJ286" i="26"/>
  <c r="AF280" i="26"/>
  <c r="AG280" i="26" s="1"/>
  <c r="AF274" i="26"/>
  <c r="AG274" i="26" s="1"/>
  <c r="AI261" i="26"/>
  <c r="AF244" i="26"/>
  <c r="AG244" i="26" s="1"/>
  <c r="AJ226" i="26"/>
  <c r="AF211" i="26"/>
  <c r="AG211" i="26" s="1"/>
  <c r="AJ204" i="26"/>
  <c r="AI200" i="26"/>
  <c r="AF197" i="26"/>
  <c r="AG197" i="26" s="1"/>
  <c r="AI190" i="26"/>
  <c r="AJ165" i="26"/>
  <c r="AF154" i="26"/>
  <c r="AG154" i="26" s="1"/>
  <c r="AJ98" i="26"/>
  <c r="AF98" i="26"/>
  <c r="AG98" i="26" s="1"/>
  <c r="AI96" i="26"/>
  <c r="AJ88" i="26"/>
  <c r="AJ84" i="26"/>
  <c r="AJ80" i="26"/>
  <c r="AF68" i="26"/>
  <c r="AG68" i="26" s="1"/>
  <c r="AF62" i="26"/>
  <c r="AG62" i="26" s="1"/>
  <c r="AF59" i="26"/>
  <c r="AG59" i="26" s="1"/>
  <c r="AJ16" i="26"/>
  <c r="AF16" i="26"/>
  <c r="AG16" i="26" s="1"/>
  <c r="AF14" i="26"/>
  <c r="AG14" i="26" s="1"/>
  <c r="AF569" i="43"/>
  <c r="AG569" i="43" s="1"/>
  <c r="AJ527" i="43"/>
  <c r="AI527" i="43"/>
  <c r="AI485" i="43"/>
  <c r="AJ485" i="43"/>
  <c r="AF469" i="43"/>
  <c r="AG469" i="43" s="1"/>
  <c r="AI450" i="43"/>
  <c r="AJ450" i="43"/>
  <c r="AJ369" i="43"/>
  <c r="AF369" i="43"/>
  <c r="AG369" i="43" s="1"/>
  <c r="AI323" i="43"/>
  <c r="AI263" i="43"/>
  <c r="AJ215" i="43"/>
  <c r="AJ210" i="43"/>
  <c r="AI210" i="43"/>
  <c r="AI171" i="43"/>
  <c r="AJ171" i="43"/>
  <c r="AF167" i="43"/>
  <c r="AG167" i="43" s="1"/>
  <c r="AI139" i="43"/>
  <c r="AI135" i="43"/>
  <c r="AJ135" i="43"/>
  <c r="AI87" i="43"/>
  <c r="AI84" i="43"/>
  <c r="AJ84" i="43"/>
  <c r="AI486" i="26"/>
  <c r="AI465" i="26"/>
  <c r="AI432" i="26"/>
  <c r="AI429" i="26"/>
  <c r="AI346" i="26"/>
  <c r="AJ336" i="26"/>
  <c r="AI275" i="26"/>
  <c r="AJ252" i="26"/>
  <c r="AI231" i="26"/>
  <c r="AI219" i="26"/>
  <c r="AJ216" i="26"/>
  <c r="AI204" i="26"/>
  <c r="AI201" i="26"/>
  <c r="AJ193" i="26"/>
  <c r="AI178" i="26"/>
  <c r="AI105" i="26"/>
  <c r="AF105" i="26"/>
  <c r="AG105" i="26" s="1"/>
  <c r="AJ89" i="26"/>
  <c r="AJ60" i="26"/>
  <c r="AF572" i="43"/>
  <c r="AG572" i="43" s="1"/>
  <c r="AI572" i="43"/>
  <c r="AJ570" i="43"/>
  <c r="AI440" i="43"/>
  <c r="AF440" i="43"/>
  <c r="AG440" i="43" s="1"/>
  <c r="AF396" i="43"/>
  <c r="AG396" i="43" s="1"/>
  <c r="AJ396" i="43"/>
  <c r="AF332" i="43"/>
  <c r="AG332" i="43" s="1"/>
  <c r="AI332" i="43"/>
  <c r="AJ332" i="43"/>
  <c r="AI303" i="43"/>
  <c r="AF303" i="43"/>
  <c r="AG303" i="43" s="1"/>
  <c r="AJ176" i="43"/>
  <c r="AF176" i="43"/>
  <c r="AG176" i="43" s="1"/>
  <c r="AJ124" i="43"/>
  <c r="AF124" i="43"/>
  <c r="AG124" i="43" s="1"/>
  <c r="AJ96" i="43"/>
  <c r="AF96" i="43"/>
  <c r="AG96" i="43" s="1"/>
  <c r="AI487" i="13"/>
  <c r="AF487" i="13"/>
  <c r="AG487" i="13" s="1"/>
  <c r="AF496" i="26"/>
  <c r="AG496" i="26" s="1"/>
  <c r="AF486" i="26"/>
  <c r="AG486" i="26" s="1"/>
  <c r="AF474" i="26"/>
  <c r="AG474" i="26" s="1"/>
  <c r="AF465" i="26"/>
  <c r="AG465" i="26" s="1"/>
  <c r="AF460" i="26"/>
  <c r="AG460" i="26" s="1"/>
  <c r="AI444" i="26"/>
  <c r="AF429" i="26"/>
  <c r="AG429" i="26" s="1"/>
  <c r="AI420" i="26"/>
  <c r="AI359" i="26"/>
  <c r="AJ352" i="26"/>
  <c r="AF336" i="26"/>
  <c r="AG336" i="26" s="1"/>
  <c r="AJ326" i="26"/>
  <c r="AI321" i="26"/>
  <c r="AI307" i="26"/>
  <c r="AJ284" i="26"/>
  <c r="AF275" i="26"/>
  <c r="AG275" i="26" s="1"/>
  <c r="AI264" i="26"/>
  <c r="AF252" i="26"/>
  <c r="AG252" i="26" s="1"/>
  <c r="AF236" i="26"/>
  <c r="AG236" i="26" s="1"/>
  <c r="AF231" i="26"/>
  <c r="AG231" i="26" s="1"/>
  <c r="AF219" i="26"/>
  <c r="AG219" i="26" s="1"/>
  <c r="AI216" i="26"/>
  <c r="AI207" i="26"/>
  <c r="AF201" i="26"/>
  <c r="AG201" i="26" s="1"/>
  <c r="AI193" i="26"/>
  <c r="AI183" i="26"/>
  <c r="AF178" i="26"/>
  <c r="AG178" i="26" s="1"/>
  <c r="AI170" i="26"/>
  <c r="AF145" i="26"/>
  <c r="AG145" i="26" s="1"/>
  <c r="AI145" i="26"/>
  <c r="AI143" i="26"/>
  <c r="AJ129" i="26"/>
  <c r="AI92" i="26"/>
  <c r="AJ81" i="26"/>
  <c r="AF80" i="26"/>
  <c r="AG80" i="26" s="1"/>
  <c r="AI77" i="26"/>
  <c r="AJ69" i="26"/>
  <c r="AJ66" i="26"/>
  <c r="AI60" i="26"/>
  <c r="AI46" i="26"/>
  <c r="AF46" i="26"/>
  <c r="AG46" i="26" s="1"/>
  <c r="AJ42" i="26"/>
  <c r="AJ35" i="26"/>
  <c r="AI35" i="26"/>
  <c r="AF19" i="26"/>
  <c r="AG19" i="26" s="1"/>
  <c r="AJ10" i="26"/>
  <c r="AF597" i="43"/>
  <c r="AG597" i="43" s="1"/>
  <c r="AI570" i="43"/>
  <c r="AJ535" i="43"/>
  <c r="AJ483" i="43"/>
  <c r="AF483" i="43"/>
  <c r="AG483" i="43" s="1"/>
  <c r="AI443" i="43"/>
  <c r="AF443" i="43"/>
  <c r="AG443" i="43" s="1"/>
  <c r="AJ443" i="43"/>
  <c r="AI414" i="43"/>
  <c r="AI352" i="43"/>
  <c r="AF310" i="43"/>
  <c r="AG310" i="43" s="1"/>
  <c r="AJ310" i="43"/>
  <c r="AJ227" i="43"/>
  <c r="AI227" i="43"/>
  <c r="AJ206" i="43"/>
  <c r="AF206" i="43"/>
  <c r="AG206" i="43" s="1"/>
  <c r="AI69" i="43"/>
  <c r="AJ69" i="43"/>
  <c r="AI67" i="43"/>
  <c r="AF484" i="26"/>
  <c r="AG484" i="26" s="1"/>
  <c r="AI458" i="26"/>
  <c r="AI442" i="26"/>
  <c r="AF411" i="26"/>
  <c r="AG411" i="26" s="1"/>
  <c r="AI406" i="26"/>
  <c r="AF378" i="26"/>
  <c r="AG378" i="26" s="1"/>
  <c r="AF359" i="26"/>
  <c r="AG359" i="26" s="1"/>
  <c r="AF352" i="26"/>
  <c r="AG352" i="26" s="1"/>
  <c r="AI347" i="26"/>
  <c r="AI334" i="26"/>
  <c r="AJ310" i="26"/>
  <c r="AF284" i="26"/>
  <c r="AG284" i="26" s="1"/>
  <c r="AI272" i="26"/>
  <c r="AJ234" i="26"/>
  <c r="AF214" i="26"/>
  <c r="AG214" i="26" s="1"/>
  <c r="AF207" i="26"/>
  <c r="AG207" i="26" s="1"/>
  <c r="AF170" i="26"/>
  <c r="AG170" i="26" s="1"/>
  <c r="AJ148" i="26"/>
  <c r="AI148" i="26"/>
  <c r="AF143" i="26"/>
  <c r="AG143" i="26" s="1"/>
  <c r="AI132" i="26"/>
  <c r="AI129" i="26"/>
  <c r="AF89" i="26"/>
  <c r="AG89" i="26" s="1"/>
  <c r="AF81" i="26"/>
  <c r="AG81" i="26" s="1"/>
  <c r="AI66" i="26"/>
  <c r="AJ26" i="26"/>
  <c r="AI573" i="43"/>
  <c r="AF565" i="43"/>
  <c r="AG565" i="43" s="1"/>
  <c r="AF388" i="43"/>
  <c r="AG388" i="43" s="1"/>
  <c r="AJ361" i="43"/>
  <c r="AI361" i="43"/>
  <c r="AF359" i="43"/>
  <c r="AG359" i="43" s="1"/>
  <c r="AF339" i="43"/>
  <c r="AG339" i="43" s="1"/>
  <c r="AJ319" i="43"/>
  <c r="AI319" i="43"/>
  <c r="AJ236" i="43"/>
  <c r="AF236" i="43"/>
  <c r="AG236" i="43" s="1"/>
  <c r="AI184" i="43"/>
  <c r="AJ179" i="43"/>
  <c r="AI179" i="43"/>
  <c r="AI145" i="43"/>
  <c r="AI142" i="43"/>
  <c r="AJ142" i="43"/>
  <c r="AJ114" i="43"/>
  <c r="AF114" i="43"/>
  <c r="AG114" i="43" s="1"/>
  <c r="AJ101" i="43"/>
  <c r="AI101" i="43"/>
  <c r="AJ159" i="26"/>
  <c r="AI159" i="26"/>
  <c r="AF533" i="43"/>
  <c r="AG533" i="43" s="1"/>
  <c r="AI533" i="43"/>
  <c r="AJ508" i="43"/>
  <c r="AI508" i="43"/>
  <c r="AJ472" i="43"/>
  <c r="AI472" i="43"/>
  <c r="AI346" i="43"/>
  <c r="AF346" i="43"/>
  <c r="AG346" i="43" s="1"/>
  <c r="AJ346" i="43"/>
  <c r="AI324" i="43"/>
  <c r="AF324" i="43"/>
  <c r="AG324" i="43" s="1"/>
  <c r="AI295" i="43"/>
  <c r="AJ295" i="43"/>
  <c r="AJ216" i="43"/>
  <c r="AI216" i="43"/>
  <c r="AJ195" i="43"/>
  <c r="AF195" i="43"/>
  <c r="AG195" i="43" s="1"/>
  <c r="AJ140" i="43"/>
  <c r="AF140" i="43"/>
  <c r="AG140" i="43" s="1"/>
  <c r="AI140" i="43"/>
  <c r="AJ74" i="43"/>
  <c r="AF74" i="43"/>
  <c r="AG74" i="43" s="1"/>
  <c r="AI74" i="43"/>
  <c r="AF497" i="26"/>
  <c r="AG497" i="26" s="1"/>
  <c r="AF492" i="26"/>
  <c r="AG492" i="26" s="1"/>
  <c r="AI480" i="26"/>
  <c r="AI470" i="26"/>
  <c r="AF461" i="26"/>
  <c r="AG461" i="26" s="1"/>
  <c r="AI454" i="26"/>
  <c r="AI438" i="26"/>
  <c r="AI416" i="26"/>
  <c r="AI402" i="26"/>
  <c r="AF399" i="26"/>
  <c r="AG399" i="26" s="1"/>
  <c r="AJ390" i="26"/>
  <c r="AJ372" i="26"/>
  <c r="AI355" i="26"/>
  <c r="AI327" i="26"/>
  <c r="AI324" i="26"/>
  <c r="AI317" i="26"/>
  <c r="AJ308" i="26"/>
  <c r="AF295" i="26"/>
  <c r="AG295" i="26" s="1"/>
  <c r="AI279" i="26"/>
  <c r="AI273" i="26"/>
  <c r="AF265" i="26"/>
  <c r="AG265" i="26" s="1"/>
  <c r="AF260" i="26"/>
  <c r="AG260" i="26" s="1"/>
  <c r="AF241" i="26"/>
  <c r="AG241" i="26" s="1"/>
  <c r="AI210" i="26"/>
  <c r="AI199" i="26"/>
  <c r="AI171" i="26"/>
  <c r="AF137" i="26"/>
  <c r="AG137" i="26" s="1"/>
  <c r="AF130" i="26"/>
  <c r="AG130" i="26" s="1"/>
  <c r="AF127" i="26"/>
  <c r="AG127" i="26" s="1"/>
  <c r="AI116" i="26"/>
  <c r="AI113" i="26"/>
  <c r="AI78" i="26"/>
  <c r="AI67" i="26"/>
  <c r="AF20" i="26"/>
  <c r="AG20" i="26" s="1"/>
  <c r="AF13" i="26"/>
  <c r="AG13" i="26" s="1"/>
  <c r="AI589" i="43"/>
  <c r="AF568" i="43"/>
  <c r="AG568" i="43" s="1"/>
  <c r="AF531" i="43"/>
  <c r="AG531" i="43" s="1"/>
  <c r="AJ524" i="43"/>
  <c r="AF524" i="43"/>
  <c r="AG524" i="43" s="1"/>
  <c r="AI524" i="43"/>
  <c r="AJ513" i="43"/>
  <c r="AI513" i="43"/>
  <c r="AF491" i="43"/>
  <c r="AG491" i="43" s="1"/>
  <c r="AJ491" i="43"/>
  <c r="AF479" i="43"/>
  <c r="AG479" i="43" s="1"/>
  <c r="AF452" i="43"/>
  <c r="AG452" i="43" s="1"/>
  <c r="AF375" i="43"/>
  <c r="AG375" i="43" s="1"/>
  <c r="AF302" i="43"/>
  <c r="AG302" i="43" s="1"/>
  <c r="AJ286" i="43"/>
  <c r="AF286" i="43"/>
  <c r="AG286" i="43" s="1"/>
  <c r="AF275" i="43"/>
  <c r="AG275" i="43" s="1"/>
  <c r="AJ275" i="43"/>
  <c r="AJ262" i="43"/>
  <c r="AF225" i="43"/>
  <c r="AG225" i="43" s="1"/>
  <c r="AI175" i="43"/>
  <c r="AF148" i="43"/>
  <c r="AG148" i="43" s="1"/>
  <c r="AF119" i="43"/>
  <c r="AG119" i="43" s="1"/>
  <c r="AI61" i="43"/>
  <c r="AJ61" i="43"/>
  <c r="AJ154" i="43"/>
  <c r="AI452" i="14"/>
  <c r="AJ397" i="14"/>
  <c r="AF333" i="14"/>
  <c r="AG333" i="14" s="1"/>
  <c r="AF300" i="14"/>
  <c r="AG300" i="14" s="1"/>
  <c r="AJ275" i="14"/>
  <c r="AF195" i="14"/>
  <c r="AG195" i="14" s="1"/>
  <c r="AJ480" i="34"/>
  <c r="AJ458" i="34"/>
  <c r="AJ434" i="34"/>
  <c r="AJ420" i="34"/>
  <c r="AI408" i="34"/>
  <c r="AI394" i="34"/>
  <c r="AI358" i="34"/>
  <c r="AF358" i="34"/>
  <c r="AG358" i="34" s="1"/>
  <c r="AJ356" i="34"/>
  <c r="AF353" i="34"/>
  <c r="AG353" i="34" s="1"/>
  <c r="AF334" i="34"/>
  <c r="AG334" i="34" s="1"/>
  <c r="AJ399" i="44"/>
  <c r="AI399" i="44"/>
  <c r="AF193" i="44"/>
  <c r="AG193" i="44" s="1"/>
  <c r="AI193" i="44"/>
  <c r="AI180" i="44"/>
  <c r="AF180" i="44"/>
  <c r="AG180" i="44" s="1"/>
  <c r="AJ50" i="44"/>
  <c r="AF50" i="44"/>
  <c r="AG50" i="44" s="1"/>
  <c r="AI50" i="44"/>
  <c r="AI442" i="14"/>
  <c r="AF397" i="14"/>
  <c r="AG397" i="14" s="1"/>
  <c r="AF366" i="14"/>
  <c r="AG366" i="14" s="1"/>
  <c r="AI263" i="14"/>
  <c r="AJ150" i="14"/>
  <c r="AI420" i="34"/>
  <c r="AJ400" i="34"/>
  <c r="AF394" i="34"/>
  <c r="AG394" i="34" s="1"/>
  <c r="AI356" i="34"/>
  <c r="AI347" i="34"/>
  <c r="AJ480" i="44"/>
  <c r="AF480" i="44"/>
  <c r="AG480" i="44" s="1"/>
  <c r="AF445" i="44"/>
  <c r="AG445" i="44" s="1"/>
  <c r="AI445" i="44"/>
  <c r="AF417" i="44"/>
  <c r="AG417" i="44" s="1"/>
  <c r="AI417" i="44"/>
  <c r="AJ417" i="44"/>
  <c r="AJ373" i="44"/>
  <c r="AF373" i="44"/>
  <c r="AG373" i="44" s="1"/>
  <c r="AI373" i="44"/>
  <c r="AJ277" i="44"/>
  <c r="AF277" i="44"/>
  <c r="AG277" i="44" s="1"/>
  <c r="AI277" i="44"/>
  <c r="AF203" i="44"/>
  <c r="AG203" i="44" s="1"/>
  <c r="AJ203" i="44"/>
  <c r="AI154" i="44"/>
  <c r="AF154" i="44"/>
  <c r="AG154" i="44" s="1"/>
  <c r="AF352" i="14"/>
  <c r="AG352" i="14" s="1"/>
  <c r="AF317" i="14"/>
  <c r="AG317" i="14" s="1"/>
  <c r="AJ198" i="14"/>
  <c r="AF167" i="14"/>
  <c r="AG167" i="14" s="1"/>
  <c r="AF150" i="14"/>
  <c r="AG150" i="14" s="1"/>
  <c r="AJ418" i="34"/>
  <c r="AF413" i="34"/>
  <c r="AG413" i="34" s="1"/>
  <c r="AF400" i="34"/>
  <c r="AG400" i="34" s="1"/>
  <c r="AI372" i="34"/>
  <c r="AF372" i="34"/>
  <c r="AG372" i="34" s="1"/>
  <c r="AJ367" i="34"/>
  <c r="AI367" i="34"/>
  <c r="AI363" i="34"/>
  <c r="AI343" i="34"/>
  <c r="AJ321" i="34"/>
  <c r="AI321" i="34"/>
  <c r="AF292" i="34"/>
  <c r="AG292" i="34" s="1"/>
  <c r="AJ292" i="34"/>
  <c r="AJ288" i="34"/>
  <c r="AJ283" i="34"/>
  <c r="AI283" i="34"/>
  <c r="AF292" i="44"/>
  <c r="AG292" i="44" s="1"/>
  <c r="AJ292" i="44"/>
  <c r="AI215" i="44"/>
  <c r="AF215" i="44"/>
  <c r="AG215" i="44" s="1"/>
  <c r="AF196" i="44"/>
  <c r="AG196" i="44" s="1"/>
  <c r="AI196" i="44"/>
  <c r="AJ196" i="44"/>
  <c r="AF97" i="44"/>
  <c r="AG97" i="44" s="1"/>
  <c r="AJ97" i="44"/>
  <c r="AJ53" i="44"/>
  <c r="AF53" i="44"/>
  <c r="AG53" i="44" s="1"/>
  <c r="AI53" i="44"/>
  <c r="AJ383" i="34"/>
  <c r="AF383" i="34"/>
  <c r="AG383" i="34" s="1"/>
  <c r="AI383" i="34"/>
  <c r="AJ301" i="34"/>
  <c r="AI301" i="34"/>
  <c r="AJ270" i="34"/>
  <c r="AF270" i="34"/>
  <c r="AG270" i="34" s="1"/>
  <c r="AJ144" i="44"/>
  <c r="AF144" i="44"/>
  <c r="AG144" i="44" s="1"/>
  <c r="AI144" i="44"/>
  <c r="AI8" i="44"/>
  <c r="AF8" i="44"/>
  <c r="AG8" i="44" s="1"/>
  <c r="AJ8" i="44"/>
  <c r="AJ444" i="43"/>
  <c r="AJ483" i="13"/>
  <c r="AJ416" i="34"/>
  <c r="AJ404" i="34"/>
  <c r="AI398" i="34"/>
  <c r="AJ335" i="34"/>
  <c r="AI335" i="34"/>
  <c r="AJ277" i="34"/>
  <c r="AF277" i="34"/>
  <c r="AG277" i="34" s="1"/>
  <c r="AJ297" i="44"/>
  <c r="AF297" i="44"/>
  <c r="AG297" i="44" s="1"/>
  <c r="AJ104" i="44"/>
  <c r="AF104" i="44"/>
  <c r="AG104" i="44" s="1"/>
  <c r="AI104" i="44"/>
  <c r="AF88" i="43"/>
  <c r="AG88" i="43" s="1"/>
  <c r="AI483" i="13"/>
  <c r="AI468" i="14"/>
  <c r="AJ295" i="14"/>
  <c r="AJ201" i="14"/>
  <c r="AF172" i="14"/>
  <c r="AG172" i="14" s="1"/>
  <c r="AJ426" i="34"/>
  <c r="AI416" i="34"/>
  <c r="AF404" i="34"/>
  <c r="AG404" i="34" s="1"/>
  <c r="AF390" i="34"/>
  <c r="AG390" i="34" s="1"/>
  <c r="AI390" i="34"/>
  <c r="AF388" i="34"/>
  <c r="AG388" i="34" s="1"/>
  <c r="AI375" i="34"/>
  <c r="AJ331" i="34"/>
  <c r="AI331" i="34"/>
  <c r="AF317" i="34"/>
  <c r="AG317" i="34" s="1"/>
  <c r="AF407" i="44"/>
  <c r="AG407" i="44" s="1"/>
  <c r="AI407" i="44"/>
  <c r="AJ407" i="44"/>
  <c r="AF356" i="44"/>
  <c r="AG356" i="44" s="1"/>
  <c r="AI356" i="44"/>
  <c r="AJ356" i="44"/>
  <c r="AI234" i="44"/>
  <c r="AF234" i="44"/>
  <c r="AG234" i="44" s="1"/>
  <c r="AJ491" i="14"/>
  <c r="AF295" i="14"/>
  <c r="AG295" i="14" s="1"/>
  <c r="AF242" i="14"/>
  <c r="AG242" i="14" s="1"/>
  <c r="AJ491" i="44"/>
  <c r="AF491" i="44"/>
  <c r="AG491" i="44" s="1"/>
  <c r="AI491" i="44"/>
  <c r="AI423" i="44"/>
  <c r="AF423" i="44"/>
  <c r="AG423" i="44" s="1"/>
  <c r="AI390" i="44"/>
  <c r="AF390" i="44"/>
  <c r="AG390" i="44" s="1"/>
  <c r="AF319" i="44"/>
  <c r="AG319" i="44" s="1"/>
  <c r="AI319" i="44"/>
  <c r="AJ319" i="44"/>
  <c r="AF209" i="44"/>
  <c r="AG209" i="44" s="1"/>
  <c r="AJ209" i="44"/>
  <c r="AJ37" i="44"/>
  <c r="AF37" i="44"/>
  <c r="AG37" i="44" s="1"/>
  <c r="AI37" i="44"/>
  <c r="AJ17" i="44"/>
  <c r="AF17" i="44"/>
  <c r="AG17" i="44" s="1"/>
  <c r="AI17" i="44"/>
  <c r="AI396" i="34"/>
  <c r="AF396" i="34"/>
  <c r="AG396" i="34" s="1"/>
  <c r="AI342" i="34"/>
  <c r="AF342" i="34"/>
  <c r="AG342" i="34" s="1"/>
  <c r="AI280" i="34"/>
  <c r="AF280" i="34"/>
  <c r="AG280" i="34" s="1"/>
  <c r="AI475" i="44"/>
  <c r="AF475" i="44"/>
  <c r="AG475" i="44" s="1"/>
  <c r="AF352" i="44"/>
  <c r="AG352" i="44" s="1"/>
  <c r="AI352" i="44"/>
  <c r="AJ352" i="44"/>
  <c r="AF331" i="44"/>
  <c r="AG331" i="44" s="1"/>
  <c r="AI331" i="44"/>
  <c r="AJ331" i="44"/>
  <c r="AJ489" i="45"/>
  <c r="AF489" i="45"/>
  <c r="AG489" i="45" s="1"/>
  <c r="AI475" i="45"/>
  <c r="AJ475" i="45"/>
  <c r="AF410" i="45"/>
  <c r="AG410" i="45" s="1"/>
  <c r="AI410" i="45"/>
  <c r="AJ93" i="45"/>
  <c r="AF93" i="45"/>
  <c r="AG93" i="45" s="1"/>
  <c r="AF415" i="47"/>
  <c r="AG415" i="47" s="1"/>
  <c r="AJ415" i="47"/>
  <c r="AI202" i="47"/>
  <c r="AF202" i="47"/>
  <c r="AG202" i="47" s="1"/>
  <c r="AF486" i="44"/>
  <c r="AG486" i="44" s="1"/>
  <c r="AF471" i="44"/>
  <c r="AG471" i="44" s="1"/>
  <c r="AF468" i="44"/>
  <c r="AG468" i="44" s="1"/>
  <c r="AF461" i="44"/>
  <c r="AG461" i="44" s="1"/>
  <c r="AI443" i="44"/>
  <c r="AF431" i="44"/>
  <c r="AG431" i="44" s="1"/>
  <c r="AI421" i="44"/>
  <c r="AI415" i="44"/>
  <c r="AI405" i="44"/>
  <c r="AI381" i="44"/>
  <c r="AF374" i="44"/>
  <c r="AG374" i="44" s="1"/>
  <c r="AF371" i="44"/>
  <c r="AG371" i="44" s="1"/>
  <c r="AI360" i="44"/>
  <c r="AJ340" i="44"/>
  <c r="AF339" i="44"/>
  <c r="AG339" i="44" s="1"/>
  <c r="AF335" i="44"/>
  <c r="AG335" i="44" s="1"/>
  <c r="AI329" i="44"/>
  <c r="AF328" i="44"/>
  <c r="AG328" i="44" s="1"/>
  <c r="AI323" i="44"/>
  <c r="AF321" i="44"/>
  <c r="AG321" i="44" s="1"/>
  <c r="AJ312" i="44"/>
  <c r="AF311" i="44"/>
  <c r="AG311" i="44" s="1"/>
  <c r="AF310" i="44"/>
  <c r="AG310" i="44" s="1"/>
  <c r="AI285" i="44"/>
  <c r="AF278" i="44"/>
  <c r="AG278" i="44" s="1"/>
  <c r="AF267" i="44"/>
  <c r="AG267" i="44" s="1"/>
  <c r="AF262" i="44"/>
  <c r="AG262" i="44" s="1"/>
  <c r="AF259" i="44"/>
  <c r="AG259" i="44" s="1"/>
  <c r="AF256" i="44"/>
  <c r="AG256" i="44" s="1"/>
  <c r="AI224" i="44"/>
  <c r="AJ210" i="44"/>
  <c r="AF206" i="44"/>
  <c r="AG206" i="44" s="1"/>
  <c r="AF200" i="44"/>
  <c r="AG200" i="44" s="1"/>
  <c r="AF186" i="44"/>
  <c r="AG186" i="44" s="1"/>
  <c r="AI160" i="44"/>
  <c r="AF137" i="44"/>
  <c r="AG137" i="44" s="1"/>
  <c r="AI137" i="44"/>
  <c r="AF81" i="44"/>
  <c r="AG81" i="44" s="1"/>
  <c r="AJ81" i="44"/>
  <c r="AJ70" i="44"/>
  <c r="AI70" i="44"/>
  <c r="AJ35" i="44"/>
  <c r="AF35" i="44"/>
  <c r="AG35" i="44" s="1"/>
  <c r="AJ487" i="45"/>
  <c r="AF487" i="45"/>
  <c r="AG487" i="45" s="1"/>
  <c r="AJ417" i="45"/>
  <c r="AF417" i="45"/>
  <c r="AG417" i="45" s="1"/>
  <c r="AI384" i="45"/>
  <c r="AF384" i="45"/>
  <c r="AG384" i="45" s="1"/>
  <c r="AJ375" i="45"/>
  <c r="AF375" i="45"/>
  <c r="AG375" i="45" s="1"/>
  <c r="AF288" i="45"/>
  <c r="AG288" i="45" s="1"/>
  <c r="AI288" i="45"/>
  <c r="AI265" i="45"/>
  <c r="AJ265" i="45"/>
  <c r="AJ219" i="45"/>
  <c r="AI219" i="45"/>
  <c r="AJ200" i="45"/>
  <c r="AF200" i="45"/>
  <c r="AG200" i="45" s="1"/>
  <c r="AI200" i="45"/>
  <c r="AJ131" i="45"/>
  <c r="AF131" i="45"/>
  <c r="AG131" i="45" s="1"/>
  <c r="AI131" i="45"/>
  <c r="AF98" i="45"/>
  <c r="AG98" i="45" s="1"/>
  <c r="AI98" i="45"/>
  <c r="AJ98" i="45"/>
  <c r="AJ41" i="45"/>
  <c r="AF41" i="45"/>
  <c r="AG41" i="45" s="1"/>
  <c r="AF100" i="46"/>
  <c r="AG100" i="46" s="1"/>
  <c r="AI100" i="46"/>
  <c r="AJ100" i="46"/>
  <c r="AJ53" i="46"/>
  <c r="AI53" i="46"/>
  <c r="AJ9" i="46"/>
  <c r="AF9" i="46"/>
  <c r="AG9" i="46" s="1"/>
  <c r="AI9" i="46"/>
  <c r="AI400" i="44"/>
  <c r="AF360" i="44"/>
  <c r="AG360" i="44" s="1"/>
  <c r="AI340" i="44"/>
  <c r="AJ333" i="44"/>
  <c r="AF322" i="44"/>
  <c r="AG322" i="44" s="1"/>
  <c r="AI312" i="44"/>
  <c r="AF181" i="44"/>
  <c r="AG181" i="44" s="1"/>
  <c r="AJ170" i="44"/>
  <c r="AF160" i="44"/>
  <c r="AG160" i="44" s="1"/>
  <c r="AF150" i="44"/>
  <c r="AG150" i="44" s="1"/>
  <c r="AI140" i="44"/>
  <c r="AF140" i="44"/>
  <c r="AG140" i="44" s="1"/>
  <c r="AF113" i="44"/>
  <c r="AG113" i="44" s="1"/>
  <c r="AJ113" i="44"/>
  <c r="AF75" i="44"/>
  <c r="AG75" i="44" s="1"/>
  <c r="AI75" i="44"/>
  <c r="AI29" i="44"/>
  <c r="AJ18" i="44"/>
  <c r="AF18" i="44"/>
  <c r="AG18" i="44" s="1"/>
  <c r="AJ497" i="45"/>
  <c r="AF442" i="45"/>
  <c r="AG442" i="45" s="1"/>
  <c r="AI442" i="45"/>
  <c r="AJ436" i="45"/>
  <c r="AJ422" i="45"/>
  <c r="AF415" i="45"/>
  <c r="AG415" i="45" s="1"/>
  <c r="AJ295" i="45"/>
  <c r="AF295" i="45"/>
  <c r="AG295" i="45" s="1"/>
  <c r="AI295" i="45"/>
  <c r="AJ245" i="45"/>
  <c r="AF245" i="45"/>
  <c r="AG245" i="45" s="1"/>
  <c r="AF75" i="45"/>
  <c r="AG75" i="45" s="1"/>
  <c r="AI75" i="45"/>
  <c r="AJ75" i="45"/>
  <c r="AJ166" i="46"/>
  <c r="AF166" i="46"/>
  <c r="AG166" i="46" s="1"/>
  <c r="AI166" i="46"/>
  <c r="AJ288" i="44"/>
  <c r="AF281" i="44"/>
  <c r="AG281" i="44" s="1"/>
  <c r="AI275" i="44"/>
  <c r="AJ252" i="44"/>
  <c r="AJ225" i="44"/>
  <c r="AJ218" i="44"/>
  <c r="AF168" i="44"/>
  <c r="AG168" i="44" s="1"/>
  <c r="AI91" i="44"/>
  <c r="AF91" i="44"/>
  <c r="AG91" i="44" s="1"/>
  <c r="AI71" i="44"/>
  <c r="AF40" i="44"/>
  <c r="AG40" i="44" s="1"/>
  <c r="AJ40" i="44"/>
  <c r="AF29" i="44"/>
  <c r="AG29" i="44" s="1"/>
  <c r="AF497" i="45"/>
  <c r="AG497" i="45" s="1"/>
  <c r="AI490" i="45"/>
  <c r="AF467" i="45"/>
  <c r="AG467" i="45" s="1"/>
  <c r="AI467" i="45"/>
  <c r="AJ395" i="45"/>
  <c r="AI395" i="45"/>
  <c r="AJ369" i="45"/>
  <c r="AI369" i="45"/>
  <c r="AI354" i="45"/>
  <c r="AF354" i="45"/>
  <c r="AG354" i="45" s="1"/>
  <c r="AI252" i="45"/>
  <c r="AF252" i="45"/>
  <c r="AG252" i="45" s="1"/>
  <c r="AJ252" i="45"/>
  <c r="AF442" i="46"/>
  <c r="AG442" i="46" s="1"/>
  <c r="AJ442" i="46"/>
  <c r="AF148" i="44"/>
  <c r="AG148" i="44" s="1"/>
  <c r="AJ148" i="44"/>
  <c r="AF118" i="44"/>
  <c r="AG118" i="44" s="1"/>
  <c r="AJ118" i="44"/>
  <c r="AJ64" i="44"/>
  <c r="AF64" i="44"/>
  <c r="AG64" i="44" s="1"/>
  <c r="AI474" i="45"/>
  <c r="AJ474" i="45"/>
  <c r="AF461" i="45"/>
  <c r="AG461" i="45" s="1"/>
  <c r="AI461" i="45"/>
  <c r="AJ455" i="45"/>
  <c r="AI452" i="45"/>
  <c r="AJ452" i="45"/>
  <c r="AJ391" i="45"/>
  <c r="AI391" i="45"/>
  <c r="AF277" i="45"/>
  <c r="AG277" i="45" s="1"/>
  <c r="AJ277" i="45"/>
  <c r="AI226" i="45"/>
  <c r="AF226" i="45"/>
  <c r="AG226" i="45" s="1"/>
  <c r="AF136" i="45"/>
  <c r="AG136" i="45" s="1"/>
  <c r="AI136" i="45"/>
  <c r="AJ136" i="45"/>
  <c r="AJ451" i="46"/>
  <c r="AF451" i="46"/>
  <c r="AG451" i="46" s="1"/>
  <c r="AI365" i="44"/>
  <c r="AI362" i="44"/>
  <c r="AF358" i="44"/>
  <c r="AG358" i="44" s="1"/>
  <c r="AI355" i="44"/>
  <c r="AF351" i="44"/>
  <c r="AG351" i="44" s="1"/>
  <c r="AI345" i="44"/>
  <c r="AJ308" i="44"/>
  <c r="AJ307" i="44"/>
  <c r="AJ306" i="44"/>
  <c r="AJ305" i="44"/>
  <c r="AJ304" i="44"/>
  <c r="AJ303" i="44"/>
  <c r="AJ302" i="44"/>
  <c r="AF299" i="44"/>
  <c r="AG299" i="44" s="1"/>
  <c r="AF294" i="44"/>
  <c r="AG294" i="44" s="1"/>
  <c r="AI289" i="44"/>
  <c r="AI276" i="44"/>
  <c r="AF271" i="44"/>
  <c r="AG271" i="44" s="1"/>
  <c r="AF248" i="44"/>
  <c r="AG248" i="44" s="1"/>
  <c r="AI241" i="44"/>
  <c r="AF228" i="44"/>
  <c r="AG228" i="44" s="1"/>
  <c r="AF214" i="44"/>
  <c r="AG214" i="44" s="1"/>
  <c r="AI208" i="44"/>
  <c r="AI202" i="44"/>
  <c r="AJ177" i="44"/>
  <c r="AJ166" i="44"/>
  <c r="AI151" i="44"/>
  <c r="AF146" i="44"/>
  <c r="AG146" i="44" s="1"/>
  <c r="AJ89" i="44"/>
  <c r="AJ82" i="44"/>
  <c r="AI82" i="44"/>
  <c r="AJ45" i="44"/>
  <c r="AF45" i="44"/>
  <c r="AG45" i="44" s="1"/>
  <c r="AJ25" i="44"/>
  <c r="AI25" i="44"/>
  <c r="AF22" i="44"/>
  <c r="AG22" i="44" s="1"/>
  <c r="AJ22" i="44"/>
  <c r="AI19" i="44"/>
  <c r="AI10" i="44"/>
  <c r="AJ459" i="45"/>
  <c r="AF443" i="45"/>
  <c r="AG443" i="45" s="1"/>
  <c r="AF434" i="45"/>
  <c r="AG434" i="45" s="1"/>
  <c r="AJ182" i="45"/>
  <c r="AF182" i="45"/>
  <c r="AG182" i="45" s="1"/>
  <c r="AF56" i="45"/>
  <c r="AG56" i="45" s="1"/>
  <c r="AI56" i="45"/>
  <c r="AJ56" i="45"/>
  <c r="AJ489" i="46"/>
  <c r="AI489" i="46"/>
  <c r="AF428" i="46"/>
  <c r="AG428" i="46" s="1"/>
  <c r="AI428" i="46"/>
  <c r="AJ428" i="46"/>
  <c r="AJ360" i="34"/>
  <c r="AF488" i="44"/>
  <c r="AG488" i="44" s="1"/>
  <c r="AJ483" i="44"/>
  <c r="AF477" i="44"/>
  <c r="AG477" i="44" s="1"/>
  <c r="AF470" i="44"/>
  <c r="AG470" i="44" s="1"/>
  <c r="AI455" i="44"/>
  <c r="AJ437" i="44"/>
  <c r="AI434" i="44"/>
  <c r="AF433" i="44"/>
  <c r="AG433" i="44" s="1"/>
  <c r="AJ425" i="44"/>
  <c r="AF392" i="44"/>
  <c r="AG392" i="44" s="1"/>
  <c r="AF380" i="44"/>
  <c r="AG380" i="44" s="1"/>
  <c r="AJ368" i="44"/>
  <c r="AF365" i="44"/>
  <c r="AG365" i="44" s="1"/>
  <c r="AF327" i="44"/>
  <c r="AG327" i="44" s="1"/>
  <c r="AJ320" i="44"/>
  <c r="AF318" i="44"/>
  <c r="AG318" i="44" s="1"/>
  <c r="AJ310" i="44"/>
  <c r="AJ309" i="44"/>
  <c r="AF302" i="44"/>
  <c r="AG302" i="44" s="1"/>
  <c r="AF289" i="44"/>
  <c r="AG289" i="44" s="1"/>
  <c r="AF282" i="44"/>
  <c r="AG282" i="44" s="1"/>
  <c r="AJ264" i="44"/>
  <c r="AJ244" i="44"/>
  <c r="AJ239" i="44"/>
  <c r="AF226" i="44"/>
  <c r="AG226" i="44" s="1"/>
  <c r="AF219" i="44"/>
  <c r="AG219" i="44" s="1"/>
  <c r="AJ188" i="44"/>
  <c r="AI177" i="44"/>
  <c r="AF174" i="44"/>
  <c r="AG174" i="44" s="1"/>
  <c r="AJ162" i="44"/>
  <c r="AF156" i="44"/>
  <c r="AG156" i="44" s="1"/>
  <c r="AI101" i="44"/>
  <c r="AF101" i="44"/>
  <c r="AG101" i="44" s="1"/>
  <c r="AJ34" i="44"/>
  <c r="AF34" i="44"/>
  <c r="AG34" i="44" s="1"/>
  <c r="AJ20" i="44"/>
  <c r="AI482" i="45"/>
  <c r="AJ482" i="45"/>
  <c r="AI459" i="45"/>
  <c r="AJ423" i="45"/>
  <c r="AF423" i="45"/>
  <c r="AG423" i="45" s="1"/>
  <c r="AF372" i="45"/>
  <c r="AG372" i="45" s="1"/>
  <c r="AI372" i="45"/>
  <c r="AJ344" i="45"/>
  <c r="AI344" i="45"/>
  <c r="AJ331" i="45"/>
  <c r="AF331" i="45"/>
  <c r="AG331" i="45" s="1"/>
  <c r="AJ255" i="45"/>
  <c r="AF255" i="45"/>
  <c r="AG255" i="45" s="1"/>
  <c r="AF498" i="46"/>
  <c r="AG498" i="46" s="1"/>
  <c r="AJ498" i="46"/>
  <c r="AF462" i="46"/>
  <c r="AG462" i="46" s="1"/>
  <c r="AI462" i="46"/>
  <c r="AJ462" i="46"/>
  <c r="AJ233" i="46"/>
  <c r="AF233" i="46"/>
  <c r="AG233" i="46" s="1"/>
  <c r="AI233" i="46"/>
  <c r="AJ282" i="34"/>
  <c r="AJ402" i="44"/>
  <c r="AJ353" i="44"/>
  <c r="AJ332" i="44"/>
  <c r="AI269" i="44"/>
  <c r="AI212" i="44"/>
  <c r="AJ122" i="44"/>
  <c r="AI122" i="44"/>
  <c r="AF112" i="44"/>
  <c r="AG112" i="44" s="1"/>
  <c r="AI112" i="44"/>
  <c r="AI90" i="44"/>
  <c r="AJ72" i="44"/>
  <c r="AF72" i="44"/>
  <c r="AG72" i="44" s="1"/>
  <c r="AJ65" i="44"/>
  <c r="AF65" i="44"/>
  <c r="AG65" i="44" s="1"/>
  <c r="AF475" i="45"/>
  <c r="AG475" i="45" s="1"/>
  <c r="AJ456" i="45"/>
  <c r="AI430" i="45"/>
  <c r="AF430" i="45"/>
  <c r="AG430" i="45" s="1"/>
  <c r="AJ403" i="45"/>
  <c r="AI403" i="45"/>
  <c r="AF340" i="45"/>
  <c r="AG340" i="45" s="1"/>
  <c r="AI340" i="45"/>
  <c r="AJ305" i="45"/>
  <c r="AI305" i="45"/>
  <c r="AJ282" i="45"/>
  <c r="AF282" i="45"/>
  <c r="AG282" i="45" s="1"/>
  <c r="AJ253" i="45"/>
  <c r="AF253" i="45"/>
  <c r="AG253" i="45" s="1"/>
  <c r="AF238" i="45"/>
  <c r="AG238" i="45" s="1"/>
  <c r="AJ238" i="45"/>
  <c r="AJ157" i="45"/>
  <c r="AF157" i="45"/>
  <c r="AG157" i="45" s="1"/>
  <c r="AI157" i="45"/>
  <c r="AF86" i="45"/>
  <c r="AG86" i="45" s="1"/>
  <c r="AI86" i="45"/>
  <c r="AJ86" i="45"/>
  <c r="AJ208" i="45"/>
  <c r="AF189" i="45"/>
  <c r="AG189" i="45" s="1"/>
  <c r="AF185" i="45"/>
  <c r="AG185" i="45" s="1"/>
  <c r="AF179" i="45"/>
  <c r="AG179" i="45" s="1"/>
  <c r="AF165" i="45"/>
  <c r="AG165" i="45" s="1"/>
  <c r="AF88" i="45"/>
  <c r="AG88" i="45" s="1"/>
  <c r="AF59" i="45"/>
  <c r="AG59" i="45" s="1"/>
  <c r="AF39" i="45"/>
  <c r="AG39" i="45" s="1"/>
  <c r="AJ479" i="46"/>
  <c r="AI479" i="46"/>
  <c r="AF463" i="46"/>
  <c r="AG463" i="46" s="1"/>
  <c r="AF426" i="46"/>
  <c r="AG426" i="46" s="1"/>
  <c r="AJ419" i="46"/>
  <c r="AI419" i="46"/>
  <c r="AF405" i="46"/>
  <c r="AG405" i="46" s="1"/>
  <c r="AF385" i="46"/>
  <c r="AG385" i="46" s="1"/>
  <c r="AF376" i="46"/>
  <c r="AG376" i="46" s="1"/>
  <c r="AF360" i="46"/>
  <c r="AG360" i="46" s="1"/>
  <c r="AF353" i="46"/>
  <c r="AG353" i="46" s="1"/>
  <c r="AF343" i="46"/>
  <c r="AG343" i="46" s="1"/>
  <c r="AI343" i="46"/>
  <c r="AI334" i="46"/>
  <c r="AI313" i="46"/>
  <c r="AJ272" i="46"/>
  <c r="AI272" i="46"/>
  <c r="AF246" i="46"/>
  <c r="AG246" i="46" s="1"/>
  <c r="AI243" i="46"/>
  <c r="AJ243" i="46"/>
  <c r="AF241" i="46"/>
  <c r="AG241" i="46" s="1"/>
  <c r="AJ134" i="46"/>
  <c r="AF134" i="46"/>
  <c r="AG134" i="46" s="1"/>
  <c r="AJ45" i="46"/>
  <c r="AF45" i="46"/>
  <c r="AG45" i="46" s="1"/>
  <c r="AF18" i="46"/>
  <c r="AG18" i="46" s="1"/>
  <c r="AJ18" i="46"/>
  <c r="AI298" i="47"/>
  <c r="AF298" i="47"/>
  <c r="AG298" i="47" s="1"/>
  <c r="AF277" i="47"/>
  <c r="AG277" i="47" s="1"/>
  <c r="AI277" i="47"/>
  <c r="AJ277" i="47"/>
  <c r="AF263" i="47"/>
  <c r="AG263" i="47" s="1"/>
  <c r="AI263" i="47"/>
  <c r="AJ263" i="47"/>
  <c r="AF241" i="47"/>
  <c r="AG241" i="47" s="1"/>
  <c r="AI241" i="47"/>
  <c r="AJ241" i="47"/>
  <c r="AF195" i="47"/>
  <c r="AG195" i="47" s="1"/>
  <c r="AI195" i="47"/>
  <c r="AJ195" i="47"/>
  <c r="AI492" i="46"/>
  <c r="AF492" i="46"/>
  <c r="AG492" i="46" s="1"/>
  <c r="AF484" i="46"/>
  <c r="AG484" i="46" s="1"/>
  <c r="AJ484" i="46"/>
  <c r="AJ435" i="46"/>
  <c r="AF435" i="46"/>
  <c r="AG435" i="46" s="1"/>
  <c r="AI346" i="46"/>
  <c r="AF346" i="46"/>
  <c r="AG346" i="46" s="1"/>
  <c r="AJ281" i="46"/>
  <c r="AF281" i="46"/>
  <c r="AG281" i="46" s="1"/>
  <c r="AJ249" i="46"/>
  <c r="AF249" i="46"/>
  <c r="AG249" i="46" s="1"/>
  <c r="AJ141" i="46"/>
  <c r="AF141" i="46"/>
  <c r="AG141" i="46" s="1"/>
  <c r="AF56" i="46"/>
  <c r="AG56" i="46" s="1"/>
  <c r="AJ56" i="46"/>
  <c r="AF28" i="46"/>
  <c r="AG28" i="46" s="1"/>
  <c r="AI28" i="46"/>
  <c r="AJ28" i="46"/>
  <c r="AJ490" i="47"/>
  <c r="AF490" i="47"/>
  <c r="AG490" i="47" s="1"/>
  <c r="AJ445" i="47"/>
  <c r="AF445" i="47"/>
  <c r="AG445" i="47" s="1"/>
  <c r="AI445" i="47"/>
  <c r="AI438" i="47"/>
  <c r="AF438" i="47"/>
  <c r="AG438" i="47" s="1"/>
  <c r="AF429" i="47"/>
  <c r="AG429" i="47" s="1"/>
  <c r="AJ429" i="47"/>
  <c r="AJ388" i="47"/>
  <c r="AF388" i="47"/>
  <c r="AG388" i="47" s="1"/>
  <c r="AI388" i="47"/>
  <c r="AJ323" i="47"/>
  <c r="AI323" i="47"/>
  <c r="AF154" i="47"/>
  <c r="AG154" i="47" s="1"/>
  <c r="AI154" i="47"/>
  <c r="AJ154" i="47"/>
  <c r="AJ84" i="47"/>
  <c r="AF84" i="47"/>
  <c r="AG84" i="47" s="1"/>
  <c r="AF361" i="45"/>
  <c r="AG361" i="45" s="1"/>
  <c r="AI350" i="45"/>
  <c r="AF311" i="45"/>
  <c r="AG311" i="45" s="1"/>
  <c r="AF299" i="45"/>
  <c r="AG299" i="45" s="1"/>
  <c r="AJ232" i="45"/>
  <c r="AJ202" i="45"/>
  <c r="AJ172" i="45"/>
  <c r="AJ499" i="46"/>
  <c r="AF499" i="46"/>
  <c r="AG499" i="46" s="1"/>
  <c r="AF475" i="46"/>
  <c r="AG475" i="46" s="1"/>
  <c r="AI469" i="46"/>
  <c r="AF466" i="46"/>
  <c r="AG466" i="46" s="1"/>
  <c r="AF456" i="46"/>
  <c r="AG456" i="46" s="1"/>
  <c r="AJ443" i="46"/>
  <c r="AF443" i="46"/>
  <c r="AG443" i="46" s="1"/>
  <c r="AF433" i="46"/>
  <c r="AG433" i="46" s="1"/>
  <c r="AF417" i="46"/>
  <c r="AG417" i="46" s="1"/>
  <c r="AJ374" i="46"/>
  <c r="AF323" i="46"/>
  <c r="AG323" i="46" s="1"/>
  <c r="AJ311" i="46"/>
  <c r="AF311" i="46"/>
  <c r="AG311" i="46" s="1"/>
  <c r="AI302" i="46"/>
  <c r="AJ302" i="46"/>
  <c r="AF300" i="46"/>
  <c r="AG300" i="46" s="1"/>
  <c r="AI275" i="46"/>
  <c r="AJ263" i="46"/>
  <c r="AJ256" i="46"/>
  <c r="AI256" i="46"/>
  <c r="AF239" i="46"/>
  <c r="AG239" i="46" s="1"/>
  <c r="AI239" i="46"/>
  <c r="AF214" i="46"/>
  <c r="AG214" i="46" s="1"/>
  <c r="AF199" i="46"/>
  <c r="AG199" i="46" s="1"/>
  <c r="AJ171" i="46"/>
  <c r="AF171" i="46"/>
  <c r="AG171" i="46" s="1"/>
  <c r="AJ152" i="46"/>
  <c r="AF152" i="46"/>
  <c r="AG152" i="46" s="1"/>
  <c r="AJ139" i="46"/>
  <c r="AF139" i="46"/>
  <c r="AG139" i="46" s="1"/>
  <c r="AJ26" i="46"/>
  <c r="AF26" i="46"/>
  <c r="AG26" i="46" s="1"/>
  <c r="AF12" i="46"/>
  <c r="AG12" i="46" s="1"/>
  <c r="AI12" i="46"/>
  <c r="AJ12" i="46"/>
  <c r="AJ441" i="47"/>
  <c r="AI441" i="47"/>
  <c r="AF258" i="47"/>
  <c r="AG258" i="47" s="1"/>
  <c r="AI258" i="47"/>
  <c r="AJ258" i="47"/>
  <c r="AF184" i="47"/>
  <c r="AG184" i="47" s="1"/>
  <c r="AI184" i="47"/>
  <c r="AJ184" i="47"/>
  <c r="AI232" i="45"/>
  <c r="AJ216" i="45"/>
  <c r="AI202" i="45"/>
  <c r="AI172" i="45"/>
  <c r="AI124" i="45"/>
  <c r="AI92" i="45"/>
  <c r="AI55" i="45"/>
  <c r="AI448" i="46"/>
  <c r="AF448" i="46"/>
  <c r="AG448" i="46" s="1"/>
  <c r="AF356" i="46"/>
  <c r="AG356" i="46" s="1"/>
  <c r="AI356" i="46"/>
  <c r="AJ335" i="46"/>
  <c r="AF335" i="46"/>
  <c r="AG335" i="46" s="1"/>
  <c r="AJ167" i="46"/>
  <c r="AF167" i="46"/>
  <c r="AG167" i="46" s="1"/>
  <c r="AF409" i="47"/>
  <c r="AG409" i="47" s="1"/>
  <c r="AI409" i="47"/>
  <c r="AJ33" i="47"/>
  <c r="AF33" i="47"/>
  <c r="AG33" i="47" s="1"/>
  <c r="AI33" i="47"/>
  <c r="AF376" i="45"/>
  <c r="AG376" i="45" s="1"/>
  <c r="AF346" i="45"/>
  <c r="AG346" i="45" s="1"/>
  <c r="AI327" i="45"/>
  <c r="AI314" i="45"/>
  <c r="AF300" i="45"/>
  <c r="AG300" i="45" s="1"/>
  <c r="AF297" i="45"/>
  <c r="AG297" i="45" s="1"/>
  <c r="AF292" i="45"/>
  <c r="AG292" i="45" s="1"/>
  <c r="AI274" i="45"/>
  <c r="AF257" i="45"/>
  <c r="AG257" i="45" s="1"/>
  <c r="AF216" i="45"/>
  <c r="AG216" i="45" s="1"/>
  <c r="AF124" i="45"/>
  <c r="AG124" i="45" s="1"/>
  <c r="AF117" i="45"/>
  <c r="AG117" i="45" s="1"/>
  <c r="AF92" i="45"/>
  <c r="AG92" i="45" s="1"/>
  <c r="AF55" i="45"/>
  <c r="AG55" i="45" s="1"/>
  <c r="AF454" i="46"/>
  <c r="AG454" i="46" s="1"/>
  <c r="AI454" i="46"/>
  <c r="AI431" i="46"/>
  <c r="AJ418" i="46"/>
  <c r="AJ319" i="46"/>
  <c r="AF319" i="46"/>
  <c r="AG319" i="46" s="1"/>
  <c r="AF314" i="46"/>
  <c r="AG314" i="46" s="1"/>
  <c r="AJ314" i="46"/>
  <c r="AJ155" i="46"/>
  <c r="AF155" i="46"/>
  <c r="AG155" i="46" s="1"/>
  <c r="AI155" i="46"/>
  <c r="AJ88" i="46"/>
  <c r="AF88" i="46"/>
  <c r="AG88" i="46" s="1"/>
  <c r="AJ498" i="47"/>
  <c r="AF498" i="47"/>
  <c r="AG498" i="47" s="1"/>
  <c r="AF421" i="47"/>
  <c r="AG421" i="47" s="1"/>
  <c r="AI421" i="47"/>
  <c r="AJ421" i="47"/>
  <c r="AJ315" i="47"/>
  <c r="AI315" i="47"/>
  <c r="AI245" i="47"/>
  <c r="AF245" i="47"/>
  <c r="AG245" i="47" s="1"/>
  <c r="AJ245" i="47"/>
  <c r="AF87" i="47"/>
  <c r="AG87" i="47" s="1"/>
  <c r="AI87" i="47"/>
  <c r="AJ87" i="47"/>
  <c r="AJ178" i="45"/>
  <c r="AJ160" i="45"/>
  <c r="AI87" i="45"/>
  <c r="AJ370" i="46"/>
  <c r="AJ357" i="46"/>
  <c r="AI324" i="46"/>
  <c r="AF324" i="46"/>
  <c r="AG324" i="46" s="1"/>
  <c r="AI298" i="46"/>
  <c r="AJ298" i="46"/>
  <c r="AF296" i="46"/>
  <c r="AG296" i="46" s="1"/>
  <c r="AF235" i="46"/>
  <c r="AG235" i="46" s="1"/>
  <c r="AJ235" i="46"/>
  <c r="AI228" i="46"/>
  <c r="AJ228" i="46"/>
  <c r="AF226" i="46"/>
  <c r="AG226" i="46" s="1"/>
  <c r="AJ202" i="46"/>
  <c r="AF202" i="46"/>
  <c r="AG202" i="46" s="1"/>
  <c r="AF189" i="46"/>
  <c r="AG189" i="46" s="1"/>
  <c r="AJ189" i="46"/>
  <c r="AJ174" i="46"/>
  <c r="AI174" i="46"/>
  <c r="AF127" i="46"/>
  <c r="AG127" i="46" s="1"/>
  <c r="AI127" i="46"/>
  <c r="AJ489" i="47"/>
  <c r="AF489" i="47"/>
  <c r="AG489" i="47" s="1"/>
  <c r="AI489" i="47"/>
  <c r="AF455" i="47"/>
  <c r="AG455" i="47" s="1"/>
  <c r="AI455" i="47"/>
  <c r="AJ455" i="47"/>
  <c r="AJ448" i="47"/>
  <c r="AI448" i="47"/>
  <c r="AF391" i="47"/>
  <c r="AG391" i="47" s="1"/>
  <c r="AJ391" i="47"/>
  <c r="AF187" i="47"/>
  <c r="AG187" i="47" s="1"/>
  <c r="AI187" i="47"/>
  <c r="AJ187" i="47"/>
  <c r="AF164" i="47"/>
  <c r="AG164" i="47" s="1"/>
  <c r="AI164" i="47"/>
  <c r="AJ164" i="47"/>
  <c r="AI328" i="45"/>
  <c r="AI258" i="45"/>
  <c r="AI185" i="45"/>
  <c r="AI179" i="45"/>
  <c r="AI76" i="45"/>
  <c r="AI68" i="45"/>
  <c r="AJ473" i="46"/>
  <c r="AI473" i="46"/>
  <c r="AI470" i="46"/>
  <c r="AJ470" i="46"/>
  <c r="AI390" i="46"/>
  <c r="AF382" i="46"/>
  <c r="AG382" i="46" s="1"/>
  <c r="AJ382" i="46"/>
  <c r="AJ378" i="46"/>
  <c r="AI352" i="46"/>
  <c r="AF352" i="46"/>
  <c r="AG352" i="46" s="1"/>
  <c r="AJ310" i="46"/>
  <c r="AI283" i="46"/>
  <c r="AJ269" i="46"/>
  <c r="AF257" i="46"/>
  <c r="AG257" i="46" s="1"/>
  <c r="AJ257" i="46"/>
  <c r="AJ215" i="46"/>
  <c r="AF215" i="46"/>
  <c r="AG215" i="46" s="1"/>
  <c r="AJ187" i="46"/>
  <c r="AF187" i="46"/>
  <c r="AG187" i="46" s="1"/>
  <c r="AJ93" i="46"/>
  <c r="AI93" i="46"/>
  <c r="AJ13" i="46"/>
  <c r="AF13" i="46"/>
  <c r="AG13" i="46" s="1"/>
  <c r="AF318" i="47"/>
  <c r="AG318" i="47" s="1"/>
  <c r="AI318" i="47"/>
  <c r="AJ318" i="47"/>
  <c r="AJ153" i="46"/>
  <c r="AI106" i="46"/>
  <c r="AJ38" i="46"/>
  <c r="AI493" i="47"/>
  <c r="AI482" i="47"/>
  <c r="AI474" i="47"/>
  <c r="AJ419" i="47"/>
  <c r="AF416" i="47"/>
  <c r="AG416" i="47" s="1"/>
  <c r="AJ413" i="47"/>
  <c r="AJ407" i="47"/>
  <c r="AJ400" i="47"/>
  <c r="AI394" i="47"/>
  <c r="AJ366" i="47"/>
  <c r="AF342" i="47"/>
  <c r="AG342" i="47" s="1"/>
  <c r="AJ316" i="47"/>
  <c r="AF313" i="47"/>
  <c r="AG313" i="47" s="1"/>
  <c r="AI299" i="47"/>
  <c r="AJ294" i="47"/>
  <c r="AI264" i="47"/>
  <c r="AJ260" i="47"/>
  <c r="AF256" i="47"/>
  <c r="AG256" i="47" s="1"/>
  <c r="AF246" i="47"/>
  <c r="AG246" i="47" s="1"/>
  <c r="AF220" i="47"/>
  <c r="AG220" i="47" s="1"/>
  <c r="AJ200" i="47"/>
  <c r="AI196" i="47"/>
  <c r="AF188" i="47"/>
  <c r="AG188" i="47" s="1"/>
  <c r="AI185" i="47"/>
  <c r="AJ182" i="47"/>
  <c r="AJ178" i="47"/>
  <c r="AI171" i="47"/>
  <c r="AF168" i="47"/>
  <c r="AG168" i="47" s="1"/>
  <c r="AF155" i="47"/>
  <c r="AG155" i="47" s="1"/>
  <c r="AF150" i="47"/>
  <c r="AG150" i="47" s="1"/>
  <c r="AI144" i="47"/>
  <c r="AI85" i="47"/>
  <c r="AI64" i="47"/>
  <c r="AJ56" i="47"/>
  <c r="AF34" i="47"/>
  <c r="AG34" i="47" s="1"/>
  <c r="AF27" i="47"/>
  <c r="AG27" i="47" s="1"/>
  <c r="AF98" i="47"/>
  <c r="AG98" i="47" s="1"/>
  <c r="AI91" i="47"/>
  <c r="AF85" i="47"/>
  <c r="AG85" i="47" s="1"/>
  <c r="AI68" i="47"/>
  <c r="AF64" i="47"/>
  <c r="AG64" i="47" s="1"/>
  <c r="AF63" i="47"/>
  <c r="AG63" i="47" s="1"/>
  <c r="AJ40" i="47"/>
  <c r="AF86" i="46"/>
  <c r="AG86" i="46" s="1"/>
  <c r="AI63" i="46"/>
  <c r="AF16" i="46"/>
  <c r="AG16" i="46" s="1"/>
  <c r="AJ433" i="47"/>
  <c r="AI486" i="47"/>
  <c r="AI478" i="47"/>
  <c r="AI433" i="47"/>
  <c r="AJ428" i="47"/>
  <c r="AJ390" i="47"/>
  <c r="AJ161" i="46"/>
  <c r="AJ147" i="46"/>
  <c r="AJ137" i="46"/>
  <c r="AJ84" i="46"/>
  <c r="AJ79" i="46"/>
  <c r="AI68" i="46"/>
  <c r="AI58" i="46"/>
  <c r="AJ22" i="46"/>
  <c r="AF6" i="46"/>
  <c r="AG6" i="46" s="1"/>
  <c r="AI3" i="46"/>
  <c r="AF486" i="47"/>
  <c r="AG486" i="47" s="1"/>
  <c r="AF478" i="47"/>
  <c r="AG478" i="47" s="1"/>
  <c r="AJ461" i="47"/>
  <c r="AI428" i="47"/>
  <c r="AJ411" i="47"/>
  <c r="AJ396" i="47"/>
  <c r="AI390" i="47"/>
  <c r="AJ385" i="47"/>
  <c r="AI354" i="47"/>
  <c r="AF336" i="47"/>
  <c r="AG336" i="47" s="1"/>
  <c r="AI331" i="47"/>
  <c r="AF276" i="47"/>
  <c r="AG276" i="47" s="1"/>
  <c r="AJ266" i="47"/>
  <c r="AI240" i="47"/>
  <c r="AJ198" i="47"/>
  <c r="AI194" i="47"/>
  <c r="AJ190" i="47"/>
  <c r="AJ174" i="47"/>
  <c r="AJ173" i="47"/>
  <c r="AI146" i="47"/>
  <c r="AJ128" i="47"/>
  <c r="AI120" i="47"/>
  <c r="AI117" i="47"/>
  <c r="AF266" i="47"/>
  <c r="AG266" i="47" s="1"/>
  <c r="AJ259" i="47"/>
  <c r="AI198" i="47"/>
  <c r="AI190" i="47"/>
  <c r="AI177" i="47"/>
  <c r="AI173" i="47"/>
  <c r="AI149" i="47"/>
  <c r="AF143" i="47"/>
  <c r="AG143" i="47" s="1"/>
  <c r="AF131" i="47"/>
  <c r="AG131" i="47" s="1"/>
  <c r="AI128" i="47"/>
  <c r="AF117" i="47"/>
  <c r="AG117" i="47" s="1"/>
  <c r="AI50" i="47"/>
  <c r="AI24" i="47"/>
  <c r="AJ95" i="46"/>
  <c r="AJ40" i="46"/>
  <c r="AJ4" i="46"/>
  <c r="AI473" i="47"/>
  <c r="AJ412" i="47"/>
  <c r="AJ397" i="47"/>
  <c r="AJ280" i="47"/>
  <c r="AJ267" i="47"/>
  <c r="AJ242" i="47"/>
  <c r="AI235" i="47"/>
  <c r="AJ243" i="26"/>
  <c r="AF243" i="26"/>
  <c r="AG243" i="26" s="1"/>
  <c r="AJ215" i="26"/>
  <c r="AF215" i="26"/>
  <c r="AG215" i="26" s="1"/>
  <c r="AF206" i="26"/>
  <c r="AG206" i="26" s="1"/>
  <c r="AJ206" i="26"/>
  <c r="AJ142" i="26"/>
  <c r="AF142" i="26"/>
  <c r="AG142" i="26" s="1"/>
  <c r="AJ126" i="26"/>
  <c r="AF126" i="26"/>
  <c r="AG126" i="26" s="1"/>
  <c r="AJ110" i="26"/>
  <c r="AF110" i="26"/>
  <c r="AG110" i="26" s="1"/>
  <c r="AI70" i="26"/>
  <c r="AI65" i="26"/>
  <c r="AJ61" i="26"/>
  <c r="AI15" i="26"/>
  <c r="AJ596" i="43"/>
  <c r="AI596" i="43"/>
  <c r="AJ567" i="43"/>
  <c r="AI567" i="43"/>
  <c r="AF567" i="43"/>
  <c r="AG567" i="43" s="1"/>
  <c r="AF539" i="43"/>
  <c r="AG539" i="43" s="1"/>
  <c r="AI539" i="43"/>
  <c r="AI529" i="43"/>
  <c r="AJ514" i="43"/>
  <c r="AI514" i="43"/>
  <c r="AI511" i="43"/>
  <c r="AJ482" i="43"/>
  <c r="AF482" i="43"/>
  <c r="AG482" i="43" s="1"/>
  <c r="AJ476" i="43"/>
  <c r="AI476" i="43"/>
  <c r="AJ383" i="43"/>
  <c r="AF383" i="43"/>
  <c r="AG383" i="43" s="1"/>
  <c r="AF348" i="43"/>
  <c r="AG348" i="43" s="1"/>
  <c r="AI348" i="43"/>
  <c r="AF336" i="43"/>
  <c r="AG336" i="43" s="1"/>
  <c r="AI336" i="43"/>
  <c r="AF301" i="43"/>
  <c r="AG301" i="43" s="1"/>
  <c r="AI301" i="43"/>
  <c r="AJ294" i="43"/>
  <c r="AI294" i="43"/>
  <c r="AJ270" i="43"/>
  <c r="AF270" i="43"/>
  <c r="AG270" i="43" s="1"/>
  <c r="AJ268" i="43"/>
  <c r="AF268" i="43"/>
  <c r="AG268" i="43" s="1"/>
  <c r="AJ254" i="43"/>
  <c r="AF254" i="43"/>
  <c r="AG254" i="43" s="1"/>
  <c r="AJ232" i="43"/>
  <c r="AI232" i="43"/>
  <c r="AJ190" i="43"/>
  <c r="AF190" i="43"/>
  <c r="AG190" i="43" s="1"/>
  <c r="AI190" i="43"/>
  <c r="AJ168" i="43"/>
  <c r="AI168" i="43"/>
  <c r="AF168" i="43"/>
  <c r="AG168" i="43" s="1"/>
  <c r="AF144" i="43"/>
  <c r="AG144" i="43" s="1"/>
  <c r="AI144" i="43"/>
  <c r="AJ144" i="43"/>
  <c r="AF138" i="43"/>
  <c r="AG138" i="43" s="1"/>
  <c r="AI138" i="43"/>
  <c r="AJ138" i="43"/>
  <c r="AJ99" i="43"/>
  <c r="AF99" i="43"/>
  <c r="AG99" i="43" s="1"/>
  <c r="AI494" i="26"/>
  <c r="AF462" i="26"/>
  <c r="AG462" i="26" s="1"/>
  <c r="AF459" i="26"/>
  <c r="AG459" i="26" s="1"/>
  <c r="AF451" i="26"/>
  <c r="AG451" i="26" s="1"/>
  <c r="AF443" i="26"/>
  <c r="AG443" i="26" s="1"/>
  <c r="AF435" i="26"/>
  <c r="AG435" i="26" s="1"/>
  <c r="AF423" i="26"/>
  <c r="AG423" i="26" s="1"/>
  <c r="AF413" i="26"/>
  <c r="AG413" i="26" s="1"/>
  <c r="AF402" i="26"/>
  <c r="AG402" i="26" s="1"/>
  <c r="AI390" i="26"/>
  <c r="AJ382" i="26"/>
  <c r="AJ362" i="26"/>
  <c r="AI356" i="26"/>
  <c r="AF349" i="26"/>
  <c r="AG349" i="26" s="1"/>
  <c r="AF334" i="26"/>
  <c r="AG334" i="26" s="1"/>
  <c r="AI331" i="26"/>
  <c r="AF327" i="26"/>
  <c r="AG327" i="26" s="1"/>
  <c r="AJ318" i="26"/>
  <c r="AF304" i="26"/>
  <c r="AG304" i="26" s="1"/>
  <c r="AI301" i="26"/>
  <c r="AF270" i="26"/>
  <c r="AG270" i="26" s="1"/>
  <c r="AF264" i="26"/>
  <c r="AG264" i="26" s="1"/>
  <c r="AF261" i="26"/>
  <c r="AG261" i="26" s="1"/>
  <c r="AF247" i="26"/>
  <c r="AG247" i="26" s="1"/>
  <c r="AI213" i="26"/>
  <c r="AJ210" i="26"/>
  <c r="AI194" i="26"/>
  <c r="AF151" i="26"/>
  <c r="AG151" i="26" s="1"/>
  <c r="AJ151" i="26"/>
  <c r="AF140" i="26"/>
  <c r="AG140" i="26" s="1"/>
  <c r="AF135" i="26"/>
  <c r="AG135" i="26" s="1"/>
  <c r="AJ135" i="26"/>
  <c r="AF124" i="26"/>
  <c r="AG124" i="26" s="1"/>
  <c r="AF119" i="26"/>
  <c r="AG119" i="26" s="1"/>
  <c r="AJ119" i="26"/>
  <c r="AF108" i="26"/>
  <c r="AG108" i="26" s="1"/>
  <c r="AF103" i="26"/>
  <c r="AG103" i="26" s="1"/>
  <c r="AJ103" i="26"/>
  <c r="AI97" i="26"/>
  <c r="AF70" i="26"/>
  <c r="AG70" i="26" s="1"/>
  <c r="AF65" i="26"/>
  <c r="AG65" i="26" s="1"/>
  <c r="AF61" i="26"/>
  <c r="AG61" i="26" s="1"/>
  <c r="AF49" i="26"/>
  <c r="AG49" i="26" s="1"/>
  <c r="AF15" i="26"/>
  <c r="AG15" i="26" s="1"/>
  <c r="AF584" i="43"/>
  <c r="AG584" i="43" s="1"/>
  <c r="AF529" i="43"/>
  <c r="AG529" i="43" s="1"/>
  <c r="AF519" i="43"/>
  <c r="AG519" i="43" s="1"/>
  <c r="AJ519" i="43"/>
  <c r="AF511" i="43"/>
  <c r="AG511" i="43" s="1"/>
  <c r="AJ467" i="43"/>
  <c r="AF467" i="43"/>
  <c r="AG467" i="43" s="1"/>
  <c r="AF386" i="43"/>
  <c r="AG386" i="43" s="1"/>
  <c r="AJ386" i="43"/>
  <c r="AJ367" i="43"/>
  <c r="AF367" i="43"/>
  <c r="AG367" i="43" s="1"/>
  <c r="AI367" i="43"/>
  <c r="AF297" i="43"/>
  <c r="AG297" i="43" s="1"/>
  <c r="AJ297" i="43"/>
  <c r="AJ284" i="43"/>
  <c r="AF284" i="43"/>
  <c r="AG284" i="43" s="1"/>
  <c r="AJ224" i="43"/>
  <c r="AF224" i="43"/>
  <c r="AG224" i="43" s="1"/>
  <c r="AJ163" i="43"/>
  <c r="AF163" i="43"/>
  <c r="AG163" i="43" s="1"/>
  <c r="AJ129" i="43"/>
  <c r="AI129" i="43"/>
  <c r="AF85" i="43"/>
  <c r="AG85" i="43" s="1"/>
  <c r="AI85" i="43"/>
  <c r="AI256" i="26"/>
  <c r="AF256" i="26"/>
  <c r="AG256" i="26" s="1"/>
  <c r="AJ223" i="26"/>
  <c r="AF223" i="26"/>
  <c r="AG223" i="26" s="1"/>
  <c r="AJ220" i="26"/>
  <c r="AI220" i="26"/>
  <c r="AI157" i="26"/>
  <c r="AF157" i="26"/>
  <c r="AG157" i="26" s="1"/>
  <c r="AJ33" i="26"/>
  <c r="AF33" i="26"/>
  <c r="AG33" i="26" s="1"/>
  <c r="AJ18" i="26"/>
  <c r="AF18" i="26"/>
  <c r="AG18" i="26" s="1"/>
  <c r="AF592" i="43"/>
  <c r="AG592" i="43" s="1"/>
  <c r="AI592" i="43"/>
  <c r="AJ592" i="43"/>
  <c r="AF517" i="43"/>
  <c r="AG517" i="43" s="1"/>
  <c r="AI517" i="43"/>
  <c r="AJ499" i="43"/>
  <c r="AF499" i="43"/>
  <c r="AG499" i="43" s="1"/>
  <c r="AJ462" i="43"/>
  <c r="AF462" i="43"/>
  <c r="AG462" i="43" s="1"/>
  <c r="AF400" i="43"/>
  <c r="AG400" i="43" s="1"/>
  <c r="AI400" i="43"/>
  <c r="AF374" i="43"/>
  <c r="AG374" i="43" s="1"/>
  <c r="AJ374" i="43"/>
  <c r="AF358" i="43"/>
  <c r="AG358" i="43" s="1"/>
  <c r="AI358" i="43"/>
  <c r="AJ358" i="43"/>
  <c r="AJ239" i="43"/>
  <c r="AF239" i="43"/>
  <c r="AG239" i="43" s="1"/>
  <c r="AI127" i="43"/>
  <c r="AF127" i="43"/>
  <c r="AG127" i="43" s="1"/>
  <c r="AF125" i="43"/>
  <c r="AG125" i="43" s="1"/>
  <c r="AJ125" i="43"/>
  <c r="AJ116" i="43"/>
  <c r="AF116" i="43"/>
  <c r="AG116" i="43" s="1"/>
  <c r="AI95" i="43"/>
  <c r="AF95" i="43"/>
  <c r="AG95" i="43" s="1"/>
  <c r="AJ68" i="43"/>
  <c r="AF68" i="43"/>
  <c r="AG68" i="43" s="1"/>
  <c r="AI495" i="26"/>
  <c r="AI492" i="26"/>
  <c r="AI484" i="26"/>
  <c r="AI476" i="26"/>
  <c r="AI467" i="26"/>
  <c r="AF463" i="26"/>
  <c r="AG463" i="26" s="1"/>
  <c r="AI460" i="26"/>
  <c r="AF457" i="26"/>
  <c r="AG457" i="26" s="1"/>
  <c r="AF449" i="26"/>
  <c r="AG449" i="26" s="1"/>
  <c r="AF441" i="26"/>
  <c r="AG441" i="26" s="1"/>
  <c r="AF433" i="26"/>
  <c r="AG433" i="26" s="1"/>
  <c r="AF426" i="26"/>
  <c r="AG426" i="26" s="1"/>
  <c r="AJ406" i="26"/>
  <c r="AF391" i="26"/>
  <c r="AG391" i="26" s="1"/>
  <c r="AJ368" i="26"/>
  <c r="AI363" i="26"/>
  <c r="AF347" i="26"/>
  <c r="AG347" i="26" s="1"/>
  <c r="AF331" i="26"/>
  <c r="AG331" i="26" s="1"/>
  <c r="AF328" i="26"/>
  <c r="AG328" i="26" s="1"/>
  <c r="AF311" i="26"/>
  <c r="AG311" i="26" s="1"/>
  <c r="AI308" i="26"/>
  <c r="AF301" i="26"/>
  <c r="AG301" i="26" s="1"/>
  <c r="AJ276" i="26"/>
  <c r="AJ259" i="26"/>
  <c r="AF259" i="26"/>
  <c r="AG259" i="26" s="1"/>
  <c r="AI249" i="26"/>
  <c r="AI239" i="26"/>
  <c r="AF234" i="26"/>
  <c r="AG234" i="26" s="1"/>
  <c r="AF226" i="26"/>
  <c r="AG226" i="26" s="1"/>
  <c r="AF213" i="26"/>
  <c r="AG213" i="26" s="1"/>
  <c r="AF194" i="26"/>
  <c r="AG194" i="26" s="1"/>
  <c r="AJ161" i="26"/>
  <c r="AF149" i="26"/>
  <c r="AG149" i="26" s="1"/>
  <c r="AF138" i="26"/>
  <c r="AG138" i="26" s="1"/>
  <c r="AF133" i="26"/>
  <c r="AG133" i="26" s="1"/>
  <c r="AF122" i="26"/>
  <c r="AG122" i="26" s="1"/>
  <c r="AF117" i="26"/>
  <c r="AG117" i="26" s="1"/>
  <c r="AF106" i="26"/>
  <c r="AG106" i="26" s="1"/>
  <c r="AF101" i="26"/>
  <c r="AG101" i="26" s="1"/>
  <c r="AF97" i="26"/>
  <c r="AG97" i="26" s="1"/>
  <c r="AJ54" i="26"/>
  <c r="AI34" i="26"/>
  <c r="AI19" i="26"/>
  <c r="AJ579" i="43"/>
  <c r="AF579" i="43"/>
  <c r="AG579" i="43" s="1"/>
  <c r="AF577" i="43"/>
  <c r="AG577" i="43" s="1"/>
  <c r="AJ540" i="43"/>
  <c r="AI540" i="43"/>
  <c r="AF515" i="43"/>
  <c r="AG515" i="43" s="1"/>
  <c r="AF465" i="43"/>
  <c r="AG465" i="43" s="1"/>
  <c r="AI465" i="43"/>
  <c r="AJ460" i="43"/>
  <c r="AF460" i="43"/>
  <c r="AG460" i="43" s="1"/>
  <c r="AI447" i="43"/>
  <c r="AF447" i="43"/>
  <c r="AG447" i="43" s="1"/>
  <c r="AJ447" i="43"/>
  <c r="AF442" i="43"/>
  <c r="AG442" i="43" s="1"/>
  <c r="AJ442" i="43"/>
  <c r="AJ377" i="43"/>
  <c r="AI377" i="43"/>
  <c r="AJ351" i="43"/>
  <c r="AF351" i="43"/>
  <c r="AG351" i="43" s="1"/>
  <c r="AJ276" i="43"/>
  <c r="AF276" i="43"/>
  <c r="AG276" i="43" s="1"/>
  <c r="AI276" i="43"/>
  <c r="AI271" i="43"/>
  <c r="AF271" i="43"/>
  <c r="AG271" i="43" s="1"/>
  <c r="AJ259" i="43"/>
  <c r="AF259" i="43"/>
  <c r="AG259" i="43" s="1"/>
  <c r="AJ242" i="43"/>
  <c r="AF242" i="43"/>
  <c r="AG242" i="43" s="1"/>
  <c r="AI242" i="43"/>
  <c r="AF158" i="43"/>
  <c r="AG158" i="43" s="1"/>
  <c r="AI158" i="43"/>
  <c r="AJ100" i="43"/>
  <c r="AF100" i="43"/>
  <c r="AG100" i="43" s="1"/>
  <c r="AF93" i="43"/>
  <c r="AG93" i="43" s="1"/>
  <c r="AJ93" i="43"/>
  <c r="AJ83" i="43"/>
  <c r="AI83" i="43"/>
  <c r="AJ73" i="43"/>
  <c r="AF73" i="43"/>
  <c r="AG73" i="43" s="1"/>
  <c r="AI415" i="26"/>
  <c r="AJ394" i="26"/>
  <c r="AI276" i="26"/>
  <c r="AJ262" i="26"/>
  <c r="AF262" i="26"/>
  <c r="AG262" i="26" s="1"/>
  <c r="AI245" i="26"/>
  <c r="AJ242" i="26"/>
  <c r="AJ229" i="26"/>
  <c r="AI229" i="26"/>
  <c r="AJ218" i="26"/>
  <c r="AJ191" i="26"/>
  <c r="AI161" i="26"/>
  <c r="AI158" i="26"/>
  <c r="AJ155" i="26"/>
  <c r="AI141" i="26"/>
  <c r="AF141" i="26"/>
  <c r="AG141" i="26" s="1"/>
  <c r="AI125" i="26"/>
  <c r="AF125" i="26"/>
  <c r="AG125" i="26" s="1"/>
  <c r="AI109" i="26"/>
  <c r="AF109" i="26"/>
  <c r="AG109" i="26" s="1"/>
  <c r="AI76" i="26"/>
  <c r="AI54" i="26"/>
  <c r="AJ47" i="26"/>
  <c r="AI47" i="26"/>
  <c r="AI38" i="26"/>
  <c r="AI600" i="43"/>
  <c r="AF600" i="43"/>
  <c r="AG600" i="43" s="1"/>
  <c r="AJ588" i="43"/>
  <c r="AF497" i="43"/>
  <c r="AG497" i="43" s="1"/>
  <c r="AI497" i="43"/>
  <c r="AJ494" i="43"/>
  <c r="AF494" i="43"/>
  <c r="AG494" i="43" s="1"/>
  <c r="AI492" i="43"/>
  <c r="AF475" i="43"/>
  <c r="AG475" i="43" s="1"/>
  <c r="AJ475" i="43"/>
  <c r="AJ468" i="43"/>
  <c r="AF468" i="43"/>
  <c r="AG468" i="43" s="1"/>
  <c r="AI468" i="43"/>
  <c r="AJ456" i="43"/>
  <c r="AF456" i="43"/>
  <c r="AG456" i="43" s="1"/>
  <c r="AI456" i="43"/>
  <c r="AF370" i="43"/>
  <c r="AG370" i="43" s="1"/>
  <c r="AJ370" i="43"/>
  <c r="AF354" i="43"/>
  <c r="AG354" i="43" s="1"/>
  <c r="AJ354" i="43"/>
  <c r="AJ335" i="43"/>
  <c r="AF335" i="43"/>
  <c r="AG335" i="43" s="1"/>
  <c r="AI335" i="43"/>
  <c r="AJ211" i="43"/>
  <c r="AF211" i="43"/>
  <c r="AG211" i="43" s="1"/>
  <c r="AJ191" i="43"/>
  <c r="AF191" i="43"/>
  <c r="AG191" i="43" s="1"/>
  <c r="AF133" i="43"/>
  <c r="AG133" i="43" s="1"/>
  <c r="AI133" i="43"/>
  <c r="AJ133" i="43"/>
  <c r="AF103" i="43"/>
  <c r="AG103" i="43" s="1"/>
  <c r="AJ103" i="43"/>
  <c r="AJ98" i="43"/>
  <c r="AF98" i="43"/>
  <c r="AG98" i="43" s="1"/>
  <c r="AJ76" i="43"/>
  <c r="AF76" i="43"/>
  <c r="AG76" i="43" s="1"/>
  <c r="AI76" i="43"/>
  <c r="AI496" i="26"/>
  <c r="AI490" i="26"/>
  <c r="AI482" i="26"/>
  <c r="AI474" i="26"/>
  <c r="AI468" i="26"/>
  <c r="AI464" i="26"/>
  <c r="AF455" i="26"/>
  <c r="AG455" i="26" s="1"/>
  <c r="AF447" i="26"/>
  <c r="AG447" i="26" s="1"/>
  <c r="AF439" i="26"/>
  <c r="AG439" i="26" s="1"/>
  <c r="AF430" i="26"/>
  <c r="AG430" i="26" s="1"/>
  <c r="AF427" i="26"/>
  <c r="AG427" i="26" s="1"/>
  <c r="AI419" i="26"/>
  <c r="AJ416" i="26"/>
  <c r="AF415" i="26"/>
  <c r="AG415" i="26" s="1"/>
  <c r="AI407" i="26"/>
  <c r="AI404" i="26"/>
  <c r="AF394" i="26"/>
  <c r="AG394" i="26" s="1"/>
  <c r="AJ366" i="26"/>
  <c r="AJ342" i="26"/>
  <c r="AI339" i="26"/>
  <c r="AJ320" i="26"/>
  <c r="AI296" i="26"/>
  <c r="AF296" i="26"/>
  <c r="AG296" i="26" s="1"/>
  <c r="AJ288" i="26"/>
  <c r="AJ272" i="26"/>
  <c r="AJ266" i="26"/>
  <c r="AF266" i="26"/>
  <c r="AG266" i="26" s="1"/>
  <c r="AF257" i="26"/>
  <c r="AG257" i="26" s="1"/>
  <c r="AF249" i="26"/>
  <c r="AG249" i="26" s="1"/>
  <c r="AF245" i="26"/>
  <c r="AG245" i="26" s="1"/>
  <c r="AI242" i="26"/>
  <c r="AF232" i="26"/>
  <c r="AG232" i="26" s="1"/>
  <c r="AI232" i="26"/>
  <c r="AF227" i="26"/>
  <c r="AG227" i="26" s="1"/>
  <c r="AF218" i="26"/>
  <c r="AG218" i="26" s="1"/>
  <c r="AF191" i="26"/>
  <c r="AG191" i="26" s="1"/>
  <c r="AF188" i="26"/>
  <c r="AG188" i="26" s="1"/>
  <c r="AJ185" i="26"/>
  <c r="AI174" i="26"/>
  <c r="AJ171" i="26"/>
  <c r="AI166" i="26"/>
  <c r="AF158" i="26"/>
  <c r="AG158" i="26" s="1"/>
  <c r="AI155" i="26"/>
  <c r="AF150" i="26"/>
  <c r="AG150" i="26" s="1"/>
  <c r="AJ136" i="26"/>
  <c r="AI136" i="26"/>
  <c r="AF134" i="26"/>
  <c r="AG134" i="26" s="1"/>
  <c r="AJ120" i="26"/>
  <c r="AI120" i="26"/>
  <c r="AF118" i="26"/>
  <c r="AG118" i="26" s="1"/>
  <c r="AJ104" i="26"/>
  <c r="AI104" i="26"/>
  <c r="AF102" i="26"/>
  <c r="AG102" i="26" s="1"/>
  <c r="AF99" i="26"/>
  <c r="AG99" i="26" s="1"/>
  <c r="AJ94" i="26"/>
  <c r="AF94" i="26"/>
  <c r="AG94" i="26" s="1"/>
  <c r="AJ92" i="26"/>
  <c r="AJ77" i="26"/>
  <c r="AF76" i="26"/>
  <c r="AG76" i="26" s="1"/>
  <c r="AJ73" i="26"/>
  <c r="AJ51" i="26"/>
  <c r="AF51" i="26"/>
  <c r="AG51" i="26" s="1"/>
  <c r="AJ45" i="26"/>
  <c r="AF45" i="26"/>
  <c r="AG45" i="26" s="1"/>
  <c r="AF43" i="26"/>
  <c r="AG43" i="26" s="1"/>
  <c r="AF38" i="26"/>
  <c r="AG38" i="26" s="1"/>
  <c r="AJ29" i="26"/>
  <c r="AF29" i="26"/>
  <c r="AG29" i="26" s="1"/>
  <c r="AJ22" i="26"/>
  <c r="AF22" i="26"/>
  <c r="AG22" i="26" s="1"/>
  <c r="AI20" i="26"/>
  <c r="AI588" i="43"/>
  <c r="AJ582" i="43"/>
  <c r="AF582" i="43"/>
  <c r="AG582" i="43" s="1"/>
  <c r="AF580" i="43"/>
  <c r="AG580" i="43" s="1"/>
  <c r="AF507" i="43"/>
  <c r="AG507" i="43" s="1"/>
  <c r="AJ507" i="43"/>
  <c r="AJ503" i="43"/>
  <c r="AI495" i="43"/>
  <c r="AF492" i="43"/>
  <c r="AG492" i="43" s="1"/>
  <c r="AF471" i="43"/>
  <c r="AG471" i="43" s="1"/>
  <c r="AJ471" i="43"/>
  <c r="AJ469" i="43"/>
  <c r="AF463" i="43"/>
  <c r="AG463" i="43" s="1"/>
  <c r="AJ463" i="43"/>
  <c r="AF380" i="43"/>
  <c r="AG380" i="43" s="1"/>
  <c r="AI380" i="43"/>
  <c r="AF368" i="43"/>
  <c r="AG368" i="43" s="1"/>
  <c r="AI368" i="43"/>
  <c r="AF342" i="43"/>
  <c r="AG342" i="43" s="1"/>
  <c r="AJ342" i="43"/>
  <c r="AF326" i="43"/>
  <c r="AG326" i="43" s="1"/>
  <c r="AI326" i="43"/>
  <c r="AJ326" i="43"/>
  <c r="AF251" i="43"/>
  <c r="AG251" i="43" s="1"/>
  <c r="AI251" i="43"/>
  <c r="AJ240" i="43"/>
  <c r="AF240" i="43"/>
  <c r="AG240" i="43" s="1"/>
  <c r="AJ223" i="43"/>
  <c r="AF223" i="43"/>
  <c r="AG223" i="43" s="1"/>
  <c r="AI223" i="43"/>
  <c r="AJ204" i="43"/>
  <c r="AF204" i="43"/>
  <c r="AG204" i="43" s="1"/>
  <c r="AJ194" i="43"/>
  <c r="AF194" i="43"/>
  <c r="AG194" i="43" s="1"/>
  <c r="AI194" i="43"/>
  <c r="AJ180" i="43"/>
  <c r="AI180" i="43"/>
  <c r="AF159" i="43"/>
  <c r="AG159" i="43" s="1"/>
  <c r="AJ159" i="43"/>
  <c r="AF117" i="43"/>
  <c r="AG117" i="43" s="1"/>
  <c r="AJ117" i="43"/>
  <c r="AJ112" i="43"/>
  <c r="AF112" i="43"/>
  <c r="AG112" i="43" s="1"/>
  <c r="AI320" i="26"/>
  <c r="AJ299" i="26"/>
  <c r="AF299" i="26"/>
  <c r="AG299" i="26" s="1"/>
  <c r="AJ269" i="26"/>
  <c r="AI269" i="26"/>
  <c r="AJ235" i="26"/>
  <c r="AF235" i="26"/>
  <c r="AG235" i="26" s="1"/>
  <c r="AJ198" i="26"/>
  <c r="AF198" i="26"/>
  <c r="AG198" i="26" s="1"/>
  <c r="AJ32" i="26"/>
  <c r="AF32" i="26"/>
  <c r="AG32" i="26" s="1"/>
  <c r="AI32" i="26"/>
  <c r="AJ17" i="26"/>
  <c r="AF17" i="26"/>
  <c r="AG17" i="26" s="1"/>
  <c r="AJ7" i="26"/>
  <c r="AF7" i="26"/>
  <c r="AG7" i="26" s="1"/>
  <c r="AF598" i="43"/>
  <c r="AG598" i="43" s="1"/>
  <c r="AI598" i="43"/>
  <c r="AJ593" i="43"/>
  <c r="AF593" i="43"/>
  <c r="AG593" i="43" s="1"/>
  <c r="AJ561" i="43"/>
  <c r="AF561" i="43"/>
  <c r="AG561" i="43" s="1"/>
  <c r="AJ528" i="43"/>
  <c r="AF528" i="43"/>
  <c r="AG528" i="43" s="1"/>
  <c r="AF408" i="43"/>
  <c r="AG408" i="43" s="1"/>
  <c r="AI408" i="43"/>
  <c r="AJ399" i="43"/>
  <c r="AF399" i="43"/>
  <c r="AG399" i="43" s="1"/>
  <c r="AI399" i="43"/>
  <c r="AJ345" i="43"/>
  <c r="AI345" i="43"/>
  <c r="AJ317" i="43"/>
  <c r="AF317" i="43"/>
  <c r="AG317" i="43" s="1"/>
  <c r="AJ288" i="43"/>
  <c r="AF288" i="43"/>
  <c r="AG288" i="43" s="1"/>
  <c r="AF279" i="43"/>
  <c r="AG279" i="43" s="1"/>
  <c r="AI279" i="43"/>
  <c r="AJ279" i="43"/>
  <c r="AF245" i="43"/>
  <c r="AG245" i="43" s="1"/>
  <c r="AI245" i="43"/>
  <c r="AJ245" i="43"/>
  <c r="AJ238" i="43"/>
  <c r="AF238" i="43"/>
  <c r="AG238" i="43" s="1"/>
  <c r="AI238" i="43"/>
  <c r="AF229" i="43"/>
  <c r="AG229" i="43" s="1"/>
  <c r="AJ229" i="43"/>
  <c r="AF177" i="43"/>
  <c r="AG177" i="43" s="1"/>
  <c r="AJ177" i="43"/>
  <c r="AI162" i="43"/>
  <c r="AJ162" i="43"/>
  <c r="AF162" i="43"/>
  <c r="AG162" i="43" s="1"/>
  <c r="AJ152" i="43"/>
  <c r="AF152" i="43"/>
  <c r="AG152" i="43" s="1"/>
  <c r="AJ115" i="43"/>
  <c r="AF115" i="43"/>
  <c r="AG115" i="43" s="1"/>
  <c r="AI115" i="43"/>
  <c r="AJ110" i="43"/>
  <c r="AF110" i="43"/>
  <c r="AG110" i="43" s="1"/>
  <c r="AJ108" i="43"/>
  <c r="AF108" i="43"/>
  <c r="AG108" i="43" s="1"/>
  <c r="AF453" i="26"/>
  <c r="AG453" i="26" s="1"/>
  <c r="AF445" i="26"/>
  <c r="AG445" i="26" s="1"/>
  <c r="AF437" i="26"/>
  <c r="AG437" i="26" s="1"/>
  <c r="AI422" i="26"/>
  <c r="AI413" i="26"/>
  <c r="AF398" i="26"/>
  <c r="AG398" i="26" s="1"/>
  <c r="AF395" i="26"/>
  <c r="AG395" i="26" s="1"/>
  <c r="AI387" i="26"/>
  <c r="AJ384" i="26"/>
  <c r="AI353" i="26"/>
  <c r="AI349" i="26"/>
  <c r="AI337" i="26"/>
  <c r="AI323" i="26"/>
  <c r="AJ294" i="26"/>
  <c r="AI291" i="26"/>
  <c r="AI285" i="26"/>
  <c r="AF281" i="26"/>
  <c r="AG281" i="26" s="1"/>
  <c r="AF253" i="26"/>
  <c r="AG253" i="26" s="1"/>
  <c r="AI243" i="26"/>
  <c r="AI240" i="26"/>
  <c r="AF240" i="26"/>
  <c r="AG240" i="26" s="1"/>
  <c r="AI215" i="26"/>
  <c r="AI206" i="26"/>
  <c r="AI203" i="26"/>
  <c r="AI180" i="26"/>
  <c r="AF166" i="26"/>
  <c r="AG166" i="26" s="1"/>
  <c r="AF163" i="26"/>
  <c r="AG163" i="26" s="1"/>
  <c r="AF159" i="26"/>
  <c r="AG159" i="26" s="1"/>
  <c r="AF156" i="26"/>
  <c r="AG156" i="26" s="1"/>
  <c r="AI142" i="26"/>
  <c r="AF139" i="26"/>
  <c r="AG139" i="26" s="1"/>
  <c r="AJ139" i="26"/>
  <c r="AI126" i="26"/>
  <c r="AF123" i="26"/>
  <c r="AG123" i="26" s="1"/>
  <c r="AJ123" i="26"/>
  <c r="AI110" i="26"/>
  <c r="AF107" i="26"/>
  <c r="AG107" i="26" s="1"/>
  <c r="AJ107" i="26"/>
  <c r="AI95" i="26"/>
  <c r="AF95" i="26"/>
  <c r="AG95" i="26" s="1"/>
  <c r="AI69" i="26"/>
  <c r="AF64" i="26"/>
  <c r="AG64" i="26" s="1"/>
  <c r="AJ52" i="26"/>
  <c r="AI52" i="26"/>
  <c r="AJ48" i="26"/>
  <c r="AF48" i="26"/>
  <c r="AG48" i="26" s="1"/>
  <c r="AI39" i="26"/>
  <c r="AI23" i="26"/>
  <c r="AF596" i="43"/>
  <c r="AG596" i="43" s="1"/>
  <c r="AF586" i="43"/>
  <c r="AG586" i="43" s="1"/>
  <c r="AI586" i="43"/>
  <c r="AF583" i="43"/>
  <c r="AG583" i="43" s="1"/>
  <c r="AF564" i="43"/>
  <c r="AG564" i="43" s="1"/>
  <c r="AJ539" i="43"/>
  <c r="AI532" i="43"/>
  <c r="AJ510" i="43"/>
  <c r="AI510" i="43"/>
  <c r="AI482" i="43"/>
  <c r="AF476" i="43"/>
  <c r="AG476" i="43" s="1"/>
  <c r="AF464" i="43"/>
  <c r="AG464" i="43" s="1"/>
  <c r="AI448" i="43"/>
  <c r="AJ448" i="43"/>
  <c r="AF448" i="43"/>
  <c r="AG448" i="43" s="1"/>
  <c r="AF406" i="43"/>
  <c r="AG406" i="43" s="1"/>
  <c r="AI406" i="43"/>
  <c r="AF390" i="43"/>
  <c r="AG390" i="43" s="1"/>
  <c r="AI390" i="43"/>
  <c r="AJ390" i="43"/>
  <c r="AI383" i="43"/>
  <c r="AJ348" i="43"/>
  <c r="AF338" i="43"/>
  <c r="AG338" i="43" s="1"/>
  <c r="AJ338" i="43"/>
  <c r="AF322" i="43"/>
  <c r="AG322" i="43" s="1"/>
  <c r="AJ322" i="43"/>
  <c r="AJ308" i="43"/>
  <c r="AI308" i="43"/>
  <c r="AF308" i="43"/>
  <c r="AG308" i="43" s="1"/>
  <c r="AF291" i="43"/>
  <c r="AG291" i="43" s="1"/>
  <c r="AJ291" i="43"/>
  <c r="AI270" i="43"/>
  <c r="AI254" i="43"/>
  <c r="AJ243" i="43"/>
  <c r="AF243" i="43"/>
  <c r="AG243" i="43" s="1"/>
  <c r="AI219" i="43"/>
  <c r="AJ219" i="43"/>
  <c r="AJ209" i="43"/>
  <c r="AF209" i="43"/>
  <c r="AG209" i="43" s="1"/>
  <c r="AJ192" i="43"/>
  <c r="AF192" i="43"/>
  <c r="AG192" i="43" s="1"/>
  <c r="AF183" i="43"/>
  <c r="AG183" i="43" s="1"/>
  <c r="AJ183" i="43"/>
  <c r="AJ131" i="43"/>
  <c r="AF131" i="43"/>
  <c r="AG131" i="43" s="1"/>
  <c r="AJ122" i="43"/>
  <c r="AI122" i="43"/>
  <c r="AI99" i="43"/>
  <c r="AJ90" i="43"/>
  <c r="AI90" i="43"/>
  <c r="AI496" i="13"/>
  <c r="AI363" i="13"/>
  <c r="AF411" i="14"/>
  <c r="AG411" i="14" s="1"/>
  <c r="AI411" i="14"/>
  <c r="AJ363" i="14"/>
  <c r="AF363" i="14"/>
  <c r="AG363" i="14" s="1"/>
  <c r="AI363" i="14"/>
  <c r="AJ322" i="14"/>
  <c r="AI322" i="14"/>
  <c r="AJ254" i="14"/>
  <c r="AF254" i="14"/>
  <c r="AG254" i="14" s="1"/>
  <c r="AJ186" i="14"/>
  <c r="AI186" i="14"/>
  <c r="AF468" i="34"/>
  <c r="AG468" i="34" s="1"/>
  <c r="AI468" i="34"/>
  <c r="AF430" i="34"/>
  <c r="AG430" i="34" s="1"/>
  <c r="AI430" i="34"/>
  <c r="AJ430" i="34"/>
  <c r="AI380" i="34"/>
  <c r="AF380" i="34"/>
  <c r="AG380" i="34" s="1"/>
  <c r="AJ438" i="43"/>
  <c r="AJ430" i="43"/>
  <c r="AJ422" i="43"/>
  <c r="AJ414" i="43"/>
  <c r="AI371" i="43"/>
  <c r="AI339" i="43"/>
  <c r="AI305" i="43"/>
  <c r="AI206" i="43"/>
  <c r="AI164" i="43"/>
  <c r="AJ147" i="43"/>
  <c r="AJ141" i="43"/>
  <c r="AI96" i="43"/>
  <c r="AF496" i="13"/>
  <c r="AG496" i="13" s="1"/>
  <c r="AJ479" i="13"/>
  <c r="AF363" i="13"/>
  <c r="AG363" i="13" s="1"/>
  <c r="AI494" i="14"/>
  <c r="AJ494" i="14"/>
  <c r="AJ380" i="14"/>
  <c r="AI380" i="14"/>
  <c r="AJ312" i="14"/>
  <c r="AI312" i="14"/>
  <c r="AI291" i="14"/>
  <c r="AF291" i="14"/>
  <c r="AG291" i="14" s="1"/>
  <c r="AJ291" i="14"/>
  <c r="AF199" i="14"/>
  <c r="AG199" i="14" s="1"/>
  <c r="AJ199" i="14"/>
  <c r="AF438" i="34"/>
  <c r="AG438" i="34" s="1"/>
  <c r="AI438" i="34"/>
  <c r="AJ438" i="34"/>
  <c r="AJ345" i="34"/>
  <c r="AF345" i="34"/>
  <c r="AG345" i="34" s="1"/>
  <c r="AF320" i="34"/>
  <c r="AG320" i="34" s="1"/>
  <c r="AJ320" i="34"/>
  <c r="AJ315" i="34"/>
  <c r="AF315" i="34"/>
  <c r="AG315" i="34" s="1"/>
  <c r="AI315" i="34"/>
  <c r="AJ446" i="14"/>
  <c r="AF446" i="14"/>
  <c r="AG446" i="14" s="1"/>
  <c r="AJ277" i="14"/>
  <c r="AF277" i="14"/>
  <c r="AG277" i="14" s="1"/>
  <c r="AF414" i="34"/>
  <c r="AG414" i="34" s="1"/>
  <c r="AI414" i="34"/>
  <c r="AJ414" i="34"/>
  <c r="AJ359" i="34"/>
  <c r="AI359" i="34"/>
  <c r="AF302" i="34"/>
  <c r="AG302" i="34" s="1"/>
  <c r="AI302" i="34"/>
  <c r="AJ302" i="34"/>
  <c r="AJ293" i="34"/>
  <c r="AF293" i="34"/>
  <c r="AG293" i="34" s="1"/>
  <c r="AI293" i="34"/>
  <c r="AJ312" i="43"/>
  <c r="AI207" i="43"/>
  <c r="AI174" i="43"/>
  <c r="AJ165" i="43"/>
  <c r="AI500" i="13"/>
  <c r="AJ376" i="14"/>
  <c r="AF376" i="14"/>
  <c r="AG376" i="14" s="1"/>
  <c r="AI197" i="14"/>
  <c r="AJ197" i="14"/>
  <c r="AI164" i="14"/>
  <c r="AF164" i="14"/>
  <c r="AG164" i="14" s="1"/>
  <c r="AJ164" i="14"/>
  <c r="AF422" i="34"/>
  <c r="AG422" i="34" s="1"/>
  <c r="AI422" i="34"/>
  <c r="AJ422" i="34"/>
  <c r="AF362" i="34"/>
  <c r="AG362" i="34" s="1"/>
  <c r="AJ362" i="34"/>
  <c r="AJ357" i="34"/>
  <c r="AF357" i="34"/>
  <c r="AG357" i="34" s="1"/>
  <c r="AI357" i="34"/>
  <c r="AJ341" i="34"/>
  <c r="AF341" i="34"/>
  <c r="AG341" i="34" s="1"/>
  <c r="AJ289" i="34"/>
  <c r="AI289" i="34"/>
  <c r="AJ279" i="34"/>
  <c r="AI279" i="34"/>
  <c r="AJ453" i="14"/>
  <c r="AJ406" i="14"/>
  <c r="AF406" i="14"/>
  <c r="AG406" i="14" s="1"/>
  <c r="AJ358" i="14"/>
  <c r="AI358" i="14"/>
  <c r="AF350" i="34"/>
  <c r="AG350" i="34" s="1"/>
  <c r="AJ350" i="34"/>
  <c r="AJ337" i="34"/>
  <c r="AF337" i="34"/>
  <c r="AG337" i="34" s="1"/>
  <c r="AF328" i="34"/>
  <c r="AG328" i="34" s="1"/>
  <c r="AJ328" i="34"/>
  <c r="AF493" i="14"/>
  <c r="AG493" i="14" s="1"/>
  <c r="AJ493" i="14"/>
  <c r="AJ470" i="14"/>
  <c r="AF470" i="14"/>
  <c r="AG470" i="14" s="1"/>
  <c r="AJ381" i="14"/>
  <c r="AI381" i="14"/>
  <c r="AF311" i="14"/>
  <c r="AG311" i="14" s="1"/>
  <c r="AJ311" i="14"/>
  <c r="AJ200" i="14"/>
  <c r="AF200" i="14"/>
  <c r="AG200" i="14" s="1"/>
  <c r="AI200" i="14"/>
  <c r="AF386" i="34"/>
  <c r="AG386" i="34" s="1"/>
  <c r="AI386" i="34"/>
  <c r="AJ386" i="34"/>
  <c r="AI296" i="34"/>
  <c r="AF296" i="34"/>
  <c r="AG296" i="34" s="1"/>
  <c r="AJ296" i="34"/>
  <c r="AF11" i="26"/>
  <c r="AG11" i="26" s="1"/>
  <c r="AI599" i="43"/>
  <c r="AF589" i="43"/>
  <c r="AG589" i="43" s="1"/>
  <c r="AF585" i="43"/>
  <c r="AG585" i="43" s="1"/>
  <c r="AF581" i="43"/>
  <c r="AG581" i="43" s="1"/>
  <c r="AI536" i="43"/>
  <c r="AF526" i="43"/>
  <c r="AG526" i="43" s="1"/>
  <c r="AI516" i="43"/>
  <c r="AI504" i="43"/>
  <c r="AI498" i="43"/>
  <c r="AI466" i="43"/>
  <c r="AF451" i="43"/>
  <c r="AG451" i="43" s="1"/>
  <c r="AI434" i="43"/>
  <c r="AI426" i="43"/>
  <c r="AI418" i="43"/>
  <c r="AI410" i="43"/>
  <c r="AI404" i="43"/>
  <c r="AJ394" i="43"/>
  <c r="AI391" i="43"/>
  <c r="AF387" i="43"/>
  <c r="AG387" i="43" s="1"/>
  <c r="AJ362" i="43"/>
  <c r="AI359" i="43"/>
  <c r="AF355" i="43"/>
  <c r="AG355" i="43" s="1"/>
  <c r="AJ330" i="43"/>
  <c r="AI327" i="43"/>
  <c r="AF323" i="43"/>
  <c r="AG323" i="43" s="1"/>
  <c r="AF313" i="43"/>
  <c r="AG313" i="43" s="1"/>
  <c r="AI310" i="43"/>
  <c r="AJ307" i="43"/>
  <c r="AF272" i="43"/>
  <c r="AG272" i="43" s="1"/>
  <c r="AI269" i="43"/>
  <c r="AI256" i="43"/>
  <c r="AJ250" i="43"/>
  <c r="AF227" i="43"/>
  <c r="AG227" i="43" s="1"/>
  <c r="AF220" i="43"/>
  <c r="AG220" i="43" s="1"/>
  <c r="AJ213" i="43"/>
  <c r="AF208" i="43"/>
  <c r="AG208" i="43" s="1"/>
  <c r="AF175" i="43"/>
  <c r="AG175" i="43" s="1"/>
  <c r="AJ167" i="43"/>
  <c r="AF166" i="43"/>
  <c r="AG166" i="43" s="1"/>
  <c r="AJ151" i="43"/>
  <c r="AF126" i="43"/>
  <c r="AG126" i="43" s="1"/>
  <c r="AJ119" i="43"/>
  <c r="AJ109" i="43"/>
  <c r="AF92" i="43"/>
  <c r="AG92" i="43" s="1"/>
  <c r="AJ77" i="43"/>
  <c r="AF69" i="43"/>
  <c r="AG69" i="43" s="1"/>
  <c r="AF61" i="43"/>
  <c r="AG61" i="43" s="1"/>
  <c r="AI484" i="13"/>
  <c r="AJ169" i="14"/>
  <c r="AI169" i="14"/>
  <c r="AJ355" i="34"/>
  <c r="AF355" i="34"/>
  <c r="AG355" i="34" s="1"/>
  <c r="AJ333" i="34"/>
  <c r="AF333" i="34"/>
  <c r="AG333" i="34" s="1"/>
  <c r="AF308" i="34"/>
  <c r="AG308" i="34" s="1"/>
  <c r="AI308" i="34"/>
  <c r="AJ308" i="34"/>
  <c r="AJ285" i="34"/>
  <c r="AF285" i="34"/>
  <c r="AG285" i="34" s="1"/>
  <c r="AI285" i="34"/>
  <c r="AJ440" i="43"/>
  <c r="AJ402" i="43"/>
  <c r="AI304" i="43"/>
  <c r="AI273" i="43"/>
  <c r="AI195" i="43"/>
  <c r="AJ145" i="43"/>
  <c r="AJ139" i="43"/>
  <c r="AJ87" i="43"/>
  <c r="AI70" i="43"/>
  <c r="AJ487" i="13"/>
  <c r="AF484" i="13"/>
  <c r="AG484" i="13" s="1"/>
  <c r="AJ483" i="14"/>
  <c r="AF390" i="14"/>
  <c r="AG390" i="14" s="1"/>
  <c r="AI371" i="14"/>
  <c r="AF371" i="14"/>
  <c r="AG371" i="14" s="1"/>
  <c r="AF474" i="34"/>
  <c r="AG474" i="34" s="1"/>
  <c r="AJ474" i="34"/>
  <c r="AI411" i="34"/>
  <c r="AF411" i="34"/>
  <c r="AG411" i="34" s="1"/>
  <c r="AI475" i="14"/>
  <c r="AI384" i="14"/>
  <c r="AF349" i="14"/>
  <c r="AG349" i="14" s="1"/>
  <c r="AF304" i="14"/>
  <c r="AG304" i="14" s="1"/>
  <c r="AI293" i="14"/>
  <c r="AI282" i="14"/>
  <c r="AF259" i="14"/>
  <c r="AG259" i="14" s="1"/>
  <c r="AI210" i="14"/>
  <c r="AI170" i="14"/>
  <c r="AJ482" i="34"/>
  <c r="AI442" i="34"/>
  <c r="AI426" i="34"/>
  <c r="AI410" i="34"/>
  <c r="AF407" i="34"/>
  <c r="AG407" i="34" s="1"/>
  <c r="AF403" i="34"/>
  <c r="AG403" i="34" s="1"/>
  <c r="AF399" i="34"/>
  <c r="AG399" i="34" s="1"/>
  <c r="AF395" i="34"/>
  <c r="AG395" i="34" s="1"/>
  <c r="AF391" i="34"/>
  <c r="AG391" i="34" s="1"/>
  <c r="AJ378" i="34"/>
  <c r="AF371" i="34"/>
  <c r="AG371" i="34" s="1"/>
  <c r="AJ342" i="34"/>
  <c r="AJ334" i="34"/>
  <c r="AJ324" i="34"/>
  <c r="AF312" i="34"/>
  <c r="AG312" i="34" s="1"/>
  <c r="AI305" i="34"/>
  <c r="AF301" i="34"/>
  <c r="AG301" i="34" s="1"/>
  <c r="AI298" i="34"/>
  <c r="AI292" i="34"/>
  <c r="AJ280" i="34"/>
  <c r="AI277" i="34"/>
  <c r="AF500" i="44"/>
  <c r="AG500" i="44" s="1"/>
  <c r="AF481" i="44"/>
  <c r="AG481" i="44" s="1"/>
  <c r="AF469" i="44"/>
  <c r="AG469" i="44" s="1"/>
  <c r="AF463" i="44"/>
  <c r="AG463" i="44" s="1"/>
  <c r="AF456" i="44"/>
  <c r="AG456" i="44" s="1"/>
  <c r="AF451" i="44"/>
  <c r="AG451" i="44" s="1"/>
  <c r="AI446" i="44"/>
  <c r="AF425" i="44"/>
  <c r="AG425" i="44" s="1"/>
  <c r="AI413" i="44"/>
  <c r="AF376" i="44"/>
  <c r="AG376" i="44" s="1"/>
  <c r="AF354" i="44"/>
  <c r="AG354" i="44" s="1"/>
  <c r="AF346" i="44"/>
  <c r="AG346" i="44" s="1"/>
  <c r="AF338" i="44"/>
  <c r="AG338" i="44" s="1"/>
  <c r="AF330" i="44"/>
  <c r="AG330" i="44" s="1"/>
  <c r="AJ314" i="44"/>
  <c r="AJ184" i="44"/>
  <c r="AJ164" i="44"/>
  <c r="AI153" i="44"/>
  <c r="AF114" i="44"/>
  <c r="AG114" i="44" s="1"/>
  <c r="AJ114" i="44"/>
  <c r="AJ388" i="34"/>
  <c r="AJ372" i="34"/>
  <c r="AJ465" i="44"/>
  <c r="AJ453" i="44"/>
  <c r="AJ447" i="44"/>
  <c r="AJ435" i="44"/>
  <c r="AI422" i="44"/>
  <c r="AJ357" i="44"/>
  <c r="AJ349" i="44"/>
  <c r="AJ325" i="44"/>
  <c r="AI324" i="44"/>
  <c r="AJ315" i="44"/>
  <c r="AI314" i="44"/>
  <c r="AI313" i="44"/>
  <c r="AJ299" i="44"/>
  <c r="AI298" i="44"/>
  <c r="AJ294" i="44"/>
  <c r="AI290" i="44"/>
  <c r="AJ282" i="44"/>
  <c r="AJ278" i="44"/>
  <c r="AI265" i="44"/>
  <c r="AI250" i="44"/>
  <c r="AI244" i="44"/>
  <c r="AJ232" i="44"/>
  <c r="AJ226" i="44"/>
  <c r="AI225" i="44"/>
  <c r="AJ220" i="44"/>
  <c r="AJ219" i="44"/>
  <c r="AI218" i="44"/>
  <c r="AI209" i="44"/>
  <c r="AJ192" i="44"/>
  <c r="AI188" i="44"/>
  <c r="AI184" i="44"/>
  <c r="AJ180" i="44"/>
  <c r="AJ168" i="44"/>
  <c r="AI164" i="44"/>
  <c r="AJ154" i="44"/>
  <c r="AJ150" i="44"/>
  <c r="AJ128" i="44"/>
  <c r="AJ127" i="44"/>
  <c r="AF127" i="44"/>
  <c r="AG127" i="44" s="1"/>
  <c r="AF121" i="44"/>
  <c r="AG121" i="44" s="1"/>
  <c r="AI121" i="44"/>
  <c r="AF106" i="44"/>
  <c r="AG106" i="44" s="1"/>
  <c r="AJ106" i="44"/>
  <c r="AJ98" i="44"/>
  <c r="AF98" i="44"/>
  <c r="AG98" i="44" s="1"/>
  <c r="AJ440" i="34"/>
  <c r="AJ424" i="34"/>
  <c r="AJ408" i="34"/>
  <c r="AJ376" i="34"/>
  <c r="AI373" i="34"/>
  <c r="AI353" i="34"/>
  <c r="AJ489" i="44"/>
  <c r="AI484" i="44"/>
  <c r="AJ475" i="44"/>
  <c r="AJ471" i="44"/>
  <c r="AI466" i="44"/>
  <c r="AI465" i="44"/>
  <c r="AJ461" i="44"/>
  <c r="AI453" i="44"/>
  <c r="AI447" i="44"/>
  <c r="AI440" i="44"/>
  <c r="AI435" i="44"/>
  <c r="AJ423" i="44"/>
  <c r="AJ396" i="44"/>
  <c r="AI393" i="44"/>
  <c r="AJ390" i="44"/>
  <c r="AJ386" i="44"/>
  <c r="AJ380" i="44"/>
  <c r="AF377" i="44"/>
  <c r="AG377" i="44" s="1"/>
  <c r="AJ374" i="44"/>
  <c r="AJ370" i="44"/>
  <c r="AJ364" i="44"/>
  <c r="AJ359" i="44"/>
  <c r="AJ358" i="44"/>
  <c r="AI357" i="44"/>
  <c r="AJ350" i="44"/>
  <c r="AI349" i="44"/>
  <c r="AJ342" i="44"/>
  <c r="AI341" i="44"/>
  <c r="AJ334" i="44"/>
  <c r="AI333" i="44"/>
  <c r="AJ326" i="44"/>
  <c r="AI325" i="44"/>
  <c r="AJ316" i="44"/>
  <c r="AI315" i="44"/>
  <c r="AJ286" i="44"/>
  <c r="AJ274" i="44"/>
  <c r="AI270" i="44"/>
  <c r="AJ266" i="44"/>
  <c r="AF265" i="44"/>
  <c r="AG265" i="44" s="1"/>
  <c r="AJ258" i="44"/>
  <c r="AJ254" i="44"/>
  <c r="AJ233" i="44"/>
  <c r="AI232" i="44"/>
  <c r="AJ227" i="44"/>
  <c r="AI220" i="44"/>
  <c r="AJ211" i="44"/>
  <c r="AI201" i="44"/>
  <c r="AF197" i="44"/>
  <c r="AG197" i="44" s="1"/>
  <c r="AJ193" i="44"/>
  <c r="AI185" i="44"/>
  <c r="AI161" i="44"/>
  <c r="AF128" i="44"/>
  <c r="AG128" i="44" s="1"/>
  <c r="AJ124" i="44"/>
  <c r="AF124" i="44"/>
  <c r="AG124" i="44" s="1"/>
  <c r="AF111" i="44"/>
  <c r="AG111" i="44" s="1"/>
  <c r="AI111" i="44"/>
  <c r="AI78" i="44"/>
  <c r="AF73" i="44"/>
  <c r="AG73" i="44" s="1"/>
  <c r="AI73" i="44"/>
  <c r="AJ73" i="44"/>
  <c r="AJ497" i="44"/>
  <c r="AF496" i="44"/>
  <c r="AG496" i="44" s="1"/>
  <c r="AJ485" i="44"/>
  <c r="AF484" i="44"/>
  <c r="AG484" i="44" s="1"/>
  <c r="AJ479" i="44"/>
  <c r="AJ467" i="44"/>
  <c r="AJ441" i="44"/>
  <c r="AF440" i="44"/>
  <c r="AG440" i="44" s="1"/>
  <c r="AI436" i="44"/>
  <c r="AI430" i="44"/>
  <c r="AJ427" i="44"/>
  <c r="AF422" i="44"/>
  <c r="AG422" i="44" s="1"/>
  <c r="AJ419" i="44"/>
  <c r="AJ409" i="44"/>
  <c r="AI403" i="44"/>
  <c r="AJ400" i="44"/>
  <c r="AI397" i="44"/>
  <c r="AF393" i="44"/>
  <c r="AG393" i="44" s="1"/>
  <c r="AI387" i="44"/>
  <c r="AI386" i="44"/>
  <c r="AI383" i="44"/>
  <c r="AI371" i="44"/>
  <c r="AI370" i="44"/>
  <c r="AI367" i="44"/>
  <c r="AI342" i="44"/>
  <c r="AI334" i="44"/>
  <c r="AJ327" i="44"/>
  <c r="AI326" i="44"/>
  <c r="AJ317" i="44"/>
  <c r="AI316" i="44"/>
  <c r="AJ301" i="44"/>
  <c r="AJ300" i="44"/>
  <c r="AI295" i="44"/>
  <c r="AI286" i="44"/>
  <c r="AI274" i="44"/>
  <c r="AI266" i="44"/>
  <c r="AJ262" i="44"/>
  <c r="AI258" i="44"/>
  <c r="AI254" i="44"/>
  <c r="AJ240" i="44"/>
  <c r="AJ234" i="44"/>
  <c r="AI233" i="44"/>
  <c r="AJ228" i="44"/>
  <c r="AI227" i="44"/>
  <c r="AI211" i="44"/>
  <c r="AI115" i="44"/>
  <c r="AJ115" i="44"/>
  <c r="AI85" i="44"/>
  <c r="AJ85" i="44"/>
  <c r="AJ496" i="14"/>
  <c r="AI461" i="14"/>
  <c r="AF450" i="14"/>
  <c r="AG450" i="14" s="1"/>
  <c r="AF421" i="14"/>
  <c r="AG421" i="14" s="1"/>
  <c r="AJ325" i="14"/>
  <c r="AF192" i="14"/>
  <c r="AG192" i="14" s="1"/>
  <c r="AI492" i="34"/>
  <c r="AI476" i="34"/>
  <c r="AJ466" i="34"/>
  <c r="AJ456" i="34"/>
  <c r="AI434" i="34"/>
  <c r="AJ428" i="34"/>
  <c r="AI418" i="34"/>
  <c r="AF415" i="34"/>
  <c r="AG415" i="34" s="1"/>
  <c r="AJ412" i="34"/>
  <c r="AF405" i="34"/>
  <c r="AG405" i="34" s="1"/>
  <c r="AF401" i="34"/>
  <c r="AG401" i="34" s="1"/>
  <c r="AF397" i="34"/>
  <c r="AG397" i="34" s="1"/>
  <c r="AF393" i="34"/>
  <c r="AG393" i="34" s="1"/>
  <c r="AF389" i="34"/>
  <c r="AG389" i="34" s="1"/>
  <c r="AF385" i="34"/>
  <c r="AG385" i="34" s="1"/>
  <c r="AJ382" i="34"/>
  <c r="AF373" i="34"/>
  <c r="AG373" i="34" s="1"/>
  <c r="AI369" i="34"/>
  <c r="AJ366" i="34"/>
  <c r="AI354" i="34"/>
  <c r="AI351" i="34"/>
  <c r="AJ346" i="34"/>
  <c r="AJ338" i="34"/>
  <c r="AJ330" i="34"/>
  <c r="AI322" i="34"/>
  <c r="AI288" i="34"/>
  <c r="AI275" i="34"/>
  <c r="AI269" i="34"/>
  <c r="AI497" i="44"/>
  <c r="AI485" i="44"/>
  <c r="AI479" i="44"/>
  <c r="AI472" i="44"/>
  <c r="AI467" i="44"/>
  <c r="AI441" i="44"/>
  <c r="AF300" i="44"/>
  <c r="AG300" i="44" s="1"/>
  <c r="AJ296" i="44"/>
  <c r="AF295" i="44"/>
  <c r="AG295" i="44" s="1"/>
  <c r="AI287" i="44"/>
  <c r="AI283" i="44"/>
  <c r="AF279" i="44"/>
  <c r="AG279" i="44" s="1"/>
  <c r="AI271" i="44"/>
  <c r="AI267" i="44"/>
  <c r="AJ248" i="44"/>
  <c r="AJ241" i="44"/>
  <c r="AI240" i="44"/>
  <c r="AJ235" i="44"/>
  <c r="AJ222" i="44"/>
  <c r="AJ221" i="44"/>
  <c r="AI169" i="44"/>
  <c r="AJ135" i="44"/>
  <c r="AI135" i="44"/>
  <c r="AJ88" i="44"/>
  <c r="AF88" i="44"/>
  <c r="AG88" i="44" s="1"/>
  <c r="AI88" i="44"/>
  <c r="AJ108" i="14"/>
  <c r="AJ464" i="34"/>
  <c r="AI444" i="34"/>
  <c r="AI428" i="34"/>
  <c r="AI412" i="34"/>
  <c r="AF409" i="34"/>
  <c r="AG409" i="34" s="1"/>
  <c r="AI382" i="34"/>
  <c r="AF377" i="34"/>
  <c r="AG377" i="34" s="1"/>
  <c r="AF369" i="34"/>
  <c r="AG369" i="34" s="1"/>
  <c r="AF351" i="34"/>
  <c r="AG351" i="34" s="1"/>
  <c r="AF346" i="34"/>
  <c r="AG346" i="34" s="1"/>
  <c r="AF338" i="34"/>
  <c r="AG338" i="34" s="1"/>
  <c r="AI291" i="34"/>
  <c r="AI273" i="34"/>
  <c r="AF269" i="34"/>
  <c r="AG269" i="34" s="1"/>
  <c r="AJ499" i="44"/>
  <c r="AJ473" i="44"/>
  <c r="AF472" i="44"/>
  <c r="AG472" i="44" s="1"/>
  <c r="AI462" i="44"/>
  <c r="AJ459" i="44"/>
  <c r="AJ455" i="44"/>
  <c r="AI450" i="44"/>
  <c r="AJ445" i="44"/>
  <c r="AI424" i="44"/>
  <c r="AF397" i="44"/>
  <c r="AG397" i="44" s="1"/>
  <c r="AF387" i="44"/>
  <c r="AG387" i="44" s="1"/>
  <c r="AF381" i="44"/>
  <c r="AG381" i="44" s="1"/>
  <c r="AJ242" i="44"/>
  <c r="AJ236" i="44"/>
  <c r="AI222" i="44"/>
  <c r="AJ190" i="44"/>
  <c r="AJ178" i="44"/>
  <c r="AJ119" i="44"/>
  <c r="AF119" i="44"/>
  <c r="AG119" i="44" s="1"/>
  <c r="AJ354" i="44"/>
  <c r="AJ346" i="44"/>
  <c r="AJ338" i="44"/>
  <c r="AJ330" i="44"/>
  <c r="AI292" i="44"/>
  <c r="AI288" i="44"/>
  <c r="AI284" i="44"/>
  <c r="AI280" i="44"/>
  <c r="AI272" i="44"/>
  <c r="AI268" i="44"/>
  <c r="AI263" i="44"/>
  <c r="AI252" i="44"/>
  <c r="AJ246" i="44"/>
  <c r="AI242" i="44"/>
  <c r="AI236" i="44"/>
  <c r="AJ229" i="44"/>
  <c r="AJ215" i="44"/>
  <c r="AF207" i="44"/>
  <c r="AG207" i="44" s="1"/>
  <c r="AJ204" i="44"/>
  <c r="AI190" i="44"/>
  <c r="AI178" i="44"/>
  <c r="AJ174" i="44"/>
  <c r="AI170" i="44"/>
  <c r="AI166" i="44"/>
  <c r="AI159" i="44"/>
  <c r="AJ156" i="44"/>
  <c r="AI152" i="44"/>
  <c r="AI145" i="44"/>
  <c r="AJ142" i="44"/>
  <c r="AJ136" i="44"/>
  <c r="AI130" i="44"/>
  <c r="AJ116" i="44"/>
  <c r="AF116" i="44"/>
  <c r="AG116" i="44" s="1"/>
  <c r="AJ110" i="44"/>
  <c r="AF89" i="44"/>
  <c r="AG89" i="44" s="1"/>
  <c r="AJ86" i="44"/>
  <c r="AF86" i="44"/>
  <c r="AG86" i="44" s="1"/>
  <c r="AJ74" i="44"/>
  <c r="AI74" i="44"/>
  <c r="AJ54" i="44"/>
  <c r="AI54" i="44"/>
  <c r="AF54" i="44"/>
  <c r="AG54" i="44" s="1"/>
  <c r="AI500" i="44"/>
  <c r="AI494" i="44"/>
  <c r="AI482" i="44"/>
  <c r="AI456" i="44"/>
  <c r="AF450" i="44"/>
  <c r="AG450" i="44" s="1"/>
  <c r="AF438" i="44"/>
  <c r="AG438" i="44" s="1"/>
  <c r="AF432" i="44"/>
  <c r="AG432" i="44" s="1"/>
  <c r="AJ413" i="44"/>
  <c r="AJ376" i="44"/>
  <c r="AF284" i="44"/>
  <c r="AG284" i="44" s="1"/>
  <c r="AF268" i="44"/>
  <c r="AG268" i="44" s="1"/>
  <c r="AF246" i="44"/>
  <c r="AG246" i="44" s="1"/>
  <c r="AJ223" i="44"/>
  <c r="AF142" i="44"/>
  <c r="AG142" i="44" s="1"/>
  <c r="AI136" i="44"/>
  <c r="AF130" i="44"/>
  <c r="AG130" i="44" s="1"/>
  <c r="AI127" i="44"/>
  <c r="AI114" i="44"/>
  <c r="AI110" i="44"/>
  <c r="AI106" i="44"/>
  <c r="AJ93" i="44"/>
  <c r="AF77" i="44"/>
  <c r="AG77" i="44" s="1"/>
  <c r="AI77" i="44"/>
  <c r="AJ77" i="44"/>
  <c r="AF38" i="44"/>
  <c r="AG38" i="44" s="1"/>
  <c r="AF16" i="44"/>
  <c r="AG16" i="44" s="1"/>
  <c r="AI7" i="44"/>
  <c r="AF488" i="45"/>
  <c r="AG488" i="45" s="1"/>
  <c r="AF485" i="45"/>
  <c r="AG485" i="45" s="1"/>
  <c r="AJ477" i="45"/>
  <c r="AF463" i="45"/>
  <c r="AG463" i="45" s="1"/>
  <c r="AF454" i="45"/>
  <c r="AG454" i="45" s="1"/>
  <c r="AF453" i="45"/>
  <c r="AG453" i="45" s="1"/>
  <c r="AI447" i="45"/>
  <c r="AF446" i="45"/>
  <c r="AG446" i="45" s="1"/>
  <c r="AF445" i="45"/>
  <c r="AG445" i="45" s="1"/>
  <c r="AJ442" i="45"/>
  <c r="AF439" i="45"/>
  <c r="AG439" i="45" s="1"/>
  <c r="AF436" i="45"/>
  <c r="AG436" i="45" s="1"/>
  <c r="AI433" i="45"/>
  <c r="AF426" i="45"/>
  <c r="AG426" i="45" s="1"/>
  <c r="AJ414" i="45"/>
  <c r="AF411" i="45"/>
  <c r="AG411" i="45" s="1"/>
  <c r="AF401" i="45"/>
  <c r="AG401" i="45" s="1"/>
  <c r="AF386" i="45"/>
  <c r="AG386" i="45" s="1"/>
  <c r="AF379" i="45"/>
  <c r="AG379" i="45" s="1"/>
  <c r="AF341" i="45"/>
  <c r="AG341" i="45" s="1"/>
  <c r="AF338" i="45"/>
  <c r="AG338" i="45" s="1"/>
  <c r="AI324" i="45"/>
  <c r="AI316" i="45"/>
  <c r="AF316" i="45"/>
  <c r="AG316" i="45" s="1"/>
  <c r="AJ312" i="45"/>
  <c r="AI312" i="45"/>
  <c r="AJ302" i="45"/>
  <c r="AF298" i="45"/>
  <c r="AG298" i="45" s="1"/>
  <c r="AI280" i="45"/>
  <c r="AJ280" i="45"/>
  <c r="AI272" i="45"/>
  <c r="AF271" i="45"/>
  <c r="AG271" i="45" s="1"/>
  <c r="AJ221" i="45"/>
  <c r="AI221" i="45"/>
  <c r="AJ203" i="45"/>
  <c r="AF203" i="45"/>
  <c r="AG203" i="45" s="1"/>
  <c r="AJ181" i="45"/>
  <c r="AF181" i="45"/>
  <c r="AG181" i="45" s="1"/>
  <c r="AI181" i="45"/>
  <c r="AI176" i="45"/>
  <c r="AJ176" i="45"/>
  <c r="AF148" i="45"/>
  <c r="AG148" i="45" s="1"/>
  <c r="AF128" i="45"/>
  <c r="AG128" i="45" s="1"/>
  <c r="AI128" i="45"/>
  <c r="AJ128" i="45"/>
  <c r="AF101" i="45"/>
  <c r="AG101" i="45" s="1"/>
  <c r="AF46" i="45"/>
  <c r="AG46" i="45" s="1"/>
  <c r="AI46" i="45"/>
  <c r="AJ46" i="45"/>
  <c r="AJ481" i="46"/>
  <c r="AF481" i="46"/>
  <c r="AG481" i="46" s="1"/>
  <c r="AI481" i="46"/>
  <c r="AF476" i="46"/>
  <c r="AG476" i="46" s="1"/>
  <c r="AI476" i="46"/>
  <c r="AJ476" i="46"/>
  <c r="AI350" i="46"/>
  <c r="AJ350" i="46"/>
  <c r="AF350" i="46"/>
  <c r="AG350" i="46" s="1"/>
  <c r="AJ290" i="46"/>
  <c r="AF290" i="46"/>
  <c r="AG290" i="46" s="1"/>
  <c r="AI290" i="46"/>
  <c r="AJ448" i="45"/>
  <c r="AJ390" i="45"/>
  <c r="AJ319" i="45"/>
  <c r="AF319" i="45"/>
  <c r="AG319" i="45" s="1"/>
  <c r="AI302" i="45"/>
  <c r="AJ291" i="45"/>
  <c r="AI291" i="45"/>
  <c r="AJ261" i="45"/>
  <c r="AF261" i="45"/>
  <c r="AG261" i="45" s="1"/>
  <c r="AF224" i="45"/>
  <c r="AG224" i="45" s="1"/>
  <c r="AJ224" i="45"/>
  <c r="AI177" i="45"/>
  <c r="AJ152" i="45"/>
  <c r="AJ151" i="45"/>
  <c r="AI151" i="45"/>
  <c r="AI110" i="45"/>
  <c r="AJ110" i="45"/>
  <c r="AF90" i="45"/>
  <c r="AG90" i="45" s="1"/>
  <c r="AI90" i="45"/>
  <c r="AJ90" i="45"/>
  <c r="AF83" i="45"/>
  <c r="AG83" i="45" s="1"/>
  <c r="AI83" i="45"/>
  <c r="AJ83" i="45"/>
  <c r="AJ64" i="45"/>
  <c r="AF64" i="45"/>
  <c r="AG64" i="45" s="1"/>
  <c r="AI64" i="45"/>
  <c r="AJ57" i="45"/>
  <c r="AF57" i="45"/>
  <c r="AG57" i="45" s="1"/>
  <c r="AI44" i="45"/>
  <c r="AF44" i="45"/>
  <c r="AG44" i="45" s="1"/>
  <c r="AF434" i="46"/>
  <c r="AG434" i="46" s="1"/>
  <c r="AI434" i="46"/>
  <c r="AJ434" i="46"/>
  <c r="AJ416" i="46"/>
  <c r="AF416" i="46"/>
  <c r="AG416" i="46" s="1"/>
  <c r="AJ394" i="46"/>
  <c r="AF394" i="46"/>
  <c r="AG394" i="46" s="1"/>
  <c r="AI394" i="46"/>
  <c r="AJ274" i="46"/>
  <c r="AF274" i="46"/>
  <c r="AG274" i="46" s="1"/>
  <c r="AI274" i="46"/>
  <c r="AJ265" i="46"/>
  <c r="AF265" i="46"/>
  <c r="AG265" i="46" s="1"/>
  <c r="AI265" i="46"/>
  <c r="AF191" i="46"/>
  <c r="AG191" i="46" s="1"/>
  <c r="AJ191" i="46"/>
  <c r="AJ158" i="46"/>
  <c r="AI158" i="46"/>
  <c r="AI102" i="44"/>
  <c r="AI68" i="44"/>
  <c r="AF47" i="44"/>
  <c r="AG47" i="44" s="1"/>
  <c r="AF31" i="44"/>
  <c r="AG31" i="44" s="1"/>
  <c r="AI18" i="44"/>
  <c r="AJ499" i="45"/>
  <c r="AJ495" i="45"/>
  <c r="AJ491" i="45"/>
  <c r="AJ490" i="45"/>
  <c r="AI483" i="45"/>
  <c r="AF482" i="45"/>
  <c r="AG482" i="45" s="1"/>
  <c r="AJ479" i="45"/>
  <c r="AJ478" i="45"/>
  <c r="AJ469" i="45"/>
  <c r="AJ465" i="45"/>
  <c r="AJ461" i="45"/>
  <c r="AI449" i="45"/>
  <c r="AF448" i="45"/>
  <c r="AG448" i="45" s="1"/>
  <c r="AF447" i="45"/>
  <c r="AG447" i="45" s="1"/>
  <c r="AI443" i="45"/>
  <c r="AF433" i="45"/>
  <c r="AG433" i="45" s="1"/>
  <c r="AF418" i="45"/>
  <c r="AG418" i="45" s="1"/>
  <c r="AJ406" i="45"/>
  <c r="AF399" i="45"/>
  <c r="AG399" i="45" s="1"/>
  <c r="AF390" i="45"/>
  <c r="AG390" i="45" s="1"/>
  <c r="AI387" i="45"/>
  <c r="AI376" i="45"/>
  <c r="AJ372" i="45"/>
  <c r="AJ366" i="45"/>
  <c r="AI363" i="45"/>
  <c r="AJ350" i="45"/>
  <c r="AI347" i="45"/>
  <c r="AF325" i="45"/>
  <c r="AG325" i="45" s="1"/>
  <c r="AF322" i="45"/>
  <c r="AG322" i="45" s="1"/>
  <c r="AJ314" i="45"/>
  <c r="AF313" i="45"/>
  <c r="AG313" i="45" s="1"/>
  <c r="AI292" i="45"/>
  <c r="AJ288" i="45"/>
  <c r="AF272" i="45"/>
  <c r="AG272" i="45" s="1"/>
  <c r="AJ222" i="45"/>
  <c r="AF206" i="45"/>
  <c r="AG206" i="45" s="1"/>
  <c r="AI206" i="45"/>
  <c r="AJ206" i="45"/>
  <c r="AI182" i="45"/>
  <c r="AF177" i="45"/>
  <c r="AG177" i="45" s="1"/>
  <c r="AF152" i="45"/>
  <c r="AG152" i="45" s="1"/>
  <c r="AF144" i="45"/>
  <c r="AG144" i="45" s="1"/>
  <c r="AI144" i="45"/>
  <c r="AJ144" i="45"/>
  <c r="AI142" i="45"/>
  <c r="AI134" i="45"/>
  <c r="AJ134" i="45"/>
  <c r="AJ104" i="45"/>
  <c r="AI104" i="45"/>
  <c r="AF96" i="45"/>
  <c r="AG96" i="45" s="1"/>
  <c r="AI96" i="45"/>
  <c r="AJ96" i="45"/>
  <c r="AI54" i="45"/>
  <c r="AF54" i="45"/>
  <c r="AG54" i="45" s="1"/>
  <c r="AJ422" i="46"/>
  <c r="AF422" i="46"/>
  <c r="AG422" i="46" s="1"/>
  <c r="AJ412" i="46"/>
  <c r="AF412" i="46"/>
  <c r="AG412" i="46" s="1"/>
  <c r="AJ377" i="46"/>
  <c r="AF377" i="46"/>
  <c r="AG377" i="46" s="1"/>
  <c r="AI377" i="46"/>
  <c r="AJ326" i="46"/>
  <c r="AF326" i="46"/>
  <c r="AG326" i="46" s="1"/>
  <c r="AI326" i="46"/>
  <c r="AJ301" i="46"/>
  <c r="AF301" i="46"/>
  <c r="AG301" i="46" s="1"/>
  <c r="AJ227" i="46"/>
  <c r="AF227" i="46"/>
  <c r="AG227" i="46" s="1"/>
  <c r="AI227" i="46"/>
  <c r="AI112" i="46"/>
  <c r="AJ112" i="46"/>
  <c r="AF112" i="46"/>
  <c r="AG112" i="46" s="1"/>
  <c r="AI499" i="45"/>
  <c r="AI495" i="45"/>
  <c r="AI491" i="45"/>
  <c r="AI479" i="45"/>
  <c r="AJ388" i="45"/>
  <c r="AJ330" i="45"/>
  <c r="AJ296" i="45"/>
  <c r="AF296" i="45"/>
  <c r="AG296" i="45" s="1"/>
  <c r="AI296" i="45"/>
  <c r="AJ269" i="45"/>
  <c r="AF269" i="45"/>
  <c r="AG269" i="45" s="1"/>
  <c r="AI269" i="45"/>
  <c r="AI234" i="45"/>
  <c r="AJ234" i="45"/>
  <c r="AJ191" i="45"/>
  <c r="AF191" i="45"/>
  <c r="AG191" i="45" s="1"/>
  <c r="AI183" i="45"/>
  <c r="AJ113" i="45"/>
  <c r="AI113" i="45"/>
  <c r="AF450" i="46"/>
  <c r="AG450" i="46" s="1"/>
  <c r="AI450" i="46"/>
  <c r="AJ450" i="46"/>
  <c r="AF420" i="46"/>
  <c r="AG420" i="46" s="1"/>
  <c r="AI420" i="46"/>
  <c r="AJ420" i="46"/>
  <c r="AJ402" i="46"/>
  <c r="AF402" i="46"/>
  <c r="AG402" i="46" s="1"/>
  <c r="AI402" i="46"/>
  <c r="AJ372" i="46"/>
  <c r="AF372" i="46"/>
  <c r="AG372" i="46" s="1"/>
  <c r="AI372" i="46"/>
  <c r="AJ338" i="46"/>
  <c r="AF338" i="46"/>
  <c r="AG338" i="46" s="1"/>
  <c r="AI338" i="46"/>
  <c r="AJ279" i="46"/>
  <c r="AF279" i="46"/>
  <c r="AG279" i="46" s="1"/>
  <c r="AI279" i="46"/>
  <c r="AI223" i="46"/>
  <c r="AJ223" i="46"/>
  <c r="AF223" i="46"/>
  <c r="AG223" i="46" s="1"/>
  <c r="AJ136" i="46"/>
  <c r="AF136" i="46"/>
  <c r="AG136" i="46" s="1"/>
  <c r="AJ72" i="46"/>
  <c r="AF72" i="46"/>
  <c r="AG72" i="46" s="1"/>
  <c r="AI72" i="46"/>
  <c r="AI66" i="44"/>
  <c r="AI52" i="44"/>
  <c r="AJ48" i="44"/>
  <c r="AI36" i="44"/>
  <c r="AJ32" i="44"/>
  <c r="AJ12" i="44"/>
  <c r="AI9" i="44"/>
  <c r="AF474" i="45"/>
  <c r="AG474" i="45" s="1"/>
  <c r="AJ471" i="45"/>
  <c r="AJ470" i="45"/>
  <c r="AJ466" i="45"/>
  <c r="AF450" i="45"/>
  <c r="AG450" i="45" s="1"/>
  <c r="AF431" i="45"/>
  <c r="AG431" i="45" s="1"/>
  <c r="AF422" i="45"/>
  <c r="AG422" i="45" s="1"/>
  <c r="AI419" i="45"/>
  <c r="AI407" i="45"/>
  <c r="AF403" i="45"/>
  <c r="AG403" i="45" s="1"/>
  <c r="AJ394" i="45"/>
  <c r="AF391" i="45"/>
  <c r="AG391" i="45" s="1"/>
  <c r="AI388" i="45"/>
  <c r="AJ384" i="45"/>
  <c r="AF363" i="45"/>
  <c r="AG363" i="45" s="1"/>
  <c r="AI359" i="45"/>
  <c r="AJ356" i="45"/>
  <c r="AF347" i="45"/>
  <c r="AG347" i="45" s="1"/>
  <c r="AI343" i="45"/>
  <c r="AI330" i="45"/>
  <c r="AI315" i="45"/>
  <c r="AI289" i="45"/>
  <c r="AF267" i="45"/>
  <c r="AG267" i="45" s="1"/>
  <c r="AF256" i="45"/>
  <c r="AG256" i="45" s="1"/>
  <c r="AF248" i="45"/>
  <c r="AG248" i="45" s="1"/>
  <c r="AI248" i="45"/>
  <c r="AI245" i="45"/>
  <c r="AI231" i="45"/>
  <c r="AI225" i="45"/>
  <c r="AJ209" i="45"/>
  <c r="AI209" i="45"/>
  <c r="AJ184" i="45"/>
  <c r="AF175" i="45"/>
  <c r="AG175" i="45" s="1"/>
  <c r="AI175" i="45"/>
  <c r="AJ175" i="45"/>
  <c r="AI116" i="45"/>
  <c r="AI496" i="46"/>
  <c r="AF496" i="46"/>
  <c r="AG496" i="46" s="1"/>
  <c r="AJ496" i="46"/>
  <c r="AJ482" i="46"/>
  <c r="AF482" i="46"/>
  <c r="AG482" i="46" s="1"/>
  <c r="AJ467" i="46"/>
  <c r="AF467" i="46"/>
  <c r="AG467" i="46" s="1"/>
  <c r="AJ457" i="46"/>
  <c r="AI457" i="46"/>
  <c r="AF351" i="46"/>
  <c r="AG351" i="46" s="1"/>
  <c r="AI351" i="46"/>
  <c r="AJ308" i="46"/>
  <c r="AF308" i="46"/>
  <c r="AG308" i="46" s="1"/>
  <c r="AI308" i="46"/>
  <c r="AJ304" i="46"/>
  <c r="AF304" i="46"/>
  <c r="AG304" i="46" s="1"/>
  <c r="AI304" i="46"/>
  <c r="AJ261" i="46"/>
  <c r="AF261" i="46"/>
  <c r="AG261" i="46" s="1"/>
  <c r="AI261" i="46"/>
  <c r="AJ216" i="46"/>
  <c r="AF216" i="46"/>
  <c r="AG216" i="46" s="1"/>
  <c r="AI209" i="46"/>
  <c r="AJ209" i="46"/>
  <c r="AF87" i="46"/>
  <c r="AG87" i="46" s="1"/>
  <c r="AJ87" i="46"/>
  <c r="AI87" i="46"/>
  <c r="AF66" i="44"/>
  <c r="AG66" i="44" s="1"/>
  <c r="AF48" i="44"/>
  <c r="AG48" i="44" s="1"/>
  <c r="AF32" i="44"/>
  <c r="AG32" i="44" s="1"/>
  <c r="AF19" i="44"/>
  <c r="AG19" i="44" s="1"/>
  <c r="AF15" i="44"/>
  <c r="AG15" i="44" s="1"/>
  <c r="AJ10" i="44"/>
  <c r="AJ6" i="44"/>
  <c r="AI471" i="45"/>
  <c r="AF470" i="45"/>
  <c r="AG470" i="45" s="1"/>
  <c r="AJ467" i="45"/>
  <c r="AF466" i="45"/>
  <c r="AG466" i="45" s="1"/>
  <c r="AJ462" i="45"/>
  <c r="AJ453" i="45"/>
  <c r="AJ438" i="45"/>
  <c r="AJ420" i="45"/>
  <c r="AF419" i="45"/>
  <c r="AG419" i="45" s="1"/>
  <c r="AJ410" i="45"/>
  <c r="AF407" i="45"/>
  <c r="AG407" i="45" s="1"/>
  <c r="AI400" i="45"/>
  <c r="AI385" i="45"/>
  <c r="AJ378" i="45"/>
  <c r="AF373" i="45"/>
  <c r="AG373" i="45" s="1"/>
  <c r="AF367" i="45"/>
  <c r="AG367" i="45" s="1"/>
  <c r="AF364" i="45"/>
  <c r="AG364" i="45" s="1"/>
  <c r="AF359" i="45"/>
  <c r="AG359" i="45" s="1"/>
  <c r="AI356" i="45"/>
  <c r="AF351" i="45"/>
  <c r="AG351" i="45" s="1"/>
  <c r="AF348" i="45"/>
  <c r="AG348" i="45" s="1"/>
  <c r="AF343" i="45"/>
  <c r="AG343" i="45" s="1"/>
  <c r="AI337" i="45"/>
  <c r="AI331" i="45"/>
  <c r="AF315" i="45"/>
  <c r="AG315" i="45" s="1"/>
  <c r="AI306" i="45"/>
  <c r="AF306" i="45"/>
  <c r="AG306" i="45" s="1"/>
  <c r="AJ294" i="45"/>
  <c r="AF293" i="45"/>
  <c r="AG293" i="45" s="1"/>
  <c r="AF289" i="45"/>
  <c r="AG289" i="45" s="1"/>
  <c r="AF240" i="45"/>
  <c r="AG240" i="45" s="1"/>
  <c r="AI235" i="45"/>
  <c r="AF231" i="45"/>
  <c r="AG231" i="45" s="1"/>
  <c r="AJ228" i="45"/>
  <c r="AF223" i="45"/>
  <c r="AG223" i="45" s="1"/>
  <c r="AJ212" i="45"/>
  <c r="AF207" i="45"/>
  <c r="AG207" i="45" s="1"/>
  <c r="AJ199" i="45"/>
  <c r="AF199" i="45"/>
  <c r="AG199" i="45" s="1"/>
  <c r="AI199" i="45"/>
  <c r="AI197" i="45"/>
  <c r="AF196" i="45"/>
  <c r="AG196" i="45" s="1"/>
  <c r="AJ196" i="45"/>
  <c r="AF194" i="45"/>
  <c r="AG194" i="45" s="1"/>
  <c r="AF183" i="45"/>
  <c r="AG183" i="45" s="1"/>
  <c r="AF164" i="45"/>
  <c r="AG164" i="45" s="1"/>
  <c r="AF116" i="45"/>
  <c r="AG116" i="45" s="1"/>
  <c r="AJ107" i="45"/>
  <c r="AF107" i="45"/>
  <c r="AG107" i="45" s="1"/>
  <c r="AI107" i="45"/>
  <c r="AF97" i="45"/>
  <c r="AG97" i="45" s="1"/>
  <c r="AJ91" i="45"/>
  <c r="AI91" i="45"/>
  <c r="AI84" i="45"/>
  <c r="AJ84" i="45"/>
  <c r="AJ43" i="45"/>
  <c r="AF43" i="45"/>
  <c r="AG43" i="45" s="1"/>
  <c r="AI43" i="45"/>
  <c r="AJ465" i="46"/>
  <c r="AF465" i="46"/>
  <c r="AG465" i="46" s="1"/>
  <c r="AI465" i="46"/>
  <c r="AF460" i="46"/>
  <c r="AG460" i="46" s="1"/>
  <c r="AI460" i="46"/>
  <c r="AJ460" i="46"/>
  <c r="AJ441" i="46"/>
  <c r="AI441" i="46"/>
  <c r="AJ425" i="46"/>
  <c r="AI425" i="46"/>
  <c r="AJ203" i="46"/>
  <c r="AF203" i="46"/>
  <c r="AG203" i="46" s="1"/>
  <c r="AI203" i="46"/>
  <c r="AJ196" i="46"/>
  <c r="AF196" i="46"/>
  <c r="AG196" i="46" s="1"/>
  <c r="AI57" i="44"/>
  <c r="AI49" i="44"/>
  <c r="AI41" i="44"/>
  <c r="AI33" i="44"/>
  <c r="AJ16" i="44"/>
  <c r="AJ488" i="45"/>
  <c r="AJ463" i="45"/>
  <c r="AJ426" i="45"/>
  <c r="AF254" i="45"/>
  <c r="AG254" i="45" s="1"/>
  <c r="AI254" i="45"/>
  <c r="AJ254" i="45"/>
  <c r="AF218" i="45"/>
  <c r="AG218" i="45" s="1"/>
  <c r="AI218" i="45"/>
  <c r="AJ215" i="45"/>
  <c r="AI215" i="45"/>
  <c r="AJ167" i="45"/>
  <c r="AI167" i="45"/>
  <c r="AJ145" i="45"/>
  <c r="AI145" i="45"/>
  <c r="AJ133" i="45"/>
  <c r="AF133" i="45"/>
  <c r="AG133" i="45" s="1"/>
  <c r="AI133" i="45"/>
  <c r="AJ119" i="45"/>
  <c r="AI119" i="45"/>
  <c r="AI100" i="45"/>
  <c r="AJ100" i="45"/>
  <c r="AJ61" i="45"/>
  <c r="AI61" i="45"/>
  <c r="AF10" i="45"/>
  <c r="AG10" i="45" s="1"/>
  <c r="AJ10" i="45"/>
  <c r="AJ411" i="46"/>
  <c r="AF411" i="46"/>
  <c r="AG411" i="46" s="1"/>
  <c r="AJ368" i="46"/>
  <c r="AF368" i="46"/>
  <c r="AG368" i="46" s="1"/>
  <c r="AI368" i="46"/>
  <c r="AJ322" i="46"/>
  <c r="AF322" i="46"/>
  <c r="AG322" i="46" s="1"/>
  <c r="AI322" i="46"/>
  <c r="AJ317" i="46"/>
  <c r="AI317" i="46"/>
  <c r="AJ183" i="46"/>
  <c r="AF183" i="46"/>
  <c r="AG183" i="46" s="1"/>
  <c r="AI183" i="46"/>
  <c r="AJ157" i="46"/>
  <c r="AF157" i="46"/>
  <c r="AG157" i="46" s="1"/>
  <c r="AI157" i="46"/>
  <c r="AF62" i="44"/>
  <c r="AG62" i="44" s="1"/>
  <c r="AF57" i="44"/>
  <c r="AG57" i="44" s="1"/>
  <c r="AF49" i="44"/>
  <c r="AG49" i="44" s="1"/>
  <c r="AF41" i="44"/>
  <c r="AG41" i="44" s="1"/>
  <c r="AI38" i="44"/>
  <c r="AF33" i="44"/>
  <c r="AG33" i="44" s="1"/>
  <c r="AF25" i="44"/>
  <c r="AG25" i="44" s="1"/>
  <c r="AF21" i="44"/>
  <c r="AG21" i="44" s="1"/>
  <c r="AF13" i="44"/>
  <c r="AG13" i="44" s="1"/>
  <c r="AI485" i="45"/>
  <c r="AI458" i="45"/>
  <c r="AJ446" i="45"/>
  <c r="AI439" i="45"/>
  <c r="AI432" i="45"/>
  <c r="AI411" i="45"/>
  <c r="AF395" i="45"/>
  <c r="AG395" i="45" s="1"/>
  <c r="AF385" i="45"/>
  <c r="AG385" i="45" s="1"/>
  <c r="AI379" i="45"/>
  <c r="AF374" i="45"/>
  <c r="AG374" i="45" s="1"/>
  <c r="AF360" i="45"/>
  <c r="AG360" i="45" s="1"/>
  <c r="AF357" i="45"/>
  <c r="AG357" i="45" s="1"/>
  <c r="AF344" i="45"/>
  <c r="AG344" i="45" s="1"/>
  <c r="AF335" i="45"/>
  <c r="AG335" i="45" s="1"/>
  <c r="AF332" i="45"/>
  <c r="AG332" i="45" s="1"/>
  <c r="AF327" i="45"/>
  <c r="AG327" i="45" s="1"/>
  <c r="AJ324" i="45"/>
  <c r="AI321" i="45"/>
  <c r="AF312" i="45"/>
  <c r="AG312" i="45" s="1"/>
  <c r="AF280" i="45"/>
  <c r="AG280" i="45" s="1"/>
  <c r="AF275" i="45"/>
  <c r="AG275" i="45" s="1"/>
  <c r="AI271" i="45"/>
  <c r="AJ270" i="45"/>
  <c r="AI270" i="45"/>
  <c r="AF268" i="45"/>
  <c r="AG268" i="45" s="1"/>
  <c r="AI238" i="45"/>
  <c r="AF210" i="45"/>
  <c r="AG210" i="45" s="1"/>
  <c r="AI203" i="45"/>
  <c r="AF197" i="45"/>
  <c r="AG197" i="45" s="1"/>
  <c r="AJ148" i="45"/>
  <c r="AJ141" i="45"/>
  <c r="AF141" i="45"/>
  <c r="AG141" i="45" s="1"/>
  <c r="AI141" i="45"/>
  <c r="AF122" i="45"/>
  <c r="AG122" i="45" s="1"/>
  <c r="AI122" i="45"/>
  <c r="AJ122" i="45"/>
  <c r="AF85" i="45"/>
  <c r="AG85" i="45" s="1"/>
  <c r="AJ73" i="45"/>
  <c r="AI73" i="45"/>
  <c r="AF444" i="46"/>
  <c r="AG444" i="46" s="1"/>
  <c r="AI444" i="46"/>
  <c r="AJ444" i="46"/>
  <c r="AJ172" i="46"/>
  <c r="AI172" i="46"/>
  <c r="AJ48" i="46"/>
  <c r="AI44" i="46"/>
  <c r="AJ491" i="47"/>
  <c r="AF491" i="47"/>
  <c r="AG491" i="47" s="1"/>
  <c r="AJ468" i="47"/>
  <c r="AI468" i="47"/>
  <c r="AF468" i="47"/>
  <c r="AG468" i="47" s="1"/>
  <c r="AJ465" i="47"/>
  <c r="AI465" i="47"/>
  <c r="AJ463" i="47"/>
  <c r="AF444" i="47"/>
  <c r="AG444" i="47" s="1"/>
  <c r="AI444" i="47"/>
  <c r="AJ444" i="47"/>
  <c r="AF370" i="47"/>
  <c r="AG370" i="47" s="1"/>
  <c r="AI370" i="47"/>
  <c r="AJ370" i="47"/>
  <c r="AJ273" i="47"/>
  <c r="AF273" i="47"/>
  <c r="AG273" i="47" s="1"/>
  <c r="AI273" i="47"/>
  <c r="AJ233" i="47"/>
  <c r="AI233" i="47"/>
  <c r="AF233" i="47"/>
  <c r="AG233" i="47" s="1"/>
  <c r="AJ152" i="47"/>
  <c r="AI152" i="47"/>
  <c r="AF152" i="47"/>
  <c r="AG152" i="47" s="1"/>
  <c r="AJ31" i="47"/>
  <c r="AI31" i="47"/>
  <c r="AF31" i="47"/>
  <c r="AG31" i="47" s="1"/>
  <c r="AJ68" i="46"/>
  <c r="AJ64" i="46"/>
  <c r="AJ63" i="46"/>
  <c r="AI62" i="46"/>
  <c r="AF55" i="46"/>
  <c r="AG55" i="46" s="1"/>
  <c r="AF51" i="46"/>
  <c r="AG51" i="46" s="1"/>
  <c r="AF48" i="46"/>
  <c r="AG48" i="46" s="1"/>
  <c r="AF44" i="46"/>
  <c r="AG44" i="46" s="1"/>
  <c r="AI41" i="46"/>
  <c r="AI19" i="46"/>
  <c r="AJ10" i="46"/>
  <c r="AJ495" i="47"/>
  <c r="AF495" i="47"/>
  <c r="AG495" i="47" s="1"/>
  <c r="AJ484" i="47"/>
  <c r="AI484" i="47"/>
  <c r="AF484" i="47"/>
  <c r="AG484" i="47" s="1"/>
  <c r="AJ481" i="47"/>
  <c r="AF481" i="47"/>
  <c r="AG481" i="47" s="1"/>
  <c r="AI481" i="47"/>
  <c r="AJ471" i="47"/>
  <c r="AI471" i="47"/>
  <c r="AF463" i="47"/>
  <c r="AG463" i="47" s="1"/>
  <c r="AI459" i="47"/>
  <c r="AF459" i="47"/>
  <c r="AG459" i="47" s="1"/>
  <c r="AF450" i="47"/>
  <c r="AG450" i="47" s="1"/>
  <c r="AI450" i="47"/>
  <c r="AJ450" i="47"/>
  <c r="AI435" i="47"/>
  <c r="AF435" i="47"/>
  <c r="AG435" i="47" s="1"/>
  <c r="AJ488" i="47"/>
  <c r="AF488" i="47"/>
  <c r="AG488" i="47" s="1"/>
  <c r="AF447" i="47"/>
  <c r="AG447" i="47" s="1"/>
  <c r="AI447" i="47"/>
  <c r="AJ447" i="47"/>
  <c r="AF399" i="47"/>
  <c r="AG399" i="47" s="1"/>
  <c r="AI399" i="47"/>
  <c r="AJ399" i="47"/>
  <c r="AI326" i="47"/>
  <c r="AF326" i="47"/>
  <c r="AG326" i="47" s="1"/>
  <c r="AJ326" i="47"/>
  <c r="AI48" i="47"/>
  <c r="AF48" i="47"/>
  <c r="AG48" i="47" s="1"/>
  <c r="AJ48" i="47"/>
  <c r="AJ448" i="46"/>
  <c r="AI442" i="46"/>
  <c r="AI438" i="46"/>
  <c r="AF437" i="46"/>
  <c r="AG437" i="46" s="1"/>
  <c r="AI432" i="46"/>
  <c r="AF427" i="46"/>
  <c r="AG427" i="46" s="1"/>
  <c r="AI418" i="46"/>
  <c r="AJ414" i="46"/>
  <c r="AI409" i="46"/>
  <c r="AI404" i="46"/>
  <c r="AI399" i="46"/>
  <c r="AI374" i="46"/>
  <c r="AI370" i="46"/>
  <c r="AJ366" i="46"/>
  <c r="AJ365" i="46"/>
  <c r="AF361" i="46"/>
  <c r="AG361" i="46" s="1"/>
  <c r="AI335" i="46"/>
  <c r="AI276" i="46"/>
  <c r="AI271" i="46"/>
  <c r="AF270" i="46"/>
  <c r="AG270" i="46" s="1"/>
  <c r="AI263" i="46"/>
  <c r="AI258" i="46"/>
  <c r="AJ253" i="46"/>
  <c r="AI235" i="46"/>
  <c r="AJ232" i="46"/>
  <c r="AI204" i="46"/>
  <c r="AF184" i="46"/>
  <c r="AG184" i="46" s="1"/>
  <c r="AI176" i="46"/>
  <c r="AI173" i="46"/>
  <c r="AJ159" i="46"/>
  <c r="AI150" i="46"/>
  <c r="AJ145" i="46"/>
  <c r="AI142" i="46"/>
  <c r="AI138" i="46"/>
  <c r="AI137" i="46"/>
  <c r="AI109" i="46"/>
  <c r="AI101" i="46"/>
  <c r="AI92" i="46"/>
  <c r="AI84" i="46"/>
  <c r="AI69" i="46"/>
  <c r="AJ65" i="46"/>
  <c r="AI57" i="46"/>
  <c r="AI56" i="46"/>
  <c r="AF42" i="46"/>
  <c r="AG42" i="46" s="1"/>
  <c r="AF41" i="46"/>
  <c r="AG41" i="46" s="1"/>
  <c r="AI37" i="46"/>
  <c r="AI31" i="46"/>
  <c r="AF23" i="46"/>
  <c r="AG23" i="46" s="1"/>
  <c r="AF19" i="46"/>
  <c r="AG19" i="46" s="1"/>
  <c r="AJ499" i="47"/>
  <c r="AF499" i="47"/>
  <c r="AG499" i="47" s="1"/>
  <c r="AJ492" i="47"/>
  <c r="AI492" i="47"/>
  <c r="AJ479" i="47"/>
  <c r="AF479" i="47"/>
  <c r="AG479" i="47" s="1"/>
  <c r="AJ466" i="47"/>
  <c r="AF466" i="47"/>
  <c r="AG466" i="47" s="1"/>
  <c r="AF424" i="47"/>
  <c r="AG424" i="47" s="1"/>
  <c r="AI424" i="47"/>
  <c r="AJ424" i="47"/>
  <c r="AJ222" i="47"/>
  <c r="AF222" i="47"/>
  <c r="AG222" i="47" s="1"/>
  <c r="AI222" i="47"/>
  <c r="AJ72" i="47"/>
  <c r="AI72" i="47"/>
  <c r="AF72" i="47"/>
  <c r="AG72" i="47" s="1"/>
  <c r="AJ174" i="45"/>
  <c r="AI173" i="45"/>
  <c r="AJ154" i="45"/>
  <c r="AJ140" i="45"/>
  <c r="AJ132" i="45"/>
  <c r="AI127" i="45"/>
  <c r="AJ106" i="45"/>
  <c r="AI95" i="45"/>
  <c r="AI89" i="45"/>
  <c r="AJ63" i="45"/>
  <c r="AJ50" i="45"/>
  <c r="AI495" i="46"/>
  <c r="AI490" i="46"/>
  <c r="AJ486" i="46"/>
  <c r="AJ480" i="46"/>
  <c r="AF469" i="46"/>
  <c r="AG469" i="46" s="1"/>
  <c r="AJ464" i="46"/>
  <c r="AF447" i="46"/>
  <c r="AG447" i="46" s="1"/>
  <c r="AJ424" i="46"/>
  <c r="AI414" i="46"/>
  <c r="AJ410" i="46"/>
  <c r="AJ406" i="46"/>
  <c r="AJ396" i="46"/>
  <c r="AJ392" i="46"/>
  <c r="AJ380" i="46"/>
  <c r="AI366" i="46"/>
  <c r="AJ358" i="46"/>
  <c r="AJ340" i="46"/>
  <c r="AJ336" i="46"/>
  <c r="AJ328" i="46"/>
  <c r="AJ320" i="46"/>
  <c r="AJ306" i="46"/>
  <c r="AJ293" i="46"/>
  <c r="AJ287" i="46"/>
  <c r="AJ286" i="46"/>
  <c r="AJ285" i="46"/>
  <c r="AJ277" i="46"/>
  <c r="AF276" i="46"/>
  <c r="AG276" i="46" s="1"/>
  <c r="AJ259" i="46"/>
  <c r="AF258" i="46"/>
  <c r="AG258" i="46" s="1"/>
  <c r="AI254" i="46"/>
  <c r="AI253" i="46"/>
  <c r="AJ237" i="46"/>
  <c r="AJ221" i="46"/>
  <c r="AJ205" i="46"/>
  <c r="AF200" i="46"/>
  <c r="AG200" i="46" s="1"/>
  <c r="AI192" i="46"/>
  <c r="AJ185" i="46"/>
  <c r="AJ169" i="46"/>
  <c r="AF168" i="46"/>
  <c r="AG168" i="46" s="1"/>
  <c r="AF154" i="46"/>
  <c r="AG154" i="46" s="1"/>
  <c r="AF150" i="46"/>
  <c r="AG150" i="46" s="1"/>
  <c r="AJ110" i="46"/>
  <c r="AJ102" i="46"/>
  <c r="AJ98" i="46"/>
  <c r="AI77" i="46"/>
  <c r="AJ74" i="46"/>
  <c r="AJ70" i="46"/>
  <c r="AF69" i="46"/>
  <c r="AG69" i="46" s="1"/>
  <c r="AJ66" i="46"/>
  <c r="AI65" i="46"/>
  <c r="AF37" i="46"/>
  <c r="AG37" i="46" s="1"/>
  <c r="AJ34" i="46"/>
  <c r="AJ496" i="47"/>
  <c r="AF496" i="47"/>
  <c r="AG496" i="47" s="1"/>
  <c r="AI496" i="47"/>
  <c r="AJ472" i="47"/>
  <c r="AF472" i="47"/>
  <c r="AG472" i="47" s="1"/>
  <c r="AJ464" i="47"/>
  <c r="AI464" i="47"/>
  <c r="AI456" i="47"/>
  <c r="AJ436" i="47"/>
  <c r="AF436" i="47"/>
  <c r="AG436" i="47" s="1"/>
  <c r="AI436" i="47"/>
  <c r="AJ427" i="47"/>
  <c r="AF427" i="47"/>
  <c r="AG427" i="47" s="1"/>
  <c r="AI427" i="47"/>
  <c r="AI417" i="47"/>
  <c r="AJ417" i="47"/>
  <c r="AF417" i="47"/>
  <c r="AG417" i="47" s="1"/>
  <c r="AJ329" i="47"/>
  <c r="AI329" i="47"/>
  <c r="AF329" i="47"/>
  <c r="AG329" i="47" s="1"/>
  <c r="AI206" i="47"/>
  <c r="AF206" i="47"/>
  <c r="AG206" i="47" s="1"/>
  <c r="AJ206" i="47"/>
  <c r="AJ124" i="47"/>
  <c r="AF124" i="47"/>
  <c r="AG124" i="47" s="1"/>
  <c r="AI124" i="47"/>
  <c r="AI122" i="47"/>
  <c r="AJ122" i="47"/>
  <c r="AF122" i="47"/>
  <c r="AG122" i="47" s="1"/>
  <c r="AI174" i="45"/>
  <c r="AI161" i="45"/>
  <c r="AI154" i="45"/>
  <c r="AI140" i="45"/>
  <c r="AI132" i="45"/>
  <c r="AI106" i="45"/>
  <c r="AI103" i="45"/>
  <c r="AI77" i="45"/>
  <c r="AI72" i="45"/>
  <c r="AI63" i="45"/>
  <c r="AI60" i="45"/>
  <c r="AI50" i="45"/>
  <c r="AI486" i="46"/>
  <c r="AI480" i="46"/>
  <c r="AI464" i="46"/>
  <c r="AI449" i="46"/>
  <c r="AI424" i="46"/>
  <c r="AI410" i="46"/>
  <c r="AI406" i="46"/>
  <c r="AI396" i="46"/>
  <c r="AI392" i="46"/>
  <c r="AJ388" i="46"/>
  <c r="AJ384" i="46"/>
  <c r="AI380" i="46"/>
  <c r="AI358" i="46"/>
  <c r="AJ354" i="46"/>
  <c r="AI345" i="46"/>
  <c r="AI340" i="46"/>
  <c r="AI336" i="46"/>
  <c r="AJ332" i="46"/>
  <c r="AI328" i="46"/>
  <c r="AI320" i="46"/>
  <c r="AJ312" i="46"/>
  <c r="AI306" i="46"/>
  <c r="AJ296" i="46"/>
  <c r="AJ295" i="46"/>
  <c r="AJ294" i="46"/>
  <c r="AI293" i="46"/>
  <c r="AJ288" i="46"/>
  <c r="AI287" i="46"/>
  <c r="AI286" i="46"/>
  <c r="AI285" i="46"/>
  <c r="AI277" i="46"/>
  <c r="AI259" i="46"/>
  <c r="AJ255" i="46"/>
  <c r="AJ245" i="46"/>
  <c r="AI230" i="46"/>
  <c r="AJ225" i="46"/>
  <c r="AI205" i="46"/>
  <c r="AJ201" i="46"/>
  <c r="AI186" i="46"/>
  <c r="AI185" i="46"/>
  <c r="AI170" i="46"/>
  <c r="AI169" i="46"/>
  <c r="AI160" i="46"/>
  <c r="AI151" i="46"/>
  <c r="AJ143" i="46"/>
  <c r="AJ129" i="46"/>
  <c r="AI110" i="46"/>
  <c r="AJ103" i="46"/>
  <c r="AI102" i="46"/>
  <c r="AI98" i="46"/>
  <c r="AJ94" i="46"/>
  <c r="AJ90" i="46"/>
  <c r="AJ82" i="46"/>
  <c r="AJ78" i="46"/>
  <c r="AI74" i="46"/>
  <c r="AI70" i="46"/>
  <c r="AI66" i="46"/>
  <c r="AI35" i="46"/>
  <c r="AI29" i="46"/>
  <c r="AI25" i="46"/>
  <c r="AJ7" i="46"/>
  <c r="AF7" i="46"/>
  <c r="AG7" i="46" s="1"/>
  <c r="AJ476" i="47"/>
  <c r="AI476" i="47"/>
  <c r="AJ467" i="47"/>
  <c r="AF467" i="47"/>
  <c r="AG467" i="47" s="1"/>
  <c r="AF452" i="47"/>
  <c r="AG452" i="47" s="1"/>
  <c r="AI452" i="47"/>
  <c r="AF443" i="47"/>
  <c r="AG443" i="47" s="1"/>
  <c r="AI443" i="47"/>
  <c r="AI346" i="47"/>
  <c r="AF346" i="47"/>
  <c r="AG346" i="47" s="1"/>
  <c r="AF290" i="47"/>
  <c r="AG290" i="47" s="1"/>
  <c r="AI290" i="47"/>
  <c r="AJ290" i="47"/>
  <c r="AJ252" i="47"/>
  <c r="AI252" i="47"/>
  <c r="AF252" i="47"/>
  <c r="AG252" i="47" s="1"/>
  <c r="AF211" i="47"/>
  <c r="AG211" i="47" s="1"/>
  <c r="AJ211" i="47"/>
  <c r="AI211" i="47"/>
  <c r="AJ162" i="47"/>
  <c r="AI162" i="47"/>
  <c r="AF162" i="47"/>
  <c r="AG162" i="47" s="1"/>
  <c r="AI77" i="47"/>
  <c r="AJ77" i="47"/>
  <c r="AF77" i="47"/>
  <c r="AG77" i="47" s="1"/>
  <c r="AF161" i="45"/>
  <c r="AG161" i="45" s="1"/>
  <c r="AI150" i="45"/>
  <c r="AF127" i="45"/>
  <c r="AG127" i="45" s="1"/>
  <c r="AF103" i="45"/>
  <c r="AG103" i="45" s="1"/>
  <c r="AF95" i="45"/>
  <c r="AG95" i="45" s="1"/>
  <c r="AF89" i="45"/>
  <c r="AG89" i="45" s="1"/>
  <c r="AF77" i="45"/>
  <c r="AG77" i="45" s="1"/>
  <c r="AF72" i="45"/>
  <c r="AG72" i="45" s="1"/>
  <c r="AF60" i="45"/>
  <c r="AG60" i="45" s="1"/>
  <c r="AI47" i="45"/>
  <c r="AF495" i="46"/>
  <c r="AG495" i="46" s="1"/>
  <c r="AJ492" i="46"/>
  <c r="AF491" i="46"/>
  <c r="AG491" i="46" s="1"/>
  <c r="AJ466" i="46"/>
  <c r="AJ456" i="46"/>
  <c r="AF449" i="46"/>
  <c r="AG449" i="46" s="1"/>
  <c r="AJ440" i="46"/>
  <c r="AI421" i="46"/>
  <c r="AI415" i="46"/>
  <c r="AI393" i="46"/>
  <c r="AI388" i="46"/>
  <c r="AI384" i="46"/>
  <c r="AJ376" i="46"/>
  <c r="AI367" i="46"/>
  <c r="AI354" i="46"/>
  <c r="AJ349" i="46"/>
  <c r="AJ346" i="46"/>
  <c r="AF345" i="46"/>
  <c r="AG345" i="46" s="1"/>
  <c r="AI337" i="46"/>
  <c r="AI332" i="46"/>
  <c r="AI321" i="46"/>
  <c r="AJ316" i="46"/>
  <c r="AI312" i="46"/>
  <c r="AI307" i="46"/>
  <c r="AJ300" i="46"/>
  <c r="AI294" i="46"/>
  <c r="AJ289" i="46"/>
  <c r="AI288" i="46"/>
  <c r="AI278" i="46"/>
  <c r="AJ273" i="46"/>
  <c r="AI260" i="46"/>
  <c r="AI255" i="46"/>
  <c r="AF254" i="46"/>
  <c r="AG254" i="46" s="1"/>
  <c r="AI245" i="46"/>
  <c r="AJ241" i="46"/>
  <c r="AF237" i="46"/>
  <c r="AG237" i="46" s="1"/>
  <c r="AJ226" i="46"/>
  <c r="AI225" i="46"/>
  <c r="AJ222" i="46"/>
  <c r="AF221" i="46"/>
  <c r="AG221" i="46" s="1"/>
  <c r="AI215" i="46"/>
  <c r="AI214" i="46"/>
  <c r="AI202" i="46"/>
  <c r="AI201" i="46"/>
  <c r="AJ195" i="46"/>
  <c r="AI190" i="46"/>
  <c r="AI182" i="46"/>
  <c r="AJ177" i="46"/>
  <c r="AF151" i="46"/>
  <c r="AG151" i="46" s="1"/>
  <c r="AI143" i="46"/>
  <c r="AI135" i="46"/>
  <c r="AI129" i="46"/>
  <c r="AJ111" i="46"/>
  <c r="AI103" i="46"/>
  <c r="AI94" i="46"/>
  <c r="AI90" i="46"/>
  <c r="AI82" i="46"/>
  <c r="AI78" i="46"/>
  <c r="AJ71" i="46"/>
  <c r="AJ59" i="46"/>
  <c r="AF58" i="46"/>
  <c r="AG58" i="46" s="1"/>
  <c r="AF53" i="46"/>
  <c r="AG53" i="46" s="1"/>
  <c r="AJ50" i="46"/>
  <c r="AI47" i="46"/>
  <c r="AI8" i="46"/>
  <c r="AJ500" i="47"/>
  <c r="AI500" i="47"/>
  <c r="AF500" i="47"/>
  <c r="AG500" i="47" s="1"/>
  <c r="AI487" i="47"/>
  <c r="AJ483" i="47"/>
  <c r="AF483" i="47"/>
  <c r="AG483" i="47" s="1"/>
  <c r="AJ470" i="47"/>
  <c r="AF470" i="47"/>
  <c r="AG470" i="47" s="1"/>
  <c r="AJ379" i="47"/>
  <c r="AF379" i="47"/>
  <c r="AG379" i="47" s="1"/>
  <c r="AI379" i="47"/>
  <c r="AI362" i="47"/>
  <c r="AF362" i="47"/>
  <c r="AG362" i="47" s="1"/>
  <c r="AJ339" i="47"/>
  <c r="AI339" i="47"/>
  <c r="AF339" i="47"/>
  <c r="AG339" i="47" s="1"/>
  <c r="AF322" i="47"/>
  <c r="AG322" i="47" s="1"/>
  <c r="AJ322" i="47"/>
  <c r="AI322" i="47"/>
  <c r="AF102" i="47"/>
  <c r="AG102" i="47" s="1"/>
  <c r="AJ102" i="47"/>
  <c r="AI102" i="47"/>
  <c r="AI451" i="46"/>
  <c r="AI435" i="46"/>
  <c r="AF393" i="46"/>
  <c r="AG393" i="46" s="1"/>
  <c r="AJ389" i="46"/>
  <c r="AI359" i="46"/>
  <c r="AJ341" i="46"/>
  <c r="AF337" i="46"/>
  <c r="AG337" i="46" s="1"/>
  <c r="AF321" i="46"/>
  <c r="AG321" i="46" s="1"/>
  <c r="AF307" i="46"/>
  <c r="AG307" i="46" s="1"/>
  <c r="AF278" i="46"/>
  <c r="AG278" i="46" s="1"/>
  <c r="AF260" i="46"/>
  <c r="AG260" i="46" s="1"/>
  <c r="AI246" i="46"/>
  <c r="AF230" i="46"/>
  <c r="AG230" i="46" s="1"/>
  <c r="AI222" i="46"/>
  <c r="AI206" i="46"/>
  <c r="AI198" i="46"/>
  <c r="AJ193" i="46"/>
  <c r="AI187" i="46"/>
  <c r="AF186" i="46"/>
  <c r="AG186" i="46" s="1"/>
  <c r="AF182" i="46"/>
  <c r="AG182" i="46" s="1"/>
  <c r="AI171" i="46"/>
  <c r="AF170" i="46"/>
  <c r="AG170" i="46" s="1"/>
  <c r="AJ163" i="46"/>
  <c r="AI156" i="46"/>
  <c r="AI140" i="46"/>
  <c r="AF135" i="46"/>
  <c r="AG135" i="46" s="1"/>
  <c r="AI111" i="46"/>
  <c r="AI71" i="46"/>
  <c r="AI51" i="46"/>
  <c r="AF39" i="46"/>
  <c r="AG39" i="46" s="1"/>
  <c r="AF35" i="46"/>
  <c r="AG35" i="46" s="1"/>
  <c r="AF29" i="46"/>
  <c r="AG29" i="46" s="1"/>
  <c r="AF25" i="46"/>
  <c r="AG25" i="46" s="1"/>
  <c r="AI15" i="46"/>
  <c r="AF8" i="46"/>
  <c r="AG8" i="46" s="1"/>
  <c r="AJ497" i="47"/>
  <c r="AI497" i="47"/>
  <c r="AI491" i="47"/>
  <c r="AF487" i="47"/>
  <c r="AG487" i="47" s="1"/>
  <c r="AF465" i="47"/>
  <c r="AG465" i="47" s="1"/>
  <c r="AF449" i="47"/>
  <c r="AG449" i="47" s="1"/>
  <c r="AJ449" i="47"/>
  <c r="AI398" i="47"/>
  <c r="AJ398" i="47"/>
  <c r="AF398" i="47"/>
  <c r="AG398" i="47" s="1"/>
  <c r="AF284" i="47"/>
  <c r="AG284" i="47" s="1"/>
  <c r="AJ284" i="47"/>
  <c r="AJ255" i="47"/>
  <c r="AI255" i="47"/>
  <c r="AJ232" i="47"/>
  <c r="AI232" i="47"/>
  <c r="AF227" i="47"/>
  <c r="AG227" i="47" s="1"/>
  <c r="AI227" i="47"/>
  <c r="AJ227" i="47"/>
  <c r="AI208" i="47"/>
  <c r="AJ208" i="47"/>
  <c r="AF208" i="47"/>
  <c r="AG208" i="47" s="1"/>
  <c r="AI74" i="47"/>
  <c r="AF74" i="47"/>
  <c r="AG74" i="47" s="1"/>
  <c r="AJ74" i="47"/>
  <c r="AJ53" i="47"/>
  <c r="AI53" i="47"/>
  <c r="AJ23" i="47"/>
  <c r="AI23" i="47"/>
  <c r="AI480" i="47"/>
  <c r="AI469" i="47"/>
  <c r="AI461" i="47"/>
  <c r="AJ440" i="47"/>
  <c r="AI439" i="47"/>
  <c r="AI429" i="47"/>
  <c r="AI420" i="47"/>
  <c r="AI415" i="47"/>
  <c r="AI414" i="47"/>
  <c r="AI413" i="47"/>
  <c r="AI411" i="47"/>
  <c r="AI410" i="47"/>
  <c r="AJ409" i="47"/>
  <c r="AJ402" i="47"/>
  <c r="AJ401" i="47"/>
  <c r="AI364" i="47"/>
  <c r="AJ354" i="47"/>
  <c r="AI348" i="47"/>
  <c r="AJ334" i="47"/>
  <c r="AJ306" i="47"/>
  <c r="AF302" i="47"/>
  <c r="AG302" i="47" s="1"/>
  <c r="AI302" i="47"/>
  <c r="AI270" i="47"/>
  <c r="AJ270" i="47"/>
  <c r="AI256" i="47"/>
  <c r="AI230" i="47"/>
  <c r="AJ230" i="47"/>
  <c r="AI216" i="47"/>
  <c r="AJ214" i="47"/>
  <c r="AI214" i="47"/>
  <c r="AF203" i="47"/>
  <c r="AG203" i="47" s="1"/>
  <c r="AI203" i="47"/>
  <c r="AJ203" i="47"/>
  <c r="AJ161" i="47"/>
  <c r="AI161" i="47"/>
  <c r="AI143" i="47"/>
  <c r="AI142" i="47"/>
  <c r="AJ142" i="47"/>
  <c r="AJ114" i="47"/>
  <c r="AI114" i="47"/>
  <c r="AI109" i="47"/>
  <c r="AF109" i="47"/>
  <c r="AG109" i="47" s="1"/>
  <c r="AF104" i="47"/>
  <c r="AG104" i="47" s="1"/>
  <c r="AI104" i="47"/>
  <c r="AJ104" i="47"/>
  <c r="AF26" i="47"/>
  <c r="AG26" i="47" s="1"/>
  <c r="AJ26" i="47"/>
  <c r="AJ11" i="47"/>
  <c r="AI11" i="47"/>
  <c r="AF11" i="47"/>
  <c r="AG11" i="47" s="1"/>
  <c r="AF480" i="47"/>
  <c r="AG480" i="47" s="1"/>
  <c r="AF475" i="47"/>
  <c r="AG475" i="47" s="1"/>
  <c r="AI423" i="47"/>
  <c r="AI407" i="47"/>
  <c r="AJ406" i="47"/>
  <c r="AJ405" i="47"/>
  <c r="AI403" i="47"/>
  <c r="AF402" i="47"/>
  <c r="AG402" i="47" s="1"/>
  <c r="AI391" i="47"/>
  <c r="AJ386" i="47"/>
  <c r="AF380" i="47"/>
  <c r="AG380" i="47" s="1"/>
  <c r="AI368" i="47"/>
  <c r="AI367" i="47"/>
  <c r="AF365" i="47"/>
  <c r="AG365" i="47" s="1"/>
  <c r="AI363" i="47"/>
  <c r="AF361" i="47"/>
  <c r="AG361" i="47" s="1"/>
  <c r="AF355" i="47"/>
  <c r="AG355" i="47" s="1"/>
  <c r="AJ350" i="47"/>
  <c r="AI347" i="47"/>
  <c r="AI335" i="47"/>
  <c r="AF332" i="47"/>
  <c r="AG332" i="47" s="1"/>
  <c r="AF331" i="47"/>
  <c r="AG331" i="47" s="1"/>
  <c r="AF314" i="47"/>
  <c r="AG314" i="47" s="1"/>
  <c r="AJ303" i="47"/>
  <c r="AI303" i="47"/>
  <c r="AJ297" i="47"/>
  <c r="AF297" i="47"/>
  <c r="AG297" i="47" s="1"/>
  <c r="AF286" i="47"/>
  <c r="AG286" i="47" s="1"/>
  <c r="AI286" i="47"/>
  <c r="AF274" i="47"/>
  <c r="AG274" i="47" s="1"/>
  <c r="AI260" i="47"/>
  <c r="AI257" i="47"/>
  <c r="AI250" i="47"/>
  <c r="AJ250" i="47"/>
  <c r="AF250" i="47"/>
  <c r="AG250" i="47" s="1"/>
  <c r="AI234" i="47"/>
  <c r="AI228" i="47"/>
  <c r="AJ228" i="47"/>
  <c r="AF216" i="47"/>
  <c r="AG216" i="47" s="1"/>
  <c r="AJ159" i="47"/>
  <c r="AI159" i="47"/>
  <c r="AF159" i="47"/>
  <c r="AG159" i="47" s="1"/>
  <c r="AJ134" i="47"/>
  <c r="AI134" i="47"/>
  <c r="AJ115" i="47"/>
  <c r="AF115" i="47"/>
  <c r="AG115" i="47" s="1"/>
  <c r="AI115" i="47"/>
  <c r="AI112" i="47"/>
  <c r="AJ112" i="47"/>
  <c r="AI105" i="47"/>
  <c r="AF105" i="47"/>
  <c r="AG105" i="47" s="1"/>
  <c r="AI32" i="47"/>
  <c r="AJ29" i="47"/>
  <c r="AF29" i="47"/>
  <c r="AG29" i="47" s="1"/>
  <c r="AI29" i="47"/>
  <c r="AJ17" i="47"/>
  <c r="AI17" i="47"/>
  <c r="AF446" i="47"/>
  <c r="AG446" i="47" s="1"/>
  <c r="AF441" i="47"/>
  <c r="AG441" i="47" s="1"/>
  <c r="AJ431" i="47"/>
  <c r="AF408" i="47"/>
  <c r="AG408" i="47" s="1"/>
  <c r="AI405" i="47"/>
  <c r="AF404" i="47"/>
  <c r="AG404" i="47" s="1"/>
  <c r="AJ389" i="47"/>
  <c r="AF363" i="47"/>
  <c r="AG363" i="47" s="1"/>
  <c r="AJ358" i="47"/>
  <c r="AI350" i="47"/>
  <c r="AF349" i="47"/>
  <c r="AG349" i="47" s="1"/>
  <c r="AF348" i="47"/>
  <c r="AG348" i="47" s="1"/>
  <c r="AF347" i="47"/>
  <c r="AG347" i="47" s="1"/>
  <c r="AJ327" i="47"/>
  <c r="AF327" i="47"/>
  <c r="AG327" i="47" s="1"/>
  <c r="AF323" i="47"/>
  <c r="AG323" i="47" s="1"/>
  <c r="AJ320" i="47"/>
  <c r="AF320" i="47"/>
  <c r="AG320" i="47" s="1"/>
  <c r="AI310" i="47"/>
  <c r="AJ310" i="47"/>
  <c r="AF310" i="47"/>
  <c r="AG310" i="47" s="1"/>
  <c r="AF294" i="47"/>
  <c r="AG294" i="47" s="1"/>
  <c r="AJ291" i="47"/>
  <c r="AF291" i="47"/>
  <c r="AG291" i="47" s="1"/>
  <c r="AI288" i="47"/>
  <c r="AI271" i="47"/>
  <c r="AJ271" i="47"/>
  <c r="AJ253" i="47"/>
  <c r="AI253" i="47"/>
  <c r="AF234" i="47"/>
  <c r="AG234" i="47" s="1"/>
  <c r="AI231" i="47"/>
  <c r="AJ231" i="47"/>
  <c r="AF231" i="47"/>
  <c r="AG231" i="47" s="1"/>
  <c r="AI226" i="47"/>
  <c r="AJ226" i="47"/>
  <c r="AF226" i="47"/>
  <c r="AG226" i="47" s="1"/>
  <c r="AI212" i="47"/>
  <c r="AJ212" i="47"/>
  <c r="AI170" i="47"/>
  <c r="AF170" i="47"/>
  <c r="AG170" i="47" s="1"/>
  <c r="AF163" i="47"/>
  <c r="AG163" i="47" s="1"/>
  <c r="AI97" i="47"/>
  <c r="AJ97" i="47"/>
  <c r="AI95" i="47"/>
  <c r="AJ95" i="47"/>
  <c r="AF95" i="47"/>
  <c r="AG95" i="47" s="1"/>
  <c r="AI81" i="47"/>
  <c r="AJ81" i="47"/>
  <c r="AJ75" i="47"/>
  <c r="AI75" i="47"/>
  <c r="AI73" i="47"/>
  <c r="AJ73" i="47"/>
  <c r="AF73" i="47"/>
  <c r="AG73" i="47" s="1"/>
  <c r="AF52" i="47"/>
  <c r="AG52" i="47" s="1"/>
  <c r="AI52" i="47"/>
  <c r="AJ52" i="47"/>
  <c r="AF32" i="47"/>
  <c r="AG32" i="47" s="1"/>
  <c r="AJ18" i="47"/>
  <c r="AI18" i="47"/>
  <c r="AJ432" i="47"/>
  <c r="AI431" i="47"/>
  <c r="AF406" i="47"/>
  <c r="AG406" i="47" s="1"/>
  <c r="AF385" i="47"/>
  <c r="AG385" i="47" s="1"/>
  <c r="AI377" i="47"/>
  <c r="AF368" i="47"/>
  <c r="AG368" i="47" s="1"/>
  <c r="AI352" i="47"/>
  <c r="AI351" i="47"/>
  <c r="AF295" i="47"/>
  <c r="AG295" i="47" s="1"/>
  <c r="AI269" i="47"/>
  <c r="AJ269" i="47"/>
  <c r="AF269" i="47"/>
  <c r="AG269" i="47" s="1"/>
  <c r="AI204" i="47"/>
  <c r="AF204" i="47"/>
  <c r="AG204" i="47" s="1"/>
  <c r="AI125" i="47"/>
  <c r="AI110" i="47"/>
  <c r="AJ110" i="47"/>
  <c r="AI79" i="47"/>
  <c r="AJ79" i="47"/>
  <c r="AF79" i="47"/>
  <c r="AG79" i="47" s="1"/>
  <c r="AJ78" i="47"/>
  <c r="AI78" i="47"/>
  <c r="AJ45" i="47"/>
  <c r="AI45" i="47"/>
  <c r="AJ43" i="47"/>
  <c r="AI43" i="47"/>
  <c r="AF43" i="47"/>
  <c r="AG43" i="47" s="1"/>
  <c r="AJ15" i="47"/>
  <c r="AF15" i="47"/>
  <c r="AG15" i="47" s="1"/>
  <c r="AI15" i="47"/>
  <c r="AF4" i="47"/>
  <c r="AG4" i="47" s="1"/>
  <c r="AJ4" i="47"/>
  <c r="AJ304" i="47"/>
  <c r="AI304" i="47"/>
  <c r="AF304" i="47"/>
  <c r="AG304" i="47" s="1"/>
  <c r="AI254" i="47"/>
  <c r="AJ254" i="47"/>
  <c r="AI229" i="47"/>
  <c r="AJ229" i="47"/>
  <c r="AI193" i="47"/>
  <c r="AJ141" i="47"/>
  <c r="AI141" i="47"/>
  <c r="AI89" i="47"/>
  <c r="AF89" i="47"/>
  <c r="AG89" i="47" s="1"/>
  <c r="AJ76" i="47"/>
  <c r="AI76" i="47"/>
  <c r="AJ71" i="47"/>
  <c r="AF71" i="47"/>
  <c r="AG71" i="47" s="1"/>
  <c r="AI71" i="47"/>
  <c r="AI61" i="47"/>
  <c r="AJ61" i="47"/>
  <c r="AI46" i="47"/>
  <c r="AI8" i="47"/>
  <c r="AJ8" i="47"/>
  <c r="AI5" i="46"/>
  <c r="AF394" i="47"/>
  <c r="AG394" i="47" s="1"/>
  <c r="AF377" i="47"/>
  <c r="AG377" i="47" s="1"/>
  <c r="AI361" i="47"/>
  <c r="AF359" i="47"/>
  <c r="AG359" i="47" s="1"/>
  <c r="AF358" i="47"/>
  <c r="AG358" i="47" s="1"/>
  <c r="AF352" i="47"/>
  <c r="AG352" i="47" s="1"/>
  <c r="AI345" i="47"/>
  <c r="AJ311" i="47"/>
  <c r="AF311" i="47"/>
  <c r="AG311" i="47" s="1"/>
  <c r="AJ301" i="47"/>
  <c r="AF301" i="47"/>
  <c r="AG301" i="47" s="1"/>
  <c r="AF255" i="47"/>
  <c r="AG255" i="47" s="1"/>
  <c r="AJ251" i="47"/>
  <c r="AI251" i="47"/>
  <c r="AF232" i="47"/>
  <c r="AG232" i="47" s="1"/>
  <c r="AJ210" i="47"/>
  <c r="AI210" i="47"/>
  <c r="AJ160" i="47"/>
  <c r="AI160" i="47"/>
  <c r="AI158" i="47"/>
  <c r="AJ158" i="47"/>
  <c r="AF158" i="47"/>
  <c r="AG158" i="47" s="1"/>
  <c r="AI116" i="47"/>
  <c r="AJ116" i="47"/>
  <c r="AF107" i="47"/>
  <c r="AG107" i="47" s="1"/>
  <c r="AF106" i="47"/>
  <c r="AG106" i="47" s="1"/>
  <c r="AJ106" i="47"/>
  <c r="AF59" i="47"/>
  <c r="AG59" i="47" s="1"/>
  <c r="AJ59" i="47"/>
  <c r="AI59" i="47"/>
  <c r="AF53" i="47"/>
  <c r="AG53" i="47" s="1"/>
  <c r="AF46" i="47"/>
  <c r="AG46" i="47" s="1"/>
  <c r="AJ30" i="47"/>
  <c r="AI30" i="47"/>
  <c r="AJ16" i="47"/>
  <c r="AF16" i="47"/>
  <c r="AG16" i="47" s="1"/>
  <c r="AI16" i="47"/>
  <c r="AJ5" i="47"/>
  <c r="AF5" i="47"/>
  <c r="AG5" i="47" s="1"/>
  <c r="AI5" i="47"/>
  <c r="AF140" i="47"/>
  <c r="AG140" i="47" s="1"/>
  <c r="AF138" i="47"/>
  <c r="AG138" i="47" s="1"/>
  <c r="AF132" i="47"/>
  <c r="AG132" i="47" s="1"/>
  <c r="AF123" i="47"/>
  <c r="AG123" i="47" s="1"/>
  <c r="AF113" i="47"/>
  <c r="AG113" i="47" s="1"/>
  <c r="AF111" i="47"/>
  <c r="AG111" i="47" s="1"/>
  <c r="AF103" i="47"/>
  <c r="AG103" i="47" s="1"/>
  <c r="AF101" i="47"/>
  <c r="AG101" i="47" s="1"/>
  <c r="AF100" i="47"/>
  <c r="AG100" i="47" s="1"/>
  <c r="AF99" i="47"/>
  <c r="AG99" i="47" s="1"/>
  <c r="AF86" i="47"/>
  <c r="AG86" i="47" s="1"/>
  <c r="AF83" i="47"/>
  <c r="AG83" i="47" s="1"/>
  <c r="AF82" i="47"/>
  <c r="AG82" i="47" s="1"/>
  <c r="AF37" i="47"/>
  <c r="AG37" i="47" s="1"/>
  <c r="AF315" i="47"/>
  <c r="AG315" i="47" s="1"/>
  <c r="AJ268" i="47"/>
  <c r="AI265" i="47"/>
  <c r="AJ249" i="47"/>
  <c r="AJ248" i="47"/>
  <c r="AI247" i="47"/>
  <c r="AI243" i="47"/>
  <c r="AI224" i="47"/>
  <c r="AJ220" i="47"/>
  <c r="AJ202" i="47"/>
  <c r="AI186" i="47"/>
  <c r="AI178" i="47"/>
  <c r="AI148" i="47"/>
  <c r="AF147" i="47"/>
  <c r="AG147" i="47" s="1"/>
  <c r="AF145" i="47"/>
  <c r="AG145" i="47" s="1"/>
  <c r="AI139" i="47"/>
  <c r="AI130" i="47"/>
  <c r="AI92" i="47"/>
  <c r="AI84" i="47"/>
  <c r="AJ83" i="47"/>
  <c r="AF66" i="47"/>
  <c r="AG66" i="47" s="1"/>
  <c r="AF49" i="47"/>
  <c r="AG49" i="47" s="1"/>
  <c r="AI37" i="47"/>
  <c r="AF24" i="47"/>
  <c r="AG24" i="47" s="1"/>
  <c r="AI20" i="47"/>
  <c r="AF6" i="47"/>
  <c r="AG6" i="47" s="1"/>
  <c r="AJ6" i="47"/>
  <c r="AI157" i="47"/>
  <c r="AJ140" i="47"/>
  <c r="AJ132" i="47"/>
  <c r="AF129" i="47"/>
  <c r="AG129" i="47" s="1"/>
  <c r="AI123" i="47"/>
  <c r="AJ101" i="47"/>
  <c r="AI100" i="47"/>
  <c r="AJ99" i="47"/>
  <c r="AJ94" i="47"/>
  <c r="AF90" i="47"/>
  <c r="AG90" i="47" s="1"/>
  <c r="AJ58" i="47"/>
  <c r="AJ42" i="47"/>
  <c r="AF21" i="47"/>
  <c r="AG21" i="47" s="1"/>
  <c r="AJ13" i="47"/>
  <c r="AF13" i="47"/>
  <c r="AG13" i="47" s="1"/>
  <c r="AJ10" i="47"/>
  <c r="AI111" i="47"/>
  <c r="AI94" i="47"/>
  <c r="AJ82" i="47"/>
  <c r="AF430" i="47"/>
  <c r="AG430" i="47" s="1"/>
  <c r="AF426" i="47"/>
  <c r="AG426" i="47" s="1"/>
  <c r="AF422" i="47"/>
  <c r="AG422" i="47" s="1"/>
  <c r="AF418" i="47"/>
  <c r="AG418" i="47" s="1"/>
  <c r="AI392" i="47"/>
  <c r="AJ392" i="47"/>
  <c r="AF392" i="47"/>
  <c r="AG392" i="47" s="1"/>
  <c r="AF462" i="47"/>
  <c r="AG462" i="47" s="1"/>
  <c r="AF454" i="47"/>
  <c r="AG454" i="47" s="1"/>
  <c r="AI383" i="47"/>
  <c r="AJ383" i="47"/>
  <c r="AF383" i="47"/>
  <c r="AG383" i="47" s="1"/>
  <c r="AF376" i="47"/>
  <c r="AG376" i="47" s="1"/>
  <c r="AJ376" i="47"/>
  <c r="AI376" i="47"/>
  <c r="AJ305" i="47"/>
  <c r="AI305" i="47"/>
  <c r="AF305" i="47"/>
  <c r="AG305" i="47" s="1"/>
  <c r="AF464" i="47"/>
  <c r="AG464" i="47" s="1"/>
  <c r="AJ460" i="47"/>
  <c r="AF456" i="47"/>
  <c r="AG456" i="47" s="1"/>
  <c r="AJ452" i="47"/>
  <c r="AF448" i="47"/>
  <c r="AG448" i="47" s="1"/>
  <c r="AI374" i="47"/>
  <c r="AJ374" i="47"/>
  <c r="AF374" i="47"/>
  <c r="AG374" i="47" s="1"/>
  <c r="AJ462" i="47"/>
  <c r="AJ454" i="47"/>
  <c r="AJ446" i="47"/>
  <c r="AJ442" i="47"/>
  <c r="AJ438" i="47"/>
  <c r="AJ434" i="47"/>
  <c r="AJ430" i="47"/>
  <c r="AJ426" i="47"/>
  <c r="AJ422" i="47"/>
  <c r="AJ418" i="47"/>
  <c r="AJ375" i="47"/>
  <c r="AI375" i="47"/>
  <c r="AF375" i="47"/>
  <c r="AG375" i="47" s="1"/>
  <c r="AI396" i="47"/>
  <c r="AI389" i="47"/>
  <c r="AJ382" i="47"/>
  <c r="AI378" i="47"/>
  <c r="AJ378" i="47"/>
  <c r="AI372" i="47"/>
  <c r="AF372" i="47"/>
  <c r="AG372" i="47" s="1"/>
  <c r="AJ321" i="47"/>
  <c r="AI321" i="47"/>
  <c r="AF321" i="47"/>
  <c r="AG321" i="47" s="1"/>
  <c r="AJ393" i="47"/>
  <c r="AI382" i="47"/>
  <c r="AJ373" i="47"/>
  <c r="AF373" i="47"/>
  <c r="AG373" i="47" s="1"/>
  <c r="AI340" i="47"/>
  <c r="AJ340" i="47"/>
  <c r="AF340" i="47"/>
  <c r="AG340" i="47" s="1"/>
  <c r="AF387" i="47"/>
  <c r="AG387" i="47" s="1"/>
  <c r="AI386" i="47"/>
  <c r="AI324" i="47"/>
  <c r="AJ324" i="47"/>
  <c r="AF324" i="47"/>
  <c r="AG324" i="47" s="1"/>
  <c r="AF282" i="47"/>
  <c r="AG282" i="47" s="1"/>
  <c r="AJ282" i="47"/>
  <c r="AI282" i="47"/>
  <c r="AF360" i="47"/>
  <c r="AG360" i="47" s="1"/>
  <c r="AI360" i="47"/>
  <c r="AJ360" i="47"/>
  <c r="AJ353" i="47"/>
  <c r="AI353" i="47"/>
  <c r="AF353" i="47"/>
  <c r="AG353" i="47" s="1"/>
  <c r="AI308" i="47"/>
  <c r="AJ308" i="47"/>
  <c r="AF308" i="47"/>
  <c r="AG308" i="47" s="1"/>
  <c r="AJ289" i="47"/>
  <c r="AI289" i="47"/>
  <c r="AF289" i="47"/>
  <c r="AG289" i="47" s="1"/>
  <c r="AJ381" i="47"/>
  <c r="AI381" i="47"/>
  <c r="AI373" i="47"/>
  <c r="AJ372" i="47"/>
  <c r="AJ337" i="47"/>
  <c r="AI337" i="47"/>
  <c r="AF337" i="47"/>
  <c r="AG337" i="47" s="1"/>
  <c r="AJ369" i="47"/>
  <c r="AI369" i="47"/>
  <c r="AF369" i="47"/>
  <c r="AG369" i="47" s="1"/>
  <c r="AI356" i="47"/>
  <c r="AJ356" i="47"/>
  <c r="AF356" i="47"/>
  <c r="AG356" i="47" s="1"/>
  <c r="AI292" i="47"/>
  <c r="AJ292" i="47"/>
  <c r="AF292" i="47"/>
  <c r="AG292" i="47" s="1"/>
  <c r="AJ286" i="47"/>
  <c r="AI283" i="47"/>
  <c r="AJ283" i="47"/>
  <c r="AI272" i="47"/>
  <c r="AJ272" i="47"/>
  <c r="AI357" i="47"/>
  <c r="AJ344" i="47"/>
  <c r="AI341" i="47"/>
  <c r="AJ328" i="47"/>
  <c r="AI325" i="47"/>
  <c r="AJ312" i="47"/>
  <c r="AI309" i="47"/>
  <c r="AJ296" i="47"/>
  <c r="AI293" i="47"/>
  <c r="AI344" i="47"/>
  <c r="AI328" i="47"/>
  <c r="AI312" i="47"/>
  <c r="AI296" i="47"/>
  <c r="AI287" i="47"/>
  <c r="AJ287" i="47"/>
  <c r="AI281" i="47"/>
  <c r="AJ281" i="47"/>
  <c r="AJ278" i="47"/>
  <c r="AF367" i="47"/>
  <c r="AG367" i="47" s="1"/>
  <c r="AJ362" i="47"/>
  <c r="AI359" i="47"/>
  <c r="AF351" i="47"/>
  <c r="AG351" i="47" s="1"/>
  <c r="AJ346" i="47"/>
  <c r="AI343" i="47"/>
  <c r="AF335" i="47"/>
  <c r="AG335" i="47" s="1"/>
  <c r="AJ330" i="47"/>
  <c r="AI327" i="47"/>
  <c r="AF319" i="47"/>
  <c r="AG319" i="47" s="1"/>
  <c r="AJ314" i="47"/>
  <c r="AI311" i="47"/>
  <c r="AF303" i="47"/>
  <c r="AG303" i="47" s="1"/>
  <c r="AJ298" i="47"/>
  <c r="AI295" i="47"/>
  <c r="AI285" i="47"/>
  <c r="AJ285" i="47"/>
  <c r="AI278" i="47"/>
  <c r="AI365" i="47"/>
  <c r="AF357" i="47"/>
  <c r="AG357" i="47" s="1"/>
  <c r="AI349" i="47"/>
  <c r="AF341" i="47"/>
  <c r="AG341" i="47" s="1"/>
  <c r="AI333" i="47"/>
  <c r="AF325" i="47"/>
  <c r="AG325" i="47" s="1"/>
  <c r="AI317" i="47"/>
  <c r="AF309" i="47"/>
  <c r="AG309" i="47" s="1"/>
  <c r="AI301" i="47"/>
  <c r="AF293" i="47"/>
  <c r="AG293" i="47" s="1"/>
  <c r="AJ288" i="47"/>
  <c r="AI279" i="47"/>
  <c r="AJ279" i="47"/>
  <c r="AJ217" i="47"/>
  <c r="AF217" i="47"/>
  <c r="AG217" i="47" s="1"/>
  <c r="AF213" i="47"/>
  <c r="AG213" i="47" s="1"/>
  <c r="AJ213" i="47"/>
  <c r="AI223" i="47"/>
  <c r="AJ209" i="47"/>
  <c r="AF209" i="47"/>
  <c r="AG209" i="47" s="1"/>
  <c r="AI207" i="47"/>
  <c r="AJ207" i="47"/>
  <c r="AF205" i="47"/>
  <c r="AG205" i="47" s="1"/>
  <c r="AJ205" i="47"/>
  <c r="AJ201" i="47"/>
  <c r="AF201" i="47"/>
  <c r="AG201" i="47" s="1"/>
  <c r="AI199" i="47"/>
  <c r="AJ199" i="47"/>
  <c r="AF197" i="47"/>
  <c r="AG197" i="47" s="1"/>
  <c r="AJ197" i="47"/>
  <c r="AF189" i="47"/>
  <c r="AG189" i="47" s="1"/>
  <c r="AI189" i="47"/>
  <c r="AJ189" i="47"/>
  <c r="AJ225" i="47"/>
  <c r="AF225" i="47"/>
  <c r="AG225" i="47" s="1"/>
  <c r="AF223" i="47"/>
  <c r="AG223" i="47" s="1"/>
  <c r="AJ219" i="47"/>
  <c r="AI191" i="47"/>
  <c r="AJ191" i="47"/>
  <c r="AF181" i="47"/>
  <c r="AG181" i="47" s="1"/>
  <c r="AI181" i="47"/>
  <c r="AJ181" i="47"/>
  <c r="AJ165" i="47"/>
  <c r="AF165" i="47"/>
  <c r="AG165" i="47" s="1"/>
  <c r="AI165" i="47"/>
  <c r="AI219" i="47"/>
  <c r="AI217" i="47"/>
  <c r="AF221" i="47"/>
  <c r="AG221" i="47" s="1"/>
  <c r="AJ221" i="47"/>
  <c r="AI215" i="47"/>
  <c r="AI175" i="47"/>
  <c r="AJ175" i="47"/>
  <c r="AJ151" i="47"/>
  <c r="AI151" i="47"/>
  <c r="AF151" i="47"/>
  <c r="AG151" i="47" s="1"/>
  <c r="AF193" i="47"/>
  <c r="AG193" i="47" s="1"/>
  <c r="AF185" i="47"/>
  <c r="AG185" i="47" s="1"/>
  <c r="AF177" i="47"/>
  <c r="AG177" i="47" s="1"/>
  <c r="AJ183" i="47"/>
  <c r="AJ153" i="47"/>
  <c r="AF153" i="47"/>
  <c r="AG153" i="47" s="1"/>
  <c r="AI153" i="47"/>
  <c r="AJ135" i="47"/>
  <c r="AI135" i="47"/>
  <c r="AF135" i="47"/>
  <c r="AG135" i="47" s="1"/>
  <c r="AJ169" i="47"/>
  <c r="AF169" i="47"/>
  <c r="AG169" i="47" s="1"/>
  <c r="AJ167" i="47"/>
  <c r="AI167" i="47"/>
  <c r="AF157" i="47"/>
  <c r="AG157" i="47" s="1"/>
  <c r="AF141" i="47"/>
  <c r="AG141" i="47" s="1"/>
  <c r="AF125" i="47"/>
  <c r="AG125" i="47" s="1"/>
  <c r="AF119" i="47"/>
  <c r="AG119" i="47" s="1"/>
  <c r="AJ70" i="47"/>
  <c r="AF70" i="47"/>
  <c r="AG70" i="47" s="1"/>
  <c r="AI70" i="47"/>
  <c r="AI133" i="47"/>
  <c r="AF96" i="47"/>
  <c r="AG96" i="47" s="1"/>
  <c r="AI96" i="47"/>
  <c r="AI137" i="47"/>
  <c r="AI121" i="47"/>
  <c r="AI163" i="47"/>
  <c r="AF149" i="47"/>
  <c r="AG149" i="47" s="1"/>
  <c r="AI147" i="47"/>
  <c r="AF133" i="47"/>
  <c r="AG133" i="47" s="1"/>
  <c r="AI131" i="47"/>
  <c r="AI113" i="47"/>
  <c r="AF137" i="47"/>
  <c r="AG137" i="47" s="1"/>
  <c r="AF121" i="47"/>
  <c r="AG121" i="47" s="1"/>
  <c r="AI119" i="47"/>
  <c r="AJ88" i="47"/>
  <c r="AJ80" i="47"/>
  <c r="AF76" i="47"/>
  <c r="AG76" i="47" s="1"/>
  <c r="AF68" i="47"/>
  <c r="AG68" i="47" s="1"/>
  <c r="AF54" i="47"/>
  <c r="AG54" i="47" s="1"/>
  <c r="AI54" i="47"/>
  <c r="AJ54" i="47"/>
  <c r="AF12" i="47"/>
  <c r="AG12" i="47" s="1"/>
  <c r="AI12" i="47"/>
  <c r="AJ12" i="47"/>
  <c r="AJ109" i="47"/>
  <c r="AJ107" i="47"/>
  <c r="AJ105" i="47"/>
  <c r="AJ103" i="47"/>
  <c r="AI88" i="47"/>
  <c r="AI80" i="47"/>
  <c r="AJ98" i="47"/>
  <c r="AJ90" i="47"/>
  <c r="AI62" i="47"/>
  <c r="AJ62" i="47"/>
  <c r="AJ41" i="47"/>
  <c r="AI41" i="47"/>
  <c r="AJ9" i="47"/>
  <c r="AF9" i="47"/>
  <c r="AG9" i="47" s="1"/>
  <c r="AI9" i="47"/>
  <c r="AF28" i="47"/>
  <c r="AG28" i="47" s="1"/>
  <c r="AI28" i="47"/>
  <c r="AJ28" i="47"/>
  <c r="AI44" i="47"/>
  <c r="AJ44" i="47"/>
  <c r="AF60" i="47"/>
  <c r="AG60" i="47" s="1"/>
  <c r="AI60" i="47"/>
  <c r="AJ60" i="47"/>
  <c r="AJ57" i="47"/>
  <c r="AI57" i="47"/>
  <c r="AJ51" i="47"/>
  <c r="AF51" i="47"/>
  <c r="AG51" i="47" s="1"/>
  <c r="AI51" i="47"/>
  <c r="AF38" i="47"/>
  <c r="AG38" i="47" s="1"/>
  <c r="AI38" i="47"/>
  <c r="AJ38" i="47"/>
  <c r="AJ25" i="47"/>
  <c r="AF25" i="47"/>
  <c r="AG25" i="47" s="1"/>
  <c r="AI25" i="47"/>
  <c r="AI42" i="47"/>
  <c r="AI26" i="47"/>
  <c r="AI10" i="47"/>
  <c r="AF8" i="47"/>
  <c r="AG8" i="47" s="1"/>
  <c r="AI35" i="47"/>
  <c r="AJ22" i="47"/>
  <c r="AI19" i="47"/>
  <c r="AI22" i="47"/>
  <c r="AI6" i="47"/>
  <c r="AF55" i="47"/>
  <c r="AG55" i="47" s="1"/>
  <c r="AF39" i="47"/>
  <c r="AG39" i="47" s="1"/>
  <c r="AF23" i="47"/>
  <c r="AG23" i="47" s="1"/>
  <c r="AF7" i="47"/>
  <c r="AG7" i="47" s="1"/>
  <c r="AJ3" i="47"/>
  <c r="AF3" i="47"/>
  <c r="AG3" i="47" s="1"/>
  <c r="AF35" i="47"/>
  <c r="AG35" i="47" s="1"/>
  <c r="AF19" i="47"/>
  <c r="AG19" i="47" s="1"/>
  <c r="AF2" i="47"/>
  <c r="AG2" i="47" s="1"/>
  <c r="AE16" i="34"/>
  <c r="AJ16" i="34" s="1"/>
  <c r="AJ327" i="46"/>
  <c r="AF327" i="46"/>
  <c r="AG327" i="46" s="1"/>
  <c r="AI327" i="46"/>
  <c r="AI498" i="46"/>
  <c r="AJ397" i="46"/>
  <c r="AJ387" i="46"/>
  <c r="AF387" i="46"/>
  <c r="AG387" i="46" s="1"/>
  <c r="AJ381" i="46"/>
  <c r="AJ371" i="46"/>
  <c r="AF371" i="46"/>
  <c r="AG371" i="46" s="1"/>
  <c r="AF2" i="46"/>
  <c r="AG2" i="46" s="1"/>
  <c r="AI397" i="46"/>
  <c r="AI381" i="46"/>
  <c r="AJ500" i="46"/>
  <c r="AI497" i="46"/>
  <c r="AI493" i="46"/>
  <c r="AI477" i="46"/>
  <c r="AI461" i="46"/>
  <c r="AI445" i="46"/>
  <c r="AF431" i="46"/>
  <c r="AG431" i="46" s="1"/>
  <c r="AI429" i="46"/>
  <c r="AF415" i="46"/>
  <c r="AG415" i="46" s="1"/>
  <c r="AI413" i="46"/>
  <c r="AF383" i="46"/>
  <c r="AG383" i="46" s="1"/>
  <c r="AJ383" i="46"/>
  <c r="AI500" i="46"/>
  <c r="AF489" i="46"/>
  <c r="AG489" i="46" s="1"/>
  <c r="AI487" i="46"/>
  <c r="AF473" i="46"/>
  <c r="AG473" i="46" s="1"/>
  <c r="AI471" i="46"/>
  <c r="AF457" i="46"/>
  <c r="AG457" i="46" s="1"/>
  <c r="AI455" i="46"/>
  <c r="AF441" i="46"/>
  <c r="AG441" i="46" s="1"/>
  <c r="AI439" i="46"/>
  <c r="AF425" i="46"/>
  <c r="AG425" i="46" s="1"/>
  <c r="AI423" i="46"/>
  <c r="AF409" i="46"/>
  <c r="AG409" i="46" s="1"/>
  <c r="AI407" i="46"/>
  <c r="AJ303" i="46"/>
  <c r="AF303" i="46"/>
  <c r="AG303" i="46" s="1"/>
  <c r="AI303" i="46"/>
  <c r="AI401" i="46"/>
  <c r="AJ395" i="46"/>
  <c r="AF395" i="46"/>
  <c r="AG395" i="46" s="1"/>
  <c r="AJ379" i="46"/>
  <c r="AF379" i="46"/>
  <c r="AG379" i="46" s="1"/>
  <c r="AI363" i="46"/>
  <c r="AJ363" i="46"/>
  <c r="AF363" i="46"/>
  <c r="AG363" i="46" s="1"/>
  <c r="AI499" i="46"/>
  <c r="AF493" i="46"/>
  <c r="AG493" i="46" s="1"/>
  <c r="AI491" i="46"/>
  <c r="AF477" i="46"/>
  <c r="AG477" i="46" s="1"/>
  <c r="AI475" i="46"/>
  <c r="AF461" i="46"/>
  <c r="AG461" i="46" s="1"/>
  <c r="AI459" i="46"/>
  <c r="AF445" i="46"/>
  <c r="AG445" i="46" s="1"/>
  <c r="AI443" i="46"/>
  <c r="AF429" i="46"/>
  <c r="AG429" i="46" s="1"/>
  <c r="AI427" i="46"/>
  <c r="AF413" i="46"/>
  <c r="AG413" i="46" s="1"/>
  <c r="AI411" i="46"/>
  <c r="AI389" i="46"/>
  <c r="AI387" i="46"/>
  <c r="AI373" i="46"/>
  <c r="AI371" i="46"/>
  <c r="AF497" i="46"/>
  <c r="AG497" i="46" s="1"/>
  <c r="AF487" i="46"/>
  <c r="AG487" i="46" s="1"/>
  <c r="AF471" i="46"/>
  <c r="AG471" i="46" s="1"/>
  <c r="AF455" i="46"/>
  <c r="AG455" i="46" s="1"/>
  <c r="AF439" i="46"/>
  <c r="AG439" i="46" s="1"/>
  <c r="AF423" i="46"/>
  <c r="AG423" i="46" s="1"/>
  <c r="AF407" i="46"/>
  <c r="AG407" i="46" s="1"/>
  <c r="AF401" i="46"/>
  <c r="AG401" i="46" s="1"/>
  <c r="AF391" i="46"/>
  <c r="AG391" i="46" s="1"/>
  <c r="AJ391" i="46"/>
  <c r="AI385" i="46"/>
  <c r="AF375" i="46"/>
  <c r="AG375" i="46" s="1"/>
  <c r="AJ375" i="46"/>
  <c r="AI365" i="46"/>
  <c r="AI357" i="46"/>
  <c r="AI349" i="46"/>
  <c r="AI341" i="46"/>
  <c r="AF331" i="46"/>
  <c r="AG331" i="46" s="1"/>
  <c r="AI329" i="46"/>
  <c r="AF315" i="46"/>
  <c r="AG315" i="46" s="1"/>
  <c r="AF231" i="46"/>
  <c r="AG231" i="46" s="1"/>
  <c r="AI231" i="46"/>
  <c r="AJ231" i="46"/>
  <c r="AJ367" i="46"/>
  <c r="AJ359" i="46"/>
  <c r="AF355" i="46"/>
  <c r="AG355" i="46" s="1"/>
  <c r="AJ351" i="46"/>
  <c r="AF347" i="46"/>
  <c r="AG347" i="46" s="1"/>
  <c r="AJ343" i="46"/>
  <c r="AF339" i="46"/>
  <c r="AG339" i="46" s="1"/>
  <c r="AF325" i="46"/>
  <c r="AG325" i="46" s="1"/>
  <c r="AF313" i="46"/>
  <c r="AG313" i="46" s="1"/>
  <c r="AJ266" i="46"/>
  <c r="AF266" i="46"/>
  <c r="AG266" i="46" s="1"/>
  <c r="AI266" i="46"/>
  <c r="AF234" i="46"/>
  <c r="AG234" i="46" s="1"/>
  <c r="AI234" i="46"/>
  <c r="AJ234" i="46"/>
  <c r="AF329" i="46"/>
  <c r="AG329" i="46" s="1"/>
  <c r="AF309" i="46"/>
  <c r="AG309" i="46" s="1"/>
  <c r="AI305" i="46"/>
  <c r="AJ282" i="46"/>
  <c r="AF282" i="46"/>
  <c r="AG282" i="46" s="1"/>
  <c r="AI282" i="46"/>
  <c r="AJ250" i="46"/>
  <c r="AF250" i="46"/>
  <c r="AG250" i="46" s="1"/>
  <c r="AI250" i="46"/>
  <c r="AJ355" i="46"/>
  <c r="AJ347" i="46"/>
  <c r="AJ339" i="46"/>
  <c r="AF333" i="46"/>
  <c r="AG333" i="46" s="1"/>
  <c r="AI331" i="46"/>
  <c r="AF317" i="46"/>
  <c r="AG317" i="46" s="1"/>
  <c r="AI315" i="46"/>
  <c r="AF305" i="46"/>
  <c r="AG305" i="46" s="1"/>
  <c r="AI301" i="46"/>
  <c r="AI299" i="46"/>
  <c r="AF292" i="46"/>
  <c r="AG292" i="46" s="1"/>
  <c r="AI292" i="46"/>
  <c r="AJ292" i="46"/>
  <c r="AI325" i="46"/>
  <c r="AF297" i="46"/>
  <c r="AG297" i="46" s="1"/>
  <c r="AI297" i="46"/>
  <c r="AJ297" i="46"/>
  <c r="AI284" i="46"/>
  <c r="AI268" i="46"/>
  <c r="AI252" i="46"/>
  <c r="AF280" i="46"/>
  <c r="AG280" i="46" s="1"/>
  <c r="AF264" i="46"/>
  <c r="AG264" i="46" s="1"/>
  <c r="AF248" i="46"/>
  <c r="AG248" i="46" s="1"/>
  <c r="AF242" i="46"/>
  <c r="AG242" i="46" s="1"/>
  <c r="AJ242" i="46"/>
  <c r="AF284" i="46"/>
  <c r="AG284" i="46" s="1"/>
  <c r="AF268" i="46"/>
  <c r="AG268" i="46" s="1"/>
  <c r="AF252" i="46"/>
  <c r="AG252" i="46" s="1"/>
  <c r="AJ219" i="46"/>
  <c r="AF219" i="46"/>
  <c r="AG219" i="46" s="1"/>
  <c r="AI219" i="46"/>
  <c r="AF240" i="46"/>
  <c r="AG240" i="46" s="1"/>
  <c r="AJ240" i="46"/>
  <c r="AF238" i="46"/>
  <c r="AG238" i="46" s="1"/>
  <c r="AI238" i="46"/>
  <c r="AJ238" i="46"/>
  <c r="AF272" i="46"/>
  <c r="AG272" i="46" s="1"/>
  <c r="AF256" i="46"/>
  <c r="AG256" i="46" s="1"/>
  <c r="AJ146" i="46"/>
  <c r="AF146" i="46"/>
  <c r="AG146" i="46" s="1"/>
  <c r="AI146" i="46"/>
  <c r="AI280" i="46"/>
  <c r="AI264" i="46"/>
  <c r="AF220" i="46"/>
  <c r="AG220" i="46" s="1"/>
  <c r="AI220" i="46"/>
  <c r="AJ220" i="46"/>
  <c r="AJ229" i="46"/>
  <c r="AF181" i="46"/>
  <c r="AG181" i="46" s="1"/>
  <c r="AI181" i="46"/>
  <c r="AJ181" i="46"/>
  <c r="AI229" i="46"/>
  <c r="AF211" i="46"/>
  <c r="AG211" i="46" s="1"/>
  <c r="AI211" i="46"/>
  <c r="AJ162" i="46"/>
  <c r="AF162" i="46"/>
  <c r="AG162" i="46" s="1"/>
  <c r="AI162" i="46"/>
  <c r="AJ224" i="46"/>
  <c r="AI213" i="46"/>
  <c r="AJ213" i="46"/>
  <c r="AF197" i="46"/>
  <c r="AG197" i="46" s="1"/>
  <c r="AI197" i="46"/>
  <c r="AJ197" i="46"/>
  <c r="AI224" i="46"/>
  <c r="AJ208" i="46"/>
  <c r="AF208" i="46"/>
  <c r="AG208" i="46" s="1"/>
  <c r="AJ178" i="46"/>
  <c r="AF178" i="46"/>
  <c r="AG178" i="46" s="1"/>
  <c r="AI178" i="46"/>
  <c r="AI128" i="46"/>
  <c r="AJ128" i="46"/>
  <c r="AF128" i="46"/>
  <c r="AG128" i="46" s="1"/>
  <c r="AF113" i="46"/>
  <c r="AG113" i="46" s="1"/>
  <c r="AI113" i="46"/>
  <c r="AJ113" i="46"/>
  <c r="AF149" i="46"/>
  <c r="AG149" i="46" s="1"/>
  <c r="AI149" i="46"/>
  <c r="AJ149" i="46"/>
  <c r="AJ194" i="46"/>
  <c r="AF194" i="46"/>
  <c r="AG194" i="46" s="1"/>
  <c r="AI194" i="46"/>
  <c r="AI114" i="46"/>
  <c r="AJ114" i="46"/>
  <c r="AF114" i="46"/>
  <c r="AG114" i="46" s="1"/>
  <c r="AI107" i="46"/>
  <c r="AJ107" i="46"/>
  <c r="AF107" i="46"/>
  <c r="AG107" i="46" s="1"/>
  <c r="AJ210" i="46"/>
  <c r="AF210" i="46"/>
  <c r="AG210" i="46" s="1"/>
  <c r="AI210" i="46"/>
  <c r="AF165" i="46"/>
  <c r="AG165" i="46" s="1"/>
  <c r="AI165" i="46"/>
  <c r="AJ165" i="46"/>
  <c r="AF209" i="46"/>
  <c r="AG209" i="46" s="1"/>
  <c r="AF206" i="46"/>
  <c r="AG206" i="46" s="1"/>
  <c r="AI195" i="46"/>
  <c r="AF193" i="46"/>
  <c r="AG193" i="46" s="1"/>
  <c r="AF190" i="46"/>
  <c r="AG190" i="46" s="1"/>
  <c r="AI179" i="46"/>
  <c r="AF177" i="46"/>
  <c r="AG177" i="46" s="1"/>
  <c r="AF174" i="46"/>
  <c r="AG174" i="46" s="1"/>
  <c r="AI163" i="46"/>
  <c r="AF161" i="46"/>
  <c r="AG161" i="46" s="1"/>
  <c r="AF158" i="46"/>
  <c r="AG158" i="46" s="1"/>
  <c r="AI147" i="46"/>
  <c r="AF145" i="46"/>
  <c r="AG145" i="46" s="1"/>
  <c r="AF142" i="46"/>
  <c r="AG142" i="46" s="1"/>
  <c r="AI132" i="46"/>
  <c r="AJ132" i="46"/>
  <c r="AI126" i="46"/>
  <c r="AJ126" i="46"/>
  <c r="AF126" i="46"/>
  <c r="AG126" i="46" s="1"/>
  <c r="AF125" i="46"/>
  <c r="AG125" i="46" s="1"/>
  <c r="AI125" i="46"/>
  <c r="AI207" i="46"/>
  <c r="AI191" i="46"/>
  <c r="AI175" i="46"/>
  <c r="AI159" i="46"/>
  <c r="AJ133" i="46"/>
  <c r="AI124" i="46"/>
  <c r="AJ124" i="46"/>
  <c r="AF124" i="46"/>
  <c r="AG124" i="46" s="1"/>
  <c r="AF123" i="46"/>
  <c r="AG123" i="46" s="1"/>
  <c r="AI123" i="46"/>
  <c r="AI216" i="46"/>
  <c r="AI200" i="46"/>
  <c r="AF192" i="46"/>
  <c r="AG192" i="46" s="1"/>
  <c r="AI184" i="46"/>
  <c r="AF176" i="46"/>
  <c r="AG176" i="46" s="1"/>
  <c r="AI168" i="46"/>
  <c r="AF160" i="46"/>
  <c r="AG160" i="46" s="1"/>
  <c r="AI152" i="46"/>
  <c r="AF144" i="46"/>
  <c r="AG144" i="46" s="1"/>
  <c r="AI136" i="46"/>
  <c r="AI133" i="46"/>
  <c r="AI130" i="46"/>
  <c r="AJ130" i="46"/>
  <c r="AI122" i="46"/>
  <c r="AJ122" i="46"/>
  <c r="AF122" i="46"/>
  <c r="AG122" i="46" s="1"/>
  <c r="AF121" i="46"/>
  <c r="AG121" i="46" s="1"/>
  <c r="AI121" i="46"/>
  <c r="AI99" i="46"/>
  <c r="AJ99" i="46"/>
  <c r="AF75" i="46"/>
  <c r="AG75" i="46" s="1"/>
  <c r="AI75" i="46"/>
  <c r="AJ75" i="46"/>
  <c r="AI120" i="46"/>
  <c r="AJ120" i="46"/>
  <c r="AF120" i="46"/>
  <c r="AG120" i="46" s="1"/>
  <c r="AF119" i="46"/>
  <c r="AG119" i="46" s="1"/>
  <c r="AI119" i="46"/>
  <c r="AF83" i="46"/>
  <c r="AG83" i="46" s="1"/>
  <c r="AI83" i="46"/>
  <c r="AJ83" i="46"/>
  <c r="AI212" i="46"/>
  <c r="AF204" i="46"/>
  <c r="AG204" i="46" s="1"/>
  <c r="AI196" i="46"/>
  <c r="AF188" i="46"/>
  <c r="AG188" i="46" s="1"/>
  <c r="AI180" i="46"/>
  <c r="AF172" i="46"/>
  <c r="AG172" i="46" s="1"/>
  <c r="AI164" i="46"/>
  <c r="AF156" i="46"/>
  <c r="AG156" i="46" s="1"/>
  <c r="AI148" i="46"/>
  <c r="AF140" i="46"/>
  <c r="AG140" i="46" s="1"/>
  <c r="AJ131" i="46"/>
  <c r="AJ127" i="46"/>
  <c r="AI118" i="46"/>
  <c r="AJ118" i="46"/>
  <c r="AF118" i="46"/>
  <c r="AG118" i="46" s="1"/>
  <c r="AF117" i="46"/>
  <c r="AG117" i="46" s="1"/>
  <c r="AI117" i="46"/>
  <c r="AF91" i="46"/>
  <c r="AG91" i="46" s="1"/>
  <c r="AI91" i="46"/>
  <c r="AJ91" i="46"/>
  <c r="AI131" i="46"/>
  <c r="AI116" i="46"/>
  <c r="AJ116" i="46"/>
  <c r="AF116" i="46"/>
  <c r="AG116" i="46" s="1"/>
  <c r="AF115" i="46"/>
  <c r="AG115" i="46" s="1"/>
  <c r="AI115" i="46"/>
  <c r="AF109" i="46"/>
  <c r="AG109" i="46" s="1"/>
  <c r="AJ105" i="46"/>
  <c r="AF101" i="46"/>
  <c r="AG101" i="46" s="1"/>
  <c r="AJ97" i="46"/>
  <c r="AF93" i="46"/>
  <c r="AG93" i="46" s="1"/>
  <c r="AJ89" i="46"/>
  <c r="AF85" i="46"/>
  <c r="AG85" i="46" s="1"/>
  <c r="AJ81" i="46"/>
  <c r="AF77" i="46"/>
  <c r="AG77" i="46" s="1"/>
  <c r="AJ73" i="46"/>
  <c r="AI105" i="46"/>
  <c r="AI97" i="46"/>
  <c r="AI89" i="46"/>
  <c r="AI81" i="46"/>
  <c r="AI73" i="46"/>
  <c r="AJ67" i="46"/>
  <c r="AJ33" i="46"/>
  <c r="AF33" i="46"/>
  <c r="AG33" i="46" s="1"/>
  <c r="AI33" i="46"/>
  <c r="AJ17" i="46"/>
  <c r="AF17" i="46"/>
  <c r="AG17" i="46" s="1"/>
  <c r="AI17" i="46"/>
  <c r="AI67" i="46"/>
  <c r="AF52" i="46"/>
  <c r="AG52" i="46" s="1"/>
  <c r="AI52" i="46"/>
  <c r="AJ52" i="46"/>
  <c r="AF36" i="46"/>
  <c r="AG36" i="46" s="1"/>
  <c r="AI36" i="46"/>
  <c r="AJ36" i="46"/>
  <c r="AF20" i="46"/>
  <c r="AG20" i="46" s="1"/>
  <c r="AI20" i="46"/>
  <c r="AJ20" i="46"/>
  <c r="AJ49" i="46"/>
  <c r="AF49" i="46"/>
  <c r="AG49" i="46" s="1"/>
  <c r="AI49" i="46"/>
  <c r="AI50" i="46"/>
  <c r="AI34" i="46"/>
  <c r="AI18" i="46"/>
  <c r="AI61" i="46"/>
  <c r="AI59" i="46"/>
  <c r="AJ46" i="46"/>
  <c r="AI43" i="46"/>
  <c r="AJ30" i="46"/>
  <c r="AI27" i="46"/>
  <c r="AJ14" i="46"/>
  <c r="AI11" i="46"/>
  <c r="AI46" i="46"/>
  <c r="AI30" i="46"/>
  <c r="AI14" i="46"/>
  <c r="AF3" i="46"/>
  <c r="AG3" i="46" s="1"/>
  <c r="AI55" i="46"/>
  <c r="AF47" i="46"/>
  <c r="AG47" i="46" s="1"/>
  <c r="AI39" i="46"/>
  <c r="AF31" i="46"/>
  <c r="AG31" i="46" s="1"/>
  <c r="AI23" i="46"/>
  <c r="AF15" i="46"/>
  <c r="AG15" i="46" s="1"/>
  <c r="AF43" i="46"/>
  <c r="AG43" i="46" s="1"/>
  <c r="AF27" i="46"/>
  <c r="AG27" i="46" s="1"/>
  <c r="AF11" i="46"/>
  <c r="AG11" i="46" s="1"/>
  <c r="AE3" i="45"/>
  <c r="AI3" i="45" s="1"/>
  <c r="AC4" i="45"/>
  <c r="AI2" i="46"/>
  <c r="AI440" i="45"/>
  <c r="AJ440" i="45"/>
  <c r="AF440" i="45"/>
  <c r="AG440" i="45" s="1"/>
  <c r="AJ409" i="45"/>
  <c r="AF409" i="45"/>
  <c r="AG409" i="45" s="1"/>
  <c r="AI409" i="45"/>
  <c r="AF283" i="45"/>
  <c r="AG283" i="45" s="1"/>
  <c r="AJ283" i="45"/>
  <c r="AI283" i="45"/>
  <c r="AF220" i="45"/>
  <c r="AG220" i="45" s="1"/>
  <c r="AI220" i="45"/>
  <c r="AJ220" i="45"/>
  <c r="AI58" i="45"/>
  <c r="AF58" i="45"/>
  <c r="AG58" i="45" s="1"/>
  <c r="AJ58" i="45"/>
  <c r="AF484" i="45"/>
  <c r="AG484" i="45" s="1"/>
  <c r="AF480" i="45"/>
  <c r="AG480" i="45" s="1"/>
  <c r="AF476" i="45"/>
  <c r="AG476" i="45" s="1"/>
  <c r="AF472" i="45"/>
  <c r="AG472" i="45" s="1"/>
  <c r="AF468" i="45"/>
  <c r="AG468" i="45" s="1"/>
  <c r="AF464" i="45"/>
  <c r="AG464" i="45" s="1"/>
  <c r="AJ425" i="45"/>
  <c r="AF425" i="45"/>
  <c r="AG425" i="45" s="1"/>
  <c r="AI425" i="45"/>
  <c r="AJ500" i="45"/>
  <c r="AJ498" i="45"/>
  <c r="AJ496" i="45"/>
  <c r="AJ494" i="45"/>
  <c r="AJ492" i="45"/>
  <c r="AF396" i="45"/>
  <c r="AG396" i="45" s="1"/>
  <c r="AI396" i="45"/>
  <c r="AJ396" i="45"/>
  <c r="AJ389" i="45"/>
  <c r="AI389" i="45"/>
  <c r="AF389" i="45"/>
  <c r="AG389" i="45" s="1"/>
  <c r="AJ259" i="45"/>
  <c r="AI259" i="45"/>
  <c r="AF259" i="45"/>
  <c r="AG259" i="45" s="1"/>
  <c r="AI500" i="45"/>
  <c r="AI498" i="45"/>
  <c r="AI496" i="45"/>
  <c r="AI494" i="45"/>
  <c r="AI492" i="45"/>
  <c r="AJ486" i="45"/>
  <c r="AI462" i="45"/>
  <c r="AJ441" i="45"/>
  <c r="AF441" i="45"/>
  <c r="AG441" i="45" s="1"/>
  <c r="AI441" i="45"/>
  <c r="AF412" i="45"/>
  <c r="AG412" i="45" s="1"/>
  <c r="AI412" i="45"/>
  <c r="AJ412" i="45"/>
  <c r="AJ405" i="45"/>
  <c r="AI405" i="45"/>
  <c r="AF405" i="45"/>
  <c r="AG405" i="45" s="1"/>
  <c r="AI380" i="45"/>
  <c r="AJ380" i="45"/>
  <c r="AF380" i="45"/>
  <c r="AG380" i="45" s="1"/>
  <c r="AJ307" i="45"/>
  <c r="AI307" i="45"/>
  <c r="AF307" i="45"/>
  <c r="AG307" i="45" s="1"/>
  <c r="AI489" i="45"/>
  <c r="AI486" i="45"/>
  <c r="AF428" i="45"/>
  <c r="AG428" i="45" s="1"/>
  <c r="AI428" i="45"/>
  <c r="AJ428" i="45"/>
  <c r="AJ421" i="45"/>
  <c r="AI421" i="45"/>
  <c r="AF421" i="45"/>
  <c r="AG421" i="45" s="1"/>
  <c r="AI392" i="45"/>
  <c r="AJ392" i="45"/>
  <c r="AF392" i="45"/>
  <c r="AG392" i="45" s="1"/>
  <c r="AJ355" i="45"/>
  <c r="AI355" i="45"/>
  <c r="AF355" i="45"/>
  <c r="AG355" i="45" s="1"/>
  <c r="AE44" i="34"/>
  <c r="AF44" i="34" s="1"/>
  <c r="AG44" i="34" s="1"/>
  <c r="AI456" i="45"/>
  <c r="AJ437" i="45"/>
  <c r="AI437" i="45"/>
  <c r="AF437" i="45"/>
  <c r="AG437" i="45" s="1"/>
  <c r="AI408" i="45"/>
  <c r="AJ408" i="45"/>
  <c r="AF408" i="45"/>
  <c r="AG408" i="45" s="1"/>
  <c r="AE51" i="34"/>
  <c r="AJ51" i="34" s="1"/>
  <c r="AJ484" i="45"/>
  <c r="AJ480" i="45"/>
  <c r="AJ476" i="45"/>
  <c r="AJ472" i="45"/>
  <c r="AJ468" i="45"/>
  <c r="AJ464" i="45"/>
  <c r="AJ460" i="45"/>
  <c r="AF444" i="45"/>
  <c r="AG444" i="45" s="1"/>
  <c r="AI444" i="45"/>
  <c r="AI424" i="45"/>
  <c r="AJ424" i="45"/>
  <c r="AF424" i="45"/>
  <c r="AG424" i="45" s="1"/>
  <c r="AJ383" i="45"/>
  <c r="AF383" i="45"/>
  <c r="AG383" i="45" s="1"/>
  <c r="AI383" i="45"/>
  <c r="AI358" i="45"/>
  <c r="AJ358" i="45"/>
  <c r="AF358" i="45"/>
  <c r="AG358" i="45" s="1"/>
  <c r="AI310" i="45"/>
  <c r="AJ310" i="45"/>
  <c r="AF310" i="45"/>
  <c r="AG310" i="45" s="1"/>
  <c r="AJ454" i="45"/>
  <c r="AJ393" i="45"/>
  <c r="AF393" i="45"/>
  <c r="AG393" i="45" s="1"/>
  <c r="AI393" i="45"/>
  <c r="AJ432" i="45"/>
  <c r="AI429" i="45"/>
  <c r="AJ416" i="45"/>
  <c r="AI413" i="45"/>
  <c r="AJ400" i="45"/>
  <c r="AI397" i="45"/>
  <c r="AJ381" i="45"/>
  <c r="AF381" i="45"/>
  <c r="AG381" i="45" s="1"/>
  <c r="AF368" i="45"/>
  <c r="AG368" i="45" s="1"/>
  <c r="AI368" i="45"/>
  <c r="AJ368" i="45"/>
  <c r="AJ365" i="45"/>
  <c r="AF365" i="45"/>
  <c r="AG365" i="45" s="1"/>
  <c r="AI365" i="45"/>
  <c r="AJ237" i="45"/>
  <c r="AF237" i="45"/>
  <c r="AG237" i="45" s="1"/>
  <c r="AI237" i="45"/>
  <c r="AI438" i="45"/>
  <c r="AI342" i="45"/>
  <c r="AJ342" i="45"/>
  <c r="AJ339" i="45"/>
  <c r="AI339" i="45"/>
  <c r="AI326" i="45"/>
  <c r="AJ326" i="45"/>
  <c r="AJ323" i="45"/>
  <c r="AI323" i="45"/>
  <c r="AJ285" i="45"/>
  <c r="AI285" i="45"/>
  <c r="AF279" i="45"/>
  <c r="AG279" i="45" s="1"/>
  <c r="AJ279" i="45"/>
  <c r="AI279" i="45"/>
  <c r="AJ434" i="45"/>
  <c r="AI431" i="45"/>
  <c r="AJ418" i="45"/>
  <c r="AI415" i="45"/>
  <c r="AJ402" i="45"/>
  <c r="AI399" i="45"/>
  <c r="AJ386" i="45"/>
  <c r="AJ377" i="45"/>
  <c r="AI377" i="45"/>
  <c r="AF352" i="45"/>
  <c r="AG352" i="45" s="1"/>
  <c r="AI352" i="45"/>
  <c r="AJ352" i="45"/>
  <c r="AJ349" i="45"/>
  <c r="AF349" i="45"/>
  <c r="AG349" i="45" s="1"/>
  <c r="AI349" i="45"/>
  <c r="AF429" i="45"/>
  <c r="AG429" i="45" s="1"/>
  <c r="AF413" i="45"/>
  <c r="AG413" i="45" s="1"/>
  <c r="AF397" i="45"/>
  <c r="AG397" i="45" s="1"/>
  <c r="AJ371" i="45"/>
  <c r="AI371" i="45"/>
  <c r="AJ301" i="45"/>
  <c r="AF301" i="45"/>
  <c r="AG301" i="45" s="1"/>
  <c r="AI301" i="45"/>
  <c r="AF281" i="45"/>
  <c r="AG281" i="45" s="1"/>
  <c r="AJ281" i="45"/>
  <c r="AI281" i="45"/>
  <c r="AJ333" i="45"/>
  <c r="AF333" i="45"/>
  <c r="AG333" i="45" s="1"/>
  <c r="AI333" i="45"/>
  <c r="AJ317" i="45"/>
  <c r="AF317" i="45"/>
  <c r="AG317" i="45" s="1"/>
  <c r="AI317" i="45"/>
  <c r="AF304" i="45"/>
  <c r="AG304" i="45" s="1"/>
  <c r="AI304" i="45"/>
  <c r="AJ304" i="45"/>
  <c r="AJ287" i="45"/>
  <c r="AF287" i="45"/>
  <c r="AG287" i="45" s="1"/>
  <c r="AI287" i="45"/>
  <c r="AF336" i="45"/>
  <c r="AG336" i="45" s="1"/>
  <c r="AI336" i="45"/>
  <c r="AJ336" i="45"/>
  <c r="AF320" i="45"/>
  <c r="AG320" i="45" s="1"/>
  <c r="AI320" i="45"/>
  <c r="AJ320" i="45"/>
  <c r="AJ276" i="45"/>
  <c r="AF276" i="45"/>
  <c r="AG276" i="45" s="1"/>
  <c r="AI276" i="45"/>
  <c r="AF263" i="45"/>
  <c r="AG263" i="45" s="1"/>
  <c r="AI263" i="45"/>
  <c r="AJ263" i="45"/>
  <c r="AF244" i="45"/>
  <c r="AG244" i="45" s="1"/>
  <c r="AI244" i="45"/>
  <c r="AJ244" i="45"/>
  <c r="AF369" i="45"/>
  <c r="AG369" i="45" s="1"/>
  <c r="AJ364" i="45"/>
  <c r="AI361" i="45"/>
  <c r="AF353" i="45"/>
  <c r="AG353" i="45" s="1"/>
  <c r="AJ348" i="45"/>
  <c r="AI345" i="45"/>
  <c r="AF337" i="45"/>
  <c r="AG337" i="45" s="1"/>
  <c r="AJ332" i="45"/>
  <c r="AI329" i="45"/>
  <c r="AF321" i="45"/>
  <c r="AG321" i="45" s="1"/>
  <c r="AJ316" i="45"/>
  <c r="AI313" i="45"/>
  <c r="AF305" i="45"/>
  <c r="AG305" i="45" s="1"/>
  <c r="AJ300" i="45"/>
  <c r="AI297" i="45"/>
  <c r="AF291" i="45"/>
  <c r="AG291" i="45" s="1"/>
  <c r="AJ370" i="45"/>
  <c r="AI367" i="45"/>
  <c r="AJ354" i="45"/>
  <c r="AI351" i="45"/>
  <c r="AJ338" i="45"/>
  <c r="AI335" i="45"/>
  <c r="AJ322" i="45"/>
  <c r="AI319" i="45"/>
  <c r="AJ306" i="45"/>
  <c r="AI303" i="45"/>
  <c r="AJ249" i="45"/>
  <c r="AF249" i="45"/>
  <c r="AG249" i="45" s="1"/>
  <c r="AI249" i="45"/>
  <c r="AI373" i="45"/>
  <c r="AI357" i="45"/>
  <c r="AI341" i="45"/>
  <c r="AI325" i="45"/>
  <c r="AI309" i="45"/>
  <c r="AI293" i="45"/>
  <c r="AI277" i="45"/>
  <c r="AJ267" i="45"/>
  <c r="AI264" i="45"/>
  <c r="AF262" i="45"/>
  <c r="AG262" i="45" s="1"/>
  <c r="AI255" i="45"/>
  <c r="AJ250" i="45"/>
  <c r="AI246" i="45"/>
  <c r="AJ243" i="45"/>
  <c r="AI243" i="45"/>
  <c r="AF242" i="45"/>
  <c r="AG242" i="45" s="1"/>
  <c r="AJ201" i="45"/>
  <c r="AF201" i="45"/>
  <c r="AG201" i="45" s="1"/>
  <c r="AI201" i="45"/>
  <c r="AF278" i="45"/>
  <c r="AG278" i="45" s="1"/>
  <c r="AF265" i="45"/>
  <c r="AG265" i="45" s="1"/>
  <c r="AI250" i="45"/>
  <c r="AJ239" i="45"/>
  <c r="AI239" i="45"/>
  <c r="AJ217" i="45"/>
  <c r="AF217" i="45"/>
  <c r="AG217" i="45" s="1"/>
  <c r="AI217" i="45"/>
  <c r="AF274" i="45"/>
  <c r="AG274" i="45" s="1"/>
  <c r="AI266" i="45"/>
  <c r="AJ251" i="45"/>
  <c r="AF251" i="45"/>
  <c r="AG251" i="45" s="1"/>
  <c r="AF246" i="45"/>
  <c r="AG246" i="45" s="1"/>
  <c r="AJ242" i="45"/>
  <c r="AJ227" i="45"/>
  <c r="AF227" i="45"/>
  <c r="AG227" i="45" s="1"/>
  <c r="AI227" i="45"/>
  <c r="AF204" i="45"/>
  <c r="AG204" i="45" s="1"/>
  <c r="AI204" i="45"/>
  <c r="AJ204" i="45"/>
  <c r="AI262" i="45"/>
  <c r="AI268" i="45"/>
  <c r="AI257" i="45"/>
  <c r="AJ240" i="45"/>
  <c r="AI236" i="45"/>
  <c r="AJ236" i="45"/>
  <c r="AJ233" i="45"/>
  <c r="AI233" i="45"/>
  <c r="AI230" i="45"/>
  <c r="AJ230" i="45"/>
  <c r="AJ192" i="45"/>
  <c r="AF162" i="45"/>
  <c r="AG162" i="45" s="1"/>
  <c r="AI162" i="45"/>
  <c r="AJ162" i="45"/>
  <c r="AJ143" i="45"/>
  <c r="AF143" i="45"/>
  <c r="AG143" i="45" s="1"/>
  <c r="AI143" i="45"/>
  <c r="AI118" i="45"/>
  <c r="AF118" i="45"/>
  <c r="AG118" i="45" s="1"/>
  <c r="AJ118" i="45"/>
  <c r="AJ109" i="45"/>
  <c r="AF109" i="45"/>
  <c r="AG109" i="45" s="1"/>
  <c r="AI109" i="45"/>
  <c r="AF235" i="45"/>
  <c r="AG235" i="45" s="1"/>
  <c r="AI224" i="45"/>
  <c r="AF219" i="45"/>
  <c r="AG219" i="45" s="1"/>
  <c r="AJ214" i="45"/>
  <c r="AI211" i="45"/>
  <c r="AI208" i="45"/>
  <c r="AJ198" i="45"/>
  <c r="AI195" i="45"/>
  <c r="AI192" i="45"/>
  <c r="AF241" i="45"/>
  <c r="AG241" i="45" s="1"/>
  <c r="AF225" i="45"/>
  <c r="AG225" i="45" s="1"/>
  <c r="AI214" i="45"/>
  <c r="AF209" i="45"/>
  <c r="AG209" i="45" s="1"/>
  <c r="AI198" i="45"/>
  <c r="AF193" i="45"/>
  <c r="AG193" i="45" s="1"/>
  <c r="AJ188" i="45"/>
  <c r="AJ226" i="45"/>
  <c r="AI223" i="45"/>
  <c r="AJ210" i="45"/>
  <c r="AI207" i="45"/>
  <c r="AJ194" i="45"/>
  <c r="AI191" i="45"/>
  <c r="AI188" i="45"/>
  <c r="AF146" i="45"/>
  <c r="AG146" i="45" s="1"/>
  <c r="AI146" i="45"/>
  <c r="AJ146" i="45"/>
  <c r="AF221" i="45"/>
  <c r="AG221" i="45" s="1"/>
  <c r="AF205" i="45"/>
  <c r="AG205" i="45" s="1"/>
  <c r="AF211" i="45"/>
  <c r="AG211" i="45" s="1"/>
  <c r="AF195" i="45"/>
  <c r="AG195" i="45" s="1"/>
  <c r="AJ159" i="45"/>
  <c r="AF159" i="45"/>
  <c r="AG159" i="45" s="1"/>
  <c r="AI159" i="45"/>
  <c r="AJ166" i="45"/>
  <c r="AI163" i="45"/>
  <c r="AF158" i="45"/>
  <c r="AG158" i="45" s="1"/>
  <c r="AF155" i="45"/>
  <c r="AG155" i="45" s="1"/>
  <c r="AJ150" i="45"/>
  <c r="AI147" i="45"/>
  <c r="AF142" i="45"/>
  <c r="AG142" i="45" s="1"/>
  <c r="AF139" i="45"/>
  <c r="AG139" i="45" s="1"/>
  <c r="AF129" i="45"/>
  <c r="AG129" i="45" s="1"/>
  <c r="AI137" i="45"/>
  <c r="AI123" i="45"/>
  <c r="AJ123" i="45"/>
  <c r="AI120" i="45"/>
  <c r="AJ115" i="45"/>
  <c r="AI115" i="45"/>
  <c r="AI114" i="45"/>
  <c r="AJ114" i="45"/>
  <c r="AF112" i="45"/>
  <c r="AG112" i="45" s="1"/>
  <c r="AI112" i="45"/>
  <c r="AJ99" i="45"/>
  <c r="AF99" i="45"/>
  <c r="AG99" i="45" s="1"/>
  <c r="AI99" i="45"/>
  <c r="AJ82" i="45"/>
  <c r="AF82" i="45"/>
  <c r="AG82" i="45" s="1"/>
  <c r="AI82" i="45"/>
  <c r="AF163" i="45"/>
  <c r="AG163" i="45" s="1"/>
  <c r="AJ158" i="45"/>
  <c r="AI155" i="45"/>
  <c r="AF147" i="45"/>
  <c r="AG147" i="45" s="1"/>
  <c r="AI139" i="45"/>
  <c r="AF137" i="45"/>
  <c r="AG137" i="45" s="1"/>
  <c r="AI135" i="45"/>
  <c r="AJ121" i="45"/>
  <c r="AI121" i="45"/>
  <c r="AF120" i="45"/>
  <c r="AG120" i="45" s="1"/>
  <c r="AJ164" i="45"/>
  <c r="AI108" i="45"/>
  <c r="AJ108" i="45"/>
  <c r="AF108" i="45"/>
  <c r="AG108" i="45" s="1"/>
  <c r="AJ105" i="45"/>
  <c r="AI105" i="45"/>
  <c r="AF105" i="45"/>
  <c r="AG105" i="45" s="1"/>
  <c r="AI125" i="45"/>
  <c r="AJ125" i="45"/>
  <c r="AJ53" i="45"/>
  <c r="AF53" i="45"/>
  <c r="AG53" i="45" s="1"/>
  <c r="AI53" i="45"/>
  <c r="AJ62" i="45"/>
  <c r="AF62" i="45"/>
  <c r="AG62" i="45" s="1"/>
  <c r="AI62" i="45"/>
  <c r="AJ102" i="45"/>
  <c r="AI93" i="45"/>
  <c r="AJ78" i="45"/>
  <c r="AF78" i="45"/>
  <c r="AG78" i="45" s="1"/>
  <c r="AI78" i="45"/>
  <c r="AJ48" i="45"/>
  <c r="AF48" i="45"/>
  <c r="AG48" i="45" s="1"/>
  <c r="AI48" i="45"/>
  <c r="AI111" i="45"/>
  <c r="AF81" i="45"/>
  <c r="AG81" i="45" s="1"/>
  <c r="AJ81" i="45"/>
  <c r="AF65" i="45"/>
  <c r="AG65" i="45" s="1"/>
  <c r="AI65" i="45"/>
  <c r="AJ65" i="45"/>
  <c r="AI117" i="45"/>
  <c r="AI101" i="45"/>
  <c r="AI97" i="45"/>
  <c r="AJ69" i="45"/>
  <c r="AI66" i="45"/>
  <c r="AI69" i="45"/>
  <c r="AF73" i="45"/>
  <c r="AG73" i="45" s="1"/>
  <c r="AF70" i="45"/>
  <c r="AG70" i="45" s="1"/>
  <c r="AF51" i="45"/>
  <c r="AG51" i="45" s="1"/>
  <c r="AJ45" i="45"/>
  <c r="AI45" i="45"/>
  <c r="AI74" i="45"/>
  <c r="AF66" i="45"/>
  <c r="AG66" i="45" s="1"/>
  <c r="AI57" i="45"/>
  <c r="AI70" i="45"/>
  <c r="AI51" i="45"/>
  <c r="AI42" i="45"/>
  <c r="AI10" i="45"/>
  <c r="AE5" i="45"/>
  <c r="AJ44" i="45"/>
  <c r="AI41" i="45"/>
  <c r="AC36" i="34"/>
  <c r="AE36" i="34"/>
  <c r="AJ36" i="34" s="1"/>
  <c r="AC66" i="34"/>
  <c r="AE66" i="34"/>
  <c r="AJ66" i="34" s="1"/>
  <c r="AJ46" i="34"/>
  <c r="AI46" i="34"/>
  <c r="AC48" i="34"/>
  <c r="AE48" i="34"/>
  <c r="AJ48" i="34" s="1"/>
  <c r="AE49" i="34"/>
  <c r="AC46" i="34"/>
  <c r="AE20" i="34"/>
  <c r="AJ20" i="34" s="1"/>
  <c r="AE2" i="45"/>
  <c r="AI420" i="44"/>
  <c r="AJ420" i="44"/>
  <c r="AJ391" i="44"/>
  <c r="AI391" i="44"/>
  <c r="AI378" i="44"/>
  <c r="AJ378" i="44"/>
  <c r="AI418" i="44"/>
  <c r="AJ418" i="44"/>
  <c r="AI394" i="44"/>
  <c r="AJ394" i="44"/>
  <c r="AC69" i="34"/>
  <c r="AE12" i="34"/>
  <c r="AF12" i="34" s="1"/>
  <c r="AG12" i="34" s="1"/>
  <c r="AC12" i="34"/>
  <c r="AF490" i="44"/>
  <c r="AG490" i="44" s="1"/>
  <c r="AF474" i="44"/>
  <c r="AG474" i="44" s="1"/>
  <c r="AF458" i="44"/>
  <c r="AG458" i="44" s="1"/>
  <c r="AF442" i="44"/>
  <c r="AG442" i="44" s="1"/>
  <c r="AF426" i="44"/>
  <c r="AG426" i="44" s="1"/>
  <c r="AI416" i="44"/>
  <c r="AJ416" i="44"/>
  <c r="AI404" i="44"/>
  <c r="AJ404" i="44"/>
  <c r="AE9" i="34"/>
  <c r="AF9" i="34" s="1"/>
  <c r="AG9" i="34" s="1"/>
  <c r="AI414" i="44"/>
  <c r="AJ414" i="44"/>
  <c r="AI412" i="44"/>
  <c r="AJ412" i="44"/>
  <c r="AI410" i="44"/>
  <c r="AJ410" i="44"/>
  <c r="AI408" i="44"/>
  <c r="AJ408" i="44"/>
  <c r="AI406" i="44"/>
  <c r="AJ406" i="44"/>
  <c r="AF372" i="44"/>
  <c r="AG372" i="44" s="1"/>
  <c r="AI372" i="44"/>
  <c r="AJ372" i="44"/>
  <c r="AF50" i="34"/>
  <c r="AG50" i="34" s="1"/>
  <c r="AC28" i="34"/>
  <c r="AF494" i="44"/>
  <c r="AG494" i="44" s="1"/>
  <c r="AI492" i="44"/>
  <c r="AF478" i="44"/>
  <c r="AG478" i="44" s="1"/>
  <c r="AI476" i="44"/>
  <c r="AF462" i="44"/>
  <c r="AG462" i="44" s="1"/>
  <c r="AI460" i="44"/>
  <c r="AF446" i="44"/>
  <c r="AG446" i="44" s="1"/>
  <c r="AI444" i="44"/>
  <c r="AF430" i="44"/>
  <c r="AG430" i="44" s="1"/>
  <c r="AI428" i="44"/>
  <c r="AF424" i="44"/>
  <c r="AG424" i="44" s="1"/>
  <c r="AF398" i="44"/>
  <c r="AG398" i="44" s="1"/>
  <c r="AI398" i="44"/>
  <c r="AJ398" i="44"/>
  <c r="AF388" i="44"/>
  <c r="AG388" i="44" s="1"/>
  <c r="AI388" i="44"/>
  <c r="AJ388" i="44"/>
  <c r="AC24" i="34"/>
  <c r="AE24" i="34"/>
  <c r="AI24" i="34" s="1"/>
  <c r="AI4" i="34"/>
  <c r="AJ4" i="34"/>
  <c r="AI486" i="44"/>
  <c r="AI470" i="44"/>
  <c r="AI454" i="44"/>
  <c r="AI438" i="44"/>
  <c r="AI496" i="44"/>
  <c r="AI480" i="44"/>
  <c r="AI464" i="44"/>
  <c r="AI448" i="44"/>
  <c r="AI432" i="44"/>
  <c r="AE39" i="14"/>
  <c r="AF39" i="14" s="1"/>
  <c r="AG39" i="14" s="1"/>
  <c r="AE3" i="34"/>
  <c r="AI3" i="34" s="1"/>
  <c r="AF2" i="44"/>
  <c r="AG2" i="44" s="1"/>
  <c r="AF492" i="44"/>
  <c r="AG492" i="44" s="1"/>
  <c r="AI490" i="44"/>
  <c r="AF476" i="44"/>
  <c r="AG476" i="44" s="1"/>
  <c r="AI474" i="44"/>
  <c r="AF460" i="44"/>
  <c r="AG460" i="44" s="1"/>
  <c r="AI458" i="44"/>
  <c r="AF444" i="44"/>
  <c r="AG444" i="44" s="1"/>
  <c r="AI442" i="44"/>
  <c r="AF428" i="44"/>
  <c r="AG428" i="44" s="1"/>
  <c r="AI426" i="44"/>
  <c r="AF420" i="44"/>
  <c r="AG420" i="44" s="1"/>
  <c r="AJ401" i="44"/>
  <c r="AI401" i="44"/>
  <c r="AF391" i="44"/>
  <c r="AG391" i="44" s="1"/>
  <c r="AJ385" i="44"/>
  <c r="AF385" i="44"/>
  <c r="AG385" i="44" s="1"/>
  <c r="AI385" i="44"/>
  <c r="AF378" i="44"/>
  <c r="AG378" i="44" s="1"/>
  <c r="AJ375" i="44"/>
  <c r="AI375" i="44"/>
  <c r="AF403" i="44"/>
  <c r="AG403" i="44" s="1"/>
  <c r="AI395" i="44"/>
  <c r="AJ382" i="44"/>
  <c r="AI379" i="44"/>
  <c r="AJ366" i="44"/>
  <c r="AI363" i="44"/>
  <c r="AI382" i="44"/>
  <c r="AI369" i="44"/>
  <c r="AI366" i="44"/>
  <c r="AF399" i="44"/>
  <c r="AG399" i="44" s="1"/>
  <c r="AF383" i="44"/>
  <c r="AG383" i="44" s="1"/>
  <c r="AF367" i="44"/>
  <c r="AG367" i="44" s="1"/>
  <c r="AF395" i="44"/>
  <c r="AG395" i="44" s="1"/>
  <c r="AF379" i="44"/>
  <c r="AG379" i="44" s="1"/>
  <c r="AF363" i="44"/>
  <c r="AG363" i="44" s="1"/>
  <c r="AF369" i="44"/>
  <c r="AG369" i="44" s="1"/>
  <c r="AJ245" i="44"/>
  <c r="AF245" i="44"/>
  <c r="AG245" i="44" s="1"/>
  <c r="AI245" i="44"/>
  <c r="AJ273" i="44"/>
  <c r="AF273" i="44"/>
  <c r="AG273" i="44" s="1"/>
  <c r="AI273" i="44"/>
  <c r="AJ291" i="44"/>
  <c r="AF291" i="44"/>
  <c r="AG291" i="44" s="1"/>
  <c r="AI291" i="44"/>
  <c r="AI281" i="44"/>
  <c r="AI261" i="44"/>
  <c r="AJ247" i="44"/>
  <c r="AF247" i="44"/>
  <c r="AG247" i="44" s="1"/>
  <c r="AI297" i="44"/>
  <c r="AF285" i="44"/>
  <c r="AG285" i="44" s="1"/>
  <c r="AF283" i="44"/>
  <c r="AG283" i="44" s="1"/>
  <c r="AI279" i="44"/>
  <c r="AF263" i="44"/>
  <c r="AG263" i="44" s="1"/>
  <c r="AI259" i="44"/>
  <c r="AJ249" i="44"/>
  <c r="AF249" i="44"/>
  <c r="AG249" i="44" s="1"/>
  <c r="AF237" i="44"/>
  <c r="AG237" i="44" s="1"/>
  <c r="AI237" i="44"/>
  <c r="AF261" i="44"/>
  <c r="AG261" i="44" s="1"/>
  <c r="AJ251" i="44"/>
  <c r="AF251" i="44"/>
  <c r="AG251" i="44" s="1"/>
  <c r="AJ205" i="44"/>
  <c r="AF205" i="44"/>
  <c r="AG205" i="44" s="1"/>
  <c r="AI205" i="44"/>
  <c r="AJ189" i="44"/>
  <c r="AI189" i="44"/>
  <c r="AF189" i="44"/>
  <c r="AG189" i="44" s="1"/>
  <c r="AJ175" i="44"/>
  <c r="AF175" i="44"/>
  <c r="AG175" i="44" s="1"/>
  <c r="AI175" i="44"/>
  <c r="AJ253" i="44"/>
  <c r="AF253" i="44"/>
  <c r="AG253" i="44" s="1"/>
  <c r="AJ257" i="44"/>
  <c r="AF257" i="44"/>
  <c r="AG257" i="44" s="1"/>
  <c r="AJ255" i="44"/>
  <c r="AF255" i="44"/>
  <c r="AG255" i="44" s="1"/>
  <c r="AF293" i="44"/>
  <c r="AG293" i="44" s="1"/>
  <c r="AF275" i="44"/>
  <c r="AG275" i="44" s="1"/>
  <c r="AI247" i="44"/>
  <c r="AI229" i="44"/>
  <c r="AI221" i="44"/>
  <c r="AI213" i="44"/>
  <c r="AI207" i="44"/>
  <c r="AI203" i="44"/>
  <c r="AJ201" i="44"/>
  <c r="AJ191" i="44"/>
  <c r="AF191" i="44"/>
  <c r="AG191" i="44" s="1"/>
  <c r="AJ185" i="44"/>
  <c r="AI165" i="44"/>
  <c r="AJ165" i="44"/>
  <c r="AF165" i="44"/>
  <c r="AG165" i="44" s="1"/>
  <c r="AI157" i="44"/>
  <c r="AJ157" i="44"/>
  <c r="AF157" i="44"/>
  <c r="AG157" i="44" s="1"/>
  <c r="AI149" i="44"/>
  <c r="AJ149" i="44"/>
  <c r="AF149" i="44"/>
  <c r="AG149" i="44" s="1"/>
  <c r="AI141" i="44"/>
  <c r="AJ141" i="44"/>
  <c r="AF141" i="44"/>
  <c r="AG141" i="44" s="1"/>
  <c r="AI133" i="44"/>
  <c r="AJ133" i="44"/>
  <c r="AF133" i="44"/>
  <c r="AG133" i="44" s="1"/>
  <c r="AF123" i="44"/>
  <c r="AG123" i="44" s="1"/>
  <c r="AI123" i="44"/>
  <c r="AJ123" i="44"/>
  <c r="AF117" i="44"/>
  <c r="AG117" i="44" s="1"/>
  <c r="AI117" i="44"/>
  <c r="AJ117" i="44"/>
  <c r="AI125" i="44"/>
  <c r="AJ125" i="44"/>
  <c r="AF125" i="44"/>
  <c r="AG125" i="44" s="1"/>
  <c r="AF83" i="44"/>
  <c r="AG83" i="44" s="1"/>
  <c r="AI83" i="44"/>
  <c r="AJ83" i="44"/>
  <c r="AF46" i="44"/>
  <c r="AG46" i="44" s="1"/>
  <c r="AI46" i="44"/>
  <c r="AJ46" i="44"/>
  <c r="AI239" i="44"/>
  <c r="AI231" i="44"/>
  <c r="AI223" i="44"/>
  <c r="AI197" i="44"/>
  <c r="AF187" i="44"/>
  <c r="AG187" i="44" s="1"/>
  <c r="AJ187" i="44"/>
  <c r="AI181" i="44"/>
  <c r="AI79" i="44"/>
  <c r="AJ79" i="44"/>
  <c r="AF79" i="44"/>
  <c r="AG79" i="44" s="1"/>
  <c r="AJ92" i="44"/>
  <c r="AI92" i="44"/>
  <c r="AF92" i="44"/>
  <c r="AG92" i="44" s="1"/>
  <c r="AJ199" i="44"/>
  <c r="AF199" i="44"/>
  <c r="AG199" i="44" s="1"/>
  <c r="AJ183" i="44"/>
  <c r="AF183" i="44"/>
  <c r="AG183" i="44" s="1"/>
  <c r="AF171" i="44"/>
  <c r="AG171" i="44" s="1"/>
  <c r="AJ171" i="44"/>
  <c r="AF195" i="44"/>
  <c r="AG195" i="44" s="1"/>
  <c r="AJ195" i="44"/>
  <c r="AF179" i="44"/>
  <c r="AG179" i="44" s="1"/>
  <c r="AJ179" i="44"/>
  <c r="AJ173" i="44"/>
  <c r="AF173" i="44"/>
  <c r="AG173" i="44" s="1"/>
  <c r="AF163" i="44"/>
  <c r="AG163" i="44" s="1"/>
  <c r="AI163" i="44"/>
  <c r="AJ163" i="44"/>
  <c r="AF155" i="44"/>
  <c r="AG155" i="44" s="1"/>
  <c r="AI155" i="44"/>
  <c r="AJ155" i="44"/>
  <c r="AF147" i="44"/>
  <c r="AG147" i="44" s="1"/>
  <c r="AI147" i="44"/>
  <c r="AJ147" i="44"/>
  <c r="AF139" i="44"/>
  <c r="AG139" i="44" s="1"/>
  <c r="AI139" i="44"/>
  <c r="AJ139" i="44"/>
  <c r="AF131" i="44"/>
  <c r="AG131" i="44" s="1"/>
  <c r="AI131" i="44"/>
  <c r="AJ131" i="44"/>
  <c r="AJ169" i="44"/>
  <c r="AJ161" i="44"/>
  <c r="AJ153" i="44"/>
  <c r="AJ145" i="44"/>
  <c r="AJ137" i="44"/>
  <c r="AJ129" i="44"/>
  <c r="AJ121" i="44"/>
  <c r="AJ111" i="44"/>
  <c r="AF99" i="44"/>
  <c r="AG99" i="44" s="1"/>
  <c r="AI99" i="44"/>
  <c r="AJ99" i="44"/>
  <c r="AF69" i="44"/>
  <c r="AG69" i="44" s="1"/>
  <c r="AI69" i="44"/>
  <c r="AJ69" i="44"/>
  <c r="AF167" i="44"/>
  <c r="AG167" i="44" s="1"/>
  <c r="AF159" i="44"/>
  <c r="AG159" i="44" s="1"/>
  <c r="AF151" i="44"/>
  <c r="AG151" i="44" s="1"/>
  <c r="AF143" i="44"/>
  <c r="AG143" i="44" s="1"/>
  <c r="AF135" i="44"/>
  <c r="AG135" i="44" s="1"/>
  <c r="AI95" i="44"/>
  <c r="AJ95" i="44"/>
  <c r="AF95" i="44"/>
  <c r="AG95" i="44" s="1"/>
  <c r="AF107" i="44"/>
  <c r="AG107" i="44" s="1"/>
  <c r="AI107" i="44"/>
  <c r="AJ80" i="44"/>
  <c r="AF80" i="44"/>
  <c r="AG80" i="44" s="1"/>
  <c r="AI80" i="44"/>
  <c r="AJ96" i="44"/>
  <c r="AF96" i="44"/>
  <c r="AG96" i="44" s="1"/>
  <c r="AI96" i="44"/>
  <c r="AJ27" i="44"/>
  <c r="AF27" i="44"/>
  <c r="AG27" i="44" s="1"/>
  <c r="AI27" i="44"/>
  <c r="AF103" i="44"/>
  <c r="AG103" i="44" s="1"/>
  <c r="AJ103" i="44"/>
  <c r="AI67" i="44"/>
  <c r="AJ67" i="44"/>
  <c r="AF67" i="44"/>
  <c r="AG67" i="44" s="1"/>
  <c r="AJ23" i="44"/>
  <c r="AI23" i="44"/>
  <c r="AF23" i="44"/>
  <c r="AG23" i="44" s="1"/>
  <c r="AF105" i="44"/>
  <c r="AG105" i="44" s="1"/>
  <c r="AI105" i="44"/>
  <c r="AJ76" i="44"/>
  <c r="AI76" i="44"/>
  <c r="AF76" i="44"/>
  <c r="AG76" i="44" s="1"/>
  <c r="AJ39" i="44"/>
  <c r="AI39" i="44"/>
  <c r="AF39" i="44"/>
  <c r="AG39" i="44" s="1"/>
  <c r="AI100" i="44"/>
  <c r="AI97" i="44"/>
  <c r="AJ87" i="44"/>
  <c r="AI84" i="44"/>
  <c r="AI81" i="44"/>
  <c r="AJ71" i="44"/>
  <c r="AI58" i="44"/>
  <c r="AJ58" i="44"/>
  <c r="AF58" i="44"/>
  <c r="AG58" i="44" s="1"/>
  <c r="AJ11" i="44"/>
  <c r="N34" i="25" s="1"/>
  <c r="AF11" i="44"/>
  <c r="AG11" i="44" s="1"/>
  <c r="AI11" i="44"/>
  <c r="AI42" i="44"/>
  <c r="AJ42" i="44"/>
  <c r="AF42" i="44"/>
  <c r="AG42" i="44" s="1"/>
  <c r="AF94" i="44"/>
  <c r="AG94" i="44" s="1"/>
  <c r="AF78" i="44"/>
  <c r="AG78" i="44" s="1"/>
  <c r="AF59" i="44"/>
  <c r="AG59" i="44" s="1"/>
  <c r="AI59" i="44"/>
  <c r="AF30" i="44"/>
  <c r="AG30" i="44" s="1"/>
  <c r="AI30" i="44"/>
  <c r="AJ30" i="44"/>
  <c r="AF100" i="44"/>
  <c r="AG100" i="44" s="1"/>
  <c r="AF84" i="44"/>
  <c r="AG84" i="44" s="1"/>
  <c r="AF61" i="44"/>
  <c r="AG61" i="44" s="1"/>
  <c r="AI61" i="44"/>
  <c r="AI26" i="44"/>
  <c r="AJ26" i="44"/>
  <c r="AF26" i="44"/>
  <c r="AG26" i="44" s="1"/>
  <c r="AJ55" i="44"/>
  <c r="AI55" i="44"/>
  <c r="AF55" i="44"/>
  <c r="AG55" i="44" s="1"/>
  <c r="AJ43" i="44"/>
  <c r="AF43" i="44"/>
  <c r="AG43" i="44" s="1"/>
  <c r="AI43" i="44"/>
  <c r="AF14" i="44"/>
  <c r="AG14" i="44" s="1"/>
  <c r="AI14" i="44"/>
  <c r="AJ14" i="44"/>
  <c r="AJ5" i="44"/>
  <c r="AI5" i="44"/>
  <c r="AF5" i="44"/>
  <c r="AG5" i="44" s="1"/>
  <c r="AI47" i="44"/>
  <c r="AI44" i="44"/>
  <c r="AI31" i="44"/>
  <c r="AI28" i="44"/>
  <c r="AI15" i="44"/>
  <c r="AI12" i="44"/>
  <c r="AF60" i="44"/>
  <c r="AG60" i="44" s="1"/>
  <c r="AF9" i="44"/>
  <c r="AG9" i="44" s="1"/>
  <c r="AJ3" i="44"/>
  <c r="AF3" i="44"/>
  <c r="AG3" i="44" s="1"/>
  <c r="AJ62" i="44"/>
  <c r="AJ60" i="44"/>
  <c r="AF7" i="44"/>
  <c r="AG7" i="44" s="1"/>
  <c r="AI51" i="44"/>
  <c r="AI35" i="44"/>
  <c r="AC35" i="34"/>
  <c r="AE35" i="34"/>
  <c r="AF35" i="34" s="1"/>
  <c r="AG35" i="34" s="1"/>
  <c r="AJ14" i="34"/>
  <c r="AF14" i="34"/>
  <c r="AG14" i="34" s="1"/>
  <c r="AI14" i="34"/>
  <c r="AC32" i="34"/>
  <c r="AE32" i="34"/>
  <c r="AJ61" i="34"/>
  <c r="AI61" i="34"/>
  <c r="AC40" i="34"/>
  <c r="AE40" i="34"/>
  <c r="AF40" i="34" s="1"/>
  <c r="AG40" i="34" s="1"/>
  <c r="AC33" i="34"/>
  <c r="AE33" i="34"/>
  <c r="AI33" i="34" s="1"/>
  <c r="AC61" i="34"/>
  <c r="AI50" i="34"/>
  <c r="AC14" i="34"/>
  <c r="AC8" i="34"/>
  <c r="AE30" i="34"/>
  <c r="AE64" i="34"/>
  <c r="AF64" i="34" s="1"/>
  <c r="AG64" i="34" s="1"/>
  <c r="AF46" i="34"/>
  <c r="AG46" i="34" s="1"/>
  <c r="AE19" i="34"/>
  <c r="AF19" i="34" s="1"/>
  <c r="AG19" i="34" s="1"/>
  <c r="AE17" i="34"/>
  <c r="AJ17" i="34" s="1"/>
  <c r="AE55" i="34"/>
  <c r="AI55" i="34" s="1"/>
  <c r="AE25" i="34"/>
  <c r="AJ25" i="34" s="1"/>
  <c r="AC4" i="34"/>
  <c r="AI2" i="44"/>
  <c r="AE60" i="34"/>
  <c r="AI495" i="34"/>
  <c r="AJ495" i="34"/>
  <c r="AI487" i="34"/>
  <c r="AJ487" i="34"/>
  <c r="AI479" i="34"/>
  <c r="AJ479" i="34"/>
  <c r="AI471" i="34"/>
  <c r="AJ471" i="34"/>
  <c r="AI463" i="34"/>
  <c r="AJ463" i="34"/>
  <c r="AJ387" i="34"/>
  <c r="AI387" i="34"/>
  <c r="AF387" i="34"/>
  <c r="AG387" i="34" s="1"/>
  <c r="AJ498" i="34"/>
  <c r="AJ490" i="34"/>
  <c r="AI443" i="34"/>
  <c r="AJ443" i="34"/>
  <c r="AI441" i="34"/>
  <c r="AJ441" i="34"/>
  <c r="AI439" i="34"/>
  <c r="AJ439" i="34"/>
  <c r="AI437" i="34"/>
  <c r="AJ437" i="34"/>
  <c r="AI435" i="34"/>
  <c r="AJ435" i="34"/>
  <c r="AI433" i="34"/>
  <c r="AJ433" i="34"/>
  <c r="AI431" i="34"/>
  <c r="AJ431" i="34"/>
  <c r="AI429" i="34"/>
  <c r="AJ429" i="34"/>
  <c r="AI427" i="34"/>
  <c r="AJ427" i="34"/>
  <c r="AI425" i="34"/>
  <c r="AJ425" i="34"/>
  <c r="AI423" i="34"/>
  <c r="AJ423" i="34"/>
  <c r="AI421" i="34"/>
  <c r="AJ421" i="34"/>
  <c r="AI419" i="34"/>
  <c r="AJ419" i="34"/>
  <c r="AI417" i="34"/>
  <c r="AJ417" i="34"/>
  <c r="AI498" i="34"/>
  <c r="AI493" i="34"/>
  <c r="AJ493" i="34"/>
  <c r="AI490" i="34"/>
  <c r="AI485" i="34"/>
  <c r="AJ485" i="34"/>
  <c r="AI482" i="34"/>
  <c r="AI477" i="34"/>
  <c r="AJ477" i="34"/>
  <c r="AI474" i="34"/>
  <c r="AI469" i="34"/>
  <c r="AJ469" i="34"/>
  <c r="AI466" i="34"/>
  <c r="AI461" i="34"/>
  <c r="AJ461" i="34"/>
  <c r="AI458" i="34"/>
  <c r="AF446" i="34"/>
  <c r="AG446" i="34" s="1"/>
  <c r="AJ446" i="34"/>
  <c r="AI445" i="34"/>
  <c r="AJ445" i="34"/>
  <c r="AJ496" i="34"/>
  <c r="AJ488" i="34"/>
  <c r="AF448" i="34"/>
  <c r="AG448" i="34" s="1"/>
  <c r="AJ448" i="34"/>
  <c r="AI447" i="34"/>
  <c r="AJ447" i="34"/>
  <c r="AI499" i="34"/>
  <c r="AJ499" i="34"/>
  <c r="AI496" i="34"/>
  <c r="AI491" i="34"/>
  <c r="AJ491" i="34"/>
  <c r="AI488" i="34"/>
  <c r="AI483" i="34"/>
  <c r="AJ483" i="34"/>
  <c r="AI480" i="34"/>
  <c r="AI475" i="34"/>
  <c r="AJ475" i="34"/>
  <c r="AI472" i="34"/>
  <c r="AI467" i="34"/>
  <c r="AJ467" i="34"/>
  <c r="AI464" i="34"/>
  <c r="AI459" i="34"/>
  <c r="AJ459" i="34"/>
  <c r="AI456" i="34"/>
  <c r="AF450" i="34"/>
  <c r="AG450" i="34" s="1"/>
  <c r="AJ450" i="34"/>
  <c r="AI449" i="34"/>
  <c r="AJ449" i="34"/>
  <c r="AJ494" i="34"/>
  <c r="AJ486" i="34"/>
  <c r="AJ478" i="34"/>
  <c r="AJ470" i="34"/>
  <c r="AJ462" i="34"/>
  <c r="AF452" i="34"/>
  <c r="AG452" i="34" s="1"/>
  <c r="AJ452" i="34"/>
  <c r="AI451" i="34"/>
  <c r="AJ451" i="34"/>
  <c r="AI497" i="34"/>
  <c r="AJ497" i="34"/>
  <c r="AI494" i="34"/>
  <c r="AI489" i="34"/>
  <c r="AJ489" i="34"/>
  <c r="AI486" i="34"/>
  <c r="AI481" i="34"/>
  <c r="AJ481" i="34"/>
  <c r="AI478" i="34"/>
  <c r="AI473" i="34"/>
  <c r="AJ473" i="34"/>
  <c r="AI470" i="34"/>
  <c r="AI465" i="34"/>
  <c r="AJ465" i="34"/>
  <c r="AI462" i="34"/>
  <c r="AI457" i="34"/>
  <c r="AJ457" i="34"/>
  <c r="AF454" i="34"/>
  <c r="AG454" i="34" s="1"/>
  <c r="AJ454" i="34"/>
  <c r="AI453" i="34"/>
  <c r="AJ453" i="34"/>
  <c r="AJ500" i="34"/>
  <c r="AF495" i="34"/>
  <c r="AG495" i="34" s="1"/>
  <c r="AJ492" i="34"/>
  <c r="AF487" i="34"/>
  <c r="AG487" i="34" s="1"/>
  <c r="AJ484" i="34"/>
  <c r="AF479" i="34"/>
  <c r="AG479" i="34" s="1"/>
  <c r="AJ476" i="34"/>
  <c r="AF471" i="34"/>
  <c r="AG471" i="34" s="1"/>
  <c r="AJ468" i="34"/>
  <c r="AF463" i="34"/>
  <c r="AG463" i="34" s="1"/>
  <c r="AI455" i="34"/>
  <c r="AJ455" i="34"/>
  <c r="AJ444" i="34"/>
  <c r="AF374" i="34"/>
  <c r="AG374" i="34" s="1"/>
  <c r="AI316" i="34"/>
  <c r="AJ316" i="34"/>
  <c r="AJ311" i="34"/>
  <c r="AF311" i="34"/>
  <c r="AG311" i="34" s="1"/>
  <c r="AJ271" i="34"/>
  <c r="AI366" i="34"/>
  <c r="AF364" i="34"/>
  <c r="AG364" i="34" s="1"/>
  <c r="AF361" i="34"/>
  <c r="AG361" i="34" s="1"/>
  <c r="AI350" i="34"/>
  <c r="AF348" i="34"/>
  <c r="AG348" i="34" s="1"/>
  <c r="AF344" i="34"/>
  <c r="AG344" i="34" s="1"/>
  <c r="AF340" i="34"/>
  <c r="AG340" i="34" s="1"/>
  <c r="AF336" i="34"/>
  <c r="AG336" i="34" s="1"/>
  <c r="AF332" i="34"/>
  <c r="AG332" i="34" s="1"/>
  <c r="AJ313" i="34"/>
  <c r="AI313" i="34"/>
  <c r="AJ281" i="34"/>
  <c r="AF281" i="34"/>
  <c r="AG281" i="34" s="1"/>
  <c r="AI281" i="34"/>
  <c r="AJ295" i="34"/>
  <c r="AF295" i="34"/>
  <c r="AG295" i="34" s="1"/>
  <c r="AI274" i="34"/>
  <c r="AJ384" i="34"/>
  <c r="AI381" i="34"/>
  <c r="AI378" i="34"/>
  <c r="AJ368" i="34"/>
  <c r="AI365" i="34"/>
  <c r="AI362" i="34"/>
  <c r="AJ352" i="34"/>
  <c r="AI349" i="34"/>
  <c r="AI330" i="34"/>
  <c r="AI328" i="34"/>
  <c r="AF322" i="34"/>
  <c r="AG322" i="34" s="1"/>
  <c r="AI320" i="34"/>
  <c r="AJ298" i="34"/>
  <c r="AJ415" i="34"/>
  <c r="AJ413" i="34"/>
  <c r="AJ411" i="34"/>
  <c r="AJ409" i="34"/>
  <c r="AJ407" i="34"/>
  <c r="AJ405" i="34"/>
  <c r="AJ403" i="34"/>
  <c r="AJ401" i="34"/>
  <c r="AJ399" i="34"/>
  <c r="AJ397" i="34"/>
  <c r="AJ395" i="34"/>
  <c r="AJ393" i="34"/>
  <c r="AJ391" i="34"/>
  <c r="AJ389" i="34"/>
  <c r="AI384" i="34"/>
  <c r="AF379" i="34"/>
  <c r="AG379" i="34" s="1"/>
  <c r="AJ374" i="34"/>
  <c r="AI371" i="34"/>
  <c r="AI368" i="34"/>
  <c r="AF363" i="34"/>
  <c r="AG363" i="34" s="1"/>
  <c r="AJ358" i="34"/>
  <c r="AI355" i="34"/>
  <c r="AI352" i="34"/>
  <c r="AF347" i="34"/>
  <c r="AG347" i="34" s="1"/>
  <c r="AI345" i="34"/>
  <c r="AF343" i="34"/>
  <c r="AG343" i="34" s="1"/>
  <c r="AI341" i="34"/>
  <c r="AF339" i="34"/>
  <c r="AG339" i="34" s="1"/>
  <c r="AI337" i="34"/>
  <c r="AF335" i="34"/>
  <c r="AG335" i="34" s="1"/>
  <c r="AI333" i="34"/>
  <c r="AF331" i="34"/>
  <c r="AG331" i="34" s="1"/>
  <c r="AJ326" i="34"/>
  <c r="AI325" i="34"/>
  <c r="AI309" i="34"/>
  <c r="AJ297" i="34"/>
  <c r="AF297" i="34"/>
  <c r="AG297" i="34" s="1"/>
  <c r="AI297" i="34"/>
  <c r="AJ380" i="34"/>
  <c r="AI377" i="34"/>
  <c r="AJ364" i="34"/>
  <c r="AI361" i="34"/>
  <c r="AJ348" i="34"/>
  <c r="AJ312" i="34"/>
  <c r="AI311" i="34"/>
  <c r="AI306" i="34"/>
  <c r="AF284" i="34"/>
  <c r="AG284" i="34" s="1"/>
  <c r="AI284" i="34"/>
  <c r="AJ284" i="34"/>
  <c r="AI268" i="34"/>
  <c r="AF375" i="34"/>
  <c r="AG375" i="34" s="1"/>
  <c r="AF359" i="34"/>
  <c r="AG359" i="34" s="1"/>
  <c r="AJ344" i="34"/>
  <c r="AJ340" i="34"/>
  <c r="AJ336" i="34"/>
  <c r="AJ332" i="34"/>
  <c r="AJ329" i="34"/>
  <c r="AI329" i="34"/>
  <c r="AF326" i="34"/>
  <c r="AG326" i="34" s="1"/>
  <c r="AJ314" i="34"/>
  <c r="AF306" i="34"/>
  <c r="AG306" i="34" s="1"/>
  <c r="AF300" i="34"/>
  <c r="AG300" i="34" s="1"/>
  <c r="AI300" i="34"/>
  <c r="AJ300" i="34"/>
  <c r="AI290" i="34"/>
  <c r="AF381" i="34"/>
  <c r="AG381" i="34" s="1"/>
  <c r="AF365" i="34"/>
  <c r="AG365" i="34" s="1"/>
  <c r="AF349" i="34"/>
  <c r="AG349" i="34" s="1"/>
  <c r="AJ327" i="34"/>
  <c r="AF327" i="34"/>
  <c r="AG327" i="34" s="1"/>
  <c r="AJ319" i="34"/>
  <c r="AI319" i="34"/>
  <c r="AF316" i="34"/>
  <c r="AG316" i="34" s="1"/>
  <c r="AI314" i="34"/>
  <c r="AF310" i="34"/>
  <c r="AG310" i="34" s="1"/>
  <c r="AI310" i="34"/>
  <c r="AF309" i="34"/>
  <c r="AG309" i="34" s="1"/>
  <c r="AJ303" i="34"/>
  <c r="AI303" i="34"/>
  <c r="AI295" i="34"/>
  <c r="AF290" i="34"/>
  <c r="AG290" i="34" s="1"/>
  <c r="AJ287" i="34"/>
  <c r="AI287" i="34"/>
  <c r="AF271" i="34"/>
  <c r="AG271" i="34" s="1"/>
  <c r="AF321" i="34"/>
  <c r="AG321" i="34" s="1"/>
  <c r="AF305" i="34"/>
  <c r="AG305" i="34" s="1"/>
  <c r="AI294" i="34"/>
  <c r="AF289" i="34"/>
  <c r="AG289" i="34" s="1"/>
  <c r="AI278" i="34"/>
  <c r="AF273" i="34"/>
  <c r="AG273" i="34" s="1"/>
  <c r="AF244" i="34"/>
  <c r="AG244" i="34" s="1"/>
  <c r="AF279" i="34"/>
  <c r="AG279" i="34" s="1"/>
  <c r="AJ226" i="34"/>
  <c r="AF226" i="34"/>
  <c r="AG226" i="34" s="1"/>
  <c r="AF307" i="34"/>
  <c r="AG307" i="34" s="1"/>
  <c r="AF291" i="34"/>
  <c r="AG291" i="34" s="1"/>
  <c r="AF275" i="34"/>
  <c r="AG275" i="34" s="1"/>
  <c r="AF136" i="34"/>
  <c r="AG136" i="34" s="1"/>
  <c r="AI136" i="34"/>
  <c r="AJ136" i="34"/>
  <c r="AC10" i="34"/>
  <c r="AE10" i="34"/>
  <c r="AC67" i="34"/>
  <c r="AE67" i="34"/>
  <c r="AF63" i="34"/>
  <c r="AG63" i="34" s="1"/>
  <c r="AI63" i="34"/>
  <c r="AJ63" i="34"/>
  <c r="AF69" i="34"/>
  <c r="AG69" i="34" s="1"/>
  <c r="AI69" i="34"/>
  <c r="AJ69" i="34"/>
  <c r="AC56" i="34"/>
  <c r="AE56" i="34"/>
  <c r="AC63" i="34"/>
  <c r="AE59" i="34"/>
  <c r="AE54" i="34"/>
  <c r="AC50" i="34"/>
  <c r="AE65" i="34"/>
  <c r="AE62" i="34"/>
  <c r="AE58" i="34"/>
  <c r="AE53" i="34"/>
  <c r="AF42" i="34"/>
  <c r="AG42" i="34" s="1"/>
  <c r="AE41" i="34"/>
  <c r="AF22" i="34"/>
  <c r="AG22" i="34" s="1"/>
  <c r="AI22" i="34"/>
  <c r="AJ22" i="34"/>
  <c r="AE68" i="34"/>
  <c r="AF61" i="34"/>
  <c r="AG61" i="34" s="1"/>
  <c r="AE52" i="34"/>
  <c r="AC26" i="34"/>
  <c r="AE26" i="34"/>
  <c r="AE57" i="34"/>
  <c r="AC42" i="34"/>
  <c r="AC37" i="34"/>
  <c r="AE37" i="34"/>
  <c r="AF28" i="34"/>
  <c r="AG28" i="34" s="1"/>
  <c r="AJ28" i="34"/>
  <c r="AC45" i="34"/>
  <c r="AE45" i="34"/>
  <c r="AF6" i="34"/>
  <c r="AG6" i="34" s="1"/>
  <c r="AI6" i="34"/>
  <c r="AJ6" i="34"/>
  <c r="AC13" i="34"/>
  <c r="AE13" i="34"/>
  <c r="AJ42" i="34"/>
  <c r="AF38" i="34"/>
  <c r="AG38" i="34" s="1"/>
  <c r="AI38" i="34"/>
  <c r="AC34" i="34"/>
  <c r="AE34" i="34"/>
  <c r="AC29" i="34"/>
  <c r="AE29" i="34"/>
  <c r="AE47" i="34"/>
  <c r="AC38" i="34"/>
  <c r="AE31" i="34"/>
  <c r="AC22" i="34"/>
  <c r="AE18" i="34"/>
  <c r="AE15" i="34"/>
  <c r="AF8" i="34"/>
  <c r="AG8" i="34" s="1"/>
  <c r="AC6" i="34"/>
  <c r="AE21" i="34"/>
  <c r="AE5" i="34"/>
  <c r="AE43" i="34"/>
  <c r="AE27" i="34"/>
  <c r="AE11" i="34"/>
  <c r="AE39" i="34"/>
  <c r="AE23" i="34"/>
  <c r="AJ8" i="34"/>
  <c r="AE7" i="34"/>
  <c r="AE2" i="34"/>
  <c r="AE2" i="14"/>
  <c r="AJ2" i="14" s="1"/>
  <c r="AE51" i="14"/>
  <c r="AF51" i="14" s="1"/>
  <c r="AG51" i="14" s="1"/>
  <c r="AE23" i="14"/>
  <c r="AJ23" i="14" s="1"/>
  <c r="AE42" i="14"/>
  <c r="AJ42" i="14" s="1"/>
  <c r="AE46" i="14"/>
  <c r="AF46" i="14" s="1"/>
  <c r="AG46" i="14" s="1"/>
  <c r="AE48" i="14"/>
  <c r="AJ48" i="14" s="1"/>
  <c r="AE8" i="14"/>
  <c r="AI8" i="14" s="1"/>
  <c r="AE49" i="14"/>
  <c r="AJ49" i="14" s="1"/>
  <c r="AE40" i="14"/>
  <c r="AJ40" i="14" s="1"/>
  <c r="AI435" i="14"/>
  <c r="AI307" i="14"/>
  <c r="AF292" i="14"/>
  <c r="AG292" i="14" s="1"/>
  <c r="AJ269" i="14"/>
  <c r="AF257" i="14"/>
  <c r="AG257" i="14" s="1"/>
  <c r="AI244" i="14"/>
  <c r="AF231" i="14"/>
  <c r="AG231" i="14" s="1"/>
  <c r="AJ217" i="14"/>
  <c r="AJ189" i="14"/>
  <c r="AF163" i="14"/>
  <c r="AG163" i="14" s="1"/>
  <c r="AE30" i="14"/>
  <c r="AJ30" i="14" s="1"/>
  <c r="AJ373" i="14"/>
  <c r="AF364" i="14"/>
  <c r="AG364" i="14" s="1"/>
  <c r="AI342" i="14"/>
  <c r="AF293" i="14"/>
  <c r="AG293" i="14" s="1"/>
  <c r="AJ281" i="14"/>
  <c r="AI278" i="14"/>
  <c r="AF274" i="14"/>
  <c r="AG274" i="14" s="1"/>
  <c r="AF263" i="14"/>
  <c r="AG263" i="14" s="1"/>
  <c r="AF244" i="14"/>
  <c r="AG244" i="14" s="1"/>
  <c r="AF217" i="14"/>
  <c r="AG217" i="14" s="1"/>
  <c r="AF491" i="14"/>
  <c r="AG491" i="14" s="1"/>
  <c r="AF453" i="14"/>
  <c r="AG453" i="14" s="1"/>
  <c r="AJ437" i="14"/>
  <c r="AJ425" i="14"/>
  <c r="AF422" i="14"/>
  <c r="AG422" i="14" s="1"/>
  <c r="AF380" i="14"/>
  <c r="AG380" i="14" s="1"/>
  <c r="AI374" i="14"/>
  <c r="AI354" i="14"/>
  <c r="AI338" i="14"/>
  <c r="AI326" i="14"/>
  <c r="AI311" i="14"/>
  <c r="AI298" i="14"/>
  <c r="AI275" i="14"/>
  <c r="AF261" i="14"/>
  <c r="AG261" i="14" s="1"/>
  <c r="AJ208" i="14"/>
  <c r="AJ190" i="14"/>
  <c r="AI181" i="14"/>
  <c r="AI176" i="14"/>
  <c r="AI159" i="14"/>
  <c r="AE31" i="14"/>
  <c r="AJ31" i="14" s="1"/>
  <c r="AJ469" i="14"/>
  <c r="AI426" i="14"/>
  <c r="AI425" i="14"/>
  <c r="AF382" i="14"/>
  <c r="AG382" i="14" s="1"/>
  <c r="AF381" i="14"/>
  <c r="AG381" i="14" s="1"/>
  <c r="AF374" i="14"/>
  <c r="AG374" i="14" s="1"/>
  <c r="AI348" i="14"/>
  <c r="AI335" i="14"/>
  <c r="AJ303" i="14"/>
  <c r="AJ233" i="14"/>
  <c r="AI212" i="14"/>
  <c r="AI208" i="14"/>
  <c r="AI195" i="14"/>
  <c r="AJ191" i="14"/>
  <c r="AF151" i="14"/>
  <c r="AG151" i="14" s="1"/>
  <c r="AE47" i="14"/>
  <c r="AJ47" i="14" s="1"/>
  <c r="AE32" i="14"/>
  <c r="AF32" i="14" s="1"/>
  <c r="AG32" i="14" s="1"/>
  <c r="AI466" i="14"/>
  <c r="AI410" i="14"/>
  <c r="AI402" i="14"/>
  <c r="AJ383" i="14"/>
  <c r="AJ369" i="14"/>
  <c r="AJ357" i="14"/>
  <c r="AI332" i="14"/>
  <c r="AJ196" i="14"/>
  <c r="AI191" i="14"/>
  <c r="AE15" i="14"/>
  <c r="AJ15" i="14" s="1"/>
  <c r="AC69" i="35"/>
  <c r="AF466" i="14"/>
  <c r="AG466" i="14" s="1"/>
  <c r="AI458" i="14"/>
  <c r="AF426" i="14"/>
  <c r="AG426" i="14" s="1"/>
  <c r="AI418" i="14"/>
  <c r="AF410" i="14"/>
  <c r="AG410" i="14" s="1"/>
  <c r="AI383" i="14"/>
  <c r="AF362" i="14"/>
  <c r="AG362" i="14" s="1"/>
  <c r="AJ341" i="14"/>
  <c r="AI304" i="14"/>
  <c r="AI292" i="14"/>
  <c r="AI277" i="14"/>
  <c r="AJ259" i="14"/>
  <c r="AJ249" i="14"/>
  <c r="AI220" i="14"/>
  <c r="AJ210" i="14"/>
  <c r="AI198" i="14"/>
  <c r="AJ174" i="14"/>
  <c r="AI163" i="14"/>
  <c r="AF155" i="14"/>
  <c r="AG155" i="14" s="1"/>
  <c r="AI107" i="14"/>
  <c r="AI489" i="14"/>
  <c r="AF489" i="14"/>
  <c r="AG489" i="14" s="1"/>
  <c r="AI445" i="14"/>
  <c r="AJ445" i="14"/>
  <c r="AI331" i="14"/>
  <c r="AJ331" i="14"/>
  <c r="AJ316" i="14"/>
  <c r="AI316" i="14"/>
  <c r="AF461" i="14"/>
  <c r="AG461" i="14" s="1"/>
  <c r="AI429" i="14"/>
  <c r="AJ429" i="14"/>
  <c r="AF389" i="14"/>
  <c r="AG389" i="14" s="1"/>
  <c r="AJ389" i="14"/>
  <c r="AF367" i="14"/>
  <c r="AG367" i="14" s="1"/>
  <c r="AI367" i="14"/>
  <c r="AJ367" i="14"/>
  <c r="AJ346" i="14"/>
  <c r="AF346" i="14"/>
  <c r="AG346" i="14" s="1"/>
  <c r="AI490" i="14"/>
  <c r="AJ490" i="14"/>
  <c r="AJ486" i="14"/>
  <c r="AF486" i="14"/>
  <c r="AG486" i="14" s="1"/>
  <c r="AJ434" i="14"/>
  <c r="AI434" i="14"/>
  <c r="AF409" i="14"/>
  <c r="AG409" i="14" s="1"/>
  <c r="AI409" i="14"/>
  <c r="AI395" i="14"/>
  <c r="AJ395" i="14"/>
  <c r="AJ360" i="14"/>
  <c r="AF360" i="14"/>
  <c r="AG360" i="14" s="1"/>
  <c r="AI360" i="14"/>
  <c r="AI329" i="14"/>
  <c r="AJ329" i="14"/>
  <c r="AJ314" i="14"/>
  <c r="AF314" i="14"/>
  <c r="AG314" i="14" s="1"/>
  <c r="AJ290" i="14"/>
  <c r="AF290" i="14"/>
  <c r="AG290" i="14" s="1"/>
  <c r="AJ272" i="14"/>
  <c r="AF272" i="14"/>
  <c r="AG272" i="14" s="1"/>
  <c r="AI272" i="14"/>
  <c r="AJ495" i="14"/>
  <c r="AF477" i="14"/>
  <c r="AG477" i="14" s="1"/>
  <c r="AJ477" i="14"/>
  <c r="AJ449" i="14"/>
  <c r="AI449" i="14"/>
  <c r="AF393" i="14"/>
  <c r="AG393" i="14" s="1"/>
  <c r="AI393" i="14"/>
  <c r="AJ393" i="14"/>
  <c r="AJ320" i="14"/>
  <c r="AF320" i="14"/>
  <c r="AG320" i="14" s="1"/>
  <c r="AJ288" i="14"/>
  <c r="AF288" i="14"/>
  <c r="AG288" i="14" s="1"/>
  <c r="AI288" i="14"/>
  <c r="AI487" i="14"/>
  <c r="AJ487" i="14"/>
  <c r="AJ474" i="14"/>
  <c r="AF474" i="14"/>
  <c r="AG474" i="14" s="1"/>
  <c r="AJ462" i="14"/>
  <c r="AI462" i="14"/>
  <c r="AF447" i="14"/>
  <c r="AG447" i="14" s="1"/>
  <c r="AF377" i="14"/>
  <c r="AG377" i="14" s="1"/>
  <c r="AI377" i="14"/>
  <c r="AJ377" i="14"/>
  <c r="AI347" i="14"/>
  <c r="AJ347" i="14"/>
  <c r="AJ344" i="14"/>
  <c r="AI344" i="14"/>
  <c r="AJ258" i="14"/>
  <c r="AF258" i="14"/>
  <c r="AG258" i="14" s="1"/>
  <c r="AI492" i="14"/>
  <c r="AJ492" i="14"/>
  <c r="AJ484" i="14"/>
  <c r="AF484" i="14"/>
  <c r="AG484" i="14" s="1"/>
  <c r="AI478" i="14"/>
  <c r="AI450" i="14"/>
  <c r="AF439" i="14"/>
  <c r="AG439" i="14" s="1"/>
  <c r="AI439" i="14"/>
  <c r="AJ439" i="14"/>
  <c r="AJ421" i="14"/>
  <c r="AI413" i="14"/>
  <c r="AJ413" i="14"/>
  <c r="AF361" i="14"/>
  <c r="AG361" i="14" s="1"/>
  <c r="AI361" i="14"/>
  <c r="AJ361" i="14"/>
  <c r="AJ330" i="14"/>
  <c r="AF330" i="14"/>
  <c r="AG330" i="14" s="1"/>
  <c r="AI315" i="14"/>
  <c r="AJ315" i="14"/>
  <c r="AF273" i="14"/>
  <c r="AG273" i="14" s="1"/>
  <c r="AJ488" i="14"/>
  <c r="AF488" i="14"/>
  <c r="AG488" i="14" s="1"/>
  <c r="AJ479" i="14"/>
  <c r="AJ433" i="14"/>
  <c r="AI433" i="14"/>
  <c r="AF351" i="14"/>
  <c r="AG351" i="14" s="1"/>
  <c r="AI351" i="14"/>
  <c r="AJ351" i="14"/>
  <c r="AI345" i="14"/>
  <c r="AJ345" i="14"/>
  <c r="AJ289" i="14"/>
  <c r="AF289" i="14"/>
  <c r="AG289" i="14" s="1"/>
  <c r="AI289" i="14"/>
  <c r="AJ262" i="14"/>
  <c r="AI262" i="14"/>
  <c r="AI215" i="14"/>
  <c r="AJ215" i="14"/>
  <c r="AF215" i="14"/>
  <c r="AG215" i="14" s="1"/>
  <c r="AJ489" i="14"/>
  <c r="AF479" i="14"/>
  <c r="AG479" i="14" s="1"/>
  <c r="AI454" i="14"/>
  <c r="AI451" i="14"/>
  <c r="AF445" i="14"/>
  <c r="AG445" i="14" s="1"/>
  <c r="AF431" i="14"/>
  <c r="AG431" i="14" s="1"/>
  <c r="AJ408" i="14"/>
  <c r="AF408" i="14"/>
  <c r="AG408" i="14" s="1"/>
  <c r="AF331" i="14"/>
  <c r="AG331" i="14" s="1"/>
  <c r="AJ328" i="14"/>
  <c r="AF328" i="14"/>
  <c r="AG328" i="14" s="1"/>
  <c r="AI328" i="14"/>
  <c r="AJ266" i="14"/>
  <c r="AI266" i="14"/>
  <c r="AJ247" i="14"/>
  <c r="AF247" i="14"/>
  <c r="AG247" i="14" s="1"/>
  <c r="AI247" i="14"/>
  <c r="AF243" i="14"/>
  <c r="AG243" i="14" s="1"/>
  <c r="AJ243" i="14"/>
  <c r="AJ270" i="14"/>
  <c r="AF270" i="14"/>
  <c r="AG270" i="14" s="1"/>
  <c r="AJ234" i="14"/>
  <c r="AI234" i="14"/>
  <c r="AF216" i="14"/>
  <c r="AG216" i="14" s="1"/>
  <c r="AI216" i="14"/>
  <c r="AF178" i="14"/>
  <c r="AG178" i="14" s="1"/>
  <c r="AI178" i="14"/>
  <c r="AF158" i="14"/>
  <c r="AG158" i="14" s="1"/>
  <c r="AJ158" i="14"/>
  <c r="AI308" i="14"/>
  <c r="AJ279" i="14"/>
  <c r="AF237" i="14"/>
  <c r="AG237" i="14" s="1"/>
  <c r="AJ237" i="14"/>
  <c r="AJ218" i="14"/>
  <c r="AI218" i="14"/>
  <c r="AI213" i="14"/>
  <c r="AJ213" i="14"/>
  <c r="AI202" i="14"/>
  <c r="AJ202" i="14"/>
  <c r="AF202" i="14"/>
  <c r="AG202" i="14" s="1"/>
  <c r="AJ173" i="14"/>
  <c r="AF173" i="14"/>
  <c r="AG173" i="14" s="1"/>
  <c r="AI146" i="14"/>
  <c r="AJ146" i="14"/>
  <c r="AI136" i="14"/>
  <c r="AJ4" i="14"/>
  <c r="AI4" i="14"/>
  <c r="AJ497" i="14"/>
  <c r="AI483" i="14"/>
  <c r="AF475" i="14"/>
  <c r="AG475" i="14" s="1"/>
  <c r="AF469" i="14"/>
  <c r="AG469" i="14" s="1"/>
  <c r="AF458" i="14"/>
  <c r="AG458" i="14" s="1"/>
  <c r="AF437" i="14"/>
  <c r="AG437" i="14" s="1"/>
  <c r="AI419" i="14"/>
  <c r="AF418" i="14"/>
  <c r="AG418" i="14" s="1"/>
  <c r="AF402" i="14"/>
  <c r="AG402" i="14" s="1"/>
  <c r="AJ371" i="14"/>
  <c r="AF369" i="14"/>
  <c r="AG369" i="14" s="1"/>
  <c r="AI365" i="14"/>
  <c r="AI364" i="14"/>
  <c r="AF326" i="14"/>
  <c r="AG326" i="14" s="1"/>
  <c r="AJ319" i="14"/>
  <c r="AI313" i="14"/>
  <c r="AI303" i="14"/>
  <c r="AI300" i="14"/>
  <c r="AI279" i="14"/>
  <c r="AJ276" i="14"/>
  <c r="AF276" i="14"/>
  <c r="AG276" i="14" s="1"/>
  <c r="AI256" i="14"/>
  <c r="AJ253" i="14"/>
  <c r="AJ245" i="14"/>
  <c r="AF245" i="14"/>
  <c r="AG245" i="14" s="1"/>
  <c r="AJ240" i="14"/>
  <c r="AF240" i="14"/>
  <c r="AG240" i="14" s="1"/>
  <c r="AI240" i="14"/>
  <c r="AF442" i="14"/>
  <c r="AG442" i="14" s="1"/>
  <c r="AI392" i="14"/>
  <c r="AI366" i="14"/>
  <c r="AF358" i="14"/>
  <c r="AG358" i="14" s="1"/>
  <c r="AF342" i="14"/>
  <c r="AG342" i="14" s="1"/>
  <c r="AJ335" i="14"/>
  <c r="AI319" i="14"/>
  <c r="AF308" i="14"/>
  <c r="AG308" i="14" s="1"/>
  <c r="AJ265" i="14"/>
  <c r="AJ260" i="14"/>
  <c r="AF260" i="14"/>
  <c r="AG260" i="14" s="1"/>
  <c r="AI260" i="14"/>
  <c r="AF256" i="14"/>
  <c r="AG256" i="14" s="1"/>
  <c r="AI246" i="14"/>
  <c r="AF238" i="14"/>
  <c r="AG238" i="14" s="1"/>
  <c r="AJ229" i="14"/>
  <c r="AI219" i="14"/>
  <c r="AJ219" i="14"/>
  <c r="AF206" i="14"/>
  <c r="AG206" i="14" s="1"/>
  <c r="AI206" i="14"/>
  <c r="AC50" i="14"/>
  <c r="AE50" i="14"/>
  <c r="AJ50" i="14" s="1"/>
  <c r="AI241" i="14"/>
  <c r="AF241" i="14"/>
  <c r="AG241" i="14" s="1"/>
  <c r="AF214" i="14"/>
  <c r="AG214" i="14" s="1"/>
  <c r="AJ214" i="14"/>
  <c r="AJ179" i="14"/>
  <c r="AI179" i="14"/>
  <c r="AF179" i="14"/>
  <c r="AG179" i="14" s="1"/>
  <c r="AJ154" i="14"/>
  <c r="AF154" i="14"/>
  <c r="AG154" i="14" s="1"/>
  <c r="AI154" i="14"/>
  <c r="AJ405" i="14"/>
  <c r="AI390" i="14"/>
  <c r="AJ216" i="14"/>
  <c r="AJ188" i="14"/>
  <c r="AF188" i="14"/>
  <c r="AG188" i="14" s="1"/>
  <c r="AI188" i="14"/>
  <c r="AJ147" i="14"/>
  <c r="AI147" i="14"/>
  <c r="AF147" i="14"/>
  <c r="AG147" i="14" s="1"/>
  <c r="AI106" i="14"/>
  <c r="AF106" i="14"/>
  <c r="AG106" i="14" s="1"/>
  <c r="AI108" i="14"/>
  <c r="AE38" i="14"/>
  <c r="AE16" i="14"/>
  <c r="AJ16" i="14" s="1"/>
  <c r="AI196" i="14"/>
  <c r="AI189" i="14"/>
  <c r="AI185" i="14"/>
  <c r="AF184" i="14"/>
  <c r="AG184" i="14" s="1"/>
  <c r="AJ176" i="14"/>
  <c r="AF149" i="14"/>
  <c r="AG149" i="14" s="1"/>
  <c r="AF107" i="14"/>
  <c r="AG107" i="14" s="1"/>
  <c r="AJ172" i="14"/>
  <c r="AE24" i="14"/>
  <c r="AJ24" i="14" s="1"/>
  <c r="AE3" i="14"/>
  <c r="AI3" i="14" s="1"/>
  <c r="AI261" i="14"/>
  <c r="AI250" i="14"/>
  <c r="AJ212" i="14"/>
  <c r="AF186" i="14"/>
  <c r="AG186" i="14" s="1"/>
  <c r="AF185" i="14"/>
  <c r="AG185" i="14" s="1"/>
  <c r="AJ156" i="14"/>
  <c r="AI153" i="14"/>
  <c r="AI152" i="14"/>
  <c r="AJ204" i="14"/>
  <c r="AI204" i="14"/>
  <c r="AJ203" i="14"/>
  <c r="AI155" i="14"/>
  <c r="AI143" i="14"/>
  <c r="AJ480" i="14"/>
  <c r="AF480" i="14"/>
  <c r="AG480" i="14" s="1"/>
  <c r="AJ464" i="14"/>
  <c r="AI464" i="14"/>
  <c r="AF464" i="14"/>
  <c r="AG464" i="14" s="1"/>
  <c r="AJ456" i="14"/>
  <c r="AF456" i="14"/>
  <c r="AG456" i="14" s="1"/>
  <c r="AI456" i="14"/>
  <c r="AJ438" i="14"/>
  <c r="AF438" i="14"/>
  <c r="AG438" i="14" s="1"/>
  <c r="AI438" i="14"/>
  <c r="AJ428" i="14"/>
  <c r="AI428" i="14"/>
  <c r="AI391" i="14"/>
  <c r="AF391" i="14"/>
  <c r="AG391" i="14" s="1"/>
  <c r="AJ386" i="14"/>
  <c r="AF386" i="14"/>
  <c r="AG386" i="14" s="1"/>
  <c r="AI386" i="14"/>
  <c r="AJ501" i="14"/>
  <c r="AJ499" i="14"/>
  <c r="AI482" i="14"/>
  <c r="AJ473" i="14"/>
  <c r="AI460" i="14"/>
  <c r="AJ444" i="14"/>
  <c r="AI444" i="14"/>
  <c r="AJ423" i="14"/>
  <c r="AF423" i="14"/>
  <c r="AG423" i="14" s="1"/>
  <c r="AJ404" i="14"/>
  <c r="AI404" i="14"/>
  <c r="AF404" i="14"/>
  <c r="AG404" i="14" s="1"/>
  <c r="AF399" i="14"/>
  <c r="AG399" i="14" s="1"/>
  <c r="AJ399" i="14"/>
  <c r="AE217" i="13"/>
  <c r="AI217" i="13" s="1"/>
  <c r="AI501" i="14"/>
  <c r="AF500" i="14"/>
  <c r="AG500" i="14" s="1"/>
  <c r="AI499" i="14"/>
  <c r="AF498" i="14"/>
  <c r="AG498" i="14" s="1"/>
  <c r="AI497" i="14"/>
  <c r="AF496" i="14"/>
  <c r="AG496" i="14" s="1"/>
  <c r="AI495" i="14"/>
  <c r="AF494" i="14"/>
  <c r="AG494" i="14" s="1"/>
  <c r="AI493" i="14"/>
  <c r="AF492" i="14"/>
  <c r="AG492" i="14" s="1"/>
  <c r="AF490" i="14"/>
  <c r="AG490" i="14" s="1"/>
  <c r="AJ481" i="14"/>
  <c r="AI473" i="14"/>
  <c r="AJ485" i="14"/>
  <c r="AI481" i="14"/>
  <c r="AF478" i="14"/>
  <c r="AG478" i="14" s="1"/>
  <c r="AJ471" i="14"/>
  <c r="AF415" i="14"/>
  <c r="AG415" i="14" s="1"/>
  <c r="AJ415" i="14"/>
  <c r="AJ394" i="14"/>
  <c r="AI394" i="14"/>
  <c r="AF394" i="14"/>
  <c r="AG394" i="14" s="1"/>
  <c r="AJ387" i="14"/>
  <c r="AF387" i="14"/>
  <c r="AG387" i="14" s="1"/>
  <c r="AI488" i="14"/>
  <c r="AI485" i="14"/>
  <c r="AF482" i="14"/>
  <c r="AG482" i="14" s="1"/>
  <c r="AI480" i="14"/>
  <c r="AI476" i="14"/>
  <c r="AI471" i="14"/>
  <c r="AF468" i="14"/>
  <c r="AG468" i="14" s="1"/>
  <c r="AJ465" i="14"/>
  <c r="AJ463" i="14"/>
  <c r="AF460" i="14"/>
  <c r="AG460" i="14" s="1"/>
  <c r="AJ457" i="14"/>
  <c r="AJ455" i="14"/>
  <c r="AF452" i="14"/>
  <c r="AG452" i="14" s="1"/>
  <c r="AJ420" i="14"/>
  <c r="AI420" i="14"/>
  <c r="AF420" i="14"/>
  <c r="AG420" i="14" s="1"/>
  <c r="AJ396" i="14"/>
  <c r="AF396" i="14"/>
  <c r="AG396" i="14" s="1"/>
  <c r="AI396" i="14"/>
  <c r="AI385" i="14"/>
  <c r="AJ385" i="14"/>
  <c r="AF385" i="14"/>
  <c r="AG385" i="14" s="1"/>
  <c r="AJ500" i="14"/>
  <c r="AJ498" i="14"/>
  <c r="AJ467" i="14"/>
  <c r="AF467" i="14"/>
  <c r="AG467" i="14" s="1"/>
  <c r="AI465" i="14"/>
  <c r="AI463" i="14"/>
  <c r="AF459" i="14"/>
  <c r="AG459" i="14" s="1"/>
  <c r="AJ459" i="14"/>
  <c r="AI457" i="14"/>
  <c r="AI455" i="14"/>
  <c r="AF441" i="14"/>
  <c r="AG441" i="14" s="1"/>
  <c r="AI441" i="14"/>
  <c r="AJ441" i="14"/>
  <c r="AJ412" i="14"/>
  <c r="AF412" i="14"/>
  <c r="AG412" i="14" s="1"/>
  <c r="AI412" i="14"/>
  <c r="AJ407" i="14"/>
  <c r="AF407" i="14"/>
  <c r="AG407" i="14" s="1"/>
  <c r="AC78" i="35"/>
  <c r="AI470" i="14"/>
  <c r="AI447" i="14"/>
  <c r="AJ436" i="14"/>
  <c r="AF436" i="14"/>
  <c r="AG436" i="14" s="1"/>
  <c r="AI431" i="14"/>
  <c r="AJ391" i="14"/>
  <c r="AJ280" i="14"/>
  <c r="AI280" i="14"/>
  <c r="AF280" i="14"/>
  <c r="AG280" i="14" s="1"/>
  <c r="AF476" i="14"/>
  <c r="AG476" i="14" s="1"/>
  <c r="AJ472" i="14"/>
  <c r="AI472" i="14"/>
  <c r="AF428" i="14"/>
  <c r="AG428" i="14" s="1"/>
  <c r="AJ372" i="14"/>
  <c r="AI372" i="14"/>
  <c r="AF372" i="14"/>
  <c r="AG372" i="14" s="1"/>
  <c r="AI321" i="14"/>
  <c r="AJ321" i="14"/>
  <c r="AF321" i="14"/>
  <c r="AG321" i="14" s="1"/>
  <c r="AJ284" i="14"/>
  <c r="AF284" i="14"/>
  <c r="AG284" i="14" s="1"/>
  <c r="AI284" i="14"/>
  <c r="AF449" i="14"/>
  <c r="AG449" i="14" s="1"/>
  <c r="AF433" i="14"/>
  <c r="AG433" i="14" s="1"/>
  <c r="AF430" i="14"/>
  <c r="AG430" i="14" s="1"/>
  <c r="AI422" i="14"/>
  <c r="AF417" i="14"/>
  <c r="AG417" i="14" s="1"/>
  <c r="AF414" i="14"/>
  <c r="AG414" i="14" s="1"/>
  <c r="AJ409" i="14"/>
  <c r="AI406" i="14"/>
  <c r="AI403" i="14"/>
  <c r="AF401" i="14"/>
  <c r="AG401" i="14" s="1"/>
  <c r="AF398" i="14"/>
  <c r="AG398" i="14" s="1"/>
  <c r="AI368" i="14"/>
  <c r="AI327" i="14"/>
  <c r="AJ327" i="14"/>
  <c r="AJ388" i="14"/>
  <c r="AI388" i="14"/>
  <c r="AJ356" i="14"/>
  <c r="AI356" i="14"/>
  <c r="AI337" i="14"/>
  <c r="AJ337" i="14"/>
  <c r="AF337" i="14"/>
  <c r="AG337" i="14" s="1"/>
  <c r="AJ318" i="14"/>
  <c r="AI318" i="14"/>
  <c r="AF318" i="14"/>
  <c r="AG318" i="14" s="1"/>
  <c r="AJ305" i="14"/>
  <c r="AI305" i="14"/>
  <c r="AJ296" i="14"/>
  <c r="AI296" i="14"/>
  <c r="AF296" i="14"/>
  <c r="AG296" i="14" s="1"/>
  <c r="AF168" i="14"/>
  <c r="AG168" i="14" s="1"/>
  <c r="AI168" i="14"/>
  <c r="AJ168" i="14"/>
  <c r="AF451" i="14"/>
  <c r="AG451" i="14" s="1"/>
  <c r="AF448" i="14"/>
  <c r="AG448" i="14" s="1"/>
  <c r="AJ443" i="14"/>
  <c r="AI440" i="14"/>
  <c r="AF435" i="14"/>
  <c r="AG435" i="14" s="1"/>
  <c r="AF432" i="14"/>
  <c r="AG432" i="14" s="1"/>
  <c r="AJ427" i="14"/>
  <c r="AI424" i="14"/>
  <c r="AF419" i="14"/>
  <c r="AG419" i="14" s="1"/>
  <c r="AF416" i="14"/>
  <c r="AG416" i="14" s="1"/>
  <c r="AJ411" i="14"/>
  <c r="AI408" i="14"/>
  <c r="AF403" i="14"/>
  <c r="AG403" i="14" s="1"/>
  <c r="AF400" i="14"/>
  <c r="AG400" i="14" s="1"/>
  <c r="AF384" i="14"/>
  <c r="AG384" i="14" s="1"/>
  <c r="AJ370" i="14"/>
  <c r="AF370" i="14"/>
  <c r="AG370" i="14" s="1"/>
  <c r="AI353" i="14"/>
  <c r="AJ353" i="14"/>
  <c r="AF353" i="14"/>
  <c r="AG353" i="14" s="1"/>
  <c r="AI343" i="14"/>
  <c r="AJ343" i="14"/>
  <c r="AJ306" i="14"/>
  <c r="AI306" i="14"/>
  <c r="AF306" i="14"/>
  <c r="AG306" i="14" s="1"/>
  <c r="AI301" i="14"/>
  <c r="AJ301" i="14"/>
  <c r="AF301" i="14"/>
  <c r="AG301" i="14" s="1"/>
  <c r="AI446" i="14"/>
  <c r="AI443" i="14"/>
  <c r="AI430" i="14"/>
  <c r="AI427" i="14"/>
  <c r="AJ417" i="14"/>
  <c r="AI414" i="14"/>
  <c r="AJ401" i="14"/>
  <c r="AI398" i="14"/>
  <c r="AF392" i="14"/>
  <c r="AG392" i="14" s="1"/>
  <c r="AI382" i="14"/>
  <c r="AI376" i="14"/>
  <c r="AF368" i="14"/>
  <c r="AG368" i="14" s="1"/>
  <c r="AI359" i="14"/>
  <c r="AJ359" i="14"/>
  <c r="AJ334" i="14"/>
  <c r="AI334" i="14"/>
  <c r="AF334" i="14"/>
  <c r="AG334" i="14" s="1"/>
  <c r="AJ324" i="14"/>
  <c r="AI324" i="14"/>
  <c r="AJ232" i="14"/>
  <c r="AI232" i="14"/>
  <c r="AF232" i="14"/>
  <c r="AG232" i="14" s="1"/>
  <c r="AJ378" i="14"/>
  <c r="AI378" i="14"/>
  <c r="AJ309" i="14"/>
  <c r="AI309" i="14"/>
  <c r="AI227" i="14"/>
  <c r="AJ227" i="14"/>
  <c r="AF227" i="14"/>
  <c r="AG227" i="14" s="1"/>
  <c r="AI448" i="14"/>
  <c r="AF440" i="14"/>
  <c r="AG440" i="14" s="1"/>
  <c r="AI432" i="14"/>
  <c r="AF424" i="14"/>
  <c r="AG424" i="14" s="1"/>
  <c r="AI416" i="14"/>
  <c r="AI400" i="14"/>
  <c r="AI375" i="14"/>
  <c r="AJ375" i="14"/>
  <c r="AI373" i="14"/>
  <c r="AF365" i="14"/>
  <c r="AG365" i="14" s="1"/>
  <c r="AJ350" i="14"/>
  <c r="AI350" i="14"/>
  <c r="AF350" i="14"/>
  <c r="AG350" i="14" s="1"/>
  <c r="AJ340" i="14"/>
  <c r="AI340" i="14"/>
  <c r="AF327" i="14"/>
  <c r="AG327" i="14" s="1"/>
  <c r="AJ310" i="14"/>
  <c r="AF310" i="14"/>
  <c r="AG310" i="14" s="1"/>
  <c r="AI310" i="14"/>
  <c r="AJ355" i="14"/>
  <c r="AI352" i="14"/>
  <c r="AI349" i="14"/>
  <c r="AJ339" i="14"/>
  <c r="AI336" i="14"/>
  <c r="AI333" i="14"/>
  <c r="AJ323" i="14"/>
  <c r="AI320" i="14"/>
  <c r="AI317" i="14"/>
  <c r="AJ248" i="14"/>
  <c r="AI248" i="14"/>
  <c r="AF248" i="14"/>
  <c r="AG248" i="14" s="1"/>
  <c r="AI221" i="14"/>
  <c r="AJ221" i="14"/>
  <c r="AF221" i="14"/>
  <c r="AG221" i="14" s="1"/>
  <c r="AI355" i="14"/>
  <c r="AI339" i="14"/>
  <c r="AI323" i="14"/>
  <c r="AJ313" i="14"/>
  <c r="AJ302" i="14"/>
  <c r="AI302" i="14"/>
  <c r="AJ299" i="14"/>
  <c r="AI283" i="14"/>
  <c r="AF283" i="14"/>
  <c r="AG283" i="14" s="1"/>
  <c r="AI235" i="14"/>
  <c r="AJ235" i="14"/>
  <c r="AF235" i="14"/>
  <c r="AG235" i="14" s="1"/>
  <c r="AI357" i="14"/>
  <c r="AI341" i="14"/>
  <c r="AI325" i="14"/>
  <c r="AF299" i="14"/>
  <c r="AG299" i="14" s="1"/>
  <c r="AJ297" i="14"/>
  <c r="AJ294" i="14"/>
  <c r="AF294" i="14"/>
  <c r="AG294" i="14" s="1"/>
  <c r="AI297" i="14"/>
  <c r="AF285" i="14"/>
  <c r="AG285" i="14" s="1"/>
  <c r="AI285" i="14"/>
  <c r="AI267" i="14"/>
  <c r="AJ267" i="14"/>
  <c r="AF267" i="14"/>
  <c r="AG267" i="14" s="1"/>
  <c r="AF348" i="14"/>
  <c r="AG348" i="14" s="1"/>
  <c r="AF332" i="14"/>
  <c r="AG332" i="14" s="1"/>
  <c r="AF316" i="14"/>
  <c r="AG316" i="14" s="1"/>
  <c r="AF312" i="14"/>
  <c r="AG312" i="14" s="1"/>
  <c r="AF298" i="14"/>
  <c r="AG298" i="14" s="1"/>
  <c r="AJ264" i="14"/>
  <c r="AI264" i="14"/>
  <c r="AF264" i="14"/>
  <c r="AG264" i="14" s="1"/>
  <c r="AI362" i="14"/>
  <c r="AF354" i="14"/>
  <c r="AG354" i="14" s="1"/>
  <c r="AI346" i="14"/>
  <c r="AF338" i="14"/>
  <c r="AG338" i="14" s="1"/>
  <c r="AI330" i="14"/>
  <c r="AF322" i="14"/>
  <c r="AG322" i="14" s="1"/>
  <c r="AI314" i="14"/>
  <c r="AF287" i="14"/>
  <c r="AG287" i="14" s="1"/>
  <c r="AI287" i="14"/>
  <c r="AJ287" i="14"/>
  <c r="AJ283" i="14"/>
  <c r="AI251" i="14"/>
  <c r="AJ251" i="14"/>
  <c r="AF251" i="14"/>
  <c r="AG251" i="14" s="1"/>
  <c r="AF205" i="14"/>
  <c r="AG205" i="14" s="1"/>
  <c r="AI205" i="14"/>
  <c r="AI269" i="14"/>
  <c r="AI253" i="14"/>
  <c r="AI237" i="14"/>
  <c r="AJ228" i="14"/>
  <c r="AF228" i="14"/>
  <c r="AG228" i="14" s="1"/>
  <c r="AJ225" i="14"/>
  <c r="AJ222" i="14"/>
  <c r="AF222" i="14"/>
  <c r="AG222" i="14" s="1"/>
  <c r="AI281" i="14"/>
  <c r="AJ271" i="14"/>
  <c r="AI268" i="14"/>
  <c r="AI265" i="14"/>
  <c r="AJ255" i="14"/>
  <c r="AI252" i="14"/>
  <c r="AI249" i="14"/>
  <c r="AJ239" i="14"/>
  <c r="AI236" i="14"/>
  <c r="AI233" i="14"/>
  <c r="AJ211" i="14"/>
  <c r="AF144" i="14"/>
  <c r="AG144" i="14" s="1"/>
  <c r="AJ144" i="14"/>
  <c r="AI290" i="14"/>
  <c r="AF282" i="14"/>
  <c r="AG282" i="14" s="1"/>
  <c r="AI274" i="14"/>
  <c r="AI271" i="14"/>
  <c r="AF266" i="14"/>
  <c r="AG266" i="14" s="1"/>
  <c r="AI258" i="14"/>
  <c r="AI255" i="14"/>
  <c r="AF250" i="14"/>
  <c r="AG250" i="14" s="1"/>
  <c r="AI242" i="14"/>
  <c r="AI239" i="14"/>
  <c r="AF234" i="14"/>
  <c r="AG234" i="14" s="1"/>
  <c r="AJ226" i="14"/>
  <c r="AF226" i="14"/>
  <c r="AG226" i="14" s="1"/>
  <c r="AF225" i="14"/>
  <c r="AG225" i="14" s="1"/>
  <c r="AJ223" i="14"/>
  <c r="AF213" i="14"/>
  <c r="AG213" i="14" s="1"/>
  <c r="AF211" i="14"/>
  <c r="AG211" i="14" s="1"/>
  <c r="AF194" i="14"/>
  <c r="AG194" i="14" s="1"/>
  <c r="AI194" i="14"/>
  <c r="AJ194" i="14"/>
  <c r="AF187" i="14"/>
  <c r="AG187" i="14" s="1"/>
  <c r="AI187" i="14"/>
  <c r="AJ187" i="14"/>
  <c r="AI286" i="14"/>
  <c r="AF278" i="14"/>
  <c r="AG278" i="14" s="1"/>
  <c r="AJ273" i="14"/>
  <c r="AI270" i="14"/>
  <c r="AF262" i="14"/>
  <c r="AG262" i="14" s="1"/>
  <c r="AJ257" i="14"/>
  <c r="AI254" i="14"/>
  <c r="AF246" i="14"/>
  <c r="AG246" i="14" s="1"/>
  <c r="AJ241" i="14"/>
  <c r="AI238" i="14"/>
  <c r="AJ230" i="14"/>
  <c r="AF230" i="14"/>
  <c r="AG230" i="14" s="1"/>
  <c r="AF229" i="14"/>
  <c r="AG229" i="14" s="1"/>
  <c r="AI222" i="14"/>
  <c r="AF209" i="14"/>
  <c r="AG209" i="14" s="1"/>
  <c r="AI209" i="14"/>
  <c r="AJ205" i="14"/>
  <c r="AF182" i="14"/>
  <c r="AG182" i="14" s="1"/>
  <c r="AI182" i="14"/>
  <c r="AJ182" i="14"/>
  <c r="AJ177" i="14"/>
  <c r="AF177" i="14"/>
  <c r="AG177" i="14" s="1"/>
  <c r="AI177" i="14"/>
  <c r="AF268" i="14"/>
  <c r="AG268" i="14" s="1"/>
  <c r="AF252" i="14"/>
  <c r="AG252" i="14" s="1"/>
  <c r="AF236" i="14"/>
  <c r="AG236" i="14" s="1"/>
  <c r="AJ224" i="14"/>
  <c r="AF224" i="14"/>
  <c r="AG224" i="14" s="1"/>
  <c r="AF223" i="14"/>
  <c r="AG223" i="14" s="1"/>
  <c r="AF207" i="14"/>
  <c r="AG207" i="14" s="1"/>
  <c r="AI207" i="14"/>
  <c r="AF220" i="14"/>
  <c r="AG220" i="14" s="1"/>
  <c r="AF218" i="14"/>
  <c r="AG218" i="14" s="1"/>
  <c r="AI203" i="14"/>
  <c r="AI201" i="14"/>
  <c r="AI199" i="14"/>
  <c r="AJ192" i="14"/>
  <c r="AI190" i="14"/>
  <c r="AJ184" i="14"/>
  <c r="AF181" i="14"/>
  <c r="AG181" i="14" s="1"/>
  <c r="AI174" i="14"/>
  <c r="AF193" i="14"/>
  <c r="AG193" i="14" s="1"/>
  <c r="AF180" i="14"/>
  <c r="AG180" i="14" s="1"/>
  <c r="AJ178" i="14"/>
  <c r="AI173" i="14"/>
  <c r="AF171" i="14"/>
  <c r="AG171" i="14" s="1"/>
  <c r="AF166" i="14"/>
  <c r="AG166" i="14" s="1"/>
  <c r="AF160" i="14"/>
  <c r="AG160" i="14" s="1"/>
  <c r="AI160" i="14"/>
  <c r="AJ160" i="14"/>
  <c r="AJ175" i="14"/>
  <c r="AF175" i="14"/>
  <c r="AG175" i="14" s="1"/>
  <c r="AF170" i="14"/>
  <c r="AG170" i="14" s="1"/>
  <c r="AJ161" i="14"/>
  <c r="AI161" i="14"/>
  <c r="AJ141" i="14"/>
  <c r="AI141" i="14"/>
  <c r="AJ165" i="14"/>
  <c r="AI165" i="14"/>
  <c r="AI162" i="14"/>
  <c r="AF162" i="14"/>
  <c r="AG162" i="14" s="1"/>
  <c r="AJ193" i="14"/>
  <c r="AJ166" i="14"/>
  <c r="AJ157" i="14"/>
  <c r="AF157" i="14"/>
  <c r="AG157" i="14" s="1"/>
  <c r="AI157" i="14"/>
  <c r="AJ183" i="14"/>
  <c r="AI183" i="14"/>
  <c r="AJ180" i="14"/>
  <c r="AI175" i="14"/>
  <c r="AI171" i="14"/>
  <c r="AI158" i="14"/>
  <c r="AI142" i="14"/>
  <c r="AI167" i="14"/>
  <c r="AF159" i="14"/>
  <c r="AG159" i="14" s="1"/>
  <c r="AI151" i="14"/>
  <c r="AF146" i="14"/>
  <c r="AG146" i="14" s="1"/>
  <c r="AF143" i="14"/>
  <c r="AG143" i="14" s="1"/>
  <c r="AI132" i="14"/>
  <c r="AJ106" i="14"/>
  <c r="AF152" i="14"/>
  <c r="AG152" i="14" s="1"/>
  <c r="AF136" i="14"/>
  <c r="AG136" i="14" s="1"/>
  <c r="AC18" i="14"/>
  <c r="AE18" i="14"/>
  <c r="AC44" i="14"/>
  <c r="AE44" i="14"/>
  <c r="AI149" i="14"/>
  <c r="AC52" i="14"/>
  <c r="AE52" i="14"/>
  <c r="AC26" i="14"/>
  <c r="AE26" i="14"/>
  <c r="AC33" i="14"/>
  <c r="AE33" i="14"/>
  <c r="AC10" i="14"/>
  <c r="AE10" i="14"/>
  <c r="AC41" i="14"/>
  <c r="AE41" i="14"/>
  <c r="AC34" i="14"/>
  <c r="AE34" i="14"/>
  <c r="AE25" i="14"/>
  <c r="AE17" i="14"/>
  <c r="AE9" i="14"/>
  <c r="AE7" i="14"/>
  <c r="AE22" i="14"/>
  <c r="AE14" i="14"/>
  <c r="AE6" i="14"/>
  <c r="AE45" i="14"/>
  <c r="AE37" i="14"/>
  <c r="AE29" i="14"/>
  <c r="AE21" i="14"/>
  <c r="AE13" i="14"/>
  <c r="AE5" i="14"/>
  <c r="AF4" i="14"/>
  <c r="AG4" i="14" s="1"/>
  <c r="AE36" i="14"/>
  <c r="AE28" i="14"/>
  <c r="AE20" i="14"/>
  <c r="AE12" i="14"/>
  <c r="AE43" i="14"/>
  <c r="AE35" i="14"/>
  <c r="AE27" i="14"/>
  <c r="AE19" i="14"/>
  <c r="AE11" i="14"/>
  <c r="AC4" i="14"/>
  <c r="AC21" i="35"/>
  <c r="AC74" i="35"/>
  <c r="AI74" i="35"/>
  <c r="AJ74" i="35"/>
  <c r="AE65" i="13"/>
  <c r="AJ65" i="13" s="1"/>
  <c r="AE52" i="13"/>
  <c r="AJ52" i="13" s="1"/>
  <c r="AC61" i="35"/>
  <c r="AC46" i="35"/>
  <c r="AC79" i="35"/>
  <c r="AJ35" i="35"/>
  <c r="AI35" i="35"/>
  <c r="AJ53" i="35"/>
  <c r="AI53" i="35"/>
  <c r="AC77" i="35"/>
  <c r="AC36" i="35"/>
  <c r="AC35" i="35"/>
  <c r="AC53" i="35"/>
  <c r="AE169" i="13"/>
  <c r="AJ169" i="13" s="1"/>
  <c r="AC80" i="35"/>
  <c r="AF74" i="35"/>
  <c r="AG74" i="35" s="1"/>
  <c r="AC26" i="35"/>
  <c r="W20" i="25"/>
  <c r="AC75" i="35"/>
  <c r="AC34" i="35"/>
  <c r="AC60" i="35"/>
  <c r="AC84" i="35"/>
  <c r="AC82" i="35"/>
  <c r="AC18" i="35"/>
  <c r="AC15" i="35"/>
  <c r="AC48" i="35"/>
  <c r="AC58" i="35"/>
  <c r="AF48" i="35"/>
  <c r="AG48" i="35" s="1"/>
  <c r="AI48" i="35"/>
  <c r="AJ48" i="35"/>
  <c r="AI79" i="35"/>
  <c r="AJ79" i="35"/>
  <c r="AF79" i="35"/>
  <c r="AG79" i="35" s="1"/>
  <c r="AF46" i="35"/>
  <c r="AG46" i="35" s="1"/>
  <c r="AI46" i="35"/>
  <c r="AJ46" i="35"/>
  <c r="AF69" i="35"/>
  <c r="AG69" i="35" s="1"/>
  <c r="AI69" i="35"/>
  <c r="AJ69" i="35"/>
  <c r="AI77" i="35"/>
  <c r="AJ77" i="35"/>
  <c r="AF77" i="35"/>
  <c r="AG77" i="35" s="1"/>
  <c r="AI36" i="35"/>
  <c r="AJ36" i="35"/>
  <c r="AF36" i="35"/>
  <c r="AG36" i="35" s="1"/>
  <c r="AF18" i="35"/>
  <c r="AG18" i="35" s="1"/>
  <c r="AI18" i="35"/>
  <c r="AJ18" i="35"/>
  <c r="AF85" i="35"/>
  <c r="AG85" i="35" s="1"/>
  <c r="AI85" i="35"/>
  <c r="AJ85" i="35"/>
  <c r="AF83" i="35"/>
  <c r="AG83" i="35" s="1"/>
  <c r="AI83" i="35"/>
  <c r="AJ83" i="35"/>
  <c r="AF61" i="35"/>
  <c r="AG61" i="35" s="1"/>
  <c r="AI61" i="35"/>
  <c r="AJ61" i="35"/>
  <c r="AF15" i="35"/>
  <c r="AG15" i="35" s="1"/>
  <c r="AI15" i="35"/>
  <c r="AJ15" i="35"/>
  <c r="AF87" i="35"/>
  <c r="AG87" i="35" s="1"/>
  <c r="AI87" i="35"/>
  <c r="AJ87" i="35"/>
  <c r="AF80" i="35"/>
  <c r="AG80" i="35" s="1"/>
  <c r="AI80" i="35"/>
  <c r="AJ80" i="35"/>
  <c r="AI26" i="35"/>
  <c r="AJ26" i="35"/>
  <c r="AF26" i="35"/>
  <c r="AG26" i="35" s="1"/>
  <c r="AF58" i="35"/>
  <c r="AG58" i="35" s="1"/>
  <c r="AI58" i="35"/>
  <c r="AJ58" i="35"/>
  <c r="AF81" i="35"/>
  <c r="AG81" i="35" s="1"/>
  <c r="AI81" i="35"/>
  <c r="AJ81" i="35"/>
  <c r="AF78" i="35"/>
  <c r="AG78" i="35" s="1"/>
  <c r="AI78" i="35"/>
  <c r="AJ78" i="35"/>
  <c r="AI84" i="35"/>
  <c r="AJ84" i="35"/>
  <c r="AF84" i="35"/>
  <c r="AG84" i="35" s="1"/>
  <c r="AF75" i="35"/>
  <c r="AG75" i="35" s="1"/>
  <c r="AI75" i="35"/>
  <c r="AJ75" i="35"/>
  <c r="AF34" i="35"/>
  <c r="AG34" i="35" s="1"/>
  <c r="AI34" i="35"/>
  <c r="AJ34" i="35"/>
  <c r="AI60" i="35"/>
  <c r="AJ60" i="35"/>
  <c r="AF60" i="35"/>
  <c r="AG60" i="35" s="1"/>
  <c r="AI82" i="35"/>
  <c r="AJ82" i="35"/>
  <c r="AF82" i="35"/>
  <c r="AG82" i="35" s="1"/>
  <c r="AF21" i="35"/>
  <c r="AG21" i="35" s="1"/>
  <c r="AI21" i="35"/>
  <c r="AJ21" i="35"/>
  <c r="AE192" i="13"/>
  <c r="AI192" i="13" s="1"/>
  <c r="AC81" i="35"/>
  <c r="AC87" i="35"/>
  <c r="AC85" i="35"/>
  <c r="AC83" i="35"/>
  <c r="AF35" i="35"/>
  <c r="AG35" i="35" s="1"/>
  <c r="AF53" i="35"/>
  <c r="AG53" i="35" s="1"/>
  <c r="AC106" i="13"/>
  <c r="AC71" i="35"/>
  <c r="AE226" i="13"/>
  <c r="AI226" i="13" s="1"/>
  <c r="AI146" i="13"/>
  <c r="AE97" i="13"/>
  <c r="AJ97" i="13" s="1"/>
  <c r="AE12" i="13"/>
  <c r="AJ12" i="13" s="1"/>
  <c r="AE195" i="13"/>
  <c r="AF195" i="13" s="1"/>
  <c r="AG195" i="13" s="1"/>
  <c r="AE40" i="13"/>
  <c r="AI40" i="13" s="1"/>
  <c r="AE235" i="13"/>
  <c r="AI235" i="13" s="1"/>
  <c r="AE68" i="13"/>
  <c r="AF68" i="13" s="1"/>
  <c r="AG68" i="13" s="1"/>
  <c r="AE245" i="13"/>
  <c r="AJ245" i="13" s="1"/>
  <c r="AC213" i="13"/>
  <c r="AC199" i="13"/>
  <c r="AC197" i="13"/>
  <c r="AE185" i="13"/>
  <c r="AJ185" i="13" s="1"/>
  <c r="AE114" i="13"/>
  <c r="AI114" i="13" s="1"/>
  <c r="AC94" i="13"/>
  <c r="AE188" i="13"/>
  <c r="AJ188" i="13" s="1"/>
  <c r="AE181" i="13"/>
  <c r="AF181" i="13" s="1"/>
  <c r="AG181" i="13" s="1"/>
  <c r="AE165" i="13"/>
  <c r="AF165" i="13" s="1"/>
  <c r="AG165" i="13" s="1"/>
  <c r="AE108" i="13"/>
  <c r="AJ108" i="13" s="1"/>
  <c r="AE56" i="13"/>
  <c r="AJ56" i="13" s="1"/>
  <c r="AJ54" i="13"/>
  <c r="AE24" i="13"/>
  <c r="AI24" i="13" s="1"/>
  <c r="AE31" i="13"/>
  <c r="AF31" i="13" s="1"/>
  <c r="AG31" i="13" s="1"/>
  <c r="AE207" i="13"/>
  <c r="AI207" i="13" s="1"/>
  <c r="AC259" i="13"/>
  <c r="AC215" i="13"/>
  <c r="AE175" i="13"/>
  <c r="AJ175" i="13" s="1"/>
  <c r="AE159" i="13"/>
  <c r="AJ159" i="13" s="1"/>
  <c r="AE173" i="13"/>
  <c r="AF173" i="13" s="1"/>
  <c r="AG173" i="13" s="1"/>
  <c r="AE102" i="13"/>
  <c r="AF102" i="13" s="1"/>
  <c r="AG102" i="13" s="1"/>
  <c r="AC74" i="13"/>
  <c r="AE72" i="13"/>
  <c r="AF72" i="13" s="1"/>
  <c r="AG72" i="13" s="1"/>
  <c r="AI58" i="13"/>
  <c r="AE47" i="13"/>
  <c r="AF47" i="13" s="1"/>
  <c r="AG47" i="13" s="1"/>
  <c r="AC263" i="13"/>
  <c r="AE210" i="13"/>
  <c r="AI210" i="13" s="1"/>
  <c r="AE166" i="13"/>
  <c r="AJ166" i="13" s="1"/>
  <c r="AE77" i="13"/>
  <c r="AI77" i="13" s="1"/>
  <c r="AE53" i="13"/>
  <c r="AF53" i="13" s="1"/>
  <c r="AG53" i="13" s="1"/>
  <c r="AE88" i="13"/>
  <c r="AJ88" i="13" s="1"/>
  <c r="AE211" i="13"/>
  <c r="AJ211" i="13" s="1"/>
  <c r="AE111" i="13"/>
  <c r="AI111" i="13" s="1"/>
  <c r="AE83" i="13"/>
  <c r="AI83" i="13" s="1"/>
  <c r="AE253" i="13"/>
  <c r="AF253" i="13" s="1"/>
  <c r="AG253" i="13" s="1"/>
  <c r="AC223" i="13"/>
  <c r="AE223" i="13"/>
  <c r="AI223" i="13" s="1"/>
  <c r="AJ201" i="13"/>
  <c r="AI201" i="13"/>
  <c r="AC191" i="13"/>
  <c r="AE191" i="13"/>
  <c r="AI191" i="13" s="1"/>
  <c r="AC104" i="13"/>
  <c r="AE104" i="13"/>
  <c r="AJ104" i="13" s="1"/>
  <c r="AC70" i="13"/>
  <c r="AE70" i="13"/>
  <c r="AJ70" i="13" s="1"/>
  <c r="AC25" i="13"/>
  <c r="AE25" i="13"/>
  <c r="AJ25" i="13" s="1"/>
  <c r="AC237" i="13"/>
  <c r="AE237" i="13"/>
  <c r="AF237" i="13" s="1"/>
  <c r="AG237" i="13" s="1"/>
  <c r="AE220" i="13"/>
  <c r="AJ220" i="13" s="1"/>
  <c r="AC204" i="13"/>
  <c r="AE204" i="13"/>
  <c r="AJ204" i="13" s="1"/>
  <c r="AI197" i="13"/>
  <c r="AF197" i="13"/>
  <c r="AG197" i="13" s="1"/>
  <c r="AC247" i="13"/>
  <c r="AE243" i="13"/>
  <c r="AE229" i="13"/>
  <c r="AF229" i="13" s="1"/>
  <c r="AG229" i="13" s="1"/>
  <c r="AC99" i="13"/>
  <c r="AE99" i="13"/>
  <c r="AI99" i="13" s="1"/>
  <c r="AE227" i="13"/>
  <c r="AI227" i="13" s="1"/>
  <c r="AC227" i="13"/>
  <c r="AC224" i="13"/>
  <c r="AE224" i="13"/>
  <c r="AI224" i="13" s="1"/>
  <c r="AC44" i="13"/>
  <c r="AE44" i="13"/>
  <c r="AJ44" i="13" s="1"/>
  <c r="AE265" i="13"/>
  <c r="AC251" i="13"/>
  <c r="AE251" i="13"/>
  <c r="AE225" i="13"/>
  <c r="AJ225" i="13" s="1"/>
  <c r="AF201" i="13"/>
  <c r="AG201" i="13" s="1"/>
  <c r="AC200" i="13"/>
  <c r="AE200" i="13"/>
  <c r="AC194" i="13"/>
  <c r="AE194" i="13"/>
  <c r="AC79" i="13"/>
  <c r="AE79" i="13"/>
  <c r="AI79" i="13" s="1"/>
  <c r="AE266" i="13"/>
  <c r="AJ266" i="13" s="1"/>
  <c r="AC262" i="13"/>
  <c r="AE262" i="13"/>
  <c r="AI262" i="13" s="1"/>
  <c r="AE22" i="13"/>
  <c r="AJ22" i="13" s="1"/>
  <c r="AC22" i="13"/>
  <c r="AC201" i="13"/>
  <c r="AE122" i="13"/>
  <c r="AF122" i="13" s="1"/>
  <c r="AG122" i="13" s="1"/>
  <c r="AC122" i="13"/>
  <c r="AC64" i="13"/>
  <c r="AE64" i="13"/>
  <c r="AI64" i="13" s="1"/>
  <c r="AE183" i="13"/>
  <c r="AJ183" i="13" s="1"/>
  <c r="AE182" i="13"/>
  <c r="AI182" i="13" s="1"/>
  <c r="AE177" i="13"/>
  <c r="AJ177" i="13" s="1"/>
  <c r="AE174" i="13"/>
  <c r="AI174" i="13" s="1"/>
  <c r="AE157" i="13"/>
  <c r="AJ157" i="13" s="1"/>
  <c r="AE153" i="13"/>
  <c r="AJ153" i="13" s="1"/>
  <c r="AJ151" i="13"/>
  <c r="AF58" i="13"/>
  <c r="AG58" i="13" s="1"/>
  <c r="AE50" i="13"/>
  <c r="AF50" i="13" s="1"/>
  <c r="AG50" i="13" s="1"/>
  <c r="AC28" i="13"/>
  <c r="AI151" i="13"/>
  <c r="AC146" i="13"/>
  <c r="AE86" i="13"/>
  <c r="AF86" i="13" s="1"/>
  <c r="AG86" i="13" s="1"/>
  <c r="AE36" i="13"/>
  <c r="AF36" i="13" s="1"/>
  <c r="AG36" i="13" s="1"/>
  <c r="AE20" i="13"/>
  <c r="AF20" i="13" s="1"/>
  <c r="AG20" i="13" s="1"/>
  <c r="AE15" i="13"/>
  <c r="AI15" i="13" s="1"/>
  <c r="AE8" i="13"/>
  <c r="AF8" i="13" s="1"/>
  <c r="AG8" i="13" s="1"/>
  <c r="AI4" i="13"/>
  <c r="AE95" i="13"/>
  <c r="AJ95" i="13" s="1"/>
  <c r="AE92" i="13"/>
  <c r="AC58" i="13"/>
  <c r="AE37" i="13"/>
  <c r="AI37" i="13" s="1"/>
  <c r="AE34" i="13"/>
  <c r="AF34" i="13" s="1"/>
  <c r="AG34" i="13" s="1"/>
  <c r="AE21" i="13"/>
  <c r="AI21" i="13" s="1"/>
  <c r="AE167" i="13"/>
  <c r="AJ167" i="13" s="1"/>
  <c r="AE128" i="13"/>
  <c r="AI128" i="13" s="1"/>
  <c r="AE98" i="13"/>
  <c r="AI98" i="13" s="1"/>
  <c r="AE81" i="13"/>
  <c r="AF81" i="13" s="1"/>
  <c r="AG81" i="13" s="1"/>
  <c r="AE18" i="13"/>
  <c r="AF18" i="13" s="1"/>
  <c r="AG18" i="13" s="1"/>
  <c r="AE9" i="13"/>
  <c r="AF9" i="13" s="1"/>
  <c r="AG9" i="13" s="1"/>
  <c r="AE161" i="13"/>
  <c r="AJ161" i="13" s="1"/>
  <c r="AC151" i="13"/>
  <c r="AE120" i="13"/>
  <c r="AF120" i="13" s="1"/>
  <c r="AG120" i="13" s="1"/>
  <c r="AE113" i="13"/>
  <c r="AI113" i="13" s="1"/>
  <c r="AE82" i="13"/>
  <c r="AI82" i="13" s="1"/>
  <c r="AC110" i="13"/>
  <c r="AC90" i="13"/>
  <c r="AC76" i="13"/>
  <c r="AC38" i="13"/>
  <c r="AF493" i="13"/>
  <c r="AG493" i="13" s="1"/>
  <c r="AF474" i="13"/>
  <c r="AG474" i="13" s="1"/>
  <c r="AJ491" i="13"/>
  <c r="AI488" i="13"/>
  <c r="AJ497" i="13"/>
  <c r="AI491" i="13"/>
  <c r="AI497" i="13"/>
  <c r="AI474" i="13"/>
  <c r="AF488" i="13"/>
  <c r="AG488" i="13" s="1"/>
  <c r="AI213" i="13"/>
  <c r="AJ213" i="13"/>
  <c r="AF213" i="13"/>
  <c r="AG213" i="13" s="1"/>
  <c r="AC255" i="13"/>
  <c r="AC230" i="13"/>
  <c r="AE230" i="13"/>
  <c r="AC163" i="13"/>
  <c r="AE163" i="13"/>
  <c r="AI259" i="13"/>
  <c r="AJ259" i="13"/>
  <c r="AF255" i="13"/>
  <c r="AG255" i="13" s="1"/>
  <c r="AI255" i="13"/>
  <c r="AJ255" i="13"/>
  <c r="AC267" i="13"/>
  <c r="AE267" i="13"/>
  <c r="AF247" i="13"/>
  <c r="AG247" i="13" s="1"/>
  <c r="AI247" i="13"/>
  <c r="AJ247" i="13"/>
  <c r="AC239" i="13"/>
  <c r="AF239" i="13"/>
  <c r="AG239" i="13" s="1"/>
  <c r="AI239" i="13"/>
  <c r="AJ239" i="13"/>
  <c r="AE231" i="13"/>
  <c r="AE246" i="13"/>
  <c r="AC231" i="13"/>
  <c r="AC228" i="13"/>
  <c r="AE228" i="13"/>
  <c r="AC254" i="13"/>
  <c r="AE254" i="13"/>
  <c r="AC260" i="13"/>
  <c r="AE260" i="13"/>
  <c r="AC196" i="13"/>
  <c r="AE196" i="13"/>
  <c r="AC193" i="13"/>
  <c r="AE193" i="13"/>
  <c r="AC238" i="13"/>
  <c r="AE238" i="13"/>
  <c r="AC212" i="13"/>
  <c r="AE212" i="13"/>
  <c r="AC209" i="13"/>
  <c r="AE209" i="13"/>
  <c r="AC144" i="13"/>
  <c r="AE144" i="13"/>
  <c r="AC134" i="13"/>
  <c r="AE134" i="13"/>
  <c r="AC252" i="13"/>
  <c r="AE252" i="13"/>
  <c r="AC244" i="13"/>
  <c r="AE244" i="13"/>
  <c r="AC214" i="13"/>
  <c r="AE214" i="13"/>
  <c r="AC179" i="13"/>
  <c r="AE179" i="13"/>
  <c r="AE261" i="13"/>
  <c r="AE257" i="13"/>
  <c r="AE249" i="13"/>
  <c r="AE241" i="13"/>
  <c r="AE233" i="13"/>
  <c r="AF189" i="13"/>
  <c r="AG189" i="13" s="1"/>
  <c r="AI189" i="13"/>
  <c r="AJ189" i="13"/>
  <c r="AE264" i="13"/>
  <c r="AC258" i="13"/>
  <c r="AE258" i="13"/>
  <c r="AC250" i="13"/>
  <c r="AE250" i="13"/>
  <c r="AC242" i="13"/>
  <c r="AE242" i="13"/>
  <c r="AC234" i="13"/>
  <c r="AE234" i="13"/>
  <c r="AE236" i="13"/>
  <c r="AE208" i="13"/>
  <c r="AE221" i="13"/>
  <c r="AC221" i="13"/>
  <c r="AF215" i="13"/>
  <c r="AG215" i="13" s="1"/>
  <c r="AJ215" i="13"/>
  <c r="AF199" i="13"/>
  <c r="AG199" i="13" s="1"/>
  <c r="AJ199" i="13"/>
  <c r="AC171" i="13"/>
  <c r="AE171" i="13"/>
  <c r="AC256" i="13"/>
  <c r="AE256" i="13"/>
  <c r="AC248" i="13"/>
  <c r="AE248" i="13"/>
  <c r="AC240" i="13"/>
  <c r="AE240" i="13"/>
  <c r="AE205" i="13"/>
  <c r="AC205" i="13"/>
  <c r="AC139" i="13"/>
  <c r="AE139" i="13"/>
  <c r="AE198" i="13"/>
  <c r="AC189" i="13"/>
  <c r="AE184" i="13"/>
  <c r="AE176" i="13"/>
  <c r="AE168" i="13"/>
  <c r="AE160" i="13"/>
  <c r="AE155" i="13"/>
  <c r="AC152" i="13"/>
  <c r="AE152" i="13"/>
  <c r="AC149" i="13"/>
  <c r="AE149" i="13"/>
  <c r="AF146" i="13"/>
  <c r="AG146" i="13" s="1"/>
  <c r="AE136" i="13"/>
  <c r="AC130" i="13"/>
  <c r="AC154" i="13"/>
  <c r="AE154" i="13"/>
  <c r="AC150" i="13"/>
  <c r="AE150" i="13"/>
  <c r="AC145" i="13"/>
  <c r="AE145" i="13"/>
  <c r="AC140" i="13"/>
  <c r="AE140" i="13"/>
  <c r="AC135" i="13"/>
  <c r="AE135" i="13"/>
  <c r="AC156" i="13"/>
  <c r="AE156" i="13"/>
  <c r="AI138" i="13"/>
  <c r="AJ110" i="13"/>
  <c r="AF110" i="13"/>
  <c r="AG110" i="13" s="1"/>
  <c r="AI110" i="13"/>
  <c r="AE232" i="13"/>
  <c r="AE219" i="13"/>
  <c r="AE216" i="13"/>
  <c r="AE203" i="13"/>
  <c r="AE187" i="13"/>
  <c r="AC158" i="13"/>
  <c r="AE158" i="13"/>
  <c r="AC141" i="13"/>
  <c r="AE141" i="13"/>
  <c r="AF138" i="13"/>
  <c r="AG138" i="13" s="1"/>
  <c r="AE222" i="13"/>
  <c r="AE206" i="13"/>
  <c r="AE190" i="13"/>
  <c r="AE180" i="13"/>
  <c r="AE172" i="13"/>
  <c r="AE164" i="13"/>
  <c r="AC147" i="13"/>
  <c r="AE147" i="13"/>
  <c r="AC142" i="13"/>
  <c r="AE142" i="13"/>
  <c r="AC137" i="13"/>
  <c r="AE137" i="13"/>
  <c r="AJ197" i="13"/>
  <c r="AC138" i="13"/>
  <c r="AI130" i="13"/>
  <c r="AE218" i="13"/>
  <c r="AE202" i="13"/>
  <c r="AE186" i="13"/>
  <c r="AE178" i="13"/>
  <c r="AE170" i="13"/>
  <c r="AE162" i="13"/>
  <c r="AC148" i="13"/>
  <c r="AE148" i="13"/>
  <c r="AC143" i="13"/>
  <c r="AE143" i="13"/>
  <c r="AC133" i="13"/>
  <c r="AE133" i="13"/>
  <c r="AF130" i="13"/>
  <c r="AG130" i="13" s="1"/>
  <c r="AC129" i="13"/>
  <c r="AE129" i="13"/>
  <c r="AC121" i="13"/>
  <c r="AE121" i="13"/>
  <c r="AE112" i="13"/>
  <c r="AC112" i="13"/>
  <c r="AF106" i="13"/>
  <c r="AG106" i="13" s="1"/>
  <c r="AJ106" i="13"/>
  <c r="AC87" i="13"/>
  <c r="AE87" i="13"/>
  <c r="AJ76" i="13"/>
  <c r="AF76" i="13"/>
  <c r="AG76" i="13" s="1"/>
  <c r="AI76" i="13"/>
  <c r="AE126" i="13"/>
  <c r="AE118" i="13"/>
  <c r="AE115" i="13"/>
  <c r="AC100" i="13"/>
  <c r="AE100" i="13"/>
  <c r="AC127" i="13"/>
  <c r="AE127" i="13"/>
  <c r="AC119" i="13"/>
  <c r="AE119" i="13"/>
  <c r="AE117" i="13"/>
  <c r="AE116" i="13"/>
  <c r="AC103" i="13"/>
  <c r="AE103" i="13"/>
  <c r="AJ94" i="13"/>
  <c r="AF94" i="13"/>
  <c r="AG94" i="13" s="1"/>
  <c r="AJ74" i="13"/>
  <c r="AF74" i="13"/>
  <c r="AG74" i="13" s="1"/>
  <c r="AI74" i="13"/>
  <c r="AE132" i="13"/>
  <c r="AE124" i="13"/>
  <c r="AC62" i="13"/>
  <c r="AE62" i="13"/>
  <c r="AF60" i="13"/>
  <c r="AG60" i="13" s="1"/>
  <c r="AI60" i="13"/>
  <c r="AJ60" i="13"/>
  <c r="AC125" i="13"/>
  <c r="AE125" i="13"/>
  <c r="AC80" i="13"/>
  <c r="AE80" i="13"/>
  <c r="AI106" i="13"/>
  <c r="AC84" i="13"/>
  <c r="AE84" i="13"/>
  <c r="AC131" i="13"/>
  <c r="AE131" i="13"/>
  <c r="AC123" i="13"/>
  <c r="AE123" i="13"/>
  <c r="AF96" i="13"/>
  <c r="AG96" i="13" s="1"/>
  <c r="AI96" i="13"/>
  <c r="AJ96" i="13"/>
  <c r="AF90" i="13"/>
  <c r="AG90" i="13" s="1"/>
  <c r="AI90" i="13"/>
  <c r="AJ90" i="13"/>
  <c r="AE78" i="13"/>
  <c r="AC78" i="13"/>
  <c r="AE105" i="13"/>
  <c r="AC96" i="13"/>
  <c r="AE89" i="13"/>
  <c r="AC69" i="13"/>
  <c r="AE69" i="13"/>
  <c r="AF6" i="13"/>
  <c r="AG6" i="13" s="1"/>
  <c r="AI6" i="13"/>
  <c r="AJ6" i="13"/>
  <c r="AE101" i="13"/>
  <c r="AE85" i="13"/>
  <c r="AC66" i="13"/>
  <c r="AE66" i="13"/>
  <c r="AC35" i="13"/>
  <c r="AE35" i="13"/>
  <c r="AE107" i="13"/>
  <c r="AE91" i="13"/>
  <c r="AC61" i="13"/>
  <c r="AE61" i="13"/>
  <c r="AC51" i="13"/>
  <c r="AE51" i="13"/>
  <c r="AE109" i="13"/>
  <c r="AE93" i="13"/>
  <c r="AE71" i="13"/>
  <c r="AC60" i="13"/>
  <c r="AE57" i="13"/>
  <c r="AC54" i="13"/>
  <c r="AE41" i="13"/>
  <c r="AC32" i="13"/>
  <c r="AC45" i="13"/>
  <c r="AE45" i="13"/>
  <c r="AF32" i="13"/>
  <c r="AG32" i="13" s="1"/>
  <c r="AI32" i="13"/>
  <c r="AC29" i="13"/>
  <c r="AE29" i="13"/>
  <c r="AE67" i="13"/>
  <c r="AE48" i="13"/>
  <c r="AE73" i="13"/>
  <c r="AC26" i="13"/>
  <c r="AE26" i="13"/>
  <c r="AC13" i="13"/>
  <c r="AE13" i="13"/>
  <c r="AC10" i="13"/>
  <c r="AE10" i="13"/>
  <c r="AC49" i="13"/>
  <c r="AE49" i="13"/>
  <c r="AJ32" i="13"/>
  <c r="AF28" i="13"/>
  <c r="AG28" i="13" s="1"/>
  <c r="AI28" i="13"/>
  <c r="AJ28" i="13"/>
  <c r="AC19" i="13"/>
  <c r="AE19" i="13"/>
  <c r="AC16" i="13"/>
  <c r="AC63" i="13"/>
  <c r="AE63" i="13"/>
  <c r="AC42" i="13"/>
  <c r="AE42" i="13"/>
  <c r="AF38" i="13"/>
  <c r="AG38" i="13" s="1"/>
  <c r="AI38" i="13"/>
  <c r="AJ38" i="13"/>
  <c r="AF16" i="13"/>
  <c r="AG16" i="13" s="1"/>
  <c r="AI16" i="13"/>
  <c r="AE75" i="13"/>
  <c r="AF54" i="13"/>
  <c r="AG54" i="13" s="1"/>
  <c r="AC6" i="13"/>
  <c r="AE5" i="13"/>
  <c r="AE59" i="13"/>
  <c r="AE46" i="13"/>
  <c r="AE43" i="13"/>
  <c r="AE30" i="13"/>
  <c r="AE27" i="13"/>
  <c r="AE14" i="13"/>
  <c r="AE11" i="13"/>
  <c r="AF4" i="13"/>
  <c r="AG4" i="13" s="1"/>
  <c r="AE33" i="13"/>
  <c r="AE17" i="13"/>
  <c r="AE55" i="13"/>
  <c r="AE39" i="13"/>
  <c r="AE23" i="13"/>
  <c r="AE7" i="13"/>
  <c r="AC4" i="13"/>
  <c r="AE3" i="13"/>
  <c r="AC265" i="15"/>
  <c r="AC77" i="15"/>
  <c r="AE2" i="13"/>
  <c r="AC87" i="15"/>
  <c r="AC123" i="15"/>
  <c r="AC253" i="15"/>
  <c r="AC173" i="15"/>
  <c r="AC163" i="15"/>
  <c r="AC121" i="15"/>
  <c r="AC117" i="15"/>
  <c r="AC103" i="15"/>
  <c r="AC139" i="15"/>
  <c r="AC119" i="15"/>
  <c r="AC296" i="15"/>
  <c r="AI51" i="15"/>
  <c r="AF51" i="15"/>
  <c r="AG51" i="15" s="1"/>
  <c r="AC290" i="15"/>
  <c r="AC175" i="15"/>
  <c r="AC153" i="15"/>
  <c r="AC145" i="15"/>
  <c r="AC143" i="15"/>
  <c r="AC115" i="15"/>
  <c r="AC107" i="15"/>
  <c r="AC51" i="15"/>
  <c r="AC49" i="15"/>
  <c r="AC35" i="15"/>
  <c r="AC18" i="15"/>
  <c r="AC306" i="15"/>
  <c r="AC195" i="15"/>
  <c r="AC85" i="15"/>
  <c r="AC261" i="15"/>
  <c r="AC249" i="15"/>
  <c r="AC221" i="15"/>
  <c r="AC211" i="15"/>
  <c r="AC165" i="15"/>
  <c r="AC37" i="15"/>
  <c r="AJ296" i="15"/>
  <c r="AI296" i="15"/>
  <c r="AI39" i="15"/>
  <c r="AF39" i="15"/>
  <c r="AG39" i="15" s="1"/>
  <c r="AC280" i="15"/>
  <c r="AC223" i="15"/>
  <c r="AJ139" i="15"/>
  <c r="AF139" i="15"/>
  <c r="AG139" i="15" s="1"/>
  <c r="AI139" i="15"/>
  <c r="AJ87" i="15"/>
  <c r="AF87" i="15"/>
  <c r="AG87" i="15" s="1"/>
  <c r="AI87" i="15"/>
  <c r="AC186" i="15"/>
  <c r="AI186" i="15"/>
  <c r="AC228" i="15"/>
  <c r="AC202" i="15"/>
  <c r="AJ202" i="15"/>
  <c r="AC282" i="15"/>
  <c r="AC262" i="15"/>
  <c r="AJ103" i="15"/>
  <c r="AF103" i="15"/>
  <c r="AG103" i="15" s="1"/>
  <c r="AI103" i="15"/>
  <c r="AC246" i="15"/>
  <c r="AJ246" i="15"/>
  <c r="AC216" i="15"/>
  <c r="AF216" i="15"/>
  <c r="AG216" i="15" s="1"/>
  <c r="AC185" i="15"/>
  <c r="AJ185" i="15"/>
  <c r="AI145" i="15"/>
  <c r="AF145" i="15"/>
  <c r="AG145" i="15" s="1"/>
  <c r="AI35" i="15"/>
  <c r="AF35" i="15"/>
  <c r="AG35" i="15" s="1"/>
  <c r="AI227" i="15"/>
  <c r="AC227" i="15"/>
  <c r="AI193" i="15"/>
  <c r="AC193" i="15"/>
  <c r="AI117" i="15"/>
  <c r="AF117" i="15"/>
  <c r="AG117" i="15" s="1"/>
  <c r="AC69" i="15"/>
  <c r="AC45" i="15"/>
  <c r="AC39" i="15"/>
  <c r="AC27" i="15"/>
  <c r="AC177" i="15"/>
  <c r="AC147" i="15"/>
  <c r="AC6" i="15"/>
  <c r="AC61" i="15"/>
  <c r="AC53" i="15"/>
  <c r="AC4" i="15"/>
  <c r="AC297" i="15"/>
  <c r="AC274" i="15"/>
  <c r="AF253" i="15"/>
  <c r="AG253" i="15" s="1"/>
  <c r="AI253" i="15"/>
  <c r="AJ253" i="15"/>
  <c r="AF306" i="15"/>
  <c r="AG306" i="15" s="1"/>
  <c r="AI306" i="15"/>
  <c r="AJ306" i="15"/>
  <c r="AI290" i="15"/>
  <c r="AF290" i="15"/>
  <c r="AG290" i="15" s="1"/>
  <c r="AJ290" i="15"/>
  <c r="AC232" i="15"/>
  <c r="AC292" i="15"/>
  <c r="AC277" i="15"/>
  <c r="AF247" i="15"/>
  <c r="AG247" i="15" s="1"/>
  <c r="AI247" i="15"/>
  <c r="AJ247" i="15"/>
  <c r="AC215" i="15"/>
  <c r="AC295" i="15"/>
  <c r="AC289" i="15"/>
  <c r="AC286" i="15"/>
  <c r="AC239" i="15"/>
  <c r="AC233" i="15"/>
  <c r="AC231" i="15"/>
  <c r="AC279" i="15"/>
  <c r="AC254" i="15"/>
  <c r="AC251" i="15"/>
  <c r="AC222" i="15"/>
  <c r="AC298" i="15"/>
  <c r="AF296" i="15"/>
  <c r="AG296" i="15" s="1"/>
  <c r="AC271" i="15"/>
  <c r="AI265" i="15"/>
  <c r="AJ265" i="15"/>
  <c r="AF265" i="15"/>
  <c r="AG265" i="15" s="1"/>
  <c r="AC267" i="15"/>
  <c r="AC263" i="15"/>
  <c r="AC247" i="15"/>
  <c r="AC243" i="15"/>
  <c r="AI175" i="15"/>
  <c r="AJ175" i="15"/>
  <c r="AC157" i="15"/>
  <c r="AF153" i="15"/>
  <c r="AG153" i="15" s="1"/>
  <c r="AI153" i="15"/>
  <c r="AJ153" i="15"/>
  <c r="AC219" i="15"/>
  <c r="AC199" i="15"/>
  <c r="AI195" i="15"/>
  <c r="AJ195" i="15"/>
  <c r="AC183" i="15"/>
  <c r="AF165" i="15"/>
  <c r="AG165" i="15" s="1"/>
  <c r="AJ165" i="15"/>
  <c r="AI165" i="15"/>
  <c r="AF221" i="15"/>
  <c r="AG221" i="15" s="1"/>
  <c r="AI221" i="15"/>
  <c r="AJ221" i="15"/>
  <c r="AC206" i="15"/>
  <c r="AC187" i="15"/>
  <c r="AC240" i="15"/>
  <c r="AC203" i="15"/>
  <c r="AC190" i="15"/>
  <c r="AF175" i="15"/>
  <c r="AG175" i="15" s="1"/>
  <c r="AF195" i="15"/>
  <c r="AG195" i="15" s="1"/>
  <c r="AC170" i="15"/>
  <c r="AC167" i="15"/>
  <c r="AC140" i="15"/>
  <c r="AC135" i="15"/>
  <c r="AC50" i="15"/>
  <c r="AF111" i="15"/>
  <c r="AG111" i="15" s="1"/>
  <c r="AI111" i="15"/>
  <c r="AJ111" i="15"/>
  <c r="AC95" i="15"/>
  <c r="AC124" i="15"/>
  <c r="AC78" i="15"/>
  <c r="AC125" i="15"/>
  <c r="AC111" i="15"/>
  <c r="AC98" i="15"/>
  <c r="AC46" i="15"/>
  <c r="AC138" i="15"/>
  <c r="AC132" i="15"/>
  <c r="AJ145" i="15"/>
  <c r="AC114" i="15"/>
  <c r="AF85" i="15"/>
  <c r="AG85" i="15" s="1"/>
  <c r="AI85" i="15"/>
  <c r="AJ85" i="15"/>
  <c r="AC108" i="15"/>
  <c r="AC82" i="15"/>
  <c r="AC116" i="15"/>
  <c r="AC70" i="15"/>
  <c r="AJ117" i="15"/>
  <c r="AF18" i="15"/>
  <c r="AG18" i="15" s="1"/>
  <c r="AI18" i="15"/>
  <c r="AJ18" i="15"/>
  <c r="AC81" i="15"/>
  <c r="AC75" i="15"/>
  <c r="AC67" i="15"/>
  <c r="AC43" i="15"/>
  <c r="AF49" i="15"/>
  <c r="AG49" i="15" s="1"/>
  <c r="AI49" i="15"/>
  <c r="AJ49" i="15"/>
  <c r="AC47" i="15"/>
  <c r="AC73" i="15"/>
  <c r="AC65" i="15"/>
  <c r="AC56" i="15"/>
  <c r="AF37" i="15"/>
  <c r="AG37" i="15" s="1"/>
  <c r="AI37" i="15"/>
  <c r="AJ37" i="15"/>
  <c r="AC59" i="15"/>
  <c r="AF6" i="15"/>
  <c r="AG6" i="15" s="1"/>
  <c r="AI6" i="15"/>
  <c r="AJ6" i="15"/>
  <c r="AC71" i="15"/>
  <c r="AC31" i="15"/>
  <c r="AF27" i="15"/>
  <c r="AG27" i="15" s="1"/>
  <c r="AI27" i="15"/>
  <c r="AJ27" i="15"/>
  <c r="AC34" i="15"/>
  <c r="AC16" i="15"/>
  <c r="AC12" i="15"/>
  <c r="AJ39" i="15"/>
  <c r="AJ51" i="15"/>
  <c r="AJ35" i="15"/>
  <c r="AE3" i="43"/>
  <c r="AI3" i="43" s="1"/>
  <c r="AC20" i="43"/>
  <c r="AE9" i="43"/>
  <c r="AI9" i="43" s="1"/>
  <c r="AE14" i="43"/>
  <c r="AJ14" i="43" s="1"/>
  <c r="AC14" i="43"/>
  <c r="AC16" i="43"/>
  <c r="AE16" i="43"/>
  <c r="AJ20" i="43"/>
  <c r="AI20" i="43"/>
  <c r="AC12" i="43"/>
  <c r="AE8" i="43"/>
  <c r="AI8" i="43" s="1"/>
  <c r="AI4" i="43"/>
  <c r="AC4" i="43"/>
  <c r="AI553" i="43"/>
  <c r="AJ553" i="43"/>
  <c r="AJ552" i="43"/>
  <c r="AF552" i="43"/>
  <c r="AG552" i="43" s="1"/>
  <c r="AJ506" i="43"/>
  <c r="AF506" i="43"/>
  <c r="AG506" i="43" s="1"/>
  <c r="AI506" i="43"/>
  <c r="AF477" i="43"/>
  <c r="AG477" i="43" s="1"/>
  <c r="AI477" i="43"/>
  <c r="AJ477" i="43"/>
  <c r="AI453" i="43"/>
  <c r="AJ453" i="43"/>
  <c r="AF453" i="43"/>
  <c r="AG453" i="43" s="1"/>
  <c r="AF590" i="43"/>
  <c r="AG590" i="43" s="1"/>
  <c r="AF587" i="43"/>
  <c r="AG587" i="43" s="1"/>
  <c r="AF574" i="43"/>
  <c r="AG574" i="43" s="1"/>
  <c r="AF571" i="43"/>
  <c r="AG571" i="43" s="1"/>
  <c r="AI555" i="43"/>
  <c r="AJ555" i="43"/>
  <c r="AJ554" i="43"/>
  <c r="AF554" i="43"/>
  <c r="AG554" i="43" s="1"/>
  <c r="AF541" i="43"/>
  <c r="AG541" i="43" s="1"/>
  <c r="AI541" i="43"/>
  <c r="AJ541" i="43"/>
  <c r="AI473" i="43"/>
  <c r="AJ473" i="43"/>
  <c r="AF473" i="43"/>
  <c r="AG473" i="43" s="1"/>
  <c r="AI557" i="43"/>
  <c r="AJ557" i="43"/>
  <c r="AJ556" i="43"/>
  <c r="AF556" i="43"/>
  <c r="AG556" i="43" s="1"/>
  <c r="AF493" i="43"/>
  <c r="AG493" i="43" s="1"/>
  <c r="AI493" i="43"/>
  <c r="AJ493" i="43"/>
  <c r="AI489" i="43"/>
  <c r="AJ489" i="43"/>
  <c r="AF489" i="43"/>
  <c r="AG489" i="43" s="1"/>
  <c r="AJ594" i="43"/>
  <c r="AI591" i="43"/>
  <c r="AJ578" i="43"/>
  <c r="AI575" i="43"/>
  <c r="AJ562" i="43"/>
  <c r="AJ560" i="43"/>
  <c r="AF560" i="43"/>
  <c r="AG560" i="43" s="1"/>
  <c r="AI559" i="43"/>
  <c r="AJ559" i="43"/>
  <c r="AJ558" i="43"/>
  <c r="AF558" i="43"/>
  <c r="AG558" i="43" s="1"/>
  <c r="AI543" i="43"/>
  <c r="AJ543" i="43"/>
  <c r="AJ542" i="43"/>
  <c r="AF542" i="43"/>
  <c r="AG542" i="43" s="1"/>
  <c r="AI537" i="43"/>
  <c r="AJ537" i="43"/>
  <c r="AF537" i="43"/>
  <c r="AG537" i="43" s="1"/>
  <c r="AJ474" i="43"/>
  <c r="AF474" i="43"/>
  <c r="AG474" i="43" s="1"/>
  <c r="AI474" i="43"/>
  <c r="AF461" i="43"/>
  <c r="AG461" i="43" s="1"/>
  <c r="AI461" i="43"/>
  <c r="AJ461" i="43"/>
  <c r="AJ600" i="43"/>
  <c r="AI597" i="43"/>
  <c r="AI594" i="43"/>
  <c r="AJ584" i="43"/>
  <c r="AI581" i="43"/>
  <c r="AI578" i="43"/>
  <c r="AF573" i="43"/>
  <c r="AG573" i="43" s="1"/>
  <c r="AJ568" i="43"/>
  <c r="AI565" i="43"/>
  <c r="AI562" i="43"/>
  <c r="AI545" i="43"/>
  <c r="AJ545" i="43"/>
  <c r="AJ544" i="43"/>
  <c r="AF544" i="43"/>
  <c r="AG544" i="43" s="1"/>
  <c r="AI521" i="43"/>
  <c r="AJ521" i="43"/>
  <c r="AF521" i="43"/>
  <c r="AG521" i="43" s="1"/>
  <c r="AI457" i="43"/>
  <c r="AJ457" i="43"/>
  <c r="AF457" i="43"/>
  <c r="AG457" i="43" s="1"/>
  <c r="AJ590" i="43"/>
  <c r="AI587" i="43"/>
  <c r="AJ574" i="43"/>
  <c r="AI571" i="43"/>
  <c r="AI552" i="43"/>
  <c r="AI547" i="43"/>
  <c r="AJ547" i="43"/>
  <c r="AJ546" i="43"/>
  <c r="AF546" i="43"/>
  <c r="AG546" i="43" s="1"/>
  <c r="AJ534" i="43"/>
  <c r="AI534" i="43"/>
  <c r="AF534" i="43"/>
  <c r="AG534" i="43" s="1"/>
  <c r="AF525" i="43"/>
  <c r="AG525" i="43" s="1"/>
  <c r="AI525" i="43"/>
  <c r="AJ525" i="43"/>
  <c r="AI505" i="43"/>
  <c r="AJ505" i="43"/>
  <c r="AF505" i="43"/>
  <c r="AG505" i="43" s="1"/>
  <c r="AJ490" i="43"/>
  <c r="AF490" i="43"/>
  <c r="AG490" i="43" s="1"/>
  <c r="AI490" i="43"/>
  <c r="AJ486" i="43"/>
  <c r="AI486" i="43"/>
  <c r="AF486" i="43"/>
  <c r="AG486" i="43" s="1"/>
  <c r="AJ470" i="43"/>
  <c r="AI470" i="43"/>
  <c r="AF470" i="43"/>
  <c r="AG470" i="43" s="1"/>
  <c r="AI449" i="43"/>
  <c r="AJ449" i="43"/>
  <c r="AF449" i="43"/>
  <c r="AG449" i="43" s="1"/>
  <c r="AI593" i="43"/>
  <c r="AJ580" i="43"/>
  <c r="AI577" i="43"/>
  <c r="AJ564" i="43"/>
  <c r="AI561" i="43"/>
  <c r="AI554" i="43"/>
  <c r="AI549" i="43"/>
  <c r="AJ549" i="43"/>
  <c r="AJ548" i="43"/>
  <c r="AF548" i="43"/>
  <c r="AG548" i="43" s="1"/>
  <c r="AJ538" i="43"/>
  <c r="AF538" i="43"/>
  <c r="AG538" i="43" s="1"/>
  <c r="AI538" i="43"/>
  <c r="AJ518" i="43"/>
  <c r="AI518" i="43"/>
  <c r="AF518" i="43"/>
  <c r="AG518" i="43" s="1"/>
  <c r="AF509" i="43"/>
  <c r="AG509" i="43" s="1"/>
  <c r="AI509" i="43"/>
  <c r="AJ509" i="43"/>
  <c r="AJ458" i="43"/>
  <c r="AF458" i="43"/>
  <c r="AG458" i="43" s="1"/>
  <c r="AI458" i="43"/>
  <c r="AF591" i="43"/>
  <c r="AG591" i="43" s="1"/>
  <c r="AF575" i="43"/>
  <c r="AG575" i="43" s="1"/>
  <c r="AI556" i="43"/>
  <c r="AF553" i="43"/>
  <c r="AG553" i="43" s="1"/>
  <c r="AI551" i="43"/>
  <c r="AJ551" i="43"/>
  <c r="AJ550" i="43"/>
  <c r="AF550" i="43"/>
  <c r="AG550" i="43" s="1"/>
  <c r="AJ522" i="43"/>
  <c r="AF522" i="43"/>
  <c r="AG522" i="43" s="1"/>
  <c r="AI522" i="43"/>
  <c r="AJ502" i="43"/>
  <c r="AI502" i="43"/>
  <c r="AF502" i="43"/>
  <c r="AG502" i="43" s="1"/>
  <c r="AI523" i="43"/>
  <c r="AI507" i="43"/>
  <c r="AI491" i="43"/>
  <c r="AI475" i="43"/>
  <c r="AI459" i="43"/>
  <c r="AI535" i="43"/>
  <c r="AF530" i="43"/>
  <c r="AG530" i="43" s="1"/>
  <c r="AI519" i="43"/>
  <c r="AF514" i="43"/>
  <c r="AG514" i="43" s="1"/>
  <c r="AI503" i="43"/>
  <c r="AI487" i="43"/>
  <c r="AI471" i="43"/>
  <c r="AF536" i="43"/>
  <c r="AG536" i="43" s="1"/>
  <c r="AI528" i="43"/>
  <c r="AF520" i="43"/>
  <c r="AG520" i="43" s="1"/>
  <c r="AI512" i="43"/>
  <c r="AF504" i="43"/>
  <c r="AG504" i="43" s="1"/>
  <c r="AI496" i="43"/>
  <c r="AF488" i="43"/>
  <c r="AG488" i="43" s="1"/>
  <c r="AI480" i="43"/>
  <c r="AF472" i="43"/>
  <c r="AG472" i="43" s="1"/>
  <c r="AI464" i="43"/>
  <c r="AJ439" i="43"/>
  <c r="AI439" i="43"/>
  <c r="AF439" i="43"/>
  <c r="AG439" i="43" s="1"/>
  <c r="AF532" i="43"/>
  <c r="AG532" i="43" s="1"/>
  <c r="AF516" i="43"/>
  <c r="AG516" i="43" s="1"/>
  <c r="AF500" i="43"/>
  <c r="AG500" i="43" s="1"/>
  <c r="AF484" i="43"/>
  <c r="AG484" i="43" s="1"/>
  <c r="AI398" i="43"/>
  <c r="AJ398" i="43"/>
  <c r="AF398" i="43"/>
  <c r="AG398" i="43" s="1"/>
  <c r="AI382" i="43"/>
  <c r="AJ382" i="43"/>
  <c r="AF382" i="43"/>
  <c r="AG382" i="43" s="1"/>
  <c r="AI366" i="43"/>
  <c r="AJ366" i="43"/>
  <c r="AF366" i="43"/>
  <c r="AG366" i="43" s="1"/>
  <c r="AI350" i="43"/>
  <c r="AJ350" i="43"/>
  <c r="AF350" i="43"/>
  <c r="AG350" i="43" s="1"/>
  <c r="AJ347" i="43"/>
  <c r="AI347" i="43"/>
  <c r="AF347" i="43"/>
  <c r="AG347" i="43" s="1"/>
  <c r="AI334" i="43"/>
  <c r="AJ334" i="43"/>
  <c r="AF334" i="43"/>
  <c r="AG334" i="43" s="1"/>
  <c r="AI407" i="43"/>
  <c r="AJ407" i="43"/>
  <c r="AJ395" i="43"/>
  <c r="AI395" i="43"/>
  <c r="AF395" i="43"/>
  <c r="AG395" i="43" s="1"/>
  <c r="AJ379" i="43"/>
  <c r="AI379" i="43"/>
  <c r="AF379" i="43"/>
  <c r="AG379" i="43" s="1"/>
  <c r="AJ363" i="43"/>
  <c r="AI363" i="43"/>
  <c r="AF363" i="43"/>
  <c r="AG363" i="43" s="1"/>
  <c r="AI435" i="43"/>
  <c r="AJ435" i="43"/>
  <c r="AI431" i="43"/>
  <c r="AJ431" i="43"/>
  <c r="AI427" i="43"/>
  <c r="AJ427" i="43"/>
  <c r="AI423" i="43"/>
  <c r="AJ423" i="43"/>
  <c r="AI419" i="43"/>
  <c r="AJ419" i="43"/>
  <c r="AI415" i="43"/>
  <c r="AJ415" i="43"/>
  <c r="AI411" i="43"/>
  <c r="AJ411" i="43"/>
  <c r="AI405" i="43"/>
  <c r="AJ405" i="43"/>
  <c r="AJ331" i="43"/>
  <c r="AI331" i="43"/>
  <c r="AF331" i="43"/>
  <c r="AG331" i="43" s="1"/>
  <c r="AI403" i="43"/>
  <c r="AJ403" i="43"/>
  <c r="AJ436" i="43"/>
  <c r="AJ432" i="43"/>
  <c r="AJ428" i="43"/>
  <c r="AJ424" i="43"/>
  <c r="AJ420" i="43"/>
  <c r="AJ416" i="43"/>
  <c r="AJ412" i="43"/>
  <c r="AI436" i="43"/>
  <c r="AI432" i="43"/>
  <c r="AI428" i="43"/>
  <c r="AI424" i="43"/>
  <c r="AI420" i="43"/>
  <c r="AI416" i="43"/>
  <c r="AI412" i="43"/>
  <c r="AI401" i="43"/>
  <c r="AJ401" i="43"/>
  <c r="AI437" i="43"/>
  <c r="AJ437" i="43"/>
  <c r="AI433" i="43"/>
  <c r="AJ433" i="43"/>
  <c r="AI429" i="43"/>
  <c r="AJ429" i="43"/>
  <c r="AI425" i="43"/>
  <c r="AJ425" i="43"/>
  <c r="AI421" i="43"/>
  <c r="AJ421" i="43"/>
  <c r="AI417" i="43"/>
  <c r="AJ417" i="43"/>
  <c r="AI413" i="43"/>
  <c r="AJ413" i="43"/>
  <c r="AI409" i="43"/>
  <c r="AJ409" i="43"/>
  <c r="AJ400" i="43"/>
  <c r="AI397" i="43"/>
  <c r="AF392" i="43"/>
  <c r="AG392" i="43" s="1"/>
  <c r="AF389" i="43"/>
  <c r="AG389" i="43" s="1"/>
  <c r="AJ384" i="43"/>
  <c r="AI381" i="43"/>
  <c r="AF376" i="43"/>
  <c r="AG376" i="43" s="1"/>
  <c r="AF373" i="43"/>
  <c r="AG373" i="43" s="1"/>
  <c r="AJ368" i="43"/>
  <c r="AI365" i="43"/>
  <c r="AF360" i="43"/>
  <c r="AG360" i="43" s="1"/>
  <c r="AF357" i="43"/>
  <c r="AG357" i="43" s="1"/>
  <c r="AJ352" i="43"/>
  <c r="AI349" i="43"/>
  <c r="AF344" i="43"/>
  <c r="AG344" i="43" s="1"/>
  <c r="AF341" i="43"/>
  <c r="AG341" i="43" s="1"/>
  <c r="AJ336" i="43"/>
  <c r="AI333" i="43"/>
  <c r="AF328" i="43"/>
  <c r="AG328" i="43" s="1"/>
  <c r="AF325" i="43"/>
  <c r="AG325" i="43" s="1"/>
  <c r="AJ320" i="43"/>
  <c r="AF318" i="43"/>
  <c r="AG318" i="43" s="1"/>
  <c r="AJ316" i="43"/>
  <c r="AF314" i="43"/>
  <c r="AG314" i="43" s="1"/>
  <c r="AJ306" i="43"/>
  <c r="AI306" i="43"/>
  <c r="AF306" i="43"/>
  <c r="AG306" i="43" s="1"/>
  <c r="AI299" i="43"/>
  <c r="AJ299" i="43"/>
  <c r="AF299" i="43"/>
  <c r="AG299" i="43" s="1"/>
  <c r="AJ296" i="43"/>
  <c r="AI296" i="43"/>
  <c r="AF296" i="43"/>
  <c r="AG296" i="43" s="1"/>
  <c r="AJ257" i="43"/>
  <c r="AI257" i="43"/>
  <c r="AF257" i="43"/>
  <c r="AG257" i="43" s="1"/>
  <c r="AF397" i="43"/>
  <c r="AG397" i="43" s="1"/>
  <c r="AJ392" i="43"/>
  <c r="AI389" i="43"/>
  <c r="AI386" i="43"/>
  <c r="AF381" i="43"/>
  <c r="AG381" i="43" s="1"/>
  <c r="AJ376" i="43"/>
  <c r="AI373" i="43"/>
  <c r="AI370" i="43"/>
  <c r="AF365" i="43"/>
  <c r="AG365" i="43" s="1"/>
  <c r="AJ360" i="43"/>
  <c r="AI357" i="43"/>
  <c r="AI354" i="43"/>
  <c r="AF349" i="43"/>
  <c r="AG349" i="43" s="1"/>
  <c r="AJ344" i="43"/>
  <c r="AI341" i="43"/>
  <c r="AI338" i="43"/>
  <c r="AF333" i="43"/>
  <c r="AG333" i="43" s="1"/>
  <c r="AJ328" i="43"/>
  <c r="AI325" i="43"/>
  <c r="AI322" i="43"/>
  <c r="AJ318" i="43"/>
  <c r="AJ314" i="43"/>
  <c r="AI311" i="43"/>
  <c r="AJ311" i="43"/>
  <c r="AI283" i="43"/>
  <c r="AJ283" i="43"/>
  <c r="AF283" i="43"/>
  <c r="AG283" i="43" s="1"/>
  <c r="AJ280" i="43"/>
  <c r="AI280" i="43"/>
  <c r="AF280" i="43"/>
  <c r="AG280" i="43" s="1"/>
  <c r="AF393" i="43"/>
  <c r="AG393" i="43" s="1"/>
  <c r="AJ388" i="43"/>
  <c r="AI385" i="43"/>
  <c r="AF377" i="43"/>
  <c r="AG377" i="43" s="1"/>
  <c r="AJ372" i="43"/>
  <c r="AI369" i="43"/>
  <c r="AF361" i="43"/>
  <c r="AG361" i="43" s="1"/>
  <c r="AJ356" i="43"/>
  <c r="AI353" i="43"/>
  <c r="AF345" i="43"/>
  <c r="AG345" i="43" s="1"/>
  <c r="AJ340" i="43"/>
  <c r="AI337" i="43"/>
  <c r="AF329" i="43"/>
  <c r="AG329" i="43" s="1"/>
  <c r="AJ324" i="43"/>
  <c r="AI321" i="43"/>
  <c r="AF319" i="43"/>
  <c r="AG319" i="43" s="1"/>
  <c r="AF315" i="43"/>
  <c r="AG315" i="43" s="1"/>
  <c r="AI317" i="43"/>
  <c r="AI313" i="43"/>
  <c r="AI309" i="43"/>
  <c r="AJ309" i="43"/>
  <c r="AI267" i="43"/>
  <c r="AJ267" i="43"/>
  <c r="AF267" i="43"/>
  <c r="AG267" i="43" s="1"/>
  <c r="AJ301" i="43"/>
  <c r="AI298" i="43"/>
  <c r="AF293" i="43"/>
  <c r="AG293" i="43" s="1"/>
  <c r="AF290" i="43"/>
  <c r="AG290" i="43" s="1"/>
  <c r="AJ285" i="43"/>
  <c r="AI282" i="43"/>
  <c r="AF277" i="43"/>
  <c r="AG277" i="43" s="1"/>
  <c r="AF274" i="43"/>
  <c r="AG274" i="43" s="1"/>
  <c r="AJ269" i="43"/>
  <c r="AI266" i="43"/>
  <c r="AF264" i="43"/>
  <c r="AG264" i="43" s="1"/>
  <c r="AF261" i="43"/>
  <c r="AG261" i="43" s="1"/>
  <c r="AI260" i="43"/>
  <c r="AF258" i="43"/>
  <c r="AG258" i="43" s="1"/>
  <c r="AJ256" i="43"/>
  <c r="AJ244" i="43"/>
  <c r="AF244" i="43"/>
  <c r="AG244" i="43" s="1"/>
  <c r="AF253" i="43"/>
  <c r="AG253" i="43" s="1"/>
  <c r="AJ253" i="43"/>
  <c r="AJ303" i="43"/>
  <c r="AI300" i="43"/>
  <c r="AI297" i="43"/>
  <c r="AJ287" i="43"/>
  <c r="AI284" i="43"/>
  <c r="AI281" i="43"/>
  <c r="AJ271" i="43"/>
  <c r="AI268" i="43"/>
  <c r="AI265" i="43"/>
  <c r="AI262" i="43"/>
  <c r="AJ255" i="43"/>
  <c r="AI252" i="43"/>
  <c r="AJ252" i="43"/>
  <c r="AF298" i="43"/>
  <c r="AG298" i="43" s="1"/>
  <c r="AJ293" i="43"/>
  <c r="AI290" i="43"/>
  <c r="AF282" i="43"/>
  <c r="AG282" i="43" s="1"/>
  <c r="AJ277" i="43"/>
  <c r="AI274" i="43"/>
  <c r="AF266" i="43"/>
  <c r="AG266" i="43" s="1"/>
  <c r="AJ264" i="43"/>
  <c r="AJ261" i="43"/>
  <c r="AF260" i="43"/>
  <c r="AG260" i="43" s="1"/>
  <c r="AF250" i="43"/>
  <c r="AG250" i="43" s="1"/>
  <c r="AI246" i="43"/>
  <c r="AI243" i="43"/>
  <c r="AJ258" i="43"/>
  <c r="AF249" i="43"/>
  <c r="AG249" i="43" s="1"/>
  <c r="AJ249" i="43"/>
  <c r="AI302" i="43"/>
  <c r="AF294" i="43"/>
  <c r="AG294" i="43" s="1"/>
  <c r="AI286" i="43"/>
  <c r="AF278" i="43"/>
  <c r="AG278" i="43" s="1"/>
  <c r="AF255" i="43"/>
  <c r="AG255" i="43" s="1"/>
  <c r="AI248" i="43"/>
  <c r="AF248" i="43"/>
  <c r="AG248" i="43" s="1"/>
  <c r="AF247" i="43"/>
  <c r="AG247" i="43" s="1"/>
  <c r="AI247" i="43"/>
  <c r="AF246" i="43"/>
  <c r="AG246" i="43" s="1"/>
  <c r="AJ230" i="43"/>
  <c r="AF230" i="43"/>
  <c r="AG230" i="43" s="1"/>
  <c r="AI230" i="43"/>
  <c r="AF121" i="43"/>
  <c r="AG121" i="43" s="1"/>
  <c r="AI121" i="43"/>
  <c r="AJ121" i="43"/>
  <c r="AF22" i="43"/>
  <c r="AG22" i="43" s="1"/>
  <c r="AI22" i="43"/>
  <c r="AJ22" i="43"/>
  <c r="AJ198" i="43"/>
  <c r="AF198" i="43"/>
  <c r="AG198" i="43" s="1"/>
  <c r="AI198" i="43"/>
  <c r="AF169" i="43"/>
  <c r="AG169" i="43" s="1"/>
  <c r="AI169" i="43"/>
  <c r="AJ169" i="43"/>
  <c r="AF217" i="43"/>
  <c r="AG217" i="43" s="1"/>
  <c r="AI217" i="43"/>
  <c r="AJ217" i="43"/>
  <c r="AF185" i="43"/>
  <c r="AG185" i="43" s="1"/>
  <c r="AI185" i="43"/>
  <c r="AJ185" i="43"/>
  <c r="AJ234" i="43"/>
  <c r="AI234" i="43"/>
  <c r="AF233" i="43"/>
  <c r="AG233" i="43" s="1"/>
  <c r="AI233" i="43"/>
  <c r="AJ214" i="43"/>
  <c r="AF214" i="43"/>
  <c r="AG214" i="43" s="1"/>
  <c r="AI214" i="43"/>
  <c r="AI235" i="43"/>
  <c r="AF235" i="43"/>
  <c r="AG235" i="43" s="1"/>
  <c r="AJ182" i="43"/>
  <c r="AF182" i="43"/>
  <c r="AG182" i="43" s="1"/>
  <c r="AI182" i="43"/>
  <c r="AI237" i="43"/>
  <c r="AJ237" i="43"/>
  <c r="AF201" i="43"/>
  <c r="AG201" i="43" s="1"/>
  <c r="AI201" i="43"/>
  <c r="AJ201" i="43"/>
  <c r="AI231" i="43"/>
  <c r="AJ221" i="43"/>
  <c r="AI218" i="43"/>
  <c r="AI215" i="43"/>
  <c r="AJ205" i="43"/>
  <c r="AI202" i="43"/>
  <c r="AI199" i="43"/>
  <c r="AJ189" i="43"/>
  <c r="AI186" i="43"/>
  <c r="AI183" i="43"/>
  <c r="AJ173" i="43"/>
  <c r="AI170" i="43"/>
  <c r="AI240" i="43"/>
  <c r="AF232" i="43"/>
  <c r="AG232" i="43" s="1"/>
  <c r="AI224" i="43"/>
  <c r="AI221" i="43"/>
  <c r="AF219" i="43"/>
  <c r="AG219" i="43" s="1"/>
  <c r="AF216" i="43"/>
  <c r="AG216" i="43" s="1"/>
  <c r="AI208" i="43"/>
  <c r="AI205" i="43"/>
  <c r="AF203" i="43"/>
  <c r="AG203" i="43" s="1"/>
  <c r="AF200" i="43"/>
  <c r="AG200" i="43" s="1"/>
  <c r="AI192" i="43"/>
  <c r="AI189" i="43"/>
  <c r="AF187" i="43"/>
  <c r="AG187" i="43" s="1"/>
  <c r="AF184" i="43"/>
  <c r="AG184" i="43" s="1"/>
  <c r="AI176" i="43"/>
  <c r="AI173" i="43"/>
  <c r="AF171" i="43"/>
  <c r="AG171" i="43" s="1"/>
  <c r="AJ161" i="43"/>
  <c r="AJ157" i="43"/>
  <c r="AJ153" i="43"/>
  <c r="AJ149" i="43"/>
  <c r="AI161" i="43"/>
  <c r="AI157" i="43"/>
  <c r="AJ118" i="43"/>
  <c r="AF118" i="43"/>
  <c r="AG118" i="43" s="1"/>
  <c r="AI118" i="43"/>
  <c r="AF105" i="43"/>
  <c r="AG105" i="43" s="1"/>
  <c r="AI105" i="43"/>
  <c r="AJ105" i="43"/>
  <c r="AI236" i="43"/>
  <c r="AF228" i="43"/>
  <c r="AG228" i="43" s="1"/>
  <c r="AI220" i="43"/>
  <c r="AF212" i="43"/>
  <c r="AG212" i="43" s="1"/>
  <c r="AI204" i="43"/>
  <c r="AF196" i="43"/>
  <c r="AG196" i="43" s="1"/>
  <c r="AI188" i="43"/>
  <c r="AF180" i="43"/>
  <c r="AG180" i="43" s="1"/>
  <c r="AI172" i="43"/>
  <c r="AF218" i="43"/>
  <c r="AG218" i="43" s="1"/>
  <c r="AF202" i="43"/>
  <c r="AG202" i="43" s="1"/>
  <c r="AF186" i="43"/>
  <c r="AG186" i="43" s="1"/>
  <c r="AF170" i="43"/>
  <c r="AG170" i="43" s="1"/>
  <c r="AI81" i="43"/>
  <c r="AJ81" i="43"/>
  <c r="AF81" i="43"/>
  <c r="AG81" i="43" s="1"/>
  <c r="AJ134" i="43"/>
  <c r="AF134" i="43"/>
  <c r="AG134" i="43" s="1"/>
  <c r="AI134" i="43"/>
  <c r="AJ102" i="43"/>
  <c r="AF102" i="43"/>
  <c r="AG102" i="43" s="1"/>
  <c r="AI102" i="43"/>
  <c r="AJ72" i="43"/>
  <c r="AF72" i="43"/>
  <c r="AG72" i="43" s="1"/>
  <c r="AI72" i="43"/>
  <c r="AF64" i="43"/>
  <c r="AG64" i="43" s="1"/>
  <c r="AJ64" i="43"/>
  <c r="AI64" i="43"/>
  <c r="AF6" i="43"/>
  <c r="AG6" i="43" s="1"/>
  <c r="AI6" i="43"/>
  <c r="AJ6" i="43"/>
  <c r="AI128" i="43"/>
  <c r="AI125" i="43"/>
  <c r="AF123" i="43"/>
  <c r="AG123" i="43" s="1"/>
  <c r="AF120" i="43"/>
  <c r="AG120" i="43" s="1"/>
  <c r="AI112" i="43"/>
  <c r="AI109" i="43"/>
  <c r="AF107" i="43"/>
  <c r="AG107" i="43" s="1"/>
  <c r="AF104" i="43"/>
  <c r="AG104" i="43" s="1"/>
  <c r="AI93" i="43"/>
  <c r="AF91" i="43"/>
  <c r="AG91" i="43" s="1"/>
  <c r="AF129" i="43"/>
  <c r="AG129" i="43" s="1"/>
  <c r="AF113" i="43"/>
  <c r="AG113" i="43" s="1"/>
  <c r="AF97" i="43"/>
  <c r="AG97" i="43" s="1"/>
  <c r="AF75" i="43"/>
  <c r="AG75" i="43" s="1"/>
  <c r="AI75" i="43"/>
  <c r="AJ75" i="43"/>
  <c r="AF12" i="43"/>
  <c r="AG12" i="43" s="1"/>
  <c r="AI12" i="43"/>
  <c r="AJ12" i="43"/>
  <c r="AJ127" i="43"/>
  <c r="AI124" i="43"/>
  <c r="AJ111" i="43"/>
  <c r="AI108" i="43"/>
  <c r="AJ95" i="43"/>
  <c r="AI92" i="43"/>
  <c r="AF122" i="43"/>
  <c r="AG122" i="43" s="1"/>
  <c r="AI114" i="43"/>
  <c r="AF106" i="43"/>
  <c r="AG106" i="43" s="1"/>
  <c r="AI98" i="43"/>
  <c r="AF90" i="43"/>
  <c r="AG90" i="43" s="1"/>
  <c r="AJ78" i="43"/>
  <c r="AI78" i="43"/>
  <c r="AJ123" i="43"/>
  <c r="AI120" i="43"/>
  <c r="AJ107" i="43"/>
  <c r="AI104" i="43"/>
  <c r="AJ91" i="43"/>
  <c r="AI126" i="43"/>
  <c r="AI110" i="43"/>
  <c r="AI94" i="43"/>
  <c r="AF83" i="43"/>
  <c r="AG83" i="43" s="1"/>
  <c r="AF80" i="43"/>
  <c r="AG80" i="43" s="1"/>
  <c r="AF67" i="43"/>
  <c r="AG67" i="43" s="1"/>
  <c r="AJ65" i="43"/>
  <c r="AJ88" i="43"/>
  <c r="AJ86" i="43"/>
  <c r="AF62" i="43"/>
  <c r="AG62" i="43" s="1"/>
  <c r="AJ62" i="43"/>
  <c r="AC10" i="43"/>
  <c r="AE10" i="43"/>
  <c r="AJ71" i="43"/>
  <c r="AI68" i="43"/>
  <c r="AC13" i="43"/>
  <c r="AE13" i="43"/>
  <c r="AF66" i="43"/>
  <c r="AG66" i="43" s="1"/>
  <c r="AJ66" i="43"/>
  <c r="AF65" i="43"/>
  <c r="AG65" i="43" s="1"/>
  <c r="AF60" i="43"/>
  <c r="AG60" i="43" s="1"/>
  <c r="AI80" i="43"/>
  <c r="AC22" i="43"/>
  <c r="AE18" i="43"/>
  <c r="AE15" i="43"/>
  <c r="AC6" i="43"/>
  <c r="AE21" i="43"/>
  <c r="AE5" i="43"/>
  <c r="AF20" i="43"/>
  <c r="AG20" i="43" s="1"/>
  <c r="AE11" i="43"/>
  <c r="AF4" i="43"/>
  <c r="AG4" i="43" s="1"/>
  <c r="AE17" i="43"/>
  <c r="AE23" i="43"/>
  <c r="AE7" i="43"/>
  <c r="AE19" i="43"/>
  <c r="AE2" i="43"/>
  <c r="AI5" i="26"/>
  <c r="AC4" i="26"/>
  <c r="AJ421" i="26"/>
  <c r="AF421" i="26"/>
  <c r="AG421" i="26" s="1"/>
  <c r="AI421" i="26"/>
  <c r="AJ389" i="26"/>
  <c r="AF389" i="26"/>
  <c r="AG389" i="26" s="1"/>
  <c r="AI389" i="26"/>
  <c r="AJ303" i="26"/>
  <c r="AI303" i="26"/>
  <c r="AF303" i="26"/>
  <c r="AG303" i="26" s="1"/>
  <c r="AI500" i="26"/>
  <c r="AI491" i="26"/>
  <c r="AI489" i="26"/>
  <c r="AI487" i="26"/>
  <c r="AI485" i="26"/>
  <c r="AI483" i="26"/>
  <c r="AI481" i="26"/>
  <c r="AI479" i="26"/>
  <c r="AI477" i="26"/>
  <c r="AI475" i="26"/>
  <c r="AI473" i="26"/>
  <c r="AI471" i="26"/>
  <c r="AF408" i="26"/>
  <c r="AG408" i="26" s="1"/>
  <c r="AI408" i="26"/>
  <c r="AJ408" i="26"/>
  <c r="AI499" i="26"/>
  <c r="AF494" i="26"/>
  <c r="AG494" i="26" s="1"/>
  <c r="AI364" i="26"/>
  <c r="AF364" i="26"/>
  <c r="AG364" i="26" s="1"/>
  <c r="AJ364" i="26"/>
  <c r="AI498" i="26"/>
  <c r="AF493" i="26"/>
  <c r="AG493" i="26" s="1"/>
  <c r="AF491" i="26"/>
  <c r="AG491" i="26" s="1"/>
  <c r="AF489" i="26"/>
  <c r="AG489" i="26" s="1"/>
  <c r="AF487" i="26"/>
  <c r="AG487" i="26" s="1"/>
  <c r="AF485" i="26"/>
  <c r="AG485" i="26" s="1"/>
  <c r="AF483" i="26"/>
  <c r="AG483" i="26" s="1"/>
  <c r="AF481" i="26"/>
  <c r="AG481" i="26" s="1"/>
  <c r="AF479" i="26"/>
  <c r="AG479" i="26" s="1"/>
  <c r="AF477" i="26"/>
  <c r="AG477" i="26" s="1"/>
  <c r="AF475" i="26"/>
  <c r="AG475" i="26" s="1"/>
  <c r="AF473" i="26"/>
  <c r="AG473" i="26" s="1"/>
  <c r="AF471" i="26"/>
  <c r="AG471" i="26" s="1"/>
  <c r="AI380" i="26"/>
  <c r="AF380" i="26"/>
  <c r="AG380" i="26" s="1"/>
  <c r="AJ380" i="26"/>
  <c r="AJ375" i="26"/>
  <c r="AF375" i="26"/>
  <c r="AG375" i="26" s="1"/>
  <c r="AI375" i="26"/>
  <c r="AI322" i="26"/>
  <c r="AJ322" i="26"/>
  <c r="AF322" i="26"/>
  <c r="AG322" i="26" s="1"/>
  <c r="AF500" i="26"/>
  <c r="AG500" i="26" s="1"/>
  <c r="AF424" i="26"/>
  <c r="AG424" i="26" s="1"/>
  <c r="AI424" i="26"/>
  <c r="AJ424" i="26"/>
  <c r="AJ405" i="26"/>
  <c r="AF405" i="26"/>
  <c r="AG405" i="26" s="1"/>
  <c r="AI405" i="26"/>
  <c r="AF499" i="26"/>
  <c r="AG499" i="26" s="1"/>
  <c r="AF392" i="26"/>
  <c r="AG392" i="26" s="1"/>
  <c r="AI392" i="26"/>
  <c r="AJ392" i="26"/>
  <c r="AF498" i="26"/>
  <c r="AG498" i="26" s="1"/>
  <c r="AJ428" i="26"/>
  <c r="AI425" i="26"/>
  <c r="AF420" i="26"/>
  <c r="AG420" i="26" s="1"/>
  <c r="AF417" i="26"/>
  <c r="AG417" i="26" s="1"/>
  <c r="AJ412" i="26"/>
  <c r="AI409" i="26"/>
  <c r="AF404" i="26"/>
  <c r="AG404" i="26" s="1"/>
  <c r="AF401" i="26"/>
  <c r="AG401" i="26" s="1"/>
  <c r="AJ396" i="26"/>
  <c r="AI393" i="26"/>
  <c r="AF388" i="26"/>
  <c r="AG388" i="26" s="1"/>
  <c r="AJ385" i="26"/>
  <c r="AF385" i="26"/>
  <c r="AG385" i="26" s="1"/>
  <c r="AF384" i="26"/>
  <c r="AG384" i="26" s="1"/>
  <c r="AJ369" i="26"/>
  <c r="AF369" i="26"/>
  <c r="AG369" i="26" s="1"/>
  <c r="AF368" i="26"/>
  <c r="AG368" i="26" s="1"/>
  <c r="AF332" i="26"/>
  <c r="AG332" i="26" s="1"/>
  <c r="AI332" i="26"/>
  <c r="AJ332" i="26"/>
  <c r="AI428" i="26"/>
  <c r="AI412" i="26"/>
  <c r="AI396" i="26"/>
  <c r="AJ379" i="26"/>
  <c r="AF379" i="26"/>
  <c r="AG379" i="26" s="1"/>
  <c r="AJ376" i="26"/>
  <c r="AI360" i="26"/>
  <c r="AJ360" i="26"/>
  <c r="AF358" i="26"/>
  <c r="AG358" i="26" s="1"/>
  <c r="AI358" i="26"/>
  <c r="AJ357" i="26"/>
  <c r="AI357" i="26"/>
  <c r="AI344" i="26"/>
  <c r="AJ344" i="26"/>
  <c r="AJ335" i="26"/>
  <c r="AI335" i="26"/>
  <c r="AJ313" i="26"/>
  <c r="AF313" i="26"/>
  <c r="AG313" i="26" s="1"/>
  <c r="AI313" i="26"/>
  <c r="AJ463" i="26"/>
  <c r="AJ461" i="26"/>
  <c r="AJ459" i="26"/>
  <c r="AJ457" i="26"/>
  <c r="AJ455" i="26"/>
  <c r="AJ453" i="26"/>
  <c r="AJ451" i="26"/>
  <c r="AJ449" i="26"/>
  <c r="AJ447" i="26"/>
  <c r="AJ445" i="26"/>
  <c r="AJ443" i="26"/>
  <c r="AJ441" i="26"/>
  <c r="AJ439" i="26"/>
  <c r="AJ437" i="26"/>
  <c r="AJ435" i="26"/>
  <c r="AJ433" i="26"/>
  <c r="AJ373" i="26"/>
  <c r="AF373" i="26"/>
  <c r="AG373" i="26" s="1"/>
  <c r="AJ361" i="26"/>
  <c r="AI361" i="26"/>
  <c r="AI306" i="26"/>
  <c r="AJ306" i="26"/>
  <c r="AJ287" i="26"/>
  <c r="AI287" i="26"/>
  <c r="AJ271" i="26"/>
  <c r="AI271" i="26"/>
  <c r="AF458" i="26"/>
  <c r="AG458" i="26" s="1"/>
  <c r="AF456" i="26"/>
  <c r="AG456" i="26" s="1"/>
  <c r="AF454" i="26"/>
  <c r="AG454" i="26" s="1"/>
  <c r="AF452" i="26"/>
  <c r="AG452" i="26" s="1"/>
  <c r="AF450" i="26"/>
  <c r="AG450" i="26" s="1"/>
  <c r="AF448" i="26"/>
  <c r="AG448" i="26" s="1"/>
  <c r="AF446" i="26"/>
  <c r="AG446" i="26" s="1"/>
  <c r="AF444" i="26"/>
  <c r="AG444" i="26" s="1"/>
  <c r="AF442" i="26"/>
  <c r="AG442" i="26" s="1"/>
  <c r="AF440" i="26"/>
  <c r="AG440" i="26" s="1"/>
  <c r="AF438" i="26"/>
  <c r="AG438" i="26" s="1"/>
  <c r="AF436" i="26"/>
  <c r="AG436" i="26" s="1"/>
  <c r="AF434" i="26"/>
  <c r="AG434" i="26" s="1"/>
  <c r="AJ430" i="26"/>
  <c r="AI427" i="26"/>
  <c r="AF419" i="26"/>
  <c r="AG419" i="26" s="1"/>
  <c r="AJ414" i="26"/>
  <c r="AI411" i="26"/>
  <c r="AF403" i="26"/>
  <c r="AG403" i="26" s="1"/>
  <c r="AJ398" i="26"/>
  <c r="AI395" i="26"/>
  <c r="AF387" i="26"/>
  <c r="AG387" i="26" s="1"/>
  <c r="AJ383" i="26"/>
  <c r="AF383" i="26"/>
  <c r="AG383" i="26" s="1"/>
  <c r="AF382" i="26"/>
  <c r="AG382" i="26" s="1"/>
  <c r="AJ367" i="26"/>
  <c r="AF367" i="26"/>
  <c r="AG367" i="26" s="1"/>
  <c r="AF366" i="26"/>
  <c r="AG366" i="26" s="1"/>
  <c r="AJ345" i="26"/>
  <c r="AF345" i="26"/>
  <c r="AG345" i="26" s="1"/>
  <c r="AI345" i="26"/>
  <c r="AF316" i="26"/>
  <c r="AG316" i="26" s="1"/>
  <c r="AI316" i="26"/>
  <c r="AJ316" i="26"/>
  <c r="AF425" i="26"/>
  <c r="AG425" i="26" s="1"/>
  <c r="AI417" i="26"/>
  <c r="AF409" i="26"/>
  <c r="AG409" i="26" s="1"/>
  <c r="AI401" i="26"/>
  <c r="AF393" i="26"/>
  <c r="AG393" i="26" s="1"/>
  <c r="AI385" i="26"/>
  <c r="AJ377" i="26"/>
  <c r="AF377" i="26"/>
  <c r="AG377" i="26" s="1"/>
  <c r="AF376" i="26"/>
  <c r="AG376" i="26" s="1"/>
  <c r="AJ374" i="26"/>
  <c r="AI369" i="26"/>
  <c r="AJ351" i="26"/>
  <c r="AI351" i="26"/>
  <c r="AF348" i="26"/>
  <c r="AG348" i="26" s="1"/>
  <c r="AI348" i="26"/>
  <c r="AJ348" i="26"/>
  <c r="AI338" i="26"/>
  <c r="AJ338" i="26"/>
  <c r="AJ319" i="26"/>
  <c r="AI319" i="26"/>
  <c r="AJ297" i="26"/>
  <c r="AF297" i="26"/>
  <c r="AG297" i="26" s="1"/>
  <c r="AI297" i="26"/>
  <c r="AJ277" i="26"/>
  <c r="AF277" i="26"/>
  <c r="AG277" i="26" s="1"/>
  <c r="AI277" i="26"/>
  <c r="AJ371" i="26"/>
  <c r="AF371" i="26"/>
  <c r="AG371" i="26" s="1"/>
  <c r="AI354" i="26"/>
  <c r="AJ354" i="26"/>
  <c r="AI290" i="26"/>
  <c r="AJ290" i="26"/>
  <c r="AJ381" i="26"/>
  <c r="AF381" i="26"/>
  <c r="AG381" i="26" s="1"/>
  <c r="AJ378" i="26"/>
  <c r="AI373" i="26"/>
  <c r="AJ365" i="26"/>
  <c r="AF365" i="26"/>
  <c r="AG365" i="26" s="1"/>
  <c r="AJ329" i="26"/>
  <c r="AF329" i="26"/>
  <c r="AG329" i="26" s="1"/>
  <c r="AI329" i="26"/>
  <c r="AF300" i="26"/>
  <c r="AG300" i="26" s="1"/>
  <c r="AI300" i="26"/>
  <c r="AJ300" i="26"/>
  <c r="AJ263" i="26"/>
  <c r="AI263" i="26"/>
  <c r="AJ251" i="26"/>
  <c r="AF251" i="26"/>
  <c r="AG251" i="26" s="1"/>
  <c r="AI251" i="26"/>
  <c r="AJ225" i="26"/>
  <c r="AF225" i="26"/>
  <c r="AG225" i="26" s="1"/>
  <c r="AI225" i="26"/>
  <c r="AF353" i="26"/>
  <c r="AG353" i="26" s="1"/>
  <c r="AI342" i="26"/>
  <c r="AF337" i="26"/>
  <c r="AG337" i="26" s="1"/>
  <c r="AI326" i="26"/>
  <c r="AF321" i="26"/>
  <c r="AG321" i="26" s="1"/>
  <c r="AI310" i="26"/>
  <c r="AF305" i="26"/>
  <c r="AG305" i="26" s="1"/>
  <c r="AI294" i="26"/>
  <c r="AF289" i="26"/>
  <c r="AG289" i="26" s="1"/>
  <c r="AF285" i="26"/>
  <c r="AG285" i="26" s="1"/>
  <c r="AI283" i="26"/>
  <c r="AF269" i="26"/>
  <c r="AG269" i="26" s="1"/>
  <c r="AI266" i="26"/>
  <c r="AF254" i="26"/>
  <c r="AG254" i="26" s="1"/>
  <c r="AI254" i="26"/>
  <c r="AJ254" i="26"/>
  <c r="AI341" i="26"/>
  <c r="AJ328" i="26"/>
  <c r="AI325" i="26"/>
  <c r="AJ312" i="26"/>
  <c r="AI309" i="26"/>
  <c r="AJ296" i="26"/>
  <c r="AI293" i="26"/>
  <c r="AF355" i="26"/>
  <c r="AG355" i="26" s="1"/>
  <c r="AF339" i="26"/>
  <c r="AG339" i="26" s="1"/>
  <c r="AF323" i="26"/>
  <c r="AG323" i="26" s="1"/>
  <c r="AF307" i="26"/>
  <c r="AG307" i="26" s="1"/>
  <c r="AF291" i="26"/>
  <c r="AG291" i="26" s="1"/>
  <c r="AF283" i="26"/>
  <c r="AG283" i="26" s="1"/>
  <c r="AI281" i="26"/>
  <c r="AJ267" i="26"/>
  <c r="AF267" i="26"/>
  <c r="AG267" i="26" s="1"/>
  <c r="AF238" i="26"/>
  <c r="AG238" i="26" s="1"/>
  <c r="AI238" i="26"/>
  <c r="AJ238" i="26"/>
  <c r="AF250" i="26"/>
  <c r="AG250" i="26" s="1"/>
  <c r="AJ228" i="26"/>
  <c r="AF187" i="26"/>
  <c r="AG187" i="26" s="1"/>
  <c r="AI187" i="26"/>
  <c r="AJ187" i="26"/>
  <c r="AJ237" i="26"/>
  <c r="AI237" i="26"/>
  <c r="AF131" i="26"/>
  <c r="AG131" i="26" s="1"/>
  <c r="AI131" i="26"/>
  <c r="AJ131" i="26"/>
  <c r="AJ205" i="26"/>
  <c r="AI205" i="26"/>
  <c r="AF205" i="26"/>
  <c r="AG205" i="26" s="1"/>
  <c r="AJ260" i="26"/>
  <c r="AI257" i="26"/>
  <c r="AJ244" i="26"/>
  <c r="AI241" i="26"/>
  <c r="AJ221" i="26"/>
  <c r="AI221" i="26"/>
  <c r="AF221" i="26"/>
  <c r="AG221" i="26" s="1"/>
  <c r="AF255" i="26"/>
  <c r="AG255" i="26" s="1"/>
  <c r="AJ250" i="26"/>
  <c r="AI247" i="26"/>
  <c r="AF239" i="26"/>
  <c r="AG239" i="26" s="1"/>
  <c r="AI230" i="26"/>
  <c r="AJ230" i="26"/>
  <c r="AJ256" i="26"/>
  <c r="AI253" i="26"/>
  <c r="AJ240" i="26"/>
  <c r="AJ236" i="26"/>
  <c r="AJ233" i="26"/>
  <c r="AI233" i="26"/>
  <c r="AI224" i="26"/>
  <c r="AJ224" i="26"/>
  <c r="AF224" i="26"/>
  <c r="AG224" i="26" s="1"/>
  <c r="AI208" i="26"/>
  <c r="AJ208" i="26"/>
  <c r="AF208" i="26"/>
  <c r="AG208" i="26" s="1"/>
  <c r="AI259" i="26"/>
  <c r="AJ192" i="26"/>
  <c r="AI192" i="26"/>
  <c r="AJ212" i="26"/>
  <c r="AI209" i="26"/>
  <c r="AJ196" i="26"/>
  <c r="AJ175" i="26"/>
  <c r="AI175" i="26"/>
  <c r="AF175" i="26"/>
  <c r="AG175" i="26" s="1"/>
  <c r="AI212" i="26"/>
  <c r="AI196" i="26"/>
  <c r="AF229" i="26"/>
  <c r="AG229" i="26" s="1"/>
  <c r="AJ176" i="26"/>
  <c r="AI176" i="26"/>
  <c r="AF176" i="26"/>
  <c r="AG176" i="26" s="1"/>
  <c r="AI227" i="26"/>
  <c r="AJ214" i="26"/>
  <c r="AI211" i="26"/>
  <c r="AF203" i="26"/>
  <c r="AG203" i="26" s="1"/>
  <c r="AF209" i="26"/>
  <c r="AG209" i="26" s="1"/>
  <c r="AI195" i="26"/>
  <c r="AF195" i="26"/>
  <c r="AG195" i="26" s="1"/>
  <c r="AJ182" i="26"/>
  <c r="AI182" i="26"/>
  <c r="AI163" i="26"/>
  <c r="AJ37" i="26"/>
  <c r="AI37" i="26"/>
  <c r="AF37" i="26"/>
  <c r="AG37" i="26" s="1"/>
  <c r="AI188" i="26"/>
  <c r="AJ183" i="26"/>
  <c r="AI179" i="26"/>
  <c r="AJ128" i="26"/>
  <c r="AF128" i="26"/>
  <c r="AG128" i="26" s="1"/>
  <c r="AI128" i="26"/>
  <c r="AF189" i="26"/>
  <c r="AG189" i="26" s="1"/>
  <c r="AF180" i="26"/>
  <c r="AG180" i="26" s="1"/>
  <c r="AJ169" i="26"/>
  <c r="AJ164" i="26"/>
  <c r="AF164" i="26"/>
  <c r="AG164" i="26" s="1"/>
  <c r="AJ184" i="26"/>
  <c r="AF184" i="26"/>
  <c r="AG184" i="26" s="1"/>
  <c r="AF179" i="26"/>
  <c r="AG179" i="26" s="1"/>
  <c r="AJ167" i="26"/>
  <c r="AJ172" i="26"/>
  <c r="AI172" i="26"/>
  <c r="AI167" i="26"/>
  <c r="AJ144" i="26"/>
  <c r="AF144" i="26"/>
  <c r="AG144" i="26" s="1"/>
  <c r="AI144" i="26"/>
  <c r="AJ112" i="26"/>
  <c r="AF112" i="26"/>
  <c r="AG112" i="26" s="1"/>
  <c r="AI112" i="26"/>
  <c r="AF169" i="26"/>
  <c r="AG169" i="26" s="1"/>
  <c r="AI153" i="26"/>
  <c r="AJ153" i="26"/>
  <c r="AF147" i="26"/>
  <c r="AG147" i="26" s="1"/>
  <c r="AI147" i="26"/>
  <c r="AJ147" i="26"/>
  <c r="AF115" i="26"/>
  <c r="AG115" i="26" s="1"/>
  <c r="AI115" i="26"/>
  <c r="AJ115" i="26"/>
  <c r="AJ168" i="26"/>
  <c r="AF168" i="26"/>
  <c r="AG168" i="26" s="1"/>
  <c r="AJ160" i="26"/>
  <c r="AI160" i="26"/>
  <c r="AF91" i="26"/>
  <c r="AG91" i="26" s="1"/>
  <c r="AI91" i="26"/>
  <c r="AJ91" i="26"/>
  <c r="AJ157" i="26"/>
  <c r="AI154" i="26"/>
  <c r="AI151" i="26"/>
  <c r="AJ141" i="26"/>
  <c r="AI138" i="26"/>
  <c r="AI135" i="26"/>
  <c r="AJ125" i="26"/>
  <c r="AI122" i="26"/>
  <c r="AI119" i="26"/>
  <c r="AJ109" i="26"/>
  <c r="AI106" i="26"/>
  <c r="AI103" i="26"/>
  <c r="AF152" i="26"/>
  <c r="AG152" i="26" s="1"/>
  <c r="AF136" i="26"/>
  <c r="AG136" i="26" s="1"/>
  <c r="AF120" i="26"/>
  <c r="AG120" i="26" s="1"/>
  <c r="AF104" i="26"/>
  <c r="AG104" i="26" s="1"/>
  <c r="AJ99" i="26"/>
  <c r="AI150" i="26"/>
  <c r="AJ137" i="26"/>
  <c r="AI134" i="26"/>
  <c r="AJ121" i="26"/>
  <c r="AI118" i="26"/>
  <c r="AJ105" i="26"/>
  <c r="AI102" i="26"/>
  <c r="AJ95" i="26"/>
  <c r="AI93" i="26"/>
  <c r="AJ93" i="26"/>
  <c r="AI79" i="26"/>
  <c r="AF79" i="26"/>
  <c r="AG79" i="26" s="1"/>
  <c r="AI156" i="26"/>
  <c r="AF148" i="26"/>
  <c r="AG148" i="26" s="1"/>
  <c r="AI140" i="26"/>
  <c r="AF132" i="26"/>
  <c r="AG132" i="26" s="1"/>
  <c r="AI124" i="26"/>
  <c r="AF116" i="26"/>
  <c r="AG116" i="26" s="1"/>
  <c r="AI108" i="26"/>
  <c r="AF100" i="26"/>
  <c r="AG100" i="26" s="1"/>
  <c r="AI87" i="26"/>
  <c r="AF87" i="26"/>
  <c r="AG87" i="26" s="1"/>
  <c r="AI85" i="26"/>
  <c r="AJ85" i="26"/>
  <c r="AJ75" i="26"/>
  <c r="AF75" i="26"/>
  <c r="AG75" i="26" s="1"/>
  <c r="AJ57" i="26"/>
  <c r="AF57" i="26"/>
  <c r="AG57" i="26" s="1"/>
  <c r="AI57" i="26"/>
  <c r="AF71" i="26"/>
  <c r="AG71" i="26" s="1"/>
  <c r="AF67" i="26"/>
  <c r="AG67" i="26" s="1"/>
  <c r="AF63" i="26"/>
  <c r="AG63" i="26" s="1"/>
  <c r="AF58" i="26"/>
  <c r="AG58" i="26" s="1"/>
  <c r="AJ21" i="26"/>
  <c r="AI21" i="26"/>
  <c r="AF21" i="26"/>
  <c r="AG21" i="26" s="1"/>
  <c r="AF44" i="26"/>
  <c r="AG44" i="26" s="1"/>
  <c r="AI44" i="26"/>
  <c r="AJ44" i="26"/>
  <c r="AJ53" i="26"/>
  <c r="AF53" i="26"/>
  <c r="AG53" i="26" s="1"/>
  <c r="AI40" i="26"/>
  <c r="AJ40" i="26"/>
  <c r="AF40" i="26"/>
  <c r="AG40" i="26" s="1"/>
  <c r="AJ55" i="26"/>
  <c r="AF55" i="26"/>
  <c r="AG55" i="26" s="1"/>
  <c r="AI8" i="26"/>
  <c r="AJ8" i="26"/>
  <c r="AF8" i="26"/>
  <c r="AG8" i="26" s="1"/>
  <c r="AJ58" i="26"/>
  <c r="AI56" i="26"/>
  <c r="AF56" i="26"/>
  <c r="AG56" i="26" s="1"/>
  <c r="AI24" i="26"/>
  <c r="AJ24" i="26"/>
  <c r="AF24" i="26"/>
  <c r="AG24" i="26" s="1"/>
  <c r="AJ41" i="26"/>
  <c r="AF41" i="26"/>
  <c r="AG41" i="26" s="1"/>
  <c r="AI41" i="26"/>
  <c r="AI45" i="26"/>
  <c r="AI42" i="26"/>
  <c r="AI29" i="26"/>
  <c r="AI26" i="26"/>
  <c r="AI13" i="26"/>
  <c r="AI10" i="26"/>
  <c r="AJ28" i="26"/>
  <c r="AI25" i="26"/>
  <c r="AJ12" i="26"/>
  <c r="AI9" i="26"/>
  <c r="AF39" i="26"/>
  <c r="AG39" i="26" s="1"/>
  <c r="AI28" i="26"/>
  <c r="AF23" i="26"/>
  <c r="AG23" i="26" s="1"/>
  <c r="AI12" i="26"/>
  <c r="AJ46" i="26"/>
  <c r="AI43" i="26"/>
  <c r="AJ30" i="26"/>
  <c r="AI27" i="26"/>
  <c r="AJ14" i="26"/>
  <c r="AI11" i="26"/>
  <c r="AI49" i="26"/>
  <c r="AI33" i="26"/>
  <c r="AF25" i="26"/>
  <c r="AG25" i="26" s="1"/>
  <c r="AI17" i="26"/>
  <c r="AF9" i="26"/>
  <c r="AG9" i="26" s="1"/>
  <c r="AI402" i="24"/>
  <c r="AJ402" i="24"/>
  <c r="AI401" i="24"/>
  <c r="AJ401" i="24"/>
  <c r="AI400" i="24"/>
  <c r="AJ400" i="24"/>
  <c r="AI399" i="24"/>
  <c r="AJ399" i="24"/>
  <c r="AI398" i="24"/>
  <c r="AJ398" i="24"/>
  <c r="AI397" i="24"/>
  <c r="AJ397" i="24"/>
  <c r="AI396" i="24"/>
  <c r="AJ396" i="24"/>
  <c r="AI395" i="24"/>
  <c r="AJ395" i="24"/>
  <c r="AI394" i="24"/>
  <c r="AJ394" i="24"/>
  <c r="AI393" i="24"/>
  <c r="AJ393" i="24"/>
  <c r="AI392" i="24"/>
  <c r="AJ392" i="24"/>
  <c r="AI391" i="24"/>
  <c r="AJ391" i="24"/>
  <c r="AI390" i="24"/>
  <c r="AJ390" i="24"/>
  <c r="AI389" i="24"/>
  <c r="AJ389" i="24"/>
  <c r="AI388" i="24"/>
  <c r="AJ388" i="24"/>
  <c r="AI387" i="24"/>
  <c r="AJ387" i="24"/>
  <c r="AI386" i="24"/>
  <c r="AJ386" i="24"/>
  <c r="AI385" i="24"/>
  <c r="AJ385" i="24"/>
  <c r="AI384" i="24"/>
  <c r="AJ384" i="24"/>
  <c r="AI383" i="24"/>
  <c r="AJ383" i="24"/>
  <c r="AI382" i="24"/>
  <c r="AJ382" i="24"/>
  <c r="AI381" i="24"/>
  <c r="AJ381" i="24"/>
  <c r="AI380" i="24"/>
  <c r="AJ380" i="24"/>
  <c r="AI379" i="24"/>
  <c r="AJ379" i="24"/>
  <c r="AI378" i="24"/>
  <c r="AJ378" i="24"/>
  <c r="AI377" i="24"/>
  <c r="AJ377" i="24"/>
  <c r="AI376" i="24"/>
  <c r="AJ376" i="24"/>
  <c r="AI375" i="24"/>
  <c r="AJ375" i="24"/>
  <c r="AI374" i="24"/>
  <c r="AJ374" i="24"/>
  <c r="AI373" i="24"/>
  <c r="AJ373" i="24"/>
  <c r="AI372" i="24"/>
  <c r="AJ372" i="24"/>
  <c r="AI371" i="24"/>
  <c r="AJ371" i="24"/>
  <c r="AI370" i="24"/>
  <c r="AJ370" i="24"/>
  <c r="AI369" i="24"/>
  <c r="AJ369" i="24"/>
  <c r="AI368" i="24"/>
  <c r="AJ368" i="24"/>
  <c r="AI367" i="24"/>
  <c r="AJ367" i="24"/>
  <c r="AI366" i="24"/>
  <c r="AJ366" i="24"/>
  <c r="AI365" i="24"/>
  <c r="AJ365" i="24"/>
  <c r="AI364" i="24"/>
  <c r="AJ364" i="24"/>
  <c r="AI363" i="24"/>
  <c r="AJ363" i="24"/>
  <c r="AI362" i="24"/>
  <c r="AJ362" i="24"/>
  <c r="AI361" i="24"/>
  <c r="AJ361" i="24"/>
  <c r="AI360" i="24"/>
  <c r="AJ360" i="24"/>
  <c r="AI359" i="24"/>
  <c r="AJ359" i="24"/>
  <c r="AI358" i="24"/>
  <c r="AJ358" i="24"/>
  <c r="AI357" i="24"/>
  <c r="AJ357" i="24"/>
  <c r="AI356" i="24"/>
  <c r="AJ356" i="24"/>
  <c r="AI355" i="24"/>
  <c r="AJ355" i="24"/>
  <c r="AI354" i="24"/>
  <c r="AJ354" i="24"/>
  <c r="AI353" i="24"/>
  <c r="AJ353" i="24"/>
  <c r="AI352" i="24"/>
  <c r="AJ352" i="24"/>
  <c r="AI351" i="24"/>
  <c r="AJ351" i="24"/>
  <c r="AI350" i="24"/>
  <c r="AJ350" i="24"/>
  <c r="AI349" i="24"/>
  <c r="AJ349" i="24"/>
  <c r="AI348" i="24"/>
  <c r="AJ348" i="24"/>
  <c r="AI347" i="24"/>
  <c r="AJ347" i="24"/>
  <c r="AI346" i="24"/>
  <c r="AJ346" i="24"/>
  <c r="AI345" i="24"/>
  <c r="AJ345" i="24"/>
  <c r="AI344" i="24"/>
  <c r="AJ344" i="24"/>
  <c r="AI343" i="24"/>
  <c r="AJ343" i="24"/>
  <c r="AI342" i="24"/>
  <c r="AJ342" i="24"/>
  <c r="AI341" i="24"/>
  <c r="AJ341" i="24"/>
  <c r="AI340" i="24"/>
  <c r="AJ340" i="24"/>
  <c r="AI339" i="24"/>
  <c r="AJ339" i="24"/>
  <c r="AI338" i="24"/>
  <c r="AJ338" i="24"/>
  <c r="AI337" i="24"/>
  <c r="AJ337" i="24"/>
  <c r="AI336" i="24"/>
  <c r="AJ336" i="24"/>
  <c r="AI335" i="24"/>
  <c r="AJ335" i="24"/>
  <c r="AI334" i="24"/>
  <c r="AJ334" i="24"/>
  <c r="AI333" i="24"/>
  <c r="AJ333" i="24"/>
  <c r="AI332" i="24"/>
  <c r="AJ332" i="24"/>
  <c r="AI331" i="24"/>
  <c r="AJ331" i="24"/>
  <c r="AI330" i="24"/>
  <c r="AJ330" i="24"/>
  <c r="AI329" i="24"/>
  <c r="AJ329" i="24"/>
  <c r="AI328" i="24"/>
  <c r="AJ328" i="24"/>
  <c r="AI327" i="24"/>
  <c r="AJ327" i="24"/>
  <c r="AI326" i="24"/>
  <c r="AJ326" i="24"/>
  <c r="AI325" i="24"/>
  <c r="AJ325" i="24"/>
  <c r="AI324" i="24"/>
  <c r="AJ324" i="24"/>
  <c r="AI323" i="24"/>
  <c r="AJ323" i="24"/>
  <c r="AI322" i="24"/>
  <c r="AJ322" i="24"/>
  <c r="AI321" i="24"/>
  <c r="AJ321" i="24"/>
  <c r="AI320" i="24"/>
  <c r="AJ320" i="24"/>
  <c r="AI319" i="24"/>
  <c r="AJ319" i="24"/>
  <c r="AI318" i="24"/>
  <c r="AJ318" i="24"/>
  <c r="AI317" i="24"/>
  <c r="AJ317" i="24"/>
  <c r="AI316" i="24"/>
  <c r="AJ316" i="24"/>
  <c r="AI315" i="24"/>
  <c r="AJ315" i="24"/>
  <c r="AI314" i="24"/>
  <c r="AJ314" i="24"/>
  <c r="AI313" i="24"/>
  <c r="AJ313" i="24"/>
  <c r="AI312" i="24"/>
  <c r="AJ312" i="24"/>
  <c r="AI311" i="24"/>
  <c r="AJ311" i="24"/>
  <c r="AI310" i="24"/>
  <c r="AJ310" i="24"/>
  <c r="AI309" i="24"/>
  <c r="AJ309" i="24"/>
  <c r="AI308" i="24"/>
  <c r="AJ308" i="24"/>
  <c r="AI307" i="24"/>
  <c r="AJ307" i="24"/>
  <c r="AI306" i="24"/>
  <c r="AJ306" i="24"/>
  <c r="AI305" i="24"/>
  <c r="AJ305" i="24"/>
  <c r="AI304" i="24"/>
  <c r="AJ304" i="24"/>
  <c r="AI303" i="24"/>
  <c r="AJ303" i="24"/>
  <c r="AI302" i="24"/>
  <c r="AJ302" i="24"/>
  <c r="AI301" i="24"/>
  <c r="AJ301" i="24"/>
  <c r="AI300" i="24"/>
  <c r="AJ300" i="24"/>
  <c r="AI299" i="24"/>
  <c r="AJ299" i="24"/>
  <c r="AI298" i="24"/>
  <c r="AJ298" i="24"/>
  <c r="AI297" i="24"/>
  <c r="AJ297" i="24"/>
  <c r="AI296" i="24"/>
  <c r="AJ296" i="24"/>
  <c r="AI295" i="24"/>
  <c r="AJ295" i="24"/>
  <c r="AI294" i="24"/>
  <c r="AJ294" i="24"/>
  <c r="AI293" i="24"/>
  <c r="AJ293" i="24"/>
  <c r="AI292" i="24"/>
  <c r="AJ292" i="24"/>
  <c r="AI291" i="24"/>
  <c r="AJ291" i="24"/>
  <c r="AI290" i="24"/>
  <c r="AJ290" i="24"/>
  <c r="AI289" i="24"/>
  <c r="AJ289" i="24"/>
  <c r="AI288" i="24"/>
  <c r="AJ288" i="24"/>
  <c r="AI286" i="24"/>
  <c r="AJ286" i="24"/>
  <c r="AJ283" i="24"/>
  <c r="AJ282" i="24"/>
  <c r="AJ281" i="24"/>
  <c r="AI280" i="24"/>
  <c r="AJ280" i="24"/>
  <c r="AI279" i="24"/>
  <c r="AJ279" i="24"/>
  <c r="AI278" i="24"/>
  <c r="AJ278" i="24"/>
  <c r="AI277" i="24"/>
  <c r="AJ277" i="24"/>
  <c r="AI10" i="24"/>
  <c r="AJ10" i="24"/>
  <c r="AF10" i="24"/>
  <c r="AG10" i="24" s="1"/>
  <c r="X20" i="25"/>
  <c r="AV10" i="48"/>
  <c r="AC32" i="24"/>
  <c r="AC8" i="24"/>
  <c r="AC10" i="24"/>
  <c r="H42" i="25"/>
  <c r="P42" i="25"/>
  <c r="L42" i="25"/>
  <c r="D42" i="25"/>
  <c r="F38" i="48" a="1"/>
  <c r="F38" i="48" s="1"/>
  <c r="E20" i="25"/>
  <c r="D20" i="25"/>
  <c r="AV24" i="48"/>
  <c r="AV18" i="48"/>
  <c r="AV23" i="48"/>
  <c r="AV20" i="48"/>
  <c r="AV21" i="48"/>
  <c r="F39" i="48" a="1"/>
  <c r="F39" i="48" s="1"/>
  <c r="N38" i="48" a="1"/>
  <c r="N38" i="48" s="1"/>
  <c r="N39" i="48" a="1"/>
  <c r="N39" i="48" s="1"/>
  <c r="F40" i="48" a="1"/>
  <c r="F40" i="48" s="1"/>
  <c r="AV15" i="48"/>
  <c r="AV17" i="48"/>
  <c r="AV14" i="48"/>
  <c r="AV13" i="48"/>
  <c r="AV12" i="48"/>
  <c r="AV11" i="48"/>
  <c r="AV16" i="48"/>
  <c r="J39" i="48" a="1"/>
  <c r="J39" i="48" s="1"/>
  <c r="J38" i="48" a="1"/>
  <c r="J38" i="48" s="1"/>
  <c r="AV19" i="48"/>
  <c r="J40" i="48" a="1"/>
  <c r="J40" i="48" s="1"/>
  <c r="R20" i="25"/>
  <c r="K9" i="48" s="1"/>
  <c r="S20" i="25"/>
  <c r="T20" i="25"/>
  <c r="AS15" i="48" s="1"/>
  <c r="H20" i="25"/>
  <c r="AS11" i="48" s="1"/>
  <c r="O20" i="25"/>
  <c r="L20" i="25"/>
  <c r="I20" i="25"/>
  <c r="F20" i="25"/>
  <c r="Q20" i="25"/>
  <c r="AS14" i="48" s="1"/>
  <c r="M20" i="25"/>
  <c r="AR13" i="48" s="1"/>
  <c r="K20" i="25"/>
  <c r="AS12" i="48" s="1"/>
  <c r="N20" i="25"/>
  <c r="AS13" i="48" s="1"/>
  <c r="G20" i="25"/>
  <c r="AR11" i="48" s="1"/>
  <c r="P20" i="25"/>
  <c r="J20" i="25"/>
  <c r="AR12" i="48" s="1"/>
  <c r="AF888" i="42" l="1"/>
  <c r="AG888" i="42" s="1"/>
  <c r="AJ874" i="42"/>
  <c r="AF875" i="42"/>
  <c r="AG875" i="42" s="1"/>
  <c r="AF880" i="42"/>
  <c r="AG880" i="42" s="1"/>
  <c r="AF866" i="42"/>
  <c r="AG866" i="42" s="1"/>
  <c r="AF884" i="42"/>
  <c r="AG884" i="42" s="1"/>
  <c r="AI888" i="42"/>
  <c r="AF864" i="42"/>
  <c r="AG864" i="42" s="1"/>
  <c r="AJ879" i="42"/>
  <c r="AF865" i="42"/>
  <c r="AG865" i="42" s="1"/>
  <c r="AJ142" i="14"/>
  <c r="AI283" i="24"/>
  <c r="AI258" i="34"/>
  <c r="AJ266" i="34"/>
  <c r="AF63" i="43"/>
  <c r="AG63" i="43" s="1"/>
  <c r="AI879" i="42"/>
  <c r="AJ871" i="42"/>
  <c r="AF874" i="42"/>
  <c r="AG874" i="42" s="1"/>
  <c r="AI63" i="43"/>
  <c r="AJ866" i="42"/>
  <c r="AJ875" i="42"/>
  <c r="AJ884" i="42"/>
  <c r="AJ865" i="42"/>
  <c r="AF871" i="42"/>
  <c r="AG871" i="42" s="1"/>
  <c r="AJ880" i="42"/>
  <c r="AJ889" i="42"/>
  <c r="AI282" i="24"/>
  <c r="AJ285" i="24"/>
  <c r="AI133" i="14"/>
  <c r="AI145" i="14"/>
  <c r="AI285" i="24"/>
  <c r="AF145" i="14"/>
  <c r="AG145" i="14" s="1"/>
  <c r="AI148" i="14"/>
  <c r="AJ148" i="14"/>
  <c r="AI128" i="14"/>
  <c r="AJ274" i="34"/>
  <c r="AJ272" i="34"/>
  <c r="AI272" i="34"/>
  <c r="AF869" i="42"/>
  <c r="AG869" i="42" s="1"/>
  <c r="AF868" i="42"/>
  <c r="AG868" i="42" s="1"/>
  <c r="AF267" i="34"/>
  <c r="AG267" i="34" s="1"/>
  <c r="AI267" i="34"/>
  <c r="AJ863" i="42"/>
  <c r="AJ873" i="42"/>
  <c r="AF882" i="42"/>
  <c r="AG882" i="42" s="1"/>
  <c r="AJ891" i="42"/>
  <c r="AJ860" i="42"/>
  <c r="AI870" i="42"/>
  <c r="AF876" i="42"/>
  <c r="AG876" i="42" s="1"/>
  <c r="AJ882" i="42"/>
  <c r="AF883" i="42"/>
  <c r="AG883" i="42" s="1"/>
  <c r="AF863" i="42"/>
  <c r="AG863" i="42" s="1"/>
  <c r="AF873" i="42"/>
  <c r="AG873" i="42" s="1"/>
  <c r="AJ868" i="42"/>
  <c r="AJ892" i="42"/>
  <c r="AF860" i="42"/>
  <c r="AG860" i="42" s="1"/>
  <c r="AJ869" i="42"/>
  <c r="AI876" i="42"/>
  <c r="AJ887" i="42"/>
  <c r="AI891" i="42"/>
  <c r="AJ883" i="42"/>
  <c r="AF892" i="42"/>
  <c r="AG892" i="42" s="1"/>
  <c r="AI864" i="42"/>
  <c r="AF877" i="42"/>
  <c r="AG877" i="42" s="1"/>
  <c r="AF885" i="42"/>
  <c r="AG885" i="42" s="1"/>
  <c r="AJ872" i="42"/>
  <c r="AJ878" i="42"/>
  <c r="AJ881" i="42"/>
  <c r="AJ890" i="42"/>
  <c r="AF872" i="42"/>
  <c r="AG872" i="42" s="1"/>
  <c r="AF878" i="42"/>
  <c r="AG878" i="42" s="1"/>
  <c r="AF881" i="42"/>
  <c r="AG881" i="42" s="1"/>
  <c r="AF890" i="42"/>
  <c r="AG890" i="42" s="1"/>
  <c r="AJ877" i="42"/>
  <c r="AJ886" i="42"/>
  <c r="AJ132" i="14"/>
  <c r="AF139" i="14"/>
  <c r="AG139" i="14" s="1"/>
  <c r="AF257" i="34"/>
  <c r="AG257" i="34" s="1"/>
  <c r="AF268" i="34"/>
  <c r="AG268" i="34" s="1"/>
  <c r="AJ287" i="24"/>
  <c r="AJ284" i="24"/>
  <c r="AF4" i="26"/>
  <c r="AG4" i="26" s="1"/>
  <c r="AI861" i="42"/>
  <c r="AJ861" i="42"/>
  <c r="AJ255" i="34"/>
  <c r="AJ260" i="34"/>
  <c r="AJ40" i="45"/>
  <c r="AF261" i="34"/>
  <c r="AG261" i="34" s="1"/>
  <c r="AI139" i="14"/>
  <c r="AI260" i="34"/>
  <c r="AJ140" i="14"/>
  <c r="AI281" i="24"/>
  <c r="AI284" i="24"/>
  <c r="AI287" i="24"/>
  <c r="AI4" i="26"/>
  <c r="AJ60" i="43"/>
  <c r="AI140" i="14"/>
  <c r="AI257" i="34"/>
  <c r="AF40" i="45"/>
  <c r="AG40" i="45" s="1"/>
  <c r="AF253" i="34"/>
  <c r="AG253" i="34" s="1"/>
  <c r="AI261" i="34"/>
  <c r="AF858" i="42"/>
  <c r="AG858" i="42" s="1"/>
  <c r="AI263" i="34"/>
  <c r="AJ250" i="34"/>
  <c r="AI254" i="34"/>
  <c r="AI266" i="34"/>
  <c r="AF38" i="45"/>
  <c r="AG38" i="45" s="1"/>
  <c r="AI858" i="42"/>
  <c r="AF262" i="34"/>
  <c r="AG262" i="34" s="1"/>
  <c r="AF59" i="43"/>
  <c r="AG59" i="43" s="1"/>
  <c r="AJ232" i="34"/>
  <c r="AF263" i="34"/>
  <c r="AG263" i="34" s="1"/>
  <c r="AI137" i="14"/>
  <c r="AI251" i="34"/>
  <c r="AI855" i="42"/>
  <c r="AF134" i="14"/>
  <c r="AG134" i="14" s="1"/>
  <c r="AF259" i="34"/>
  <c r="AG259" i="34" s="1"/>
  <c r="AI246" i="34"/>
  <c r="AI135" i="14"/>
  <c r="AF252" i="34"/>
  <c r="AG252" i="34" s="1"/>
  <c r="AI265" i="34"/>
  <c r="AJ246" i="34"/>
  <c r="AF264" i="34"/>
  <c r="AG264" i="34" s="1"/>
  <c r="AJ256" i="34"/>
  <c r="AI259" i="34"/>
  <c r="AF675" i="42"/>
  <c r="AG675" i="42" s="1"/>
  <c r="AI686" i="42"/>
  <c r="AI710" i="42"/>
  <c r="AF687" i="42"/>
  <c r="AG687" i="42" s="1"/>
  <c r="AJ128" i="14"/>
  <c r="AJ134" i="14"/>
  <c r="AJ133" i="14"/>
  <c r="AI252" i="34"/>
  <c r="AJ265" i="34"/>
  <c r="AF130" i="14"/>
  <c r="AG130" i="14" s="1"/>
  <c r="AI126" i="14"/>
  <c r="AF131" i="14"/>
  <c r="AG131" i="14" s="1"/>
  <c r="AI131" i="14"/>
  <c r="AF135" i="14"/>
  <c r="AG135" i="14" s="1"/>
  <c r="AI138" i="14"/>
  <c r="AF138" i="14"/>
  <c r="AG138" i="14" s="1"/>
  <c r="AF256" i="34"/>
  <c r="AG256" i="34" s="1"/>
  <c r="AJ264" i="34"/>
  <c r="AI680" i="42"/>
  <c r="AF756" i="42"/>
  <c r="AG756" i="42" s="1"/>
  <c r="AJ86" i="51"/>
  <c r="AI86" i="51"/>
  <c r="AF683" i="42"/>
  <c r="AG683" i="42" s="1"/>
  <c r="AF857" i="42"/>
  <c r="AG857" i="42" s="1"/>
  <c r="AJ856" i="42"/>
  <c r="AF678" i="42"/>
  <c r="AG678" i="42" s="1"/>
  <c r="AF859" i="42"/>
  <c r="AG859" i="42" s="1"/>
  <c r="AI712" i="42"/>
  <c r="AJ2" i="51"/>
  <c r="AI2" i="51"/>
  <c r="AF2" i="51"/>
  <c r="AG2" i="51" s="1"/>
  <c r="AF254" i="34"/>
  <c r="AG254" i="34" s="1"/>
  <c r="AF854" i="42"/>
  <c r="AG854" i="42" s="1"/>
  <c r="AF137" i="14"/>
  <c r="AG137" i="14" s="1"/>
  <c r="AI262" i="34"/>
  <c r="AJ38" i="45"/>
  <c r="AI250" i="34"/>
  <c r="AI57" i="43"/>
  <c r="AI255" i="34"/>
  <c r="AJ258" i="34"/>
  <c r="AJ59" i="43"/>
  <c r="AJ855" i="42"/>
  <c r="AJ859" i="42"/>
  <c r="AJ854" i="42"/>
  <c r="AJ857" i="42"/>
  <c r="AF856" i="42"/>
  <c r="AG856" i="42" s="1"/>
  <c r="AF237" i="34"/>
  <c r="AG237" i="34" s="1"/>
  <c r="AI244" i="34"/>
  <c r="AJ248" i="34"/>
  <c r="AI677" i="42"/>
  <c r="AF245" i="34"/>
  <c r="AG245" i="34" s="1"/>
  <c r="AI245" i="34"/>
  <c r="AF251" i="34"/>
  <c r="AG251" i="34" s="1"/>
  <c r="AF248" i="34"/>
  <c r="AG248" i="34" s="1"/>
  <c r="AJ249" i="34"/>
  <c r="AI36" i="45"/>
  <c r="AJ126" i="14"/>
  <c r="AI241" i="34"/>
  <c r="AI270" i="24"/>
  <c r="AI233" i="34"/>
  <c r="AI240" i="34"/>
  <c r="AF36" i="45"/>
  <c r="AG36" i="45" s="1"/>
  <c r="AF228" i="34"/>
  <c r="AG228" i="34" s="1"/>
  <c r="AI249" i="34"/>
  <c r="AJ240" i="34"/>
  <c r="AJ130" i="14"/>
  <c r="AI261" i="24"/>
  <c r="AJ269" i="24"/>
  <c r="AF123" i="14"/>
  <c r="AG123" i="14" s="1"/>
  <c r="AJ123" i="14"/>
  <c r="AJ237" i="24"/>
  <c r="AJ239" i="34"/>
  <c r="AI257" i="24"/>
  <c r="AF238" i="24"/>
  <c r="AG238" i="24" s="1"/>
  <c r="AJ122" i="14"/>
  <c r="AI127" i="14"/>
  <c r="AI685" i="42"/>
  <c r="AF127" i="14"/>
  <c r="AG127" i="14" s="1"/>
  <c r="AF247" i="34"/>
  <c r="AG247" i="34" s="1"/>
  <c r="AI247" i="34"/>
  <c r="AF122" i="14"/>
  <c r="AG122" i="14" s="1"/>
  <c r="AF129" i="14"/>
  <c r="AG129" i="14" s="1"/>
  <c r="AI125" i="14"/>
  <c r="AI129" i="14"/>
  <c r="AJ235" i="34"/>
  <c r="AI682" i="42"/>
  <c r="AF58" i="43"/>
  <c r="AG58" i="43" s="1"/>
  <c r="AF234" i="34"/>
  <c r="AG234" i="34" s="1"/>
  <c r="AJ58" i="43"/>
  <c r="AF851" i="42"/>
  <c r="AG851" i="42" s="1"/>
  <c r="AF709" i="42"/>
  <c r="AG709" i="42" s="1"/>
  <c r="AI711" i="42"/>
  <c r="AF673" i="42"/>
  <c r="AG673" i="42" s="1"/>
  <c r="AF676" i="42"/>
  <c r="AG676" i="42" s="1"/>
  <c r="AI684" i="42"/>
  <c r="AJ231" i="24"/>
  <c r="AI679" i="42"/>
  <c r="AI259" i="24"/>
  <c r="AI674" i="42"/>
  <c r="AJ239" i="24"/>
  <c r="AF681" i="42"/>
  <c r="AG681" i="42" s="1"/>
  <c r="AI265" i="24"/>
  <c r="AJ274" i="24"/>
  <c r="AI235" i="34"/>
  <c r="AF242" i="34"/>
  <c r="AG242" i="34" s="1"/>
  <c r="AF125" i="14"/>
  <c r="AG125" i="14" s="1"/>
  <c r="AJ272" i="24"/>
  <c r="AI256" i="24"/>
  <c r="AI275" i="24"/>
  <c r="AI234" i="24"/>
  <c r="AI263" i="24"/>
  <c r="AI120" i="14"/>
  <c r="AI271" i="24"/>
  <c r="AF244" i="24"/>
  <c r="AG244" i="24" s="1"/>
  <c r="AJ262" i="24"/>
  <c r="AJ57" i="43"/>
  <c r="AJ124" i="14"/>
  <c r="AF243" i="34"/>
  <c r="AG243" i="34" s="1"/>
  <c r="AI239" i="34"/>
  <c r="AI234" i="34"/>
  <c r="AJ241" i="34"/>
  <c r="AI243" i="34"/>
  <c r="AJ853" i="42"/>
  <c r="AI272" i="24"/>
  <c r="AI71" i="35"/>
  <c r="AI236" i="34"/>
  <c r="AJ236" i="34"/>
  <c r="AF230" i="34"/>
  <c r="AG230" i="34" s="1"/>
  <c r="AF233" i="34"/>
  <c r="AG233" i="34" s="1"/>
  <c r="AJ242" i="34"/>
  <c r="AJ237" i="34"/>
  <c r="AI37" i="45"/>
  <c r="AI35" i="45"/>
  <c r="AI32" i="45"/>
  <c r="AI232" i="34"/>
  <c r="AJ238" i="34"/>
  <c r="AF35" i="45"/>
  <c r="AG35" i="45" s="1"/>
  <c r="AI850" i="42"/>
  <c r="AJ850" i="42"/>
  <c r="AF853" i="42"/>
  <c r="AG853" i="42" s="1"/>
  <c r="AJ238" i="24"/>
  <c r="AJ260" i="24"/>
  <c r="AJ263" i="24"/>
  <c r="AI266" i="24"/>
  <c r="AJ230" i="34"/>
  <c r="AI238" i="34"/>
  <c r="AF37" i="45"/>
  <c r="AG37" i="45" s="1"/>
  <c r="AF32" i="45"/>
  <c r="AG32" i="45" s="1"/>
  <c r="AJ851" i="42"/>
  <c r="AF849" i="42"/>
  <c r="AG849" i="42" s="1"/>
  <c r="AF852" i="42"/>
  <c r="AG852" i="42" s="1"/>
  <c r="AI849" i="42"/>
  <c r="AI852" i="42"/>
  <c r="AF234" i="24"/>
  <c r="AG234" i="24" s="1"/>
  <c r="AF239" i="24"/>
  <c r="AG239" i="24" s="1"/>
  <c r="AJ256" i="24"/>
  <c r="AJ259" i="24"/>
  <c r="AI268" i="24"/>
  <c r="AJ271" i="24"/>
  <c r="AF120" i="14"/>
  <c r="AG120" i="14" s="1"/>
  <c r="AF124" i="14"/>
  <c r="AG124" i="14" s="1"/>
  <c r="AI229" i="34"/>
  <c r="AF33" i="45"/>
  <c r="AG33" i="45" s="1"/>
  <c r="AI262" i="24"/>
  <c r="AJ265" i="24"/>
  <c r="AJ268" i="24"/>
  <c r="AI274" i="24"/>
  <c r="AF34" i="45"/>
  <c r="AG34" i="45" s="1"/>
  <c r="AJ33" i="45"/>
  <c r="AJ34" i="45"/>
  <c r="AJ2" i="42"/>
  <c r="AI2" i="42"/>
  <c r="AF2" i="42"/>
  <c r="AG2" i="42" s="1"/>
  <c r="AF237" i="24"/>
  <c r="AG237" i="24" s="1"/>
  <c r="AI258" i="24"/>
  <c r="AI267" i="24"/>
  <c r="AI276" i="24"/>
  <c r="AJ227" i="24"/>
  <c r="AJ257" i="24"/>
  <c r="AI260" i="24"/>
  <c r="AI264" i="24"/>
  <c r="AJ266" i="24"/>
  <c r="AI269" i="24"/>
  <c r="AI273" i="24"/>
  <c r="AJ275" i="24"/>
  <c r="AF71" i="35"/>
  <c r="AG71" i="35" s="1"/>
  <c r="AJ228" i="34"/>
  <c r="AJ231" i="34"/>
  <c r="AJ121" i="14"/>
  <c r="AJ227" i="34"/>
  <c r="AI231" i="34"/>
  <c r="AJ819" i="42"/>
  <c r="AI820" i="42"/>
  <c r="AJ835" i="42"/>
  <c r="AF808" i="42"/>
  <c r="AG808" i="42" s="1"/>
  <c r="AI835" i="42"/>
  <c r="AJ841" i="42"/>
  <c r="AJ244" i="24"/>
  <c r="AF247" i="24"/>
  <c r="AG247" i="24" s="1"/>
  <c r="AJ247" i="24"/>
  <c r="AF250" i="24"/>
  <c r="AG250" i="24" s="1"/>
  <c r="AJ241" i="24"/>
  <c r="AF241" i="24"/>
  <c r="AG241" i="24" s="1"/>
  <c r="AI250" i="24"/>
  <c r="AI227" i="34"/>
  <c r="AI825" i="42"/>
  <c r="AJ251" i="24"/>
  <c r="AI251" i="24"/>
  <c r="AF236" i="24"/>
  <c r="AG236" i="24" s="1"/>
  <c r="AJ258" i="24"/>
  <c r="AJ261" i="24"/>
  <c r="AJ264" i="24"/>
  <c r="AJ267" i="24"/>
  <c r="AJ270" i="24"/>
  <c r="AJ273" i="24"/>
  <c r="AJ276" i="24"/>
  <c r="AI121" i="14"/>
  <c r="AI118" i="14"/>
  <c r="AI588" i="42"/>
  <c r="AJ800" i="42"/>
  <c r="AI707" i="42"/>
  <c r="AF697" i="42"/>
  <c r="AG697" i="42" s="1"/>
  <c r="AI692" i="42"/>
  <c r="AJ229" i="34"/>
  <c r="AJ810" i="42"/>
  <c r="AJ811" i="42"/>
  <c r="AI834" i="42"/>
  <c r="AI823" i="42"/>
  <c r="AF826" i="42"/>
  <c r="AG826" i="42" s="1"/>
  <c r="AF847" i="42"/>
  <c r="AG847" i="42" s="1"/>
  <c r="AI819" i="42"/>
  <c r="AI701" i="42"/>
  <c r="AF243" i="24"/>
  <c r="AG243" i="24" s="1"/>
  <c r="AJ254" i="24"/>
  <c r="AI689" i="42"/>
  <c r="AI659" i="42"/>
  <c r="AI662" i="42"/>
  <c r="AF691" i="42"/>
  <c r="AG691" i="42" s="1"/>
  <c r="AI752" i="42"/>
  <c r="AF246" i="24"/>
  <c r="AG246" i="24" s="1"/>
  <c r="AF658" i="42"/>
  <c r="AG658" i="42" s="1"/>
  <c r="AI660" i="42"/>
  <c r="AJ246" i="24"/>
  <c r="AI666" i="42"/>
  <c r="AI668" i="42"/>
  <c r="AF700" i="42"/>
  <c r="AG700" i="42" s="1"/>
  <c r="AI715" i="42"/>
  <c r="AI750" i="42"/>
  <c r="AI699" i="42"/>
  <c r="AI243" i="24"/>
  <c r="AI704" i="42"/>
  <c r="AI698" i="42"/>
  <c r="AI661" i="42"/>
  <c r="AF705" i="42"/>
  <c r="AG705" i="42" s="1"/>
  <c r="AF708" i="42"/>
  <c r="AG708" i="42" s="1"/>
  <c r="AF693" i="42"/>
  <c r="AG693" i="42" s="1"/>
  <c r="AI252" i="24"/>
  <c r="AF252" i="24"/>
  <c r="AG252" i="24" s="1"/>
  <c r="AI671" i="42"/>
  <c r="AI718" i="42"/>
  <c r="AI254" i="24"/>
  <c r="AF702" i="42"/>
  <c r="AG702" i="42" s="1"/>
  <c r="AF688" i="42"/>
  <c r="AG688" i="42" s="1"/>
  <c r="AJ255" i="24"/>
  <c r="AF696" i="42"/>
  <c r="AG696" i="42" s="1"/>
  <c r="AI696" i="42"/>
  <c r="AI663" i="42"/>
  <c r="AI695" i="42"/>
  <c r="AF248" i="24"/>
  <c r="AG248" i="24" s="1"/>
  <c r="AI248" i="24"/>
  <c r="AI690" i="42"/>
  <c r="AF690" i="42"/>
  <c r="AG690" i="42" s="1"/>
  <c r="AI706" i="42"/>
  <c r="AF706" i="42"/>
  <c r="AG706" i="42" s="1"/>
  <c r="AF751" i="42"/>
  <c r="AG751" i="42" s="1"/>
  <c r="AI751" i="42"/>
  <c r="AF242" i="24"/>
  <c r="AG242" i="24" s="1"/>
  <c r="AI242" i="24"/>
  <c r="AI253" i="24"/>
  <c r="AF253" i="24"/>
  <c r="AG253" i="24" s="1"/>
  <c r="AJ253" i="24"/>
  <c r="AF714" i="42"/>
  <c r="AG714" i="42" s="1"/>
  <c r="AI714" i="42"/>
  <c r="AF749" i="42"/>
  <c r="AG749" i="42" s="1"/>
  <c r="AI749" i="42"/>
  <c r="AF754" i="42"/>
  <c r="AG754" i="42" s="1"/>
  <c r="AI754" i="42"/>
  <c r="AF760" i="42"/>
  <c r="AG760" i="42" s="1"/>
  <c r="AI760" i="42"/>
  <c r="AF255" i="24"/>
  <c r="AG255" i="24" s="1"/>
  <c r="AF713" i="42"/>
  <c r="AG713" i="42" s="1"/>
  <c r="AI713" i="42"/>
  <c r="AF753" i="42"/>
  <c r="AG753" i="42" s="1"/>
  <c r="AI753" i="42"/>
  <c r="AF758" i="42"/>
  <c r="AG758" i="42" s="1"/>
  <c r="AI758" i="42"/>
  <c r="AF761" i="42"/>
  <c r="AG761" i="42" s="1"/>
  <c r="AI761" i="42"/>
  <c r="AF716" i="42"/>
  <c r="AG716" i="42" s="1"/>
  <c r="AI716" i="42"/>
  <c r="AF757" i="42"/>
  <c r="AG757" i="42" s="1"/>
  <c r="AI757" i="42"/>
  <c r="AF717" i="42"/>
  <c r="AG717" i="42" s="1"/>
  <c r="AI717" i="42"/>
  <c r="AF245" i="24"/>
  <c r="AG245" i="24" s="1"/>
  <c r="AI245" i="24"/>
  <c r="AJ248" i="24"/>
  <c r="AI703" i="42"/>
  <c r="AF703" i="42"/>
  <c r="AG703" i="42" s="1"/>
  <c r="AF748" i="42"/>
  <c r="AG748" i="42" s="1"/>
  <c r="AI748" i="42"/>
  <c r="AI694" i="42"/>
  <c r="AF694" i="42"/>
  <c r="AG694" i="42" s="1"/>
  <c r="AF759" i="42"/>
  <c r="AG759" i="42" s="1"/>
  <c r="AI759" i="42"/>
  <c r="AF664" i="42"/>
  <c r="AG664" i="42" s="1"/>
  <c r="AI664" i="42"/>
  <c r="AF667" i="42"/>
  <c r="AG667" i="42" s="1"/>
  <c r="AI667" i="42"/>
  <c r="AF669" i="42"/>
  <c r="AG669" i="42" s="1"/>
  <c r="AI669" i="42"/>
  <c r="AF240" i="24"/>
  <c r="AG240" i="24" s="1"/>
  <c r="AJ240" i="24"/>
  <c r="AI240" i="24"/>
  <c r="AF249" i="24"/>
  <c r="AG249" i="24" s="1"/>
  <c r="AJ249" i="24"/>
  <c r="AI249" i="24"/>
  <c r="AF665" i="42"/>
  <c r="AG665" i="42" s="1"/>
  <c r="AI665" i="42"/>
  <c r="AF672" i="42"/>
  <c r="AG672" i="42" s="1"/>
  <c r="AI672" i="42"/>
  <c r="AF670" i="42"/>
  <c r="AG670" i="42" s="1"/>
  <c r="AI670" i="42"/>
  <c r="AJ814" i="42"/>
  <c r="AJ820" i="42"/>
  <c r="AI826" i="42"/>
  <c r="AI841" i="42"/>
  <c r="AJ823" i="42"/>
  <c r="AF829" i="42"/>
  <c r="AG829" i="42" s="1"/>
  <c r="AJ844" i="42"/>
  <c r="AI584" i="42"/>
  <c r="AF804" i="42"/>
  <c r="AG804" i="42" s="1"/>
  <c r="AJ817" i="42"/>
  <c r="AI832" i="42"/>
  <c r="AI844" i="42"/>
  <c r="AJ832" i="42"/>
  <c r="AF838" i="42"/>
  <c r="AG838" i="42" s="1"/>
  <c r="AI817" i="42"/>
  <c r="AI843" i="42"/>
  <c r="AF583" i="42"/>
  <c r="AG583" i="42" s="1"/>
  <c r="AJ792" i="42"/>
  <c r="AF811" i="42"/>
  <c r="AG811" i="42" s="1"/>
  <c r="AI829" i="42"/>
  <c r="AI838" i="42"/>
  <c r="AI847" i="42"/>
  <c r="AI814" i="42"/>
  <c r="AI810" i="42"/>
  <c r="AJ816" i="42"/>
  <c r="AI828" i="42"/>
  <c r="AI837" i="42"/>
  <c r="AI846" i="42"/>
  <c r="AJ822" i="42"/>
  <c r="AJ825" i="42"/>
  <c r="AJ828" i="42"/>
  <c r="AJ831" i="42"/>
  <c r="AJ834" i="42"/>
  <c r="AJ837" i="42"/>
  <c r="AJ840" i="42"/>
  <c r="AJ843" i="42"/>
  <c r="AJ846" i="42"/>
  <c r="AI813" i="42"/>
  <c r="AJ813" i="42"/>
  <c r="AI822" i="42"/>
  <c r="AI831" i="42"/>
  <c r="AI840" i="42"/>
  <c r="AI816" i="42"/>
  <c r="AJ805" i="42"/>
  <c r="AI818" i="42"/>
  <c r="AJ809" i="42"/>
  <c r="AJ812" i="42"/>
  <c r="AJ824" i="42"/>
  <c r="AJ827" i="42"/>
  <c r="AJ830" i="42"/>
  <c r="AJ833" i="42"/>
  <c r="AJ836" i="42"/>
  <c r="AJ839" i="42"/>
  <c r="AJ842" i="42"/>
  <c r="AJ845" i="42"/>
  <c r="AI821" i="42"/>
  <c r="AF809" i="42"/>
  <c r="AG809" i="42" s="1"/>
  <c r="AF812" i="42"/>
  <c r="AG812" i="42" s="1"/>
  <c r="AJ815" i="42"/>
  <c r="AJ818" i="42"/>
  <c r="AJ821" i="42"/>
  <c r="AF824" i="42"/>
  <c r="AG824" i="42" s="1"/>
  <c r="AF827" i="42"/>
  <c r="AG827" i="42" s="1"/>
  <c r="AF830" i="42"/>
  <c r="AG830" i="42" s="1"/>
  <c r="AF833" i="42"/>
  <c r="AG833" i="42" s="1"/>
  <c r="AF836" i="42"/>
  <c r="AG836" i="42" s="1"/>
  <c r="AF839" i="42"/>
  <c r="AG839" i="42" s="1"/>
  <c r="AF842" i="42"/>
  <c r="AG842" i="42" s="1"/>
  <c r="AF845" i="42"/>
  <c r="AG845" i="42" s="1"/>
  <c r="AI815" i="42"/>
  <c r="AI225" i="24"/>
  <c r="AI236" i="24"/>
  <c r="AJ221" i="34"/>
  <c r="AF209" i="34"/>
  <c r="AG209" i="34" s="1"/>
  <c r="AJ217" i="34"/>
  <c r="AF118" i="14"/>
  <c r="AG118" i="14" s="1"/>
  <c r="AJ584" i="42"/>
  <c r="AF588" i="42"/>
  <c r="AG588" i="42" s="1"/>
  <c r="AJ632" i="42"/>
  <c r="AJ789" i="42"/>
  <c r="AJ804" i="42"/>
  <c r="AF807" i="42"/>
  <c r="AG807" i="42" s="1"/>
  <c r="AF224" i="24"/>
  <c r="AG224" i="24" s="1"/>
  <c r="AJ220" i="24"/>
  <c r="AI583" i="42"/>
  <c r="AF622" i="42"/>
  <c r="AG622" i="42" s="1"/>
  <c r="AI800" i="42"/>
  <c r="AF792" i="42"/>
  <c r="AG792" i="42" s="1"/>
  <c r="AJ807" i="42"/>
  <c r="AJ793" i="42"/>
  <c r="AJ806" i="42"/>
  <c r="AI808" i="42"/>
  <c r="AI232" i="24"/>
  <c r="AF119" i="14"/>
  <c r="AG119" i="14" s="1"/>
  <c r="AJ587" i="42"/>
  <c r="AJ633" i="42"/>
  <c r="AF633" i="42"/>
  <c r="AG633" i="42" s="1"/>
  <c r="AF788" i="42"/>
  <c r="AG788" i="42" s="1"/>
  <c r="AF803" i="42"/>
  <c r="AG803" i="42" s="1"/>
  <c r="AF801" i="42"/>
  <c r="AG801" i="42" s="1"/>
  <c r="AI233" i="24"/>
  <c r="AF235" i="24"/>
  <c r="AG235" i="24" s="1"/>
  <c r="AI119" i="14"/>
  <c r="AF589" i="42"/>
  <c r="AG589" i="42" s="1"/>
  <c r="AI803" i="42"/>
  <c r="AF791" i="42"/>
  <c r="AG791" i="42" s="1"/>
  <c r="AF806" i="42"/>
  <c r="AG806" i="42" s="1"/>
  <c r="AJ788" i="42"/>
  <c r="AJ794" i="42"/>
  <c r="AI589" i="42"/>
  <c r="AJ619" i="42"/>
  <c r="AF632" i="42"/>
  <c r="AG632" i="42" s="1"/>
  <c r="AJ634" i="42"/>
  <c r="AF790" i="42"/>
  <c r="AG790" i="42" s="1"/>
  <c r="AJ802" i="42"/>
  <c r="AF805" i="42"/>
  <c r="AG805" i="42" s="1"/>
  <c r="AF789" i="42"/>
  <c r="AG789" i="42" s="1"/>
  <c r="AF634" i="42"/>
  <c r="AG634" i="42" s="1"/>
  <c r="AJ790" i="42"/>
  <c r="AF793" i="42"/>
  <c r="AG793" i="42" s="1"/>
  <c r="AF802" i="42"/>
  <c r="AG802" i="42" s="1"/>
  <c r="AJ590" i="42"/>
  <c r="AI791" i="42"/>
  <c r="AI794" i="42"/>
  <c r="AJ801" i="42"/>
  <c r="AI55" i="43"/>
  <c r="AF797" i="42"/>
  <c r="AG797" i="42" s="1"/>
  <c r="AF619" i="42"/>
  <c r="AG619" i="42" s="1"/>
  <c r="AJ798" i="42"/>
  <c r="AJ622" i="42"/>
  <c r="AF798" i="42"/>
  <c r="AG798" i="42" s="1"/>
  <c r="AF216" i="34"/>
  <c r="AG216" i="34" s="1"/>
  <c r="AJ220" i="34"/>
  <c r="AI587" i="42"/>
  <c r="AI590" i="42"/>
  <c r="AI797" i="42"/>
  <c r="AF795" i="42"/>
  <c r="AG795" i="42" s="1"/>
  <c r="AI742" i="42"/>
  <c r="AF799" i="42"/>
  <c r="AG799" i="42" s="1"/>
  <c r="AF742" i="42"/>
  <c r="AG742" i="42" s="1"/>
  <c r="AJ795" i="42"/>
  <c r="AF620" i="42"/>
  <c r="AG620" i="42" s="1"/>
  <c r="AJ799" i="42"/>
  <c r="AJ55" i="43"/>
  <c r="AJ796" i="42"/>
  <c r="AI231" i="24"/>
  <c r="AF232" i="24"/>
  <c r="AG232" i="24" s="1"/>
  <c r="AF233" i="24"/>
  <c r="AG233" i="24" s="1"/>
  <c r="AJ235" i="24"/>
  <c r="AJ229" i="24"/>
  <c r="AI116" i="14"/>
  <c r="AJ224" i="34"/>
  <c r="AJ223" i="34"/>
  <c r="AJ621" i="42"/>
  <c r="AF796" i="42"/>
  <c r="AG796" i="42" s="1"/>
  <c r="AF618" i="42"/>
  <c r="AG618" i="42" s="1"/>
  <c r="AF621" i="42"/>
  <c r="AG621" i="42" s="1"/>
  <c r="AI222" i="34"/>
  <c r="AI784" i="42"/>
  <c r="AJ225" i="34"/>
  <c r="AJ620" i="42"/>
  <c r="AJ787" i="42"/>
  <c r="AI618" i="42"/>
  <c r="AJ785" i="42"/>
  <c r="AI781" i="42"/>
  <c r="AJ783" i="42"/>
  <c r="AJ786" i="42"/>
  <c r="AJ230" i="24"/>
  <c r="AF222" i="34"/>
  <c r="AG222" i="34" s="1"/>
  <c r="AJ208" i="34"/>
  <c r="AJ780" i="42"/>
  <c r="AJ784" i="42"/>
  <c r="AF117" i="14"/>
  <c r="AG117" i="14" s="1"/>
  <c r="AJ214" i="34"/>
  <c r="AI225" i="34"/>
  <c r="AF781" i="42"/>
  <c r="AG781" i="42" s="1"/>
  <c r="AF785" i="42"/>
  <c r="AG785" i="42" s="1"/>
  <c r="AF229" i="24"/>
  <c r="AG229" i="24" s="1"/>
  <c r="AI56" i="43"/>
  <c r="AJ116" i="14"/>
  <c r="AJ216" i="34"/>
  <c r="AF224" i="34"/>
  <c r="AG224" i="34" s="1"/>
  <c r="AI223" i="34"/>
  <c r="AI212" i="34"/>
  <c r="AF220" i="34"/>
  <c r="AG220" i="34" s="1"/>
  <c r="AF780" i="42"/>
  <c r="AG780" i="42" s="1"/>
  <c r="AJ782" i="42"/>
  <c r="AI221" i="34"/>
  <c r="AI217" i="34"/>
  <c r="AF782" i="42"/>
  <c r="AG782" i="42" s="1"/>
  <c r="AJ203" i="34"/>
  <c r="AI213" i="34"/>
  <c r="AF777" i="42"/>
  <c r="AG777" i="42" s="1"/>
  <c r="AI218" i="34"/>
  <c r="AF228" i="24"/>
  <c r="AG228" i="24" s="1"/>
  <c r="AF219" i="34"/>
  <c r="AG219" i="34" s="1"/>
  <c r="AI228" i="24"/>
  <c r="AF221" i="24"/>
  <c r="AG221" i="24" s="1"/>
  <c r="AJ226" i="24"/>
  <c r="AF53" i="43"/>
  <c r="AG53" i="43" s="1"/>
  <c r="AJ211" i="34"/>
  <c r="AJ224" i="24"/>
  <c r="AI230" i="24"/>
  <c r="AF205" i="34"/>
  <c r="AG205" i="34" s="1"/>
  <c r="AF203" i="34"/>
  <c r="AG203" i="34" s="1"/>
  <c r="AF115" i="14"/>
  <c r="AG115" i="14" s="1"/>
  <c r="AF218" i="24"/>
  <c r="AG218" i="24" s="1"/>
  <c r="AJ225" i="24"/>
  <c r="AF56" i="43"/>
  <c r="AG56" i="43" s="1"/>
  <c r="AI117" i="14"/>
  <c r="AF206" i="34"/>
  <c r="AG206" i="34" s="1"/>
  <c r="AF213" i="34"/>
  <c r="AG213" i="34" s="1"/>
  <c r="AF218" i="34"/>
  <c r="AG218" i="34" s="1"/>
  <c r="AI214" i="24"/>
  <c r="AI221" i="24"/>
  <c r="AF226" i="24"/>
  <c r="AG226" i="24" s="1"/>
  <c r="AI219" i="34"/>
  <c r="AI211" i="34"/>
  <c r="AF54" i="43"/>
  <c r="AG54" i="43" s="1"/>
  <c r="AF219" i="24"/>
  <c r="AG219" i="24" s="1"/>
  <c r="AJ207" i="24"/>
  <c r="AI53" i="43"/>
  <c r="AI113" i="14"/>
  <c r="AJ210" i="34"/>
  <c r="AI215" i="34"/>
  <c r="AI207" i="34"/>
  <c r="AI54" i="43"/>
  <c r="AI210" i="34"/>
  <c r="AJ207" i="34"/>
  <c r="AJ215" i="34"/>
  <c r="AF201" i="34"/>
  <c r="AG201" i="34" s="1"/>
  <c r="AF227" i="24"/>
  <c r="AG227" i="24" s="1"/>
  <c r="AF111" i="14"/>
  <c r="AG111" i="14" s="1"/>
  <c r="AF112" i="14"/>
  <c r="AG112" i="14" s="1"/>
  <c r="AF212" i="34"/>
  <c r="AG212" i="34" s="1"/>
  <c r="AJ223" i="24"/>
  <c r="AI208" i="34"/>
  <c r="AI204" i="34"/>
  <c r="AF27" i="45"/>
  <c r="AG27" i="45" s="1"/>
  <c r="AJ206" i="34"/>
  <c r="AJ209" i="34"/>
  <c r="AJ205" i="34"/>
  <c r="AI27" i="45"/>
  <c r="AI201" i="34"/>
  <c r="AI223" i="24"/>
  <c r="AF114" i="14"/>
  <c r="AG114" i="14" s="1"/>
  <c r="AJ112" i="14"/>
  <c r="AJ114" i="14"/>
  <c r="AJ198" i="34"/>
  <c r="AJ192" i="34"/>
  <c r="AI214" i="34"/>
  <c r="AF204" i="34"/>
  <c r="AG204" i="34" s="1"/>
  <c r="AF217" i="24"/>
  <c r="AG217" i="24" s="1"/>
  <c r="AF211" i="24"/>
  <c r="AG211" i="24" s="1"/>
  <c r="AI207" i="24"/>
  <c r="AJ219" i="24"/>
  <c r="AF52" i="43"/>
  <c r="AG52" i="43" s="1"/>
  <c r="AF109" i="14"/>
  <c r="AG109" i="14" s="1"/>
  <c r="AF189" i="34"/>
  <c r="AG189" i="34" s="1"/>
  <c r="AI216" i="24"/>
  <c r="AF220" i="24"/>
  <c r="AG220" i="24" s="1"/>
  <c r="AJ222" i="24"/>
  <c r="AI115" i="14"/>
  <c r="AF200" i="34"/>
  <c r="AG200" i="34" s="1"/>
  <c r="AF30" i="45"/>
  <c r="AG30" i="45" s="1"/>
  <c r="AI211" i="24"/>
  <c r="AI218" i="24"/>
  <c r="AI222" i="24"/>
  <c r="AF113" i="14"/>
  <c r="AG113" i="14" s="1"/>
  <c r="AI110" i="14"/>
  <c r="AI109" i="14"/>
  <c r="AF191" i="34"/>
  <c r="AG191" i="34" s="1"/>
  <c r="AJ200" i="34"/>
  <c r="AJ194" i="34"/>
  <c r="AF196" i="34"/>
  <c r="AG196" i="34" s="1"/>
  <c r="AJ29" i="45"/>
  <c r="AI202" i="34"/>
  <c r="AF202" i="34"/>
  <c r="AG202" i="34" s="1"/>
  <c r="AJ196" i="34"/>
  <c r="AI29" i="45"/>
  <c r="AJ110" i="14"/>
  <c r="AF31" i="45"/>
  <c r="AG31" i="45" s="1"/>
  <c r="AI194" i="34"/>
  <c r="AJ189" i="34"/>
  <c r="AI52" i="43"/>
  <c r="AI31" i="45"/>
  <c r="AJ779" i="42"/>
  <c r="AF202" i="24"/>
  <c r="AG202" i="24" s="1"/>
  <c r="AF779" i="42"/>
  <c r="AG779" i="42" s="1"/>
  <c r="AJ213" i="24"/>
  <c r="AJ193" i="34"/>
  <c r="AF197" i="34"/>
  <c r="AG197" i="34" s="1"/>
  <c r="AJ197" i="34"/>
  <c r="AJ28" i="45"/>
  <c r="AI30" i="45"/>
  <c r="AF193" i="34"/>
  <c r="AG193" i="34" s="1"/>
  <c r="AF28" i="45"/>
  <c r="AG28" i="45" s="1"/>
  <c r="AI777" i="42"/>
  <c r="AF195" i="34"/>
  <c r="AG195" i="34" s="1"/>
  <c r="AJ217" i="24"/>
  <c r="AI111" i="14"/>
  <c r="AJ195" i="34"/>
  <c r="AF199" i="34"/>
  <c r="AG199" i="34" s="1"/>
  <c r="AF198" i="34"/>
  <c r="AG198" i="34" s="1"/>
  <c r="AF192" i="34"/>
  <c r="AG192" i="34" s="1"/>
  <c r="AJ186" i="34"/>
  <c r="AJ199" i="34"/>
  <c r="AF778" i="42"/>
  <c r="AG778" i="42" s="1"/>
  <c r="AJ778" i="42"/>
  <c r="AF190" i="34"/>
  <c r="AG190" i="34" s="1"/>
  <c r="AJ191" i="34"/>
  <c r="AF214" i="24"/>
  <c r="AG214" i="24" s="1"/>
  <c r="AF210" i="24"/>
  <c r="AG210" i="24" s="1"/>
  <c r="AI188" i="34"/>
  <c r="AJ50" i="43"/>
  <c r="AI774" i="42"/>
  <c r="AF46" i="43"/>
  <c r="AG46" i="43" s="1"/>
  <c r="AI51" i="43"/>
  <c r="AF215" i="24"/>
  <c r="AG215" i="24" s="1"/>
  <c r="AJ190" i="34"/>
  <c r="AI198" i="24"/>
  <c r="AF104" i="14"/>
  <c r="AG104" i="14" s="1"/>
  <c r="AI204" i="24"/>
  <c r="AI209" i="24"/>
  <c r="AJ212" i="24"/>
  <c r="AI186" i="34"/>
  <c r="AI185" i="34"/>
  <c r="AJ208" i="24"/>
  <c r="AJ210" i="24"/>
  <c r="AI213" i="24"/>
  <c r="AF216" i="24"/>
  <c r="AG216" i="24" s="1"/>
  <c r="AF208" i="24"/>
  <c r="AG208" i="24" s="1"/>
  <c r="AJ196" i="24"/>
  <c r="AF187" i="34"/>
  <c r="AG187" i="34" s="1"/>
  <c r="AJ47" i="43"/>
  <c r="AF49" i="43"/>
  <c r="AG49" i="43" s="1"/>
  <c r="AJ187" i="34"/>
  <c r="AJ774" i="42"/>
  <c r="AF212" i="24"/>
  <c r="AG212" i="24" s="1"/>
  <c r="AF194" i="24"/>
  <c r="AG194" i="24" s="1"/>
  <c r="AF209" i="24"/>
  <c r="AG209" i="24" s="1"/>
  <c r="AJ215" i="24"/>
  <c r="AJ204" i="24"/>
  <c r="AF51" i="43"/>
  <c r="AG51" i="43" s="1"/>
  <c r="AI104" i="14"/>
  <c r="AJ185" i="34"/>
  <c r="AJ26" i="45"/>
  <c r="AF48" i="43"/>
  <c r="AG48" i="43" s="1"/>
  <c r="AJ203" i="24"/>
  <c r="AJ46" i="43"/>
  <c r="AJ48" i="43"/>
  <c r="AF773" i="42"/>
  <c r="AG773" i="42" s="1"/>
  <c r="AI182" i="34"/>
  <c r="AJ776" i="42"/>
  <c r="AF182" i="34"/>
  <c r="AG182" i="34" s="1"/>
  <c r="AF184" i="34"/>
  <c r="AG184" i="34" s="1"/>
  <c r="AF188" i="34"/>
  <c r="AG188" i="34" s="1"/>
  <c r="AF103" i="14"/>
  <c r="AG103" i="14" s="1"/>
  <c r="AJ184" i="34"/>
  <c r="AF50" i="43"/>
  <c r="AG50" i="43" s="1"/>
  <c r="AF776" i="42"/>
  <c r="AG776" i="42" s="1"/>
  <c r="AF772" i="42"/>
  <c r="AG772" i="42" s="1"/>
  <c r="AI723" i="42"/>
  <c r="AI639" i="42"/>
  <c r="AJ773" i="42"/>
  <c r="AJ772" i="42"/>
  <c r="AF775" i="42"/>
  <c r="AG775" i="42" s="1"/>
  <c r="AJ611" i="42"/>
  <c r="AJ623" i="42"/>
  <c r="AJ775" i="42"/>
  <c r="AF576" i="42"/>
  <c r="AG576" i="42" s="1"/>
  <c r="AF190" i="24"/>
  <c r="AG190" i="24" s="1"/>
  <c r="AJ190" i="24"/>
  <c r="AF201" i="24"/>
  <c r="AG201" i="24" s="1"/>
  <c r="AI49" i="43"/>
  <c r="AJ105" i="14"/>
  <c r="AJ86" i="14"/>
  <c r="AJ98" i="14"/>
  <c r="AF157" i="34"/>
  <c r="AG157" i="34" s="1"/>
  <c r="AJ575" i="42"/>
  <c r="AI606" i="42"/>
  <c r="AJ653" i="42"/>
  <c r="AI103" i="14"/>
  <c r="AI25" i="45"/>
  <c r="AF25" i="45"/>
  <c r="AG25" i="45" s="1"/>
  <c r="AF596" i="42"/>
  <c r="AG596" i="42" s="1"/>
  <c r="AF626" i="42"/>
  <c r="AG626" i="42" s="1"/>
  <c r="AJ722" i="42"/>
  <c r="AI631" i="42"/>
  <c r="AJ720" i="42"/>
  <c r="AF600" i="42"/>
  <c r="AG600" i="42" s="1"/>
  <c r="AI628" i="42"/>
  <c r="AF578" i="42"/>
  <c r="AG578" i="42" s="1"/>
  <c r="AJ580" i="42"/>
  <c r="AF629" i="42"/>
  <c r="AG629" i="42" s="1"/>
  <c r="AI657" i="42"/>
  <c r="AI731" i="42"/>
  <c r="AI579" i="42"/>
  <c r="AJ613" i="42"/>
  <c r="AJ655" i="42"/>
  <c r="AJ637" i="42"/>
  <c r="AJ729" i="42"/>
  <c r="AJ762" i="42"/>
  <c r="AF766" i="42"/>
  <c r="AG766" i="42" s="1"/>
  <c r="AJ168" i="34"/>
  <c r="AJ577" i="42"/>
  <c r="AF581" i="42"/>
  <c r="AG581" i="42" s="1"/>
  <c r="AI635" i="42"/>
  <c r="AF719" i="42"/>
  <c r="AG719" i="42" s="1"/>
  <c r="AJ656" i="42"/>
  <c r="AJ768" i="42"/>
  <c r="AF763" i="42"/>
  <c r="AG763" i="42" s="1"/>
  <c r="AJ769" i="42"/>
  <c r="AF193" i="24"/>
  <c r="AG193" i="24" s="1"/>
  <c r="AJ193" i="24"/>
  <c r="AJ206" i="24"/>
  <c r="AF101" i="14"/>
  <c r="AG101" i="14" s="1"/>
  <c r="AI91" i="14"/>
  <c r="AJ201" i="24"/>
  <c r="AF91" i="14"/>
  <c r="AG91" i="14" s="1"/>
  <c r="AI105" i="14"/>
  <c r="AI157" i="34"/>
  <c r="AF183" i="34"/>
  <c r="AG183" i="34" s="1"/>
  <c r="AJ181" i="34"/>
  <c r="AF24" i="45"/>
  <c r="AG24" i="45" s="1"/>
  <c r="AJ183" i="34"/>
  <c r="AF47" i="43"/>
  <c r="AG47" i="43" s="1"/>
  <c r="AI102" i="14"/>
  <c r="AF594" i="42"/>
  <c r="AG594" i="42" s="1"/>
  <c r="AF647" i="42"/>
  <c r="AG647" i="42" s="1"/>
  <c r="AF196" i="24"/>
  <c r="AG196" i="24" s="1"/>
  <c r="AF206" i="24"/>
  <c r="AG206" i="24" s="1"/>
  <c r="AI101" i="14"/>
  <c r="AF98" i="14"/>
  <c r="AG98" i="14" s="1"/>
  <c r="AF181" i="34"/>
  <c r="AG181" i="34" s="1"/>
  <c r="AI168" i="34"/>
  <c r="AJ158" i="34"/>
  <c r="AF577" i="42"/>
  <c r="AG577" i="42" s="1"/>
  <c r="AF575" i="42"/>
  <c r="AG575" i="42" s="1"/>
  <c r="AI594" i="42"/>
  <c r="AF627" i="42"/>
  <c r="AG627" i="42" s="1"/>
  <c r="AF593" i="42"/>
  <c r="AG593" i="42" s="1"/>
  <c r="AJ607" i="42"/>
  <c r="AI638" i="42"/>
  <c r="AF724" i="42"/>
  <c r="AG724" i="42" s="1"/>
  <c r="AI612" i="42"/>
  <c r="AI642" i="42"/>
  <c r="AJ650" i="42"/>
  <c r="AI656" i="42"/>
  <c r="AI763" i="42"/>
  <c r="AF769" i="42"/>
  <c r="AG769" i="42" s="1"/>
  <c r="AF179" i="34"/>
  <c r="AG179" i="34" s="1"/>
  <c r="AJ102" i="14"/>
  <c r="AJ605" i="42"/>
  <c r="AF630" i="42"/>
  <c r="AG630" i="42" s="1"/>
  <c r="AF635" i="42"/>
  <c r="AG635" i="42" s="1"/>
  <c r="AF641" i="42"/>
  <c r="AG641" i="42" s="1"/>
  <c r="AJ730" i="42"/>
  <c r="AJ726" i="42"/>
  <c r="AF765" i="42"/>
  <c r="AG765" i="42" s="1"/>
  <c r="AF582" i="42"/>
  <c r="AG582" i="42" s="1"/>
  <c r="AI600" i="42"/>
  <c r="AJ627" i="42"/>
  <c r="AI581" i="42"/>
  <c r="AI593" i="42"/>
  <c r="AF601" i="42"/>
  <c r="AG601" i="42" s="1"/>
  <c r="AF616" i="42"/>
  <c r="AG616" i="42" s="1"/>
  <c r="AI615" i="42"/>
  <c r="AF638" i="42"/>
  <c r="AG638" i="42" s="1"/>
  <c r="AI641" i="42"/>
  <c r="AF649" i="42"/>
  <c r="AG649" i="42" s="1"/>
  <c r="AI719" i="42"/>
  <c r="AI730" i="42"/>
  <c r="AJ643" i="42"/>
  <c r="AJ724" i="42"/>
  <c r="AF726" i="42"/>
  <c r="AG726" i="42" s="1"/>
  <c r="AF612" i="42"/>
  <c r="AG612" i="42" s="1"/>
  <c r="AJ642" i="42"/>
  <c r="AJ647" i="42"/>
  <c r="AF650" i="42"/>
  <c r="AG650" i="42" s="1"/>
  <c r="AF723" i="42"/>
  <c r="AG723" i="42" s="1"/>
  <c r="AJ765" i="42"/>
  <c r="AF768" i="42"/>
  <c r="AG768" i="42" s="1"/>
  <c r="AI574" i="42"/>
  <c r="AJ614" i="42"/>
  <c r="AF573" i="42"/>
  <c r="AG573" i="42" s="1"/>
  <c r="AJ603" i="42"/>
  <c r="AF610" i="42"/>
  <c r="AG610" i="42" s="1"/>
  <c r="AF625" i="42"/>
  <c r="AG625" i="42" s="1"/>
  <c r="AF646" i="42"/>
  <c r="AG646" i="42" s="1"/>
  <c r="AI727" i="42"/>
  <c r="AF609" i="42"/>
  <c r="AG609" i="42" s="1"/>
  <c r="AJ640" i="42"/>
  <c r="AJ771" i="42"/>
  <c r="AF764" i="42"/>
  <c r="AG764" i="42" s="1"/>
  <c r="AF608" i="42"/>
  <c r="AG608" i="42" s="1"/>
  <c r="AF617" i="42"/>
  <c r="AG617" i="42" s="1"/>
  <c r="AI654" i="42"/>
  <c r="AJ597" i="42"/>
  <c r="AF605" i="42"/>
  <c r="AG605" i="42" s="1"/>
  <c r="AF611" i="42"/>
  <c r="AG611" i="42" s="1"/>
  <c r="AF623" i="42"/>
  <c r="AG623" i="42" s="1"/>
  <c r="AJ630" i="42"/>
  <c r="AJ601" i="42"/>
  <c r="AF607" i="42"/>
  <c r="AG607" i="42" s="1"/>
  <c r="AJ616" i="42"/>
  <c r="AI651" i="42"/>
  <c r="AI721" i="42"/>
  <c r="AI636" i="42"/>
  <c r="AI645" i="42"/>
  <c r="AI728" i="42"/>
  <c r="AF595" i="42"/>
  <c r="AG595" i="42" s="1"/>
  <c r="AI644" i="42"/>
  <c r="AI652" i="42"/>
  <c r="AI725" i="42"/>
  <c r="AI648" i="42"/>
  <c r="AJ574" i="42"/>
  <c r="AJ579" i="42"/>
  <c r="AJ582" i="42"/>
  <c r="AF602" i="42"/>
  <c r="AG602" i="42" s="1"/>
  <c r="AI573" i="42"/>
  <c r="AI576" i="42"/>
  <c r="AJ596" i="42"/>
  <c r="AF604" i="42"/>
  <c r="AG604" i="42" s="1"/>
  <c r="AJ626" i="42"/>
  <c r="AF606" i="42"/>
  <c r="AG606" i="42" s="1"/>
  <c r="AF615" i="42"/>
  <c r="AG615" i="42" s="1"/>
  <c r="AJ646" i="42"/>
  <c r="AJ649" i="42"/>
  <c r="AI655" i="42"/>
  <c r="AI722" i="42"/>
  <c r="AF628" i="42"/>
  <c r="AG628" i="42" s="1"/>
  <c r="AI637" i="42"/>
  <c r="AI640" i="42"/>
  <c r="AI643" i="42"/>
  <c r="AI729" i="42"/>
  <c r="AF631" i="42"/>
  <c r="AG631" i="42" s="1"/>
  <c r="AI653" i="42"/>
  <c r="AI720" i="42"/>
  <c r="AI766" i="42"/>
  <c r="AI771" i="42"/>
  <c r="AI598" i="42"/>
  <c r="AJ598" i="42"/>
  <c r="AJ602" i="42"/>
  <c r="AJ604" i="42"/>
  <c r="AF613" i="42"/>
  <c r="AG613" i="42" s="1"/>
  <c r="AF762" i="42"/>
  <c r="AG762" i="42" s="1"/>
  <c r="AI580" i="42"/>
  <c r="AF597" i="42"/>
  <c r="AG597" i="42" s="1"/>
  <c r="AJ599" i="42"/>
  <c r="AI595" i="42"/>
  <c r="AF614" i="42"/>
  <c r="AG614" i="42" s="1"/>
  <c r="AJ578" i="42"/>
  <c r="AF603" i="42"/>
  <c r="AG603" i="42" s="1"/>
  <c r="AI625" i="42"/>
  <c r="AJ644" i="42"/>
  <c r="AJ652" i="42"/>
  <c r="AJ725" i="42"/>
  <c r="AJ727" i="42"/>
  <c r="AI609" i="42"/>
  <c r="AJ648" i="42"/>
  <c r="AJ651" i="42"/>
  <c r="AJ654" i="42"/>
  <c r="AJ657" i="42"/>
  <c r="AJ721" i="42"/>
  <c r="AJ636" i="42"/>
  <c r="AJ639" i="42"/>
  <c r="AJ645" i="42"/>
  <c r="AJ728" i="42"/>
  <c r="AJ731" i="42"/>
  <c r="AJ770" i="42"/>
  <c r="AJ767" i="42"/>
  <c r="AI599" i="42"/>
  <c r="AJ608" i="42"/>
  <c r="AJ617" i="42"/>
  <c r="AJ610" i="42"/>
  <c r="AJ629" i="42"/>
  <c r="AF770" i="42"/>
  <c r="AG770" i="42" s="1"/>
  <c r="AJ764" i="42"/>
  <c r="AF767" i="42"/>
  <c r="AG767" i="42" s="1"/>
  <c r="AI203" i="24"/>
  <c r="AI161" i="34"/>
  <c r="AJ156" i="34"/>
  <c r="AF26" i="45"/>
  <c r="AG26" i="45" s="1"/>
  <c r="AF173" i="34"/>
  <c r="AG173" i="34" s="1"/>
  <c r="AF178" i="34"/>
  <c r="AG178" i="34" s="1"/>
  <c r="AJ176" i="34"/>
  <c r="AI199" i="24"/>
  <c r="AF180" i="34"/>
  <c r="AG180" i="34" s="1"/>
  <c r="AI176" i="34"/>
  <c r="AI180" i="34"/>
  <c r="AJ179" i="34"/>
  <c r="AJ165" i="34"/>
  <c r="AI195" i="24"/>
  <c r="AF200" i="24"/>
  <c r="AG200" i="24" s="1"/>
  <c r="AI194" i="24"/>
  <c r="AF195" i="24"/>
  <c r="AG195" i="24" s="1"/>
  <c r="AJ198" i="24"/>
  <c r="AI200" i="24"/>
  <c r="AJ87" i="14"/>
  <c r="AF89" i="14"/>
  <c r="AG89" i="14" s="1"/>
  <c r="AF97" i="14"/>
  <c r="AG97" i="14" s="1"/>
  <c r="AF177" i="34"/>
  <c r="AG177" i="34" s="1"/>
  <c r="AI178" i="34"/>
  <c r="AJ177" i="34"/>
  <c r="AF165" i="34"/>
  <c r="AG165" i="34" s="1"/>
  <c r="AF158" i="34"/>
  <c r="AG158" i="34" s="1"/>
  <c r="AF154" i="34"/>
  <c r="AG154" i="34" s="1"/>
  <c r="AF162" i="34"/>
  <c r="AG162" i="34" s="1"/>
  <c r="AI24" i="45"/>
  <c r="AI97" i="14"/>
  <c r="AI21" i="45"/>
  <c r="AJ174" i="34"/>
  <c r="AI202" i="24"/>
  <c r="AJ205" i="24"/>
  <c r="AI96" i="14"/>
  <c r="AF205" i="24"/>
  <c r="AG205" i="24" s="1"/>
  <c r="AF197" i="24"/>
  <c r="AG197" i="24" s="1"/>
  <c r="AF199" i="24"/>
  <c r="AG199" i="24" s="1"/>
  <c r="AI197" i="24"/>
  <c r="AJ96" i="14"/>
  <c r="AJ191" i="24"/>
  <c r="AI43" i="43"/>
  <c r="AJ166" i="34"/>
  <c r="AF161" i="34"/>
  <c r="AG161" i="34" s="1"/>
  <c r="AI149" i="34"/>
  <c r="AI156" i="34"/>
  <c r="AI174" i="34"/>
  <c r="AJ173" i="34"/>
  <c r="AJ175" i="34"/>
  <c r="AI166" i="34"/>
  <c r="AF175" i="34"/>
  <c r="AG175" i="34" s="1"/>
  <c r="AF88" i="14"/>
  <c r="AG88" i="14" s="1"/>
  <c r="AF153" i="34"/>
  <c r="AG153" i="34" s="1"/>
  <c r="AJ182" i="24"/>
  <c r="AF44" i="43"/>
  <c r="AG44" i="43" s="1"/>
  <c r="AJ44" i="43"/>
  <c r="AI94" i="14"/>
  <c r="AI192" i="24"/>
  <c r="AF99" i="14"/>
  <c r="AG99" i="14" s="1"/>
  <c r="AF171" i="34"/>
  <c r="AG171" i="34" s="1"/>
  <c r="AJ192" i="24"/>
  <c r="AF95" i="14"/>
  <c r="AG95" i="14" s="1"/>
  <c r="AI100" i="14"/>
  <c r="AI153" i="34"/>
  <c r="AJ171" i="34"/>
  <c r="AI159" i="34"/>
  <c r="AI187" i="24"/>
  <c r="AI95" i="14"/>
  <c r="AI99" i="14"/>
  <c r="AJ22" i="45"/>
  <c r="AF23" i="45"/>
  <c r="AG23" i="45" s="1"/>
  <c r="AJ93" i="14"/>
  <c r="AI170" i="34"/>
  <c r="AF183" i="24"/>
  <c r="AG183" i="24" s="1"/>
  <c r="AI185" i="24"/>
  <c r="AF185" i="24"/>
  <c r="AG185" i="24" s="1"/>
  <c r="AJ45" i="43"/>
  <c r="AJ169" i="34"/>
  <c r="AI163" i="34"/>
  <c r="AI172" i="34"/>
  <c r="AJ172" i="34"/>
  <c r="AF43" i="43"/>
  <c r="AG43" i="43" s="1"/>
  <c r="AI169" i="34"/>
  <c r="AF163" i="34"/>
  <c r="AG163" i="34" s="1"/>
  <c r="AJ181" i="24"/>
  <c r="AF93" i="14"/>
  <c r="AG93" i="14" s="1"/>
  <c r="AJ100" i="14"/>
  <c r="AF149" i="34"/>
  <c r="AG149" i="34" s="1"/>
  <c r="AJ170" i="34"/>
  <c r="AI164" i="34"/>
  <c r="AF167" i="34"/>
  <c r="AG167" i="34" s="1"/>
  <c r="AF21" i="45"/>
  <c r="AG21" i="45" s="1"/>
  <c r="AI45" i="43"/>
  <c r="AF164" i="34"/>
  <c r="AG164" i="34" s="1"/>
  <c r="AJ167" i="34"/>
  <c r="AI23" i="45"/>
  <c r="AI42" i="43"/>
  <c r="AF87" i="14"/>
  <c r="AG87" i="14" s="1"/>
  <c r="AI22" i="45"/>
  <c r="AJ162" i="34"/>
  <c r="AJ154" i="34"/>
  <c r="AJ94" i="14"/>
  <c r="AJ189" i="24"/>
  <c r="AF159" i="34"/>
  <c r="AG159" i="34" s="1"/>
  <c r="AI186" i="24"/>
  <c r="AF160" i="34"/>
  <c r="AG160" i="34" s="1"/>
  <c r="AF92" i="14"/>
  <c r="AG92" i="14" s="1"/>
  <c r="AF186" i="24"/>
  <c r="AG186" i="24" s="1"/>
  <c r="AF189" i="24"/>
  <c r="AG189" i="24" s="1"/>
  <c r="AI191" i="24"/>
  <c r="AI155" i="34"/>
  <c r="AF155" i="34"/>
  <c r="AG155" i="34" s="1"/>
  <c r="AJ160" i="34"/>
  <c r="AI92" i="14"/>
  <c r="AJ90" i="14"/>
  <c r="AI85" i="14"/>
  <c r="AI151" i="34"/>
  <c r="AF151" i="34"/>
  <c r="AG151" i="34" s="1"/>
  <c r="AF42" i="43"/>
  <c r="AG42" i="43" s="1"/>
  <c r="AI89" i="14"/>
  <c r="AI88" i="14"/>
  <c r="AF187" i="24"/>
  <c r="AG187" i="24" s="1"/>
  <c r="AJ184" i="24"/>
  <c r="AF90" i="14"/>
  <c r="AG90" i="14" s="1"/>
  <c r="AJ152" i="34"/>
  <c r="AF188" i="24"/>
  <c r="AG188" i="24" s="1"/>
  <c r="AI188" i="24"/>
  <c r="AJ188" i="24"/>
  <c r="AJ144" i="34"/>
  <c r="AI152" i="34"/>
  <c r="AI182" i="24"/>
  <c r="AI184" i="24"/>
  <c r="AF86" i="14"/>
  <c r="AG86" i="14" s="1"/>
  <c r="AJ146" i="34"/>
  <c r="AI146" i="34"/>
  <c r="AJ142" i="34"/>
  <c r="AJ40" i="43"/>
  <c r="AI176" i="24"/>
  <c r="AI41" i="43"/>
  <c r="AF176" i="24"/>
  <c r="AG176" i="24" s="1"/>
  <c r="AI172" i="24"/>
  <c r="AF4" i="15"/>
  <c r="AG4" i="15" s="1"/>
  <c r="AJ172" i="24"/>
  <c r="AJ536" i="42"/>
  <c r="AJ563" i="42"/>
  <c r="AJ170" i="24"/>
  <c r="AF115" i="15"/>
  <c r="AG115" i="15" s="1"/>
  <c r="AF144" i="34"/>
  <c r="AG144" i="34" s="1"/>
  <c r="AJ150" i="34"/>
  <c r="AJ41" i="43"/>
  <c r="AJ85" i="14"/>
  <c r="AF150" i="34"/>
  <c r="AG150" i="34" s="1"/>
  <c r="AJ147" i="15"/>
  <c r="AJ177" i="24"/>
  <c r="AJ148" i="34"/>
  <c r="AI148" i="34"/>
  <c r="AJ179" i="24"/>
  <c r="AI179" i="24"/>
  <c r="AF147" i="34"/>
  <c r="AG147" i="34" s="1"/>
  <c r="AF173" i="24"/>
  <c r="AG173" i="24" s="1"/>
  <c r="AI173" i="24"/>
  <c r="AI180" i="24"/>
  <c r="AI589" i="13"/>
  <c r="AG589" i="13"/>
  <c r="AF177" i="24"/>
  <c r="AG177" i="24" s="1"/>
  <c r="AJ211" i="15"/>
  <c r="AI119" i="15"/>
  <c r="AJ180" i="24"/>
  <c r="AJ533" i="42"/>
  <c r="F30" i="25" s="1"/>
  <c r="F42" i="25" s="1"/>
  <c r="AJ562" i="42"/>
  <c r="AI566" i="42"/>
  <c r="AF84" i="14"/>
  <c r="AG84" i="14" s="1"/>
  <c r="AI539" i="42"/>
  <c r="AF565" i="42"/>
  <c r="AG565" i="42" s="1"/>
  <c r="AI533" i="42"/>
  <c r="AI83" i="14"/>
  <c r="AJ83" i="14"/>
  <c r="AF571" i="42"/>
  <c r="AG571" i="42" s="1"/>
  <c r="AJ171" i="24"/>
  <c r="AF171" i="24"/>
  <c r="AG171" i="24" s="1"/>
  <c r="AI534" i="42"/>
  <c r="AJ565" i="42"/>
  <c r="AF553" i="42"/>
  <c r="AG553" i="42" s="1"/>
  <c r="AF570" i="42"/>
  <c r="AG570" i="42" s="1"/>
  <c r="AI553" i="42"/>
  <c r="AI570" i="42"/>
  <c r="AI84" i="14"/>
  <c r="AJ545" i="42"/>
  <c r="AI536" i="42"/>
  <c r="AF563" i="42"/>
  <c r="AG563" i="42" s="1"/>
  <c r="AF559" i="42"/>
  <c r="AG559" i="42" s="1"/>
  <c r="AF343" i="15"/>
  <c r="AG343" i="15" s="1"/>
  <c r="AJ540" i="42"/>
  <c r="AJ539" i="42"/>
  <c r="AF562" i="42"/>
  <c r="AG562" i="42" s="1"/>
  <c r="AF548" i="42"/>
  <c r="AG548" i="42" s="1"/>
  <c r="AJ560" i="42"/>
  <c r="AF566" i="42"/>
  <c r="AG566" i="42" s="1"/>
  <c r="AJ550" i="42"/>
  <c r="AF73" i="42"/>
  <c r="AG73" i="42" s="1"/>
  <c r="AI73" i="42"/>
  <c r="AJ73" i="42"/>
  <c r="AF54" i="42"/>
  <c r="AG54" i="42" s="1"/>
  <c r="AI54" i="42"/>
  <c r="AJ54" i="42"/>
  <c r="AI66" i="42"/>
  <c r="AF66" i="42"/>
  <c r="AG66" i="42" s="1"/>
  <c r="AF46" i="42"/>
  <c r="AG46" i="42" s="1"/>
  <c r="AI46" i="42"/>
  <c r="AJ46" i="42"/>
  <c r="AF30" i="42"/>
  <c r="AG30" i="42" s="1"/>
  <c r="AI30" i="42"/>
  <c r="AJ30" i="42"/>
  <c r="AJ105" i="42"/>
  <c r="AI105" i="42"/>
  <c r="AF105" i="42"/>
  <c r="AG105" i="42" s="1"/>
  <c r="AF79" i="42"/>
  <c r="AG79" i="42" s="1"/>
  <c r="AJ79" i="42"/>
  <c r="AI79" i="42"/>
  <c r="AI21" i="42"/>
  <c r="AF21" i="42"/>
  <c r="AG21" i="42" s="1"/>
  <c r="AJ21" i="42"/>
  <c r="AJ82" i="42"/>
  <c r="AF82" i="42"/>
  <c r="AG82" i="42" s="1"/>
  <c r="AI82" i="42"/>
  <c r="AJ78" i="42"/>
  <c r="AF78" i="42"/>
  <c r="AG78" i="42" s="1"/>
  <c r="AI78" i="42"/>
  <c r="AF88" i="42"/>
  <c r="AG88" i="42" s="1"/>
  <c r="AI88" i="42"/>
  <c r="AJ88" i="42"/>
  <c r="AI29" i="42"/>
  <c r="AF29" i="42"/>
  <c r="AG29" i="42" s="1"/>
  <c r="AJ29" i="42"/>
  <c r="AJ571" i="42"/>
  <c r="AI53" i="42"/>
  <c r="AJ53" i="42"/>
  <c r="AF53" i="42"/>
  <c r="AG53" i="42" s="1"/>
  <c r="AF38" i="42"/>
  <c r="AG38" i="42" s="1"/>
  <c r="AI38" i="42"/>
  <c r="AJ38" i="42"/>
  <c r="AJ90" i="42"/>
  <c r="AF90" i="42"/>
  <c r="AG90" i="42" s="1"/>
  <c r="AI90" i="42"/>
  <c r="AI58" i="42"/>
  <c r="AJ58" i="42"/>
  <c r="AF58" i="42"/>
  <c r="AG58" i="42" s="1"/>
  <c r="AI45" i="42"/>
  <c r="AJ45" i="42"/>
  <c r="AF45" i="42"/>
  <c r="AG45" i="42" s="1"/>
  <c r="AF91" i="42"/>
  <c r="AG91" i="42" s="1"/>
  <c r="AJ91" i="42"/>
  <c r="AI91" i="42"/>
  <c r="AI64" i="42"/>
  <c r="AJ64" i="42"/>
  <c r="AF64" i="42"/>
  <c r="AG64" i="42" s="1"/>
  <c r="AJ97" i="42"/>
  <c r="AF97" i="42"/>
  <c r="AG97" i="42" s="1"/>
  <c r="AI97" i="42"/>
  <c r="AJ96" i="42"/>
  <c r="AF96" i="42"/>
  <c r="AG96" i="42" s="1"/>
  <c r="AI96" i="42"/>
  <c r="AI37" i="42"/>
  <c r="AF37" i="42"/>
  <c r="AG37" i="42" s="1"/>
  <c r="AJ37" i="42"/>
  <c r="AJ60" i="42"/>
  <c r="AI60" i="42"/>
  <c r="AF60" i="42"/>
  <c r="AG60" i="42" s="1"/>
  <c r="AJ81" i="42"/>
  <c r="AF81" i="42"/>
  <c r="AG81" i="42" s="1"/>
  <c r="AI81" i="42"/>
  <c r="AI13" i="42"/>
  <c r="AF13" i="42"/>
  <c r="AG13" i="42" s="1"/>
  <c r="AJ13" i="42"/>
  <c r="AJ84" i="42"/>
  <c r="AI84" i="42"/>
  <c r="AF84" i="42"/>
  <c r="AG84" i="42" s="1"/>
  <c r="AI558" i="42"/>
  <c r="AJ541" i="42"/>
  <c r="AF568" i="42"/>
  <c r="AG568" i="42" s="1"/>
  <c r="AJ555" i="42"/>
  <c r="AI98" i="42"/>
  <c r="AJ98" i="42"/>
  <c r="AF98" i="42"/>
  <c r="AG98" i="42" s="1"/>
  <c r="AJ95" i="42"/>
  <c r="AI95" i="42"/>
  <c r="AF95" i="42"/>
  <c r="AG95" i="42" s="1"/>
  <c r="AJ157" i="42"/>
  <c r="AI157" i="42"/>
  <c r="AF157" i="42"/>
  <c r="AG157" i="42" s="1"/>
  <c r="AJ150" i="42"/>
  <c r="AI150" i="42"/>
  <c r="AF150" i="42"/>
  <c r="AG150" i="42" s="1"/>
  <c r="AJ92" i="42"/>
  <c r="AI92" i="42"/>
  <c r="AF92" i="42"/>
  <c r="AG92" i="42" s="1"/>
  <c r="AJ151" i="42"/>
  <c r="AI151" i="42"/>
  <c r="AF151" i="42"/>
  <c r="AG151" i="42" s="1"/>
  <c r="AJ186" i="42"/>
  <c r="AF110" i="42"/>
  <c r="AG110" i="42" s="1"/>
  <c r="AJ161" i="42"/>
  <c r="AF161" i="42"/>
  <c r="AG161" i="42" s="1"/>
  <c r="AI161" i="42"/>
  <c r="AJ181" i="42"/>
  <c r="AJ448" i="42"/>
  <c r="AF311" i="42"/>
  <c r="AG311" i="42" s="1"/>
  <c r="AF527" i="42"/>
  <c r="AG527" i="42" s="1"/>
  <c r="AJ519" i="42"/>
  <c r="AJ528" i="42"/>
  <c r="AJ185" i="42"/>
  <c r="AF181" i="24"/>
  <c r="AG181" i="24" s="1"/>
  <c r="AJ178" i="24"/>
  <c r="AJ183" i="24"/>
  <c r="AF145" i="34"/>
  <c r="AG145" i="34" s="1"/>
  <c r="AF183" i="42"/>
  <c r="AG183" i="42" s="1"/>
  <c r="AJ535" i="42"/>
  <c r="AJ564" i="42"/>
  <c r="AF569" i="42"/>
  <c r="AG569" i="42" s="1"/>
  <c r="AI529" i="42"/>
  <c r="AI552" i="42"/>
  <c r="AF552" i="42"/>
  <c r="AG552" i="42" s="1"/>
  <c r="AF558" i="42"/>
  <c r="AG558" i="42" s="1"/>
  <c r="AJ175" i="24"/>
  <c r="AF178" i="24"/>
  <c r="AG178" i="24" s="1"/>
  <c r="AI147" i="34"/>
  <c r="AF107" i="42"/>
  <c r="AG107" i="42" s="1"/>
  <c r="AJ532" i="42"/>
  <c r="AF543" i="42"/>
  <c r="AG543" i="42" s="1"/>
  <c r="AJ546" i="42"/>
  <c r="AJ538" i="42"/>
  <c r="AF561" i="42"/>
  <c r="AG561" i="42" s="1"/>
  <c r="AJ567" i="42"/>
  <c r="AJ521" i="42"/>
  <c r="AI521" i="42"/>
  <c r="AF466" i="42"/>
  <c r="AG466" i="42" s="1"/>
  <c r="AJ106" i="42"/>
  <c r="AI181" i="42"/>
  <c r="AI185" i="42"/>
  <c r="AJ548" i="42"/>
  <c r="AJ537" i="42"/>
  <c r="AI540" i="42"/>
  <c r="AF560" i="42"/>
  <c r="AG560" i="42" s="1"/>
  <c r="AI106" i="42"/>
  <c r="AJ531" i="42"/>
  <c r="AF545" i="42"/>
  <c r="AG545" i="42" s="1"/>
  <c r="AI531" i="42"/>
  <c r="AJ534" i="42"/>
  <c r="AI537" i="42"/>
  <c r="AI469" i="42"/>
  <c r="AJ107" i="42"/>
  <c r="AJ110" i="42"/>
  <c r="AJ183" i="42"/>
  <c r="AI186" i="42"/>
  <c r="AJ543" i="42"/>
  <c r="AF549" i="42"/>
  <c r="AG549" i="42" s="1"/>
  <c r="AI532" i="42"/>
  <c r="AI535" i="42"/>
  <c r="AI538" i="42"/>
  <c r="AI541" i="42"/>
  <c r="AI561" i="42"/>
  <c r="AF564" i="42"/>
  <c r="AG564" i="42" s="1"/>
  <c r="AF567" i="42"/>
  <c r="AG567" i="42" s="1"/>
  <c r="AI568" i="42"/>
  <c r="AI569" i="42"/>
  <c r="AJ518" i="42"/>
  <c r="AJ527" i="42"/>
  <c r="AI518" i="42"/>
  <c r="AJ529" i="42"/>
  <c r="AF555" i="42"/>
  <c r="AG555" i="42" s="1"/>
  <c r="AJ502" i="42"/>
  <c r="AF287" i="42"/>
  <c r="AG287" i="42" s="1"/>
  <c r="AI311" i="42"/>
  <c r="AF281" i="42"/>
  <c r="AG281" i="42" s="1"/>
  <c r="AJ287" i="42"/>
  <c r="AF546" i="42"/>
  <c r="AG546" i="42" s="1"/>
  <c r="AJ549" i="42"/>
  <c r="AI466" i="42"/>
  <c r="AJ281" i="42"/>
  <c r="AI184" i="42"/>
  <c r="AI188" i="42"/>
  <c r="AI556" i="42"/>
  <c r="AF556" i="42"/>
  <c r="AG556" i="42" s="1"/>
  <c r="AJ559" i="42"/>
  <c r="AI291" i="42"/>
  <c r="AI550" i="42"/>
  <c r="AI309" i="42"/>
  <c r="AI493" i="42"/>
  <c r="AJ184" i="42"/>
  <c r="AI180" i="42"/>
  <c r="AJ188" i="42"/>
  <c r="AF517" i="42"/>
  <c r="AG517" i="42" s="1"/>
  <c r="AI519" i="42"/>
  <c r="AI288" i="42"/>
  <c r="AI306" i="42"/>
  <c r="AJ354" i="42"/>
  <c r="AJ180" i="42"/>
  <c r="AJ517" i="42"/>
  <c r="AF528" i="42"/>
  <c r="AG528" i="42" s="1"/>
  <c r="AF288" i="42"/>
  <c r="AG288" i="42" s="1"/>
  <c r="AF294" i="42"/>
  <c r="AG294" i="42" s="1"/>
  <c r="AI351" i="42"/>
  <c r="AJ512" i="42"/>
  <c r="AI516" i="42"/>
  <c r="AJ368" i="42"/>
  <c r="AI368" i="42"/>
  <c r="AJ520" i="42"/>
  <c r="AI520" i="42"/>
  <c r="AI280" i="42"/>
  <c r="AJ280" i="42"/>
  <c r="AF360" i="42"/>
  <c r="AG360" i="42" s="1"/>
  <c r="AJ360" i="42"/>
  <c r="AJ551" i="42"/>
  <c r="AI551" i="42"/>
  <c r="AJ554" i="42"/>
  <c r="AI554" i="42"/>
  <c r="AJ557" i="42"/>
  <c r="AI557" i="42"/>
  <c r="AI522" i="42"/>
  <c r="AJ522" i="42"/>
  <c r="AF530" i="42"/>
  <c r="AG530" i="42" s="1"/>
  <c r="AJ530" i="42"/>
  <c r="AI468" i="42"/>
  <c r="AJ468" i="42"/>
  <c r="AF465" i="42"/>
  <c r="AG465" i="42" s="1"/>
  <c r="AJ465" i="42"/>
  <c r="AI282" i="42"/>
  <c r="AF282" i="42"/>
  <c r="AG282" i="42" s="1"/>
  <c r="AF303" i="42"/>
  <c r="AG303" i="42" s="1"/>
  <c r="AI303" i="42"/>
  <c r="AI315" i="42"/>
  <c r="AF315" i="42"/>
  <c r="AG315" i="42" s="1"/>
  <c r="AF342" i="42"/>
  <c r="AG342" i="42" s="1"/>
  <c r="AI342" i="42"/>
  <c r="AI374" i="42"/>
  <c r="AJ374" i="42"/>
  <c r="AI542" i="42"/>
  <c r="AJ542" i="42"/>
  <c r="AI544" i="42"/>
  <c r="AJ544" i="42"/>
  <c r="AI547" i="42"/>
  <c r="AJ547" i="42"/>
  <c r="AF512" i="42"/>
  <c r="AG512" i="42" s="1"/>
  <c r="AF522" i="42"/>
  <c r="AG522" i="42" s="1"/>
  <c r="AF557" i="42"/>
  <c r="AG557" i="42" s="1"/>
  <c r="AF469" i="42"/>
  <c r="AG469" i="42" s="1"/>
  <c r="AI360" i="42"/>
  <c r="AF291" i="42"/>
  <c r="AG291" i="42" s="1"/>
  <c r="AI294" i="42"/>
  <c r="AI345" i="42"/>
  <c r="AJ315" i="42"/>
  <c r="AF351" i="42"/>
  <c r="AG351" i="42" s="1"/>
  <c r="AJ516" i="42"/>
  <c r="AF520" i="42"/>
  <c r="AG520" i="42" s="1"/>
  <c r="AJ283" i="42"/>
  <c r="AF364" i="42"/>
  <c r="AG364" i="42" s="1"/>
  <c r="AJ364" i="42"/>
  <c r="AI365" i="42"/>
  <c r="AF368" i="42"/>
  <c r="AG368" i="42" s="1"/>
  <c r="AF367" i="42"/>
  <c r="AG367" i="42" s="1"/>
  <c r="AJ295" i="42"/>
  <c r="AF280" i="42"/>
  <c r="AG280" i="42" s="1"/>
  <c r="AF283" i="42"/>
  <c r="AG283" i="42" s="1"/>
  <c r="AF365" i="42"/>
  <c r="AG365" i="42" s="1"/>
  <c r="AF391" i="42"/>
  <c r="AG391" i="42" s="1"/>
  <c r="AJ367" i="42"/>
  <c r="AJ366" i="42"/>
  <c r="AI366" i="42"/>
  <c r="AJ391" i="42"/>
  <c r="AF251" i="42"/>
  <c r="AG251" i="42" s="1"/>
  <c r="AJ251" i="42"/>
  <c r="AF252" i="42"/>
  <c r="AG252" i="42" s="1"/>
  <c r="AJ252" i="42"/>
  <c r="AF253" i="42"/>
  <c r="AG253" i="42" s="1"/>
  <c r="AJ253" i="42"/>
  <c r="AF254" i="42"/>
  <c r="AG254" i="42" s="1"/>
  <c r="AJ254" i="42"/>
  <c r="AF255" i="42"/>
  <c r="AG255" i="42" s="1"/>
  <c r="AJ255" i="42"/>
  <c r="AF256" i="42"/>
  <c r="AG256" i="42" s="1"/>
  <c r="AJ256" i="42"/>
  <c r="AF257" i="42"/>
  <c r="AG257" i="42" s="1"/>
  <c r="AJ257" i="42"/>
  <c r="AF258" i="42"/>
  <c r="AG258" i="42" s="1"/>
  <c r="AJ258" i="42"/>
  <c r="AF259" i="42"/>
  <c r="AG259" i="42" s="1"/>
  <c r="AJ259" i="42"/>
  <c r="AF260" i="42"/>
  <c r="AG260" i="42" s="1"/>
  <c r="AJ260" i="42"/>
  <c r="AF261" i="42"/>
  <c r="AG261" i="42" s="1"/>
  <c r="AJ261" i="42"/>
  <c r="AF262" i="42"/>
  <c r="AG262" i="42" s="1"/>
  <c r="AJ262" i="42"/>
  <c r="AF263" i="42"/>
  <c r="AG263" i="42" s="1"/>
  <c r="AJ263" i="42"/>
  <c r="AF265" i="42"/>
  <c r="AG265" i="42" s="1"/>
  <c r="AI265" i="42"/>
  <c r="AJ265" i="42"/>
  <c r="AJ301" i="42"/>
  <c r="AJ289" i="42"/>
  <c r="AI430" i="42"/>
  <c r="AJ430" i="42"/>
  <c r="AF430" i="42"/>
  <c r="AG430" i="42" s="1"/>
  <c r="AJ372" i="42"/>
  <c r="AI289" i="42"/>
  <c r="AI301" i="42"/>
  <c r="AJ336" i="42"/>
  <c r="AJ348" i="42"/>
  <c r="AF379" i="42"/>
  <c r="AG379" i="42" s="1"/>
  <c r="AF376" i="42"/>
  <c r="AG376" i="42" s="1"/>
  <c r="AI394" i="42"/>
  <c r="AJ303" i="42"/>
  <c r="AJ292" i="42"/>
  <c r="AI336" i="42"/>
  <c r="AI348" i="42"/>
  <c r="AJ345" i="42"/>
  <c r="AF332" i="42"/>
  <c r="AG332" i="42" s="1"/>
  <c r="AJ376" i="42"/>
  <c r="AJ379" i="42"/>
  <c r="AJ394" i="42"/>
  <c r="AJ309" i="42"/>
  <c r="AI354" i="42"/>
  <c r="AI339" i="42"/>
  <c r="AJ339" i="42"/>
  <c r="AI298" i="42"/>
  <c r="AF304" i="42"/>
  <c r="AG304" i="42" s="1"/>
  <c r="AJ328" i="42"/>
  <c r="AF329" i="42"/>
  <c r="AG329" i="42" s="1"/>
  <c r="AF326" i="42"/>
  <c r="AG326" i="42" s="1"/>
  <c r="AF331" i="42"/>
  <c r="AG331" i="42" s="1"/>
  <c r="AF322" i="42"/>
  <c r="AG322" i="42" s="1"/>
  <c r="AF300" i="42"/>
  <c r="AG300" i="42" s="1"/>
  <c r="AI312" i="42"/>
  <c r="AF403" i="42"/>
  <c r="AG403" i="42" s="1"/>
  <c r="AF297" i="42"/>
  <c r="AG297" i="42" s="1"/>
  <c r="AJ306" i="42"/>
  <c r="AJ308" i="42"/>
  <c r="AJ317" i="42"/>
  <c r="AF323" i="42"/>
  <c r="AG323" i="42" s="1"/>
  <c r="AJ326" i="42"/>
  <c r="AJ329" i="42"/>
  <c r="AJ332" i="42"/>
  <c r="AF292" i="42"/>
  <c r="AG292" i="42" s="1"/>
  <c r="AF295" i="42"/>
  <c r="AG295" i="42" s="1"/>
  <c r="AJ320" i="42"/>
  <c r="AJ323" i="42"/>
  <c r="AF174" i="24"/>
  <c r="AG174" i="24" s="1"/>
  <c r="AI243" i="15"/>
  <c r="AI145" i="34"/>
  <c r="AF377" i="42"/>
  <c r="AG377" i="42" s="1"/>
  <c r="AI314" i="42"/>
  <c r="AJ319" i="42"/>
  <c r="AJ322" i="42"/>
  <c r="AF325" i="42"/>
  <c r="AG325" i="42" s="1"/>
  <c r="AJ331" i="42"/>
  <c r="AF334" i="42"/>
  <c r="AG334" i="42" s="1"/>
  <c r="AI304" i="42"/>
  <c r="AF142" i="34"/>
  <c r="AG142" i="34" s="1"/>
  <c r="AF372" i="42"/>
  <c r="AG372" i="42" s="1"/>
  <c r="AJ377" i="42"/>
  <c r="AF381" i="42"/>
  <c r="AG381" i="42" s="1"/>
  <c r="AF314" i="42"/>
  <c r="AG314" i="42" s="1"/>
  <c r="AF316" i="42"/>
  <c r="AG316" i="42" s="1"/>
  <c r="AJ325" i="42"/>
  <c r="AF328" i="42"/>
  <c r="AG328" i="42" s="1"/>
  <c r="AJ334" i="42"/>
  <c r="AF363" i="42"/>
  <c r="AG363" i="42" s="1"/>
  <c r="AI308" i="42"/>
  <c r="AF317" i="42"/>
  <c r="AG317" i="42" s="1"/>
  <c r="AF320" i="42"/>
  <c r="AG320" i="42" s="1"/>
  <c r="AJ298" i="42"/>
  <c r="AJ316" i="42"/>
  <c r="AF319" i="42"/>
  <c r="AG319" i="42" s="1"/>
  <c r="AF378" i="42"/>
  <c r="AG378" i="42" s="1"/>
  <c r="AJ403" i="42"/>
  <c r="AI297" i="42"/>
  <c r="AI300" i="42"/>
  <c r="AF318" i="42"/>
  <c r="AG318" i="42" s="1"/>
  <c r="AF321" i="42"/>
  <c r="AG321" i="42" s="1"/>
  <c r="AF324" i="42"/>
  <c r="AG324" i="42" s="1"/>
  <c r="AF327" i="42"/>
  <c r="AG327" i="42" s="1"/>
  <c r="AF330" i="42"/>
  <c r="AG330" i="42" s="1"/>
  <c r="AF333" i="42"/>
  <c r="AG333" i="42" s="1"/>
  <c r="AJ312" i="42"/>
  <c r="AF338" i="42"/>
  <c r="AG338" i="42" s="1"/>
  <c r="AJ338" i="42"/>
  <c r="AF347" i="42"/>
  <c r="AG347" i="42" s="1"/>
  <c r="AJ347" i="42"/>
  <c r="AF356" i="42"/>
  <c r="AG356" i="42" s="1"/>
  <c r="AJ356" i="42"/>
  <c r="AF359" i="42"/>
  <c r="AG359" i="42" s="1"/>
  <c r="AJ359" i="42"/>
  <c r="AF340" i="42"/>
  <c r="AG340" i="42" s="1"/>
  <c r="AJ340" i="42"/>
  <c r="AF349" i="42"/>
  <c r="AG349" i="42" s="1"/>
  <c r="AJ349" i="42"/>
  <c r="AJ378" i="42"/>
  <c r="AJ318" i="42"/>
  <c r="AJ321" i="42"/>
  <c r="AJ324" i="42"/>
  <c r="AJ327" i="42"/>
  <c r="AJ330" i="42"/>
  <c r="AJ333" i="42"/>
  <c r="AF335" i="42"/>
  <c r="AG335" i="42" s="1"/>
  <c r="AJ335" i="42"/>
  <c r="AF344" i="42"/>
  <c r="AG344" i="42" s="1"/>
  <c r="AJ344" i="42"/>
  <c r="AF353" i="42"/>
  <c r="AG353" i="42" s="1"/>
  <c r="AJ353" i="42"/>
  <c r="AF357" i="42"/>
  <c r="AG357" i="42" s="1"/>
  <c r="AJ357" i="42"/>
  <c r="AF343" i="42"/>
  <c r="AG343" i="42" s="1"/>
  <c r="AJ343" i="42"/>
  <c r="AF352" i="42"/>
  <c r="AG352" i="42" s="1"/>
  <c r="AJ352" i="42"/>
  <c r="AF341" i="42"/>
  <c r="AG341" i="42" s="1"/>
  <c r="AJ341" i="42"/>
  <c r="AF350" i="42"/>
  <c r="AG350" i="42" s="1"/>
  <c r="AJ350" i="42"/>
  <c r="AF358" i="42"/>
  <c r="AG358" i="42" s="1"/>
  <c r="AJ358" i="42"/>
  <c r="AF337" i="42"/>
  <c r="AG337" i="42" s="1"/>
  <c r="AJ337" i="42"/>
  <c r="AF346" i="42"/>
  <c r="AG346" i="42" s="1"/>
  <c r="AJ346" i="42"/>
  <c r="AF355" i="42"/>
  <c r="AG355" i="42" s="1"/>
  <c r="AJ355" i="42"/>
  <c r="AJ363" i="42"/>
  <c r="AJ452" i="42"/>
  <c r="AJ381" i="42"/>
  <c r="AI361" i="42"/>
  <c r="AJ361" i="42"/>
  <c r="AI296" i="42"/>
  <c r="AF296" i="42"/>
  <c r="AG296" i="42" s="1"/>
  <c r="AJ296" i="42"/>
  <c r="AI305" i="42"/>
  <c r="AF305" i="42"/>
  <c r="AG305" i="42" s="1"/>
  <c r="AJ305" i="42"/>
  <c r="AI313" i="42"/>
  <c r="AF313" i="42"/>
  <c r="AG313" i="42" s="1"/>
  <c r="AJ313" i="42"/>
  <c r="AI299" i="42"/>
  <c r="AF299" i="42"/>
  <c r="AG299" i="42" s="1"/>
  <c r="AJ299" i="42"/>
  <c r="AI307" i="42"/>
  <c r="AF307" i="42"/>
  <c r="AG307" i="42" s="1"/>
  <c r="AJ307" i="42"/>
  <c r="AI290" i="42"/>
  <c r="AF290" i="42"/>
  <c r="AG290" i="42" s="1"/>
  <c r="AJ290" i="42"/>
  <c r="AI293" i="42"/>
  <c r="AF293" i="42"/>
  <c r="AG293" i="42" s="1"/>
  <c r="AJ293" i="42"/>
  <c r="AI302" i="42"/>
  <c r="AF302" i="42"/>
  <c r="AG302" i="42" s="1"/>
  <c r="AJ302" i="42"/>
  <c r="AI310" i="42"/>
  <c r="AF310" i="42"/>
  <c r="AG310" i="42" s="1"/>
  <c r="AJ310" i="42"/>
  <c r="AI140" i="34"/>
  <c r="AI447" i="42"/>
  <c r="AI514" i="42"/>
  <c r="AJ449" i="42"/>
  <c r="AF140" i="34"/>
  <c r="AG140" i="34" s="1"/>
  <c r="AI443" i="42"/>
  <c r="AI174" i="24"/>
  <c r="AI67" i="15"/>
  <c r="AF82" i="14"/>
  <c r="AG82" i="14" s="1"/>
  <c r="AJ111" i="42"/>
  <c r="AI418" i="42"/>
  <c r="AJ447" i="42"/>
  <c r="AI452" i="42"/>
  <c r="AJ421" i="42"/>
  <c r="AF175" i="24"/>
  <c r="AG175" i="24" s="1"/>
  <c r="AI82" i="14"/>
  <c r="AI143" i="34"/>
  <c r="AF143" i="34"/>
  <c r="AG143" i="34" s="1"/>
  <c r="AJ112" i="42"/>
  <c r="AF268" i="42"/>
  <c r="AG268" i="42" s="1"/>
  <c r="AJ268" i="42"/>
  <c r="AF375" i="42"/>
  <c r="AG375" i="42" s="1"/>
  <c r="AJ264" i="42"/>
  <c r="AJ431" i="42"/>
  <c r="AI264" i="42"/>
  <c r="AF380" i="42"/>
  <c r="AG380" i="42" s="1"/>
  <c r="AI437" i="42"/>
  <c r="AJ445" i="42"/>
  <c r="AJ373" i="42"/>
  <c r="AJ108" i="42"/>
  <c r="AI427" i="42"/>
  <c r="AJ397" i="42"/>
  <c r="AI406" i="42"/>
  <c r="AI436" i="42"/>
  <c r="AJ440" i="42"/>
  <c r="AI424" i="42"/>
  <c r="AF362" i="42"/>
  <c r="AG362" i="42" s="1"/>
  <c r="AJ424" i="42"/>
  <c r="AJ420" i="42"/>
  <c r="AJ439" i="42"/>
  <c r="AJ423" i="42"/>
  <c r="AJ429" i="42"/>
  <c r="AJ442" i="42"/>
  <c r="AI453" i="42"/>
  <c r="AJ380" i="42"/>
  <c r="AJ443" i="42"/>
  <c r="AI454" i="42"/>
  <c r="AI362" i="42"/>
  <c r="AI434" i="42"/>
  <c r="AJ436" i="42"/>
  <c r="AJ434" i="42"/>
  <c r="AJ417" i="42"/>
  <c r="AI397" i="42"/>
  <c r="AI449" i="42"/>
  <c r="AF373" i="42"/>
  <c r="AG373" i="42" s="1"/>
  <c r="AJ426" i="42"/>
  <c r="AJ433" i="42"/>
  <c r="AJ418" i="42"/>
  <c r="AJ427" i="42"/>
  <c r="AJ437" i="42"/>
  <c r="AJ375" i="42"/>
  <c r="AF406" i="42"/>
  <c r="AG406" i="42" s="1"/>
  <c r="AI421" i="42"/>
  <c r="AI431" i="42"/>
  <c r="AJ121" i="42"/>
  <c r="AF459" i="42"/>
  <c r="AG459" i="42" s="1"/>
  <c r="AI440" i="42"/>
  <c r="AI456" i="42"/>
  <c r="AJ463" i="42"/>
  <c r="AI471" i="42"/>
  <c r="AI459" i="42"/>
  <c r="AI417" i="42"/>
  <c r="AI109" i="42"/>
  <c r="AI267" i="42"/>
  <c r="AI426" i="42"/>
  <c r="AF108" i="42"/>
  <c r="AG108" i="42" s="1"/>
  <c r="AF111" i="42"/>
  <c r="AG111" i="42" s="1"/>
  <c r="AJ269" i="42"/>
  <c r="AF456" i="42"/>
  <c r="AG456" i="42" s="1"/>
  <c r="AI420" i="42"/>
  <c r="AI429" i="42"/>
  <c r="AI439" i="42"/>
  <c r="AF112" i="42"/>
  <c r="AG112" i="42" s="1"/>
  <c r="AF121" i="42"/>
  <c r="AG121" i="42" s="1"/>
  <c r="AF266" i="42"/>
  <c r="AG266" i="42" s="1"/>
  <c r="AI451" i="42"/>
  <c r="AJ471" i="42"/>
  <c r="AI458" i="42"/>
  <c r="AJ462" i="42"/>
  <c r="AJ109" i="42"/>
  <c r="AJ267" i="42"/>
  <c r="AI266" i="42"/>
  <c r="AI444" i="42"/>
  <c r="AJ451" i="42"/>
  <c r="AF453" i="42"/>
  <c r="AG453" i="42" s="1"/>
  <c r="AF454" i="42"/>
  <c r="AG454" i="42" s="1"/>
  <c r="AF458" i="42"/>
  <c r="AG458" i="42" s="1"/>
  <c r="AI462" i="42"/>
  <c r="AI463" i="42"/>
  <c r="AI423" i="42"/>
  <c r="AI433" i="42"/>
  <c r="AI442" i="42"/>
  <c r="AI446" i="42"/>
  <c r="AJ457" i="42"/>
  <c r="AJ461" i="42"/>
  <c r="AI269" i="42"/>
  <c r="AI445" i="42"/>
  <c r="AI448" i="42"/>
  <c r="AI455" i="42"/>
  <c r="AI460" i="42"/>
  <c r="AJ400" i="42"/>
  <c r="AF472" i="42"/>
  <c r="AG472" i="42" s="1"/>
  <c r="AF457" i="42"/>
  <c r="AG457" i="42" s="1"/>
  <c r="AI461" i="42"/>
  <c r="AF400" i="42"/>
  <c r="AG400" i="42" s="1"/>
  <c r="AF419" i="42"/>
  <c r="AG419" i="42" s="1"/>
  <c r="AJ419" i="42"/>
  <c r="AF428" i="42"/>
  <c r="AG428" i="42" s="1"/>
  <c r="AJ428" i="42"/>
  <c r="AF438" i="42"/>
  <c r="AG438" i="42" s="1"/>
  <c r="AJ438" i="42"/>
  <c r="AF416" i="42"/>
  <c r="AG416" i="42" s="1"/>
  <c r="AJ416" i="42"/>
  <c r="AF425" i="42"/>
  <c r="AG425" i="42" s="1"/>
  <c r="AJ425" i="42"/>
  <c r="AF435" i="42"/>
  <c r="AG435" i="42" s="1"/>
  <c r="AJ435" i="42"/>
  <c r="AI472" i="42"/>
  <c r="AF422" i="42"/>
  <c r="AG422" i="42" s="1"/>
  <c r="AJ422" i="42"/>
  <c r="AF432" i="42"/>
  <c r="AG432" i="42" s="1"/>
  <c r="AJ432" i="42"/>
  <c r="AF441" i="42"/>
  <c r="AG441" i="42" s="1"/>
  <c r="AJ441" i="42"/>
  <c r="AJ444" i="42"/>
  <c r="AJ446" i="42"/>
  <c r="AJ455" i="42"/>
  <c r="AJ460" i="42"/>
  <c r="AI464" i="42"/>
  <c r="AI474" i="42"/>
  <c r="AF99" i="42"/>
  <c r="AG99" i="42" s="1"/>
  <c r="AI99" i="42"/>
  <c r="AJ99" i="42"/>
  <c r="AF100" i="42"/>
  <c r="AG100" i="42" s="1"/>
  <c r="AJ100" i="42"/>
  <c r="AF101" i="42"/>
  <c r="AG101" i="42" s="1"/>
  <c r="AI101" i="42"/>
  <c r="AF102" i="42"/>
  <c r="AG102" i="42" s="1"/>
  <c r="AJ102" i="42"/>
  <c r="AF464" i="42"/>
  <c r="AG464" i="42" s="1"/>
  <c r="AJ474" i="42"/>
  <c r="AF369" i="42"/>
  <c r="AG369" i="42" s="1"/>
  <c r="AI369" i="42"/>
  <c r="AJ369" i="42"/>
  <c r="AI382" i="42"/>
  <c r="AF382" i="42"/>
  <c r="AG382" i="42" s="1"/>
  <c r="AJ382" i="42"/>
  <c r="AI385" i="42"/>
  <c r="AF385" i="42"/>
  <c r="AG385" i="42" s="1"/>
  <c r="AJ385" i="42"/>
  <c r="AI388" i="42"/>
  <c r="AF388" i="42"/>
  <c r="AG388" i="42" s="1"/>
  <c r="AJ388" i="42"/>
  <c r="AF396" i="42"/>
  <c r="AG396" i="42" s="1"/>
  <c r="AI396" i="42"/>
  <c r="AJ396" i="42"/>
  <c r="AF405" i="42"/>
  <c r="AG405" i="42" s="1"/>
  <c r="AI405" i="42"/>
  <c r="AJ405" i="42"/>
  <c r="AF392" i="42"/>
  <c r="AG392" i="42" s="1"/>
  <c r="AI392" i="42"/>
  <c r="AJ392" i="42"/>
  <c r="AF401" i="42"/>
  <c r="AG401" i="42" s="1"/>
  <c r="AI401" i="42"/>
  <c r="AJ401" i="42"/>
  <c r="AF407" i="42"/>
  <c r="AG407" i="42" s="1"/>
  <c r="AI407" i="42"/>
  <c r="AJ407" i="42"/>
  <c r="AF410" i="42"/>
  <c r="AG410" i="42" s="1"/>
  <c r="AI410" i="42"/>
  <c r="AJ410" i="42"/>
  <c r="AF413" i="42"/>
  <c r="AG413" i="42" s="1"/>
  <c r="AI413" i="42"/>
  <c r="AJ413" i="42"/>
  <c r="AF370" i="42"/>
  <c r="AG370" i="42" s="1"/>
  <c r="AI370" i="42"/>
  <c r="AJ370" i="42"/>
  <c r="AI383" i="42"/>
  <c r="AF383" i="42"/>
  <c r="AG383" i="42" s="1"/>
  <c r="AJ383" i="42"/>
  <c r="AI386" i="42"/>
  <c r="AF386" i="42"/>
  <c r="AG386" i="42" s="1"/>
  <c r="AJ386" i="42"/>
  <c r="AI389" i="42"/>
  <c r="AF389" i="42"/>
  <c r="AG389" i="42" s="1"/>
  <c r="AJ389" i="42"/>
  <c r="AF393" i="42"/>
  <c r="AG393" i="42" s="1"/>
  <c r="AI393" i="42"/>
  <c r="AJ393" i="42"/>
  <c r="AF402" i="42"/>
  <c r="AG402" i="42" s="1"/>
  <c r="AI402" i="42"/>
  <c r="AJ402" i="42"/>
  <c r="AF395" i="42"/>
  <c r="AG395" i="42" s="1"/>
  <c r="AI395" i="42"/>
  <c r="AJ395" i="42"/>
  <c r="AF404" i="42"/>
  <c r="AG404" i="42" s="1"/>
  <c r="AI404" i="42"/>
  <c r="AJ404" i="42"/>
  <c r="AF408" i="42"/>
  <c r="AG408" i="42" s="1"/>
  <c r="AI408" i="42"/>
  <c r="AJ408" i="42"/>
  <c r="AF411" i="42"/>
  <c r="AG411" i="42" s="1"/>
  <c r="AI411" i="42"/>
  <c r="AJ411" i="42"/>
  <c r="AF414" i="42"/>
  <c r="AG414" i="42" s="1"/>
  <c r="AI414" i="42"/>
  <c r="AJ414" i="42"/>
  <c r="AF371" i="42"/>
  <c r="AG371" i="42" s="1"/>
  <c r="AI371" i="42"/>
  <c r="AJ371" i="42"/>
  <c r="AI384" i="42"/>
  <c r="AF384" i="42"/>
  <c r="AG384" i="42" s="1"/>
  <c r="AJ384" i="42"/>
  <c r="AI387" i="42"/>
  <c r="AF387" i="42"/>
  <c r="AG387" i="42" s="1"/>
  <c r="AJ387" i="42"/>
  <c r="AF390" i="42"/>
  <c r="AG390" i="42" s="1"/>
  <c r="AI390" i="42"/>
  <c r="AJ390" i="42"/>
  <c r="AF399" i="42"/>
  <c r="AG399" i="42" s="1"/>
  <c r="AI399" i="42"/>
  <c r="AJ399" i="42"/>
  <c r="AF398" i="42"/>
  <c r="AG398" i="42" s="1"/>
  <c r="AI398" i="42"/>
  <c r="AJ398" i="42"/>
  <c r="AF409" i="42"/>
  <c r="AG409" i="42" s="1"/>
  <c r="AI409" i="42"/>
  <c r="AJ409" i="42"/>
  <c r="AF412" i="42"/>
  <c r="AG412" i="42" s="1"/>
  <c r="AI412" i="42"/>
  <c r="AJ412" i="42"/>
  <c r="AF415" i="42"/>
  <c r="AG415" i="42" s="1"/>
  <c r="AI415" i="42"/>
  <c r="AJ415" i="42"/>
  <c r="AF470" i="42"/>
  <c r="AG470" i="42" s="1"/>
  <c r="AI470" i="42"/>
  <c r="AJ470" i="42"/>
  <c r="AI476" i="42"/>
  <c r="AJ476" i="42"/>
  <c r="AF476" i="42"/>
  <c r="AG476" i="42" s="1"/>
  <c r="AI475" i="42"/>
  <c r="AJ475" i="42"/>
  <c r="AF450" i="42"/>
  <c r="AG450" i="42" s="1"/>
  <c r="AI450" i="42"/>
  <c r="AJ450" i="42"/>
  <c r="AF467" i="42"/>
  <c r="AG467" i="42" s="1"/>
  <c r="AI467" i="42"/>
  <c r="AJ467" i="42"/>
  <c r="AF473" i="42"/>
  <c r="AG473" i="42" s="1"/>
  <c r="AI473" i="42"/>
  <c r="AJ473" i="42"/>
  <c r="AJ514" i="42"/>
  <c r="AJ506" i="42"/>
  <c r="AF507" i="42"/>
  <c r="AG507" i="42" s="1"/>
  <c r="AF40" i="43"/>
  <c r="AG40" i="43" s="1"/>
  <c r="AI504" i="42"/>
  <c r="AI511" i="42"/>
  <c r="AI508" i="42"/>
  <c r="AF524" i="42"/>
  <c r="AG524" i="42" s="1"/>
  <c r="AI495" i="42"/>
  <c r="AF509" i="42"/>
  <c r="AG509" i="42" s="1"/>
  <c r="AJ524" i="42"/>
  <c r="AJ495" i="42"/>
  <c r="AJ504" i="42"/>
  <c r="AJ511" i="42"/>
  <c r="AI526" i="42"/>
  <c r="AJ505" i="42"/>
  <c r="AJ490" i="42"/>
  <c r="AI509" i="42"/>
  <c r="AJ526" i="42"/>
  <c r="AI490" i="42"/>
  <c r="AJ525" i="42"/>
  <c r="AI523" i="42"/>
  <c r="AI525" i="42"/>
  <c r="AJ508" i="42"/>
  <c r="AI506" i="42"/>
  <c r="AI486" i="42"/>
  <c r="AJ486" i="42"/>
  <c r="AF523" i="42"/>
  <c r="AG523" i="42" s="1"/>
  <c r="AF493" i="42"/>
  <c r="AG493" i="42" s="1"/>
  <c r="AI487" i="42"/>
  <c r="AJ487" i="42"/>
  <c r="AI505" i="42"/>
  <c r="AI507" i="42"/>
  <c r="AI510" i="42"/>
  <c r="AI513" i="42"/>
  <c r="AI515" i="42"/>
  <c r="AF502" i="42"/>
  <c r="AG502" i="42" s="1"/>
  <c r="AJ510" i="42"/>
  <c r="AJ513" i="42"/>
  <c r="AJ515" i="42"/>
  <c r="AF499" i="42"/>
  <c r="AG499" i="42" s="1"/>
  <c r="AI499" i="42"/>
  <c r="AJ499" i="42"/>
  <c r="AJ494" i="42"/>
  <c r="AF241" i="42"/>
  <c r="AG241" i="42" s="1"/>
  <c r="AI241" i="42"/>
  <c r="AJ241" i="42"/>
  <c r="AF242" i="42"/>
  <c r="AG242" i="42" s="1"/>
  <c r="AI242" i="42"/>
  <c r="AJ242" i="42"/>
  <c r="AF243" i="42"/>
  <c r="AG243" i="42" s="1"/>
  <c r="AI243" i="42"/>
  <c r="AJ243" i="42"/>
  <c r="AF244" i="42"/>
  <c r="AG244" i="42" s="1"/>
  <c r="AI244" i="42"/>
  <c r="AJ244" i="42"/>
  <c r="AF245" i="42"/>
  <c r="AG245" i="42" s="1"/>
  <c r="AI245" i="42"/>
  <c r="AJ245" i="42"/>
  <c r="AF246" i="42"/>
  <c r="AG246" i="42" s="1"/>
  <c r="AI246" i="42"/>
  <c r="AJ246" i="42"/>
  <c r="AF230" i="42"/>
  <c r="AG230" i="42" s="1"/>
  <c r="AI230" i="42"/>
  <c r="AJ230" i="42"/>
  <c r="AF215" i="42"/>
  <c r="AG215" i="42" s="1"/>
  <c r="AI215" i="42"/>
  <c r="AJ215" i="42"/>
  <c r="AF214" i="42"/>
  <c r="AG214" i="42" s="1"/>
  <c r="AI214" i="42"/>
  <c r="AJ214" i="42"/>
  <c r="AF227" i="42"/>
  <c r="AG227" i="42" s="1"/>
  <c r="AI227" i="42"/>
  <c r="AJ227" i="42"/>
  <c r="AF228" i="42"/>
  <c r="AG228" i="42" s="1"/>
  <c r="AI228" i="42"/>
  <c r="AJ228" i="42"/>
  <c r="AF226" i="42"/>
  <c r="AG226" i="42" s="1"/>
  <c r="AI226" i="42"/>
  <c r="AJ226" i="42"/>
  <c r="AF216" i="42"/>
  <c r="AG216" i="42" s="1"/>
  <c r="AI216" i="42"/>
  <c r="AJ216" i="42"/>
  <c r="AF217" i="42"/>
  <c r="AG217" i="42" s="1"/>
  <c r="AI217" i="42"/>
  <c r="AJ217" i="42"/>
  <c r="AI494" i="42"/>
  <c r="AF496" i="42"/>
  <c r="AG496" i="42" s="1"/>
  <c r="AJ496" i="42"/>
  <c r="AI496" i="42"/>
  <c r="AF497" i="42"/>
  <c r="AG497" i="42" s="1"/>
  <c r="AI497" i="42"/>
  <c r="AF491" i="42"/>
  <c r="AG491" i="42" s="1"/>
  <c r="AI491" i="42"/>
  <c r="AF500" i="42"/>
  <c r="AG500" i="42" s="1"/>
  <c r="AI500" i="42"/>
  <c r="AF484" i="42"/>
  <c r="AG484" i="42" s="1"/>
  <c r="AI484" i="42"/>
  <c r="AF488" i="42"/>
  <c r="AG488" i="42" s="1"/>
  <c r="AI488" i="42"/>
  <c r="AF498" i="42"/>
  <c r="AG498" i="42" s="1"/>
  <c r="AI498" i="42"/>
  <c r="AF492" i="42"/>
  <c r="AG492" i="42" s="1"/>
  <c r="AI492" i="42"/>
  <c r="AF501" i="42"/>
  <c r="AG501" i="42" s="1"/>
  <c r="AI501" i="42"/>
  <c r="AF485" i="42"/>
  <c r="AG485" i="42" s="1"/>
  <c r="AI485" i="42"/>
  <c r="AF489" i="42"/>
  <c r="AG489" i="42" s="1"/>
  <c r="AI489" i="42"/>
  <c r="AF503" i="42"/>
  <c r="AG503" i="42" s="1"/>
  <c r="AI503" i="42"/>
  <c r="AF477" i="42"/>
  <c r="AG477" i="42" s="1"/>
  <c r="AI477" i="42"/>
  <c r="AJ477" i="42"/>
  <c r="AF478" i="42"/>
  <c r="AG478" i="42" s="1"/>
  <c r="AI478" i="42"/>
  <c r="AJ478" i="42"/>
  <c r="AF479" i="42"/>
  <c r="AG479" i="42" s="1"/>
  <c r="AI479" i="42"/>
  <c r="AJ479" i="42"/>
  <c r="AF480" i="42"/>
  <c r="AG480" i="42" s="1"/>
  <c r="AI480" i="42"/>
  <c r="AJ480" i="42"/>
  <c r="AF481" i="42"/>
  <c r="AG481" i="42" s="1"/>
  <c r="AI481" i="42"/>
  <c r="AJ481" i="42"/>
  <c r="AF482" i="42"/>
  <c r="AG482" i="42" s="1"/>
  <c r="AI482" i="42"/>
  <c r="AJ482" i="42"/>
  <c r="AI583" i="13"/>
  <c r="AF170" i="24"/>
  <c r="AG170" i="24" s="1"/>
  <c r="AJ53" i="15"/>
  <c r="AI43" i="15"/>
  <c r="AI141" i="34"/>
  <c r="AF141" i="34"/>
  <c r="AG141" i="34" s="1"/>
  <c r="AG588" i="13"/>
  <c r="AI158" i="24"/>
  <c r="AI173" i="15"/>
  <c r="AF75" i="15"/>
  <c r="AG75" i="15" s="1"/>
  <c r="AF17" i="45"/>
  <c r="AG17" i="45" s="1"/>
  <c r="AI588" i="13"/>
  <c r="AF169" i="24"/>
  <c r="AG169" i="24" s="1"/>
  <c r="AI143" i="15"/>
  <c r="AJ143" i="15"/>
  <c r="AI454" i="13"/>
  <c r="AI585" i="13"/>
  <c r="AJ59" i="15"/>
  <c r="AJ261" i="15"/>
  <c r="AJ590" i="13"/>
  <c r="AJ584" i="13"/>
  <c r="AG587" i="13"/>
  <c r="AI166" i="24"/>
  <c r="AF73" i="15"/>
  <c r="AG73" i="15" s="1"/>
  <c r="AI71" i="15"/>
  <c r="AJ121" i="15"/>
  <c r="AJ107" i="15"/>
  <c r="AI163" i="15"/>
  <c r="AJ177" i="15"/>
  <c r="AJ71" i="15"/>
  <c r="AI590" i="13"/>
  <c r="AJ587" i="13"/>
  <c r="AF584" i="13"/>
  <c r="AJ168" i="24"/>
  <c r="AF123" i="15"/>
  <c r="AG123" i="15" s="1"/>
  <c r="AF147" i="15"/>
  <c r="AG147" i="15" s="1"/>
  <c r="AF163" i="15"/>
  <c r="AG163" i="15" s="1"/>
  <c r="AF177" i="15"/>
  <c r="AG177" i="15" s="1"/>
  <c r="AF282" i="15"/>
  <c r="AG282" i="15" s="1"/>
  <c r="AI73" i="15"/>
  <c r="AI53" i="15"/>
  <c r="AF498" i="13"/>
  <c r="AG498" i="13" s="1"/>
  <c r="AI494" i="13"/>
  <c r="AF156" i="24"/>
  <c r="AG156" i="24" s="1"/>
  <c r="AJ154" i="24"/>
  <c r="AF482" i="13"/>
  <c r="AG482" i="13" s="1"/>
  <c r="AI472" i="13"/>
  <c r="AJ469" i="13"/>
  <c r="AI587" i="13"/>
  <c r="AI584" i="13"/>
  <c r="AG590" i="13"/>
  <c r="AF168" i="24"/>
  <c r="AG168" i="24" s="1"/>
  <c r="AF152" i="24"/>
  <c r="AG152" i="24" s="1"/>
  <c r="AI121" i="15"/>
  <c r="AJ115" i="15"/>
  <c r="AI123" i="15"/>
  <c r="AF107" i="15"/>
  <c r="AG107" i="15" s="1"/>
  <c r="AI211" i="15"/>
  <c r="AF261" i="15"/>
  <c r="AG261" i="15" s="1"/>
  <c r="AI282" i="15"/>
  <c r="AF119" i="15"/>
  <c r="AG119" i="15" s="1"/>
  <c r="AF472" i="13"/>
  <c r="AG472" i="13" s="1"/>
  <c r="AI482" i="13"/>
  <c r="AI164" i="24"/>
  <c r="AI490" i="13"/>
  <c r="AJ162" i="24"/>
  <c r="AI75" i="15"/>
  <c r="AI323" i="13"/>
  <c r="AF470" i="13"/>
  <c r="AG470" i="13" s="1"/>
  <c r="AJ475" i="13"/>
  <c r="AF461" i="13"/>
  <c r="AG461" i="13" s="1"/>
  <c r="AF477" i="13"/>
  <c r="AG477" i="13" s="1"/>
  <c r="AJ588" i="13"/>
  <c r="AJ163" i="24"/>
  <c r="AI169" i="24"/>
  <c r="AI277" i="15"/>
  <c r="AJ343" i="15"/>
  <c r="AI475" i="13"/>
  <c r="AJ499" i="13"/>
  <c r="AJ591" i="13"/>
  <c r="AG591" i="13"/>
  <c r="AF585" i="13"/>
  <c r="AJ173" i="15"/>
  <c r="AF249" i="15"/>
  <c r="AG249" i="15" s="1"/>
  <c r="AF457" i="13"/>
  <c r="AG457" i="13" s="1"/>
  <c r="AJ20" i="45"/>
  <c r="AF20" i="45"/>
  <c r="AG20" i="45" s="1"/>
  <c r="AI17" i="45"/>
  <c r="AF155" i="24"/>
  <c r="AG155" i="24" s="1"/>
  <c r="AJ45" i="15"/>
  <c r="AF43" i="15"/>
  <c r="AG43" i="15" s="1"/>
  <c r="AI61" i="15"/>
  <c r="AJ61" i="15"/>
  <c r="AJ243" i="15"/>
  <c r="AF342" i="15"/>
  <c r="AG342" i="15" s="1"/>
  <c r="AJ65" i="15"/>
  <c r="AJ298" i="15"/>
  <c r="AI592" i="13"/>
  <c r="AI586" i="13"/>
  <c r="AJ167" i="24"/>
  <c r="AJ4" i="15"/>
  <c r="AI45" i="15"/>
  <c r="AJ77" i="15"/>
  <c r="AF69" i="15"/>
  <c r="AG69" i="15" s="1"/>
  <c r="AI65" i="15"/>
  <c r="AF67" i="15"/>
  <c r="AG67" i="15" s="1"/>
  <c r="AI77" i="15"/>
  <c r="AI69" i="15"/>
  <c r="AF298" i="15"/>
  <c r="AG298" i="15" s="1"/>
  <c r="AI463" i="13"/>
  <c r="AI139" i="34"/>
  <c r="AI19" i="45"/>
  <c r="AF19" i="45"/>
  <c r="AG19" i="45" s="1"/>
  <c r="AF163" i="24"/>
  <c r="AG163" i="24" s="1"/>
  <c r="AF158" i="24"/>
  <c r="AG158" i="24" s="1"/>
  <c r="AJ159" i="24"/>
  <c r="AF465" i="13"/>
  <c r="AG465" i="13" s="1"/>
  <c r="AI452" i="13"/>
  <c r="AJ18" i="45"/>
  <c r="AI341" i="15"/>
  <c r="AJ341" i="15"/>
  <c r="AI18" i="45"/>
  <c r="AI489" i="13"/>
  <c r="AJ480" i="13"/>
  <c r="AI591" i="13"/>
  <c r="AJ585" i="13"/>
  <c r="AI59" i="15"/>
  <c r="AJ249" i="15"/>
  <c r="AJ277" i="15"/>
  <c r="AJ473" i="13"/>
  <c r="AI457" i="13"/>
  <c r="AI485" i="13"/>
  <c r="AF453" i="13"/>
  <c r="AG453" i="13" s="1"/>
  <c r="AJ485" i="13"/>
  <c r="AF138" i="34"/>
  <c r="AG138" i="34" s="1"/>
  <c r="AI499" i="13"/>
  <c r="AF454" i="13"/>
  <c r="AG454" i="13" s="1"/>
  <c r="AI492" i="13"/>
  <c r="AJ161" i="24"/>
  <c r="AF463" i="13"/>
  <c r="AG463" i="13" s="1"/>
  <c r="AF459" i="13"/>
  <c r="AG459" i="13" s="1"/>
  <c r="AF494" i="13"/>
  <c r="AG494" i="13" s="1"/>
  <c r="I26" i="25"/>
  <c r="AG583" i="13"/>
  <c r="AF586" i="13"/>
  <c r="AF592" i="13"/>
  <c r="AF157" i="24"/>
  <c r="AG157" i="24" s="1"/>
  <c r="AJ155" i="24"/>
  <c r="AJ157" i="24"/>
  <c r="AI161" i="24"/>
  <c r="AF162" i="24"/>
  <c r="AG162" i="24" s="1"/>
  <c r="AF164" i="24"/>
  <c r="AG164" i="24" s="1"/>
  <c r="AI167" i="24"/>
  <c r="AF464" i="13"/>
  <c r="AG464" i="13" s="1"/>
  <c r="AI464" i="13"/>
  <c r="AI478" i="13"/>
  <c r="AI465" i="13"/>
  <c r="AJ592" i="13"/>
  <c r="AJ589" i="13"/>
  <c r="AJ586" i="13"/>
  <c r="AJ583" i="13"/>
  <c r="AI342" i="15"/>
  <c r="AF455" i="13"/>
  <c r="AG455" i="13" s="1"/>
  <c r="AI455" i="13"/>
  <c r="AF451" i="13"/>
  <c r="AG451" i="13" s="1"/>
  <c r="AF486" i="13"/>
  <c r="AG486" i="13" s="1"/>
  <c r="AF490" i="13"/>
  <c r="AG490" i="13" s="1"/>
  <c r="AJ489" i="13"/>
  <c r="AI450" i="13"/>
  <c r="AF165" i="24"/>
  <c r="AG165" i="24" s="1"/>
  <c r="AF160" i="24"/>
  <c r="AG160" i="24" s="1"/>
  <c r="AJ156" i="24"/>
  <c r="AJ160" i="24"/>
  <c r="AJ165" i="24"/>
  <c r="AF456" i="13"/>
  <c r="AG456" i="13" s="1"/>
  <c r="AI456" i="13"/>
  <c r="AI469" i="13"/>
  <c r="AI498" i="13"/>
  <c r="AF139" i="34"/>
  <c r="AG139" i="34" s="1"/>
  <c r="AI468" i="13"/>
  <c r="AI414" i="13"/>
  <c r="AJ328" i="13"/>
  <c r="AJ324" i="13"/>
  <c r="AF452" i="13"/>
  <c r="AG452" i="13" s="1"/>
  <c r="AJ389" i="13"/>
  <c r="AF449" i="13"/>
  <c r="AG449" i="13" s="1"/>
  <c r="AI451" i="13"/>
  <c r="AJ495" i="13"/>
  <c r="AI473" i="13"/>
  <c r="AI462" i="13"/>
  <c r="AI481" i="13"/>
  <c r="AJ481" i="13"/>
  <c r="AJ16" i="45"/>
  <c r="AF495" i="13"/>
  <c r="AG495" i="13" s="1"/>
  <c r="AI459" i="13"/>
  <c r="AJ462" i="13"/>
  <c r="AI486" i="13"/>
  <c r="AF478" i="13"/>
  <c r="AG478" i="13" s="1"/>
  <c r="AF492" i="13"/>
  <c r="AG492" i="13" s="1"/>
  <c r="AJ471" i="13"/>
  <c r="AF476" i="13"/>
  <c r="AG476" i="13" s="1"/>
  <c r="AI458" i="13"/>
  <c r="AF471" i="13"/>
  <c r="AG471" i="13" s="1"/>
  <c r="AI39" i="43"/>
  <c r="AJ39" i="43"/>
  <c r="AI460" i="13"/>
  <c r="AJ138" i="34"/>
  <c r="AF460" i="13"/>
  <c r="AG460" i="13" s="1"/>
  <c r="AI477" i="13"/>
  <c r="AI470" i="13"/>
  <c r="AI420" i="13"/>
  <c r="AF387" i="13"/>
  <c r="AG387" i="13" s="1"/>
  <c r="AI461" i="13"/>
  <c r="AI453" i="13"/>
  <c r="AI466" i="13"/>
  <c r="AF467" i="13"/>
  <c r="AG467" i="13" s="1"/>
  <c r="AI467" i="13"/>
  <c r="AF468" i="13"/>
  <c r="AG468" i="13" s="1"/>
  <c r="AJ450" i="13"/>
  <c r="AF480" i="13"/>
  <c r="AG480" i="13" s="1"/>
  <c r="AF466" i="13"/>
  <c r="AG466" i="13" s="1"/>
  <c r="AF458" i="13"/>
  <c r="AG458" i="13" s="1"/>
  <c r="AI476" i="13"/>
  <c r="AI330" i="13"/>
  <c r="AF385" i="13"/>
  <c r="AG385" i="13" s="1"/>
  <c r="AF354" i="13"/>
  <c r="AG354" i="13" s="1"/>
  <c r="AF137" i="34"/>
  <c r="AG137" i="34" s="1"/>
  <c r="AI137" i="34"/>
  <c r="AF154" i="24"/>
  <c r="AG154" i="24" s="1"/>
  <c r="AF159" i="24"/>
  <c r="AG159" i="24" s="1"/>
  <c r="AJ166" i="24"/>
  <c r="AF432" i="13"/>
  <c r="AG432" i="13" s="1"/>
  <c r="AF411" i="13"/>
  <c r="AG411" i="13" s="1"/>
  <c r="AF4" i="45"/>
  <c r="AG4" i="45" s="1"/>
  <c r="AF16" i="45"/>
  <c r="AG16" i="45" s="1"/>
  <c r="AI322" i="13"/>
  <c r="AF374" i="13"/>
  <c r="AG374" i="13" s="1"/>
  <c r="AI400" i="13"/>
  <c r="AI419" i="13"/>
  <c r="AI149" i="24"/>
  <c r="AI332" i="13"/>
  <c r="AI347" i="13"/>
  <c r="AF403" i="13"/>
  <c r="AG403" i="13" s="1"/>
  <c r="AI449" i="13"/>
  <c r="AF405" i="13"/>
  <c r="AG405" i="13" s="1"/>
  <c r="AI377" i="13"/>
  <c r="AF412" i="13"/>
  <c r="AG412" i="13" s="1"/>
  <c r="AJ140" i="24"/>
  <c r="AI339" i="13"/>
  <c r="AF337" i="13"/>
  <c r="AG337" i="13" s="1"/>
  <c r="AJ316" i="13"/>
  <c r="AF376" i="13"/>
  <c r="AG376" i="13" s="1"/>
  <c r="AI430" i="13"/>
  <c r="AI346" i="13"/>
  <c r="AF348" i="13"/>
  <c r="AG348" i="13" s="1"/>
  <c r="AI439" i="13"/>
  <c r="AI350" i="13"/>
  <c r="AF421" i="13"/>
  <c r="AG421" i="13" s="1"/>
  <c r="AJ355" i="13"/>
  <c r="AF15" i="45"/>
  <c r="AG15" i="45" s="1"/>
  <c r="AF414" i="13"/>
  <c r="AG414" i="13" s="1"/>
  <c r="AI147" i="24"/>
  <c r="AJ319" i="13"/>
  <c r="AI313" i="13"/>
  <c r="AI316" i="13"/>
  <c r="AF389" i="13"/>
  <c r="AG389" i="13" s="1"/>
  <c r="AI438" i="13"/>
  <c r="AF346" i="13"/>
  <c r="AG346" i="13" s="1"/>
  <c r="AI385" i="13"/>
  <c r="AF435" i="13"/>
  <c r="AG435" i="13" s="1"/>
  <c r="AF351" i="13"/>
  <c r="AG351" i="13" s="1"/>
  <c r="AF377" i="13"/>
  <c r="AG377" i="13" s="1"/>
  <c r="AJ81" i="14"/>
  <c r="AI15" i="45"/>
  <c r="AF444" i="13"/>
  <c r="AG444" i="13" s="1"/>
  <c r="AJ333" i="13"/>
  <c r="AI357" i="13"/>
  <c r="AI424" i="13"/>
  <c r="AF384" i="13"/>
  <c r="AG384" i="13" s="1"/>
  <c r="AI263" i="13"/>
  <c r="AI153" i="24"/>
  <c r="AF423" i="13"/>
  <c r="AG423" i="13" s="1"/>
  <c r="AI342" i="13"/>
  <c r="AF427" i="13"/>
  <c r="AG427" i="13" s="1"/>
  <c r="AF340" i="13"/>
  <c r="AG340" i="13" s="1"/>
  <c r="AI371" i="13"/>
  <c r="AI413" i="13"/>
  <c r="AF14" i="45"/>
  <c r="AG14" i="45" s="1"/>
  <c r="AI14" i="45"/>
  <c r="AI318" i="13"/>
  <c r="AI334" i="13"/>
  <c r="AJ325" i="13"/>
  <c r="AF373" i="13"/>
  <c r="AG373" i="13" s="1"/>
  <c r="AF365" i="13"/>
  <c r="AG365" i="13" s="1"/>
  <c r="AF361" i="13"/>
  <c r="AG361" i="13" s="1"/>
  <c r="AI80" i="14"/>
  <c r="AF369" i="13"/>
  <c r="AG369" i="13" s="1"/>
  <c r="AI409" i="13"/>
  <c r="AI443" i="13"/>
  <c r="AI442" i="13"/>
  <c r="AJ322" i="13"/>
  <c r="AI426" i="13"/>
  <c r="AI383" i="13"/>
  <c r="AF314" i="13"/>
  <c r="AG314" i="13" s="1"/>
  <c r="AF441" i="13"/>
  <c r="AG441" i="13" s="1"/>
  <c r="AI407" i="13"/>
  <c r="AF381" i="13"/>
  <c r="AG381" i="13" s="1"/>
  <c r="AI433" i="13"/>
  <c r="AI4" i="45"/>
  <c r="AF396" i="13"/>
  <c r="AG396" i="13" s="1"/>
  <c r="AF379" i="13"/>
  <c r="AG379" i="13" s="1"/>
  <c r="AF418" i="13"/>
  <c r="AG418" i="13" s="1"/>
  <c r="AJ343" i="13"/>
  <c r="AF440" i="13"/>
  <c r="AG440" i="13" s="1"/>
  <c r="AJ356" i="13"/>
  <c r="AI448" i="13"/>
  <c r="AF320" i="13"/>
  <c r="AG320" i="13" s="1"/>
  <c r="AF135" i="34"/>
  <c r="AG135" i="34" s="1"/>
  <c r="AJ125" i="34"/>
  <c r="AF446" i="13"/>
  <c r="AG446" i="13" s="1"/>
  <c r="AI151" i="24"/>
  <c r="AI315" i="13"/>
  <c r="AJ335" i="13"/>
  <c r="AI329" i="13"/>
  <c r="AJ336" i="13"/>
  <c r="AF345" i="13"/>
  <c r="AG345" i="13" s="1"/>
  <c r="AF372" i="13"/>
  <c r="AG372" i="13" s="1"/>
  <c r="AF312" i="13"/>
  <c r="AG312" i="13" s="1"/>
  <c r="AI416" i="13"/>
  <c r="AJ382" i="13"/>
  <c r="AJ152" i="24"/>
  <c r="AI335" i="13"/>
  <c r="AI338" i="13"/>
  <c r="AJ321" i="13"/>
  <c r="AI325" i="13"/>
  <c r="AI336" i="13"/>
  <c r="AJ352" i="13"/>
  <c r="AF431" i="13"/>
  <c r="AG431" i="13" s="1"/>
  <c r="AI343" i="13"/>
  <c r="AJ373" i="13"/>
  <c r="AF448" i="13"/>
  <c r="AG448" i="13" s="1"/>
  <c r="AJ345" i="13"/>
  <c r="AF401" i="13"/>
  <c r="AG401" i="13" s="1"/>
  <c r="AF417" i="13"/>
  <c r="AG417" i="13" s="1"/>
  <c r="AJ369" i="13"/>
  <c r="AI431" i="13"/>
  <c r="AJ312" i="13"/>
  <c r="AF419" i="13"/>
  <c r="AG419" i="13" s="1"/>
  <c r="AI352" i="13"/>
  <c r="AI365" i="13"/>
  <c r="AI417" i="13"/>
  <c r="AJ320" i="13"/>
  <c r="AI356" i="13"/>
  <c r="AI361" i="13"/>
  <c r="AJ80" i="14"/>
  <c r="AF151" i="24"/>
  <c r="AG151" i="24" s="1"/>
  <c r="AJ138" i="24"/>
  <c r="AJ315" i="13"/>
  <c r="AI321" i="13"/>
  <c r="AJ329" i="13"/>
  <c r="AF409" i="13"/>
  <c r="AG409" i="13" s="1"/>
  <c r="AI446" i="13"/>
  <c r="AJ372" i="13"/>
  <c r="AI440" i="13"/>
  <c r="AI401" i="13"/>
  <c r="AF429" i="13"/>
  <c r="AG429" i="13" s="1"/>
  <c r="AI135" i="34"/>
  <c r="AI436" i="13"/>
  <c r="AF370" i="13"/>
  <c r="AG370" i="13" s="1"/>
  <c r="AI375" i="13"/>
  <c r="AJ399" i="13"/>
  <c r="AJ418" i="13"/>
  <c r="AF436" i="13"/>
  <c r="AG436" i="13" s="1"/>
  <c r="AI427" i="13"/>
  <c r="AJ12" i="45"/>
  <c r="AF428" i="13"/>
  <c r="AG428" i="13" s="1"/>
  <c r="AI428" i="13"/>
  <c r="AF375" i="13"/>
  <c r="AG375" i="13" s="1"/>
  <c r="AF318" i="13"/>
  <c r="AG318" i="13" s="1"/>
  <c r="AI399" i="13"/>
  <c r="AF434" i="13"/>
  <c r="AG434" i="13" s="1"/>
  <c r="AJ374" i="13"/>
  <c r="AJ391" i="13"/>
  <c r="AI429" i="13"/>
  <c r="AF416" i="13"/>
  <c r="AG416" i="13" s="1"/>
  <c r="AI378" i="13"/>
  <c r="AJ402" i="13"/>
  <c r="AI390" i="13"/>
  <c r="AI421" i="13"/>
  <c r="AJ323" i="13"/>
  <c r="AI337" i="13"/>
  <c r="AJ332" i="13"/>
  <c r="AI364" i="13"/>
  <c r="AI328" i="13"/>
  <c r="AJ347" i="13"/>
  <c r="AF324" i="13"/>
  <c r="AG324" i="13" s="1"/>
  <c r="AJ351" i="13"/>
  <c r="AJ368" i="13"/>
  <c r="AI354" i="13"/>
  <c r="AI355" i="13"/>
  <c r="AF364" i="13"/>
  <c r="AG364" i="13" s="1"/>
  <c r="AF13" i="45"/>
  <c r="AG13" i="45" s="1"/>
  <c r="AF408" i="13"/>
  <c r="AG408" i="13" s="1"/>
  <c r="AI359" i="13"/>
  <c r="AF430" i="13"/>
  <c r="AG430" i="13" s="1"/>
  <c r="AF142" i="24"/>
  <c r="AG142" i="24" s="1"/>
  <c r="AI142" i="24"/>
  <c r="AF150" i="24"/>
  <c r="AG150" i="24" s="1"/>
  <c r="AJ311" i="13"/>
  <c r="AI327" i="13"/>
  <c r="AF341" i="13"/>
  <c r="AG341" i="13" s="1"/>
  <c r="AF407" i="13"/>
  <c r="AG407" i="13" s="1"/>
  <c r="AF344" i="13"/>
  <c r="AG344" i="13" s="1"/>
  <c r="AJ340" i="13"/>
  <c r="AI406" i="13"/>
  <c r="AF433" i="13"/>
  <c r="AG433" i="13" s="1"/>
  <c r="AJ388" i="13"/>
  <c r="AI415" i="13"/>
  <c r="AJ349" i="13"/>
  <c r="AI381" i="13"/>
  <c r="AJ384" i="13"/>
  <c r="AI441" i="13"/>
  <c r="AF413" i="13"/>
  <c r="AG413" i="13" s="1"/>
  <c r="AF445" i="13"/>
  <c r="AG445" i="13" s="1"/>
  <c r="AF380" i="13"/>
  <c r="AG380" i="13" s="1"/>
  <c r="AF397" i="13"/>
  <c r="AG397" i="13" s="1"/>
  <c r="AF367" i="13"/>
  <c r="AG367" i="13" s="1"/>
  <c r="AI396" i="13"/>
  <c r="AI445" i="13"/>
  <c r="AI395" i="13"/>
  <c r="AF404" i="13"/>
  <c r="AG404" i="13" s="1"/>
  <c r="AI379" i="13"/>
  <c r="AF426" i="13"/>
  <c r="AG426" i="13" s="1"/>
  <c r="AF415" i="13"/>
  <c r="AG415" i="13" s="1"/>
  <c r="AF447" i="13"/>
  <c r="AG447" i="13" s="1"/>
  <c r="AF358" i="13"/>
  <c r="AG358" i="13" s="1"/>
  <c r="AI380" i="13"/>
  <c r="AF424" i="13"/>
  <c r="AG424" i="13" s="1"/>
  <c r="AF425" i="13"/>
  <c r="AG425" i="13" s="1"/>
  <c r="AF388" i="13"/>
  <c r="AG388" i="13" s="1"/>
  <c r="AI423" i="13"/>
  <c r="AI447" i="13"/>
  <c r="AI432" i="13"/>
  <c r="AF443" i="13"/>
  <c r="AG443" i="13" s="1"/>
  <c r="AI425" i="13"/>
  <c r="AI353" i="13"/>
  <c r="AF129" i="34"/>
  <c r="AG129" i="34" s="1"/>
  <c r="AJ326" i="13"/>
  <c r="AF406" i="13"/>
  <c r="AG406" i="13" s="1"/>
  <c r="AJ362" i="13"/>
  <c r="AF383" i="13"/>
  <c r="AG383" i="13" s="1"/>
  <c r="AJ395" i="13"/>
  <c r="AI404" i="13"/>
  <c r="AI398" i="13"/>
  <c r="AJ370" i="13"/>
  <c r="AI387" i="13"/>
  <c r="AF442" i="13"/>
  <c r="AG442" i="13" s="1"/>
  <c r="AF371" i="13"/>
  <c r="AG371" i="13" s="1"/>
  <c r="AJ13" i="45"/>
  <c r="AJ330" i="13"/>
  <c r="AI410" i="13"/>
  <c r="AJ359" i="13"/>
  <c r="AI405" i="13"/>
  <c r="AF422" i="13"/>
  <c r="AG422" i="13" s="1"/>
  <c r="AF398" i="13"/>
  <c r="AG398" i="13" s="1"/>
  <c r="AI133" i="34"/>
  <c r="AI437" i="13"/>
  <c r="AI319" i="13"/>
  <c r="AJ339" i="13"/>
  <c r="AF439" i="13"/>
  <c r="AG439" i="13" s="1"/>
  <c r="AJ376" i="13"/>
  <c r="AI422" i="13"/>
  <c r="AI348" i="13"/>
  <c r="AI408" i="13"/>
  <c r="AF350" i="13"/>
  <c r="AG350" i="13" s="1"/>
  <c r="AF368" i="13"/>
  <c r="AG368" i="13" s="1"/>
  <c r="AF437" i="13"/>
  <c r="AG437" i="13" s="1"/>
  <c r="AI81" i="14"/>
  <c r="AF126" i="34"/>
  <c r="AG126" i="34" s="1"/>
  <c r="AF133" i="34"/>
  <c r="AG133" i="34" s="1"/>
  <c r="AF378" i="13"/>
  <c r="AG378" i="13" s="1"/>
  <c r="AI403" i="13"/>
  <c r="AJ410" i="13"/>
  <c r="AI402" i="13"/>
  <c r="AI392" i="13"/>
  <c r="AJ390" i="13"/>
  <c r="AI444" i="13"/>
  <c r="AF394" i="13"/>
  <c r="AG394" i="13" s="1"/>
  <c r="AI394" i="13"/>
  <c r="AJ392" i="13"/>
  <c r="AJ310" i="13"/>
  <c r="AF420" i="13"/>
  <c r="AG420" i="13" s="1"/>
  <c r="AI412" i="13"/>
  <c r="AI435" i="13"/>
  <c r="AF438" i="13"/>
  <c r="AG438" i="13" s="1"/>
  <c r="AJ338" i="13"/>
  <c r="AJ366" i="13"/>
  <c r="AF393" i="13"/>
  <c r="AG393" i="13" s="1"/>
  <c r="AF400" i="13"/>
  <c r="AG400" i="13" s="1"/>
  <c r="AI382" i="13"/>
  <c r="AJ386" i="13"/>
  <c r="AF386" i="13"/>
  <c r="AG386" i="13" s="1"/>
  <c r="AI393" i="13"/>
  <c r="AI411" i="13"/>
  <c r="AI397" i="13"/>
  <c r="AI434" i="13"/>
  <c r="AI391" i="13"/>
  <c r="AF366" i="13"/>
  <c r="AG366" i="13" s="1"/>
  <c r="AF362" i="13"/>
  <c r="AG362" i="13" s="1"/>
  <c r="AJ367" i="13"/>
  <c r="AJ137" i="24"/>
  <c r="AJ141" i="24"/>
  <c r="AI144" i="24"/>
  <c r="AF153" i="24"/>
  <c r="AG153" i="24" s="1"/>
  <c r="AJ263" i="13"/>
  <c r="AI311" i="13"/>
  <c r="AJ331" i="13"/>
  <c r="AI314" i="13"/>
  <c r="AI326" i="13"/>
  <c r="AJ317" i="13"/>
  <c r="AI333" i="13"/>
  <c r="AJ341" i="13"/>
  <c r="AF357" i="13"/>
  <c r="AG357" i="13" s="1"/>
  <c r="AF342" i="13"/>
  <c r="AG342" i="13" s="1"/>
  <c r="AJ360" i="13"/>
  <c r="AI349" i="13"/>
  <c r="AF353" i="13"/>
  <c r="AG353" i="13" s="1"/>
  <c r="AI134" i="34"/>
  <c r="AI132" i="34"/>
  <c r="AJ146" i="24"/>
  <c r="AI150" i="24"/>
  <c r="AJ327" i="13"/>
  <c r="AI331" i="13"/>
  <c r="AI317" i="13"/>
  <c r="AI344" i="13"/>
  <c r="AI358" i="13"/>
  <c r="AF360" i="13"/>
  <c r="AG360" i="13" s="1"/>
  <c r="AF127" i="34"/>
  <c r="AG127" i="34" s="1"/>
  <c r="AF132" i="34"/>
  <c r="AG132" i="34" s="1"/>
  <c r="AF12" i="45"/>
  <c r="AG12" i="45" s="1"/>
  <c r="AJ334" i="13"/>
  <c r="AI310" i="13"/>
  <c r="AJ313" i="13"/>
  <c r="AF78" i="14"/>
  <c r="AG78" i="14" s="1"/>
  <c r="AF131" i="34"/>
  <c r="AG131" i="34" s="1"/>
  <c r="AJ134" i="34"/>
  <c r="AJ79" i="14"/>
  <c r="AF147" i="24"/>
  <c r="AG147" i="24" s="1"/>
  <c r="AF149" i="24"/>
  <c r="AG149" i="24" s="1"/>
  <c r="AJ78" i="14"/>
  <c r="AJ131" i="34"/>
  <c r="AI133" i="24"/>
  <c r="AJ139" i="24"/>
  <c r="AI141" i="24"/>
  <c r="AJ144" i="24"/>
  <c r="AI37" i="43"/>
  <c r="AF37" i="43"/>
  <c r="AG37" i="43" s="1"/>
  <c r="AI79" i="14"/>
  <c r="AJ129" i="34"/>
  <c r="AJ126" i="34"/>
  <c r="AF122" i="34"/>
  <c r="AG122" i="34" s="1"/>
  <c r="AJ122" i="34"/>
  <c r="AF117" i="34"/>
  <c r="AG117" i="34" s="1"/>
  <c r="AI35" i="43"/>
  <c r="AI135" i="24"/>
  <c r="AJ148" i="24"/>
  <c r="AF38" i="43"/>
  <c r="AG38" i="43" s="1"/>
  <c r="AJ38" i="43"/>
  <c r="AI36" i="43"/>
  <c r="AJ130" i="34"/>
  <c r="AF124" i="34"/>
  <c r="AG124" i="34" s="1"/>
  <c r="AF148" i="24"/>
  <c r="AG148" i="24" s="1"/>
  <c r="AJ128" i="34"/>
  <c r="AF34" i="43"/>
  <c r="AG34" i="43" s="1"/>
  <c r="AI116" i="34"/>
  <c r="AJ127" i="34"/>
  <c r="AJ123" i="34"/>
  <c r="AF35" i="43"/>
  <c r="AG35" i="43" s="1"/>
  <c r="AJ131" i="24"/>
  <c r="AI136" i="24"/>
  <c r="AF143" i="24"/>
  <c r="AG143" i="24" s="1"/>
  <c r="AI145" i="24"/>
  <c r="AF36" i="43"/>
  <c r="AG36" i="43" s="1"/>
  <c r="AF130" i="34"/>
  <c r="AG130" i="34" s="1"/>
  <c r="AI124" i="34"/>
  <c r="AI125" i="34"/>
  <c r="AF128" i="34"/>
  <c r="AG128" i="34" s="1"/>
  <c r="AJ34" i="43"/>
  <c r="J39" i="25" s="1"/>
  <c r="AF146" i="24"/>
  <c r="AG146" i="24" s="1"/>
  <c r="AF130" i="24"/>
  <c r="AG130" i="24" s="1"/>
  <c r="AJ130" i="24"/>
  <c r="AF137" i="24"/>
  <c r="AG137" i="24" s="1"/>
  <c r="AF116" i="34"/>
  <c r="AG116" i="34" s="1"/>
  <c r="AJ121" i="34"/>
  <c r="AF136" i="24"/>
  <c r="AG136" i="24" s="1"/>
  <c r="AF139" i="24"/>
  <c r="AG139" i="24" s="1"/>
  <c r="AI138" i="24"/>
  <c r="AI140" i="24"/>
  <c r="AI143" i="24"/>
  <c r="AF145" i="24"/>
  <c r="AG145" i="24" s="1"/>
  <c r="AF131" i="24"/>
  <c r="AG131" i="24" s="1"/>
  <c r="AF135" i="24"/>
  <c r="AG135" i="24" s="1"/>
  <c r="AF77" i="14"/>
  <c r="AG77" i="14" s="1"/>
  <c r="AJ77" i="14"/>
  <c r="AI76" i="14"/>
  <c r="AF123" i="34"/>
  <c r="AG123" i="34" s="1"/>
  <c r="AF133" i="24"/>
  <c r="AG133" i="24" s="1"/>
  <c r="AF76" i="14"/>
  <c r="AG76" i="14" s="1"/>
  <c r="AI117" i="34"/>
  <c r="AF121" i="34"/>
  <c r="AG121" i="34" s="1"/>
  <c r="AF132" i="24"/>
  <c r="AG132" i="24" s="1"/>
  <c r="AI134" i="24"/>
  <c r="O34" i="25"/>
  <c r="M34" i="25"/>
  <c r="AJ129" i="24"/>
  <c r="AJ132" i="24"/>
  <c r="AI129" i="24"/>
  <c r="AJ134" i="24"/>
  <c r="AF119" i="34"/>
  <c r="AG119" i="34" s="1"/>
  <c r="AF115" i="34"/>
  <c r="AG115" i="34" s="1"/>
  <c r="AF74" i="14"/>
  <c r="AG74" i="14" s="1"/>
  <c r="AI74" i="14"/>
  <c r="AI114" i="34"/>
  <c r="AF114" i="34"/>
  <c r="AG114" i="34" s="1"/>
  <c r="AJ75" i="14"/>
  <c r="AJ119" i="34"/>
  <c r="AF120" i="34"/>
  <c r="AG120" i="34" s="1"/>
  <c r="AJ120" i="34"/>
  <c r="AI75" i="14"/>
  <c r="AI115" i="34"/>
  <c r="AI118" i="34"/>
  <c r="AJ11" i="45"/>
  <c r="AJ118" i="34"/>
  <c r="AF128" i="24"/>
  <c r="AG128" i="24" s="1"/>
  <c r="AF11" i="45"/>
  <c r="AG11" i="45" s="1"/>
  <c r="AI128" i="24"/>
  <c r="AJ122" i="24"/>
  <c r="AF113" i="34"/>
  <c r="AG113" i="34" s="1"/>
  <c r="AI112" i="34"/>
  <c r="AF122" i="24"/>
  <c r="AG122" i="24" s="1"/>
  <c r="AJ307" i="13"/>
  <c r="AI111" i="34"/>
  <c r="AJ112" i="34"/>
  <c r="AF281" i="13"/>
  <c r="AG281" i="13" s="1"/>
  <c r="AI103" i="24"/>
  <c r="AI127" i="24"/>
  <c r="AI113" i="34"/>
  <c r="AF72" i="14"/>
  <c r="AG72" i="14" s="1"/>
  <c r="AJ69" i="14"/>
  <c r="AI73" i="14"/>
  <c r="AJ73" i="14"/>
  <c r="AF125" i="24"/>
  <c r="AG125" i="24" s="1"/>
  <c r="AI306" i="13"/>
  <c r="AJ125" i="24"/>
  <c r="AI126" i="24"/>
  <c r="AJ9" i="45"/>
  <c r="AI110" i="34"/>
  <c r="AI270" i="13"/>
  <c r="AF123" i="24"/>
  <c r="AG123" i="24" s="1"/>
  <c r="AF295" i="13"/>
  <c r="AG295" i="13" s="1"/>
  <c r="AJ121" i="24"/>
  <c r="AJ123" i="24"/>
  <c r="AF126" i="24"/>
  <c r="AG126" i="24" s="1"/>
  <c r="AI70" i="14"/>
  <c r="AJ72" i="14"/>
  <c r="AF111" i="34"/>
  <c r="AG111" i="34" s="1"/>
  <c r="AJ107" i="34"/>
  <c r="AJ110" i="34"/>
  <c r="AF124" i="24"/>
  <c r="AG124" i="24" s="1"/>
  <c r="AJ127" i="24"/>
  <c r="AF109" i="34"/>
  <c r="AG109" i="34" s="1"/>
  <c r="AI8" i="45"/>
  <c r="AF108" i="34"/>
  <c r="AG108" i="34" s="1"/>
  <c r="AJ124" i="24"/>
  <c r="AJ104" i="34"/>
  <c r="AF104" i="34"/>
  <c r="AG104" i="34" s="1"/>
  <c r="AF113" i="24"/>
  <c r="AG113" i="24" s="1"/>
  <c r="AI307" i="13"/>
  <c r="AJ305" i="13"/>
  <c r="AF71" i="14"/>
  <c r="AG71" i="14" s="1"/>
  <c r="AI9" i="45"/>
  <c r="AF8" i="45"/>
  <c r="AG8" i="45" s="1"/>
  <c r="AI108" i="34"/>
  <c r="AF107" i="34"/>
  <c r="AG107" i="34" s="1"/>
  <c r="AI109" i="34"/>
  <c r="AI305" i="13"/>
  <c r="AI105" i="34"/>
  <c r="AJ306" i="13"/>
  <c r="AF338" i="15"/>
  <c r="AG338" i="15" s="1"/>
  <c r="AI297" i="13"/>
  <c r="AJ100" i="34"/>
  <c r="AI103" i="34"/>
  <c r="AI282" i="13"/>
  <c r="AJ309" i="13"/>
  <c r="AF308" i="13"/>
  <c r="AG308" i="13" s="1"/>
  <c r="AF105" i="34"/>
  <c r="AG105" i="34" s="1"/>
  <c r="AF114" i="24"/>
  <c r="AG114" i="24" s="1"/>
  <c r="AF121" i="24"/>
  <c r="AG121" i="24" s="1"/>
  <c r="AI340" i="15"/>
  <c r="AI273" i="13"/>
  <c r="AI308" i="13"/>
  <c r="AI66" i="14"/>
  <c r="AJ70" i="14"/>
  <c r="AI101" i="34"/>
  <c r="AJ106" i="34"/>
  <c r="AF104" i="24"/>
  <c r="AG104" i="24" s="1"/>
  <c r="AF340" i="15"/>
  <c r="AG340" i="15" s="1"/>
  <c r="AJ291" i="13"/>
  <c r="AI309" i="13"/>
  <c r="AF66" i="14"/>
  <c r="AG66" i="14" s="1"/>
  <c r="AI98" i="34"/>
  <c r="AF103" i="34"/>
  <c r="AG103" i="34" s="1"/>
  <c r="AI106" i="34"/>
  <c r="AI292" i="13"/>
  <c r="AF117" i="24"/>
  <c r="AG117" i="24" s="1"/>
  <c r="AF339" i="15"/>
  <c r="AG339" i="15" s="1"/>
  <c r="AF112" i="24"/>
  <c r="AG112" i="24" s="1"/>
  <c r="AI303" i="13"/>
  <c r="AJ304" i="13"/>
  <c r="AI69" i="14"/>
  <c r="AF120" i="24"/>
  <c r="AG120" i="24" s="1"/>
  <c r="AJ120" i="24"/>
  <c r="AI302" i="13"/>
  <c r="AI287" i="13"/>
  <c r="AI275" i="13"/>
  <c r="AJ71" i="14"/>
  <c r="AJ107" i="24"/>
  <c r="AJ115" i="24"/>
  <c r="AJ339" i="15"/>
  <c r="AI278" i="13"/>
  <c r="AJ303" i="13"/>
  <c r="AI304" i="13"/>
  <c r="AJ67" i="14"/>
  <c r="AJ272" i="13"/>
  <c r="AI67" i="14"/>
  <c r="AI268" i="13"/>
  <c r="AI102" i="34"/>
  <c r="AJ102" i="34"/>
  <c r="AI338" i="15"/>
  <c r="AJ119" i="24"/>
  <c r="AI68" i="14"/>
  <c r="AF68" i="14"/>
  <c r="AG68" i="14" s="1"/>
  <c r="AI119" i="24"/>
  <c r="AF273" i="13"/>
  <c r="AG273" i="13" s="1"/>
  <c r="AF101" i="34"/>
  <c r="AG101" i="34" s="1"/>
  <c r="AF274" i="13"/>
  <c r="AG274" i="13" s="1"/>
  <c r="AF105" i="24"/>
  <c r="AG105" i="24" s="1"/>
  <c r="AI105" i="24"/>
  <c r="AI112" i="24"/>
  <c r="AI113" i="24"/>
  <c r="AI117" i="24"/>
  <c r="AI33" i="43"/>
  <c r="AI29" i="43"/>
  <c r="AF28" i="43"/>
  <c r="AG28" i="43" s="1"/>
  <c r="AF268" i="13"/>
  <c r="AG268" i="13" s="1"/>
  <c r="AF275" i="13"/>
  <c r="AG275" i="13" s="1"/>
  <c r="AI272" i="13"/>
  <c r="AJ288" i="13"/>
  <c r="AJ287" i="13"/>
  <c r="AJ294" i="13"/>
  <c r="AI65" i="14"/>
  <c r="AF107" i="24"/>
  <c r="AG107" i="24" s="1"/>
  <c r="AI115" i="24"/>
  <c r="AF33" i="43"/>
  <c r="AG33" i="43" s="1"/>
  <c r="AI28" i="43"/>
  <c r="AI336" i="15"/>
  <c r="AF286" i="13"/>
  <c r="AG286" i="13" s="1"/>
  <c r="AJ295" i="13"/>
  <c r="AI288" i="13"/>
  <c r="AI294" i="13"/>
  <c r="AJ278" i="13"/>
  <c r="AI281" i="13"/>
  <c r="AF106" i="24"/>
  <c r="AG106" i="24" s="1"/>
  <c r="AJ108" i="24"/>
  <c r="AF284" i="13"/>
  <c r="AG284" i="13" s="1"/>
  <c r="AI299" i="13"/>
  <c r="AF276" i="13"/>
  <c r="AG276" i="13" s="1"/>
  <c r="AF108" i="24"/>
  <c r="AG108" i="24" s="1"/>
  <c r="AF269" i="13"/>
  <c r="AG269" i="13" s="1"/>
  <c r="AF280" i="13"/>
  <c r="AG280" i="13" s="1"/>
  <c r="AJ289" i="13"/>
  <c r="AI298" i="13"/>
  <c r="AI110" i="24"/>
  <c r="AJ271" i="13"/>
  <c r="AI276" i="13"/>
  <c r="AI289" i="13"/>
  <c r="AJ269" i="13"/>
  <c r="AJ298" i="13"/>
  <c r="AJ300" i="13"/>
  <c r="AI279" i="13"/>
  <c r="AJ293" i="13"/>
  <c r="AI284" i="13"/>
  <c r="AF271" i="13"/>
  <c r="AG271" i="13" s="1"/>
  <c r="AJ279" i="13"/>
  <c r="AJ296" i="13"/>
  <c r="AJ299" i="13"/>
  <c r="AI300" i="13"/>
  <c r="AI296" i="13"/>
  <c r="AI99" i="34"/>
  <c r="AF99" i="34"/>
  <c r="AG99" i="34" s="1"/>
  <c r="AF293" i="13"/>
  <c r="AG293" i="13" s="1"/>
  <c r="AI280" i="13"/>
  <c r="AI286" i="13"/>
  <c r="AF302" i="13"/>
  <c r="AG302" i="13" s="1"/>
  <c r="AF111" i="24"/>
  <c r="AG111" i="24" s="1"/>
  <c r="AI102" i="24"/>
  <c r="AI104" i="24"/>
  <c r="AI111" i="24"/>
  <c r="AJ114" i="24"/>
  <c r="AI290" i="13"/>
  <c r="AF285" i="13"/>
  <c r="AG285" i="13" s="1"/>
  <c r="AJ282" i="13"/>
  <c r="AI301" i="13"/>
  <c r="AJ297" i="13"/>
  <c r="AF100" i="34"/>
  <c r="AG100" i="34" s="1"/>
  <c r="AJ98" i="34"/>
  <c r="AF290" i="13"/>
  <c r="AG290" i="13" s="1"/>
  <c r="AI283" i="13"/>
  <c r="AJ102" i="24"/>
  <c r="AF103" i="24"/>
  <c r="AG103" i="24" s="1"/>
  <c r="AI274" i="13"/>
  <c r="AF270" i="13"/>
  <c r="AG270" i="13" s="1"/>
  <c r="AI285" i="13"/>
  <c r="AI291" i="13"/>
  <c r="AJ292" i="13"/>
  <c r="AJ301" i="13"/>
  <c r="AJ283" i="13"/>
  <c r="AF277" i="13"/>
  <c r="AG277" i="13" s="1"/>
  <c r="AI277" i="13"/>
  <c r="AJ101" i="24"/>
  <c r="AI109" i="24"/>
  <c r="AJ116" i="24"/>
  <c r="AF118" i="24"/>
  <c r="AG118" i="24" s="1"/>
  <c r="AF116" i="24"/>
  <c r="AG116" i="24" s="1"/>
  <c r="AI101" i="24"/>
  <c r="AJ106" i="24"/>
  <c r="AF109" i="24"/>
  <c r="AG109" i="24" s="1"/>
  <c r="AF110" i="24"/>
  <c r="AG110" i="24" s="1"/>
  <c r="AJ118" i="24"/>
  <c r="AJ337" i="15"/>
  <c r="AF31" i="43"/>
  <c r="AG31" i="43" s="1"/>
  <c r="AI32" i="43"/>
  <c r="AF29" i="43"/>
  <c r="AG29" i="43" s="1"/>
  <c r="AJ30" i="43"/>
  <c r="AJ335" i="15"/>
  <c r="AF335" i="15"/>
  <c r="AG335" i="15" s="1"/>
  <c r="AF337" i="15"/>
  <c r="AG337" i="15" s="1"/>
  <c r="AF336" i="15"/>
  <c r="AG336" i="15" s="1"/>
  <c r="AF32" i="43"/>
  <c r="AG32" i="43" s="1"/>
  <c r="AI31" i="43"/>
  <c r="AF27" i="43"/>
  <c r="AG27" i="43" s="1"/>
  <c r="AJ27" i="43"/>
  <c r="AF30" i="43"/>
  <c r="AG30" i="43" s="1"/>
  <c r="AF97" i="34"/>
  <c r="AG97" i="34" s="1"/>
  <c r="AI63" i="14"/>
  <c r="AI96" i="34"/>
  <c r="AI95" i="34"/>
  <c r="AJ63" i="14"/>
  <c r="AF95" i="34"/>
  <c r="AG95" i="34" s="1"/>
  <c r="AI94" i="34"/>
  <c r="AF64" i="14"/>
  <c r="AG64" i="14" s="1"/>
  <c r="AJ65" i="14"/>
  <c r="AI97" i="34"/>
  <c r="AF93" i="34"/>
  <c r="AG93" i="34" s="1"/>
  <c r="AJ316" i="15"/>
  <c r="AJ96" i="34"/>
  <c r="AI64" i="14"/>
  <c r="AF94" i="34"/>
  <c r="AG94" i="34" s="1"/>
  <c r="AI93" i="34"/>
  <c r="AI311" i="15"/>
  <c r="AI327" i="15"/>
  <c r="AF58" i="14"/>
  <c r="AG58" i="14" s="1"/>
  <c r="AF327" i="15"/>
  <c r="AG327" i="15" s="1"/>
  <c r="AJ312" i="15"/>
  <c r="AI328" i="15"/>
  <c r="AF311" i="15"/>
  <c r="AG311" i="15" s="1"/>
  <c r="AF308" i="15"/>
  <c r="AG308" i="15" s="1"/>
  <c r="AJ308" i="15"/>
  <c r="AJ328" i="15"/>
  <c r="AI312" i="15"/>
  <c r="AF309" i="15"/>
  <c r="AG309" i="15" s="1"/>
  <c r="AJ100" i="24"/>
  <c r="AF325" i="15"/>
  <c r="AG325" i="15" s="1"/>
  <c r="AI100" i="24"/>
  <c r="AJ310" i="15"/>
  <c r="AI59" i="14"/>
  <c r="M32" i="25" s="1"/>
  <c r="AJ59" i="14"/>
  <c r="AI85" i="34"/>
  <c r="AF92" i="34"/>
  <c r="AG92" i="34" s="1"/>
  <c r="AJ62" i="14"/>
  <c r="AI92" i="34"/>
  <c r="AJ6" i="45"/>
  <c r="AI91" i="34"/>
  <c r="AF91" i="34"/>
  <c r="AG91" i="34" s="1"/>
  <c r="AF79" i="34"/>
  <c r="AG79" i="34" s="1"/>
  <c r="AJ73" i="34"/>
  <c r="AF77" i="34"/>
  <c r="AG77" i="34" s="1"/>
  <c r="AJ82" i="34"/>
  <c r="AI329" i="15"/>
  <c r="AI82" i="34"/>
  <c r="AF313" i="15"/>
  <c r="AG313" i="15" s="1"/>
  <c r="AF71" i="34"/>
  <c r="AG71" i="34" s="1"/>
  <c r="AF329" i="15"/>
  <c r="AG329" i="15" s="1"/>
  <c r="AF315" i="15"/>
  <c r="AG315" i="15" s="1"/>
  <c r="AI89" i="34"/>
  <c r="AJ71" i="34"/>
  <c r="AF330" i="15"/>
  <c r="AG330" i="15" s="1"/>
  <c r="AJ330" i="15"/>
  <c r="AF314" i="15"/>
  <c r="AG314" i="15" s="1"/>
  <c r="AI313" i="15"/>
  <c r="AI325" i="15"/>
  <c r="AI62" i="14"/>
  <c r="AJ79" i="34"/>
  <c r="AF85" i="34"/>
  <c r="AG85" i="34" s="1"/>
  <c r="AF90" i="34"/>
  <c r="AG90" i="34" s="1"/>
  <c r="AJ314" i="15"/>
  <c r="AF318" i="15"/>
  <c r="AG318" i="15" s="1"/>
  <c r="AF89" i="34"/>
  <c r="AG89" i="34" s="1"/>
  <c r="AF6" i="45"/>
  <c r="AG6" i="45" s="1"/>
  <c r="AI77" i="34"/>
  <c r="AI25" i="43"/>
  <c r="AJ61" i="14"/>
  <c r="AI76" i="34"/>
  <c r="AJ90" i="34"/>
  <c r="AI58" i="14"/>
  <c r="AI81" i="34"/>
  <c r="AF81" i="34"/>
  <c r="AG81" i="34" s="1"/>
  <c r="AF61" i="14"/>
  <c r="AG61" i="14" s="1"/>
  <c r="AJ324" i="15"/>
  <c r="AI323" i="15"/>
  <c r="AF323" i="15"/>
  <c r="AG323" i="15" s="1"/>
  <c r="AF25" i="43"/>
  <c r="AG25" i="43" s="1"/>
  <c r="AF26" i="43"/>
  <c r="AG26" i="43" s="1"/>
  <c r="AF324" i="15"/>
  <c r="AG324" i="15" s="1"/>
  <c r="AJ24" i="43"/>
  <c r="AI86" i="34"/>
  <c r="AI60" i="14"/>
  <c r="AI74" i="34"/>
  <c r="AJ88" i="34"/>
  <c r="AF74" i="34"/>
  <c r="AG74" i="34" s="1"/>
  <c r="AI26" i="43"/>
  <c r="AI57" i="14"/>
  <c r="AF60" i="14"/>
  <c r="AG60" i="14" s="1"/>
  <c r="AF319" i="15"/>
  <c r="AG319" i="15" s="1"/>
  <c r="AF57" i="14"/>
  <c r="AG57" i="14" s="1"/>
  <c r="AF55" i="14"/>
  <c r="AG55" i="14" s="1"/>
  <c r="AI55" i="14"/>
  <c r="AI87" i="34"/>
  <c r="AJ86" i="34"/>
  <c r="AF321" i="15"/>
  <c r="AG321" i="15" s="1"/>
  <c r="AF72" i="34"/>
  <c r="AG72" i="34" s="1"/>
  <c r="AF87" i="34"/>
  <c r="AG87" i="34" s="1"/>
  <c r="AF24" i="43"/>
  <c r="AG24" i="43" s="1"/>
  <c r="AF317" i="15"/>
  <c r="AG317" i="15" s="1"/>
  <c r="AI317" i="15"/>
  <c r="AJ320" i="15"/>
  <c r="AJ333" i="15"/>
  <c r="AI319" i="15"/>
  <c r="AI334" i="15"/>
  <c r="AI56" i="14"/>
  <c r="AI332" i="15"/>
  <c r="AI333" i="15"/>
  <c r="AF334" i="15"/>
  <c r="AG334" i="15" s="1"/>
  <c r="AJ56" i="14"/>
  <c r="AJ53" i="14"/>
  <c r="AJ84" i="34"/>
  <c r="AI318" i="15"/>
  <c r="AF332" i="15"/>
  <c r="AG332" i="15" s="1"/>
  <c r="AI70" i="34"/>
  <c r="AI321" i="15"/>
  <c r="AF84" i="34"/>
  <c r="AG84" i="34" s="1"/>
  <c r="AI322" i="15"/>
  <c r="AI80" i="34"/>
  <c r="AJ80" i="34"/>
  <c r="AI53" i="14"/>
  <c r="AF88" i="34"/>
  <c r="AG88" i="34" s="1"/>
  <c r="AI316" i="15"/>
  <c r="AI331" i="15"/>
  <c r="AF331" i="15"/>
  <c r="AG331" i="15" s="1"/>
  <c r="AF54" i="14"/>
  <c r="AG54" i="14" s="1"/>
  <c r="AI315" i="15"/>
  <c r="AI54" i="14"/>
  <c r="AF76" i="34"/>
  <c r="AG76" i="34" s="1"/>
  <c r="AJ83" i="34"/>
  <c r="AF83" i="34"/>
  <c r="AG83" i="34" s="1"/>
  <c r="AJ78" i="34"/>
  <c r="AI78" i="34"/>
  <c r="AJ75" i="34"/>
  <c r="AF75" i="34"/>
  <c r="AG75" i="34" s="1"/>
  <c r="AF78" i="34"/>
  <c r="AG78" i="34" s="1"/>
  <c r="AI73" i="34"/>
  <c r="AI83" i="34"/>
  <c r="AJ7" i="45"/>
  <c r="AI7" i="45"/>
  <c r="AI326" i="15"/>
  <c r="AF70" i="34"/>
  <c r="AG70" i="34" s="1"/>
  <c r="AJ326" i="15"/>
  <c r="AI72" i="34"/>
  <c r="AF320" i="15"/>
  <c r="AG320" i="15" s="1"/>
  <c r="AI310" i="15"/>
  <c r="AF322" i="15"/>
  <c r="AG322" i="15" s="1"/>
  <c r="AI309" i="15"/>
  <c r="AJ226" i="13"/>
  <c r="AF217" i="13"/>
  <c r="AG217" i="13" s="1"/>
  <c r="AJ217" i="13"/>
  <c r="AJ3" i="34"/>
  <c r="AI47" i="13"/>
  <c r="AF198" i="15"/>
  <c r="AG198" i="15" s="1"/>
  <c r="AF20" i="15"/>
  <c r="AG20" i="15" s="1"/>
  <c r="AJ40" i="13"/>
  <c r="AJ235" i="13"/>
  <c r="AI242" i="15"/>
  <c r="AJ182" i="15"/>
  <c r="AF237" i="15"/>
  <c r="AG237" i="15" s="1"/>
  <c r="AF242" i="15"/>
  <c r="AG242" i="15" s="1"/>
  <c r="AJ114" i="13"/>
  <c r="AI12" i="13"/>
  <c r="AJ47" i="13"/>
  <c r="AI9" i="13"/>
  <c r="AI39" i="14"/>
  <c r="AJ34" i="13"/>
  <c r="AJ39" i="14"/>
  <c r="AF24" i="34"/>
  <c r="AG24" i="34" s="1"/>
  <c r="AI34" i="13"/>
  <c r="AJ111" i="13"/>
  <c r="AJ32" i="14"/>
  <c r="AJ169" i="15"/>
  <c r="AI48" i="14"/>
  <c r="AJ44" i="34"/>
  <c r="AF266" i="15"/>
  <c r="AG266" i="15" s="1"/>
  <c r="AI51" i="34"/>
  <c r="AF16" i="34"/>
  <c r="AG16" i="34" s="1"/>
  <c r="AI7" i="15"/>
  <c r="AI44" i="13"/>
  <c r="AF166" i="15"/>
  <c r="AG166" i="15" s="1"/>
  <c r="AF97" i="15"/>
  <c r="AG97" i="15" s="1"/>
  <c r="AI16" i="34"/>
  <c r="AF159" i="13"/>
  <c r="AG159" i="13" s="1"/>
  <c r="AI284" i="15"/>
  <c r="AF12" i="13"/>
  <c r="AG12" i="13" s="1"/>
  <c r="AF44" i="13"/>
  <c r="AG44" i="13" s="1"/>
  <c r="AI53" i="13"/>
  <c r="AF185" i="13"/>
  <c r="AG185" i="13" s="1"/>
  <c r="AF192" i="13"/>
  <c r="AG192" i="13" s="1"/>
  <c r="AF212" i="15"/>
  <c r="AG212" i="15" s="1"/>
  <c r="AJ53" i="13"/>
  <c r="AJ253" i="13"/>
  <c r="AF189" i="15"/>
  <c r="AG189" i="15" s="1"/>
  <c r="AF183" i="13"/>
  <c r="AG183" i="13" s="1"/>
  <c r="AI253" i="13"/>
  <c r="AF48" i="14"/>
  <c r="AG48" i="14" s="1"/>
  <c r="AI41" i="15"/>
  <c r="AI250" i="15"/>
  <c r="AJ293" i="15"/>
  <c r="AI159" i="13"/>
  <c r="AI66" i="35"/>
  <c r="AF33" i="34"/>
  <c r="AG33" i="34" s="1"/>
  <c r="AI183" i="13"/>
  <c r="AI23" i="14"/>
  <c r="AI47" i="14"/>
  <c r="AI22" i="13"/>
  <c r="AF20" i="34"/>
  <c r="AG20" i="34" s="1"/>
  <c r="AI162" i="15"/>
  <c r="AF22" i="13"/>
  <c r="AG22" i="13" s="1"/>
  <c r="AF83" i="13"/>
  <c r="AG83" i="13" s="1"/>
  <c r="AI50" i="14"/>
  <c r="AI20" i="34"/>
  <c r="AI191" i="15"/>
  <c r="AJ24" i="34"/>
  <c r="AJ137" i="15"/>
  <c r="AI175" i="13"/>
  <c r="AJ8" i="14"/>
  <c r="AJ9" i="34"/>
  <c r="AJ58" i="15"/>
  <c r="AF226" i="13"/>
  <c r="AG226" i="13" s="1"/>
  <c r="AI30" i="14"/>
  <c r="AJ91" i="15"/>
  <c r="AJ192" i="13"/>
  <c r="AJ223" i="13"/>
  <c r="AF3" i="34"/>
  <c r="AG3" i="34" s="1"/>
  <c r="AI58" i="15"/>
  <c r="AI198" i="15"/>
  <c r="AF191" i="15"/>
  <c r="AG191" i="15" s="1"/>
  <c r="AJ102" i="13"/>
  <c r="AI102" i="13"/>
  <c r="AF114" i="13"/>
  <c r="AG114" i="13" s="1"/>
  <c r="AI91" i="15"/>
  <c r="AF193" i="15"/>
  <c r="AG193" i="15" s="1"/>
  <c r="AF52" i="13"/>
  <c r="AG52" i="13" s="1"/>
  <c r="AI36" i="34"/>
  <c r="AJ29" i="15"/>
  <c r="AF36" i="34"/>
  <c r="AG36" i="34" s="1"/>
  <c r="AI86" i="13"/>
  <c r="AF137" i="15"/>
  <c r="AG137" i="15" s="1"/>
  <c r="AF29" i="15"/>
  <c r="AG29" i="15" s="1"/>
  <c r="AI52" i="13"/>
  <c r="AI17" i="34"/>
  <c r="AF220" i="13"/>
  <c r="AG220" i="13" s="1"/>
  <c r="AF17" i="34"/>
  <c r="AG17" i="34" s="1"/>
  <c r="AF66" i="35"/>
  <c r="AG66" i="35" s="1"/>
  <c r="AI220" i="13"/>
  <c r="AI5" i="15"/>
  <c r="AI300" i="15"/>
  <c r="AF300" i="15"/>
  <c r="AG300" i="15" s="1"/>
  <c r="AI307" i="15"/>
  <c r="AI195" i="13"/>
  <c r="AI51" i="14"/>
  <c r="AJ40" i="34"/>
  <c r="AJ51" i="14"/>
  <c r="AF25" i="15"/>
  <c r="AG25" i="15" s="1"/>
  <c r="AF167" i="13"/>
  <c r="AG167" i="13" s="1"/>
  <c r="AF30" i="14"/>
  <c r="AG30" i="14" s="1"/>
  <c r="AF3" i="14"/>
  <c r="AG3" i="14" s="1"/>
  <c r="AF3" i="45"/>
  <c r="AG3" i="45" s="1"/>
  <c r="AI51" i="35"/>
  <c r="AI66" i="34"/>
  <c r="AJ3" i="45"/>
  <c r="AF51" i="34"/>
  <c r="AG51" i="34" s="1"/>
  <c r="AI32" i="14"/>
  <c r="AJ33" i="34"/>
  <c r="AJ5" i="45"/>
  <c r="AI5" i="45"/>
  <c r="AF5" i="45"/>
  <c r="AG5" i="45" s="1"/>
  <c r="AI42" i="14"/>
  <c r="AJ113" i="13"/>
  <c r="AF42" i="14"/>
  <c r="AG42" i="14" s="1"/>
  <c r="AF50" i="14"/>
  <c r="AG50" i="14" s="1"/>
  <c r="AI9" i="34"/>
  <c r="AI44" i="34"/>
  <c r="AF66" i="34"/>
  <c r="AG66" i="34" s="1"/>
  <c r="AF280" i="15"/>
  <c r="AG280" i="15" s="1"/>
  <c r="AI181" i="13"/>
  <c r="AI104" i="15"/>
  <c r="AJ33" i="15"/>
  <c r="AF186" i="15"/>
  <c r="AG186" i="15" s="1"/>
  <c r="AI211" i="13"/>
  <c r="AJ224" i="13"/>
  <c r="AI2" i="14"/>
  <c r="AJ3" i="14"/>
  <c r="AF31" i="14"/>
  <c r="AG31" i="14" s="1"/>
  <c r="AF104" i="15"/>
  <c r="AG104" i="15" s="1"/>
  <c r="AI33" i="15"/>
  <c r="AF211" i="13"/>
  <c r="AG211" i="13" s="1"/>
  <c r="AF30" i="35"/>
  <c r="AG30" i="35" s="1"/>
  <c r="AI48" i="34"/>
  <c r="AI68" i="15"/>
  <c r="AJ82" i="13"/>
  <c r="AJ12" i="34"/>
  <c r="AF48" i="34"/>
  <c r="AG48" i="34" s="1"/>
  <c r="AJ2" i="45"/>
  <c r="AI2" i="45"/>
  <c r="AF2" i="45"/>
  <c r="AG2" i="45" s="1"/>
  <c r="AF68" i="15"/>
  <c r="AG68" i="15" s="1"/>
  <c r="AF20" i="35"/>
  <c r="AG20" i="35" s="1"/>
  <c r="AI20" i="35"/>
  <c r="AF40" i="14"/>
  <c r="AG40" i="14" s="1"/>
  <c r="AI12" i="34"/>
  <c r="AF182" i="15"/>
  <c r="AG182" i="15" s="1"/>
  <c r="AI262" i="15"/>
  <c r="AF262" i="15"/>
  <c r="AG262" i="15" s="1"/>
  <c r="AI40" i="14"/>
  <c r="AF241" i="15"/>
  <c r="AG241" i="15" s="1"/>
  <c r="AF223" i="13"/>
  <c r="AG223" i="13" s="1"/>
  <c r="AJ49" i="34"/>
  <c r="AI49" i="34"/>
  <c r="AF49" i="34"/>
  <c r="AG49" i="34" s="1"/>
  <c r="AI169" i="13"/>
  <c r="AI63" i="35"/>
  <c r="AJ63" i="35"/>
  <c r="AI40" i="34"/>
  <c r="AI15" i="14"/>
  <c r="AF235" i="13"/>
  <c r="AG235" i="13" s="1"/>
  <c r="AI25" i="34"/>
  <c r="AI65" i="13"/>
  <c r="AI49" i="14"/>
  <c r="AF25" i="34"/>
  <c r="AG25" i="34" s="1"/>
  <c r="AJ41" i="15"/>
  <c r="AF65" i="13"/>
  <c r="AG65" i="13" s="1"/>
  <c r="AF49" i="14"/>
  <c r="AG49" i="14" s="1"/>
  <c r="AI31" i="14"/>
  <c r="AF2" i="14"/>
  <c r="AG2" i="14" s="1"/>
  <c r="AI246" i="15"/>
  <c r="AI169" i="15"/>
  <c r="AJ205" i="15"/>
  <c r="AJ55" i="34"/>
  <c r="AF55" i="34"/>
  <c r="AG55" i="34" s="1"/>
  <c r="AJ32" i="34"/>
  <c r="AF32" i="34"/>
  <c r="AG32" i="34" s="1"/>
  <c r="AI32" i="34"/>
  <c r="AI205" i="15"/>
  <c r="AJ160" i="15"/>
  <c r="AF217" i="15"/>
  <c r="AG217" i="15" s="1"/>
  <c r="AJ19" i="34"/>
  <c r="AI19" i="34"/>
  <c r="AI160" i="15"/>
  <c r="AJ217" i="15"/>
  <c r="AF227" i="15"/>
  <c r="AG227" i="15" s="1"/>
  <c r="AJ268" i="15"/>
  <c r="AF16" i="14"/>
  <c r="AG16" i="14" s="1"/>
  <c r="AJ60" i="34"/>
  <c r="AF60" i="34"/>
  <c r="AG60" i="34" s="1"/>
  <c r="AI60" i="34"/>
  <c r="AI209" i="15"/>
  <c r="AI28" i="35"/>
  <c r="AI16" i="14"/>
  <c r="AJ133" i="15"/>
  <c r="AF209" i="15"/>
  <c r="AG209" i="15" s="1"/>
  <c r="AF8" i="14"/>
  <c r="AG8" i="14" s="1"/>
  <c r="AJ64" i="34"/>
  <c r="AI64" i="34"/>
  <c r="AJ35" i="34"/>
  <c r="AI35" i="34"/>
  <c r="AJ30" i="34"/>
  <c r="AI30" i="34"/>
  <c r="AF30" i="34"/>
  <c r="AG30" i="34" s="1"/>
  <c r="AJ7" i="34"/>
  <c r="AF7" i="34"/>
  <c r="AG7" i="34" s="1"/>
  <c r="AI7" i="34"/>
  <c r="AJ15" i="34"/>
  <c r="AI15" i="34"/>
  <c r="AF15" i="34"/>
  <c r="AG15" i="34" s="1"/>
  <c r="AJ68" i="34"/>
  <c r="AI68" i="34"/>
  <c r="AF68" i="34"/>
  <c r="AG68" i="34" s="1"/>
  <c r="AI65" i="34"/>
  <c r="AJ65" i="34"/>
  <c r="AF65" i="34"/>
  <c r="AG65" i="34" s="1"/>
  <c r="AI18" i="34"/>
  <c r="AJ18" i="34"/>
  <c r="AF18" i="34"/>
  <c r="AG18" i="34" s="1"/>
  <c r="AJ57" i="34"/>
  <c r="AI57" i="34"/>
  <c r="AF57" i="34"/>
  <c r="AG57" i="34" s="1"/>
  <c r="AF56" i="34"/>
  <c r="AG56" i="34" s="1"/>
  <c r="AI56" i="34"/>
  <c r="AJ56" i="34"/>
  <c r="AF10" i="34"/>
  <c r="AG10" i="34" s="1"/>
  <c r="AI10" i="34"/>
  <c r="AJ10" i="34"/>
  <c r="AF23" i="14"/>
  <c r="AG23" i="14" s="1"/>
  <c r="AJ23" i="34"/>
  <c r="AF23" i="34"/>
  <c r="AG23" i="34" s="1"/>
  <c r="AI23" i="34"/>
  <c r="AJ27" i="34"/>
  <c r="AI27" i="34"/>
  <c r="AF27" i="34"/>
  <c r="AG27" i="34" s="1"/>
  <c r="AJ29" i="34"/>
  <c r="AF29" i="34"/>
  <c r="AG29" i="34" s="1"/>
  <c r="AI29" i="34"/>
  <c r="AJ13" i="34"/>
  <c r="AF13" i="34"/>
  <c r="AG13" i="34" s="1"/>
  <c r="AI13" i="34"/>
  <c r="AJ43" i="34"/>
  <c r="AI43" i="34"/>
  <c r="AF43" i="34"/>
  <c r="AG43" i="34" s="1"/>
  <c r="AI26" i="34"/>
  <c r="AJ26" i="34"/>
  <c r="AF26" i="34"/>
  <c r="AG26" i="34" s="1"/>
  <c r="AJ41" i="34"/>
  <c r="AI41" i="34"/>
  <c r="AF41" i="34"/>
  <c r="AG41" i="34" s="1"/>
  <c r="AJ39" i="34"/>
  <c r="AF39" i="34"/>
  <c r="AG39" i="34" s="1"/>
  <c r="AI39" i="34"/>
  <c r="AJ5" i="34"/>
  <c r="AI5" i="34"/>
  <c r="AF5" i="34"/>
  <c r="AG5" i="34" s="1"/>
  <c r="AJ31" i="34"/>
  <c r="AI31" i="34"/>
  <c r="AF31" i="34"/>
  <c r="AG31" i="34" s="1"/>
  <c r="AI34" i="34"/>
  <c r="AF34" i="34"/>
  <c r="AG34" i="34" s="1"/>
  <c r="AJ34" i="34"/>
  <c r="AJ21" i="34"/>
  <c r="AI21" i="34"/>
  <c r="AF21" i="34"/>
  <c r="AG21" i="34" s="1"/>
  <c r="AJ52" i="34"/>
  <c r="AF52" i="34"/>
  <c r="AG52" i="34" s="1"/>
  <c r="AI52" i="34"/>
  <c r="AJ53" i="34"/>
  <c r="AF53" i="34"/>
  <c r="AG53" i="34" s="1"/>
  <c r="AI53" i="34"/>
  <c r="AI54" i="34"/>
  <c r="AJ54" i="34"/>
  <c r="AF54" i="34"/>
  <c r="AG54" i="34" s="1"/>
  <c r="AF67" i="34"/>
  <c r="AG67" i="34" s="1"/>
  <c r="AI67" i="34"/>
  <c r="AJ67" i="34"/>
  <c r="AJ47" i="34"/>
  <c r="AF47" i="34"/>
  <c r="AG47" i="34" s="1"/>
  <c r="AI47" i="34"/>
  <c r="AJ37" i="34"/>
  <c r="AI37" i="34"/>
  <c r="AF37" i="34"/>
  <c r="AG37" i="34" s="1"/>
  <c r="AI58" i="34"/>
  <c r="AJ58" i="34"/>
  <c r="AF58" i="34"/>
  <c r="AG58" i="34" s="1"/>
  <c r="AI59" i="34"/>
  <c r="AJ59" i="34"/>
  <c r="AF59" i="34"/>
  <c r="AG59" i="34" s="1"/>
  <c r="AF47" i="14"/>
  <c r="AG47" i="14" s="1"/>
  <c r="AJ11" i="34"/>
  <c r="AI11" i="34"/>
  <c r="AF11" i="34"/>
  <c r="AG11" i="34" s="1"/>
  <c r="AJ45" i="34"/>
  <c r="AI45" i="34"/>
  <c r="AF45" i="34"/>
  <c r="AG45" i="34" s="1"/>
  <c r="AJ62" i="34"/>
  <c r="AI62" i="34"/>
  <c r="AF62" i="34"/>
  <c r="AG62" i="34" s="1"/>
  <c r="AI12" i="15"/>
  <c r="AJ46" i="14"/>
  <c r="AF12" i="15"/>
  <c r="AG12" i="15" s="1"/>
  <c r="AF113" i="13"/>
  <c r="AG113" i="13" s="1"/>
  <c r="AI281" i="15"/>
  <c r="AJ273" i="15"/>
  <c r="AJ281" i="15"/>
  <c r="AF273" i="15"/>
  <c r="AG273" i="15" s="1"/>
  <c r="AJ128" i="13"/>
  <c r="AF128" i="13"/>
  <c r="AG128" i="13" s="1"/>
  <c r="AI46" i="14"/>
  <c r="AJ2" i="34"/>
  <c r="AI2" i="34"/>
  <c r="AF2" i="34"/>
  <c r="AG2" i="34" s="1"/>
  <c r="AF15" i="14"/>
  <c r="AG15" i="14" s="1"/>
  <c r="AJ193" i="15"/>
  <c r="AF24" i="14"/>
  <c r="AG24" i="14" s="1"/>
  <c r="AI24" i="14"/>
  <c r="AI55" i="15"/>
  <c r="AF52" i="35"/>
  <c r="AG52" i="35" s="1"/>
  <c r="AI52" i="35"/>
  <c r="AI302" i="15"/>
  <c r="AJ37" i="35"/>
  <c r="AJ81" i="15"/>
  <c r="AJ51" i="35"/>
  <c r="AF56" i="35"/>
  <c r="AG56" i="35" s="1"/>
  <c r="AF40" i="13"/>
  <c r="AG40" i="13" s="1"/>
  <c r="AJ56" i="35"/>
  <c r="AJ38" i="14"/>
  <c r="AI38" i="14"/>
  <c r="AF38" i="14"/>
  <c r="AG38" i="14" s="1"/>
  <c r="AJ5" i="14"/>
  <c r="AF5" i="14"/>
  <c r="AG5" i="14" s="1"/>
  <c r="AI5" i="14"/>
  <c r="AJ6" i="14"/>
  <c r="AF6" i="14"/>
  <c r="AG6" i="14" s="1"/>
  <c r="AI6" i="14"/>
  <c r="AJ10" i="14"/>
  <c r="AF10" i="14"/>
  <c r="AG10" i="14" s="1"/>
  <c r="AI10" i="14"/>
  <c r="AJ18" i="14"/>
  <c r="AF18" i="14"/>
  <c r="AG18" i="14" s="1"/>
  <c r="AI18" i="14"/>
  <c r="AJ35" i="14"/>
  <c r="AF35" i="14"/>
  <c r="AG35" i="14" s="1"/>
  <c r="AI35" i="14"/>
  <c r="AJ13" i="14"/>
  <c r="AF13" i="14"/>
  <c r="AG13" i="14" s="1"/>
  <c r="AI13" i="14"/>
  <c r="AJ14" i="14"/>
  <c r="AF14" i="14"/>
  <c r="AG14" i="14" s="1"/>
  <c r="AI14" i="14"/>
  <c r="AJ33" i="14"/>
  <c r="AI33" i="14"/>
  <c r="AF33" i="14"/>
  <c r="AG33" i="14" s="1"/>
  <c r="AJ44" i="14"/>
  <c r="AF44" i="14"/>
  <c r="AG44" i="14" s="1"/>
  <c r="AI44" i="14"/>
  <c r="AI30" i="35"/>
  <c r="AJ43" i="14"/>
  <c r="AF43" i="14"/>
  <c r="AG43" i="14" s="1"/>
  <c r="AI43" i="14"/>
  <c r="AJ21" i="14"/>
  <c r="AF21" i="14"/>
  <c r="AG21" i="14" s="1"/>
  <c r="AI21" i="14"/>
  <c r="AJ22" i="14"/>
  <c r="AF22" i="14"/>
  <c r="AG22" i="14" s="1"/>
  <c r="AI22" i="14"/>
  <c r="AJ41" i="14"/>
  <c r="AI41" i="14"/>
  <c r="AF41" i="14"/>
  <c r="AG41" i="14" s="1"/>
  <c r="AJ52" i="14"/>
  <c r="AI52" i="14"/>
  <c r="AF52" i="14"/>
  <c r="AG52" i="14" s="1"/>
  <c r="AI73" i="35"/>
  <c r="AI19" i="35"/>
  <c r="AJ11" i="14"/>
  <c r="AF11" i="14"/>
  <c r="AG11" i="14" s="1"/>
  <c r="AI11" i="14"/>
  <c r="AJ12" i="14"/>
  <c r="AF12" i="14"/>
  <c r="AG12" i="14" s="1"/>
  <c r="AI12" i="14"/>
  <c r="AJ29" i="14"/>
  <c r="AF29" i="14"/>
  <c r="AG29" i="14" s="1"/>
  <c r="AI29" i="14"/>
  <c r="AJ7" i="14"/>
  <c r="AI7" i="14"/>
  <c r="AF7" i="14"/>
  <c r="AG7" i="14" s="1"/>
  <c r="AJ26" i="14"/>
  <c r="AF26" i="14"/>
  <c r="AG26" i="14" s="1"/>
  <c r="AI26" i="14"/>
  <c r="AI225" i="13"/>
  <c r="AJ49" i="35"/>
  <c r="AJ20" i="14"/>
  <c r="AF20" i="14"/>
  <c r="AG20" i="14" s="1"/>
  <c r="AI20" i="14"/>
  <c r="AJ37" i="14"/>
  <c r="AF37" i="14"/>
  <c r="AG37" i="14" s="1"/>
  <c r="AI37" i="14"/>
  <c r="AJ9" i="14"/>
  <c r="AI9" i="14"/>
  <c r="AF9" i="14"/>
  <c r="AG9" i="14" s="1"/>
  <c r="AI49" i="35"/>
  <c r="AJ19" i="14"/>
  <c r="AF19" i="14"/>
  <c r="AG19" i="14" s="1"/>
  <c r="AI19" i="14"/>
  <c r="AJ28" i="14"/>
  <c r="AF28" i="14"/>
  <c r="AG28" i="14" s="1"/>
  <c r="AI28" i="14"/>
  <c r="AJ45" i="14"/>
  <c r="AF45" i="14"/>
  <c r="AG45" i="14" s="1"/>
  <c r="AI45" i="14"/>
  <c r="AJ17" i="14"/>
  <c r="AI17" i="14"/>
  <c r="AF17" i="14"/>
  <c r="AG17" i="14" s="1"/>
  <c r="AF28" i="35"/>
  <c r="AG28" i="35" s="1"/>
  <c r="AJ36" i="14"/>
  <c r="AF36" i="14"/>
  <c r="AG36" i="14" s="1"/>
  <c r="AI36" i="14"/>
  <c r="AJ25" i="14"/>
  <c r="AI25" i="14"/>
  <c r="AF25" i="14"/>
  <c r="AG25" i="14" s="1"/>
  <c r="AJ27" i="14"/>
  <c r="AF27" i="14"/>
  <c r="AG27" i="14" s="1"/>
  <c r="AI27" i="14"/>
  <c r="AJ34" i="14"/>
  <c r="AF34" i="14"/>
  <c r="AG34" i="14" s="1"/>
  <c r="AI34" i="14"/>
  <c r="AF7" i="15"/>
  <c r="AG7" i="15" s="1"/>
  <c r="AI81" i="15"/>
  <c r="AI83" i="15"/>
  <c r="AF88" i="13"/>
  <c r="AG88" i="13" s="1"/>
  <c r="AF38" i="35"/>
  <c r="AG38" i="35" s="1"/>
  <c r="AJ181" i="13"/>
  <c r="AI38" i="35"/>
  <c r="AF19" i="35"/>
  <c r="AG19" i="35" s="1"/>
  <c r="AJ10" i="35"/>
  <c r="AI10" i="35"/>
  <c r="AJ29" i="35"/>
  <c r="AF29" i="35"/>
  <c r="AG29" i="35" s="1"/>
  <c r="AF37" i="35"/>
  <c r="AG37" i="35" s="1"/>
  <c r="AF10" i="35"/>
  <c r="AG10" i="35" s="1"/>
  <c r="AF99" i="13"/>
  <c r="AG99" i="13" s="1"/>
  <c r="AJ64" i="13"/>
  <c r="AJ99" i="13"/>
  <c r="AI23" i="35"/>
  <c r="AJ23" i="35"/>
  <c r="AF23" i="35"/>
  <c r="AG23" i="35" s="1"/>
  <c r="AF111" i="13"/>
  <c r="AG111" i="13" s="1"/>
  <c r="AF169" i="13"/>
  <c r="AG169" i="13" s="1"/>
  <c r="AI39" i="35"/>
  <c r="AF39" i="35"/>
  <c r="AG39" i="35" s="1"/>
  <c r="AI108" i="13"/>
  <c r="AJ27" i="35"/>
  <c r="AF27" i="35"/>
  <c r="AG27" i="35" s="1"/>
  <c r="AF64" i="13"/>
  <c r="AG64" i="13" s="1"/>
  <c r="AF175" i="13"/>
  <c r="AG175" i="13" s="1"/>
  <c r="AF108" i="13"/>
  <c r="AG108" i="13" s="1"/>
  <c r="AJ59" i="35"/>
  <c r="AF59" i="35"/>
  <c r="AG59" i="35" s="1"/>
  <c r="AJ22" i="35"/>
  <c r="AI22" i="35"/>
  <c r="AJ50" i="35"/>
  <c r="AI50" i="35"/>
  <c r="AF50" i="35"/>
  <c r="AG50" i="35" s="1"/>
  <c r="AJ98" i="13"/>
  <c r="AF82" i="13"/>
  <c r="AG82" i="13" s="1"/>
  <c r="AI88" i="13"/>
  <c r="AF73" i="35"/>
  <c r="AG73" i="35" s="1"/>
  <c r="AJ44" i="35"/>
  <c r="AF44" i="35"/>
  <c r="AG44" i="35" s="1"/>
  <c r="AI44" i="35"/>
  <c r="AJ68" i="35"/>
  <c r="AF68" i="35"/>
  <c r="AG68" i="35" s="1"/>
  <c r="AI68" i="35"/>
  <c r="AJ57" i="35"/>
  <c r="AI57" i="35"/>
  <c r="AF57" i="35"/>
  <c r="AG57" i="35" s="1"/>
  <c r="AJ31" i="35"/>
  <c r="AI31" i="35"/>
  <c r="AF31" i="35"/>
  <c r="AG31" i="35" s="1"/>
  <c r="AI11" i="35"/>
  <c r="AJ11" i="35"/>
  <c r="AF11" i="35"/>
  <c r="AG11" i="35" s="1"/>
  <c r="AF201" i="15"/>
  <c r="AG201" i="15" s="1"/>
  <c r="AI153" i="13"/>
  <c r="AF56" i="13"/>
  <c r="AG56" i="13" s="1"/>
  <c r="AJ72" i="35"/>
  <c r="AF72" i="35"/>
  <c r="AG72" i="35" s="1"/>
  <c r="AI72" i="35"/>
  <c r="AF65" i="35"/>
  <c r="AG65" i="35" s="1"/>
  <c r="AI65" i="35"/>
  <c r="AJ65" i="35"/>
  <c r="AI24" i="35"/>
  <c r="AJ24" i="35"/>
  <c r="AF24" i="35"/>
  <c r="AG24" i="35" s="1"/>
  <c r="AJ14" i="35"/>
  <c r="AI14" i="35"/>
  <c r="AF14" i="35"/>
  <c r="AG14" i="35" s="1"/>
  <c r="AJ201" i="15"/>
  <c r="AF95" i="13"/>
  <c r="AG95" i="13" s="1"/>
  <c r="AI167" i="13"/>
  <c r="AJ122" i="13"/>
  <c r="AF153" i="13"/>
  <c r="AG153" i="13" s="1"/>
  <c r="AJ195" i="13"/>
  <c r="AJ237" i="13"/>
  <c r="AI97" i="13"/>
  <c r="AF41" i="35"/>
  <c r="AG41" i="35" s="1"/>
  <c r="AI41" i="35"/>
  <c r="AJ41" i="35"/>
  <c r="AI86" i="35"/>
  <c r="AJ86" i="35"/>
  <c r="AF86" i="35"/>
  <c r="AG86" i="35" s="1"/>
  <c r="AI32" i="35"/>
  <c r="AJ32" i="35"/>
  <c r="AF32" i="35"/>
  <c r="AG32" i="35" s="1"/>
  <c r="AJ110" i="15"/>
  <c r="AF97" i="13"/>
  <c r="AG97" i="13" s="1"/>
  <c r="AI122" i="13"/>
  <c r="AI237" i="13"/>
  <c r="AJ55" i="35"/>
  <c r="AF55" i="35"/>
  <c r="AG55" i="35" s="1"/>
  <c r="AI55" i="35"/>
  <c r="AF13" i="35"/>
  <c r="AG13" i="35" s="1"/>
  <c r="AI13" i="35"/>
  <c r="AJ13" i="35"/>
  <c r="AI88" i="35"/>
  <c r="AJ88" i="35"/>
  <c r="AF88" i="35"/>
  <c r="AG88" i="35" s="1"/>
  <c r="AJ43" i="35"/>
  <c r="AI43" i="35"/>
  <c r="AF43" i="35"/>
  <c r="AG43" i="35" s="1"/>
  <c r="AF98" i="13"/>
  <c r="AG98" i="13" s="1"/>
  <c r="AJ86" i="13"/>
  <c r="AJ120" i="13"/>
  <c r="AI185" i="13"/>
  <c r="AI56" i="13"/>
  <c r="AJ62" i="35"/>
  <c r="AF62" i="35"/>
  <c r="AG62" i="35" s="1"/>
  <c r="AI62" i="35"/>
  <c r="AF17" i="35"/>
  <c r="AG17" i="35" s="1"/>
  <c r="AI17" i="35"/>
  <c r="AJ17" i="35"/>
  <c r="AJ42" i="35"/>
  <c r="AI42" i="35"/>
  <c r="AF42" i="35"/>
  <c r="AG42" i="35" s="1"/>
  <c r="AJ64" i="35"/>
  <c r="AI64" i="35"/>
  <c r="AF64" i="35"/>
  <c r="AG64" i="35" s="1"/>
  <c r="AJ25" i="35"/>
  <c r="AI25" i="35"/>
  <c r="AF25" i="35"/>
  <c r="AG25" i="35" s="1"/>
  <c r="AI54" i="35"/>
  <c r="AJ54" i="35"/>
  <c r="AF54" i="35"/>
  <c r="AG54" i="35" s="1"/>
  <c r="AI16" i="35"/>
  <c r="AJ16" i="35"/>
  <c r="AF16" i="35"/>
  <c r="AG16" i="35" s="1"/>
  <c r="AJ20" i="15"/>
  <c r="AI120" i="13"/>
  <c r="AJ33" i="35"/>
  <c r="AF33" i="35"/>
  <c r="AG33" i="35" s="1"/>
  <c r="AI33" i="35"/>
  <c r="AJ47" i="35"/>
  <c r="AF47" i="35"/>
  <c r="AG47" i="35" s="1"/>
  <c r="AI47" i="35"/>
  <c r="AJ70" i="35"/>
  <c r="AI70" i="35"/>
  <c r="AF70" i="35"/>
  <c r="AG70" i="35" s="1"/>
  <c r="AJ45" i="35"/>
  <c r="AF45" i="35"/>
  <c r="AG45" i="35" s="1"/>
  <c r="AI45" i="35"/>
  <c r="AI67" i="35"/>
  <c r="AJ67" i="35"/>
  <c r="AF67" i="35"/>
  <c r="AG67" i="35" s="1"/>
  <c r="AF21" i="15"/>
  <c r="AG21" i="15" s="1"/>
  <c r="AI25" i="13"/>
  <c r="AI21" i="15"/>
  <c r="AJ154" i="15"/>
  <c r="AI287" i="15"/>
  <c r="AJ250" i="15"/>
  <c r="AF5" i="15"/>
  <c r="AG5" i="15" s="1"/>
  <c r="AF25" i="13"/>
  <c r="AG25" i="13" s="1"/>
  <c r="AJ9" i="13"/>
  <c r="AI188" i="13"/>
  <c r="AI177" i="13"/>
  <c r="AI245" i="13"/>
  <c r="AJ23" i="15"/>
  <c r="AF83" i="15"/>
  <c r="AG83" i="15" s="1"/>
  <c r="AI76" i="15"/>
  <c r="AF154" i="15"/>
  <c r="AG154" i="15" s="1"/>
  <c r="AJ50" i="13"/>
  <c r="AF191" i="13"/>
  <c r="AG191" i="13" s="1"/>
  <c r="AI266" i="13"/>
  <c r="AF177" i="13"/>
  <c r="AG177" i="13" s="1"/>
  <c r="AF245" i="13"/>
  <c r="AG245" i="13" s="1"/>
  <c r="AJ212" i="15"/>
  <c r="AF188" i="13"/>
  <c r="AG188" i="13" s="1"/>
  <c r="AF225" i="13"/>
  <c r="AG225" i="13" s="1"/>
  <c r="AF76" i="15"/>
  <c r="AG76" i="15" s="1"/>
  <c r="AF294" i="15"/>
  <c r="AG294" i="15" s="1"/>
  <c r="AI50" i="13"/>
  <c r="AJ18" i="13"/>
  <c r="AF77" i="13"/>
  <c r="AG77" i="13" s="1"/>
  <c r="AJ68" i="13"/>
  <c r="AJ191" i="13"/>
  <c r="AF207" i="13"/>
  <c r="AG207" i="13" s="1"/>
  <c r="AF266" i="13"/>
  <c r="AG266" i="13" s="1"/>
  <c r="AI120" i="15"/>
  <c r="AF269" i="15"/>
  <c r="AG269" i="15" s="1"/>
  <c r="AF278" i="15"/>
  <c r="AG278" i="15" s="1"/>
  <c r="AI31" i="13"/>
  <c r="AI18" i="13"/>
  <c r="AJ77" i="13"/>
  <c r="AI68" i="13"/>
  <c r="AJ207" i="13"/>
  <c r="AF224" i="13"/>
  <c r="AG224" i="13" s="1"/>
  <c r="AJ120" i="15"/>
  <c r="AI278" i="15"/>
  <c r="AJ189" i="15"/>
  <c r="AF287" i="15"/>
  <c r="AG287" i="15" s="1"/>
  <c r="AJ31" i="13"/>
  <c r="AF79" i="13"/>
  <c r="AG79" i="13" s="1"/>
  <c r="AI166" i="13"/>
  <c r="AF166" i="13"/>
  <c r="AG166" i="13" s="1"/>
  <c r="AJ294" i="15"/>
  <c r="AF244" i="15"/>
  <c r="AG244" i="15" s="1"/>
  <c r="AI244" i="15"/>
  <c r="AJ284" i="15"/>
  <c r="AI293" i="15"/>
  <c r="AJ79" i="13"/>
  <c r="AJ60" i="15"/>
  <c r="AF230" i="15"/>
  <c r="AG230" i="15" s="1"/>
  <c r="AJ266" i="15"/>
  <c r="J26" i="25" s="1"/>
  <c r="AJ83" i="13"/>
  <c r="AF24" i="13"/>
  <c r="AG24" i="13" s="1"/>
  <c r="AI60" i="15"/>
  <c r="AJ230" i="15"/>
  <c r="AF227" i="13"/>
  <c r="AG227" i="13" s="1"/>
  <c r="AI173" i="13"/>
  <c r="AI130" i="15"/>
  <c r="AI207" i="15"/>
  <c r="AJ173" i="13"/>
  <c r="AI36" i="15"/>
  <c r="AJ130" i="15"/>
  <c r="AF225" i="15"/>
  <c r="AG225" i="15" s="1"/>
  <c r="AI204" i="13"/>
  <c r="AJ165" i="13"/>
  <c r="AI165" i="13"/>
  <c r="AI149" i="15"/>
  <c r="AJ225" i="15"/>
  <c r="AI95" i="13"/>
  <c r="AF149" i="15"/>
  <c r="AG149" i="15" s="1"/>
  <c r="AJ237" i="15"/>
  <c r="AJ24" i="13"/>
  <c r="AI185" i="15"/>
  <c r="AF36" i="15"/>
  <c r="AG36" i="15" s="1"/>
  <c r="AF207" i="15"/>
  <c r="AG207" i="15" s="1"/>
  <c r="AJ72" i="13"/>
  <c r="AI72" i="13"/>
  <c r="AJ210" i="13"/>
  <c r="AF210" i="13"/>
  <c r="AG210" i="13" s="1"/>
  <c r="AJ92" i="13"/>
  <c r="AF92" i="13"/>
  <c r="AG92" i="13" s="1"/>
  <c r="AI92" i="13"/>
  <c r="AJ251" i="13"/>
  <c r="AF251" i="13"/>
  <c r="AG251" i="13" s="1"/>
  <c r="AI251" i="13"/>
  <c r="AJ227" i="15"/>
  <c r="AF157" i="13"/>
  <c r="AG157" i="13" s="1"/>
  <c r="AF204" i="13"/>
  <c r="AG204" i="13" s="1"/>
  <c r="AJ227" i="13"/>
  <c r="AJ21" i="13"/>
  <c r="AF21" i="13"/>
  <c r="AG21" i="13" s="1"/>
  <c r="AI70" i="13"/>
  <c r="AF70" i="13"/>
  <c r="AG70" i="13" s="1"/>
  <c r="AJ194" i="13"/>
  <c r="AF194" i="13"/>
  <c r="AG194" i="13" s="1"/>
  <c r="AI265" i="13"/>
  <c r="AF265" i="13"/>
  <c r="AG265" i="13" s="1"/>
  <c r="AF307" i="15"/>
  <c r="AG307" i="15" s="1"/>
  <c r="AF23" i="15"/>
  <c r="AG23" i="15" s="1"/>
  <c r="AI157" i="13"/>
  <c r="AI161" i="13"/>
  <c r="AJ8" i="13"/>
  <c r="AI8" i="13"/>
  <c r="AI104" i="13"/>
  <c r="AF104" i="13"/>
  <c r="AG104" i="13" s="1"/>
  <c r="AF161" i="13"/>
  <c r="AG161" i="13" s="1"/>
  <c r="AJ265" i="13"/>
  <c r="AJ37" i="13"/>
  <c r="AF37" i="13"/>
  <c r="AG37" i="13" s="1"/>
  <c r="AJ15" i="13"/>
  <c r="AF15" i="13"/>
  <c r="AG15" i="13" s="1"/>
  <c r="AJ174" i="13"/>
  <c r="AF174" i="13"/>
  <c r="AG174" i="13" s="1"/>
  <c r="AJ200" i="13"/>
  <c r="AF200" i="13"/>
  <c r="AG200" i="13" s="1"/>
  <c r="AI200" i="13"/>
  <c r="AJ269" i="15"/>
  <c r="AJ81" i="13"/>
  <c r="AI81" i="13"/>
  <c r="AJ20" i="13"/>
  <c r="AI20" i="13"/>
  <c r="AJ262" i="13"/>
  <c r="AF262" i="13"/>
  <c r="AG262" i="13" s="1"/>
  <c r="AJ229" i="13"/>
  <c r="AI229" i="13"/>
  <c r="AJ302" i="15"/>
  <c r="AI25" i="15"/>
  <c r="AI194" i="13"/>
  <c r="AJ36" i="13"/>
  <c r="AI36" i="13"/>
  <c r="AJ182" i="13"/>
  <c r="AF182" i="13"/>
  <c r="AG182" i="13" s="1"/>
  <c r="AJ243" i="13"/>
  <c r="AF243" i="13"/>
  <c r="AG243" i="13" s="1"/>
  <c r="AI243" i="13"/>
  <c r="AJ55" i="13"/>
  <c r="AF55" i="13"/>
  <c r="AG55" i="13" s="1"/>
  <c r="AI55" i="13"/>
  <c r="AJ27" i="13"/>
  <c r="AI27" i="13"/>
  <c r="AF27" i="13"/>
  <c r="AG27" i="13" s="1"/>
  <c r="AJ67" i="13"/>
  <c r="AI67" i="13"/>
  <c r="AF67" i="13"/>
  <c r="AG67" i="13" s="1"/>
  <c r="AJ93" i="13"/>
  <c r="AF93" i="13"/>
  <c r="AG93" i="13" s="1"/>
  <c r="AI93" i="13"/>
  <c r="AJ107" i="13"/>
  <c r="AI107" i="13"/>
  <c r="AF107" i="13"/>
  <c r="AG107" i="13" s="1"/>
  <c r="AJ117" i="13"/>
  <c r="AI117" i="13"/>
  <c r="AF117" i="13"/>
  <c r="AG117" i="13" s="1"/>
  <c r="AI118" i="13"/>
  <c r="AJ118" i="13"/>
  <c r="AF118" i="13"/>
  <c r="AG118" i="13" s="1"/>
  <c r="AJ87" i="13"/>
  <c r="AF87" i="13"/>
  <c r="AG87" i="13" s="1"/>
  <c r="AI87" i="13"/>
  <c r="AJ121" i="13"/>
  <c r="AF121" i="13"/>
  <c r="AG121" i="13" s="1"/>
  <c r="AI121" i="13"/>
  <c r="AJ178" i="13"/>
  <c r="AF178" i="13"/>
  <c r="AG178" i="13" s="1"/>
  <c r="AI178" i="13"/>
  <c r="AJ172" i="13"/>
  <c r="AF172" i="13"/>
  <c r="AG172" i="13" s="1"/>
  <c r="AI172" i="13"/>
  <c r="AJ141" i="13"/>
  <c r="AI141" i="13"/>
  <c r="AF141" i="13"/>
  <c r="AG141" i="13" s="1"/>
  <c r="AJ232" i="13"/>
  <c r="AF232" i="13"/>
  <c r="AG232" i="13" s="1"/>
  <c r="AI232" i="13"/>
  <c r="AJ155" i="13"/>
  <c r="AI155" i="13"/>
  <c r="AF155" i="13"/>
  <c r="AG155" i="13" s="1"/>
  <c r="AJ258" i="13"/>
  <c r="AI258" i="13"/>
  <c r="AF258" i="13"/>
  <c r="AG258" i="13" s="1"/>
  <c r="AF249" i="13"/>
  <c r="AG249" i="13" s="1"/>
  <c r="AI249" i="13"/>
  <c r="AJ249" i="13"/>
  <c r="AJ246" i="13"/>
  <c r="AF246" i="13"/>
  <c r="AG246" i="13" s="1"/>
  <c r="AI246" i="13"/>
  <c r="AJ7" i="13"/>
  <c r="AF7" i="13"/>
  <c r="AG7" i="13" s="1"/>
  <c r="AI7" i="13"/>
  <c r="AI30" i="13"/>
  <c r="AJ30" i="13"/>
  <c r="AF30" i="13"/>
  <c r="AG30" i="13" s="1"/>
  <c r="AF10" i="13"/>
  <c r="AG10" i="13" s="1"/>
  <c r="AI10" i="13"/>
  <c r="AJ10" i="13"/>
  <c r="AJ73" i="13"/>
  <c r="AI73" i="13"/>
  <c r="AF73" i="13"/>
  <c r="AG73" i="13" s="1"/>
  <c r="AJ29" i="13"/>
  <c r="AF29" i="13"/>
  <c r="AG29" i="13" s="1"/>
  <c r="AI29" i="13"/>
  <c r="AJ109" i="13"/>
  <c r="AF109" i="13"/>
  <c r="AG109" i="13" s="1"/>
  <c r="AI109" i="13"/>
  <c r="AJ35" i="13"/>
  <c r="AF35" i="13"/>
  <c r="AG35" i="13" s="1"/>
  <c r="AI35" i="13"/>
  <c r="AJ105" i="13"/>
  <c r="AI105" i="13"/>
  <c r="AF105" i="13"/>
  <c r="AG105" i="13" s="1"/>
  <c r="AF62" i="13"/>
  <c r="AG62" i="13" s="1"/>
  <c r="AI62" i="13"/>
  <c r="AJ62" i="13"/>
  <c r="AJ119" i="13"/>
  <c r="AI119" i="13"/>
  <c r="AF119" i="13"/>
  <c r="AG119" i="13" s="1"/>
  <c r="AI126" i="13"/>
  <c r="AJ126" i="13"/>
  <c r="AF126" i="13"/>
  <c r="AG126" i="13" s="1"/>
  <c r="AF148" i="13"/>
  <c r="AG148" i="13" s="1"/>
  <c r="AI148" i="13"/>
  <c r="AJ148" i="13"/>
  <c r="AJ137" i="13"/>
  <c r="AF137" i="13"/>
  <c r="AG137" i="13" s="1"/>
  <c r="AI137" i="13"/>
  <c r="AJ180" i="13"/>
  <c r="AF180" i="13"/>
  <c r="AG180" i="13" s="1"/>
  <c r="AI180" i="13"/>
  <c r="AJ135" i="13"/>
  <c r="AI135" i="13"/>
  <c r="AF135" i="13"/>
  <c r="AG135" i="13" s="1"/>
  <c r="AJ154" i="13"/>
  <c r="AI154" i="13"/>
  <c r="AF154" i="13"/>
  <c r="AG154" i="13" s="1"/>
  <c r="AJ184" i="13"/>
  <c r="AI184" i="13"/>
  <c r="AF184" i="13"/>
  <c r="AG184" i="13" s="1"/>
  <c r="AJ236" i="13"/>
  <c r="AI236" i="13"/>
  <c r="AF236" i="13"/>
  <c r="AG236" i="13" s="1"/>
  <c r="AF257" i="13"/>
  <c r="AG257" i="13" s="1"/>
  <c r="AI257" i="13"/>
  <c r="AJ257" i="13"/>
  <c r="AJ214" i="13"/>
  <c r="AI214" i="13"/>
  <c r="AF214" i="13"/>
  <c r="AG214" i="13" s="1"/>
  <c r="AJ144" i="13"/>
  <c r="AF144" i="13"/>
  <c r="AG144" i="13" s="1"/>
  <c r="AI144" i="13"/>
  <c r="AJ260" i="13"/>
  <c r="AF260" i="13"/>
  <c r="AG260" i="13" s="1"/>
  <c r="AI260" i="13"/>
  <c r="AF231" i="13"/>
  <c r="AG231" i="13" s="1"/>
  <c r="AI231" i="13"/>
  <c r="AJ231" i="13"/>
  <c r="AJ17" i="13"/>
  <c r="AI17" i="13"/>
  <c r="AF17" i="13"/>
  <c r="AG17" i="13" s="1"/>
  <c r="AJ75" i="13"/>
  <c r="AF75" i="13"/>
  <c r="AG75" i="13" s="1"/>
  <c r="AI75" i="13"/>
  <c r="AJ41" i="13"/>
  <c r="AF41" i="13"/>
  <c r="AG41" i="13" s="1"/>
  <c r="AI41" i="13"/>
  <c r="AJ51" i="13"/>
  <c r="AF51" i="13"/>
  <c r="AG51" i="13" s="1"/>
  <c r="AI51" i="13"/>
  <c r="AJ69" i="13"/>
  <c r="AF69" i="13"/>
  <c r="AG69" i="13" s="1"/>
  <c r="AI69" i="13"/>
  <c r="AJ129" i="13"/>
  <c r="AF129" i="13"/>
  <c r="AG129" i="13" s="1"/>
  <c r="AI129" i="13"/>
  <c r="AJ186" i="13"/>
  <c r="AF186" i="13"/>
  <c r="AG186" i="13" s="1"/>
  <c r="AI186" i="13"/>
  <c r="AJ158" i="13"/>
  <c r="AI158" i="13"/>
  <c r="AF158" i="13"/>
  <c r="AG158" i="13" s="1"/>
  <c r="AJ136" i="13"/>
  <c r="AI136" i="13"/>
  <c r="AF136" i="13"/>
  <c r="AG136" i="13" s="1"/>
  <c r="AF205" i="13"/>
  <c r="AG205" i="13" s="1"/>
  <c r="AI205" i="13"/>
  <c r="AJ205" i="13"/>
  <c r="AF221" i="13"/>
  <c r="AG221" i="13" s="1"/>
  <c r="AI221" i="13"/>
  <c r="AJ221" i="13"/>
  <c r="AJ234" i="13"/>
  <c r="AI234" i="13"/>
  <c r="AF234" i="13"/>
  <c r="AG234" i="13" s="1"/>
  <c r="AJ261" i="13"/>
  <c r="AF261" i="13"/>
  <c r="AG261" i="13" s="1"/>
  <c r="AI261" i="13"/>
  <c r="AJ230" i="13"/>
  <c r="AI230" i="13"/>
  <c r="AF230" i="13"/>
  <c r="AG230" i="13" s="1"/>
  <c r="AJ23" i="13"/>
  <c r="AF23" i="13"/>
  <c r="AG23" i="13" s="1"/>
  <c r="AI23" i="13"/>
  <c r="AJ33" i="13"/>
  <c r="AI33" i="13"/>
  <c r="AF33" i="13"/>
  <c r="AG33" i="13" s="1"/>
  <c r="AJ43" i="13"/>
  <c r="AI43" i="13"/>
  <c r="AF43" i="13"/>
  <c r="AG43" i="13" s="1"/>
  <c r="AJ19" i="13"/>
  <c r="AF19" i="13"/>
  <c r="AG19" i="13" s="1"/>
  <c r="AI19" i="13"/>
  <c r="AJ13" i="13"/>
  <c r="AF13" i="13"/>
  <c r="AG13" i="13" s="1"/>
  <c r="AI13" i="13"/>
  <c r="AF66" i="13"/>
  <c r="AG66" i="13" s="1"/>
  <c r="AI66" i="13"/>
  <c r="AJ66" i="13"/>
  <c r="AF78" i="13"/>
  <c r="AG78" i="13" s="1"/>
  <c r="AI78" i="13"/>
  <c r="AJ78" i="13"/>
  <c r="AJ123" i="13"/>
  <c r="AF123" i="13"/>
  <c r="AG123" i="13" s="1"/>
  <c r="AI123" i="13"/>
  <c r="AF124" i="13"/>
  <c r="AG124" i="13" s="1"/>
  <c r="AI124" i="13"/>
  <c r="AJ124" i="13"/>
  <c r="AJ127" i="13"/>
  <c r="AF127" i="13"/>
  <c r="AG127" i="13" s="1"/>
  <c r="AI127" i="13"/>
  <c r="AJ202" i="13"/>
  <c r="AF202" i="13"/>
  <c r="AG202" i="13" s="1"/>
  <c r="AI202" i="13"/>
  <c r="AJ142" i="13"/>
  <c r="AF142" i="13"/>
  <c r="AG142" i="13" s="1"/>
  <c r="AI142" i="13"/>
  <c r="AJ190" i="13"/>
  <c r="AF190" i="13"/>
  <c r="AG190" i="13" s="1"/>
  <c r="AI190" i="13"/>
  <c r="AI140" i="13"/>
  <c r="AJ140" i="13"/>
  <c r="AF140" i="13"/>
  <c r="AG140" i="13" s="1"/>
  <c r="AJ160" i="13"/>
  <c r="AI160" i="13"/>
  <c r="AF160" i="13"/>
  <c r="AG160" i="13" s="1"/>
  <c r="AJ240" i="13"/>
  <c r="AF240" i="13"/>
  <c r="AG240" i="13" s="1"/>
  <c r="AI240" i="13"/>
  <c r="AJ171" i="13"/>
  <c r="AF171" i="13"/>
  <c r="AG171" i="13" s="1"/>
  <c r="AI171" i="13"/>
  <c r="AJ264" i="13"/>
  <c r="AF264" i="13"/>
  <c r="AG264" i="13" s="1"/>
  <c r="AI264" i="13"/>
  <c r="AJ244" i="13"/>
  <c r="AI244" i="13"/>
  <c r="AF244" i="13"/>
  <c r="AG244" i="13" s="1"/>
  <c r="AJ212" i="13"/>
  <c r="AF212" i="13"/>
  <c r="AG212" i="13" s="1"/>
  <c r="AI212" i="13"/>
  <c r="AI46" i="13"/>
  <c r="AF46" i="13"/>
  <c r="AG46" i="13" s="1"/>
  <c r="AJ46" i="13"/>
  <c r="AJ49" i="13"/>
  <c r="AI49" i="13"/>
  <c r="AF49" i="13"/>
  <c r="AG49" i="13" s="1"/>
  <c r="AJ57" i="13"/>
  <c r="AI57" i="13"/>
  <c r="AF57" i="13"/>
  <c r="AG57" i="13" s="1"/>
  <c r="AF80" i="13"/>
  <c r="AG80" i="13" s="1"/>
  <c r="AI80" i="13"/>
  <c r="AJ80" i="13"/>
  <c r="AJ125" i="13"/>
  <c r="AI125" i="13"/>
  <c r="AF125" i="13"/>
  <c r="AG125" i="13" s="1"/>
  <c r="AF132" i="13"/>
  <c r="AG132" i="13" s="1"/>
  <c r="AI132" i="13"/>
  <c r="AJ132" i="13"/>
  <c r="AJ162" i="13"/>
  <c r="AF162" i="13"/>
  <c r="AG162" i="13" s="1"/>
  <c r="AI162" i="13"/>
  <c r="AJ218" i="13"/>
  <c r="AF218" i="13"/>
  <c r="AG218" i="13" s="1"/>
  <c r="AI218" i="13"/>
  <c r="AJ187" i="13"/>
  <c r="AF187" i="13"/>
  <c r="AG187" i="13" s="1"/>
  <c r="AI187" i="13"/>
  <c r="AJ149" i="13"/>
  <c r="AF149" i="13"/>
  <c r="AG149" i="13" s="1"/>
  <c r="AI149" i="13"/>
  <c r="AJ242" i="13"/>
  <c r="AI242" i="13"/>
  <c r="AF242" i="13"/>
  <c r="AG242" i="13" s="1"/>
  <c r="AJ179" i="13"/>
  <c r="AF179" i="13"/>
  <c r="AG179" i="13" s="1"/>
  <c r="AI179" i="13"/>
  <c r="AJ11" i="13"/>
  <c r="AI11" i="13"/>
  <c r="AF11" i="13"/>
  <c r="AG11" i="13" s="1"/>
  <c r="AJ59" i="13"/>
  <c r="AI59" i="13"/>
  <c r="AF59" i="13"/>
  <c r="AG59" i="13" s="1"/>
  <c r="AF42" i="13"/>
  <c r="AG42" i="13" s="1"/>
  <c r="AI42" i="13"/>
  <c r="AJ42" i="13"/>
  <c r="AF26" i="13"/>
  <c r="AG26" i="13" s="1"/>
  <c r="AI26" i="13"/>
  <c r="AJ26" i="13"/>
  <c r="AJ45" i="13"/>
  <c r="AF45" i="13"/>
  <c r="AG45" i="13" s="1"/>
  <c r="AI45" i="13"/>
  <c r="AJ61" i="13"/>
  <c r="AF61" i="13"/>
  <c r="AG61" i="13" s="1"/>
  <c r="AI61" i="13"/>
  <c r="AJ85" i="13"/>
  <c r="AI85" i="13"/>
  <c r="AF85" i="13"/>
  <c r="AG85" i="13" s="1"/>
  <c r="AJ89" i="13"/>
  <c r="AI89" i="13"/>
  <c r="AF89" i="13"/>
  <c r="AG89" i="13" s="1"/>
  <c r="AJ131" i="13"/>
  <c r="AI131" i="13"/>
  <c r="AF131" i="13"/>
  <c r="AG131" i="13" s="1"/>
  <c r="AJ103" i="13"/>
  <c r="AF103" i="13"/>
  <c r="AG103" i="13" s="1"/>
  <c r="AI103" i="13"/>
  <c r="AF100" i="13"/>
  <c r="AG100" i="13" s="1"/>
  <c r="AI100" i="13"/>
  <c r="AJ100" i="13"/>
  <c r="AF112" i="13"/>
  <c r="AG112" i="13" s="1"/>
  <c r="AI112" i="13"/>
  <c r="AJ112" i="13"/>
  <c r="AJ133" i="13"/>
  <c r="AF133" i="13"/>
  <c r="AG133" i="13" s="1"/>
  <c r="AI133" i="13"/>
  <c r="AJ147" i="13"/>
  <c r="AF147" i="13"/>
  <c r="AG147" i="13" s="1"/>
  <c r="AI147" i="13"/>
  <c r="AJ206" i="13"/>
  <c r="AF206" i="13"/>
  <c r="AG206" i="13" s="1"/>
  <c r="AI206" i="13"/>
  <c r="AJ203" i="13"/>
  <c r="AF203" i="13"/>
  <c r="AG203" i="13" s="1"/>
  <c r="AI203" i="13"/>
  <c r="AJ156" i="13"/>
  <c r="AI156" i="13"/>
  <c r="AF156" i="13"/>
  <c r="AG156" i="13" s="1"/>
  <c r="AJ145" i="13"/>
  <c r="AI145" i="13"/>
  <c r="AF145" i="13"/>
  <c r="AG145" i="13" s="1"/>
  <c r="AJ168" i="13"/>
  <c r="AI168" i="13"/>
  <c r="AF168" i="13"/>
  <c r="AG168" i="13" s="1"/>
  <c r="AJ198" i="13"/>
  <c r="AI198" i="13"/>
  <c r="AF198" i="13"/>
  <c r="AG198" i="13" s="1"/>
  <c r="AJ248" i="13"/>
  <c r="AF248" i="13"/>
  <c r="AG248" i="13" s="1"/>
  <c r="AI248" i="13"/>
  <c r="AJ252" i="13"/>
  <c r="AI252" i="13"/>
  <c r="AF252" i="13"/>
  <c r="AG252" i="13" s="1"/>
  <c r="AF193" i="13"/>
  <c r="AG193" i="13" s="1"/>
  <c r="AI193" i="13"/>
  <c r="AJ193" i="13"/>
  <c r="AJ254" i="13"/>
  <c r="AF254" i="13"/>
  <c r="AG254" i="13" s="1"/>
  <c r="AI254" i="13"/>
  <c r="AJ228" i="13"/>
  <c r="AF228" i="13"/>
  <c r="AG228" i="13" s="1"/>
  <c r="AI228" i="13"/>
  <c r="AJ163" i="13"/>
  <c r="AF163" i="13"/>
  <c r="AG163" i="13" s="1"/>
  <c r="AI163" i="13"/>
  <c r="AJ39" i="13"/>
  <c r="AF39" i="13"/>
  <c r="AG39" i="13" s="1"/>
  <c r="AI39" i="13"/>
  <c r="AI14" i="13"/>
  <c r="AJ14" i="13"/>
  <c r="AF14" i="13"/>
  <c r="AG14" i="13" s="1"/>
  <c r="AJ5" i="13"/>
  <c r="AI5" i="13"/>
  <c r="AF5" i="13"/>
  <c r="AG5" i="13" s="1"/>
  <c r="AJ91" i="13"/>
  <c r="AI91" i="13"/>
  <c r="AF91" i="13"/>
  <c r="AG91" i="13" s="1"/>
  <c r="AJ101" i="13"/>
  <c r="AI101" i="13"/>
  <c r="AF101" i="13"/>
  <c r="AG101" i="13" s="1"/>
  <c r="AJ170" i="13"/>
  <c r="AF170" i="13"/>
  <c r="AG170" i="13" s="1"/>
  <c r="AI170" i="13"/>
  <c r="AJ222" i="13"/>
  <c r="AF222" i="13"/>
  <c r="AG222" i="13" s="1"/>
  <c r="AI222" i="13"/>
  <c r="AJ216" i="13"/>
  <c r="AI216" i="13"/>
  <c r="AF216" i="13"/>
  <c r="AG216" i="13" s="1"/>
  <c r="AJ152" i="13"/>
  <c r="AF152" i="13"/>
  <c r="AG152" i="13" s="1"/>
  <c r="AI152" i="13"/>
  <c r="AJ139" i="13"/>
  <c r="AF139" i="13"/>
  <c r="AG139" i="13" s="1"/>
  <c r="AI139" i="13"/>
  <c r="AJ250" i="13"/>
  <c r="AI250" i="13"/>
  <c r="AF250" i="13"/>
  <c r="AG250" i="13" s="1"/>
  <c r="AF233" i="13"/>
  <c r="AG233" i="13" s="1"/>
  <c r="AJ233" i="13"/>
  <c r="AI233" i="13"/>
  <c r="AF209" i="13"/>
  <c r="AG209" i="13" s="1"/>
  <c r="AI209" i="13"/>
  <c r="AJ209" i="13"/>
  <c r="AJ238" i="13"/>
  <c r="AF238" i="13"/>
  <c r="AG238" i="13" s="1"/>
  <c r="AI238" i="13"/>
  <c r="AJ3" i="13"/>
  <c r="AF3" i="13"/>
  <c r="AG3" i="13" s="1"/>
  <c r="AI3" i="13"/>
  <c r="AJ63" i="13"/>
  <c r="AF63" i="13"/>
  <c r="AG63" i="13" s="1"/>
  <c r="AI63" i="13"/>
  <c r="AF48" i="13"/>
  <c r="AG48" i="13" s="1"/>
  <c r="AJ48" i="13"/>
  <c r="AI48" i="13"/>
  <c r="AJ71" i="13"/>
  <c r="AI71" i="13"/>
  <c r="AF71" i="13"/>
  <c r="AG71" i="13" s="1"/>
  <c r="AF84" i="13"/>
  <c r="AG84" i="13" s="1"/>
  <c r="AI84" i="13"/>
  <c r="AJ84" i="13"/>
  <c r="AF116" i="13"/>
  <c r="AG116" i="13" s="1"/>
  <c r="AJ116" i="13"/>
  <c r="AI116" i="13"/>
  <c r="AJ115" i="13"/>
  <c r="AF115" i="13"/>
  <c r="AG115" i="13" s="1"/>
  <c r="AI115" i="13"/>
  <c r="AJ143" i="13"/>
  <c r="AF143" i="13"/>
  <c r="AG143" i="13" s="1"/>
  <c r="AI143" i="13"/>
  <c r="AJ164" i="13"/>
  <c r="AF164" i="13"/>
  <c r="AG164" i="13" s="1"/>
  <c r="AI164" i="13"/>
  <c r="AJ219" i="13"/>
  <c r="AI219" i="13"/>
  <c r="AF219" i="13"/>
  <c r="AG219" i="13" s="1"/>
  <c r="AI150" i="13"/>
  <c r="AJ150" i="13"/>
  <c r="AF150" i="13"/>
  <c r="AG150" i="13" s="1"/>
  <c r="AJ176" i="13"/>
  <c r="AI176" i="13"/>
  <c r="AF176" i="13"/>
  <c r="AG176" i="13" s="1"/>
  <c r="AJ256" i="13"/>
  <c r="AF256" i="13"/>
  <c r="AG256" i="13" s="1"/>
  <c r="AI256" i="13"/>
  <c r="AJ208" i="13"/>
  <c r="AF208" i="13"/>
  <c r="AG208" i="13" s="1"/>
  <c r="AI208" i="13"/>
  <c r="AF241" i="13"/>
  <c r="AG241" i="13" s="1"/>
  <c r="AI241" i="13"/>
  <c r="AJ241" i="13"/>
  <c r="AJ134" i="13"/>
  <c r="AF134" i="13"/>
  <c r="AG134" i="13" s="1"/>
  <c r="AI134" i="13"/>
  <c r="AJ196" i="13"/>
  <c r="AF196" i="13"/>
  <c r="AG196" i="13" s="1"/>
  <c r="AI196" i="13"/>
  <c r="AF267" i="13"/>
  <c r="AG267" i="13" s="1"/>
  <c r="AJ267" i="13"/>
  <c r="AI267" i="13"/>
  <c r="AF214" i="15"/>
  <c r="AG214" i="15" s="1"/>
  <c r="AJ2" i="13"/>
  <c r="AI2" i="13"/>
  <c r="AF2" i="13"/>
  <c r="AG2" i="13" s="1"/>
  <c r="AJ164" i="15"/>
  <c r="AJ186" i="15"/>
  <c r="AF196" i="15"/>
  <c r="AG196" i="15" s="1"/>
  <c r="AI164" i="15"/>
  <c r="AI241" i="15"/>
  <c r="AI196" i="15"/>
  <c r="AI110" i="15"/>
  <c r="AI62" i="15"/>
  <c r="AI202" i="15"/>
  <c r="AF62" i="15"/>
  <c r="AG62" i="15" s="1"/>
  <c r="AF162" i="15"/>
  <c r="AG162" i="15" s="1"/>
  <c r="AF202" i="15"/>
  <c r="AG202" i="15" s="1"/>
  <c r="AJ52" i="15"/>
  <c r="AF133" i="15"/>
  <c r="AG133" i="15" s="1"/>
  <c r="AI166" i="15"/>
  <c r="AF9" i="43"/>
  <c r="AG9" i="43" s="1"/>
  <c r="AJ280" i="15"/>
  <c r="AJ179" i="15"/>
  <c r="AF179" i="15"/>
  <c r="AG179" i="15" s="1"/>
  <c r="AI179" i="15"/>
  <c r="AI30" i="15"/>
  <c r="AI238" i="15"/>
  <c r="AF30" i="15"/>
  <c r="AG30" i="15" s="1"/>
  <c r="AJ238" i="15"/>
  <c r="AF3" i="43"/>
  <c r="AG3" i="43" s="1"/>
  <c r="AJ97" i="15"/>
  <c r="AF246" i="15"/>
  <c r="AG246" i="15" s="1"/>
  <c r="AJ236" i="15"/>
  <c r="AI236" i="15"/>
  <c r="AF55" i="15"/>
  <c r="AG55" i="15" s="1"/>
  <c r="AF52" i="15"/>
  <c r="AG52" i="15" s="1"/>
  <c r="AF185" i="15"/>
  <c r="AG185" i="15" s="1"/>
  <c r="AF276" i="15"/>
  <c r="AG276" i="15" s="1"/>
  <c r="AJ304" i="15"/>
  <c r="AJ285" i="15"/>
  <c r="AI304" i="15"/>
  <c r="AJ151" i="15"/>
  <c r="AF257" i="15"/>
  <c r="AG257" i="15" s="1"/>
  <c r="AI257" i="15"/>
  <c r="AJ38" i="15"/>
  <c r="AF38" i="15"/>
  <c r="AG38" i="15" s="1"/>
  <c r="AI88" i="15"/>
  <c r="AI94" i="15"/>
  <c r="AI214" i="15"/>
  <c r="AF94" i="15"/>
  <c r="AG94" i="15" s="1"/>
  <c r="AI276" i="15"/>
  <c r="AJ283" i="15"/>
  <c r="AF283" i="15"/>
  <c r="AG283" i="15" s="1"/>
  <c r="AI283" i="15"/>
  <c r="AF88" i="15"/>
  <c r="AG88" i="15" s="1"/>
  <c r="AJ10" i="15"/>
  <c r="AI10" i="15"/>
  <c r="AI285" i="15"/>
  <c r="AI151" i="15"/>
  <c r="AI268" i="15"/>
  <c r="AF131" i="15"/>
  <c r="AG131" i="15" s="1"/>
  <c r="AJ131" i="15"/>
  <c r="AJ126" i="15"/>
  <c r="AF126" i="15"/>
  <c r="AG126" i="15" s="1"/>
  <c r="AI126" i="15"/>
  <c r="AI150" i="15"/>
  <c r="AF150" i="15"/>
  <c r="AG150" i="15" s="1"/>
  <c r="AI158" i="15"/>
  <c r="AF158" i="15"/>
  <c r="AG158" i="15" s="1"/>
  <c r="AJ299" i="15"/>
  <c r="AF299" i="15"/>
  <c r="AG299" i="15" s="1"/>
  <c r="AJ42" i="15"/>
  <c r="AF42" i="15"/>
  <c r="AG42" i="15" s="1"/>
  <c r="AI152" i="15"/>
  <c r="AF152" i="15"/>
  <c r="AG152" i="15" s="1"/>
  <c r="AJ28" i="15"/>
  <c r="AI28" i="15"/>
  <c r="AF28" i="15"/>
  <c r="AG28" i="15" s="1"/>
  <c r="AJ260" i="15"/>
  <c r="AF260" i="15"/>
  <c r="AG260" i="15" s="1"/>
  <c r="AI260" i="15"/>
  <c r="AI156" i="15"/>
  <c r="AF156" i="15"/>
  <c r="AG156" i="15" s="1"/>
  <c r="AF159" i="15"/>
  <c r="AG159" i="15" s="1"/>
  <c r="AI159" i="15"/>
  <c r="AJ159" i="15"/>
  <c r="AJ223" i="15"/>
  <c r="AI223" i="15"/>
  <c r="AF223" i="15"/>
  <c r="AG223" i="15" s="1"/>
  <c r="AI275" i="15"/>
  <c r="AF275" i="15"/>
  <c r="AG275" i="15" s="1"/>
  <c r="AJ3" i="15"/>
  <c r="AI3" i="15"/>
  <c r="AI113" i="15"/>
  <c r="AF113" i="15"/>
  <c r="AG113" i="15" s="1"/>
  <c r="AJ113" i="15"/>
  <c r="AJ176" i="15"/>
  <c r="AF176" i="15"/>
  <c r="AG176" i="15" s="1"/>
  <c r="AJ11" i="15"/>
  <c r="AF11" i="15"/>
  <c r="AG11" i="15" s="1"/>
  <c r="AJ168" i="15"/>
  <c r="AI168" i="15"/>
  <c r="AJ184" i="15"/>
  <c r="AI184" i="15"/>
  <c r="AJ216" i="15"/>
  <c r="AI216" i="15"/>
  <c r="AJ22" i="15"/>
  <c r="AF22" i="15"/>
  <c r="AG22" i="15" s="1"/>
  <c r="AI148" i="15"/>
  <c r="AF148" i="15"/>
  <c r="AG148" i="15" s="1"/>
  <c r="AJ303" i="15"/>
  <c r="AI303" i="15"/>
  <c r="AJ228" i="15"/>
  <c r="AF228" i="15"/>
  <c r="AG228" i="15" s="1"/>
  <c r="AI228" i="15"/>
  <c r="AJ54" i="15"/>
  <c r="AF54" i="15"/>
  <c r="AG54" i="15" s="1"/>
  <c r="AI8" i="15"/>
  <c r="AF8" i="15"/>
  <c r="AG8" i="15" s="1"/>
  <c r="AJ57" i="15"/>
  <c r="AF57" i="15"/>
  <c r="AG57" i="15" s="1"/>
  <c r="AI57" i="15"/>
  <c r="AJ99" i="15"/>
  <c r="AI99" i="15"/>
  <c r="AJ13" i="15"/>
  <c r="AF13" i="15"/>
  <c r="AG13" i="15" s="1"/>
  <c r="AI13" i="15"/>
  <c r="AI14" i="15"/>
  <c r="AJ14" i="15"/>
  <c r="AF14" i="15"/>
  <c r="AG14" i="15" s="1"/>
  <c r="AI105" i="15"/>
  <c r="AJ105" i="15"/>
  <c r="AF105" i="15"/>
  <c r="AG105" i="15" s="1"/>
  <c r="AJ144" i="15"/>
  <c r="AI144" i="15"/>
  <c r="AF144" i="15"/>
  <c r="AG144" i="15" s="1"/>
  <c r="AI141" i="15"/>
  <c r="AJ141" i="15"/>
  <c r="AF141" i="15"/>
  <c r="AG141" i="15" s="1"/>
  <c r="AJ50" i="15"/>
  <c r="AF50" i="15"/>
  <c r="AG50" i="15" s="1"/>
  <c r="AI50" i="15"/>
  <c r="AJ192" i="15"/>
  <c r="AI192" i="15"/>
  <c r="AF192" i="15"/>
  <c r="AG192" i="15" s="1"/>
  <c r="AF239" i="15"/>
  <c r="AG239" i="15" s="1"/>
  <c r="AI239" i="15"/>
  <c r="AJ239" i="15"/>
  <c r="AJ297" i="15"/>
  <c r="AF297" i="15"/>
  <c r="AG297" i="15" s="1"/>
  <c r="AI297" i="15"/>
  <c r="AJ26" i="15"/>
  <c r="AI26" i="15"/>
  <c r="AF26" i="15"/>
  <c r="AG26" i="15" s="1"/>
  <c r="AF79" i="15"/>
  <c r="AG79" i="15" s="1"/>
  <c r="AI79" i="15"/>
  <c r="AJ79" i="15"/>
  <c r="AJ64" i="15"/>
  <c r="AF64" i="15"/>
  <c r="AG64" i="15" s="1"/>
  <c r="AI64" i="15"/>
  <c r="AJ118" i="15"/>
  <c r="AF118" i="15"/>
  <c r="AG118" i="15" s="1"/>
  <c r="AI118" i="15"/>
  <c r="AJ74" i="15"/>
  <c r="AI74" i="15"/>
  <c r="AF74" i="15"/>
  <c r="AG74" i="15" s="1"/>
  <c r="AI93" i="15"/>
  <c r="AJ93" i="15"/>
  <c r="AF93" i="15"/>
  <c r="AG93" i="15" s="1"/>
  <c r="AJ84" i="15"/>
  <c r="AI84" i="15"/>
  <c r="AF84" i="15"/>
  <c r="AG84" i="15" s="1"/>
  <c r="AJ46" i="15"/>
  <c r="AF46" i="15"/>
  <c r="AG46" i="15" s="1"/>
  <c r="AI46" i="15"/>
  <c r="AJ174" i="15"/>
  <c r="AF174" i="15"/>
  <c r="AG174" i="15" s="1"/>
  <c r="AI174" i="15"/>
  <c r="AJ194" i="15"/>
  <c r="AI194" i="15"/>
  <c r="AF194" i="15"/>
  <c r="AG194" i="15" s="1"/>
  <c r="AJ208" i="15"/>
  <c r="AI208" i="15"/>
  <c r="AF208" i="15"/>
  <c r="AG208" i="15" s="1"/>
  <c r="AJ248" i="15"/>
  <c r="AF248" i="15"/>
  <c r="AG248" i="15" s="1"/>
  <c r="AI248" i="15"/>
  <c r="AF183" i="15"/>
  <c r="AG183" i="15" s="1"/>
  <c r="AI183" i="15"/>
  <c r="AJ183" i="15"/>
  <c r="AJ272" i="15"/>
  <c r="AI272" i="15"/>
  <c r="AF272" i="15"/>
  <c r="AG272" i="15" s="1"/>
  <c r="AF271" i="15"/>
  <c r="AG271" i="15" s="1"/>
  <c r="AI271" i="15"/>
  <c r="AJ271" i="15"/>
  <c r="AJ222" i="15"/>
  <c r="AI222" i="15"/>
  <c r="AF222" i="15"/>
  <c r="AG222" i="15" s="1"/>
  <c r="AF231" i="15"/>
  <c r="AG231" i="15" s="1"/>
  <c r="AI231" i="15"/>
  <c r="AJ231" i="15"/>
  <c r="AJ286" i="15"/>
  <c r="AF286" i="15"/>
  <c r="AG286" i="15" s="1"/>
  <c r="AI286" i="15"/>
  <c r="AJ295" i="15"/>
  <c r="AI295" i="15"/>
  <c r="AF295" i="15"/>
  <c r="AG295" i="15" s="1"/>
  <c r="AJ232" i="15"/>
  <c r="AF232" i="15"/>
  <c r="AG232" i="15" s="1"/>
  <c r="AI232" i="15"/>
  <c r="AJ19" i="15"/>
  <c r="AF19" i="15"/>
  <c r="AG19" i="15" s="1"/>
  <c r="AI19" i="15"/>
  <c r="AJ100" i="15"/>
  <c r="AI100" i="15"/>
  <c r="AF100" i="15"/>
  <c r="AG100" i="15" s="1"/>
  <c r="AJ112" i="15"/>
  <c r="AI112" i="15"/>
  <c r="AF112" i="15"/>
  <c r="AG112" i="15" s="1"/>
  <c r="AJ197" i="15"/>
  <c r="AF197" i="15"/>
  <c r="AG197" i="15" s="1"/>
  <c r="AI197" i="15"/>
  <c r="AJ172" i="15"/>
  <c r="AI172" i="15"/>
  <c r="AF172" i="15"/>
  <c r="AG172" i="15" s="1"/>
  <c r="AF135" i="15"/>
  <c r="AG135" i="15" s="1"/>
  <c r="AI135" i="15"/>
  <c r="AJ135" i="15"/>
  <c r="AJ224" i="15"/>
  <c r="AI224" i="15"/>
  <c r="AF224" i="15"/>
  <c r="AG224" i="15" s="1"/>
  <c r="AJ200" i="15"/>
  <c r="AF200" i="15"/>
  <c r="AG200" i="15" s="1"/>
  <c r="AI200" i="15"/>
  <c r="AI235" i="15"/>
  <c r="AJ235" i="15"/>
  <c r="AF235" i="15"/>
  <c r="AG235" i="15" s="1"/>
  <c r="AJ291" i="15"/>
  <c r="AF291" i="15"/>
  <c r="AG291" i="15" s="1"/>
  <c r="AI291" i="15"/>
  <c r="AJ9" i="15"/>
  <c r="AF9" i="15"/>
  <c r="AG9" i="15" s="1"/>
  <c r="AI9" i="15"/>
  <c r="AJ44" i="15"/>
  <c r="AF44" i="15"/>
  <c r="AG44" i="15" s="1"/>
  <c r="AI44" i="15"/>
  <c r="AF16" i="15"/>
  <c r="AG16" i="15" s="1"/>
  <c r="AI16" i="15"/>
  <c r="AJ16" i="15"/>
  <c r="AJ72" i="15"/>
  <c r="AF72" i="15"/>
  <c r="AG72" i="15" s="1"/>
  <c r="AI72" i="15"/>
  <c r="AJ80" i="15"/>
  <c r="AI80" i="15"/>
  <c r="AF80" i="15"/>
  <c r="AG80" i="15" s="1"/>
  <c r="AJ134" i="15"/>
  <c r="AF134" i="15"/>
  <c r="AG134" i="15" s="1"/>
  <c r="AI134" i="15"/>
  <c r="AF125" i="15"/>
  <c r="AG125" i="15" s="1"/>
  <c r="AI125" i="15"/>
  <c r="AJ125" i="15"/>
  <c r="AJ78" i="15"/>
  <c r="AF78" i="15"/>
  <c r="AG78" i="15" s="1"/>
  <c r="AI78" i="15"/>
  <c r="AJ206" i="15"/>
  <c r="AF206" i="15"/>
  <c r="AG206" i="15" s="1"/>
  <c r="AI206" i="15"/>
  <c r="AF171" i="15"/>
  <c r="AG171" i="15" s="1"/>
  <c r="AI171" i="15"/>
  <c r="AJ171" i="15"/>
  <c r="AJ210" i="15"/>
  <c r="AI210" i="15"/>
  <c r="AF210" i="15"/>
  <c r="AG210" i="15" s="1"/>
  <c r="AJ190" i="15"/>
  <c r="AF190" i="15"/>
  <c r="AG190" i="15" s="1"/>
  <c r="AI190" i="15"/>
  <c r="AF203" i="15"/>
  <c r="AG203" i="15" s="1"/>
  <c r="AI203" i="15"/>
  <c r="AJ203" i="15"/>
  <c r="AJ301" i="15"/>
  <c r="AF301" i="15"/>
  <c r="AG301" i="15" s="1"/>
  <c r="AI301" i="15"/>
  <c r="AF251" i="15"/>
  <c r="AG251" i="15" s="1"/>
  <c r="AI251" i="15"/>
  <c r="AJ251" i="15"/>
  <c r="AF233" i="15"/>
  <c r="AG233" i="15" s="1"/>
  <c r="AI233" i="15"/>
  <c r="AJ233" i="15"/>
  <c r="AJ270" i="15"/>
  <c r="AF270" i="15"/>
  <c r="AG270" i="15" s="1"/>
  <c r="AI270" i="15"/>
  <c r="AF47" i="15"/>
  <c r="AG47" i="15" s="1"/>
  <c r="AI47" i="15"/>
  <c r="AJ47" i="15"/>
  <c r="AJ106" i="15"/>
  <c r="AI106" i="15"/>
  <c r="AF106" i="15"/>
  <c r="AG106" i="15" s="1"/>
  <c r="AJ70" i="15"/>
  <c r="AF70" i="15"/>
  <c r="AG70" i="15" s="1"/>
  <c r="AI70" i="15"/>
  <c r="AJ146" i="15"/>
  <c r="AF146" i="15"/>
  <c r="AG146" i="15" s="1"/>
  <c r="AI146" i="15"/>
  <c r="AI127" i="15"/>
  <c r="AF127" i="15"/>
  <c r="AG127" i="15" s="1"/>
  <c r="AJ127" i="15"/>
  <c r="AJ132" i="15"/>
  <c r="AI132" i="15"/>
  <c r="AF132" i="15"/>
  <c r="AG132" i="15" s="1"/>
  <c r="AF95" i="15"/>
  <c r="AG95" i="15" s="1"/>
  <c r="AI95" i="15"/>
  <c r="AJ95" i="15"/>
  <c r="AJ213" i="15"/>
  <c r="AF213" i="15"/>
  <c r="AG213" i="15" s="1"/>
  <c r="AI213" i="15"/>
  <c r="AJ188" i="15"/>
  <c r="AI188" i="15"/>
  <c r="AF188" i="15"/>
  <c r="AG188" i="15" s="1"/>
  <c r="AJ140" i="15"/>
  <c r="AF140" i="15"/>
  <c r="AG140" i="15" s="1"/>
  <c r="AI140" i="15"/>
  <c r="AF167" i="15"/>
  <c r="AG167" i="15" s="1"/>
  <c r="AI167" i="15"/>
  <c r="AJ167" i="15"/>
  <c r="AF263" i="15"/>
  <c r="AG263" i="15" s="1"/>
  <c r="AI263" i="15"/>
  <c r="AJ263" i="15"/>
  <c r="AJ218" i="15"/>
  <c r="AF218" i="15"/>
  <c r="AG218" i="15" s="1"/>
  <c r="AI218" i="15"/>
  <c r="AJ264" i="15"/>
  <c r="AF264" i="15"/>
  <c r="AG264" i="15" s="1"/>
  <c r="AI264" i="15"/>
  <c r="AJ258" i="15"/>
  <c r="AI258" i="15"/>
  <c r="AF258" i="15"/>
  <c r="AG258" i="15" s="1"/>
  <c r="AJ245" i="15"/>
  <c r="AF245" i="15"/>
  <c r="AG245" i="15" s="1"/>
  <c r="AI245" i="15"/>
  <c r="AF157" i="15"/>
  <c r="AG157" i="15" s="1"/>
  <c r="AI157" i="15"/>
  <c r="AJ157" i="15"/>
  <c r="AJ256" i="15"/>
  <c r="AI256" i="15"/>
  <c r="AF256" i="15"/>
  <c r="AG256" i="15" s="1"/>
  <c r="AJ24" i="15"/>
  <c r="AF24" i="15"/>
  <c r="AG24" i="15" s="1"/>
  <c r="AI24" i="15"/>
  <c r="AJ17" i="15"/>
  <c r="AI17" i="15"/>
  <c r="AF17" i="15"/>
  <c r="AG17" i="15" s="1"/>
  <c r="AJ34" i="15"/>
  <c r="AF34" i="15"/>
  <c r="AG34" i="15" s="1"/>
  <c r="AI34" i="15"/>
  <c r="AF31" i="15"/>
  <c r="AG31" i="15" s="1"/>
  <c r="AI31" i="15"/>
  <c r="AJ31" i="15"/>
  <c r="AJ56" i="15"/>
  <c r="AF56" i="15"/>
  <c r="AG56" i="15" s="1"/>
  <c r="AI56" i="15"/>
  <c r="AJ86" i="15"/>
  <c r="AI86" i="15"/>
  <c r="AF86" i="15"/>
  <c r="AG86" i="15" s="1"/>
  <c r="AI109" i="15"/>
  <c r="AF109" i="15"/>
  <c r="AG109" i="15" s="1"/>
  <c r="AJ109" i="15"/>
  <c r="AJ82" i="15"/>
  <c r="AF82" i="15"/>
  <c r="AG82" i="15" s="1"/>
  <c r="AI82" i="15"/>
  <c r="AJ128" i="15"/>
  <c r="AF128" i="15"/>
  <c r="AG128" i="15" s="1"/>
  <c r="AI128" i="15"/>
  <c r="AJ48" i="15"/>
  <c r="AI48" i="15"/>
  <c r="AF48" i="15"/>
  <c r="AG48" i="15" s="1"/>
  <c r="AJ170" i="15"/>
  <c r="AF170" i="15"/>
  <c r="AG170" i="15" s="1"/>
  <c r="AI170" i="15"/>
  <c r="AJ234" i="15"/>
  <c r="AF234" i="15"/>
  <c r="AG234" i="15" s="1"/>
  <c r="AI234" i="15"/>
  <c r="AJ252" i="15"/>
  <c r="AI252" i="15"/>
  <c r="AF252" i="15"/>
  <c r="AG252" i="15" s="1"/>
  <c r="AF199" i="15"/>
  <c r="AG199" i="15" s="1"/>
  <c r="AI199" i="15"/>
  <c r="AJ199" i="15"/>
  <c r="AF267" i="15"/>
  <c r="AG267" i="15" s="1"/>
  <c r="AI267" i="15"/>
  <c r="AJ267" i="15"/>
  <c r="AJ254" i="15"/>
  <c r="AF254" i="15"/>
  <c r="AG254" i="15" s="1"/>
  <c r="AI254" i="15"/>
  <c r="AF215" i="15"/>
  <c r="AG215" i="15" s="1"/>
  <c r="AI215" i="15"/>
  <c r="AJ215" i="15"/>
  <c r="AF288" i="15"/>
  <c r="AG288" i="15" s="1"/>
  <c r="AI288" i="15"/>
  <c r="AJ288" i="15"/>
  <c r="AJ89" i="15"/>
  <c r="AF89" i="15"/>
  <c r="AG89" i="15" s="1"/>
  <c r="AI89" i="15"/>
  <c r="AJ66" i="15"/>
  <c r="AI66" i="15"/>
  <c r="AF66" i="15"/>
  <c r="AG66" i="15" s="1"/>
  <c r="AJ122" i="15"/>
  <c r="AF122" i="15"/>
  <c r="AG122" i="15" s="1"/>
  <c r="AI122" i="15"/>
  <c r="AJ116" i="15"/>
  <c r="AI116" i="15"/>
  <c r="AF116" i="15"/>
  <c r="AG116" i="15" s="1"/>
  <c r="AJ129" i="15"/>
  <c r="AF129" i="15"/>
  <c r="AG129" i="15" s="1"/>
  <c r="AI129" i="15"/>
  <c r="AJ138" i="15"/>
  <c r="AI138" i="15"/>
  <c r="AF138" i="15"/>
  <c r="AG138" i="15" s="1"/>
  <c r="AF101" i="15"/>
  <c r="AG101" i="15" s="1"/>
  <c r="AI101" i="15"/>
  <c r="AJ101" i="15"/>
  <c r="AJ142" i="15"/>
  <c r="AI142" i="15"/>
  <c r="AF142" i="15"/>
  <c r="AG142" i="15" s="1"/>
  <c r="AJ180" i="15"/>
  <c r="AF180" i="15"/>
  <c r="AG180" i="15" s="1"/>
  <c r="AI180" i="15"/>
  <c r="AJ178" i="15"/>
  <c r="AI178" i="15"/>
  <c r="AF178" i="15"/>
  <c r="AG178" i="15" s="1"/>
  <c r="AJ226" i="15"/>
  <c r="AI226" i="15"/>
  <c r="AF226" i="15"/>
  <c r="AG226" i="15" s="1"/>
  <c r="AJ204" i="15"/>
  <c r="AI204" i="15"/>
  <c r="AF204" i="15"/>
  <c r="AG204" i="15" s="1"/>
  <c r="AF155" i="15"/>
  <c r="AG155" i="15" s="1"/>
  <c r="AI155" i="15"/>
  <c r="AJ155" i="15"/>
  <c r="AF187" i="15"/>
  <c r="AG187" i="15" s="1"/>
  <c r="AI187" i="15"/>
  <c r="AJ187" i="15"/>
  <c r="AI255" i="15"/>
  <c r="AJ255" i="15"/>
  <c r="AF255" i="15"/>
  <c r="AG255" i="15" s="1"/>
  <c r="AF219" i="15"/>
  <c r="AG219" i="15" s="1"/>
  <c r="AI219" i="15"/>
  <c r="AJ219" i="15"/>
  <c r="AI259" i="15"/>
  <c r="AJ259" i="15"/>
  <c r="AF259" i="15"/>
  <c r="AG259" i="15" s="1"/>
  <c r="AJ274" i="15"/>
  <c r="AF274" i="15"/>
  <c r="AG274" i="15" s="1"/>
  <c r="AI274" i="15"/>
  <c r="AJ40" i="15"/>
  <c r="AF40" i="15"/>
  <c r="AG40" i="15" s="1"/>
  <c r="AI40" i="15"/>
  <c r="AJ32" i="15"/>
  <c r="AI32" i="15"/>
  <c r="AF32" i="15"/>
  <c r="AG32" i="15" s="1"/>
  <c r="AF63" i="15"/>
  <c r="AG63" i="15" s="1"/>
  <c r="AI63" i="15"/>
  <c r="AJ63" i="15"/>
  <c r="AJ92" i="15"/>
  <c r="AF92" i="15"/>
  <c r="AG92" i="15" s="1"/>
  <c r="AI92" i="15"/>
  <c r="AJ102" i="15"/>
  <c r="AI102" i="15"/>
  <c r="AF102" i="15"/>
  <c r="AG102" i="15" s="1"/>
  <c r="AJ96" i="15"/>
  <c r="AI96" i="15"/>
  <c r="AF96" i="15"/>
  <c r="AG96" i="15" s="1"/>
  <c r="AJ90" i="15"/>
  <c r="AI90" i="15"/>
  <c r="AF90" i="15"/>
  <c r="AG90" i="15" s="1"/>
  <c r="AJ15" i="15"/>
  <c r="AF15" i="15"/>
  <c r="AG15" i="15" s="1"/>
  <c r="AI15" i="15"/>
  <c r="AJ108" i="15"/>
  <c r="AF108" i="15"/>
  <c r="AG108" i="15" s="1"/>
  <c r="AI108" i="15"/>
  <c r="AJ114" i="15"/>
  <c r="AI114" i="15"/>
  <c r="AF114" i="15"/>
  <c r="AG114" i="15" s="1"/>
  <c r="AJ136" i="15"/>
  <c r="AI136" i="15"/>
  <c r="AF136" i="15"/>
  <c r="AG136" i="15" s="1"/>
  <c r="AJ98" i="15"/>
  <c r="AF98" i="15"/>
  <c r="AG98" i="15" s="1"/>
  <c r="AI98" i="15"/>
  <c r="AJ124" i="15"/>
  <c r="AF124" i="15"/>
  <c r="AG124" i="15" s="1"/>
  <c r="AI124" i="15"/>
  <c r="AJ181" i="15"/>
  <c r="AF181" i="15"/>
  <c r="AG181" i="15" s="1"/>
  <c r="AI181" i="15"/>
  <c r="AF229" i="15"/>
  <c r="AG229" i="15" s="1"/>
  <c r="AI229" i="15"/>
  <c r="AJ229" i="15"/>
  <c r="AJ220" i="15"/>
  <c r="AI220" i="15"/>
  <c r="AF220" i="15"/>
  <c r="AG220" i="15" s="1"/>
  <c r="AF161" i="15"/>
  <c r="AG161" i="15" s="1"/>
  <c r="AI161" i="15"/>
  <c r="AJ161" i="15"/>
  <c r="AJ240" i="15"/>
  <c r="AF240" i="15"/>
  <c r="AG240" i="15" s="1"/>
  <c r="AI240" i="15"/>
  <c r="AJ279" i="15"/>
  <c r="AF279" i="15"/>
  <c r="AG279" i="15" s="1"/>
  <c r="AI279" i="15"/>
  <c r="AJ289" i="15"/>
  <c r="AI289" i="15"/>
  <c r="AF289" i="15"/>
  <c r="AG289" i="15" s="1"/>
  <c r="AJ305" i="15"/>
  <c r="AI305" i="15"/>
  <c r="AF305" i="15"/>
  <c r="AG305" i="15" s="1"/>
  <c r="AF292" i="15"/>
  <c r="AG292" i="15" s="1"/>
  <c r="AI292" i="15"/>
  <c r="AJ292" i="15"/>
  <c r="AJ3" i="43"/>
  <c r="AJ2" i="15"/>
  <c r="AI2" i="15"/>
  <c r="AF2" i="15"/>
  <c r="AG2" i="15" s="1"/>
  <c r="AI14" i="43"/>
  <c r="AJ5" i="26"/>
  <c r="AF14" i="43"/>
  <c r="AG14" i="43" s="1"/>
  <c r="AJ9" i="43"/>
  <c r="AF5" i="26"/>
  <c r="AG5" i="26" s="1"/>
  <c r="AJ8" i="43"/>
  <c r="AF8" i="43"/>
  <c r="AG8" i="43" s="1"/>
  <c r="AJ16" i="43"/>
  <c r="AF16" i="43"/>
  <c r="AG16" i="43" s="1"/>
  <c r="AI16" i="43"/>
  <c r="AF10" i="43"/>
  <c r="AG10" i="43" s="1"/>
  <c r="AI10" i="43"/>
  <c r="AJ10" i="43"/>
  <c r="AJ15" i="43"/>
  <c r="AI15" i="43"/>
  <c r="AF15" i="43"/>
  <c r="AG15" i="43" s="1"/>
  <c r="AI18" i="43"/>
  <c r="AJ18" i="43"/>
  <c r="AF18" i="43"/>
  <c r="AG18" i="43" s="1"/>
  <c r="AJ13" i="43"/>
  <c r="AF13" i="43"/>
  <c r="AG13" i="43" s="1"/>
  <c r="AI13" i="43"/>
  <c r="AJ7" i="43"/>
  <c r="AF7" i="43"/>
  <c r="AG7" i="43" s="1"/>
  <c r="AI7" i="43"/>
  <c r="AJ17" i="43"/>
  <c r="AI17" i="43"/>
  <c r="AF17" i="43"/>
  <c r="AG17" i="43" s="1"/>
  <c r="AJ5" i="43"/>
  <c r="AI5" i="43"/>
  <c r="AF5" i="43"/>
  <c r="AG5" i="43" s="1"/>
  <c r="AJ19" i="43"/>
  <c r="AF19" i="43"/>
  <c r="AG19" i="43" s="1"/>
  <c r="AI19" i="43"/>
  <c r="AJ23" i="43"/>
  <c r="AF23" i="43"/>
  <c r="AG23" i="43" s="1"/>
  <c r="AI23" i="43"/>
  <c r="AJ21" i="43"/>
  <c r="AI21" i="43"/>
  <c r="AF21" i="43"/>
  <c r="AG21" i="43" s="1"/>
  <c r="AJ11" i="43"/>
  <c r="AI11" i="43"/>
  <c r="AF11" i="43"/>
  <c r="AG11" i="43" s="1"/>
  <c r="AJ2" i="43"/>
  <c r="AI2" i="43"/>
  <c r="AF2" i="43"/>
  <c r="AG2" i="43" s="1"/>
  <c r="AJ3" i="26"/>
  <c r="AF3" i="26"/>
  <c r="AG3" i="26" s="1"/>
  <c r="AI3" i="26"/>
  <c r="AJ2" i="26"/>
  <c r="N40" i="25" s="1"/>
  <c r="AI2" i="26"/>
  <c r="AF2" i="26"/>
  <c r="AG2" i="26" s="1"/>
  <c r="AF25" i="24"/>
  <c r="AG25" i="24" s="1"/>
  <c r="AI25" i="24"/>
  <c r="AJ25" i="24"/>
  <c r="AI26" i="24"/>
  <c r="AJ26" i="24"/>
  <c r="AI86" i="24"/>
  <c r="AJ86" i="24"/>
  <c r="AI87" i="24"/>
  <c r="AJ87" i="24"/>
  <c r="AI3" i="24"/>
  <c r="AJ3" i="24"/>
  <c r="AF19" i="24"/>
  <c r="AG19" i="24" s="1"/>
  <c r="AI19" i="24"/>
  <c r="AJ19" i="24"/>
  <c r="AF7" i="24"/>
  <c r="AG7" i="24" s="1"/>
  <c r="AI7" i="24"/>
  <c r="AJ7" i="24"/>
  <c r="AI39" i="24"/>
  <c r="AJ39" i="24"/>
  <c r="AF13" i="24"/>
  <c r="AG13" i="24" s="1"/>
  <c r="AI13" i="24"/>
  <c r="AJ13" i="24"/>
  <c r="AF30" i="24"/>
  <c r="AG30" i="24" s="1"/>
  <c r="AI30" i="24"/>
  <c r="AJ30" i="24"/>
  <c r="AF43" i="24"/>
  <c r="AG43" i="24" s="1"/>
  <c r="AI43" i="24"/>
  <c r="AJ43" i="24"/>
  <c r="AF52" i="24"/>
  <c r="AG52" i="24" s="1"/>
  <c r="AI52" i="24"/>
  <c r="AJ52" i="24"/>
  <c r="AF60" i="24"/>
  <c r="AG60" i="24" s="1"/>
  <c r="AI60" i="24"/>
  <c r="AJ60" i="24"/>
  <c r="AF69" i="24"/>
  <c r="AG69" i="24" s="1"/>
  <c r="AI69" i="24"/>
  <c r="AJ69" i="24"/>
  <c r="AF78" i="24"/>
  <c r="AG78" i="24" s="1"/>
  <c r="AI78" i="24"/>
  <c r="AJ78" i="24"/>
  <c r="AF95" i="24"/>
  <c r="AG95" i="24" s="1"/>
  <c r="AI95" i="24"/>
  <c r="AJ95" i="24"/>
  <c r="AI9" i="24"/>
  <c r="AJ9" i="24"/>
  <c r="AI6" i="24"/>
  <c r="AJ6" i="24"/>
  <c r="AI50" i="24"/>
  <c r="AJ50" i="24"/>
  <c r="AI59" i="24"/>
  <c r="AJ59" i="24"/>
  <c r="AF65" i="24"/>
  <c r="AG65" i="24" s="1"/>
  <c r="AI65" i="24"/>
  <c r="AJ65" i="24"/>
  <c r="AI70" i="24"/>
  <c r="AJ70" i="24"/>
  <c r="AF72" i="24"/>
  <c r="AG72" i="24" s="1"/>
  <c r="AI72" i="24"/>
  <c r="AJ72" i="24"/>
  <c r="AI76" i="24"/>
  <c r="AJ76" i="24"/>
  <c r="AF83" i="24"/>
  <c r="AG83" i="24" s="1"/>
  <c r="AI83" i="24"/>
  <c r="AJ83" i="24"/>
  <c r="AI85" i="24"/>
  <c r="AJ85" i="24"/>
  <c r="AI94" i="24"/>
  <c r="AJ94" i="24"/>
  <c r="AI8" i="24"/>
  <c r="AJ8" i="24"/>
  <c r="AF4" i="24"/>
  <c r="AG4" i="24" s="1"/>
  <c r="AI4" i="24"/>
  <c r="AJ4" i="24"/>
  <c r="AI14" i="24"/>
  <c r="AJ14" i="24"/>
  <c r="AF16" i="24"/>
  <c r="AG16" i="24" s="1"/>
  <c r="AI16" i="24"/>
  <c r="AJ16" i="24"/>
  <c r="AI23" i="24"/>
  <c r="AJ23" i="24"/>
  <c r="AF40" i="24"/>
  <c r="AG40" i="24" s="1"/>
  <c r="AI40" i="24"/>
  <c r="AJ40" i="24"/>
  <c r="AI42" i="24"/>
  <c r="AJ42" i="24"/>
  <c r="AF48" i="24"/>
  <c r="AG48" i="24" s="1"/>
  <c r="AI48" i="24"/>
  <c r="AJ48" i="24"/>
  <c r="AI53" i="24"/>
  <c r="AJ53" i="24"/>
  <c r="AF55" i="24"/>
  <c r="AG55" i="24" s="1"/>
  <c r="AI55" i="24"/>
  <c r="AJ55" i="24"/>
  <c r="AI58" i="24"/>
  <c r="AJ58" i="24"/>
  <c r="AF66" i="24"/>
  <c r="AG66" i="24" s="1"/>
  <c r="AI66" i="24"/>
  <c r="AJ66" i="24"/>
  <c r="AI68" i="24"/>
  <c r="AJ68" i="24"/>
  <c r="AF74" i="24"/>
  <c r="AG74" i="24" s="1"/>
  <c r="AI74" i="24"/>
  <c r="AJ74" i="24"/>
  <c r="AI79" i="24"/>
  <c r="AJ79" i="24"/>
  <c r="AI84" i="24"/>
  <c r="AJ84" i="24"/>
  <c r="AF89" i="24"/>
  <c r="AG89" i="24" s="1"/>
  <c r="AI89" i="24"/>
  <c r="AJ89" i="24"/>
  <c r="AI93" i="24"/>
  <c r="AJ93" i="24"/>
  <c r="AI32" i="24"/>
  <c r="AJ32" i="24"/>
  <c r="AI28" i="24"/>
  <c r="AJ28" i="24"/>
  <c r="AI34" i="24"/>
  <c r="AJ34" i="24"/>
  <c r="AF12" i="24"/>
  <c r="AG12" i="24" s="1"/>
  <c r="AI12" i="24"/>
  <c r="AJ12" i="24"/>
  <c r="AI17" i="24"/>
  <c r="AJ17" i="24"/>
  <c r="AF29" i="24"/>
  <c r="AG29" i="24" s="1"/>
  <c r="AI29" i="24"/>
  <c r="AJ29" i="24"/>
  <c r="AI41" i="24"/>
  <c r="AJ41" i="24"/>
  <c r="AF46" i="24"/>
  <c r="AG46" i="24" s="1"/>
  <c r="AI46" i="24"/>
  <c r="AJ46" i="24"/>
  <c r="AI56" i="24"/>
  <c r="AJ56" i="24"/>
  <c r="AI61" i="24"/>
  <c r="AJ61" i="24"/>
  <c r="AF63" i="24"/>
  <c r="AG63" i="24" s="1"/>
  <c r="AI63" i="24"/>
  <c r="AJ63" i="24"/>
  <c r="AF71" i="24"/>
  <c r="AG71" i="24" s="1"/>
  <c r="AI71" i="24"/>
  <c r="AJ71" i="24"/>
  <c r="AI90" i="24"/>
  <c r="AJ90" i="24"/>
  <c r="AI96" i="24"/>
  <c r="AJ96" i="24"/>
  <c r="AF98" i="24"/>
  <c r="AG98" i="24" s="1"/>
  <c r="AI98" i="24"/>
  <c r="AJ98" i="24"/>
  <c r="AF21" i="24"/>
  <c r="AG21" i="24" s="1"/>
  <c r="AI21" i="24"/>
  <c r="AJ21" i="24"/>
  <c r="AF31" i="24"/>
  <c r="AG31" i="24" s="1"/>
  <c r="AI31" i="24"/>
  <c r="AJ31" i="24"/>
  <c r="AI33" i="24"/>
  <c r="AJ33" i="24"/>
  <c r="AF36" i="24"/>
  <c r="AG36" i="24" s="1"/>
  <c r="AI36" i="24"/>
  <c r="AJ36" i="24"/>
  <c r="AF45" i="24"/>
  <c r="AG45" i="24" s="1"/>
  <c r="AI45" i="24"/>
  <c r="AJ45" i="24"/>
  <c r="AF57" i="24"/>
  <c r="AG57" i="24" s="1"/>
  <c r="AI57" i="24"/>
  <c r="AJ57" i="24"/>
  <c r="AI73" i="24"/>
  <c r="AJ73" i="24"/>
  <c r="AF77" i="24"/>
  <c r="AG77" i="24" s="1"/>
  <c r="AI77" i="24"/>
  <c r="AJ77" i="24"/>
  <c r="AI81" i="24"/>
  <c r="AJ81" i="24"/>
  <c r="AF91" i="24"/>
  <c r="AG91" i="24" s="1"/>
  <c r="AI91" i="24"/>
  <c r="AJ91" i="24"/>
  <c r="AI20" i="24"/>
  <c r="AJ20" i="24"/>
  <c r="AI27" i="24"/>
  <c r="AJ27" i="24"/>
  <c r="AI15" i="24"/>
  <c r="AJ15" i="24"/>
  <c r="AF22" i="24"/>
  <c r="AG22" i="24" s="1"/>
  <c r="AI22" i="24"/>
  <c r="AJ22" i="24"/>
  <c r="AI44" i="24"/>
  <c r="AJ44" i="24"/>
  <c r="AI62" i="24"/>
  <c r="AJ62" i="24"/>
  <c r="AI2" i="24"/>
  <c r="AJ2" i="24"/>
  <c r="AI47" i="24"/>
  <c r="AJ47" i="24"/>
  <c r="AF51" i="24"/>
  <c r="AG51" i="24" s="1"/>
  <c r="AI51" i="24"/>
  <c r="AJ51" i="24"/>
  <c r="AI67" i="24"/>
  <c r="AJ67" i="24"/>
  <c r="AF92" i="24"/>
  <c r="AG92" i="24" s="1"/>
  <c r="AI92" i="24"/>
  <c r="AJ92" i="24"/>
  <c r="AF82" i="24"/>
  <c r="AG82" i="24" s="1"/>
  <c r="AI82" i="24"/>
  <c r="AJ82" i="24"/>
  <c r="AF5" i="24"/>
  <c r="AG5" i="24" s="1"/>
  <c r="AI5" i="24"/>
  <c r="AJ5" i="24"/>
  <c r="AF38" i="24"/>
  <c r="AG38" i="24" s="1"/>
  <c r="AI38" i="24"/>
  <c r="AJ38" i="24"/>
  <c r="AF80" i="24"/>
  <c r="AG80" i="24" s="1"/>
  <c r="AI80" i="24"/>
  <c r="AJ80" i="24"/>
  <c r="AF97" i="24"/>
  <c r="AG97" i="24" s="1"/>
  <c r="AI97" i="24"/>
  <c r="AJ97" i="24"/>
  <c r="AF18" i="24"/>
  <c r="AG18" i="24" s="1"/>
  <c r="AI18" i="24"/>
  <c r="AJ18" i="24"/>
  <c r="AF49" i="24"/>
  <c r="AG49" i="24" s="1"/>
  <c r="AI49" i="24"/>
  <c r="AJ49" i="24"/>
  <c r="AF75" i="24"/>
  <c r="AG75" i="24" s="1"/>
  <c r="AI75" i="24"/>
  <c r="AJ75" i="24"/>
  <c r="AF11" i="24"/>
  <c r="AG11" i="24" s="1"/>
  <c r="AI11" i="24"/>
  <c r="AJ11" i="24"/>
  <c r="AI37" i="24"/>
  <c r="AJ37" i="24"/>
  <c r="AI88" i="24"/>
  <c r="AJ88" i="24"/>
  <c r="AI24" i="24"/>
  <c r="AJ24" i="24"/>
  <c r="AI54" i="24"/>
  <c r="AJ54" i="24"/>
  <c r="AI64" i="24"/>
  <c r="AJ64" i="24"/>
  <c r="AI35" i="24"/>
  <c r="AJ35" i="24"/>
  <c r="AI99" i="24"/>
  <c r="AJ99" i="24"/>
  <c r="AF20" i="24"/>
  <c r="AG20" i="24" s="1"/>
  <c r="AF86" i="24"/>
  <c r="AG86" i="24" s="1"/>
  <c r="AF99" i="24"/>
  <c r="AG99" i="24" s="1"/>
  <c r="AF2" i="24"/>
  <c r="AG2" i="24" s="1"/>
  <c r="AF35" i="24"/>
  <c r="AG35" i="24" s="1"/>
  <c r="AF34" i="24"/>
  <c r="AG34" i="24" s="1"/>
  <c r="AF28" i="24"/>
  <c r="AG28" i="24" s="1"/>
  <c r="AF39" i="24"/>
  <c r="AG39" i="24" s="1"/>
  <c r="AF3" i="24"/>
  <c r="AG3" i="24" s="1"/>
  <c r="AF67" i="24"/>
  <c r="AG67" i="24" s="1"/>
  <c r="AF56" i="24"/>
  <c r="AG56" i="24" s="1"/>
  <c r="AF58" i="24"/>
  <c r="AG58" i="24" s="1"/>
  <c r="AF44" i="24"/>
  <c r="AG44" i="24" s="1"/>
  <c r="AF47" i="24"/>
  <c r="AG47" i="24" s="1"/>
  <c r="AF53" i="24"/>
  <c r="AG53" i="24" s="1"/>
  <c r="AF61" i="24"/>
  <c r="AG61" i="24" s="1"/>
  <c r="AF64" i="24"/>
  <c r="AG64" i="24" s="1"/>
  <c r="AF6" i="24"/>
  <c r="AG6" i="24" s="1"/>
  <c r="AF54" i="24"/>
  <c r="AG54" i="24" s="1"/>
  <c r="AF93" i="24"/>
  <c r="AG93" i="24" s="1"/>
  <c r="AF37" i="24"/>
  <c r="AG37" i="24" s="1"/>
  <c r="AF32" i="24"/>
  <c r="AG32" i="24" s="1"/>
  <c r="AF81" i="24"/>
  <c r="AG81" i="24" s="1"/>
  <c r="AF90" i="24"/>
  <c r="AG90" i="24" s="1"/>
  <c r="AF96" i="24"/>
  <c r="AG96" i="24" s="1"/>
  <c r="AF27" i="24"/>
  <c r="AG27" i="24" s="1"/>
  <c r="AF70" i="24"/>
  <c r="AG70" i="24" s="1"/>
  <c r="AF41" i="24"/>
  <c r="AG41" i="24" s="1"/>
  <c r="AF33" i="24"/>
  <c r="AG33" i="24" s="1"/>
  <c r="AF73" i="24"/>
  <c r="AG73" i="24" s="1"/>
  <c r="AF24" i="24"/>
  <c r="AG24" i="24" s="1"/>
  <c r="AF8" i="24"/>
  <c r="AG8" i="24" s="1"/>
  <c r="AF14" i="24"/>
  <c r="AG14" i="24" s="1"/>
  <c r="AF79" i="24"/>
  <c r="AG79" i="24" s="1"/>
  <c r="AF88" i="24"/>
  <c r="AG88" i="24" s="1"/>
  <c r="AF17" i="24"/>
  <c r="AG17" i="24" s="1"/>
  <c r="AF84" i="24"/>
  <c r="AG84" i="24" s="1"/>
  <c r="AF23" i="24"/>
  <c r="AG23" i="24" s="1"/>
  <c r="AF62" i="24"/>
  <c r="AG62" i="24" s="1"/>
  <c r="AF50" i="24"/>
  <c r="AG50" i="24" s="1"/>
  <c r="AF15" i="24"/>
  <c r="AG15" i="24" s="1"/>
  <c r="AF76" i="24"/>
  <c r="AG76" i="24" s="1"/>
  <c r="AF94" i="24"/>
  <c r="AG94" i="24" s="1"/>
  <c r="AF9" i="24"/>
  <c r="AG9" i="24" s="1"/>
  <c r="AF59" i="24"/>
  <c r="AG59" i="24" s="1"/>
  <c r="AF85" i="24"/>
  <c r="AG85" i="24" s="1"/>
  <c r="AF42" i="24"/>
  <c r="AG42" i="24" s="1"/>
  <c r="AF68" i="24"/>
  <c r="AG68" i="24" s="1"/>
  <c r="AF26" i="24"/>
  <c r="AG26" i="24" s="1"/>
  <c r="AF87" i="24"/>
  <c r="AG87" i="24" s="1"/>
  <c r="K39" i="25"/>
  <c r="I39" i="25"/>
  <c r="A6" i="48"/>
  <c r="AS10" i="48"/>
  <c r="E6" i="48"/>
  <c r="AR10" i="48"/>
  <c r="AR14" i="48"/>
  <c r="I6" i="48"/>
  <c r="AR15" i="48"/>
  <c r="Q6" i="48"/>
  <c r="C9" i="48"/>
  <c r="M6" i="48"/>
  <c r="S9" i="48"/>
  <c r="U6" i="48"/>
  <c r="C32" i="3"/>
  <c r="G10" i="3"/>
  <c r="O40" i="25" l="1"/>
  <c r="M40" i="25"/>
  <c r="S40" i="25"/>
  <c r="Q40" i="25"/>
  <c r="R40" i="25"/>
  <c r="Q27" i="25"/>
  <c r="S27" i="25"/>
  <c r="S28" i="25"/>
  <c r="Q28" i="25"/>
  <c r="N29" i="25"/>
  <c r="N28" i="25"/>
  <c r="R29" i="25"/>
  <c r="N27" i="25"/>
  <c r="M27" i="25"/>
  <c r="O27" i="25"/>
  <c r="O28" i="25"/>
  <c r="M28" i="25"/>
  <c r="R27" i="25"/>
  <c r="R28" i="25"/>
  <c r="S29" i="25"/>
  <c r="Q29" i="25"/>
  <c r="O29" i="25"/>
  <c r="M29" i="25"/>
  <c r="S31" i="25"/>
  <c r="R31" i="25"/>
  <c r="N31" i="25"/>
  <c r="O31" i="25"/>
  <c r="Q31" i="25"/>
  <c r="M31" i="25"/>
  <c r="N38" i="25"/>
  <c r="M38" i="25"/>
  <c r="Q38" i="25"/>
  <c r="S38" i="25"/>
  <c r="G30" i="25"/>
  <c r="E30" i="25"/>
  <c r="J30" i="25"/>
  <c r="M30" i="25"/>
  <c r="R30" i="25"/>
  <c r="N30" i="25"/>
  <c r="S30" i="25"/>
  <c r="O30" i="25"/>
  <c r="Q30" i="25"/>
  <c r="K30" i="25"/>
  <c r="I30" i="25"/>
  <c r="I42" i="25" s="1"/>
  <c r="N26" i="25"/>
  <c r="S26" i="25"/>
  <c r="R26" i="25"/>
  <c r="Q26" i="25"/>
  <c r="K26" i="25"/>
  <c r="O26" i="25"/>
  <c r="M26" i="25"/>
  <c r="R38" i="25"/>
  <c r="N32" i="25"/>
  <c r="O38" i="25"/>
  <c r="O32" i="25"/>
  <c r="N39" i="25"/>
  <c r="O33" i="25"/>
  <c r="S39" i="25"/>
  <c r="S32" i="25"/>
  <c r="S33" i="25"/>
  <c r="S35" i="25"/>
  <c r="O39" i="25"/>
  <c r="O35" i="25"/>
  <c r="N33" i="25"/>
  <c r="R39" i="25"/>
  <c r="R35" i="25"/>
  <c r="R33" i="25"/>
  <c r="R32" i="25"/>
  <c r="N35" i="25"/>
  <c r="M39" i="25"/>
  <c r="Q39" i="25"/>
  <c r="Q35" i="25"/>
  <c r="M35" i="25"/>
  <c r="Q33" i="25"/>
  <c r="M33" i="25"/>
  <c r="Q32" i="25"/>
  <c r="E42" i="25" l="1"/>
  <c r="G42" i="25"/>
  <c r="K42" i="25"/>
  <c r="J42" i="25"/>
  <c r="O42" i="25"/>
  <c r="S42" i="25"/>
  <c r="N42" i="25"/>
  <c r="R42" i="25"/>
  <c r="M42" i="25"/>
  <c r="Q42" i="2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tc={32D3A0AB-0633-440F-9015-18224232E1E1}</author>
  </authors>
  <commentList>
    <comment ref="M166" authorId="0" shapeId="0" xr:uid="{32D3A0AB-0633-440F-9015-18224232E1E1}">
      <text>
        <t>[Threaded comment]
Your version of Excel allows you to read this threaded comment; however, any edits to it will get removed if the file is opened in a newer version of Excel. Learn more: https://go.microsoft.com/fwlink/?linkid=870924
Comment:
    Hi Ashwin, Kindly check and correct the highlighted part. We can see that you are entering incorrect data.
Reply:
    @Ashwin V K</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<sst xmlns="http://schemas.openxmlformats.org/spreadsheetml/2006/main" count="51882" uniqueCount="8834">
  <si>
    <t>Date Picker</t>
  </si>
  <si>
    <t>Queue Name</t>
  </si>
  <si>
    <t>Op Co</t>
  </si>
  <si>
    <t>Domain</t>
  </si>
  <si>
    <t>P1 Raised</t>
  </si>
  <si>
    <t>P1 Actioned</t>
  </si>
  <si>
    <t>P1 Backlogs</t>
  </si>
  <si>
    <t>P2 Raised</t>
  </si>
  <si>
    <t>P2 Actioned</t>
  </si>
  <si>
    <t>P2 Backlogs</t>
  </si>
  <si>
    <t>P3 Raised</t>
  </si>
  <si>
    <t>P3 Actioned</t>
  </si>
  <si>
    <t>P3 Backlogs</t>
  </si>
  <si>
    <t>P4 Raised</t>
  </si>
  <si>
    <t>P4 Actioned</t>
  </si>
  <si>
    <t>P4 Backlogs</t>
  </si>
  <si>
    <t>RFS Raised</t>
  </si>
  <si>
    <t>RFS Actioned</t>
  </si>
  <si>
    <t>RFS Backlogs</t>
  </si>
  <si>
    <t>P_Ticket Raised</t>
  </si>
  <si>
    <t>P_Ticket Actioned</t>
  </si>
  <si>
    <t>Changes Implemented</t>
  </si>
  <si>
    <t>Changes Successful</t>
  </si>
  <si>
    <t>High P_Ticket Raised</t>
  </si>
  <si>
    <t>High P_Ticket Actioned</t>
  </si>
  <si>
    <t>APPSUP_SIPLIVE
APPSUP_SIPENVHEALTH
APPSUP_SIPTOOLS
APPSUP_TTPTESTLAB
APPSUP_DEVICESLIVE</t>
  </si>
  <si>
    <t>BA</t>
  </si>
  <si>
    <t>SIP</t>
  </si>
  <si>
    <t>APPSUP_SPOMGSV
APPSUP_POWERAPPS</t>
  </si>
  <si>
    <t>SharePoint</t>
  </si>
  <si>
    <t>APPSUP_APEX</t>
  </si>
  <si>
    <t>Apex</t>
  </si>
  <si>
    <t>APPSUP_ETL
APPSUP_TRILLIUM
APPSUP_CRT
APPSUP_BOA
APPSUP_ICD50</t>
  </si>
  <si>
    <t>TechTools</t>
  </si>
  <si>
    <t>APPSUP_INFORM
APPSUP_OPSDASHBOARD
APPSUP_AIRPORTOPS
APPSUP_AIMSLOUNGES
APPSUP_OSCS
APPSUP_BAGS
APPSUP_RIBI
APPSUP_PLUTO</t>
  </si>
  <si>
    <t>AO</t>
  </si>
  <si>
    <t>APPSUP_BAENTMOBAPPS</t>
  </si>
  <si>
    <t>Mobile</t>
  </si>
  <si>
    <t>APPSUP_FUSION
APPSUP_LIDO4D_INTEGRATION</t>
  </si>
  <si>
    <t>LIP</t>
  </si>
  <si>
    <t>APPSUP_QUANTUM</t>
  </si>
  <si>
    <t>QIP</t>
  </si>
  <si>
    <t>MRO</t>
  </si>
  <si>
    <t>APPSUP_CRPDIR
APPSUP_MGZE</t>
  </si>
  <si>
    <t>Pathway</t>
  </si>
  <si>
    <t>APPSUP_HDL_CORA</t>
  </si>
  <si>
    <t>IB</t>
  </si>
  <si>
    <t>APPSUP_IBIS, 
APPSUP_IBCOM_3P</t>
  </si>
  <si>
    <t>Commercial Services</t>
  </si>
  <si>
    <t>APPSUP_MRO_NOSAP</t>
  </si>
  <si>
    <t>APPSUP_GROUNDOPS</t>
  </si>
  <si>
    <t>EI</t>
  </si>
  <si>
    <t>APPSUP_ITTOOLS</t>
  </si>
  <si>
    <t>APPSUP_CMJFE</t>
  </si>
  <si>
    <t>JFE</t>
  </si>
  <si>
    <t>Total</t>
  </si>
  <si>
    <t xml:space="preserve">SLA Met </t>
  </si>
  <si>
    <t>Min Resolution</t>
  </si>
  <si>
    <t>Max Resolution</t>
  </si>
  <si>
    <t>Breach</t>
  </si>
  <si>
    <t>APPLICATION SUPPORT – TICKET TRACKER SOP</t>
  </si>
  <si>
    <t>1. PURPOSE</t>
  </si>
  <si>
    <t>Purpose</t>
  </si>
  <si>
    <t>This tracker is used to record Incidents, RFS, and P Tickets, monitor SLA compliance, calculate support hours automatically, and maintain operational support records.</t>
  </si>
  <si>
    <t>2. USER INSTRUCTIONS</t>
  </si>
  <si>
    <t>Rule 1</t>
  </si>
  <si>
    <t>Users can update only editable input cells. Protected and locked cells cannot be modified.</t>
  </si>
  <si>
    <t>Rule 2</t>
  </si>
  <si>
    <t>Row insertion and deletion are disabled through sheet protection.</t>
  </si>
  <si>
    <t>Rule 3</t>
  </si>
  <si>
    <t>Formula and calculation cells are password protected and locked.</t>
  </si>
  <si>
    <t>Rule 4</t>
  </si>
  <si>
    <t>Fields must not be left blank.</t>
  </si>
  <si>
    <t>Rule 5</t>
  </si>
  <si>
    <t>Dropdown values must be selected from the provided list only ( OpCo, Domain, Type, Queue Name, Priority, Status, Resolution Type, Root Cause Category, Sub Category, Duplicate Incident)</t>
  </si>
  <si>
    <t>Rule 6</t>
  </si>
  <si>
    <t>Ticket updates must be completed immediately after activity.</t>
  </si>
  <si>
    <t>Rule 7</t>
  </si>
  <si>
    <t>Row sequence order must be maintained.</t>
  </si>
  <si>
    <t>Rule 8</t>
  </si>
  <si>
    <t>SLA and calculation cells cannot be overwritten due to worksheet protection.</t>
  </si>
  <si>
    <t>3. SLA &amp; FORMULA LOGIC</t>
  </si>
  <si>
    <t>IncidentHours</t>
  </si>
  <si>
    <t>Calculates business hours between Creation Time and Resolution Time excluding suspended duration.</t>
  </si>
  <si>
    <t>Incident Current Hours</t>
  </si>
  <si>
    <t>Calculates business hours between Assigned Time and Resolution Time excluding suspended duration.</t>
  </si>
  <si>
    <t>Response SLA</t>
  </si>
  <si>
    <t>Calculates business hours between Assigned Time and Acknowledged Time.</t>
  </si>
  <si>
    <t>Cumulative SLA</t>
  </si>
  <si>
    <t>Calculates total Incident Current Hours for the same Reference Number.</t>
  </si>
  <si>
    <t>IncidentTotalAge</t>
  </si>
  <si>
    <t>Calculated as IncidentHours divided by 9 business hours.</t>
  </si>
  <si>
    <t>Incident Current Age</t>
  </si>
  <si>
    <t>Calculated as Incident Current Hours divided by 9 business hours.</t>
  </si>
  <si>
    <t>Met Response SLA</t>
  </si>
  <si>
    <t>Validates SLA compliance based on Priority and SLA configuration.</t>
  </si>
  <si>
    <t>Met Minimum Resolution SLA</t>
  </si>
  <si>
    <t>Checks minimum SLA compliance based on Priority.</t>
  </si>
  <si>
    <t>Met Maximum Resolution SLA</t>
  </si>
  <si>
    <t>Checks maximum SLA compliance based on Priority.</t>
  </si>
  <si>
    <t>4. BUSINESS HOUR LOGIC</t>
  </si>
  <si>
    <t>Working Hours</t>
  </si>
  <si>
    <t>08:00 AM to 05:00 PM</t>
  </si>
  <si>
    <t>Business Hours Per Day</t>
  </si>
  <si>
    <t>9 Hours</t>
  </si>
  <si>
    <t>Weekend Handling</t>
  </si>
  <si>
    <t>Weekends are excluded from calculations.</t>
  </si>
  <si>
    <t>Holiday Handling</t>
  </si>
  <si>
    <t>UK Bank Holidays are excluded from calculations.</t>
  </si>
  <si>
    <t>Suspended Duration</t>
  </si>
  <si>
    <t>Suspended time is excluded from SLA calculations.</t>
  </si>
  <si>
    <t>5. TICKET UPDATE PROCESS</t>
  </si>
  <si>
    <t>Step 1</t>
  </si>
  <si>
    <t>Update ticket details and mandatory fields in the tracker.</t>
  </si>
  <si>
    <t>Step 2</t>
  </si>
  <si>
    <t>Update created  and assigned timestamp.</t>
  </si>
  <si>
    <t>Step 3</t>
  </si>
  <si>
    <t>Update acknowledgement timestamp.</t>
  </si>
  <si>
    <t>Step 4</t>
  </si>
  <si>
    <t>Update RC, remarks, and impacted application details.</t>
  </si>
  <si>
    <t>Step 5</t>
  </si>
  <si>
    <t>Update resolution details and closure timestamp.</t>
  </si>
  <si>
    <t>Step 6</t>
  </si>
  <si>
    <t>Verify SLA calculation and ticket status.</t>
  </si>
  <si>
    <t>6. IMPORTANT RESTRICTIONS</t>
  </si>
  <si>
    <t>Restricted</t>
  </si>
  <si>
    <t>Formula cells are password protected and cannot be modified.</t>
  </si>
  <si>
    <t>Row deletion is disabled through worksheet protection.</t>
  </si>
  <si>
    <t>Row insertion is disabled through worksheet protection.</t>
  </si>
  <si>
    <t>Protected cells are locked using password protection.</t>
  </si>
  <si>
    <t>Do not overwrite SLA calculations.</t>
  </si>
  <si>
    <t>7. REFERENCE NOTE</t>
  </si>
  <si>
    <t>Refer to Casual_Guide sheet for detailed RCA and RFS category descriptions.</t>
  </si>
  <si>
    <t>Incident Causal</t>
  </si>
  <si>
    <t>RFS Causal</t>
  </si>
  <si>
    <t>Description</t>
  </si>
  <si>
    <t>RFS Category</t>
  </si>
  <si>
    <t>Application bug</t>
  </si>
  <si>
    <t>Issue identified in the supporting application</t>
  </si>
  <si>
    <t>Access/ID request</t>
  </si>
  <si>
    <t>User access or ID related task or respective approval related tasks</t>
  </si>
  <si>
    <t>Application performance</t>
  </si>
  <si>
    <t>Issue due to performance degradation of supporting application</t>
  </si>
  <si>
    <t>Consultation</t>
  </si>
  <si>
    <t>Being SMEs for the supporting application/platfrom providing consultation for outsiders</t>
  </si>
  <si>
    <t>Database performance</t>
  </si>
  <si>
    <t>Issue due to degrading performance of supporting application's database</t>
  </si>
  <si>
    <t>Data correction request</t>
  </si>
  <si>
    <t>Data correction related requests from User or interfacing streams</t>
  </si>
  <si>
    <t>Server performance</t>
  </si>
  <si>
    <t>Issue due to degrading performance of supporting application/platform server</t>
  </si>
  <si>
    <t>Data setup</t>
  </si>
  <si>
    <t>Data setup requests from User or interfacing teams</t>
  </si>
  <si>
    <t>Hardware</t>
  </si>
  <si>
    <t>Hardware issue. Eg. Kiosk, Barcode scanner, processor</t>
  </si>
  <si>
    <t>Information request</t>
  </si>
  <si>
    <t>Application or platform related information. For e.g. server name, application usage</t>
  </si>
  <si>
    <t>Environment</t>
  </si>
  <si>
    <t>Issue due to environment related components</t>
  </si>
  <si>
    <t>Monitoring setup for delivery project</t>
  </si>
  <si>
    <t>New monitoring setup requests for the delivery related projects</t>
  </si>
  <si>
    <t>Interface data error</t>
  </si>
  <si>
    <t>Data issue in upstream or downstream application/database</t>
  </si>
  <si>
    <t>Monitoring setup for support</t>
  </si>
  <si>
    <t>Monitoring setup requests for BAU</t>
  </si>
  <si>
    <t>Interfacing application error</t>
  </si>
  <si>
    <t>Error is due to issue in upstream or downstream application</t>
  </si>
  <si>
    <t>Password reset</t>
  </si>
  <si>
    <t xml:space="preserve">Tasks to be carried out for password reset </t>
  </si>
  <si>
    <t>Network issue</t>
  </si>
  <si>
    <t xml:space="preserve">Network related error, could be connectivity, availability, bandwidth </t>
  </si>
  <si>
    <t>Project release support</t>
  </si>
  <si>
    <t>Release and deployment related tasks for any project to be productionized</t>
  </si>
  <si>
    <t>Firewall</t>
  </si>
  <si>
    <t>Firewall related issues</t>
  </si>
  <si>
    <t>User query</t>
  </si>
  <si>
    <t>Users queries or clarification raised as part of service request pertaining to application or platform behaviour or process</t>
  </si>
  <si>
    <t>Certificate expiry</t>
  </si>
  <si>
    <t xml:space="preserve">Issue due to certificate expiry in supporting aplication/platform </t>
  </si>
  <si>
    <t>Work request</t>
  </si>
  <si>
    <t>Any other work request which does not fall on above mentioned categories</t>
  </si>
  <si>
    <t>User error - data</t>
  </si>
  <si>
    <t>Isue due to incorrect/no data used or fed by user</t>
  </si>
  <si>
    <t>Invalid Request</t>
  </si>
  <si>
    <t>Request incorrectly or mistakenly assigned to the queue, need reassignment to relevant queues</t>
  </si>
  <si>
    <t>User error - procedure</t>
  </si>
  <si>
    <t>Error due to invalid/incorrect business process or steps followed by the user</t>
  </si>
  <si>
    <t>False alert</t>
  </si>
  <si>
    <t xml:space="preserve">Alerts which are not legitimate </t>
  </si>
  <si>
    <t>Users queries or clarification raised as part of incident pertaining to application or platform behaviour or process</t>
  </si>
  <si>
    <t>User access issue</t>
  </si>
  <si>
    <t xml:space="preserve">User has issue with access which was already working and suddenly stopped </t>
  </si>
  <si>
    <t xml:space="preserve">Issues where password reset is required for the </t>
  </si>
  <si>
    <t>Job schedule/scheduler error</t>
  </si>
  <si>
    <t>Isuses in jobs or job scheduling</t>
  </si>
  <si>
    <t>External-3rd party</t>
  </si>
  <si>
    <t>Issue in supporting application or platform which is due to 3rd party. SAP, Oracle, Aurea, Amadeus, SITA</t>
  </si>
  <si>
    <t>Duplicate incident</t>
  </si>
  <si>
    <t>Same or similar incident with common root cause raised for the particular period before resolving it</t>
  </si>
  <si>
    <t>Not an issue</t>
  </si>
  <si>
    <t>No issue identified as part of root cause analysis. System works as expected</t>
  </si>
  <si>
    <t>Invalid issue</t>
  </si>
  <si>
    <t>Issue incorrectly or mistakenly assigned to the queue, need reassignment to relevant queues</t>
  </si>
  <si>
    <t>Dependent Application Failure</t>
  </si>
  <si>
    <t>Platform issues caused by dependent IAG applications</t>
  </si>
  <si>
    <t>Configuration Issue</t>
  </si>
  <si>
    <t>Issue related to missing/incorrecting configuration in the support scope</t>
  </si>
  <si>
    <t>Incident</t>
  </si>
  <si>
    <t>RFS</t>
  </si>
  <si>
    <t>Problem Ticket</t>
  </si>
  <si>
    <t>Total Raised</t>
  </si>
  <si>
    <t>Total Actioned</t>
  </si>
  <si>
    <t>P-Ticket Raised</t>
  </si>
  <si>
    <t>P-Ticket Actioned</t>
  </si>
  <si>
    <t>Total Backlog</t>
  </si>
  <si>
    <t>P-Ticket Backlogs</t>
  </si>
  <si>
    <t xml:space="preserve">Type </t>
  </si>
  <si>
    <t>Raised</t>
  </si>
  <si>
    <t>Actioned</t>
  </si>
  <si>
    <t>Backlog</t>
  </si>
  <si>
    <t>BA-SIP</t>
  </si>
  <si>
    <t>P1</t>
  </si>
  <si>
    <t>BA-SharePoint</t>
  </si>
  <si>
    <t>P2</t>
  </si>
  <si>
    <t>BA-Apex</t>
  </si>
  <si>
    <t>P3</t>
  </si>
  <si>
    <t>BA-TechTools</t>
  </si>
  <si>
    <t>P4</t>
  </si>
  <si>
    <t>BA-AO</t>
  </si>
  <si>
    <t>BA AO</t>
  </si>
  <si>
    <t>BA-Mobile</t>
  </si>
  <si>
    <t>P_Ticket</t>
  </si>
  <si>
    <t>BA-LIP</t>
  </si>
  <si>
    <t>BA-QIP</t>
  </si>
  <si>
    <t>BA-MRO</t>
  </si>
  <si>
    <t>BA MRO</t>
  </si>
  <si>
    <t>BA-Pathway</t>
  </si>
  <si>
    <t>IB-Mobile</t>
  </si>
  <si>
    <t>IB Mobile</t>
  </si>
  <si>
    <t>IB-MRO</t>
  </si>
  <si>
    <t>IB Commercial</t>
  </si>
  <si>
    <t>IB-Commercial</t>
  </si>
  <si>
    <t>EI-AO</t>
  </si>
  <si>
    <t>EI AO</t>
  </si>
  <si>
    <t>EI-SharePoint</t>
  </si>
  <si>
    <t>EI SharePoint</t>
  </si>
  <si>
    <t>Please select a domain from the dropdown list below to view domain-specific Incident, RFS, and P-Ticket statistics.</t>
  </si>
  <si>
    <t>Select Domain</t>
  </si>
  <si>
    <t>Incident Raised</t>
  </si>
  <si>
    <t>Incident Actioned</t>
  </si>
  <si>
    <t>RFS Backlog</t>
  </si>
  <si>
    <t>Incident Backlog</t>
  </si>
  <si>
    <t>OpCo</t>
  </si>
  <si>
    <t>Type</t>
  </si>
  <si>
    <t>Status</t>
  </si>
  <si>
    <t>Resultion Type</t>
  </si>
  <si>
    <t>Incident Category</t>
  </si>
  <si>
    <t>Problem Category</t>
  </si>
  <si>
    <t>Sub Category</t>
  </si>
  <si>
    <t>Low</t>
  </si>
  <si>
    <t>In Progress</t>
  </si>
  <si>
    <t>Workaround solution</t>
  </si>
  <si>
    <t>Cause</t>
  </si>
  <si>
    <t>=Z2/MonthDt[Number of Hours]MonthDt[Number of Hours]</t>
  </si>
  <si>
    <t>APPSUP_SPOMGSV</t>
  </si>
  <si>
    <t>Medium</t>
  </si>
  <si>
    <t>Suspended</t>
  </si>
  <si>
    <t>Permanent solution</t>
  </si>
  <si>
    <t>Access Issue</t>
  </si>
  <si>
    <t>APPSUP_POWERAPPS</t>
  </si>
  <si>
    <t>High</t>
  </si>
  <si>
    <t>Closed</t>
  </si>
  <si>
    <t>Verification only</t>
  </si>
  <si>
    <t>Covid Reduced Operations</t>
  </si>
  <si>
    <t>APPSUP_ETL</t>
  </si>
  <si>
    <t>Triaged</t>
  </si>
  <si>
    <t>Not applicable</t>
  </si>
  <si>
    <t>Data Request</t>
  </si>
  <si>
    <t>APPSUP_TRILLIUM</t>
  </si>
  <si>
    <t>DB Issue</t>
  </si>
  <si>
    <t>APPSUP_CRT</t>
  </si>
  <si>
    <t>Dependant Application failue - CAML</t>
  </si>
  <si>
    <t>APPSUP_BOA</t>
  </si>
  <si>
    <t>Dependant Application failue - CIRRUS</t>
  </si>
  <si>
    <t>APPSUP_ICD50</t>
  </si>
  <si>
    <t>Month Name</t>
  </si>
  <si>
    <t>Number of Hours</t>
  </si>
  <si>
    <t>Dependant Application failue - FICO</t>
  </si>
  <si>
    <t>Dependant Application failue - Loreto</t>
  </si>
  <si>
    <t>APPSUP_INFORM</t>
  </si>
  <si>
    <t>Expected Behaviour</t>
  </si>
  <si>
    <t>UK Bank Holidays</t>
  </si>
  <si>
    <t>APPSUP_OPSDASHBOARD</t>
  </si>
  <si>
    <t>FLY code issue</t>
  </si>
  <si>
    <t>COSI RTO</t>
  </si>
  <si>
    <t>APPSUP_AIRPORTOPS</t>
  </si>
  <si>
    <t>APPSUP_AIMSLOUNGES</t>
  </si>
  <si>
    <t>Insufficient Info/logs</t>
  </si>
  <si>
    <t>ODI</t>
  </si>
  <si>
    <t>APPSUP_OSCS</t>
  </si>
  <si>
    <t>Network Issue</t>
  </si>
  <si>
    <t>APPSUP_BAGS</t>
  </si>
  <si>
    <t>No issue found / Auto resolved</t>
  </si>
  <si>
    <t>APPSUP_RIBI</t>
  </si>
  <si>
    <t>Not related to SIP</t>
  </si>
  <si>
    <t>APPSUP_PLUTO</t>
  </si>
  <si>
    <t>SIP CID Release</t>
  </si>
  <si>
    <t>APPSUP_FUSION</t>
  </si>
  <si>
    <t>SIP Infra - Batch</t>
  </si>
  <si>
    <t>APPSUP_LIDO4D_INTEGRATION</t>
  </si>
  <si>
    <t>SIP Infra - Battery</t>
  </si>
  <si>
    <t>SIP Infra - Certificate</t>
  </si>
  <si>
    <t>APPSUP_CRPDIR</t>
  </si>
  <si>
    <t>SIP Infra - Components</t>
  </si>
  <si>
    <t>APPSUP_MGZE</t>
  </si>
  <si>
    <t>SIP Infra - DSMS</t>
  </si>
  <si>
    <t>APPSUP_RTO</t>
  </si>
  <si>
    <t>SIP Infra - False alerts</t>
  </si>
  <si>
    <t>APPSUP_SIPLIVE</t>
  </si>
  <si>
    <t>SIP Infra - Filesystem</t>
  </si>
  <si>
    <t>APPSUP_SIPENVHEALTH</t>
  </si>
  <si>
    <t>SIP Infra - Prob runner</t>
  </si>
  <si>
    <t>APPSUP_SIPTOOLS</t>
  </si>
  <si>
    <t>SIP Infra - Queue pileup</t>
  </si>
  <si>
    <t>Priority</t>
  </si>
  <si>
    <t>APPSUP_TTPTESTLAB</t>
  </si>
  <si>
    <t>SIP Infra - Topic DB</t>
  </si>
  <si>
    <t>APPSUP_DEVICESLIVE</t>
  </si>
  <si>
    <t>SIP Services issue</t>
  </si>
  <si>
    <t>SIP Services Release</t>
  </si>
  <si>
    <t>Third Party - Amadeus</t>
  </si>
  <si>
    <t>APPSUP_IBIS</t>
  </si>
  <si>
    <t>Third Party - SITA</t>
  </si>
  <si>
    <t>APPSUP_IBCOM_3P</t>
  </si>
  <si>
    <t>Third Party - Others</t>
  </si>
  <si>
    <t>User Error/Business process</t>
  </si>
  <si>
    <t>APPSUP_FMJFE</t>
  </si>
  <si>
    <t>DELSUP_NOVA_INTEGRATION</t>
  </si>
  <si>
    <t>APPSUP_NOVA_L3</t>
  </si>
  <si>
    <t>DELSUP_AUAS_L3</t>
  </si>
  <si>
    <t>APPSUP_AUAS_L3</t>
  </si>
  <si>
    <t>Minimum SLA</t>
  </si>
  <si>
    <t>Medium SLA</t>
  </si>
  <si>
    <t>Maximum SLA</t>
  </si>
  <si>
    <t>DELSUP_FICOINT</t>
  </si>
  <si>
    <t>APPSUP_FICOINT_L3</t>
  </si>
  <si>
    <t>NA</t>
  </si>
  <si>
    <t>S.No</t>
  </si>
  <si>
    <t>Reference Number</t>
  </si>
  <si>
    <t>Title/Description</t>
  </si>
  <si>
    <t>Assigned to</t>
  </si>
  <si>
    <t>creation date &amp; time</t>
  </si>
  <si>
    <t>assigned date &amp; time</t>
  </si>
  <si>
    <t>acknowledged date &amp; time</t>
  </si>
  <si>
    <t>resolved date &amp; time</t>
  </si>
  <si>
    <t>Clock suspended Time</t>
  </si>
  <si>
    <t>Clock resume Time</t>
  </si>
  <si>
    <t>Impacted Application</t>
  </si>
  <si>
    <t>Resolution Type</t>
  </si>
  <si>
    <t>Root cause category</t>
  </si>
  <si>
    <t>Duplicate Incident</t>
  </si>
  <si>
    <t>P Ticket reference</t>
  </si>
  <si>
    <t>P Ticket Ageing</t>
  </si>
  <si>
    <t>Is SLA Applicable (For RFS)</t>
  </si>
  <si>
    <t>Remarks</t>
  </si>
  <si>
    <t>Cumulative Days</t>
  </si>
  <si>
    <t>Time Taken</t>
  </si>
  <si>
    <t>INC2375059</t>
  </si>
  <si>
    <t>Says I do not have access to Office Leave Card. I requested access from manager</t>
  </si>
  <si>
    <t>Karthika Senthil Kumar</t>
  </si>
  <si>
    <t>Leave Card</t>
  </si>
  <si>
    <t>No</t>
  </si>
  <si>
    <t>INC2376779</t>
  </si>
  <si>
    <t>leave card approved but still being told access denied. please fix.</t>
  </si>
  <si>
    <t>Sarumathy Nagarajan</t>
  </si>
  <si>
    <t>SCTASK1149481</t>
  </si>
  <si>
    <t>Generic Request - Firewall Request Expiry 32789 - ACTION REQUIRED</t>
  </si>
  <si>
    <t>Karthika Senthil kumar</t>
  </si>
  <si>
    <t>EBIZ</t>
  </si>
  <si>
    <t>SCTASK1149483</t>
  </si>
  <si>
    <t>Generic Request - Firewall Request Expiry 28609 - ACTION REQUIRED</t>
  </si>
  <si>
    <t>SCTASK1151596</t>
  </si>
  <si>
    <t>Generic Request - Update contacts for existing Firewall</t>
  </si>
  <si>
    <t>INC2402719</t>
  </si>
  <si>
    <t>BA-LON-Issue in Shift Change Resquest</t>
  </si>
  <si>
    <t>Rakesh Periya Karuppaiah</t>
  </si>
  <si>
    <t>SHIFT CHANGE REQUEST (prd)</t>
  </si>
  <si>
    <t>INC2403495</t>
  </si>
  <si>
    <t>Issue in creation of BA club account</t>
  </si>
  <si>
    <t>John Pemr</t>
  </si>
  <si>
    <t>DISCRETIONARY EXEC CARDS (prd)</t>
  </si>
  <si>
    <t>INC2413281</t>
  </si>
  <si>
    <t>Unable to check in</t>
  </si>
  <si>
    <t>Manoj Deivamani</t>
  </si>
  <si>
    <t>CREW CARE (prd)</t>
  </si>
  <si>
    <t>INC2390301</t>
  </si>
  <si>
    <t>ERROR WHILE APPLYING FOR LEAVE</t>
  </si>
  <si>
    <t>INC2392716</t>
  </si>
  <si>
    <t>Cannot access CITA</t>
  </si>
  <si>
    <t>CITA</t>
  </si>
  <si>
    <t>SCTASK1155557</t>
  </si>
  <si>
    <t>Generic Request - Leave Cal</t>
  </si>
  <si>
    <t>SCTASK1156665</t>
  </si>
  <si>
    <t>Generic Request - To renew the firewall 27727</t>
  </si>
  <si>
    <t>SCTASK1156679</t>
  </si>
  <si>
    <t>Generic Request - To renew the firewall 28775</t>
  </si>
  <si>
    <t>SCTASK1156683</t>
  </si>
  <si>
    <t>Generic Request - To renew the firewall 33429</t>
  </si>
  <si>
    <t>SCTASK1156688</t>
  </si>
  <si>
    <t>Generic Request - To renew the firewall 29662</t>
  </si>
  <si>
    <t>SCTASK1156692</t>
  </si>
  <si>
    <t>Generic Request - To renew the firewall 28826</t>
  </si>
  <si>
    <t>SCTASK1156700</t>
  </si>
  <si>
    <t>Generic Request - To renew the firewall 24530</t>
  </si>
  <si>
    <t>INC2398088</t>
  </si>
  <si>
    <t>Unable to raise leave card</t>
  </si>
  <si>
    <t>INC2398207</t>
  </si>
  <si>
    <t>Firewall Rule 27319 key renewal.</t>
  </si>
  <si>
    <t>INC2398336</t>
  </si>
  <si>
    <t>NOT ABLE TO CANCEL LEAVE CARD</t>
  </si>
  <si>
    <t>SCTASK1157411</t>
  </si>
  <si>
    <t>Generic Request - The request is raised to add permission level requests to ebiz portal for attached TCS colleagues to approve the requests.</t>
  </si>
  <si>
    <t>SCTASK1159096</t>
  </si>
  <si>
    <t>Generic Request - leave card</t>
  </si>
  <si>
    <t>INC2405662</t>
  </si>
  <si>
    <t>cita</t>
  </si>
  <si>
    <t>INC2405946</t>
  </si>
  <si>
    <t>Error when setting up a new leave card.</t>
  </si>
  <si>
    <t>Yes</t>
  </si>
  <si>
    <t>INC2406046</t>
  </si>
  <si>
    <t>Hi Team,
We are unable to the extend the firewall ids 33477 &amp; 33476 from Ebiz sharepoint.</t>
  </si>
  <si>
    <t>INC2407013</t>
  </si>
  <si>
    <t>Leave card not working when creating new leave card for 2026-2027 fault ref: bf04c166</t>
  </si>
  <si>
    <t>SCTASK1161261</t>
  </si>
  <si>
    <t>Generic Request - Kindly provide a Sharepoint support contact or assign this request to the relevant team who can assist to export the required details (read-only access) for validation purpose of the project scoping activity.</t>
  </si>
  <si>
    <t>SCTASK1161623</t>
  </si>
  <si>
    <t>INC2411311</t>
  </si>
  <si>
    <t>My office leave card is not showing my current leave card</t>
  </si>
  <si>
    <t>INC2415256</t>
  </si>
  <si>
    <t>Please see the details of your incident INC2376779 below</t>
  </si>
  <si>
    <t>SCTASK1166443</t>
  </si>
  <si>
    <t>Generic Request - Delete current leave card as need to request new one for new role</t>
  </si>
  <si>
    <t>INC2419399</t>
  </si>
  <si>
    <t>Unable to create leave card</t>
  </si>
  <si>
    <t>SCTASK1166749</t>
  </si>
  <si>
    <t>Generic Request - Create a new leave card</t>
  </si>
  <si>
    <t>SCTASK1166946</t>
  </si>
  <si>
    <t>Generic Request - Request to change my Annual Leave card approver from Parmjit Mankoo to my new manager Lee Weatherley.</t>
  </si>
  <si>
    <t>SCTASK1167383</t>
  </si>
  <si>
    <t>Generic Request - I need my current leavecard for 01 April 2026 to 31 March 2027 to be cancelled. I sent the approval request to the wrong person. The fullfillment group should be APPSUP_SPOMGSV .</t>
  </si>
  <si>
    <t>SCTASK1167522</t>
  </si>
  <si>
    <t>Sharepoint - Decommission</t>
  </si>
  <si>
    <t>INC2423375</t>
  </si>
  <si>
    <t>BA-LGW-POWERAPPS-ERROR</t>
  </si>
  <si>
    <t>Security Advice for Crew</t>
  </si>
  <si>
    <t>SCTASK1169380</t>
  </si>
  <si>
    <t>Generic Request - Request to cancel leave card 2026/27:  I am a part-time worker and for approximately the past 5 years, my leave and bank holiday entitlement has been expressed in HOURS versus DAYS. My current Manager has advised that the Leave Card now needs to be changed to reflect DAYS of entitlement rather than HOURS. He is unable to cancel the existing Leave Card. Advise from People Operations was to raise a ticket to do so.</t>
  </si>
  <si>
    <t>SCTASK1169913</t>
  </si>
  <si>
    <t>APPSUP_PWA</t>
  </si>
  <si>
    <t>Findings for ba-pwa-uat - 339712975620 the period starting 2026-05-18 05:20:47.534796</t>
  </si>
  <si>
    <t>PWA</t>
  </si>
  <si>
    <t>SCTASK1163120</t>
  </si>
  <si>
    <t xml:space="preserve">Generic Request - Request to refresh the ETL Prelive folder: me_MMCO from Live </t>
  </si>
  <si>
    <t>Vijaythraj</t>
  </si>
  <si>
    <t>ICW</t>
  </si>
  <si>
    <t>SCTASK1164664</t>
  </si>
  <si>
    <t>Generic Request - Need access to work for designer platform in Informatica for ETL stage and live servers.</t>
  </si>
  <si>
    <t>Jeevabharathi Srinivaasan</t>
  </si>
  <si>
    <t>SCTASK1168116</t>
  </si>
  <si>
    <t>Generic Request - Update Required in tnsnames.ora – IAGBAOP Entry (ETL Server)</t>
  </si>
  <si>
    <t>SCTASK1170539</t>
  </si>
  <si>
    <t>Generic Request - I need access to ETL repository</t>
  </si>
  <si>
    <t>SCTASK1171006</t>
  </si>
  <si>
    <t>Generic Request - Getting the notification One or more of your organization's licenses expire within 30 day(s).</t>
  </si>
  <si>
    <t>Priyanka Rokade</t>
  </si>
  <si>
    <t>INC2409714</t>
  </si>
  <si>
    <t>Could you please abort this below job. This REVENUE job  has been running longer than expected, before aborting please share the session log as well</t>
  </si>
  <si>
    <t>INC2424745</t>
  </si>
  <si>
    <t>UBK0071 - Stuck in long running stage</t>
  </si>
  <si>
    <t>INC2426621</t>
  </si>
  <si>
    <t>BATCH JOB - JOB FAILED - UP35146</t>
  </si>
  <si>
    <t xml:space="preserve">INC2429852 </t>
  </si>
  <si>
    <t>Multiple ETL Control M job failure receivd in last 2 hours.</t>
  </si>
  <si>
    <t>INC2431255</t>
  </si>
  <si>
    <t>Multiple ETL Control M job failure received</t>
  </si>
  <si>
    <t>INC2431884</t>
  </si>
  <si>
    <t xml:space="preserve">Not triggering approval emails </t>
  </si>
  <si>
    <t>SCTASK1157822</t>
  </si>
  <si>
    <t>Generic Request - Can a user name be changed in the x1234 application? There are two David Cooks with the same user name in this application</t>
  </si>
  <si>
    <t>X1234 ORDERING SYSTEM (prd)</t>
  </si>
  <si>
    <t>SCTASK1163972</t>
  </si>
  <si>
    <t>Generic Request - Update of email template for Duty Travel log.</t>
  </si>
  <si>
    <t>DUTY TRAVEL LOG (prd)</t>
  </si>
  <si>
    <t>SCTASK1165660</t>
  </si>
  <si>
    <t xml:space="preserve">Generic Request - Hi Manoj,  Apex page from People Online UAT is being redirected to below URL not https://ax.oracleapex-uat.ext.iag.cloud.  In Oct 2025 as per your change request we have changed the URL to “https://ba-axuat.baplc.com/ords/f?p=” &amp; attached that mail conversation.  Now we need to check why “https://ba-axuat.baplc.com/ords/f?p=” is not working in POLUAT. When we proceed from below screen shot we get OAM error.   </t>
  </si>
  <si>
    <t>PEOPLEONLINE (uat)</t>
  </si>
  <si>
    <t>SCTASK1164944</t>
  </si>
  <si>
    <t>Generic Request -   I recently completed my medical assessment for my annual questionnaire.  BAHS has been in contact with me and have advised me to contact you and rectify the error on the last question which asks if I take Diabetic medication, I said no but It's yes. The seizure question confused me, my apologies.  My I kindly ask you to assist with this and rectify it at your earliest convenience.  Kind regards,   DIMITRIOS SPILIOPOULOS U239418</t>
  </si>
  <si>
    <t>CREW MEDICAL ASSESSMENT (prd)</t>
  </si>
  <si>
    <t>SCTASK1168132</t>
  </si>
  <si>
    <t xml:space="preserve">Generic Request - Hi, could you please resend me the medical assessment form as I made a mistake on the first question which I need to correct and resubmit, otherwise it will affect my flying duties. It can be sent to both this email address and/or my BA work email   Jamie.Mckellar@ba.com  Thank you  Jamie Richard McKellar </t>
  </si>
  <si>
    <t>SCTASK1168701</t>
  </si>
  <si>
    <t>Generic Request - It has been brought to my attention by BAHS that I incorrectly answered Q8 when completing my CMA questionnaire.  I have provided BAHS with the correct info but I believe I may need to re- answer the questionnaire itself to correct the record. P,ease advise how I can do this. Many thanks Robert L Foster S/N 670446</t>
  </si>
  <si>
    <t>SCTASK1168702</t>
  </si>
  <si>
    <t>INC2399060</t>
  </si>
  <si>
    <t>BES INCIDENT for alertId 0018536464|exec|cmhl01.baw/cmh.linkaout.from.alcs.prelive|queue_depth CRITICAL|Hostname:le1corpmap001|035843861538</t>
  </si>
  <si>
    <t>RamBabu Harinarayanan</t>
  </si>
  <si>
    <t>TTYScan</t>
  </si>
  <si>
    <t>INC2399066</t>
  </si>
  <si>
    <t>BES INCIDENT for alertId 0018536720|exec|cmhl01.baw/cmh.tty.from.alcs.prelive|queue_depth CRITICAL|Hostname:le1corpmap001|035843861538</t>
  </si>
  <si>
    <t>Poovitha B</t>
  </si>
  <si>
    <t>INC2401108</t>
  </si>
  <si>
    <t>BATCH JOB - JOB FAILED - UQI0302</t>
  </si>
  <si>
    <t>Deepak Srinivasan</t>
  </si>
  <si>
    <t>CRT</t>
  </si>
  <si>
    <t>SCTASK1160735</t>
  </si>
  <si>
    <t>Generic Request - Need answer to the below queries</t>
  </si>
  <si>
    <t>INC2409305</t>
  </si>
  <si>
    <t>SCTASK1163378</t>
  </si>
  <si>
    <t>BACOM  DB Request</t>
  </si>
  <si>
    <t>INC2412196</t>
  </si>
  <si>
    <t>JKX1000 03590 ENDED NOTOK, PLEASE INVESTIGATE</t>
  </si>
  <si>
    <t>Boopathy Velusamy</t>
  </si>
  <si>
    <t>Sonic</t>
  </si>
  <si>
    <t>INC2413356</t>
  </si>
  <si>
    <t>BES INCIDENT for alertId 0019005688|exec|cmhl01.baw/cmh.tty.from.alcs.prelive|queue_depth CRITICAL|Hostname:le1corpmap002|035843861538</t>
  </si>
  <si>
    <t>INC2413395</t>
  </si>
  <si>
    <t>BES INCIDENT for alertId 0019005702|exec|cmhl01.baw/cmh.linkaout.from.alcs.prelive|queue_depth CRITICAL|Hostname:le1corpmap002|035843861538</t>
  </si>
  <si>
    <t>INC2416823</t>
  </si>
  <si>
    <t>BATCH JOB - JOB FAILED - UQI0135</t>
  </si>
  <si>
    <t>INC2417856</t>
  </si>
  <si>
    <t>BATCH JOB - JOB FAILED - UQI0301</t>
  </si>
  <si>
    <t>INC2418961</t>
  </si>
  <si>
    <t>BES INCIDENT for alertId 0019160435|exec|cmhl01.baw/cmh.linkain.from.alcs.prelive|queue_depth CRITICAL|Hostname:le1corpmap002|035843861538</t>
  </si>
  <si>
    <t>INC2422905</t>
  </si>
  <si>
    <t>Feed from QIVB to UAT not working</t>
  </si>
  <si>
    <t>INC2412917</t>
  </si>
  <si>
    <t>We noticed that storage is FULL for TTYScan UAT RDS instance (Account ID : 609057601806). Can you please investigate this ASAP.</t>
  </si>
  <si>
    <t>INC2429696</t>
  </si>
  <si>
    <t>INC2432649</t>
  </si>
  <si>
    <t>JKX1045   STEPNAME:SBA1     ABEND: U3089    AT 26/05/26 17:50:32</t>
  </si>
  <si>
    <t>INC2433220</t>
  </si>
  <si>
    <t>INC2433372</t>
  </si>
  <si>
    <t>SCTASK1170809</t>
  </si>
  <si>
    <t>Maintenance_OPINS_2961_Update/Review_BRITISH AIRWAYS</t>
  </si>
  <si>
    <t>SCTASK1168015</t>
  </si>
  <si>
    <t>Generic Request - SAP Plugin issue in Informatica powercenter-Reg</t>
  </si>
  <si>
    <t>Kokila</t>
  </si>
  <si>
    <t>ETL</t>
  </si>
  <si>
    <t>SCTASK1170772</t>
  </si>
  <si>
    <t>Generic Request - Please can you provide details of changed mappings/workflows</t>
  </si>
  <si>
    <t>INC2436650</t>
  </si>
  <si>
    <t>JKX1130   STEPNAME:SBA1     ABEND: U3089    AT 28/05/26 17:47:32</t>
  </si>
  <si>
    <t>INC2439960</t>
  </si>
  <si>
    <t>JKX1000   STEPNAME:S0       ABEND: CANCEL   AT 31/05/26 22:33:31</t>
  </si>
  <si>
    <t>INC2439962</t>
  </si>
  <si>
    <t>INC2437785</t>
  </si>
  <si>
    <t>I can not send my leave card</t>
  </si>
  <si>
    <t>INC2438492</t>
  </si>
  <si>
    <t>BATCH JOB - LATESUB - URP7034</t>
  </si>
  <si>
    <t>ICW (PRD)</t>
  </si>
  <si>
    <t>INC2374932</t>
  </si>
  <si>
    <t>I DON'T GET ANY EMAILS FROM SHIFT CHANGE REQUEST</t>
  </si>
  <si>
    <t>INC2404401</t>
  </si>
  <si>
    <t>BA-LHR  Unable to access CFR</t>
  </si>
  <si>
    <t>CFR (prd)</t>
  </si>
  <si>
    <t>INC2407396</t>
  </si>
  <si>
    <t>BA-LHR- CFR ISSUE</t>
  </si>
  <si>
    <t>INC2416941</t>
  </si>
  <si>
    <t xml:space="preserve">Unable to access CFR reports </t>
  </si>
  <si>
    <t>PRB0056487</t>
  </si>
  <si>
    <t>Discretionary Database rejecting requests.</t>
  </si>
  <si>
    <t>INC1894957</t>
  </si>
  <si>
    <t>SCTASK1164038</t>
  </si>
  <si>
    <t xml:space="preserve">Generic Request - BAHS have told me to contact you to help me change the medical  Declaration form that I recently completed.  I mistakenly put No to the first question  Have you remained in Good Health?  I need to change it to YES  I am in good health.  Can you help me change this information please </t>
  </si>
  <si>
    <t>SCTASK1159956</t>
  </si>
  <si>
    <t xml:space="preserve">Generic Request - I have a crew member GF – 862440 that has two current crew medical assessment records. One is showing completed with expiry of 14/04/2031 and the other showing as fit not verified and will expire 29/05/2031 when verified.   Just wondered if you can investigate this for me as unsure if I need to ask crew member to verify or whether the other completed crew medical assessment means they are cleared to fly? </t>
  </si>
  <si>
    <t>SCTASK1165661</t>
  </si>
  <si>
    <t>Generic Request - Hi Manoj,  Apex page from People Online UAT is being redirected to below URL not https://ax.oracleapex-uat.ext.iag.cloud.  In Oct 2025 as per your change request we have changed the URL to “https://ba-axuat.baplc.com/ords/f?p=” &amp; attached that mail conversation.  Now we need to check why “https://ba-axuat.baplc.com/ords/f?p=” is not working in POLUAT. When we proceed from below screen shot we get OAM error.</t>
  </si>
  <si>
    <t>INC2440903</t>
  </si>
  <si>
    <t>BA - WTS - Leave card - User unable to access Leave card</t>
  </si>
  <si>
    <t>INC2441630</t>
  </si>
  <si>
    <t>unable to access leave card</t>
  </si>
  <si>
    <t>INC2444761</t>
  </si>
  <si>
    <t>BA : LHR : Can't raise leave card of this year</t>
  </si>
  <si>
    <t>Sarumathy</t>
  </si>
  <si>
    <t>SCTASK1175636</t>
  </si>
  <si>
    <t>Generic Request - Crew Medical Assessment - Staff Number incorrect</t>
  </si>
  <si>
    <t>SCTASK1175330</t>
  </si>
  <si>
    <t>Generic Request - CMA wrong date of next assessment</t>
  </si>
  <si>
    <t>INC2445826</t>
  </si>
  <si>
    <t>BATCH JOB - JOB FAILED - UBK0387</t>
  </si>
  <si>
    <t>Vijaythraj Arumugavelan</t>
  </si>
  <si>
    <t>INC2443035</t>
  </si>
  <si>
    <t>JKX1118   STEPNAME:SBA1     ABEND: U3089    AT 02/06/26 16:31:56</t>
  </si>
  <si>
    <t>INC2443536</t>
  </si>
  <si>
    <t>JKX1126   STEPNAME:SBA1     ABEND: U3089    AT 03/06/26 04:25:37</t>
  </si>
  <si>
    <t>INC2444438</t>
  </si>
  <si>
    <t>BATCH JOB - JOB FAILED - UVW4547(VWPARTYDLYTR) #Misc</t>
  </si>
  <si>
    <t>Trillium (prd)</t>
  </si>
  <si>
    <t>INC2444608</t>
  </si>
  <si>
    <t>BES INCIDENT for alertId 0019672339|exec|cmhl01.baw/cmh.linkaout.from.alcs.prelive|queue_depth CRITICAL|Hostname:le1corpmap002|035843861538</t>
  </si>
  <si>
    <t>INC2444595</t>
  </si>
  <si>
    <t>BES INCIDENT for alertId 0019672175|exec|cmhl01.baw/cmh.tty.from.alcs.prelive|queue_depth CRITICAL|Hostname:le1corpmap002|035843861538</t>
  </si>
  <si>
    <t>INC2449680</t>
  </si>
  <si>
    <t>INC2449765</t>
  </si>
  <si>
    <t>INC2450708</t>
  </si>
  <si>
    <t>BES INCIDENT for alertId 0250121502|exec|cmhl01.baw/cmh.linkain.from.alcs.prelive|queue_depth CRITICAL|Hostname:le1corpmap002|035843861538</t>
  </si>
  <si>
    <t>INC2450875</t>
  </si>
  <si>
    <t>JKX1018   STEPNAME:SBA1     ABEND: U3089    AT 08/06/26 13:46:05</t>
  </si>
  <si>
    <t>SCTASK1177490</t>
  </si>
  <si>
    <t>Generic Request - Need to change SIP legacy service to Captwo Service in Sonic  admin tool application</t>
  </si>
  <si>
    <t xml:space="preserve"> INC2451111</t>
  </si>
  <si>
    <t>JKX1032 STEPNAME:SBA1 ABEND: U3089 AT 08/06/26 15:57:17</t>
  </si>
  <si>
    <t>INC2451203</t>
  </si>
  <si>
    <t>JKX1035   STEPNAME:SBA1     ABEND: U3089    AT 08/06/26 17:05:01</t>
  </si>
  <si>
    <t>INC2454616</t>
  </si>
  <si>
    <t>JKX1132   STEPNAME:SBA1     ABEND: U3089    AT 10/06/26 14:56:04</t>
  </si>
  <si>
    <t>INC2454521</t>
  </si>
  <si>
    <t>JKX1122   STEPNAME:SBA1     ABEND: U3089    AT 10/06/26 14:06:11</t>
  </si>
  <si>
    <t>INC2454524</t>
  </si>
  <si>
    <t>JKX1124   STEPNAME:SBA1     ABEND: U3089    AT 10/06/26 14:08:10</t>
  </si>
  <si>
    <t>INC2454589</t>
  </si>
  <si>
    <t>JKX1130   STEPNAME:SBA1     ABEND: U3089    AT 10/06/26 14:49:34</t>
  </si>
  <si>
    <t>INC2458758</t>
  </si>
  <si>
    <t>INC2459220</t>
  </si>
  <si>
    <t>INC2447427</t>
  </si>
  <si>
    <t>Requesting leave - unexpected problem has occured</t>
  </si>
  <si>
    <t>INC2455646</t>
  </si>
  <si>
    <t>Office Leave Card Access Denied</t>
  </si>
  <si>
    <t>INC2463953</t>
  </si>
  <si>
    <t>BES INCIDENT for alertId 0250420890|exec|cmhl01.baw/cmh.tty.from.alcs.live|queue_depth CRITICAL|Hostname:le1corpmap002|035843861538</t>
  </si>
  <si>
    <t>INC2459084</t>
  </si>
  <si>
    <t>I am unable to login to informatica staging server. Could you please be able to reset my password? My login to informatica LIVE is working fine</t>
  </si>
  <si>
    <t>SCTASK1173908</t>
  </si>
  <si>
    <t>Generic Request - Need read write execute access Informatica pre live folders</t>
  </si>
  <si>
    <t>SCTASK1174195</t>
  </si>
  <si>
    <t>Generic Request - I am currently working in Olympus Migration Project. I need read,write and execute access in the below mentioned pre-live folder in the Informatica.</t>
  </si>
  <si>
    <t>SCTASK1179019</t>
  </si>
  <si>
    <t>Generic Request - Please provide the write access to workflow also change the integration service level to 10.5.</t>
  </si>
  <si>
    <t>People online</t>
  </si>
  <si>
    <t>SCTASK1182403</t>
  </si>
  <si>
    <t xml:space="preserve">Generic Request - I am unable to login to Informatica power center repository. </t>
  </si>
  <si>
    <t>CORPORATETL (stg)</t>
  </si>
  <si>
    <t>INC2465615</t>
  </si>
  <si>
    <t>JKX1125   STEPNAME:SBA1     ABEND: U3089    AT 18/06/26 20:11:22</t>
  </si>
  <si>
    <t>Sruthi Rangaraj</t>
  </si>
  <si>
    <t>INC2467199</t>
  </si>
  <si>
    <t>INC2466290</t>
  </si>
  <si>
    <t>BES INCIDENT for alertId 0250456828|disk|/zb|used_percent CRITICAL|Hostname:bal2498prd001</t>
  </si>
  <si>
    <t>INC2466319</t>
  </si>
  <si>
    <t>BES INCIDENT for alertId 0250456949|disk|/vw|used_percent CRITICAL|Hostname:bal2498prd001</t>
  </si>
  <si>
    <t>INC2467055</t>
  </si>
  <si>
    <t>BES INCIDENT for alertId 0250462816|disk|/vw|used_percent CRITICAL|Hostname:bal2498prd001</t>
  </si>
  <si>
    <t>INC2467053</t>
  </si>
  <si>
    <t>BES INCIDENT for alertId 0250462735|disk|/zb|used_percent CRITICAL|Hostname:bal2498prd001</t>
  </si>
  <si>
    <t>INC2469010</t>
  </si>
  <si>
    <t>JKX1138   STEPNAME:SBA1     ABEND: U3089    AT 19/06/26 13:40:55</t>
  </si>
  <si>
    <t>INC2469427</t>
  </si>
  <si>
    <t>JKX1159   STEPNAME:SBA1     ABEND: U3089    AT 19/06/26 21:03:25</t>
  </si>
  <si>
    <t>INC2471887</t>
  </si>
  <si>
    <t>BES INCIDENT for alertId 0250553894|disk|/zb|used_percent CRITICAL|Hostname:bal2498prd001</t>
  </si>
  <si>
    <t>INC2471892</t>
  </si>
  <si>
    <t>BES INCIDENT for alertId 0250554010|disk|/vw|used_percent CRITICAL|Hostname:bal2498prd001</t>
  </si>
  <si>
    <t>INC2471221</t>
  </si>
  <si>
    <t>SCTASK1185498</t>
  </si>
  <si>
    <t>Generic Request - Helios Onboarding process - Filling required details in the form as well as the Jira. This request is for CRT Front-End application code.</t>
  </si>
  <si>
    <t>SCTASK1185499</t>
  </si>
  <si>
    <t>Generic Request - CodeScene Onboarding process - Filling required details in the form as well as the Jira. This request is for CRT Front-End application code.</t>
  </si>
  <si>
    <t>SCTASK1185504</t>
  </si>
  <si>
    <t>Generic Request - Synk Onboarding process - Filling required details in the form as well as the Jira. This request is for CRT Front-End application code.</t>
  </si>
  <si>
    <t>SCTASK1185871</t>
  </si>
  <si>
    <t>Generic Request - FAO CRT Team. Please investigate why scheduled aircraft types are not being loaded into the CRT.</t>
  </si>
  <si>
    <t>SCTASK1185875</t>
  </si>
  <si>
    <t>Generic Request - Helios Onboarding process - Filling required details in the form as well as the Jira. This request is for TTYScan application code.</t>
  </si>
  <si>
    <t>SCTASK1185879</t>
  </si>
  <si>
    <t>Generic Request - CodeScene Onboarding process - Filling required details in the form as well as the Jira. This request is for TTYScan application code.</t>
  </si>
  <si>
    <t>SCTASK1185883</t>
  </si>
  <si>
    <t>Generic Request - Snyk Onboarding process - Filling required details in the form as well as the Jira. This request is for TTYScan application code.</t>
  </si>
  <si>
    <t>SCTASK1185466</t>
  </si>
  <si>
    <t>Generic Request - Requesting to reset my ETL password.</t>
  </si>
  <si>
    <t>RPS</t>
  </si>
  <si>
    <t>SCTASK1186150</t>
  </si>
  <si>
    <t>Generic Request - Request to add the Oracle connection details in TNS file</t>
  </si>
  <si>
    <t>SCTASK1186240</t>
  </si>
  <si>
    <t>Generic Request - Hi Team please provide the informatica workflow manager (DEV) access for this Repo STG_ICW02_SYS_REP105</t>
  </si>
  <si>
    <t xml:space="preserve">ICW </t>
  </si>
  <si>
    <t>SCTASK1187061</t>
  </si>
  <si>
    <t>Generic Request - Not having previledge to Designer</t>
  </si>
  <si>
    <t>INC2477052</t>
  </si>
  <si>
    <t>BATCH JOB - JOB FAILED - UP35146(P3ETLABSDAILY)#Long running</t>
  </si>
  <si>
    <t>BATCH JOBS</t>
  </si>
  <si>
    <t>INC2475112</t>
  </si>
  <si>
    <t>BATCH JOB - JOB FAILED - UHZ1001</t>
  </si>
  <si>
    <t>Kokila M</t>
  </si>
  <si>
    <t>STAFF ADMIN (prd)</t>
  </si>
  <si>
    <t>INC2484339</t>
  </si>
  <si>
    <t>Kindly kill the long running Job UVW6843(VWETLINBSPOTPR)</t>
  </si>
  <si>
    <t>ICW(PRD)</t>
  </si>
  <si>
    <t>INC2482749</t>
  </si>
  <si>
    <t>Please the long running ETL job</t>
  </si>
  <si>
    <t>INC2447091</t>
  </si>
  <si>
    <t>Unable to submit duty travel application form</t>
  </si>
  <si>
    <t>DUTY TRAVEL REQUEST (prd)</t>
  </si>
  <si>
    <t>INC2435647</t>
  </si>
  <si>
    <t>Get an error message when trying to log in to contact log (Image attached)</t>
  </si>
  <si>
    <t>CONTACT LOG (prd)</t>
  </si>
  <si>
    <t>SCTASK1168144</t>
  </si>
  <si>
    <t>Generic Request - Hi,  Could you please send me the crew medical questionnaire again as I ticked a question wrong and I can not amend it . Many thanks Elena Lopez (Maria Elena Lopez vuelta) 861380</t>
  </si>
  <si>
    <t>INC2470948</t>
  </si>
  <si>
    <t xml:space="preserve">Duplicate access to CFRs </t>
  </si>
  <si>
    <t>INC2476031</t>
  </si>
  <si>
    <t>POLA07-Contact Log Amendment</t>
  </si>
  <si>
    <t>SCTASK1183486</t>
  </si>
  <si>
    <t>Generic Request - CMA not updating for Sophie Xue 185706</t>
  </si>
  <si>
    <t>SCTASK1186106</t>
  </si>
  <si>
    <t xml:space="preserve">Generic Request - POL UAT DR Pre testing </t>
  </si>
  <si>
    <t>SCTASK1185277</t>
  </si>
  <si>
    <t>Generic Request - Helios onboarding form</t>
  </si>
  <si>
    <t>APEX INVENTORY (prd)</t>
  </si>
  <si>
    <t>SCTASK1185268</t>
  </si>
  <si>
    <t>Generic Request - CMA</t>
  </si>
  <si>
    <t>SCTASK1183552</t>
  </si>
  <si>
    <t>Generic Request - DR Drill testing on 25 June 2026 = POL UAT = Apex team to configure apex on the new POL UAT DR system</t>
  </si>
  <si>
    <t>SCTASK1180620</t>
  </si>
  <si>
    <t>Generic Request - Secure Agent 'le1infclap001' not available!</t>
  </si>
  <si>
    <t>INFORMATICACLOUD (prd)</t>
  </si>
  <si>
    <t>INC2482754</t>
  </si>
  <si>
    <t>Older Odate jobs are still present in Control-m</t>
  </si>
  <si>
    <t>STAFF ADMIN</t>
  </si>
  <si>
    <t>INC2485978</t>
  </si>
  <si>
    <t>JKX1020   STEPNAME:SBA1     ABEND: U3089    AT 29/06/26 15:20:13</t>
  </si>
  <si>
    <t>INC2487797</t>
  </si>
  <si>
    <t>JKX1054   STEPNAME:SBA1     ABEND: U3089    AT 30/06/26 16:04:42</t>
  </si>
  <si>
    <t>INC2487567</t>
  </si>
  <si>
    <t>No access to Duty Travel &amp; Staff Travel in BA</t>
  </si>
  <si>
    <t>SCTASK1188135</t>
  </si>
  <si>
    <t>Generic Request - Impact Request for Informatica Cloud: IDMC July 2026 Major Release in DEV (ORG NAME: IAG - DEV)</t>
  </si>
  <si>
    <t>SCTASK1188186</t>
  </si>
  <si>
    <t>Generic Request - 164557 does not have a CMA showing.  On CMA reports they are showing as having an expiry of 27 March 2027 however it shows that this was completed 11 April 2021 which would make it valid for 6 years.  I can also see on their CMS that they been advised that they should complete a yearly CMA by BAHS.     Would it be possible to have some clarification with regards to when they completed their CMA and the expiry date so we can action this as she has an upcoming trip on the 29/06/2026?</t>
  </si>
  <si>
    <t>SCTASK1188325</t>
  </si>
  <si>
    <t>Generic Request - Good morning,     Would you be able to unlock the following crew member’s CMA please?     Susan Barnes – 172386     Many thanks,  Emilie</t>
  </si>
  <si>
    <t>SCTASK1188338</t>
  </si>
  <si>
    <t>Generic Request -Contact Log Amendment</t>
  </si>
  <si>
    <t>SCTASK1181116</t>
  </si>
  <si>
    <t>Generic Request - CMA is ‘locked’</t>
  </si>
  <si>
    <t>SCTASK1181488</t>
  </si>
  <si>
    <t>Generic Request - Locked CMA - RG 172509</t>
  </si>
  <si>
    <t>SCTASK1182167</t>
  </si>
  <si>
    <t xml:space="preserve">Generic Request - unarchive a crew members CMA </t>
  </si>
  <si>
    <t>SCTASK1182681</t>
  </si>
  <si>
    <t>Generic Request - Please could you help me with the follow crew member’s CMA (Andrew Gonsalves). It is currently on the CMA system under staff number 277094 and believe it should be 262709.</t>
  </si>
  <si>
    <t>INC2489009</t>
  </si>
  <si>
    <t>JKX1081   STEPNAME:SBA1     ABEND: U3089    AT 01/07/26 10:55:51</t>
  </si>
  <si>
    <t>INC2489383</t>
  </si>
  <si>
    <t>BES INCIDENT for alertId 0250869873|exec|cmhl01.baw/cmh.tty.from.alcs.prelive|queue_depth CRITICAL|Hostname:le1corpmap001|035843861538</t>
  </si>
  <si>
    <t>INC2489592</t>
  </si>
  <si>
    <t>JKX1096   STEPNAME:SBA1     ABEND: U3089    AT 01/07/26 16:10:21</t>
  </si>
  <si>
    <t>INC2489586</t>
  </si>
  <si>
    <t>JKX1095   STEPNAME:SBA1     ABEND: U3089    AT 01/07/26 16:09:57</t>
  </si>
  <si>
    <t>INC2489591</t>
  </si>
  <si>
    <t>JKX1097   STEPNAME:SBA1     ABEND: U3089    AT 01/07/26 16:11:10</t>
  </si>
  <si>
    <t>INC2490638</t>
  </si>
  <si>
    <t>Action required - ECP OS patching outputs for resources running in TTYSCAN (prd), ECP account id 461548511806 - change request CHG0250165.</t>
  </si>
  <si>
    <t>INC2490859</t>
  </si>
  <si>
    <t>TTY Scan for ALCS is not working - error is being displayed</t>
  </si>
  <si>
    <t>INC2489596</t>
  </si>
  <si>
    <t>Viva (VB) airline is disclosing as the wrong airline on BA.com</t>
  </si>
  <si>
    <t>SCTASK1189652</t>
  </si>
  <si>
    <t>Request to add Line Manager’s Senior Manager details to the contact log as an enhancement. This will support the Senior Manager to act accordingly when the Line Manager is away from the business.</t>
  </si>
  <si>
    <t>Contact Log</t>
  </si>
  <si>
    <t>SCTASK1189171</t>
  </si>
  <si>
    <t>Generic Request - Crew Medical Assessment</t>
  </si>
  <si>
    <t>SCTASK1192271</t>
  </si>
  <si>
    <t>Would you please be able to unlock Christopher Scott – 135678 CMA?</t>
  </si>
  <si>
    <t>SCTASK1192277</t>
  </si>
  <si>
    <t>Can you please support us with the medical for the below candidate? Edward Francis MACDONALD - Staff number: u775337 BA reinstated candidate.</t>
  </si>
  <si>
    <t>SCTASK1192852</t>
  </si>
  <si>
    <t>Generic Request - Medical assessment 171257 - Unfortunately I can’t complete the questionnaire as it won’t let me click or submit anything.</t>
  </si>
  <si>
    <t>SCTASK1192853</t>
  </si>
  <si>
    <t>Generic Request - Hi Apex We seem to have a problem with this. It is not allowing me to unlock to clear his CMA, fit. He has a flight this afternoon- Can you help with this urgently, please?</t>
  </si>
  <si>
    <t>INC2498811</t>
  </si>
  <si>
    <t>Crewlink live unable to connect to CRT DB</t>
  </si>
  <si>
    <t>INC2480641</t>
  </si>
  <si>
    <t>Needing to amend Cargostack Master data ULDs</t>
  </si>
  <si>
    <t>INC2503923</t>
  </si>
  <si>
    <t>SCTASK1195508</t>
  </si>
  <si>
    <t>Generic Request - Request for CRD production data to be copied to Sublive for NOVA usage</t>
  </si>
  <si>
    <t>SCTASK1196083</t>
  </si>
  <si>
    <t>Generic Request -  INC2475850 - Reward Flight Finder - Johannesburg (JNB) does not show as an option</t>
  </si>
  <si>
    <t>SCTASK1189265</t>
  </si>
  <si>
    <t>Generic Request - I need Job execution access for VW, P3,ME &amp; RP jobs in STG_ICW02_SYS_REP1O5 &amp; STG_ICW01_SYS_REP1O5  folders in informatica</t>
  </si>
  <si>
    <t>SCTASK1192424</t>
  </si>
  <si>
    <t>Generic Request - Please assign this to APPSUP_ETL.  Please promote the below mentioned folder from prelive to Live,  ETL folder : vw_EurekaSchedulesLoad Integration service : ICW01_SYS_IS105_STG</t>
  </si>
  <si>
    <t>SCTASK1192978</t>
  </si>
  <si>
    <t>Generic Request - password reset</t>
  </si>
  <si>
    <t>CORPORATETL (prd)</t>
  </si>
  <si>
    <t>SCTASK1192845</t>
  </si>
  <si>
    <t>Generic Request - Please provide execute  permission for icwsrc user for the informatica prelive folder -vw_PTNR_Feeds.Assign this to APPSUP_ETL</t>
  </si>
  <si>
    <t>SCTASK1194181</t>
  </si>
  <si>
    <t>Generic Request - Requesting read, write and execute access for informatica Staging environement.</t>
  </si>
  <si>
    <t>SCTASK1194203</t>
  </si>
  <si>
    <t>SCTASK1194185</t>
  </si>
  <si>
    <t>SCTASK1195133</t>
  </si>
  <si>
    <t>Generic Request - I need access for VW, P3,ME &amp; RP jobs in STG_ICW02_SYS_REP1O5 &amp; STG_ICW01_SYS_REP1O5 folders in informatica.</t>
  </si>
  <si>
    <t>SCTASK1195165</t>
  </si>
  <si>
    <t xml:space="preserve">Generic Request - Need access to work for designer platform of Informatica application in Stage and  Live server . </t>
  </si>
  <si>
    <t>INC2499620</t>
  </si>
  <si>
    <t>Kindly kill the long running Job Wf_vw1844_QJB_Loadstats_Inbound</t>
  </si>
  <si>
    <t>INC2500398</t>
  </si>
  <si>
    <t>Please the long running ETL job(UP35146).
ETL_WORKFLOW=wf_P35146_FC_FEED
ETL_FOLDER=p3_ABSENCE</t>
  </si>
  <si>
    <t>INC2509021</t>
  </si>
  <si>
    <t>UHZ1001(t2prdawsap01.baplc.com) RUN=1 RC=3 - PLEASE INVESTIGATE</t>
  </si>
  <si>
    <t>INC2509687</t>
  </si>
  <si>
    <t>Feed from CRT (QIVB &gt; case categories) into CRM not working in UAT environment</t>
  </si>
  <si>
    <t>INC2509006</t>
  </si>
  <si>
    <t>BATCH JOB - JOB FAILED - UHZ1002T3</t>
  </si>
  <si>
    <t>INC2509007</t>
  </si>
  <si>
    <t>BATCH JOB - LATESUB - UHZ1002B5</t>
  </si>
  <si>
    <t>INC2509008</t>
  </si>
  <si>
    <t>BATCH JOB - JOB FAILED - UHZ1002V5</t>
  </si>
  <si>
    <t>INC2509009</t>
  </si>
  <si>
    <t>BATCH JOB - JOB FAILED - UHZ1003</t>
  </si>
  <si>
    <t>INC2510102</t>
  </si>
  <si>
    <t>INC2510121</t>
  </si>
  <si>
    <t>BATCH JOB - LATESUB - UHZ1003</t>
  </si>
  <si>
    <t>INC2511024</t>
  </si>
  <si>
    <t>UKO0310(t2prdawsap01.baplc.com) RUN=1 RC=3 handle alert as tkt sent to group PLEASE INVESTIGATE</t>
  </si>
  <si>
    <t>SCTASK1196380</t>
  </si>
  <si>
    <t xml:space="preserve">Generic Request - I am unable to access the ETL_LIVE_REP repository in Informatica PowerCenter. I receive a "Repository Manager cannot connect to the repository" error, indicating that I do not have the required access. Kindly provide the necessary access to ETL_LIVE_REP. </t>
  </si>
  <si>
    <t>INC2516303</t>
  </si>
  <si>
    <t>SCTASK1195504</t>
  </si>
  <si>
    <t>Generic Request - To whom it may concern  I am returning from long term sick and whilst off, my CMA expired.  I have tried to logon but it says that my CMA is locked and I need to contact BAHS.  I have done that and they gave me your email address to contact with getting it unlocked, so that I can complete it.  Please can you advise?</t>
  </si>
  <si>
    <t>SCTASK1195924</t>
  </si>
  <si>
    <t>Generic Request - Request to remove the records for ba.com environment.</t>
  </si>
  <si>
    <t>INC2516863</t>
  </si>
  <si>
    <t>BES INCIDENT for alertId 0251640523|exec|cmhl01.baw/cmh.tty.from.alcs.prelive|queue_depth CRITICAL|Hostname:le1corpmap002|035843861538</t>
  </si>
  <si>
    <t>INC2516864</t>
  </si>
  <si>
    <t>BES INCIDENT for alertId 0251640584|exec|cmhl01.baw/cmh.linkaout.from.alcs.prelive|queue_depth CRITICAL|Hostname:le1corpmap002|035843861538</t>
  </si>
  <si>
    <t>INC2513589</t>
  </si>
  <si>
    <t>real-time ReF is unable to determine selling class based on the real-time availability</t>
  </si>
  <si>
    <t>INC2519527</t>
  </si>
  <si>
    <t>INC2521069</t>
  </si>
  <si>
    <t>Unable to Access Application error response</t>
  </si>
  <si>
    <t>INC2521765</t>
  </si>
  <si>
    <t>BES INCIDENT for alertId 0251813237|disk|/vw|used_percent CRITICAL|Hostname:bal2498dev001</t>
  </si>
  <si>
    <t>Trillium</t>
  </si>
  <si>
    <t>INC2521772</t>
  </si>
  <si>
    <t>BES INCIDENT for alertId 0251813413|disk|/zb|used_percent CRITICAL|Hostname:bal2498dev001</t>
  </si>
  <si>
    <t>INC2522905</t>
  </si>
  <si>
    <t>Unable to access live app - Error 500</t>
  </si>
  <si>
    <t>SCTASK1199765</t>
  </si>
  <si>
    <t>Generic Request - Good Morning     I have a 1 week reminder for CMA expiry for Philippa Thody u124819, her CMA is showing as locked, please could you unlock this so that I can see the status?     Many thanks  Emily</t>
  </si>
  <si>
    <t>SCTASK1204389</t>
  </si>
  <si>
    <t xml:space="preserve">Generic Request - Good afternoon team   Are you able to assist me with my query, I am unable to complete my crew medical assessment as requested by the cabin crew management team?   Thank you in advance.  Kind regards David Parker IFM  164803 </t>
  </si>
  <si>
    <t>SCTASK1196993</t>
  </si>
  <si>
    <t>Generic Request - Please supply the following information regarding the BAHS set-up in CD</t>
  </si>
  <si>
    <t>SCTASK1083385</t>
  </si>
  <si>
    <t>Generic Request - Oracle TNS Listener Remote Poisoning vulnerability remediation</t>
  </si>
  <si>
    <t>Priyanja Rokade</t>
  </si>
  <si>
    <t>SCTASK1204249</t>
  </si>
  <si>
    <t>Generic Request - Requesting ETL team to update /t2/etlconfig/1053/dbconn/oracle/tnsnames.ora.  Please comment out below: SJUAT_APP =  (DESCRIPTION =  (ADDRESS =  (PROTOCOL = TCP)  (HOST = sjuatdb01.baplc.com)  (PORT = 1521))  (CONNECT_DATA =  (SERVICE_NAME = SJUAT_APP)  )  )  And add a new entry: SJUAT_APP = (DESCRIPTION =     (ADDRESS_LIST =       (ADDRESS = (PROTOCOL = TCP)(Host = le1stsjot001.stsj-tst.int.iag.cloud)(Port = 1521))     )     (CONNECT_DATA =       (service_name = SJ13)     )   )</t>
  </si>
  <si>
    <t>SCTASK1204499</t>
  </si>
  <si>
    <t>Generic Request - add entry to tnsnames.ora non-live</t>
  </si>
  <si>
    <t>INC2519701</t>
  </si>
  <si>
    <t>INC2519884</t>
  </si>
  <si>
    <t xml:space="preserve">App not loading, information unable to be entered </t>
  </si>
  <si>
    <t>INC2520872</t>
  </si>
  <si>
    <t>SCTASK1203900</t>
  </si>
  <si>
    <t xml:space="preserve">Event Management Representative to triage request to appropriate monitoring configuration team dependent on application selected in request </t>
  </si>
  <si>
    <t>INC2525984</t>
  </si>
  <si>
    <t>Unable to login to QIVB application</t>
  </si>
  <si>
    <t>INC2527549</t>
  </si>
  <si>
    <t>INC2477514</t>
  </si>
  <si>
    <t xml:space="preserve"> BA- LHR- LEAVE CARD CHANGE</t>
  </si>
  <si>
    <t>INC2477579</t>
  </si>
  <si>
    <t>I have wrongly set up the Leave Card for 2026</t>
  </si>
  <si>
    <t>INC2478264</t>
  </si>
  <si>
    <t xml:space="preserve">i am unable to access my leave card and book annual leave </t>
  </si>
  <si>
    <t>INC2486351</t>
  </si>
  <si>
    <t>BA - LHR - not able to access security advice for crew under power apps.</t>
  </si>
  <si>
    <t>INC2487346</t>
  </si>
  <si>
    <t>Leave card not submitting leave requests.</t>
  </si>
  <si>
    <t>INC2487719</t>
  </si>
  <si>
    <t>Delete Office Leave Cards</t>
  </si>
  <si>
    <t>INC2488044</t>
  </si>
  <si>
    <t xml:space="preserve">Can't approve my team's leave card </t>
  </si>
  <si>
    <t>INC2491473</t>
  </si>
  <si>
    <t>LHR - leave card site not working</t>
  </si>
  <si>
    <t>INC2493728</t>
  </si>
  <si>
    <t>Unable to edit the leave card</t>
  </si>
  <si>
    <t>INC2496018</t>
  </si>
  <si>
    <t>BA-LHR   Wrong LeaveCard</t>
  </si>
  <si>
    <t>INC2501110</t>
  </si>
  <si>
    <t>Unable to access CITA</t>
  </si>
  <si>
    <t>INC2502111</t>
  </si>
  <si>
    <t>Current leave card Missing</t>
  </si>
  <si>
    <t>INC2502148</t>
  </si>
  <si>
    <t>UNABLE TO EDIT TEAM LEAVE CARDS AND LEAVE</t>
  </si>
  <si>
    <t>INC2515714</t>
  </si>
  <si>
    <t>I cannot request leave on my current leave card</t>
  </si>
  <si>
    <t>INC2519911</t>
  </si>
  <si>
    <t>Cancellation of leave card</t>
  </si>
  <si>
    <t>INC2521881</t>
  </si>
  <si>
    <t>Unable to request leave - Oops! error message</t>
  </si>
  <si>
    <t>INC2500985</t>
  </si>
  <si>
    <t>BES INCIDENT for alertId 0251119655|exec|cmhl01.baw/cmh.tty.from.alcs.live|queue_depth CRITICAL|Hostname:le1corpmap001|035843861538</t>
  </si>
  <si>
    <t>SCTASK1174555</t>
  </si>
  <si>
    <t>Generic Request - Please can you delete my leave card</t>
  </si>
  <si>
    <t>SCTASK1176401</t>
  </si>
  <si>
    <t>Generic Request - Leave card to change from HOURS to DAYS.</t>
  </si>
  <si>
    <t>SCTASK1177992</t>
  </si>
  <si>
    <t>Generic Request - Leave card - remove leave card for user</t>
  </si>
  <si>
    <t>SCTASK1186770</t>
  </si>
  <si>
    <t>Generic Request - I submitted an annual leave card for 2027/2028 in error which has been approved, also in error by my manager. Please could this leave card be removed.</t>
  </si>
  <si>
    <t>SCTASK1187041</t>
  </si>
  <si>
    <t>Generic Request - Hi Sarumathy,  As discussed, we are exploring options to transfer files from FTP server sphlrl22 to a BA SharePoint site (to be created), so that business users can access them. One of the options under consideration is Power Automate.  Could you please help confirm: • Whether Power Automate is supported for such FTP(sphlrl22) → SharePoint integrations within BA • Whether this request would be handled as part of BAU support or treated as chargeable work. • If chargeable, any high-level effort and cost estimates for implementing the solution. • Any prerequisites required for implementing the solution. • Any constraints or considerations, such as licensing, security, or connectivity requirements.</t>
  </si>
  <si>
    <t>SCTASK1189967</t>
  </si>
  <si>
    <t>Generic Request - APPSUP_SPOMGSV</t>
  </si>
  <si>
    <t>SCTASK1190033</t>
  </si>
  <si>
    <t>Generic Request - My Office Leave card - unable to submit a request</t>
  </si>
  <si>
    <t>SCTASK1192330</t>
  </si>
  <si>
    <t>Generic Request - Office leave card - copy required</t>
  </si>
  <si>
    <t>SCTASK1193600</t>
  </si>
  <si>
    <t>Generic Request - APPSUP_SPOMGSV: Deletion / Updating Leave Card</t>
  </si>
  <si>
    <t>SCTASK1194062</t>
  </si>
  <si>
    <t>Generic Request - Leave card raised in error please delete (27/04 - 01/05)</t>
  </si>
  <si>
    <t>SCTASK1196125</t>
  </si>
  <si>
    <t>Generic Request - Dear team, I need to set up a new annual leave card from 1st Apr 2026 to 31st Mar 2027, but don't know how many days I can carry over from my previous leave card.  Please can you check how many days were unused and kindly advise me.</t>
  </si>
  <si>
    <t>SCTASK1200370</t>
  </si>
  <si>
    <t>Generic Request - Fulfilment group is  APPSUP_SPOMGSV            Hi;   My manager Leila Meryem Abahri Lopez has left BA and I now have a new manager Adam Colman adam.colman@ba.com, I have a leave card already in place and have changed the authoriser from Leila to Adam manually on the Leave card. But I have some outstanding leave requests that were sent to Leila a few weeks ago before she left, but I need all these requests transferred to Adam Colman. Please could you do this?     Kind Regards; LC</t>
  </si>
  <si>
    <t>SCTASK1202731</t>
  </si>
  <si>
    <t>Generic Request - Leave Card Changes</t>
  </si>
  <si>
    <t>SCTASK1203685</t>
  </si>
  <si>
    <t>Generic Request - Leave Card set up incorrectly</t>
  </si>
  <si>
    <t>SCTASK1204395</t>
  </si>
  <si>
    <t>Generic Request - Helios Onboarding - Code Scene onboarding for Leave Card</t>
  </si>
  <si>
    <t>SCTASK1204396</t>
  </si>
  <si>
    <t>Generic Request - Helios Onboarding - Snyk onboarding for Leave Card</t>
  </si>
  <si>
    <t>SCTASK1204397</t>
  </si>
  <si>
    <t>Generic Request - Helios Onboarding - Github actions for leave card</t>
  </si>
  <si>
    <t>SCTASK1204399</t>
  </si>
  <si>
    <t>Generic Request - Helios Onboarding - Code Scene onboarding for CITA</t>
  </si>
  <si>
    <t>SCTASK1204400</t>
  </si>
  <si>
    <t>Generic Request - Helios Onboarding - GitHub actions  for CITA</t>
  </si>
  <si>
    <t>SCTASK1204401</t>
  </si>
  <si>
    <t>Generic Request - Helios Onboarding - Snyk onboarding for CITA</t>
  </si>
  <si>
    <t>INC2530492</t>
  </si>
  <si>
    <t>BES INCIDENT for alertId 0252040432|exec|cmhl01.baw/cmh.linkaout.from.alcs.prelive|queue_depth CRITICAL|Hostname:le1corpmap002|035843861538</t>
  </si>
  <si>
    <t>INC2536290</t>
  </si>
  <si>
    <t>BES INCIDENT for alertId 0252190648|exec|cmhl01.baw/cmh.tty.from.alcs.live|queue_depth CRITICAL|Hostname:le1corpmap002|035843861538</t>
  </si>
  <si>
    <t>INC2538429</t>
  </si>
  <si>
    <t>BES INCIDENT for alertId 0252243437|exec|cmhl01.baw/cmh.tty.from.alcs.live|queue_depth CRITICAL|Hostname:le1corpmap002|035843861538</t>
  </si>
  <si>
    <t>INC2554369</t>
  </si>
  <si>
    <t>BATCH JOB - JOB FAILED - JKX1000</t>
  </si>
  <si>
    <t>Evin Jose</t>
  </si>
  <si>
    <t>INC2537378</t>
  </si>
  <si>
    <t xml:space="preserve">BA-LHR-CITA-Unable to access </t>
  </si>
  <si>
    <t>INC2534903</t>
  </si>
  <si>
    <t xml:space="preserve">The system does not allow me to create a new Leave Card - I have been trying to do that for over two weeks. </t>
  </si>
  <si>
    <t>INC2529570</t>
  </si>
  <si>
    <t xml:space="preserve">please delete my leave card Asha Rani Devi 07/08/2026-06/08/2027 </t>
  </si>
  <si>
    <t>INC2529209</t>
  </si>
  <si>
    <t>BA Leave Request denied two days in a row</t>
  </si>
  <si>
    <t>INC2528889</t>
  </si>
  <si>
    <t>BA - LHR - Not able to access CITA - CREW INSIGHTS TO ACTION.</t>
  </si>
  <si>
    <t>INC2528409</t>
  </si>
  <si>
    <t>Unable to see and approve colleages leave in Office Leave Card</t>
  </si>
  <si>
    <t>INC2528127</t>
  </si>
  <si>
    <t>Current leave card not available</t>
  </si>
  <si>
    <t>INC2557939</t>
  </si>
  <si>
    <t>Office Leave card Error</t>
  </si>
  <si>
    <t>INC2574889</t>
  </si>
  <si>
    <t>we have submitted a leave card with the incorrect balance, can we please amend it from 26 days to 17.5 days the correct amount for the period.</t>
  </si>
  <si>
    <t>INC2528837</t>
  </si>
  <si>
    <t>BES INCIDENT for alertId 0252005170|ecp_backup_aws:copy-jobs-to-central-account-failed|ecp_backup_aws|copy-jobs-to-central-account-failed|state CRITICAL|Hostname:ecp_backup_aws:copy-jobs-to-central-account-failed|MessageId:0e41eaec-c528-5f07-a52d-8807b535d758|AWS Account:938033231437</t>
  </si>
  <si>
    <t>INC2535632</t>
  </si>
  <si>
    <t>BATCH JOB - JOB FAILED - URK0282</t>
  </si>
  <si>
    <t>INC2536348</t>
  </si>
  <si>
    <t>The update of the prd.customer360.ba.com certificate for for Live has failed. The current certificate is due to expire on the 2026-08-29</t>
  </si>
  <si>
    <t>INC2564069</t>
  </si>
  <si>
    <t>BATCH JOB - JOB FAILED - UP35146(P3ETLABSDAILY)#MISC</t>
  </si>
  <si>
    <t>INC2567651</t>
  </si>
  <si>
    <t>BATCH JOB - JOB FAILED -UKO0311</t>
  </si>
  <si>
    <t>INC2573728</t>
  </si>
  <si>
    <t>BATCH JOB - JOB FAILED -UHZRMSFTP FAILED - P2 -  KINDLY MAKE CALLOUT</t>
  </si>
  <si>
    <t>INC2577517</t>
  </si>
  <si>
    <t>Service Request sent for my approval are stuck in the queue</t>
  </si>
  <si>
    <t>INC2584901</t>
  </si>
  <si>
    <t>SCTASK1207030</t>
  </si>
  <si>
    <t>User Update: Elizabeth Rolinson - CITA, Operational Dashboard</t>
  </si>
  <si>
    <t>SCTASK1207072</t>
  </si>
  <si>
    <t>Generic Request - Remove the multiple leave cards for this year</t>
  </si>
  <si>
    <t>SCTASK1207785</t>
  </si>
  <si>
    <t>Leave Card Deletion</t>
  </si>
  <si>
    <t>SCTASK1207976</t>
  </si>
  <si>
    <t xml:space="preserve">Generic Request - Leave Card deletion + new contract </t>
  </si>
  <si>
    <t>SCTASK1208649</t>
  </si>
  <si>
    <t>Generic Request - Error / Multiple LV cards created. The only one that is valid has been approved by Imran Ladak.</t>
  </si>
  <si>
    <t>SCTASK1209668</t>
  </si>
  <si>
    <t>Generic Request - For the attention of APPSUP_SPOMGSV, I have moved from IAG Cargo to BA and am unable to create a new leave card April-March because IAG Cargo is  Jan-Dec . Please can you edit my current leave card (currently date range 01/01/2026 - 31/12/2026) to be  Apr 2026 to March 31 2027, with 19.5 days entitlement. Thanks</t>
  </si>
  <si>
    <t>SCTASK1209961</t>
  </si>
  <si>
    <t>Generic Request - Multiple leave cards were created for 1 year and they need to be removed</t>
  </si>
  <si>
    <t>SCTASK1213309</t>
  </si>
  <si>
    <t>Generic Request - Access to CITA, RosterSnapshot, Ops Dashboard</t>
  </si>
  <si>
    <t>SCTASK1214891</t>
  </si>
  <si>
    <t>Generic Request - Delete leave card please</t>
  </si>
  <si>
    <t>SCTASK1214918</t>
  </si>
  <si>
    <t>Maintenance_OPINS_3363_Update/Review_BRITISH AIRWAYS</t>
  </si>
  <si>
    <t>ITSER-24524</t>
  </si>
  <si>
    <t>SharePoint Issue</t>
  </si>
  <si>
    <t>ITSER-24527</t>
  </si>
  <si>
    <t>Cannot Access SharePoint - Urgent</t>
  </si>
  <si>
    <t>ITSER-27210</t>
  </si>
  <si>
    <t xml:space="preserve">Need Aerlingus sharepoint access for Linta Punnoose
</t>
  </si>
  <si>
    <t>ITSER-29319</t>
  </si>
  <si>
    <t>Access to sharepoint</t>
  </si>
  <si>
    <t>ITSER-30493</t>
  </si>
  <si>
    <t>CLONE - Access to sharepoint</t>
  </si>
  <si>
    <t>ITSER-31581</t>
  </si>
  <si>
    <t xml:space="preserve">Need access to service operation sharepoint site as part of aerlingus OPS bridge </t>
  </si>
  <si>
    <t>ITSER-32931</t>
  </si>
  <si>
    <t>Require edit access for renaming documents in IMKD, currently only have ServiceOps-Contribute-No-Delete access.</t>
  </si>
  <si>
    <t>ITSER-33172</t>
  </si>
  <si>
    <t>I belong to AerLingus Operations Bridge ALCS Team. Need sharepoint access for Service Operations - https://aerlingus.sharepoint.com/sites/ServiceOperation_2/SitePages/Home</t>
  </si>
  <si>
    <t>ITSER-33192</t>
  </si>
  <si>
    <t>unable to access Techweb</t>
  </si>
  <si>
    <t>ITSER-33211</t>
  </si>
  <si>
    <t>Permissions deleted on Sharepoint (Techweb)</t>
  </si>
  <si>
    <t>ITSER-33213</t>
  </si>
  <si>
    <t>Unable to access Techweb share point</t>
  </si>
  <si>
    <t>INC2374875</t>
  </si>
  <si>
    <t>3rd Party suppliers (ABM and DHL) at LHR are unable to access the Ops Dashboard.</t>
  </si>
  <si>
    <t>Rakhi V</t>
  </si>
  <si>
    <t>OPERATIONAL DASHBOARD</t>
  </si>
  <si>
    <t>INC2365086</t>
  </si>
  <si>
    <t>Doesnt work</t>
  </si>
  <si>
    <t>INC2356497</t>
  </si>
  <si>
    <t>Data error for BA834 boarded pax figures</t>
  </si>
  <si>
    <t>INC2376758</t>
  </si>
  <si>
    <t>Unable to access Ops Dashboard via ESS outside BA Newtork</t>
  </si>
  <si>
    <t>INC2356041</t>
  </si>
  <si>
    <t>Incorrect BIS_TASK_TYP in B_IAGC_STAT_SUBTASK@GEN_LIVE</t>
  </si>
  <si>
    <t>ALERTS</t>
  </si>
  <si>
    <t>REQ1196199</t>
  </si>
  <si>
    <t>Generic Request - As part of Cyber Remediation program, Request your support to update the HLD, NFR, SCR documents for Operational Dashboard application. Give the details in Additional Info.</t>
  </si>
  <si>
    <t>INC2412379</t>
  </si>
  <si>
    <t xml:space="preserve">aims not registering any passengers </t>
  </si>
  <si>
    <t>Sethupathi Rammohan</t>
  </si>
  <si>
    <t>AIMS LOUNGE SOLUTIONS (prd)</t>
  </si>
  <si>
    <t>INC2418984</t>
  </si>
  <si>
    <t>BATCH JOB - JOB FAILED - UHZ0001</t>
  </si>
  <si>
    <t>INC2387242</t>
  </si>
  <si>
    <t>Unable to open/connect</t>
  </si>
  <si>
    <t>STAFF CONNECT (prd)</t>
  </si>
  <si>
    <t>INC2416194</t>
  </si>
  <si>
    <t>INC2422705</t>
  </si>
  <si>
    <t>ART (prd)</t>
  </si>
  <si>
    <t>INC2422085</t>
  </si>
  <si>
    <t>INC2413351</t>
  </si>
  <si>
    <t>INC2404502</t>
  </si>
  <si>
    <t>BA794 task allocated and completed from lat to FCS however task then not auto created from FCS to stand.</t>
  </si>
  <si>
    <t>RMS T3 INTEGRATED BAGGAGE (prd)</t>
  </si>
  <si>
    <t>INC2415313</t>
  </si>
  <si>
    <t>BATCH JOB - JOB FAILED - UGS0002</t>
  </si>
  <si>
    <t>GS PLANNING (prd)</t>
  </si>
  <si>
    <t>INC2389237</t>
  </si>
  <si>
    <t xml:space="preserve">Breaks in PSU RMS are autoending 1 minute early </t>
  </si>
  <si>
    <t>RMS PSU (prd)</t>
  </si>
  <si>
    <t>INC2412192</t>
  </si>
  <si>
    <t>BES INCIDENT for alertId 0018977872|procstat|informgsrtserverinterface1|lookup_running CRITICAL|Hostname:le1gsplaap001|835530948614</t>
  </si>
  <si>
    <t>INC2428945</t>
  </si>
  <si>
    <t>BES INCIDENT for alertId 0019338243|AWS/ApplicationELB|app/alb-opsdb-prd-euwe1-int-app1-01/0aa2cba8c7638126|HTTPCode_Target_4XX_Count CRITICAL|Hostname:app/alb-opsdb-prd-euwe1-int-app1-01/0aa2cba8c7638126|992382395097</t>
  </si>
  <si>
    <t>OPERATIONAL DASHBOARD (prd)</t>
  </si>
  <si>
    <t>INC2419145</t>
  </si>
  <si>
    <t>BES INCIDENT for alertId 0019166577|AWS/ApplicationELB|app/alb-opsdb-prd-euwe1-ext-dmz-01/1ee263939ac79dab|HTTPCode_Target_4XX_Count CRITICAL|Hostname:app/alb-opsdb-prd-euwe1-ext-dmz-01/1ee263939ac79dab|992382395097</t>
  </si>
  <si>
    <t>INC2418872</t>
  </si>
  <si>
    <t>BES INCIDENT for alertId 0019159624|AWS/ApplicationELB|app/alb-opsdb-prd-euwe1-ext-dmz-01/1ee263939ac79dab|HTTPCode_Target_4XX_Count CRITICAL|Hostname:app/alb-opsdb-prd-euwe1-ext-dmz-01/1ee263939ac79dab|992382395097</t>
  </si>
  <si>
    <t>INC2388891</t>
  </si>
  <si>
    <t>BA - LHR - user cant get into operational dashboard its saying your signing has blocked</t>
  </si>
  <si>
    <t>INC2420512</t>
  </si>
  <si>
    <t>BES INCIDENT for alertId 0019192416|AWS/ApplicationELB|app/alb-opsdb-prd-euwe1-ext-dmz-01/1ee263939ac79dab|HTTPCode_Target_5XX_Count CRITICAL|Hostname:app/alb-opsdb-prd-euwe1-ext-dmz-01/1ee263939ac79dab|992382395097</t>
  </si>
  <si>
    <t>INC2397974</t>
  </si>
  <si>
    <t>BA - LON - user cant able to get into operational dashboard</t>
  </si>
  <si>
    <t>INC2386613</t>
  </si>
  <si>
    <t xml:space="preserve">Operational Dahsboard is no longer working for any IAGL Colleages. </t>
  </si>
  <si>
    <t>INC2389935</t>
  </si>
  <si>
    <t>BA - LHR - user cant able to get into operation dashboard</t>
  </si>
  <si>
    <t>INC2386518</t>
  </si>
  <si>
    <t>BES INCIDENT for alertId 0018202051|SERVICE|sqlserveragent|Status CRITICAL|Hostname:i-06266ac370674e3c7|sql-service-monitor</t>
  </si>
  <si>
    <t>TRAKA</t>
  </si>
  <si>
    <t>INC2397549</t>
  </si>
  <si>
    <t>Karthik S</t>
  </si>
  <si>
    <t>INC2397551</t>
  </si>
  <si>
    <t>INC2411822</t>
  </si>
  <si>
    <t xml:space="preserve">application does not launch - freezes on a log in screen </t>
  </si>
  <si>
    <t>INC2391960</t>
  </si>
  <si>
    <t xml:space="preserve">BA 784 CEL task not created so late task assigned </t>
  </si>
  <si>
    <t>RMS (prd)</t>
  </si>
  <si>
    <t>INC2410542</t>
  </si>
  <si>
    <t>No task for BA527 arrival in ADM RAMP RMS</t>
  </si>
  <si>
    <t>RMS RAMP TEAMWORKING (prd)</t>
  </si>
  <si>
    <t>INC2407081</t>
  </si>
  <si>
    <t>task for BA591 showing as 'yellow' in unplanned although not frozen</t>
  </si>
  <si>
    <t>RMS BAGGAGE (prd)</t>
  </si>
  <si>
    <t>INC2397555</t>
  </si>
  <si>
    <t>UHZ1001(t2prdawsap01.baplc.com) RUN=1 RC=3 - PLEASE INVESTIGATE
UHZ1001 failed CRITICAL VERY HIGH PRIORITY action ASAP</t>
  </si>
  <si>
    <t>INC2404712</t>
  </si>
  <si>
    <t>Kiosk Build Issues</t>
  </si>
  <si>
    <t>INC2415565</t>
  </si>
  <si>
    <t xml:space="preserve">Whener I log in to ESS Portal, my email switches back to @GGS </t>
  </si>
  <si>
    <t>INC2405213</t>
  </si>
  <si>
    <t>NO LONGER HAVE ACCESS TO FIDSMON</t>
  </si>
  <si>
    <t>FIDSMON (prd)</t>
  </si>
  <si>
    <t>INC2384700</t>
  </si>
  <si>
    <t>BA-LHR-oprational dashboard-unable to login</t>
  </si>
  <si>
    <t>INC2404614</t>
  </si>
  <si>
    <t>BES INCIDENT for alertId 0018743637|win_services|aca_ba_saservicesnodemanager1|state CRITICAL|Hostname:we1stadmap002|471112757515</t>
  </si>
  <si>
    <t>INC2402424</t>
  </si>
  <si>
    <t>FIDSMON Not Display a couple of weekly Flights</t>
  </si>
  <si>
    <t>Sathish Kodiswaran</t>
  </si>
  <si>
    <t>INC2434681</t>
  </si>
  <si>
    <t xml:space="preserve">The Op Defects file is not processed by the FTP transfer job. </t>
  </si>
  <si>
    <t>RMSINFORMGS (prd)</t>
  </si>
  <si>
    <t>INC2431911</t>
  </si>
  <si>
    <t>INC2429809</t>
  </si>
  <si>
    <t>BES INCIDENT for alertId 0019366133|procstat|informgsrtserverinterface1|lookup_running CRITICAL|Hostname:le1gsplaap001|835530948614</t>
  </si>
  <si>
    <t>INC2435093</t>
  </si>
  <si>
    <t>BES INCIDENT for alertId 0019465666|procstat|informgsrtmbroster|lookup_running CRITICAL|Hostname:le1gsplaap001|835530948614</t>
  </si>
  <si>
    <t>INC2434538</t>
  </si>
  <si>
    <t>BES INCIDENT for alertId 0019455865|internal|heartbeat|agent_metrics_written CRITICAL|Hostname:we1stadmap002|471112757515</t>
  </si>
  <si>
    <t>INC2420571</t>
  </si>
  <si>
    <t>BA-LHR-Unable to access ART</t>
  </si>
  <si>
    <t>INC2373210</t>
  </si>
  <si>
    <t>BA2716 LGW - FNC Day 2 Tuesday std 0625z and BA2717 FNC LGW Cosi inputting Roll OFF FIDS but Flight Not Departed</t>
  </si>
  <si>
    <t>INC2377103</t>
  </si>
  <si>
    <t>When trying to add colleagues on ATR - an error message appears - shown on attached file</t>
  </si>
  <si>
    <t>ATTENDANCE TIME RECORDING (prd)</t>
  </si>
  <si>
    <t>INC2404716</t>
  </si>
  <si>
    <t xml:space="preserve">BA- LHR- Unable to access Art </t>
  </si>
  <si>
    <t>INC2404737</t>
  </si>
  <si>
    <t xml:space="preserve">WTS : ART not working </t>
  </si>
  <si>
    <t>INC2404715</t>
  </si>
  <si>
    <t xml:space="preserve">ART application is not working for team </t>
  </si>
  <si>
    <t>INC2406680</t>
  </si>
  <si>
    <t>BES INCIDENT for alertId 0018795004|exec|/telegraf/appserverstats.sh|exit_code CRITICAL|Hostname:le1rmst3ap003|730335333823</t>
  </si>
  <si>
    <t>INC2405673</t>
  </si>
  <si>
    <t>BES INCIDENT for alertId 0018772453|HostConnection|blx34bd02|status|blx34bd02|blx34bd02 CRITICAL|Hostname:blx34bd02</t>
  </si>
  <si>
    <t>FIGARO (prd)</t>
  </si>
  <si>
    <t>INC2396780</t>
  </si>
  <si>
    <t>I am unable to access the correct Department/Workgroup in Staff Admin.</t>
  </si>
  <si>
    <t>STAFF ADMIN (dev)</t>
  </si>
  <si>
    <t>INC2404596</t>
  </si>
  <si>
    <t>BES INCIDENT for alertId 0018743644|internal|heartbeat|agent_metrics_written CRITICAL|Hostname:we1stadmap002|471112757515</t>
  </si>
  <si>
    <t>INC2405487</t>
  </si>
  <si>
    <t>ART Unable to work</t>
  </si>
  <si>
    <t>INC2398409</t>
  </si>
  <si>
    <t xml:space="preserve">My Team and me having issues with LHR Fidsmon application , it just opens up with a blank screen/popup to enter the credentials. </t>
  </si>
  <si>
    <t>INC2398209</t>
  </si>
  <si>
    <t xml:space="preserve">Staff admin pre live is  working slow and staff IDs are unable to find in search box please assist </t>
  </si>
  <si>
    <t>STAFF ADMIN (prelive)</t>
  </si>
  <si>
    <t>INC2425250</t>
  </si>
  <si>
    <t>INC2405879</t>
  </si>
  <si>
    <t>BA - LHR - StaffComm - Unable to logout</t>
  </si>
  <si>
    <t>RMS LGW CUSTOMER SERVICES (prd)</t>
  </si>
  <si>
    <t>INC2421734</t>
  </si>
  <si>
    <t>BATCH JOB - JOB FAILED - UHZ3002</t>
  </si>
  <si>
    <t>INC2421719</t>
  </si>
  <si>
    <t>BATCH JOB - JOB FAILED - UHZ3001</t>
  </si>
  <si>
    <t>INC2408191</t>
  </si>
  <si>
    <t>Airport Resource Tool (ART) via ESS error and not opening</t>
  </si>
  <si>
    <t>REQ1204817</t>
  </si>
  <si>
    <t>Generic Request - to carry out fmu duties</t>
  </si>
  <si>
    <t>REQ1208712</t>
  </si>
  <si>
    <t>Request for Information</t>
  </si>
  <si>
    <t>In progress</t>
  </si>
  <si>
    <t>REQ1220709</t>
  </si>
  <si>
    <t>Generic Request - TrendMicro Deployment for RHEL 6 AWS instances</t>
  </si>
  <si>
    <t>REQ1194474</t>
  </si>
  <si>
    <t>Please assist with password as old password  got locked . Staff Number is u110164. Database : O2004P1</t>
  </si>
  <si>
    <t>REQ1203917</t>
  </si>
  <si>
    <t>Findings for ba-rms-psu-prd - 533266977564 the period starting 2026-04-27 05:12:58.665264</t>
  </si>
  <si>
    <t>REQ1203954</t>
  </si>
  <si>
    <t>Findings for iagc-alerts-dev - 938106486237 the period starting 2026-04-27 05:14:19.984459</t>
  </si>
  <si>
    <t>ALERTS (dev)</t>
  </si>
  <si>
    <t>REQ1209182</t>
  </si>
  <si>
    <t>Findings for ba-staff-admin-uat - 471112512057 the period starting 2026-05-04 05:13:50.616276</t>
  </si>
  <si>
    <t>STAFF ADMIN (uat)</t>
  </si>
  <si>
    <t>INC2424505</t>
  </si>
  <si>
    <t>No access</t>
  </si>
  <si>
    <t>INC2420069</t>
  </si>
  <si>
    <t>None of the RMS applications load when clicking on Groundstar</t>
  </si>
  <si>
    <t>INC2423515</t>
  </si>
  <si>
    <t>UNABLE TO SIGN INTO SET FOR ANY APPLICATIONS .</t>
  </si>
  <si>
    <t>INC2435135</t>
  </si>
  <si>
    <t>BA-LHR-Unable to access operational dashboard</t>
  </si>
  <si>
    <t>INC2431338</t>
  </si>
  <si>
    <t>Ops dashboard flickering (not working)</t>
  </si>
  <si>
    <t>INC2419902</t>
  </si>
  <si>
    <t>Ops Dashboard issue</t>
  </si>
  <si>
    <t>Gopinath Maruthachalam</t>
  </si>
  <si>
    <t>INC2414420</t>
  </si>
  <si>
    <t>BES INCIDENT for alertId 0019032609|AWS/SQS|sqs-cjd-prod-euwe1-rebooking-queue.fifo|ApproximateNumberOfMessagesVisible CRITICAL|Hostname:sqs-cjd-prod-euwe1-rebooking-queue.fifo|730335673794</t>
  </si>
  <si>
    <t>CUSTOMER JOURNEY DASHBOARD (prd)</t>
  </si>
  <si>
    <t>INC2413758</t>
  </si>
  <si>
    <t>BES INCIDENT for alertId 0019018003|AWS/SQS|sqs-cjd-prod-euwe1-rebooking-queue.fifo|ApproximateNumberOfMessagesVisible CRITICAL|Hostname:sqs-cjd-prod-euwe1-rebooking-queue.fifo|730335673794</t>
  </si>
  <si>
    <t>INC2413326</t>
  </si>
  <si>
    <t>BES INCIDENT for alertId 0019006588|AWS/ApiGateway|oscs-backend-api|5XXError CRITICAL|Hostname:oscs-backend-api|241533157440</t>
  </si>
  <si>
    <t>OSCS (prd)</t>
  </si>
  <si>
    <t>INC2427635</t>
  </si>
  <si>
    <t>ATTENDANCE TIME REC VEIGHT (prd): Minor: aws.dms.cdclatency_target</t>
  </si>
  <si>
    <t>ATTENDANCE TIME REC VEIGHT (prd)</t>
  </si>
  <si>
    <t>INC2437045</t>
  </si>
  <si>
    <t>ATTENDANCE TIME REC VEIGHT (prd): Major:</t>
  </si>
  <si>
    <t>INC2409494</t>
  </si>
  <si>
    <t>BA-LHR-AIMS Lounge-unable to login</t>
  </si>
  <si>
    <t>INC2435091</t>
  </si>
  <si>
    <t>BES INCIDENT for alertId 0019465664|internal|heartbeat|agent_metrics_written CRITICAL|Hostname:le1gsplaap001|835530948614</t>
  </si>
  <si>
    <t>INC2435090</t>
  </si>
  <si>
    <t>BES INCIDENT for alertId 0019465657|procstat|informgsauthproxy|lookup_running CRITICAL|Hostname:le1gsplaap001|835530948614</t>
  </si>
  <si>
    <t>INC2429854</t>
  </si>
  <si>
    <t>INC2408909</t>
  </si>
  <si>
    <t>BA-LHR-AIMS LOUNGE-Required password reset</t>
  </si>
  <si>
    <t>INC2427786</t>
  </si>
  <si>
    <t>ATTENDANCE TIME REC VEIGHT (prd): Major: windows_service.state</t>
  </si>
  <si>
    <t>INC2407785</t>
  </si>
  <si>
    <t>BES INCIDENT for alertId 0018824281|disk|/webserver|used_percent CRITICAL|Hostname:le1opsdbwp001|992382395097</t>
  </si>
  <si>
    <t>INC2407631</t>
  </si>
  <si>
    <t>BES INCIDENT for alertId 0018821447|AWS/SQS|sqs-cjd-prod-euwe1-rebooking-queue.fifo|ApproximateNumberOfMessagesVisible CRITICAL|Hostname:sqs-cjd-prod-euwe1-rebooking-queue.fifo|730335673794</t>
  </si>
  <si>
    <t>INC2407261</t>
  </si>
  <si>
    <t>BES INCIDENT for alertId 0018812281|AWS/ApplicationELB|app/alb-opsdb-prd-euwe1-int-app1-01/0aa2cba8c7638126|HTTPCode_Target_5XX_Count CRITICAL|Hostname:app/alb-opsdb-prd-euwe1-int-app1-01/0aa2cba8c7638126|992382395097</t>
  </si>
  <si>
    <t>INC2407197</t>
  </si>
  <si>
    <t>Unable to start Staff Admin</t>
  </si>
  <si>
    <t>INC2406405</t>
  </si>
  <si>
    <t>BES INCIDENT for alertId 0018786607|AWS/SQS|sqs-opsdb-prd-euwe1-dead-01|ApproximateNumberOfMessagesVisible MAJOR|Hostname:sqs-opsdb-prd-euwe1-dead-01|992382395097</t>
  </si>
  <si>
    <t>INC2405651</t>
  </si>
  <si>
    <t xml:space="preserve">BA 1476- engagement times wrong in RMS </t>
  </si>
  <si>
    <t>INC2404806</t>
  </si>
  <si>
    <t>BES INCIDENT for alertId 0018747224|AWS/ApplicationELB|app/alb-opsdb-prd-euwe1-int-app1-01/0aa2cba8c7638126|HTTPCode_Target_5XX_Count CRITICAL|Hostname:app/alb-opsdb-prd-euwe1-int-app1-01/0aa2cba8c7638126|992382395097</t>
  </si>
  <si>
    <t>INC2400090</t>
  </si>
  <si>
    <t>BES INCIDENT for alertId 0018573893|procstat|informgsauthproxy|lookup_running CRITICAL|Hostname:le1gsplaap001|835530948614</t>
  </si>
  <si>
    <t>INC2398010</t>
  </si>
  <si>
    <t>I am unable to access my ATR account. Keepping receiving error message as shown on the attached file.</t>
  </si>
  <si>
    <t>INC2395528</t>
  </si>
  <si>
    <t>BES INCIDENT for alertId 0018444033|win_services|mitrefinchprocessorpr1|state CRITICAL|Hostname:we1atrecap001|590183747819</t>
  </si>
  <si>
    <t>INC2429394</t>
  </si>
  <si>
    <t>User reported issue with RIBI not populating flight information</t>
  </si>
  <si>
    <t>RIBI (prd)</t>
  </si>
  <si>
    <t>REQ1198677</t>
  </si>
  <si>
    <t>Findings for ba-ribi-prl - 961341554932 the period starting 2026-04-20 05:04:54.099236</t>
  </si>
  <si>
    <t>Garnepudi Emmanuel</t>
  </si>
  <si>
    <t>RIBI (prl)</t>
  </si>
  <si>
    <t>REQ1209100</t>
  </si>
  <si>
    <t>Findings for ba-ribi-prd - 221082197077 the period starting 2026-05-04 05:06:09.415183</t>
  </si>
  <si>
    <t>=IFNA(IF(AE100 &lt; (INDEX(SLATable[Minimum SLA],MATCH(G100,SLATáable[Priority],0))),"YES","NO"),"")</t>
  </si>
  <si>
    <t>REQ1209120</t>
  </si>
  <si>
    <t>Findings for ba-ribi-dev - 535002885708 the period starting 2026-05-04 05:06:57.460921</t>
  </si>
  <si>
    <t>RIBI (dev)</t>
  </si>
  <si>
    <t>REQ1214458</t>
  </si>
  <si>
    <t>Findings for ba-ribi-uat - 202533526794 the period starting 2026-05-11 05:05:47.897706</t>
  </si>
  <si>
    <t>RIBI (uat)</t>
  </si>
  <si>
    <t>REQ1215792</t>
  </si>
  <si>
    <t>Generic Request - Please add 7x Badge Nos. to the Fidsmon Operator Table</t>
  </si>
  <si>
    <t>REQ1219723</t>
  </si>
  <si>
    <t>Alert Feedback</t>
  </si>
  <si>
    <t>REQ1222761</t>
  </si>
  <si>
    <t>Request to install  Fidsmon</t>
  </si>
  <si>
    <t>INC2435209</t>
  </si>
  <si>
    <t>INC2432475</t>
  </si>
  <si>
    <t>Operational Dashboard is not working</t>
  </si>
  <si>
    <t>INC2432679</t>
  </si>
  <si>
    <t>BA - DEL - Operational dashboard - Not working.</t>
  </si>
  <si>
    <t>INC2432692</t>
  </si>
  <si>
    <t>BA : LHR : Can't access operational dashboard.</t>
  </si>
  <si>
    <t>INC2432723</t>
  </si>
  <si>
    <t>staff unable to access ops dashboard - not loading</t>
  </si>
  <si>
    <t>OPERATIONAL DASHBOARD (prelive)</t>
  </si>
  <si>
    <t>INC2433642</t>
  </si>
  <si>
    <t xml:space="preserve">BA-LHR-operational dashboard issue </t>
  </si>
  <si>
    <t>INC2433714</t>
  </si>
  <si>
    <t>BA 628 - Task times in RMS were wrong leading to a delay</t>
  </si>
  <si>
    <t>INC2425956</t>
  </si>
  <si>
    <t>INC2426007</t>
  </si>
  <si>
    <t>INC2426075</t>
  </si>
  <si>
    <t>INC2432233</t>
  </si>
  <si>
    <t>BES INCIDENT for alertId 0019420415|SWAP|usage|swap_used_percent CRITICAL|Hostname:i-0e999efd1bfd0c7b9|CWAgent</t>
  </si>
  <si>
    <t>INC2432581</t>
  </si>
  <si>
    <t>INC2433130</t>
  </si>
  <si>
    <t>BES INCIDENT for alertId 0019430564|tail|error315.log|dynamic_content_check_1004_matched CRITICAL|Hostname:le1rmslgap005|381492269129</t>
  </si>
  <si>
    <t>INC2433132</t>
  </si>
  <si>
    <t>BES INCIDENT for alertId 0019430593|tail|error321.log|dynamic_content_check_AVAILABLE_matched CRITICAL|Hostname:le1rmslgap005|381492269129</t>
  </si>
  <si>
    <t>INC2434499</t>
  </si>
  <si>
    <t>BES INCIDENT for alertId 0019455482|internal|heartbeat|agent_metrics_written CRITICAL|Hostname:we1stadmap001|471112757515</t>
  </si>
  <si>
    <t>INC2434563</t>
  </si>
  <si>
    <t>BES INCIDENT for alertId 0019455873|win_services|aca_ba_saservicesnodemanager1|state CRITICAL|Hostname:we1stadmap002|471112757515</t>
  </si>
  <si>
    <t>INC2377799</t>
  </si>
  <si>
    <t>VCE -  operational dashboard issue</t>
  </si>
  <si>
    <t>INC2385269</t>
  </si>
  <si>
    <t>PLEASE INSTALL FIDSMON FOLLOWING WINDOWS 11 UPDATE</t>
  </si>
  <si>
    <t>INC2387170</t>
  </si>
  <si>
    <t>BATCH JOB - JOB FAILED -UGS0004</t>
  </si>
  <si>
    <t>BATCH JOBS (prd)</t>
  </si>
  <si>
    <t>INC2387887</t>
  </si>
  <si>
    <t>WorldTracer error messages</t>
  </si>
  <si>
    <t>SITA WORLD TRACER (prd)</t>
  </si>
  <si>
    <t>INC2394461</t>
  </si>
  <si>
    <t>BES INCIDENT for alertId 0018417584|tail|error311.log|dynamic_content_check_1000_matched CRITICAL|Hostname:le1rmslgap005|381492269129</t>
  </si>
  <si>
    <t>INC2400695</t>
  </si>
  <si>
    <t>Unable to open Dashboard after successful sign-in to ESS</t>
  </si>
  <si>
    <t>INC2406492</t>
  </si>
  <si>
    <t>BES INCIDENT for alertId 0018789140|AWS/ApplicationELB|app/alb-opsdb-prd-euwe1-ext-dmz-01/1ee263939ac79dab|HTTPCode_Target_5XX_Count CRITICAL|Hostname:app/alb-opsdb-prd-euwe1-ext-dmz-01/1ee263939ac79dab|992382395097</t>
  </si>
  <si>
    <t>INC2408364</t>
  </si>
  <si>
    <t>OPERATIONAL DASHBOARD (prd): Minor:</t>
  </si>
  <si>
    <t>INC2409578</t>
  </si>
  <si>
    <t>INC2412075</t>
  </si>
  <si>
    <t>LHR : SCANNER NOT WORKING EVEN AFTER REBOOTING SET</t>
  </si>
  <si>
    <t>Printers</t>
  </si>
  <si>
    <t>INC2420053</t>
  </si>
  <si>
    <t>INC2429154</t>
  </si>
  <si>
    <t>INC2430159</t>
  </si>
  <si>
    <t>BES INCIDENT for alertId 0019372422|disk|/webserver|used_percent CRITICAL|Hostname:le1opsdbwp002|992382395097</t>
  </si>
  <si>
    <t>REQ1208094</t>
  </si>
  <si>
    <t>Generic Request - Understans the task details of each application within RMS, Cargo Alerts and Loadview</t>
  </si>
  <si>
    <t>Abhirami S</t>
  </si>
  <si>
    <t>REQ1210108</t>
  </si>
  <si>
    <t>Generic Request - Identify xml tags of mFlightLoadPlan which are being used in each RMS application GUI and share a sample for mFlightLoadPlan XML received at each application in RMS split by message type,  EDIFACT, CP, LDM</t>
  </si>
  <si>
    <t>REQ1221050</t>
  </si>
  <si>
    <t>Generic Request - Understand RMS PSU task details for both LHR and LGW, share sample feed of mFlightUpdate to RMS PSU and message volume per day</t>
  </si>
  <si>
    <t>REQ1204231</t>
  </si>
  <si>
    <t>Well Architected Tool Yearly Reminder for account 593665234721.</t>
  </si>
  <si>
    <t>TRAKA T5 T3 LOCKER CABINETS (prd)</t>
  </si>
  <si>
    <t>INC2386363</t>
  </si>
  <si>
    <t>BA - LHR - RMS - User needs to change name in RMS device</t>
  </si>
  <si>
    <t>INC2388259</t>
  </si>
  <si>
    <t>BA484 DEPARTURE TASK FROM LATERAL TO sTAND APPEARED IN THE UNPLANNED PAST THE TIME IT SHOULD OF BEEN ALLOCATED. LENGTH OF TASK WAS VERY TINY</t>
  </si>
  <si>
    <t>INC2394087</t>
  </si>
  <si>
    <t>Codeshare flights showing in system and need repressing.</t>
  </si>
  <si>
    <t>GATE MANAGEMENT LHR (prd)</t>
  </si>
  <si>
    <t>INC2394482</t>
  </si>
  <si>
    <t>BES INCIDENT for alertId 0018417918|SERVICE|lvcollectorsrvc|Status CRITICAL|Hostname:i-0c152065889c86e4c|service-monitor</t>
  </si>
  <si>
    <t>Loadview (prd)</t>
  </si>
  <si>
    <t>INC2395532</t>
  </si>
  <si>
    <t>Future timestamps in timestamp fields in B_IAGC_STAT_SUBTASK@GEN_LIVE</t>
  </si>
  <si>
    <t>ALERTS (prd)</t>
  </si>
  <si>
    <t>INC2396929</t>
  </si>
  <si>
    <t>BES INCIDENT for alertId 0018485737|AWS/ApiGateway|apigtw-cjd-prod-euwe1-cjdinitservice|4XXError CRITICAL|Hostname:apigtw-cjd-prod-euwe1-cjdinitservice|730335673794</t>
  </si>
  <si>
    <t>INC2399062</t>
  </si>
  <si>
    <t>BES INCIDENT for alertId 0018536514|AWS/Lambda|lmb-cjd-prod-euwe1-adix|Errors CRITICAL|Hostname:lmb-cjd-prod-euwe1-adix|730335673794</t>
  </si>
  <si>
    <t>INC2401207</t>
  </si>
  <si>
    <t>BA - DEL - Customer Journey Dashboard showing Black bars</t>
  </si>
  <si>
    <t>INC2406480</t>
  </si>
  <si>
    <t>BES INCIDENT for alertId 0018788473|FILESYSTEM|webserver_warn|disk_used_percent CRITICAL|Hostname:i-07db68ea0ed0a0fb1|CWAgent</t>
  </si>
  <si>
    <t>INC2409122</t>
  </si>
  <si>
    <t>BES INCIDENT for alertId 0018891268|exec|ohprdmq41.baw/aidx.rms.lhr.all|queue_depth CRITICAL|Hostname:le1cosibap001|469514482204</t>
  </si>
  <si>
    <t>INC2410800</t>
  </si>
  <si>
    <t>BES INCIDENT for alertId 0018939286|procstat|informgsauthproxy|lookup_running CRITICAL|Hostname:le1gsplaap001|835530948614</t>
  </si>
  <si>
    <t>INC2411463</t>
  </si>
  <si>
    <t>User N522857-shraddha.kumbhar@iagcargo.com is unable to login into alerts . Password reset issue.</t>
  </si>
  <si>
    <t>INC2412081</t>
  </si>
  <si>
    <t xml:space="preserve">AIMS NOT ALLOWING VARIOUS USERS ON THESE POSITIONS TO SCAN CUSTOMERS INTO LOUNGE </t>
  </si>
  <si>
    <t>Network</t>
  </si>
  <si>
    <t>INC2415800</t>
  </si>
  <si>
    <t>BES INCIDENT for alertId 0019060690|AWS/ApiGateway|apigtw-cjd-prod-euwe1-cjdinitservice|4XXError CRITICAL|Hostname:apigtw-cjd-prod-euwe1-cjdinitservice|730335673794</t>
  </si>
  <si>
    <t>INC2420917</t>
  </si>
  <si>
    <t>BA - LHR - Staff connect - User stated the staff connect is not working.</t>
  </si>
  <si>
    <t>Ashwin V K</t>
  </si>
  <si>
    <t>INC2412499</t>
  </si>
  <si>
    <t>BES INCIDENT for alertId 0018987117|AWS/ApiGateway|oscs-backend-api|Latency CRITICAL|Hostname:oscs-backend-api|241533157440</t>
  </si>
  <si>
    <t>INC2412346</t>
  </si>
  <si>
    <t xml:space="preserve">AIMS  NOT REGISTERING ANY B/CARDS. ALL LOUNGES AFFECTED. THE AIMS SCREEN JUST REMAINS ON MAIN SCREEN WITH AIRLINE TILES </t>
  </si>
  <si>
    <t>INC2409874</t>
  </si>
  <si>
    <t>Ground Star RAMP went down meaning we weren't able to allocate Ground Ops or Dispatch</t>
  </si>
  <si>
    <t>INC2407316</t>
  </si>
  <si>
    <t>BES INCIDENT for alertId 0018812965|AWS/ApiGateway|oscs-backend-api|Latency CRITICAL|Hostname:oscs-backend-api|241533157440</t>
  </si>
  <si>
    <t>INC2405482</t>
  </si>
  <si>
    <t>BES INCIDENT for alertId 0018765796|AWS/ApiGateway|oscs-backend-api|Latency CRITICAL|Hostname:oscs-backend-api|241533157440</t>
  </si>
  <si>
    <t>INC2403855</t>
  </si>
  <si>
    <t>BES INCIDENT for alertId 0018726568|AWS/RDS|rdc-prd-euwe1-ribi-cluster-01|ACUUtilization CRITICAL|Hostname:rdc-prd-euwe1-ribi-cluster-01|221082197077</t>
  </si>
  <si>
    <t>OSCS</t>
  </si>
  <si>
    <t>Not an Issue</t>
  </si>
  <si>
    <t>INC2403853</t>
  </si>
  <si>
    <t>BES INCIDENT for alertId 0018726551|AWS/ApplicationELB|app/alb-opsdb-prd-euwe1-ext-dmz-01/1ee263939ac79dab|HTTPCode_Target_4XX_Count CRITICAL|Hostname:app/alb-opsdb-prd-euwe1-ext-dmz-01/1ee263939ac79dab|992382395097</t>
  </si>
  <si>
    <t>INC2398466</t>
  </si>
  <si>
    <t>BES INCIDENT for alertId 0018520768|AWS/ApiGateway|oscs-backend-api|Latency CRITICAL|Hostname:oscs-backend-api|241533157440</t>
  </si>
  <si>
    <t>INC2396799</t>
  </si>
  <si>
    <t>LHR -- BA -- Unable to access the ART-PRD Link</t>
  </si>
  <si>
    <t>INC2396483</t>
  </si>
  <si>
    <t>BES INCIDENT for alertId 0018475148|AWS/ApiGateway|oscs-backend-api|Latency CRITICAL|Hostname:oscs-backend-api|241533157440</t>
  </si>
  <si>
    <t>INC2395628</t>
  </si>
  <si>
    <t>BES INCIDENT for alertId 0018445936|AWS/ApiGateway|oscs-backend-api|5XXError CRITICAL|Hostname:oscs-backend-api|241533157440</t>
  </si>
  <si>
    <t>INC2395590</t>
  </si>
  <si>
    <t xml:space="preserve">Airport resource tool is working slow for Pune team </t>
  </si>
  <si>
    <t>INC2394099</t>
  </si>
  <si>
    <t>Multiple Unauthorised Users &amp; Ex.Employees Showing in ALERTS BDE</t>
  </si>
  <si>
    <t>INC2391602</t>
  </si>
  <si>
    <t>BA : DEL : CJD - customer journey dashboard not updating showing wrong data</t>
  </si>
  <si>
    <t>INC2390461</t>
  </si>
  <si>
    <t xml:space="preserve">BA490 task did not auto-create from FCS to stand (after task from lateral to FCS). </t>
  </si>
  <si>
    <t>INC2370899</t>
  </si>
  <si>
    <t>SSBD not bringing up document checks - goes straight to checking in bags and pax gets bounced back from security.</t>
  </si>
  <si>
    <t>SELF SERVICE BAG DROP DIRECT (prd)</t>
  </si>
  <si>
    <t>INC2365867</t>
  </si>
  <si>
    <t>The BALHR  team advise T5 Self Bag Drop does not respond to agent QR code scan and therefore times out and defaults to the standard access code.</t>
  </si>
  <si>
    <t>SELF SERVICE BAG DROP</t>
  </si>
  <si>
    <t>INC2299325</t>
  </si>
  <si>
    <t>APPSUP_SIPLIVE - Please assign to this service queue</t>
  </si>
  <si>
    <t>INC2395681</t>
  </si>
  <si>
    <t>Gate not updated in coaching tasks</t>
  </si>
  <si>
    <t>Sai Rakesh Pasam</t>
  </si>
  <si>
    <t>INC2410491</t>
  </si>
  <si>
    <t>BA831 Arrival task showing a Predicted when its Landed</t>
  </si>
  <si>
    <t>INC2389365</t>
  </si>
  <si>
    <t>Fidsmon</t>
  </si>
  <si>
    <t>INC2394799</t>
  </si>
  <si>
    <t xml:space="preserve">Will only work for small period of time </t>
  </si>
  <si>
    <t>INC2408281</t>
  </si>
  <si>
    <t>BA - LGW - RMS - User unable to login to RMS device.</t>
  </si>
  <si>
    <t>INC2397548</t>
  </si>
  <si>
    <t>INC2397979</t>
  </si>
  <si>
    <t>OPERATIONAL DASHBOARD (tst)</t>
  </si>
  <si>
    <t>INC2421721</t>
  </si>
  <si>
    <t>BES INCIDENT for alertId 0019212072|tail|error111.log|dynamic_content_check_1000_matched CRITICAL|Hostname:le1rmsraap003|992382737864</t>
  </si>
  <si>
    <t>le1rmsraap003</t>
  </si>
  <si>
    <t>INC2431649</t>
  </si>
  <si>
    <t>Ops dashboard on Google chrome no longer working and the following message is displayed</t>
  </si>
  <si>
    <t>INC2422982</t>
  </si>
  <si>
    <t>Laptop at the Concorde Door Entry - FIDS application not available</t>
  </si>
  <si>
    <t>INC2433951</t>
  </si>
  <si>
    <t>Operational dashboard page not working</t>
  </si>
  <si>
    <t>INC2422047</t>
  </si>
  <si>
    <t>BA - LHR - User cannot able to login into the RMS Inform Groundstar</t>
  </si>
  <si>
    <t>RMS GTS (prd)</t>
  </si>
  <si>
    <t>INC2430333</t>
  </si>
  <si>
    <t>BA - LHR - DHL - User cannot able to access the BA OPS Dashboard</t>
  </si>
  <si>
    <t>INC2432020</t>
  </si>
  <si>
    <t>BA - LHR - OPS dashboard - User unable to access operational dashboard.</t>
  </si>
  <si>
    <t>INC2431623</t>
  </si>
  <si>
    <t>Operational Dashboard not working outside work.</t>
  </si>
  <si>
    <t>INC2431162</t>
  </si>
  <si>
    <t>Can't access since this morning</t>
  </si>
  <si>
    <t>INC2433863</t>
  </si>
  <si>
    <t>BA--LHR-- Facing issue in operational dashboard</t>
  </si>
  <si>
    <t>REQ1209217</t>
  </si>
  <si>
    <t>Findings for ba-staff-admin-prl - 381492094098 the period starting 2026-05-04 05:15:10.992024</t>
  </si>
  <si>
    <t>REQ1204009</t>
  </si>
  <si>
    <t>Findings for ba-operational-dashboard-pr-prl - 851725501381 the period starting 2026-04-27 05:16:29.918046</t>
  </si>
  <si>
    <t>REQ1203972</t>
  </si>
  <si>
    <t>Findings for ba-attendance-time-recording-prd - 590183747819 the period starting 2026-04-27 05:15:07.065352</t>
  </si>
  <si>
    <t>REQ1203956</t>
  </si>
  <si>
    <t>Findings for ba-operational-dashboard-ua-uat - 637423444507 the period starting 2026-04-27 05:14:28.475410</t>
  </si>
  <si>
    <t>REQ1203804</t>
  </si>
  <si>
    <t>Findings for ba-attendance-time-recording-dev - 314146294723 the period starting 2026-04-27 05:04:53.600778</t>
  </si>
  <si>
    <t>INC2431463</t>
  </si>
  <si>
    <t>BA-LON-Operation Dashboard Issues</t>
  </si>
  <si>
    <t>Ravi Jeldi</t>
  </si>
  <si>
    <t>Functionality Issue</t>
  </si>
  <si>
    <t>INC2428995</t>
  </si>
  <si>
    <t>ATR swipes not shooting through to RMS resulting in staff unable to sign into devices.</t>
  </si>
  <si>
    <t>INC2422174</t>
  </si>
  <si>
    <t xml:space="preserve">ATR swipe machine behind Zone A </t>
  </si>
  <si>
    <t>INC2414831</t>
  </si>
  <si>
    <t>BES INCIDENT for alertId 0019037892|AWS/Lambda|lmb-cjd-prod-euwe1-summary-service|Errors CRITICAL|Hostname:lmb-cjd-prod-euwe1-summary-service|730335673794</t>
  </si>
  <si>
    <t>INC2412746</t>
  </si>
  <si>
    <t>BES INCIDENT for alertId 0018995074|AWS/Lambda|lmb-prd-euwe1-ribi-emailtoairport-01|Errors CRITICAL|Hostname:lmb-prd-euwe1-ribi-emailtoairport-01|221082197077</t>
  </si>
  <si>
    <t>INC2411268</t>
  </si>
  <si>
    <t>BES INCIDENT for alertId 0018954445|AWS/ApplicationELB|app/alb-prd-euwe1-ribi-01/7a21348acd492946|HTTPCode_ELB_5XX_Count CRITICAL|Hostname:app/alb-prd-euwe1-ribi-01/7a21348acd492946|221082197077</t>
  </si>
  <si>
    <t>INC2410773</t>
  </si>
  <si>
    <t>BES INCIDENT for alertId 0018937793|AWS/ApplicationELB|group/alt-opsdb-prd-euwe1-ext-dmz-01/faf9cfa9b6380b93|UnHealthyHostCount CRITICAL|Hostname:app/alb-opsdb-prd-euwe1-ext-dmz-01/1ee263939ac79dab|992382395097</t>
  </si>
  <si>
    <t>INC2407370</t>
  </si>
  <si>
    <t>BES INCIDENT for alertId 0018813528|AWS/RDS|rdc-prd-euwe1-ribi-cluster-01|ACUUtilization CRITICAL|Hostname:rdc-prd-euwe1-ribi-cluster-01|221082197077</t>
  </si>
  <si>
    <t>INC2407253</t>
  </si>
  <si>
    <t>BES INCIDENT for alertId 0018812204|AWS/SNS|sns-cjd-prod-euwe1-topic|NumberOfNotificationsDelivered CRITICAL|Hostname:sns-cjd-prod-euwe1-topic|730335673794</t>
  </si>
  <si>
    <t>INC2404693</t>
  </si>
  <si>
    <t>BES INCIDENT for alertId 0018745402|AWS/ApplicationELB|app/alb-opsdb-prd-euwe1-int-app1-01/0aa2cba8c7638126|HTTPCode_Target_5XX_Count CRITICAL|Hostname:app/alb-opsdb-prd-euwe1-int-app1-01/0aa2cba8c7638126|992382395097</t>
  </si>
  <si>
    <t>INC2404140</t>
  </si>
  <si>
    <t>BES INCIDENT for alertId 0018733985|AWS/SQS|sqs-opsdb-prd-euwe1-dead-01|ApproximateNumberOfMessagesVisible MAJOR|Hostname:sqs-opsdb-prd-euwe1-dead-01|992382395097</t>
  </si>
  <si>
    <t>INC2399210</t>
  </si>
  <si>
    <t>BES INCIDENT for alertId 0018541968|AWS/ApplicationELB|app/alb-prd-euwe1-ribi-01/7a21348acd492946|HTTPCode_ELB_5XX_Count CRITICAL|Hostname:app/alb-prd-euwe1-ribi-01/7a21348acd492946|221082197077</t>
  </si>
  <si>
    <t>INC2397751</t>
  </si>
  <si>
    <t>BES INCIDENT for alertId 0018508436|AWS/RDS|rdc-prd-euwe1-ribi-cluster-01|ACUUtilization CRITICAL|Hostname:rdc-prd-euwe1-ribi-cluster-01|221082197077</t>
  </si>
  <si>
    <t>INC2397506</t>
  </si>
  <si>
    <t>BES INCIDENT for alertId 0018502364|AWS/SQS|sqs-opsdb-prd-euwe1-01|ApproximateNumberOfMessagesVisible CRITICAL|Hostname:sqs-opsdb-prd-euwe1-01|992382395097</t>
  </si>
  <si>
    <t>INC2397496</t>
  </si>
  <si>
    <t>BES INCIDENT for alertId 0018501742|AWS/ApplicationELB|app/alb-opsdb-prd-euwe1-int-web1-01/9de9c42d0ffc856d|HTTPCode_Target_5XX_Count CRITICAL|Hostname:app/alb-opsdb-prd-euwe1-int-web1-01/9de9c42d0ffc856d|992382395097</t>
  </si>
  <si>
    <t>INC2392606</t>
  </si>
  <si>
    <t>BES INCIDENT for alertId 0018377560|AWS/Lambda|lmb-cjd-prod-euwe1-passengercalculator|Errors CRITICAL|Hostname:lmb-cjd-prod-euwe1-passengercalculator|730335673794</t>
  </si>
  <si>
    <t>INC2385985</t>
  </si>
  <si>
    <t>BES INCIDENT for alertId 0018190566|AWS/RDS|rdc-prd-euwe1-ribi-cluster-01|ACUUtilization CRITICAL|Hostname:rdc-prd-euwe1-ribi-cluster-01|221082197077</t>
  </si>
  <si>
    <t>INC2384709</t>
  </si>
  <si>
    <t>BES INCIDENT for alertId 0018167925|AWS/ApiGateway|oscs-backend-api|5XXError CRITICAL|Hostname:oscs-backend-api|241533157440</t>
  </si>
  <si>
    <t>OSCS(prd)</t>
  </si>
  <si>
    <t>INC2383056</t>
  </si>
  <si>
    <t>BES INCIDENT for alertId 0018140430|AWS/SQS|sqs-cjd-prod-euwe1-adix-queue.fifo|ApproximateNumberOfMessagesVisible CRITICAL|Hostname:sqs-cjd-prod-euwe1-adix-queue.fifo|730335673794</t>
  </si>
  <si>
    <t>INC2373525</t>
  </si>
  <si>
    <t>BES INCIDENT for alertId 0017899016|AWS/ApplicationELB|group/alt-opsdb-prd-euwe1-int-web1-01/154e0ba3bfc39f08|UnHealthyHostCount CRITICAL|Hostname:app/alb-opsdb-prd-euwe1-int-web1-01/9de9c42d0ffc856d|992382395097</t>
  </si>
  <si>
    <t>INC2438675</t>
  </si>
  <si>
    <t>INC2438565</t>
  </si>
  <si>
    <t>INC2437850</t>
  </si>
  <si>
    <t>Brock smartsuite web application is not working</t>
  </si>
  <si>
    <t>BROCK SMARTSUITE TRACK AND TRACE (prd)</t>
  </si>
  <si>
    <t>INC2437265</t>
  </si>
  <si>
    <t>FIDS is down in the unit at Segro Park</t>
  </si>
  <si>
    <t>Not Responding</t>
  </si>
  <si>
    <t>INC2434132</t>
  </si>
  <si>
    <t>INC2433930</t>
  </si>
  <si>
    <t>INC2433819</t>
  </si>
  <si>
    <t>INC2432131</t>
  </si>
  <si>
    <t>BES INCIDENT for alertId 0019419993|AWS/ApplicationELB|group/alt-opsdb-prd-euwe1-ext-dmz-01/faf9cfa9b6380b93|UnHealthyHostCount CRITICAL|Hostname:app/alb-opsdb-prd-euwe1-ext-dmz-01/1ee263939ac79dab|992382395097</t>
  </si>
  <si>
    <t>INC2432130</t>
  </si>
  <si>
    <t>BES INCIDENT for alertId 0019419992|AWS/ApplicationELB|group/alt-opsdb-prd-euwe1-int-web1-01/154e0ba3bfc39f08|UnHealthyHostCount CRITICAL|Hostname:app/alb-opsdb-prd-euwe1-int-web1-01/9de9c42d0ffc856d|992382395097</t>
  </si>
  <si>
    <t>INC2432021</t>
  </si>
  <si>
    <t>INC2431819</t>
  </si>
  <si>
    <t>BES INCIDENT for alertId 0019412151|SWAP|usage|swap_used_percent CRITICAL|Hostname:i-07ac32673967e2f7a|CWAgent</t>
  </si>
  <si>
    <t>INC2431705</t>
  </si>
  <si>
    <t>BES INCIDENT for alertId 0019410846|MEM|usage|mem_used_percent CRITICAL|Hostname:i-0e999efd1bfd0c7b9|CWAgent</t>
  </si>
  <si>
    <t>INC2431582</t>
  </si>
  <si>
    <t>Keeps flickering then get 'error fetching time'</t>
  </si>
  <si>
    <t>INC2430620</t>
  </si>
  <si>
    <t xml:space="preserve">LHR   My operational dashboard is not working. </t>
  </si>
  <si>
    <t>Error Message</t>
  </si>
  <si>
    <t>INC2430585</t>
  </si>
  <si>
    <t>Dashboard glitching on loading</t>
  </si>
  <si>
    <t>INC2421857</t>
  </si>
  <si>
    <t>Zone E ATR swipe machine not working - no asset number just IP address as above (new mahcine)</t>
  </si>
  <si>
    <t>INC2435170</t>
  </si>
  <si>
    <t>ATR SWIPE SHOWS STAFF MEMBERS NAME BUT DOES NOT REGISTER IN RMS.</t>
  </si>
  <si>
    <t>REQ1203230</t>
  </si>
  <si>
    <t>Generic Request - Request information on Operations Dashboard requirements for ODIE Standbys/Aircraft Ground Activities</t>
  </si>
  <si>
    <t>REQ1188218</t>
  </si>
  <si>
    <t>Findings for ba-ribi-prl - 961341554932 the period starting 2026-04-06 05:05:39.731644</t>
  </si>
  <si>
    <t>REQ1188205</t>
  </si>
  <si>
    <t>Findings for ba-ribi-tst - 796973518145 the period starting 2026-04-06 05:05:12.160760</t>
  </si>
  <si>
    <t>REQ1188174</t>
  </si>
  <si>
    <t>Findings for ba-ribi-prd - 221082197077 the period starting 2026-04-06 05:04:09.092172</t>
  </si>
  <si>
    <t>RIBI (tst)</t>
  </si>
  <si>
    <t>REQ1174010</t>
  </si>
  <si>
    <t>Findings for ba-ribi-tst - 796973518145 the period starting 2026-03-16 06:06:27.493373</t>
  </si>
  <si>
    <t>REQ1173994</t>
  </si>
  <si>
    <t>Findings for ba-ribi-prd - 221082197077 the period starting 2026-03-16 06:05:46.903078</t>
  </si>
  <si>
    <t>REQ1152559</t>
  </si>
  <si>
    <t>Findings for ba-ribi-tst - 796973518145 the period starting 2026-02-16 07:10:15.576694</t>
  </si>
  <si>
    <t>REQ1152554</t>
  </si>
  <si>
    <t>Findings for ba-ribi-uat - 202533526794 the period starting 2026-02-16 07:10:04.699243</t>
  </si>
  <si>
    <t>REQ1152549</t>
  </si>
  <si>
    <t>Findings for ba-ribi-prd - 221082197077 the period starting 2026-02-16 07:09:53.592258</t>
  </si>
  <si>
    <t>REQ1133600</t>
  </si>
  <si>
    <t>Generic Request - Security Testing on Ribi system</t>
  </si>
  <si>
    <t>REQ1220032</t>
  </si>
  <si>
    <t>Findings for ba-ribi-tst - 796973518145 the period starting 2026-05-18 05:11:58.870330</t>
  </si>
  <si>
    <t>REQ1219963</t>
  </si>
  <si>
    <t>Findings for ba-ribi-dev - 535002885708 the period starting 2026-05-18 05:09:38.998198</t>
  </si>
  <si>
    <t>REQ1219903</t>
  </si>
  <si>
    <t>Findings for ba-ribi-uat - 202533526794 the period starting 2026-05-18 05:07:26.957046</t>
  </si>
  <si>
    <t>REQ1219003</t>
  </si>
  <si>
    <t>Findings for ba-ribi-tst - 796973518145 the period starting 2026-05-15 08:39:53.337378</t>
  </si>
  <si>
    <t>REQ1218947</t>
  </si>
  <si>
    <t>Findings for ba-ribi-prl - 961341554932 the period starting 2026-05-15 08:37:52.055475</t>
  </si>
  <si>
    <t>REQ1218874</t>
  </si>
  <si>
    <t>Findings for ba-ribi-dev - 535002885708 the period starting 2026-05-15 08:34:45.709585</t>
  </si>
  <si>
    <t>REQ1215273</t>
  </si>
  <si>
    <t>Generic Request - Unable to access to Operational Dashboard</t>
  </si>
  <si>
    <t>REQ1215441</t>
  </si>
  <si>
    <t>Generic Request - Please set up 2 new Aircraft in the OPDEF system ready for their arrival into the BA fleet. G-TTSK needs to be set up as N3 fleet.  G-ZBXA uses the FICO code U8.</t>
  </si>
  <si>
    <t>OPDEF (prd)</t>
  </si>
  <si>
    <t>REQ1218857</t>
  </si>
  <si>
    <t>Findings for ba-attendance-time-recording-dev - 314146294723 the period starting 2026-05-15 08:34:05.522971</t>
  </si>
  <si>
    <t>ATTENDANCE TIME RECORDING (dev)</t>
  </si>
  <si>
    <t>REQ1220309</t>
  </si>
  <si>
    <t>Findings for ba-attendance-time-recording-dev - 654654334334 the period starting 2026-05-18 05:26:01.932846</t>
  </si>
  <si>
    <t>REQ1220267</t>
  </si>
  <si>
    <t>Findings for ba-attendance-time-recording-prd - 590183747819 the period starting 2026-05-18 05:24:34.130982</t>
  </si>
  <si>
    <t>REQ1192840</t>
  </si>
  <si>
    <t>REQ1218830</t>
  </si>
  <si>
    <t>Findings for ba-attendance-time-rec-veigh-stg - 242201271836 the period starting 2026-05-15 08:33:01.244154</t>
  </si>
  <si>
    <t>ATTENDANCE TIME REC VEIGHT (stg)</t>
  </si>
  <si>
    <t>REQ1209057</t>
  </si>
  <si>
    <t>Findings for ba-ribi-uat - 202533526794 the period starting 2026-05-04 05:04:42.247594</t>
  </si>
  <si>
    <t>REQ1206074</t>
  </si>
  <si>
    <t>RMS AIRCRAFT MOVEMENT (prd)</t>
  </si>
  <si>
    <t>REQ1209064</t>
  </si>
  <si>
    <t>Findings for ba-attendance-time-rec-veigh-dev - 242201271836 the period starting 2026-05-15 08:33:01.244154</t>
  </si>
  <si>
    <t>ATTENDANCE TIME REC VEIGHT (dev)</t>
  </si>
  <si>
    <t>INC2428465</t>
  </si>
  <si>
    <t>Challa Sai Krishna</t>
  </si>
  <si>
    <t>INC2408378</t>
  </si>
  <si>
    <t>BA - WTS - OPSDashboard - Operational Dashboard not working.</t>
  </si>
  <si>
    <t>INC2382453</t>
  </si>
  <si>
    <t xml:space="preserve">LHR-INCORRECT INFORMATION FEEDING INTO RMS </t>
  </si>
  <si>
    <t>INC2414850</t>
  </si>
  <si>
    <t xml:space="preserve">When I open FIDMON for LHR there is no pages visible and I can only see a blank black screen </t>
  </si>
  <si>
    <t>INC2384547</t>
  </si>
  <si>
    <t xml:space="preserve">Please provide access to Operational Dashboard, we had access before Entra change </t>
  </si>
  <si>
    <t>INC2401686</t>
  </si>
  <si>
    <t xml:space="preserve">My operational dashboard is not working. </t>
  </si>
  <si>
    <t>INC2427799</t>
  </si>
  <si>
    <t>INC2429309</t>
  </si>
  <si>
    <t xml:space="preserve">Operations dashboard flickering all the time </t>
  </si>
  <si>
    <t>INC2437977</t>
  </si>
  <si>
    <t>Unable to access</t>
  </si>
  <si>
    <t>INC2432017</t>
  </si>
  <si>
    <t>BA-LHR-Operation dashboard not working on ipad when  connecting 4g and 5g</t>
  </si>
  <si>
    <t>INC2432211</t>
  </si>
  <si>
    <t>BA- LHR- OPS DASHBOARD</t>
  </si>
  <si>
    <t>INC2431427</t>
  </si>
  <si>
    <t>Operation Dashboard</t>
  </si>
  <si>
    <t>OPERATIONAL DASHBOARD (uat)</t>
  </si>
  <si>
    <t>INC2433839</t>
  </si>
  <si>
    <t>Unable to access ops dashboard</t>
  </si>
  <si>
    <t>REQ1212127</t>
  </si>
  <si>
    <t>Generic Request - Operational dashboard</t>
  </si>
  <si>
    <t>REQ1209327</t>
  </si>
  <si>
    <t>REQ1188146</t>
  </si>
  <si>
    <t>Generic Request - Require Fidsmon access connection.</t>
  </si>
  <si>
    <t>REQ1188488</t>
  </si>
  <si>
    <t>Generic Request - To add Win11 device to FIDSMON table.</t>
  </si>
  <si>
    <t>REQ1192628</t>
  </si>
  <si>
    <t>Generic Request - Please add 4x PC's to Fidsmon Table (Operator)</t>
  </si>
  <si>
    <t>INC2396600</t>
  </si>
  <si>
    <t>BA - LON - Operational dashboard can't open</t>
  </si>
  <si>
    <t>Mohammed Islauddin</t>
  </si>
  <si>
    <t>INC2381649</t>
  </si>
  <si>
    <t>Unable to Access</t>
  </si>
  <si>
    <t>INC2403563</t>
  </si>
  <si>
    <t>BA : DEL : CJD - Customer journey dashboard data is not accurate</t>
  </si>
  <si>
    <t>Jagan Shrinivasan</t>
  </si>
  <si>
    <t>INC2410083</t>
  </si>
  <si>
    <t>Brock solution outage causing baggage discrepancies</t>
  </si>
  <si>
    <t>Ramya S</t>
  </si>
  <si>
    <t>BROCK SMARTSUITE RECONCILIATION (prd)</t>
  </si>
  <si>
    <t>INC2444158</t>
  </si>
  <si>
    <t>3</t>
  </si>
  <si>
    <t>Couldn't log in in Staff admin</t>
  </si>
  <si>
    <t>INC2444355</t>
  </si>
  <si>
    <t xml:space="preserve">Unable to login for Staff Admin. </t>
  </si>
  <si>
    <t>INC2446564</t>
  </si>
  <si>
    <t>INC2447217</t>
  </si>
  <si>
    <t xml:space="preserve">Unable to login into staff admin and also same issue is accruing for N IDS (N540800 and N526471) </t>
  </si>
  <si>
    <t>INC2448970</t>
  </si>
  <si>
    <t>4</t>
  </si>
  <si>
    <t>INC2458952</t>
  </si>
  <si>
    <t>BA-LHR-Staffcomm-showing incorrect name</t>
  </si>
  <si>
    <t>INC2460676</t>
  </si>
  <si>
    <t>RMS Update the ETA incorrectly</t>
  </si>
  <si>
    <t>INC2463213</t>
  </si>
  <si>
    <t>Incorrect phone numbers in My Task StaffComm app phonebook</t>
  </si>
  <si>
    <t>INC2463437</t>
  </si>
  <si>
    <t>Customer NEW RMS INCIDENT</t>
  </si>
  <si>
    <t>INC2469429</t>
  </si>
  <si>
    <t>2</t>
  </si>
  <si>
    <t>Euroflyer Aircraft Registrations are missing in FIDSMON</t>
  </si>
  <si>
    <t>INC2470131</t>
  </si>
  <si>
    <t>BA934 STD 1245 had the ETD changed till 1307 we have no idea how or why</t>
  </si>
  <si>
    <t>INC2474065</t>
  </si>
  <si>
    <t>STAFF ADMIN (prd): Minor: 471112757515:</t>
  </si>
  <si>
    <t>INC2475931</t>
  </si>
  <si>
    <t>Remarks added to breaks are being deleted automatically by the system.</t>
  </si>
  <si>
    <t>INC2478196</t>
  </si>
  <si>
    <t>Customer - T3 Airside: Ravrani showing as not swiped in new RMS but has swiped in old RMS</t>
  </si>
  <si>
    <t>INC2478210</t>
  </si>
  <si>
    <t>Customer - Bash changes after 18:45 cutoff disrupting next-day pre-planning</t>
  </si>
  <si>
    <t>INC2478216</t>
  </si>
  <si>
    <t>Customer - Duplicate stand number entries in Location field — consolidate to single entry per gate</t>
  </si>
  <si>
    <t>INC2478219</t>
  </si>
  <si>
    <t>Customer - Flight Events functionality not working in TRN and UAT environments (working in PRD)</t>
  </si>
  <si>
    <t>INC2478224</t>
  </si>
  <si>
    <t>Customer - Walk times not applied when staff on all-day static tasks are allocated to flight tasks in new RMS (working in old RMS)</t>
  </si>
  <si>
    <t>INC2478233</t>
  </si>
  <si>
    <t>Customer - Late check-in does not update actual shift start time within first two hours — change requested so all late check-ins update the actual start time.</t>
  </si>
  <si>
    <t>INC2478237</t>
  </si>
  <si>
    <t>Customer - Call backs not actioned by anyone should auto-close after 2 hours</t>
  </si>
  <si>
    <t>INC2478241</t>
  </si>
  <si>
    <t>Customer - Are flight event times displaying in UTC or local time. The times don’t match old and new RMS</t>
  </si>
  <si>
    <t>INC2479482</t>
  </si>
  <si>
    <t>INC2479650</t>
  </si>
  <si>
    <t>INC2480554</t>
  </si>
  <si>
    <t>New PSU RMS allocator unable to confirm callback actioned as his set had gone into read only mmode with no visable message</t>
  </si>
  <si>
    <t>INC2482473</t>
  </si>
  <si>
    <t xml:space="preserve">End of Shift task being deleted for a Resource and is sat in Deleted Breaks and Absences but it has not been deleted by the user. </t>
  </si>
  <si>
    <t>INC2485772</t>
  </si>
  <si>
    <t>Qualification 'LHGTL' missing from the list when Qualifications filter is applied.</t>
  </si>
  <si>
    <t>REQ1227909</t>
  </si>
  <si>
    <t>Digital Observability Team (Datadog) - Non-Compliant Hosts Found for Account - 381492094098</t>
  </si>
  <si>
    <t>INC2460686</t>
  </si>
  <si>
    <t>LHR  unable to login to Groundstar Realtime</t>
  </si>
  <si>
    <t>15-06-2026 21:06:49</t>
  </si>
  <si>
    <t>17-06-2026 07:34:45</t>
  </si>
  <si>
    <t>INC2478318</t>
  </si>
  <si>
    <t>BES INCIDENT for alertId 0250654812|internal|heartbeat|agent_metrics_written CRITICAL|Hostname:we1stadmap004|471112757515</t>
  </si>
  <si>
    <t>24-06-2026 15:41:54</t>
  </si>
  <si>
    <t>25-06-2026 07:10:52</t>
  </si>
  <si>
    <t>INC2478218</t>
  </si>
  <si>
    <t>BES INCIDENT for alertId 0250653831|internal|heartbeat|agent_metrics_written CRITICAL|Hostname:we1stadmap001|471112757515</t>
  </si>
  <si>
    <t>24-06-2026 14:41:51</t>
  </si>
  <si>
    <t>25-06-2026 07:09:03</t>
  </si>
  <si>
    <t>INC2478256</t>
  </si>
  <si>
    <t>BES INCIDENT for alertId 0250654204|internal|heartbeat|agent_metrics_written CRITICAL|Hostname:we1stadmap002|471112757515</t>
  </si>
  <si>
    <t>24-06-2026 15:00:55</t>
  </si>
  <si>
    <t>25-06-2026 07:09:40</t>
  </si>
  <si>
    <t>INC2478291</t>
  </si>
  <si>
    <t>BES INCIDENT for alertId 0250654487|internal|heartbeat|agent_metrics_written CRITICAL|Hostname:we1stadmap003|471112757515</t>
  </si>
  <si>
    <t>24-06-2026 15:19:12</t>
  </si>
  <si>
    <t>25-06-2026 07:11:18</t>
  </si>
  <si>
    <t>INC2464239</t>
  </si>
  <si>
    <t>BES INCIDENT for alertId 0250423805|tail|error321.log|dynamic_content_check_AVAILABLE_matched CRITICAL|Hostname:le1rmst3ap003|730335333823</t>
  </si>
  <si>
    <t>18-06-2026 02:40:50</t>
  </si>
  <si>
    <t>22-06-2026 07:08:44</t>
  </si>
  <si>
    <t>INC2466609</t>
  </si>
  <si>
    <t xml:space="preserve">Received bulk alerts for the FIGARO application bal2283prd003 ,bal2283prd002 &amp; bal2283prd001 </t>
  </si>
  <si>
    <t>19-06-2026 01:48:49</t>
  </si>
  <si>
    <t>22-06-2026 07:10:08</t>
  </si>
  <si>
    <t>INC2464618</t>
  </si>
  <si>
    <t>BA-LHR-GS planning- Error</t>
  </si>
  <si>
    <t>18-06-2026 09:32:31</t>
  </si>
  <si>
    <t>22-06-2026 07:09:33</t>
  </si>
  <si>
    <t>INC2475108</t>
  </si>
  <si>
    <t>Alerts dropping in and out of live operation</t>
  </si>
  <si>
    <t>23-06-2026 02:23:31</t>
  </si>
  <si>
    <t>23-06-2026 03:15:49</t>
  </si>
  <si>
    <t>INC2461708</t>
  </si>
  <si>
    <t>16-06-2026 12:15:22</t>
  </si>
  <si>
    <t>17-06-2026 07:38:18</t>
  </si>
  <si>
    <t>INC2444344</t>
  </si>
  <si>
    <t>trying to log into staff admin via citrix and accepts log in details but doesnt load</t>
  </si>
  <si>
    <t>INC2449868</t>
  </si>
  <si>
    <t>ART application running very slow for n546453, n530846 and n533383</t>
  </si>
  <si>
    <t>INC2453244</t>
  </si>
  <si>
    <t>BA - LHR - World Tracer System is unavailable.</t>
  </si>
  <si>
    <t>INC2441743</t>
  </si>
  <si>
    <t>BES INCIDENT for alertId 0019629344|AWS/ApplicationELB|app/alb-opsdb-prd-euwe1-int-web1-01/9de9c42d0ffc856d|HTTPCode_Target_4XX_Count CRITICAL|Hostname:app/alb-opsdb-prd-euwe1-int-web1-01/9de9c42d0ffc856d|992382395097</t>
  </si>
  <si>
    <t>INC2440135</t>
  </si>
  <si>
    <t>INC2437267</t>
  </si>
  <si>
    <t>BES INCIDENT for alertId 0019504586|AWS/SQS|sqs-cjd-prod-euwe1-rebooking-queue.fifo|ApproximateNumberOfMessagesVisible CRITICAL|Hostname:sqs-cjd-prod-euwe1-rebooking-queue.fifo|730335673794</t>
  </si>
  <si>
    <t>abbas nagoor kani</t>
  </si>
  <si>
    <t>INC2461766</t>
  </si>
  <si>
    <t>BES INCIDENT for alertId 0250372303|AWS/ApiGateway|apigtw-cjd-prod-euwe1-cjdinitservice|4XXError CRITICAL|Hostname:apigtw-cjd-prod-euwe1-cjdinitservice|730335673794</t>
  </si>
  <si>
    <t>INC2476696</t>
  </si>
  <si>
    <t>BES INCIDENT for alertId 0250627388|AWS/SQS|sqs-cjd-prod-euwe1-rebooking-queue.fifo|ApproximateNumberOfMessagesVisible CRITICAL|Hostname:sqs-cjd-prod-euwe1-rebooking-queue.fifo|730335673794</t>
  </si>
  <si>
    <t>INC2477074</t>
  </si>
  <si>
    <t>BES INCIDENT for alertId 0250635335|AWS/SQS|sqs-cjd-prod-euwe1-rebooking-queue.fifo|ApproximateNumberOfMessagesVisible CRITICAL|Hostname:sqs-cjd-prod-euwe1-rebooking-queue.fifo|730335673794</t>
  </si>
  <si>
    <t>INC2478275</t>
  </si>
  <si>
    <t>BES INCIDENT for alertId 0250654373|AWS/SQS|sqs-cjd-prod-euwe1-rebooking-queue.fifo|ApproximateNumberOfMessagesVisible CRITICAL|Hostname:sqs-cjd-prod-euwe1-rebooking-queue.fifo|730335673794</t>
  </si>
  <si>
    <t>INC2485562</t>
  </si>
  <si>
    <t>Manually created flight tasks do not auto-assign when they reach the current time line</t>
  </si>
  <si>
    <t>INC2483020</t>
  </si>
  <si>
    <t xml:space="preserve">IB 722 - no departure task created / no information on baggage tab on RMS. </t>
  </si>
  <si>
    <t>INC2478243</t>
  </si>
  <si>
    <t>Customer - Stand change from off pier to on pier not removing tasks - BA827 Dublin arrival</t>
  </si>
  <si>
    <t>INC2478242</t>
  </si>
  <si>
    <t>Customer - Delete end of shift task not showing in Business Operations in PRD</t>
  </si>
  <si>
    <t>INC2478208</t>
  </si>
  <si>
    <t>Planned tasks trigger notifications in StaffComm</t>
  </si>
  <si>
    <t>INC2478207</t>
  </si>
  <si>
    <t>Customer - Task view locations disappeared from RMS - resolved only after user restarted their computer</t>
  </si>
  <si>
    <t>INC2478239</t>
  </si>
  <si>
    <t>Customer - Hand baggage support tasks for both LH and SH flights</t>
  </si>
  <si>
    <t>INC2478223</t>
  </si>
  <si>
    <t>Customer - Flight events not triggering in new RMS — BA143 in Rewarn status but tasks remained in Planned section</t>
  </si>
  <si>
    <t>INC2478220</t>
  </si>
  <si>
    <t>Customer - North Galleries Customer Service Desk 1 not generating tasks despite being in base data</t>
  </si>
  <si>
    <t>INC2478212</t>
  </si>
  <si>
    <t>INC2464638</t>
  </si>
  <si>
    <t xml:space="preserve">RMS CUSTOMER UPGRADED: North Galleries Customer Service Desk 1 not generating tasks </t>
  </si>
  <si>
    <t>INC2482978</t>
  </si>
  <si>
    <t>FIDSMON on pc But no access</t>
  </si>
  <si>
    <t>INC2462961</t>
  </si>
  <si>
    <t xml:space="preserve">Flight engagement time was incorrect, </t>
  </si>
  <si>
    <t>INC2474766</t>
  </si>
  <si>
    <t xml:space="preserve">*New RMS for customer * PROD STAFF </t>
  </si>
  <si>
    <t>INC2475678</t>
  </si>
  <si>
    <t>URGENT! Staff Admin ISSUE</t>
  </si>
  <si>
    <t>INC2478228</t>
  </si>
  <si>
    <t>Customer - Modified flight tasks not turning orange in new RMS, allocators have no visual indicator that a task has been changed</t>
  </si>
  <si>
    <t>INC2475162</t>
  </si>
  <si>
    <t>BATCH JOB - LATESUB - UHZ1002T3</t>
  </si>
  <si>
    <t>INC2473480</t>
  </si>
  <si>
    <t>BATCH JOB - JOB FAILED - UGS0001</t>
  </si>
  <si>
    <t>INC2477062</t>
  </si>
  <si>
    <t>BATCH JOB - LATESUB - UHZ1002V5</t>
  </si>
  <si>
    <t>INC2478203</t>
  </si>
  <si>
    <t>Customer - Approximately 5 minute delay on updates in new RMS</t>
  </si>
  <si>
    <t>INC2456138</t>
  </si>
  <si>
    <t>BA-LHR-Unable to login to RMS groundstar</t>
  </si>
  <si>
    <t>INC2464737</t>
  </si>
  <si>
    <t>CUSTOMER NEW RMS: North Galleries Customer Service Desk 1 not generating tasks</t>
  </si>
  <si>
    <t>INC2458927</t>
  </si>
  <si>
    <t>Unable to access the Operational Dashboard</t>
  </si>
  <si>
    <t>INC2465257</t>
  </si>
  <si>
    <t>BES INCIDENT for alertId 0250445856|AWS/SQS|sqs-cjd-prod-euwe1-rebooking-queue.fifo|ApproximateNumberOfMessagesVisible CRITICAL|Hostname:sqs-cjd-prod-euwe1-rebooking-queue.fifo|730335673794</t>
  </si>
  <si>
    <t>INC2466115</t>
  </si>
  <si>
    <t>BES INCIDENT for alertId 0250456305|procstat|informgsrtmbroster|lookup_running CRITICAL|Hostname:le1gsplaap001|835530948614</t>
  </si>
  <si>
    <t>INC2465661</t>
  </si>
  <si>
    <t>BES INCIDENT for alertId 0250451325|tail|error119.log|dynamic_content_check_AVAILABLE_matched CRITICAL|Hostname:le1rmspsap001|533266977564</t>
  </si>
  <si>
    <t>INC2464232</t>
  </si>
  <si>
    <t>BES INCIDENT for alertId 0250423766|tail|error991.log|dynamic_content_check_1004_matched CRITICAL|Hostname:le1rmsraap003|992382737864</t>
  </si>
  <si>
    <t>INC2464231</t>
  </si>
  <si>
    <t>BES INCIDENT for alertId 0250423755|tail|error315.log|dynamic_content_check_1004_matched CRITICAL|Hostname:le1rmsaiap003|533267057136</t>
  </si>
  <si>
    <t>RMS AIRCRAFT MOVEMENTS (prd)</t>
  </si>
  <si>
    <t>INC2464236</t>
  </si>
  <si>
    <t>BES INCIDENT for alertId 0250423798|tail|error119.log|dynamic_content_check_AVAILABLE_matched CRITICAL|Hostname:le1rmspsap001|533266977564</t>
  </si>
  <si>
    <t>INC2457947</t>
  </si>
  <si>
    <t>BA424 original task not behaving as it should - pinged in to the past unplanned</t>
  </si>
  <si>
    <t>INC2447764</t>
  </si>
  <si>
    <t>flight tasks not generated in RMS BA 460</t>
  </si>
  <si>
    <t>INC2453919</t>
  </si>
  <si>
    <t>BES INCIDENT for alertId 0250176155|tail|error315.log|dynamic_content_check_1004_matched CRITICAL|Hostname:le1rmslgap005|381492269129</t>
  </si>
  <si>
    <t>INC2441611</t>
  </si>
  <si>
    <t>BES INCIDENT for alertId 0019624866|tail|error311.log|dynamic_content_check_1000_matched CRITICAL|Hostname:le1rmsaiap003|533267057136</t>
  </si>
  <si>
    <t>REQ1214453</t>
  </si>
  <si>
    <t>Findings for ba-attendance-time-recording-dev - 314146294723 the period starting 2026-05-11 05:05:36.860035</t>
  </si>
  <si>
    <t>REQ1227899</t>
  </si>
  <si>
    <t>Digital Observability Team (Datadog) - Non-Compliant Hosts Found for Account - 851725329582</t>
  </si>
  <si>
    <t>RMS GTS (prelive)</t>
  </si>
  <si>
    <t>INC2455281</t>
  </si>
  <si>
    <t>Application slowness</t>
  </si>
  <si>
    <t>INC2452920</t>
  </si>
  <si>
    <t>BES INCIDENT for alertId 0250157138|AWS/ApiGateway|apigtw-cjd-prod-euwe1-cjdinitservice|4XXError CRITICAL|Hostname:apigtw-cjd-prod-euwe1-cjdinitservice|730335673794</t>
  </si>
  <si>
    <t>INC2464224</t>
  </si>
  <si>
    <t>BES INCIDENT for alertId 0250423727|tail|error315.log|dynamic_content_check_1004_matched CRITICAL|Hostname:le1rmslgap005|381492269129</t>
  </si>
  <si>
    <t>INC2464235</t>
  </si>
  <si>
    <t>BES INCIDENT for alertId 0250423784|tail|error606.log|dynamic_content_check_AVAILABLE_matched CRITICAL|Hostname:le1rmsraap003|992382737864</t>
  </si>
  <si>
    <t>INC2466073</t>
  </si>
  <si>
    <t>BES INCIDENT for alertId 0250456147|procstat|informgsauthproxy|lookup_running CRITICAL|Hostname:le1gsplaap001|835530948614</t>
  </si>
  <si>
    <t>INC2475001</t>
  </si>
  <si>
    <t>BES INCIDENT for alertId 0250599562|tail|error315.log|dynamic_content_check_1004_matched CRITICAL|Hostname:le1rmslgap005|381492269129</t>
  </si>
  <si>
    <t>INC2475002</t>
  </si>
  <si>
    <t>BES INCIDENT for alertId 0250599581|tail|error321.log|dynamic_content_check_AVAILABLE_matched CRITICAL|Hostname:le1rmslgap005|381492269129</t>
  </si>
  <si>
    <t>INC2474064</t>
  </si>
  <si>
    <t>INC2453202</t>
  </si>
  <si>
    <t>Task not created in RMS</t>
  </si>
  <si>
    <t>INC2443566</t>
  </si>
  <si>
    <t>While login into SA it is getting frizz N508578</t>
  </si>
  <si>
    <t>INC2482487</t>
  </si>
  <si>
    <t>BES INCIDENT for alertId 0250716633|AWS/ApiGateway|apigtw-cjd-prod-euwe1-cjdinitservice|4XXError CRITICAL|Hostname:apigtw-cjd-prod-euwe1-cjdinitservice|730335673794</t>
  </si>
  <si>
    <t>INC2482517</t>
  </si>
  <si>
    <t>BES INCIDENT for alertId 0250721616|AWS/ApplicationELB|app/alb-opsdb-prd-euwe1-int-web1-01/9de9c42d0ffc856d|HTTPCode_Target_5XX_Count CRITICAL|Hostname:app/alb-opsdb-prd-euwe1-int-web1-01/9de9c42d0ffc856d|992382395097</t>
  </si>
  <si>
    <t>INC2482582</t>
  </si>
  <si>
    <t>BES INCIDENT for alertId 0250722140|AWS/ApplicationELB|app/alb-opsdb-prd-euwe1-int-app1-01/0aa2cba8c7638126|HTTPCode_Target_5XX_Count CRITICAL|Hostname:app/alb-opsdb-prd-euwe1-int-app1-01/0aa2cba8c7638126|992382395097</t>
  </si>
  <si>
    <t>INC2484742</t>
  </si>
  <si>
    <t>BES INCIDENT for alertId 0250793247|procstat|informgsrtserverinterface1|lookup_running CRITICAL|Hostname:le1gsplaap001|835530948614</t>
  </si>
  <si>
    <t>INC2464590</t>
  </si>
  <si>
    <t>Fidsmon not working</t>
  </si>
  <si>
    <t>FIDSMON</t>
  </si>
  <si>
    <t>INC2479844</t>
  </si>
  <si>
    <t>BATCH JOB - JOB FAILED - UHZ1002B5</t>
  </si>
  <si>
    <t>INC2475161</t>
  </si>
  <si>
    <t>INC2477061</t>
  </si>
  <si>
    <t>27-04-2026 08:27:06</t>
  </si>
  <si>
    <t>RIBI(prl)</t>
  </si>
  <si>
    <t>12-05-2026 10:36:34</t>
  </si>
  <si>
    <t>RIBI(prd)</t>
  </si>
  <si>
    <t>12-05-2026 10:42:35</t>
  </si>
  <si>
    <t>RIBI(dev)</t>
  </si>
  <si>
    <t>18-05-2026 11:30:38</t>
  </si>
  <si>
    <t>RIBI(uat)</t>
  </si>
  <si>
    <t>REQ1227918</t>
  </si>
  <si>
    <t>Digital Observability Team (Datadog) - Non-Compliant Hosts Found for Account - 339712973238</t>
  </si>
  <si>
    <t>05-06-2026 09:12:34</t>
  </si>
  <si>
    <t>REQ1230344</t>
  </si>
  <si>
    <t>Findings for ba-ribi-uat - 202533526794 the period starting 2026-06-01 05:07:32.478065</t>
  </si>
  <si>
    <t>08-06-2026 13:29:28</t>
  </si>
  <si>
    <t>REQ1230381</t>
  </si>
  <si>
    <t>Findings for ba-ribi-tst - 796973518145 the period starting 2026-06-01 05:09:06.274222</t>
  </si>
  <si>
    <t>08-06-2026 13:30:05</t>
  </si>
  <si>
    <t>RIBI(tst)</t>
  </si>
  <si>
    <t>REQ1231801</t>
  </si>
  <si>
    <t>Digital Observability Team (Datadog) - Non-Compliant Hosts Found for Account - 992382737864</t>
  </si>
  <si>
    <t>09-06-2026 11:53:09</t>
  </si>
  <si>
    <t>REQ1235988</t>
  </si>
  <si>
    <t>Findings for ba-ribi-uat - 202533526794 the period starting 2026-06-08 05:05:35.979888</t>
  </si>
  <si>
    <t>16-06-2026 07:52:31</t>
  </si>
  <si>
    <t>REQ1236057</t>
  </si>
  <si>
    <t>Findings for ba-ribi-dev - 535002885708 the period starting 2026-06-08 05:08:10.103186</t>
  </si>
  <si>
    <t>16-06-2026 07:53:20</t>
  </si>
  <si>
    <t>REQ1236081</t>
  </si>
  <si>
    <t>Findings for ba-ribi-tst - 796973518145 the period starting 2026-06-08 05:09:10.399442</t>
  </si>
  <si>
    <t>16-06-2026 07:53:49</t>
  </si>
  <si>
    <t>REQ1237638</t>
  </si>
  <si>
    <t>Digital Observability Team (Datadog) - Non-Compliant Hosts Found for Account - 851725176206</t>
  </si>
  <si>
    <t>17-06-2026 08:37:54</t>
  </si>
  <si>
    <t>RMS BAGGAGE (prelive)</t>
  </si>
  <si>
    <t>REQ1237645</t>
  </si>
  <si>
    <t>Digital Observability Team (Datadog) - Non-Compliant Hosts Found for Account - 533267057136</t>
  </si>
  <si>
    <t>16-06-2026 16:08:14</t>
  </si>
  <si>
    <t>REQ1237646</t>
  </si>
  <si>
    <t>16-06-2026 16:07:35</t>
  </si>
  <si>
    <t>REQ1237673</t>
  </si>
  <si>
    <t>Digital Observability Team (Datadog) - Non-Compliant Hosts Found for Account - 851725501381</t>
  </si>
  <si>
    <t>17-06-2026 08:30:02</t>
  </si>
  <si>
    <t>REQ1243593</t>
  </si>
  <si>
    <t>Digital Observability Team (Datadog) - Non-Compliant Hosts Found for Account - 654654410889</t>
  </si>
  <si>
    <t>23-06-2026 12:47:49</t>
  </si>
  <si>
    <t>RMS AIRCRAFT MOVEMENTS (prelive)</t>
  </si>
  <si>
    <t>REQ1243600</t>
  </si>
  <si>
    <t>23-06-2026 12:43:00</t>
  </si>
  <si>
    <t>REQ1243608</t>
  </si>
  <si>
    <t>Digital Observability Team (Datadog) - Non-Compliant Hosts Found for Account - 533266977564</t>
  </si>
  <si>
    <t>23-06-2026 12:36:25</t>
  </si>
  <si>
    <t>REQ1243610</t>
  </si>
  <si>
    <t>Digital Observability Team (Datadog) - Non-Compliant Hosts Found for Account - 058264477828</t>
  </si>
  <si>
    <t>23-06-2026 12:35:00</t>
  </si>
  <si>
    <t>INC2449338</t>
  </si>
  <si>
    <t>BA-LHR-AIMS login issue need password reset</t>
  </si>
  <si>
    <t>07/06/2026 09:35:34</t>
  </si>
  <si>
    <t>08-06-2026 06:42:52</t>
  </si>
  <si>
    <t>INC2452454</t>
  </si>
  <si>
    <t>ART Application is not working.</t>
  </si>
  <si>
    <t>09/06/2026 13:24:33</t>
  </si>
  <si>
    <t>10-06-2026 06:46:51</t>
  </si>
  <si>
    <t>INC2449151</t>
  </si>
  <si>
    <t>07/06/2026 02:14:53</t>
  </si>
  <si>
    <t>07-06-2026 10:06:25</t>
  </si>
  <si>
    <t>INC2474102</t>
  </si>
  <si>
    <t>ATTENDANCE TIME REC VEIGHT (prd): Minor: aws.dms.cdclatency_source</t>
  </si>
  <si>
    <t>22/06/2026 12:41:48</t>
  </si>
  <si>
    <t>23-06-2026 12:30:40</t>
  </si>
  <si>
    <t>INC2459277</t>
  </si>
  <si>
    <t>15/06/2026 02:12:44</t>
  </si>
  <si>
    <t>15-06-2026 07:44:27</t>
  </si>
  <si>
    <t>INC2451532</t>
  </si>
  <si>
    <t>09/06/2026 02:14:15</t>
  </si>
  <si>
    <t>09-06-2026 07:27:06</t>
  </si>
  <si>
    <t>INC2460558</t>
  </si>
  <si>
    <t>ATTENDANCE TIME REC VEIGHT (prd): Minor: aws.applicationelb.healthy_host_count</t>
  </si>
  <si>
    <t>15/06/2026 17:53:30</t>
  </si>
  <si>
    <t>16-06-2026 07:36:29</t>
  </si>
  <si>
    <t>INC2457149</t>
  </si>
  <si>
    <t>BES INCIDENT for alertId 0250231897|AWS/SQS|sqs-cjd-prod-euwe1-rebooking-queue.fifo|ApproximateNumberOfMessagesVisible CRITICAL|Hostname:sqs-cjd-prod-euwe1-rebooking-queue.fifo|730335673794</t>
  </si>
  <si>
    <t>12/06/2026 04:57:33</t>
  </si>
  <si>
    <t>12-06-2026 06:54:01</t>
  </si>
  <si>
    <t>INC2450858</t>
  </si>
  <si>
    <t>BES INCIDENT for alertId 0250121978|AWS/SQS|sqs-cjd-prod-euwe1-rebooking-queue.fifo|ApproximateNumberOfMessagesVisible CRITICAL|Hostname:sqs-cjd-prod-euwe1-rebooking-queue.fifo|730335673794</t>
  </si>
  <si>
    <t>08/06/2026 13:42:52</t>
  </si>
  <si>
    <t>INC2453142</t>
  </si>
  <si>
    <t>BES INCIDENT for alertId 0250158673|AWS/SQS|sqs-cjd-prod-euwe1-rebooking-queue.fifo|ApproximateNumberOfMessagesVisible CRITICAL|Hostname:sqs-cjd-prod-euwe1-rebooking-queue.fifo|730335673794</t>
  </si>
  <si>
    <t>09/06/2026 17:10:21</t>
  </si>
  <si>
    <t>10-06-2026 06:51:37</t>
  </si>
  <si>
    <t>INC2447046</t>
  </si>
  <si>
    <t>DEL -- BA -- customer journey dashboard issue</t>
  </si>
  <si>
    <t>05/06/2026 01:04:07</t>
  </si>
  <si>
    <t>05-06-2026 09:31:12</t>
  </si>
  <si>
    <t>07-06-2026 04:24:46</t>
  </si>
  <si>
    <t>16-06-2026 10:27:16</t>
  </si>
  <si>
    <t>INC2441283</t>
  </si>
  <si>
    <t>BES INCIDENT for alertId 0019616371|AWS/SQS|sqs-cjd-prod-euwe1-rebooking-queue.fifo|ApproximateNumberOfMessagesVisible CRITICAL|Hostname:sqs-cjd-prod-euwe1-rebooking-queue.fifo|730335673794</t>
  </si>
  <si>
    <t>01/06/2026 18:50:20</t>
  </si>
  <si>
    <t>02-06-2026 10:20:18</t>
  </si>
  <si>
    <t>INC2464291</t>
  </si>
  <si>
    <t>BES INCIDENT for alertId 0250424649|procstat|informgsrtserverinterface1|lookup_running CRITICAL|Hostname:le1gsplaap001|835530948614</t>
  </si>
  <si>
    <t>18/06/2026 04:08:40</t>
  </si>
  <si>
    <t>22-06-2026 07:10:33</t>
  </si>
  <si>
    <t>INC2456935</t>
  </si>
  <si>
    <t>BES INCIDENT for alertId 0250227756|procstat|informgsrtserverinterface1|lookup_running CRITICAL|Hostname:le1gsplaap001|835530948614</t>
  </si>
  <si>
    <t>12/06/2026 01:19:16</t>
  </si>
  <si>
    <t>12-06-2026 06:55:50</t>
  </si>
  <si>
    <t>INC2464019</t>
  </si>
  <si>
    <t>BES INCIDENT for alertId 0250421921|AWS/ApplicationELB|app/alb-opsdb-prd-euwe1-int-web1-01/9de9c42d0ffc856d|HTTPCode_Target_4XX_Count CRITICAL|Hostname:app/alb-opsdb-prd-euwe1-int-web1-01/9de9c42d0ffc856d|992382395097</t>
  </si>
  <si>
    <t>18/06/2026 01:46:47</t>
  </si>
  <si>
    <t>18-06-2026 07:13:44</t>
  </si>
  <si>
    <t>INC2460162</t>
  </si>
  <si>
    <t>BES INCIDENT for alertId 0250339113|AWS/ApplicationELB|app/alb-opsdb-prd-euwe1-ext-dmz-01/1ee263939ac79dab|HTTPCode_Target_4XX_Count CRITICAL|Hostname:app/alb-opsdb-prd-euwe1-ext-dmz-01/1ee263939ac79dab|992382395097</t>
  </si>
  <si>
    <t>15/06/2026 14:45:29</t>
  </si>
  <si>
    <t>16-06-2026 07:40:22</t>
  </si>
  <si>
    <t>INC2441341</t>
  </si>
  <si>
    <t>BES INCIDENT for alertId 0019617754|AWS/ApplicationELB|app/alb-opsdb-prd-euwe1-int-web1-01/9de9c42d0ffc856d|HTTPCode_Target_5XX_Count CRITICAL|Hostname:app/alb-opsdb-prd-euwe1-int-web1-01/9de9c42d0ffc856d|992382395097</t>
  </si>
  <si>
    <t>01/06/2026 20:53:08</t>
  </si>
  <si>
    <t>02-06-2026 08:02:15</t>
  </si>
  <si>
    <t>INC2441736</t>
  </si>
  <si>
    <t>BES INCIDENT for alertId 0019629089|AWS/ApplicationELB|app/alb-opsdb-prd-euwe1-int-web1-01/9de9c42d0ffc856d|HTTPCode_Target_4XX_Count CRITICAL|Hostname:app/alb-opsdb-prd-euwe1-int-web1-01/9de9c42d0ffc856d|992382395097</t>
  </si>
  <si>
    <t>04/06/2026 09:12:25</t>
  </si>
  <si>
    <t>09-06-2026 13:45:06</t>
  </si>
  <si>
    <t>INC2443622</t>
  </si>
  <si>
    <t>BES INCIDENT for alertId 0019660050|AWS/ApplicationELB|app/alb-opsdb-prd-euwe1-int-web1-01/9de9c42d0ffc856d|HTTPCode_Target_5XX_Count CRITICAL|Hostname:app/alb-opsdb-prd-euwe1-int-web1-01/9de9c42d0ffc856d|992382395097</t>
  </si>
  <si>
    <t>04/06/2026 03:41:38</t>
  </si>
  <si>
    <t>05-06-2026 09:22:32</t>
  </si>
  <si>
    <t>INC2457826</t>
  </si>
  <si>
    <t>BES INCIDENT for alertId 0250251172|AWS/ApplicationELB|app/alb-opsdb-prd-euwe1-int-web1-01/9de9c42d0ffc856d|HTTPCode_Target_5XX_Count CRITICAL|Hostname:app/alb-opsdb-prd-euwe1-int-web1-01/9de9c42d0ffc856d|992382395097</t>
  </si>
  <si>
    <t>12/06/2026 14:56:46</t>
  </si>
  <si>
    <t>14-06-2026 14:02:34</t>
  </si>
  <si>
    <t>INC2459508</t>
  </si>
  <si>
    <t>BES INCIDENT for alertId 0250328693|AWS/ApiGateway|oscs-backend-api|Latency CRITICAL|Hostname:oscs-backend-api|241533157440</t>
  </si>
  <si>
    <t>15/06/2026 08:06:23</t>
  </si>
  <si>
    <t>15-06-2026 08:08:31</t>
  </si>
  <si>
    <t>INC2473518</t>
  </si>
  <si>
    <t>BES INCIDENT for alertId 0250576111|AWS/ApiGateway|oscs-backend-api|Latency CRITICAL|Hostname:oscs-backend-api|241533157440</t>
  </si>
  <si>
    <t>22/06/2026 07:46:36</t>
  </si>
  <si>
    <t>23-06-2026 13:20:44</t>
  </si>
  <si>
    <t>INC2453290</t>
  </si>
  <si>
    <t>BA 890 late allocation of ADM to flight as task had shrunk. Need to ascertain if it was system error or human error</t>
  </si>
  <si>
    <t>09/06/2026 21:56:19</t>
  </si>
  <si>
    <t>10-06-2026 06:36:50</t>
  </si>
  <si>
    <t>INC2445741</t>
  </si>
  <si>
    <t>AIMS IN THE T5B LOUNGE IS CONNECTED TO TERMINAL 3 APPLICATION AND NOT T5</t>
  </si>
  <si>
    <t>08/06/2026 11:30:15</t>
  </si>
  <si>
    <t>09-06-2026 07:19:12</t>
  </si>
  <si>
    <t>11-06-2026 10:51:48</t>
  </si>
  <si>
    <t>17-06-2026 11:43:56</t>
  </si>
  <si>
    <t>INC2482766</t>
  </si>
  <si>
    <t>No one can log in on this set</t>
  </si>
  <si>
    <t>26/06/2026 14:21:09</t>
  </si>
  <si>
    <t>29-06-2026 07:54:49</t>
  </si>
  <si>
    <t>INC2481954</t>
  </si>
  <si>
    <t>26/06/2026 02:15:15</t>
  </si>
  <si>
    <t>26-06-2026 09:13:57</t>
  </si>
  <si>
    <t>INC2476390</t>
  </si>
  <si>
    <t>Swipes not reading</t>
  </si>
  <si>
    <t>23/06/2026 15:42:23</t>
  </si>
  <si>
    <t>24-06-2026 06:56:38</t>
  </si>
  <si>
    <t>30-06-2026 10:18:21</t>
  </si>
  <si>
    <t>INC2476383</t>
  </si>
  <si>
    <t xml:space="preserve">Swipes in/out not showing </t>
  </si>
  <si>
    <t>23/06/2026 15:39:55</t>
  </si>
  <si>
    <t>24-06-2026 06:56:02</t>
  </si>
  <si>
    <t>24-06-2026 11:02:03</t>
  </si>
  <si>
    <t>INC2474771</t>
  </si>
  <si>
    <t xml:space="preserve">ATR swipes not feeding through to Groundstar PSU customer RMS </t>
  </si>
  <si>
    <t>23/06/2026 09:38:09</t>
  </si>
  <si>
    <t>25-06-2026 08:20:18</t>
  </si>
  <si>
    <t>29-06-2026 10:31:11</t>
  </si>
  <si>
    <t>INC2461589</t>
  </si>
  <si>
    <t>LHR : Garnett issue</t>
  </si>
  <si>
    <t>16/06/2026 11:45:16</t>
  </si>
  <si>
    <t>17-06-2026 07:36:20</t>
  </si>
  <si>
    <t>24-06-2026 10:41:50</t>
  </si>
  <si>
    <t>25-06-2026 09:58:08</t>
  </si>
  <si>
    <t>GARNETT (prd)</t>
  </si>
  <si>
    <t>INC2480531</t>
  </si>
  <si>
    <t>Load view viewer</t>
  </si>
  <si>
    <t>25/06/2026 09:22:58</t>
  </si>
  <si>
    <t>26-06-2026 09:07:02</t>
  </si>
  <si>
    <t>LOADVIEW (dev)</t>
  </si>
  <si>
    <t>INC2461612</t>
  </si>
  <si>
    <t>MAA : Uanble to lauch OPDEF application. Showing error as below,
Component 'oracle.ocx' or one of its dependencies not correctly registered: a file missing or invalid.</t>
  </si>
  <si>
    <t>16/06/2026 13:26:12</t>
  </si>
  <si>
    <t>17-06-2026 07:36:46</t>
  </si>
  <si>
    <t>30-06-2026 10:48:25</t>
  </si>
  <si>
    <t>OPDEFS (prd)</t>
  </si>
  <si>
    <t>INC2485008</t>
  </si>
  <si>
    <t>BA-LGW-BAG drop/Kiosk-Transport error</t>
  </si>
  <si>
    <t>29/06/2026 07:30:11</t>
  </si>
  <si>
    <t>29-06-2026 07:53:02</t>
  </si>
  <si>
    <t>29-06-2026 09:26:23</t>
  </si>
  <si>
    <t>SELF SERVICE BAG DROP (prd)</t>
  </si>
  <si>
    <t>INC2486640</t>
  </si>
  <si>
    <t>BA-LHR-Self service bag drop and check-in kiosks are not working</t>
  </si>
  <si>
    <t>30/06/2026 05:36:20</t>
  </si>
  <si>
    <t>30-06-2026 05:46:47</t>
  </si>
  <si>
    <t>INC2487321</t>
  </si>
  <si>
    <t>Escalated P3 - World Tracer app is not working</t>
  </si>
  <si>
    <t>30/06/2026 12:40:06</t>
  </si>
  <si>
    <t>30-06-2026 12:57:56</t>
  </si>
  <si>
    <t>INC2469083</t>
  </si>
  <si>
    <t>yet again unable to access staff admin. Ticket previously raised as INC2303559</t>
  </si>
  <si>
    <t>19/06/2026 14:27:30</t>
  </si>
  <si>
    <t>23-06-2026 05:52:54</t>
  </si>
  <si>
    <t>INC2485835</t>
  </si>
  <si>
    <t>Fidsmon is blank</t>
  </si>
  <si>
    <t>INC2479845</t>
  </si>
  <si>
    <t>INC2479843</t>
  </si>
  <si>
    <t>INC2479842</t>
  </si>
  <si>
    <t>INC2479179</t>
  </si>
  <si>
    <t>BATCH JOB - Job EXECTIME Error - UHZ0003</t>
  </si>
  <si>
    <t>INC2479026</t>
  </si>
  <si>
    <t>INC2443244</t>
  </si>
  <si>
    <t>I was given a new laptop yesterday, It has Fidsmon but it has a blank page</t>
  </si>
  <si>
    <t>INC2452338</t>
  </si>
  <si>
    <t>We could see Latency increased on the AUTH resource in redis - Stack 4.</t>
  </si>
  <si>
    <t>INC2431564</t>
  </si>
  <si>
    <t>Ops dashboard flashing</t>
  </si>
  <si>
    <t>REQ1232867</t>
  </si>
  <si>
    <t>Generic Request - Update email address for RIBI email distribution</t>
  </si>
  <si>
    <t>RIBI</t>
  </si>
  <si>
    <t>REQ1232852</t>
  </si>
  <si>
    <t>INC2466080</t>
  </si>
  <si>
    <t>BES INCIDENT for alertId 0250456149|procstat|informgsrtserverinterface1|lookup_running CRITICAL|Hostname:le1gsplaap001|835530948614</t>
  </si>
  <si>
    <t>INC2464826</t>
  </si>
  <si>
    <t>BES INCIDENT for alertId 0250437383|procstat|informgsrtserverinterface1|lookup_running CRITICAL|Hostname:le1gsplaap001|835530948614</t>
  </si>
  <si>
    <t>INC2464327</t>
  </si>
  <si>
    <t>BES INCIDENT for alertId 0250424666|IAG-Recovery|cwr-gsplanning-prd-euwe1-procstat-recovery-01|exit_code CRITICAL|Hostname:le1gsplaap001|835530948614</t>
  </si>
  <si>
    <t>le1gsplaap001</t>
  </si>
  <si>
    <t>INC2464237</t>
  </si>
  <si>
    <t>BES INCIDENT for alertId 0250423812|tail|error321.log|dynamic_content_check_AVAILABLE_matched CRITICAL|Hostname:le1rmslgap005|381492269129</t>
  </si>
  <si>
    <t>INC2460807</t>
  </si>
  <si>
    <t>BES INCIDENT for alertId 0250355010|procstat|informgsauthproxy|lookup_running CRITICAL|Hostname:le1gsplaap001|835530948614</t>
  </si>
  <si>
    <t>INC2460107</t>
  </si>
  <si>
    <t>Didnt create lateral to FCS task in RMS</t>
  </si>
  <si>
    <t>INC2459986</t>
  </si>
  <si>
    <t xml:space="preserve">BA 460 flight not created in RMS - not generate gate team </t>
  </si>
  <si>
    <t>INC2450934</t>
  </si>
  <si>
    <t>INFORM_SUPPORT - Multiple CD Requests Not Actioned Correctly</t>
  </si>
  <si>
    <t>INC2448042</t>
  </si>
  <si>
    <t>BA-LHR-OPS DASHBOARD-BLANK</t>
  </si>
  <si>
    <t>INC2447075</t>
  </si>
  <si>
    <t>BES INCIDENT for alertId 0250022735|procstat|informgsauthproxy|lookup_running CRITICAL|Hostname:le1gsplaap001|835530948614</t>
  </si>
  <si>
    <t>INC2481332</t>
  </si>
  <si>
    <t>Unable to see data</t>
  </si>
  <si>
    <t>INC2481059</t>
  </si>
  <si>
    <t>It does not refresh</t>
  </si>
  <si>
    <t>INC2473481</t>
  </si>
  <si>
    <t>The BA Operational dashboard is not working on my ESS page</t>
  </si>
  <si>
    <t>INC2470000</t>
  </si>
  <si>
    <t xml:space="preserve">BA384 Departure was aircraft changed to a 777 but the engagement time stayed as a Shorthaul flight so -45 instead of -60  </t>
  </si>
  <si>
    <t>INC2469486</t>
  </si>
  <si>
    <t>Denied Access</t>
  </si>
  <si>
    <t>INC2456931</t>
  </si>
  <si>
    <t>BA - DEL - Functionality issue in CJD</t>
  </si>
  <si>
    <t xml:space="preserve">Not an Issue </t>
  </si>
  <si>
    <t>INC2441179</t>
  </si>
  <si>
    <t>BES INCIDENT for alertId 0019614714|disk|/webserver|used_percent CRITICAL|Hostname:le1opsdbwp001|992382395097</t>
  </si>
  <si>
    <t>INC2473845</t>
  </si>
  <si>
    <t>BA - LHR - AIMS - User need to reset password for AIMS Lounge</t>
  </si>
  <si>
    <t>INC2463038</t>
  </si>
  <si>
    <t>BES INCIDENT for alertId 0250403306|AWS/ApiGateway|oscs-backend-api|5XXError CRITICAL|Hostname:oscs-backend-api|241533157440</t>
  </si>
  <si>
    <t>INC2457777</t>
  </si>
  <si>
    <t>Not allowing colleagues to sign into Aims</t>
  </si>
  <si>
    <t>INC2456025</t>
  </si>
  <si>
    <t>Unable to display airtag</t>
  </si>
  <si>
    <t>INC2453857</t>
  </si>
  <si>
    <t>BES INCIDENT for alertId 0250170926|AWS/ApiGateway|oscs-backend-api|Latency CRITICAL|Hostname:oscs-backend-api|241533157440</t>
  </si>
  <si>
    <t>INC2448752</t>
  </si>
  <si>
    <t>INC2448647</t>
  </si>
  <si>
    <t>BA-LHR-ATR swipe machines not working</t>
  </si>
  <si>
    <t>INC2474384</t>
  </si>
  <si>
    <t xml:space="preserve">FIDSMON CONFIGURATION </t>
  </si>
  <si>
    <t>INC2475163</t>
  </si>
  <si>
    <t>INC2475164</t>
  </si>
  <si>
    <t>INC2479025</t>
  </si>
  <si>
    <t>BATCH JOB - JOB FAILED - UHZ0002</t>
  </si>
  <si>
    <t>INC2479027</t>
  </si>
  <si>
    <t>BATCH JOB - JOB FAILED - UHZ0003</t>
  </si>
  <si>
    <t>INC2486822</t>
  </si>
  <si>
    <t xml:space="preserve">BALON-FIDS screen- Blank </t>
  </si>
  <si>
    <t>INC2452346</t>
  </si>
  <si>
    <t>no longer have access to Critical Services Allocation in RMS to find names for next day in Sup Op</t>
  </si>
  <si>
    <t>INC2453219</t>
  </si>
  <si>
    <t xml:space="preserve">BA 1410 flight STD 1920 delayed until 2005. system did not update when time was adjusted back to STD time so team late engaged on flight </t>
  </si>
  <si>
    <t>INC2459087</t>
  </si>
  <si>
    <t>BA421 ARRIVAL DID NOT GENERATE ANY TASKS FOR DRIVERS.</t>
  </si>
  <si>
    <t>INC2462355</t>
  </si>
  <si>
    <t>BES INCIDENT for alertId 0250387602|tail|error311.log|dynamic_content_check_1000_matched CRITICAL|Hostname:le1rmslgap005|381492269129</t>
  </si>
  <si>
    <t>le1rmslgap005</t>
  </si>
  <si>
    <t>INC2463369</t>
  </si>
  <si>
    <t>Task not created</t>
  </si>
  <si>
    <t>INC2468820</t>
  </si>
  <si>
    <t>BES INCIDENT for alertId 0250488067|AWS/SQS|sqs-cjd-prod-euwe1-rebooking-queue.fifo|ApproximateNumberOfMessagesVisible CRITICAL|Hostname:sqs-cjd-prod-euwe1-rebooking-queue.fifo|730335673794</t>
  </si>
  <si>
    <t>REQ1227901</t>
  </si>
  <si>
    <t>INC2467029</t>
  </si>
  <si>
    <t>BES INCIDENT for alertId 0250462241|AWS/ApiGateway|apigtw-cjd-prod-euwe1-cjdinitservice|5XXError CRITICAL|Hostname:apigtw-cjd-prod-euwe1-cjdinitservice|730335673794</t>
  </si>
  <si>
    <t>INC2465717</t>
  </si>
  <si>
    <t>BES INCIDENT for alertId 0250452925|AWS/SQS|sqs-cjd-prod-euwe1-rebooking-queue.fifo|ApproximateNumberOfMessagesVisible CRITICAL|Hostname:sqs-cjd-prod-euwe1-rebooking-queue.fifo|730335673794</t>
  </si>
  <si>
    <t>INC2460861</t>
  </si>
  <si>
    <t>BES INCIDENT for alertId 0250357756|AWS/SQS|sqs-cjd-prod-euwe1-adix-queue.fifo|ApproximateNumberOfMessagesVisible CRITICAL|Hostname:sqs-cjd-prod-euwe1-adix-queue.fifo|730335673794</t>
  </si>
  <si>
    <t>INC2457042</t>
  </si>
  <si>
    <t>BES INCIDENT for alertId 0250229625|AWS/ApplicationELB|group/alt-opsdb-prd-euwe1-int-web1-01/154e0ba3bfc39f08|UnHealthyHostCount CRITICAL|Hostname:app/alb-opsdb-prd-euwe1-int-web1-01/9de9c42d0ffc856d|992382395097</t>
  </si>
  <si>
    <t>INC2444360</t>
  </si>
  <si>
    <t>BA - LHR - Functionality issue in the RIBI System</t>
  </si>
  <si>
    <t>Server Performance</t>
  </si>
  <si>
    <t>INC2440618</t>
  </si>
  <si>
    <t>ATR swipes not displayed post 06:29</t>
  </si>
  <si>
    <t>INC2440133</t>
  </si>
  <si>
    <t xml:space="preserve">ATR SWIPE MACHINE IN ALL AREAS. - SURNAME APPEARS ON SCREEN BUT DOES NOT ACTIVATE IN ALLOCATION SYSTEM </t>
  </si>
  <si>
    <t>INC2447163</t>
  </si>
  <si>
    <t xml:space="preserve">ATR SWIPE MACHINES - STAFF MEMBER NAME APPEARS BUT DOES NOT TRANSFER TO RMS </t>
  </si>
  <si>
    <t xml:space="preserve">ATR SWIPE SHOWS STAFF MEMBERS NAME BUT  DOES NOT REGISTER IN RMS.  </t>
  </si>
  <si>
    <t>INC2445479</t>
  </si>
  <si>
    <t>INC2440054</t>
  </si>
  <si>
    <t>INC2439506</t>
  </si>
  <si>
    <t>INC2487695</t>
  </si>
  <si>
    <t>3 units require OPDEF 3.1.4 installing. Systems currently have version 3.1.1</t>
  </si>
  <si>
    <t>REQ1243597</t>
  </si>
  <si>
    <t>REQ1243594</t>
  </si>
  <si>
    <t>REQ1237647</t>
  </si>
  <si>
    <t>INC2444792</t>
  </si>
  <si>
    <t>BROCK is not scanning direct bag messages</t>
  </si>
  <si>
    <t>BROCK SMART SUITE</t>
  </si>
  <si>
    <t>REQ1241012</t>
  </si>
  <si>
    <t>Request to install  StaffAdmin</t>
  </si>
  <si>
    <t>REQ1248559</t>
  </si>
  <si>
    <t>Findings for ba-rms-t3-integrated-baggage-prl - 730335284597 the period starting 2026-06-22 05:30:32.834325</t>
  </si>
  <si>
    <t>RMS T3 INTEGRATED BAGGAGE (prelive)</t>
  </si>
  <si>
    <t>REQ1248556</t>
  </si>
  <si>
    <t>Findings for ba-rms-t3-integrated-baggage-prd - 730335333823 the period starting 2026-06-22 05:30:28.475864</t>
  </si>
  <si>
    <t>REQ1248084</t>
  </si>
  <si>
    <t>Findings for ba-attendance-time-rec-veigh-prd - 641241382097 the period starting 2026-06-22 05:15:20.985522</t>
  </si>
  <si>
    <t>REQ1248519</t>
  </si>
  <si>
    <t>Findings for ba-operational-dashboard-ua-uat - 637423444507 the period starting 2026-06-22 05:29:11.258730</t>
  </si>
  <si>
    <t>REQ1248544</t>
  </si>
  <si>
    <t>Findings for ba-rms-baggage-prelive-prl - 851725176206 the period starting 2026-06-22 05:29:58.634752</t>
  </si>
  <si>
    <t>REQ1248385</t>
  </si>
  <si>
    <t>Findings for iagc-alerts-uat - 515851320393 the period starting 2026-06-22 05:23:44.355312</t>
  </si>
  <si>
    <t>ALERTS (uat)</t>
  </si>
  <si>
    <t>REQ1249494</t>
  </si>
  <si>
    <t>Fidsmon (prd)</t>
  </si>
  <si>
    <t>REQ1247984</t>
  </si>
  <si>
    <t>Findings for ba-attendance-time-recording-prd - 241533143325 the period starting 2026-06-22 05:11:41.125595</t>
  </si>
  <si>
    <t>REQ1248359</t>
  </si>
  <si>
    <t>Findings for ba-attendance-time-recording-dev - 654654334334 the period starting 2026-06-22 05:22:45.899043</t>
  </si>
  <si>
    <t>REQ1248504</t>
  </si>
  <si>
    <t>Findings for iagc-alerts-prd - 730335654157 the period starting 2026-06-22 05:28:36.515389</t>
  </si>
  <si>
    <t>REQ1241666</t>
  </si>
  <si>
    <t>Request to install  Garnett</t>
  </si>
  <si>
    <t>Garnet (prd)</t>
  </si>
  <si>
    <t>REQ1231514</t>
  </si>
  <si>
    <t>REQ1224904</t>
  </si>
  <si>
    <t>Findings for ba-ribi-prd - 221082197077 the period starting 2026-05-25 05:05:56.713258</t>
  </si>
  <si>
    <t>RBI(prd)</t>
  </si>
  <si>
    <t>REQ1230325</t>
  </si>
  <si>
    <t>Findings for ba-ribi-prd - 221082197077 the period starting 2026-06-01 05:06:42.130067</t>
  </si>
  <si>
    <t>REQ1230392</t>
  </si>
  <si>
    <t>Findings for ba-ribi-prl - 961341554932 the period starting 2026-06-01 05:09:38.438736</t>
  </si>
  <si>
    <t>REQ1235992</t>
  </si>
  <si>
    <t>Findings for ba-ribi-prd - 221082197077 the period starting 2026-06-08 05:05:39.097126</t>
  </si>
  <si>
    <t>REQ1236101</t>
  </si>
  <si>
    <t>Findings for ba-ribi-prl - 961341554932 the period starting 2026-06-08 05:10:15.130658</t>
  </si>
  <si>
    <t>REQ1241979</t>
  </si>
  <si>
    <t>Findings for ba-ribi-tst - 796973518145 the period starting 2026-06-15 05:09:36.737867</t>
  </si>
  <si>
    <t>REQ1241984</t>
  </si>
  <si>
    <t>Findings for ba-ribi-dev - 535002885708 the period starting 2026-06-15 05:09:53.245677</t>
  </si>
  <si>
    <t>REQ1242005</t>
  </si>
  <si>
    <t>Findings for ba-ribi-prl - 961341554932 the period starting 2026-06-15 05:10:52.550232</t>
  </si>
  <si>
    <t>REQ1247949</t>
  </si>
  <si>
    <t>Findings for ba-ribi-prd - 221082197077 the period starting 2026-06-22 05:10:19.584985</t>
  </si>
  <si>
    <t>RIBI(prd</t>
  </si>
  <si>
    <t>REQ1247985</t>
  </si>
  <si>
    <t>Findings for ba-ribi-uat - 202533526794 the period starting 2026-06-22 05:11:41.776623</t>
  </si>
  <si>
    <t>REQ1248029</t>
  </si>
  <si>
    <t>Findings for ba-ribi-prd - 221082197077 the period starting 2026-06-22 05:13:16.138234</t>
  </si>
  <si>
    <t>REQ1248034</t>
  </si>
  <si>
    <t>Findings for ba-ribi-dev - 535002885708 the period starting 2026-06-22 05:13:27.069624</t>
  </si>
  <si>
    <t>REQ1248082</t>
  </si>
  <si>
    <t>Findings for ba-ribi-dev - 535002885708 the period starting 2026-06-22 05:15:15.822123</t>
  </si>
  <si>
    <t>REQ1248133</t>
  </si>
  <si>
    <t>Findings for ba-ribi-prl - 961341554932 the period starting 2026-06-22 05:16:35.367736</t>
  </si>
  <si>
    <t>REQ1248134</t>
  </si>
  <si>
    <t>Findings for ba-ribi-tst - 796973518145 the period starting 2026-06-22 05:16:37.047679</t>
  </si>
  <si>
    <t>REQ1248156</t>
  </si>
  <si>
    <t>Findings for ba-ribi-tst - 796973518145 the period starting 2026-06-22 05:16:58.396934</t>
  </si>
  <si>
    <t>REQ1249683</t>
  </si>
  <si>
    <t>REQ1249684</t>
  </si>
  <si>
    <t>REQ1249694</t>
  </si>
  <si>
    <t>Digital Observability Team (Datadog) - Non-Compliant Hosts Found for Account - 992382395097</t>
  </si>
  <si>
    <t>REQ1238343</t>
  </si>
  <si>
    <t>REQ1246395</t>
  </si>
  <si>
    <t>Generic Request - As part of the CAR program BAU, would like to request the Ops Dashboard team to enable the github repo access and fill out the MS form details for the Vulnerability remediation activity</t>
  </si>
  <si>
    <t>REQ1242089</t>
  </si>
  <si>
    <t>Findings for GATE_MANAGEMENT_LHR_AUDIT_TRAIL_PRD_Setup - 110885466034 the period starting 2026-06-15 05:18:46.223291</t>
  </si>
  <si>
    <t>GATE MANAGEMENT LHR AUDIT TRAIL (prd)</t>
  </si>
  <si>
    <t>REQ1241917</t>
  </si>
  <si>
    <t>Findings for ba-attendance-time-rec-veigh-stg - 242201271836 the period starting 2026-06-15 05:07:11.024683</t>
  </si>
  <si>
    <t>REQ1241622</t>
  </si>
  <si>
    <t>Generic Request - Tara can no longer access the OPS Dashboard- it comes up with an error message</t>
  </si>
  <si>
    <t>REQ1235222</t>
  </si>
  <si>
    <t>Request to install  Other</t>
  </si>
  <si>
    <t>Figaro(PRD)</t>
  </si>
  <si>
    <t xml:space="preserve">INC2501371
</t>
  </si>
  <si>
    <t xml:space="preserve">BES INCIDENT for alertId 0251128369|AWS/ApiGateway|oscs-backend-api|5XXError CRITICAL|Hostname:oscs-backend-api|241533157440
</t>
  </si>
  <si>
    <t xml:space="preserve">09/07/2026 22:44
</t>
  </si>
  <si>
    <t>INC2500222</t>
  </si>
  <si>
    <t>BES INCIDENT for alertId 0251108946|AWS/ApiGateway|oscs-backend-api|Latency CRITICAL|Hostname:oscs-backend-api|241533157440</t>
  </si>
  <si>
    <t>INC2498701</t>
  </si>
  <si>
    <t>BATCH JOB - JOB FAILED -URM0099</t>
  </si>
  <si>
    <t>INC2490737</t>
  </si>
  <si>
    <t>BES INCIDENT for alertId 0250890846|AWS/ApiGateway|oscs-backend-api|Latency CRITICAL|Hostname:oscs-backend-api|241533157440</t>
  </si>
  <si>
    <t>INC2489161</t>
  </si>
  <si>
    <t>DESK 1 UNABLE TO LOG IN (FIRST)</t>
  </si>
  <si>
    <t>AIMS LOUNGE SOLUTIONS</t>
  </si>
  <si>
    <t>INC2504962</t>
  </si>
  <si>
    <t>BES INCIDENT for alertId 0251270471|AWS/ApiGateway|apigtw-cjd-prod-euwe1-cjdinitservice|4XXError CRITICAL|Hostname:apigtw-cjd-prod-euwe1-cjdinitservice|730335673794</t>
  </si>
  <si>
    <t>INC2471001</t>
  </si>
  <si>
    <t>RIBI FAILED</t>
  </si>
  <si>
    <t>INC2490409</t>
  </si>
  <si>
    <t>BES INCIDENT for alertId 0250885997|AWS/SQS|sqs-opsdb-prd-euwe1-01|ApproximateNumberOfMessagesVisible CRITICAL|Hostname:sqs-opsdb-prd-euwe1-01|992382395097</t>
  </si>
  <si>
    <t>INC2470909</t>
  </si>
  <si>
    <t>BES INCIDENT for alertId 0250537596|AWS/ApiGateway|apigtw-cjd-prod-euwe1-cjdinitservice|4XXError CRITICAL|Hostname:apigtw-cjd-prod-euwe1-cjdinitservice|730335673794</t>
  </si>
  <si>
    <t>REQ1219960</t>
  </si>
  <si>
    <t>Findings for ba-ribi-prd - 221082197077 the period starting 2026-05-18 05:09:31.825578</t>
  </si>
  <si>
    <t>INC2510998</t>
  </si>
  <si>
    <t>BES INCIDENT for alertId 0251491165|AWS/SQS|sqs-cjd-prod-euwe1-btm-queue.fifo|ApproximateNumberOfMessagesVisible CRITICAL|Hostname:sqs-cjd-prod-euwe1-btm-queue.fifo|730335673794</t>
  </si>
  <si>
    <t>INC2502821</t>
  </si>
  <si>
    <t>Operational dashboard</t>
  </si>
  <si>
    <t>INC2518910</t>
  </si>
  <si>
    <t>BES INCIDENT for alertId 0251721022|AWS/SQS|sqs-cjd-prod-euwe1-adix-queue.fifo|ApproximateNumberOfMessagesVisible CRITICAL|Hostname:sqs-cjd-prod-euwe1-adix-queue.fifo|730335673794</t>
  </si>
  <si>
    <t>INC2519560</t>
  </si>
  <si>
    <t>BES INCIDENT for alertId 0251754480|AWS/SQS|sqs-cjd-prod-euwe1-adix-queue.fifo|ApproximateNumberOfMessagesVisible CRITICAL|Hostname:sqs-cjd-prod-euwe1-adix-queue.fifo|730335673794</t>
  </si>
  <si>
    <t>REQ1271026</t>
  </si>
  <si>
    <t>Findings for ba-ribi-prl - 961341554932 the period starting 2026-07-20 05:11:21.267046</t>
  </si>
  <si>
    <t>REQ1270951</t>
  </si>
  <si>
    <t>Findings for ba-ribi-prd - 221082197077 the period starting 2026-07-20 05:08:23.488211</t>
  </si>
  <si>
    <t>REQ1265590</t>
  </si>
  <si>
    <t>Findings for ba-ribi-dev - 535002885708 the period starting 2026-07-13 05:09:34.957811</t>
  </si>
  <si>
    <t>REQ1265547</t>
  </si>
  <si>
    <t>Findings for ba-ribi-prd - 221082197077 the period starting 2026-07-13 05:07:50.773219</t>
  </si>
  <si>
    <t>REQ1265540</t>
  </si>
  <si>
    <t>Findings for ba-ribi-uat - 202533526794 the period starting 2026-07-13 05:07:32.824786</t>
  </si>
  <si>
    <t>REQ1259638</t>
  </si>
  <si>
    <t>Findings for ba-ribi-prd - 221082197077 the period starting 2026-07-06 05:06:20.911057</t>
  </si>
  <si>
    <t>INC2493992</t>
  </si>
  <si>
    <t>BA207 baggage bins taken back to FCS and task dest. pos changes to FCS. Task from FCS to stand did not generate.</t>
  </si>
  <si>
    <t>Garnett(prd)</t>
  </si>
  <si>
    <t>INC2523230</t>
  </si>
  <si>
    <t>Agents unable to sign into WT</t>
  </si>
  <si>
    <t>INC2523228</t>
  </si>
  <si>
    <t>Unable to work in Sita</t>
  </si>
  <si>
    <t>INC2519018</t>
  </si>
  <si>
    <t>BA-LHR- User unable to get in to ALERTS</t>
  </si>
  <si>
    <t>INC2513109</t>
  </si>
  <si>
    <t>AIMS IS NOT PROCESSING CUSTOMERS WHEN SCANNING BOARDING PASSES</t>
  </si>
  <si>
    <t>INC2511085</t>
  </si>
  <si>
    <t xml:space="preserve">AIMS SYSTEM NOT RECOGNISING SCANNED BARCODES FOR LOUNGE ENTRY </t>
  </si>
  <si>
    <t>INC2504549</t>
  </si>
  <si>
    <t>NO REPORTS</t>
  </si>
  <si>
    <t xml:space="preserve">INC2513185
</t>
  </si>
  <si>
    <t xml:space="preserve">BES INCIDENT for alertId 0251567609|AWS/ApiGateway|oscs-backend-api|Latency CRITICAL|Hostname:oscs-backend-api|241533157440
</t>
  </si>
  <si>
    <t>REQ1252336</t>
  </si>
  <si>
    <t>BA CrowdStrike</t>
  </si>
  <si>
    <t>ART</t>
  </si>
  <si>
    <t>INC2515797</t>
  </si>
  <si>
    <t>RMS DEVICE NOT WORKING. OTHER USES/ ALLOCATION ETC ARE UNABLE TO CONTACT ME ON THIS DEVICE DOESNT CONNECT</t>
  </si>
  <si>
    <t>23/07/2026 10:06:48</t>
  </si>
  <si>
    <t>27/07/2026 11:20:49</t>
  </si>
  <si>
    <t>30/06/2026 08:19:13</t>
  </si>
  <si>
    <t>30/06/2026 11:08:04</t>
  </si>
  <si>
    <t>30/06/2026 11:45:20</t>
  </si>
  <si>
    <t>27/07/2026 18:00:06</t>
  </si>
  <si>
    <t>02/07/2026 07:28:00</t>
  </si>
  <si>
    <t>09/07/2026 21:41:00</t>
  </si>
  <si>
    <t>INC2514475</t>
  </si>
  <si>
    <t>BES INCIDENT for alertId 0251593554|tail|error311.log|dynamic_content_check_1000_matched CRITICAL|Hostname:le1rmslgap005|381492269129</t>
  </si>
  <si>
    <t>INC2516698</t>
  </si>
  <si>
    <t>BES INCIDENT for alertId 0251638365|AWS/SQS|sqs-cjd-prod-euwe1-rebooking-queue.fifo|ApproximateNumberOfMessagesVisible CRITICAL|Hostname:sqs-cjd-prod-euwe1-rebooking-queue.fifo|730335673794</t>
  </si>
  <si>
    <t>CI not found</t>
  </si>
  <si>
    <t>INC2510547</t>
  </si>
  <si>
    <t>12 hour shifts and OT shifts - all shifts duplicated and showing with two identical shifts in RMS, led to duplicated breaks and tasks optimising under each other</t>
  </si>
  <si>
    <t>18/07/2026 19:32:00</t>
  </si>
  <si>
    <t>REQ1267494</t>
  </si>
  <si>
    <t>Generic Request - Please install the figaro application in my machine. Badge number: Z3473-5AC8-CB19</t>
  </si>
  <si>
    <t>INC2506033</t>
  </si>
  <si>
    <t>User cannot access BrockSmartSuite</t>
  </si>
  <si>
    <t>Ramya</t>
  </si>
  <si>
    <t>INC2507159</t>
  </si>
  <si>
    <t>LHR -- BA -- Unable to access Smart suite brock</t>
  </si>
  <si>
    <t>INC2522636</t>
  </si>
  <si>
    <t>INC2505165</t>
  </si>
  <si>
    <t>ATTENDANCE TIME REC VEIGHT (prd): Minor:</t>
  </si>
  <si>
    <t>INC2502924</t>
  </si>
  <si>
    <t>INC2493582</t>
  </si>
  <si>
    <t>INC2496400</t>
  </si>
  <si>
    <t>INC2498518</t>
  </si>
  <si>
    <t>INC2500103</t>
  </si>
  <si>
    <t>INC2503917</t>
  </si>
  <si>
    <t>INC2482813</t>
  </si>
  <si>
    <t>BES INCIDENT for alertId 0250728997|AWS/ApplicationELB|app/alb-opsdb-prd-euwe1-ext-dmz-01/1ee263939ac79dab|HTTPCode_Target_5XX_Count CRITICAL|Hostname:app/alb-opsdb-prd-euwe1-ext-dmz-01/1ee263939ac79dab|992382395097</t>
  </si>
  <si>
    <t>INC2488461</t>
  </si>
  <si>
    <t>BES INCIDENT for alertId 0250858058|AWS/ApplicationELB|app/alb-opsdb-prd-euwe1-ext-dmz-01/1ee263939ac79dab|HTTPCode_Target_4XX_Count CRITICAL|Hostname:app/alb-opsdb-prd-euwe1-ext-dmz-01/1ee263939ac79dab|992382395097</t>
  </si>
  <si>
    <t>INC2488466</t>
  </si>
  <si>
    <t>BES INCIDENT for alertId 0250858217|AWS/ApplicationELB|app/alb-opsdb-prd-euwe1-int-web1-01/9de9c42d0ffc856d|HTTPCode_Target_4XX_Count CRITICAL|Hostname:app/alb-opsdb-prd-euwe1-int-web1-01/9de9c42d0ffc856d|992382395097</t>
  </si>
  <si>
    <t>INC2490393</t>
  </si>
  <si>
    <t>BES INCIDENT for alertId 0250885590|AWS/ApplicationELB|app/alb-opsdb-prd-euwe1-int-app1-01/0aa2cba8c7638126|HTTPCode_Target_5XX_Count CRITICAL|Hostname:app/alb-opsdb-prd-euwe1-int-app1-01/0aa2cba8c7638126|992382395097</t>
  </si>
  <si>
    <t>INC2491806</t>
  </si>
  <si>
    <t>BES INCIDENT for alertId 0250908047|FILESYSTEM|webserver_warn|disk_used_percent CRITICAL|Hostname:i-0499c1c1233b7c08a|CWAgent</t>
  </si>
  <si>
    <t>INC2492054</t>
  </si>
  <si>
    <t>BES INCIDENT for alertId 0250913081|AWS/ApplicationELB|app/alb-opsdb-prd-euwe1-int-app1-01/0aa2cba8c7638126|HTTPCode_Target_5XX_Count CRITICAL|Hostname:app/alb-opsdb-prd-euwe1-int-app1-01/0aa2cba8c7638126|992382395097</t>
  </si>
  <si>
    <t>INC2490216</t>
  </si>
  <si>
    <t>INC2484454</t>
  </si>
  <si>
    <t>Operational dashboard not working, blocked access</t>
  </si>
  <si>
    <t>INC2507708</t>
  </si>
  <si>
    <t>INC2501167</t>
  </si>
  <si>
    <t>BA - LHR -  Operational dashboard - Unable to login</t>
  </si>
  <si>
    <t>INC2506372</t>
  </si>
  <si>
    <t>BES INCIDENT for alertId 0251313795|procstat|sys5001|lookup_running CRITICAL|Hostname:bal2283prd001</t>
  </si>
  <si>
    <t>INC2506374</t>
  </si>
  <si>
    <t>BES INCIDENT for alertId 0251313810|internal|heartbeat|agent_metrics_written CRITICAL|Hostname:bal2283prd003</t>
  </si>
  <si>
    <t>INC2507660</t>
  </si>
  <si>
    <t>BES INCIDENT for alertId 0251353577|tail|error315.log|dynamic_content_check_1004_matched CRITICAL|Hostname:le1rmslgap005|381492269129</t>
  </si>
  <si>
    <t>INC2507675</t>
  </si>
  <si>
    <t>BES INCIDENT for alertId 0251353604|tail|error321.log|dynamic_content_check_AVAILABLE_matched CRITICAL|Hostname:le1rmst3ap003|730335333823</t>
  </si>
  <si>
    <t>INC2507661</t>
  </si>
  <si>
    <t>BES INCIDENT for alertId 0251353624|tail|error321.log|dynamic_content_check_AVAILABLE_matched CRITICAL|Hostname:le1rmslgap005|381492269129</t>
  </si>
  <si>
    <t>INC2503598</t>
  </si>
  <si>
    <t>INC2516383</t>
  </si>
  <si>
    <t>INC2514320</t>
  </si>
  <si>
    <t>Task run through</t>
  </si>
  <si>
    <t>INC2519309</t>
  </si>
  <si>
    <t>BES INCIDENT for alertId 0251745545|AWS/SQS|sqs-cjd-prod-euwe1-rebooking-queue.fifo|ApproximateNumberOfMessagesVisible CRITICAL|Hostname:sqs-cjd-prod-euwe1-rebooking-queue.fifo|730335673794</t>
  </si>
  <si>
    <t>INC2519670</t>
  </si>
  <si>
    <t>INC2520007</t>
  </si>
  <si>
    <t>INC2520897</t>
  </si>
  <si>
    <t>BES INCIDENT for alertId 0251792361|AWS/SQS|sqs-cjd-prod-euwe1-adix-queue.fifo|ApproximateNumberOfMessagesVisible CRITICAL|Hostname:sqs-cjd-prod-euwe1-adix-queue.fifo|730335673794</t>
  </si>
  <si>
    <t>INC2523360</t>
  </si>
  <si>
    <t>BES INCIDENT for alertId 0251847761|disk|/webserver|used_percent CRITICAL|Hostname:le1opsdbwp001|992382395097</t>
  </si>
  <si>
    <t>REQ1253222</t>
  </si>
  <si>
    <t>Generic Request - I need a local copy of Staff Admin added to my computer for my role as a Resource Delivery Manager. Please mirror the permissions of badge no. G04E8B9E68255</t>
  </si>
  <si>
    <t>REQ1255558</t>
  </si>
  <si>
    <t>REQ1255570</t>
  </si>
  <si>
    <t>REQ1255571</t>
  </si>
  <si>
    <t>REQ1255575</t>
  </si>
  <si>
    <t>Digital Observability Team (Datadog) - Non-Compliant Hosts Found for Account - 381492269129</t>
  </si>
  <si>
    <t>REQ1255577</t>
  </si>
  <si>
    <t>REQ1255578</t>
  </si>
  <si>
    <t>REQ1255579</t>
  </si>
  <si>
    <t>Digital Observability Team (Datadog) - Non-Compliant Hosts Found for Account - 730335333823</t>
  </si>
  <si>
    <t>REQ1261161</t>
  </si>
  <si>
    <t>REQ1261162</t>
  </si>
  <si>
    <t>REQ1261164</t>
  </si>
  <si>
    <t>REQ1261167</t>
  </si>
  <si>
    <t>REQ1261171</t>
  </si>
  <si>
    <t>REQ1261173</t>
  </si>
  <si>
    <t>REQ1261187</t>
  </si>
  <si>
    <t>REQ1261191</t>
  </si>
  <si>
    <t>REQ1267210</t>
  </si>
  <si>
    <t>REQ1267221</t>
  </si>
  <si>
    <t>REQ1267232</t>
  </si>
  <si>
    <t>REQ1272533</t>
  </si>
  <si>
    <t>REQ1272536</t>
  </si>
  <si>
    <t>REQ1254132</t>
  </si>
  <si>
    <t>Findings for ba-ribi-uat - 202533526794 the period starting 2026-06-29 05:06:49.615903</t>
  </si>
  <si>
    <t>REQ1254183</t>
  </si>
  <si>
    <t>Findings for ba-ribi-dev - 535002885708 the period starting 2026-06-29 05:08:58.029767</t>
  </si>
  <si>
    <t>REQ1254227</t>
  </si>
  <si>
    <t>Findings for ba-ribi-prl - 961341554932 the period starting 2026-06-29 05:10:40.332847</t>
  </si>
  <si>
    <t>REQ1268091</t>
  </si>
  <si>
    <t>Generic Request - Could you please install Figaro on my machine. Badge number-Z00BE-4358-CCE5</t>
  </si>
  <si>
    <t>REQ1270338</t>
  </si>
  <si>
    <t>Request to Rebuild my Laptop / Desktop</t>
  </si>
  <si>
    <t>REQ1272100</t>
  </si>
  <si>
    <t>INC2495820</t>
  </si>
  <si>
    <t>Unable to Reschedule Meetings on Garnett</t>
  </si>
  <si>
    <t>INC2470068</t>
  </si>
  <si>
    <t>BA - LHR - Bag tag BA272440 - inbound with Customer Strang on BA1497 and outbound on BA207. Customer boarded BA207 and bag was showing red and did not clear on boarding. At the same time the same bag tag showed on the problem bag list and was rushed on the BA209 which added to the confusion. The bag should not of appeared on the problem bag list while it was loaded on a flight This caused a 2min PB delay while the bag was physically offloaded off of  the BA207.</t>
  </si>
  <si>
    <t>BAGCHAIN TAG (prd)</t>
  </si>
  <si>
    <t>INC2489799</t>
  </si>
  <si>
    <t>BATCH JOB - JOB FAILED - UHZJAR01</t>
  </si>
  <si>
    <t>INC2493815</t>
  </si>
  <si>
    <t>Didn't feed through a gate change for the BA468</t>
  </si>
  <si>
    <t>INC2488321</t>
  </si>
  <si>
    <t>INC2493788</t>
  </si>
  <si>
    <t>flight ba741 did not create a cpm which did not feed into rms</t>
  </si>
  <si>
    <t>INC2491361</t>
  </si>
  <si>
    <t>RMS did not display a GOL's restriction which lead to a delay</t>
  </si>
  <si>
    <t>INC2506044</t>
  </si>
  <si>
    <t>BA-LHR- AIM LOUNGE SOLUTIONS PASSWORD RESET</t>
  </si>
  <si>
    <t>INC2517578</t>
  </si>
  <si>
    <t>BES INCIDENT for alertId 0251667906|AWS/ApiGateway|oscs-backend-api|Latency CRITICAL|Hostname:oscs-backend-api|241533157440</t>
  </si>
  <si>
    <t>INC2519561</t>
  </si>
  <si>
    <t>INC2503646</t>
  </si>
  <si>
    <t>Task planned up behind another task</t>
  </si>
  <si>
    <t>INC2517354</t>
  </si>
  <si>
    <t>INC2516372</t>
  </si>
  <si>
    <t>INC2503679</t>
  </si>
  <si>
    <t>LHR : FCS task not created on BA792</t>
  </si>
  <si>
    <t>INC2503580</t>
  </si>
  <si>
    <t>BA 582 coaching from 536 to 531 not showing in RMS as coaching so no coaching tasks created.</t>
  </si>
  <si>
    <t>INC2515394</t>
  </si>
  <si>
    <t>BES INCIDENT for alertId 0251603555|AWS/ApiGateway|oscs-backend-api|Latency CRITICAL|Hostname:oscs-backend-api|241533157440</t>
  </si>
  <si>
    <t>INC2504847</t>
  </si>
  <si>
    <t>FIDSMON OPENS A BLANK SCREEN NO DATA OR INFORMATION IS DISPLAYED</t>
  </si>
  <si>
    <t>INC2514870</t>
  </si>
  <si>
    <t>INC2508698</t>
  </si>
  <si>
    <t>BA - LHR - BAOPS Dashboard issue</t>
  </si>
  <si>
    <t>INC2512906</t>
  </si>
  <si>
    <t>BES INCIDENT for alertId 0251559656|AWS/ApplicationELB|app/alb-opsdb-prd-euwe1-int-web1-01/9de9c42d0ffc856d|HTTPCode_Target_5XX_Count CRITICAL|Hostname:app/alb-opsdb-prd-euwe1-int-web1-01/9de9c42d0ffc856d|992382395097</t>
  </si>
  <si>
    <t>INC2512962</t>
  </si>
  <si>
    <t>INC2505911</t>
  </si>
  <si>
    <t>No empty created BA219</t>
  </si>
  <si>
    <t>INC2510947</t>
  </si>
  <si>
    <t>BES INCIDENT for alertId 0251488455|AWS/ApplicationELB|app/alb-opsdb-prd-euwe1-int-app1-01/0aa2cba8c7638126|HTTPCode_Target_5XX_Count CRITICAL|Hostname:app/alb-opsdb-prd-euwe1-int-app1-01/0aa2cba8c7638126|992382395097</t>
  </si>
  <si>
    <t>INC2510088</t>
  </si>
  <si>
    <t>INC2520966</t>
  </si>
  <si>
    <t>BES INCIDENT for alertId 0251794559|AWS/SQS|sqs-cjd-prod-euwe1-rebooking-queue.fifo|ApproximateNumberOfMessagesVisible CRITICAL|Hostname:sqs-cjd-prod-euwe1-rebooking-queue.fifo|730335673794</t>
  </si>
  <si>
    <t>INC2509056</t>
  </si>
  <si>
    <t>LHR - unable to login Staff connect</t>
  </si>
  <si>
    <t>INC2518558</t>
  </si>
  <si>
    <t xml:space="preserve">I need access to roster snapshot please.  I could not see correct answers in drop down menus </t>
  </si>
  <si>
    <t>ROSTER MAKER (prd)</t>
  </si>
  <si>
    <t>INC2519505</t>
  </si>
  <si>
    <t>BES INCIDENT for alertId 0251751647|disk|/gs/app/groundstar|used_percent CRITICAL|Hostname:le1gsplaap001|835530948614</t>
  </si>
  <si>
    <t>INC2525241</t>
  </si>
  <si>
    <t>TEAMWORKING T5 LOADING NOT WORKING</t>
  </si>
  <si>
    <t>INC2519236</t>
  </si>
  <si>
    <t>LHR - User cannot able to login into the Garnett</t>
  </si>
  <si>
    <t>INC2459449</t>
  </si>
  <si>
    <t>REQ1266188</t>
  </si>
  <si>
    <t>Generic Request - I need access to fidmon</t>
  </si>
  <si>
    <t>REQ1267152</t>
  </si>
  <si>
    <t>INC2503195</t>
  </si>
  <si>
    <t>ba827 no tasks created in logistics rms</t>
  </si>
  <si>
    <t>INC2489709</t>
  </si>
  <si>
    <t>BA447-BA464</t>
  </si>
  <si>
    <t>INC2502602</t>
  </si>
  <si>
    <t xml:space="preserve">Unabated to access </t>
  </si>
  <si>
    <t>INC2491302</t>
  </si>
  <si>
    <t xml:space="preserve">Cannot access it. </t>
  </si>
  <si>
    <t>REQ1260497</t>
  </si>
  <si>
    <t>Generic Request - Request to refresh pre-live DB for towing Data product of odie sourced from aodb</t>
  </si>
  <si>
    <t>INC2506430</t>
  </si>
  <si>
    <t>INC2506373</t>
  </si>
  <si>
    <t>BES INCIDENT for alertId 0251313809|procstat|tnslsnr|lookup_running CRITICAL|Hostname:bal2283prd001</t>
  </si>
  <si>
    <t>INC2505127</t>
  </si>
  <si>
    <t>BES INCIDENT for alertId 0251275736|procstat|informgsrtserverinterface1|lookup_running CRITICAL|Hostname:le1gsplaap001|835530948614</t>
  </si>
  <si>
    <t>INC2502484</t>
  </si>
  <si>
    <t xml:space="preserve">	Unable to process</t>
  </si>
  <si>
    <t>INC2506699</t>
  </si>
  <si>
    <t>RiBi baggage screening</t>
  </si>
  <si>
    <t>REQ1236659</t>
  </si>
  <si>
    <t>Request for amendment to SWT on Ops Dashboard</t>
  </si>
  <si>
    <t>INC2502153</t>
  </si>
  <si>
    <t>BA-LHR-FIDSMON INSTALLED but fidsmon is not opening</t>
  </si>
  <si>
    <t>INC2502652</t>
  </si>
  <si>
    <t xml:space="preserve">I don’t have access to operational dashboard </t>
  </si>
  <si>
    <t>INC2508970</t>
  </si>
  <si>
    <t>REQ1273072</t>
  </si>
  <si>
    <t>Generic Request - Can you please identify the Resource Allocation Executive who assigned the IRS task incorrectly to a GOA at 0930.</t>
  </si>
  <si>
    <t>RMS(Prd)</t>
  </si>
  <si>
    <t>REQ1272543</t>
  </si>
  <si>
    <t>REQ1267227</t>
  </si>
  <si>
    <t>REQ1267223</t>
  </si>
  <si>
    <t>REQ1266846</t>
  </si>
  <si>
    <t>Generic Request - Can you let me know which crew had the pushback task of BA277 GY-MMI on 9th July please from Aircraft Movements RMS</t>
  </si>
  <si>
    <t>INC2500699</t>
  </si>
  <si>
    <t>network connectivity issues across some areas in T5</t>
  </si>
  <si>
    <t>INC2503556</t>
  </si>
  <si>
    <t>BATCH JOB - JOB FAILED -UVV0099
UBM0099(le1rmsbaap003.rmsbaggage-prd.int.iag.cloud) RUN=1 RC=1 - HANDLE ALERT AS TICKET SENT TO GROUP - PLEASE INVESTIGATE
UVF0099_3_1(bal2283prd003) RUN=1 RC=1 - PLEASE INVESTIGATE</t>
  </si>
  <si>
    <t>INC2503052</t>
  </si>
  <si>
    <t>BATCH JOB - JOB FAILED -UBM0099</t>
  </si>
  <si>
    <t>INC2503053</t>
  </si>
  <si>
    <t>INC2485221</t>
  </si>
  <si>
    <t xml:space="preserve">Server Connection Loss </t>
  </si>
  <si>
    <t>RMSINFORMGS (dev)</t>
  </si>
  <si>
    <t>INC2476448</t>
  </si>
  <si>
    <t>Ground star losing connectivity</t>
  </si>
  <si>
    <t>INC2496271</t>
  </si>
  <si>
    <t xml:space="preserve">slow to log in, delayed opening up RMS </t>
  </si>
  <si>
    <t>INC2509932</t>
  </si>
  <si>
    <t xml:space="preserve">BA590 task cancelled (19:35) and reinstated but did not go through to ipad until 19:51 as started, no reassigned time. </t>
  </si>
  <si>
    <t>INC2507894</t>
  </si>
  <si>
    <t>Multiple tasks being created in task view for same location for the same time</t>
  </si>
  <si>
    <t>INC2507965</t>
  </si>
  <si>
    <t>Adhoc task automatically deleted when staff work area changed</t>
  </si>
  <si>
    <t>INC2505735</t>
  </si>
  <si>
    <t>Unable to create manual arrival flight task as there is no rule in the new RMS</t>
  </si>
  <si>
    <t>INC2507459</t>
  </si>
  <si>
    <t>IOPS DATA AND INTEGRATION PLATFORM (prd): Minor: lambda.data.process.error</t>
  </si>
  <si>
    <t>IOPS DATA AND INTEGRATION PLATFORM (prd)</t>
  </si>
  <si>
    <t>INC2518592</t>
  </si>
  <si>
    <t>BATCH JOB - JOB FAILED -  UHZRMSOPDEF</t>
  </si>
  <si>
    <t>INC2517617</t>
  </si>
  <si>
    <t>BA - LHR - Staff com Functionality issue</t>
  </si>
  <si>
    <t>INC2517884</t>
  </si>
  <si>
    <t>T3_IB TASK IS TOO SHORT</t>
  </si>
  <si>
    <t>INC2505719</t>
  </si>
  <si>
    <t>Manually created flight tasks do not auto-assign</t>
  </si>
  <si>
    <t>REQ1268550</t>
  </si>
  <si>
    <t>Generic Request - Could you please install Figaro application in my machine (Z84A9-3878-8246)</t>
  </si>
  <si>
    <t>INC2525005</t>
  </si>
  <si>
    <t>BES INCIDENT for alertId 0251884979|disk|/webserver|used_percent CRITICAL|Hostname:le1opsdbwp002|992382395097</t>
  </si>
  <si>
    <t>REQ1273687</t>
  </si>
  <si>
    <t>INC2511050</t>
  </si>
  <si>
    <t>New INFORM RMS Does not populate diverted flights</t>
  </si>
  <si>
    <t>INC2502346</t>
  </si>
  <si>
    <t>WTS : missing information</t>
  </si>
  <si>
    <t>INC2517194</t>
  </si>
  <si>
    <t>BA-LHR-RMS-Functionality issue</t>
  </si>
  <si>
    <t>INC2507948</t>
  </si>
  <si>
    <t>Travel times on the tasks need to be a lighter shade than the main task colour.</t>
  </si>
  <si>
    <t>INC2503051</t>
  </si>
  <si>
    <t>UVF0099_2_1(bal2283prd002) RUN=1 RC=1 - PLEASE INVESTIGATE
UVF0099_4_1(bal2283prd004) RUN=1 RC=1 - PLEASE INVESTIGATE</t>
  </si>
  <si>
    <t>INC2498214</t>
  </si>
  <si>
    <t>WTS : ADM - Duplicate Departure Task: NOTE MISBAH IS WORKING ON THIS</t>
  </si>
  <si>
    <t>INC2492422</t>
  </si>
  <si>
    <t>Staff members were on break and Mytask on Ipad keeps pinging to say task time changed although nothing had changed - 1 staff member reported it went of 19 times</t>
  </si>
  <si>
    <t>INC2522903</t>
  </si>
  <si>
    <t>CUSTOMER SERVICE DESK HOST NOT GENERATING</t>
  </si>
  <si>
    <t>INC2507225</t>
  </si>
  <si>
    <t>Some loadview data is not available</t>
  </si>
  <si>
    <t>INC2516240</t>
  </si>
  <si>
    <t>BA : LHR : Issue with RMS groundstar logistics</t>
  </si>
  <si>
    <t>INC2518475</t>
  </si>
  <si>
    <t>LHR -- BA -- Inform app is updated with wrong information</t>
  </si>
  <si>
    <t>INC2508015</t>
  </si>
  <si>
    <t>Business Objects Reports not connected to new RMS.</t>
  </si>
  <si>
    <t>REQ1251286</t>
  </si>
  <si>
    <t>Generic Request - Requested yesterday's GM application logs originating from GMACM.</t>
  </si>
  <si>
    <t>REQ1258068</t>
  </si>
  <si>
    <t>REQ1267224</t>
  </si>
  <si>
    <t>INC2481512</t>
  </si>
  <si>
    <t>Arrival flight status not showing K</t>
  </si>
  <si>
    <t>25-06-2026 17:42:51</t>
  </si>
  <si>
    <t>26-06-2026 09:05:59</t>
  </si>
  <si>
    <t>30-06-2026 11:42:52</t>
  </si>
  <si>
    <t>30-06-2026 11:48:09</t>
  </si>
  <si>
    <t>INC2483526</t>
  </si>
  <si>
    <t>BES INCIDENT for alertId 0250748835|AWS/Lambda|lmb-cjd-prod-euwe1-passengercalculator|Errors CRITICAL|Hostname:lmb-cjd-prod-euwe1-passengercalculator|730335673794</t>
  </si>
  <si>
    <t>27-06-2026 09:49:55</t>
  </si>
  <si>
    <t>29-06-2026 08:16:58</t>
  </si>
  <si>
    <t>INC2488330</t>
  </si>
  <si>
    <t>INC2490401</t>
  </si>
  <si>
    <t>Gate Manager and Ground star application not working</t>
  </si>
  <si>
    <t>INC2491779</t>
  </si>
  <si>
    <t>BES INCIDENT for alertId 0250907466|FILESYSTEM|webserver_warn|disk_used_percent CRITICAL|Hostname:i-07db68ea0ed0a0fb1|CWAgent</t>
  </si>
  <si>
    <t>INC2493550</t>
  </si>
  <si>
    <t>BES INCIDENT for alertId 0250940206|procstat|informgsrtserverinterface1|lookup_running CRITICAL|Hostname:le1gsplaap001|835530948614</t>
  </si>
  <si>
    <t>INC2493579</t>
  </si>
  <si>
    <t>BES INCIDENT for alertId 0250941109|AWS/ApplicationELB|app/alb-opsdb-prd-euwe1-int-web1-01/9de9c42d0ffc856d|HTTPCode_Target_5XX_Count CRITICAL|Hostname:app/alb-opsdb-prd-euwe1-int-web1-01/9de9c42d0ffc856d|992382395097</t>
  </si>
  <si>
    <t>INC2494181</t>
  </si>
  <si>
    <t>BES INCIDENT for alertId 0250967622|AWS/SQS|sqs-cjd-prod-euwe1-adix-queue.fifo|ApproximateNumberOfMessagesVisible CRITICAL|Hostname:sqs-cjd-prod-euwe1-adix-queue.fifo|730335673794</t>
  </si>
  <si>
    <t>INC2494260</t>
  </si>
  <si>
    <t>Access</t>
  </si>
  <si>
    <t>INC2494438</t>
  </si>
  <si>
    <t xml:space="preserve">No access </t>
  </si>
  <si>
    <t>INC2496275</t>
  </si>
  <si>
    <t>No access to ops dashboard</t>
  </si>
  <si>
    <t>INC2500261</t>
  </si>
  <si>
    <t>INC2500964</t>
  </si>
  <si>
    <t xml:space="preserve">Unable to access operational dashboard </t>
  </si>
  <si>
    <t>13-07-2026 07:41:47</t>
  </si>
  <si>
    <t>INC2503050</t>
  </si>
  <si>
    <t>UVV0099(le1rmsgtap003.rmsgts-prd.int.iag.cloud) RUN=1 RC=1 - HANDLE ALERT AS TICKET SENT TO GROUP - PLEASE INVESTIGATE</t>
  </si>
  <si>
    <t>13-07-2026 07:02:39</t>
  </si>
  <si>
    <t>INC2503120</t>
  </si>
  <si>
    <t>BATCH JOB - JOB FAILED -UGS0099_1</t>
  </si>
  <si>
    <t>INC2505267</t>
  </si>
  <si>
    <t>UVF0099_4(bal2283prd004) RUN=1 RC=1 - PLEASE INVESTIGATE
UVF0099_3(bal2283prd003) RUN=1 RC=1 - PLEASE INVESTIGATE
UVF0099_2(bal2283prd002) RUN=1 RC=1 - PLEASE INVESTIGATE
UBM0099(le1rmsbaap003.rmsbaggage-prd.int.iag.cloud) RUN=1 RC=1 - HANDLE ALERT AS TICKET SENT TO GROUP - PLEASE INVESTIGATE
UVV0099(le1rmsgtap003.rmsgts-prd.int.iag.cloud) RUN=1 RC=1 - HANDLE ALERT AS TICKET SENT TO GROUP - PLEASE INVESTIGATE</t>
  </si>
  <si>
    <t>INC2507331</t>
  </si>
  <si>
    <t>Missing Swipes</t>
  </si>
  <si>
    <t>INC2511529</t>
  </si>
  <si>
    <t>INC2511545</t>
  </si>
  <si>
    <t>BATCH JOB - JOB FAILED - UHZXCOM01</t>
  </si>
  <si>
    <t>INC2517348</t>
  </si>
  <si>
    <t>BATCH JOB - JOB FAILED -  v8_UHZATR_01</t>
  </si>
  <si>
    <t>INC2520844</t>
  </si>
  <si>
    <t>INC2520871</t>
  </si>
  <si>
    <t>INC2526883</t>
  </si>
  <si>
    <t>AODB Source Feed Sending NULL Values for Mandatory Fields (EARLIEST_START / LATEST_END) Causing ODIE Processing Failures</t>
  </si>
  <si>
    <t>REQ1277552</t>
  </si>
  <si>
    <t>Generic Request - Update email address for RIBI email distribution for BA15</t>
  </si>
  <si>
    <t>REQ1277541</t>
  </si>
  <si>
    <t>Generic Request - Update email address for RIBI email distribution for BLQ</t>
  </si>
  <si>
    <t>PRB0057740</t>
  </si>
  <si>
    <t xml:space="preserve">	Inconsistencies in the alerts DB observed by MIS team</t>
  </si>
  <si>
    <t>PRB0057732</t>
  </si>
  <si>
    <t>Application ELB throwing 5XX errors</t>
  </si>
  <si>
    <t>PRB0058776</t>
  </si>
  <si>
    <t>Delays Missing from Delay Code List</t>
  </si>
  <si>
    <t>INC2559832</t>
  </si>
  <si>
    <t>Unable to see the Ops Dashboard system updates</t>
  </si>
  <si>
    <t>INC2562057</t>
  </si>
  <si>
    <t>INC2535289</t>
  </si>
  <si>
    <t>Disruption in Baggage Tag Clearance Caused by an Amadeus Connectivity Issue</t>
  </si>
  <si>
    <t>INC2536158</t>
  </si>
  <si>
    <t>Users in T3 and T5 are reporting that they are unable to log in to the Brock application.
Impact: T3 and T5 users are currently unable to access the Brock application.</t>
  </si>
  <si>
    <t>INC2531312</t>
  </si>
  <si>
    <t>Aims Error Message</t>
  </si>
  <si>
    <t>INC2449017</t>
  </si>
  <si>
    <t>The desk location says T3 as per the attached picture</t>
  </si>
  <si>
    <t>INC2536430</t>
  </si>
  <si>
    <t>AIMS LOUNGE slowness issue</t>
  </si>
  <si>
    <t>INC2532320</t>
  </si>
  <si>
    <t>BA-LHR-AIMS LOUNGE SOLUTIONS -Unable to login</t>
  </si>
  <si>
    <t>INC2536712</t>
  </si>
  <si>
    <t>BA - DEL - CJD - Functionality issue</t>
  </si>
  <si>
    <t>INC2533091</t>
  </si>
  <si>
    <t>BES INCIDENT for alertId 0252104947|procstat|informgsrtserverinterface1|lookup_running CRITICAL|Hostname:le1gsplaap001|835530948614</t>
  </si>
  <si>
    <t>INC2528437</t>
  </si>
  <si>
    <t>Missing New Suppliers</t>
  </si>
  <si>
    <t>INC2538299</t>
  </si>
  <si>
    <t>BES INCIDENT for alertId 0252242323|AWS/ApiGateway|oscs-backend-api|Latency CRITICAL|Hostname:oscs-backend-api|241533157440</t>
  </si>
  <si>
    <t>INC2534938</t>
  </si>
  <si>
    <t>BES INCIDENT for alertId 0252160011|AWS/ApiGateway|oscs-backend-api|Latency CRITICAL|Hostname:oscs-backend-api|241533157440</t>
  </si>
  <si>
    <t>INC2528901</t>
  </si>
  <si>
    <t>BES INCIDENT for alertId 0252006645|AWS/ApiGateway|oscs-backend-api|Latency CRITICAL|Hostname:oscs-backend-api|241533157440</t>
  </si>
  <si>
    <t>INC2531183</t>
  </si>
  <si>
    <t>BA - LHR - AIMS Acount got Locked</t>
  </si>
  <si>
    <t>INC2530538</t>
  </si>
  <si>
    <t>STAFF ADMIN (prd): Minor: system.cpu.idle</t>
  </si>
  <si>
    <t>INC2527216</t>
  </si>
  <si>
    <t>INC2528447</t>
  </si>
  <si>
    <t>BES INCIDENT for alertId 0251996386|disk|/ft/appl|used_percent CRITICAL|Hostname:le1atrecap001|590183747819</t>
  </si>
  <si>
    <t>INC2537609</t>
  </si>
  <si>
    <t>BES INCIDENT for alertId 0252223292|SERVICE|lvcollectorsrvc|Status CRITICAL|Hostname:i-0c152065889c86e4c|service-monitor</t>
  </si>
  <si>
    <t>LOADVIEW (prd)</t>
  </si>
  <si>
    <t>INC2530529</t>
  </si>
  <si>
    <t>BES INCIDENT for alertId 0252041019|internal|heartbeat|agent_metrics_written CRITICAL|Hostname:we1stadmap001|471112757515</t>
  </si>
  <si>
    <t>INC2532060</t>
  </si>
  <si>
    <t>BES INCIDENT for alertId 0252078683|tail|error119.log|dynamic_content_check_AVAILABLE_matched CRITICAL|Hostname:le1rmspsap001|533266977564</t>
  </si>
  <si>
    <t>INC2532083</t>
  </si>
  <si>
    <t>BES INCIDENT for alertId 0252079718|disk|/gs/app/groundstar|used_percent CRITICAL|Hostname:le1gsplaap001|835530948614</t>
  </si>
  <si>
    <t>INC2528836</t>
  </si>
  <si>
    <t>BES INCIDENT for alertId 0252005549|procstat|informgsrtserverinterface1|lookup_running CRITICAL|Hostname:le1gsplaap001|835530948614</t>
  </si>
  <si>
    <t>INC2528400</t>
  </si>
  <si>
    <t>Unauthorised Users in ALERTS BDE</t>
  </si>
  <si>
    <t>INC2540353</t>
  </si>
  <si>
    <t>BES INCIDENT for alertId 0252303735|procstat|informgsrtserverinterface1|lookup_running CRITICAL|Hostname:le1gsplaap001|835530948614</t>
  </si>
  <si>
    <t>Incident Total Age</t>
  </si>
  <si>
    <t xml:space="preserve">INC2421804 </t>
  </si>
  <si>
    <t>df cm load control option not available</t>
  </si>
  <si>
    <t>Booshanram R</t>
  </si>
  <si>
    <t>INC2421172</t>
  </si>
  <si>
    <t>BA-LHR-ALTEA ACCES</t>
  </si>
  <si>
    <t>Ravishankar B</t>
  </si>
  <si>
    <t>INC2422709</t>
  </si>
  <si>
    <t>unable to log in under hosted location</t>
  </si>
  <si>
    <t>Brinta Stephen</t>
  </si>
  <si>
    <t>INC2422698</t>
  </si>
  <si>
    <t>Credential issue</t>
  </si>
  <si>
    <t>Naveena Karunakaran</t>
  </si>
  <si>
    <t>INC2417566</t>
  </si>
  <si>
    <t>BA- GCI- ALTEA FM ERROR</t>
  </si>
  <si>
    <t>INC2423928</t>
  </si>
  <si>
    <t>M2F message failure</t>
  </si>
  <si>
    <t>Inndhu Thangavelan</t>
  </si>
  <si>
    <t>SIP AUDIT (prd)</t>
  </si>
  <si>
    <t>INC2424072</t>
  </si>
  <si>
    <t>DEL - Unable to access FLY getting error</t>
  </si>
  <si>
    <t>INC2423676</t>
  </si>
  <si>
    <t>FLYAUTO FLY81047</t>
  </si>
  <si>
    <t>Akshay Baburaj</t>
  </si>
  <si>
    <t>SCTASK1165941</t>
  </si>
  <si>
    <t>Findings for siptools_uat_setup - 392738926099 the period starting 2026-05-11 05:17:54.532651</t>
  </si>
  <si>
    <t>Pravya Ravi</t>
  </si>
  <si>
    <t>SCTASK1165882</t>
  </si>
  <si>
    <t>Findings for sipcore_nlv - 425044672900 the period starting 2026-05-11 05:15:45.313271</t>
  </si>
  <si>
    <t>Dharani Mekala</t>
  </si>
  <si>
    <t>SCTASK1167398</t>
  </si>
  <si>
    <t>Generic Request - I am unable to reach the FICO Mnemonic Set up https://stgen.siptools-prd.int.iag.cloud/general/FICOAndMnemonicSetupV01/loadData.htm</t>
  </si>
  <si>
    <t>INC2424246</t>
  </si>
  <si>
    <t>SIP CORE LAYER (prd2): Minor:</t>
  </si>
  <si>
    <t>Logeshwaran Nandhakumar</t>
  </si>
  <si>
    <t>SIP CORE LAYER (prd2)</t>
  </si>
  <si>
    <t>INC2423038</t>
  </si>
  <si>
    <t>Unable to Login into JFE CM due to Workstation ID error</t>
  </si>
  <si>
    <t>INC2423087</t>
  </si>
  <si>
    <t>Unable to load</t>
  </si>
  <si>
    <t>INC2398263</t>
  </si>
  <si>
    <t>Having trouble using FLY.</t>
  </si>
  <si>
    <t>FLY (prd)</t>
  </si>
  <si>
    <t>INC2424753</t>
  </si>
  <si>
    <t>Unable to access Amadeus, JFE CM user</t>
  </si>
  <si>
    <t>SCTASK1168368</t>
  </si>
  <si>
    <t>Generic Request - APEX table update</t>
  </si>
  <si>
    <t>Keerthana Kanagasabai</t>
  </si>
  <si>
    <t>INC2426189</t>
  </si>
  <si>
    <t>Not able to sign in successfully to CM JFE APPLICATION(PRD)</t>
  </si>
  <si>
    <t>naveena Karunakaran</t>
  </si>
  <si>
    <t>INC2425546</t>
  </si>
  <si>
    <t>Pax had a heavy charge created when someone else in booking had a BA silver card</t>
  </si>
  <si>
    <t>INC2425431</t>
  </si>
  <si>
    <t>BA-LHR-Airport companion app-unable to login</t>
  </si>
  <si>
    <t>INC2426221</t>
  </si>
  <si>
    <t>Unable to reissue ticket</t>
  </si>
  <si>
    <t>JFE CUSTOMER MANAGEMENT CM (pdt)</t>
  </si>
  <si>
    <t>SCTASK1168168</t>
  </si>
  <si>
    <t>Generic Request</t>
  </si>
  <si>
    <t>Muthukumaran Gopal</t>
  </si>
  <si>
    <t>INC2425999</t>
  </si>
  <si>
    <t>Bulk Routing rejects</t>
  </si>
  <si>
    <t>INC2426475</t>
  </si>
  <si>
    <t>Baggage Data Not Appearing</t>
  </si>
  <si>
    <t>INC2426208</t>
  </si>
  <si>
    <t>fly v3 not launching</t>
  </si>
  <si>
    <t>INC2425279</t>
  </si>
  <si>
    <t>LDM Message Failure</t>
  </si>
  <si>
    <t>INC2426981</t>
  </si>
  <si>
    <t>customers put the standby but bags not put to red</t>
  </si>
  <si>
    <t>INC2428150</t>
  </si>
  <si>
    <t>FLYAUTO releasing seats</t>
  </si>
  <si>
    <t>INC2428575</t>
  </si>
  <si>
    <t>FLYAUTO FLY WORKING VERY SLOW</t>
  </si>
  <si>
    <t>INC2428384</t>
  </si>
  <si>
    <t>FLYAUTO FLY RUNNING SLOW</t>
  </si>
  <si>
    <t>INC2429935</t>
  </si>
  <si>
    <t>Bulk TSP Routing alert</t>
  </si>
  <si>
    <t>INC2427146</t>
  </si>
  <si>
    <t>INC2427651</t>
  </si>
  <si>
    <t>Abinayapriya Narayanasamy</t>
  </si>
  <si>
    <t>Slowness/Performance</t>
  </si>
  <si>
    <t>INC2428673</t>
  </si>
  <si>
    <t>SIP PCI APPN LAYER (prd2): Minor:</t>
  </si>
  <si>
    <t>SIP PCI APPN LAYER (prd2)</t>
  </si>
  <si>
    <t>INC2427569</t>
  </si>
  <si>
    <t>INC2427572</t>
  </si>
  <si>
    <t>SCTASK1170004</t>
  </si>
  <si>
    <t>Findings for sipcore_uat_setup - 474083452445 the period starting 2026-05-18 05:24:36.629073</t>
  </si>
  <si>
    <t>SCTASK1169929</t>
  </si>
  <si>
    <t>Findings for siptools_uat_setup - 392738926099 the period starting 2026-05-18 05:21:25.506475</t>
  </si>
  <si>
    <t>INC2430413</t>
  </si>
  <si>
    <t xml:space="preserve">unable to login Amadeus application launcher ( BA group booking tool ) </t>
  </si>
  <si>
    <t>INC2430552</t>
  </si>
  <si>
    <t>Please reset JFE password.</t>
  </si>
  <si>
    <t>INC2419533</t>
  </si>
  <si>
    <t>YVR ---- Vancouver----User requested to reset the JFE password</t>
  </si>
  <si>
    <t>PATHWAY (prd)</t>
  </si>
  <si>
    <t>INC2409587</t>
  </si>
  <si>
    <t>Unable to check screen load distribution and deadload and summary of BA399 , BA397 , BA398 and BA396(CAI/LHR and LHR/CAI)</t>
  </si>
  <si>
    <t>SCTASK1170007</t>
  </si>
  <si>
    <t>Findings for ba-sip-pci-appn-layer-prd - 618295837509 the period starting 2026-05-18 05:24:44.129027</t>
  </si>
  <si>
    <t>SCTASK1170036</t>
  </si>
  <si>
    <t>Findings for siptools_prd_setup - 489852440492 the period starting 2026-05-18 05:25:45.386678</t>
  </si>
  <si>
    <t>INC2426698</t>
  </si>
  <si>
    <t>Unable to login into Pegasus</t>
  </si>
  <si>
    <t>PEGASUS (prd)</t>
  </si>
  <si>
    <t>SCTASK1170321</t>
  </si>
  <si>
    <t>Cyber Vulnerability Task</t>
  </si>
  <si>
    <t>INC2431096</t>
  </si>
  <si>
    <t>FLYAUTO ba436 not in jfe</t>
  </si>
  <si>
    <t>INC2431321</t>
  </si>
  <si>
    <t>SCTASK1170678</t>
  </si>
  <si>
    <t xml:space="preserve">Generic Request - Need to check if PNRs have been booked for the against below trips    1.31JUL26 1405  BA  263  LHR-RUH  1/1/0//0/0/00  02  7023        2.25JUL26 1300  BA  993  BER-LHR  1/1/0//0/0/00  02  3062  </t>
  </si>
  <si>
    <t>INC2432055</t>
  </si>
  <si>
    <t>INC2431943</t>
  </si>
  <si>
    <t>INC2432686</t>
  </si>
  <si>
    <t>INC2433121</t>
  </si>
  <si>
    <t>INC2432988</t>
  </si>
  <si>
    <t>Unable to access JFE Customer Management CM via Citrix</t>
  </si>
  <si>
    <t>INC2433271</t>
  </si>
  <si>
    <t>My account is locked</t>
  </si>
  <si>
    <t>INC2433478</t>
  </si>
  <si>
    <t>When trying to print emd via boarding pass nothing responded</t>
  </si>
  <si>
    <t>JFE CUSTOMER MANAGEMENT CM (PRD)</t>
  </si>
  <si>
    <t>SIP TOOLS (prd)</t>
  </si>
  <si>
    <t>SCTASK1171815</t>
  </si>
  <si>
    <t>Generic Request - Can I request that the OLCI facade logs are enabled on live in order to assist identifying source of remaining traffic</t>
  </si>
  <si>
    <t>INC2435079</t>
  </si>
  <si>
    <t>INC2435094</t>
  </si>
  <si>
    <t>FLYAUTO duplicate seating</t>
  </si>
  <si>
    <t>INC2435406</t>
  </si>
  <si>
    <t>INC2434722</t>
  </si>
  <si>
    <t>SCTASK1171505</t>
  </si>
  <si>
    <t>Generic Request - Requesting to provide the details which are attached in the confluence page</t>
  </si>
  <si>
    <t>Ajay Sudamani</t>
  </si>
  <si>
    <t>PRB0058370</t>
  </si>
  <si>
    <t>Multiple reports of Pegasus time out issues and unable to log back into Pegasus</t>
  </si>
  <si>
    <t>INC2435887</t>
  </si>
  <si>
    <t xml:space="preserve">can't sign in. </t>
  </si>
  <si>
    <t>INC2436182</t>
  </si>
  <si>
    <t>INC2437145</t>
  </si>
  <si>
    <t>INC2436923</t>
  </si>
  <si>
    <t>INC2436749</t>
  </si>
  <si>
    <t>INC2436356</t>
  </si>
  <si>
    <t xml:space="preserve">Cannot access JFE </t>
  </si>
  <si>
    <t>INC2266114</t>
  </si>
  <si>
    <t>Reservation Screen Timeout Issue</t>
  </si>
  <si>
    <t xml:space="preserve">INC2430552 </t>
  </si>
  <si>
    <t>INC2431404</t>
  </si>
  <si>
    <t>Amadeus account is locked</t>
  </si>
  <si>
    <t>INC2434831</t>
  </si>
  <si>
    <t>UK : Payment Machine application-level issue</t>
  </si>
  <si>
    <t>INC2434982</t>
  </si>
  <si>
    <t>Chip and Pin device 63519797 and 63519009 not working</t>
  </si>
  <si>
    <t>INC2435387</t>
  </si>
  <si>
    <t>System Access logged</t>
  </si>
  <si>
    <t>INC2435652</t>
  </si>
  <si>
    <t>LGW - jfe login issue</t>
  </si>
  <si>
    <t>INC2435538</t>
  </si>
  <si>
    <t xml:space="preserve">I am not able to Login into the CM JFE Production </t>
  </si>
  <si>
    <t>SCTASK1158541</t>
  </si>
  <si>
    <t>Generic Request - Hi team, Kindly insert cargo flights in Y3C environment for testing for the dates 04 May 2026 to 31 May 2026</t>
  </si>
  <si>
    <t>Sridevi Selvaraju</t>
  </si>
  <si>
    <t>INC2435501</t>
  </si>
  <si>
    <t>BA-LHR-JFE-Unable to login</t>
  </si>
  <si>
    <t>SCTASK1158957</t>
  </si>
  <si>
    <t>Generic Request - Request setup data in FM and CM for customer plan application.</t>
  </si>
  <si>
    <t>SCTASK1158958</t>
  </si>
  <si>
    <t>INC2435285</t>
  </si>
  <si>
    <t>LHR-Bag loading status not feeding into JFE and suggests bags are not loaded - System wide issue</t>
  </si>
  <si>
    <t>SCTASK1151614</t>
  </si>
  <si>
    <t>Generic Request - I have created the LSS(Altea) request in UAT corporate Directory but the profile is not created in Altea login area is not created</t>
  </si>
  <si>
    <t>SCTASK1160990</t>
  </si>
  <si>
    <t>Generic Request - Request to open flights in PDT</t>
  </si>
  <si>
    <t>SCTASK1160732</t>
  </si>
  <si>
    <t>SCTASK1154157</t>
  </si>
  <si>
    <t>Generic Request - Need assistance in raising access for Workstation Ids or Airports for CM JFE Login. Unable to login CM JFE for multiple Airports at pdt</t>
  </si>
  <si>
    <t>SCTASK1161133</t>
  </si>
  <si>
    <t>Generic Request - Altea CM JFE PDT Test flights trigger</t>
  </si>
  <si>
    <t>Kayathiri Venkatesh</t>
  </si>
  <si>
    <t>INC2394668</t>
  </si>
  <si>
    <t>Not able to access FLY</t>
  </si>
  <si>
    <t>SCTASK1162001</t>
  </si>
  <si>
    <t>Generic Request : Request setup data in FM and CM for customer plan application.</t>
  </si>
  <si>
    <t>SCTASK1157967</t>
  </si>
  <si>
    <t xml:space="preserve">Generic Request - RES302 Phase 2 Airport Activation - HAM - CM JFE Test Results Review </t>
  </si>
  <si>
    <t>SCTASK1163242</t>
  </si>
  <si>
    <t>Generic Request - Kindly provide data for testing RiBi application</t>
  </si>
  <si>
    <t>SCTASK1163127</t>
  </si>
  <si>
    <t>Install Amadeus CM JFE Application (JFE CUSTOMER MANAGEMENT CM (PDT))</t>
  </si>
  <si>
    <t>SCTASK1163848</t>
  </si>
  <si>
    <t>Generic Request - CM JFE PDT test flights trigger</t>
  </si>
  <si>
    <t>SCTASK1164870</t>
  </si>
  <si>
    <t>SCTASK1163204</t>
  </si>
  <si>
    <t>SCTASK1161360</t>
  </si>
  <si>
    <t>Generic Request - Request for FM PDT testdata for ACARS Prelim LoadSheet testing</t>
  </si>
  <si>
    <t>INC2437330</t>
  </si>
  <si>
    <t>BES INCIDENT for alertId 0019505693|exec|drprdmqop01.baw/koprdmq01|queue_depth MAJOR|Hostname:bal2586prd001|663524239306</t>
  </si>
  <si>
    <t>INC2400477</t>
  </si>
  <si>
    <t>FLY WILL NOT ACCEPT AKE-71291EI IN THE DEADLOAD</t>
  </si>
  <si>
    <t>INC2400954</t>
  </si>
  <si>
    <t>INC2401287</t>
  </si>
  <si>
    <t>UNABLE TO OFFLOAD PAX FROM THE CONFORMANCE LIST. ERROR MESSAGE ON SCREEN</t>
  </si>
  <si>
    <t>INC2402681</t>
  </si>
  <si>
    <t>User  report  the FLY 3 application is missing t[on their set.</t>
  </si>
  <si>
    <t>INC2403361</t>
  </si>
  <si>
    <t>LDM , CPM and SLS Message Failure for BA2703</t>
  </si>
  <si>
    <t>INC2404162</t>
  </si>
  <si>
    <t>No FLY on Desktop</t>
  </si>
  <si>
    <t>INC2404680</t>
  </si>
  <si>
    <t>LDM ,SLS Message Failure</t>
  </si>
  <si>
    <t>INC2407464</t>
  </si>
  <si>
    <t>INC2407538</t>
  </si>
  <si>
    <t>Since recent IAG Tech updates FLY 3 has been removed from my LAPTOP</t>
  </si>
  <si>
    <t>INC2409573</t>
  </si>
  <si>
    <t>FLYAUTO Unable to check screen load distribution and deadload and flight summary</t>
  </si>
  <si>
    <t>INC2412924</t>
  </si>
  <si>
    <t>FLYAUTO FLY WORKING TOO SLOW</t>
  </si>
  <si>
    <t>INC2413217</t>
  </si>
  <si>
    <t>Access needed to carry out my daily job function. Need access to FLY and Final Closeout Screen to see Final Passenger List for boarded flights</t>
  </si>
  <si>
    <t>INC2414553</t>
  </si>
  <si>
    <t>INC2414873</t>
  </si>
  <si>
    <t>LDM, CPM , SLS message failed for BA2781</t>
  </si>
  <si>
    <t>INC2415617</t>
  </si>
  <si>
    <t>Bulk MRS rejects</t>
  </si>
  <si>
    <t>INC2416192</t>
  </si>
  <si>
    <t>LDM ,SLS  Message Failure</t>
  </si>
  <si>
    <t>INC2417074</t>
  </si>
  <si>
    <t>M2F failure message</t>
  </si>
  <si>
    <t>INC2418155</t>
  </si>
  <si>
    <t>M2F Message Failure</t>
  </si>
  <si>
    <t>INC2419309</t>
  </si>
  <si>
    <t>I am unable to access Fly on my laptop.</t>
  </si>
  <si>
    <t>INC2419455</t>
  </si>
  <si>
    <t>INC2400126</t>
  </si>
  <si>
    <t>BES INCIDENT for alertId 0018572785|exec|drprdmqop01.baw/mes.ext.to.caml.fei.error.ql|queue_depth CRITICAL|Hostname:bal2586prd001|663524239306</t>
  </si>
  <si>
    <t>bal2586prd001</t>
  </si>
  <si>
    <t>INC2402866</t>
  </si>
  <si>
    <t>BES INCIDENT for alertId 0018698310|MEM|usage|mem_used_percent CRITICAL|Hostname:i-011ba9957ec828107|CWAgent</t>
  </si>
  <si>
    <t>i-011ba9957ec828107</t>
  </si>
  <si>
    <t>INC2402910</t>
  </si>
  <si>
    <t>BES INCIDENT for alertId 0018698801|SWAP|usage|swap_used_percent MAJOR|Hostname:i-0d5907c29c4539b5b|CWAgent</t>
  </si>
  <si>
    <t>i-0d5907c29c4539b5b</t>
  </si>
  <si>
    <t>INC2404782</t>
  </si>
  <si>
    <t>INC2405224</t>
  </si>
  <si>
    <t>INC2405321</t>
  </si>
  <si>
    <t>BA - GGS - LGW - Self Service Kiosk Machines are not working</t>
  </si>
  <si>
    <t>INC2410975</t>
  </si>
  <si>
    <t>BES INCIDENT for alertId 0018946188|dpBAprd2c.Mngmnt_ctBrk01.Mngmnt_Brk01.queue.messages.Count.SonicMQ.routingQueue CRITICAL|Hostname:LOGICAL|663524239306</t>
  </si>
  <si>
    <t>drprd2cba1mg1</t>
  </si>
  <si>
    <t>INC2411576</t>
  </si>
  <si>
    <t>INC2413608</t>
  </si>
  <si>
    <t>INC2413717</t>
  </si>
  <si>
    <t>BES INCIDENT for alertId 0019015218|dpBAprd2c.Mngmnt_ctBrk01.Mngmnt_Brk01.queue.messages.Count.SonicMQ.routingQueue CRITICAL|Hostname:LOGICAL|663524239306</t>
  </si>
  <si>
    <t>INC2415576</t>
  </si>
  <si>
    <t>INC2417004</t>
  </si>
  <si>
    <t>INC2417153</t>
  </si>
  <si>
    <t>INC2419530</t>
  </si>
  <si>
    <t>INC2419708</t>
  </si>
  <si>
    <t>INC2421102</t>
  </si>
  <si>
    <t>INC2411253</t>
  </si>
  <si>
    <t>Balasundari Rajendran</t>
  </si>
  <si>
    <t>INC2408123</t>
  </si>
  <si>
    <t>INC2405232</t>
  </si>
  <si>
    <t>INC2406753</t>
  </si>
  <si>
    <t>BES INCIDENT for alertId 0018799301|dpBAprd2c.Mngmnt_ctBrk01.Mngmnt_Brk01.queue.messages.Count.SonicMQ.routingQueue CRITICAL|Hostname:LOGICAL|663524239306</t>
  </si>
  <si>
    <t>INC2347880</t>
  </si>
  <si>
    <t>PGSS-7- BA - DEL - user cant able to login to pegasus</t>
  </si>
  <si>
    <t>INC2415995</t>
  </si>
  <si>
    <t>INC2417196</t>
  </si>
  <si>
    <t>INC2416954</t>
  </si>
  <si>
    <t>INC2409370</t>
  </si>
  <si>
    <t>BES INCIDENT for alertId 0018899686|MEM|usage|mem_used_percent MAJOR|Hostname:i-02362e6f0cf443b01|CWAgent</t>
  </si>
  <si>
    <t>i-02362e6f0cf443b01</t>
  </si>
  <si>
    <t>INC2413681</t>
  </si>
  <si>
    <t>INC2413487</t>
  </si>
  <si>
    <t>INC2414585</t>
  </si>
  <si>
    <t>INC2411247</t>
  </si>
  <si>
    <t>INC2396261</t>
  </si>
  <si>
    <t xml:space="preserve">PGSS-21- Unable to login Pegasus  in  BCP (Y3) Prelive environment  </t>
  </si>
  <si>
    <t>QIK2 (dev)</t>
  </si>
  <si>
    <t>INC2390722</t>
  </si>
  <si>
    <t xml:space="preserve">PGSS-21- Unable to login Pegasus  in  TTP  (Y3) Prelive environment  </t>
  </si>
  <si>
    <t>INC2403401</t>
  </si>
  <si>
    <t>INC2404953</t>
  </si>
  <si>
    <t>INC2405203</t>
  </si>
  <si>
    <t>INC2406184</t>
  </si>
  <si>
    <t>INC2402206</t>
  </si>
  <si>
    <t>INC2401165</t>
  </si>
  <si>
    <t>INC2400651</t>
  </si>
  <si>
    <t>INC2405147</t>
  </si>
  <si>
    <t>INC2403370</t>
  </si>
  <si>
    <t>INC2415620</t>
  </si>
  <si>
    <t>Multiple reports of Pegasus session time out across all sites</t>
  </si>
  <si>
    <t>INC2423908</t>
  </si>
  <si>
    <t>INC2419540</t>
  </si>
  <si>
    <t>INC2405280</t>
  </si>
  <si>
    <t>INC2437452</t>
  </si>
  <si>
    <t>INC2421108</t>
  </si>
  <si>
    <t>INC2414609</t>
  </si>
  <si>
    <t>BES INCIDENT for alertId 0019034220|exec|drprdmqop01.baw/mes.ext.to.caml.fei.error.ql|queue_depth CRITICAL|Hostname:bal2586prd001|663524239306</t>
  </si>
  <si>
    <t>INC2421305</t>
  </si>
  <si>
    <t>INC2418788</t>
  </si>
  <si>
    <t>INC2421110</t>
  </si>
  <si>
    <t>INC2417772</t>
  </si>
  <si>
    <t>INC2415490</t>
  </si>
  <si>
    <t>BES INCIDENT for alertId 0019052537|exec|drprdmqop01.baw/koprdmq01|queue_depth MAJOR|Hostname:bal2586prd001|663524239306</t>
  </si>
  <si>
    <t>INC2416649</t>
  </si>
  <si>
    <t>INC2413154</t>
  </si>
  <si>
    <t>BA- KUL-  PEGASUS ISSUE</t>
  </si>
  <si>
    <t xml:space="preserve">SCTASK1166169	</t>
  </si>
  <si>
    <t>Generic Request - Monitoring of ADCPrintFacade on Y3</t>
  </si>
  <si>
    <t>SCTASK1165350</t>
  </si>
  <si>
    <t>Generic Request - Data Setup on FM PDT - SIPRTO program</t>
  </si>
  <si>
    <t>SCTASK1163227</t>
  </si>
  <si>
    <t>Generic Request - I am not able to login to JFE aplication.</t>
  </si>
  <si>
    <t>SCTASK1166729</t>
  </si>
  <si>
    <t>Generic Request - To open the flight in CM in UAT Environment. Flight details:  BA117/LHRJFK/22 MAY ; BA117/LHRJFK/21 MAY. Please assign to APPSUP_TTPTESTLAB team</t>
  </si>
  <si>
    <t>SCTASK1165242</t>
  </si>
  <si>
    <t>SCTASK1164764</t>
  </si>
  <si>
    <t>SCTASK1166163</t>
  </si>
  <si>
    <t>Generic Request - Monitoring of live traffic through OLCI facade</t>
  </si>
  <si>
    <t>Kalaiselvi Rameshkumar</t>
  </si>
  <si>
    <t>SCTASK1164117</t>
  </si>
  <si>
    <t>Generic Request - Need sample data for Amadeus webservices RequestFlightImage, GetPassengerList, GetCheckInSummary and other passenger count related webservices</t>
  </si>
  <si>
    <t>INC2434074</t>
  </si>
  <si>
    <t>Well Architected Tool Yearly Reminder for account 392738926099.</t>
  </si>
  <si>
    <t>PRB0058330</t>
  </si>
  <si>
    <t xml:space="preserve">multiple users reporting isssues with Pegasus </t>
  </si>
  <si>
    <t>INC2421117</t>
  </si>
  <si>
    <t>SIP Down</t>
  </si>
  <si>
    <t>INC2405323</t>
  </si>
  <si>
    <t xml:space="preserve">Blip in QIK2 Application </t>
  </si>
  <si>
    <t>PRB0057459</t>
  </si>
  <si>
    <t>PRB0057431</t>
  </si>
  <si>
    <t>MONITORING --Aurea case 60269326 - Fly &amp; Pegasus not working</t>
  </si>
  <si>
    <t>PRB0058016</t>
  </si>
  <si>
    <t>RCA for BA P1_INC2368184_Multiple SIP dependant Apps impacted_09Apr26</t>
  </si>
  <si>
    <t>PRB0058019</t>
  </si>
  <si>
    <t>BA-LHR-Iload-Getting a error message ILD00007</t>
  </si>
  <si>
    <t>PRB0057807</t>
  </si>
  <si>
    <t>RCA for BA P1_INC2313279_ACARS Load Sheet not acknowledged_04Mar26</t>
  </si>
  <si>
    <t>SCTASK1163223</t>
  </si>
  <si>
    <t>Generic Request - Need new Workstation ID associate with new OID LHRBA00JT ( created by OOS for Commercial Product testing on CM JFE PDT)</t>
  </si>
  <si>
    <t>SCTASK1166252</t>
  </si>
  <si>
    <t>Request to install  ALTEA DCCM PDT</t>
  </si>
  <si>
    <t>SCTASK1167268</t>
  </si>
  <si>
    <t>Generic Request - Create data in Amadeus PDT - 5th Jun</t>
  </si>
  <si>
    <t xml:space="preserve"> INC2420552</t>
  </si>
  <si>
    <t>I do not have all the access as per the Mirror ID with my SID(518060) with WID-BA/C/LON/B/WTS/BMD/CMTST/999</t>
  </si>
  <si>
    <t>SCTASK1166590</t>
  </si>
  <si>
    <t>Generic Request - Flytst application needs some update</t>
  </si>
  <si>
    <t>SCTASK1165219</t>
  </si>
  <si>
    <t>Generic Request - RES302 Ph2 Airport Activation MAN Test Execution completed seeking sign-off from Airport System Ops Team Donna Janssen and Fal Khairuddin</t>
  </si>
  <si>
    <t>SCTASK1167980</t>
  </si>
  <si>
    <t>Generic Request - FM PDT Flight Data Requirements for Passenger List</t>
  </si>
  <si>
    <t>Generic Request - Could you please share the Amadeus response to SIP and the SIP response to the watchlist from production for 20 flights over the past one week?  Please include flights with different passenger loads, specifically flights carrying more than 300  and 400 passengers.</t>
  </si>
  <si>
    <t>SCTASK1168606</t>
  </si>
  <si>
    <t>SCTASK1163579</t>
  </si>
  <si>
    <t>INC2409963</t>
  </si>
  <si>
    <t>BES INCIDENT for alertId 0018918149|exec|drprdmqop01.baw/koprdmq01|queue_depth MAJOR|Hostname:bal2586prd001|663524239306</t>
  </si>
  <si>
    <t>SCTASK1169237</t>
  </si>
  <si>
    <t xml:space="preserve">Generic Request - Trigger test fights in CM JFE PDT for RES302 Phase 2 Airport Activation Testing </t>
  </si>
  <si>
    <t>INC2405246</t>
  </si>
  <si>
    <t xml:space="preserve">Latency observed on SIP platform. </t>
  </si>
  <si>
    <t>SCTASK1169341</t>
  </si>
  <si>
    <t>Generic Request - Hi Team, Kindly provide the list of Selectee passengers for 22/05 and 25/05 from JFE. Please use the below steps: JFE CM -&gt; Flight menu -&gt; Assign to flight (USA Only) -&gt; Customer List -&gt; Selectee Customers (no filters) -&gt; Display</t>
  </si>
  <si>
    <t>INC2405282</t>
  </si>
  <si>
    <t>intermittent OLCI degradation</t>
  </si>
  <si>
    <t>INC2408836</t>
  </si>
  <si>
    <t>INC2405146</t>
  </si>
  <si>
    <t>INC2402042</t>
  </si>
  <si>
    <t>BES INCIDENT for alertId 0018673474|dpBAprd2c.Mngmnt_ctBrk01.Mngmnt_Brk01.queue.messages.Count.SonicMQ.routingQueue CRITICAL</t>
  </si>
  <si>
    <t>INC2402324</t>
  </si>
  <si>
    <t>BA-LHR-FLY &amp; JFE not working</t>
  </si>
  <si>
    <t>INC2401342</t>
  </si>
  <si>
    <t>INC2437590</t>
  </si>
  <si>
    <t xml:space="preserve">We are getting  LAS error &amp; timed out error in Pegasus TTP (Y3) Prelive environment </t>
  </si>
  <si>
    <t>INC2403084</t>
  </si>
  <si>
    <t>CPM , SLS Message Failure</t>
  </si>
  <si>
    <t>closed</t>
  </si>
  <si>
    <t>Priyanka N</t>
  </si>
  <si>
    <t>Expected behaviour</t>
  </si>
  <si>
    <t>INC2406431</t>
  </si>
  <si>
    <t>INC2407469</t>
  </si>
  <si>
    <t>INC2405211</t>
  </si>
  <si>
    <t>Intermittent issue</t>
  </si>
  <si>
    <t>INC2413115</t>
  </si>
  <si>
    <t>INC2438998</t>
  </si>
  <si>
    <t>INC2438126</t>
  </si>
  <si>
    <t>INC2438125</t>
  </si>
  <si>
    <t>INC2438215</t>
  </si>
  <si>
    <t>FLY dissapeared from my laptop after an IT system update</t>
  </si>
  <si>
    <t>INC2438245</t>
  </si>
  <si>
    <t>INC2438660</t>
  </si>
  <si>
    <t>INC2438805</t>
  </si>
  <si>
    <t>INC2438823</t>
  </si>
  <si>
    <t>INC2439093</t>
  </si>
  <si>
    <t>INC2439397</t>
  </si>
  <si>
    <t>INC2439549</t>
  </si>
  <si>
    <t>INC2440143</t>
  </si>
  <si>
    <t>INC2438401</t>
  </si>
  <si>
    <t>FLYAUTO FLY81019</t>
  </si>
  <si>
    <t>INC2438463</t>
  </si>
  <si>
    <t>INC2438507</t>
  </si>
  <si>
    <t>FLYAUTO Gate reader /Biometric</t>
  </si>
  <si>
    <t>INC2439033</t>
  </si>
  <si>
    <t>BES INCIDENT for alertId 0019552865|dpBAprd2c.BOBSIZ_ctBrk01 CRITICAL|Hostname:LOGICAL|663524239306</t>
  </si>
  <si>
    <t>drprd2cbi1bbsiz1</t>
  </si>
  <si>
    <t>INC2439432</t>
  </si>
  <si>
    <t>INC2439996</t>
  </si>
  <si>
    <t>FLYAUTO COUNTDOWN NOT SHOWING AT -60</t>
  </si>
  <si>
    <t>INC2439998</t>
  </si>
  <si>
    <t>FLYAUTO COUNTDOWN NOT SHOWING</t>
  </si>
  <si>
    <t>INC2440322</t>
  </si>
  <si>
    <t>Unable to Login to CM JFE – Authentication Error</t>
  </si>
  <si>
    <t>SCTASK1173265</t>
  </si>
  <si>
    <t>Findings for sipcore-X1_NLV_PCI - 358177491850 the period starting 2026-05-25 05:19:28.571510</t>
  </si>
  <si>
    <t>Aashik Kannan</t>
  </si>
  <si>
    <t>SCTASK1173385</t>
  </si>
  <si>
    <t>Findings for siptools_uat_setup - 392738926099 the period starting 2026-05-25 05:23:55.</t>
  </si>
  <si>
    <t>SCTASK1173299</t>
  </si>
  <si>
    <t>Findings for sipcore_uat_setup - 474083452445 the period starting 2026-05-25 05:20:41.668564</t>
  </si>
  <si>
    <t>INC2441556</t>
  </si>
  <si>
    <t>INC2442045</t>
  </si>
  <si>
    <t>INC2442420</t>
  </si>
  <si>
    <t>INC2441803</t>
  </si>
  <si>
    <t>WINBABS UNABLE TO ACCESS</t>
  </si>
  <si>
    <t>INC2418776</t>
  </si>
  <si>
    <t>To get proper access to log in Altea Inventory TST.</t>
  </si>
  <si>
    <t>ALTEA INVENTORY</t>
  </si>
  <si>
    <t>SCTASK1170494</t>
  </si>
  <si>
    <t>INC2427000</t>
  </si>
  <si>
    <t>Getting error "Unable to resolve full error. Device server returned an error" when trying to login Altea Departure control customer management application.</t>
  </si>
  <si>
    <t xml:space="preserve"> INC2418541</t>
  </si>
  <si>
    <t>INC2441804</t>
  </si>
  <si>
    <t>I am not able to log on in the Hosted mode in JFE</t>
  </si>
  <si>
    <t>INC2440907</t>
  </si>
  <si>
    <t>Account Frozen</t>
  </si>
  <si>
    <t>Jasmine Johnson</t>
  </si>
  <si>
    <t>INC2440888</t>
  </si>
  <si>
    <t>LSS Account frozen.</t>
  </si>
  <si>
    <t>INC2431847</t>
  </si>
  <si>
    <t>INC2440275</t>
  </si>
  <si>
    <t xml:space="preserve">FLY not able to launch - LDAP error </t>
  </si>
  <si>
    <t>SIP SUBLIVE</t>
  </si>
  <si>
    <t>INC2442486</t>
  </si>
  <si>
    <t>FLYAUTO BA035</t>
  </si>
  <si>
    <t>SCTASK1174540</t>
  </si>
  <si>
    <t>INC2443155</t>
  </si>
  <si>
    <t>INC2443554</t>
  </si>
  <si>
    <t>INC2442848</t>
  </si>
  <si>
    <t>INC2443548</t>
  </si>
  <si>
    <t>Bulk Quarantine rejects</t>
  </si>
  <si>
    <t>INC2443309</t>
  </si>
  <si>
    <t>FLYAUTO kiosk bag error</t>
  </si>
  <si>
    <t>INC2443502</t>
  </si>
  <si>
    <t>BES INCIDENT for alertId 0019656216|exec|drprdmqop01.baw/drprdop01_wmbl01|channel_status CRITICAL|Hostname:bal2586prd001|663524239306</t>
  </si>
  <si>
    <t>INC2443052</t>
  </si>
  <si>
    <t>INC2443936</t>
  </si>
  <si>
    <t>INC2443641</t>
  </si>
  <si>
    <t>Temporarily locked out due to incorrect password</t>
  </si>
  <si>
    <t>INC2443842</t>
  </si>
  <si>
    <t>Unable to Login to CM JFE Production Environment</t>
  </si>
  <si>
    <t>SIP Tools Uat</t>
  </si>
  <si>
    <t>INC2444114</t>
  </si>
  <si>
    <t>INC2444085</t>
  </si>
  <si>
    <t>We are unable to logon Pegasus BCP (Y3) Prelive environment.</t>
  </si>
  <si>
    <t>INC2443476</t>
  </si>
  <si>
    <t>BES INCIDENT for alertId 0019652407|exec|drprdmqop01.baw/mes.caml.to.ext.nirvana.ql|queue_depth MAJOR|Hostname:bal2586prd001|663524239306</t>
  </si>
  <si>
    <t>INC2443769</t>
  </si>
  <si>
    <t>FLYAUTO unable to offload conformance</t>
  </si>
  <si>
    <t>INC2443977</t>
  </si>
  <si>
    <t>BA-LHR- Name issue in JFE</t>
  </si>
  <si>
    <t>INC2442214</t>
  </si>
  <si>
    <t>User is unable to reset JFE password.</t>
  </si>
  <si>
    <t>INC2440465</t>
  </si>
  <si>
    <t>Unable to login to JFE CM and FM</t>
  </si>
  <si>
    <t>INC2445507</t>
  </si>
  <si>
    <t>INC2445469</t>
  </si>
  <si>
    <t>INC2445474</t>
  </si>
  <si>
    <t>INC2445433</t>
  </si>
  <si>
    <t>INC2445454</t>
  </si>
  <si>
    <t>BES INCIDENT for alertId 0019688925|exec|sip_non-pci_mngmnttier|exit_code CRITICAL|Hostname:drprd2cba1mg1|663524239306</t>
  </si>
  <si>
    <t>INC2445054</t>
  </si>
  <si>
    <t>INC2425752</t>
  </si>
  <si>
    <t xml:space="preserve">BA - LHR - user cant able to login to pegasus </t>
  </si>
  <si>
    <t>INC2444896</t>
  </si>
  <si>
    <t>Unable to request FICO access</t>
  </si>
  <si>
    <t>INC2445582</t>
  </si>
  <si>
    <t>STATUS OF AGENT PLATFORM dpbaprd2cmgt_brk02.sipcore-prd2c.int.iag.cloud CHANGED TO UNAVAILABLE</t>
  </si>
  <si>
    <t>SCTASK1175342</t>
  </si>
  <si>
    <t>BA Digital Observability Request</t>
  </si>
  <si>
    <t>SCTASK1175355</t>
  </si>
  <si>
    <t>SCTASK1175368</t>
  </si>
  <si>
    <t>SCTASK1175349</t>
  </si>
  <si>
    <t>Digital Observability Team (Datadog) - Non-Compliant Hosts Found for Account - 474083452445</t>
  </si>
  <si>
    <t>SCTASK1175387</t>
  </si>
  <si>
    <t>Digital Observability Team (Datadog) - Non-Compliant Hosts Found for Account - 392738926099</t>
  </si>
  <si>
    <t>INC2446422</t>
  </si>
  <si>
    <t>INC2446560</t>
  </si>
  <si>
    <t>Bulk alerts triggered during the change CHG0235634.</t>
  </si>
  <si>
    <t>SIP CORE PCI</t>
  </si>
  <si>
    <t>INC2446599</t>
  </si>
  <si>
    <t>INC2446930</t>
  </si>
  <si>
    <t>BES INCIDENT for alertId 0250018437|exec|drprdmqop01.baw/mes.ext.to.caml.fei.error.ql|queue_depth CRITICAL|Hostname:bal2586prd001|663524239306</t>
  </si>
  <si>
    <t xml:space="preserve"> Ajay Sudamani</t>
  </si>
  <si>
    <t>INC2446815</t>
  </si>
  <si>
    <t>INC2447813</t>
  </si>
  <si>
    <t>INC2447809</t>
  </si>
  <si>
    <t>INC2448784</t>
  </si>
  <si>
    <t>SIP CORE LAYER (prd2): Major: trace.jms.consume</t>
  </si>
  <si>
    <t>INC2449827</t>
  </si>
  <si>
    <t>INC2448800</t>
  </si>
  <si>
    <t>INC2448787</t>
  </si>
  <si>
    <t>INC2448426</t>
  </si>
  <si>
    <t>INC2449299</t>
  </si>
  <si>
    <t>BES INCIDENT for alertId 0250083982|dpBAprd2c.BOFMAZ_ctBrk02 CRITICAL|Hostname:LOGICAL|663524239306</t>
  </si>
  <si>
    <t>INC2449025</t>
  </si>
  <si>
    <t>FLYAUTO boarding error</t>
  </si>
  <si>
    <t>INC2448812</t>
  </si>
  <si>
    <t>BES INCIDENT for alertId 0250063414|exec|chktspmsw_rejmsgs_platinum.ksh_3|exit_code CRITICAL|Hostname:lxvirt115c|663524239306</t>
  </si>
  <si>
    <t>lxvirt115c</t>
  </si>
  <si>
    <t>INC2448477</t>
  </si>
  <si>
    <t>BES INCIDENT for alertId 0250052374|dpBAprd2c.CBAAAZ_ctBrk01 MAJOR|Hostname:LOGICAL|663524239306</t>
  </si>
  <si>
    <t>INC2448370</t>
  </si>
  <si>
    <t>LDM ,CPM, SLS Message Failure for BA2613</t>
  </si>
  <si>
    <t>INC2448796</t>
  </si>
  <si>
    <t xml:space="preserve">Error message in FICO on my laptop 'unable - access from this city not authorised' </t>
  </si>
  <si>
    <t>INC2430983</t>
  </si>
  <si>
    <t xml:space="preserve">Trying to migrate from trusted to hosted </t>
  </si>
  <si>
    <t>INC2430991</t>
  </si>
  <si>
    <t>JFE Password reset to use application in'Hosted mode'  I now get error message code 26322 - authentication failed.</t>
  </si>
  <si>
    <t>INC2431137</t>
  </si>
  <si>
    <t>Escalated_P3_Can't login to Altea JFE, getting error as 'Authentication failed'</t>
  </si>
  <si>
    <t>INC2430767</t>
  </si>
  <si>
    <t>Issue with AA Tickets During Check-in</t>
  </si>
  <si>
    <t>INC2431071</t>
  </si>
  <si>
    <t>BA - LHR - JFE - Functionality issue</t>
  </si>
  <si>
    <t>SCTASK1176938</t>
  </si>
  <si>
    <t>Findings for ba-sip-core-layer-prd - 663524239306 the period starting 2026-06-01 05:24:44.355261</t>
  </si>
  <si>
    <t>INC2449464</t>
  </si>
  <si>
    <t>FLYAUTO native worldtracer in FLY has gone down</t>
  </si>
  <si>
    <t>INC2449746</t>
  </si>
  <si>
    <t>BES INCIDENT for alertId 0250103828|exec|drprdmqop01.baw/mes.caml.to.ext.nirvana.ql|queue_depth MAJOR|Hostname:bal2586prd001|663524239306</t>
  </si>
  <si>
    <t>INC2450381</t>
  </si>
  <si>
    <t>BES INCIDENT for alertId 0250119278|dpBAprd2c.BOFMAZ_ctBrk02 CRITICAL|Hostname:LOGICAL|663524239306</t>
  </si>
  <si>
    <t>INC2450375</t>
  </si>
  <si>
    <t>FLYAUTO FLY IS NOT WORKING</t>
  </si>
  <si>
    <t>INC2450824</t>
  </si>
  <si>
    <t>INC2450581</t>
  </si>
  <si>
    <t>I have lost access to FLY which I need for my role</t>
  </si>
  <si>
    <t>SCTASK1177576</t>
  </si>
  <si>
    <t>Generic Request - MVT Message  - Altea FM</t>
  </si>
  <si>
    <t>SCTASK1180578</t>
  </si>
  <si>
    <t>Findings for siptools_uat_setup - 392738926099 the period starting 2026-06-08 05:25:23.595882</t>
  </si>
  <si>
    <t>SCTASK1180448</t>
  </si>
  <si>
    <t>Findings for sipcore_nlv - 425044672900 the period starting 2026-06-08 05:19:53.292686</t>
  </si>
  <si>
    <t>SCTASK1180506</t>
  </si>
  <si>
    <t>Findings for sipcore_uat_setup - 474083452445 the period starting 2026-06-08 05:22:48.008838</t>
  </si>
  <si>
    <t>INC2462791</t>
  </si>
  <si>
    <t>INC2463134</t>
  </si>
  <si>
    <t>Requesting access for the specified WID ID and mapping the corresponding Mirror ID for the Touchpoint application (CMJFE, ALTEADCCM)</t>
  </si>
  <si>
    <t>SCTASK1178827</t>
  </si>
  <si>
    <t>INC2450679</t>
  </si>
  <si>
    <t>Users unable to sign in to JFE FM Mobile</t>
  </si>
  <si>
    <t>INC2411969</t>
  </si>
  <si>
    <t>JFE CUSTOM</t>
  </si>
  <si>
    <t>SCTASK1185259</t>
  </si>
  <si>
    <t>Generic Request - Hi Team,   Kindly provide live examples for the below categories of passengers:  1. A Gold Guest List or Prem Card Holder 2. The Passenger has the following services  BLND/DEAF/DSAB/DPNA/UMNR/WCHR/WCHS/WCHC/POST/POSC 3. The passengers are BA Operating or BA Positioning Crew 4. Gold card List (GGL) passenger</t>
  </si>
  <si>
    <t>INC2446085</t>
  </si>
  <si>
    <t xml:space="preserve">Corrupt Pegasus log on </t>
  </si>
  <si>
    <t>SCTASK1175979</t>
  </si>
  <si>
    <t>Generic Request - Requesting to provide the baseline  details of API Microservices  which are attached in the confluence page, and also some of the API services are yet to finalize will update the confluence page accordingly</t>
  </si>
  <si>
    <t>INC2451514</t>
  </si>
  <si>
    <t>INC2451376</t>
  </si>
  <si>
    <t>FLY working very slow</t>
  </si>
  <si>
    <t>INC2451163</t>
  </si>
  <si>
    <t>INC2451705</t>
  </si>
  <si>
    <t>BES INCIDENT for alertId 0250139181|exec|drprdmqop01.baw/mes.caml.to.ext.oawfmdwh.ql|queue_depth MAJOR|Hostname:bal2586prd001|663524239306</t>
  </si>
  <si>
    <t>INC2451488</t>
  </si>
  <si>
    <t>BES INCIDENT for alertId 0250134548|exec|drprdmqop01.baw/ohprdmq61|queue_depth CRITICAL|Hostname:bal2586prd001|663524239306</t>
  </si>
  <si>
    <t>SCTASK1177880</t>
  </si>
  <si>
    <t>Digital Observability Team (Datadog) - Non-Compliant Hosts Found for Account - 618295837509</t>
  </si>
  <si>
    <t>INC2452368</t>
  </si>
  <si>
    <t>BA-PSA-User trying to  access JFE through Citrix, but after entering  credentials, getting the error</t>
  </si>
  <si>
    <t>INC2449791</t>
  </si>
  <si>
    <t>Staff unable to logon into Pegasus Bypass</t>
  </si>
  <si>
    <t>INC2444561</t>
  </si>
  <si>
    <t>User is unable to login to Pegasus Live</t>
  </si>
  <si>
    <t>INC2452786</t>
  </si>
  <si>
    <t>INC2452976</t>
  </si>
  <si>
    <t>INC2453170</t>
  </si>
  <si>
    <t>Unable to launch wimbabs and fly through citrix</t>
  </si>
  <si>
    <t>INC2452543</t>
  </si>
  <si>
    <t>BA-LHR-Unable to open BA80</t>
  </si>
  <si>
    <t>SCTASK1177860</t>
  </si>
  <si>
    <t>()</t>
  </si>
  <si>
    <t>INC2442703</t>
  </si>
  <si>
    <t>In PRD, when selecting options p Onload Commit Summary List and Standby Acceptance and Regrade Summary List, we are getting the pop up 'Warning 511 Response Time Out (RTO) - Do you want to retry' for both these options. Please see screenshot and error report provided.</t>
  </si>
  <si>
    <t>INC2445863</t>
  </si>
  <si>
    <t xml:space="preserve">Unable to log into JFE as Hosted. </t>
  </si>
  <si>
    <t>INC2450298</t>
  </si>
  <si>
    <t>I can't log into JFE this morning</t>
  </si>
  <si>
    <t>JFE FLIGHT MANAGEMENT FM (prd)</t>
  </si>
  <si>
    <t>INC2450407</t>
  </si>
  <si>
    <t>santosh.joshi@ba.com facing JFE issues</t>
  </si>
  <si>
    <t>INC2433827</t>
  </si>
  <si>
    <t>Cannot export ticket images. This issue also happens in the office as well as at home.  Error message is always 'Invalid DOCUMENT XML'</t>
  </si>
  <si>
    <t>NOVUS ARA (prd)</t>
  </si>
  <si>
    <t>INC2450577</t>
  </si>
  <si>
    <t>Unable to print via FM Mobile</t>
  </si>
  <si>
    <t>INC2453209</t>
  </si>
  <si>
    <t>JFE - need access</t>
  </si>
  <si>
    <t>inndhu Thangavelan</t>
  </si>
  <si>
    <t>INC2447485</t>
  </si>
  <si>
    <t xml:space="preserve">CM JFE PDT - getting AUTHENTICATION FAILED for ORD, JFK, HKG </t>
  </si>
  <si>
    <t>ALTEA CM (dev)</t>
  </si>
  <si>
    <t>INC2449844</t>
  </si>
  <si>
    <t>Unable to issue ticket</t>
  </si>
  <si>
    <t>SCTASK1177854</t>
  </si>
  <si>
    <t>INC2453470</t>
  </si>
  <si>
    <t>INC2447344</t>
  </si>
  <si>
    <t>User unable to log on to Pegasus due to Corporate Directory error</t>
  </si>
  <si>
    <t>INC2451425</t>
  </si>
  <si>
    <t>Issues with Pegasus</t>
  </si>
  <si>
    <t>INC2453063</t>
  </si>
  <si>
    <t>Escalated P3 - Peagsus Logon Issue - SIP not being able to handle the number of office IDs :</t>
  </si>
  <si>
    <t>INC2453951</t>
  </si>
  <si>
    <t>We are unable to log in to Pegasus TTP(Y3) Prelive environment.</t>
  </si>
  <si>
    <t>SCTASK1176325</t>
  </si>
  <si>
    <t>Query Corner</t>
  </si>
  <si>
    <t>INC2454081</t>
  </si>
  <si>
    <t>Launch Issue</t>
  </si>
  <si>
    <t>INC2429075</t>
  </si>
  <si>
    <t xml:space="preserve">Unable to log into winbabs on my laptop computher </t>
  </si>
  <si>
    <t>INC2455378</t>
  </si>
  <si>
    <t>FLY WORKING SLOW</t>
  </si>
  <si>
    <t>INC2455269</t>
  </si>
  <si>
    <t>INC2455212</t>
  </si>
  <si>
    <t>BOS   chip and pin machine is not working</t>
  </si>
  <si>
    <t>INC2452221</t>
  </si>
  <si>
    <t>KUL training P log on issue for Pegasus training</t>
  </si>
  <si>
    <t>INC2455174</t>
  </si>
  <si>
    <t>BES INCIDENT for alertId 0250192271|FILESYSTEM|varlog|disk_used_percent CRITICAL|Hostname:i-0e6ef5a59758fb3d5|CWAgent</t>
  </si>
  <si>
    <t>i-0e6ef5a59758fb3d5</t>
  </si>
  <si>
    <t>INC2455939</t>
  </si>
  <si>
    <t>BES INCIDENT for alertId 0250210664|exec|drprdmqop01.baw/koprdmq01|queue_depth MAJOR|Hostname:bal2586prd001|663524239306</t>
  </si>
  <si>
    <t>INC2455276</t>
  </si>
  <si>
    <t>Staff is unable to login on Pegasus live</t>
  </si>
  <si>
    <t>INC2446803</t>
  </si>
  <si>
    <t>Unable to use crytpic commands on PNR</t>
  </si>
  <si>
    <t>INC2453672</t>
  </si>
  <si>
    <t xml:space="preserve">Unable to access FICO due winbabs address is already in use.   </t>
  </si>
  <si>
    <t>INC2457075</t>
  </si>
  <si>
    <t>INC2456850</t>
  </si>
  <si>
    <t>INC2457039</t>
  </si>
  <si>
    <t>INC2452845</t>
  </si>
  <si>
    <t>Multiple DEL based agents reporting Amadeus System error</t>
  </si>
  <si>
    <t>INC2426543</t>
  </si>
  <si>
    <t>Not able to login the Pegasus</t>
  </si>
  <si>
    <t>INC2457279 </t>
  </si>
  <si>
    <t>BES INCIDENT for alertId 0250234945|dpBAprd2c.BOFMAZ_ctBrk02 CRITICAL|Hostname:LOGICAL|663524239306</t>
  </si>
  <si>
    <t>drprd2cba2bfmaz2</t>
  </si>
  <si>
    <t>INC2457271</t>
  </si>
  <si>
    <t>Unable to log in</t>
  </si>
  <si>
    <t>INC2457867</t>
  </si>
  <si>
    <t>INC2459374</t>
  </si>
  <si>
    <t>BES INCIDENT for alertId 0250324664|exec|drprdmqop01.baw/mes.caml.to.ext.nirvana.ql|queue_depth CRITICAL|Hostname:bal2586prd001|663524239306</t>
  </si>
  <si>
    <t>INC2458869</t>
  </si>
  <si>
    <t>FLY and WINBABS not working, see screenshots</t>
  </si>
  <si>
    <t>INC2459153</t>
  </si>
  <si>
    <t>FLYAUTO Edit</t>
  </si>
  <si>
    <t>INC2458142</t>
  </si>
  <si>
    <t>FICO GENERATED SPURIOUS DELAY FOR THE BA227/12JUN RESULTING IN AN UNNECESSARY 90 MIN DELAY TO BA226/13JUN</t>
  </si>
  <si>
    <t>INC2458516</t>
  </si>
  <si>
    <t>INC2458519</t>
  </si>
  <si>
    <t>BES INCIDENT for alertId 0250276746|dpBAprd2c.BOPRIZ_ctBrk05Bak MAJOR|Hostname:LOGICAL|663524239306</t>
  </si>
  <si>
    <t>INC2458515</t>
  </si>
  <si>
    <t>BES INCIDENT for alertId 0250277266|dpBAprd2c.BOFWIZ_ctBrk03Bak MAJOR|Hostname:LOGICAL|663524239306</t>
  </si>
  <si>
    <t>drprd2cbi2bfwiz3</t>
  </si>
  <si>
    <t>INC2458358</t>
  </si>
  <si>
    <t xml:space="preserve"> BA-  LHR- FLY STUCK</t>
  </si>
  <si>
    <t>FLY(PRD)</t>
  </si>
  <si>
    <t>INC2458359</t>
  </si>
  <si>
    <t>FLY FREEZING</t>
  </si>
  <si>
    <t>INC2458346</t>
  </si>
  <si>
    <t xml:space="preserve">LHR - unable to login FLY page </t>
  </si>
  <si>
    <t>INC2459437</t>
  </si>
  <si>
    <t>BES INCIDENT for alertId 0250327451|exec|drprdmqop01.baw/mes.caml.to.sip.wcsdasm.ql|queue_depth MAJOR|Hostname:bal2586prd001|663524239306</t>
  </si>
  <si>
    <t>INC2458255</t>
  </si>
  <si>
    <t>INC2458084</t>
  </si>
  <si>
    <t>SIP PCI APPN LAYER (prd2): Minor: trace.jms.produce.hits</t>
  </si>
  <si>
    <t>INC2450417</t>
  </si>
  <si>
    <t>PGSS 19-Pegasus producing LAS errors and reportedly lagging up to 35 minutes behind</t>
  </si>
  <si>
    <t>INC2457894</t>
  </si>
  <si>
    <t>BES INCIDENT for alertId 0250251880|dpBAprd2c.BOFMAZ_ctBrk02 CRITICAL|Hostname:LOGICAL|663524239306</t>
  </si>
  <si>
    <t>INC2451350</t>
  </si>
  <si>
    <t>BA - LHR - Data are showing incorrectly in the OPS Dashboard</t>
  </si>
  <si>
    <t>SCTASK1180647</t>
  </si>
  <si>
    <t>Findings for ba-sip-core-layer-prd - 663524239306 the period starting 2026-06-08 05:28:03.829730</t>
  </si>
  <si>
    <t>SCTASK1180591</t>
  </si>
  <si>
    <t>Findings for siptools_prd_setup - 489852440492 the period starting 2026-06-08 05:25:33.561429</t>
  </si>
  <si>
    <t>SCTASK1180782</t>
  </si>
  <si>
    <t>Findings for sipcore-Y6_NLV - 972936814815 the period starting 2026-06-08 05:33:14.415404</t>
  </si>
  <si>
    <t>SCTASK1180772</t>
  </si>
  <si>
    <t>Findings for sipcore-Y7_NLV_PCI - 857998560977 the period starting 2026-06-08 05:32:54.390516</t>
  </si>
  <si>
    <t>SCTASK1180769</t>
  </si>
  <si>
    <t>Findings for SIPCORE_UAT_PCI - 988791585657 the period starting 2026-06-08 05:32:47.921387</t>
  </si>
  <si>
    <t>SCTASK1180708</t>
  </si>
  <si>
    <t>Findings for ba-sip-pci-appn-layer-prl - 876968080135 the period starting 2026-06-08 05:30:18.696634</t>
  </si>
  <si>
    <t xml:space="preserve"> 15-06-2026 08:54:59</t>
  </si>
  <si>
    <t>SCTASK1180660</t>
  </si>
  <si>
    <t>Findings for sipcore-Y5_NLV - 717369141063 the period starting 2026-06-08 05:28:34.096349</t>
  </si>
  <si>
    <t>SCTASK1180502</t>
  </si>
  <si>
    <t>Findings for sipcore-X1_NLV_PCI - 358177491850 the period starting 2026-06-08 05:22:35.960157</t>
  </si>
  <si>
    <t>SCTASK1180503</t>
  </si>
  <si>
    <t>Findings for ba-sip-core-layer-prl - 603570517929 the period starting 2026-06-08 05:22:38.788825</t>
  </si>
  <si>
    <t>SCTASK1180410</t>
  </si>
  <si>
    <t>Findings for sipcore-X1_NLV - 294612272186 the period starting 2026-06-08 05:18:29.202109</t>
  </si>
  <si>
    <t>  15-06-2026 09:07:58</t>
  </si>
  <si>
    <t>SCTASK1180447</t>
  </si>
  <si>
    <t>Findings for sipcore-Y7_NLV - 394294681965 the period starting 2026-06-08 05:19:51.734259</t>
  </si>
  <si>
    <t>SCTASK1180574</t>
  </si>
  <si>
    <t>Findings for sipcore-Y6_NLV_PCI - 800028781002 the period starting 2026-06-08 05:25:12.542199</t>
  </si>
  <si>
    <t>SCTASK1180596</t>
  </si>
  <si>
    <t>Findings for ba-sip-pci-appn-layer-prd - 618295837509 the period starting 2026-06-08 05:26:05.672761</t>
  </si>
  <si>
    <t>INC2459642</t>
  </si>
  <si>
    <t>INC2459614</t>
  </si>
  <si>
    <t>INC2459675</t>
  </si>
  <si>
    <t xml:space="preserve">BA80 is not working. </t>
  </si>
  <si>
    <t>INC2459655</t>
  </si>
  <si>
    <t>BES INCIDENT for alertId 0250334337|exec|chktspmsw_rejmsgs_platinum.ksh_3|exit_code CRITICAL|Hostname:lxvirt115c|663524239306</t>
  </si>
  <si>
    <t>SCTASK1180876</t>
  </si>
  <si>
    <t>INC2458231</t>
  </si>
  <si>
    <t xml:space="preserve">DEN - Unable to login JFE </t>
  </si>
  <si>
    <t>INC2459159</t>
  </si>
  <si>
    <t>SFO -- BA -- Unable to access JFE.</t>
  </si>
  <si>
    <t>INC2458957</t>
  </si>
  <si>
    <t>JFE login access seem to be locked</t>
  </si>
  <si>
    <t>INC2459439</t>
  </si>
  <si>
    <t>LHR - jfe application issue</t>
  </si>
  <si>
    <t>INC2458112</t>
  </si>
  <si>
    <t>BA - SEA - Unable to view the Flights in the FM Altea</t>
  </si>
  <si>
    <t>INC2455549</t>
  </si>
  <si>
    <t>BA-LGW-JFE-No profile</t>
  </si>
  <si>
    <t>INC2459590</t>
  </si>
  <si>
    <t>No Altea Proof of Travel data received in CRM since 14th June ~10AM</t>
  </si>
  <si>
    <t>ALTEA CM (prd)</t>
  </si>
  <si>
    <t>  25-06-2026 06:25:02</t>
  </si>
  <si>
    <t>INC2459808</t>
  </si>
  <si>
    <t>WINBABS is not working</t>
  </si>
  <si>
    <t>INC2460810</t>
  </si>
  <si>
    <t>Bulk RTB MQMX rejects</t>
  </si>
  <si>
    <t>INC2460677</t>
  </si>
  <si>
    <t>INC2461287</t>
  </si>
  <si>
    <t>FLYAUTO native WT down in FLY</t>
  </si>
  <si>
    <t>INC2461267</t>
  </si>
  <si>
    <t>SCTASK1181535</t>
  </si>
  <si>
    <t>UAT</t>
  </si>
  <si>
    <t>INC2461540</t>
  </si>
  <si>
    <t>SCTASK1181547</t>
  </si>
  <si>
    <t>Digital Observability Team (Datadog) - Non-Compliant Hosts Found for Account - 876968080135</t>
  </si>
  <si>
    <t>INC2462283</t>
  </si>
  <si>
    <t>INC2462385</t>
  </si>
  <si>
    <t xml:space="preserve">FLYAUTO </t>
  </si>
  <si>
    <t>INC2462327</t>
  </si>
  <si>
    <t>INC2461822</t>
  </si>
  <si>
    <t>INC2461904</t>
  </si>
  <si>
    <t xml:space="preserve"> It looks like the ServiceNow routing of approvers is not right and going off to individuals not involved in the LoadCargo application</t>
  </si>
  <si>
    <t>INC2461883</t>
  </si>
  <si>
    <t>INC2461850</t>
  </si>
  <si>
    <t>INC2461832</t>
  </si>
  <si>
    <t xml:space="preserve">User N505054  Edith Kalish  PHL WFS GHA  can acccess CITRIX but application FLY and BA80 are missing </t>
  </si>
  <si>
    <t>INC2453497</t>
  </si>
  <si>
    <t>Staff is able to login on Pegasus but while not able to go on Bypass</t>
  </si>
  <si>
    <t>INC2461811</t>
  </si>
  <si>
    <t>BES INCIDENT for alertId 0250372360|dpBAprd2c.BOCOAZ_ctBrk02Bak MINOR|Hostname:LOGICAL|663524239306</t>
  </si>
  <si>
    <t>INC2455538</t>
  </si>
  <si>
    <t>BA - LGW - JFE - User is unable to access JFE .</t>
  </si>
  <si>
    <t>INC2456022</t>
  </si>
  <si>
    <t>BA - WTS - JFE - User unable to login to JFE .</t>
  </si>
  <si>
    <t>INC2460319</t>
  </si>
  <si>
    <t>Getting error "Unable to resolve full error. Device server returned an error" when trying to login Altea Departure control customer management application. Please assign this  BA_Cyberops_IAM team .Please reset my password for PDT environment.</t>
  </si>
  <si>
    <t>INC2460533</t>
  </si>
  <si>
    <t>BA-LHR-amadeus airport companion -unable to login</t>
  </si>
  <si>
    <t>INC2461400</t>
  </si>
  <si>
    <t>Unable to access office ID's</t>
  </si>
  <si>
    <t xml:space="preserve">INC2461663 </t>
  </si>
  <si>
    <t>Please assign WID mapped to OID - BTSBA0100 to attached list of GSO users</t>
  </si>
  <si>
    <t>INC2460622</t>
  </si>
  <si>
    <t>PRINTER NOT CONNECTING TO JFE</t>
  </si>
  <si>
    <t>INC2424490</t>
  </si>
  <si>
    <t>Since upgrading to Windows 11, my team have been unable to 'kk' PNR's in JFE</t>
  </si>
  <si>
    <t>SCTASK1176118</t>
  </si>
  <si>
    <t>SCTASK1177390</t>
  </si>
  <si>
    <t>SCTASK1177777</t>
  </si>
  <si>
    <t>Generic Request - Request to create a PNR in lower environemnt</t>
  </si>
  <si>
    <t>SCTASK1178091</t>
  </si>
  <si>
    <t>SCTASK1179102</t>
  </si>
  <si>
    <t>Request to install  ALTEA DCFM PDT</t>
  </si>
  <si>
    <t>SCTASK1179383</t>
  </si>
  <si>
    <t>Generic Request - Requesting to Create 100+ PNRs For specific Flights</t>
  </si>
  <si>
    <t>SCTASK1179471</t>
  </si>
  <si>
    <t>Generic Request - Create for Test PNR's for TQS2</t>
  </si>
  <si>
    <t>SCTASK1179473</t>
  </si>
  <si>
    <t>Generic Request - Create some PNRs for QIK2 Robotics</t>
  </si>
  <si>
    <t>SCTASK1179664</t>
  </si>
  <si>
    <t>SCTASK1179710</t>
  </si>
  <si>
    <t>Generic Request - APPSUP_TTPTESTLAB</t>
  </si>
  <si>
    <t>INC2446221</t>
  </si>
  <si>
    <t>YYZ and YVR unable to access via bundle launcher JFE PDT - error 16233 UNABLE TO RESOLVE FULL LOCATION</t>
  </si>
  <si>
    <t>SCTASK1179084</t>
  </si>
  <si>
    <t>INC2462652</t>
  </si>
  <si>
    <t>User manish.kumar@ba.com unable to log into Pegasus due to attached error message</t>
  </si>
  <si>
    <t>INC2462945</t>
  </si>
  <si>
    <t>I'm trying to log into this but I get the error message "no valid version". See attachment.</t>
  </si>
  <si>
    <t>INC2462451</t>
  </si>
  <si>
    <t>BA015/16June Wrong Configuration</t>
  </si>
  <si>
    <t>SCTASK1182339</t>
  </si>
  <si>
    <t>Generic Request - Need Non Prod account details of SIP application</t>
  </si>
  <si>
    <t>CHIP AND PIN AIRPORT PAY (prd)</t>
  </si>
  <si>
    <t xml:space="preserve">INC2450357	</t>
  </si>
  <si>
    <t>Please pass to APPSUP_CMJFE. BA Device - TAC/Swiipr does not load - Please raise support ticket with Amadeus</t>
  </si>
  <si>
    <t xml:space="preserve">INC2449550	</t>
  </si>
  <si>
    <t>Unable to see full PNRs or service live bookings in JFE reservations</t>
  </si>
  <si>
    <t>INC2464526</t>
  </si>
  <si>
    <t>Unable to login CMJFE due authentication error</t>
  </si>
  <si>
    <t>INC2464523</t>
  </si>
  <si>
    <t>Getting error "Unable to resolve full error. Device server returned an error" when trying to login Altea Departure control customer management application. Please reset password for pdt environment.</t>
  </si>
  <si>
    <t>INC2465487</t>
  </si>
  <si>
    <t>INC2465698</t>
  </si>
  <si>
    <t>INC2383924</t>
  </si>
  <si>
    <t>Escalated P3 - PGSS-7- Groups training logons showing error</t>
  </si>
  <si>
    <t>INC2468368</t>
  </si>
  <si>
    <t>Winbabs shows unable to access from this city not authorised</t>
  </si>
  <si>
    <t>INC2469188</t>
  </si>
  <si>
    <t>not installed on PC</t>
  </si>
  <si>
    <t>INC2471002</t>
  </si>
  <si>
    <t>application not installed</t>
  </si>
  <si>
    <t>INC2471068</t>
  </si>
  <si>
    <t>REQUIRED FOR DAILY USAGE</t>
  </si>
  <si>
    <t>SCTASK1184132</t>
  </si>
  <si>
    <t>Findings for siptools_uat_setup - 392738926099 the period starting 2026-06-15 05:20:43.521490</t>
  </si>
  <si>
    <t>SCTASK1184192</t>
  </si>
  <si>
    <t>Findings for sipcore_uat_setup - 474083452445 the period starting 2026-06-15 05:23:26.630897</t>
  </si>
  <si>
    <t>SCTASK1184213</t>
  </si>
  <si>
    <t>Findings for sipcore_nlv - 425044672900 the period starting 2026-06-15 05:24:11.310558</t>
  </si>
  <si>
    <t>INC2468568</t>
  </si>
  <si>
    <t>INC2470138</t>
  </si>
  <si>
    <t>JFE not loading on the desk</t>
  </si>
  <si>
    <t>INC2469947</t>
  </si>
  <si>
    <t>Cant log in to JFE Hosted Mode</t>
  </si>
  <si>
    <t>INC2469948</t>
  </si>
  <si>
    <t>kindly download app CM as unable to access</t>
  </si>
  <si>
    <t>INC2471016</t>
  </si>
  <si>
    <t xml:space="preserve">BA - LHR - JFE - </t>
  </si>
  <si>
    <t>SCTASK1184451</t>
  </si>
  <si>
    <t>Findings for sipcore-Y6_NLV - 972936814815 the period starting 2026-06-15 05:33:57.533035</t>
  </si>
  <si>
    <t>SCTASK1184127</t>
  </si>
  <si>
    <t>Findings for sipcore-X1_NLV_PCI - 358177491850 the period starting 2026-06-15 05:20:30.643981</t>
  </si>
  <si>
    <t>SCTASK1184413</t>
  </si>
  <si>
    <t>Findings for sipcore-Y6_NLV_PCI - 800028781002 the period starting 2026-06-15 05:32:33.465524</t>
  </si>
  <si>
    <t>SCTASK1184352</t>
  </si>
  <si>
    <t>Findings for ba-sip-pci-appn-layer-prl - 876968080135 the period starting 2026-06-15 05:29:57.757948</t>
  </si>
  <si>
    <t>SCTASK1184344</t>
  </si>
  <si>
    <t>Findings for sipcore-Y7_NLV_PCI - 857998560977 the period starting 2026-06-15 05:29:45.789607</t>
  </si>
  <si>
    <t>SCTASK1184162</t>
  </si>
  <si>
    <t>Findings for sipcore-Y7_NLV - 394294681965 the period starting 2026-06-15 05:22:18.549544</t>
  </si>
  <si>
    <t>SCTASK1184318</t>
  </si>
  <si>
    <t>Findings for ba-sip-core-layer-prl - 603570517929 the period starting 2026-06-15 05:28:42.428728</t>
  </si>
  <si>
    <t>SCTASK1184380</t>
  </si>
  <si>
    <t>Findings for SIPCORE_UAT_PCI - 988791585657 the period starting 2026-06-15 05:31:07.993111</t>
  </si>
  <si>
    <t>SCTASK1184329</t>
  </si>
  <si>
    <t>Findings for sipcore_UAT - 737886072599 the period starting 2026-06-15 05:29:11.208046</t>
  </si>
  <si>
    <t>SCTASK1184275</t>
  </si>
  <si>
    <t>Findings for ba-amadeus-monitoring-prd - 587402079898 the period starting 2026-06-15 05:27:10.049853</t>
  </si>
  <si>
    <t>SCTASK1184273</t>
  </si>
  <si>
    <t>Findings for siptools_prd_setup - 489852440492 the period starting 2026-06-15 05:27:02.363132</t>
  </si>
  <si>
    <t>SCTASK1184264</t>
  </si>
  <si>
    <t>SCTASK1184230</t>
  </si>
  <si>
    <t>Findings for ba-sip-pci-appn-layer-prd - 618295837509 the period starting 2026-06-15 05:24:52.668051</t>
  </si>
  <si>
    <t>INC2469174</t>
  </si>
  <si>
    <t>INC2469182</t>
  </si>
  <si>
    <t>LDM, CPM, SLS Message Failure</t>
  </si>
  <si>
    <t>INC2473462</t>
  </si>
  <si>
    <t>INC2473528</t>
  </si>
  <si>
    <t>INC2473889</t>
  </si>
  <si>
    <t>winbabs installed but it doe not work</t>
  </si>
  <si>
    <t>INC2474733</t>
  </si>
  <si>
    <t>winbabs isnt letting me check opdefs and its showing me this instead</t>
  </si>
  <si>
    <t>INC2474574</t>
  </si>
  <si>
    <t>INC2475036</t>
  </si>
  <si>
    <t>INC2475160</t>
  </si>
  <si>
    <t>INC2474987</t>
  </si>
  <si>
    <t>INC2475008</t>
  </si>
  <si>
    <t>INC2475120</t>
  </si>
  <si>
    <t>INC2474940</t>
  </si>
  <si>
    <t>INC2475397</t>
  </si>
  <si>
    <t>Prelim Loadsheet not transmitted via ACARS on BA530/23JUN</t>
  </si>
  <si>
    <t xml:space="preserve">Install Fly application and configure FLYTST3 non-live environment  </t>
  </si>
  <si>
    <t>SCTASK1181212</t>
  </si>
  <si>
    <t>Test data required for LGW WLA SSBD Testing</t>
  </si>
  <si>
    <t>SCTASK1176186</t>
  </si>
  <si>
    <t>Application Password for Reset</t>
  </si>
  <si>
    <t>SCTASK1182162</t>
  </si>
  <si>
    <t>Generic Request - Request to create a test data in lower environment</t>
  </si>
  <si>
    <t>SCTASK1182225</t>
  </si>
  <si>
    <t>Generic Request - Request to create test data</t>
  </si>
  <si>
    <t>SCTASK1182349</t>
  </si>
  <si>
    <t>Generic Request - Hi Team, Please provide the testing data for RIBI all non-live environments as we are currently working on Vulnerabilities remediation and need to perform functional testing.</t>
  </si>
  <si>
    <t>SCTASK1177806</t>
  </si>
  <si>
    <t>Generic Request - Requesting to create a test data at the lower environment</t>
  </si>
  <si>
    <t>SCTASK1172673</t>
  </si>
  <si>
    <t>Generic Request - Update ZTC file</t>
  </si>
  <si>
    <t>SCTASK1182946</t>
  </si>
  <si>
    <t>Generic Request - Request to create a test data in lower</t>
  </si>
  <si>
    <t>SCTASK1183195</t>
  </si>
  <si>
    <t>INC2469052</t>
  </si>
  <si>
    <t>All PDT application is not work, Kindly allocate new WID for PDT application.</t>
  </si>
  <si>
    <t>INC2463479</t>
  </si>
  <si>
    <t>INC2463652</t>
  </si>
  <si>
    <t xml:space="preserve">Triaged &amp; Downgraded - continuous red bars in FMT </t>
  </si>
  <si>
    <t>INC2463655</t>
  </si>
  <si>
    <t>INC2463406</t>
  </si>
  <si>
    <t>FLY uninstalled for an IAG Cargo PC</t>
  </si>
  <si>
    <t>INC2465174</t>
  </si>
  <si>
    <t>I cannot log into HOSTED account</t>
  </si>
  <si>
    <t>INC2468775</t>
  </si>
  <si>
    <t>Unable to Login into JFE CM due to Authentication issue - WID OID mapping needs to be updated</t>
  </si>
  <si>
    <t>INC2468843</t>
  </si>
  <si>
    <t>Unable to login CM JFE In Host mode</t>
  </si>
  <si>
    <t>INC2468884</t>
  </si>
  <si>
    <t>Requesting access to the mentioned Office Id and WID for accessing all the rules of JFE</t>
  </si>
  <si>
    <t>INC2475591</t>
  </si>
  <si>
    <t>BES INCIDENT for alertId 0250608306|exec|drprdmqop01.baw/wcprdmq01|queue_depth CRITICAL|Hostname:bal2586prd001|663524239306</t>
  </si>
  <si>
    <t>SCTASK1185192</t>
  </si>
  <si>
    <t>SCTASK1185185</t>
  </si>
  <si>
    <t>SCTASK1185166</t>
  </si>
  <si>
    <t>SCTASK1185151</t>
  </si>
  <si>
    <t>INC2475590</t>
  </si>
  <si>
    <t>INC2475655</t>
  </si>
  <si>
    <t>Bulk alerts due to flip CHG0251628</t>
  </si>
  <si>
    <t>INC2475718</t>
  </si>
  <si>
    <t>BA self service kiosk printed tag, tag not in ALTEA</t>
  </si>
  <si>
    <t>INC2475535 </t>
  </si>
  <si>
    <t>EVEN THOUGH I HAVE HAD REQUESTED AND HAVE AN APPROVED TICKET FOR CM JFE TO BE INSTALLED ON MY BA LAPTOP , THIS HAS NOT HAPPENED AND AM UNABLE TO WORK</t>
  </si>
  <si>
    <t>SCTASK1185188</t>
  </si>
  <si>
    <t>INC2475870</t>
  </si>
  <si>
    <t>BES INCIDENT for alertId 0250614477|dpBAprd2c.BOAPIZ_ctRtBrk01Bak MAJOR|Hostname:LOGICAL|663524239306</t>
  </si>
  <si>
    <t>INC2475833</t>
  </si>
  <si>
    <t>TIMATIC DOWN ON JFE</t>
  </si>
  <si>
    <t>SCTASK1185178</t>
  </si>
  <si>
    <t>SCTASK1185163</t>
  </si>
  <si>
    <t>INC2477246</t>
  </si>
  <si>
    <t>FORGOT PASSWORD</t>
  </si>
  <si>
    <t>INC2465566</t>
  </si>
  <si>
    <t>Altea DCFM is not working in the Back Office, Terminal 3, Delhi Airport.</t>
  </si>
  <si>
    <t>INC2476989</t>
  </si>
  <si>
    <t>Missing security number and lead another pax</t>
  </si>
  <si>
    <t>INC2476379</t>
  </si>
  <si>
    <t>Unable to log into JFE using Hosted mode - Account has been locked</t>
  </si>
  <si>
    <t>INC2476946</t>
  </si>
  <si>
    <t>ATL unable to find Profile in JFE</t>
  </si>
  <si>
    <t>Ravishankar b</t>
  </si>
  <si>
    <t>INC2478090</t>
  </si>
  <si>
    <t>BES INCIDENT for alertId 0250647933|dpBAprd2c.CBGWIZ_ctBrk01Bak CRITICAL|Hostname:LOGICAL|663524239306</t>
  </si>
  <si>
    <t>INC2478797</t>
  </si>
  <si>
    <t xml:space="preserve">Could see continuous 3 red bars in FMT CM Operations 1. </t>
  </si>
  <si>
    <t>INC2476948</t>
  </si>
  <si>
    <t>BES INCIDENT for alertId 0250632810|SWAP|usage|swap_used_percent MAJOR|Hostname:i-0efebb0a5380a0d8d|CWAgent</t>
  </si>
  <si>
    <t>INC2479192</t>
  </si>
  <si>
    <t>INC2479278</t>
  </si>
  <si>
    <t>INC2479300</t>
  </si>
  <si>
    <t>INC2476351</t>
  </si>
  <si>
    <t>INC2476808</t>
  </si>
  <si>
    <t>INC2477508</t>
  </si>
  <si>
    <t>BES INCIDENT for alertId 0250644608|exec|sip_pci_boapiz_cls01|exit_code CRITICAL|Hostname:drprd2cbi1bapiz1|618295837509</t>
  </si>
  <si>
    <t>INC2477388</t>
  </si>
  <si>
    <t>CPM, SLS Message Failure For BA2700</t>
  </si>
  <si>
    <t>INC2478238</t>
  </si>
  <si>
    <t>LDM, SLS, CPM Message Failure</t>
  </si>
  <si>
    <t>INC2478226</t>
  </si>
  <si>
    <t>SCTASK1186205</t>
  </si>
  <si>
    <t>Generic Request - Pls assign this ticket to Appsup_siplive.  This request is to share the error code mapping in the current SIP implementation for the following services. AMA_DCSFMRampRetrieveLoadInfoRQ, LoadDistributionConsolidatorV02, MaintainOperationalFlightDetailsV02, RampLoadDistributionV03, and FlightLoadControlDocumentationV02</t>
  </si>
  <si>
    <t>SCTASK1186210</t>
  </si>
  <si>
    <t>Generic Request - The ECP OS patching checks have identified issues with EC2 instances running in SIPTOOLS APPS (prd), ECP account id 489852440492, ba-prd-sip-siptools-schedule, CHG0249125.</t>
  </si>
  <si>
    <t>INC2480371</t>
  </si>
  <si>
    <t>BES INCIDENT for alertId 0250678902|exec|drprdmqop01.baw/msw.caml.to.sip.alcs2.ql|queue_depth CRITICAL|Hostname:bal2586prd001|663524239306</t>
  </si>
  <si>
    <t>INC2480374</t>
  </si>
  <si>
    <t>BES INCIDENT for alertId 0250679177|dpBAprd2c.CBFMAZ_ctBrk02Bak CRITICAL|Hostname:LOGICAL|663524239306</t>
  </si>
  <si>
    <t>MuthuKumaran Gopal</t>
  </si>
  <si>
    <t>SCTASK1186404</t>
  </si>
  <si>
    <t>Generic Request - Requesting to provide the baseline details of API Microservices which are attached in the Excel sheet</t>
  </si>
  <si>
    <t>INC2481502</t>
  </si>
  <si>
    <t>INC2481609</t>
  </si>
  <si>
    <t>BES INCIDENT for alertId 0250697750|exec|drprdmqop01.baw/mes.caml.to.ext.oawfmdwh.ql|queue_depth CRITICAL|Hostname:bal2586prd001|663524239306</t>
  </si>
  <si>
    <t>INC2481603</t>
  </si>
  <si>
    <t>Fly smart app will not update to 5.6.2</t>
  </si>
  <si>
    <t>INC2481717</t>
  </si>
  <si>
    <t>INC2481718</t>
  </si>
  <si>
    <t>INC2481961</t>
  </si>
  <si>
    <t>Cant get into JFE</t>
  </si>
  <si>
    <t>INC2481071</t>
  </si>
  <si>
    <t>Amadeus CM JFE Password Reset</t>
  </si>
  <si>
    <t>INC2482559</t>
  </si>
  <si>
    <t>Access to FLY - Colleagues with new UIDs - kindly treat as urgent.</t>
  </si>
  <si>
    <t>INC2482794</t>
  </si>
  <si>
    <t>INC2483592</t>
  </si>
  <si>
    <t>BES INCIDENT for alertId 0250750258|exec|drprdmqop01.baw/msw.caml.to.sip.alcs.ql|queue_depth CRITICAL|Hostname:bal2586prd001|663524239306</t>
  </si>
  <si>
    <t>INC2484483</t>
  </si>
  <si>
    <t>LDM  &amp; SLS Message failure for BA2678</t>
  </si>
  <si>
    <t>INC2484056</t>
  </si>
  <si>
    <t>INC2484038</t>
  </si>
  <si>
    <t>INC2484039</t>
  </si>
  <si>
    <t>SCTASK1187708</t>
  </si>
  <si>
    <t>Findings for siptools_uat_setup - 392738926099 the period starting 2026-06-22 05:19:38.836913</t>
  </si>
  <si>
    <t>SCTASK1187762</t>
  </si>
  <si>
    <t>Findings for sipcore_nlv - 425044672900 the period starting 2026-06-22 05:22:18.447289</t>
  </si>
  <si>
    <t>SCTASK1187778</t>
  </si>
  <si>
    <t>Findings for sipcore_uat_setup - 474083452445 the period starting 2026-06-22 05:22:57.315431</t>
  </si>
  <si>
    <t>INC2261033</t>
  </si>
  <si>
    <t>MVT Rejected due Invalid Message Format</t>
  </si>
  <si>
    <t>INC2449550</t>
  </si>
  <si>
    <t>Unable to see full PNRs or service live bookings  in JFE reservations</t>
  </si>
  <si>
    <t>SCTASK1187983</t>
  </si>
  <si>
    <t>Findings for sipcore-Y7_NLV_PCI - 857998560977 the period starting 2026-06-22 05:31:03.743215</t>
  </si>
  <si>
    <t>SCTASK1187999</t>
  </si>
  <si>
    <t>Findings for sipcore_uat_setup - 757266624585 the period starting 2026-06-22 05:31:34.895626</t>
  </si>
  <si>
    <t xml:space="preserve"> 29-06-2026 07:57:14</t>
  </si>
  <si>
    <t>SCTASK1187923</t>
  </si>
  <si>
    <t>Findings for ba-sip-core-layer-prl - 603570517929 the period starting 2026-06-22 05:28:51.788533</t>
  </si>
  <si>
    <t>SCTASK1187710</t>
  </si>
  <si>
    <t>Findings for sipcore-Y7_NLV - 394294681965 the period starting 2026-06-22 05:19:40.631850</t>
  </si>
  <si>
    <t>SCTASK1188024</t>
  </si>
  <si>
    <t>Findings for sipcore-Y6_NLV - 972936814815 the period starting 2026-06-22 05:32:27.443261</t>
  </si>
  <si>
    <t>SCTASK1188021</t>
  </si>
  <si>
    <t>Findings for sipcore-Y6_NLV_PCI - 800028781002 the period starting 2026-06-22 05:32:27.375662</t>
  </si>
  <si>
    <t>SCTASK1187759</t>
  </si>
  <si>
    <t>Findings for sipcore-X1_NLV - 294612272186 the period starting 2026-06-22 05:22:13.618293</t>
  </si>
  <si>
    <t>INC2471044</t>
  </si>
  <si>
    <t>PGSS-19-Issue with Pegasus</t>
  </si>
  <si>
    <t>INC2480532</t>
  </si>
  <si>
    <t>INC2477578</t>
  </si>
  <si>
    <t xml:space="preserve">LGW UK Border Officer - SSR restricted in CM JFE </t>
  </si>
  <si>
    <t>INC2485231</t>
  </si>
  <si>
    <t>INC2480845</t>
  </si>
  <si>
    <t xml:space="preserve">JFE Office ID issue for Personal profile </t>
  </si>
  <si>
    <t>INC2450418</t>
  </si>
  <si>
    <t>sign LOCKED</t>
  </si>
  <si>
    <t>INC2482376</t>
  </si>
  <si>
    <t xml:space="preserve">Unable to log-in </t>
  </si>
  <si>
    <t>INC2482710</t>
  </si>
  <si>
    <t>Unable to log into Altea CM JFE</t>
  </si>
  <si>
    <t>INC2483062</t>
  </si>
  <si>
    <t>INF Carry-on luggage</t>
  </si>
  <si>
    <t>INC2485079</t>
  </si>
  <si>
    <t>LHR, LCY, EDI, CDG AND SEA CM Altea PDT access</t>
  </si>
  <si>
    <t>INC2486625</t>
  </si>
  <si>
    <t xml:space="preserve">Unable to login CM JFE application in Hosted Mode </t>
  </si>
  <si>
    <t>INC2486242</t>
  </si>
  <si>
    <t>printer printing blanks</t>
  </si>
  <si>
    <t>INC2486309</t>
  </si>
  <si>
    <t>AT GATE PAX BOARDED THEN OFFLOADED BY FMU DUE TO NOT SHOWING AS CONFORMED. PNR( Y72IB8). FLIGHT BA1368/MAN</t>
  </si>
  <si>
    <t>INC2485673</t>
  </si>
  <si>
    <t>unable to update FICO</t>
  </si>
  <si>
    <t>SCTASK1187277</t>
  </si>
  <si>
    <t>INC2486024</t>
  </si>
  <si>
    <t>INC2484403</t>
  </si>
  <si>
    <t>unable to connet to service corporation directory look up - fault 2400 - also have been disabled from command prompt on pegasus Live . 
Please queue this to APPSUP_PEGASUS.</t>
  </si>
  <si>
    <t>INC2486176</t>
  </si>
  <si>
    <t>missing Fly application</t>
  </si>
  <si>
    <t>INC2486876</t>
  </si>
  <si>
    <t>JFE Customer Management CM (PRD)</t>
  </si>
  <si>
    <t>INC2485979</t>
  </si>
  <si>
    <t>FAO Subashini</t>
  </si>
  <si>
    <t>SCTASK1188644</t>
  </si>
  <si>
    <t>SCTASK1188655</t>
  </si>
  <si>
    <t>INC2486897</t>
  </si>
  <si>
    <t>SCTASK1188652</t>
  </si>
  <si>
    <t>Digital Observability Team (Datadog) - Non-Compliant Hosts Found for Account - 988791585657</t>
  </si>
  <si>
    <t>SCTASK1188656</t>
  </si>
  <si>
    <t/>
  </si>
  <si>
    <t>INC2487260</t>
  </si>
  <si>
    <t>AUTH ERROR WHILST LOGGING IN TO HOSTED MODE OF JFE</t>
  </si>
  <si>
    <t>SCTASK1185674</t>
  </si>
  <si>
    <t>Request to install  ALTEA DCFM PRD (SSDR)</t>
  </si>
  <si>
    <t>INC2487365</t>
  </si>
  <si>
    <t>MY CM JEF isn't working I use it instead of FLY - it is imperative I have this tool</t>
  </si>
  <si>
    <t>INC2487509</t>
  </si>
  <si>
    <t>printer showing error message "bad command" not responding</t>
  </si>
  <si>
    <t>INC2487656</t>
  </si>
  <si>
    <t>INC2487654</t>
  </si>
  <si>
    <t>INC2487093</t>
  </si>
  <si>
    <t>WINBABS</t>
  </si>
  <si>
    <t>INC2487556</t>
  </si>
  <si>
    <t>INC2487522</t>
  </si>
  <si>
    <t>BA-DEL-Pegasus-Error Message</t>
  </si>
  <si>
    <t>INC2488245</t>
  </si>
  <si>
    <t>SCTASK1187866</t>
  </si>
  <si>
    <t>Findings for siptools_prd_setup - 489852440492 the period starting 2026-06-22 05:26:49.594690</t>
  </si>
  <si>
    <t>SCTASK1188044</t>
  </si>
  <si>
    <t>Findings for SIPCORE_UAT_PCI - 988791585657 the period starting 2026-06-22 05:33:13.635484</t>
  </si>
  <si>
    <t>SCTASK1187941</t>
  </si>
  <si>
    <t>Findings for sipcore_UAT - 737886072599 the period starting 2026-06-22 05:29:33.913415</t>
  </si>
  <si>
    <t>SCTASK1187936</t>
  </si>
  <si>
    <t>Findings for ba-sip-core-layer-prd - 663524239306 the period starting 2026-06-22 05:29:22.234255</t>
  </si>
  <si>
    <t>SCTASK1187924</t>
  </si>
  <si>
    <t>Findings for ba-sip-pci-appn-layer-prd - 618295837509 the period starting 2026-06-22 05:28:57.672967</t>
  </si>
  <si>
    <t>SCTASK1187897</t>
  </si>
  <si>
    <t>Findings for ba-amadeus-monitoring-prd - 587402079898 the period starting 2026-06-22 05:27:54.275378</t>
  </si>
  <si>
    <t>TO REPLACE THE EXISTING DEVICE NOT WORKING  ( INGIENICO MOVE 5000 CL) . ASSET NUMBER 63519364 .</t>
  </si>
  <si>
    <t>INC2458344</t>
  </si>
  <si>
    <t>Escalated P3 - Long loading times</t>
  </si>
  <si>
    <t>INC2455477</t>
  </si>
  <si>
    <t>BA-LHR-Unable to login to jfe</t>
  </si>
  <si>
    <t>INC2454986</t>
  </si>
  <si>
    <t>BA015/11Jun – GZBKJ registration rejection in Altea FM</t>
  </si>
  <si>
    <t>INC2454746</t>
  </si>
  <si>
    <t>BA--LHR-- Facing issue in JFE</t>
  </si>
  <si>
    <t>INC2454591</t>
  </si>
  <si>
    <t>BA332 UNABLE TO ACCEPT CUSTOMERS/BAGGAGE VIA JFE CM AT -30 DEPARTURE CAUSING OPERATIONAL DELAY</t>
  </si>
  <si>
    <t>INC2449945</t>
  </si>
  <si>
    <t>NOT LOADED ON SET</t>
  </si>
  <si>
    <t>INC2447572</t>
  </si>
  <si>
    <t>Unable to KK in JFE application</t>
  </si>
  <si>
    <t>INC2442653</t>
  </si>
  <si>
    <t>Passport and Nationality Customer List (12)</t>
  </si>
  <si>
    <t>INC2489074</t>
  </si>
  <si>
    <t>change my access passwrord to JFE</t>
  </si>
  <si>
    <t>INC2489160</t>
  </si>
  <si>
    <t xml:space="preserve">Pegasus latency Errors  </t>
  </si>
  <si>
    <t>INC2489330</t>
  </si>
  <si>
    <t>JFE Hosted Login issue</t>
  </si>
  <si>
    <t>INC2489374</t>
  </si>
  <si>
    <t>JFE Hosted login issue</t>
  </si>
  <si>
    <t>INC2489438</t>
  </si>
  <si>
    <t>INC2489807 </t>
  </si>
  <si>
    <t>INC2489857</t>
  </si>
  <si>
    <t>PHL  Unable to login to FM mobile, getting invalid logon</t>
  </si>
  <si>
    <t>FM MOBILE (prd)</t>
  </si>
  <si>
    <t>SCTASK1189631</t>
  </si>
  <si>
    <t>Generic Request - Need Information on SSRs in SIP/ABAS</t>
  </si>
  <si>
    <t>INC2489926</t>
  </si>
  <si>
    <t>BES INCIDENT for alertId 0250882149|exec|drprdmqop01.baw/drprdop01_1a.clusp|channel_status CRITICAL|Hostname:bal2586prd001|663524239306</t>
  </si>
  <si>
    <t>INC2490448</t>
  </si>
  <si>
    <t>CM JFE // Log in failed</t>
  </si>
  <si>
    <t>INC2489954</t>
  </si>
  <si>
    <t>Flight Crew unable to receive loadsheets</t>
  </si>
  <si>
    <t>  02-07-2026 06:17:47</t>
  </si>
  <si>
    <t>INC2490649</t>
  </si>
  <si>
    <t>SVA TOO OLD Messages</t>
  </si>
  <si>
    <t>INC2490693</t>
  </si>
  <si>
    <t>BES INCIDENT for alertId 0250890564|exec|chktspmsw_rejmsgs_platinum.ksh_3|exit_code CRITICAL|Hostname:lxvirt115c|663524239306</t>
  </si>
  <si>
    <t>INC2490736</t>
  </si>
  <si>
    <t xml:space="preserve">JFE NOT LOADING </t>
  </si>
  <si>
    <t>INC2490751</t>
  </si>
  <si>
    <t xml:space="preserve">jfe not loading </t>
  </si>
  <si>
    <t>INC2489807</t>
  </si>
  <si>
    <t>INC2490872</t>
  </si>
  <si>
    <t>customer boarded but was reccomended to be offloaded in the punctuality list at -30</t>
  </si>
  <si>
    <t>INC2491228</t>
  </si>
  <si>
    <t>IAGC-FLY-Not Working Properly</t>
  </si>
  <si>
    <t>INC2491106</t>
  </si>
  <si>
    <t>Authentication Error</t>
  </si>
  <si>
    <t>INC2491590</t>
  </si>
  <si>
    <t>INC2490804</t>
  </si>
  <si>
    <t>Passenger APIS Acknowledgment Response Error for UK Border Agency</t>
  </si>
  <si>
    <t>INC2492414</t>
  </si>
  <si>
    <t>I DO NOT HAVE FLY ON MY LAPTOP ANYMORE .. THE APPLICATION DISAPPEARED SINCE YESTERDAY</t>
  </si>
  <si>
    <t>INC2492759</t>
  </si>
  <si>
    <t>INC2492545</t>
  </si>
  <si>
    <t>PGSS-21-We are getting a lot of feedback from agents that pegs is slow, showing in reading state or ticker on pegasus is moving very slowly</t>
  </si>
  <si>
    <t>INC2492800</t>
  </si>
  <si>
    <t>INC2493843</t>
  </si>
  <si>
    <t>INC2491502</t>
  </si>
  <si>
    <t>After IPU rollout bcp-apjm and pegasus-res has failed with socket timeout exception</t>
  </si>
  <si>
    <t>INC2493192</t>
  </si>
  <si>
    <t>INC2444141</t>
  </si>
  <si>
    <t>Nida and Eddie are onsite at LGW and testing in Production and getting P24 issue when trying to test payment, the SSBD processes the payment and gives them a receipt but does not print a bag tag,</t>
  </si>
  <si>
    <t>SCTASK1191376</t>
  </si>
  <si>
    <t>Findings for sipcore_nlv - 425044672900 the period starting 2026-06-29 05:25:35.295714</t>
  </si>
  <si>
    <t>SCTASK1191391</t>
  </si>
  <si>
    <t>Findings for siptools_uat_setup - 392738926099 the period starting 2026-06-29 05:26:03.802627</t>
  </si>
  <si>
    <t>INC2495001</t>
  </si>
  <si>
    <t>FLYAUTO ..</t>
  </si>
  <si>
    <t>INC2494897</t>
  </si>
  <si>
    <t>Facing authentication issue in all SIP sublive environments</t>
  </si>
  <si>
    <t>SCTASK1191423</t>
  </si>
  <si>
    <t>SCTASK1191367</t>
  </si>
  <si>
    <t>SCTASK1191512</t>
  </si>
  <si>
    <t>SCTASK1191549</t>
  </si>
  <si>
    <t>SCTASK1191528</t>
  </si>
  <si>
    <t>Findings for sipcore-Y6_NLV_PCI - 800028781002 the period starting 2026-06-29 05:31:40.229337</t>
  </si>
  <si>
    <t>SCTASK1191488</t>
  </si>
  <si>
    <t>Findings for sipcore_uat_setup - 757266624585 the period starting 2026-06-29 05:30:00.199334</t>
  </si>
  <si>
    <t>  06-07-2026 10:26:38</t>
  </si>
  <si>
    <t>SCTASK1191476</t>
  </si>
  <si>
    <t>Findings for ba-sip-core-layer-prl - 603570517929 the period starting 2026-06-29 05:29:36.725572</t>
  </si>
  <si>
    <t>  06-07-2026 10:31:01</t>
  </si>
  <si>
    <t>SCTASK1191414</t>
  </si>
  <si>
    <t>Findings for sipcore-Y7_NLV - 394294681965 the period starting 2026-06-29 05:26:54.648726</t>
  </si>
  <si>
    <t xml:space="preserve"> 06-07-2026 10:33:05</t>
  </si>
  <si>
    <t>  06-07-2026 10:33:05</t>
  </si>
  <si>
    <t>SCTASK1191365</t>
  </si>
  <si>
    <t>Findings for sipcore-X1_NLV_PCI - 358177491850 the period starting 2026-06-29 05:25:07.762932</t>
  </si>
  <si>
    <t>  06-07-2026 10:36:40</t>
  </si>
  <si>
    <t>INC2495127</t>
  </si>
  <si>
    <t>We could see latency - Can you please check the Data dog alert - https://britishairways.datadoghq.eu/watchdog/story/34b7fead-95f1-52a8-9abb-90cc7822eb19</t>
  </si>
  <si>
    <t>INC2495056</t>
  </si>
  <si>
    <t>Winbabs stops working. Error display</t>
  </si>
  <si>
    <t>SCTASK1191869</t>
  </si>
  <si>
    <t>Application/Software Installation</t>
  </si>
  <si>
    <t>Inndhu Thangvelan</t>
  </si>
  <si>
    <t>INC2495597</t>
  </si>
  <si>
    <t>Unable to log in with test log on P701032</t>
  </si>
  <si>
    <t>INC2495664</t>
  </si>
  <si>
    <t>GUI\BA80\WINBAB NOT WORKING</t>
  </si>
  <si>
    <t>INC2496459</t>
  </si>
  <si>
    <t>Once authenticated, while opening the app error poping up as "The username or password is incorrect"</t>
  </si>
  <si>
    <t>INC2495668</t>
  </si>
  <si>
    <t xml:space="preserve">JFE STILL NOT WORKING  </t>
  </si>
  <si>
    <t>INC2496808</t>
  </si>
  <si>
    <t>UNRESPONSIVE/SLOW</t>
  </si>
  <si>
    <t>INC2497046</t>
  </si>
  <si>
    <t xml:space="preserve">JFE access level changed </t>
  </si>
  <si>
    <t>SCTASK1183626</t>
  </si>
  <si>
    <t>Request to install  JFE FMU Offline ,Other</t>
  </si>
  <si>
    <t>SCTASK1184627</t>
  </si>
  <si>
    <t>Generic Request - Set up test data for ESP-PIL in PDT</t>
  </si>
  <si>
    <t>INC2465254</t>
  </si>
  <si>
    <t xml:space="preserve">BA-LON-Altea inventory- Error while logging </t>
  </si>
  <si>
    <t>SCTASK1184831</t>
  </si>
  <si>
    <t>Generic Request - I am from combined microservices QA team and we need Test Data PNRs from Test Logistics team</t>
  </si>
  <si>
    <t>SCTASK1181811</t>
  </si>
  <si>
    <t>INC2454049</t>
  </si>
  <si>
    <t>BA-LON-JFE-Logon issue</t>
  </si>
  <si>
    <t>SCTASK1186227</t>
  </si>
  <si>
    <t>Generic Request - Ticket is for APPSUP_TTPTESTLAB Requeting the Data In Amadus  for test sERVICE in prelive Enviroment.</t>
  </si>
  <si>
    <t>SCTASK1186665</t>
  </si>
  <si>
    <t>SCTASK1187114</t>
  </si>
  <si>
    <t>Generic Request - I am from loadcargo fly replacement project i need to check deadload flows for this i need some flights on amadeus to check same flights sync in the DB as well. I need insert Amadeues entries prelive relavant entries in Fly UAT</t>
  </si>
  <si>
    <t>SCTASK1188057</t>
  </si>
  <si>
    <t>Generic Request - Request to create a test data in lower environment-UAT</t>
  </si>
  <si>
    <t>SCTASK1188087</t>
  </si>
  <si>
    <t>Generic Request - Layout for iLoadDirect application testing</t>
  </si>
  <si>
    <t>SCTASK1188410</t>
  </si>
  <si>
    <t>Generic Request - Can you change the following load status to 'Load Cancelled' in FM PDT. BA632 Reg:GNEOS Source:LHR Destination:ATH  Date:11/05/2026. And can you provide any other flight with Load status as 'Cancelled' or 'Load Ignored' please? Please assign to 'Test Logistics' team.</t>
  </si>
  <si>
    <t>SCTASK1189161</t>
  </si>
  <si>
    <t>Generic Request - Hi team, Kindly insert cargo flights in Y3C environment for testing for the dates 1 July 2026 to 31 July 2026</t>
  </si>
  <si>
    <t>SCTASK1189035</t>
  </si>
  <si>
    <t>Generic Request - Unable to login to JFE Test Wids  ABZ, INV and BHD</t>
  </si>
  <si>
    <t>SCTASK1189913</t>
  </si>
  <si>
    <t>Generic Request - Can you create the following flights for our testing needs please? The flights needs to be departed (GGD) with Load control status LI or LX.  We need baggage values in the below flights. BA15    Reg:GXLEA  Source:LCY  Destination:SIN date: 2025-03-03 BA20    Reg:GXLEA  Source:LHR  Destination:JFK date: 2026-06-16   For the below flights, in addition to baggage values, need First class passenger value, Business Class passenger value, Premium Economy Passenger value, Economy Passenger value, Non Revenue Adult Value, Non Revenue Infant value as well please. BA113   Reg:GEUPY  Source:LGW  Destination:JFK date: 2026-05-04 BA63   Reg:GEUPY  Source:LHR  Destination:JFK date: 2026-05-04 BA143   Reg:GEUPY  Source:STN  Destination:JFK date: 2026-05-04   Or please provide equivalent flights that we can test for the above scenarios please. Please assign to 'Test Logistics' team.</t>
  </si>
  <si>
    <t>SCTASK1189705</t>
  </si>
  <si>
    <t>Generic Request - FLY3 PRD WID's for Americas Dedicated Users x 7 (Pilot Users)</t>
  </si>
  <si>
    <t>SCTASK1190289</t>
  </si>
  <si>
    <t>INC2492493</t>
  </si>
  <si>
    <t>Unable to access CM JFE PDT</t>
  </si>
  <si>
    <t>SCTASK1190463</t>
  </si>
  <si>
    <t>Generic Request - To open the flight in CM in UAT Environment. Flight details: BA117-05/07/2026,BA178-06/07/2026,BA178-07/07/2026,BA178-08/07/2026,BA178-09/07/2026,BA178-10/07/2026,BA178-11/07/2026, BA178-12/07/2026. Please assign to APPSUP_TTPTESTLAB team</t>
  </si>
  <si>
    <t>SCTASK1192365</t>
  </si>
  <si>
    <t>SCTASK1192374</t>
  </si>
  <si>
    <t>SCTASK1192368</t>
  </si>
  <si>
    <t>Digital Observability Team (Datadog) - Non-Compliant Hosts Found for Account - 737886072599</t>
  </si>
  <si>
    <t>SCTASK1192351</t>
  </si>
  <si>
    <t>Digital Observability Team (Datadog) - Non-Compliant Hosts Found for Account - 663524239306</t>
  </si>
  <si>
    <t>INC2496215</t>
  </si>
  <si>
    <t>BES INCIDENT for alertId 0251016700|procstat|logstash|lookup_running CRITICAL|Hostname:drprd2cca1adef1|663524239306</t>
  </si>
  <si>
    <t>INC2496037</t>
  </si>
  <si>
    <t>INC2496899</t>
  </si>
  <si>
    <t>INC2496392</t>
  </si>
  <si>
    <t>INC2496771</t>
  </si>
  <si>
    <t>Action required - ECP OS patching outputs for resources running in SIPTOOLS APPS (prd), ECP account id 489852440492 - change request CHG0249125.</t>
  </si>
  <si>
    <t>SCTASK1192359</t>
  </si>
  <si>
    <t>SCTASK1192375</t>
  </si>
  <si>
    <t>INC2498157</t>
  </si>
  <si>
    <t>INC2498431</t>
  </si>
  <si>
    <t>BES INCIDENT for alertId 0251051611|exec|chktspmsw_rejmsgs_platinum.ksh_5|exit_code CRITICAL|Hostname:lxvirt115c|663524239306</t>
  </si>
  <si>
    <t>Keethana Kanagasabai</t>
  </si>
  <si>
    <t>INC2498419</t>
  </si>
  <si>
    <t>INC2498302</t>
  </si>
  <si>
    <t>INC2497729</t>
  </si>
  <si>
    <t>It mentions: There are no sessions defined for this user or machine</t>
  </si>
  <si>
    <t>INC2498638</t>
  </si>
  <si>
    <t>M2F Message Failure.</t>
  </si>
  <si>
    <t>INC2498148</t>
  </si>
  <si>
    <t>Unable to print LIR in eiuther JFE FM or FLYJ</t>
  </si>
  <si>
    <t>INC2499432</t>
  </si>
  <si>
    <t>INC2499457</t>
  </si>
  <si>
    <t xml:space="preserve">Unable to login Amedius Altea  Dev / PDT systems with my BSAFE credentials. </t>
  </si>
  <si>
    <t>INC2500119</t>
  </si>
  <si>
    <t>  09-07-2026 05:49:27</t>
  </si>
  <si>
    <t>INC2500118</t>
  </si>
  <si>
    <t>INC2500114</t>
  </si>
  <si>
    <t>INC2499551</t>
  </si>
  <si>
    <t>INC2500091</t>
  </si>
  <si>
    <t>INC2499908</t>
  </si>
  <si>
    <t>INC2500100</t>
  </si>
  <si>
    <t>BES INCIDENT for alertId 0251087697|exec|chktspmsw_rejmsgs_platinum.ksh_5|exit_code CRITICAL|Hostname:lxvirt115c|663524239306</t>
  </si>
  <si>
    <t>INC2500199</t>
  </si>
  <si>
    <t>Bulk alerts due to CHG0252509</t>
  </si>
  <si>
    <t>INC2500225</t>
  </si>
  <si>
    <t>Unable to use the Application functions as Mirror user access.</t>
  </si>
  <si>
    <t>INC2500212</t>
  </si>
  <si>
    <t>INC2500241</t>
  </si>
  <si>
    <t>SIP CORE LAYER (prd2): Warning: 663524239306: trace.jms.consume.duration</t>
  </si>
  <si>
    <t>INC2500365</t>
  </si>
  <si>
    <t>INC2500417</t>
  </si>
  <si>
    <t>STATUS OF AGENT PLATFORM dpbaprd2cmgt_brk01.sipcore-prd2c.int.iag.cloud CHANGED TO UNAVAILABLE</t>
  </si>
  <si>
    <t>INC2498826</t>
  </si>
  <si>
    <t>BA - LON - unable to login Win Babs with temporary password</t>
  </si>
  <si>
    <t>INC2501667</t>
  </si>
  <si>
    <t>BES INCIDENT for alertId 0251139410|dpBAprd2c.Mngmnt_ctBrk02.Mngmnt_Brk02.queue.messages.Count.SonicMQ.routingQueue CRITICAL|Hostname:LOGICAL|663524239306</t>
  </si>
  <si>
    <t>INC2501632</t>
  </si>
  <si>
    <t>BES INCIDENT for alertId 0251138014|exec|chktspmsw_rejmsgs_platinum.ksh_5|exit_code CRITICAL|Hostname:lxvirt115c|663524239306</t>
  </si>
  <si>
    <t>INC2501155</t>
  </si>
  <si>
    <t>INC2501606</t>
  </si>
  <si>
    <t>UNABLE TO DOWNLOAD AND ACCESS JFE</t>
  </si>
  <si>
    <t>SCTASK1185275</t>
  </si>
  <si>
    <t>INC2501496</t>
  </si>
  <si>
    <t>Cannot login to Amadeus Altea software</t>
  </si>
  <si>
    <t>INC2501795</t>
  </si>
  <si>
    <t>M2F Message failure</t>
  </si>
  <si>
    <t>INC2500401</t>
  </si>
  <si>
    <t>Unable to Login Pegasus Bypass and BCP</t>
  </si>
  <si>
    <t>INC2501834</t>
  </si>
  <si>
    <t>SIP CORE LAYER (prd2): Warning: 663524239306: ibm_mq.queue.depth_current</t>
  </si>
  <si>
    <t>INC2501887</t>
  </si>
  <si>
    <t>INC2502771</t>
  </si>
  <si>
    <t>PLSAP1 - All computers on site cant connect to CM due to timeout error.</t>
  </si>
  <si>
    <t>INC2502750</t>
  </si>
  <si>
    <t xml:space="preserve">BA - JFE - Authentication failed </t>
  </si>
  <si>
    <t>INC2503319</t>
  </si>
  <si>
    <t>Agent tried to change password and application stating account is locked.</t>
  </si>
  <si>
    <t>INC2503180</t>
  </si>
  <si>
    <t>BA-MLE-JFE Password reset Link Not Working</t>
  </si>
  <si>
    <t>SCTASK1194948</t>
  </si>
  <si>
    <t>Findings for sipcore_nlv - 425044672900 the period starting 2026-07-06 05:24:07.127235</t>
  </si>
  <si>
    <t>SCTASK1194968</t>
  </si>
  <si>
    <t>Findings for sipcore_uat_setup - 474083452445 the period starting 2026-07-06 05:24:49.331641</t>
  </si>
  <si>
    <t>SCTASK1195155</t>
  </si>
  <si>
    <t>Findings for sipcore-Y6_NLV - 972936814815 the period starting 2026-07-06 05:33:24.782513</t>
  </si>
  <si>
    <t>SCTASK1195064</t>
  </si>
  <si>
    <t>Findings for sipcore-Y6_NLV_PCI - 800028781002 the period starting 2026-07-06 05:28:54.772622</t>
  </si>
  <si>
    <t>SCTASK1195038</t>
  </si>
  <si>
    <t>Findings for ba-sip-pci-appn-layer-prl - 876968080135 the period starting 2026-07-06 05:27:52.774782</t>
  </si>
  <si>
    <t>SCTASK1195032</t>
  </si>
  <si>
    <t>Findings for sipcore-Y7_NLV_PCI - 857998560977 the period starting 2026-07-06 05:27:39.138643</t>
  </si>
  <si>
    <t>SCTASK1194966</t>
  </si>
  <si>
    <t>Findings for ba-sip-core-layer-prl - 603570517929 the period starting 2026-07-06 05:24:47.928294</t>
  </si>
  <si>
    <t>SCTASK1194918</t>
  </si>
  <si>
    <t>Findings for sipcore-X1_NLV_PCI - 358177491850 the period starting 2026-07-06 05:22:58.434600</t>
  </si>
  <si>
    <t xml:space="preserve"> 13-07-2026 </t>
  </si>
  <si>
    <t>SCTASK1194897</t>
  </si>
  <si>
    <t>Findings for sipcore-X1_NLV - 294612272186 the period starting 2026-07-06 05:22:14.110101</t>
  </si>
  <si>
    <t>SCTASK1194426</t>
  </si>
  <si>
    <t>Generic Request - DB details for UpdateECWDefinitions / RetrieveECWDefinitions operations</t>
  </si>
  <si>
    <t>SCTASK1193972</t>
  </si>
  <si>
    <t>Generic Request - Attaching default certificate as per the given details below</t>
  </si>
  <si>
    <t>SCTASK1195129</t>
  </si>
  <si>
    <t>Findings for SIPCORE_UAT_PCI - 988791585657 the period starting 2026-07-06 05:31:47.575011</t>
  </si>
  <si>
    <t>SCTASK1195059</t>
  </si>
  <si>
    <t>Findings for ba-sip-pci-appn-layer-prd - 618295837509 the period starting 2026-07-06 05:28:44.238656</t>
  </si>
  <si>
    <t>SCTASK1194998</t>
  </si>
  <si>
    <t>Findings for sipcore-Y5_NLV - 717369141063 the period starting 2026-07-06 05:26:26.478631</t>
  </si>
  <si>
    <t>SCTASK1194979</t>
  </si>
  <si>
    <t>Findings for ba-sip-core-layer-prd - 663524239306 the period starting 2026-07-06 05:25:10.738885</t>
  </si>
  <si>
    <t>SCTASK1194902</t>
  </si>
  <si>
    <t>INC2503537</t>
  </si>
  <si>
    <t>INC2502890</t>
  </si>
  <si>
    <t>INC2503306</t>
  </si>
  <si>
    <t>3 red bars in FMT</t>
  </si>
  <si>
    <t>INC2503727</t>
  </si>
  <si>
    <t>LDM ,CPM, SLS Message Failure for BA2656</t>
  </si>
  <si>
    <t>INC2502553</t>
  </si>
  <si>
    <t>INC2503184</t>
  </si>
  <si>
    <t>BA-LHR-FLY-Error Message</t>
  </si>
  <si>
    <t>INC2503461</t>
  </si>
  <si>
    <t>INC2488732</t>
  </si>
  <si>
    <t>PGSS-21-Unable to login into Pegasus</t>
  </si>
  <si>
    <t>INC2502827</t>
  </si>
  <si>
    <t xml:space="preserve">My iPhone has been found </t>
  </si>
  <si>
    <t>INC2502749</t>
  </si>
  <si>
    <t>BES INCIDENT for alertId 0251160525|dpBAprd2c.Mngmnt_ctBrk02.Mngmnt_Brk02.queue.messages.Count.SonicMQ.routingQueue CRITICAL|Hostname:LOGICAL|663524239306</t>
  </si>
  <si>
    <t>Digital Observability Team (Datadog) - Non-Compliant Hosts Found for Account - 603570517929</t>
  </si>
  <si>
    <t>INC2500769</t>
  </si>
  <si>
    <t>Unable to retrieve PNR in AGM (Amadeus Group Manager)</t>
  </si>
  <si>
    <t>INC2504836</t>
  </si>
  <si>
    <t xml:space="preserve">WINBABS NOT AVAILABLE ON THIS WORKSTATION AND NO ACCESS TO FICO </t>
  </si>
  <si>
    <t>INC2504825</t>
  </si>
  <si>
    <t>NO ACCESS TO WINBABS</t>
  </si>
  <si>
    <t>INC2504821</t>
  </si>
  <si>
    <t>INC2504820</t>
  </si>
  <si>
    <t>NO ACCESS TO WINBABS / FICO</t>
  </si>
  <si>
    <t>INC2504657</t>
  </si>
  <si>
    <t>NO ACCESS TO FICO / WINBABS - FICO SETTINGS TABLE INACCESSIBLE</t>
  </si>
  <si>
    <t>INC2504650</t>
  </si>
  <si>
    <t>NO ACCESS TO FICO / WINBABS</t>
  </si>
  <si>
    <t>INC2504631</t>
  </si>
  <si>
    <t>INC2505366</t>
  </si>
  <si>
    <t>INC2492088</t>
  </si>
  <si>
    <t>BA - BLR - Unable to access some options in JFE</t>
  </si>
  <si>
    <t>INC2504807</t>
  </si>
  <si>
    <t>tag number changing in ALTEA when agent enters bag weight</t>
  </si>
  <si>
    <t>INC2504771</t>
  </si>
  <si>
    <t>INC2504775</t>
  </si>
  <si>
    <t>FLY needed on my laptop</t>
  </si>
  <si>
    <t>INC2505102</t>
  </si>
  <si>
    <t>INC2505329</t>
  </si>
  <si>
    <t>BES INCIDENT for alertId 0251283480|dpBAprd2c.CBFMAZ_ctBrk02Bak CRITICAL|Hostname:LOGICAL|663524239306</t>
  </si>
  <si>
    <t>SCTASK1195838</t>
  </si>
  <si>
    <t>SCTASK1195837</t>
  </si>
  <si>
    <t>SCTASK1195826</t>
  </si>
  <si>
    <t xml:space="preserve">
SCTASK1195820</t>
  </si>
  <si>
    <t>SCTASK1195748</t>
  </si>
  <si>
    <t>Requesting to provide the baseline details of API Microservices which are attached in the Excel sheet</t>
  </si>
  <si>
    <t>SCTASK1195736</t>
  </si>
  <si>
    <t>Generic Request - Request SIP Live Application Support for the NOVA programme to support AlteaPlan Integration Product testing activities. Support is required for the creation of the necessary CAML queues, message configuration support in the UAT environment, and support for CAML failover and Dress Rehearsal activities in the Staging environment.</t>
  </si>
  <si>
    <t>SCTASK1195735</t>
  </si>
  <si>
    <t>Generic Request - Request SIP Live Application Support for the NOVA programme to support FICO Integration Product testing activities. Support is required for the creation of the necessary CAML queues, message configuration support in the UAT environment, and support for CAML failover and Dress Rehearsal activities in the Staging environment.</t>
  </si>
  <si>
    <t>SCTASK1195734</t>
  </si>
  <si>
    <t>Generic Request - Request SIP Live Application Support for the NOVA programme to support OAW Integration Product testing activities. Support is required for the creation of the necessary CAML queues, message configuration support in the UAT environment, and support for CAML failover and Dress Rehearsal activities in the Staging environment.</t>
  </si>
  <si>
    <t>SCTASK1195733</t>
  </si>
  <si>
    <t>Generic Request - Request SIP Live Application Support for the NOVA programme to support SendSMS Integration Product testing activities. Support is required for the creation of the necessary CAML queues for emastero, message configuration support in the UAT environment, and support for CAML failover and Dress Rehearsal activities in the Staging environment</t>
  </si>
  <si>
    <t>SCTASK1195732</t>
  </si>
  <si>
    <t>Generic Request - Request SIP Live Application Support for the NOVA programme to support IULD Integration Product testing activities. Support is required for the creation of the necessary CAML queues, message configuration support in the UAT environment, and support for CAML failover and Dress Rehearsal activities in the Staging environment.</t>
  </si>
  <si>
    <t>SCTASK1195730</t>
  </si>
  <si>
    <t>Generic Request - Request SIP Live Application Support for the NOVA programme to support General Sequence Integration Product testing activities. Support is required for the creation of the necessary CAML queues, message configuration support in the UAT environment, and support for CAML failover and Dress Rehearsal activities in the Staging environment.</t>
  </si>
  <si>
    <t>SCTASK1195729</t>
  </si>
  <si>
    <t>Generic Request - Request SIP Live Application Support for the NOVA programme to support ACARS Integration Product testing activities. Support is required for the creation of the necessary CAML queues, message configuration support in the UAT environment, and support for CAML failover and Dress Rehearsal activities in the Staging environment.</t>
  </si>
  <si>
    <t>SCTASK1195728</t>
  </si>
  <si>
    <t>Generic Request - Request SIP Live Application Support for the NOVA programme to support ARINC Integration Product testing activities. Support is required for the creation of the necessary CAML queues, message configuration support in the UAT environment, and support for CAML failover and Dress Rehearsal activities in the Staging environment.</t>
  </si>
  <si>
    <t>SCTASK1195727</t>
  </si>
  <si>
    <t>Generic Request - Request SIP Live Application Support for the NOVA programme to support ALCS2 Integration Product testing activities. Support is required for the creation of the necessary CAML queues, message configuration support in the UAT environment, and support for CAML failover and Dress Rehearsal activities in the Staging environment.</t>
  </si>
  <si>
    <t>SCTASK1195726</t>
  </si>
  <si>
    <t>Generic Request - Request SIP Live Application Support for the NOVA programme to support SITA Integration testing activities. Support is required for the creation of the necessary CAML queues, message configuration support in the UAT environment, and support for CAML failover and Dress Rehearsal activities in the Staging environment.</t>
  </si>
  <si>
    <t>SCTASK1195725</t>
  </si>
  <si>
    <t>Generic Request - Request SIP Live Application Support for the NOVA programme to support iLoad Integration testing activities. Support is required for the creation of the necessary CAML queues, message configuration support in the UAT environment, and support for CAML failover and Dress Rehearsal activities in the Staging environment.</t>
  </si>
  <si>
    <t>SCTASK1195724</t>
  </si>
  <si>
    <t>Generic Request - Request SIP Live Application Support for the NOVA programme to support LIDO Integration testing activities. Support is required for the creation of the necessary CAML queues, message configuration support in the UAT environment, and support for CAML failover and Dress Rehearsal activities in the Staging environment.</t>
  </si>
  <si>
    <t>SCTASK1195723</t>
  </si>
  <si>
    <t>Generic Request - Request SIP Live Application Support for the NOVA programme to support CrewLink Integration testing activities. Support is required for the creation of the necessary CAML queues, message configuration support in the UAT environment, and support for CAML failover and Dress Rehearsal activities in the Staging environment.</t>
  </si>
  <si>
    <t>SCTASK1195722</t>
  </si>
  <si>
    <t>Generic Request - Request SIP Live Application Support for the NOVA programme to support Engineering testing activities. Support is required for the creation of the necessary CAML queues, message configuration support in the UAT environment, and support for CAML failover and Dress Rehearsal activities in the Staging environment.</t>
  </si>
  <si>
    <t xml:space="preserve">SCTASK1195721	</t>
  </si>
  <si>
    <t>Generic Request - Support from the APPSUP_SIPLIVE team is required to enable the planned ALCS testing activities for the NOVA programme. The requested support includes:  Creation of the required CAML queues. Support for message configuration and related activities in the UAT environment. Support for CAML failover activities in the Staging environment. Support during Dress Rehearsal activities in the Staging environment.  This support is essential to successfully execute the planned testing activities and validate operational readiness before implementation.</t>
  </si>
  <si>
    <t>SCTASK1195834</t>
  </si>
  <si>
    <t>SCTASK1195836</t>
  </si>
  <si>
    <t>INC2505923</t>
  </si>
  <si>
    <t>FLYAUTO CREW FIGURS</t>
  </si>
  <si>
    <t>INC2505999</t>
  </si>
  <si>
    <t>INC2506269</t>
  </si>
  <si>
    <t>SIP CORE LAYER (prd2): Warning: 663524239306: trace.jms.consume.hits</t>
  </si>
  <si>
    <t>SCTASK1196422</t>
  </si>
  <si>
    <t>INC2506544</t>
  </si>
  <si>
    <t xml:space="preserve">
15-07-2026 07:34:23</t>
  </si>
  <si>
    <t>SCTASK1191660</t>
  </si>
  <si>
    <t>Generic Request - Please grant access to FLYTST for the specified User-Ragul Ganesan and ID-S561153. Assign this request to the "APPSUP_TTTPTESTLAB" team.</t>
  </si>
  <si>
    <t xml:space="preserve">
Kayathiri Venkatesh</t>
  </si>
  <si>
    <t>INC2506642</t>
  </si>
  <si>
    <t>SCTASK1191865</t>
  </si>
  <si>
    <t>Generic Request - To insert flight data in SIP sub-live environments.</t>
  </si>
  <si>
    <t>SCTASK1192767</t>
  </si>
  <si>
    <t>Generic Request - PGSS-19- PSP-2935 :  Alt &amp; P using CNY currency does not allow you to enter the pop-up / 260227-000018</t>
  </si>
  <si>
    <t>SCTASK1188343</t>
  </si>
  <si>
    <t>INC2507222</t>
  </si>
  <si>
    <t>** PLS PASS TO AMADEUS SUPPORT**</t>
  </si>
  <si>
    <t>INC2507717</t>
  </si>
  <si>
    <t>MAA - jfe login issue</t>
  </si>
  <si>
    <t>INC2507400</t>
  </si>
  <si>
    <t>Unable to login to JFE</t>
  </si>
  <si>
    <t>INC2507554</t>
  </si>
  <si>
    <t>BES INCIDENT for alertId 0251346616|z00d8-613d-f43b|FLY|CM_SANITY_OPERATIONS|status|TCP_9000 |Hostname:Z00D8-613D-F43B</t>
  </si>
  <si>
    <t>INC2507340</t>
  </si>
  <si>
    <t>INC2500670</t>
  </si>
  <si>
    <t>BA - MAA - Amadeus developer administration - Unable to login</t>
  </si>
  <si>
    <t>INC2491999</t>
  </si>
  <si>
    <t>UNABLE TO CONNECT TO JFE DCS SYSTEM</t>
  </si>
  <si>
    <t>INC2506271</t>
  </si>
  <si>
    <t xml:space="preserve">BA-ACC-Unable to retrieve customer check in record from JFE </t>
  </si>
  <si>
    <t>INC2506166</t>
  </si>
  <si>
    <t>GROUP AND GATE NUMBERS NOT PRINTING</t>
  </si>
  <si>
    <t>Booshanram r</t>
  </si>
  <si>
    <t>SCTASK1195276</t>
  </si>
  <si>
    <t>Generic Request - Not able to login into CM JFE PDT application , Sid - S540912</t>
  </si>
  <si>
    <t>INC2507478</t>
  </si>
  <si>
    <t>Issue to open WINBABS app</t>
  </si>
  <si>
    <t>INC2508741</t>
  </si>
  <si>
    <t>LDM ,CPM,SLS Message Failure for BA2745</t>
  </si>
  <si>
    <t>INC2508363</t>
  </si>
  <si>
    <t>INC2508703</t>
  </si>
  <si>
    <t>BES INCIDENT for alertId 0251382408|dpBAprd2c.Mngmnt_ctBrk02.Mngmnt_Brk02.queue.messages.Count.SonicMQ.routingQueue CRITICAL|Hostname:LOGICAL|663524239306</t>
  </si>
  <si>
    <t>INC2508650</t>
  </si>
  <si>
    <t>SLS Message Failure</t>
  </si>
  <si>
    <t>INC2508820</t>
  </si>
  <si>
    <t>INC2509701</t>
  </si>
  <si>
    <t>INC2511418</t>
  </si>
  <si>
    <t>INC2510844</t>
  </si>
  <si>
    <t>  20-07-2026 06:01:14</t>
  </si>
  <si>
    <t>INC2510784</t>
  </si>
  <si>
    <t>INC2510588</t>
  </si>
  <si>
    <t>INC2510520</t>
  </si>
  <si>
    <t>INC2509827</t>
  </si>
  <si>
    <t xml:space="preserve">BA - YYZ - User trying to Sending UWS (Unit Weight Statement), Sent from Cargo spot where CRT is present and UWS received by load Control with the CRT missing. </t>
  </si>
  <si>
    <t>SCTASK1198891</t>
  </si>
  <si>
    <t>INFRASUP_GLOBAL_CLOUD</t>
  </si>
  <si>
    <t>Findings for SIPCORE_UAT_PCI - 988791585657 the period starting 2026-07-13 05:32:26.411743</t>
  </si>
  <si>
    <t>SCTASK1198834</t>
  </si>
  <si>
    <t>Findings for sipcore_UAT - 737886072599 the period starting 2026-07-13 05:30:27.214234</t>
  </si>
  <si>
    <t>SCTASK1198815</t>
  </si>
  <si>
    <t>Findings for sipcore-Y5_NLV - 717369141063 the period starting 2026-07-13 05:29:42.569025</t>
  </si>
  <si>
    <t>SCTASK1198808</t>
  </si>
  <si>
    <t>Findings for ba-sip-core-layer-prd - 663524239306 the period starting 2026-07-13 05:29:26.709014</t>
  </si>
  <si>
    <t>SCTASK1198731</t>
  </si>
  <si>
    <t>Findings for ba-sip-core-layer-prl - 603570517929 the period starting 2026-07-13 05:26:29.419290</t>
  </si>
  <si>
    <t>SCTASK1198653</t>
  </si>
  <si>
    <t>Findings for sipcore-Y5_NLV_PCI - 506204467419 the period starting 2026-07-13 05:23:12.624259</t>
  </si>
  <si>
    <t>SCTASK1198644</t>
  </si>
  <si>
    <t>Findings for siptools_prd_setup - 489852440492 the period starting 2026-07-13 05:22:48.704300</t>
  </si>
  <si>
    <t>SCTASK1199617</t>
  </si>
  <si>
    <t>SCTASK1198796</t>
  </si>
  <si>
    <t>Findings for sipcore_uat_setup - 757266624585 the period starting 2026-07-13 05:28:54.122162</t>
  </si>
  <si>
    <t>SCTASK1198643</t>
  </si>
  <si>
    <t>Findings for sipcore-X1_NLV_PCI - 358177491850 the period starting 2026-07-13 05:22:46.165557</t>
  </si>
  <si>
    <t>SCTASK1198615</t>
  </si>
  <si>
    <t>Findings for sipcore-X1_NLV - 294612272186 the period starting 2026-07-13 05:21:42.663569</t>
  </si>
  <si>
    <t>SCTASK1198020</t>
  </si>
  <si>
    <t>Generic Request - UAT COSI OHUATMQ41.BAW not receiving CPM, LDM and mFlightLoadPlan messages from the SIP/CAML</t>
  </si>
  <si>
    <t>SCTASK1198657</t>
  </si>
  <si>
    <t>Findings for sipcore_uat_setup - 474083452445 the period starting 2026-07-13 05:23:18.489634</t>
  </si>
  <si>
    <t>SCTASK1198692</t>
  </si>
  <si>
    <t>Findings for siptools_uat_setup - 392738926099 the period starting 2026-07-13 05:25:00.165139</t>
  </si>
  <si>
    <t>INC2512478</t>
  </si>
  <si>
    <t>INC2512227</t>
  </si>
  <si>
    <t>INC2512222</t>
  </si>
  <si>
    <t>LDM &amp; SLS Message Failure</t>
  </si>
  <si>
    <t>INC2513192</t>
  </si>
  <si>
    <t>SCTASK1199624</t>
  </si>
  <si>
    <t>SCTASK1199604</t>
  </si>
  <si>
    <t>SCTASK1199600</t>
  </si>
  <si>
    <t>SCTASK1199597</t>
  </si>
  <si>
    <t>SCTASK1199603</t>
  </si>
  <si>
    <t>SCTASK1199613</t>
  </si>
  <si>
    <t>SCTASK1192517</t>
  </si>
  <si>
    <t xml:space="preserve">Generic Request - Requesting you to provide me the roles to access of n520117 to work on PDT OPR </t>
  </si>
  <si>
    <t>INC2513336</t>
  </si>
  <si>
    <t>BA - JFK - JFE is very slow and not working</t>
  </si>
  <si>
    <t>INC2513420</t>
  </si>
  <si>
    <t>am not able to get access to Onload list and Proactive figures  in JFE</t>
  </si>
  <si>
    <t>INC2513459</t>
  </si>
  <si>
    <t>Mentioned staff have CM-JFE application access, however after updating command as QS63C1 (for EX-Baggage) it shows as 'QUEUE NOT ASSIGNED' however it should show as per provided screen shot. N113609 PURVA PAGNIS,  N546224 RAHUL CHITNIS,  N472902  VIJAY JADHAV</t>
  </si>
  <si>
    <t>INC2513873</t>
  </si>
  <si>
    <t>INC2513338</t>
  </si>
  <si>
    <t>FMT is not updating in all quadrant</t>
  </si>
  <si>
    <t>INC2514571</t>
  </si>
  <si>
    <t>BES INCIDENT for alertId 0251588639|dpBAprd2c.Mngmnt_ctBrk02.Mngmnt_Brk02.queue.messages.Count.SonicMQ.routingQueue CRITICAL|Hostname:LOGICAL|663524239306</t>
  </si>
  <si>
    <t>INC2515304</t>
  </si>
  <si>
    <t>INC2509428</t>
  </si>
  <si>
    <t xml:space="preserve">  PGGS-7-BA- NCL- PEGASUS ISSUE</t>
  </si>
  <si>
    <t>INC2511638</t>
  </si>
  <si>
    <t>PGSS-7-BA - NCL - not able to login Pegasus</t>
  </si>
  <si>
    <t>INC2514340</t>
  </si>
  <si>
    <t>Locked out of JFE</t>
  </si>
  <si>
    <t>INC2515763</t>
  </si>
  <si>
    <t>Altea DCCM PDT/CM JFE - reset of account needed</t>
  </si>
  <si>
    <t>INC2515926</t>
  </si>
  <si>
    <t>Hosted Mode and Credential error</t>
  </si>
  <si>
    <t>INC2515588</t>
  </si>
  <si>
    <t xml:space="preserve">BA-BTS-Unable to sign JFE using hosted </t>
  </si>
  <si>
    <t>INC2516258</t>
  </si>
  <si>
    <t>We could see 3  red bars In FMT</t>
  </si>
  <si>
    <t>INC2516024</t>
  </si>
  <si>
    <t>INC2515889</t>
  </si>
  <si>
    <t>Multiple reports of SIP issues in Pegasus Live</t>
  </si>
  <si>
    <t>INC2513302</t>
  </si>
  <si>
    <t>JFE AMADEUS account locked</t>
  </si>
  <si>
    <t>INC2515132</t>
  </si>
  <si>
    <t>BA-LHR-ALTEA DCFM PRD- Some functionality missing</t>
  </si>
  <si>
    <t>SCTASK1199764</t>
  </si>
  <si>
    <t>Generic Request - Mentioned  staff have access for CM JFE application, however we are unable to pull attached screen after command QS63C1 (for Ex-Baggage). It shows as ' QUEUE NOT ASSIGNED ' it should show as per 2nd provided screen shot.  N546224 Rahul Chitnis, N113609 Purva Pagnis, N472902 Vijay Jadhav</t>
  </si>
  <si>
    <t>SCTASK1198223</t>
  </si>
  <si>
    <t>Request for Services (RFS) - ACO</t>
  </si>
  <si>
    <t>INC2515730</t>
  </si>
  <si>
    <t>PGSS-7-User  paula.mcloughlin@ba.com unable to log into Peg LIVE or BCP</t>
  </si>
  <si>
    <t>SCTASK1189306</t>
  </si>
  <si>
    <t>SCTASK1193888</t>
  </si>
  <si>
    <t>SCTASK1194238</t>
  </si>
  <si>
    <t xml:space="preserve">Generic Request - Activate test flights in CM JFE PDT </t>
  </si>
  <si>
    <t>SCTASK1194240</t>
  </si>
  <si>
    <t>SCTASK1195189</t>
  </si>
  <si>
    <t>Generic Request - Hi Team,  Please provide the testing data for RIBI all non-live environments as we are currently working on Vulnerabilities remediation and need to perform functional testing.  Duration: from June 18th to July 10th.  reference:REQ1228162  Thanks, Ravi Jeldi</t>
  </si>
  <si>
    <t>SCTASK1195750</t>
  </si>
  <si>
    <t>Generic Request - Please grant access to ALTEATST for the specified username and user ID and kidly activate the SID.</t>
  </si>
  <si>
    <t>SCTASK1195934</t>
  </si>
  <si>
    <t>SCTASK1196090</t>
  </si>
  <si>
    <t>SCTASK1196112</t>
  </si>
  <si>
    <t>Generic Request - Workstation ID to be mapped to Office ID</t>
  </si>
  <si>
    <t>INC2515531</t>
  </si>
  <si>
    <t>Agent unable to access GLP</t>
  </si>
  <si>
    <t>INC2516901</t>
  </si>
  <si>
    <t>UNABLE TO ACCESS GUI (BA80) ON THIS SET</t>
  </si>
  <si>
    <t>INC2517595</t>
  </si>
  <si>
    <t>Please install BA80 (WINBABS) ON THE SET</t>
  </si>
  <si>
    <t>INC2517458</t>
  </si>
  <si>
    <t>SCTASK1196394</t>
  </si>
  <si>
    <t>PDT Test Data for CM Services (Pegasus SIP Exit)</t>
  </si>
  <si>
    <t>SCTASK1196886</t>
  </si>
  <si>
    <t>Generic Request - ALTEA, FLY3 PRD WID's for Americas Dedicated Users x 6 (Pilot Users)</t>
  </si>
  <si>
    <t>INC2513806</t>
  </si>
  <si>
    <t>PNR ref  Z4G39W - ticket refunded possibly in error</t>
  </si>
  <si>
    <t>INC2518018</t>
  </si>
  <si>
    <t>INC2519126</t>
  </si>
  <si>
    <t>3 red bars in cm operations 1</t>
  </si>
  <si>
    <t>INC2518417</t>
  </si>
  <si>
    <t>BES INCIDENT for alertId 0251699851|exec|chktspmsw_rejmsgs_platinum.ksh_3|exit_code CRITICAL|Hostname:lxvirt115c|663524239306</t>
  </si>
  <si>
    <t>INC2518266</t>
  </si>
  <si>
    <t>INC2518398</t>
  </si>
  <si>
    <t>INC2518784</t>
  </si>
  <si>
    <t>INC2518783</t>
  </si>
  <si>
    <t>INC2519017</t>
  </si>
  <si>
    <t>NO MOUSE</t>
  </si>
  <si>
    <t>INC2519271</t>
  </si>
  <si>
    <t>INC2519069</t>
  </si>
  <si>
    <t>NO ACCESS</t>
  </si>
  <si>
    <t>INC2519066</t>
  </si>
  <si>
    <t>no access</t>
  </si>
  <si>
    <t>INC2519061</t>
  </si>
  <si>
    <t>INC2519060</t>
  </si>
  <si>
    <t>INC2519024</t>
  </si>
  <si>
    <t>SCTASK1202556</t>
  </si>
  <si>
    <t>Findings for sipcore-Y6_NLV - 972936814815 the period starting 2026-07-20 05:34:56.735177</t>
  </si>
  <si>
    <t>SCTASK1202535</t>
  </si>
  <si>
    <t>Findings for sipcore-Y7_NLV_PCI - 857998560977 the period starting 2026-07-20 05:34:09.096133</t>
  </si>
  <si>
    <t>  27-07-2026 07:37:58</t>
  </si>
  <si>
    <t>SCTASK1202525</t>
  </si>
  <si>
    <t>Findings for ba-sip-pci-appn-layer-prl - 876968080135 the period starting 2026-07-20 05:33:46.378172</t>
  </si>
  <si>
    <t>SCTASK1202478</t>
  </si>
  <si>
    <t>Findings for ba-sip-core-layer-prl - 603570517929 the period starting 2026-07-20 05:31:55.797667</t>
  </si>
  <si>
    <t>  27-07-2026 07:46:48</t>
  </si>
  <si>
    <t>SCTASK1202465</t>
  </si>
  <si>
    <t>Findings for sipcore-Y6_NLV_PCI - 800028781002 the period starting 2026-07-20 05:31:27.268758</t>
  </si>
  <si>
    <t>  27-07-2026 07:50:31</t>
  </si>
  <si>
    <t xml:space="preserve"> 27-07-2026 07:50:31</t>
  </si>
  <si>
    <t>SCTASK1202442</t>
  </si>
  <si>
    <t>Findings for sipcore_uat_setup - 757266624585 the period starting 2026-07-20 05:30:30.203619</t>
  </si>
  <si>
    <t>SCTASK1202324</t>
  </si>
  <si>
    <t>Findings for sipcore-Y7_NLV - 394294681965 the period starting 2026-07-20 05:25:14.788269</t>
  </si>
  <si>
    <t>SCTASK1202319</t>
  </si>
  <si>
    <t>Findings for sipcore-X1_NLV - 294612272186 the period starting 2026-07-20 05:25:04.868792</t>
  </si>
  <si>
    <t>Findings for sipcore-X1_NLV_PCI - 358177491850 the period starting 2026-07-20 05:19:53.739180</t>
  </si>
  <si>
    <t>SCTASK1197449</t>
  </si>
  <si>
    <t>Generic Request - Trigger the test flights in CM JFE PDT, see attachment, test date planned for 21July, Tuesday. Please Q this ticket to APPSUP_TTPTESTLAB.</t>
  </si>
  <si>
    <t>INC2519768</t>
  </si>
  <si>
    <t>SCTASK1197513</t>
  </si>
  <si>
    <t>SCTASK1198924</t>
  </si>
  <si>
    <t>Generic Request - Request to create a test data in lower environment -UAT</t>
  </si>
  <si>
    <t>SCTASK1198916</t>
  </si>
  <si>
    <t>Test Data Required for SIP Exit project</t>
  </si>
  <si>
    <t>SCTASK1199020</t>
  </si>
  <si>
    <t>SCTASK1200202</t>
  </si>
  <si>
    <t>SCTASK1200282</t>
  </si>
  <si>
    <t>Generic Request - Hi team could you pls provide testing data in RiBi UAt env, to progress with testing signOFF.  we need a normal pax with bags with airside indicator turned on</t>
  </si>
  <si>
    <t>INC2519929</t>
  </si>
  <si>
    <t>BA TKT: NOT AUTHORISED error in JFE</t>
  </si>
  <si>
    <t>INC2519232</t>
  </si>
  <si>
    <t>not currently on the work set used by crew leaders</t>
  </si>
  <si>
    <t>INC2519987</t>
  </si>
  <si>
    <t>BES INCIDENT for alertId 0251766429|dpBAprd2c.CBFMAZ_ctBrk02Bak CRITICAL|Hostname:LOGICAL|663524239306</t>
  </si>
  <si>
    <t>INC2520431</t>
  </si>
  <si>
    <t>The printer is not responding</t>
  </si>
  <si>
    <t>INC2520593</t>
  </si>
  <si>
    <t>BA--JFK--User unable to login the FLY</t>
  </si>
  <si>
    <t>INC2519746</t>
  </si>
  <si>
    <t>PGSS-7-BA - NCL  - not able to access pegasus</t>
  </si>
  <si>
    <t>INC2520390</t>
  </si>
  <si>
    <t>INC2520679</t>
  </si>
  <si>
    <t>INC2520862</t>
  </si>
  <si>
    <t>INC2520328</t>
  </si>
  <si>
    <t>INC2520332</t>
  </si>
  <si>
    <t>INC2516759</t>
  </si>
  <si>
    <t>BES INCIDENT for alertId 0251638905|dpBAprd2c.CBFMAZ_ctBrk02Bak CRITICAL|Hostname:LOGICAL|663524239306</t>
  </si>
  <si>
    <t>INC2521062</t>
  </si>
  <si>
    <t>SCTASK1202284</t>
  </si>
  <si>
    <t>Findings for siptools_uat_setup - 392738926099 the period starting 2026-07-20 05:23:37.424740</t>
  </si>
  <si>
    <t>INC2520678</t>
  </si>
  <si>
    <t xml:space="preserve">BA-IAD-Unable to access winbabs </t>
  </si>
  <si>
    <t>INC2521276</t>
  </si>
  <si>
    <t>PGSS-19-BA - LHR - Pegasus Functionalitty issue</t>
  </si>
  <si>
    <t>Wrong work station ID</t>
  </si>
  <si>
    <t>INC2521237</t>
  </si>
  <si>
    <t>Unable to connect Amadeus with JAMMY</t>
  </si>
  <si>
    <t>INC2521275</t>
  </si>
  <si>
    <t>Can’t calculate excess charge</t>
  </si>
  <si>
    <t>INC2521634</t>
  </si>
  <si>
    <t>INC2521684</t>
  </si>
  <si>
    <t>INC2521712</t>
  </si>
  <si>
    <t>INC2521719</t>
  </si>
  <si>
    <t>Error message - software about to expire</t>
  </si>
  <si>
    <t>INC2522497</t>
  </si>
  <si>
    <t>  29-07-2026 05:28:52</t>
  </si>
  <si>
    <t>INC2522440</t>
  </si>
  <si>
    <t>Set out of Fico Mode</t>
  </si>
  <si>
    <t>SCTASK1203297</t>
  </si>
  <si>
    <t>SCTASK1203287</t>
  </si>
  <si>
    <t>SCTASK1203577</t>
  </si>
  <si>
    <t>INC2522065</t>
  </si>
  <si>
    <t>FLYAUTO biometric display system no working</t>
  </si>
  <si>
    <t>INC2522584</t>
  </si>
  <si>
    <t>Received intermittent alert for FLY_CM~Application warning alerts in the console for the past two three weeks and it is on of the top contributors in the weekly analysis.</t>
  </si>
  <si>
    <t>INC2522104</t>
  </si>
  <si>
    <t>FLYAUTO biometric reader</t>
  </si>
  <si>
    <t>INC2522473</t>
  </si>
  <si>
    <t>FLYAUTO Biometric Boarding system down during BA182 boarding</t>
  </si>
  <si>
    <t xml:space="preserve"> 29-07-2026 07:56:02 </t>
  </si>
  <si>
    <t>INC2522059</t>
  </si>
  <si>
    <t>FLYAUTO bio-metric boarding system not working</t>
  </si>
  <si>
    <t xml:space="preserve">PGSS-19-BA - LHR - user cant able to login to pegasus </t>
  </si>
  <si>
    <t>INC2522459</t>
  </si>
  <si>
    <t>BA - JFK - Flight delay</t>
  </si>
  <si>
    <t>INC2521948</t>
  </si>
  <si>
    <t>URGENT - I have the older version of JFE on my laptop</t>
  </si>
  <si>
    <t>INC2521996</t>
  </si>
  <si>
    <t>Work station ID is wrong</t>
  </si>
  <si>
    <t>INC2522533</t>
  </si>
  <si>
    <t xml:space="preserve">I received the attached warning message when accessing JFE CM via Citrix on my non-BA PC. It states that the current software version, 86.24.4, is about to expire. However, I checked JFE CM on my BA laptop and it is working normally without displaying the warning message. I also noticed that ALC Print and Fly, which were available in Citrix on 27Jul26 , are no longer displayed from 28Jul26. Please take a proper actio for me as I need to use both BA laptop and non BA pc. Thank you. </t>
  </si>
  <si>
    <t>INC2522471</t>
  </si>
  <si>
    <t>JFE WORKSTATION ID NEEDS CHANGING</t>
  </si>
  <si>
    <t>INC2522029</t>
  </si>
  <si>
    <t>JFE CM UPADTE</t>
  </si>
  <si>
    <t>INC2519023</t>
  </si>
  <si>
    <t>BA - Abuja - Unable to find user profile in JFE</t>
  </si>
  <si>
    <t>INC2522047</t>
  </si>
  <si>
    <t>Unable to print from JFE FM in terminal 3 gate 25</t>
  </si>
  <si>
    <t>INC2524083</t>
  </si>
  <si>
    <t>Can't log in WinBABS , will show "N507655 has no User INI configuration file"</t>
  </si>
  <si>
    <t>INC2524081</t>
  </si>
  <si>
    <t>Can't log in WinBABS , will show "N541906 has no User INI configuration file"</t>
  </si>
  <si>
    <t>INC2524208</t>
  </si>
  <si>
    <t>UNABLE TO CONNECT TO RTBT5C1</t>
  </si>
  <si>
    <t>INC2522456</t>
  </si>
  <si>
    <t>INC2521729</t>
  </si>
  <si>
    <t>INC2522783</t>
  </si>
  <si>
    <t>PGSS-21-Pegasus sessions timing out and crashing - multiple colleagues affected</t>
  </si>
  <si>
    <t xml:space="preserve">INC2521313 </t>
  </si>
  <si>
    <t xml:space="preserve">INC2522852 </t>
  </si>
  <si>
    <t>SCTASK1203343</t>
  </si>
  <si>
    <t>INC2523200</t>
  </si>
  <si>
    <t>INC2523233</t>
  </si>
  <si>
    <t>World Tracer Desktop Not Working</t>
  </si>
  <si>
    <t>INC2523432</t>
  </si>
  <si>
    <t>INC2524042</t>
  </si>
  <si>
    <t>FLYAUTO Biometric Boarding System down building wide - Manually boarding pass scan</t>
  </si>
  <si>
    <t>INC2523296</t>
  </si>
  <si>
    <t>INC2523474</t>
  </si>
  <si>
    <t>INC2523354</t>
  </si>
  <si>
    <t>INC2523461</t>
  </si>
  <si>
    <t>INC2523029</t>
  </si>
  <si>
    <t>Unable to log on. Have just lost FLY and now can't get onto CM JFE</t>
  </si>
  <si>
    <t>INC2523193</t>
  </si>
  <si>
    <t>BA-JNB- CAN'T LOGIN FM</t>
  </si>
  <si>
    <t>INC2524181</t>
  </si>
  <si>
    <t>SCTASK1204344</t>
  </si>
  <si>
    <t>INC2524270</t>
  </si>
  <si>
    <t>INC2524494</t>
  </si>
  <si>
    <t>I cannot login into FLY3TST (PDT)</t>
  </si>
  <si>
    <t>INC2524627</t>
  </si>
  <si>
    <t>INC2524736</t>
  </si>
  <si>
    <t>SCTASK1201035</t>
  </si>
  <si>
    <t>Generic Request - Request to give the test data for Load Cargo Project test data request</t>
  </si>
  <si>
    <t>SCTASK1201233</t>
  </si>
  <si>
    <t>SCTASK1201520</t>
  </si>
  <si>
    <t>SCTASK1202606</t>
  </si>
  <si>
    <t>SCTASK1201724</t>
  </si>
  <si>
    <t>Generic Request - Please provide new WID's for Storage tables (ZTC entries) for win11 users as they will be getting new laptops - current win10 values in the spreadsheet (total of 7 users)</t>
  </si>
  <si>
    <t>SCTASK1202856</t>
  </si>
  <si>
    <t>Generic Request - Need Special requirement PNR's for SIT Testing of Vulnerabilities fixes Drop3</t>
  </si>
  <si>
    <t>SCTASK1202879</t>
  </si>
  <si>
    <t xml:space="preserve">Generic Request - Unable to ticket DUB-LHR in PDT (JFE) for testing </t>
  </si>
  <si>
    <t>SCTASK1202753</t>
  </si>
  <si>
    <t>SCTASK1203102</t>
  </si>
  <si>
    <t>Generic Request - Please add. passengers to flights BA2754, BA720, BA8491, BA8451</t>
  </si>
  <si>
    <t>SCTASK1203225</t>
  </si>
  <si>
    <t>Generic Request - Need access to some workstation ID for CM JFE application.  Attaching the doc where all the workstation ID's mentioned . Please note we have releases planned so need access to all the workstation ID so that testing can be done .  Sid - S540912</t>
  </si>
  <si>
    <t>INC2525162</t>
  </si>
  <si>
    <t>FLYAUTO biometric boarding system stopped working during boarding - Did manual boarding</t>
  </si>
  <si>
    <t>INC2509659</t>
  </si>
  <si>
    <t>I am unable to run any scripts in this system. WHen I tried to create a project and run scripts it is throwing the error.</t>
  </si>
  <si>
    <t>SCTASK1204265</t>
  </si>
  <si>
    <t>Generic Request - RES302 PH2 WW AIRPORT ACTIVATION TESTING - Please triggered test flights in CM JFE PDT, flights details see attachment. Please Q this ticket to APPSUP_TTPTESTLAB queue. EDI planned for 03Aug Monday and SEA planned for 04Aug Tuesday.</t>
  </si>
  <si>
    <t>INC2525615</t>
  </si>
  <si>
    <t>FLYAUTO ERROR CODE FLD30013</t>
  </si>
  <si>
    <t>SCTASK1205047</t>
  </si>
  <si>
    <t>SCTASK1204419</t>
  </si>
  <si>
    <t>Generic Request - Request to give the test data for Load Cargo Project which is required for performance testing. The data should not be used by SIT/UAT team for their testing. We need the data for single leg, multileg flights ,trucks and feighters with the origin  as LHR. The data range is  03-Aug 2026 to 07-Aug-2026</t>
  </si>
  <si>
    <t>SCTASK1196940</t>
  </si>
  <si>
    <t>INC2524457</t>
  </si>
  <si>
    <t>Can't logon to FLY3TST (PDT) or change password. i get a screen saying I should change my password but an unable to sucessfully do so.</t>
  </si>
  <si>
    <t>SCTASK1204851</t>
  </si>
  <si>
    <t>SCTASK1203844</t>
  </si>
  <si>
    <t>Please find the mirror Badge ID, ZB445066CC745 and N513713.</t>
  </si>
  <si>
    <t>SCTASK1205276</t>
  </si>
  <si>
    <t>Generic Request - Please pass the request to APPSUP_CMJFE. Please could you raise a ticket with Amadeus with below info. I have a mail from Igor from Amadeus who has asked to raise it. 'We carried out further testing and wanted to share our findings. Based on the results, we believe the issue has been partially resolved:   •</t>
  </si>
  <si>
    <t>SCTASK1205161</t>
  </si>
  <si>
    <t>Generic Request - Please check-in all the passengers in BA3278 on 31st JUL.</t>
  </si>
  <si>
    <t>SCTASK1205168</t>
  </si>
  <si>
    <t>Generic Request - Please check-in the standby staff available in BA2606 on 31 JUL.</t>
  </si>
  <si>
    <t>SCTASK1205533</t>
  </si>
  <si>
    <t>Generic Request - Hi team, Kindly insert cargo flights in Y3C environment for testing for the dates 3 August 2026 to 31 August 2026</t>
  </si>
  <si>
    <t>SCTASK1205830</t>
  </si>
  <si>
    <t>Findings for sipcore_uat_setup - 474083452445 the period starting 2026-07-27 05:21:49.853837</t>
  </si>
  <si>
    <t>SCTASK1205838</t>
  </si>
  <si>
    <t>Findings for siptools_uat_setup - 392738926099 the period starting 2026-07-27 05:22:05.645723</t>
  </si>
  <si>
    <t>INC2526648</t>
  </si>
  <si>
    <t>INC2524789</t>
  </si>
  <si>
    <t>SID1050 and SID1093</t>
  </si>
  <si>
    <t>INC2526295</t>
  </si>
  <si>
    <t>FLYAUTO Biometric Boarding system went down had to restart system</t>
  </si>
  <si>
    <t>INC2526647</t>
  </si>
  <si>
    <t>INC2525948</t>
  </si>
  <si>
    <t>INC2525992</t>
  </si>
  <si>
    <t>BA - JFK - Fly Application issue</t>
  </si>
  <si>
    <t>INC2525626</t>
  </si>
  <si>
    <t>INC2526890</t>
  </si>
  <si>
    <t>INC2526635</t>
  </si>
  <si>
    <t>INC2526038</t>
  </si>
  <si>
    <t>INC2526634</t>
  </si>
  <si>
    <t>INC2527513</t>
  </si>
  <si>
    <t>INC2526434</t>
  </si>
  <si>
    <t>INC2526889</t>
  </si>
  <si>
    <t>INC2527862</t>
  </si>
  <si>
    <t>FLYAUTO ERROR FWB 30000</t>
  </si>
  <si>
    <t>INC2527841</t>
  </si>
  <si>
    <t>INC2527825</t>
  </si>
  <si>
    <t>INC2527822</t>
  </si>
  <si>
    <t>SCTASK1205904</t>
  </si>
  <si>
    <t>SCTASK1205940</t>
  </si>
  <si>
    <t>SCTASK1206006</t>
  </si>
  <si>
    <t>SCTASK1205944</t>
  </si>
  <si>
    <t>SCTASK1205971</t>
  </si>
  <si>
    <t>SCTASK1206088</t>
  </si>
  <si>
    <t>SCTASK1206085</t>
  </si>
  <si>
    <t>Findings for sipcore-Y6_NLV - 972936814815 the period starting 2026-07-27 05:32:16.995118</t>
  </si>
  <si>
    <t>SCTASK1206013</t>
  </si>
  <si>
    <t>Findings for ba-sip-pci-appn-layer-prl - 876968080135 the period starting 2026-07-27 05:29:35.873133</t>
  </si>
  <si>
    <t>SCTASK1206048</t>
  </si>
  <si>
    <t>Findings for sipcore-Y7_NLV_PCI - 857998560977 the period starting 2026-07-27 05:30:55.561938</t>
  </si>
  <si>
    <t>SCTASK1206016</t>
  </si>
  <si>
    <t>Findings for sipcore-Y6_NLV_PCI - 800028781002 the period starting 2026-07-27 05:29:43.792241</t>
  </si>
  <si>
    <t>SCTASK1205958</t>
  </si>
  <si>
    <t>Findings for ba-sip-core-layer-prl - 603570517929 the period starting 2026-07-27 05:26:28.693889</t>
  </si>
  <si>
    <t>SCTASK1205873</t>
  </si>
  <si>
    <t>Findings for sipcore-Y7_NLV - 394294681965 the period starting 2026-07-27 05:23:24.516324</t>
  </si>
  <si>
    <t>SCTASK1205814</t>
  </si>
  <si>
    <t>Findings for sipcore-X1_NLV - 294612272186 the period starting 2026-07-27 05:21:11.374525</t>
  </si>
  <si>
    <t>SCTASK1205800</t>
  </si>
  <si>
    <t>Findings for sipcore-X1_NLV_PCI - 358177491850 the period starting 2026-07-27 05:20:32.693789</t>
  </si>
  <si>
    <t>SCTASK1205759</t>
  </si>
  <si>
    <t>Findings for sipcore-X1_NLV - 294612272186 the period starting 2026-07-27 05:18:59.455270</t>
  </si>
  <si>
    <t>INC2527995</t>
  </si>
  <si>
    <t>JFE keeps sending error reports</t>
  </si>
  <si>
    <t>INC2528325</t>
  </si>
  <si>
    <t>INC2528629</t>
  </si>
  <si>
    <t>INC2528630</t>
  </si>
  <si>
    <t>INC2528494</t>
  </si>
  <si>
    <t>INC2528879</t>
  </si>
  <si>
    <t>SCTASK1206689</t>
  </si>
  <si>
    <t>INC2528941</t>
  </si>
  <si>
    <t>INC2529791</t>
  </si>
  <si>
    <t>INC2529847</t>
  </si>
  <si>
    <t>INC2529579</t>
  </si>
  <si>
    <t>INC2529308</t>
  </si>
  <si>
    <t xml:space="preserve">BA119 04AUG- Crewlink not showing crew names, unable to produce ABS or GENDEC </t>
  </si>
  <si>
    <t>INC2530105</t>
  </si>
  <si>
    <t>INC2521320</t>
  </si>
  <si>
    <t>INC2526422</t>
  </si>
  <si>
    <t>INC2526869</t>
  </si>
  <si>
    <t>INC2527157</t>
  </si>
  <si>
    <t>INC2527005</t>
  </si>
  <si>
    <t>INC2527810</t>
  </si>
  <si>
    <t>INC2527827</t>
  </si>
  <si>
    <t>INC2527878</t>
  </si>
  <si>
    <t>INC2530856</t>
  </si>
  <si>
    <t>  06-08-2026 05:41:13</t>
  </si>
  <si>
    <t>INC2530553</t>
  </si>
  <si>
    <t>INC2530989</t>
  </si>
  <si>
    <t xml:space="preserve">Bulk Winbabs Rejects </t>
  </si>
  <si>
    <t>INC2531369</t>
  </si>
  <si>
    <t>Unable to access GLP</t>
  </si>
  <si>
    <t>INC2531249</t>
  </si>
  <si>
    <t>WINBABS- Unable to log in on windows laptop</t>
  </si>
  <si>
    <t>INC2523128</t>
  </si>
  <si>
    <t>Unable to trigger the Amadeus 1A Webservice both prod and PDT</t>
  </si>
  <si>
    <t>SCTASK1206721</t>
  </si>
  <si>
    <t>SCTASK1206719</t>
  </si>
  <si>
    <t>Generic Request - Requesting for a sample Stub response for performing PDT testing.</t>
  </si>
  <si>
    <t>SCTASK1206788</t>
  </si>
  <si>
    <t>Generic Request - Hi team, Can you setup the below flights leg (GGD event), LX / LI status, with all details (First class passengers values, Business class passengers values, Economy passenger values, Premium economy passenger values, baggage, revenue and non revenue passenger values) please? Scenario</t>
  </si>
  <si>
    <t>LHR-MEX</t>
  </si>
  <si>
    <t>7/20/2026 Single leg GGD event, LI, baggage, no non-revenue</t>
  </si>
  <si>
    <t>LHR-DEL</t>
  </si>
  <si>
    <t>7/20/2026 Multi leg GGD event, LX, first class, no revenue</t>
  </si>
  <si>
    <t>LHR-JFK</t>
  </si>
  <si>
    <t>7/23/2026 Please assign this ticket to TEST LOGISTICS team.</t>
  </si>
  <si>
    <t>SCTASK1204918</t>
  </si>
  <si>
    <t>SCTASK1207807</t>
  </si>
  <si>
    <t>Generic Request - Request Access and installation of test Altea DC FM PDT</t>
  </si>
  <si>
    <t>INC2531713</t>
  </si>
  <si>
    <t>unable to log in</t>
  </si>
  <si>
    <t>INC2531748</t>
  </si>
  <si>
    <t>WTS-JFE-PNR DETAILS SHOWS RESTRICTED</t>
  </si>
  <si>
    <t>INC2531766</t>
  </si>
  <si>
    <t>INC2531831</t>
  </si>
  <si>
    <t>TSP.MSW.OPS.EMS.TIMEOUT.REJECT</t>
  </si>
  <si>
    <t>INC2532066</t>
  </si>
  <si>
    <t>BES INCIDENT for alertId 0252078710|exec|sip_non-pci_mngmnttier|exit_code CRITICAL|Hostname:drprd2cca1mg1|663524239306</t>
  </si>
  <si>
    <t>INC2532046</t>
  </si>
  <si>
    <t>INC2531982</t>
  </si>
  <si>
    <t>INC2531733</t>
  </si>
  <si>
    <t>INC2531746</t>
  </si>
  <si>
    <t>INC2531857</t>
  </si>
  <si>
    <t>FLY access</t>
  </si>
  <si>
    <t>INC2532193</t>
  </si>
  <si>
    <t>INC2532211</t>
  </si>
  <si>
    <t>INC2532291</t>
  </si>
  <si>
    <t>Unable to login on JFE application</t>
  </si>
  <si>
    <t>SCTASK1208424</t>
  </si>
  <si>
    <t>Generic Request - New ACV 78X created - please update ALTEA CM/FM/DBM/FICO</t>
  </si>
  <si>
    <t>SCTASK1208286</t>
  </si>
  <si>
    <t>SCTASK1208361</t>
  </si>
  <si>
    <t>Generic Request - Generic Request - Requesting for a sample Stub response for performing PDT testing.</t>
  </si>
  <si>
    <t>INC2533172</t>
  </si>
  <si>
    <t>INC2533230</t>
  </si>
  <si>
    <t>user facing issue in jfe account</t>
  </si>
  <si>
    <t>INC2533884</t>
  </si>
  <si>
    <t>LHR-JFE-NOT WORKING ON BA NETWORK</t>
  </si>
  <si>
    <t>INC2534384</t>
  </si>
  <si>
    <t>BRI  - Emv not working</t>
  </si>
  <si>
    <t>INC2532852</t>
  </si>
  <si>
    <t>INC2534500</t>
  </si>
  <si>
    <t>SIP PCI APPN LAYER (prd2): Warning: 618295837509: trace.jms.consume.hits</t>
  </si>
  <si>
    <t>Keerthana kanagasabai</t>
  </si>
  <si>
    <t>INC2534430</t>
  </si>
  <si>
    <t>BES INCIDENT for alertId 0252138701|dpBAprd2c.CBAAAZ_ctBrk01 MAJOR|Hostname:LOGICAL|663524239306</t>
  </si>
  <si>
    <t>INC2534342</t>
  </si>
  <si>
    <t>BES INCIDENT for alertId 0252137229|dpBAprd2c.CBPRIZ_ctBrk03 MAJOR|Hostname:LOGICAL|663524239306</t>
  </si>
  <si>
    <t>SCTASK1209299</t>
  </si>
  <si>
    <t>Findings for sipcore_uat_setup - 474083452445 the period starting 2026-08-03 05:25:00.578101</t>
  </si>
  <si>
    <t>SCTASK1209526</t>
  </si>
  <si>
    <t xml:space="preserve"> APPSUP_SIPLIVE</t>
  </si>
  <si>
    <t>Findings for SIPCORE_UAT_PCI - 988791585657 the period starting 2026-08-03 05:35:37.514154</t>
  </si>
  <si>
    <t>SCTASK1209489</t>
  </si>
  <si>
    <t>Findings for sipcore_UAT - 737886072599 the period starting 2026-08-03 05:33:17.597981</t>
  </si>
  <si>
    <t>SCTASK1209466</t>
  </si>
  <si>
    <t>Findings for sipcore-Y7_NLV_PCI - 857998560977 the period starting 2026-08-03 05:32:16.577566</t>
  </si>
  <si>
    <t>SCTASK1209401</t>
  </si>
  <si>
    <t>Findings for ba-sip-pci-appn-layer-prd - 618295837509 the period starting 2026-08-03 05:29:38.699619</t>
  </si>
  <si>
    <t>SCTASK1209391</t>
  </si>
  <si>
    <t>Findings for ba-sip-core-layer-prl - 603570517929 the period starting 2026-08-03 05:29:16.449445</t>
  </si>
  <si>
    <t>SCTASK1209373</t>
  </si>
  <si>
    <t>Findings for sipcore-Y6_NLV_PCI - 800028781002 the period starting 2026-08-03 05:28:03.430838</t>
  </si>
  <si>
    <t>SCTASK1209311</t>
  </si>
  <si>
    <t>Findings for siptools_prd_setup - 489852440492 the period starting 2026-08-03 05:25:33.638685</t>
  </si>
  <si>
    <t>SCTASK1209247</t>
  </si>
  <si>
    <t>Findings for sipcore-X1_NLV - 294612272186 the period starting 2026-08-03 05:23:06.265844</t>
  </si>
  <si>
    <t>Findings for sipcore-Y7_NLV - 394294681965 the period starting 2026-08-03 05:21:51.329247</t>
  </si>
  <si>
    <t>Findings for sipcore-X1_NLV_PCI - 358177491850 the period starting 2026-08-03 05:21:21.109490</t>
  </si>
  <si>
    <t>INC2531886</t>
  </si>
  <si>
    <t>PGSS-7-Pegasus log on issue for user char.mcdonald@ba.com</t>
  </si>
  <si>
    <t>INC2534842</t>
  </si>
  <si>
    <t>INC2515475</t>
  </si>
  <si>
    <t>Telex printer address was disconnected with GHA office desktop using JFE CM - Unable to recieve any telex message</t>
  </si>
  <si>
    <t>Resolved</t>
  </si>
  <si>
    <t>INC2517962</t>
  </si>
  <si>
    <t>Graphical Error and Wrong Terminal</t>
  </si>
  <si>
    <t>On Hold</t>
  </si>
  <si>
    <t>INC2521503</t>
  </si>
  <si>
    <t>need to create a new password for JFE</t>
  </si>
  <si>
    <t>INC2530875</t>
  </si>
  <si>
    <t>Boarding errors on all JFE sets in T3 - double boarding error causing delays to all departing flights - ref: BA-LHR 0508264793979</t>
  </si>
  <si>
    <t>INC2531389</t>
  </si>
  <si>
    <t>BA : DEL : JFE functionality issues.</t>
  </si>
  <si>
    <t>INC2531427</t>
  </si>
  <si>
    <t>Support for JFE Users with Access Queries</t>
  </si>
  <si>
    <t>INC2531378</t>
  </si>
  <si>
    <t>Amadeus issues</t>
  </si>
  <si>
    <t>INC2535599</t>
  </si>
  <si>
    <t>my laptop rebuild however WINBABS not working</t>
  </si>
  <si>
    <t>INC2517889</t>
  </si>
  <si>
    <t>INC2535461</t>
  </si>
  <si>
    <t>INC2535481</t>
  </si>
  <si>
    <t>BES INCIDENT for alertId 0252171002|MEM|usage|mem_used_percent MAJOR|Hostname:i-056d168bc195988aa|CWAgent</t>
  </si>
  <si>
    <t>INC2535440</t>
  </si>
  <si>
    <t>INC2535630</t>
  </si>
  <si>
    <t>INC2536630</t>
  </si>
  <si>
    <t>Amadeus Account Locked</t>
  </si>
  <si>
    <t>INC2536433</t>
  </si>
  <si>
    <t>Require FM JFE on company laptop</t>
  </si>
  <si>
    <t>INC2536396</t>
  </si>
  <si>
    <t>INC2536990</t>
  </si>
  <si>
    <t>INC2537151</t>
  </si>
  <si>
    <t>BES INCIDENT for alertId 0252215070|disk|/webserver|used_percent CRITICAL|Hostname:drprd2cbw1wa1|663524239306</t>
  </si>
  <si>
    <t>INC2533906</t>
  </si>
  <si>
    <t>OTHS-7-BA-LHR- SR Docs unble to access (Not Pegasus issue , it's impacting JFE application as well)</t>
  </si>
  <si>
    <t>INC2537748</t>
  </si>
  <si>
    <t>ISSUES WITH SIGNING INTO FICO/WINBABS</t>
  </si>
  <si>
    <t>INC2537469</t>
  </si>
  <si>
    <t>INC2537937</t>
  </si>
  <si>
    <t>INC2538066</t>
  </si>
  <si>
    <t>INC2538053</t>
  </si>
  <si>
    <t>TSP.QUARANTINE Message failure</t>
  </si>
  <si>
    <t>INC2538099</t>
  </si>
  <si>
    <t>BES INCIDENT for alertId 0252236025|dpBAprd2c.CBFMAZ_ctBrk02Bak CRITICAL|Hostname:LOGICAL|663524239306</t>
  </si>
  <si>
    <t>SCTASK1201919</t>
  </si>
  <si>
    <t>Well Architected Tool Yearly Reminder for account 489852440492.</t>
  </si>
  <si>
    <t>Generic Request - The ECP OS patching checks have identified issues with EC2 instances running in SIPTOOLS APPS (prd), ECP account id 489852440492, ba-prd-sip-siptools-schedule, CHG0251521.</t>
  </si>
  <si>
    <t>INC2538513</t>
  </si>
  <si>
    <t>INC2538518</t>
  </si>
  <si>
    <t>INC2538895</t>
  </si>
  <si>
    <t>INC2538760</t>
  </si>
  <si>
    <t>INC2538761</t>
  </si>
  <si>
    <t>INC2538764</t>
  </si>
  <si>
    <t>INC2538673</t>
  </si>
  <si>
    <t>INC2538625</t>
  </si>
  <si>
    <t>DOT PORTAL (PRD): Warning: 587402079898: aws.lambda.errors,aws.lambda.invocations</t>
  </si>
  <si>
    <t>INC2539208</t>
  </si>
  <si>
    <t xml:space="preserve">  14-08-2026 13:11:38 </t>
  </si>
  <si>
    <t>INC2539470</t>
  </si>
  <si>
    <t>INC2541017</t>
  </si>
  <si>
    <t>  17-08-2026 06:26:38</t>
  </si>
  <si>
    <t>INC2540501</t>
  </si>
  <si>
    <t>INC2540315</t>
  </si>
  <si>
    <t>INC2540313</t>
  </si>
  <si>
    <t>INC2540295</t>
  </si>
  <si>
    <t>  17-08-2026 06:52:28</t>
  </si>
  <si>
    <t>INC2539727</t>
  </si>
  <si>
    <t>  17-08-2026 06:55:20</t>
  </si>
  <si>
    <t>INC2539726</t>
  </si>
  <si>
    <t>INC2539583</t>
  </si>
  <si>
    <t>  17-08-2026 07:03:33</t>
  </si>
  <si>
    <t>INC2539581</t>
  </si>
  <si>
    <t>INC2539672</t>
  </si>
  <si>
    <t>INC2540135</t>
  </si>
  <si>
    <t xml:space="preserve">FLy </t>
  </si>
  <si>
    <t>INC2539577</t>
  </si>
  <si>
    <t>FLYAUTO FLY NOT WORKING</t>
  </si>
  <si>
    <t>INC2539589</t>
  </si>
  <si>
    <t xml:space="preserve">FLY not working </t>
  </si>
  <si>
    <t>INC2539760</t>
  </si>
  <si>
    <t>Unable to launch fico</t>
  </si>
  <si>
    <t>INC2539594</t>
  </si>
  <si>
    <t>WINBABS BA80 Not Working</t>
  </si>
  <si>
    <t>SCTASK1212772</t>
  </si>
  <si>
    <t>Findings for siptools_prd_setup - 489852440492 the period starting 2026-08-10 05:22:24.947384</t>
  </si>
  <si>
    <t>SCTASK1212812</t>
  </si>
  <si>
    <t>Findings for sipcore-Y5_NLV_PCI - 506204467419 the period starting 2026-08-10 05:23:48.317551</t>
  </si>
  <si>
    <t>SCTASK1212841</t>
  </si>
  <si>
    <t>Findings for ba-amadeus-monitoring-prd - 587402079898 the period starting 2026-08-10 05:25:04.988478</t>
  </si>
  <si>
    <t>SCTASK1212884</t>
  </si>
  <si>
    <t>Findings for ba-sip-core-layer-prd - 663524239306 the period starting 2026-08-10 05:26:46.028931</t>
  </si>
  <si>
    <t>SCTASK1212894</t>
  </si>
  <si>
    <t>Findings for sipcore_UAT - 737886072599 the period starting 2026-08-10 05:27:11.623447</t>
  </si>
  <si>
    <t>SCTASK1212901</t>
  </si>
  <si>
    <t>Findings for sipcore-Y5_NLV - 717369141063 the period starting 2026-08-10 05:27:26.111092</t>
  </si>
  <si>
    <t>SCTASK1212754</t>
  </si>
  <si>
    <t>Findings for siptools_uat_setup - 392738926099 the period starting 2026-08-10 05:21:39.289062</t>
  </si>
  <si>
    <t>SCTASK1212720</t>
  </si>
  <si>
    <t>Findings for sipcore_uat_setup - 474083452445 the period starting 2026-08-10 05:20:23.749743</t>
  </si>
  <si>
    <t>INC2541248</t>
  </si>
  <si>
    <t>SCTASK1212961</t>
  </si>
  <si>
    <t>Findings for SIPCORE_UAT_PCI - 988791585657 the period starting 2026-08-10 05:29:47.352877</t>
  </si>
  <si>
    <t>INC2541305</t>
  </si>
  <si>
    <t>INC2544994</t>
  </si>
  <si>
    <t>SINE IN FAILED</t>
  </si>
  <si>
    <t>INC2545256</t>
  </si>
  <si>
    <t>INC2545217</t>
  </si>
  <si>
    <t>BES INCIDENT for alertId 0252357093|CloudWatchSynthetics|orderrequiredfuelv03|SuccessPercent CRITICAL|Hostname:orderrequiredfuelv03|975050273315</t>
  </si>
  <si>
    <t>SCTASK1213699</t>
  </si>
  <si>
    <t>SCTASK1213719</t>
  </si>
  <si>
    <t>SCTASK1213714</t>
  </si>
  <si>
    <t>SCTASK1213707</t>
  </si>
  <si>
    <t>SCTASK1213692</t>
  </si>
  <si>
    <t>INC2542046</t>
  </si>
  <si>
    <t>PGSS-21-session time out error.</t>
  </si>
  <si>
    <t>INC2555579</t>
  </si>
  <si>
    <t>BA-BLR-JFE FM MOBILE-UNABLE TO LOGIN</t>
  </si>
  <si>
    <t>INC2555742</t>
  </si>
  <si>
    <t>Current version of software is about to expire 86.24.4</t>
  </si>
  <si>
    <t>INC2555584</t>
  </si>
  <si>
    <t>CAN NOT LOG IN USING HOSTED SAYS APPLICATION FAILED CHECK CREDENTIALS</t>
  </si>
  <si>
    <t>INC2554486</t>
  </si>
  <si>
    <t>AMADEUS JFE ACCOUNT IS LOCKED</t>
  </si>
  <si>
    <t>Unable to print in CM JFE native the e-ticket receipt</t>
  </si>
  <si>
    <t>SCTASK1212977</t>
  </si>
  <si>
    <t>Findings for sipcore-Y6_NLV - 972936814815 the period starting 2026-08-10 05:30:26.491302</t>
  </si>
  <si>
    <t>SCTASK1212962</t>
  </si>
  <si>
    <t>Findings for ba-sip-pci-appn-layer-prl - 876968080135 the period starting 2026-08-10 05:29:50.471786</t>
  </si>
  <si>
    <t>SCTASK1212939</t>
  </si>
  <si>
    <t>Findings for sipcore-Y7_NLV_PCI - 857998560977 the period starting 2026-08-10 05:28:59.321969</t>
  </si>
  <si>
    <t>SCTASK1212777</t>
  </si>
  <si>
    <t>Findings for ba-sip-core-layer-prl - 603570517929 the period starting 2026-08-10 05:22:32.808875</t>
  </si>
  <si>
    <t>SCTASK1212730</t>
  </si>
  <si>
    <t>Findings for sipcore-Y7_NLV - 394294681965 the period starting 2026-08-10 05:20:45.490326</t>
  </si>
  <si>
    <t>SCTASK1212723</t>
  </si>
  <si>
    <t>Findings for sipcore-X1_NLV - 294612272186 the period starting 2026-08-10 05:20:30.229073</t>
  </si>
  <si>
    <t>SCTASK1212912</t>
  </si>
  <si>
    <t>Findings for sipcore-Y6_NLV_PCI - 800028781002 the period starting 2026-08-10 05:27:55.332246</t>
  </si>
  <si>
    <t>SCTASK1212782</t>
  </si>
  <si>
    <t>Findings for sipcore-X1_NLV_PCI - 358177491850 the period starting 2026-08-10 05:22:45.392157</t>
  </si>
  <si>
    <t>SCTASK1212915</t>
  </si>
  <si>
    <t>Findings for sipcore_uat_setup - 757266624585 the period starting 2026-08-10 05:27:59.093584</t>
  </si>
  <si>
    <t>SCTASK1213718</t>
  </si>
  <si>
    <t>INC2552957</t>
  </si>
  <si>
    <t>BES INCIDENT for alertId 0252373315|dpBAprd2c.CBPRIZ_ctBrk04Bak MAJOR|Hostname:LOGICAL|663524239306</t>
  </si>
  <si>
    <t>INC2548403</t>
  </si>
  <si>
    <t>SCTASK1209992</t>
  </si>
  <si>
    <t>Generic Request - JFE Prod WorkstationID needed</t>
  </si>
  <si>
    <t>SCTASK1210964</t>
  </si>
  <si>
    <t>Generic Request - AvSEC: Test Data required</t>
  </si>
  <si>
    <t>SCTASK1211570</t>
  </si>
  <si>
    <t>Generic Request - Request to give the test data for Load Cargo Project which is required for performance testing. We need the data for single leg, multileg flights ,trucks and feighters with the origin as LHR. The data range is 17-Aug 2026 to 21-Aug-2026.Attached the excel of flight numbers</t>
  </si>
  <si>
    <t>SCTASK1211743</t>
  </si>
  <si>
    <t>SCTASK1212057</t>
  </si>
  <si>
    <t>Generic Request - Please add flight shown in attachment to PDT Environment for testing on 17-Aug</t>
  </si>
  <si>
    <t>SCTASK1212069</t>
  </si>
  <si>
    <t>Generic Request - Please add attached flights to  PDT Environment to facilitate testing on 17-Aug  for RES PH2 roll out at Airport level for TFS</t>
  </si>
  <si>
    <t>INC2536059</t>
  </si>
  <si>
    <t>cannot login</t>
  </si>
  <si>
    <t>INC2516960</t>
  </si>
  <si>
    <t>APPSUP_ACA</t>
  </si>
  <si>
    <t xml:space="preserve">BA-LHR-Amadeus airport comp app issue </t>
  </si>
  <si>
    <t>INC2521499</t>
  </si>
  <si>
    <t>Trying to create a new password for Amadeus JFE, but didn't receive an email to verify</t>
  </si>
  <si>
    <t>INC2518155</t>
  </si>
  <si>
    <t>WARNING POP THIS VERSION WILLEXPIRE</t>
  </si>
  <si>
    <t>INC2518570</t>
  </si>
  <si>
    <t xml:space="preserve">Current Version 86.24.4 is about expire. </t>
  </si>
  <si>
    <t>INC2519120</t>
  </si>
  <si>
    <t>Yogesh is able to log into JFE FM but is unable to open a flight to view the load plan / dead load</t>
  </si>
  <si>
    <t>INC2519130</t>
  </si>
  <si>
    <t>Sachin is unable to open and view flights in JFE FM</t>
  </si>
  <si>
    <t>INC2519311</t>
  </si>
  <si>
    <t>BA-YYZ-Unable to print from Altea FM</t>
  </si>
  <si>
    <t>INC2521521</t>
  </si>
  <si>
    <t>Unable to login</t>
  </si>
  <si>
    <t>INC2559802</t>
  </si>
  <si>
    <t>INC2559801</t>
  </si>
  <si>
    <t>INC2563583</t>
  </si>
  <si>
    <t>M2F message failures</t>
  </si>
  <si>
    <t>INC2562919</t>
  </si>
  <si>
    <t>INC2559800</t>
  </si>
  <si>
    <t>INC2566168</t>
  </si>
  <si>
    <t>INC2565981</t>
  </si>
  <si>
    <t>INC2565961</t>
  </si>
  <si>
    <t>INC2558378</t>
  </si>
  <si>
    <t>BA-LHR-JFE issue</t>
  </si>
  <si>
    <t>INC2567971</t>
  </si>
  <si>
    <t>Staff unable to sign in.</t>
  </si>
  <si>
    <t>INC2547996</t>
  </si>
  <si>
    <t>INC2567820</t>
  </si>
  <si>
    <t>Password need to be reset ,can't access with the existing password for the S551699</t>
  </si>
  <si>
    <t>INC2574769</t>
  </si>
  <si>
    <t>FAO APPSUP_CMJFE - Sid1211 is unable to retrieve a flight in CM JFE PRD</t>
  </si>
  <si>
    <t>INC2540963</t>
  </si>
  <si>
    <t>PGSS-7-SSR Docs not visible in Pegasus Live</t>
  </si>
  <si>
    <t>INC2585036</t>
  </si>
  <si>
    <t>account locked</t>
  </si>
  <si>
    <t>INC2584858</t>
  </si>
  <si>
    <t>INVALID USER DISLPLAYED</t>
  </si>
  <si>
    <t>INC2585517</t>
  </si>
  <si>
    <t>FLYAUTO regulatory</t>
  </si>
  <si>
    <t>INC2580171</t>
  </si>
  <si>
    <t>INC2585045</t>
  </si>
  <si>
    <t>BES INCIDENT for alertId 0252495493|dpBAprd2c.CBRXAZ_ctRtBrk01 CRITICAL|Hostname:LOGICAL|663524239306</t>
  </si>
  <si>
    <t>INC2536056</t>
  </si>
  <si>
    <t>FMT is down</t>
  </si>
  <si>
    <t>INC2581695</t>
  </si>
  <si>
    <t>PGSS-21-Pegasus not working is very slow</t>
  </si>
  <si>
    <t>INC2585235</t>
  </si>
  <si>
    <t>INC2585234</t>
  </si>
  <si>
    <t>INC2585109</t>
  </si>
  <si>
    <t>INC2585001</t>
  </si>
  <si>
    <t>INC2584955</t>
  </si>
  <si>
    <t>INC2584956</t>
  </si>
  <si>
    <t>INC2584933</t>
  </si>
  <si>
    <t>INC2584931</t>
  </si>
  <si>
    <t>INC2584938</t>
  </si>
  <si>
    <t>INC2584937</t>
  </si>
  <si>
    <t>INC2585004</t>
  </si>
  <si>
    <t>INC2584939</t>
  </si>
  <si>
    <t>INC2584929</t>
  </si>
  <si>
    <t>SIP CORE LAYER (prd2): Minor: trace.jms.produce.duration</t>
  </si>
  <si>
    <t>INC2584934</t>
  </si>
  <si>
    <t>INC2584932</t>
  </si>
  <si>
    <t>INC2584968</t>
  </si>
  <si>
    <t>INC2581586</t>
  </si>
  <si>
    <t>SCTASK1216379</t>
  </si>
  <si>
    <t>Findings for ba-amadeus-monitoring-prd - 587402079898 the period starting 2026-08-17 05:24:52.901903</t>
  </si>
  <si>
    <t>SCTASK1216392</t>
  </si>
  <si>
    <t>Findings for ba-sip-pci-appn-layer-prd - 618295837509 the period starting 2026-08-17 05:25:25.042198</t>
  </si>
  <si>
    <t>SCTASK1216449</t>
  </si>
  <si>
    <t>Findings for sipcore_UAT - 737886072599 the period starting 2026-08-17 05:27:30.400687</t>
  </si>
  <si>
    <t>SCTASK1216558</t>
  </si>
  <si>
    <t>Findings for SIPCORE_UAT_PCI - 988791585657 the period starting 2026-08-17 05:32:09.140798</t>
  </si>
  <si>
    <t>SCTASK1216476</t>
  </si>
  <si>
    <t>Findings for sipcore-Y6_NLV - 972936814815 the period starting 2026-08-17 05:29:05.082937</t>
  </si>
  <si>
    <t>SCTASK1216382</t>
  </si>
  <si>
    <t>Findings for ba-sip-core-layer-prl - 603570517929 the period starting 2026-08-17 05:25:02.966088</t>
  </si>
  <si>
    <t>SCTASK1216329</t>
  </si>
  <si>
    <t>Findings for sipcore-X1_NLV_PCI - 358177491850 the period starting 2026-08-17 05:22:56.641790</t>
  </si>
  <si>
    <t>  24-08-2026 08:16:04</t>
  </si>
  <si>
    <t>SCTASK1216324</t>
  </si>
  <si>
    <t>Findings for sipcore-Y7_NLV - 394294681965 the period starting 2026-08-17 05:22:45.606699</t>
  </si>
  <si>
    <t>SCTASK1216270</t>
  </si>
  <si>
    <t>Findings for sipcore-X1_NLV - 294612272186 the period starting 2026-08-17 05:20:51.400904</t>
  </si>
  <si>
    <t>  24-08-2026 08:20:10</t>
  </si>
  <si>
    <t>SCTASK1216269</t>
  </si>
  <si>
    <t>Findings for siptools_uat_setup - 392738926099 the period starting 2026-08-17 05:20:49.473196</t>
  </si>
  <si>
    <t>INC2585812</t>
  </si>
  <si>
    <t>Already in use</t>
  </si>
  <si>
    <t>INC2587191</t>
  </si>
  <si>
    <t xml:space="preserve">ALtea has been installed incorrectly </t>
  </si>
  <si>
    <t>INC2587500</t>
  </si>
  <si>
    <t>unable to login</t>
  </si>
  <si>
    <t>4 - Low</t>
  </si>
  <si>
    <t>3 - Medium</t>
  </si>
  <si>
    <t>INC2541405</t>
  </si>
  <si>
    <t>Cannot log into PDT</t>
  </si>
  <si>
    <t>SCTASK1217194</t>
  </si>
  <si>
    <t>INC2440030</t>
  </si>
  <si>
    <t>Fault report - ESP PIL (Version- 2026.3)  : u226396</t>
  </si>
  <si>
    <t>Aishwarya Ramesh</t>
  </si>
  <si>
    <t>ESP-PIL (prd)</t>
  </si>
  <si>
    <t>INC2442976</t>
  </si>
  <si>
    <t>Fault report - ESP Forms (Version- 2026.5) : u253238</t>
  </si>
  <si>
    <t>Vishnu T Vijay</t>
  </si>
  <si>
    <t>30-06-2026 15:40:25</t>
  </si>
  <si>
    <t>ESP-FORMS (prd)</t>
  </si>
  <si>
    <t>INC2443259</t>
  </si>
  <si>
    <t>BA-LHR-ESP PIL ACCESS ISSUE</t>
  </si>
  <si>
    <t>INC2444956</t>
  </si>
  <si>
    <t>BA--LHR-- User unable to login ESP-PIL</t>
  </si>
  <si>
    <t>Vidya Raj</t>
  </si>
  <si>
    <t>INC2445068</t>
  </si>
  <si>
    <t>I am new entrant and unable to access ESP-PIL and ESP-FORMS. Please assign to Apps team</t>
  </si>
  <si>
    <t>INC2445082</t>
  </si>
  <si>
    <t>BA - LHR-- User unable to login to ESP-PIL</t>
  </si>
  <si>
    <t>Dharanish P</t>
  </si>
  <si>
    <t>INC2354446</t>
  </si>
  <si>
    <t>Data not provided</t>
  </si>
  <si>
    <t>Sreekutty Radhakrishnan</t>
  </si>
  <si>
    <t>" "</t>
  </si>
  <si>
    <t>INC2446754</t>
  </si>
  <si>
    <t>Unable to access ESP-PIL</t>
  </si>
  <si>
    <t>FORMS (prd)</t>
  </si>
  <si>
    <t>INC2377501</t>
  </si>
  <si>
    <t>Fault report - ESP Forms (Version: 2026.3) - u169326</t>
  </si>
  <si>
    <t>INC2381900</t>
  </si>
  <si>
    <t>APPSUP_CAP2SERVICES</t>
  </si>
  <si>
    <t>Fault report - ESP PIL (Version - 2026.1) 0112/18APR : u179189</t>
  </si>
  <si>
    <t>Tarun Pundir</t>
  </si>
  <si>
    <t>INC2387913</t>
  </si>
  <si>
    <t>RTAD notification not appearing consistently</t>
  </si>
  <si>
    <t>Salman Ali Khan</t>
  </si>
  <si>
    <t>INC2396033</t>
  </si>
  <si>
    <t>Fault report - ESP PIL (Version- 2026.1) 0116/28APR : u188035</t>
  </si>
  <si>
    <t>INC2398271</t>
  </si>
  <si>
    <t>BA - LHR - E PILL Functionalitty issue</t>
  </si>
  <si>
    <t>INC2398340</t>
  </si>
  <si>
    <t>BA_CYBEROPS_CAPTWO AI</t>
  </si>
  <si>
    <t>BA--LHR-- Facing issue in ESP PIL</t>
  </si>
  <si>
    <t>INC2398408</t>
  </si>
  <si>
    <t>BA-LGW- Not able to access  ESP PIL on ipad</t>
  </si>
  <si>
    <t>INC2398427</t>
  </si>
  <si>
    <t>PIL not functioning</t>
  </si>
  <si>
    <t>Divyalakshmi N</t>
  </si>
  <si>
    <t>INC2398432</t>
  </si>
  <si>
    <t>BA--LGW-- Facing issue in ESP PIL</t>
  </si>
  <si>
    <t>INC2398453</t>
  </si>
  <si>
    <t>BA-LHR- Not able to access passenger list</t>
  </si>
  <si>
    <t>INC2398459</t>
  </si>
  <si>
    <t>Fault report - ESP PIL (Version- 2026.1) 2812/30APR : u221764</t>
  </si>
  <si>
    <t>INC2398463</t>
  </si>
  <si>
    <t>After access granted I still can not log in</t>
  </si>
  <si>
    <t>DOCUNET (prd)</t>
  </si>
  <si>
    <t>INC2398544</t>
  </si>
  <si>
    <t>Fault report - ESP PIL (Version- 2026.1) 0058/30APR : u117638</t>
  </si>
  <si>
    <t>VinothKumar Veluchamy</t>
  </si>
  <si>
    <t>INC2398602</t>
  </si>
  <si>
    <t>Fault report - ESP PIL (Version - 2026.1) 0397/30APR : u276243</t>
  </si>
  <si>
    <t>INC2399263</t>
  </si>
  <si>
    <t>E FORMS not submitting</t>
  </si>
  <si>
    <t>INC2399707</t>
  </si>
  <si>
    <t>BA - LHR - eForms app - User unable to sent the forms for a specific flight, gets a long error message instead.</t>
  </si>
  <si>
    <t>INC2399774</t>
  </si>
  <si>
    <t>BA - LHR - Groundcrew - Groundcrew App not opening for department issued iPad, 'Groundtime no longer available'</t>
  </si>
  <si>
    <t>GROUNDTIME (prd)</t>
  </si>
  <si>
    <t>INC2399800</t>
  </si>
  <si>
    <t xml:space="preserve">BA-LHR-Eforms - Unable to submit forms </t>
  </si>
  <si>
    <t>Prashanth Kodela</t>
  </si>
  <si>
    <t>INC2400286</t>
  </si>
  <si>
    <t>LON - EFORMS - Error</t>
  </si>
  <si>
    <t>INC2400299</t>
  </si>
  <si>
    <t>When I tap E-PIL app, ‘no longer available’ message pops up</t>
  </si>
  <si>
    <t>INC2400343</t>
  </si>
  <si>
    <t>BA--LGW-- Facing issue in being your best app</t>
  </si>
  <si>
    <t>BEINGYOURBEST (prd)</t>
  </si>
  <si>
    <t>INC2400385</t>
  </si>
  <si>
    <t>LHR -- BA -- Unable to check passenger list</t>
  </si>
  <si>
    <t>INC2400679</t>
  </si>
  <si>
    <t xml:space="preserve">Cannot enter leave bid - “all bidding windows closed” message </t>
  </si>
  <si>
    <t>INC2400962</t>
  </si>
  <si>
    <t xml:space="preserve">BA-LHR-Lido mpilot issue </t>
  </si>
  <si>
    <t>LIDO MPILOT (prd)</t>
  </si>
  <si>
    <t>INC2401067</t>
  </si>
  <si>
    <t>Fault report - ESP PIL (Version- 2026.1) 0008/04MAY : U773752</t>
  </si>
  <si>
    <t>INC2401399</t>
  </si>
  <si>
    <t xml:space="preserve">BA-BLR- Eforms and ESP PIL no longer available </t>
  </si>
  <si>
    <t>INC2402356</t>
  </si>
  <si>
    <t>BA-LHR-Unable to login on Power app ,showing BA login not available</t>
  </si>
  <si>
    <t>BALOGIN (prd)</t>
  </si>
  <si>
    <t>INC2402896</t>
  </si>
  <si>
    <t>LHR -- BA -- Unable to send messages</t>
  </si>
  <si>
    <t>INC2403557</t>
  </si>
  <si>
    <t>Fault report - ESP Forms (Version: 2026.4) - u232804</t>
  </si>
  <si>
    <t>INC2447307</t>
  </si>
  <si>
    <t xml:space="preserve">Can’t access it. </t>
  </si>
  <si>
    <t>30-06-2026 15:34:04</t>
  </si>
  <si>
    <t>INC2403939</t>
  </si>
  <si>
    <t>Fault report - ESP PIL (Version- 2026.2)  : u207203</t>
  </si>
  <si>
    <t>INC2403938</t>
  </si>
  <si>
    <t xml:space="preserve">LHR- Unable to access customer plan and pill in Ipad </t>
  </si>
  <si>
    <t>CUSTOMER PLAN (prd)</t>
  </si>
  <si>
    <t>INC2403949</t>
  </si>
  <si>
    <t>“All bid windows are currently closed” message</t>
  </si>
  <si>
    <t>Marcus Cheung</t>
  </si>
  <si>
    <t>INC2404030</t>
  </si>
  <si>
    <t>Fault report - ESP Forms (Version: 2026.3) - U714298</t>
  </si>
  <si>
    <t>INC2404413</t>
  </si>
  <si>
    <t>Fault report - ESP Forms (Version: 2026.3) - u246943</t>
  </si>
  <si>
    <t>INC2404944</t>
  </si>
  <si>
    <t>Forms not sending</t>
  </si>
  <si>
    <t>INC2405018</t>
  </si>
  <si>
    <t>Fault report - ESP Forms (Version: 2026.3) - u768022</t>
  </si>
  <si>
    <t>INC2405611</t>
  </si>
  <si>
    <t>Fault report - ESP Forms (Version: 2026.3) - u239703</t>
  </si>
  <si>
    <t>INC2406106</t>
  </si>
  <si>
    <t xml:space="preserve">Unable to access leave forms </t>
  </si>
  <si>
    <t>INC2408045</t>
  </si>
  <si>
    <t>Fault report - ESP PIL (Version- 2026.2)  : u737983</t>
  </si>
  <si>
    <t>INC2408233</t>
  </si>
  <si>
    <t>BA-LON-Unable to login Docunet after re-install</t>
  </si>
  <si>
    <t>INC2408804</t>
  </si>
  <si>
    <t>Fault report - ESP Forms (Version: 2026.4) - u233602</t>
  </si>
  <si>
    <t>INC2408898</t>
  </si>
  <si>
    <t>BA-LGW-Unable to open PIL. Response as ESP-PIL  is no longer available</t>
  </si>
  <si>
    <t>Sundar Raghavan Kannan</t>
  </si>
  <si>
    <t>esp-pil</t>
  </si>
  <si>
    <t>SCTASK1162899</t>
  </si>
  <si>
    <t>Fuel Log Field Validation</t>
  </si>
  <si>
    <t>INC2409916</t>
  </si>
  <si>
    <t>Fault report - ESP Forms (Version: 2026.3) - u122099</t>
  </si>
  <si>
    <t>INC2410646</t>
  </si>
  <si>
    <t xml:space="preserve">No photo </t>
  </si>
  <si>
    <t>INC2410712</t>
  </si>
  <si>
    <t>Application Not Found</t>
  </si>
  <si>
    <t>INC2410956</t>
  </si>
  <si>
    <t>FORMS APP NOT WORKING CORRECTLY. (AGAIN!)</t>
  </si>
  <si>
    <t>INC2411656</t>
  </si>
  <si>
    <t>struggling to get the StandMap app to work</t>
  </si>
  <si>
    <t>STANDMAP (prd)</t>
  </si>
  <si>
    <t>INC2412530</t>
  </si>
  <si>
    <t>Flight not loading in iLoad</t>
  </si>
  <si>
    <t>Ajay Pratap Singh</t>
  </si>
  <si>
    <t>ILOAD DIRECT (prd)</t>
  </si>
  <si>
    <t>INC2414073</t>
  </si>
  <si>
    <t>BAlogin (dev version)  is not working</t>
  </si>
  <si>
    <t>BALOGIN</t>
  </si>
  <si>
    <t>INC2414023</t>
  </si>
  <si>
    <t xml:space="preserve">Forms App on iPad not working </t>
  </si>
  <si>
    <t>INC2414042</t>
  </si>
  <si>
    <t>Fault report - ESP Forms (Version: 2026.4) - u202604</t>
  </si>
  <si>
    <t>INC2416702</t>
  </si>
  <si>
    <t>Fault report - ESP PIL (Version - 2026.2) 0224/15MAY : u673055</t>
  </si>
  <si>
    <t>INC2416942</t>
  </si>
  <si>
    <t>Fault report - ESP Forms (Version: 2026.4) - u163381</t>
  </si>
  <si>
    <t>INC2417036</t>
  </si>
  <si>
    <t>Yujvinder Singh</t>
  </si>
  <si>
    <t>INC2417053</t>
  </si>
  <si>
    <t>No role to access this app</t>
  </si>
  <si>
    <t>INC2417138</t>
  </si>
  <si>
    <t>Fault report - ESP PIL (Version- 2026.2) 0005/16MAY : u188035</t>
  </si>
  <si>
    <t>INC2417666</t>
  </si>
  <si>
    <t>All annotations have disappeared since new manual update</t>
  </si>
  <si>
    <t>INC2417724</t>
  </si>
  <si>
    <t xml:space="preserve">BA-LHR- Unable to access customer plan and pill in Ipad </t>
  </si>
  <si>
    <t>INC2420581</t>
  </si>
  <si>
    <t>LGW-- Facing issue in ESP PIL</t>
  </si>
  <si>
    <t>ESP-PIL</t>
  </si>
  <si>
    <t>INC2422012</t>
  </si>
  <si>
    <t>Fault report - ESP PIL (Version - 2026.2) 0970/19MAY : u684141</t>
  </si>
  <si>
    <t>INC2422087</t>
  </si>
  <si>
    <t>BA-LHR-ILOAD DIRECT - Error in entering Baggage PIN numbers</t>
  </si>
  <si>
    <t>INC2423618</t>
  </si>
  <si>
    <t>IPAD LOG IN ISSUE</t>
  </si>
  <si>
    <t>BT Agent Integration user</t>
  </si>
  <si>
    <t>INC2425130</t>
  </si>
  <si>
    <t>PIL app won’t allow me to log in</t>
  </si>
  <si>
    <t>INC2428179</t>
  </si>
  <si>
    <t>Fault report - ESP Forms (Version: 2026.4) - u184330</t>
  </si>
  <si>
    <t>INC2428687</t>
  </si>
  <si>
    <t xml:space="preserve">Not able to download app being your best </t>
  </si>
  <si>
    <t>INC2429037</t>
  </si>
  <si>
    <t>Fault report - ESP PIL (Version - 2026.2) 0033/21MAY : u217034</t>
  </si>
  <si>
    <t>INC2430544</t>
  </si>
  <si>
    <t>Fault report - ESP Forms (Version: 2026.4) - u174585</t>
  </si>
  <si>
    <t>PRB0058354</t>
  </si>
  <si>
    <t>Register a 'Roster day off' and then 'clock in' to work, the app does not register 'clock in' time</t>
  </si>
  <si>
    <t>INC2431600</t>
  </si>
  <si>
    <t>Does not load.</t>
  </si>
  <si>
    <t>INC2431998</t>
  </si>
  <si>
    <t>Fault report - ESP PIL (Version- 2026.2)  : u673055</t>
  </si>
  <si>
    <t>INC2432088</t>
  </si>
  <si>
    <t xml:space="preserve">BA-LHR-ESP-PIL error </t>
  </si>
  <si>
    <t>INC2433137</t>
  </si>
  <si>
    <t>Fault report - ESP PIL (Version - 2026.2) 2256/26MAY : u208119</t>
  </si>
  <si>
    <t>INC2433514</t>
  </si>
  <si>
    <t>Stand manager app master office display not working</t>
  </si>
  <si>
    <t>Kiran Kumar Dokka</t>
  </si>
  <si>
    <t>Standmap(prd)</t>
  </si>
  <si>
    <t>INC2434145</t>
  </si>
  <si>
    <t xml:space="preserve">My Dispatch App </t>
  </si>
  <si>
    <t>INC2434675</t>
  </si>
  <si>
    <t>Assessor</t>
  </si>
  <si>
    <t>INC2448329</t>
  </si>
  <si>
    <t>Unable to log into PIL</t>
  </si>
  <si>
    <t>INC2448740</t>
  </si>
  <si>
    <t>Fault report - ESP PIL (Version- 2026.1) 2740/06JUN : u238051</t>
  </si>
  <si>
    <t>DJ4R17CQPX</t>
  </si>
  <si>
    <t>YES</t>
  </si>
  <si>
    <t>INC2448781</t>
  </si>
  <si>
    <t>BA-LHR-ESP PIL-unable to login</t>
  </si>
  <si>
    <t>INC2449005</t>
  </si>
  <si>
    <t>Fault report - ESP PIL (Version - 2026.3) 0054/06JUN : liz.glover</t>
  </si>
  <si>
    <t>INC2448911</t>
  </si>
  <si>
    <t>Fault report - ESP Forms (Version: 2026.5) - u234410</t>
  </si>
  <si>
    <t>INC2452979</t>
  </si>
  <si>
    <t>Unable to access epil app</t>
  </si>
  <si>
    <t>INC2453123</t>
  </si>
  <si>
    <t>BA-LHR-PIL-Unable to access</t>
  </si>
  <si>
    <t>INC2453286</t>
  </si>
  <si>
    <t xml:space="preserve">No access to epil and uniform </t>
  </si>
  <si>
    <t>INC2454449</t>
  </si>
  <si>
    <t>BA-LHR-ESP PIL- Forms are missing</t>
  </si>
  <si>
    <t>INC2454444</t>
  </si>
  <si>
    <t>BA-LHR-ESP PIL-unable to access</t>
  </si>
  <si>
    <t>INC2454838</t>
  </si>
  <si>
    <t xml:space="preserve">E-pill/ other applications on ESS will now work </t>
  </si>
  <si>
    <t>INC2454995</t>
  </si>
  <si>
    <t>LHR -- BA -- Unable to install application</t>
  </si>
  <si>
    <t>INC2455095</t>
  </si>
  <si>
    <t>Access blocked</t>
  </si>
  <si>
    <t>INC2455505</t>
  </si>
  <si>
    <t>BA-LHR-Unable to access esp-pil</t>
  </si>
  <si>
    <t>INC2455617</t>
  </si>
  <si>
    <t xml:space="preserve">I am unable to access the ESP-PIL which is impacting my work onboard. </t>
  </si>
  <si>
    <t>INC2456048</t>
  </si>
  <si>
    <t>Cannot access e-pil</t>
  </si>
  <si>
    <t>SCTASK1179039</t>
  </si>
  <si>
    <t>Generic Request - timerecording LM time recording engineers adming app</t>
  </si>
  <si>
    <t>INC2456647</t>
  </si>
  <si>
    <t>LGW -- BA -- ESP PIL login issue</t>
  </si>
  <si>
    <t>INC2456719</t>
  </si>
  <si>
    <t>PIL NOT UPDATING DURING PRE DEPARTURE PHASE</t>
  </si>
  <si>
    <t>INC2457601</t>
  </si>
  <si>
    <t>User is faing synk account issue.</t>
  </si>
  <si>
    <t>INC2457833</t>
  </si>
  <si>
    <t xml:space="preserve">Locked out from accessing esp pil </t>
  </si>
  <si>
    <t>INC2457905</t>
  </si>
  <si>
    <t>INC2458961</t>
  </si>
  <si>
    <t>BA - LHR - ESP PIL - Unable to access application</t>
  </si>
  <si>
    <t>INC2459083</t>
  </si>
  <si>
    <t>INC2459118</t>
  </si>
  <si>
    <t>Fault report - ESP Forms (Version: 2026.5) - u217132</t>
  </si>
  <si>
    <t>INC2459125</t>
  </si>
  <si>
    <t xml:space="preserve">ESP-PIL not working, coming up with error message </t>
  </si>
  <si>
    <t>INC2459223</t>
  </si>
  <si>
    <t xml:space="preserve">PIL not working </t>
  </si>
  <si>
    <t>INC2459500</t>
  </si>
  <si>
    <t>No PIL access as Lhr cc</t>
  </si>
  <si>
    <t>SCTASK1180899</t>
  </si>
  <si>
    <t>Generic Request - Please can you update crew customer plan with new batch of crew ID photos from BAS1images and BAW1images folders</t>
  </si>
  <si>
    <t>Crew Portal</t>
  </si>
  <si>
    <t>INC2459763</t>
  </si>
  <si>
    <t>BA : LHR : Customer plan not working.</t>
  </si>
  <si>
    <t>INC2460512</t>
  </si>
  <si>
    <t>Still cannot get access to the EPil</t>
  </si>
  <si>
    <t>INC2462629</t>
  </si>
  <si>
    <t>Hi Team,
The FCDM service for pre-live CAP URL  is functioning correctly; however, the Kong version is encountering an unexpected technical exception.</t>
  </si>
  <si>
    <t>INC2462948</t>
  </si>
  <si>
    <t>Hi Team,
We are facing an issue " Flight does not operate . Change flight number or date" in DEV ESP-PIL.</t>
  </si>
  <si>
    <t>INC2463046</t>
  </si>
  <si>
    <t>BA-LHR-ESP PIL-Error Message</t>
  </si>
  <si>
    <t>INC2463239</t>
  </si>
  <si>
    <t>BA-LHR-ESP-PIL-unable to access</t>
  </si>
  <si>
    <t>INC2463643</t>
  </si>
  <si>
    <t>What logic does groundtime apply to the "slot" / "ctot" field/value before displaying to the user</t>
  </si>
  <si>
    <t>INC2464541</t>
  </si>
  <si>
    <t>Hi Team, While triggering fuelog application facing an "UNEXPECTED_TECHNICAL_EXCEPTION" issue in prelive environment .</t>
  </si>
  <si>
    <t>SCTASK1182924</t>
  </si>
  <si>
    <t>Generic Request - Fuel Log</t>
  </si>
  <si>
    <t>FuelLog</t>
  </si>
  <si>
    <t>INC2465251</t>
  </si>
  <si>
    <t xml:space="preserve">I can’t access my EPIL </t>
  </si>
  <si>
    <t>INC2468766</t>
  </si>
  <si>
    <t>BA - LHR - E-FORMS - Unable to submit a form</t>
  </si>
  <si>
    <t>INC2468870</t>
  </si>
  <si>
    <t>No access to ESP-PIL</t>
  </si>
  <si>
    <t>INC2469156</t>
  </si>
  <si>
    <t>BA - LHR - BA App portal - Being your best application not visible in the BA App portal.</t>
  </si>
  <si>
    <t>Being Your Best</t>
  </si>
  <si>
    <t>INC2469171</t>
  </si>
  <si>
    <t>BA-LHR-ESP-PIL is Not working</t>
  </si>
  <si>
    <t>INC2470160</t>
  </si>
  <si>
    <t>BA-LHR-Being your best- need to install app on BA mobile</t>
  </si>
  <si>
    <t>INC2471167</t>
  </si>
  <si>
    <t>Fault report - ESP PIL (Version- 2026.3) 2817/21JUN : u230966</t>
  </si>
  <si>
    <t>INC2474826</t>
  </si>
  <si>
    <t xml:space="preserve">No access to epil and uniform ordering </t>
  </si>
  <si>
    <t>INC2474839</t>
  </si>
  <si>
    <t>LHR -- BA -- Being your best app is not available on phone.</t>
  </si>
  <si>
    <t>SCTASK1185118</t>
  </si>
  <si>
    <t>Generic Request - Application - Minor enhancments or bug fixes</t>
  </si>
  <si>
    <t>SCTASK1185130</t>
  </si>
  <si>
    <t>Generic Request - Create a new role for the gen_lookup_master table to grant privileges to the  Lead Cabin Crew  Manager, enabling them to submit insights for crew members.</t>
  </si>
  <si>
    <t>INC2476376</t>
  </si>
  <si>
    <t>Not able to access</t>
  </si>
  <si>
    <t>INC2476450</t>
  </si>
  <si>
    <t xml:space="preserve">I need access to the application </t>
  </si>
  <si>
    <t>INC2477168</t>
  </si>
  <si>
    <t>Required for my role</t>
  </si>
  <si>
    <t>INC2477692</t>
  </si>
  <si>
    <t>Sorry I cannot find the right option on this form!!! It’s the EPil that’s not working</t>
  </si>
  <si>
    <t>ES-PIL</t>
  </si>
  <si>
    <t>INC2478965</t>
  </si>
  <si>
    <t xml:space="preserve">Being your best app not pulled through </t>
  </si>
  <si>
    <t>SCTASK1186206</t>
  </si>
  <si>
    <t>Generic Request - iOS Tech Remediation - Task</t>
  </si>
  <si>
    <t>SCTASK1186217</t>
  </si>
  <si>
    <t>Generic Request - iFlight NEO Testing</t>
  </si>
  <si>
    <t>SCTASK1186318</t>
  </si>
  <si>
    <t xml:space="preserve">Generic Request - iOS Tech Remediation - Task </t>
  </si>
  <si>
    <t>iFlight NEO Testing</t>
  </si>
  <si>
    <t>Generic Request - Kong version upgrade testing for impacted services in Stack02</t>
  </si>
  <si>
    <t>INC2484499</t>
  </si>
  <si>
    <t>Cannot access being your best and uniform ordering</t>
  </si>
  <si>
    <t>BEINGYOURBEST (dev)</t>
  </si>
  <si>
    <t>INC2485656</t>
  </si>
  <si>
    <t>REMOVAL OF ID PHOTO ON CUSTOMER PLAN / CMS</t>
  </si>
  <si>
    <t>INC2486208</t>
  </si>
  <si>
    <t>No access to uniform ordering portals</t>
  </si>
  <si>
    <t>INC2486383</t>
  </si>
  <si>
    <t>Fault report - ESP PIL (Version - 2026.3) 0084/29JUN : u269921</t>
  </si>
  <si>
    <t>SCTASK1188775</t>
  </si>
  <si>
    <t xml:space="preserve">Generic Request - IX (ODS) - Post Cutover testing </t>
  </si>
  <si>
    <t>SCTASK1189176</t>
  </si>
  <si>
    <t>The ECP OS patching checks have identified issues with EC2 instances running in FLIGHT OPS MOBILE - ADMIN CONSOLE (prd), ECP account id 455196533389, flightopsmob-eu-west-1a-schedule, CHG0250149.The instances to be investigated are those below labelled "NON_COMPLIANT".The automated tests have been run against these instances. The automated checks will test for:    * general instance health    * connectivity to update sources    * connectivity to AWS Systems ManagerInstance Compliance Status:- i-045de77839ecda77f: {'name': None, 'compliance_status': 'NON_COMPLIANT'}For further information regarding the ECP OS patching service, please refer to this documentation: https://iagprod.service-now.com/iag_gbs?id=kb_article_view&amp;sysparm_article=KB0011968</t>
  </si>
  <si>
    <t>INC2489016</t>
  </si>
  <si>
    <t>E-Pil says access is not permitted</t>
  </si>
  <si>
    <t>INC2491275</t>
  </si>
  <si>
    <t>Goes blank after connected to onboad BA-ops wifi</t>
  </si>
  <si>
    <t>SCTASK1190367</t>
  </si>
  <si>
    <t>Generic Request - The ECP OS patching checks have identified issues with EC2 instances running in BEINGYOURBEST (prd), ECP account id 637423558868, eu-west-1a-schedule, CHG0249552.
The instances to be investigated are those below labelled "NON_COMPLIANT".</t>
  </si>
  <si>
    <t>INC2492820</t>
  </si>
  <si>
    <t>LHR : Unable to log into the Passenger Information List since joining the company</t>
  </si>
  <si>
    <t>INC2493161</t>
  </si>
  <si>
    <t>BA-LHR-On boarding phone submission is not working</t>
  </si>
  <si>
    <t>INC2449282</t>
  </si>
  <si>
    <t>INC2494907</t>
  </si>
  <si>
    <t>PIL not updating in real time</t>
  </si>
  <si>
    <t>SCTASK1192191</t>
  </si>
  <si>
    <t>Generic Request - Request for Github Repo details</t>
  </si>
  <si>
    <t>INC2496272</t>
  </si>
  <si>
    <t>No access to PIL</t>
  </si>
  <si>
    <t>INC2496627</t>
  </si>
  <si>
    <t>Fault report - ESP Forms (Version: 2026.5) - u240294</t>
  </si>
  <si>
    <t>ESP-Forms</t>
  </si>
  <si>
    <t>INC2499121</t>
  </si>
  <si>
    <t>BA-LHR-Better BA-required installation.</t>
  </si>
  <si>
    <t>BEING YOUR BEST</t>
  </si>
  <si>
    <t>INC2499401</t>
  </si>
  <si>
    <t>INC2499777</t>
  </si>
  <si>
    <t>I do not have access to the Heathrow Ground Services Operations Manual using my personal Docunet Viewer login</t>
  </si>
  <si>
    <t>INC2500233</t>
  </si>
  <si>
    <t>LHR - iload not working</t>
  </si>
  <si>
    <t>INC2501251</t>
  </si>
  <si>
    <t>Esp-PIL app not updating</t>
  </si>
  <si>
    <t>INC2501198</t>
  </si>
  <si>
    <t>BA-LHR Unable to update or install few apps in phone</t>
  </si>
  <si>
    <t>Martin Mazur</t>
  </si>
  <si>
    <t>SCTASK1194248</t>
  </si>
  <si>
    <t>Generic Request - CAPTWO AI UAT testing signoff post the OAM cert renewal</t>
  </si>
  <si>
    <t>SCTASK1194249</t>
  </si>
  <si>
    <t>Generic Request - Re: CAPTWO AI UAT testing signoff post the OAM cert renewal</t>
  </si>
  <si>
    <t>INC2503533</t>
  </si>
  <si>
    <t>Can’t submit forms</t>
  </si>
  <si>
    <t>INC2504082</t>
  </si>
  <si>
    <t>Action required - ECP OS patching outputs for resources running in BEINGYOURBEST (prd), ECP account id 637423558868 - change request CHG0249552.</t>
  </si>
  <si>
    <t>INC2504083</t>
  </si>
  <si>
    <t>Action required - ECP OS patching outputs for resources running in BEINGYOURBEST (prd), ECP account id 637423558868 - change request CHG0249553.</t>
  </si>
  <si>
    <t>INC2504633</t>
  </si>
  <si>
    <t>Fault report - ESP Forms (Version: 2026.5) - u241923</t>
  </si>
  <si>
    <t>INC2504864</t>
  </si>
  <si>
    <t>BA-LHR-eForms-Unable to sent Forms</t>
  </si>
  <si>
    <t>INC2507028</t>
  </si>
  <si>
    <t>Fault report - ESP PIL (Version - 2026.3) 0719/15JUL : u216524</t>
  </si>
  <si>
    <t>INC2506192</t>
  </si>
  <si>
    <t>PIL and eforms</t>
  </si>
  <si>
    <t>INC2510455</t>
  </si>
  <si>
    <t>Stand Map just showing blank screen</t>
  </si>
  <si>
    <t>StandMap</t>
  </si>
  <si>
    <t>SCTASK1198189</t>
  </si>
  <si>
    <t>Generic Request - I need to have access to write insights on crew in the being your best app</t>
  </si>
  <si>
    <t>INC2511053</t>
  </si>
  <si>
    <t>Fault report - ESP Forms (Version: 2026.5) - u190974</t>
  </si>
  <si>
    <t>INC2511791</t>
  </si>
  <si>
    <t>Fault report - ESP Forms (Version: 2026.5) - u227663</t>
  </si>
  <si>
    <t>INC2511828</t>
  </si>
  <si>
    <t>BA-LHR-ESP-PIL-unable to access customer check-in details</t>
  </si>
  <si>
    <t>INC2512065</t>
  </si>
  <si>
    <t>Fault report - ESP Forms (Version: 2026.5) - u678506</t>
  </si>
  <si>
    <t>INC2512409</t>
  </si>
  <si>
    <t>I do not have the Being your best app on my device</t>
  </si>
  <si>
    <t>INC2516153</t>
  </si>
  <si>
    <t>CREW PIL APPLICATION SHOWING FLIGHT OPEN WHEN FINALISED APPROX -35. CREW PIL NOT SHOWING ACCURATE SEAT MAP</t>
  </si>
  <si>
    <t>INC2516487</t>
  </si>
  <si>
    <t>Fault report - ESP PIL (Version - 2026.3) 1358/23JUL : u204092</t>
  </si>
  <si>
    <t>INC2517086</t>
  </si>
  <si>
    <t>Download</t>
  </si>
  <si>
    <t>INC2517123</t>
  </si>
  <si>
    <t>App not installed on my crew device, have tried to request via corporate directory.</t>
  </si>
  <si>
    <t>INC2517887</t>
  </si>
  <si>
    <t>BA- LON- NOT ABLE TO ACCESS E FORMS</t>
  </si>
  <si>
    <t>INC2518413</t>
  </si>
  <si>
    <t>Fault report - ESP Forms (Version: 2026.5) - u134727</t>
  </si>
  <si>
    <t>INC2518759</t>
  </si>
  <si>
    <t>Fault report - ESP Forms (Version: 2026.5) - u202030</t>
  </si>
  <si>
    <t>INC2519049</t>
  </si>
  <si>
    <t>Fault report - ESP Forms (Version: 2026.5) - u215665</t>
  </si>
  <si>
    <t>INC2519071</t>
  </si>
  <si>
    <t>UNABLE TO LOG INTO SET</t>
  </si>
  <si>
    <t>INC2519249</t>
  </si>
  <si>
    <t>INC2520980</t>
  </si>
  <si>
    <t>BA - LHR - ILoad - unable to retrieve flight information</t>
  </si>
  <si>
    <t>INC2521142</t>
  </si>
  <si>
    <t>Fault report - ESP Forms (Version: 2026.5) - u245990</t>
  </si>
  <si>
    <t>SCTASK1203861</t>
  </si>
  <si>
    <t>Generic Request - The ECP OS patching checks have identified issues with EC2 instances running in BEINGYOURBEST (prd), ECP account id 637423558868, eu-west-1b-schedule, CHG0252391.</t>
  </si>
  <si>
    <t>INC2523057</t>
  </si>
  <si>
    <t>BA-BOM-Unable to access Cita Crew Insights</t>
  </si>
  <si>
    <t>INC2523483</t>
  </si>
  <si>
    <t>LHR-ESS issue</t>
  </si>
  <si>
    <t>INC2524152</t>
  </si>
  <si>
    <t>BA - LHR - Not able to login iLoad direct</t>
  </si>
  <si>
    <t>I cannot view the seat map fully, it doesnâ¿¿t close the sidebar</t>
  </si>
  <si>
    <t xml:space="preserve">
</t>
  </si>
  <si>
    <t xml:space="preserve">ESP-PIL is not updating during the departure stages of the flight. This is leading to incorrect information being made available to cabin crew and ground teams. The PIL is only updating with correct information once aircraft is AIRBORNE which is a safety and security issue should crew need to confirm a passengers status on the aircraft.
</t>
  </si>
  <si>
    <t>11-06-2026 19:27:09 GMT</t>
  </si>
  <si>
    <t>Customer plan not working.
In crew portal
It going blank instead of giving the information.</t>
  </si>
  <si>
    <t xml:space="preserve"> https://service4-prl.baplc.com/sc4/com.ba.meo.CrewEngagementV01.ap.12</t>
  </si>
  <si>
    <t>17-06-2026 09:42:46 GMT</t>
  </si>
  <si>
    <t>19-04-2026 01:21:15</t>
  </si>
  <si>
    <t>INC2481371</t>
  </si>
  <si>
    <t>On board form doesnâ¿¿t get submitted</t>
  </si>
  <si>
    <t>INC2481373</t>
  </si>
  <si>
    <t>On board form doesnâ¿¿t get submitted as once clicked on submit the app get closed back to main screen</t>
  </si>
  <si>
    <t>25-06-2026 15:18:43 GMT</t>
  </si>
  <si>
    <t>INC2434866</t>
  </si>
  <si>
    <t>BA - LHR - not able to access ESP PIL</t>
  </si>
  <si>
    <t>INC2484266</t>
  </si>
  <si>
    <t>No cuta form are displaying</t>
  </si>
  <si>
    <t>28-06-2026 06:49:12 GMT</t>
  </si>
  <si>
    <t>INC2484342</t>
  </si>
  <si>
    <t>User mentioned that they can't access the lidom breafing, user are urged to travel so need to resolve asap.</t>
  </si>
  <si>
    <t xml:space="preserve">Cannot access Being Your Best.
I also cannot access uniform ordering online, access is denied. It has worked previously for me when I started but not anymore. Screenshot for uniform ordering attached.
</t>
  </si>
  <si>
    <t>Jagan Nathan</t>
  </si>
  <si>
    <t>28-06-2026 16:48:02 GMT</t>
  </si>
  <si>
    <t>I have never had full access to the data provided by this app including times and stands when clicking on the area highlighted in the top left of the attached picture. I have deleted and reinstalled the app but it has not resolved the issue.
Asset Tag : Ipad 
Issue Start : 2024-12-16 10:06:18</t>
  </si>
  <si>
    <t>29-03-2026 09:14:58 GMT</t>
  </si>
  <si>
    <t>INC2438046</t>
  </si>
  <si>
    <t>Access required</t>
  </si>
  <si>
    <t>INC2484992</t>
  </si>
  <si>
    <t xml:space="preserve">This application is down  for all users across Terminal 5 London Heathrow. ADM colleagues are falling there fallback process and manual triple AAA. It is not updating or speaking with CLC.
</t>
  </si>
  <si>
    <t>INC2486137</t>
  </si>
  <si>
    <t>User faced issue in accessing the forms in the ESP-PIL
So User uninstalled the application
Now user is not able to re-install the application</t>
  </si>
  <si>
    <t>Saravanan Baskaran</t>
  </si>
  <si>
    <t>29-06-2026 15:43:18 GMT</t>
  </si>
  <si>
    <t xml:space="preserve">I am unable to gain access to the uniform ordering platform it says I am blocked and need to request access. I was unable to find the portal name under the Application drop down options so I put the application as BA Login however the issue is with Uniform Ordering and Uniform ordering option to purchase.
</t>
  </si>
  <si>
    <t>Aakash D</t>
  </si>
  <si>
    <t>29-06-2026 16:24:28 GMT</t>
  </si>
  <si>
    <t>INC2486297</t>
  </si>
  <si>
    <t>When a search for a flight always get error message ; ESP_PIL_9004
An internal error occurred. Please contact ITS if the problem continues.</t>
  </si>
  <si>
    <t>29-06-2026 18:23:27 GMT</t>
  </si>
  <si>
    <t xml:space="preserve">I recently joined BA as cabin crew. When I try to login to the E-PIL it comes up with an error message saying I’m blocked and need an administrator to assign access.
</t>
  </si>
  <si>
    <t>29-06-2026 21:12:32 GMT</t>
  </si>
  <si>
    <t>INC2439200</t>
  </si>
  <si>
    <t>INC2507997</t>
  </si>
  <si>
    <t>Fault report - ESP Forms (Version: 2026.5) - u240749</t>
  </si>
  <si>
    <t>ITSER-24215</t>
  </si>
  <si>
    <t>GS Planning application to be install on Kemal.Heyik's laptop</t>
  </si>
  <si>
    <t>Sathya Ramasamy</t>
  </si>
  <si>
    <t>GS Planning</t>
  </si>
  <si>
    <t xml:space="preserve"> ITSER-25104</t>
  </si>
  <si>
    <t>Testing Support – Bag Tag Printing Cut‑off Validation (UAT)</t>
  </si>
  <si>
    <t>Dinesh Selvaraj</t>
  </si>
  <si>
    <t>BDK</t>
  </si>
  <si>
    <t xml:space="preserve"> ITSER-25106</t>
  </si>
  <si>
    <t>Preflight Info - SQL Queries &amp; Method Identification for Premium Economy Impact Analysis</t>
  </si>
  <si>
    <t>PreFlight Info</t>
  </si>
  <si>
    <t>ITSER-25488</t>
  </si>
  <si>
    <t>Windows Updates - April - In-House applications - Production - Brush Testing</t>
  </si>
  <si>
    <t>Sathish Kaliyappan</t>
  </si>
  <si>
    <t>IHA (AWS)</t>
  </si>
  <si>
    <t>ITSER-25603</t>
  </si>
  <si>
    <t>Access Request for Passenger Contact Details application</t>
  </si>
  <si>
    <t>Access Control</t>
  </si>
  <si>
    <t>ITSER-25914</t>
  </si>
  <si>
    <t>PNR in Astral, not in Quest</t>
  </si>
  <si>
    <t>Quest</t>
  </si>
  <si>
    <t>ITSER-26464</t>
  </si>
  <si>
    <t xml:space="preserve">FIDS - Same flight number anomaly </t>
  </si>
  <si>
    <t>FIDS</t>
  </si>
  <si>
    <t>ITSER-26533</t>
  </si>
  <si>
    <t>Access Request for Meals Reporting application</t>
  </si>
  <si>
    <t>ITSER-26450</t>
  </si>
  <si>
    <t>Unable to login WorkforcePlus</t>
  </si>
  <si>
    <t>WorkforcePlus</t>
  </si>
  <si>
    <t>ITSER-26605</t>
  </si>
  <si>
    <t>ITSER-26655</t>
  </si>
  <si>
    <t>FIDS Hardware Fell, Lost Connection and Disconnected</t>
  </si>
  <si>
    <t>ITSER-26789</t>
  </si>
  <si>
    <t>BDK Testing Support - Manual Regression Testing on UAT</t>
  </si>
  <si>
    <t>ITSER-26885</t>
  </si>
  <si>
    <t>NewDayFL (BATS) application unserviceable</t>
  </si>
  <si>
    <t>NewDayFL</t>
  </si>
  <si>
    <t>ITSER-26926</t>
  </si>
  <si>
    <t>Access Request for Crew SMS Application</t>
  </si>
  <si>
    <t>ITSER-27052</t>
  </si>
  <si>
    <t>Unable to login to Workforce Plus</t>
  </si>
  <si>
    <t>ITSER-27118</t>
  </si>
  <si>
    <t>Add Generic ID in SSM parameter value for Meals Reporting application</t>
  </si>
  <si>
    <t>Meals Reporting</t>
  </si>
  <si>
    <t>ITSER-27199</t>
  </si>
  <si>
    <t>ITSER-27321</t>
  </si>
  <si>
    <t>ITSER-27805</t>
  </si>
  <si>
    <t>Windows Updates - May - In-House applications - Non-Production - Brush Testing</t>
  </si>
  <si>
    <t>Gokul Sangeeth</t>
  </si>
  <si>
    <t>ITSER-28181</t>
  </si>
  <si>
    <t>Windows Updates - May - In-House applications - Production - Brush Testing</t>
  </si>
  <si>
    <t>ITSER-28110</t>
  </si>
  <si>
    <t>FICS Data Not Showing</t>
  </si>
  <si>
    <t>FICS</t>
  </si>
  <si>
    <t>ITSER-28404</t>
  </si>
  <si>
    <t>ITSER-28493</t>
  </si>
  <si>
    <t>Quest is missing a PNR</t>
  </si>
  <si>
    <t>ITSER-28514</t>
  </si>
  <si>
    <t>Workforce Employee Portal login issue</t>
  </si>
  <si>
    <t>ITSER-28836</t>
  </si>
  <si>
    <t>Access Request for PreFlight Info application</t>
  </si>
  <si>
    <t>ITSER-28834</t>
  </si>
  <si>
    <t>Extend the access of the EBA Emails application users to the next 6 months</t>
  </si>
  <si>
    <t>ITSER-29001</t>
  </si>
  <si>
    <t xml:space="preserve">Transport team in dnata all user accounts deleted </t>
  </si>
  <si>
    <t>ITSER-29025</t>
  </si>
  <si>
    <t>BDK Testing Support – Manual Regression Testing on UAT</t>
  </si>
  <si>
    <t>ITSER-29082</t>
  </si>
  <si>
    <t>ITSER-29106</t>
  </si>
  <si>
    <t>Workforce application issue</t>
  </si>
  <si>
    <t>ITSER-29171</t>
  </si>
  <si>
    <t>Fids screen issue</t>
  </si>
  <si>
    <t>ITSER-29236</t>
  </si>
  <si>
    <t>Same flight number anomaly in FIDS screen</t>
  </si>
  <si>
    <t>ITSER-30063</t>
  </si>
  <si>
    <t>ASTRAL DATA not being received into Netline</t>
  </si>
  <si>
    <t>Netline</t>
  </si>
  <si>
    <t>ITSER-29956</t>
  </si>
  <si>
    <t>ITSER-30146</t>
  </si>
  <si>
    <t>Windows Updates - June - In-House applications - Non-Production - Brush Testing</t>
  </si>
  <si>
    <t>ITSER-30176</t>
  </si>
  <si>
    <t>Audit Support - Quest Application Access Management Documentation &amp; Evidence Submission</t>
  </si>
  <si>
    <t>ITSER-30304</t>
  </si>
  <si>
    <t>Acces to workforce Plus</t>
  </si>
  <si>
    <t>ITSER-30578</t>
  </si>
  <si>
    <t>Meals Reporting Application - Access Request for David Reilly / David A O'Reilly</t>
  </si>
  <si>
    <t>ITSER-30673</t>
  </si>
  <si>
    <t>User Access Issue For PreFlight Info Application</t>
  </si>
  <si>
    <t>ITSER-30838</t>
  </si>
  <si>
    <t>Windows Updates - June - In-House applications - Production - Brush Testing</t>
  </si>
  <si>
    <t>ITSER-31392</t>
  </si>
  <si>
    <t>ITSER-31502</t>
  </si>
  <si>
    <t>ITSER-31707</t>
  </si>
  <si>
    <t>ITSER-31754</t>
  </si>
  <si>
    <t>ITSER-31772</t>
  </si>
  <si>
    <t>ITSER-32008</t>
  </si>
  <si>
    <t>BDK kiosk checkin flow screen</t>
  </si>
  <si>
    <t>ITSER-32157</t>
  </si>
  <si>
    <t>QUEST application not working</t>
  </si>
  <si>
    <t>ITSER-32160</t>
  </si>
  <si>
    <t>ITSER-32168</t>
  </si>
  <si>
    <t>ITSER-32281</t>
  </si>
  <si>
    <t>ITSER-32533</t>
  </si>
  <si>
    <t>Decommission Application Services - NEWDAYFC (prd), GETDAY (prd) and BAGHALL (prd)</t>
  </si>
  <si>
    <t>NewdayFC</t>
  </si>
  <si>
    <t>ITSER-32881</t>
  </si>
  <si>
    <t>Access Request for PreFlightInfo Application</t>
  </si>
  <si>
    <t>Unable to access Techweb</t>
  </si>
  <si>
    <t>AirnavX</t>
  </si>
  <si>
    <t>ITSER-33228</t>
  </si>
  <si>
    <t>Windows Updates - July - In-House applications - Non-Production - Brush Testing</t>
  </si>
  <si>
    <t>ITSER-32739</t>
  </si>
  <si>
    <t>Unable to access Workforce Plus</t>
  </si>
  <si>
    <t>ITSER-33714</t>
  </si>
  <si>
    <t>Windows Updates - July - In-House applications - Production - Brush Testing</t>
  </si>
  <si>
    <t>ITSER-34068</t>
  </si>
  <si>
    <t>ITSER-34084</t>
  </si>
  <si>
    <t>Quest communication tab not working</t>
  </si>
  <si>
    <t>ITSER-34360</t>
  </si>
  <si>
    <t>BDK Testing Support – INTL Text Testing on Bag Tags in UAT</t>
  </si>
  <si>
    <t>ITSER-34353</t>
  </si>
  <si>
    <t>New app failure : STAFF CONNECT</t>
  </si>
  <si>
    <t>StaffConnect</t>
  </si>
  <si>
    <t>ITSER-34757</t>
  </si>
  <si>
    <t>Windows 11 upgrade on offshore machines for the App Support portfolio. Testing and validation</t>
  </si>
  <si>
    <t>ITSER-34882</t>
  </si>
  <si>
    <t>Access Request for new team member in Airport Ops - Jagan Shrinivasan to In-house applications</t>
  </si>
  <si>
    <t>INC2387927</t>
  </si>
  <si>
    <t>EMAIL-- GS-201127 Accertify Interceptas BA CBK Module access recall issue.</t>
  </si>
  <si>
    <t>Kosika Subramani</t>
  </si>
  <si>
    <t>NO</t>
  </si>
  <si>
    <t>INC2398468</t>
  </si>
  <si>
    <t xml:space="preserve">BA-LCY-Unable to access teams, outlook </t>
  </si>
  <si>
    <t>O365</t>
  </si>
  <si>
    <t xml:space="preserve">user profile verfication </t>
  </si>
  <si>
    <t>INC2387530</t>
  </si>
  <si>
    <t>BA : LGW : Sarah Palmer (u262792) is unable to log into her microsoft account. She recently changed her name but it seems to have updated on CD.</t>
  </si>
  <si>
    <t>license update</t>
  </si>
  <si>
    <t>INC2398598</t>
  </si>
  <si>
    <t>WTS : corporate directory error message</t>
  </si>
  <si>
    <t>ProvGenID</t>
  </si>
  <si>
    <t>SCTASK1157688</t>
  </si>
  <si>
    <t>Generic Request - Hi Team , I am not able to access aws console - https://iaggbsmaster.awsapps.com/start/# , please assign this to the suitable team to resume my access if revoked.</t>
  </si>
  <si>
    <t>AWSCOnsole</t>
  </si>
  <si>
    <t>SID account mail address created</t>
  </si>
  <si>
    <t>SCTASK1157887</t>
  </si>
  <si>
    <t>Generic Request - This is a request for a test UK AD account, so that I can test Zscaler config in production without affecting production BA accounts (such as mine). Please create an AD account similar to my production account, but ensure the mailnickname is different, and that my UPN / displayname has the string 'TEST'. If there are any user detail patterns for test accounts, please follow that. Thanks for your help</t>
  </si>
  <si>
    <t>Verified user access</t>
  </si>
  <si>
    <t>INC2402499</t>
  </si>
  <si>
    <t>Lan access and E-mail not generated for - Harshita Sharma (262926)</t>
  </si>
  <si>
    <t>Test account created in porduction</t>
  </si>
  <si>
    <t>SCTASK1157048</t>
  </si>
  <si>
    <t>Generic Request - Provide access to AWS accounts to my user</t>
  </si>
  <si>
    <t>INC2364290</t>
  </si>
  <si>
    <t xml:space="preserve">PowerPoint storage faulty </t>
  </si>
  <si>
    <t>INC2398564</t>
  </si>
  <si>
    <t>BOM : Unable to access the Word / Powerpoint / Excel</t>
  </si>
  <si>
    <t>verified licence</t>
  </si>
  <si>
    <t>INC2404305</t>
  </si>
  <si>
    <t>Intermittent issues using Corporate Directory</t>
  </si>
  <si>
    <t>whitepage</t>
  </si>
  <si>
    <t>SCTASK1159839</t>
  </si>
  <si>
    <t>Generic Request - My on prem upn value is in the format of nid@ba.com , it needs to change and this needs to be done from CD team could you please check with them  to update your upn value.</t>
  </si>
  <si>
    <t>No action taken</t>
  </si>
  <si>
    <t>INC2403026</t>
  </si>
  <si>
    <t>Pilots not set up in Quantum</t>
  </si>
  <si>
    <t>Quantum</t>
  </si>
  <si>
    <t>UPN updated</t>
  </si>
  <si>
    <t>SCTASK1160123</t>
  </si>
  <si>
    <t>Generic Request - Corporate Directory - Allow users to request access to AWS accounts for up to 28 days via HUPA</t>
  </si>
  <si>
    <t>HUPA</t>
  </si>
  <si>
    <t>INC2395693</t>
  </si>
  <si>
    <t>BA---LHR---User get error while opening the outlook in company device.</t>
  </si>
  <si>
    <t xml:space="preserve">HUPA change </t>
  </si>
  <si>
    <t>INC2389224</t>
  </si>
  <si>
    <t>BA : KRK : Unable to access emailBA : KRK : Unable to access email</t>
  </si>
  <si>
    <t>SCTASK1159684</t>
  </si>
  <si>
    <t xml:space="preserve">Generic Request - ESS- no access to FAQ/ online query/ live chat </t>
  </si>
  <si>
    <t>Updated user mail</t>
  </si>
  <si>
    <t>SCTASK1160654</t>
  </si>
  <si>
    <t>Generic Request - Request to revoke access to team in Github EMU</t>
  </si>
  <si>
    <t>INC2401604</t>
  </si>
  <si>
    <t>request to modify Department names visible in Outlook and Teams for selected employees</t>
  </si>
  <si>
    <t>Whitepage</t>
  </si>
  <si>
    <t>Verified user profile</t>
  </si>
  <si>
    <t>INC2407251</t>
  </si>
  <si>
    <t>Unable to login after Bsafe password change</t>
  </si>
  <si>
    <t>INC2409091</t>
  </si>
  <si>
    <t>BA - LON - O365 - User unable to login to Email, gets error message: 'Something went wrong'</t>
  </si>
  <si>
    <t>Mail address update</t>
  </si>
  <si>
    <t>INC2407393</t>
  </si>
  <si>
    <t>BA-NCL-Email/Teams-unable to login</t>
  </si>
  <si>
    <t>Profile enable</t>
  </si>
  <si>
    <t>INC2407269</t>
  </si>
  <si>
    <t xml:space="preserve">LGW-Unable to access email </t>
  </si>
  <si>
    <t>license verified</t>
  </si>
  <si>
    <t>INC2407044</t>
  </si>
  <si>
    <t xml:space="preserve">Systems Access </t>
  </si>
  <si>
    <t>SCTASK1162749</t>
  </si>
  <si>
    <t>Generic Request - DWP - Kindly populate jay.kalsi@iairgroup.com in CD for User</t>
  </si>
  <si>
    <t>INC2411316</t>
  </si>
  <si>
    <t>BA - WTS - CD - Cant able to raise access for system access getting error screen.</t>
  </si>
  <si>
    <t>P2 access isuee</t>
  </si>
  <si>
    <t>INC2406173</t>
  </si>
  <si>
    <t>BA - MAD - MFA - User unable to login to Tableau using O365 and MFA using his NID</t>
  </si>
  <si>
    <t>INC2413224</t>
  </si>
  <si>
    <t>IAGC-YYZ-Unable to open BA80 from citrix</t>
  </si>
  <si>
    <t>SCTASK1163514</t>
  </si>
  <si>
    <t>Generic Request - Disable BA Active Directory service accounts</t>
  </si>
  <si>
    <t>System user identity</t>
  </si>
  <si>
    <t>SID account deletion</t>
  </si>
  <si>
    <t>INC2413306</t>
  </si>
  <si>
    <t>Email needs to be updated in One Drive</t>
  </si>
  <si>
    <t>INC2402989</t>
  </si>
  <si>
    <t>Unable access my One-drive from cloud printers when trying scan documents.</t>
  </si>
  <si>
    <t>INC2405834</t>
  </si>
  <si>
    <t>Unable to scan to onedrive</t>
  </si>
  <si>
    <t>UPN update</t>
  </si>
  <si>
    <t>INC2415259</t>
  </si>
  <si>
    <t>BA : YVR : CD request in retry status</t>
  </si>
  <si>
    <t>Software error</t>
  </si>
  <si>
    <t>SCTASK1164420</t>
  </si>
  <si>
    <t>IAGT Personal Mailbox –  Email Restoration/PST Export</t>
  </si>
  <si>
    <t>Mail address mapping</t>
  </si>
  <si>
    <t>INC2415286</t>
  </si>
  <si>
    <t>Pol Ruiz  ID is not populating  correctly- n555036@iairgroup.com</t>
  </si>
  <si>
    <t>INC2405815</t>
  </si>
  <si>
    <t>BA - LCY - Printer/Scanner - User says they are able to print but unable to scan on their Lexmark cloud printer</t>
  </si>
  <si>
    <t>INC2389050</t>
  </si>
  <si>
    <t>Escalated P3 - Can not access to POWER BI</t>
  </si>
  <si>
    <t>SCTASK1162563</t>
  </si>
  <si>
    <t>Generic Request - Hi, I have already been approved and given access to TBX but production only, this should have been staging also, please can this be extended to staging so I can continue training and testing.</t>
  </si>
  <si>
    <t>Travelbox</t>
  </si>
  <si>
    <t>Verified access</t>
  </si>
  <si>
    <t>INC2418683</t>
  </si>
  <si>
    <t>Colleague is not part of the DSG All British Airways Users group</t>
  </si>
  <si>
    <t>verified profile</t>
  </si>
  <si>
    <t>INC2418686</t>
  </si>
  <si>
    <t>BA - MAN - User cannot able to access the Salesforce Customer360 Portal</t>
  </si>
  <si>
    <t>Customer360</t>
  </si>
  <si>
    <t>Access verified</t>
  </si>
  <si>
    <t>INC2420534</t>
  </si>
  <si>
    <t>I am not able to log in</t>
  </si>
  <si>
    <t>SalesforceIAGL</t>
  </si>
  <si>
    <t>INC2418764</t>
  </si>
  <si>
    <t>My supervisor cannot add my approved github id into collab team for accessing repositories.He said while adding my id into collab team  it shows 'You are not a member of  british airways'</t>
  </si>
  <si>
    <t>Githubentrerprice</t>
  </si>
  <si>
    <t>INC2416078</t>
  </si>
  <si>
    <t>I don't have github access.I have raised access for github.Even the ticket is approved and it is closed.Now my supervisor cannot add my id into collab team for accessing repositories.</t>
  </si>
  <si>
    <t>SCTASK1167082</t>
  </si>
  <si>
    <t>Generic Request - Request for doman change from @iairgroup do @vueling for g262575</t>
  </si>
  <si>
    <t>mail address updated</t>
  </si>
  <si>
    <t>SCTASK1164879</t>
  </si>
  <si>
    <t>Generic Request - Creating new DL</t>
  </si>
  <si>
    <t>Anvarudheen</t>
  </si>
  <si>
    <t xml:space="preserve">PEGASUS </t>
  </si>
  <si>
    <t>The profile is fine from CD end.</t>
  </si>
  <si>
    <t>INC2401373</t>
  </si>
  <si>
    <t>PGSS-7- BA - NCL - User cannot able to access the Pegasus</t>
  </si>
  <si>
    <t>Out of our scope</t>
  </si>
  <si>
    <t>INC2401863</t>
  </si>
  <si>
    <t>Requested to provide details</t>
  </si>
  <si>
    <t>INC2401383</t>
  </si>
  <si>
    <t>PGSS-7- Staff Unable to login into Pegasus Bypass</t>
  </si>
  <si>
    <t>Verified user profile is fine from CD end.</t>
  </si>
  <si>
    <t>INC2404333</t>
  </si>
  <si>
    <t>unable to sign in to CM</t>
  </si>
  <si>
    <t>ALTEA CM</t>
  </si>
  <si>
    <t>Reproccesed the request and the request is closed.</t>
  </si>
  <si>
    <t>INC2403204</t>
  </si>
  <si>
    <t>PGSS-7- Pegasus is not working</t>
  </si>
  <si>
    <t>PEGASUS</t>
  </si>
  <si>
    <t>We have verified the user profile and pegasus access from CD end
Everything seems to be fine from CD .</t>
  </si>
  <si>
    <t>INC2402550</t>
  </si>
  <si>
    <t>PGSS-7- User kaiden.hilditch@ba.com unable to view sensitive data in 08BH DP servicing office IDs</t>
  </si>
  <si>
    <t>Assigned to support team.</t>
  </si>
  <si>
    <t>INC2409887</t>
  </si>
  <si>
    <t>PGSS-7 BA- NCL- PEGASUS ISSUE</t>
  </si>
  <si>
    <t>INC2408946</t>
  </si>
  <si>
    <t>PGSS-7 BA-NCL-pegasus- Error: unable to connect to corporate directory lookup please contact 24000</t>
  </si>
  <si>
    <t>INC2411808</t>
  </si>
  <si>
    <t xml:space="preserve">PGSS-7 BA - KUL - Pegasus - User cant able to login </t>
  </si>
  <si>
    <t>We could see that user profile has already refreshed in CD and LSS. There si no action required from CD tea</t>
  </si>
  <si>
    <t>INC2412587</t>
  </si>
  <si>
    <t>u238186 Novus CD form is blank when trying to make a change request</t>
  </si>
  <si>
    <t>PATHWAY</t>
  </si>
  <si>
    <t>Necessary action has been taken.</t>
  </si>
  <si>
    <t>INC2417029</t>
  </si>
  <si>
    <t>DEL - pegasus login issue</t>
  </si>
  <si>
    <t>INC2401921</t>
  </si>
  <si>
    <t>BA-MEX-Retired staff profile is still in Corporate directory</t>
  </si>
  <si>
    <t>EX User</t>
  </si>
  <si>
    <t>Workaround solutions</t>
  </si>
  <si>
    <t>have taken required action and user removed CD end</t>
  </si>
  <si>
    <t>INC2401910</t>
  </si>
  <si>
    <t>BA-LHR-Bsafe-reset happened and someone did password reset</t>
  </si>
  <si>
    <t> </t>
  </si>
  <si>
    <t>BSAFE</t>
  </si>
  <si>
    <t>User access query</t>
  </si>
  <si>
    <t>user profile looks fine, moved to respective team</t>
  </si>
  <si>
    <t>INC2402504</t>
  </si>
  <si>
    <t>BA - LHR - Retired staff profile still alive in Corporate Directoray</t>
  </si>
  <si>
    <t>INC2399310</t>
  </si>
  <si>
    <t>WTS : Unable to access to BA_AAP_OPERATIONALDASBOARD_PROD</t>
  </si>
  <si>
    <t>OpsDash</t>
  </si>
  <si>
    <t>user having required access and moved to respective team</t>
  </si>
  <si>
    <t>INC2402563</t>
  </si>
  <si>
    <t>BA - LON - Retired staff profile shwoing CD</t>
  </si>
  <si>
    <t>INC2393554</t>
  </si>
  <si>
    <t>No access, even though access has been actioned</t>
  </si>
  <si>
    <t>INC2402693</t>
  </si>
  <si>
    <t xml:space="preserve">Please address error seen below in CD </t>
  </si>
  <si>
    <t>due to software error advised user  to re-raise the CD request</t>
  </si>
  <si>
    <t>INC2405602</t>
  </si>
  <si>
    <t>BA-LHR-Retired staff profile need to remove from CD</t>
  </si>
  <si>
    <t>SCTASK1156153</t>
  </si>
  <si>
    <t>Generic Request - Please delete SID10955 from Corporate directory.  (Assign to APPSUP_CRPDIR queue)</t>
  </si>
  <si>
    <t>SID</t>
  </si>
  <si>
    <t>Have deleted the SID account</t>
  </si>
  <si>
    <t>SCTASK1159414</t>
  </si>
  <si>
    <t>Generic Request - Required to raise ADid access</t>
  </si>
  <si>
    <t>have raised an ADID UK domain access request on behalf of the user</t>
  </si>
  <si>
    <t>SCTASK1157917</t>
  </si>
  <si>
    <t>Generic Request - PLease create testbaplc email ids for 4 users involved in the Movement Manager upgrade project. These users will use Entra UAT to log into  sublive Movement Manager UI</t>
  </si>
  <si>
    <t>testbaplc</t>
  </si>
  <si>
    <t>created o365 and triaged AD team for password sync</t>
  </si>
  <si>
    <t>SCTASK1157905</t>
  </si>
  <si>
    <t>Generic Request - Testbaplc accounts required for training delivery</t>
  </si>
  <si>
    <t>INC2405443</t>
  </si>
  <si>
    <t xml:space="preserve">Operational Dashboard - Unable to use. </t>
  </si>
  <si>
    <t>SCTASK1161194</t>
  </si>
  <si>
    <t>Generic Request - Retire/Deactivate O365Admin and O365AdminUAT applications</t>
  </si>
  <si>
    <t>O365Admin and O365AdminUAT</t>
  </si>
  <si>
    <t>provide the FAQ link for delete application</t>
  </si>
  <si>
    <t>SCTASK1161155</t>
  </si>
  <si>
    <t>Generic Request - Hi Team, Could you please sync my live password with the UAT environment? My live password expired today, and I have just changed it. Please sync the updated live password to UAT.</t>
  </si>
  <si>
    <t>live password sync</t>
  </si>
  <si>
    <t>INC2406945</t>
  </si>
  <si>
    <t>UNKN-- USER PROFILE IS NOT SHOWING IN RETIRED STAFF PORTAL</t>
  </si>
  <si>
    <t>INC2410087</t>
  </si>
  <si>
    <t>IAGCARGO - LHR - O365 - The account added to O365 is incorrect and has a typo, which user wants rectified.</t>
  </si>
  <si>
    <t>eveything fine from our end hence moved</t>
  </si>
  <si>
    <t>INC2410924</t>
  </si>
  <si>
    <t>BA - LHR - Unable to approve the requests for his agents.</t>
  </si>
  <si>
    <t>INC2407359</t>
  </si>
  <si>
    <t>unable to access e-mail account through Microsoft 365 portal within ESS page</t>
  </si>
  <si>
    <t>provided the link to access the O365 email account</t>
  </si>
  <si>
    <t>INC2405313</t>
  </si>
  <si>
    <t xml:space="preserve">Uniform ordering link is missing </t>
  </si>
  <si>
    <t>DETAIL</t>
  </si>
  <si>
    <t>provide the steps to raise CD request for required access</t>
  </si>
  <si>
    <t>SCTASK1163014</t>
  </si>
  <si>
    <t>Generic Request - Need access to Entra ID test account</t>
  </si>
  <si>
    <t>SCTASK1161462</t>
  </si>
  <si>
    <t>Generic Request - BA Nimbus - please create testbaplc.com accounts for the listed users to facilitate UAT payment testing</t>
  </si>
  <si>
    <t>INC2402744</t>
  </si>
  <si>
    <t xml:space="preserve">I am unable to login to Tableau to access the Mandatory training requirements across Digital. </t>
  </si>
  <si>
    <t>Tableau </t>
  </si>
  <si>
    <t>INC2411021</t>
  </si>
  <si>
    <t>In corporate directory system access i have 6 pending approvals however when i try to approve i get a software error message</t>
  </si>
  <si>
    <t>INC2411939</t>
  </si>
  <si>
    <t>IAGC - LHR - Leave Card - Unable to access</t>
  </si>
  <si>
    <t>SCTASK1163320</t>
  </si>
  <si>
    <t>Generic Request - Corporate directory system access.</t>
  </si>
  <si>
    <t>provided the required information</t>
  </si>
  <si>
    <t>INC2412500</t>
  </si>
  <si>
    <t>Uniform Ordering Link Missing</t>
  </si>
  <si>
    <t>INC2375115</t>
  </si>
  <si>
    <t>I cannot access my password changer</t>
  </si>
  <si>
    <t>OAW</t>
  </si>
  <si>
    <t>INC2380474</t>
  </si>
  <si>
    <t>Unable to access to Factorial</t>
  </si>
  <si>
    <t>no action from user end</t>
  </si>
  <si>
    <t>INC2413718</t>
  </si>
  <si>
    <t>POLA07-MDBS04 - BA - LHR -  Not able to access BAHS patient portal</t>
  </si>
  <si>
    <t> BAHSPatientPort</t>
  </si>
  <si>
    <t>INC2336184</t>
  </si>
  <si>
    <t>User password not recognized on mybaplc portal</t>
  </si>
  <si>
    <t>bsafe fine from our end, hence moved</t>
  </si>
  <si>
    <t>INC2412925</t>
  </si>
  <si>
    <t>Unable to clear my service queue</t>
  </si>
  <si>
    <t>SCTASK1165079</t>
  </si>
  <si>
    <t>Generic Request - I applied for access to THRIVE via Corporate Directory (Ticket No. 20260427S0468212). The request was approved on 13-May-2026. Now when I try accessing THRIVE (via ESS) I get an access denied message. The message is: "Request Id: dd252fe7-a689-4e6c-9e9f-6910fbc60600 Correlation Id: d94966c1-7b92-40d3-babb-c0f2900e2a40 Timestamp: 2026-05-15T09:11:09Z Message: AADSTS50105: Your administrator has configured the application BA_APP_THRIVE_PROD ('3fdaa7d4-14d4-46e4-985d-1cb59f23e927') to block users unless they are specifically granted ('assigned') access to the application. The signed in user 'awab.elniel@ba.com' is blocked because they are not a direct member of a group with access, nor had access directly assigned by an administrator. Please contact your administrator to assign access to this application."</t>
  </si>
  <si>
    <t xml:space="preserve">THRIVE </t>
  </si>
  <si>
    <t>SCTASK1165283</t>
  </si>
  <si>
    <t>Generic Request - Please can you check the attached spreadsheet and create test users for all the users listed, BA employee numbers have been included along with their BA emails.</t>
  </si>
  <si>
    <t>SCTASK1165381</t>
  </si>
  <si>
    <t xml:space="preserve">Generic Request - Hi, Please add to CD queue (APPSUP_CRPDIR).   The below 'Test' accounts are giving  lost password errors. These accounts are required by multiple users in TEST, therefore, we need to keep the generic password of ‘Dynam1c’ for all these test users..   Account 1 - User ID – DPTest2, Password:- Dynam1c  Account 2 - User ID – DPTest3, Password:- Dynam1c Account 3 - User ID – DPTest5, Password:- Dynam1c Account 4 - User ID – DPTest6, Password:- Dynam1c Account 5 - User ID – DPTest7, Password:- Dynam1c Account 6 - User ID – DPTest8, Password:- Dynam1c Account 7 - User ID – DPTest9, Password:- Dynam1c  Please could you reset the account/s with the same password. </t>
  </si>
  <si>
    <t>make password valid in UAT</t>
  </si>
  <si>
    <t>SCTASK1166386</t>
  </si>
  <si>
    <t>Generic Request - Could you kindly provide the test credential details for the following users u158095 u698817</t>
  </si>
  <si>
    <t>provided the test credentials in UAT</t>
  </si>
  <si>
    <t>INC2418981</t>
  </si>
  <si>
    <t>Unable to access Corporate Directory (CD) portal in uat</t>
  </si>
  <si>
    <t>given the UAT url for access</t>
  </si>
  <si>
    <t>INC2415798</t>
  </si>
  <si>
    <t>CORPORATE DIRECTORY ACCESS</t>
  </si>
  <si>
    <t>INC2418391</t>
  </si>
  <si>
    <t>Unable To Approve Or Reject Corporate Directory Tickets</t>
  </si>
  <si>
    <t>INC2407128</t>
  </si>
  <si>
    <t>Unable to access the O365 applications</t>
  </si>
  <si>
    <t>Provided the  steps to raise the CD request for change licence</t>
  </si>
  <si>
    <t>SCTASK1165633</t>
  </si>
  <si>
    <t>Generic Request - Name change for email address and accesses for new name</t>
  </si>
  <si>
    <t> user email address is fine from our end, hence moved</t>
  </si>
  <si>
    <t>SCTASK1166112</t>
  </si>
  <si>
    <t>Generic Request - To delete ticket due to Software error pop up appearing</t>
  </si>
  <si>
    <t>INC2420631</t>
  </si>
  <si>
    <t>BA-LON-Unable to approve Acess</t>
  </si>
  <si>
    <t>SCTASK1166756</t>
  </si>
  <si>
    <t>Generic Request - NEW Testbaplc account required for training for the following users:-   Simran Simran - u159994, simran.simran@ba.com</t>
  </si>
  <si>
    <t>INC2420582</t>
  </si>
  <si>
    <t>LHR -- BA -- Need to change approver</t>
  </si>
  <si>
    <t>SCTASK1168480</t>
  </si>
  <si>
    <t>Generic Request - Need Testbaplc accounts for Entra Migration</t>
  </si>
  <si>
    <t>INC2428007</t>
  </si>
  <si>
    <t>BA-LHR-Staff tracker -AADSTS50105</t>
  </si>
  <si>
    <t>StaffTracker </t>
  </si>
  <si>
    <t>INC2426589</t>
  </si>
  <si>
    <t>BA-LHR-O365-E-mail Change</t>
  </si>
  <si>
    <t>given the steps to update the primary email address</t>
  </si>
  <si>
    <t>INC2426627</t>
  </si>
  <si>
    <t>BA-LHR-CD-unabel to approve the access</t>
  </si>
  <si>
    <t>INC2426199</t>
  </si>
  <si>
    <t>Cant approve system access requests in CD</t>
  </si>
  <si>
    <t>SCTASK1170758</t>
  </si>
  <si>
    <t xml:space="preserve">Generic Request - I have 7 requests for access that I am getting the attached response for  an unable to approve or decline. </t>
  </si>
  <si>
    <t>SCTASK1168182</t>
  </si>
  <si>
    <t>Generic Request - Unable to approve both requests as getting Software error. See attached.</t>
  </si>
  <si>
    <t>SCTASK1166622</t>
  </si>
  <si>
    <t>Generic Request - Follow RITM1217803  and please create testbaplc email ids for 5 users involved in the Movement Manager upgrade project. These users will use Entra UAT to log into sublive Movement Manager UI</t>
  </si>
  <si>
    <t>SCTASK1169034</t>
  </si>
  <si>
    <t>Generic Request - new email address with @BA.com domain to be created</t>
  </si>
  <si>
    <t>given the steps to raise BA mail address creation</t>
  </si>
  <si>
    <t>INC2422212</t>
  </si>
  <si>
    <t>Sita WorldTracer is not working, it says that my access have been blocked. I have WorldTracer access granted in my corporate directory so not sure why this is happening? Please can by access be unblocked to WorldTracer as I need to access the system.</t>
  </si>
  <si>
    <t>SITAWorldTracer </t>
  </si>
  <si>
    <t>provided the  steps to raise a CD request for add access</t>
  </si>
  <si>
    <t>INC2425395</t>
  </si>
  <si>
    <t>BA-WTS-Former staff still showing as serving</t>
  </si>
  <si>
    <t>INC2434003</t>
  </si>
  <si>
    <t xml:space="preserve">User  unable to reset  password </t>
  </si>
  <si>
    <t>INC2434133</t>
  </si>
  <si>
    <t>IAGL - Former employee could not able to access the ESS Portal.</t>
  </si>
  <si>
    <t>moved respective team for ownership removal for ex user</t>
  </si>
  <si>
    <t>INC2435460</t>
  </si>
  <si>
    <t>Email mapping issue - not able to access files or meetings I am being invited to due to conflict with previous user ID</t>
  </si>
  <si>
    <t>INC2376805</t>
  </si>
  <si>
    <t>LON : Log in issues for member.</t>
  </si>
  <si>
    <t>INC2386157</t>
  </si>
  <si>
    <t>Repeat occurrence of unable access FLY3TST (FLY test system not PRD)_pls referebce to INC2356349/2320033/2295008 etc.</t>
  </si>
  <si>
    <t>Anandhu</t>
  </si>
  <si>
    <t>FLY</t>
  </si>
  <si>
    <t>INC2406388</t>
  </si>
  <si>
    <t>PGSS-7 BA - DEL - Not able to login pegasus</t>
  </si>
  <si>
    <t>Pegasus</t>
  </si>
  <si>
    <t>INC2387631</t>
  </si>
  <si>
    <t>BA - LHR - user resetted password of jfe and can login but user cant view anything inside jfe</t>
  </si>
  <si>
    <t>INC2409978</t>
  </si>
  <si>
    <t xml:space="preserve">PGSS-7- Unable to access citrix and after many tickets, still unable to get in. </t>
  </si>
  <si>
    <t>Citrix</t>
  </si>
  <si>
    <t>INC2408996</t>
  </si>
  <si>
    <t>PGSS-7 NCL - pegasus login issue</t>
  </si>
  <si>
    <t>SCTASK1159903</t>
  </si>
  <si>
    <t>Generic Request - As part of  "Agentic AI to optimize CloudWatch Alarms" project, we are looking for number of CloudWatch Alarms set for LIDO FLIGHT 4D FLIGHT PLANNING INTEGRATION , acc no 7907768951471. If possible, please provide the split as Templated alarms (Infra) and Custom alarms count</t>
  </si>
  <si>
    <t>AWS</t>
  </si>
  <si>
    <t>SCTASK1153729</t>
  </si>
  <si>
    <t>AWS Linux Server Login Issue</t>
  </si>
  <si>
    <t>Linux</t>
  </si>
  <si>
    <t>INC2411224</t>
  </si>
  <si>
    <t>Unable to login to MHCS</t>
  </si>
  <si>
    <t>Idmgt</t>
  </si>
  <si>
    <t>Altea</t>
  </si>
  <si>
    <t>INC2418652</t>
  </si>
  <si>
    <t>Decommissioned AWS Accounts Still Showing in CD for HUPA Requests</t>
  </si>
  <si>
    <t>INC2414227</t>
  </si>
  <si>
    <t>CM05VIEWONLY is not present at lss end</t>
  </si>
  <si>
    <t>SCTASK1163405</t>
  </si>
  <si>
    <t>Generic Request - please approve aprox 3600 system reviews for flight crew</t>
  </si>
  <si>
    <t>Systemaccessreview</t>
  </si>
  <si>
    <t>SCTASK1166998</t>
  </si>
  <si>
    <t>Generic Request - revoke uoibd02 access</t>
  </si>
  <si>
    <t>INC2432735</t>
  </si>
  <si>
    <t xml:space="preserve">User requested to reset the password for JFE </t>
  </si>
  <si>
    <t>INC2429888</t>
  </si>
  <si>
    <t>Pegasus issue with Nexus bookings</t>
  </si>
  <si>
    <t>INC2415370</t>
  </si>
  <si>
    <t>INC2434941</t>
  </si>
  <si>
    <t>Escalated P3 - Unable to login system</t>
  </si>
  <si>
    <t>SCTASK1158914</t>
  </si>
  <si>
    <t>Generic Request - During an audit it was found some leavers (internal transfers between OpCo) still had access to some systems for their previous role. I would like to know if the 'system access review' was generated for 'job move' as is standard and whether this went to the previous line manager or new line manager or both, and which user completed this access review. This is to identify the gap in the process because 'revoke' should have been selected for some access roles. The flight crew who have moved between companies are  222461, 182186, 201232, 220942, 229523. thanks</t>
  </si>
  <si>
    <t>SCTASK1170337</t>
  </si>
  <si>
    <t>SCTASK1160069</t>
  </si>
  <si>
    <t>Miscellaneous - Others/Generic</t>
  </si>
  <si>
    <t>user query</t>
  </si>
  <si>
    <t>Access issue</t>
  </si>
  <si>
    <t>verified user profile</t>
  </si>
  <si>
    <t>INC2422144</t>
  </si>
  <si>
    <t>Errors on CD requests stopping the revoke of user accounts. - Staff showing as EX</t>
  </si>
  <si>
    <t>Retried staff</t>
  </si>
  <si>
    <t>Moved to retried portal</t>
  </si>
  <si>
    <t>INC2423652</t>
  </si>
  <si>
    <t>YVR -- Samsic  -- Unable to access BA email</t>
  </si>
  <si>
    <t>SCTASK1164421</t>
  </si>
  <si>
    <t>SCTASK1166502</t>
  </si>
  <si>
    <t>Request for Third Party Access Agreement</t>
  </si>
  <si>
    <t>TPA</t>
  </si>
  <si>
    <t>SCTASK1166500</t>
  </si>
  <si>
    <t>SCTASK1168579</t>
  </si>
  <si>
    <t>Generic Request - Additions to monthly 0365 report</t>
  </si>
  <si>
    <t>Conf update</t>
  </si>
  <si>
    <t>SCTASK1163316</t>
  </si>
  <si>
    <t>Generic Request - Requesting visibility of IAG organisation structure (org chart / directory) beyond BA, to enable cross-OpCo collaboration. This includes IAG as well as IAG transformation (ex GBS)</t>
  </si>
  <si>
    <t>Porvisoned iag LAN and O365 access</t>
  </si>
  <si>
    <t>INC2425442</t>
  </si>
  <si>
    <t>Change associated e-mail</t>
  </si>
  <si>
    <t xml:space="preserve">Github </t>
  </si>
  <si>
    <t>Verifed access</t>
  </si>
  <si>
    <t>INC2418743</t>
  </si>
  <si>
    <t>Email Access for GHA staff</t>
  </si>
  <si>
    <t>INC2424508</t>
  </si>
  <si>
    <t>Jammy unable to connect since morning</t>
  </si>
  <si>
    <t>Jammy</t>
  </si>
  <si>
    <t>INC2430255</t>
  </si>
  <si>
    <t xml:space="preserve">Not able to access office 365 apps and cloudability application (Apptio) </t>
  </si>
  <si>
    <t>License verified</t>
  </si>
  <si>
    <t>SCTASK1166790</t>
  </si>
  <si>
    <t>IAGT O365 Miscellaneous – Others/Generic</t>
  </si>
  <si>
    <t>Mail address revoke issue</t>
  </si>
  <si>
    <t>INC2431247</t>
  </si>
  <si>
    <t>BA - KUL - not able to login system</t>
  </si>
  <si>
    <t>Profile enabled</t>
  </si>
  <si>
    <t>INC2432057</t>
  </si>
  <si>
    <t xml:space="preserve">BA-LHR-Office 365 access not reflected </t>
  </si>
  <si>
    <t>License assigned</t>
  </si>
  <si>
    <t>INC2430466</t>
  </si>
  <si>
    <t>BA-MAD-Unable to login to teams.</t>
  </si>
  <si>
    <t>Licenses assigned</t>
  </si>
  <si>
    <t>INC2433998</t>
  </si>
  <si>
    <t>Hi Team,
I am not able to access outlook since Monday , I recently migrated from IAGGBS to BA . I was able to access my BA mail id from past 4weeks with all the feature . Recently from monday i am not able to access.
Your assistance is much needed.
Thank you!</t>
  </si>
  <si>
    <t xml:space="preserve">CD request stuck </t>
  </si>
  <si>
    <t>INC2433124</t>
  </si>
  <si>
    <t>Notification email received for account being deleted</t>
  </si>
  <si>
    <t>Verified profile</t>
  </si>
  <si>
    <t>INC2414375</t>
  </si>
  <si>
    <t>Sharepoint/BAMC intranet issues</t>
  </si>
  <si>
    <t>INC2435429</t>
  </si>
  <si>
    <t>BA  -DEL - BSafe - User unable to login to the system.</t>
  </si>
  <si>
    <t>INC2435397</t>
  </si>
  <si>
    <t>BA-DEL-Login disabled</t>
  </si>
  <si>
    <t>password reset required</t>
  </si>
  <si>
    <t>INC2436820</t>
  </si>
  <si>
    <t>BA - MAA - user name was incorrect in CD</t>
  </si>
  <si>
    <t>mail address change</t>
  </si>
  <si>
    <t>SCTASK1172223</t>
  </si>
  <si>
    <t>Generic Request - Extract Email Data from pathway</t>
  </si>
  <si>
    <t>userlist</t>
  </si>
  <si>
    <t>INC2437390</t>
  </si>
  <si>
    <t>Microsoft Office Account is wrong profile</t>
  </si>
  <si>
    <t>License issue</t>
  </si>
  <si>
    <t>INC2399295</t>
  </si>
  <si>
    <t>BA-LHR   Profile need to remove from CD</t>
  </si>
  <si>
    <t>Alby Baiju</t>
  </si>
  <si>
    <t>SCTASK1159130</t>
  </si>
  <si>
    <t>Generic Request - Create a testbaplc user id</t>
  </si>
  <si>
    <t>INC2405489</t>
  </si>
  <si>
    <t>RETIRED STAFF- Ex employee still showing as serving</t>
  </si>
  <si>
    <t>INC2404719</t>
  </si>
  <si>
    <t>New Joiner Unable to Request Accesses in  Corporate Directory</t>
  </si>
  <si>
    <t>Have given required information.</t>
  </si>
  <si>
    <t>INC2404366</t>
  </si>
  <si>
    <t>LHR -- BA -- Retired Staff profile not removed.</t>
  </si>
  <si>
    <t xml:space="preserve">SCTASK1154467 </t>
  </si>
  <si>
    <t>Required action has been taken</t>
  </si>
  <si>
    <t>SCTASK1160390</t>
  </si>
  <si>
    <t xml:space="preserve">Generic Request - Test baplc account </t>
  </si>
  <si>
    <t>Created testbaplcs</t>
  </si>
  <si>
    <t>INC2406379</t>
  </si>
  <si>
    <t>Access issues</t>
  </si>
  <si>
    <t>Detail</t>
  </si>
  <si>
    <t>INC2407702</t>
  </si>
  <si>
    <t>error when trying to approve request for new securid</t>
  </si>
  <si>
    <t>Software error due to migration</t>
  </si>
  <si>
    <t>INC2407712</t>
  </si>
  <si>
    <t>Hi Team - can you please cancel the below CD requests as these cannot be cleared as we have the attached error, they are duplicates and access has already been actioned
20260324S6222888
20260324S3365353
20260324S1888673
thanks,
Software error:
No system data (form) for 20260324S6222888 at /ze/pathway/cgi-bin/pwRequests.pm line 2790.
pwRequests::advanceStep('request', 'Mozilla::LDAP::Entry=HASH(0x307bbe8)', 'status', 'Rejected') called at /ze/pathway/cgi-bin/pwSQUtil.pl line 1949
Please raise a fault to ITSC 24000, quoting the above error, and ask them to assign it to APPSUP_CRPDIR.</t>
  </si>
  <si>
    <t>INC2406105</t>
  </si>
  <si>
    <t>LHR  need to remove the profile from cd</t>
  </si>
  <si>
    <t>INC2410112</t>
  </si>
  <si>
    <t>POLA07-BA - CWL - O365 - Users email and username entered incorrectly in the O365 profile causing issues</t>
  </si>
  <si>
    <t>Verified and the issue is out of scope</t>
  </si>
  <si>
    <t>INC2407520</t>
  </si>
  <si>
    <t>Limited Access</t>
  </si>
  <si>
    <t>Accelerate</t>
  </si>
  <si>
    <t>Verifiying the required information</t>
  </si>
  <si>
    <t>INC2410215</t>
  </si>
  <si>
    <t>Wrong mobile number in my profile</t>
  </si>
  <si>
    <t>INC2409980</t>
  </si>
  <si>
    <t xml:space="preserve">Unable to access Operational Dashboard </t>
  </si>
  <si>
    <t>Ops Dash</t>
  </si>
  <si>
    <t>Verified the user is having access for the application</t>
  </si>
  <si>
    <t>INC2407289</t>
  </si>
  <si>
    <t xml:space="preserve">BA-LON-Unable to login tableau </t>
  </si>
  <si>
    <t>TABLEAU (prd)</t>
  </si>
  <si>
    <t>INC2410290</t>
  </si>
  <si>
    <t xml:space="preserve">Faulty Requests for approval in my System Access Service Queue </t>
  </si>
  <si>
    <t>SCTASK1162420</t>
  </si>
  <si>
    <t>Generic Request - Request to set up testbaplc.com email addresses f</t>
  </si>
  <si>
    <t>INC2383644</t>
  </si>
  <si>
    <t>Unitl to log in to iFlight (Gantt)</t>
  </si>
  <si>
    <t>iFlight Gantt Live</t>
  </si>
  <si>
    <t>SCTASK1160133</t>
  </si>
  <si>
    <t>Generic Request - New Testbaplc account required for training for the following users:- Olivia Stott-Briggs,  Nidhi Kukreja</t>
  </si>
  <si>
    <t>SCTASK1165228</t>
  </si>
  <si>
    <t>Generic Request - Create test accounts for training</t>
  </si>
  <si>
    <t>INC2414100</t>
  </si>
  <si>
    <t xml:space="preserve">LON-No system data (form) for 20260421S2963206 at /ze/pathway/cgi-bin/pwRequests.pm line 2790. </t>
  </si>
  <si>
    <t>SCTASK1161385</t>
  </si>
  <si>
    <t>Generic Request - Testbaplc account required for training</t>
  </si>
  <si>
    <t>INC2414613</t>
  </si>
  <si>
    <t>Corporate directory access from work laptop</t>
  </si>
  <si>
    <t>Securid</t>
  </si>
  <si>
    <t>Verified the user access and provided the passed to support team</t>
  </si>
  <si>
    <t>INC2416232</t>
  </si>
  <si>
    <t xml:space="preserve">POLA07-WTS-Unable to access staff travel portal </t>
  </si>
  <si>
    <t>Staff Travel</t>
  </si>
  <si>
    <t>Checkec the user profile SAF access and passed to respective support team</t>
  </si>
  <si>
    <t>INC2421147</t>
  </si>
  <si>
    <t>LON-Corporate directory login issue.</t>
  </si>
  <si>
    <t>Taking the required action for the Error ticket in user end</t>
  </si>
  <si>
    <t>SCTASK1167123</t>
  </si>
  <si>
    <t>Generic Request - Create users in UAT and please can they then be synced up to the Entra ID UAT tenant</t>
  </si>
  <si>
    <t>EntraID</t>
  </si>
  <si>
    <t>Created ENTRAID for migration</t>
  </si>
  <si>
    <t>SCTASK1167514</t>
  </si>
  <si>
    <t>Generic Request - Urgently require testbaplc account for the listed user and access to GECPAYMENT (UAT)</t>
  </si>
  <si>
    <t>SCTASK1161404</t>
  </si>
  <si>
    <t xml:space="preserve">Generic Request - Flight Crew New Joiner SlateDevice Bilk request provisioning </t>
  </si>
  <si>
    <t>Backfill</t>
  </si>
  <si>
    <t>Provided the bulk access to users via backfill process</t>
  </si>
  <si>
    <t>SCTASK1166083</t>
  </si>
  <si>
    <t>Generic Request - Revoking users AWS account from olympus</t>
  </si>
  <si>
    <t xml:space="preserve">Removed AWS accounts users in CD end </t>
  </si>
  <si>
    <t>SCTASK1164661</t>
  </si>
  <si>
    <t>Generic Request - Request to provide full Loads BA access for user u231269</t>
  </si>
  <si>
    <t xml:space="preserve">RevOpsLoads </t>
  </si>
  <si>
    <t>Verified the both users profile and informed to the users in CD end and passed to support team</t>
  </si>
  <si>
    <t>INC2413153</t>
  </si>
  <si>
    <t>Cannot approve request</t>
  </si>
  <si>
    <t>INC2415992</t>
  </si>
  <si>
    <t>Password reset on eLog iPads does not work due to Ping Authentication issue</t>
  </si>
  <si>
    <t>PingID</t>
  </si>
  <si>
    <t>PingID access issue verified and passed to support team</t>
  </si>
  <si>
    <t>INC2417748</t>
  </si>
  <si>
    <t xml:space="preserve">PYPT04 - Error 191 User not correctly configured </t>
  </si>
  <si>
    <t>CD request retry issue, requird action is done</t>
  </si>
  <si>
    <t>SCTASK1166489</t>
  </si>
  <si>
    <t>Verified the TPA and passed to support team</t>
  </si>
  <si>
    <t>SCTASK1162913</t>
  </si>
  <si>
    <t>SCTASK1166925</t>
  </si>
  <si>
    <t>Generic Request - Update on AVCD request at CD</t>
  </si>
  <si>
    <t>Notification content change to sending from CD, as per the user request</t>
  </si>
  <si>
    <t>SCTASK1166372</t>
  </si>
  <si>
    <t>Checked user ENTRAID access and passed to support team</t>
  </si>
  <si>
    <t>INC2423049</t>
  </si>
  <si>
    <t>Lost Access to Pay Portal</t>
  </si>
  <si>
    <t>MyView</t>
  </si>
  <si>
    <t>Flag value is missing the user profile, shared the steps for flag value</t>
  </si>
  <si>
    <t>SCTASK1169163</t>
  </si>
  <si>
    <t>Generic Request - Loads applicatation, create users in UAT and please can they then be synced up to the Entra ID UAT tenant</t>
  </si>
  <si>
    <t>SCTASK1170365</t>
  </si>
  <si>
    <t>Generic Request - HI Team, We are unable to login to BOD using dptest/Dynam1c credentials in both prelive and test environments. Please find the screenshots attached.</t>
  </si>
  <si>
    <t>Enabled user profile in CD UAT end</t>
  </si>
  <si>
    <t>SCTASK1169158</t>
  </si>
  <si>
    <t>Generic Request - Hi Team, My Amazon Q access has expired, please renew it. Thanks</t>
  </si>
  <si>
    <t>Verified the data and passed to support team</t>
  </si>
  <si>
    <t>INC2433249</t>
  </si>
  <si>
    <t>Corporate Directory not functioning correctly and not displaying names</t>
  </si>
  <si>
    <t>Shared the obpasswordchangeflag</t>
  </si>
  <si>
    <t>INC2434147</t>
  </si>
  <si>
    <t>BSAFE Password Reset is not getting synced to Corporate Directory</t>
  </si>
  <si>
    <t>INC2433866</t>
  </si>
  <si>
    <t>BA-LHR-Retired staff-Required to move profile</t>
  </si>
  <si>
    <t>Retired Staff</t>
  </si>
  <si>
    <t>Helped for user termination process</t>
  </si>
  <si>
    <t>INC2420267</t>
  </si>
  <si>
    <t>xRez not allowing me to log in/use</t>
  </si>
  <si>
    <t>CAPAGENTMF</t>
  </si>
  <si>
    <t>Verified the user access and provided the steps</t>
  </si>
  <si>
    <t>INC2436043</t>
  </si>
  <si>
    <t>LHR - retired staff profile issue</t>
  </si>
  <si>
    <t>INC2435486</t>
  </si>
  <si>
    <t xml:space="preserve">BA-LON-Duplicate profile for same user </t>
  </si>
  <si>
    <t>required action taken and the issue is resolved</t>
  </si>
  <si>
    <t>INC2434998</t>
  </si>
  <si>
    <t xml:space="preserve">BA - ATL - not able to access world tracer </t>
  </si>
  <si>
    <t>SITA WORLD TRACER</t>
  </si>
  <si>
    <t>Acknowlegded</t>
  </si>
  <si>
    <t>INC2424648</t>
  </si>
  <si>
    <t>Users Have Lost CD1-5 Sens Data</t>
  </si>
  <si>
    <t>SONIC</t>
  </si>
  <si>
    <t>We could see that user profiles were already refreshed from CD end.</t>
  </si>
  <si>
    <t>INC2417032</t>
  </si>
  <si>
    <t>BA - DEL - Pegasus Functionality issue</t>
  </si>
  <si>
    <t>INC2408194</t>
  </si>
  <si>
    <t>Locked Account</t>
  </si>
  <si>
    <t>The Show Altea page will be refreshed via daily feed from Amadeus. Please unlock the user profile at LSS and it will be reflected automatically in CD aftre the next batch run. Please utilize the LSS instead of the ShowAltea page for the current LSS data.</t>
  </si>
  <si>
    <t>INC2422179</t>
  </si>
  <si>
    <t>UNABLE TO OPEN ERROR LOG  '\\WE1QIK2PL06\QIKDATA\distrib\errors\BUHBAL277.log'.</t>
  </si>
  <si>
    <t>No response from user hence closing the ticket.</t>
  </si>
  <si>
    <t>INC2415709</t>
  </si>
  <si>
    <t>Unable to login JFE by single entry</t>
  </si>
  <si>
    <t>Provided FAQ to raise a request</t>
  </si>
  <si>
    <t>Verified the user profile is looking fine from CD end.</t>
  </si>
  <si>
    <t>INC2419526</t>
  </si>
  <si>
    <t xml:space="preserve">BA - YVR - users profile is not available in JFE </t>
  </si>
  <si>
    <t>INC2410833</t>
  </si>
  <si>
    <t>BATCH JOB - JOB FAILED - UZE9080</t>
  </si>
  <si>
    <t>Navaneeth Ashok</t>
  </si>
  <si>
    <t>Batch Job</t>
  </si>
  <si>
    <t>Verification Only</t>
  </si>
  <si>
    <t>User access Query</t>
  </si>
  <si>
    <t>required action taken and batch is running successfully.</t>
  </si>
  <si>
    <t>INC2410663</t>
  </si>
  <si>
    <t>BATCH JOB - JOB FAILED - UZE9096</t>
  </si>
  <si>
    <t>INC2412843</t>
  </si>
  <si>
    <t xml:space="preserve">BAEW : Cannot open e-mails </t>
  </si>
  <si>
    <t>deleted the mail address from user profile and provided faq link fir raising new mail address</t>
  </si>
  <si>
    <t>INC2399767</t>
  </si>
  <si>
    <t>Users in Netbrain Displaying N Number Instead of Name</t>
  </si>
  <si>
    <t>advised user's mail address has been updated in the user profile and triaged</t>
  </si>
  <si>
    <t>INC2425969</t>
  </si>
  <si>
    <t>BATCH JOB - JOB FAILED - UZE1015</t>
  </si>
  <si>
    <t>SCTASK1158698</t>
  </si>
  <si>
    <t>Amazon Q Developer access is needed</t>
  </si>
  <si>
    <t>User access</t>
  </si>
  <si>
    <t>provided steps for raising cd request</t>
  </si>
  <si>
    <t>SCTASK1163382</t>
  </si>
  <si>
    <t xml:space="preserve">Generic Request - I would really appreciate your guidance on the steps required to proceed with the upgrade (e.g. to E3/E5 or any alternative needed for Power Apps access). </t>
  </si>
  <si>
    <t>ProvGenID </t>
  </si>
  <si>
    <t>SCTASK1165150</t>
  </si>
  <si>
    <t>Generic Request - Amendment of Spotted Zebra Workflow</t>
  </si>
  <si>
    <t>Spotted Zebra</t>
  </si>
  <si>
    <t>SCTASK1167825</t>
  </si>
  <si>
    <t xml:space="preserve">Generic Request - CIBER access required for the user </t>
  </si>
  <si>
    <t xml:space="preserve">CIBER </t>
  </si>
  <si>
    <t>workaround solution</t>
  </si>
  <si>
    <t>backfill</t>
  </si>
  <si>
    <t>SCTASK1156501</t>
  </si>
  <si>
    <t>Generic Request - Add DETAIL Wearer role to EFCC bulk system access request</t>
  </si>
  <si>
    <t xml:space="preserve">EFCC </t>
  </si>
  <si>
    <t>have made the required changes in CD UAT and promoted to cd live</t>
  </si>
  <si>
    <t>SCTASK1159371</t>
  </si>
  <si>
    <t>Generic Request - APPSUP_CRPDIR to update email on Corporate Directory</t>
  </si>
  <si>
    <t>email has been updated as nicola.marshall@iagloyalty.com</t>
  </si>
  <si>
    <t>DETAIL Wearer</t>
  </si>
  <si>
    <t>made the required changes in CD UAT</t>
  </si>
  <si>
    <t>SCTASK1156816</t>
  </si>
  <si>
    <t>Generic Request - Create Maestro Login details for Anthony Lalande n560325</t>
  </si>
  <si>
    <t>MaestroCrew</t>
  </si>
  <si>
    <t>moved to respective team for further assistance</t>
  </si>
  <si>
    <t>INC2393512</t>
  </si>
  <si>
    <t>POLA07-ESSP07 - Access not granted as incorrect data in profile</t>
  </si>
  <si>
    <t xml:space="preserve">Cityflyer </t>
  </si>
  <si>
    <t>Have taken required action and moved to respective team</t>
  </si>
  <si>
    <t>INC2393687</t>
  </si>
  <si>
    <t>BA - BLR - Unable to sign in Laptop</t>
  </si>
  <si>
    <t>everything fine from our end, hence moved respective team</t>
  </si>
  <si>
    <t>INC2397656</t>
  </si>
  <si>
    <t>cannot login to my ESS home page via Microsoft edge</t>
  </si>
  <si>
    <t>SCTASK1160730</t>
  </si>
  <si>
    <t>Generic Request - Need answer to the queries</t>
  </si>
  <si>
    <t>provide the required information and closed the ticket</t>
  </si>
  <si>
    <t>unable to find the file details so moved to respective teama for correct role</t>
  </si>
  <si>
    <t>SCTASK1160971</t>
  </si>
  <si>
    <t>Generic Request - Revoke access to TableauCAHRAnalytics_Approvers and TableauCAHRAnalytics_Owners</t>
  </si>
  <si>
    <t>Tableau</t>
  </si>
  <si>
    <t>removed mentioned users from the approval groups</t>
  </si>
  <si>
    <t>SCTASK1162945</t>
  </si>
  <si>
    <t>Generic Request - RAS user role inquiry for 215080</t>
  </si>
  <si>
    <t xml:space="preserve">RAS </t>
  </si>
  <si>
    <t>INC2412799</t>
  </si>
  <si>
    <t>BA-GLA-Email-user want to change the email name</t>
  </si>
  <si>
    <t>provided the FAQ link for set ba email as primary email address in your user profile.</t>
  </si>
  <si>
    <t>Generic Request - I would really appreciate your guidance on the steps required to proceed with the upgrade (e.g. to E3/E5 or any alternative needed for Power Apps access).  Also, while we’re at it, could you please take a look at the following accounts as we are experiencing the same issue with them:   sid11084.sid11084@iairgroup.com – Pharma   sid11085.sid11085@iairgroup.com – Wooden Skids   sid11086.sid11086@iairgroup.com  – HR Performance   Please let me know if there’s anything needed from my side to move this forward.</t>
  </si>
  <si>
    <t>ownership changed and advised the user to raise a CD request for changing the SID password</t>
  </si>
  <si>
    <t>SCTASK1162574</t>
  </si>
  <si>
    <t>Generic Request - Generic Request - Add DETAIL Wearer role to EFCC bulk system access request</t>
  </si>
  <si>
    <t>made the required changes in CD live</t>
  </si>
  <si>
    <t>INC2410838</t>
  </si>
  <si>
    <t>Added the baconfirmed property into the user (u269657) profile</t>
  </si>
  <si>
    <t>INC2374775</t>
  </si>
  <si>
    <t>GGS-LHR-Need to change '' rodrigo.alvarenga@gatwickgroundservices.com''  email to BA email address</t>
  </si>
  <si>
    <t>verified that the new email address has been updated in CD</t>
  </si>
  <si>
    <t>INC2367599</t>
  </si>
  <si>
    <t>EWS Mail Issue</t>
  </si>
  <si>
    <t xml:space="preserve">As no response from user hence closing the ticket for  as we are unable to keep this incident open for an extended period. Accordingly, we will now proceed to close this ticket.
</t>
  </si>
  <si>
    <t>INC2384077</t>
  </si>
  <si>
    <t>Contractor unable to work — no mailbox or licence assigned; cannot access any BA systems</t>
  </si>
  <si>
    <t>UPN value is missing, hence need to sync it from respective team</t>
  </si>
  <si>
    <t>INC2390013</t>
  </si>
  <si>
    <t>Unable to access Power BI to view LM dashboard apps.  Power BI access granted via CD.</t>
  </si>
  <si>
    <t>POWERBI</t>
  </si>
  <si>
    <t>User confirmed that the issue i resolved</t>
  </si>
  <si>
    <t>SCTASK1155500</t>
  </si>
  <si>
    <t>CREWSTAR</t>
  </si>
  <si>
    <t>Provided FAQ to raise request</t>
  </si>
  <si>
    <t>INC2396387</t>
  </si>
  <si>
    <t>BA : WTS : Need access to important commercial information from users who left our US teams through consultation.</t>
  </si>
  <si>
    <t>as the user is not responding we are unable to keep this incident open for an extended period. Accordingly, we will now proceed to close this ticket.</t>
  </si>
  <si>
    <t>INC2398091</t>
  </si>
  <si>
    <t>I can't access Tableau online and I need access to a Tableau dashboard that I've been sent. Please arrange a Teams call as soon as possible to help me if you need remote access.</t>
  </si>
  <si>
    <t>IAGTableau</t>
  </si>
  <si>
    <t>Verified the user is having access for required application</t>
  </si>
  <si>
    <t>INC2394556</t>
  </si>
  <si>
    <t>UZE9063(le1pathwwp001.pathw-prd.int.iag.cloud) RUN=13 RC=107 - PLEASE INVESTIGATE</t>
  </si>
  <si>
    <t>Verified batch is running successfully</t>
  </si>
  <si>
    <t>INC2388596</t>
  </si>
  <si>
    <t>BATCH JOB - JOB FAILED - UZE9144</t>
  </si>
  <si>
    <t>INC2435539</t>
  </si>
  <si>
    <t>BA-GLA-CD request- EWS access</t>
  </si>
  <si>
    <t>Sreyas Jayakumar</t>
  </si>
  <si>
    <t>EWS</t>
  </si>
  <si>
    <t>Analysing on the issue.</t>
  </si>
  <si>
    <t>INC2434495</t>
  </si>
  <si>
    <t>BATCH JOB - JOB FAILED - UZE9006</t>
  </si>
  <si>
    <t>INC2431835</t>
  </si>
  <si>
    <t>BATCH JOB - JOB FAILED - UZE9028</t>
  </si>
  <si>
    <t>INC2437020</t>
  </si>
  <si>
    <t>BATCH JOB - JOB FAILED - UZE9064</t>
  </si>
  <si>
    <t>INC2431359</t>
  </si>
  <si>
    <t>BATCH JOB - JOB FAILED - UZE9086</t>
  </si>
  <si>
    <t>INC2408059</t>
  </si>
  <si>
    <t>BATCH JOB - JOB FAILED - UZE9136</t>
  </si>
  <si>
    <t>INC2432678</t>
  </si>
  <si>
    <t>BATCH JOB - JOB FAILED - UZE9162</t>
  </si>
  <si>
    <t>INC2433368</t>
  </si>
  <si>
    <t>BATCH JOB - JOB FAILED -UZE9153</t>
  </si>
  <si>
    <t>INC2429385</t>
  </si>
  <si>
    <t>LHR -- BA -- CD profile show as "disabled".</t>
  </si>
  <si>
    <t>Verification</t>
  </si>
  <si>
    <t xml:space="preserve">checked your CD profile and could see that your system access review is pending. </t>
  </si>
  <si>
    <t>INC2414111</t>
  </si>
  <si>
    <t>The Annual Corporate Directory "System Access Review" is not being sent to the manager, only the user</t>
  </si>
  <si>
    <t>informed user as we have raised firewall with SMTP relay, but we are still not able to establish a connectivity from Pathway to SMTP ECP servers.</t>
  </si>
  <si>
    <t>INC2437668</t>
  </si>
  <si>
    <t xml:space="preserve">Request to reset the password </t>
  </si>
  <si>
    <t>Password issue</t>
  </si>
  <si>
    <t>INC2433222</t>
  </si>
  <si>
    <t>Batch job</t>
  </si>
  <si>
    <t>bcdrtool application decommisioned</t>
  </si>
  <si>
    <t>INC2437686</t>
  </si>
  <si>
    <t>BA-LHR-O365 License- Onedrive Storage</t>
  </si>
  <si>
    <t>license change</t>
  </si>
  <si>
    <t>INC2438324</t>
  </si>
  <si>
    <t>BA-LHR-On Microsoft outlook and teams it has my old work number 07900708718 this need to be changed to my new work mobile that is 07825562088</t>
  </si>
  <si>
    <t>Mobile number update</t>
  </si>
  <si>
    <t>INC2444643</t>
  </si>
  <si>
    <t>AIRC07 - Invalid email addresses identified in daily feed files from CD to AIR</t>
  </si>
  <si>
    <t>profile update</t>
  </si>
  <si>
    <t>INC2445681</t>
  </si>
  <si>
    <t>Changed email still showing as both new and old email</t>
  </si>
  <si>
    <t>INC2446746</t>
  </si>
  <si>
    <t>Incorrect email address in Corporate Directory</t>
  </si>
  <si>
    <t>INC2444705</t>
  </si>
  <si>
    <t>User moved from UK Domain to BAH, there doesnt seem to be a Corp Directory process any more</t>
  </si>
  <si>
    <t>Profile corrupted</t>
  </si>
  <si>
    <t>SCTASK1173801</t>
  </si>
  <si>
    <t>Generic Request - Change display name in Teams as it is currently all lower case instead of capital letters for first initials. It currently shows daniel walker where as it should show Daniel Walker. Thank you</t>
  </si>
  <si>
    <t>Display name update</t>
  </si>
  <si>
    <t>SCTASK1172385</t>
  </si>
  <si>
    <t>Generic Request - LAN owner and access</t>
  </si>
  <si>
    <t>AD LAN</t>
  </si>
  <si>
    <t>Provisioned LAN share access</t>
  </si>
  <si>
    <t>SCTASK1174761</t>
  </si>
  <si>
    <t>Generic Request -  It seems the users expiry dates are being changed suspending their accounts and have to be manually reset - Please see attached mail trail</t>
  </si>
  <si>
    <t>enabled adid and O365</t>
  </si>
  <si>
    <t>INC2446180</t>
  </si>
  <si>
    <t>inbox full</t>
  </si>
  <si>
    <t>No action takne</t>
  </si>
  <si>
    <t>SCTASK1175998</t>
  </si>
  <si>
    <t>Request to provide Application Access</t>
  </si>
  <si>
    <t>verified application access</t>
  </si>
  <si>
    <t>SCTASK1175990</t>
  </si>
  <si>
    <t>SCTASK1175157</t>
  </si>
  <si>
    <t>Generic Request - I am unable to request equipment or system access for a new joiner due to LDAP migration issue.  New joiner is in USA on 15 June 2026.</t>
  </si>
  <si>
    <t>SCTASK1176597</t>
  </si>
  <si>
    <t>Personal Mailbox - Email Restoration/PST Export</t>
  </si>
  <si>
    <t>UPN value updated</t>
  </si>
  <si>
    <t>SCTASK1177665</t>
  </si>
  <si>
    <t>Generic Request - Change last name on my BA email address/account</t>
  </si>
  <si>
    <t>INC2452227</t>
  </si>
  <si>
    <t>I am unable to connect to any URL(public or internal) when vpn is connected</t>
  </si>
  <si>
    <t>Internet</t>
  </si>
  <si>
    <t xml:space="preserve">Access verified </t>
  </si>
  <si>
    <t>INC2449608</t>
  </si>
  <si>
    <t xml:space="preserve"> display name mismatch</t>
  </si>
  <si>
    <t>mail address and display name updated</t>
  </si>
  <si>
    <t>INC2451459</t>
  </si>
  <si>
    <t xml:space="preserve">Old name still present on the system and email . My new name has not been updated </t>
  </si>
  <si>
    <t>Mail address updated</t>
  </si>
  <si>
    <t>SCTASK1178247</t>
  </si>
  <si>
    <t>Generic Request - OLD Staff No:u182277 NEW Staff No: U270339          user migrated from BA to cargo contract kindly possible AD group access of old account to be added to new account the same</t>
  </si>
  <si>
    <t>BA to IAGcargo migration</t>
  </si>
  <si>
    <t>SCTASK1178263</t>
  </si>
  <si>
    <t>Generic Request - old staff nº u137894 new staff nº u270341        user migrated from BA to cargo contract kindly possible AD group access of old account to be added to new account the same</t>
  </si>
  <si>
    <t>SCTASK1178268</t>
  </si>
  <si>
    <t xml:space="preserve">Generic Request - Old staff nº u193853 new staff nº u270342         users migrating from BA to cargo contract. users email and possible share point and one drive data needs to be migrated from old to new account. </t>
  </si>
  <si>
    <t>SCTASK1178267</t>
  </si>
  <si>
    <t>Generic Request - old staff nº u879338 new staff nº u270316   user migrated from BA to cargo contract kindly possible AD group access of old account to be added to new account the same</t>
  </si>
  <si>
    <t>SCTASK1178284</t>
  </si>
  <si>
    <t>Generic Request - old staff nºu165250 new staff nºu270344     user migrated from BA to cargo contract kindly possible AD group access of old account to be added to new account the same</t>
  </si>
  <si>
    <t>SCTASK1178271</t>
  </si>
  <si>
    <t>Generic Request - old staff nºu193853 new staff nºu270342       user migrated from BA to cargo contract kindly possible AD group access of old account to be added to new account the same</t>
  </si>
  <si>
    <t>SCTASK1178733</t>
  </si>
  <si>
    <t>Generic Request - 7 new user creation which moving from BA contract to IAGCargo contract</t>
  </si>
  <si>
    <t>INC2452177</t>
  </si>
  <si>
    <t>GLA- BA- NEED EMAIL</t>
  </si>
  <si>
    <t>SCTASK1174963</t>
  </si>
  <si>
    <t>INC2446010</t>
  </si>
  <si>
    <t>BA-LHR-O365-Microsoft Account login issue</t>
  </si>
  <si>
    <t>INC2461567</t>
  </si>
  <si>
    <t xml:space="preserve">u248720 - unable to approve / reject any requests within Corporate Directory
login and press approve / reject however this does not approve or reject the request, have tried on Edge and Chrome and on/off VPN wih no change
example request to approve 20260602S6419304
example request to reject 20260610S4455766 </t>
  </si>
  <si>
    <t>software error</t>
  </si>
  <si>
    <t>INC2456144</t>
  </si>
  <si>
    <t>The products we found in your account cannot be used to activate Office in shared computer scenarios.  Error Code: 0x80004005 Correlation Id: {68672C73-FFD1-40E2-8418-691061FE7F6B}</t>
  </si>
  <si>
    <t>licenses update</t>
  </si>
  <si>
    <t>INC2455963</t>
  </si>
  <si>
    <t>My Surnam needs to be changed to Gorwara. Not Wadhwa</t>
  </si>
  <si>
    <t>SCTASK1179293</t>
  </si>
  <si>
    <t>waiting for user staff number</t>
  </si>
  <si>
    <t>INC2460668</t>
  </si>
  <si>
    <t>I am not able use BA Nexus Slack</t>
  </si>
  <si>
    <t>Slack</t>
  </si>
  <si>
    <t>providied applicaition access</t>
  </si>
  <si>
    <t>INC2461451</t>
  </si>
  <si>
    <t>BA- LHR-  PROFILE NAME ISSUE</t>
  </si>
  <si>
    <t>INC2460592</t>
  </si>
  <si>
    <t>JFK-CD-I have access to Corporate Directory but I'm unable to give access to my staff</t>
  </si>
  <si>
    <t>INC2460062</t>
  </si>
  <si>
    <t>WTS-CD-Users unable to access most of the Corporate Directory services</t>
  </si>
  <si>
    <t>Resource approval</t>
  </si>
  <si>
    <t>INC2455500</t>
  </si>
  <si>
    <t>MHCS Alarm list Password reset request</t>
  </si>
  <si>
    <t>INC2461667</t>
  </si>
  <si>
    <t>Wrong email domain set up in staff profile</t>
  </si>
  <si>
    <t>Mail address change</t>
  </si>
  <si>
    <t>SCTASK1182231</t>
  </si>
  <si>
    <t>Generic Request - Generic account (usairway) - Change owner</t>
  </si>
  <si>
    <t>Linux account ownership change</t>
  </si>
  <si>
    <t>SCTASK1182083</t>
  </si>
  <si>
    <t>Mail address creeation</t>
  </si>
  <si>
    <t>SCTASK1175509</t>
  </si>
  <si>
    <t>Generic Request - Need access corporate directory pathway queue “SUPCAD” and “NASADMIN” groups for the CDAPPSMAINT group.</t>
  </si>
  <si>
    <t>Required details has been shared over mail.</t>
  </si>
  <si>
    <t>SCTASK1181027</t>
  </si>
  <si>
    <t>Generic Request - Become a member of the "SUPCAD" and "NASADMIN" groups in Pathway (Corp.Dir.) (For example, SCTASK0112999</t>
  </si>
  <si>
    <t>Required information is provided</t>
  </si>
  <si>
    <t>INC2458390</t>
  </si>
  <si>
    <t>BA - LHR - O365 - User cant able to login to email it not working.</t>
  </si>
  <si>
    <t>confirm that the user's email address has been updated and is now reflected in their user profile.</t>
  </si>
  <si>
    <t>INC2457779</t>
  </si>
  <si>
    <t>CD doesnt let me modify an app that I own</t>
  </si>
  <si>
    <t>INC2459913</t>
  </si>
  <si>
    <t>New joiner email address and O365 name</t>
  </si>
  <si>
    <t>Required information is provided via teams</t>
  </si>
  <si>
    <t>INC2460450</t>
  </si>
  <si>
    <t>Unable to approve tickets in Corporate directory</t>
  </si>
  <si>
    <t>INC2457164</t>
  </si>
  <si>
    <t>UZE9153(le1pathwwp001.pathw-prd.int.iag.cloud) RUN=1 RC=255 - PLEASE INVESTIGATE</t>
  </si>
  <si>
    <t>As requested closed the ticket</t>
  </si>
  <si>
    <t>INC2459645</t>
  </si>
  <si>
    <t>I need my accesses under n547783 to be tfr to u270217</t>
  </si>
  <si>
    <t>SCTASK1179113</t>
  </si>
  <si>
    <t xml:space="preserve">Generic Request - REQUIRE ACCESS TO THE MANAGEMENT OF WDC/AIAB USERNAME - PASSOWORD LINK. TAKING OVER MY COLLUEGUE MANIL VITHLANI. THEREFORE REQUIRE ACCESS TO THIS LINK TO RESET PASSWORDS QUATERLY </t>
  </si>
  <si>
    <t>SCTASK1179480</t>
  </si>
  <si>
    <t>Generic Request - To get the count of users using the mentioned applications</t>
  </si>
  <si>
    <t>INC2403887</t>
  </si>
  <si>
    <t>BA - LHR - Tableu - User is unable to login Tableu.</t>
  </si>
  <si>
    <t>Verified user has already raised a request</t>
  </si>
  <si>
    <t>INC2402680</t>
  </si>
  <si>
    <t>Batch Jobs</t>
  </si>
  <si>
    <t>Batch running successfully.</t>
  </si>
  <si>
    <t>INC2403668</t>
  </si>
  <si>
    <t>BATCH JOB - JOB FAILED - UZE9159</t>
  </si>
  <si>
    <t>INC2409760</t>
  </si>
  <si>
    <t>INC2407466</t>
  </si>
  <si>
    <t>Subject: Unable to log in to BA account — account appears locked (password/expiration)</t>
  </si>
  <si>
    <t>Verified user profile is looking fine from CD end.</t>
  </si>
  <si>
    <t>INC2414124</t>
  </si>
  <si>
    <t>New Booking Browser</t>
  </si>
  <si>
    <t xml:space="preserve">ODSBB </t>
  </si>
  <si>
    <t xml:space="preserve">Advised to raise a new request </t>
  </si>
  <si>
    <t>INC2413237</t>
  </si>
  <si>
    <t>BATCH JOB - JOB FAILED - UZE9137</t>
  </si>
  <si>
    <t>INC2385924</t>
  </si>
  <si>
    <t>ARCU04 - SSO Issue - Unable to login to the application as SSO is preventing to login</t>
  </si>
  <si>
    <t>eArcuAdmin</t>
  </si>
  <si>
    <t>Required Information is provided</t>
  </si>
  <si>
    <t>INC2418178</t>
  </si>
  <si>
    <t>INC2430343</t>
  </si>
  <si>
    <t>INC2420608</t>
  </si>
  <si>
    <t>Unable to login into any of the CMH UAT servers via the user id n521401</t>
  </si>
  <si>
    <t>Passed to the respective team</t>
  </si>
  <si>
    <t>INC2433393</t>
  </si>
  <si>
    <t>INC2450435</t>
  </si>
  <si>
    <t xml:space="preserve">corpdir roles - auto provisioning issue </t>
  </si>
  <si>
    <t>ESP</t>
  </si>
  <si>
    <t>SCTASK1155440</t>
  </si>
  <si>
    <t xml:space="preserve">Generic Request - Please confirm which of the Application Roles in the attached spreadsheet have the Entra BAU Team Approval steps attached to the existing approval workflow. </t>
  </si>
  <si>
    <t>FOM</t>
  </si>
  <si>
    <t>As discussed, thank you for sharing the approval. As per your request, the requested application has been migrated to ENTRA BAU in the CD environment.</t>
  </si>
  <si>
    <t>SCTASK1158716</t>
  </si>
  <si>
    <t>AirVision</t>
  </si>
  <si>
    <t>The endpoints mentioned are out of scope of CD.
We are passing the ticket to respective support team for further assistance.</t>
  </si>
  <si>
    <t>SCTASK1157944</t>
  </si>
  <si>
    <t>Generic Request - Attn: APPSUPP_CRPDIR. Request to create record in BA Entra Test Instance</t>
  </si>
  <si>
    <t>Created testbaplc</t>
  </si>
  <si>
    <t>SCTASK1157441</t>
  </si>
  <si>
    <t>Generic Request - GitHub EMU, CD team to add the additional approval step “Entra BAU team approval” in addition to the existing CD workflow approval. This maps to the Entra Application GitHub Enterprise Managed User (OIDC) in the production tenant.</t>
  </si>
  <si>
    <t xml:space="preserve">GitHub </t>
  </si>
  <si>
    <t>SCTASK1162954</t>
  </si>
  <si>
    <t>Generic Request - Need developer access for Software installation, setup environment variables and extended version for java and its dependencies.</t>
  </si>
  <si>
    <t>This is out of scope of CD.
Kindly pass the ticket to respective support team for further assistance.</t>
  </si>
  <si>
    <t>SCTASK1155274</t>
  </si>
  <si>
    <t>Generic Request - FAO APPSUP_CRPDIR team please investigate missing users in the list of users exported from corporate directory</t>
  </si>
  <si>
    <t>Taken necessary action from CD end</t>
  </si>
  <si>
    <t>SCTASK1163610</t>
  </si>
  <si>
    <t xml:space="preserve">Generic Request - 1) On my ESS, I do not have 'My sickness absence' quick link within 'Personal Admin'. 2) My colleague has provided me the link https://auprd.baplc.com/absencemanagement/faces/common/welcome.jspx, but I am not able to use it after log in, there's no links to declare sickness etc. </t>
  </si>
  <si>
    <t xml:space="preserve">MyAbsence </t>
  </si>
  <si>
    <t>SCTASK1160073</t>
  </si>
  <si>
    <t>Generic Request - Please pass this request to APPSUP_CRPDIR group. Please get the attached list of external users bulk loaded to EntraIAG Cargo tenant and share the auto generated credentials for each.</t>
  </si>
  <si>
    <t xml:space="preserve">IAGCExternalUser </t>
  </si>
  <si>
    <t>SCTASK1166089</t>
  </si>
  <si>
    <t>Generic Request - Update to the CodeScene CD groups for SailPoint prep - Group change &amp; backfill required</t>
  </si>
  <si>
    <t xml:space="preserve">CodeScene </t>
  </si>
  <si>
    <t>SCTASK1167462</t>
  </si>
  <si>
    <t>Generic Request - Group Information Required</t>
  </si>
  <si>
    <t>SCTASK1169038</t>
  </si>
  <si>
    <t>Generic Request - Please can the attached  banner be posted on the application site for CodeScene BA-ENT, please see attached Document</t>
  </si>
  <si>
    <t>SCTASK1169031</t>
  </si>
  <si>
    <t>Generic Request - Please can the attached  banner be posted on the application site for Figma, please see attached Banner</t>
  </si>
  <si>
    <t>Figma</t>
  </si>
  <si>
    <t>SCTASK1169043</t>
  </si>
  <si>
    <t>Generic Request - Please can the attached  banner be posted on the application site for CodeScene BAPLC, please see attached Document</t>
  </si>
  <si>
    <t xml:space="preserve"> CodeScene BAPLC</t>
  </si>
  <si>
    <t>SCTASK1169035</t>
  </si>
  <si>
    <t>Generic Request -  Please can the attached  banner be posted on the application site for Nexus Prod AWS Identity Centre,  please see document</t>
  </si>
  <si>
    <t xml:space="preserve">Nexus </t>
  </si>
  <si>
    <t>SCTASK1164551</t>
  </si>
  <si>
    <t>Generic Request - I'm unable to raise a SailPoint request for a team member</t>
  </si>
  <si>
    <t>We are passing the ticket to support team for further assistance.</t>
  </si>
  <si>
    <t>SCTASK1171220</t>
  </si>
  <si>
    <t>Generic Request - Hi, I have recently moved to a permanent position at Waterside, located in AFRICA 2A. When I try to book a room in this building, I receive an error or failed message. Could you please help me resolve this? Also, I am no longer in TBC, but the form still lists me under that location and I am not able to amend it either. Could you assist me in updating this as well? Thank you.</t>
  </si>
  <si>
    <t>INC2475660</t>
  </si>
  <si>
    <t>PGSS-7-User gaurav.yadav@ba.com unable to log into Pegasus due to invalid office ASP10001 error</t>
  </si>
  <si>
    <t xml:space="preserve">PATHWAY </t>
  </si>
  <si>
    <t>We have refreshed the user profile from CD</t>
  </si>
  <si>
    <t>PGSS-4 Staff is able to login on Pegasus but while not able to go on Bypass</t>
  </si>
  <si>
    <t>We have checked and found that there is no recent chnage happened to the user profile in CD end. USer profile and access looks fine from CD end.</t>
  </si>
  <si>
    <t>INC2463944</t>
  </si>
  <si>
    <t>PGSS-23-DEL- pegasus issue</t>
  </si>
  <si>
    <t xml:space="preserve">We could see that your proifile has 3 consecutive failed login attempts. </t>
  </si>
  <si>
    <t>INC2465658</t>
  </si>
  <si>
    <t xml:space="preserve">PGSS-7-staff already reset the pwd still not able to log into Qik </t>
  </si>
  <si>
    <t>We could see that the user bsaf is not disabled and profile looks fine from CD end.</t>
  </si>
  <si>
    <t>ALTEA</t>
  </si>
  <si>
    <t>Kindly advise user to raise the copyZ request in CD live for test sonic profile creation in PDT.</t>
  </si>
  <si>
    <t>INC2439015</t>
  </si>
  <si>
    <t>BA-DEL- Unable to Login ESS, Pegasus</t>
  </si>
  <si>
    <t>INC2439099</t>
  </si>
  <si>
    <t>PGSS-7 IAGL - REG - user changed his password everything ele is working but user cant log into pegasus</t>
  </si>
  <si>
    <t>INC2428125</t>
  </si>
  <si>
    <t>SCTASK1173798</t>
  </si>
  <si>
    <t>Generic Request - Need access to ATLAN to complete role of data &amp; ai gov exec starting on 15th June under Carolyn Fernandes</t>
  </si>
  <si>
    <t>INC2440926</t>
  </si>
  <si>
    <t>User kaiden.hilditch@ba.com unable to jump to certain OIDs</t>
  </si>
  <si>
    <t>INC2440956</t>
  </si>
  <si>
    <t>INC2443154</t>
  </si>
  <si>
    <t xml:space="preserve">PGSS-7 Corrupt Pegasus log on Please direct to CD team (APPSUP_CRPDIR) </t>
  </si>
  <si>
    <t xml:space="preserve"> verified he user profile and pegasus access from CD. Everything seems to be fine from CD end</t>
  </si>
  <si>
    <t xml:space="preserve">This is not a CD error. Please check with SIP team </t>
  </si>
  <si>
    <t>Please get the logs from application and share to SIP Support Team</t>
  </si>
  <si>
    <t>INC2454726</t>
  </si>
  <si>
    <t>Pegasus issues for Alina Baditoiu - n535466</t>
  </si>
  <si>
    <t>JFE CUSTOMER MANAGEMENT CM</t>
  </si>
  <si>
    <t>We could see that the CD request has closed and requested access has been provisioned to uer.</t>
  </si>
  <si>
    <t>INC2455588</t>
  </si>
  <si>
    <t>Users have lost card view access</t>
  </si>
  <si>
    <t>INC2457684</t>
  </si>
  <si>
    <t xml:space="preserve">BA - LGW  - JFE - User need a temporary password in JFE.But user have no profile in JFE to reset. </t>
  </si>
  <si>
    <t>We could see that CD request has closed and requested access has been provisioned</t>
  </si>
  <si>
    <t>INC2440864</t>
  </si>
  <si>
    <t>Not able to access AWS Olympus accounts,</t>
  </si>
  <si>
    <t>Olympus</t>
  </si>
  <si>
    <t>Verified user is having the access.</t>
  </si>
  <si>
    <t>BEINGYOURBEST</t>
  </si>
  <si>
    <t>INC2433566</t>
  </si>
  <si>
    <t>BA - LON - User cannot able to access the Verint Portal</t>
  </si>
  <si>
    <t>Verint QM</t>
  </si>
  <si>
    <t>As the issue is resolved hence closed the ticket</t>
  </si>
  <si>
    <t>INC2441021</t>
  </si>
  <si>
    <t>IAGC-LHR-TrackCargo Login issue</t>
  </si>
  <si>
    <t>TrackCargo</t>
  </si>
  <si>
    <t>INC2437369</t>
  </si>
  <si>
    <t>AcceleRate - log in issue</t>
  </si>
  <si>
    <t>INC2452152</t>
  </si>
  <si>
    <t>I cannot access mybaplc 401 Unauthorized but I have my credentials updated</t>
  </si>
  <si>
    <t>ESS</t>
  </si>
  <si>
    <t>INC2434155</t>
  </si>
  <si>
    <t>BA - LHR - User cannot able to access the ESS account</t>
  </si>
  <si>
    <t>INC2454720</t>
  </si>
  <si>
    <t>System access for remaining after all accesses are revoked.</t>
  </si>
  <si>
    <t>INC2452853</t>
  </si>
  <si>
    <t>My service now line management and job title are not up to date and are the same as when I joined the company</t>
  </si>
  <si>
    <t>INC2452957</t>
  </si>
  <si>
    <t>NCL : error message when trying to revoke 2 x system access requests in CD 20260309S1907625 and 20260408S6031554</t>
  </si>
  <si>
    <t>INC2453703</t>
  </si>
  <si>
    <t>Please queue to APPSUP_CRPDIR     "Software error" when approving a data access request</t>
  </si>
  <si>
    <t>INC2453565</t>
  </si>
  <si>
    <t xml:space="preserve">We are unable to open the corporate directory page slwness </t>
  </si>
  <si>
    <t>Passed to respective team</t>
  </si>
  <si>
    <t>INC2454568</t>
  </si>
  <si>
    <t>DEL : Unable to approve the access requests</t>
  </si>
  <si>
    <t>INC2440487</t>
  </si>
  <si>
    <t>Salesforce (KIT )issue</t>
  </si>
  <si>
    <t>RSA SecurID</t>
  </si>
  <si>
    <t>INC2456459</t>
  </si>
  <si>
    <t>WTS : CD cannot delete old tickets</t>
  </si>
  <si>
    <t>INC2456524</t>
  </si>
  <si>
    <t>WTS : Error when approving request on corporate directory</t>
  </si>
  <si>
    <t>INC2455753</t>
  </si>
  <si>
    <t>Corporate Directory unable to approve/manage access requests</t>
  </si>
  <si>
    <t>INC2455450</t>
  </si>
  <si>
    <t>Internet Proxy Access - Granted but not working</t>
  </si>
  <si>
    <t>INC2458551</t>
  </si>
  <si>
    <t xml:space="preserve">Access Issue </t>
  </si>
  <si>
    <t>INC2462585</t>
  </si>
  <si>
    <t>Cannot Login to Descartes Airmon</t>
  </si>
  <si>
    <t>Descarates</t>
  </si>
  <si>
    <t>INC2463059</t>
  </si>
  <si>
    <t>BA-WTS-PROFILE STILL IN CD</t>
  </si>
  <si>
    <t>Retired User</t>
  </si>
  <si>
    <t>INC2467210</t>
  </si>
  <si>
    <t xml:space="preserve">Request 20260420S9287459 to extend access to SecurID for Jennifer Lau (n555626) </t>
  </si>
  <si>
    <t>SecuID</t>
  </si>
  <si>
    <t>INC2450354</t>
  </si>
  <si>
    <t>POLA07-LON- user cannot able to see Pay Portal when he logs on to ESS on BA Pensions network. It does work on the BA network</t>
  </si>
  <si>
    <t>PayPortal</t>
  </si>
  <si>
    <t>INC2446192</t>
  </si>
  <si>
    <t>POLA07-Unable to access the application</t>
  </si>
  <si>
    <t>NGRM</t>
  </si>
  <si>
    <t>INC2473937</t>
  </si>
  <si>
    <t xml:space="preserve">BA-LHR-unable to access maestrocrew </t>
  </si>
  <si>
    <t>MAESTRO CREW</t>
  </si>
  <si>
    <t>INC2453763</t>
  </si>
  <si>
    <t>BA - LHR - ServiceNow - User unable login to servicenow.</t>
  </si>
  <si>
    <t>DNpwRest</t>
  </si>
  <si>
    <t>INC2475906</t>
  </si>
  <si>
    <t>Cannot change OAW Password</t>
  </si>
  <si>
    <t>DBpwdReset</t>
  </si>
  <si>
    <t>INC2468614</t>
  </si>
  <si>
    <t>While requesting for DATADOG CD request duplicate got created and im not able to delete the duplicate</t>
  </si>
  <si>
    <t xml:space="preserve">DATADOG </t>
  </si>
  <si>
    <t>INC2475622</t>
  </si>
  <si>
    <t xml:space="preserve">Need access for Accelerate </t>
  </si>
  <si>
    <t>INC2480628</t>
  </si>
  <si>
    <t>BA - LHR - ESS - Job search function shortcut missing in the ESS page</t>
  </si>
  <si>
    <t>INC2468639</t>
  </si>
  <si>
    <t>BA-- KOC-- Line manger cant able to approve the access</t>
  </si>
  <si>
    <t>INC2477648</t>
  </si>
  <si>
    <t>BA-LON-CD request-unable to approve 20260623S9952039</t>
  </si>
  <si>
    <t>SCTASK1174966</t>
  </si>
  <si>
    <t xml:space="preserve">Generic Request - I have pending requests for MPILOT for a member of my team but when I click approve I get a Software error and a request to raise a fault. </t>
  </si>
  <si>
    <t>SCTASK1172224</t>
  </si>
  <si>
    <t>Generic Request - Request to provide the SID604 role in Prod and UAT</t>
  </si>
  <si>
    <t>SCTASK1178175</t>
  </si>
  <si>
    <t>Generic Request - Generic Request - Can you please create a few test users named swiiprautomation*@testbaplc domain? the roles would be for Swiipr application as Duty manager, customer service agent 1,2,3, airport manager etc. MFA must be disabled for these service accounts.</t>
  </si>
  <si>
    <t>Created testbaplc in UAT</t>
  </si>
  <si>
    <t>SCTASK1178200</t>
  </si>
  <si>
    <t>Generic Request - Need Testbaplc accounts for BA Entra ID Migration</t>
  </si>
  <si>
    <t>SCTASK1178739</t>
  </si>
  <si>
    <t>Generic Request - need bapalc test account for the below associate : Arya.mathew@ba.com(n561555)</t>
  </si>
  <si>
    <t>SCTASK1177378</t>
  </si>
  <si>
    <t>Generic Request - FAULT:  APMMGZE when periodically reviewing access to MSDomain_Claim</t>
  </si>
  <si>
    <t>MSDomain_Claim</t>
  </si>
  <si>
    <t>Verified the application is looking fine from CD end.</t>
  </si>
  <si>
    <t>SCTASK1162967</t>
  </si>
  <si>
    <t>Generic Request - Please give access to KIT for Yasmin Davies</t>
  </si>
  <si>
    <t xml:space="preserve">KIT </t>
  </si>
  <si>
    <t>SCTASK1181283</t>
  </si>
  <si>
    <t xml:space="preserve">Generic Request - Please create the following test user accounts in the UAT Entra tenant : testbaplc.com </t>
  </si>
  <si>
    <t>SCTASK1179796</t>
  </si>
  <si>
    <t xml:space="preserve">Generic Request - Kindly help with latest NID revocation status </t>
  </si>
  <si>
    <t>Waiting for user confirmation</t>
  </si>
  <si>
    <t>SCTASK1179744</t>
  </si>
  <si>
    <t>Generic Request -  To get the count of users using the mentioned applications</t>
  </si>
  <si>
    <t>SCTASK1184578</t>
  </si>
  <si>
    <t>Generic Request - Software error ITSC 24000 - assign to APPSUP_CRPDIR</t>
  </si>
  <si>
    <t>SCTASK1184843</t>
  </si>
  <si>
    <t>Generic Request - Could you please set Deb Saha (n527400) on the Test AD domain.  His test account is deb.saha@testbaplc.com.  Could you add him to this domain and email him his password to deb.saha@ba.com.   Please pass to BA_Cyberops_AD queue.</t>
  </si>
  <si>
    <t>SCTASK1185330</t>
  </si>
  <si>
    <t>Generic Request - Creation of Testbaplc account fot logging to Genesys Cloud and Verint    User ID: colin.m.evered@ba.com</t>
  </si>
  <si>
    <t>SCTASK1183209</t>
  </si>
  <si>
    <t>This service catalog can be used to return the  IT equipments.</t>
  </si>
  <si>
    <t>SCTASK1182051</t>
  </si>
  <si>
    <t xml:space="preserve">Generic Request - Request conversocial access </t>
  </si>
  <si>
    <t>Conversocial</t>
  </si>
  <si>
    <t>SCTASK1179994</t>
  </si>
  <si>
    <t>Generic Request - Please add below new team members in ""imdd_mgsvdba""  CD group.  Shubham Sharma (N529565)</t>
  </si>
  <si>
    <t>Added user in the required group</t>
  </si>
  <si>
    <t>SCTASK1185531</t>
  </si>
  <si>
    <t>POLA03- Manager/Authorizer field is incorrect</t>
  </si>
  <si>
    <t>SCTASK1185937</t>
  </si>
  <si>
    <t>Generic Request - I have raised a Corporate Directory request for a BA iPad and it has been stuck with the following group for approval for over 2 weeks. "3G_NEG_Approvers" - I am unable to find anywhere to inform me of who is in this group  so I can request some information from them as to why it is stuck.</t>
  </si>
  <si>
    <t>SCTASK1183473</t>
  </si>
  <si>
    <t>Generic Request - Kindly add  Peter Mauchel (u207573) to SUPPAPPLICATION requester list in EWS Corporate Directory.</t>
  </si>
  <si>
    <t xml:space="preserve">EWS </t>
  </si>
  <si>
    <t>Verified user is already in the group</t>
  </si>
  <si>
    <t>SCTASK1172582</t>
  </si>
  <si>
    <t>Generic Request - system access reallocation</t>
  </si>
  <si>
    <t>SCTASK1174010</t>
  </si>
  <si>
    <t>Generic Request - Unable to access - Ops Dashboard- https://opsdashboard.baplc.com/</t>
  </si>
  <si>
    <t>SCTASK1175074</t>
  </si>
  <si>
    <t>Generic Request - AIMS Lounge, please create new test accounts using the following. ieg.aims1@testbaplc.com,ieg.aims2@testbaplc.com. Please also create test accounts for bryan.murdoch@ba.com &amp; ashwin.v.k@ba.com</t>
  </si>
  <si>
    <t>SCTASK1173780</t>
  </si>
  <si>
    <t>Generic Request - User email address and their respective supervisor emil address</t>
  </si>
  <si>
    <t>SCTASK1176286</t>
  </si>
  <si>
    <t>Generic Request - Passwords out of sync and cannot logon to systems</t>
  </si>
  <si>
    <t>User confirmed he is able to access systems</t>
  </si>
  <si>
    <t>SCTASK1177815</t>
  </si>
  <si>
    <t>ESSP06 - Generic Request - We have migrated the authentication of Engineering Image Viewer from OAM to Entra. So, there is a new URL to access the application. So please update the URL in the ESS home page as soon as possible.</t>
  </si>
  <si>
    <t>Passed the ticket to respective team</t>
  </si>
  <si>
    <t>SCTASK1177273</t>
  </si>
  <si>
    <t>Generic Request - TESTBAPLC accounts and access UAT GroupTravelBA application</t>
  </si>
  <si>
    <t>INC2436092</t>
  </si>
  <si>
    <t>BA-LHR-Authenticator-Reset</t>
  </si>
  <si>
    <t>email address is updated as user request</t>
  </si>
  <si>
    <t>INC2435651</t>
  </si>
  <si>
    <t>BA-LHR-OPS Dashboard-unable to accesss</t>
  </si>
  <si>
    <t>user having required access</t>
  </si>
  <si>
    <t>INC2438177</t>
  </si>
  <si>
    <t>BA-DEL-Laptop login -Disabled</t>
  </si>
  <si>
    <t>AD</t>
  </si>
  <si>
    <t>user account is active in CD end hence moved respective team</t>
  </si>
  <si>
    <t>INC2440678</t>
  </si>
  <si>
    <t>BA-LHR-Unable to login certain applications</t>
  </si>
  <si>
    <t>INC2440962</t>
  </si>
  <si>
    <t>Unable to request update to Accountable Support Manager &amp; Deputy for a couple of applications</t>
  </si>
  <si>
    <t>Given the FAQ link to raise SIP request</t>
  </si>
  <si>
    <t>SCTASK1170908</t>
  </si>
  <si>
    <t>moved respective team for further assistance</t>
  </si>
  <si>
    <t>SCTASK1171358</t>
  </si>
  <si>
    <t>Generic Request - Need Ascend N Users Information from CD</t>
  </si>
  <si>
    <t>completed the backfill for the requested user</t>
  </si>
  <si>
    <t>SCTASK1172490</t>
  </si>
  <si>
    <t>Concur</t>
  </si>
  <si>
    <t>No response from the user end. Hence closed</t>
  </si>
  <si>
    <t>SCTASK1174526</t>
  </si>
  <si>
    <t>Generic Request - Raise with CD Team- Business Owner have already requested to remove AIrvision from Corporate directory. It is still showing why - can you kindly check</t>
  </si>
  <si>
    <t>Provided FAQ Link for delete request</t>
  </si>
  <si>
    <t>SCTASK1174611</t>
  </si>
  <si>
    <t>Generic Request - Hello - I am not able to access the full list of resources from Ascend, specifically around disciplinaries, sickness etc (which I need for my role). Would someone please be able to look into this for me? Thanks! Kinza</t>
  </si>
  <si>
    <t>Ascend</t>
  </si>
  <si>
    <t>Given the steps for add access</t>
  </si>
  <si>
    <t>INC2452283</t>
  </si>
  <si>
    <t>I would like to inform you that an incorrect email ID is reflecting in the CRM for Mrunmayee Vaity. The email ID is showing as bacutomeronline@ba.com instead of the correct email ID, barefundsupport@ba.com.</t>
  </si>
  <si>
    <t>No response from user end hence closed</t>
  </si>
  <si>
    <t>INC2450476</t>
  </si>
  <si>
    <t>CD workflow for PasswordVault  group owner changed to user who no longer works at BA - please change back to eOps Team Leader</t>
  </si>
  <si>
    <t>as per user request changed in CD live and UAT</t>
  </si>
  <si>
    <t>INC2448470</t>
  </si>
  <si>
    <t>BATCH JOB - JOB FAILED - UZE1010</t>
  </si>
  <si>
    <t>BATCH JOB</t>
  </si>
  <si>
    <t>Issue fixed batch is running successfully</t>
  </si>
  <si>
    <t>INC2451490</t>
  </si>
  <si>
    <t>BATCH JOB - JOB FAILED - UZE9024</t>
  </si>
  <si>
    <t>SCTASK1176126</t>
  </si>
  <si>
    <t>Generic Request - Please create the below two generic email boxes, the same are needed due to new company code being created.</t>
  </si>
  <si>
    <t>SCTASK1176240</t>
  </si>
  <si>
    <t>IAGT Personal Mailbox –  Recover Deleted/Missing Emails</t>
  </si>
  <si>
    <t>SCTASK1175603</t>
  </si>
  <si>
    <t>Network support Request</t>
  </si>
  <si>
    <t>Provided the information and moved to respective team</t>
  </si>
  <si>
    <t>INC2462235</t>
  </si>
  <si>
    <t>COLN07 -  Error when trying to log into staff travel</t>
  </si>
  <si>
    <t>Staff travel</t>
  </si>
  <si>
    <t>verified user access</t>
  </si>
  <si>
    <t>INC2448372</t>
  </si>
  <si>
    <t>NAS- outlook login issue</t>
  </si>
  <si>
    <t>SCTASK1182883</t>
  </si>
  <si>
    <t>Generic Request - baccparams to be updated in CD UAT for test users</t>
  </si>
  <si>
    <t>Ultramain Elog</t>
  </si>
  <si>
    <t>access porvisioned in UAT</t>
  </si>
  <si>
    <t>SCTASK1182434</t>
  </si>
  <si>
    <t>Generic Request - DWP - Kindly auto populate staff ID n562151 with dan.decoste@iairgroup.com email address in CD for selection, currently dan.decoste@iairgroup.com is showing which is wrong</t>
  </si>
  <si>
    <t>SCTASK1182543</t>
  </si>
  <si>
    <t>Generic Request - Submit CD request for LAN access on behalf of user</t>
  </si>
  <si>
    <t>Unable to rasie access</t>
  </si>
  <si>
    <t>INC2468895</t>
  </si>
  <si>
    <t>Account locked .n515195 - Please unlock</t>
  </si>
  <si>
    <t>UPN isssue</t>
  </si>
  <si>
    <t>INC2458048</t>
  </si>
  <si>
    <t>BA-DEL    Booking browser not working</t>
  </si>
  <si>
    <t>ODSBB</t>
  </si>
  <si>
    <t>INC2473510</t>
  </si>
  <si>
    <t>BA-LGW-Unable to login to any work applications, Outlook, teams, ESS</t>
  </si>
  <si>
    <t>profile enabled</t>
  </si>
  <si>
    <t>display name uodated</t>
  </si>
  <si>
    <t>Licence change</t>
  </si>
  <si>
    <t>INC2355545</t>
  </si>
  <si>
    <t>SYnc issues between CD and teams/outlook</t>
  </si>
  <si>
    <t>provided manager list</t>
  </si>
  <si>
    <t>INC2475861</t>
  </si>
  <si>
    <t>IAGT-LHR-Unable to login to laptop</t>
  </si>
  <si>
    <t>Mail box issue</t>
  </si>
  <si>
    <t>INC2475761</t>
  </si>
  <si>
    <t>Unable to access office application</t>
  </si>
  <si>
    <t>SCTASK1185233</t>
  </si>
  <si>
    <t>Generic Request -  Please can this request be forwarded to the following team APPSUP_CRPDIR, The request is for the CD team to upload this banner to inform the users of the application Thousand Eyes, to raise any future requests in SailPoint</t>
  </si>
  <si>
    <t>Banner update</t>
  </si>
  <si>
    <t>INC2476540</t>
  </si>
  <si>
    <t>My name is wrong</t>
  </si>
  <si>
    <t>SCTASK1185234</t>
  </si>
  <si>
    <t>Generic Request - Please can this request be forwarded to the following team APPSUP_CRPDIR, The request is for the CD team to upload this banner to inform the users of the application Thousand Eyes, to raise any future requests in SailPoint</t>
  </si>
  <si>
    <t>SCTASK1185239</t>
  </si>
  <si>
    <t>SCTASK1185225</t>
  </si>
  <si>
    <t>SCTASK1185241</t>
  </si>
  <si>
    <t>SCTASK1185242</t>
  </si>
  <si>
    <t>INC2454220</t>
  </si>
  <si>
    <t>IAGC - REG - O365 - User unable to access the iagcargo email.</t>
  </si>
  <si>
    <t>Avios issue</t>
  </si>
  <si>
    <t>INC2475801</t>
  </si>
  <si>
    <t>Change from Office online to Office Desktop</t>
  </si>
  <si>
    <t>INC2481562</t>
  </si>
  <si>
    <t>IAGC-LHR-NO ACCESS TO CARGO EMAIL</t>
  </si>
  <si>
    <t>INC2475303</t>
  </si>
  <si>
    <t>BATCH JOB - JOB FAILED - UZE9145</t>
  </si>
  <si>
    <t>Akhil Thomas</t>
  </si>
  <si>
    <t>Bctch job related</t>
  </si>
  <si>
    <t>INC2455704</t>
  </si>
  <si>
    <t>In Corporate Directory / ESS - when requesting HUPA access - fetching roles for AWS account is broken</t>
  </si>
  <si>
    <t>INC2469837</t>
  </si>
  <si>
    <t>INC2478240</t>
  </si>
  <si>
    <t>BA-DEL-Unable to access pegasus with new password</t>
  </si>
  <si>
    <t>Pegasus access issue after password reset</t>
  </si>
  <si>
    <t>INC2453863</t>
  </si>
  <si>
    <t>PagerDuty: INC2453861:User is unable to access internet</t>
  </si>
  <si>
    <t>Internet Proxy</t>
  </si>
  <si>
    <t>Internet proxy access issue</t>
  </si>
  <si>
    <t>SCTASK1184540</t>
  </si>
  <si>
    <t>Generic Request - Previously raised as INC2398429: Add automatic account creation for: SIT, NFT and Prelive for servicing_cloud.</t>
  </si>
  <si>
    <t>Servcing Cloud</t>
  </si>
  <si>
    <t>SCTASK1187040</t>
  </si>
  <si>
    <t>Generic Request - I am unable to login the EC2 by using the ECPServerOnly or ECPAdmin role from HUPA. Where I can to login any of windows EC2 using my domain credential UK\AN551672 through CD using IARIAGOpsSupport role. Kindly check and help me out with this issue or let me know if anything is required from my end.</t>
  </si>
  <si>
    <t>HUPA access request</t>
  </si>
  <si>
    <t>INC2439085</t>
  </si>
  <si>
    <t>Unable to access uniform ordering</t>
  </si>
  <si>
    <t>verified user having required access and moved to respective team</t>
  </si>
  <si>
    <t>SCTASK1173991</t>
  </si>
  <si>
    <t>Generic Request - Revoke all accesses</t>
  </si>
  <si>
    <t>Provided the information about ex user termination process</t>
  </si>
  <si>
    <t>INC2442668</t>
  </si>
  <si>
    <t>Unable to log in to Optima</t>
  </si>
  <si>
    <t xml:space="preserve">Optima </t>
  </si>
  <si>
    <t>INC2442926</t>
  </si>
  <si>
    <t>BA - RETIRED STAFF- Showing as EX employee  in CD</t>
  </si>
  <si>
    <t>INC2440419</t>
  </si>
  <si>
    <t>SCTASK1174627</t>
  </si>
  <si>
    <t>Generic Request - Kindly share the System access review due date for the attached user list</t>
  </si>
  <si>
    <t>Provided the date as per user requests</t>
  </si>
  <si>
    <t>SCTASK1173647</t>
  </si>
  <si>
    <t>Testbaplc</t>
  </si>
  <si>
    <t>Created test account and triaged AD team for password sync</t>
  </si>
  <si>
    <t>SCTASK1174991</t>
  </si>
  <si>
    <t>Generic Request - Need to create testbaplc account</t>
  </si>
  <si>
    <t>SCTASK1174008</t>
  </si>
  <si>
    <t>INC2439883</t>
  </si>
  <si>
    <t>office 365 not giving me access</t>
  </si>
  <si>
    <t>Automatic resolved</t>
  </si>
  <si>
    <t>INC2445421</t>
  </si>
  <si>
    <t>No access to uniform ordering</t>
  </si>
  <si>
    <t>INC2444283</t>
  </si>
  <si>
    <t>BA-Retired staff profile is still in Corporate Directory</t>
  </si>
  <si>
    <t>SCTASK1175612</t>
  </si>
  <si>
    <t>Generic Request - BSafe password reset</t>
  </si>
  <si>
    <t>BSAFE </t>
  </si>
  <si>
    <t>moved service desk team for password issue</t>
  </si>
  <si>
    <t>SCTASK1175602</t>
  </si>
  <si>
    <t>INC2447852</t>
  </si>
  <si>
    <t xml:space="preserve">BA-LHR-Unable to apprive CD request </t>
  </si>
  <si>
    <t>SCTASK1177323</t>
  </si>
  <si>
    <t xml:space="preserve">Generic Request - List of applications and systems users currently have access to. </t>
  </si>
  <si>
    <t>SCTASK1177218</t>
  </si>
  <si>
    <t>Generic Request - I rwquire access to Figma inorder to access design files and the desing system to carry out my core job</t>
  </si>
  <si>
    <t>user having required access, provided the info and closed the ticket</t>
  </si>
  <si>
    <t>INC2450902</t>
  </si>
  <si>
    <t>BA - LHR - AOP - User unable to login to AOP</t>
  </si>
  <si>
    <t>AOP</t>
  </si>
  <si>
    <t>user not provided the required info, after 3 update closed the ticket</t>
  </si>
  <si>
    <t>INC2450284</t>
  </si>
  <si>
    <t>krisztian.marvanyos@bt.com is not able to login to SNOW using his BT email id.</t>
  </si>
  <si>
    <t>User profile is showing the correct email ID at the CD end</t>
  </si>
  <si>
    <t>SCTASK1176200</t>
  </si>
  <si>
    <t>Generic Request - Rough number of priviledged access accounts</t>
  </si>
  <si>
    <t>SCTASK1176147</t>
  </si>
  <si>
    <t xml:space="preserve">Generic Request - Entra Group </t>
  </si>
  <si>
    <t xml:space="preserve">vm_TeamLeader </t>
  </si>
  <si>
    <t>SCTASK1178364</t>
  </si>
  <si>
    <t>Generic Request - DUT application Budget code and Unit Hrchy Code</t>
  </si>
  <si>
    <t xml:space="preserve">DUT </t>
  </si>
  <si>
    <t>SCTASK1172492</t>
  </si>
  <si>
    <t>Generic Request - PaxiaIFXAndGp Create a test accounts for the following users. andrew.crouch@ba.com, emma.davidson@ba.com, daisy.skilton@ba.com, matthias.taubert@ba.com, pearl.dennis@ba.com, sean.christopher@ba.com, asterios.ozounis@ba.com, marie.quinlan@ba.com and sync to Entra Id UAT tenant please.</t>
  </si>
  <si>
    <t>SCTASK1177529</t>
  </si>
  <si>
    <t>Generic Request - testbaplc email ids to be created for few users in Movement Manager upgrade project. These users will use Entra UAT to log into sublive Movement Manager UI. Please can access be provided for the following employees: Thomas Lipscombe, Gary Blinco, Leon Jennion, David Milligan - thanks!</t>
  </si>
  <si>
    <t>INC2447782</t>
  </si>
  <si>
    <t>INC2444656</t>
  </si>
  <si>
    <t>BA-LON-Retired staff - Still Serving</t>
  </si>
  <si>
    <t>INC2452510</t>
  </si>
  <si>
    <t>Shrihari Chiwarkar - is unable to access Internet while connecting LAN</t>
  </si>
  <si>
    <t>user having required access, verified and moved required team</t>
  </si>
  <si>
    <t>INC2453311</t>
  </si>
  <si>
    <t>DEL -- BA -- User needs to increase the mailbox storage size</t>
  </si>
  <si>
    <t>moved to sail point team for further assistance</t>
  </si>
  <si>
    <t>INC2454684</t>
  </si>
  <si>
    <t>BA-LHR-Unable to approve system access in CD</t>
  </si>
  <si>
    <t>INC2455641</t>
  </si>
  <si>
    <t>Unable to Submit on BA Corporate Directory Ticket requests</t>
  </si>
  <si>
    <t>once the migration fixed issue resolved</t>
  </si>
  <si>
    <t>INC2454696</t>
  </si>
  <si>
    <t>WTS : Unable to Action Request in Corporate Directory in Google Chrome</t>
  </si>
  <si>
    <t>No response from the user end. Hence closed after three update</t>
  </si>
  <si>
    <t>SCTASK1179481</t>
  </si>
  <si>
    <t>HotlineBAAdmin</t>
  </si>
  <si>
    <t>provide the count of respective application</t>
  </si>
  <si>
    <t>SCTASK1179226</t>
  </si>
  <si>
    <t>Generic Request - Create test accounts in Entra</t>
  </si>
  <si>
    <t>SCTASK1180831</t>
  </si>
  <si>
    <t>Generic Request - Hi Team, could you please create the test credential for this user u756973 it's urgent.</t>
  </si>
  <si>
    <t>INC2446330</t>
  </si>
  <si>
    <t>I am unable to connect to any url(public or internal)  when vpn is connected</t>
  </si>
  <si>
    <t>Verified the SAF access and passed to support team</t>
  </si>
  <si>
    <t>INC2434015</t>
  </si>
  <si>
    <t>we have stopped receiving system access review email on a Monday morning for authoriser Julie o'Neill</t>
  </si>
  <si>
    <t>Checkec the email notifications issue and infromed to the user</t>
  </si>
  <si>
    <t>SCTASK1172286</t>
  </si>
  <si>
    <t>Generic Request - Create email monitor CBO20001</t>
  </si>
  <si>
    <t>Verified the logs and informed to the support team</t>
  </si>
  <si>
    <t>SCTASK1172430</t>
  </si>
  <si>
    <t>Generic Request - Please sync GECPayment testaccount with AD. Name: Faye Robinson-Lee, Staff number: U211756, Email address: faye.robinson@ba.com,    Queue to BA_CYBEROPS_AD</t>
  </si>
  <si>
    <t>EntraID migration to create testbaplc accounts</t>
  </si>
  <si>
    <t>SCTASK1173653</t>
  </si>
  <si>
    <t>Generic Request - For testing prod issues in UAT, the following user needs to provide UAT access in loadcargo. N559953 pawani.gupta@iagcargouat.com</t>
  </si>
  <si>
    <t>Created the entraid and provided the access in CD UAT end</t>
  </si>
  <si>
    <t>SCTASK1172014</t>
  </si>
  <si>
    <t>Generic Request - Request t resolve the issue facing while approval  or to approve in the backend on behalf of his manager ( 20260420S0400093  20260420S8343970)</t>
  </si>
  <si>
    <t>CD tickets connectivity issue, required action is done</t>
  </si>
  <si>
    <t>SCTASK1171747</t>
  </si>
  <si>
    <t>Generic Request - Unable to reset Password on Ultramain ELog ETE iPad application</t>
  </si>
  <si>
    <t xml:space="preserve">Ultramain </t>
  </si>
  <si>
    <t>Informed password through SSPR to the user</t>
  </si>
  <si>
    <t>SCTASK1174677</t>
  </si>
  <si>
    <t>Generic Request - Schedule Change &amp; Disruption Notification, CD team to add the additional approval step "Entra BAU team approval" in additional to the existing CD workflow approval</t>
  </si>
  <si>
    <t>Migrated the application into ENTRA BAU</t>
  </si>
  <si>
    <t>INC2442665</t>
  </si>
  <si>
    <t>BA - LHR - Retired staff profile still Alive in Corporate Directoray.</t>
  </si>
  <si>
    <t>INC2450296</t>
  </si>
  <si>
    <t>Issue with access to UAT Corporate directory</t>
  </si>
  <si>
    <t>Updated the user email address in the profile</t>
  </si>
  <si>
    <t>SCTASK1176453</t>
  </si>
  <si>
    <t>Generic Request - DUT applicatation, create users in UAT and please can they then be synced up to the Entra ID UAT tenant</t>
  </si>
  <si>
    <t>INC2454305</t>
  </si>
  <si>
    <t xml:space="preserve">Request for resissue of SecureID not working. </t>
  </si>
  <si>
    <t xml:space="preserve">SecureID </t>
  </si>
  <si>
    <t>Verified the users access and CD request LDAP issues ticktes has been resolved and passed to the support team</t>
  </si>
  <si>
    <t>INC2456587</t>
  </si>
  <si>
    <t>Josh Peckman - u262517 ID got disabled</t>
  </si>
  <si>
    <t>Checked the system access review for the user profile and informed</t>
  </si>
  <si>
    <t>SCTASK1178779</t>
  </si>
  <si>
    <t>Generic Request - Need Update for CD Workflow for O2sms?Managed Text Platform</t>
  </si>
  <si>
    <t>SCTASK1175831</t>
  </si>
  <si>
    <t>Generic Request - Need access for view direct application</t>
  </si>
  <si>
    <t>Compared the SAF access and provided the SAF access in CD UAT</t>
  </si>
  <si>
    <t>INC2456213</t>
  </si>
  <si>
    <t>Submit button doesn't work in Pathway.</t>
  </si>
  <si>
    <t>Informed the after migartion issue to user</t>
  </si>
  <si>
    <t>INC2452712</t>
  </si>
  <si>
    <t xml:space="preserve"> BA- LON- PROFILE ISSUE</t>
  </si>
  <si>
    <t>Removed the user in excluded list</t>
  </si>
  <si>
    <t>SCTASK1175120</t>
  </si>
  <si>
    <t>Generic Request - Update the CD workflow for CRM to ensure that requests are sent on the Entra Admin team.</t>
  </si>
  <si>
    <t>SCTASK1175411</t>
  </si>
  <si>
    <t>Digital Observability Team (Datadog) - Non-Compliant Hosts Found for Account - 767398129814</t>
  </si>
  <si>
    <t>Datadog</t>
  </si>
  <si>
    <t>Verified the platform and passed to support team</t>
  </si>
  <si>
    <t>SCTASK1175409</t>
  </si>
  <si>
    <t>Digital Observability Team (Datadog) - Non-Compliant Hosts Found for Account - 058264197676</t>
  </si>
  <si>
    <t>SCTASK1178576</t>
  </si>
  <si>
    <t>Generic Request - BA_APP_ENGINEERINGIMAGEVIEWER_PROD, CD team to add the additional approval step “Entra BAU team approval” in addition to the existing CD workflow approval. This maps to the Entra Application BA_APP_ENGINEERINGIMAGEVIEWER_PROD in the production tenant.</t>
  </si>
  <si>
    <t>INC2459786</t>
  </si>
  <si>
    <t>BA - MAN - BSAFE - Not sync</t>
  </si>
  <si>
    <t>Passed to the respective support team</t>
  </si>
  <si>
    <t>INC2461677</t>
  </si>
  <si>
    <t>BA - HKG - A773288 password reset - User called for password reset for a773288</t>
  </si>
  <si>
    <t>User(A773288) needs to change A account password in WW domain, hence Retrieving data. Wait a few seconds and try to cut or copy again.</t>
  </si>
  <si>
    <t>INC2447367</t>
  </si>
  <si>
    <t>CD Feed Issue – Incomplete Data Received (Missing Email Addresses for users)</t>
  </si>
  <si>
    <t>QUANTUM BA</t>
  </si>
  <si>
    <t>Required information has been provided</t>
  </si>
  <si>
    <t>INC2445924</t>
  </si>
  <si>
    <t>LON - jira login issue</t>
  </si>
  <si>
    <t>BAAtlassianCloud</t>
  </si>
  <si>
    <t>INC2348786</t>
  </si>
  <si>
    <t>Access revoke for exit staff from teams/outlook</t>
  </si>
  <si>
    <t>INC2456247</t>
  </si>
  <si>
    <t>Unable to access ultramain Elog ETE application</t>
  </si>
  <si>
    <t>INC2440377</t>
  </si>
  <si>
    <t>CD issue - new users are unable to log in to Clever live, access is through CD but accounts are not being created. user has been approved Amber welling 191534 but they have not been added in to the cleverlive system - Image attached</t>
  </si>
  <si>
    <t>Cleverlive</t>
  </si>
  <si>
    <t>INC2454276</t>
  </si>
  <si>
    <t>AWS ACCESS ISSUE</t>
  </si>
  <si>
    <t>AWSConsole</t>
  </si>
  <si>
    <t>INC2459680</t>
  </si>
  <si>
    <t>ESSP07 - ESS issue – "People Online" missing under Personal Admin</t>
  </si>
  <si>
    <t>INC2461527</t>
  </si>
  <si>
    <t xml:space="preserve">I am not able to access websites [ Confluence pages, Git hub pages, Copilot ],  images are not loading seems to be due to proxy issues. </t>
  </si>
  <si>
    <t xml:space="preserve">Git hub </t>
  </si>
  <si>
    <t>Issue has been resolved</t>
  </si>
  <si>
    <t>INC2459320</t>
  </si>
  <si>
    <t xml:space="preserve">unable to login bsafe account </t>
  </si>
  <si>
    <t>INC2460255</t>
  </si>
  <si>
    <t>PYPT04 - BA-LHR-Unable to access pay portal</t>
  </si>
  <si>
    <t>INC2468610</t>
  </si>
  <si>
    <t xml:space="preserve">Revoke Access </t>
  </si>
  <si>
    <t>INC2460358</t>
  </si>
  <si>
    <t>Refer &amp; accept by external user - non approved flow</t>
  </si>
  <si>
    <t>OPTIMARES-CARGOBKG</t>
  </si>
  <si>
    <t>INC2474392</t>
  </si>
  <si>
    <t>IAGC-EMAIL-OPTIMA ISSUE</t>
  </si>
  <si>
    <t>INC2465313</t>
  </si>
  <si>
    <t>Unable to access the Columbus AWS accounts using Nid and Password.</t>
  </si>
  <si>
    <t>User is having access from our end and passed to respective team</t>
  </si>
  <si>
    <t>INC2465311</t>
  </si>
  <si>
    <t>User unable to login, Louise.Tidey@holidays.ba.com is not a member on Entra Group , BA_APP_AGRESSO_PROD</t>
  </si>
  <si>
    <t xml:space="preserve">AGRESSO </t>
  </si>
  <si>
    <t>SCTASK1175471</t>
  </si>
  <si>
    <t xml:space="preserve">Generic Request - The attached users access has been revoked in monthly housekeeping activity. 'SecurID' flag needs to be removed from the attached user's CD profile. </t>
  </si>
  <si>
    <t>We have done the housekeeping activity. 'SecurID' flag. Hence closing the ticket.</t>
  </si>
  <si>
    <t>SCTASK1177740</t>
  </si>
  <si>
    <t>Generic Request - Hi Team, Could you please extent the password for the FMT machine SID1003 which is about to expire on 22nd June</t>
  </si>
  <si>
    <t>SCTASK1179812</t>
  </si>
  <si>
    <t>Generic Request - Need to replicate the access of Mounika n545181 in the CD with mine n552875</t>
  </si>
  <si>
    <t>SCTASK1175725</t>
  </si>
  <si>
    <t>URL Blacklisting (Incident only)/Whitelisting Changes Request</t>
  </si>
  <si>
    <t>SCTASK1178822</t>
  </si>
  <si>
    <t>Generic Request - Please check users exist in AD / UAT</t>
  </si>
  <si>
    <t>SCTASK1181274</t>
  </si>
  <si>
    <t xml:space="preserve">Generic Request - *consideration of APPSUP_CRPDIR* I am unable to log int applications in UAT because apparently  my password for Corporate directory in UAT is out of sync with my BA employee id and password. I stress that this is in UAT </t>
  </si>
  <si>
    <t>SCTASK1181240</t>
  </si>
  <si>
    <t>Generic Request - Associate the testbaplc with MMU Application</t>
  </si>
  <si>
    <t>SCTASK1181221</t>
  </si>
  <si>
    <t>Generic Request - Teradata,  please create users in AD UAT with custom attributes included in SQL database, and please can they be synced up to the entra tenant</t>
  </si>
  <si>
    <t>SCTASK1182394</t>
  </si>
  <si>
    <t>Generic Request - Reset password for CMG Test Users</t>
  </si>
  <si>
    <t>SCTASK1181920</t>
  </si>
  <si>
    <t xml:space="preserve">Generic Request - for the attention of the CDApps Maint team please </t>
  </si>
  <si>
    <t>SCTASK1184730</t>
  </si>
  <si>
    <t>SCTASK1186284</t>
  </si>
  <si>
    <t>SCTASK1182771</t>
  </si>
  <si>
    <t>Generic Request - Request for info about the Active Directory schema</t>
  </si>
  <si>
    <t>SCTASK1182448</t>
  </si>
  <si>
    <t>Generic Request - Require an update to the Interceptas (Chaargebacks_DMS) instruction to EntraID</t>
  </si>
  <si>
    <t>Chaargebacks_DMS</t>
  </si>
  <si>
    <t>INC2438149</t>
  </si>
  <si>
    <t>Provide sudo doer access to dd-agent user in 992382738750 aws account VM</t>
  </si>
  <si>
    <t>Verified the host group access and passed to the support team</t>
  </si>
  <si>
    <t>INC2436156</t>
  </si>
  <si>
    <t>Have changed password and cannot access ESS</t>
  </si>
  <si>
    <t>Checkec the BSAFE log timestamp and informed the user</t>
  </si>
  <si>
    <t>INC2440518</t>
  </si>
  <si>
    <t>Can't get into Bsafe and no other number to phone</t>
  </si>
  <si>
    <t>SCTASK1172238</t>
  </si>
  <si>
    <t>Generic Request - Test account creation and access to application GECPayment in UAT</t>
  </si>
  <si>
    <t>SCTASK1171515</t>
  </si>
  <si>
    <t>Generic Request - SuperUser permissions to be able to access Administrator module in prod travelbox</t>
  </si>
  <si>
    <t>TravelBOX</t>
  </si>
  <si>
    <t>Added the properties and passed to support team</t>
  </si>
  <si>
    <t>INC2440895</t>
  </si>
  <si>
    <t>Reopening INC2420267</t>
  </si>
  <si>
    <t xml:space="preserve">CAPAGENTMF </t>
  </si>
  <si>
    <t>Verified the SAF access and provided the steps</t>
  </si>
  <si>
    <t>INC2431711</t>
  </si>
  <si>
    <t>Unable to request Dataiku access</t>
  </si>
  <si>
    <t>Checked the approver and passed to sailpoint support team</t>
  </si>
  <si>
    <t>INC2438014</t>
  </si>
  <si>
    <t xml:space="preserve">Request for AGENT EMAIL to be added to the BA_APP_C360_LIVE Entra group </t>
  </si>
  <si>
    <t>C360_OWNBackup</t>
  </si>
  <si>
    <t>INC2437537</t>
  </si>
  <si>
    <t>Unable to request Figma access for an IAGL Staff member</t>
  </si>
  <si>
    <t>Removed rejectf properties in the application as per user request</t>
  </si>
  <si>
    <t>INC2437729</t>
  </si>
  <si>
    <t>Retiredstaff</t>
  </si>
  <si>
    <t>INC2445111</t>
  </si>
  <si>
    <t>BA - NBO - not able to raise system access for N502021</t>
  </si>
  <si>
    <t>Removed external and P2 access and informed to the user to raise request</t>
  </si>
  <si>
    <t>INC2478566</t>
  </si>
  <si>
    <t>Failed to validate info about the user in ISC even after all approvals are in place</t>
  </si>
  <si>
    <t>Sailpoint</t>
  </si>
  <si>
    <t>Checking on the issues</t>
  </si>
  <si>
    <t>INC2461248</t>
  </si>
  <si>
    <t>Assign it to APMMGZE.</t>
  </si>
  <si>
    <t xml:space="preserve">CDECTM </t>
  </si>
  <si>
    <t>Passed to respective teams</t>
  </si>
  <si>
    <t>SCTASK1185794</t>
  </si>
  <si>
    <t>Generic Request - Update Emails for Servicing_Cloud failures to provide more information to the Servicing_cloud team.</t>
  </si>
  <si>
    <t>Servicing Cloud</t>
  </si>
  <si>
    <t>SCTASK1188060</t>
  </si>
  <si>
    <t>Generic Request - Please pass this request to APPSUP_CRPDIR group. Please get Jay Michael Teraña &lt;jay.terana@groupconcorde.com&gt; loaded to EntraIAG Cargo tenant and share the auto generated credentials, incl password.</t>
  </si>
  <si>
    <t>SCTASK1188626</t>
  </si>
  <si>
    <t>Anandhu Pillai</t>
  </si>
  <si>
    <t>Verified user profile and triaged to check the LSS details</t>
  </si>
  <si>
    <t>SCTASK1174822</t>
  </si>
  <si>
    <t>Generic Request - Add email ID ( neetu.patel@ba.com) and check ‘Robotic’ tick box in SID LSS profile(s) for SID1212, SID1213 and SID1214 in PRD and PDT</t>
  </si>
  <si>
    <t>Verified user sid profile</t>
  </si>
  <si>
    <t>INC2452332</t>
  </si>
  <si>
    <t>Trying to access https://ba-ecp-2942.awsapps.com/start#/ or google.com does not work</t>
  </si>
  <si>
    <t>Forcepoint</t>
  </si>
  <si>
    <t>Verfied user profile and triaged</t>
  </si>
  <si>
    <t>INC2450894</t>
  </si>
  <si>
    <t>PGSS-7-Pegasus not working and reflecting error for multiple staff</t>
  </si>
  <si>
    <t xml:space="preserve">Pegasus </t>
  </si>
  <si>
    <t xml:space="preserve">Verified user profile and refreshed user profile </t>
  </si>
  <si>
    <t>INC2482104</t>
  </si>
  <si>
    <t>updated weekly CorpDir feed file is not available in this directory</t>
  </si>
  <si>
    <t>Batch logon from pathway doesnt have update permission in the directory to update right now feed</t>
  </si>
  <si>
    <t>INC2465230</t>
  </si>
  <si>
    <t>Unable to find the test instances in NLV AWS account</t>
  </si>
  <si>
    <t>Issue out of CD scope</t>
  </si>
  <si>
    <t>SCTASK1182464</t>
  </si>
  <si>
    <t>Generic Request - To provide the list of AWS accounts the mentioned associates have access to in CD</t>
  </si>
  <si>
    <t xml:space="preserve">Provided the required details </t>
  </si>
  <si>
    <t>INC2491963</t>
  </si>
  <si>
    <t>BATCH JOB - JOB FAILED - UZE9091</t>
  </si>
  <si>
    <t>Batch Process validated</t>
  </si>
  <si>
    <t>INC2490544</t>
  </si>
  <si>
    <t>BATCH JOB - JOB FAILED - UZE9146</t>
  </si>
  <si>
    <t>INC2488333</t>
  </si>
  <si>
    <t>INC2488458</t>
  </si>
  <si>
    <t>INC2503696</t>
  </si>
  <si>
    <t>INC2498834</t>
  </si>
  <si>
    <t>HUPA request on CD not working correclty - ITSC24000 APPSUP_CRPDIR</t>
  </si>
  <si>
    <t>HUPA account are not loading</t>
  </si>
  <si>
    <t>INC2498710</t>
  </si>
  <si>
    <t>Unable to login jammy</t>
  </si>
  <si>
    <t>Amadeus</t>
  </si>
  <si>
    <t>Access comparision</t>
  </si>
  <si>
    <t>SCTASK1189825</t>
  </si>
  <si>
    <t>Generic Request - Quantum feed issue of missing data</t>
  </si>
  <si>
    <t>SCTASK1195192</t>
  </si>
  <si>
    <t>Generic Request - To create S-id</t>
  </si>
  <si>
    <t>INC2480483</t>
  </si>
  <si>
    <t>Can't log into ba.com email account</t>
  </si>
  <si>
    <t>User profile verification</t>
  </si>
  <si>
    <t>SCTASK1188174</t>
  </si>
  <si>
    <t>Request to install  Microsoft .Net Framework</t>
  </si>
  <si>
    <t>INC2488826</t>
  </si>
  <si>
    <t>User can't access citrix</t>
  </si>
  <si>
    <t>INC2489441</t>
  </si>
  <si>
    <t>2 contractors don't have O365 license but system access says they do</t>
  </si>
  <si>
    <t>SCTASK1189232</t>
  </si>
  <si>
    <t xml:space="preserve">Generic Request - Request you to populate oscar.aguayo@iairgroup.com  under g277414 and also populate fernando.bosch@iairgroup.com under g277416 </t>
  </si>
  <si>
    <t>INC2490850</t>
  </si>
  <si>
    <t>DWP- Unable tologin to CD</t>
  </si>
  <si>
    <t>SCTASK1189832</t>
  </si>
  <si>
    <t>POLA03- Could you please check from your end, as the user's authoriser in CD has not yet been updated? Kindly assist with changing the authoriser to Stephen Reilly.</t>
  </si>
  <si>
    <t>CPD</t>
  </si>
  <si>
    <t>CPD feed issue</t>
  </si>
  <si>
    <t>INC2492582</t>
  </si>
  <si>
    <t>IAGT-LON-Unable to raise access in CD</t>
  </si>
  <si>
    <t>INC2489251</t>
  </si>
  <si>
    <t>URGENT New Starter Emails Not Listed in CD - I can see them in GAL and emails bounce back</t>
  </si>
  <si>
    <t>updated Upn value</t>
  </si>
  <si>
    <t>INC2485024</t>
  </si>
  <si>
    <t>windows 11 change</t>
  </si>
  <si>
    <t>Domain change</t>
  </si>
  <si>
    <t>SCTASK1191744</t>
  </si>
  <si>
    <t>Generic Request - please provide your assistance to generate a report of the TPAA names and the contractor details with the below mentioned system access. JIRA,EWS,People online,ICW,NOVUS,Control M,Resource link,Janus,AirTrack,AD,PIPO,CFS</t>
  </si>
  <si>
    <t>Report</t>
  </si>
  <si>
    <t>shared report</t>
  </si>
  <si>
    <t>INC2487314</t>
  </si>
  <si>
    <t>Unable to access Microsoft EntraID Accelerate</t>
  </si>
  <si>
    <t>INC2497771</t>
  </si>
  <si>
    <t>Access for ESS, CD and Access BA</t>
  </si>
  <si>
    <t>Mail address creation</t>
  </si>
  <si>
    <t>INC2498050</t>
  </si>
  <si>
    <t>Could you please change my on-pre UPN value n561694@ba.com to harish.raja@ba.com'</t>
  </si>
  <si>
    <t>SCTASK1189530</t>
  </si>
  <si>
    <t>Request to install  MHCS Teraterm</t>
  </si>
  <si>
    <t>SCTASK1192115</t>
  </si>
  <si>
    <t>Shared Mailbox - Setup Outlook Rules</t>
  </si>
  <si>
    <t>SID account creation</t>
  </si>
  <si>
    <t>INC2498959</t>
  </si>
  <si>
    <t xml:space="preserve">Jason Chen u270423 a new starter in June has not got an email address on corporate directory </t>
  </si>
  <si>
    <t>SCTASK1192836</t>
  </si>
  <si>
    <t>INC2497578</t>
  </si>
  <si>
    <t>Unable login to oasis</t>
  </si>
  <si>
    <t>OASISPRD</t>
  </si>
  <si>
    <t>INC2497123</t>
  </si>
  <si>
    <t>Unable to access O365 applications</t>
  </si>
  <si>
    <t>INC2499269</t>
  </si>
  <si>
    <t>Unable to use excel</t>
  </si>
  <si>
    <t>Verified licence</t>
  </si>
  <si>
    <t>INC2500882</t>
  </si>
  <si>
    <t xml:space="preserve">AIR04 - Urgent Investigation Required – Invalid Email Format Causing Sync Failure </t>
  </si>
  <si>
    <t>Incorrect mail address assigned</t>
  </si>
  <si>
    <t>INC2501121</t>
  </si>
  <si>
    <t>An O365 license has been requested for the user, but it is not syncing correctly in SailPoint, and none is showed as available</t>
  </si>
  <si>
    <t>SCTASK1193720</t>
  </si>
  <si>
    <t>SCTASK1193280</t>
  </si>
  <si>
    <t>Generic Request - Could you please set the banner for the Adobe Tools application in CD Live? This application is scheduled to migrate to the SailPoint project on 14 July 2026. Kindly set the banner on 14 July 2026 to reflect this migration. attached the banner Content in the attachment.</t>
  </si>
  <si>
    <t>pathway</t>
  </si>
  <si>
    <t>Sialpoint banner update</t>
  </si>
  <si>
    <t>SCTASK1193288</t>
  </si>
  <si>
    <t>Generic Request - Could you please set the banner for the C360_OWNBackup  application in CD Live, This application is scheduled to migrate to the SailPoint project on 14 July 2026. Kindly set the banner on 14 July 2026 to reflect this migration. attached the banner Content in the attachment.</t>
  </si>
  <si>
    <t>Sailpoint bannner update</t>
  </si>
  <si>
    <t>INC2495042</t>
  </si>
  <si>
    <t>Phishing emails</t>
  </si>
  <si>
    <t>INC2501636</t>
  </si>
  <si>
    <t>unable to raise access for statistical package</t>
  </si>
  <si>
    <t>SCTASK1193844</t>
  </si>
  <si>
    <t>INC2504930</t>
  </si>
  <si>
    <t>Request from Stewart Blades to Revoke All accesses for Lewis Toombs</t>
  </si>
  <si>
    <t>Retired staff issue</t>
  </si>
  <si>
    <t>INC2502895</t>
  </si>
  <si>
    <t>BA-GCM-Email - Error</t>
  </si>
  <si>
    <t>INC2504782</t>
  </si>
  <si>
    <t>error on teams desktop, user is unable to access any MS page</t>
  </si>
  <si>
    <t>INC2504704</t>
  </si>
  <si>
    <t>user is having ba.com but working new starter in IAG Cargo opco. when LM tried raising manage my email address getting below error</t>
  </si>
  <si>
    <t>INC2499230</t>
  </si>
  <si>
    <t>BA-LHR-BSAFE password sync issue</t>
  </si>
  <si>
    <t>Verified  user profile</t>
  </si>
  <si>
    <t>INC2506654</t>
  </si>
  <si>
    <t>I cannot action Corporate Directory ticket 20260512S7968688.</t>
  </si>
  <si>
    <t>SCTASK1195909</t>
  </si>
  <si>
    <t>SCTASK1195450</t>
  </si>
  <si>
    <t>Generic Request - O365 for New Starter - UKAD already enabled</t>
  </si>
  <si>
    <t>INC2453072</t>
  </si>
  <si>
    <t>LHR - mfa reset</t>
  </si>
  <si>
    <t>INC2506962</t>
  </si>
  <si>
    <t>CCU -- TCS -- Unable to raise request in corporate directory</t>
  </si>
  <si>
    <t>INC2506620</t>
  </si>
  <si>
    <t>BA-BOM-ServiceNow-unable to login</t>
  </si>
  <si>
    <t>SCTASK1196815</t>
  </si>
  <si>
    <t>Generic Request - Please provide your assistance to generate a report of the user details in the TPAA  "Contractors" with the details of their line-manager.</t>
  </si>
  <si>
    <t>INC2505750</t>
  </si>
  <si>
    <t>BA-LON - Opentext Exceed turbo-unable to login</t>
  </si>
  <si>
    <t>Enabled linux access</t>
  </si>
  <si>
    <t>INC2506041</t>
  </si>
  <si>
    <t>incorrect email configured for Nicola Rogers, conflict with nicky.goldsmith@ba.com</t>
  </si>
  <si>
    <t>SCTASK1196241</t>
  </si>
  <si>
    <t>Generic Request - Create email with iairgroup.com  domain for Antonio Ruiz u277553 and Francisco Lopez Noguera u277568.</t>
  </si>
  <si>
    <t>SCTASK1197216</t>
  </si>
  <si>
    <t>Generic Request - At present we are unable to create a PROD CR in ServiceNow</t>
  </si>
  <si>
    <t>SCTASK1193464</t>
  </si>
  <si>
    <t>MMR</t>
  </si>
  <si>
    <t>INC2464704</t>
  </si>
  <si>
    <t>Customer unable to log in - returned to login page after entering credentials</t>
  </si>
  <si>
    <t>Waiting for affected user id</t>
  </si>
  <si>
    <t>INC2509313</t>
  </si>
  <si>
    <t>Unable to log onto System Access (through whitepages.baplc.com)</t>
  </si>
  <si>
    <t xml:space="preserve">unable to login pathway due to cache </t>
  </si>
  <si>
    <t>INC2508326</t>
  </si>
  <si>
    <t>The email address used to Login Entra is not the same as the email shown in Corporate Directory</t>
  </si>
  <si>
    <t>INC2486311</t>
  </si>
  <si>
    <t xml:space="preserve">Uniform ordering </t>
  </si>
  <si>
    <t>Verified user is having access for the required application.</t>
  </si>
  <si>
    <t>INC2486069</t>
  </si>
  <si>
    <t>BA- LHR- CAN'T ACCESS SERVICE PORTAL</t>
  </si>
  <si>
    <t>Verified user is present in CD.</t>
  </si>
  <si>
    <t>INC2486084</t>
  </si>
  <si>
    <t>Traiged to the respective team</t>
  </si>
  <si>
    <t>INC2482898</t>
  </si>
  <si>
    <t>NCL-Please can you assist. I need to change my name to match the rest of the system</t>
  </si>
  <si>
    <t>Verified the username</t>
  </si>
  <si>
    <t>INC2473603</t>
  </si>
  <si>
    <t>SSO Login Issue</t>
  </si>
  <si>
    <t>INC2480104</t>
  </si>
  <si>
    <t>new hires need access to Workbrain via ESS Page.  all approve for the CD however the link to the system is not activated</t>
  </si>
  <si>
    <t xml:space="preserve">WORKBRAIN </t>
  </si>
  <si>
    <t>INC2489205</t>
  </si>
  <si>
    <t>BA- LHR- CAN'T LOGIN  IT PORTAL</t>
  </si>
  <si>
    <t>User is removed from CD</t>
  </si>
  <si>
    <t>INC2487157</t>
  </si>
  <si>
    <t>Please verify and update my credentials - KRK station</t>
  </si>
  <si>
    <t>verified user's station is set as KRK</t>
  </si>
  <si>
    <t>INC2476541</t>
  </si>
  <si>
    <t>BA-YYZ-AWS-LOGON ISSUE</t>
  </si>
  <si>
    <t>Verified user password has been successfully synced</t>
  </si>
  <si>
    <t>INC2493729</t>
  </si>
  <si>
    <t>INC2485112</t>
  </si>
  <si>
    <t xml:space="preserve">BA-LON-Retired -Status serving </t>
  </si>
  <si>
    <t>INC2486643</t>
  </si>
  <si>
    <t>Unable to login to Salesfirce</t>
  </si>
  <si>
    <t>Salesforce</t>
  </si>
  <si>
    <t>INC2488906</t>
  </si>
  <si>
    <t>Getting  connection issue while accessing https://whitepages-uat.baplc.com/ from Staff travel dev servers.</t>
  </si>
  <si>
    <t>Stafftravel</t>
  </si>
  <si>
    <t>INC2488804</t>
  </si>
  <si>
    <t>BA - Former staff - User cant able to login to Staff travel.</t>
  </si>
  <si>
    <t>INC2489265</t>
  </si>
  <si>
    <t xml:space="preserve">Cannot access My Expenses page </t>
  </si>
  <si>
    <t>INC2495214</t>
  </si>
  <si>
    <t>Colleague unable to access application due to CD access</t>
  </si>
  <si>
    <t>Password Reset</t>
  </si>
  <si>
    <t>INC2495685</t>
  </si>
  <si>
    <t>Cannot access Ops Dashboard and other applications</t>
  </si>
  <si>
    <t>INC2499264</t>
  </si>
  <si>
    <t>Unable to access Corporate Directory UAT</t>
  </si>
  <si>
    <t>INC2499807</t>
  </si>
  <si>
    <t>BA-LHR-mBriefing- Login error</t>
  </si>
  <si>
    <t xml:space="preserve">Passed to required team </t>
  </si>
  <si>
    <t>INC2499981</t>
  </si>
  <si>
    <t>User is unable to access the Corporate Directory in ESS</t>
  </si>
  <si>
    <t>INC2482817</t>
  </si>
  <si>
    <t>POLA03-Unable to place an order in UDS - cant login in Uniform ordering system either</t>
  </si>
  <si>
    <t>INC2499112</t>
  </si>
  <si>
    <t>Corporate Directory approval</t>
  </si>
  <si>
    <t>INC2501506</t>
  </si>
  <si>
    <t>I have requested for the Swiipr app but my manager is not able to authorise this</t>
  </si>
  <si>
    <t>INC2501063</t>
  </si>
  <si>
    <t>Proxy issue, Forcepoint blocking access to MS sites on external networks</t>
  </si>
  <si>
    <t>INC2508263</t>
  </si>
  <si>
    <t>Ba-LHR-Retired staff -Requried to move</t>
  </si>
  <si>
    <t>INC2503790</t>
  </si>
  <si>
    <t xml:space="preserve">BA-LON-Retired- Status is Serving </t>
  </si>
  <si>
    <t>INC2508348</t>
  </si>
  <si>
    <t>Getting a Internal Server Error when trying to connect to BA Corporate Directory</t>
  </si>
  <si>
    <t>INC2508827</t>
  </si>
  <si>
    <t>BA-LHR-Unable to access staff travel</t>
  </si>
  <si>
    <t>Verified user is having the access for the application</t>
  </si>
  <si>
    <t>INC2507342</t>
  </si>
  <si>
    <t>LGW - corporate dirctory issue</t>
  </si>
  <si>
    <t>Verified user's request has been closed</t>
  </si>
  <si>
    <t>INC2509776</t>
  </si>
  <si>
    <t>The user  receives this "Internal Server Error" when accessing Systems Access within ESS -&gt; Corp Directory.</t>
  </si>
  <si>
    <t>INC2493304</t>
  </si>
  <si>
    <t xml:space="preserve">MAN - password synch issue </t>
  </si>
  <si>
    <t>INC2511996</t>
  </si>
  <si>
    <t xml:space="preserve">I have no access </t>
  </si>
  <si>
    <t>SecurID</t>
  </si>
  <si>
    <t>INC2509401</t>
  </si>
  <si>
    <t xml:space="preserve">Software error received for my entire team see below -  received over 50 emails as i have a team of 25 </t>
  </si>
  <si>
    <t>Retrieving data. Wait a few seconds and try to cut or copy again.</t>
  </si>
  <si>
    <t>INC2513402</t>
  </si>
  <si>
    <t>BA-LON-Retired staff profile need to remove from CD</t>
  </si>
  <si>
    <t>INC2513906</t>
  </si>
  <si>
    <t>BA-Retired staff profile is still in CD</t>
  </si>
  <si>
    <t>INC2514357</t>
  </si>
  <si>
    <t>BA-LHR-Retired staff still showing as serving</t>
  </si>
  <si>
    <t>INC2513904</t>
  </si>
  <si>
    <t>BA-LOCUNK-EX STAFF STILL IN CD</t>
  </si>
  <si>
    <t>INC2513888</t>
  </si>
  <si>
    <t>BA-MAN-Retired staff-Required to move the profile</t>
  </si>
  <si>
    <t>INC2515659</t>
  </si>
  <si>
    <t>BA-KOCHI-Access-got revoked</t>
  </si>
  <si>
    <t>INC2513427</t>
  </si>
  <si>
    <t>Salesforce - I cannot log in</t>
  </si>
  <si>
    <t>INC2506505</t>
  </si>
  <si>
    <t>Access request still pending</t>
  </si>
  <si>
    <t>INC2518450</t>
  </si>
  <si>
    <t>USER ACCOUNT LOCKED</t>
  </si>
  <si>
    <t xml:space="preserve">STAFF ADMIN </t>
  </si>
  <si>
    <t>INC2515602</t>
  </si>
  <si>
    <t>BA - User profile is not there in retried staff portal.</t>
  </si>
  <si>
    <t>INC2513281</t>
  </si>
  <si>
    <t>BA-LHR-Retired staff-Need to transfer profile from CD to Retired staff portal</t>
  </si>
  <si>
    <t>SCTASK1197798</t>
  </si>
  <si>
    <t>Generic Request - Please can you remove delegation of Corporate Directory requests from Lee Weatherley back to Raza Farroqi.</t>
  </si>
  <si>
    <t>SCTASK1197840</t>
  </si>
  <si>
    <t xml:space="preserve">Generic Request - Update all employees / contractors in Corporate Directory who have an @avios.com email address to be an @iagloyalty.com address </t>
  </si>
  <si>
    <t>Bulk mail address update</t>
  </si>
  <si>
    <t>INC2509968</t>
  </si>
  <si>
    <t>The user reported being unable to sign in to Outlook.</t>
  </si>
  <si>
    <t>INC2511913</t>
  </si>
  <si>
    <t>ESS access to get into Access BA</t>
  </si>
  <si>
    <t>INC2513703</t>
  </si>
  <si>
    <t>Current LAN owner seems to be Gabriel Perdiguero de la Torre (BA CFO), this is an error.  Please change the LAN to be owned by myself Joanna Jones (u220874).</t>
  </si>
  <si>
    <t>ADLAN</t>
  </si>
  <si>
    <t>INC2512081</t>
  </si>
  <si>
    <t xml:space="preserve">User cannot reset their BSAFE password </t>
  </si>
  <si>
    <t>mail address create</t>
  </si>
  <si>
    <t>SCTASK1200439</t>
  </si>
  <si>
    <t>Generic Request - Password Synchronization Issue Between BSafe and Microsoft 365</t>
  </si>
  <si>
    <t>SCTASK1200264</t>
  </si>
  <si>
    <t>Generic Request - Email ID Change</t>
  </si>
  <si>
    <t>INC2515436</t>
  </si>
  <si>
    <t>Outlook, word and Excel - Error message Could not verify account.</t>
  </si>
  <si>
    <t>INC2513441</t>
  </si>
  <si>
    <t>users with AD accounts not sync'd to Entra - various issues</t>
  </si>
  <si>
    <t>provided the list</t>
  </si>
  <si>
    <t>SCTASK1201273</t>
  </si>
  <si>
    <t>INC2519388</t>
  </si>
  <si>
    <t>Please pass to PING Auth team</t>
  </si>
  <si>
    <t>LIDO</t>
  </si>
  <si>
    <t>SCTASK1179157</t>
  </si>
  <si>
    <t>Generic Request - Sailpoint request automatically cancelled</t>
  </si>
  <si>
    <t>INC2520024</t>
  </si>
  <si>
    <t xml:space="preserve">Edgar was clicked in this morning for GGS. He has a @ba email domain on here and on corporate directory has no email at all. </t>
  </si>
  <si>
    <t>INC2521238</t>
  </si>
  <si>
    <t>New joiner's email hasn't synced with CD so can't request a different email in system access</t>
  </si>
  <si>
    <t>profile corrutped</t>
  </si>
  <si>
    <t>SCTASK1201045</t>
  </si>
  <si>
    <t>Generic Request - Could you please set the banner for the ChronicX application in CD Live, This application is scheduled to migrate to the SailPoint project on 28th July 2026. Kindly set the banner on 28 July 2026 to reflect this migration. attached the banner Content in the attachment.</t>
  </si>
  <si>
    <t>SCTASK1201041</t>
  </si>
  <si>
    <t>Generic Request - Could you please set the banner for the NetBrain application in CD Live, This application is scheduled to migrate to the SailPoint project on 28th July 2026. Kindly set the banner on 28 July 2026 to reflect this migration. attached the banner Content in the attachment.</t>
  </si>
  <si>
    <t>INC2521851</t>
  </si>
  <si>
    <t xml:space="preserve">BMSI contractor set up by Leigh Holbrow - Philip Connelly cannot login or use BA outlook email address assigned in CD. </t>
  </si>
  <si>
    <t>INC2521709</t>
  </si>
  <si>
    <t>Need to update new email adress in Lexmark printer</t>
  </si>
  <si>
    <t>Mail addres chage</t>
  </si>
  <si>
    <t>INC2521023</t>
  </si>
  <si>
    <t>User Unable to Access Agresso Due to Email Address Issue</t>
  </si>
  <si>
    <t>UPN issue</t>
  </si>
  <si>
    <t>INC2521994</t>
  </si>
  <si>
    <t>NEW HIRE STAFF NUMBERS CHRISTIAN VARGAS STAFF #277582   / TIFANI MARO STAFF # 277579   / VERNA RICHARDSON STAFF # 277581</t>
  </si>
  <si>
    <t>MIM issue</t>
  </si>
  <si>
    <t>INC2523149</t>
  </si>
  <si>
    <t>New starters are unable to apply for lan access to "en-pt21J-doc"s or "en-design" drives</t>
  </si>
  <si>
    <t>Verified LAN share</t>
  </si>
  <si>
    <t>SCTASK1204082</t>
  </si>
  <si>
    <t>Generic Request - Generic Request - become a member of the "SUPCAD" and "NASADMIN" groups in Pathway (Corp.Dir.)</t>
  </si>
  <si>
    <t>Group membership updated</t>
  </si>
  <si>
    <t>SCTASK1204072</t>
  </si>
  <si>
    <t>INC2521999</t>
  </si>
  <si>
    <t>Unable to do the work</t>
  </si>
  <si>
    <t>WW to uk migration</t>
  </si>
  <si>
    <t>SCTASK1204782</t>
  </si>
  <si>
    <t>Generic Request - Hello, can someone change my display name in slack? I want it to match my full name. Thanks</t>
  </si>
  <si>
    <t>SCTASK1204506</t>
  </si>
  <si>
    <t>Generic Request - Printer not working since change of email address and still have Garner creating two profiles</t>
  </si>
  <si>
    <t>mail address verification</t>
  </si>
  <si>
    <t>INC2525794</t>
  </si>
  <si>
    <t>incorrect  email address in Corporate Directory</t>
  </si>
  <si>
    <t>INC2524739</t>
  </si>
  <si>
    <t>User Has Lost CD1-5</t>
  </si>
  <si>
    <t>profile refersh</t>
  </si>
  <si>
    <t>SCTASK1203990</t>
  </si>
  <si>
    <t>mobile number update</t>
  </si>
  <si>
    <t>INC2485751</t>
  </si>
  <si>
    <t>ESSP04 - Uniform Portal Link Missing</t>
  </si>
  <si>
    <t>INC2491124</t>
  </si>
  <si>
    <t xml:space="preserve">No access to Ops dashboard </t>
  </si>
  <si>
    <t>OpsDash </t>
  </si>
  <si>
    <t>INC2494588</t>
  </si>
  <si>
    <t>No e-mail access</t>
  </si>
  <si>
    <t>Provided the steps to raise the CD request for Adid and o365 access</t>
  </si>
  <si>
    <t>SCTASK1189544</t>
  </si>
  <si>
    <t>Generic Request - Request to create test user id for collab apps login - Non production</t>
  </si>
  <si>
    <t>SCTASK1190416</t>
  </si>
  <si>
    <t>Generic Request - Hi, Please add to CD queue (APPSUP_CRPDIR). The below 'Test' accounts are requesting new passwords. These accounts are required by multiple users in TEST, therefore, we need to keep the existing password. Account 1 User ID – DPTest1, Password:- Dynam1c. Account 2  User ID – DPTest4, Password:- Dynam1c.   Account 3  User ID – DPTest12, Password:- Dynam1c. Please could you reset the account/s with the same password. Many thanks</t>
  </si>
  <si>
    <t>Automated resolved</t>
  </si>
  <si>
    <t>SCTASK1190299</t>
  </si>
  <si>
    <t>INC2494118</t>
  </si>
  <si>
    <t>BA-LHR- User reset his BSAFE Password using SSPR but not working</t>
  </si>
  <si>
    <t>SSPR</t>
  </si>
  <si>
    <t>SSPR not our scope, so moved to respective team.</t>
  </si>
  <si>
    <t>INC2492838</t>
  </si>
  <si>
    <t>Snowflake access</t>
  </si>
  <si>
    <t>OlympusSnowflake </t>
  </si>
  <si>
    <t>User having required access and moved to respective team</t>
  </si>
  <si>
    <t>SCTASK1191759</t>
  </si>
  <si>
    <t>Generic Request - Generic Request - Please create brian.collinson@testbaplc.com and add to the BA_APP_DOTPLATFORM_SANDBOX, BA_APP_BA_OBSERVABILITY_PORTAL_UAT  and BA_APP_DOTPLATFORM_UAT groups</t>
  </si>
  <si>
    <t>SCTASK1191926</t>
  </si>
  <si>
    <t>Generic Request - CD request of access revocation still active of associates who are offbaorded</t>
  </si>
  <si>
    <t>provided the information for user termination process</t>
  </si>
  <si>
    <t>INC2491757</t>
  </si>
  <si>
    <t>Cannot access Roster snapshot app</t>
  </si>
  <si>
    <t>RosterSnapshot </t>
  </si>
  <si>
    <t>INC2495115</t>
  </si>
  <si>
    <t>LHR -- BA -- Unable to access pay portal.</t>
  </si>
  <si>
    <t>Payportal</t>
  </si>
  <si>
    <t>INC2481308</t>
  </si>
  <si>
    <t>Not able to log in to Zetron</t>
  </si>
  <si>
    <t>Zetron </t>
  </si>
  <si>
    <t>SCTASK1192504</t>
  </si>
  <si>
    <t>Generic Request - test.baplc.com email address and request a temporary password for JUNE test environment. Needs to be sent to  BA_CyberOps_AD   queue</t>
  </si>
  <si>
    <t>SCTASK1190766</t>
  </si>
  <si>
    <t xml:space="preserve">Generic Request - JUNE test environment needs to be sent to  BA_CyberOps_AD   queue.  </t>
  </si>
  <si>
    <t>SCTASK1192498</t>
  </si>
  <si>
    <t>Generic Request - I changed my surname and I'd like to change my email address including my new surname instead of olga.ryszka@iaggbs.com to olga.wisniowska@iaggbs.com</t>
  </si>
  <si>
    <t>given the steps for email address change</t>
  </si>
  <si>
    <t>INC2497399</t>
  </si>
  <si>
    <t xml:space="preserve">I am trying to approve a request through Corporate Directory for one of my team. It comes up with Software Error </t>
  </si>
  <si>
    <t>INC2500512</t>
  </si>
  <si>
    <t>BA-LHR- User unable to get in to ESS</t>
  </si>
  <si>
    <t>User profile everything fine and moved to respective team.</t>
  </si>
  <si>
    <t>INC2500200</t>
  </si>
  <si>
    <t>Unable to access Corporate Directory</t>
  </si>
  <si>
    <t>INC2499015</t>
  </si>
  <si>
    <t>Unable to login service now portal - https://iagprod.service-now.com/</t>
  </si>
  <si>
    <t>INC2502193</t>
  </si>
  <si>
    <t>FOA APPSUP_CRPDIR.  CD error when trying to approve or reject for 20260709S6144456</t>
  </si>
  <si>
    <t>INC2501118</t>
  </si>
  <si>
    <t xml:space="preserve">Unable to order uniform </t>
  </si>
  <si>
    <t>SCTASK1194428</t>
  </si>
  <si>
    <t>Generic Request - Change Corporate Directory Owner: CrewInterfacesWSClient</t>
  </si>
  <si>
    <t>As per the required approval changed the mentioned ownership</t>
  </si>
  <si>
    <t>SCTASK1194281</t>
  </si>
  <si>
    <t>Generic Request - Please reset the CD UAT password for my Nid (N506911)</t>
  </si>
  <si>
    <t>Taken the required action in UAT</t>
  </si>
  <si>
    <t>INC2504551</t>
  </si>
  <si>
    <t>Provided the required steps for approval to remove the Keep user</t>
  </si>
  <si>
    <t>INC2504751</t>
  </si>
  <si>
    <t>Unable to access Tableu reports</t>
  </si>
  <si>
    <t>IAGTableau </t>
  </si>
  <si>
    <t>INC2506043</t>
  </si>
  <si>
    <t>Failure when saving an update in CD</t>
  </si>
  <si>
    <t>INC2505748</t>
  </si>
  <si>
    <t>BA-LHR-Retried staff-Required to move the profile</t>
  </si>
  <si>
    <t>Ex User</t>
  </si>
  <si>
    <t>INC2506334</t>
  </si>
  <si>
    <t>BA - retired staff profile is still showing CD as ex employee</t>
  </si>
  <si>
    <t>INC2506782</t>
  </si>
  <si>
    <t>Please assign to APPSUP_CRPDIR - unable to approve CD req</t>
  </si>
  <si>
    <t>INC2507001</t>
  </si>
  <si>
    <t>Unable to approve requests - please pass to APPSUP_CRPDIR</t>
  </si>
  <si>
    <t>INC2500563</t>
  </si>
  <si>
    <t>BA-LON- Unable to login TABLEAU</t>
  </si>
  <si>
    <t>INC2502472</t>
  </si>
  <si>
    <t xml:space="preserve">access issue </t>
  </si>
  <si>
    <t>INC2507030</t>
  </si>
  <si>
    <t>I can’t access the page</t>
  </si>
  <si>
    <t>INC2508009</t>
  </si>
  <si>
    <t>BA - User is a retired staff still showing in CD, user need to remove the profile to retired staff portal</t>
  </si>
  <si>
    <t>INC2507237</t>
  </si>
  <si>
    <t>BA-Retired staff profile still available in CD</t>
  </si>
  <si>
    <t>INC2507010</t>
  </si>
  <si>
    <t xml:space="preserve">LHR - unable to login operational dashboard </t>
  </si>
  <si>
    <t>INC2509263</t>
  </si>
  <si>
    <t>Unable to access corporate directory</t>
  </si>
  <si>
    <t>INC2503208</t>
  </si>
  <si>
    <t>BA- LHR-OPERATIONAL DASHBOARD - ERROR</t>
  </si>
  <si>
    <t>INC2509393</t>
  </si>
  <si>
    <t>users getting error message when trying to access 365.</t>
  </si>
  <si>
    <t>O365 </t>
  </si>
  <si>
    <t>Taken the required action in CD request</t>
  </si>
  <si>
    <t>INC2509222</t>
  </si>
  <si>
    <t>Unable to approve access request in Corporate Directory</t>
  </si>
  <si>
    <t>INC2507194</t>
  </si>
  <si>
    <t xml:space="preserve">My Nid and password do not work on CD-UAT </t>
  </si>
  <si>
    <t>INC2509343</t>
  </si>
  <si>
    <t>BA - LHR - Unable to find pay portal</t>
  </si>
  <si>
    <t>INC2511645</t>
  </si>
  <si>
    <t>INC2511705</t>
  </si>
  <si>
    <t xml:space="preserve">Issue while approving CD request - 20260707S3120554 for </t>
  </si>
  <si>
    <t>The CD request is already closed. No action is required</t>
  </si>
  <si>
    <t>SCTASK1199132</t>
  </si>
  <si>
    <t>Generic Request - Please remove the ClearView_Admin group membership from the CD end, as the ClearView application has already been decommissioned and is no longer in use.</t>
  </si>
  <si>
    <t>Taken the required action in CD ownership</t>
  </si>
  <si>
    <t>SCTASK1198191</t>
  </si>
  <si>
    <t>Generic Request - Could you please provide the Entra test credentials for the following user at the earliest?</t>
  </si>
  <si>
    <t>INC2512476</t>
  </si>
  <si>
    <t>BA - PHL - O365 - user cant able to access the Outlook getting error</t>
  </si>
  <si>
    <t>INC2513540</t>
  </si>
  <si>
    <t>Enable to approve system access request through ESS Corporate directory portal.</t>
  </si>
  <si>
    <t>INC2513690</t>
  </si>
  <si>
    <t xml:space="preserve"> BA- LHR- NOT ABLE TO ACCCESS  PAYPORTAL</t>
  </si>
  <si>
    <t>INC2505358</t>
  </si>
  <si>
    <t>Missing Items from my OUR BA ESS Personal Admin items</t>
  </si>
  <si>
    <t>Peopleonline</t>
  </si>
  <si>
    <t>INC2519651</t>
  </si>
  <si>
    <t>Software error:</t>
  </si>
  <si>
    <t>SCTASK1200902</t>
  </si>
  <si>
    <t xml:space="preserve">Generic Request - DWP -  User Access missing in Corporate Directory, kindly re-add the access back to User profile as User manager missed to action on this earlier in  access review. </t>
  </si>
  <si>
    <t>Provided the further queries</t>
  </si>
  <si>
    <t>SCTASK1201819</t>
  </si>
  <si>
    <t>Generic Request - Piotr is unable to access emanuals and specifically Docunet despite having access approved. Attached are all screenshots. This is is having an operational impact, as he is a Security Cabin Crew Trainer</t>
  </si>
  <si>
    <t>SCTASK1201455</t>
  </si>
  <si>
    <t>Generic Request - CIP-BA - Testbaplc account creation &amp; access to Onbusiness portals</t>
  </si>
  <si>
    <t>SCTASK1203208</t>
  </si>
  <si>
    <t xml:space="preserve">Generic Request - Request to add the testbaplc accounts for the below users: 1. priyanka.rokade@ba.com          2. kokila.m@ba.com        3. Vijaythraj.arumugavelan@ba.com  4. jeevabharathi.srinivaasan@ba.com   </t>
  </si>
  <si>
    <t>SCTASK1198951</t>
  </si>
  <si>
    <t>Generic Request - Hi Team, I would like to request an update to my display name in Microsoft Teams and Outlook. My full legal name is Vilojan Vijayachandran, however I prefer to be known as Vilo Vijayachandran. My email address and associated account details have already been updated to: vilo.vijayachandran@ba.com Additionally, the Corporate Directory is correctly reflecting "Vilo Vijayachandran", but my display name in Microsoft Teams and Outlook continues to show my previous name. Could you please investigate and update my display name in Teams and Outlook to Vilo Vijayachandran so that it is consistent across all systems? Please let me know if any additional information is required. Thank you for your assistance.</t>
  </si>
  <si>
    <t>moved to respective team for display name change</t>
  </si>
  <si>
    <t>SCTASK1203518</t>
  </si>
  <si>
    <t>Generic Request - Hi Team, Kindly provide us the entra test credential for the users -  user id - u707149, mail - darren.benton@ba.com  user id - u235729, Mail - sandra.lira@ba.com  Please let us know if any further information is needed ?</t>
  </si>
  <si>
    <t>INC2523046</t>
  </si>
  <si>
    <t>BA-LHR-ESP PIL- unable to access</t>
  </si>
  <si>
    <t>INC2523306</t>
  </si>
  <si>
    <t xml:space="preserve">Unable to access the Operational Dashboard and Roster Snapshot for cabin crew </t>
  </si>
  <si>
    <t>INC2515065</t>
  </si>
  <si>
    <t xml:space="preserve">BA - BLR - STATIONEVENLOG is not available in ESS page </t>
  </si>
  <si>
    <t xml:space="preserve">STATIONEVENLOG </t>
  </si>
  <si>
    <t>Provided steps for raising access request</t>
  </si>
  <si>
    <t>INC2522968</t>
  </si>
  <si>
    <t>techbar -  Unable to access internet</t>
  </si>
  <si>
    <t>INC2517938</t>
  </si>
  <si>
    <t>BA-LHR- User unable to get in to Staff Connect-ESS</t>
  </si>
  <si>
    <t>STAFF CONNECT</t>
  </si>
  <si>
    <t>INC2527734</t>
  </si>
  <si>
    <t>Account locked</t>
  </si>
  <si>
    <t>Verified user profile and looking fine</t>
  </si>
  <si>
    <t>SCTASK1203843</t>
  </si>
  <si>
    <t xml:space="preserve">Generic Request - To access the Ansible environment for testing. </t>
  </si>
  <si>
    <t>Created Testbaplc</t>
  </si>
  <si>
    <t>SCTASK1203717</t>
  </si>
  <si>
    <t>Generic Request - PaxiaIFXAndGP, create users in UAT and please can they then be synced up to the Entra ID UAT tenant. n540354@ba.com, n553340@ba.com, n508336@ba.com, n508014@ba.com, n506860@ba.com, n553622@ba.com, n504044@ba.com</t>
  </si>
  <si>
    <t>SCTASK1205217</t>
  </si>
  <si>
    <t>Generic Request - As part of the Load cargo upgrade project required CD UAT password reset to access the FLY application,Nid-519941</t>
  </si>
  <si>
    <t>Validated UAT password</t>
  </si>
  <si>
    <t>SCTASK1201500</t>
  </si>
  <si>
    <t>User has been added to required group</t>
  </si>
  <si>
    <t>SCTASK1199890</t>
  </si>
  <si>
    <t>POLA03-Legal Name change</t>
  </si>
  <si>
    <t>Passed  to respective team</t>
  </si>
  <si>
    <t>SCTASK1199780</t>
  </si>
  <si>
    <t xml:space="preserve">Generic Request - Sick Leave link/button is not available in my ESS, under Personal Admin group. </t>
  </si>
  <si>
    <t>MyAbsense</t>
  </si>
  <si>
    <t>Provided steps for raising requests</t>
  </si>
  <si>
    <t>SCTASK1201104</t>
  </si>
  <si>
    <t>Generic Request - ATTN APPSUP_CRPDIR // CD systems access service queue error</t>
  </si>
  <si>
    <t>SCTASK1201397</t>
  </si>
  <si>
    <t>Generic Request - Need testbaplc account</t>
  </si>
  <si>
    <t>SCTASK1200963</t>
  </si>
  <si>
    <t>Generic Request - Request to Create New Test IDs for iOrder UAT Testing</t>
  </si>
  <si>
    <t>SCTASK1196705</t>
  </si>
  <si>
    <t>BYB</t>
  </si>
  <si>
    <t>User is having access for the required application.</t>
  </si>
  <si>
    <t>SCTASK1197179</t>
  </si>
  <si>
    <t>Generic Request - Hi Team, we are facing some issues with a few user IDs at the moment. u122802, u122805, u122817</t>
  </si>
  <si>
    <t>SCTASK1200723</t>
  </si>
  <si>
    <t>Generic Request - Unable to sign in "Uniform Ordering"</t>
  </si>
  <si>
    <t>SCTASK1194560</t>
  </si>
  <si>
    <t>Generic Request - IPAD request</t>
  </si>
  <si>
    <t>Slate Device</t>
  </si>
  <si>
    <t>SCTASK1197429</t>
  </si>
  <si>
    <t>Generic Request - Need to mirror the id of Mounika (N545181) which she has access in CD to my nid(n562609)</t>
  </si>
  <si>
    <t>User has been added to the required application.</t>
  </si>
  <si>
    <t>SCTASK1199708</t>
  </si>
  <si>
    <t>Generic Request - The user Ricard Fos n562573 has his account blocked.</t>
  </si>
  <si>
    <t>SCTASK1199131</t>
  </si>
  <si>
    <t>Generic Request - CIP-BA - Testbaplc account and access to CIP portals for new user</t>
  </si>
  <si>
    <t>SCTASK1193047</t>
  </si>
  <si>
    <t>Generic Request - Require CD details from Jan 1st 2025 to till date, for CFS application. Assign it to APPSUP_CRPDIR.</t>
  </si>
  <si>
    <t>SCTASK1197388</t>
  </si>
  <si>
    <t xml:space="preserve">Generic Request - BA_APP_VIEWDIRECT_UAT , create users in UAT and please can they then be synced up to the Entra ID UAT tenant, please contact me directly if any queries User requires a test account to be added in Entra, please send password directly to user  - patrick.robson@ba.com </t>
  </si>
  <si>
    <t>SCTASK1192528</t>
  </si>
  <si>
    <t>Request to install  SAP BusinessObjects Live Office 4.1 SP6</t>
  </si>
  <si>
    <t>SCTASK1193292</t>
  </si>
  <si>
    <t xml:space="preserve">Generic Request - Urgent Task : Need to amend the required details in the master tracker </t>
  </si>
  <si>
    <t>SCTASK1189431</t>
  </si>
  <si>
    <t>Generic Request - Test account creation for user - n523480</t>
  </si>
  <si>
    <t>SCTASK1188972</t>
  </si>
  <si>
    <t>Generic Request - vmware, create users in UAT and please can they then be synced up to the Entra ID UAT tenant. dheenadhayalan.ramasamy@ba.com, kathiravan.raja@ba.com, manogar.marimuthu@ba.com</t>
  </si>
  <si>
    <t>SCTASK1185902</t>
  </si>
  <si>
    <t>Generic Request - Kindly help with latest NID revocation status for below associates Emp No	Employee Name	NIDs 1342850	Ms. Lakshmi S	N557331 1787429	Ms. Medha   Manoj	N505493 2175237	Mr. Shivam Jaiswal	N554364 2190204	Mr. Mir Hashim H	N556422 2207690	Miss Priyal Modi	N555765 2403633	Ms. Amrutha N	N554006 2521243	Mr. Mohammed Faiz Kanakkanakath	N555766 2557116	Mr. Gautam Krishnan P	N556572 2567438	Mr. Krishna Rao	N544196 2771677	Mr. Ravindra Jha	N553627 3167794	Mr. Saikraju Surapuraju	N557731</t>
  </si>
  <si>
    <t>SCTASK1189956</t>
  </si>
  <si>
    <t xml:space="preserve">Generic Request - Request to create an prelive-entra id profile(testbaplc) and enable access to these applications(BA_APP_NRMSWEB_SIT, BA_APP_NRMSLOADS_SIT, BA_APP_NRMSDUT_SIT).  </t>
  </si>
  <si>
    <t>SCTASK1189952</t>
  </si>
  <si>
    <t>Generic Request - Request to create an prelive-entra id profile(testbaplc) and enable access to these applications(BA_APP_NRMSWEB_SIT, BA_APP_NRMSLOADS_SIT, BA_APP_NRMSDUT_SIT).</t>
  </si>
  <si>
    <t>SCTASK1190730</t>
  </si>
  <si>
    <t>Generic Request - routeprofiabilityanalysis, create users in UAT and please can they then be synced up to the Entra ID UAT tenant, aggrima.agnihotri@ba.com</t>
  </si>
  <si>
    <t>SCTASK1192440</t>
  </si>
  <si>
    <t xml:space="preserve">Generic Request - Access to Travelbox Central </t>
  </si>
  <si>
    <t>SCTASK1190023</t>
  </si>
  <si>
    <t>Generic Request - LoadCargo app name, create users in UAT and please can they  then be synced up to the Entra ID UAT tenant, [geethu.sunny@iagcargo.com], please contact me directly if any queries</t>
  </si>
  <si>
    <t>SCTASK1193524</t>
  </si>
  <si>
    <t>Generic Request - Need access to BA_APP_C360_SIT</t>
  </si>
  <si>
    <t>SCTASK1191886</t>
  </si>
  <si>
    <t xml:space="preserve">Generic Request - Access to Travelbox Central (Stg &amp; Prod - Product Manager for HotelSOS) </t>
  </si>
  <si>
    <t>Travel Box</t>
  </si>
  <si>
    <t>SCTASK1190709</t>
  </si>
  <si>
    <t>Generic Request - Please provide the list of all users with company field in excel format.</t>
  </si>
  <si>
    <t>SCTASK1203927</t>
  </si>
  <si>
    <t xml:space="preserve">Generic Request - need access for ANSIBLE tool as part of testing </t>
  </si>
  <si>
    <t>We have validated the password in CD UAT.</t>
  </si>
  <si>
    <t>We have synchronized the password from UID to SID in CD UAT.</t>
  </si>
  <si>
    <t>We have taken neccesary actions from our end.</t>
  </si>
  <si>
    <t>We have verified the user profile and pegasus access from CD end. Everyting seems to be fine from CD.</t>
  </si>
  <si>
    <t>INC2516477</t>
  </si>
  <si>
    <t>PGSS-7-Unable to login he application</t>
  </si>
  <si>
    <t xml:space="preserve">INC2517104 </t>
  </si>
  <si>
    <t xml:space="preserve">PGSS-7-BA-NCL-Unable to access the PEGASUS </t>
  </si>
  <si>
    <t>PGSS-7-BA - NCL  - not able to access pegasus
Getting error</t>
  </si>
  <si>
    <t>SCTASK1193169</t>
  </si>
  <si>
    <t>Generic Request - Can CD share the following information: 1. External outbound static IP for CD servers in Test and prod 2. AWS account and EC2 instance details.</t>
  </si>
  <si>
    <t>Sreyas</t>
  </si>
  <si>
    <t>SCTASK1189216</t>
  </si>
  <si>
    <t xml:space="preserve">Generic Request - Please pass this request to APPSUP_CRPDIR group. Please get the below users bulk loaded to EntraIAG Cargo tenant, so that they can access accelerate application, and share the auto generated credentials, incl passwords, for each. N550822 @J Sudha N550820 @Parkash Satiyaar N561548 @Sayli Vaman Pawar   </t>
  </si>
  <si>
    <t xml:space="preserve">We have taken the necessary actions. </t>
  </si>
  <si>
    <t>SCTASK1193286</t>
  </si>
  <si>
    <t>Generic Request - Could you please set the banner for the HERABAFlightOps  application in CD Live,  This application is scheduled to migrate to the SailPoint project on 14 July 2026. Kindly set the banner on 14 July 2026 to reflect this migration. attached the banner Content in the attachment.</t>
  </si>
  <si>
    <t xml:space="preserve"> HERABAFlightOps</t>
  </si>
  <si>
    <t>SCTASK1199435</t>
  </si>
  <si>
    <t>Generic Request - As per the recent requirement to establish connectivity to Swiipr application, we need external outbound static IP enabled in pathway. Can you please enable this external outbound static IP for our application</t>
  </si>
  <si>
    <t xml:space="preserve">Swiipr </t>
  </si>
  <si>
    <t xml:space="preserve">BAHS </t>
  </si>
  <si>
    <t>Passed to required team</t>
  </si>
  <si>
    <t>SCTASK1201036</t>
  </si>
  <si>
    <t>Generic Request - Could you please set the banner for the Matterport application in CD Live, This application is scheduled to migrate to the SailPoint project on 28th July 2026. Kindly set the banner on 28 July 2026 to reflect this migration. attached the banner Content in the attachment.</t>
  </si>
  <si>
    <t>Matterport </t>
  </si>
  <si>
    <t>SCTASK1198053</t>
  </si>
  <si>
    <t>Generic Request - OLCi1 has been decommissioned, so need to revoke the user's access via bulk back fill</t>
  </si>
  <si>
    <t xml:space="preserve">OLCi1 </t>
  </si>
  <si>
    <t>SCTASK1194068</t>
  </si>
  <si>
    <t>Generic Request - Disable CD Service Accounts</t>
  </si>
  <si>
    <t>SCTASK1197133</t>
  </si>
  <si>
    <t>Optima</t>
  </si>
  <si>
    <t>SCTASK1201078</t>
  </si>
  <si>
    <t xml:space="preserve">Generic Request - Over 4300 Flight Crew system access reviews </t>
  </si>
  <si>
    <t>SCTASK1203690</t>
  </si>
  <si>
    <t>Generic Request - Add ENTRA approver workflow for ATR</t>
  </si>
  <si>
    <t>SCTASK1195527</t>
  </si>
  <si>
    <t>Generic Request - Hi Team, could you please add the Resource Approval UAT role group for Entra in CD UAT.</t>
  </si>
  <si>
    <t>SCTASK1195237</t>
  </si>
  <si>
    <t>Generic Request - Hi Team, could you please add the My Sickness Absence UAT role group for Entra in CD UAT.</t>
  </si>
  <si>
    <t>SCTASK1204043</t>
  </si>
  <si>
    <t>Generic Request - Add child request to EFCC and EFFC parent requests</t>
  </si>
  <si>
    <t>SCTASK1183608</t>
  </si>
  <si>
    <t>Generic Request - O365: BA.com email addresses required for Users</t>
  </si>
  <si>
    <t>Navaneeth</t>
  </si>
  <si>
    <t>SCTASK1191628</t>
  </si>
  <si>
    <t>Generic Request - New cabin crew access request</t>
  </si>
  <si>
    <t>SCTASK1193994</t>
  </si>
  <si>
    <t xml:space="preserve">Generic Request - Dont have user and password for  https://my.baplc.com/group/baplc/home </t>
  </si>
  <si>
    <t>SCTASK1197443</t>
  </si>
  <si>
    <t>Generic Request - Tableau update within Corporate Directory</t>
  </si>
  <si>
    <t>SCTASK1200096</t>
  </si>
  <si>
    <t>Generic Request - Operational Dashboard update within Corporate Directory</t>
  </si>
  <si>
    <t>SCTASK1200385</t>
  </si>
  <si>
    <t>Generic Request - RITM1278028 - not able to proceed with solution suggested, support required</t>
  </si>
  <si>
    <t>SCTASK1200594</t>
  </si>
  <si>
    <t>Generic Request - Update of baaccparams, barole and other parameters in CD UAT for test users</t>
  </si>
  <si>
    <t>SCTASK1200835</t>
  </si>
  <si>
    <t>Generic Request - There are 5 Enterprise apps in Entra for FOMAX, 4 I suspect are not required and from a previous onboarding attempt. Can theses, along with their groups, be assessed for activity and cleaned up if not in use? The one in use is BA_APP_FOMAX_PROD.</t>
  </si>
  <si>
    <t>SCTASK1202703</t>
  </si>
  <si>
    <t>Generic Request - To add Entra team in the CD application workflow</t>
  </si>
  <si>
    <t>INC2520873</t>
  </si>
  <si>
    <t>INC2527547</t>
  </si>
  <si>
    <t>BATCH JOB - JOB FAILED - UZE9050</t>
  </si>
  <si>
    <t>INC2526366</t>
  </si>
  <si>
    <t>INC2520931</t>
  </si>
  <si>
    <t>INC2508007</t>
  </si>
  <si>
    <t>Having issues with BA account</t>
  </si>
  <si>
    <t>INC2524704</t>
  </si>
  <si>
    <t>INC2513215</t>
  </si>
  <si>
    <t xml:space="preserve">Unable to proceed "Corporate Directory  System Access" --&gt;   Adid --&gt; Login ID--&gt; Change --&gt; "External" to "UK" domain for GHA staff </t>
  </si>
  <si>
    <t>INC2508492</t>
  </si>
  <si>
    <t>User status is approved in POL but it is still showing as not approved in CD. POL checked and confirmed to check with HR. Please check the u277498</t>
  </si>
  <si>
    <t>INC2527559</t>
  </si>
  <si>
    <t>UZE9063(le1pathwwp001.pathw-prd.int.iag.cloud) RUN=13 RC=107 - PLEASE INVESTIGATE ; 2tw20</t>
  </si>
  <si>
    <t>We have verified the user profile and pegasus access from CD end. The CD Lookup webservice is working fine from CD.</t>
  </si>
  <si>
    <t>INC2509273</t>
  </si>
  <si>
    <t>BA-LHR-Pegasus login issue</t>
  </si>
  <si>
    <t>INC2509420</t>
  </si>
  <si>
    <t>PGSS-7-BA - DEL - Unable to sign in QIK</t>
  </si>
  <si>
    <t>User profile looking fine from CD end</t>
  </si>
  <si>
    <t>INC2509381</t>
  </si>
  <si>
    <t>PGGS-7-BA - NCL - not able to access pegasus</t>
  </si>
  <si>
    <t>INC2506483</t>
  </si>
  <si>
    <t>PGSS-7-DEL - pegaus log in issue</t>
  </si>
  <si>
    <t>SCTASK1195421</t>
  </si>
  <si>
    <t>Generic Request - Adding Servicing_Cloud to the daily batch retry job for Corporate Directory Request Processing</t>
  </si>
  <si>
    <t>INC2506621</t>
  </si>
  <si>
    <t>PGSS-7-User rahul.ravindra.singh@ba.com unable to log into Pegasus due to ASP10001 error</t>
  </si>
  <si>
    <t>We could see that user is having mentioned office Id access in CD. User profile looks fien from CD end</t>
  </si>
  <si>
    <t>We have refreshed the user profile in CD UAT</t>
  </si>
  <si>
    <t>INC2496787</t>
  </si>
  <si>
    <t>PGSS-7-Staff unable to logon into Pegasus</t>
  </si>
  <si>
    <t>We have verivied the user profile and pegasus access from CD. Everything seems to be fine from CD end.</t>
  </si>
  <si>
    <t>INC2499068</t>
  </si>
  <si>
    <t>PYPT04 - BA-LHR- Issues with log in into pay portal</t>
  </si>
  <si>
    <t>Verified the flag access and shared the CD steps</t>
  </si>
  <si>
    <t>INC2505230</t>
  </si>
  <si>
    <t>BOM - unable to login exceed turbox</t>
  </si>
  <si>
    <t>Checked host group access informed the CD steps to the user</t>
  </si>
  <si>
    <t>INC2504051</t>
  </si>
  <si>
    <t>BATCH JOB - JOB FAILED - UP31251(P3CORPDIR)#Source data#</t>
  </si>
  <si>
    <t>Updated users start date via manually from CD end</t>
  </si>
  <si>
    <t>SCTASK1196343</t>
  </si>
  <si>
    <t>Generic Request - Hi Team, could you please add the My Opportunities UAT role group for Entra in CD UAT.</t>
  </si>
  <si>
    <t>Added the applications into respective EntraID groups</t>
  </si>
  <si>
    <t>SCTASK1193460</t>
  </si>
  <si>
    <t>Generic Request - I have access to Manage My Recruitment but I cant log in</t>
  </si>
  <si>
    <t>MMC</t>
  </si>
  <si>
    <t>SCTASK1193954</t>
  </si>
  <si>
    <t>Generic Request - Kindy help with NID revocation status . Please assign to APPSUP_CRPDIR</t>
  </si>
  <si>
    <t>Helped for users termination process in CD end</t>
  </si>
  <si>
    <t>SCTASK1195266</t>
  </si>
  <si>
    <t xml:space="preserve">Generic Request - Please add the following server to the host group </t>
  </si>
  <si>
    <t>Checked the provided the CD steps for getting the host group access</t>
  </si>
  <si>
    <t>SCTASK1195306</t>
  </si>
  <si>
    <t>Generic Request - Kindly update the Line Manager from Seema Wilson to Manoj Deivamani, and the Senior Manager from Jamie to Sarumathy Nagarajan temporarily in the UAT CD environment for Contact Log enhancement testing.</t>
  </si>
  <si>
    <t>Updated changes for the user profile in CD UAT for testing</t>
  </si>
  <si>
    <t>SCTASK1193202</t>
  </si>
  <si>
    <t xml:space="preserve">ESSP07 - Generic Request - Request for detailed list of ESS Users </t>
  </si>
  <si>
    <t>Exported the report and shared to the user in CD end</t>
  </si>
  <si>
    <t>INC2511757</t>
  </si>
  <si>
    <t>Retired staff</t>
  </si>
  <si>
    <t>Helped for the user termination process in CD end</t>
  </si>
  <si>
    <t>INC2511730</t>
  </si>
  <si>
    <t>BA-LGW- user unable change BSAFE Password</t>
  </si>
  <si>
    <t>Shared the password creation time stamp details to the user</t>
  </si>
  <si>
    <t>INC2510344</t>
  </si>
  <si>
    <t>POLA07-LHR -- BA -- New role isn't updated in cd, teams and outlook</t>
  </si>
  <si>
    <t>User title change verified and passed to POL team</t>
  </si>
  <si>
    <t>INC2508003</t>
  </si>
  <si>
    <t>Access to Amadeus Teams Workspace blocked since early April</t>
  </si>
  <si>
    <t>Shared the application status to the user</t>
  </si>
  <si>
    <t>INC2509725</t>
  </si>
  <si>
    <t>Ops dashboard access</t>
  </si>
  <si>
    <t>OPSdashboard</t>
  </si>
  <si>
    <t>Added to the respective team with entra groups</t>
  </si>
  <si>
    <t>SCTASK1199234</t>
  </si>
  <si>
    <t>Generic Request - Please grant permission for MANAGE MY CISCO app on my ESS</t>
  </si>
  <si>
    <t>Provided my SAF access to CD end</t>
  </si>
  <si>
    <t>INC2515492</t>
  </si>
  <si>
    <t>Incorrectly listed as an AVCD access approver.</t>
  </si>
  <si>
    <t>Shared the application ownership steps to the user</t>
  </si>
  <si>
    <t>INC2517853</t>
  </si>
  <si>
    <t>Ba-LHR-Retired staff-Requried to move the profile</t>
  </si>
  <si>
    <t>Shared to the AD group details to supcad for helping ex user profile</t>
  </si>
  <si>
    <t>SCTASK1197467</t>
  </si>
  <si>
    <t>Generic Request - Remove Nirvana-suit entry from AWS Console</t>
  </si>
  <si>
    <t>Required information has been providedRequired information has been provided</t>
  </si>
  <si>
    <t>SCTASK1197891</t>
  </si>
  <si>
    <t xml:space="preserve">Generic Request - FOMAX Ground, CD team to add the additional approval step "Entra BAU team approval" in addition to the existing CD workflow approval. This maps to the Entra Application BA_FOMAX_PROD in the production tenant. </t>
  </si>
  <si>
    <t xml:space="preserve">GroundFOMAX </t>
  </si>
  <si>
    <t xml:space="preserve">As per your request, we have added the required properties and workflow for the GroundFOMAX application in CD. </t>
  </si>
  <si>
    <t>INC2517555</t>
  </si>
  <si>
    <t>Please can you advise who carried out the CD review "Oracle - Oracle DBA Access for Unix" - "Special Users" on 4th June 2026.</t>
  </si>
  <si>
    <t>Required action has been done</t>
  </si>
  <si>
    <t>INC2520067</t>
  </si>
  <si>
    <t>Unable to access the ESS portal.</t>
  </si>
  <si>
    <t>SCTASK1199221</t>
  </si>
  <si>
    <t>Generic Request - We have identified an issue in the RAS UAT application. For certain organizational hierarchy codes, the Resource Approval (RA/AP) process is unable to identify the required Finance and PBP approvers due to a data synchronization gap between the POL UAT and CD UAT environments when fetching approver details from CD (UAT).  Could you please investigate and apply a fix at the earliest to ensure the CD UAT  org details data is synchronized with the latest CD live data?  Please let us know if any additional information is required from our end.</t>
  </si>
  <si>
    <t>INC2519924</t>
  </si>
  <si>
    <t>POLA07-failed to login ESS in both Edge and Chrome</t>
  </si>
  <si>
    <t>Passed it to respective team</t>
  </si>
  <si>
    <t>INC2513539</t>
  </si>
  <si>
    <t>PYPT04 - BA-LON-Unable to access MY Benefits and payportal</t>
  </si>
  <si>
    <t>Pay Portal</t>
  </si>
  <si>
    <t>INC2521739</t>
  </si>
  <si>
    <t>PYPT04 - Access to payroll portal</t>
  </si>
  <si>
    <t>INC2521566</t>
  </si>
  <si>
    <t>Unable to access 2942 AWS console</t>
  </si>
  <si>
    <t>INC2522889</t>
  </si>
  <si>
    <t>Internet proxy Issue</t>
  </si>
  <si>
    <t>SCTASK1204842</t>
  </si>
  <si>
    <t xml:space="preserve">Generic Request -  Hi, Please add to CD queue (APPSUP_CRPDIR). The below 4 'Test' accounts are requesting new passwords. These accounts are required by multiple users in TEST, therefore, we need to keep the existing password.   Account 1 User ID – xRez1, Password:- Dynam1c.  Account 2 User ID – xRez2, Password:- Dynam1c. Account 3 User ID – xRez3, Password:- Dynam1c. Account 4 User ID – xRez4, Password:- Dynam1c.  Please could you reset the accounts with the existing passwords.  Many thanks as ever, Sarah C </t>
  </si>
  <si>
    <t>SCTASK1201695</t>
  </si>
  <si>
    <t>Generic Request - APPSUP_CRPDIR  - Hello, I require a full list of users assigned to all AdobeTools roles please. This is needed to update Entra as we've noticed on a call with Mukti that we're missing a lot of users in the Entra groups. For clarity I've added a list of all of the AdobeTools roles. Thanks, Chris</t>
  </si>
  <si>
    <t xml:space="preserve">AdobeTools </t>
  </si>
  <si>
    <t>SCTASK1195456</t>
  </si>
  <si>
    <t>Generic Request - Deleted Business Objects application Users are reflecting/recreated in BO Users list after LDAP authentication updated</t>
  </si>
  <si>
    <t>SCTASK1201069</t>
  </si>
  <si>
    <t>Generic Request - update and merge various CD groups</t>
  </si>
  <si>
    <t>Service Now</t>
  </si>
  <si>
    <t>SCTASK1197796</t>
  </si>
  <si>
    <t>Checking with user in teams</t>
  </si>
  <si>
    <t>INC2521127</t>
  </si>
  <si>
    <t>Ultramain ETE</t>
  </si>
  <si>
    <t>SCTASK1197463</t>
  </si>
  <si>
    <t>Generic Request - Remove Nirvana-suit entry from CD</t>
  </si>
  <si>
    <t>Nirvana</t>
  </si>
  <si>
    <t>INC2468427</t>
  </si>
  <si>
    <t>PGSS-7-Staff is unable to login on Pegasus</t>
  </si>
  <si>
    <t xml:space="preserve">We could see that user has access from CD end </t>
  </si>
  <si>
    <t>INC2488638</t>
  </si>
  <si>
    <t>User is facing login with these credentials on stv prelive. Can you please check.</t>
  </si>
  <si>
    <t>STV</t>
  </si>
  <si>
    <t xml:space="preserve">User doesnt have access from CD end have suggested user to raise the access for the application </t>
  </si>
  <si>
    <t>Veirifed user access at CD end</t>
  </si>
  <si>
    <t>INC2502283</t>
  </si>
  <si>
    <t>unable to access - putty</t>
  </si>
  <si>
    <t>Provided steps to raise host group access</t>
  </si>
  <si>
    <t>SCTASK1194295</t>
  </si>
  <si>
    <t>Generic Request - As part of the Load cargo upgrade project required CD UAT password reset to access the FLY application,Nid-543522</t>
  </si>
  <si>
    <t>Veirifcation Only</t>
  </si>
  <si>
    <t>No issues found in user profile</t>
  </si>
  <si>
    <t>INC2505831</t>
  </si>
  <si>
    <t>Unable to login Linux servers</t>
  </si>
  <si>
    <t>Verified user access at CD end</t>
  </si>
  <si>
    <t>SCTASK1196127</t>
  </si>
  <si>
    <t>Generic Request - As part of application team, we are required to perform python patching in the servers which host our application. the server is asking for username and password (iag-user and password). kindly provide temporary or permanent credentials to perform patching.</t>
  </si>
  <si>
    <t>INC2517028</t>
  </si>
  <si>
    <t xml:space="preserve">Iflight has dissapeared from ESS </t>
  </si>
  <si>
    <t>Veirification Only</t>
  </si>
  <si>
    <t>Provided steps to raise CD access</t>
  </si>
  <si>
    <t>hi team, for about a week now i have not been able to update delay codes in fico (example entry: I FT BA987/28JUN)</t>
  </si>
  <si>
    <t>FICO</t>
  </si>
  <si>
    <t>User has access from CD end. Triaged to support team</t>
  </si>
  <si>
    <t>INC2476645</t>
  </si>
  <si>
    <t>BATCH JOB - Job EXECTIME Error - UZE9006</t>
  </si>
  <si>
    <t>Batch running successfully</t>
  </si>
  <si>
    <t>INC2495266</t>
  </si>
  <si>
    <t>UNABLE TO ASSIGN TICKETS</t>
  </si>
  <si>
    <t>Jira</t>
  </si>
  <si>
    <t>Out of scope from CD end. Triaged to support team</t>
  </si>
  <si>
    <t>INC2483108</t>
  </si>
  <si>
    <t>SAILPOINT (prd): Warning: : provisioning_failed</t>
  </si>
  <si>
    <t>Zetron</t>
  </si>
  <si>
    <t>Advised user to raise CD request to get application access.</t>
  </si>
  <si>
    <t>INC2489663</t>
  </si>
  <si>
    <t>Actioning step missing for TeamCentreX</t>
  </si>
  <si>
    <t>TEAMCENTREX</t>
  </si>
  <si>
    <t>Added Entra team to workflow</t>
  </si>
  <si>
    <t>INC2502131</t>
  </si>
  <si>
    <t>Took necessary actions and restarted the batch. Batch running successfully</t>
  </si>
  <si>
    <t>INC2493142</t>
  </si>
  <si>
    <t>EFFC request isn't generating child DETAIL-Wearer request</t>
  </si>
  <si>
    <t>EFFCNewStarter</t>
  </si>
  <si>
    <t>Rectified the Detail -Wearer CD ticket issue</t>
  </si>
  <si>
    <t>INC2515092</t>
  </si>
  <si>
    <t xml:space="preserve">ESSP04 - BA - BLR - STATIONEVENLOG is not available in ESS page </t>
  </si>
  <si>
    <t>StationEventsLog</t>
  </si>
  <si>
    <t>INC2512218</t>
  </si>
  <si>
    <t>INC2510771</t>
  </si>
  <si>
    <t>INC2513047</t>
  </si>
  <si>
    <t>BATCH JOB - JOB FAILED - UZE9153</t>
  </si>
  <si>
    <t>Resolved CD request for sensitive review batch. Waiting next batch run</t>
  </si>
  <si>
    <t>INC2520526</t>
  </si>
  <si>
    <t>New pilot joiners unable to access Quantum</t>
  </si>
  <si>
    <t>Shared the email addresses of users</t>
  </si>
  <si>
    <t>INC2477472</t>
  </si>
  <si>
    <t xml:space="preserve">POLA07-Retired staff - unable to access staff travel </t>
  </si>
  <si>
    <t>user already left in CD, no action is required from our end.</t>
  </si>
  <si>
    <t>INC2491549</t>
  </si>
  <si>
    <t>BA-LHR-Payportal- Link missing in ESS</t>
  </si>
  <si>
    <t>SecurID </t>
  </si>
  <si>
    <t>moved to respective for further assistance.</t>
  </si>
  <si>
    <t>INC2483015</t>
  </si>
  <si>
    <t>AIRC04 - LHR  unable to login to Coruson</t>
  </si>
  <si>
    <t xml:space="preserve">Coruson </t>
  </si>
  <si>
    <t>unable to find the application hence moved.</t>
  </si>
  <si>
    <t>INC2476317</t>
  </si>
  <si>
    <t xml:space="preserve">Can't log in Phoenix Prelive Instance </t>
  </si>
  <si>
    <t>INC2483495</t>
  </si>
  <si>
    <t>Hand Held Device (HHD) cannot login to handling area</t>
  </si>
  <si>
    <t>HHD</t>
  </si>
  <si>
    <t>out of scope moved to respective for further assistance.</t>
  </si>
  <si>
    <t>INC2500366</t>
  </si>
  <si>
    <t>INC2495563</t>
  </si>
  <si>
    <t>INC2492129</t>
  </si>
  <si>
    <t>SCTASK1185827</t>
  </si>
  <si>
    <t>Generic Request - For the domain Consolidation project we need a list of all Cargo users who use the application FLY in any capacity including or highlighting the following groups "CARGO Flight Controller - Read - Write (by Product) or CARGO View only - Read Only, No Print Function</t>
  </si>
  <si>
    <t xml:space="preserve">FLY </t>
  </si>
  <si>
    <t>Have shared the user requested data</t>
  </si>
  <si>
    <t>SCTASK1188062</t>
  </si>
  <si>
    <t>Generic Request - there is profile issue for catia.motta@iagcargo.com. Nid/uid or employee ID that is not updated in this profile. Please update it at CD end</t>
  </si>
  <si>
    <t>INC2496092</t>
  </si>
  <si>
    <t>Uniform ordering page on ESS</t>
  </si>
  <si>
    <t>INC2498221</t>
  </si>
  <si>
    <t>BA-Retired-Retired staff profile is still in CD</t>
  </si>
  <si>
    <t>INC2497219</t>
  </si>
  <si>
    <t>Can not log in to Systems Access on the Corporate Directory</t>
  </si>
  <si>
    <t>provide the required steps and moved to respective team</t>
  </si>
  <si>
    <t>INC2499500</t>
  </si>
  <si>
    <t>Getting Forecpoint error while trying to access differnet websites in BA laptop</t>
  </si>
  <si>
    <t>Given the required information</t>
  </si>
  <si>
    <t>SCTASK1191819</t>
  </si>
  <si>
    <t>Generic Request - Request for View Direct User Role Access in both UAT and LIVE environment</t>
  </si>
  <si>
    <t>View Direct</t>
  </si>
  <si>
    <t>Have taken the required action in UAT and Live</t>
  </si>
  <si>
    <t>SCTASK1192142</t>
  </si>
  <si>
    <t>Automated resolvation</t>
  </si>
  <si>
    <t>SCTASK1190318</t>
  </si>
  <si>
    <t xml:space="preserve">housekeeping </t>
  </si>
  <si>
    <t>SCTASK1192778</t>
  </si>
  <si>
    <t>Request to install  Crew Medical Assessment</t>
  </si>
  <si>
    <t>CMA </t>
  </si>
  <si>
    <t>SCTASK1195340</t>
  </si>
  <si>
    <t>Generic Request - Request to Remove Auto-Approval Option in Concur Non-Live Environment</t>
  </si>
  <si>
    <t>ConcurAdmin </t>
  </si>
  <si>
    <t xml:space="preserve">Have taken the required action in UAT </t>
  </si>
  <si>
    <t>SCTASK1195960</t>
  </si>
  <si>
    <t>SCTASK1193967</t>
  </si>
  <si>
    <t>INC2497479</t>
  </si>
  <si>
    <t>INC2490812</t>
  </si>
  <si>
    <t>BA-BOM-Stafftravel-unable to login</t>
  </si>
  <si>
    <t> staff travel</t>
  </si>
  <si>
    <t>INC2506734</t>
  </si>
  <si>
    <t>INC2482604</t>
  </si>
  <si>
    <t>INC2508184</t>
  </si>
  <si>
    <t>spain-RETIRED STAFF-- Profile still showing in CD</t>
  </si>
  <si>
    <t>INC2527664</t>
  </si>
  <si>
    <t>User Unable to Login</t>
  </si>
  <si>
    <t>INC2523054</t>
  </si>
  <si>
    <t>INC2529158</t>
  </si>
  <si>
    <t>INC2525730</t>
  </si>
  <si>
    <t>INC2526423</t>
  </si>
  <si>
    <t>INC2518566</t>
  </si>
  <si>
    <t>INC2525612</t>
  </si>
  <si>
    <t>INC2477746</t>
  </si>
  <si>
    <t>INC2527953</t>
  </si>
  <si>
    <t>INC2528860</t>
  </si>
  <si>
    <t>INC2531885</t>
  </si>
  <si>
    <t>INC2506765</t>
  </si>
  <si>
    <t>SCTASK1208143</t>
  </si>
  <si>
    <t>SCTASK1207695</t>
  </si>
  <si>
    <t>SCTASK1204402</t>
  </si>
  <si>
    <t>SCTASK1206977</t>
  </si>
  <si>
    <t>SCTASK1207586</t>
  </si>
  <si>
    <t>SCTASK1206543</t>
  </si>
  <si>
    <t>SCTASK1205927</t>
  </si>
  <si>
    <t>SCTASK1205535</t>
  </si>
  <si>
    <t>SCTASK1207052</t>
  </si>
  <si>
    <t>SCTASK1206913</t>
  </si>
  <si>
    <t>SCTASK1206823</t>
  </si>
  <si>
    <t>SCTASK1198976</t>
  </si>
  <si>
    <t>SCTASK1207296</t>
  </si>
  <si>
    <t>Generic Request - Corporate Directory options for Pegasus to be updated with 2 new options</t>
  </si>
  <si>
    <t>SCTASK1210656</t>
  </si>
  <si>
    <t>I want to get FLY access for checking passenger or seats left on a flight as well as for cargo like my colleague.</t>
  </si>
  <si>
    <t>INC2521653</t>
  </si>
  <si>
    <t>HUPA request fails</t>
  </si>
  <si>
    <t>INC2528805</t>
  </si>
  <si>
    <t>INC2528830</t>
  </si>
  <si>
    <t>INC2535692</t>
  </si>
  <si>
    <t>INC2535633</t>
  </si>
  <si>
    <t>INC2399138</t>
  </si>
  <si>
    <t>Content check for filename: /li/adapterMonitoring/logs/Alert.log ACARS_MET AIS FPL UPLINK_MET AIS WORKFLOW_EC601----- : P3 Log and Stop ObjectValue:1.0 Hostname :le1lidofap025 Env:prd Service:LIDO_FLIGHT_4D_FLIGHT_PLANNING_INTEGRATION~Application</t>
  </si>
  <si>
    <t>Rathi</t>
  </si>
  <si>
    <t>INC2401137</t>
  </si>
  <si>
    <t>Content check for filename: /li/adapterMonitoring/logs/Alert.log ACARS_DOWNLINK_downlink workflow_EC601----- : P3 Log and Stop Details: ACARS communication from the aircraft will fail and the business will have to contact the pilots directly to share ObjectValue:1.0 Hostname :le1lidofap025 Env:prd Service:LIDO_FLIGHT_4D_FLIGHT_PLANNING_INTEGRATION~Application</t>
  </si>
  <si>
    <t>INC2402950</t>
  </si>
  <si>
    <t>Content check for filename: /li/adapterMonitoring/logs/Alert.log ACARS_MET AIS FPL UPLINK_MET AIS WORKFLOW_EC402----- : P3 IllegalArgumentException: json string cannot be null or empty Details: ACARS communication from the aircraft will fail and the ObjectValue:1.0 Hostname :le1lidofap025 Env:prd Service:LIDO_FLIGHT_4D_FLIGHT_PLANNING_INTEGRATION~Application</t>
  </si>
  <si>
    <t>INC2402245</t>
  </si>
  <si>
    <t>Content check for filename: /li/adapterMonitoring/logs/Alert.log Briefing_notification and lcb channel_briefing notification workflow_EC601----- : P3 Log and Stop ObjectValue:1.0 Hostname :le1lidofap025 Env:prd Service:LIDO_FLIGHT_4D_FLIGHT_PLANNING_INTEGRATION~Application</t>
  </si>
  <si>
    <t>INC2402181</t>
  </si>
  <si>
    <t>Content check for filename: /li/adapterMonitoring/logs/Alert.log ACARS_TRACKING_Tracking workflow_EC601----- : P3 Log and Stop Details: ACARS communication from the aircraft will fail and the business will have to contact the pilots directly to share ObjectValue:1.0 Hostname :le1lidofap025 Env:prd Service:LIDO_FLIGHT_4D_FLIGHT_PLANNING_INTEGRATION~Application</t>
  </si>
  <si>
    <t>INC2404921</t>
  </si>
  <si>
    <t>Bala</t>
  </si>
  <si>
    <t>INC2406055</t>
  </si>
  <si>
    <t>INC2404761</t>
  </si>
  <si>
    <t xml:space="preserve">Content check for filename: /li/adapterMonitoring/logs/Alert.log ReportingAdapter_Reporting data channel_Flight archive workflow_EC1000----- : P3 Unknown exception caused when any new error is encountered in the flow ObjectValue:1.0 Hostname :le1lidofap025 </t>
  </si>
  <si>
    <t>INC2409450</t>
  </si>
  <si>
    <t>INC2409445</t>
  </si>
  <si>
    <t>INC2408934</t>
  </si>
  <si>
    <t>Content check for filename: /li/adapterMonitoring/logs/Alert.log Briefing_notification and lcb channel_briefing notification workflow_EC1000----- : P3 Unknown exception caused when any new error is encountered in the flow ObjectValue:1.0 Hostname :le1lidofap025 Env:prd Service:LIDO_FLIGHT_4D_FLIGHT_PLANNING_INTEGRATION~Application</t>
  </si>
  <si>
    <t>INC2410616</t>
  </si>
  <si>
    <t>INC2412450</t>
  </si>
  <si>
    <t>INC2411035</t>
  </si>
  <si>
    <t>INC2414842</t>
  </si>
  <si>
    <t>INC2414006</t>
  </si>
  <si>
    <t>INC2414176</t>
  </si>
  <si>
    <t>Content check for filename: /li/adapterMonitoring/logs/Alert.log ReportingAdapter_Reporting data channel_Flight archive workflow_EC1000----- : P3 Unknown exception caused when any new error is encountered in the flow ObjectValue:1.0 Hostname :le1lidofap025 Env:prd Service:LIDO_FLIGHT_4D_FLIGHT_PLANNING_INTEGRATION~Application</t>
  </si>
  <si>
    <t>INC2417043</t>
  </si>
  <si>
    <t>INC2417322</t>
  </si>
  <si>
    <t>INC2418211</t>
  </si>
  <si>
    <t>INC2421772</t>
  </si>
  <si>
    <t>Content check for filename: /li/adapterMonitoring/logs/Alert.log using regex pattern (: P2) and expecting to match (: P2) and Imapact value more than 75% ObjectValue:1.0 Hostname :le1lidofap024 Env:prd Service:LIDO_FLIGHT_4D_FLIGHT_PLANNING_INTEGRATION~Application</t>
  </si>
  <si>
    <t>INC2421383</t>
  </si>
  <si>
    <t>INC2420190</t>
  </si>
  <si>
    <t>INC2418125</t>
  </si>
  <si>
    <t>monitor total swap usage ObjectValue:90.89602555849606 Hostname :i-0c30f7e8f138af0c3 Env: Service:LIDO_FLIGHT_4D_FLIGHT_PLANNING_INTEGRATION(uat)~Platform</t>
  </si>
  <si>
    <t>INC2424029</t>
  </si>
  <si>
    <t>INC2424076</t>
  </si>
  <si>
    <t>Content check for filename: /li/adapterMonitoring/logs/Alert.log External_le1lidofap016_Agent failure_EC1000----- : P3 Monitoring agent that extracts the errors every 5 mins is down ObjectValue:1.0 Hostname :le1lidofap025 Env:prd Service:LIDO_FLIGHT_4D_FLIGHT_PLANNING_INTEGRATION~Application</t>
  </si>
  <si>
    <t>INC2424008</t>
  </si>
  <si>
    <t>Filestat Modification Time check. Alarm triggers if file is not modified in specified threshold (seconds) and if the imapct value is more than 75% ObjectValue:1.779327E9 Hostname :le1lidofap018 Env:prd Service:LIDO_FLIGHT_4D_FLIGHT_PLANNING_INTEGRATION~Application</t>
  </si>
  <si>
    <t>INC2424170</t>
  </si>
  <si>
    <t>INC2426897</t>
  </si>
  <si>
    <t>INC2430019</t>
  </si>
  <si>
    <t>INC2429865</t>
  </si>
  <si>
    <t>INC2429808</t>
  </si>
  <si>
    <t>INC2429167</t>
  </si>
  <si>
    <t>INC2429166</t>
  </si>
  <si>
    <t>Content check for filename: /li/adapterMonitoring/logs/Alert.log FES_FES Channel_FES Workflow_EC1000----- : P3 Unknown exception caused when any new error is encountered in the flow ObjectValue:1.0 Hostname :le1lidofap025 Env:prd Service:LIDO_FLIGHT_4D_FLIGHT_PLANNING_INTEGRATION~Application</t>
  </si>
  <si>
    <t>INC2431182</t>
  </si>
  <si>
    <t>INC2431246</t>
  </si>
  <si>
    <t>Content check for filename: /li/adapterMonitoring/logs/Alert.log ACARS_MET AIS FPL UPLINK_MET AIS WORKFLOW_EC403----- : P3 PathNotFoundException: No results for path Details: ACARS communication from the aircraft will fail and the business will have ObjectValue:1.0 Hostname :le1lidofap025 Env:prd Service:LIDO_FLIGHT_4D_FLIGHT_PLANNING_INTEGRATION~Application</t>
  </si>
  <si>
    <t>INC2431265</t>
  </si>
  <si>
    <t>INC2431394</t>
  </si>
  <si>
    <t>SCTASK1160652</t>
  </si>
  <si>
    <t>Generic Request - Please share details for the LPS PCS Audit Messages flow</t>
  </si>
  <si>
    <t>Keerthika</t>
  </si>
  <si>
    <t>SCTASK1159897</t>
  </si>
  <si>
    <t>Generic Request - As part of  "Agentic AI to optimize CloudWatch Alarms" project, we are looking for number of CloudWatch Alarms set for LIDO FLIGHT 4D FLIGHT PLANNING INTEGRATION , acc no 732911699094. If possible, please provide the split as Templated alarms (Infra) and Custom alarms count</t>
  </si>
  <si>
    <t>Gokul</t>
  </si>
  <si>
    <t>SCTASK1167504</t>
  </si>
  <si>
    <t>Generic Request - As part of Cyber Remediation program, we have prepared the draft version of HLD and NFR document for the LIDO FLIGHT 4D FLIGHT PLANNING INTEGRATION application. Need your help to update few sections in it, please find the details in additional info section.</t>
  </si>
  <si>
    <t>PRB0057351</t>
  </si>
  <si>
    <t>In LIP, some adapters get stuck while making remote web service calls to LSY, causing the subsequent incoming messages in the queue to pile up. Once the adapters are restarted, they start consuming the messages, and the backlog in the queue is getting cleared.</t>
  </si>
  <si>
    <t>PRB0057787</t>
  </si>
  <si>
    <t>As fuel figures are finalised, they don`t feed through FM as usual. Flights impacted: BA266, BA176</t>
  </si>
  <si>
    <t>INC2303932</t>
  </si>
  <si>
    <t>INC2436167</t>
  </si>
  <si>
    <t>INC2434316</t>
  </si>
  <si>
    <t>INC2434372</t>
  </si>
  <si>
    <t>INC2439886</t>
  </si>
  <si>
    <t>INC2437935</t>
  </si>
  <si>
    <t>INC2441597</t>
  </si>
  <si>
    <t>INC2444612</t>
  </si>
  <si>
    <t>INC2444615</t>
  </si>
  <si>
    <t>INC2444825</t>
  </si>
  <si>
    <t>INC2449841</t>
  </si>
  <si>
    <t>INC2449701</t>
  </si>
  <si>
    <t>SCTASK1175370</t>
  </si>
  <si>
    <t>Digital Observability Team (Datadog) - Non-Compliant Hosts Found for Account - 732911699094</t>
  </si>
  <si>
    <t>INC2448930</t>
  </si>
  <si>
    <t>monitor total cpu usage ObjectValue:96.42916666666666 Hostname :i-0c30f7e8f138af0c3 Env: Service:LIDO_FLIGHT_4D_FLIGHT_PLANNING_INTEGRATION(uat)~Platform</t>
  </si>
  <si>
    <t>INC2450962</t>
  </si>
  <si>
    <t>monitor total cpu usage ObjectValue:90.57222222222221 Hostname :i-0c30f7e8f138af0c3 Env: Service:LIDO_FLIGHT_4D_FLIGHT_PLANNING_INTEGRATION(uat)~Platform</t>
  </si>
  <si>
    <t>INC2448105</t>
  </si>
  <si>
    <t>Lag on FIG entry of FICO</t>
  </si>
  <si>
    <t>INC2451696</t>
  </si>
  <si>
    <t>INC2454259</t>
  </si>
  <si>
    <t>INC2454405</t>
  </si>
  <si>
    <t>INC2454816</t>
  </si>
  <si>
    <t>INC2457828</t>
  </si>
  <si>
    <t>INC2459161</t>
  </si>
  <si>
    <t>INC2462460</t>
  </si>
  <si>
    <t>Content check for filename: /li/adapterMonitoring/logs/Alert.log External_le1lidofap021_Agent failure_EC1000----- : P3 Monitoring agent that extracts the errors every 5 mins is down ObjectValue:1.0 Hostname :le1lidofap025 Env:prd Service:LIDO_FLIGHT_4D_FLIGHT_PLANNING_INTEGRATION~Application</t>
  </si>
  <si>
    <t>INC2462438</t>
  </si>
  <si>
    <t>Content check for filename: /li/adapterMonitoring/logs/Alert.log using regex pattern (: P2) and expecting to match (: P2) and Imapact value more than 75% ObjectValue:1.0 Hostname :le1lidofap023 Env:prd Service:LIDO_FLIGHT_4D_FLIGHT_PLANNING_INTEGRATION~Application</t>
  </si>
  <si>
    <t>INC2462433</t>
  </si>
  <si>
    <t>Filestat Modification Time check. Alarm triggers if file is not modified in specified threshold (seconds) and if the imapct value is more than 75% ObjectValue:1.78165908E9 Hostname :le1lidofap017 Env:prd Service:LIDO_FLIGHT_4D_FLIGHT_PLANNING_INTEGRATION~Application</t>
  </si>
  <si>
    <t>INC2461548</t>
  </si>
  <si>
    <t>INC2460681</t>
  </si>
  <si>
    <t>INC2461833</t>
  </si>
  <si>
    <t xml:space="preserve">Received bulk alerts last week from the 8th till the 14th of June, around 300+ alerts in the console for LIDO_FLIGHT_4D_FLIGHT_PLANNING_INTEGRATION(uat)- platform. </t>
  </si>
  <si>
    <t>INC2464442</t>
  </si>
  <si>
    <t>Content check for filename: /li/adapterMonitoring/logs/Alert.log AirTrack_AirTrack Channel_Airspace Data Workflow_EC201----- : P3 File not found Exception: No such file or directory ObjectValue:1.0 Hostname :le1lidofap025 Env:prd Service:LIDO_FLIGHT_4D_FLIGHT_PLANNING_INTEGRATION~Application</t>
  </si>
  <si>
    <t>INC2464259</t>
  </si>
  <si>
    <t>Content check for filename: /li/adapterMonitoring/logs/Alert.log External_le1lidofap022_Agent failure_EC1000----- : P3 Monitoring agent that extracts the errors every 5 mins is down ObjectValue:1.0 Hostname :le1lidofap025 Env:prd Service:LIDO_FLIGHT_4D_FLIGHT_PLANNING_INTEGRATION~Application</t>
  </si>
  <si>
    <t>INC2471231</t>
  </si>
  <si>
    <t>INC2470789</t>
  </si>
  <si>
    <t>SCTASK1182340</t>
  </si>
  <si>
    <t>Generic Request - Need non prod account details of LIP application</t>
  </si>
  <si>
    <t>INC2474866</t>
  </si>
  <si>
    <t>INC2480866</t>
  </si>
  <si>
    <t>INC2483532</t>
  </si>
  <si>
    <t>INC2484873</t>
  </si>
  <si>
    <t>INC2482721</t>
  </si>
  <si>
    <t>Content check for filename: /li/adapterMonitoring/logs/Alert.log External_le1lidofap010_Agent failure_EC1000----- : P3 Monitoring agent that extracts the errors every 5 mins is down ObjectValue:1.0 Hostname :le1lidofap025 Env:prd Service:LIDO_FLIGHT_4D_FLIGHT_PLANNING_INTEGRATION~Application</t>
  </si>
  <si>
    <t>INC2489029</t>
  </si>
  <si>
    <t>INC2488688</t>
  </si>
  <si>
    <t>Content check for filename: /li/adapterMonitoring/logs/Alert.log LAS_LAS authentication_Authentication service_EC1000----- : P3 Unknown exception caused when any new error is encountered in the flow ObjectValue:1.0 Hostname :le1lidofap025 Env:prd Service:LIDO_FLIGHT_4D_FLIGHT_PLANNING_INTEGRATION~Application</t>
  </si>
  <si>
    <t>INC2486338</t>
  </si>
  <si>
    <t>INC2489788</t>
  </si>
  <si>
    <t>INC2494751</t>
  </si>
  <si>
    <t>INC2493787</t>
  </si>
  <si>
    <t>INC2495305</t>
  </si>
  <si>
    <t>Filestat Modification Time check. Alarm triggers if file is not modified in specified threshold (seconds) and if the imapct value is more than 75% ObjectValue:358.1549370288849 Hostname :le1lidofap019 Env:prd Service:LIDO_FLIGHT_4D_FLIGHT_PLANNING_INTEGRATION~Application</t>
  </si>
  <si>
    <t>INC2496370</t>
  </si>
  <si>
    <t>INC2496381</t>
  </si>
  <si>
    <t>INC2498379</t>
  </si>
  <si>
    <t>SCTASK1192360</t>
  </si>
  <si>
    <t>SCTASK1192087</t>
  </si>
  <si>
    <t>Generic Request - Understand the different data sources which is mastered in LIDO application along with sample data and data flow.</t>
  </si>
  <si>
    <t>SCTASK1190376</t>
  </si>
  <si>
    <t>Generic Request - Flight Plan Request – Open Airlines</t>
  </si>
  <si>
    <t>INC2501426</t>
  </si>
  <si>
    <t>INC2502446</t>
  </si>
  <si>
    <t>INC2502569</t>
  </si>
  <si>
    <t>INC2503544</t>
  </si>
  <si>
    <t>INC2503786</t>
  </si>
  <si>
    <t>INC2503975</t>
  </si>
  <si>
    <t xml:space="preserve">INC2505250 </t>
  </si>
  <si>
    <t>INC2506803</t>
  </si>
  <si>
    <t>Filestat Modification Time check. Alarm triggers if file is not modified in specified threshold (seconds) and if the imapct value is more than 75% ObjectValue:358.02502393722534 Hostname :le1lidofap020 Env:prd Service:LIDO_FLIGHT_4D_FLIGHT_PLANNING_INTEGRATION~Application</t>
  </si>
  <si>
    <t>INC2509208</t>
  </si>
  <si>
    <t>Content check for filename: /li/adapterMonitoring/logs/Alert.log External_le1lidofap015_Agent failure_EC1000----- : P3 Monitoring agent that extracts the errors every 5 mins is down ObjectValue:1.0 Hostname :le1lidofap025 Env:prd Service:LIDO_FLIGHT_4D_FLIGHT_PLANNING_INTEGRATION~Application</t>
  </si>
  <si>
    <t>INC2509197</t>
  </si>
  <si>
    <t>INC2507897</t>
  </si>
  <si>
    <t>INC2507420</t>
  </si>
  <si>
    <t>INC2507295</t>
  </si>
  <si>
    <t>INC2509630</t>
  </si>
  <si>
    <t>INC2512320</t>
  </si>
  <si>
    <t>INC2517128</t>
  </si>
  <si>
    <t>INC2516231</t>
  </si>
  <si>
    <t>INC2519272</t>
  </si>
  <si>
    <t>INC2519572</t>
  </si>
  <si>
    <t>INC2519639</t>
  </si>
  <si>
    <t>INC2518973</t>
  </si>
  <si>
    <t>INC2520962</t>
  </si>
  <si>
    <t>INC2520383</t>
  </si>
  <si>
    <t>INC2524826</t>
  </si>
  <si>
    <t>INC2524110</t>
  </si>
  <si>
    <t>INC2524154</t>
  </si>
  <si>
    <t>INC2526365</t>
  </si>
  <si>
    <t>SCTASK1203878</t>
  </si>
  <si>
    <t>Generic Request - Implementing the Datadog in prelive environment</t>
  </si>
  <si>
    <t>SCTASK1204050</t>
  </si>
  <si>
    <t>INC2528626</t>
  </si>
  <si>
    <t>INC2530908</t>
  </si>
  <si>
    <t>INC2532698</t>
  </si>
  <si>
    <t>INC2534553</t>
  </si>
  <si>
    <t>INC2533871</t>
  </si>
  <si>
    <t>INC2536077</t>
  </si>
  <si>
    <t>INC2535648</t>
  </si>
  <si>
    <t>INC2537673</t>
  </si>
  <si>
    <t>INC2537619</t>
  </si>
  <si>
    <t>INC2540815</t>
  </si>
  <si>
    <t>Content check for filename: /li/adapterMonitoring/logs/Alert.log ACARS_TRACKING_Tracking workflow_EC601----- : P2 Log and Stop Details: ACARS communication from the aircraft will fail and the business will have to contact the pilots directly to share ObjectValue:1.0 Hostname :le1lidofap025 Env:prd Service:LIDO_FLIGHT_4D_FLIGHT_PLANNING_INTEGRATION~Application</t>
  </si>
  <si>
    <t>INC2539567</t>
  </si>
  <si>
    <t>Content check for filename: /li/adapterMonitoring/logs/Alert.log WAB_Fuel Order_Fuel order data_EC501----- : P2 IOException: Failed to complete operation ObjectValue:1.0 Hostname :le1lidofap025 Env:prd Service:LIDO_FLIGHT_4D_FLIGHT_PLANNING_INTEGRATION~Application</t>
  </si>
  <si>
    <t>INC2538960</t>
  </si>
  <si>
    <t>BES INCIDENT for alertId 0252259767|ecp_backup_aws:copy-jobs-to-central-account-failed|ecp_backup_aws|copy-jobs-to-central-account-failed|state CRITICAL|Hostname:ecp_backup_aws:copy-jobs-to-central-account-failed|MessageId:e9ecdbb4-39ce-5a3a-8b1f-b94c901f523a|AWS Account:732911699094</t>
  </si>
  <si>
    <t>INC2539962</t>
  </si>
  <si>
    <t>INC2540958</t>
  </si>
  <si>
    <t>INC2541080</t>
  </si>
  <si>
    <t>INC2540909</t>
  </si>
  <si>
    <t>INC2555154</t>
  </si>
  <si>
    <t>INC2556924</t>
  </si>
  <si>
    <t>INC2544883</t>
  </si>
  <si>
    <t>INC2573670</t>
  </si>
  <si>
    <t>INC2573669</t>
  </si>
  <si>
    <t>INC2564210</t>
  </si>
  <si>
    <t>Filestat Modification Time check. Alarm triggers if file is not modified in specified threshold (seconds) and if the imapct value is more than 75% ObjectValue:357.9263651371002 Hostname :le1lidofap014 Env:prd Service:LIDO_FLIGHT_4D_FLIGHT_PLANNING_INTEGRATION~Application</t>
  </si>
  <si>
    <t>INC2564663</t>
  </si>
  <si>
    <t>INC2573092</t>
  </si>
  <si>
    <t>INC2573676</t>
  </si>
  <si>
    <t>SCTASK1208154</t>
  </si>
  <si>
    <t>INC2585505</t>
  </si>
  <si>
    <t>INC2584143</t>
  </si>
  <si>
    <t>INC2431325</t>
  </si>
  <si>
    <t>BES INCIDENT for alertId 0019401011|AWS/States|ia4-stepfunction-prd-quantum-euwe1-01|ExecutionThrottled CRITICAL|Hostname:ia4-stepfunction-prd-quantum-euwe1-01|919887327920</t>
  </si>
  <si>
    <t>Chandu Vadhan K S</t>
  </si>
  <si>
    <t>Quantum BA (prod)</t>
  </si>
  <si>
    <t>Application</t>
  </si>
  <si>
    <t>INC2431135</t>
  </si>
  <si>
    <t>BES INCIDENT for alertId 0019394046|AWS/States|stepfunction-prd-quantum-euwe1-01|ExecutionThrottled CRITICAL|Hostname:stepfunction-prd-quantum-euwe1-01|919887327920</t>
  </si>
  <si>
    <t>INC2425759</t>
  </si>
  <si>
    <t>BES INCIDENT for alertId 0019274641|AWS/States|stepfunction-prd-quantum-euwe1-01|ExecutionThrottled CRITICAL|Hostname:stepfunction-prd-quantum-euwe1-01|919887327920</t>
  </si>
  <si>
    <t>INC2424105</t>
  </si>
  <si>
    <t>BES INCIDENT for alertId 0019249194|AWS/States|ia4-stepfunction-prd-quantum-euwe1-01|ExecutionThrottled CRITICAL|Hostname:ia4-stepfunction-prd-quantum-euwe1-01|919887327920</t>
  </si>
  <si>
    <t>INC2416853</t>
  </si>
  <si>
    <t>BES INCIDENT for alertId 0019082581|AWS/States|ia4-stepfunction-prd-quantum-euwe1-01|ExecutionThrottled CRITICAL|Hostname:ia4-stepfunction-prd-quantum-euwe1-01|919887327920</t>
  </si>
  <si>
    <t>INC2416492</t>
  </si>
  <si>
    <t>BES INCIDENT for alertId 0019075309|AWS/States|stepfunction-prd-quantum-euwe1-01|ExecutionsFailed CRITICAL|Hostname:stepfunction-prd-quantum-euwe1-01|919887327920</t>
  </si>
  <si>
    <t>INC2416489</t>
  </si>
  <si>
    <t>BES INCIDENT for alertId 0019075301|AWS/States|stepfunction-prd-quantum-euwe1-01|ExecutionsAborted CRITICAL|Hostname:stepfunction-prd-quantum-euwe1-01|919887327920</t>
  </si>
  <si>
    <t>INC2415345</t>
  </si>
  <si>
    <t>BES INCIDENT for alertId 0019048285|AWS/States|ia4-stepfunction-prd-quantum-euwe1-01|ExecutionThrottled CRITICAL|Hostname:ia4-stepfunction-prd-quantum-euwe1-01|919887327920</t>
  </si>
  <si>
    <t>INC2414939</t>
  </si>
  <si>
    <t>BES INCIDENT for alertId 0019040897|AWS/States|stepfunction-prd-quantum-euwe1-01|ExecutionsAborted CRITICAL|Hostname:stepfunction-prd-quantum-euwe1-01|919887327920</t>
  </si>
  <si>
    <t>INC2413765</t>
  </si>
  <si>
    <t>BES INCIDENT for alertId 0019018570|AWS/States|ia4-stepfunction-prd-quantum-euwe1-01|ExecutionThrottled CRITICAL|Hostname:ia4-stepfunction-prd-quantum-euwe1-01|919887327920</t>
  </si>
  <si>
    <t>INC2413538</t>
  </si>
  <si>
    <t>BES INCIDENT for alertId 0019011593|AWS/States|stepfunction-prd-quantum-euwe1-01|ExecutionsAborted CRITICAL|Hostname:stepfunction-prd-quantum-euwe1-01|919887327920</t>
  </si>
  <si>
    <t>INC2412300</t>
  </si>
  <si>
    <t>BES INCIDENT for alertId 0018981594|AWS/States|ia4-stepfunction-prd-quantum-euwe1-01|ExecutionThrottled CRITICAL|Hostname:ia4-stepfunction-prd-quantum-euwe1-01|919887327920</t>
  </si>
  <si>
    <t>INC2412102</t>
  </si>
  <si>
    <t>BES INCIDENT for alertId 0018973687|AWS/States|stepfunction-prd-quantum-euwe1-01|ExecutionsAborted CRITICAL|Hostname:stepfunction-prd-quantum-euwe1-01|919887327920</t>
  </si>
  <si>
    <t>INC2411333</t>
  </si>
  <si>
    <t>BES INCIDENT for alertId 0018955469|AWS/States|ia4-stepfunction-prd-quantum-euwe1-01|ExecutionsFailed CRITICAL|Hostname:ia4-stepfunction-prd-quantum-euwe1-01|919887327920</t>
  </si>
  <si>
    <t>INC2410894</t>
  </si>
  <si>
    <t>BES INCIDENT for alertId 0018943528|AWS/States|ia4-stepfunction-prd-quantum-euwe1-01|ExecutionsFailed CRITICAL|Hostname:ia4-stepfunction-prd-quantum-euwe1-01|919887327920</t>
  </si>
  <si>
    <t>INC2410647</t>
  </si>
  <si>
    <t>BES INCIDENT for alertId 0018934604|AWS/States|stepfunction-prd-quantum-euwe1-01|ExecutionThrottled CRITICAL|Hostname:stepfunction-prd-quantum-euwe1-01|919887327920</t>
  </si>
  <si>
    <t>INC2408106</t>
  </si>
  <si>
    <t>BES INCIDENT for alertId 0018834824|AWS/States|ia4-stepfunction-prd-quantum-euwe1-01|ExecutionThrottled CRITICAL|Hostname:ia4-stepfunction-prd-quantum-euwe1-01|919887327920</t>
  </si>
  <si>
    <t>INC2407899</t>
  </si>
  <si>
    <t>BES INCIDENT for alertId 0018827071|AWS/States|stepfunction-prd-quantum-euwe1-01|ExecutionsAborted CRITICAL|Hostname:stepfunction-prd-quantum-euwe1-01|919887327920</t>
  </si>
  <si>
    <t>INC2406733</t>
  </si>
  <si>
    <t>BES INCIDENT for alertId 0018798923|AWS/States|ia4-stepfunction-prd-quantum-euwe1-01|ExecutionsTimedOut CRITICAL|Hostname:ia4-stepfunction-prd-quantum-euwe1-01|919887327920</t>
  </si>
  <si>
    <t>INC2406530</t>
  </si>
  <si>
    <t>BES INCIDENT for alertId 0018789925|AWS/States|stepfunction-prd-quantum-euwe1-01|ExecutionsAborted CRITICAL|Hostname:stepfunction-prd-quantum-euwe1-01|919887327920</t>
  </si>
  <si>
    <t>INC2405668</t>
  </si>
  <si>
    <t>BES INCIDENT for alertId 0018772900|AWS/States|ia4-stepfunction-prd-quantum-euwe1-01|ExecutionThrottled CRITICAL|Hostname:ia4-stepfunction-prd-quantum-euwe1-01|919887327920</t>
  </si>
  <si>
    <t>INC2405183</t>
  </si>
  <si>
    <t>BES INCIDENT for alertId 0018759530|AWS/States|ia4-stepfunction-prd-quantum-euwe1-01|ExecutionThrottled CRITICAL|Hostname:ia4-stepfunction-prd-quantum-euwe1-01|919887327920</t>
  </si>
  <si>
    <t>INC2403628</t>
  </si>
  <si>
    <t>BES INCIDENT for alertId 0018720937|AWS/States|ia4-stepfunction-prd-quantum-euwe1-01|ExecutionsTimedOut CRITICAL|Hostname:ia4-stepfunction-prd-quantum-euwe1-01|919887327920</t>
  </si>
  <si>
    <t>INC2403443</t>
  </si>
  <si>
    <t>BES INCIDENT for alertId 0018713181|AWS/States|stepfunction-prd-quantum-euwe1-01|ExecutionsFailed CRITICAL|Hostname:stepfunction-prd-quantum-euwe1-01|919887327920</t>
  </si>
  <si>
    <t>INC2400529</t>
  </si>
  <si>
    <t>BES INCIDENT for alertId 0018606417|AWS/States|stepfunction-prd-quantum-euwe1-01|ExecutionsAborted CRITICAL|Hostname:stepfunction-prd-quantum-euwe1-01|919887327920</t>
  </si>
  <si>
    <t>INC2399123</t>
  </si>
  <si>
    <t>BES INCIDENT for alertId 0018539141|AWS/States|ia4-stepfunction-prd-quantum-euwe1-01|ExecutionsFailed CRITICAL|Hostname:ia4-stepfunction-prd-quantum-euwe1-01|919887327920</t>
  </si>
  <si>
    <t>INC2398940</t>
  </si>
  <si>
    <t>BES INCIDENT for alertId 0018532321|AWS/States|stepfunction-prd-quantum-euwe1-01|ExecutionsAborted CRITICAL|Hostname:stepfunction-prd-quantum-euwe1-01|919887327920</t>
  </si>
  <si>
    <t>INC2429934</t>
  </si>
  <si>
    <t>BES INCIDENT for alertId 0019368922|AWS/States|ia4-stepfunction-prd-quantum-euwe1-01|ExecutionsTimedOut CRITICAL|Hostname:ia4-stepfunction-prd-quantum-euwe1-01|919887327920</t>
  </si>
  <si>
    <t xml:space="preserve">Ranjith Kumar </t>
  </si>
  <si>
    <t>INC2429601</t>
  </si>
  <si>
    <t>BES INCIDENT for alertId 0019362349|AWS/States|stepfunction-prd-quantum-euwe1-01|ExecutionsAborted CRITICAL|Hostname:stepfunction-prd-quantum-euwe1-01|919887327920</t>
  </si>
  <si>
    <t>INC2421796</t>
  </si>
  <si>
    <t>BES INCIDENT for alertId 0019215188|AWS/States|ia4-stepfunction-prd-quantum-euwe1-01|ExecutionsFailed CRITICAL|Hostname:ia4-stepfunction-prd-quantum-euwe1-01|919887327920</t>
  </si>
  <si>
    <t>INC2419985</t>
  </si>
  <si>
    <t>BES INCIDENT for alertId 0019181001|AWS/States|ia4-stepfunction-prd-quantum-euwe1-01|ExecutionsFailed CRITICAL|Hostname:ia4-stepfunction-prd-quantum-euwe1-01|919887327920</t>
  </si>
  <si>
    <t>INC2419561</t>
  </si>
  <si>
    <t>BES INCIDENT for alertId 0019173175|AWS/States|stepfunction-prd-quantum-euwe1-01|ExecutionsFailed CRITICAL|Hostname:stepfunction-prd-quantum-euwe1-01|919887327920</t>
  </si>
  <si>
    <t>INC2433072</t>
  </si>
  <si>
    <t>BES INCIDENT for alertId 0019428330|AWS/States|stepfunction-prd-quantum-euwe1-01|ExecutionThrottled CRITICAL|Hostname:stepfunction-prd-quantum-euwe1-01|919887327920</t>
  </si>
  <si>
    <t>INC2418249</t>
  </si>
  <si>
    <t xml:space="preserve">License Feed Bug </t>
  </si>
  <si>
    <t>Ranjith Kumar</t>
  </si>
  <si>
    <t>QUANTUM BA (prd)</t>
  </si>
  <si>
    <t>Set Up/Configuration</t>
  </si>
  <si>
    <t>INC2415361</t>
  </si>
  <si>
    <t>POLA07-Quantum user missing latest profile</t>
  </si>
  <si>
    <t>User Account Management</t>
  </si>
  <si>
    <t>Remote Accesss</t>
  </si>
  <si>
    <t>INC2411543</t>
  </si>
  <si>
    <t>PLEASE REFER TO INC2373877</t>
  </si>
  <si>
    <t>Joseya Jacob</t>
  </si>
  <si>
    <t>Link and Feed Issue</t>
  </si>
  <si>
    <t>INC2398233</t>
  </si>
  <si>
    <t>When I scan I’d to check in for a flight it won’t allow me to check in. Log in is ok to the portal but system says A350 loe and recurrent expired. I am still valid. I have to keep checking in with the FODMS desk. Thanks</t>
  </si>
  <si>
    <t>CREWLINK (prd)</t>
  </si>
  <si>
    <t>INC2395874</t>
  </si>
  <si>
    <t>I cannot check in at report</t>
  </si>
  <si>
    <t>INC2388994</t>
  </si>
  <si>
    <t xml:space="preserve">Cant access QUANTUM </t>
  </si>
  <si>
    <t>INC2378559</t>
  </si>
  <si>
    <t>Quantum doesn’t work</t>
  </si>
  <si>
    <t>INC2373623</t>
  </si>
  <si>
    <t>Preventing sign in due OPC expired.</t>
  </si>
  <si>
    <t>Aswath Narendran</t>
  </si>
  <si>
    <t>INC2407292</t>
  </si>
  <si>
    <t>LHR - unable to login crewlink</t>
  </si>
  <si>
    <t>INC2418920</t>
  </si>
  <si>
    <t>No profile under MCCTZ</t>
  </si>
  <si>
    <t>INC2433288</t>
  </si>
  <si>
    <t>BES INCIDENT for alertId 0019434953|AWS/States|ia4-stepfunction-prd-quantum-euwe1-01|ExecutionThrottled CRITICAL|Hostname:ia4-stepfunction-prd-quantum-euwe1-01|919887327920</t>
  </si>
  <si>
    <t>INC2420524</t>
  </si>
  <si>
    <t>SHEFG is missing Qualifications</t>
  </si>
  <si>
    <t>INC2434973</t>
  </si>
  <si>
    <t>BES INCIDENT for alertId 0019461875|AWS/States|stepfunction-prd-quantum-euwe1-01|ExecutionsFailed CRITICAL|Hostname:stepfunction-prd-quantum-euwe1-01|919887327920</t>
  </si>
  <si>
    <t>INC2435154</t>
  </si>
  <si>
    <t>BES INCIDENT for alertId 0019468203|AWS/States|ia4-stepfunction-prd-quantum-euwe1-01|ExecutionThrottled CRITICAL|Hostname:ia4-stepfunction-prd-quantum-euwe1-01|919887327920</t>
  </si>
  <si>
    <t>INC2434974</t>
  </si>
  <si>
    <t>BES INCIDENT for alertId 0019461879|AWS/States|stepfunction-prd-quantum-euwe1-01|ExecutionsTimedOut CRITICAL|Hostname:stepfunction-prd-quantum-euwe1-01|919887327920</t>
  </si>
  <si>
    <t>INC2433040</t>
  </si>
  <si>
    <t>BES INCIDENT for alertId 0019428348|AWS/States|stepfunction-prd-quantum-euwe1-01|ExecutionsAborted CRITICAL|Hostname:stepfunction-prd-quantum-euwe1-01|919887327920</t>
  </si>
  <si>
    <t>INC2423646</t>
  </si>
  <si>
    <t>Ref ticket INC2419323</t>
  </si>
  <si>
    <t xml:space="preserve">QUANTUM BA </t>
  </si>
  <si>
    <t>INC2436841</t>
  </si>
  <si>
    <t>BES INCIDENT for alertId 0019494080|AWS/States|stepfunction-prd-quantum-euwe1-01|ExecutionThrottled CRITICAL|Hostname:stepfunction-prd-quantum-euwe1-01|919887327920</t>
  </si>
  <si>
    <t>INC2437075</t>
  </si>
  <si>
    <t>BES INCIDENT for alertId 0019501107|AWS/States|ia4-stepfunction-prd-quantum-euwe1-01|ExecutionsFailed CRITICAL|Hostname:ia4-stepfunction-prd-quantum-euwe1-01|919887327920</t>
  </si>
  <si>
    <t>SCTASK1164100</t>
  </si>
  <si>
    <t>RFS for 2942 UAT Testing  efforts for Interface 315 (Quantum Impacted Application) for IFLIGHTNEO Program</t>
  </si>
  <si>
    <t>SCTASK1167363</t>
  </si>
  <si>
    <t>SCTASK1165917</t>
  </si>
  <si>
    <t>Findings for TST_Quantum_Crewstar - 657358572397 the period starting 2026-05-11 05:17:03.049845</t>
  </si>
  <si>
    <t>QUANTUM BA (tst)</t>
  </si>
  <si>
    <t>INC2437076</t>
  </si>
  <si>
    <t>BES INCIDENT for alertId 0019501109|AWS/States|ia4-stepfunction-prd-quantum-euwe1-01|ExecutionThrottled CRITICAL|Hostname:ia4-stepfunction-prd-quantum-euwe1-01|919887327920</t>
  </si>
  <si>
    <t>INC2438410</t>
  </si>
  <si>
    <t>BES INCIDENT for alertId 0019527184|AWS/States|stepfunction-prd-quantum-euwe1-01|ExecutionsFailed CRITICAL|Hostname:stepfunction-prd-quantum-euwe1-01|919887327920</t>
  </si>
  <si>
    <t>INC2439465</t>
  </si>
  <si>
    <t>BES INCIDENT for alertId 0019565334|AWS/States|ia4-stepfunction-prd-quantum-euwe1-01|ExecutionsTimedOut CRITICAL|Hostname:ia4-stepfunction-prd-quantum-euwe1-01|919887327920</t>
  </si>
  <si>
    <t>INC2434976</t>
  </si>
  <si>
    <t>BES INCIDENT for alertId 0019461883|AWS/States|stepfunction-prd-quantum-euwe1-01|ExecutionsAborted CRITICAL|Hostname:stepfunction-prd-quantum-euwe1-01|919887327920</t>
  </si>
  <si>
    <t>INC2441382</t>
  </si>
  <si>
    <t>BES INCIDENT for alertId 0019619096|AWS/States|stepfunction-prd-quantum-euwe1-01|ExecutionsFailed CRITICAL|Hostname:stepfunction-prd-quantum-euwe1-01|919887327920</t>
  </si>
  <si>
    <t>INC2441659</t>
  </si>
  <si>
    <t>BES INCIDENT for alertId 0019627493|AWS/States|ia4-stepfunction-prd-quantum-euwe1-01|ExecutionsTimedOut CRITICAL|Hostname:ia4-stepfunction-prd-quantum-euwe1-01|919887327920</t>
  </si>
  <si>
    <t>INC2443532</t>
  </si>
  <si>
    <t>BES INCIDENT for alertId 0019657972|AWS/States|ia4-stepfunction-prd-quantum-euwe1-01|ExecutionsAborted CRITICAL|Hostname:ia4-stepfunction-prd-quantum-euwe1-01|919887327920</t>
  </si>
  <si>
    <t>INC2443324</t>
  </si>
  <si>
    <t>BES INCIDENT for alertId 0019651928|AWS/States|stepfunction-prd-quantum-euwe1-01|ExecutionsAborted CRITICAL|Hostname:stepfunction-prd-quantum-euwe1-01|919887327920</t>
  </si>
  <si>
    <t>INC2445536</t>
  </si>
  <si>
    <t>BES INCIDENT for alertId 0019697144|AWS/States|ia4-stepfunction-prd-quantum-euwe1-01|ExecutionsAborted CRITICAL|Hostname:ia4-stepfunction-prd-quantum-euwe1-01|919887327920</t>
  </si>
  <si>
    <t>INC2445324</t>
  </si>
  <si>
    <t>BES INCIDENT for alertId 0019684912|AWS/States|stepfunction-prd-quantum-euwe1-01|ExecutionsTimedOut CRITICAL|Hostname:stepfunction-prd-quantum-euwe1-01|919887327920</t>
  </si>
  <si>
    <t>INC2446970</t>
  </si>
  <si>
    <t>BES INCIDENT for alertId 0250019671|AWS/States|stepfunction-prd-quantum-euwe1-01|ExecutionsTimedOut CRITICAL|Hostname:stepfunction-prd-quantum-euwe1-01|919887327920</t>
  </si>
  <si>
    <t>INC2447127</t>
  </si>
  <si>
    <t>BES INCIDENT for alertId 0250025375|AWS/States|ia4-stepfunction-prd-quantum-euwe1-01|ExecutionsFailed CRITICAL|Hostname:ia4-stepfunction-prd-quantum-euwe1-01|919887327920</t>
  </si>
  <si>
    <t>INC2449218</t>
  </si>
  <si>
    <t>BES INCIDENT for alertId 0250081482|AWS/States|ia4-stepfunction-prd-quantum-euwe1-01|ExecutionsFailed CRITICAL|Hostname:ia4-stepfunction-prd-quantum-euwe1-01|919887327920</t>
  </si>
  <si>
    <t>INC2449664</t>
  </si>
  <si>
    <t>BES INCIDENT for alertId 0250102197|AWS/States|stepfunction-prd-quantum-euwe1-01|ExecutionsAborted CRITICAL|Hostname:stepfunction-prd-quantum-euwe1-01|919887327920</t>
  </si>
  <si>
    <t>INC2447126</t>
  </si>
  <si>
    <t>BES INCIDENT for alertId 0250025372|AWS/States|ia4-stepfunction-prd-quantum-euwe1-01|ExecutionThrottled CRITICAL|Hostname:ia4-stepfunction-prd-quantum-euwe1-01|919887327920</t>
  </si>
  <si>
    <t>INC2425613</t>
  </si>
  <si>
    <t>BA-LHR- CREWLINK ERROR</t>
  </si>
  <si>
    <t>INC2449801</t>
  </si>
  <si>
    <t>BES INCIDENT for alertId 0250108401|AWS/States|ia4-stepfunction-prd-quantum-euwe1-01|ExecutionsAborted CRITICAL|Hostname:ia4-stepfunction-prd-quantum-euwe1-01|919887327920</t>
  </si>
  <si>
    <t>INC2451602</t>
  </si>
  <si>
    <t>BES INCIDENT for alertId 0250138920|AWS/States|ia4-stepfunction-prd-quantum-euwe1-01|ExecutionsAborted CRITICAL|Hostname:ia4-stepfunction-prd-quantum-euwe1-01|919887327920</t>
  </si>
  <si>
    <t>INC2451409</t>
  </si>
  <si>
    <t>BES INCIDENT for alertId 0250132650|AWS/States|stepfunction-prd-quantum-euwe1-01|ExecutionsAborted CRITICAL|Hostname:stepfunction-prd-quantum-euwe1-01|919887327920</t>
  </si>
  <si>
    <t>INC2438409</t>
  </si>
  <si>
    <t>INC2438408</t>
  </si>
  <si>
    <t>INC2453287</t>
  </si>
  <si>
    <t>BES INCIDENT for alertId 0250161763|AWS/States|stepfunction-prd-quantum-euwe1-01|ExecutionsAborted CRITICAL|Hostname:stepfunction-prd-quantum-euwe1-01|919887327920</t>
  </si>
  <si>
    <t>INC2453472</t>
  </si>
  <si>
    <t>BES INCIDENT for alertId 0250166659|AWS/States|ia4-stepfunction-prd-quantum-euwe1-01|ExecutionsFailed CRITICAL|Hostname:ia4-stepfunction-prd-quantum-euwe1-01|919887327920</t>
  </si>
  <si>
    <t>INC2442633</t>
  </si>
  <si>
    <t>User is unable to check in on Crewlink - Mandatories showing as expired</t>
  </si>
  <si>
    <t>INC2453474</t>
  </si>
  <si>
    <t>BES INCIDENT for alertId 0250166661|AWS/States|ia4-stepfunction-prd-quantum-euwe1-01|ExecutionsAborted CRITICAL|Hostname:ia4-stepfunction-prd-quantum-euwe1-01|919887327920</t>
  </si>
  <si>
    <t>INC2455338</t>
  </si>
  <si>
    <t xml:space="preserve">	BES INCIDENT for alertId 0250199431|AWS/States|ia4-stepfunction-prd-quantum-euwe1-01|ExecutionsFailed CRITICAL|Hostname:ia4-stepfunction-prd-quantum-euwe1-01|919887327920</t>
  </si>
  <si>
    <t>INC2455044</t>
  </si>
  <si>
    <t>BES INCIDENT for alertId 0250192100|AWS/States|stepfunction-prd-quantum-euwe1-01|ExecutionThrottled CRITICAL|Hostname:stepfunction-prd-quantum-euwe1-01|919887327920</t>
  </si>
  <si>
    <t>INC2455043</t>
  </si>
  <si>
    <t xml:space="preserve">INC2455042	</t>
  </si>
  <si>
    <t>INC2455041</t>
  </si>
  <si>
    <t>INC2436171</t>
  </si>
  <si>
    <t>Quantum/crewlink expiry date issue for pilot WEDLJ</t>
  </si>
  <si>
    <t>INC2457093</t>
  </si>
  <si>
    <t>BES INCIDENT for alertId 0250230993|AWS/States|ia4-stepfunction-prd-quantum-euwe1-01|ExecutionThrottled CRITICAL|Hostname:ia4-stepfunction-prd-quantum-euwe1-01|919887327920</t>
  </si>
  <si>
    <t>INC2456776</t>
  </si>
  <si>
    <t>BES INCIDENT for alertId 0250224678|AWS/States|stepfunction-prd-quantum-euwe1-01|ExecutionsAborted CRITICAL|Hostname:stepfunction-prd-quantum-euwe1-01|919887327920</t>
  </si>
  <si>
    <t>INC2449799</t>
  </si>
  <si>
    <t>BES INCIDENT for alertId 0250108396|AWS/States|ia4-stepfunction-prd-quantum-euwe1-01|ExecutionsTimedOut CRITICAL|Hostname:ia4-stepfunction-prd-quantum-euwe1-01|919887327920</t>
  </si>
  <si>
    <t>INC2453278</t>
  </si>
  <si>
    <t>My mandatories in crewlink show an incorrect OPC expirey date.</t>
  </si>
  <si>
    <t>INC2448957</t>
  </si>
  <si>
    <t>Incorrect expiry date EBTI</t>
  </si>
  <si>
    <t>INC2451048</t>
  </si>
  <si>
    <t>Crew check-in issues</t>
  </si>
  <si>
    <t>INC2456234</t>
  </si>
  <si>
    <t>BA-LHR-Unable to access crewlink,out of date mandatory</t>
  </si>
  <si>
    <t>INC2459326</t>
  </si>
  <si>
    <t>BES INCIDENT for alertId 0250324771|AWS/States|ia4-stepfunction-prd-quantum-euwe1-01|ExecutionsTimedOut CRITICAL|Hostname:ia4-stepfunction-prd-quantum-euwe1-01|919887327920</t>
  </si>
  <si>
    <t>INC2459169</t>
  </si>
  <si>
    <t>BES INCIDENT for alertId 0250318543|AWS/States|stepfunction-prd-quantum-euwe1-01|ExecutionThrottled CRITICAL|Hostname:stepfunction-prd-quantum-euwe1-01|919887327920</t>
  </si>
  <si>
    <t>INC2459787</t>
  </si>
  <si>
    <t>BES INCIDENT for alertId 0250336011|AWS/States|ia4-stepfunction-prd-quantum-euwe1-01|ExecutionThrottled CRITICAL|Hostname:ia4-stepfunction-prd-quantum-euwe1-01|919887327920</t>
  </si>
  <si>
    <t>INC2460893</t>
  </si>
  <si>
    <t>BES INCIDENT for alertId 0250358361|AWS/States|ia4-stepfunction-prd-quantum-euwe1-01|ExecutionThrottled CRITICAL|Hostname:ia4-stepfunction-prd-quantum-euwe1-01|919887327920</t>
  </si>
  <si>
    <t>INC2460700</t>
  </si>
  <si>
    <t>BES INCIDENT for alertId 0250351302|AWS/States|stepfunction-prd-quantum-euwe1-01|ExecutionThrottled CRITICAL|Hostname:stepfunction-prd-quantum-euwe1-01|919887327920</t>
  </si>
  <si>
    <t>INC2462538</t>
  </si>
  <si>
    <t>BES INCIDENT for alertId 0250391695|AWS/States|ia4-stepfunction-prd-quantum-euwe1-01|ExecutionThrottled CRITICAL|Hostname:ia4-stepfunction-prd-quantum-euwe1-01|919887327920</t>
  </si>
  <si>
    <t>INC2462282</t>
  </si>
  <si>
    <t>BES INCIDENT for alertId 0250384933|AWS/States|stepfunction-prd-quantum-euwe1-01|ExecutionsAborted CRITICAL|Hostname:stepfunction-prd-quantum-euwe1-01|919887327920</t>
  </si>
  <si>
    <t>INC2462827</t>
  </si>
  <si>
    <t>BES INCIDENT for alertId 0250400865|AWS/States|ia4-stepfunction-prd-quantum-euwe1-01|ExecutionThrottled CRITICAL|Hostname:ia4-stepfunction-prd-quantum-euwe1-01|919887327920</t>
  </si>
  <si>
    <t>INC2462149</t>
  </si>
  <si>
    <t xml:space="preserve">Incorrect Mandatory Dates </t>
  </si>
  <si>
    <t>INC2463744</t>
  </si>
  <si>
    <t>BES INCIDENT for alertId 0250417125|AWS/States|stepfunction-prd-quantum-euwe1-01|ExecutionThrottled CRITICAL|Hostname:stepfunction-prd-quantum-euwe1-01|919887327920</t>
  </si>
  <si>
    <t>INC2464292</t>
  </si>
  <si>
    <t>BES INCIDENT for alertId 0250425691|AWS/States|ia4-stepfunction-prd-quantum-euwe1-01|ExecutionsFailed CRITICAL|Hostname:ia4-stepfunction-prd-quantum-euwe1-01|919887327920</t>
  </si>
  <si>
    <t>INC2465666</t>
  </si>
  <si>
    <t>BES INCIDENT for alertId 0250451495|AWS/States|stepfunction-prd-quantum-euwe1-01|ExecutionsAborted CRITICAL|Hostname:stepfunction-prd-quantum-euwe1-01|919887327920</t>
  </si>
  <si>
    <t>INC2468159</t>
  </si>
  <si>
    <t>BES INCIDENT for alertId 0250474390|AWS/States|ia4-stepfunction-prd-quantum-euwe1-01|ExecutionsFailed CRITICAL|Hostname:ia4-stepfunction-prd-quantum-euwe1-01|919887327920</t>
  </si>
  <si>
    <t>INC2464294</t>
  </si>
  <si>
    <t>BES INCIDENT for alertId 0250425697|AWS/States|ia4-stepfunction-prd-quantum-euwe1-01|ExecutionsAborted CRITICAL|Hostname:ia4-stepfunction-prd-quantum-euwe1-01|919887327920</t>
  </si>
  <si>
    <t>INC2464296</t>
  </si>
  <si>
    <t>BES INCIDENT for alertId 0250425714|AWS/States|ia4-stepfunction-prd-quantum-euwe1-01|ExecutionThrottled CRITICAL|Hostname:ia4-stepfunction-prd-quantum-euwe1-01|919887327920</t>
  </si>
  <si>
    <t>INC2468162</t>
  </si>
  <si>
    <t>BES INCIDENT for alertId 0250474404|AWS/States|ia4-stepfunction-prd-quantum-euwe1-01|ExecutionThrottled CRITICAL|Hostname:ia4-stepfunction-prd-quantum-euwe1-01|919887327920</t>
  </si>
  <si>
    <t>SCTASK1171388</t>
  </si>
  <si>
    <t xml:space="preserve">Generic Request - I am unable to check-in for my flying duties at the CRC. My crewlink mandatory expiry dates are incorrect and do not seem to be taking their feed from Quantum. This is leading to a manual check in with the flight operations duty manager at each report. Please investigate. </t>
  </si>
  <si>
    <t>SCTASK1182343</t>
  </si>
  <si>
    <t>Generic Request - Need Non Prod account details of QIP application</t>
  </si>
  <si>
    <t>INC2473318</t>
  </si>
  <si>
    <t>BES INCIDENT for alertId 0250570906|AWS/States|ia4-stepfunction-prd-quantum-euwe1-01|ExecutionsFailed CRITICAL|Hostname:ia4-stepfunction-prd-quantum-euwe1-01|919887327920</t>
  </si>
  <si>
    <t>INC2471175</t>
  </si>
  <si>
    <t>BES INCIDENT for alertId 0250548605|AWS/States|stepfunction-prd-quantum-euwe1-01|ExecutionThrottled CRITICAL|Hostname:stepfunction-prd-quantum-euwe1-01|919887327920</t>
  </si>
  <si>
    <t>INC2473320</t>
  </si>
  <si>
    <t>BES INCIDENT for alertId 0250570917|AWS/States|ia4-stepfunction-prd-quantum-euwe1-01|ExecutionsTimedOut CRITICAL|Hostname:ia4-stepfunction-prd-quantum-euwe1-01|919887327920</t>
  </si>
  <si>
    <t>INC2469244</t>
  </si>
  <si>
    <t>User cannot login or access Quantum</t>
  </si>
  <si>
    <t>INC2464513</t>
  </si>
  <si>
    <t>POLA07-Wrong FICO in Quantum</t>
  </si>
  <si>
    <t>INC2473763</t>
  </si>
  <si>
    <t>BES INCIDENT for alertId 0250581965|AWS/States|ia4-stepfunction-prd-quantum-euwe1-01|ExecutionsFailed CRITICAL|Hostname:ia4-stepfunction-prd-quantum-euwe1-01|919887327920</t>
  </si>
  <si>
    <t>INC2474831</t>
  </si>
  <si>
    <t>BES INCIDENT for alertId 0250596849|AWS/States|stepfunction-prd-quantum-euwe1-01|ExecutionsAborted CRITICAL|Hostname:stepfunction-prd-quantum-euwe1-01|919887327920</t>
  </si>
  <si>
    <t>INC2475232</t>
  </si>
  <si>
    <t>BES INCIDENT for alertId 0250604475|AWS/States|ia4-stepfunction-prd-quantum-euwe1-01|ExecutionsAborted CRITICAL|Hostname:ia4-stepfunction-prd-quantum-euwe1-01|919887327920</t>
  </si>
  <si>
    <t>INC2476783</t>
  </si>
  <si>
    <t>BES INCIDENT for alertId 0250629862|AWS/States|stepfunction-prd-quantum-euwe1-01|ExecutionsAborted CRITICAL|Hostname:stepfunction-prd-quantum-euwe1-01|919887327920</t>
  </si>
  <si>
    <t>INC2477102</t>
  </si>
  <si>
    <t>BES INCIDENT for alertId 0250636090|AWS/States|ia4-stepfunction-prd-quantum-euwe1-01|ExecutionsFailed CRITICAL|Hostname:ia4-stepfunction-prd-quantum-euwe1-01|919887327920</t>
  </si>
  <si>
    <t>INC2480028</t>
  </si>
  <si>
    <t>BES INCIDENT for alertId 0250674308|AWS/States|ia4-stepfunction-prd-quantum-euwe1-01|ExecutionsTimedOut CRITICAL|Hostname:ia4-stepfunction-prd-quantum-euwe1-01|919887327920</t>
  </si>
  <si>
    <t>INC2479041</t>
  </si>
  <si>
    <t>BES INCIDENT for alertId 0250663001|AWS/States|stepfunction-prd-quantum-euwe1-01|ExecutionThrottled CRITICAL|Hostname:stepfunction-prd-quantum-euwe1-01|919887327920</t>
  </si>
  <si>
    <t>INC2476222</t>
  </si>
  <si>
    <t>Unable to update a mandatory</t>
  </si>
  <si>
    <t>INC2482010</t>
  </si>
  <si>
    <t>BES INCIDENT for alertId 0250705787|AWS/States|ia4-stepfunction-prd-quantum-euwe1-01|ExecutionsTimedOut CRITICAL|Hostname:ia4-stepfunction-prd-quantum-euwe1-01|919887327920</t>
  </si>
  <si>
    <t>INC2481674</t>
  </si>
  <si>
    <t>BES INCIDENT for alertId 0250699599|AWS/States|stepfunction-prd-quantum-euwe1-01|ExecutionThrottled CRITICAL|Hostname:stepfunction-prd-quantum-euwe1-01|919887327920</t>
  </si>
  <si>
    <t>INC2484835</t>
  </si>
  <si>
    <t>BES INCIDENT for alertId 0250795962|AWS/States|ia4-stepfunction-prd-quantum-euwe1-01|ExecutionThrottled CRITICAL|Hostname:ia4-stepfunction-prd-quantum-euwe1-01|919887327920</t>
  </si>
  <si>
    <t>INC2484570</t>
  </si>
  <si>
    <t>BES INCIDENT for alertId 0250790090|AWS/States|stepfunction-prd-quantum-euwe1-01|ExecutionsAborted CRITICAL|Hostname:stepfunction-prd-quantum-euwe1-01|919887327920</t>
  </si>
  <si>
    <t>INC2484438</t>
  </si>
  <si>
    <t>Pilot cannot login to Quantum</t>
  </si>
  <si>
    <t>INC2484437</t>
  </si>
  <si>
    <t>INC2485466</t>
  </si>
  <si>
    <t>BES INCIDENT for alertId 0250806425|AWS/States|ia4-stepfunction-prd-quantum-euwe1-01|ExecutionsFailed CRITICAL|Hostname:ia4-stepfunction-prd-quantum-euwe1-01|919887327920</t>
  </si>
  <si>
    <t>INC2485469</t>
  </si>
  <si>
    <t>BES INCIDENT for alertId 0250806432|AWS/States|ia4-stepfunction-prd-quantum-euwe1-01|ExecutionThrottled CRITICAL|Hostname:ia4-stepfunction-prd-quantum-euwe1-01|919887327920</t>
  </si>
  <si>
    <t>INC2486563</t>
  </si>
  <si>
    <t>BES INCIDENT for alertId 0250826520|AWS/States|ia4-stepfunction-prd-quantum-euwe1-01|ExecutionThrottled CRITICAL|Hostname:ia4-stepfunction-prd-quantum-euwe1-01|919887327920</t>
  </si>
  <si>
    <t>INC2486369</t>
  </si>
  <si>
    <t>BES INCIDENT for alertId 0250820645|AWS/States|stepfunction-prd-quantum-euwe1-01|ExecutionsTimedOut CRITICAL|Hostname:stepfunction-prd-quantum-euwe1-01|919887327920</t>
  </si>
  <si>
    <t>INC2487164</t>
  </si>
  <si>
    <t>BES INCIDENT for alertId 0250837046|AWS/States|ia4-stepfunction-prd-quantum-euwe1-01|ExecutionThrottled CRITICAL|Hostname:ia4-stepfunction-prd-quantum-euwe1-01|919887327920</t>
  </si>
  <si>
    <t>INC2488381</t>
  </si>
  <si>
    <t>BES INCIDENT for alertId 0250857334|AWS/States|ia4-stepfunction-prd-quantum-euwe1-01|ExecutionsFailed CRITICAL|Hostname:ia4-stepfunction-prd-quantum-euwe1-01|919887327920</t>
  </si>
  <si>
    <t>INC2488120</t>
  </si>
  <si>
    <t>BES INCIDENT for alertId 0250850380|AWS/States|stepfunction-prd-quantum-euwe1-01|ExecutionsFailed CRITICAL|Hostname:stepfunction-prd-quantum-euwe1-01|919887327920</t>
  </si>
  <si>
    <t>INC2488673</t>
  </si>
  <si>
    <t>BES INCIDENT for alertId 0250861726|AWS/States|ia4-stepfunction-prd-quantum-euwe1-01|ExecutionThrottled CRITICAL|Hostname:ia4-stepfunction-prd-quantum-euwe1-01|919887327920</t>
  </si>
  <si>
    <t>INC2490474</t>
  </si>
  <si>
    <t>BES INCIDENT for alertId 0250887729|AWS/States|ia4-stepfunction-prd-quantum-euwe1-01|ExecutionsFailed CRITICAL|Hostname:ia4-stepfunction-prd-quantum-euwe1-01|919887327920</t>
  </si>
  <si>
    <t>INC2489863</t>
  </si>
  <si>
    <t>BES INCIDENT for alertId 0250880867|AWS/States|stepfunction-prd-quantum-euwe1-01|ExecutionsFailed CRITICAL|Hostname:stepfunction-prd-quantum-euwe1-01|919887327920</t>
  </si>
  <si>
    <t>INC2490727</t>
  </si>
  <si>
    <t>BES INCIDENT for alertId 0250890753|AWS/States|ia4-stepfunction-prd-quantum-euwe1-01|ExecutionsFailed CRITICAL|Hostname:ia4-stepfunction-prd-quantum-euwe1-01|919887327920</t>
  </si>
  <si>
    <t>INC2490728</t>
  </si>
  <si>
    <t>BES INCIDENT for alertId 0250890757|AWS/States|ia4-stepfunction-prd-quantum-euwe1-01|ExecutionThrottled CRITICAL|Hostname:ia4-stepfunction-prd-quantum-euwe1-01|919887327920</t>
  </si>
  <si>
    <t>SCTASK1184279</t>
  </si>
  <si>
    <t>Findings for TST_Quantum_Crewstar - 657358572397 the period starting 2026-06-15 05:27:16.318384</t>
  </si>
  <si>
    <t>SCTASK1187951</t>
  </si>
  <si>
    <t>Findings for TST_Quantum_Crewstar - 657358572397 the period starting 2026-06-22 05:29:53.391577</t>
  </si>
  <si>
    <t>INC2492123</t>
  </si>
  <si>
    <t>BES INCIDENT for alertId 0250914937|AWS/States|ia4-stepfunction-prd-quantum-euwe1-01|ExecutionsFailed CRITICAL|Hostname:ia4-stepfunction-prd-quantum-euwe1-01|919887327920</t>
  </si>
  <si>
    <t>INC2491882</t>
  </si>
  <si>
    <t>BES INCIDENT for alertId 0250909462|AWS/States|stepfunction-prd-quantum-euwe1-01|ExecutionsAborted CRITICAL|Hostname:stepfunction-prd-quantum-euwe1-01|919887327920</t>
  </si>
  <si>
    <t>INC2490475</t>
  </si>
  <si>
    <t>BES INCIDENT for alertId 0250887734|AWS/States|ia4-stepfunction-prd-quantum-euwe1-01|ExecutionThrottled CRITICAL|Hostname:ia4-stepfunction-prd-quantum-euwe1-01|919887327920</t>
  </si>
  <si>
    <t>INC2494763</t>
  </si>
  <si>
    <t>BES INCIDENT for alertId 0250993906|AWS/States|ia4-stepfunction-prd-quantum-euwe1-01|ExecutionsFailed CRITICAL|Hostname:ia4-stepfunction-prd-quantum-euwe1-01|919887327920</t>
  </si>
  <si>
    <t>INC2494574</t>
  </si>
  <si>
    <t>BES INCIDENT for alertId 0250988907|AWS/States|stepfunction-prd-quantum-euwe1-01|ExecutionsAborted CRITICAL|Hostname:stepfunction-prd-quantum-euwe1-01|919887327920</t>
  </si>
  <si>
    <t>INC2496451</t>
  </si>
  <si>
    <t>BES INCIDENT for alertId 0251024266|AWS/States|ia4-stepfunction-prd-quantum-euwe1-01|ExecutionsFailed CRITICAL|Hostname:ia4-stepfunction-prd-quantum-euwe1-01|919887327920</t>
  </si>
  <si>
    <t>INC2496264</t>
  </si>
  <si>
    <t>BES INCIDENT for alertId 0251018615|AWS/States|stepfunction-prd-quantum-euwe1-01|ExecutionsAborted CRITICAL|Hostname:stepfunction-prd-quantum-euwe1-01|919887327920</t>
  </si>
  <si>
    <t>INC2493239</t>
  </si>
  <si>
    <t>User cannot login due name change</t>
  </si>
  <si>
    <t>INC2482520</t>
  </si>
  <si>
    <t>No access l</t>
  </si>
  <si>
    <t>INC2491018</t>
  </si>
  <si>
    <t>Can’t log in to Quantum</t>
  </si>
  <si>
    <t>INC2498560</t>
  </si>
  <si>
    <t>BES INCIDENT for alertId 0251058110|AWS/States|ia4-stepfunction-prd-quantum-euwe1-01|ExecutionsFailed CRITICAL|Hostname:ia4-stepfunction-prd-quantum-euwe1-01|919887327920</t>
  </si>
  <si>
    <t>INC2498417</t>
  </si>
  <si>
    <t>BES INCIDENT for alertId 0251051182|AWS/States|stepfunction-prd-quantum-euwe1-01|ExecutionsAborted CRITICAL|Hostname:stepfunction-prd-quantum-euwe1-01|919887327920</t>
  </si>
  <si>
    <t>SCTASK1192857</t>
  </si>
  <si>
    <t>Generic Request - User unable to find historic training records</t>
  </si>
  <si>
    <t>INC2499940</t>
  </si>
  <si>
    <t>BES INCIDENT for alertId 0251083309|AWS/States|stepfunction-prd-quantum-euwe1-01|ExecutionsTimedOut CRITICAL|Hostname:stepfunction-prd-quantum-euwe1-01|919887327920</t>
  </si>
  <si>
    <t>INC2500137</t>
  </si>
  <si>
    <t>BES INCIDENT for alertId 0251106593|AWS/States|ia4-stepfunction-prd-quantum-euwe1-01|ExecutionsTimedOut CRITICAL|Hostname:ia4-stepfunction-prd-quantum-euwe1-01|919887327920</t>
  </si>
  <si>
    <t>INC2494405</t>
  </si>
  <si>
    <t>Mandatories Incorrectly shown as Expired</t>
  </si>
  <si>
    <t>INC2488383</t>
  </si>
  <si>
    <t>BES INCIDENT for alertId 0250857338|AWS/States|ia4-stepfunction-prd-quantum-euwe1-01|ExecutionThrottled CRITICAL|Hostname:ia4-stepfunction-prd-quantum-euwe1-01|919887327920</t>
  </si>
  <si>
    <t>INC2505005</t>
  </si>
  <si>
    <t>BES INCIDENT for alertId 0251271813|AWS/States|stepfunction-prd-quantum-euwe1-01|ExecutionsTimedOut CRITICAL|Hostname:stepfunction-prd-quantum-euwe1-01|919887327920</t>
  </si>
  <si>
    <t>INC2504171</t>
  </si>
  <si>
    <t>Pilot KELTC unable to check in</t>
  </si>
  <si>
    <t>INC2501476</t>
  </si>
  <si>
    <t>BES INCIDENT for alertId 0251132309|AWS/States|stepfunction-prd-quantum-euwe1-01|ExecutionsAborted CRITICAL|Hostname:stepfunction-prd-quantum-euwe1-01|919887327920</t>
  </si>
  <si>
    <t>INC2501654</t>
  </si>
  <si>
    <t>BES INCIDENT for alertId 0251139221|AWS/States|ia4-stepfunction-prd-quantum-euwe1-01|ExecutionsAborted CRITICAL|Hostname:ia4-stepfunction-prd-quantum-euwe1-01|919887327920</t>
  </si>
  <si>
    <t>INC2501653</t>
  </si>
  <si>
    <t>BES INCIDENT for alertId 0251139223|AWS/States|ia4-stepfunction-prd-quantum-euwe1-01|ExecutionsFailed CRITICAL|Hostname:ia4-stepfunction-prd-quantum-euwe1-01|919887327920</t>
  </si>
  <si>
    <t>INC2502859</t>
  </si>
  <si>
    <t>BES INCIDENT for alertId 0251166709|AWS/States|stepfunction-prd-quantum-euwe1-01|ExecutionsAborted CRITICAL|Hostname:stepfunction-prd-quantum-euwe1-01|919887327920</t>
  </si>
  <si>
    <t>INC2503302</t>
  </si>
  <si>
    <t>BES INCIDENT for alertId 0251200040|AWS/States|stepfunction-prd-quantum-euwe1-01|ExecutionsAborted CRITICAL|Hostname:stepfunction-prd-quantum-euwe1-01|919887327920</t>
  </si>
  <si>
    <t>INC2503813</t>
  </si>
  <si>
    <t>BES INCIDENT for alertId 0251234344|AWS/States|stepfunction-prd-quantum-euwe1-01|ExecutionsFailed CRITICAL|Hostname:stepfunction-prd-quantum-euwe1-01|919887327920</t>
  </si>
  <si>
    <t>INC2503972</t>
  </si>
  <si>
    <t>BES INCIDENT for alertId 0251241553|AWS/States|ia4-stepfunction-prd-quantum-euwe1-01|ExecutionThrottled CRITICAL|Hostname:ia4-stepfunction-prd-quantum-euwe1-01|919887327920</t>
  </si>
  <si>
    <t>INC2506310</t>
  </si>
  <si>
    <t>BES INCIDENT for alertId 0251309825|AWS/States|stepfunction-prd-quantum-euwe1-01|ExecutionsAborted CRITICAL|Hostname:stepfunction-prd-quantum-euwe1-01|919887327920</t>
  </si>
  <si>
    <t>INC2506442</t>
  </si>
  <si>
    <t>BES INCIDENT for alertId 0251317614|AWS/States|ia4-stepfunction-prd-quantum-euwe1-01|ExecutionsFailed CRITICAL|Hostname:ia4-stepfunction-prd-quantum-euwe1-01|919887327920</t>
  </si>
  <si>
    <t>INC2507596</t>
  </si>
  <si>
    <t>BES INCIDENT for alertId 0251349273|AWS/States|stepfunction-prd-quantum-euwe1-01|ExecutionsAborted CRITICAL|Hostname:stepfunction-prd-quantum-euwe1-01|919887327920</t>
  </si>
  <si>
    <t>INC2507771</t>
  </si>
  <si>
    <t>BES INCIDENT for alertId 0251358972|AWS/States|ia4-stepfunction-prd-quantum-euwe1-01|ExecutionsFailed CRITICAL|Hostname:ia4-stepfunction-prd-quantum-euwe1-01|919887327920</t>
  </si>
  <si>
    <t>INC2506878</t>
  </si>
  <si>
    <t>Feed from Quantum to Crewlink failed</t>
  </si>
  <si>
    <t>INC2506627</t>
  </si>
  <si>
    <t>User cannot checkin due to qualification expiry warning</t>
  </si>
  <si>
    <t>INC2508811</t>
  </si>
  <si>
    <t>BES INCIDENT for alertId 0251390596|AWS/States|stepfunction-prd-quantum-euwe1-01|ExecutionsAborted CRITICAL|Hostname:stepfunction-prd-quantum-euwe1-01|919887327920</t>
  </si>
  <si>
    <t>INC2509036</t>
  </si>
  <si>
    <t>BES INCIDENT for alertId 0251399160|AWS/States|ia4-stepfunction-prd-quantum-euwe1-01|ExecutionsFailed CRITICAL|Hostname:ia4-stepfunction-prd-quantum-euwe1-01|919887327920</t>
  </si>
  <si>
    <t>INC2509939</t>
  </si>
  <si>
    <t>BES INCIDENT for alertId 0251430146|AWS/States|stepfunction-prd-quantum-euwe1-01|ExecutionsAborted CRITICAL|Hostname:stepfunction-prd-quantum-euwe1-01|919887327920</t>
  </si>
  <si>
    <t>INC2511473</t>
  </si>
  <si>
    <t>BES INCIDENT for alertId 0251517654|AWS/States|ia4-stepfunction-prd-quantum-euwe1-01|ExecutionsTimedOut CRITICAL|Hostname:ia4-stepfunction-prd-quantum-euwe1-01|919887327920</t>
  </si>
  <si>
    <t>INC2511935</t>
  </si>
  <si>
    <t>BES INCIDENT for alertId 0251533625|application|csq1001|CSQ1001 CRITICAL|Hostname:ia1quantum02|919887327920</t>
  </si>
  <si>
    <t>INC2511918</t>
  </si>
  <si>
    <t>BES INCIDENT for alertId 0251533275|application|aus1001|AUS1001 CRITICAL|Hostname:ia4quantum01|919887327920</t>
  </si>
  <si>
    <t>INC2512498</t>
  </si>
  <si>
    <t>BES INCIDENT for alertId 0251552195|AWS/States|stepfunction-prd-quantum-euwe1-01|ExecutionsFailed CRITICAL|Hostname:stepfunction-prd-quantum-euwe1-01|919887327920</t>
  </si>
  <si>
    <t>INC2512503</t>
  </si>
  <si>
    <t>BES INCIDENT for alertId 0251552313|application|cqns1002|CQNS1002 CRITICAL|Hostname:ia1quantum03|919887327920</t>
  </si>
  <si>
    <t>INC2512499</t>
  </si>
  <si>
    <t>BES INCIDENT for alertId 0251552199|application|cquf1007|CQUF1007 CRITICAL|Hostname:ia1quantum03|919887327920</t>
  </si>
  <si>
    <t>INC2510277</t>
  </si>
  <si>
    <t xml:space="preserve">Unable to check-in </t>
  </si>
  <si>
    <t>INC2511071</t>
  </si>
  <si>
    <t xml:space="preserve">When trying to report for duty a message saying  that my mandatory LOE 777 is expired. This is incorrect as I have done my LOE in May and that I am on B787. </t>
  </si>
  <si>
    <t>INC2514428</t>
  </si>
  <si>
    <t>BES INCIDENT for alertId 0251591446|application|cquf1007|CQUF1007 CRITICAL|Hostname:ia1quantum03|919887327920</t>
  </si>
  <si>
    <t>INC2516243</t>
  </si>
  <si>
    <t>BES INCIDENT for alertId 0251624032|application|csq1002|CSQ1002 CRITICAL|Hostname:ia1quantum02|919887327920</t>
  </si>
  <si>
    <t>INC2516245</t>
  </si>
  <si>
    <t>BES INCIDENT for alertId 0251624107|application|cqns1002|CQNS1002 CRITICAL|Hostname:ia1quantum03|919887327920</t>
  </si>
  <si>
    <t>INC2516244</t>
  </si>
  <si>
    <t>BES INCIDENT for alertId 0251624036|application|cquf1007|CQUF1007 CRITICAL|Hostname:ia1quantum03|919887327920</t>
  </si>
  <si>
    <t>INC2516832</t>
  </si>
  <si>
    <t>BES INCIDENT for alertId 0251640194|application|cqns1002|CQNS1002 CRITICAL|Hostname:ia1quantum03|919887327920</t>
  </si>
  <si>
    <t>INC2516840</t>
  </si>
  <si>
    <t>BES INCIDENT for alertId 0251640311|application|cqns1002|CQNS1002 CRITICAL|Hostname:ia1quantum03|919887327920</t>
  </si>
  <si>
    <t>INC2517221</t>
  </si>
  <si>
    <t>BES INCIDENT for alertId 0251653213|application|cquf1007|CQUF1007 CRITICAL|Hostname:ia1quantum03|919887327920</t>
  </si>
  <si>
    <t>INC2468161</t>
  </si>
  <si>
    <t>BES INCIDENT for alertId 0250474394|AWS/States|ia4-stepfunction-prd-quantum-euwe1-01|ExecutionsTimedOut CRITICAL|Hostname:ia4-stepfunction-prd-quantum-euwe1-01|919887327920</t>
  </si>
  <si>
    <t>INC2519380</t>
  </si>
  <si>
    <t>BES INCIDENT for alertId 0251748131|application|cquf1007|CQUF1007 CRITICAL|Hostname:ia1quantum03|919887327920</t>
  </si>
  <si>
    <t>INC2518186</t>
  </si>
  <si>
    <t>BES INCIDENT for alertId 0251683572|application|csq1002|CSQ1002 CRITICAL|Hostname:ia1quantum02|919887327920</t>
  </si>
  <si>
    <t>SCTASK1202547</t>
  </si>
  <si>
    <t>Findings for ba-quantum-ba-prd - 919887327920 the period starting 2026-07-20 05:34:36.736041</t>
  </si>
  <si>
    <t>SCTASK1202387</t>
  </si>
  <si>
    <t>Findings for TST_Quantum_Crewstar - 657358572397 the period starting 2026-07-20 05:28:23.425437</t>
  </si>
  <si>
    <t>SCTASK1176133</t>
  </si>
  <si>
    <t xml:space="preserve">Generic Request - Generic Request - Modelling of Quantum Integration alerts with the updated JSON scripts in the shared file </t>
  </si>
  <si>
    <t>INC2519765</t>
  </si>
  <si>
    <t>BES INCIDENT for alertId 0251760423|application|cqns1003|CQNS1003 CRITICAL|Hostname:ia1quantum03|919887327920</t>
  </si>
  <si>
    <t>INC2520629</t>
  </si>
  <si>
    <t>BES INCIDENT for alertId 0251785006|application|cquf1007|CQUF1007 CRITICAL|Hostname:ia1quantum03|919887327920</t>
  </si>
  <si>
    <t>INC2521424</t>
  </si>
  <si>
    <t>Crew link and Quantum dates do not match</t>
  </si>
  <si>
    <t>INC2521457</t>
  </si>
  <si>
    <t>Unable to access Quantum</t>
  </si>
  <si>
    <t>INC2521487</t>
  </si>
  <si>
    <t>I am unable to log in to quantum to access my training records.</t>
  </si>
  <si>
    <t>INC2522067</t>
  </si>
  <si>
    <t>Can you please update my mandatories to match my licence 30/09/2027 instead of 31/08/2026</t>
  </si>
  <si>
    <t>INC2523572</t>
  </si>
  <si>
    <t>BES INCIDENT for alertId 0251852251|application|cquf1007|CQUF1007 CRITICAL|Hostname:ia1quantum03|919887327920</t>
  </si>
  <si>
    <t>INC2523558</t>
  </si>
  <si>
    <t>BES INCIDENT for alertId 0251851965|application|cqns1002|CQNS1002 CRITICAL|Hostname:ia1quantum03|919887327920</t>
  </si>
  <si>
    <t>INC2524812</t>
  </si>
  <si>
    <t>Urgent: Quantum Access</t>
  </si>
  <si>
    <t>INC2524552</t>
  </si>
  <si>
    <t>BES INCIDENT for alertId 0251871082|application|cqns1002|CQNS1002 CRITICAL|Hostname:ia1quantum03|919887327920</t>
  </si>
  <si>
    <t>INC2524459</t>
  </si>
  <si>
    <t>BES INCIDENT for alertId 0251869353|application|cqns1001|CQNS1001 CRITICAL|Hostname:ia1quantum03|919887327920</t>
  </si>
  <si>
    <t>INC2524908</t>
  </si>
  <si>
    <t>BES INCIDENT for alertId 0251882829|application|csq1002|CSQ1002 CRITICAL|Hostname:ia1quantum02|919887327920</t>
  </si>
  <si>
    <t>INC2524907</t>
  </si>
  <si>
    <t>BES INCIDENT for alertId 0251882823|application|cquf1007|CQUF1007 CRITICAL|Hostname:ia1quantum03|919887327920</t>
  </si>
  <si>
    <t>SCTASK1194954</t>
  </si>
  <si>
    <t>Findings for TST_Quantum_Crewstar - 657358572397 the period starting 2026-07-06 05:24:17.488458</t>
  </si>
  <si>
    <t>SCTASK1203574</t>
  </si>
  <si>
    <t>INC2527486</t>
  </si>
  <si>
    <t>BES INCIDENT for alertId 0251969573|application|cquf1007|CQUF1007 CRITICAL|Hostname:ia1quantum03|919887327920</t>
  </si>
  <si>
    <t>INC2527747</t>
  </si>
  <si>
    <t>BES INCIDENT for alertId 0251978986|application|auqs1009|AUQS1009 CRITICAL|Hostname:ia4quantum02|919887327920</t>
  </si>
  <si>
    <t>SCTASK1206074</t>
  </si>
  <si>
    <t>Findings for ba-quantum-ba-prd - 919887327920 the period starting 2026-07-27 05:31:52.412429</t>
  </si>
  <si>
    <t>SCTASK1205878</t>
  </si>
  <si>
    <t>Findings for TST_Quantum_Crewstar - 657358572397 the period starting 2026-07-27 05:23:36.336109</t>
  </si>
  <si>
    <t>INC2528426</t>
  </si>
  <si>
    <t>LHR -- BA -- Unable to access quantum</t>
  </si>
  <si>
    <t>POLA07-POLA07-BES INCIDENT for alertId 0251882829|application|csq1002|CSQ1002 CRITICAL|Hostname:ia1quantum02|919887327920</t>
  </si>
  <si>
    <t>INC2528588</t>
  </si>
  <si>
    <t>BES INCIDENT for alertId 0251999363|application|csq1002|CSQ1002 CRITICAL|Hostname:ia1quantum02|919887327920</t>
  </si>
  <si>
    <t>INC2528593</t>
  </si>
  <si>
    <t>BES INCIDENT for alertId 0251999429|application|cqns1002|CQNS1002 CRITICAL|Hostname:ia1quantum03|919887327920</t>
  </si>
  <si>
    <t>INC2528589</t>
  </si>
  <si>
    <t>BES INCIDENT for alertId 0251999368|application|cquf1007|CQUF1007 CRITICAL|Hostname:ia1quantum03|919887327920</t>
  </si>
  <si>
    <t>INC2529709</t>
  </si>
  <si>
    <t>BES INCIDENT for alertId 0252024503|application|cquf1007|CQUF1007 CRITICAL|Hostname:ia1quantum03|919887327920</t>
  </si>
  <si>
    <t>INC2529711</t>
  </si>
  <si>
    <t>BES INCIDENT for alertId 0252024608|application|cqns1002|CQNS1002 CRITICAL|Hostname:ia1quantum03|919887327920</t>
  </si>
  <si>
    <t>INC2529708</t>
  </si>
  <si>
    <t>POLA07-POLA07-POLA07-BES INCIDENT for alertId 0252024501|application|csq1002|CSQ1002 CRITICAL|Hostname:ia1quantum02|919887327920</t>
  </si>
  <si>
    <t>INC2530890</t>
  </si>
  <si>
    <t>BES INCIDENT for alertId 0252050796|application|csq1003|CSQ1003 CRITICAL|Hostname:ia1quantum02|919887327920</t>
  </si>
  <si>
    <t>INC2530895</t>
  </si>
  <si>
    <t>BES INCIDENT for alertId 0252050881|application|cqns1002|CQNS1002 CRITICAL|Hostname:ia1quantum03|919887327920</t>
  </si>
  <si>
    <t>INC2530889</t>
  </si>
  <si>
    <t>BES INCIDENT for alertId 0252050791|application|cquf1007|CQUF1007 CRITICAL|Hostname:ia1quantum03|919887327920</t>
  </si>
  <si>
    <t>INC2530888</t>
  </si>
  <si>
    <t>BES INCIDENT for alertId 0252050788|application|csq1002|CSQ1002 CRITICAL|Hostname:ia1quantum02|919887327920</t>
  </si>
  <si>
    <t>INC2518185</t>
  </si>
  <si>
    <t>BES INCIDENT for alertId 0251683563|application|cquf1007|CQUF1007 CRITICAL|Hostname:ia1quantum03|919887327920</t>
  </si>
  <si>
    <t>INC2531653</t>
  </si>
  <si>
    <t xml:space="preserve">Cannot log on to QUANTUM </t>
  </si>
  <si>
    <t>INC2534580</t>
  </si>
  <si>
    <t>BES INCIDENT for alertId 0252147598|application|cquf1007|CQUF1007 CRITICAL|Hostname:ia1quantum03|919887327920</t>
  </si>
  <si>
    <t>INC2533040</t>
  </si>
  <si>
    <t>New joiners no quantum access</t>
  </si>
  <si>
    <t>INC2534300</t>
  </si>
  <si>
    <t>INC2534297</t>
  </si>
  <si>
    <t xml:space="preserve">Cannot login - user not found </t>
  </si>
  <si>
    <t>SCTASK1209410</t>
  </si>
  <si>
    <t>Findings for TST_Quantum_Crewstar - 657358572397 the period starting 2026-08-03 05:30:01.517105</t>
  </si>
  <si>
    <t>INC2535121</t>
  </si>
  <si>
    <t>BES INCIDENT for alertId 0252162453|application|cqns1002|CQNS1002 CRITICAL|Hostname:ia1quantum03|919887327920</t>
  </si>
  <si>
    <t>INC2536191</t>
  </si>
  <si>
    <t>BES INCIDENT for alertId 0252189755|application|cqns1002|CQNS1002 CRITICAL|Hostname:ia1quantum03|919887327920</t>
  </si>
  <si>
    <t>INC2536177</t>
  </si>
  <si>
    <t>BES INCIDENT for alertId 0252189616|application|cqns1002|CQNS1002 CRITICAL|Hostname:ia1quantum03|919887327920</t>
  </si>
  <si>
    <t>INC2536640</t>
  </si>
  <si>
    <t>BES INCIDENT for alertId 0252201308|application|cquf1007|CQUF1007 CRITICAL|Hostname:ia1quantum03|919887327920</t>
  </si>
  <si>
    <t>INC2532203</t>
  </si>
  <si>
    <t>ASND09 - CRM Qualification Records Still Being Received from Ascend</t>
  </si>
  <si>
    <t>SCTASK1207546</t>
  </si>
  <si>
    <t xml:space="preserve">Generic Request - My Line Check expiry date in the ESS Crewlink View Mandatories application is incorrect and shows expired. </t>
  </si>
  <si>
    <t>INC2537559</t>
  </si>
  <si>
    <t>BES INCIDENT for alertId 0252222910|application|cqns1002|CQNS1002 CRITICAL|Hostname:ia1quantum03|919887327920</t>
  </si>
  <si>
    <t>INC2537761</t>
  </si>
  <si>
    <t>BES INCIDENT for alertId 0252227438|application|cquf1007|CQUF1007 CRITICAL|Hostname:ia1quantum03|919887327920</t>
  </si>
  <si>
    <t>INC2538770</t>
  </si>
  <si>
    <t>BES INCIDENT for alertId 0252253107|application|cquf1007|CQUF1007 CRITICAL|Hostname:ia1quantum03|919887327920</t>
  </si>
  <si>
    <t>INC2538771</t>
  </si>
  <si>
    <t>BES INCIDENT for alertId 0252253109|application|csq1003|CSQ1003 CRITICAL|Hostname:ia1quantum02|919887327920</t>
  </si>
  <si>
    <t>INC2539674</t>
  </si>
  <si>
    <t>BES INCIDENT for alertId 0252278893|application|cquf1007|CQUF1007 CRITICAL|Hostname:ia1quantum03|919887327920</t>
  </si>
  <si>
    <t>INC2540941</t>
  </si>
  <si>
    <t>BES INCIDENT for alertId 0252323563|application|cqns1001|CQNS1001 CRITICAL|Hostname:ia1quantum03|919887327920</t>
  </si>
  <si>
    <t>INC2540443</t>
  </si>
  <si>
    <t>BES INCIDENT for alertId 0252278888|application|csq1002|CSQ1002 CRITICAL|Hostname:ia1quantum02|919887327920</t>
  </si>
  <si>
    <t>SCTASK1212823</t>
  </si>
  <si>
    <t>Findings for ba-quantum-ba-prd - 919887327920 the period starting 2026-08-10 05:24:22.488882</t>
  </si>
  <si>
    <t>SCTASK1212847</t>
  </si>
  <si>
    <t>Findings for TST_Quantum_Crewstar - 657358572397 the period starting 2026-08-10 05:25:15.504053</t>
  </si>
  <si>
    <t>INC2541366</t>
  </si>
  <si>
    <t>BA-LHR-Quantum-Unable to access</t>
  </si>
  <si>
    <t>INC2542134</t>
  </si>
  <si>
    <t>BES INCIDENT for alertId 0252349345|application|csq1003|CSQ1003 CRITICAL|Hostname:ia1quantum02|919887327920</t>
  </si>
  <si>
    <t>INC2542135</t>
  </si>
  <si>
    <t>BES INCIDENT for alertId 0252349352|application|cquf1007|CQUF1007 CRITICAL|Hostname:ia1quantum03|919887327920</t>
  </si>
  <si>
    <t>INC2553743</t>
  </si>
  <si>
    <t>BES INCIDENT for alertId 0252374541|application|cquf1007|CQUF1007 CRITICAL|Hostname:ia1quantum03|919887327920</t>
  </si>
  <si>
    <t>INC2553739</t>
  </si>
  <si>
    <t>BES INCIDENT for alertId 0252374530|application|csq1003|CSQ1003 CRITICAL|Hostname:ia1quantum02|919887327920</t>
  </si>
  <si>
    <t>INC2554450</t>
  </si>
  <si>
    <t>Backlog alerts- QUANTUM_BA~Application</t>
  </si>
  <si>
    <t>INC2558835</t>
  </si>
  <si>
    <t>BES INCIDENT for alertId 0252391637|application|cqns1002|CQNS1002 CRITICAL|Hostname:ia1quantum03|919887327920</t>
  </si>
  <si>
    <t>INC2558926</t>
  </si>
  <si>
    <t>BES INCIDENT for alertId 0252391716|application|cqns1002|CQNS1002 CRITICAL|Hostname:ia1quantum03|919887327920</t>
  </si>
  <si>
    <t>INC2562972</t>
  </si>
  <si>
    <t>BES INCIDENT for alertId 0252401366|application|cquf1007|CQUF1007 CRITICAL|Hostname:ia1quantum03|919887327920</t>
  </si>
  <si>
    <t>INC2567121</t>
  </si>
  <si>
    <t>LPC and LOE feed from training not allowing 789557 to check in.</t>
  </si>
  <si>
    <t>INC2538354</t>
  </si>
  <si>
    <t>Unable to check-in for work via crewlink despite all mandatories up to date</t>
  </si>
  <si>
    <t>INC2584835</t>
  </si>
  <si>
    <t>No quantum access</t>
  </si>
  <si>
    <t>INC2579573</t>
  </si>
  <si>
    <t xml:space="preserve">SIM Qual is preventing check in </t>
  </si>
  <si>
    <t>SCTASK1216533</t>
  </si>
  <si>
    <t>Findings for ba-quantum-ba-prd - 919887327920 the period starting 2026-08-17 05:31:16.000699</t>
  </si>
  <si>
    <t>SCTASK1215688</t>
  </si>
  <si>
    <t>Generic Request - Report on differences between Quantum and live CPD qualifications</t>
  </si>
  <si>
    <t>INC2585894</t>
  </si>
  <si>
    <t>BES INCIDENT for alertId 0252513411|application|cqns1001|CQNS1001 CRITICAL|Hostname:ia1quantum03|919887327920</t>
  </si>
  <si>
    <t>INC2586598</t>
  </si>
  <si>
    <t>BES INCIDENT for alertId 0252524855|AWS/States|stepfunction-prd-quantum-euwe1-01|ExecutionsAborted CRITICAL|Hostname:stepfunction-prd-quantum-euwe1-01|919887327920</t>
  </si>
  <si>
    <t>INC2586597</t>
  </si>
  <si>
    <t>BES INCIDENT for alertId 0252524847|application|acr1001|ACR1001 CRITICAL|Hostname:ia1quantum01|919887327920</t>
  </si>
  <si>
    <t>INC0186539</t>
  </si>
  <si>
    <t>Application performance depreciation in AirnavX appplication. Manuals are not getting properly loaded and the TSM manuals doesn't load</t>
  </si>
  <si>
    <t>Dijo</t>
  </si>
  <si>
    <t>INC0182823</t>
  </si>
  <si>
    <t>SCTASK0090871</t>
  </si>
  <si>
    <t>AirnavX manual upload request</t>
  </si>
  <si>
    <t>PRB0040317</t>
  </si>
  <si>
    <t>Constant high memory usage alerts from AirnavX server</t>
  </si>
  <si>
    <t>INC0210994</t>
  </si>
  <si>
    <t xml:space="preserve">CFM server 3 High memory Alert </t>
  </si>
  <si>
    <t>Vijay</t>
  </si>
  <si>
    <t>CFM</t>
  </si>
  <si>
    <t>SCTASK0098851</t>
  </si>
  <si>
    <t>CFM Manual Upload Request</t>
  </si>
  <si>
    <t>SCTASK0103008</t>
  </si>
  <si>
    <t>Airnavx</t>
  </si>
  <si>
    <t>SCTASK0103068</t>
  </si>
  <si>
    <t>SCTASK0103084</t>
  </si>
  <si>
    <t>INC0221096</t>
  </si>
  <si>
    <t>Airnav not accessible</t>
  </si>
  <si>
    <t>INC0225657</t>
  </si>
  <si>
    <t>High memory usage alert in AirnavX server 1</t>
  </si>
  <si>
    <t>SCTASK0105201</t>
  </si>
  <si>
    <t>INC0228589</t>
  </si>
  <si>
    <t>Airnavx Manual not accessible</t>
  </si>
  <si>
    <t>INC0229792</t>
  </si>
  <si>
    <t>Error uploading ST8 Manual May version</t>
  </si>
  <si>
    <t>INC0229849</t>
  </si>
  <si>
    <t>High memory usage alert in AirnavX server 2</t>
  </si>
  <si>
    <t>SCTASK0105717</t>
  </si>
  <si>
    <t>SCTASK0105664</t>
  </si>
  <si>
    <t>SCTASK0105666</t>
  </si>
  <si>
    <t>SCTASK1188138</t>
  </si>
  <si>
    <t>INC0232995</t>
  </si>
  <si>
    <t xml:space="preserve">CFM server 4 High memory Alert </t>
  </si>
  <si>
    <t>SCTASK0107067</t>
  </si>
  <si>
    <t>Manual Load Error</t>
  </si>
  <si>
    <t>INC0233504</t>
  </si>
  <si>
    <t>High memory usage alert in AirnavX server 3</t>
  </si>
  <si>
    <t>INC0242805</t>
  </si>
  <si>
    <t>CFM server 3 and 4 services down</t>
  </si>
  <si>
    <t>SCTASK0109846</t>
  </si>
  <si>
    <t>SCTASK0108836</t>
  </si>
  <si>
    <t>INC0248791</t>
  </si>
  <si>
    <t>Airnavx Login Issue</t>
  </si>
  <si>
    <t>INC0248393</t>
  </si>
  <si>
    <t>Airnavx Access Issue</t>
  </si>
  <si>
    <t>INC0248582</t>
  </si>
  <si>
    <t>INC0248632</t>
  </si>
  <si>
    <t>INC0248667</t>
  </si>
  <si>
    <t>Airnavx Password Invalid</t>
  </si>
  <si>
    <t>INC0248633</t>
  </si>
  <si>
    <t>SCTASK0113113</t>
  </si>
  <si>
    <t>INC0252285</t>
  </si>
  <si>
    <t>INC0251350</t>
  </si>
  <si>
    <t>SCTASK0113815</t>
  </si>
  <si>
    <t>SCTASK0113823</t>
  </si>
  <si>
    <t>SCTASK0116087</t>
  </si>
  <si>
    <t>Application Name</t>
  </si>
  <si>
    <t>Change Request Reference No.</t>
  </si>
  <si>
    <t>Request creation date &amp; time</t>
  </si>
  <si>
    <t>Implementation START date &amp; time</t>
  </si>
  <si>
    <t>Implementation END date &amp; time</t>
  </si>
  <si>
    <t>Description of Change</t>
  </si>
  <si>
    <t>Change Type</t>
  </si>
  <si>
    <t>Change Queue</t>
  </si>
  <si>
    <t>Change Request coordinator name</t>
  </si>
  <si>
    <t>Success or Failure</t>
  </si>
  <si>
    <t>Reason(s) for the failure</t>
  </si>
  <si>
    <t>Change Outage (if applicable)</t>
  </si>
  <si>
    <t>Is the change owned by Delivery team?</t>
  </si>
  <si>
    <t>Was rescheduled?</t>
  </si>
  <si>
    <t>Total Effort Spent
(in HOURS)</t>
  </si>
  <si>
    <t>Benefit of the change</t>
  </si>
  <si>
    <t xml:space="preserve">Area of the fix </t>
  </si>
  <si>
    <t>Change Ticket Source (RFS/P Ticket Ref)</t>
  </si>
  <si>
    <t>Change Ticket Classification</t>
  </si>
  <si>
    <t>Change Month</t>
  </si>
  <si>
    <t>Change Year</t>
  </si>
  <si>
    <t>Is Service Improvement</t>
  </si>
  <si>
    <t>Business Impact</t>
  </si>
  <si>
    <t>CHG0250501</t>
  </si>
  <si>
    <t>Application - Minor enhancments or bug fixes</t>
  </si>
  <si>
    <t>Standard</t>
  </si>
  <si>
    <t>Review</t>
  </si>
  <si>
    <t>Success</t>
  </si>
  <si>
    <t>May</t>
  </si>
  <si>
    <t>CHG0250051</t>
  </si>
  <si>
    <t>CALCULATORS (prd)</t>
  </si>
  <si>
    <t>CHG0249395</t>
  </si>
  <si>
    <t>CHG0249388</t>
  </si>
  <si>
    <t>CHG0249033</t>
  </si>
  <si>
    <t>ILOAD TELEX (prd)</t>
  </si>
  <si>
    <t>CHG0248186</t>
  </si>
  <si>
    <t>CHG0248180</t>
  </si>
  <si>
    <t>CHG0247291</t>
  </si>
  <si>
    <t>LM_TIMERECORDING_APP (prd)</t>
  </si>
  <si>
    <t>CHG0247279</t>
  </si>
  <si>
    <t>CHG0246409</t>
  </si>
  <si>
    <t>MDM to deploy ESP-PIL-iPhone + eForms via intune (iPhone)</t>
  </si>
  <si>
    <t>CHG0246339</t>
  </si>
  <si>
    <t>MDM to deploy ESP-PIL + ESP-Forms via intune (iPad)</t>
  </si>
  <si>
    <t>BackOffice</t>
  </si>
  <si>
    <t>CHG0248883</t>
  </si>
  <si>
    <t>PAF Files Update for Trillium Live server bal2498prd001</t>
  </si>
  <si>
    <t>Normal</t>
  </si>
  <si>
    <t>APPSUP_TRILLIUM_CHG</t>
  </si>
  <si>
    <t>Neline</t>
  </si>
  <si>
    <t>ITSER-27928</t>
  </si>
  <si>
    <t>External Supplier Change - Netline Test environment - Planned Maintenance Notification for Scheduled Maintenance to Azure Database for PostgreSQL Flexible Server</t>
  </si>
  <si>
    <t>APPSUP_GROUNDOPS_CHG</t>
  </si>
  <si>
    <t>June</t>
  </si>
  <si>
    <t>ITSER-28289</t>
  </si>
  <si>
    <t>ITSER-27929</t>
  </si>
  <si>
    <t>External Supplier Change - Netline Production environment - Planned Maintenance Notification for Scheduled Maintenance to Azure Database for PostgreSQL Flexible Server</t>
  </si>
  <si>
    <t>ITSER-28835</t>
  </si>
  <si>
    <t>Extend User Access – Ground Ops In-House Applications &amp; EBA Emails</t>
  </si>
  <si>
    <t>ITSER-30093</t>
  </si>
  <si>
    <t>External Supplier Change - OS Security Patching on NetLine/Load PROD Environment</t>
  </si>
  <si>
    <t>Airnavx(prd)</t>
  </si>
  <si>
    <t>CHG0044498</t>
  </si>
  <si>
    <t>Application - Upgrade of AirnavX Application to version 2.3.1.2</t>
  </si>
  <si>
    <t>CHG0044746</t>
  </si>
  <si>
    <t>Application - Upgrade of AirnavX Application to version 2.10.2</t>
  </si>
  <si>
    <t>CHG0254382</t>
  </si>
  <si>
    <t>Create a new role for the gen_lookup_master table to grant privileges to the Lead Cabin Crew  Manager, enabling them to submit insights for crew members.</t>
  </si>
  <si>
    <t>CUSTOMER DETAILS (prd)</t>
  </si>
  <si>
    <t>CHG0253640</t>
  </si>
  <si>
    <t>Unassignment of groups and uninstall of CustomerDetails app from existing devices</t>
  </si>
  <si>
    <t>Planned</t>
  </si>
  <si>
    <t>CHG0253289</t>
  </si>
  <si>
    <t>FOM to deploy FlightCrewForms via JAMF</t>
  </si>
  <si>
    <t>CHG0253282</t>
  </si>
  <si>
    <t>FOM to deploy FlightCrewForms to FCTEST via JAMF</t>
  </si>
  <si>
    <t>CHG0252991</t>
  </si>
  <si>
    <t>Create a new role for the gen_lookup_master table to grant privileges to the Cabin Crew  Manager, enabling them to submit insights for crew members.</t>
  </si>
  <si>
    <t>CHG0252464</t>
  </si>
  <si>
    <t>Release of TimeRecording app (LSTR)</t>
  </si>
  <si>
    <t>CHG0252276</t>
  </si>
  <si>
    <t>Database User passwords to be changed and updated in referenced regions for BYB Application as agreed with Cyber as part of quarterly maintenance.  App Name: BeingYourBest</t>
  </si>
  <si>
    <t>CHG0257234</t>
  </si>
  <si>
    <t>Database DML changes</t>
  </si>
  <si>
    <t>APPSUP_CRT_CHG</t>
  </si>
  <si>
    <t>Inform - WorkforcePlus</t>
  </si>
  <si>
    <t>ITSER-30181</t>
  </si>
  <si>
    <t>External Supplier Change – WorkforcePlus PROD Update to Version 26.4.1 and StaffConnect App Pre-Deployment</t>
  </si>
  <si>
    <t>July</t>
  </si>
  <si>
    <t>ITSER-31887</t>
  </si>
  <si>
    <t>External Supplier Change - Planned NetLine/Load Deployment - APP Gateway Policy Update in Netline Test environment</t>
  </si>
  <si>
    <t>ITSER-32316</t>
  </si>
  <si>
    <t>External Supplier Change - WorkforcePlus PROD Update (Shift Exchange &amp; Realtime Integration)</t>
  </si>
  <si>
    <t>ITSER-31526</t>
  </si>
  <si>
    <t>ITSER-32230</t>
  </si>
  <si>
    <t>External Supplier Change – NetLine/Load 2026.1.7 Deployment on EIN TEST</t>
  </si>
  <si>
    <t>ITSER-32975</t>
  </si>
  <si>
    <t>External Supplier Change – NetLine/Load 2026.1.8 Deployment on EIN TEST</t>
  </si>
  <si>
    <t>CHG0258045</t>
  </si>
  <si>
    <t xml:space="preserve">Manually apply O/S July patch rollup kb5099540 to BYB Bastion server </t>
  </si>
  <si>
    <t>CHG0256676</t>
  </si>
  <si>
    <t xml:space="preserve">Update CloudWatch configuration so it doesn't ingest its own log files
CloudWatch Agent is no longer configured to ingest its own log file. 
Runtime configuration no longer contains: 
Timestamp parsing errors stop increasing. 
CloudWatch Agent CPU utilisation reduces significantly. 
No impact to application functionality. 
</t>
  </si>
  <si>
    <t>CHG0256610</t>
  </si>
  <si>
    <t xml:space="preserve">BYB (prd) bastion host - truncate logs
Prevent CloudWatch Agent from ingesting:
•	C:\ProgramData\Amazon\SSM\Logs\amazon-ssm-agent.log
•	C:\ProgramData\Amazon\AmazonCloudWatchAgent\Logs\amazon-cloudwatch-agent.log
Continue collecting:
•	Windows Event Logs
•	errors.log
•	cfn-init.log
•	provisioning.log
Bastion host not used in day to day system operation. But provides access to database.
</t>
  </si>
  <si>
    <t>ITSER-31527</t>
  </si>
  <si>
    <t>August</t>
  </si>
  <si>
    <t>ITSER-32974</t>
  </si>
  <si>
    <t>External Supplier Change - Planned NetLine/Load Deployment - APP Gateway Policy Update in Netline Production environment</t>
  </si>
  <si>
    <t>ITSER-33097</t>
  </si>
  <si>
    <t>EI26.6205 StaffConnect Application Rollout</t>
  </si>
  <si>
    <t>ITSER-34884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</si>
</sst>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1"/>
      <color theme="1"/>
      <name val="Calibri"/>
      <family val="2"/>
      <scheme val="minor"/>
    </font>
    <font>
      <sz val="11"/>
      <color theme="1"/>
      <name val="Calibri"/>
      <family val="2"/>
      <scheme val="minor"/>
    </font>
    <font>
      <b/>
      <sz val="11"/>
      <color rgb="FFFFFFFF"/>
      <name val="Calibri"/>
      <family val="2"/>
    </font>
    <font>
      <sz val="11"/>
      <color rgb="FF000000"/>
      <name val="Calibri"/>
      <family val="2"/>
    </font>
    <font>
      <b/>
      <sz val="11"/>
      <color rgb="FF000000"/>
      <name val="Calibri"/>
      <family val="2"/>
    </font>
    <font>
      <b/>
      <sz val="11"/>
      <color theme="1"/>
      <name val="Calibri"/>
      <family val="2"/>
      <scheme val="minor"/>
    </font>
    <font>
      <b/>
      <sz val="11"/>
      <color rgb="FFFFFFFF"/>
      <name val="Calibri"/>
      <family val="2"/>
      <scheme val="minor"/>
    </font>
    <font>
      <sz val="11"/>
      <color rgb="FF000000"/>
      <name val="Calibri"/>
      <family val="2"/>
      <scheme val="minor"/>
    </font>
    <font>
      <b/>
      <sz val="11"/>
      <color theme="0"/>
      <name val="Calibri"/>
      <family val="2"/>
      <scheme val="minor"/>
    </font>
    <font>
      <b/>
      <sz val="16"/>
      <color rgb="FFFFFFFF"/>
      <name val="Calibri"/>
      <family val="2"/>
    </font>
    <font>
      <b/>
      <sz val="12"/>
      <name val="Calibri"/>
      <family val="2"/>
    </font>
    <font>
      <b/>
      <sz val="11"/>
      <name val="Calibri"/>
      <family val="2"/>
    </font>
    <font>
      <sz val="11"/>
      <name val="Calibri"/>
      <family val="2"/>
    </font>
    <font>
      <sz val="9"/>
      <color rgb="FF454D5B"/>
      <name val="Lato"/>
      <family val="2"/>
    </font>
    <font>
      <sz val="11"/>
      <color rgb="FF242424"/>
      <name val="Aptos Narrow"/>
      <family val="2"/>
    </font>
    <font>
      <sz val="11"/>
      <color rgb="FF000000"/>
      <name val="Aptos Narrow"/>
      <family val="2"/>
    </font>
    <font>
      <sz val="11"/>
      <color rgb="FF292A2E"/>
      <name val="Atlassian Sans"/>
      <charset val="1"/>
    </font>
    <font>
      <b/>
      <sz val="11"/>
      <name val="Calibri"/>
      <family val="2"/>
      <scheme val="minor"/>
    </font>
    <font>
      <sz val="11"/>
      <name val="Calibri"/>
      <family val="2"/>
      <scheme val="minor"/>
    </font>
    <font>
      <sz val="11"/>
      <color theme="1"/>
      <name val="Segoe UI"/>
      <family val="2"/>
    </font>
    <font>
      <sz val="11"/>
      <color theme="1"/>
      <name val="Calibri Light"/>
      <family val="2"/>
      <scheme val="major"/>
    </font>
    <font>
      <b/>
      <sz val="24"/>
      <color theme="1"/>
      <name val="Calibri"/>
      <family val="2"/>
      <scheme val="minor"/>
    </font>
    <font>
      <b/>
      <sz val="14"/>
      <color theme="1"/>
      <name val="Calibri"/>
      <family val="2"/>
      <scheme val="minor"/>
    </font>
    <font>
      <sz val="9"/>
      <color rgb="FF454D5B"/>
      <name val="Arial"/>
      <family val="2"/>
    </font>
    <font>
      <sz val="9"/>
      <color rgb="FF151920"/>
      <name val="Arial"/>
      <family val="2"/>
    </font>
    <font>
      <b/>
      <sz val="12"/>
      <color theme="0"/>
      <name val="Calibri"/>
      <family val="2"/>
      <scheme val="minor"/>
    </font>
    <font>
      <b/>
      <sz val="12"/>
      <color rgb="FF000000"/>
      <name val="Calibri"/>
      <family val="2"/>
      <scheme val="minor"/>
    </font>
    <font>
      <sz val="9"/>
      <color rgb="FF454D5B"/>
      <name val="Lato"/>
      <charset val="1"/>
    </font>
    <font>
      <sz val="11"/>
      <color rgb="FF242424"/>
      <name val="Aptos Narrow"/>
    </font>
    <font>
      <b/>
      <sz val="12"/>
      <color theme="1"/>
      <name val="Calibri"/>
      <family val="2"/>
      <scheme val="minor"/>
    </font>
    <font>
      <b/>
      <sz val="12"/>
      <color rgb="FF242424"/>
      <name val="Calibri"/>
      <family val="2"/>
      <scheme val="minor"/>
    </font>
    <font>
      <b/>
      <u/>
      <sz val="12"/>
      <color theme="1"/>
      <name val="Calibri"/>
      <family val="2"/>
      <scheme val="minor"/>
    </font>
    <font>
      <sz val="11"/>
      <color rgb="FF000000"/>
      <name val="Aptos Narrow"/>
    </font>
    <font>
      <sz val="11"/>
      <color theme="1"/>
      <name val="Aptos Narrow"/>
    </font>
    <font>
      <sz val="9"/>
      <color rgb="FF6F7582"/>
      <name val="Source Sans Pro"/>
      <charset val="1"/>
    </font>
    <font>
      <sz val="11"/>
      <color rgb="FF2C323F"/>
      <name val="Calibri"/>
      <family val="2"/>
      <scheme val="minor"/>
    </font>
    <font>
      <sz val="9"/>
      <color rgb="FF151920"/>
      <name val="Lato"/>
      <charset val="1"/>
    </font>
    <font>
      <sz val="9"/>
      <color rgb="FF81878E"/>
      <name val="SourceSansPro"/>
      <charset val="1"/>
    </font>
    <font>
      <sz val="10"/>
      <color rgb="FF000000"/>
      <name val="SourceSansPro"/>
      <charset val="1"/>
    </font>
    <font>
      <sz val="9"/>
      <color rgb="FF2C323F"/>
      <name val="Lato"/>
      <charset val="1"/>
    </font>
    <font>
      <sz val="10"/>
      <color theme="1"/>
      <name val="Calibri"/>
      <family val="2"/>
      <scheme val="minor"/>
    </font>
    <font>
      <sz val="10"/>
      <color rgb="FF000000"/>
      <name val="Calibri"/>
      <family val="2"/>
      <scheme val="minor"/>
    </font>
    <font>
      <sz val="9"/>
      <color rgb="FF8F95A1"/>
      <name val="Lato"/>
    </font>
    <font>
      <u/>
      <sz val="11"/>
      <color theme="10"/>
      <name val="Calibri"/>
      <family val="2"/>
      <scheme val="minor"/>
    </font>
    <font>
      <sz val="11"/>
      <color theme="1"/>
      <name val="-Apple-System"/>
      <charset val="1"/>
    </font>
    <font>
      <b/>
      <sz val="11"/>
      <color theme="1"/>
      <name val="-Apple-System"/>
      <charset val="1"/>
    </font>
    <font>
      <sz val="11"/>
      <color rgb="FF151920"/>
      <name val="Lato"/>
      <charset val="1"/>
    </font>
    <font>
      <sz val="8"/>
      <color rgb="FF454D5B"/>
      <name val="Lato"/>
      <charset val="1"/>
    </font>
    <font>
      <sz val="9"/>
      <color rgb="FF151920"/>
      <name val="Lato"/>
    </font>
    <font>
      <sz val="9"/>
      <color rgb="FF4A5E65"/>
      <name val="Lato"/>
    </font>
    <font>
      <sz val="9"/>
      <color rgb="FF172B31"/>
      <name val="Lato"/>
    </font>
    <font>
      <sz val="11"/>
      <color rgb="FF000000"/>
      <name val="Calibri"/>
      <charset val="1"/>
    </font>
  </fonts>
  <fills count="38">
    <fill>
      <patternFill patternType="none"/>
    </fill>
    <fill>
      <patternFill patternType="gray125"/>
    </fill>
    <fill>
      <patternFill patternType="solid">
        <fgColor rgb="FFF4B084"/>
        <bgColor indexed="64"/>
      </patternFill>
    </fill>
    <fill>
      <patternFill patternType="solid">
        <fgColor rgb="FFFFC000"/>
        <bgColor rgb="FFFFC000"/>
      </patternFill>
    </fill>
    <fill>
      <patternFill patternType="solid">
        <fgColor rgb="FFFFF2CC"/>
        <bgColor rgb="FFFFF2CC"/>
      </patternFill>
    </fill>
    <fill>
      <patternFill patternType="solid">
        <fgColor theme="0"/>
        <bgColor rgb="FFFFF2CC"/>
      </patternFill>
    </fill>
    <fill>
      <patternFill patternType="solid">
        <fgColor rgb="FF305496"/>
        <bgColor indexed="64"/>
      </patternFill>
    </fill>
    <fill>
      <patternFill patternType="solid">
        <fgColor rgb="FF4472C4"/>
        <bgColor rgb="FF4472C4"/>
      </patternFill>
    </fill>
    <fill>
      <patternFill patternType="solid">
        <fgColor rgb="FFD9E1F2"/>
        <bgColor rgb="FFD9E1F2"/>
      </patternFill>
    </fill>
    <fill>
      <patternFill patternType="solid">
        <fgColor theme="2" tint="-0.249977111117893"/>
        <bgColor indexed="64"/>
      </patternFill>
    </fill>
    <fill>
      <patternFill patternType="solid">
        <fgColor theme="4"/>
        <bgColor theme="4"/>
      </patternFill>
    </fill>
    <fill>
      <patternFill patternType="solid">
        <fgColor rgb="FF1F4E78"/>
        <bgColor rgb="FF000000"/>
      </patternFill>
    </fill>
    <fill>
      <patternFill patternType="solid">
        <fgColor rgb="FFD9EAF7"/>
        <bgColor rgb="FF000000"/>
      </patternFill>
    </fill>
    <fill>
      <patternFill patternType="solid">
        <fgColor rgb="FFE2F0D9"/>
        <bgColor rgb="FF000000"/>
      </patternFill>
    </fill>
    <fill>
      <patternFill patternType="solid">
        <fgColor rgb="FFFFF2CC"/>
        <bgColor rgb="FF000000"/>
      </patternFill>
    </fill>
    <fill>
      <patternFill patternType="solid">
        <fgColor rgb="FFFCE4D6"/>
        <bgColor rgb="FF000000"/>
      </patternFill>
    </fill>
    <fill>
      <patternFill patternType="solid">
        <fgColor theme="7" tint="0.79998168889431442"/>
        <bgColor indexed="64"/>
      </patternFill>
    </fill>
    <fill>
      <patternFill patternType="solid">
        <fgColor rgb="FFFFFFFF"/>
        <bgColor rgb="FF000000"/>
      </patternFill>
    </fill>
    <fill>
      <patternFill patternType="solid">
        <fgColor theme="0"/>
        <bgColor indexed="64"/>
      </patternFill>
    </fill>
    <fill>
      <patternFill patternType="solid">
        <fgColor theme="6" tint="0.59999389629810485"/>
        <bgColor indexed="64"/>
      </patternFill>
    </fill>
    <fill>
      <patternFill patternType="solid">
        <fgColor rgb="FF92D050"/>
        <bgColor indexed="64"/>
      </patternFill>
    </fill>
    <fill>
      <patternFill patternType="solid">
        <fgColor rgb="FFFF0000"/>
        <bgColor indexed="64"/>
      </patternFill>
    </fill>
    <fill>
      <patternFill patternType="solid">
        <fgColor theme="4" tint="0.39997558519241921"/>
        <bgColor indexed="64"/>
      </patternFill>
    </fill>
    <fill>
      <patternFill patternType="solid">
        <fgColor theme="2"/>
        <bgColor indexed="64"/>
      </patternFill>
    </fill>
    <fill>
      <patternFill patternType="solid">
        <fgColor rgb="FFFFFFFF"/>
        <bgColor indexed="64"/>
      </patternFill>
    </fill>
    <fill>
      <patternFill patternType="solid">
        <fgColor rgb="FF003366"/>
        <bgColor indexed="64"/>
      </patternFill>
    </fill>
    <fill>
      <patternFill patternType="solid">
        <fgColor rgb="FFDDEBF7"/>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theme="7" tint="0.39997558519241921"/>
        <bgColor indexed="64"/>
      </patternFill>
    </fill>
    <fill>
      <patternFill patternType="solid">
        <fgColor theme="2" tint="-9.9978637043366805E-2"/>
        <bgColor indexed="64"/>
      </patternFill>
    </fill>
    <fill>
      <patternFill patternType="solid">
        <fgColor theme="0" tint="-4.9989318521683403E-2"/>
        <bgColor indexed="64"/>
      </patternFill>
    </fill>
    <fill>
      <patternFill patternType="solid">
        <fgColor rgb="FFF6F6F8"/>
        <bgColor indexed="64"/>
      </patternFill>
    </fill>
    <fill>
      <patternFill patternType="solid">
        <fgColor rgb="FFF2F2F2"/>
        <bgColor indexed="64"/>
      </patternFill>
    </fill>
    <fill>
      <patternFill patternType="solid">
        <fgColor theme="4" tint="0.59999389629810485"/>
        <bgColor indexed="64"/>
      </patternFill>
    </fill>
    <fill>
      <patternFill patternType="solid">
        <fgColor theme="1"/>
        <bgColor indexed="64"/>
      </patternFill>
    </fill>
    <fill>
      <patternFill patternType="solid">
        <fgColor theme="1" tint="4.9989318521683403E-2"/>
        <bgColor indexed="64"/>
      </patternFill>
    </fill>
    <fill>
      <patternFill patternType="solid">
        <fgColor rgb="FFFFFF00"/>
        <bgColor indexed="64"/>
      </patternFill>
    </fill>
  </fills>
  <borders count="4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style="thin">
        <color rgb="FF8EA9DB"/>
      </bottom>
      <diagonal/>
    </border>
    <border>
      <left/>
      <right/>
      <top style="thin">
        <color rgb="FF8EA9DB"/>
      </top>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style="thin">
        <color theme="1"/>
      </top>
      <bottom/>
      <diagonal/>
    </border>
    <border>
      <left/>
      <right/>
      <top style="thin">
        <color theme="1"/>
      </top>
      <bottom style="thin">
        <color theme="1"/>
      </bottom>
      <diagonal/>
    </border>
    <border>
      <left/>
      <right/>
      <top style="thin">
        <color theme="5"/>
      </top>
      <bottom/>
      <diagonal/>
    </border>
    <border>
      <left/>
      <right style="thin">
        <color theme="5"/>
      </right>
      <top style="thin">
        <color theme="5"/>
      </top>
      <bottom/>
      <diagonal/>
    </border>
    <border>
      <left/>
      <right/>
      <top style="thin">
        <color theme="5"/>
      </top>
      <bottom style="thin">
        <color theme="5"/>
      </bottom>
      <diagonal/>
    </border>
    <border>
      <left/>
      <right style="thin">
        <color theme="5"/>
      </right>
      <top style="thin">
        <color theme="5"/>
      </top>
      <bottom style="thin">
        <color theme="5"/>
      </bottom>
      <diagonal/>
    </border>
    <border>
      <left style="thin">
        <color rgb="FF000000"/>
      </left>
      <right style="thin">
        <color rgb="FF000000"/>
      </right>
      <top/>
      <bottom/>
      <diagonal/>
    </border>
    <border>
      <left style="thin">
        <color rgb="FF808080"/>
      </left>
      <right/>
      <top style="thin">
        <color rgb="FF808080"/>
      </top>
      <bottom/>
      <diagonal/>
    </border>
    <border>
      <left/>
      <right style="thin">
        <color rgb="FF808080"/>
      </right>
      <top style="thin">
        <color rgb="FF808080"/>
      </top>
      <bottom/>
      <diagonal/>
    </border>
    <border>
      <left style="thin">
        <color rgb="FF808080"/>
      </left>
      <right/>
      <top/>
      <bottom style="thin">
        <color rgb="FF808080"/>
      </bottom>
      <diagonal/>
    </border>
    <border>
      <left/>
      <right style="thin">
        <color rgb="FF808080"/>
      </right>
      <top/>
      <bottom style="thin">
        <color rgb="FF808080"/>
      </bottom>
      <diagonal/>
    </border>
    <border>
      <left style="thin">
        <color rgb="FF808080"/>
      </left>
      <right/>
      <top style="thin">
        <color rgb="FF808080"/>
      </top>
      <bottom style="thin">
        <color rgb="FF808080"/>
      </bottom>
      <diagonal/>
    </border>
    <border>
      <left/>
      <right style="thin">
        <color rgb="FF808080"/>
      </right>
      <top style="thin">
        <color rgb="FF808080"/>
      </top>
      <bottom style="thin">
        <color rgb="FF808080"/>
      </bottom>
      <diagonal/>
    </border>
    <border>
      <left style="thin">
        <color rgb="FF808080"/>
      </left>
      <right style="thin">
        <color rgb="FF808080"/>
      </right>
      <top/>
      <bottom style="thin">
        <color rgb="FF808080"/>
      </bottom>
      <diagonal/>
    </border>
    <border>
      <left/>
      <right/>
      <top style="thin">
        <color rgb="FF4472C4"/>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rgb="FF000000"/>
      </right>
      <top/>
      <bottom style="thin">
        <color rgb="FF000000"/>
      </bottom>
      <diagonal/>
    </border>
    <border>
      <left style="thin">
        <color indexed="64"/>
      </left>
      <right style="thin">
        <color indexed="64"/>
      </right>
      <top style="thin">
        <color rgb="FF4472C4"/>
      </top>
      <bottom style="thin">
        <color indexed="64"/>
      </bottom>
      <diagonal/>
    </border>
    <border>
      <left/>
      <right style="thin">
        <color indexed="64"/>
      </right>
      <top style="thin">
        <color rgb="FF4472C4"/>
      </top>
      <bottom style="thin">
        <color indexed="64"/>
      </bottom>
      <diagonal/>
    </border>
    <border>
      <left/>
      <right/>
      <top style="thin">
        <color rgb="FF4472C4"/>
      </top>
      <bottom style="thin">
        <color indexed="64"/>
      </bottom>
      <diagonal/>
    </border>
    <border>
      <left style="thin">
        <color indexed="64"/>
      </left>
      <right/>
      <top style="thin">
        <color rgb="FF4472C4"/>
      </top>
      <bottom style="thin">
        <color indexed="64"/>
      </bottom>
      <diagonal/>
    </border>
  </borders>
  <cellStyleXfs count="2">
    <xf numFmtId="0" fontId="0" fillId="0" borderId="0"/>
    <xf numFmtId="0" fontId="43" fillId="0" borderId="0" applyNumberFormat="0" applyFill="0" applyBorder="0" applyAlignment="0" applyProtection="0"/>
  </cellStyleXfs>
  <cellXfs count="469">
    <xf numFmtId="0" fontId="0" fillId="0" borderId="0" xfId="0"/>
    <xf numFmtId="0" fontId="2" fillId="2" borderId="1" xfId="0" applyFont="1" applyFill="1" applyBorder="1" applyAlignment="1">
      <alignment horizontal="center"/>
    </xf>
    <xf numFmtId="0" fontId="2" fillId="3" borderId="2" xfId="0" applyFont="1" applyFill="1" applyBorder="1"/>
    <xf numFmtId="0" fontId="3" fillId="4" borderId="3" xfId="0" applyFont="1" applyFill="1" applyBorder="1"/>
    <xf numFmtId="0" fontId="3" fillId="4" borderId="4" xfId="0" applyFont="1" applyFill="1" applyBorder="1"/>
    <xf numFmtId="0" fontId="3" fillId="0" borderId="4" xfId="0" applyFont="1" applyBorder="1"/>
    <xf numFmtId="0" fontId="3" fillId="0" borderId="3" xfId="0" applyFont="1" applyBorder="1"/>
    <xf numFmtId="0" fontId="3" fillId="4" borderId="5" xfId="0" applyFont="1" applyFill="1" applyBorder="1"/>
    <xf numFmtId="0" fontId="3" fillId="4" borderId="6" xfId="0" applyFont="1" applyFill="1" applyBorder="1"/>
    <xf numFmtId="0" fontId="3" fillId="5" borderId="5" xfId="0" applyFont="1" applyFill="1" applyBorder="1"/>
    <xf numFmtId="0" fontId="3" fillId="5" borderId="6" xfId="0" applyFont="1" applyFill="1" applyBorder="1"/>
    <xf numFmtId="0" fontId="3" fillId="8" borderId="1" xfId="0" applyFont="1" applyFill="1" applyBorder="1"/>
    <xf numFmtId="0" fontId="3" fillId="0" borderId="1" xfId="0" applyFont="1" applyBorder="1"/>
    <xf numFmtId="0" fontId="2" fillId="7" borderId="7" xfId="0" applyFont="1" applyFill="1" applyBorder="1"/>
    <xf numFmtId="0" fontId="2" fillId="7" borderId="8" xfId="0" applyFont="1" applyFill="1" applyBorder="1"/>
    <xf numFmtId="0" fontId="3" fillId="8" borderId="9" xfId="0" applyFont="1" applyFill="1" applyBorder="1"/>
    <xf numFmtId="0" fontId="3" fillId="8" borderId="10" xfId="0" applyFont="1" applyFill="1" applyBorder="1"/>
    <xf numFmtId="0" fontId="2" fillId="0" borderId="0" xfId="0" applyFont="1" applyAlignment="1">
      <alignment horizontal="center"/>
    </xf>
    <xf numFmtId="0" fontId="3" fillId="0" borderId="0" xfId="0" applyFont="1"/>
    <xf numFmtId="0" fontId="0" fillId="0" borderId="1" xfId="0" applyBorder="1"/>
    <xf numFmtId="0" fontId="5" fillId="0" borderId="1" xfId="0" applyFont="1" applyBorder="1"/>
    <xf numFmtId="0" fontId="5" fillId="0" borderId="0" xfId="0" applyFont="1"/>
    <xf numFmtId="0" fontId="5" fillId="9" borderId="1" xfId="0" applyFont="1" applyFill="1" applyBorder="1"/>
    <xf numFmtId="0" fontId="4" fillId="9" borderId="1" xfId="0" applyFont="1" applyFill="1" applyBorder="1" applyAlignment="1">
      <alignment horizontal="center"/>
    </xf>
    <xf numFmtId="14" fontId="0" fillId="0" borderId="0" xfId="0" applyNumberFormat="1"/>
    <xf numFmtId="20" fontId="0" fillId="0" borderId="0" xfId="0" applyNumberFormat="1"/>
    <xf numFmtId="0" fontId="6" fillId="7" borderId="11" xfId="0" applyFont="1" applyFill="1" applyBorder="1"/>
    <xf numFmtId="0" fontId="7" fillId="8" borderId="12" xfId="0" applyFont="1" applyFill="1" applyBorder="1"/>
    <xf numFmtId="0" fontId="0" fillId="0" borderId="0" xfId="0" applyAlignment="1">
      <alignment horizontal="left" vertical="top"/>
    </xf>
    <xf numFmtId="0" fontId="3" fillId="0" borderId="0" xfId="0" applyFont="1" applyAlignment="1">
      <alignment vertical="center"/>
    </xf>
    <xf numFmtId="0" fontId="3" fillId="0" borderId="0" xfId="0" applyFont="1" applyAlignment="1">
      <alignment horizontal="right" vertical="center"/>
    </xf>
    <xf numFmtId="0" fontId="0" fillId="0" borderId="0" xfId="0" applyAlignment="1">
      <alignment wrapText="1"/>
    </xf>
    <xf numFmtId="0" fontId="8" fillId="10" borderId="14" xfId="0" applyFont="1" applyFill="1" applyBorder="1"/>
    <xf numFmtId="0" fontId="8" fillId="10" borderId="13" xfId="0" applyFont="1" applyFill="1" applyBorder="1"/>
    <xf numFmtId="0" fontId="2" fillId="0" borderId="0" xfId="0" applyFont="1" applyAlignment="1">
      <alignment vertical="center"/>
    </xf>
    <xf numFmtId="0" fontId="0" fillId="0" borderId="15" xfId="0" applyBorder="1"/>
    <xf numFmtId="0" fontId="0" fillId="0" borderId="17" xfId="0" applyBorder="1"/>
    <xf numFmtId="0" fontId="0" fillId="0" borderId="18" xfId="0" applyBorder="1"/>
    <xf numFmtId="0" fontId="0" fillId="0" borderId="17" xfId="0" applyBorder="1" applyAlignment="1">
      <alignment horizontal="left" vertical="top"/>
    </xf>
    <xf numFmtId="0" fontId="0" fillId="0" borderId="19" xfId="0" applyBorder="1" applyAlignment="1">
      <alignment horizontal="left" vertical="top"/>
    </xf>
    <xf numFmtId="0" fontId="0" fillId="0" borderId="20" xfId="0" applyBorder="1"/>
    <xf numFmtId="0" fontId="0" fillId="0" borderId="16" xfId="0" applyBorder="1"/>
    <xf numFmtId="0" fontId="0" fillId="0" borderId="19" xfId="0" applyBorder="1"/>
    <xf numFmtId="0" fontId="8" fillId="10" borderId="14" xfId="0" applyFont="1" applyFill="1" applyBorder="1" applyProtection="1">
      <protection locked="0"/>
    </xf>
    <xf numFmtId="0" fontId="5" fillId="0" borderId="0" xfId="0" applyFont="1" applyProtection="1">
      <protection locked="0"/>
    </xf>
    <xf numFmtId="0" fontId="0" fillId="0" borderId="0" xfId="0" applyProtection="1">
      <protection locked="0"/>
    </xf>
    <xf numFmtId="0" fontId="0" fillId="0" borderId="0" xfId="0" applyAlignment="1" applyProtection="1">
      <alignment wrapText="1"/>
      <protection locked="0"/>
    </xf>
    <xf numFmtId="22" fontId="0" fillId="0" borderId="0" xfId="0" applyNumberFormat="1" applyProtection="1">
      <protection locked="0"/>
    </xf>
    <xf numFmtId="0" fontId="11" fillId="0" borderId="28" xfId="0" applyFont="1" applyBorder="1" applyAlignment="1">
      <alignment wrapText="1"/>
    </xf>
    <xf numFmtId="0" fontId="12" fillId="0" borderId="25" xfId="0" applyFont="1" applyBorder="1" applyAlignment="1">
      <alignment wrapText="1"/>
    </xf>
    <xf numFmtId="0" fontId="10" fillId="15" borderId="26" xfId="0" applyFont="1" applyFill="1" applyBorder="1" applyAlignment="1">
      <alignment wrapText="1"/>
    </xf>
    <xf numFmtId="0" fontId="10" fillId="15" borderId="27" xfId="0" applyFont="1" applyFill="1" applyBorder="1" applyAlignment="1">
      <alignment wrapText="1"/>
    </xf>
    <xf numFmtId="22" fontId="13" fillId="0" borderId="0" xfId="0" applyNumberFormat="1" applyFont="1" applyProtection="1">
      <protection locked="0"/>
    </xf>
    <xf numFmtId="0" fontId="3" fillId="0" borderId="0" xfId="0" applyFont="1" applyProtection="1">
      <protection locked="0"/>
    </xf>
    <xf numFmtId="22" fontId="14" fillId="0" borderId="0" xfId="0" applyNumberFormat="1" applyFont="1" applyProtection="1">
      <protection locked="0"/>
    </xf>
    <xf numFmtId="0" fontId="16" fillId="0" borderId="0" xfId="0" applyFont="1" applyAlignment="1" applyProtection="1">
      <alignment wrapText="1"/>
      <protection locked="0"/>
    </xf>
    <xf numFmtId="22" fontId="13" fillId="0" borderId="0" xfId="0" applyNumberFormat="1" applyFont="1"/>
    <xf numFmtId="20" fontId="8" fillId="10" borderId="14" xfId="0" applyNumberFormat="1" applyFont="1" applyFill="1" applyBorder="1"/>
    <xf numFmtId="0" fontId="0" fillId="0" borderId="0" xfId="0" applyAlignment="1" applyProtection="1">
      <alignment horizontal="left"/>
      <protection locked="0"/>
    </xf>
    <xf numFmtId="0" fontId="18" fillId="0" borderId="0" xfId="0" applyFont="1" applyProtection="1">
      <protection locked="0"/>
    </xf>
    <xf numFmtId="0" fontId="18" fillId="0" borderId="0" xfId="0" applyFont="1" applyAlignment="1" applyProtection="1">
      <alignment wrapText="1"/>
      <protection locked="0"/>
    </xf>
    <xf numFmtId="0" fontId="18" fillId="0" borderId="0" xfId="0" applyFont="1" applyAlignment="1">
      <alignment wrapText="1"/>
    </xf>
    <xf numFmtId="22" fontId="18" fillId="0" borderId="0" xfId="0" applyNumberFormat="1" applyFont="1"/>
    <xf numFmtId="0" fontId="15" fillId="0" borderId="0" xfId="0" applyFont="1" applyAlignment="1" applyProtection="1">
      <alignment wrapText="1"/>
      <protection locked="0"/>
    </xf>
    <xf numFmtId="22" fontId="13" fillId="0" borderId="0" xfId="0" applyNumberFormat="1" applyFont="1" applyAlignment="1" applyProtection="1">
      <alignment wrapText="1"/>
      <protection locked="0"/>
    </xf>
    <xf numFmtId="0" fontId="8" fillId="10" borderId="14" xfId="0" applyFont="1" applyFill="1" applyBorder="1" applyAlignment="1" applyProtection="1">
      <alignment horizontal="center"/>
      <protection locked="0"/>
    </xf>
    <xf numFmtId="0" fontId="0" fillId="0" borderId="0" xfId="0" applyAlignment="1" applyProtection="1">
      <alignment horizontal="center"/>
      <protection locked="0"/>
    </xf>
    <xf numFmtId="0" fontId="15" fillId="0" borderId="0" xfId="0" applyFont="1"/>
    <xf numFmtId="22" fontId="15" fillId="0" borderId="0" xfId="0" applyNumberFormat="1" applyFont="1"/>
    <xf numFmtId="0" fontId="15" fillId="0" borderId="0" xfId="0" applyFont="1" applyProtection="1">
      <protection locked="0"/>
    </xf>
    <xf numFmtId="22" fontId="15" fillId="0" borderId="0" xfId="0" applyNumberFormat="1" applyFont="1" applyAlignment="1" applyProtection="1">
      <alignment wrapText="1"/>
      <protection locked="0"/>
    </xf>
    <xf numFmtId="22" fontId="3" fillId="0" borderId="0" xfId="0" applyNumberFormat="1" applyFont="1" applyProtection="1">
      <protection locked="0"/>
    </xf>
    <xf numFmtId="22" fontId="15" fillId="0" borderId="0" xfId="0" applyNumberFormat="1" applyFont="1" applyProtection="1">
      <protection locked="0"/>
    </xf>
    <xf numFmtId="0" fontId="15" fillId="0" borderId="0" xfId="0" applyFont="1" applyAlignment="1" applyProtection="1">
      <alignment horizontal="center" wrapText="1"/>
      <protection locked="0"/>
    </xf>
    <xf numFmtId="0" fontId="0" fillId="0" borderId="0" xfId="0" applyAlignment="1" applyProtection="1">
      <alignment vertical="top" wrapText="1"/>
      <protection locked="0"/>
    </xf>
    <xf numFmtId="2" fontId="0" fillId="0" borderId="0" xfId="0" applyNumberFormat="1"/>
    <xf numFmtId="46" fontId="0" fillId="0" borderId="0" xfId="0" applyNumberFormat="1"/>
    <xf numFmtId="0" fontId="0" fillId="18" borderId="0" xfId="0" applyFill="1" applyProtection="1">
      <protection locked="0"/>
    </xf>
    <xf numFmtId="0" fontId="0" fillId="0" borderId="1" xfId="0" applyBorder="1" applyProtection="1">
      <protection locked="0"/>
    </xf>
    <xf numFmtId="49" fontId="0" fillId="0" borderId="1" xfId="0" applyNumberFormat="1" applyBorder="1" applyAlignment="1">
      <alignment vertical="top"/>
    </xf>
    <xf numFmtId="22" fontId="0" fillId="0" borderId="1" xfId="0" applyNumberFormat="1" applyBorder="1" applyProtection="1">
      <protection locked="0"/>
    </xf>
    <xf numFmtId="0" fontId="0" fillId="0" borderId="1" xfId="0" applyBorder="1" applyAlignment="1">
      <alignment wrapText="1"/>
    </xf>
    <xf numFmtId="0" fontId="0" fillId="18" borderId="1" xfId="0" applyFill="1" applyBorder="1" applyProtection="1">
      <protection locked="0"/>
    </xf>
    <xf numFmtId="0" fontId="0" fillId="18" borderId="1" xfId="0" applyFill="1" applyBorder="1" applyAlignment="1" applyProtection="1">
      <alignment horizontal="left"/>
      <protection locked="0"/>
    </xf>
    <xf numFmtId="22" fontId="0" fillId="18" borderId="1" xfId="0" applyNumberFormat="1" applyFill="1" applyBorder="1" applyProtection="1">
      <protection locked="0"/>
    </xf>
    <xf numFmtId="0" fontId="3" fillId="0" borderId="1" xfId="0" applyFont="1" applyBorder="1" applyAlignment="1">
      <alignment wrapText="1"/>
    </xf>
    <xf numFmtId="0" fontId="0" fillId="0" borderId="1" xfId="0" applyBorder="1" applyAlignment="1" applyProtection="1">
      <alignment horizontal="left"/>
      <protection locked="0"/>
    </xf>
    <xf numFmtId="0" fontId="8" fillId="10" borderId="1" xfId="0" applyFont="1" applyFill="1" applyBorder="1" applyProtection="1">
      <protection locked="0"/>
    </xf>
    <xf numFmtId="0" fontId="8" fillId="10" borderId="1" xfId="0" applyFont="1" applyFill="1" applyBorder="1" applyAlignment="1" applyProtection="1">
      <alignment horizontal="left"/>
      <protection locked="0"/>
    </xf>
    <xf numFmtId="22" fontId="8" fillId="10" borderId="1" xfId="0" applyNumberFormat="1" applyFont="1" applyFill="1" applyBorder="1" applyProtection="1">
      <protection locked="0"/>
    </xf>
    <xf numFmtId="0" fontId="8" fillId="10" borderId="1" xfId="0" applyFont="1" applyFill="1" applyBorder="1"/>
    <xf numFmtId="0" fontId="15" fillId="0" borderId="1" xfId="0" applyFont="1" applyBorder="1" applyProtection="1">
      <protection locked="0"/>
    </xf>
    <xf numFmtId="0" fontId="15" fillId="0" borderId="1" xfId="0" applyFont="1" applyBorder="1" applyAlignment="1" applyProtection="1">
      <alignment horizontal="left"/>
      <protection locked="0"/>
    </xf>
    <xf numFmtId="0" fontId="15" fillId="0" borderId="1" xfId="0" applyFont="1" applyBorder="1"/>
    <xf numFmtId="0" fontId="15" fillId="0" borderId="1" xfId="0" applyFont="1" applyBorder="1" applyAlignment="1">
      <alignment horizontal="left"/>
    </xf>
    <xf numFmtId="22" fontId="15" fillId="0" borderId="1" xfId="0" applyNumberFormat="1" applyFont="1" applyBorder="1"/>
    <xf numFmtId="22" fontId="13" fillId="0" borderId="1" xfId="0" applyNumberFormat="1" applyFont="1" applyBorder="1"/>
    <xf numFmtId="22" fontId="14" fillId="0" borderId="1" xfId="0" applyNumberFormat="1" applyFont="1" applyBorder="1"/>
    <xf numFmtId="49" fontId="0" fillId="0" borderId="1" xfId="0" applyNumberFormat="1" applyBorder="1" applyAlignment="1">
      <alignment vertical="top" wrapText="1"/>
    </xf>
    <xf numFmtId="0" fontId="0" fillId="0" borderId="1" xfId="0" applyBorder="1" applyAlignment="1" applyProtection="1">
      <alignment horizontal="left" vertical="top" wrapText="1"/>
      <protection locked="0"/>
    </xf>
    <xf numFmtId="0" fontId="18" fillId="0" borderId="30" xfId="0" applyFont="1" applyBorder="1" applyAlignment="1" applyProtection="1">
      <alignment wrapText="1"/>
      <protection locked="0"/>
    </xf>
    <xf numFmtId="0" fontId="8" fillId="10" borderId="14" xfId="0" applyFont="1" applyFill="1" applyBorder="1" applyAlignment="1" applyProtection="1">
      <alignment wrapText="1"/>
      <protection locked="0"/>
    </xf>
    <xf numFmtId="0" fontId="8" fillId="10" borderId="14" xfId="0" applyFont="1" applyFill="1" applyBorder="1" applyAlignment="1">
      <alignment wrapText="1"/>
    </xf>
    <xf numFmtId="20" fontId="8" fillId="10" borderId="14" xfId="0" applyNumberFormat="1" applyFont="1" applyFill="1" applyBorder="1" applyAlignment="1">
      <alignment wrapText="1"/>
    </xf>
    <xf numFmtId="0" fontId="8" fillId="10" borderId="13" xfId="0" applyFont="1" applyFill="1" applyBorder="1" applyAlignment="1">
      <alignment wrapText="1"/>
    </xf>
    <xf numFmtId="0" fontId="18" fillId="0" borderId="0" xfId="0" applyFont="1" applyAlignment="1" applyProtection="1">
      <alignment horizontal="center" vertical="center" wrapText="1"/>
      <protection locked="0"/>
    </xf>
    <xf numFmtId="22" fontId="18" fillId="0" borderId="0" xfId="0" applyNumberFormat="1" applyFont="1" applyAlignment="1" applyProtection="1">
      <alignment wrapText="1"/>
      <protection locked="0"/>
    </xf>
    <xf numFmtId="46" fontId="18" fillId="0" borderId="0" xfId="0" applyNumberFormat="1" applyFont="1" applyAlignment="1">
      <alignment wrapText="1"/>
    </xf>
    <xf numFmtId="2" fontId="18" fillId="0" borderId="0" xfId="0" applyNumberFormat="1" applyFont="1" applyAlignment="1">
      <alignment wrapText="1"/>
    </xf>
    <xf numFmtId="22" fontId="0" fillId="0" borderId="0" xfId="0" applyNumberFormat="1" applyAlignment="1" applyProtection="1">
      <alignment wrapText="1"/>
      <protection locked="0"/>
    </xf>
    <xf numFmtId="0" fontId="18" fillId="0" borderId="30" xfId="0" applyFont="1" applyBorder="1" applyAlignment="1" applyProtection="1">
      <alignment horizontal="left" wrapText="1"/>
      <protection locked="0"/>
    </xf>
    <xf numFmtId="0" fontId="18" fillId="0" borderId="30" xfId="0" applyFont="1" applyBorder="1" applyAlignment="1" applyProtection="1">
      <alignment horizontal="center" vertical="center" wrapText="1"/>
      <protection locked="0"/>
    </xf>
    <xf numFmtId="20" fontId="0" fillId="0" borderId="0" xfId="0" applyNumberFormat="1" applyAlignment="1">
      <alignment wrapText="1"/>
    </xf>
    <xf numFmtId="22" fontId="0" fillId="0" borderId="0" xfId="0" applyNumberFormat="1"/>
    <xf numFmtId="0" fontId="0" fillId="0" borderId="0" xfId="0" applyAlignment="1" applyProtection="1">
      <alignment horizontal="center" vertical="center" wrapText="1"/>
      <protection locked="0"/>
    </xf>
    <xf numFmtId="22" fontId="20" fillId="0" borderId="0" xfId="0" applyNumberFormat="1" applyFont="1" applyProtection="1">
      <protection locked="0"/>
    </xf>
    <xf numFmtId="0" fontId="0" fillId="23" borderId="1" xfId="0" applyFill="1" applyBorder="1"/>
    <xf numFmtId="0" fontId="3" fillId="18" borderId="1" xfId="0" applyFont="1" applyFill="1" applyBorder="1" applyAlignment="1">
      <alignment wrapText="1"/>
    </xf>
    <xf numFmtId="0" fontId="3" fillId="18" borderId="1" xfId="0" applyFont="1" applyFill="1" applyBorder="1" applyAlignment="1">
      <alignment vertical="top" wrapText="1"/>
    </xf>
    <xf numFmtId="0" fontId="3" fillId="18" borderId="1" xfId="0" applyFont="1" applyFill="1" applyBorder="1" applyAlignment="1">
      <alignment horizontal="left" vertical="top" wrapText="1"/>
    </xf>
    <xf numFmtId="0" fontId="14" fillId="0" borderId="1" xfId="0" applyFont="1" applyBorder="1"/>
    <xf numFmtId="0" fontId="3" fillId="0" borderId="29" xfId="0" applyFont="1" applyBorder="1" applyProtection="1">
      <protection locked="0"/>
    </xf>
    <xf numFmtId="22" fontId="3" fillId="0" borderId="29" xfId="0" applyNumberFormat="1" applyFont="1" applyBorder="1" applyProtection="1">
      <protection locked="0"/>
    </xf>
    <xf numFmtId="0" fontId="3" fillId="0" borderId="0" xfId="0" applyFont="1" applyAlignment="1" applyProtection="1">
      <alignment wrapText="1"/>
      <protection locked="0"/>
    </xf>
    <xf numFmtId="22" fontId="23" fillId="0" borderId="0" xfId="0" applyNumberFormat="1" applyFont="1" applyProtection="1">
      <protection locked="0"/>
    </xf>
    <xf numFmtId="0" fontId="24" fillId="0" borderId="0" xfId="0" applyFont="1" applyProtection="1">
      <protection locked="0"/>
    </xf>
    <xf numFmtId="0" fontId="5" fillId="0" borderId="1" xfId="0" applyFont="1" applyBorder="1" applyAlignment="1">
      <alignment horizontal="center" vertical="center"/>
    </xf>
    <xf numFmtId="0" fontId="0" fillId="0" borderId="0" xfId="0" applyAlignment="1" applyProtection="1">
      <alignment horizontal="left" vertical="top"/>
      <protection locked="0"/>
    </xf>
    <xf numFmtId="0" fontId="3" fillId="0" borderId="0" xfId="0" applyFont="1" applyAlignment="1" applyProtection="1">
      <alignment horizontal="left" vertical="top"/>
      <protection locked="0"/>
    </xf>
    <xf numFmtId="22" fontId="3" fillId="0" borderId="0" xfId="0" applyNumberFormat="1" applyFont="1" applyAlignment="1" applyProtection="1">
      <alignment horizontal="left" vertical="top"/>
      <protection locked="0"/>
    </xf>
    <xf numFmtId="0" fontId="15" fillId="0" borderId="0" xfId="0" applyFont="1" applyAlignment="1" applyProtection="1">
      <alignment horizontal="left" vertical="top"/>
      <protection locked="0"/>
    </xf>
    <xf numFmtId="22" fontId="0" fillId="0" borderId="0" xfId="0" applyNumberFormat="1" applyAlignment="1" applyProtection="1">
      <alignment horizontal="left" vertical="top"/>
      <protection locked="0"/>
    </xf>
    <xf numFmtId="0" fontId="3" fillId="0" borderId="31" xfId="0" applyFont="1" applyBorder="1" applyProtection="1">
      <protection locked="0"/>
    </xf>
    <xf numFmtId="0" fontId="3" fillId="0" borderId="34" xfId="0" applyFont="1" applyBorder="1" applyProtection="1">
      <protection locked="0"/>
    </xf>
    <xf numFmtId="0" fontId="3" fillId="0" borderId="35" xfId="0" applyFont="1" applyBorder="1" applyProtection="1">
      <protection locked="0"/>
    </xf>
    <xf numFmtId="0" fontId="3" fillId="0" borderId="36" xfId="0" applyFont="1" applyBorder="1" applyProtection="1">
      <protection locked="0"/>
    </xf>
    <xf numFmtId="0" fontId="15" fillId="0" borderId="36" xfId="0" applyFont="1" applyBorder="1" applyProtection="1">
      <protection locked="0"/>
    </xf>
    <xf numFmtId="14" fontId="0" fillId="16" borderId="1" xfId="0" applyNumberFormat="1" applyFill="1" applyBorder="1"/>
    <xf numFmtId="14" fontId="19" fillId="16" borderId="1" xfId="0" applyNumberFormat="1" applyFont="1" applyFill="1" applyBorder="1"/>
    <xf numFmtId="0" fontId="7" fillId="0" borderId="1" xfId="0" applyFont="1" applyBorder="1" applyAlignment="1">
      <alignment horizontal="left" vertical="top" wrapText="1"/>
    </xf>
    <xf numFmtId="0" fontId="15" fillId="0" borderId="1" xfId="0" applyFont="1" applyBorder="1" applyAlignment="1">
      <alignment horizontal="left" vertical="top" wrapText="1"/>
    </xf>
    <xf numFmtId="0" fontId="0" fillId="0" borderId="1" xfId="0" applyBorder="1" applyAlignment="1">
      <alignment horizontal="left" vertical="top" wrapText="1"/>
    </xf>
    <xf numFmtId="0" fontId="7" fillId="0" borderId="4" xfId="0" applyFont="1" applyBorder="1" applyAlignment="1">
      <alignment horizontal="left" vertical="top" wrapText="1"/>
    </xf>
    <xf numFmtId="0" fontId="15" fillId="0" borderId="10" xfId="0" applyFont="1" applyBorder="1" applyAlignment="1">
      <alignment horizontal="left" vertical="top" wrapText="1"/>
    </xf>
    <xf numFmtId="0" fontId="0" fillId="0" borderId="0" xfId="0" applyAlignment="1">
      <alignment vertical="top" wrapText="1"/>
    </xf>
    <xf numFmtId="0" fontId="0" fillId="0" borderId="9" xfId="0" applyBorder="1"/>
    <xf numFmtId="0" fontId="0" fillId="0" borderId="10" xfId="0" applyBorder="1"/>
    <xf numFmtId="22" fontId="27" fillId="0" borderId="0" xfId="0" applyNumberFormat="1" applyFont="1" applyProtection="1">
      <protection locked="0"/>
    </xf>
    <xf numFmtId="0" fontId="28" fillId="0" borderId="0" xfId="0" applyFont="1" applyProtection="1">
      <protection locked="0"/>
    </xf>
    <xf numFmtId="0" fontId="0" fillId="18" borderId="0" xfId="0" applyFill="1"/>
    <xf numFmtId="0" fontId="0" fillId="18" borderId="1" xfId="0" applyFill="1" applyBorder="1" applyAlignment="1">
      <alignment horizontal="left" vertical="top" wrapText="1"/>
    </xf>
    <xf numFmtId="0" fontId="0" fillId="18" borderId="0" xfId="0" applyFill="1" applyAlignment="1" applyProtection="1">
      <alignment wrapText="1"/>
      <protection locked="0"/>
    </xf>
    <xf numFmtId="0" fontId="5" fillId="29" borderId="1" xfId="0" applyFont="1" applyFill="1" applyBorder="1" applyAlignment="1">
      <alignment horizontal="center" vertical="top" wrapText="1"/>
    </xf>
    <xf numFmtId="0" fontId="5" fillId="29" borderId="1" xfId="0" applyFont="1" applyFill="1" applyBorder="1" applyAlignment="1">
      <alignment horizontal="center" vertical="top"/>
    </xf>
    <xf numFmtId="0" fontId="17" fillId="30" borderId="1" xfId="0" applyFont="1" applyFill="1" applyBorder="1" applyAlignment="1">
      <alignment horizontal="left" vertical="top" wrapText="1"/>
    </xf>
    <xf numFmtId="0" fontId="17" fillId="31" borderId="1" xfId="0" applyFont="1" applyFill="1" applyBorder="1" applyAlignment="1">
      <alignment horizontal="left" vertical="top" wrapText="1"/>
    </xf>
    <xf numFmtId="0" fontId="5" fillId="27" borderId="1" xfId="0" applyFont="1" applyFill="1" applyBorder="1"/>
    <xf numFmtId="0" fontId="0" fillId="0" borderId="4" xfId="0" applyBorder="1" applyAlignment="1">
      <alignment vertical="top" wrapText="1"/>
    </xf>
    <xf numFmtId="0" fontId="31" fillId="0" borderId="0" xfId="0" applyFont="1" applyAlignment="1" applyProtection="1">
      <alignment wrapText="1"/>
      <protection locked="0"/>
    </xf>
    <xf numFmtId="0" fontId="17" fillId="30" borderId="4" xfId="0" applyFont="1" applyFill="1" applyBorder="1" applyAlignment="1">
      <alignment horizontal="left" vertical="top" wrapText="1"/>
    </xf>
    <xf numFmtId="0" fontId="5" fillId="30" borderId="9" xfId="0" applyFont="1" applyFill="1" applyBorder="1" applyAlignment="1">
      <alignment wrapText="1"/>
    </xf>
    <xf numFmtId="0" fontId="5" fillId="28" borderId="9" xfId="0" applyFont="1" applyFill="1" applyBorder="1" applyAlignment="1">
      <alignment wrapText="1"/>
    </xf>
    <xf numFmtId="0" fontId="7" fillId="0" borderId="6" xfId="0" applyFont="1" applyBorder="1" applyAlignment="1">
      <alignment horizontal="left" vertical="top" wrapText="1"/>
    </xf>
    <xf numFmtId="0" fontId="0" fillId="0" borderId="6" xfId="0" applyBorder="1" applyAlignment="1">
      <alignment vertical="top" wrapText="1"/>
    </xf>
    <xf numFmtId="0" fontId="0" fillId="0" borderId="9" xfId="0" applyBorder="1" applyAlignment="1">
      <alignment wrapText="1"/>
    </xf>
    <xf numFmtId="0" fontId="29" fillId="29" borderId="1" xfId="0" applyFont="1" applyFill="1" applyBorder="1" applyAlignment="1">
      <alignment wrapText="1"/>
    </xf>
    <xf numFmtId="22" fontId="27" fillId="0" borderId="0" xfId="0" applyNumberFormat="1" applyFont="1"/>
    <xf numFmtId="46" fontId="0" fillId="0" borderId="1" xfId="0" applyNumberFormat="1" applyBorder="1"/>
    <xf numFmtId="2" fontId="0" fillId="0" borderId="1" xfId="0" applyNumberFormat="1" applyBorder="1"/>
    <xf numFmtId="46" fontId="0" fillId="0" borderId="0" xfId="0" applyNumberFormat="1" applyAlignment="1">
      <alignment horizontal="left" vertical="top"/>
    </xf>
    <xf numFmtId="2" fontId="0" fillId="0" borderId="0" xfId="0" applyNumberFormat="1" applyAlignment="1">
      <alignment horizontal="left" vertical="top"/>
    </xf>
    <xf numFmtId="46" fontId="8" fillId="10" borderId="14" xfId="0" applyNumberFormat="1" applyFont="1" applyFill="1" applyBorder="1"/>
    <xf numFmtId="46" fontId="0" fillId="0" borderId="0" xfId="0" applyNumberFormat="1" applyProtection="1">
      <protection locked="0"/>
    </xf>
    <xf numFmtId="2" fontId="8" fillId="10" borderId="14" xfId="0" applyNumberFormat="1" applyFont="1" applyFill="1" applyBorder="1"/>
    <xf numFmtId="2" fontId="0" fillId="0" borderId="0" xfId="0" applyNumberFormat="1" applyProtection="1">
      <protection locked="0"/>
    </xf>
    <xf numFmtId="2" fontId="8" fillId="10" borderId="1" xfId="0" applyNumberFormat="1" applyFont="1" applyFill="1" applyBorder="1"/>
    <xf numFmtId="0" fontId="0" fillId="33" borderId="0" xfId="0" applyFill="1" applyAlignment="1" applyProtection="1">
      <alignment wrapText="1"/>
      <protection locked="0"/>
    </xf>
    <xf numFmtId="0" fontId="7" fillId="33" borderId="1" xfId="0" applyFont="1" applyFill="1" applyBorder="1" applyAlignment="1">
      <alignment horizontal="left" vertical="top" wrapText="1"/>
    </xf>
    <xf numFmtId="0" fontId="0" fillId="33" borderId="4" xfId="0" applyFill="1" applyBorder="1" applyAlignment="1">
      <alignment vertical="top" wrapText="1"/>
    </xf>
    <xf numFmtId="0" fontId="0" fillId="33" borderId="1" xfId="0" applyFill="1" applyBorder="1" applyAlignment="1">
      <alignment wrapText="1"/>
    </xf>
    <xf numFmtId="0" fontId="0" fillId="33" borderId="1" xfId="0" applyFill="1" applyBorder="1"/>
    <xf numFmtId="0" fontId="0" fillId="33" borderId="0" xfId="0" applyFill="1" applyProtection="1">
      <protection locked="0"/>
    </xf>
    <xf numFmtId="0" fontId="32" fillId="0" borderId="1" xfId="0" applyFont="1" applyBorder="1"/>
    <xf numFmtId="22" fontId="32" fillId="0" borderId="1" xfId="0" applyNumberFormat="1" applyFont="1" applyBorder="1"/>
    <xf numFmtId="0" fontId="33" fillId="0" borderId="1" xfId="0" applyFont="1" applyBorder="1" applyAlignment="1">
      <alignment horizontal="center" vertical="center" wrapText="1"/>
    </xf>
    <xf numFmtId="0" fontId="33" fillId="0" borderId="1" xfId="0" applyFont="1" applyBorder="1" applyAlignment="1">
      <alignment horizontal="center" vertical="top" wrapText="1"/>
    </xf>
    <xf numFmtId="22" fontId="33" fillId="0" borderId="1" xfId="0" applyNumberFormat="1" applyFont="1" applyBorder="1" applyAlignment="1">
      <alignment horizontal="center" vertical="center" wrapText="1"/>
    </xf>
    <xf numFmtId="0" fontId="0" fillId="0" borderId="1" xfId="0" applyBorder="1" applyAlignment="1" applyProtection="1">
      <alignment horizontal="left" wrapText="1"/>
      <protection locked="0"/>
    </xf>
    <xf numFmtId="22" fontId="34" fillId="0" borderId="0" xfId="0" applyNumberFormat="1" applyFont="1" applyProtection="1">
      <protection locked="0"/>
    </xf>
    <xf numFmtId="0" fontId="3" fillId="0" borderId="0" xfId="0" applyFont="1" applyAlignment="1">
      <alignment wrapText="1"/>
    </xf>
    <xf numFmtId="0" fontId="8" fillId="34" borderId="1" xfId="0" applyFont="1" applyFill="1" applyBorder="1"/>
    <xf numFmtId="46" fontId="0" fillId="34" borderId="1" xfId="0" applyNumberFormat="1" applyFill="1" applyBorder="1"/>
    <xf numFmtId="0" fontId="0" fillId="34" borderId="0" xfId="0" applyFill="1"/>
    <xf numFmtId="0" fontId="32" fillId="0" borderId="1" xfId="0" applyFont="1" applyBorder="1" applyAlignment="1">
      <alignment horizontal="center" vertical="center" wrapText="1"/>
    </xf>
    <xf numFmtId="22" fontId="32" fillId="0" borderId="1" xfId="0" applyNumberFormat="1" applyFont="1" applyBorder="1" applyAlignment="1">
      <alignment horizontal="center" vertical="center" wrapText="1"/>
    </xf>
    <xf numFmtId="0" fontId="32" fillId="0" borderId="1" xfId="0" applyFont="1" applyBorder="1" applyAlignment="1">
      <alignment horizontal="center" vertical="top" wrapText="1"/>
    </xf>
    <xf numFmtId="0" fontId="0" fillId="0" borderId="1" xfId="0" applyBorder="1" applyAlignment="1" applyProtection="1">
      <alignment horizontal="center"/>
      <protection locked="0"/>
    </xf>
    <xf numFmtId="0" fontId="27" fillId="0" borderId="0" xfId="0" applyFont="1"/>
    <xf numFmtId="0" fontId="0" fillId="0" borderId="1" xfId="0" applyBorder="1" applyAlignment="1" applyProtection="1">
      <alignment vertical="top"/>
      <protection locked="0"/>
    </xf>
    <xf numFmtId="0" fontId="36" fillId="0" borderId="0" xfId="0" applyFont="1" applyProtection="1">
      <protection locked="0"/>
    </xf>
    <xf numFmtId="0" fontId="0" fillId="35" borderId="0" xfId="0" applyFill="1" applyProtection="1">
      <protection locked="0"/>
    </xf>
    <xf numFmtId="22" fontId="0" fillId="35" borderId="0" xfId="0" applyNumberFormat="1" applyFill="1" applyProtection="1">
      <protection locked="0"/>
    </xf>
    <xf numFmtId="49" fontId="0" fillId="0" borderId="0" xfId="0" applyNumberFormat="1" applyAlignment="1">
      <alignment vertical="top" wrapText="1"/>
    </xf>
    <xf numFmtId="0" fontId="0" fillId="0" borderId="1" xfId="0" applyBorder="1" applyAlignment="1" applyProtection="1">
      <alignment horizontal="center" vertical="top" wrapText="1"/>
      <protection locked="0"/>
    </xf>
    <xf numFmtId="22" fontId="8" fillId="10" borderId="14" xfId="0" applyNumberFormat="1" applyFont="1" applyFill="1" applyBorder="1" applyProtection="1">
      <protection locked="0"/>
    </xf>
    <xf numFmtId="0" fontId="32" fillId="0" borderId="0" xfId="0" applyFont="1" applyAlignment="1">
      <alignment wrapText="1"/>
    </xf>
    <xf numFmtId="0" fontId="32" fillId="0" borderId="0" xfId="0" applyFont="1"/>
    <xf numFmtId="0" fontId="32" fillId="0" borderId="0" xfId="0" applyFont="1" applyAlignment="1">
      <alignment vertical="top" wrapText="1"/>
    </xf>
    <xf numFmtId="0" fontId="32" fillId="0" borderId="1" xfId="0" applyFont="1" applyBorder="1" applyAlignment="1">
      <alignment wrapText="1"/>
    </xf>
    <xf numFmtId="22" fontId="27" fillId="0" borderId="1" xfId="0" applyNumberFormat="1" applyFont="1" applyBorder="1"/>
    <xf numFmtId="22" fontId="0" fillId="0" borderId="0" xfId="0" applyNumberFormat="1" applyAlignment="1">
      <alignment wrapText="1"/>
    </xf>
    <xf numFmtId="0" fontId="0" fillId="0" borderId="0" xfId="0" applyAlignment="1">
      <alignment horizontal="left"/>
    </xf>
    <xf numFmtId="0" fontId="18" fillId="0" borderId="0" xfId="0" applyFont="1" applyAlignment="1" applyProtection="1">
      <alignment vertical="top" wrapText="1"/>
      <protection locked="0"/>
    </xf>
    <xf numFmtId="0" fontId="18" fillId="0" borderId="0" xfId="0" applyFont="1" applyAlignment="1" applyProtection="1">
      <alignment horizontal="left" vertical="top" wrapText="1"/>
      <protection locked="0"/>
    </xf>
    <xf numFmtId="0" fontId="18" fillId="0" borderId="30" xfId="0" applyFont="1" applyBorder="1" applyAlignment="1" applyProtection="1">
      <alignment horizontal="left" vertical="top" wrapText="1"/>
      <protection locked="0"/>
    </xf>
    <xf numFmtId="0" fontId="18" fillId="0" borderId="30" xfId="0" applyFont="1" applyBorder="1" applyAlignment="1" applyProtection="1">
      <alignment vertical="top" wrapText="1"/>
      <protection locked="0"/>
    </xf>
    <xf numFmtId="22" fontId="18" fillId="0" borderId="0" xfId="0" applyNumberFormat="1" applyFont="1" applyAlignment="1" applyProtection="1">
      <alignment vertical="top" wrapText="1"/>
      <protection locked="0"/>
    </xf>
    <xf numFmtId="22" fontId="18" fillId="32" borderId="0" xfId="0" applyNumberFormat="1" applyFont="1" applyFill="1" applyAlignment="1" applyProtection="1">
      <alignment wrapText="1"/>
      <protection locked="0"/>
    </xf>
    <xf numFmtId="20" fontId="18" fillId="0" borderId="0" xfId="0" applyNumberFormat="1" applyFont="1" applyAlignment="1">
      <alignment wrapText="1"/>
    </xf>
    <xf numFmtId="0" fontId="18" fillId="0" borderId="0" xfId="0" applyFont="1"/>
    <xf numFmtId="22" fontId="18" fillId="0" borderId="0" xfId="0" applyNumberFormat="1" applyFont="1" applyAlignment="1">
      <alignment vertical="top"/>
    </xf>
    <xf numFmtId="22" fontId="18" fillId="0" borderId="0" xfId="0" quotePrefix="1" applyNumberFormat="1" applyFont="1" applyAlignment="1" applyProtection="1">
      <alignment wrapText="1"/>
      <protection locked="0"/>
    </xf>
    <xf numFmtId="0" fontId="38" fillId="0" borderId="0" xfId="0" applyFont="1"/>
    <xf numFmtId="0" fontId="18" fillId="0" borderId="0" xfId="0" applyFont="1" applyAlignment="1">
      <alignment horizontal="center" vertical="center" wrapText="1"/>
    </xf>
    <xf numFmtId="0" fontId="18" fillId="0" borderId="0" xfId="0" applyFont="1" applyAlignment="1">
      <alignment vertical="top" wrapText="1"/>
    </xf>
    <xf numFmtId="0" fontId="18" fillId="0" borderId="30" xfId="0" applyFont="1" applyBorder="1" applyAlignment="1">
      <alignment vertical="top" wrapText="1"/>
    </xf>
    <xf numFmtId="0" fontId="18" fillId="0" borderId="30" xfId="0" applyFont="1" applyBorder="1" applyAlignment="1">
      <alignment horizontal="left" vertical="top" wrapText="1"/>
    </xf>
    <xf numFmtId="0" fontId="18" fillId="0" borderId="30" xfId="0" applyFont="1" applyBorder="1" applyAlignment="1">
      <alignment horizontal="center" vertical="center" wrapText="1"/>
    </xf>
    <xf numFmtId="22" fontId="18" fillId="0" borderId="0" xfId="0" applyNumberFormat="1" applyFont="1" applyAlignment="1" applyProtection="1">
      <alignment horizontal="center" vertical="center" wrapText="1"/>
      <protection locked="0"/>
    </xf>
    <xf numFmtId="22" fontId="18" fillId="0" borderId="0" xfId="0" applyNumberFormat="1" applyFont="1" applyAlignment="1" applyProtection="1">
      <alignment horizontal="right" wrapText="1"/>
      <protection locked="0"/>
    </xf>
    <xf numFmtId="22" fontId="18" fillId="24" borderId="0" xfId="0" applyNumberFormat="1" applyFont="1" applyFill="1" applyAlignment="1">
      <alignment wrapText="1"/>
    </xf>
    <xf numFmtId="22" fontId="18" fillId="0" borderId="0" xfId="0" applyNumberFormat="1" applyFont="1" applyAlignment="1">
      <alignment horizontal="right"/>
    </xf>
    <xf numFmtId="0" fontId="18" fillId="0" borderId="0" xfId="0" applyFont="1" applyAlignment="1">
      <alignment horizontal="center"/>
    </xf>
    <xf numFmtId="0" fontId="18" fillId="0" borderId="0" xfId="0" applyFont="1" applyAlignment="1">
      <alignment vertical="top"/>
    </xf>
    <xf numFmtId="0" fontId="18" fillId="0" borderId="0" xfId="0" applyFont="1" applyAlignment="1">
      <alignment horizontal="center" vertical="center"/>
    </xf>
    <xf numFmtId="0" fontId="8" fillId="0" borderId="0" xfId="0" applyFont="1" applyAlignment="1" applyProtection="1">
      <alignment wrapText="1"/>
      <protection locked="0"/>
    </xf>
    <xf numFmtId="0" fontId="8" fillId="10" borderId="14" xfId="0" applyFont="1" applyFill="1" applyBorder="1" applyAlignment="1" applyProtection="1">
      <alignment horizontal="center" wrapText="1"/>
      <protection locked="0"/>
    </xf>
    <xf numFmtId="0" fontId="8" fillId="10" borderId="14" xfId="0" applyFont="1" applyFill="1" applyBorder="1" applyAlignment="1" applyProtection="1">
      <alignment horizontal="left"/>
      <protection locked="0"/>
    </xf>
    <xf numFmtId="0" fontId="0" fillId="35" borderId="0" xfId="0" applyFill="1" applyAlignment="1" applyProtection="1">
      <alignment horizontal="left"/>
      <protection locked="0"/>
    </xf>
    <xf numFmtId="49" fontId="0" fillId="0" borderId="0" xfId="0" applyNumberFormat="1" applyAlignment="1">
      <alignment horizontal="left" vertical="top" wrapText="1"/>
    </xf>
    <xf numFmtId="0" fontId="8" fillId="10" borderId="14" xfId="0" applyFont="1" applyFill="1" applyBorder="1" applyAlignment="1" applyProtection="1">
      <alignment vertical="top"/>
      <protection locked="0"/>
    </xf>
    <xf numFmtId="0" fontId="0" fillId="0" borderId="0" xfId="0" applyAlignment="1" applyProtection="1">
      <alignment vertical="top"/>
      <protection locked="0"/>
    </xf>
    <xf numFmtId="0" fontId="8" fillId="10" borderId="14" xfId="0" applyFont="1" applyFill="1" applyBorder="1" applyAlignment="1" applyProtection="1">
      <alignment horizontal="left" vertical="top"/>
      <protection locked="0"/>
    </xf>
    <xf numFmtId="46" fontId="0" fillId="35" borderId="0" xfId="0" applyNumberFormat="1" applyFill="1" applyAlignment="1">
      <alignment horizontal="left" vertical="top"/>
    </xf>
    <xf numFmtId="2" fontId="0" fillId="35" borderId="0" xfId="0" applyNumberFormat="1" applyFill="1" applyAlignment="1">
      <alignment horizontal="left" vertical="top"/>
    </xf>
    <xf numFmtId="0" fontId="0" fillId="35" borderId="0" xfId="0" applyFill="1" applyAlignment="1">
      <alignment horizontal="left" vertical="top"/>
    </xf>
    <xf numFmtId="22" fontId="37" fillId="0" borderId="0" xfId="0" applyNumberFormat="1" applyFont="1" applyAlignment="1" applyProtection="1">
      <alignment horizontal="left" vertical="top"/>
      <protection locked="0"/>
    </xf>
    <xf numFmtId="0" fontId="18" fillId="0" borderId="0" xfId="0" applyFont="1" applyAlignment="1">
      <alignment vertical="center" wrapText="1"/>
    </xf>
    <xf numFmtId="22" fontId="18" fillId="0" borderId="0" xfId="0" applyNumberFormat="1" applyFont="1" applyAlignment="1">
      <alignment vertical="center" wrapText="1"/>
    </xf>
    <xf numFmtId="22" fontId="27" fillId="24" borderId="0" xfId="0" applyNumberFormat="1" applyFont="1" applyFill="1" applyAlignment="1">
      <alignment wrapText="1"/>
    </xf>
    <xf numFmtId="22" fontId="27" fillId="0" borderId="0" xfId="0" applyNumberFormat="1" applyFont="1" applyAlignment="1">
      <alignment wrapText="1"/>
    </xf>
    <xf numFmtId="0" fontId="39" fillId="0" borderId="0" xfId="0" applyFont="1"/>
    <xf numFmtId="0" fontId="0" fillId="0" borderId="1" xfId="0" applyBorder="1" applyAlignment="1" applyProtection="1">
      <alignment horizontal="left" vertical="top"/>
      <protection locked="0"/>
    </xf>
    <xf numFmtId="0" fontId="32" fillId="0" borderId="0" xfId="0" applyFont="1" applyAlignment="1">
      <alignment horizontal="left" vertical="top" wrapText="1"/>
    </xf>
    <xf numFmtId="0" fontId="15" fillId="0" borderId="0" xfId="0" applyFont="1" applyAlignment="1">
      <alignment horizontal="left" vertical="top"/>
    </xf>
    <xf numFmtId="0" fontId="3" fillId="0" borderId="0" xfId="0" applyFont="1" applyAlignment="1">
      <alignment horizontal="left" vertical="top" wrapText="1"/>
    </xf>
    <xf numFmtId="0" fontId="3" fillId="0" borderId="0" xfId="0" applyFont="1" applyAlignment="1">
      <alignment horizontal="left" vertical="top"/>
    </xf>
    <xf numFmtId="0" fontId="0" fillId="18" borderId="0" xfId="0" applyFill="1" applyAlignment="1" applyProtection="1">
      <alignment horizontal="left" vertical="top"/>
      <protection locked="0"/>
    </xf>
    <xf numFmtId="0" fontId="8" fillId="10" borderId="1" xfId="0" applyFont="1" applyFill="1" applyBorder="1" applyAlignment="1">
      <alignment horizontal="left" vertical="top"/>
    </xf>
    <xf numFmtId="0" fontId="40" fillId="0" borderId="1" xfId="0" applyFont="1" applyBorder="1" applyAlignment="1">
      <alignment horizontal="left" vertical="top"/>
    </xf>
    <xf numFmtId="0" fontId="41" fillId="0" borderId="1" xfId="0" applyFont="1" applyBorder="1" applyAlignment="1">
      <alignment horizontal="left" vertical="top"/>
    </xf>
    <xf numFmtId="22" fontId="41" fillId="24" borderId="1" xfId="0" applyNumberFormat="1" applyFont="1" applyFill="1" applyBorder="1" applyAlignment="1">
      <alignment horizontal="left" vertical="top"/>
    </xf>
    <xf numFmtId="0" fontId="41" fillId="24" borderId="1" xfId="0" applyFont="1" applyFill="1" applyBorder="1" applyAlignment="1">
      <alignment horizontal="left" vertical="top"/>
    </xf>
    <xf numFmtId="0" fontId="0" fillId="0" borderId="1" xfId="0" applyBorder="1" applyAlignment="1">
      <alignment horizontal="left" vertical="top"/>
    </xf>
    <xf numFmtId="22" fontId="40" fillId="0" borderId="1" xfId="0" applyNumberFormat="1" applyFont="1" applyBorder="1" applyAlignment="1">
      <alignment horizontal="left" vertical="top"/>
    </xf>
    <xf numFmtId="0" fontId="28" fillId="0" borderId="0" xfId="0" applyFont="1"/>
    <xf numFmtId="22" fontId="42" fillId="0" borderId="0" xfId="0" applyNumberFormat="1" applyFont="1" applyProtection="1">
      <protection locked="0"/>
    </xf>
    <xf numFmtId="0" fontId="39" fillId="32" borderId="0" xfId="0" applyFont="1" applyFill="1" applyAlignment="1">
      <alignment wrapText="1"/>
    </xf>
    <xf numFmtId="22" fontId="0" fillId="0" borderId="0" xfId="0" applyNumberFormat="1" applyAlignment="1" applyProtection="1">
      <alignment vertical="top" wrapText="1"/>
      <protection locked="0"/>
    </xf>
    <xf numFmtId="22" fontId="0" fillId="0" borderId="1" xfId="0" applyNumberFormat="1" applyBorder="1" applyAlignment="1">
      <alignment horizontal="center" vertical="center" wrapText="1"/>
    </xf>
    <xf numFmtId="0" fontId="0" fillId="35" borderId="0" xfId="0" applyFill="1" applyAlignment="1" applyProtection="1">
      <alignment vertical="top"/>
      <protection locked="0"/>
    </xf>
    <xf numFmtId="0" fontId="0" fillId="35" borderId="0" xfId="0" applyFill="1" applyAlignment="1" applyProtection="1">
      <alignment horizontal="left" vertical="top"/>
      <protection locked="0"/>
    </xf>
    <xf numFmtId="0" fontId="0" fillId="36" borderId="0" xfId="0" applyFill="1" applyProtection="1">
      <protection locked="0"/>
    </xf>
    <xf numFmtId="0" fontId="43" fillId="0" borderId="0" xfId="1" applyAlignment="1"/>
    <xf numFmtId="0" fontId="43" fillId="0" borderId="0" xfId="1"/>
    <xf numFmtId="0" fontId="0" fillId="0" borderId="1" xfId="0" applyBorder="1" applyAlignment="1">
      <alignment horizontal="left" vertical="center" wrapText="1"/>
    </xf>
    <xf numFmtId="22" fontId="8" fillId="10" borderId="1" xfId="0" applyNumberFormat="1" applyFont="1" applyFill="1" applyBorder="1" applyAlignment="1" applyProtection="1">
      <alignment horizontal="center" vertical="center"/>
      <protection locked="0"/>
    </xf>
    <xf numFmtId="22" fontId="0" fillId="0" borderId="1" xfId="0" applyNumberFormat="1" applyBorder="1" applyAlignment="1" applyProtection="1">
      <alignment horizontal="center" vertical="center"/>
      <protection locked="0"/>
    </xf>
    <xf numFmtId="22" fontId="3" fillId="17" borderId="1" xfId="0" applyNumberFormat="1" applyFont="1" applyFill="1" applyBorder="1" applyAlignment="1">
      <alignment horizontal="center" vertical="center" wrapText="1"/>
    </xf>
    <xf numFmtId="22" fontId="3" fillId="0" borderId="1" xfId="0" applyNumberFormat="1" applyFont="1" applyBorder="1" applyAlignment="1">
      <alignment horizontal="center" vertical="center" wrapText="1"/>
    </xf>
    <xf numFmtId="22" fontId="3" fillId="18" borderId="1" xfId="0" applyNumberFormat="1" applyFont="1" applyFill="1" applyBorder="1" applyAlignment="1">
      <alignment horizontal="center" vertical="center" wrapText="1"/>
    </xf>
    <xf numFmtId="22" fontId="0" fillId="0" borderId="0" xfId="0" applyNumberFormat="1" applyAlignment="1" applyProtection="1">
      <alignment horizontal="center" vertical="center"/>
      <protection locked="0"/>
    </xf>
    <xf numFmtId="22" fontId="15" fillId="0" borderId="1" xfId="0" applyNumberFormat="1" applyFont="1" applyBorder="1" applyAlignment="1" applyProtection="1">
      <alignment horizontal="center" vertical="center" wrapText="1"/>
      <protection locked="0"/>
    </xf>
    <xf numFmtId="22" fontId="15" fillId="0" borderId="1" xfId="0" applyNumberFormat="1" applyFont="1" applyBorder="1" applyAlignment="1">
      <alignment horizontal="center" vertical="center"/>
    </xf>
    <xf numFmtId="22" fontId="0" fillId="0" borderId="1" xfId="0" applyNumberFormat="1" applyBorder="1" applyAlignment="1">
      <alignment horizontal="center" vertical="center"/>
    </xf>
    <xf numFmtId="22" fontId="0" fillId="18" borderId="1" xfId="0" applyNumberFormat="1" applyFill="1" applyBorder="1" applyAlignment="1" applyProtection="1">
      <alignment horizontal="center" vertical="center"/>
      <protection locked="0"/>
    </xf>
    <xf numFmtId="22" fontId="0" fillId="0" borderId="0" xfId="0" applyNumberFormat="1" applyAlignment="1" applyProtection="1">
      <alignment horizontal="right" wrapText="1"/>
      <protection locked="0"/>
    </xf>
    <xf numFmtId="0" fontId="0" fillId="0" borderId="31" xfId="0" applyBorder="1" applyAlignment="1">
      <alignment horizontal="left"/>
    </xf>
    <xf numFmtId="22" fontId="0" fillId="0" borderId="1" xfId="0" applyNumberFormat="1" applyBorder="1"/>
    <xf numFmtId="0" fontId="0" fillId="0" borderId="31" xfId="0" applyBorder="1"/>
    <xf numFmtId="0" fontId="8" fillId="10" borderId="14" xfId="0" applyFont="1" applyFill="1" applyBorder="1" applyAlignment="1" applyProtection="1">
      <alignment horizontal="center" vertical="top" wrapText="1"/>
      <protection locked="0"/>
    </xf>
    <xf numFmtId="0" fontId="18" fillId="0" borderId="0" xfId="0" applyFont="1" applyAlignment="1" applyProtection="1">
      <alignment horizontal="center" vertical="top" wrapText="1"/>
      <protection locked="0"/>
    </xf>
    <xf numFmtId="0" fontId="18" fillId="0" borderId="0" xfId="0" applyFont="1" applyAlignment="1">
      <alignment horizontal="center" vertical="top" wrapText="1"/>
    </xf>
    <xf numFmtId="0" fontId="18" fillId="0" borderId="30" xfId="0" applyFont="1" applyBorder="1" applyAlignment="1" applyProtection="1">
      <alignment horizontal="center" vertical="top" wrapText="1"/>
      <protection locked="0"/>
    </xf>
    <xf numFmtId="0" fontId="18" fillId="0" borderId="0" xfId="0" applyFont="1" applyAlignment="1">
      <alignment horizontal="center" vertical="top"/>
    </xf>
    <xf numFmtId="0" fontId="0" fillId="0" borderId="0" xfId="0" applyAlignment="1" applyProtection="1">
      <alignment horizontal="center" vertical="top" wrapText="1"/>
      <protection locked="0"/>
    </xf>
    <xf numFmtId="22" fontId="0" fillId="0" borderId="0" xfId="0" applyNumberFormat="1" applyAlignment="1" applyProtection="1">
      <alignment horizontal="center" vertical="top" wrapText="1"/>
      <protection locked="0"/>
    </xf>
    <xf numFmtId="0" fontId="39" fillId="0" borderId="0" xfId="0" applyFont="1" applyAlignment="1">
      <alignment horizontal="center" vertical="top"/>
    </xf>
    <xf numFmtId="0" fontId="0" fillId="0" borderId="0" xfId="0" applyAlignment="1">
      <alignment horizontal="center" vertical="top" wrapText="1"/>
    </xf>
    <xf numFmtId="0" fontId="44" fillId="0" borderId="0" xfId="0" applyFont="1"/>
    <xf numFmtId="0" fontId="45" fillId="0" borderId="0" xfId="0" applyFont="1"/>
    <xf numFmtId="0" fontId="39" fillId="24" borderId="0" xfId="0" applyFont="1" applyFill="1" applyAlignment="1">
      <alignment wrapText="1"/>
    </xf>
    <xf numFmtId="22" fontId="0" fillId="0" borderId="9" xfId="0" applyNumberFormat="1" applyBorder="1"/>
    <xf numFmtId="0" fontId="40" fillId="0" borderId="9" xfId="0" applyFont="1" applyBorder="1" applyAlignment="1">
      <alignment horizontal="left" vertical="top"/>
    </xf>
    <xf numFmtId="0" fontId="0" fillId="0" borderId="9" xfId="0" applyBorder="1" applyAlignment="1">
      <alignment horizontal="left" vertical="top"/>
    </xf>
    <xf numFmtId="0" fontId="0" fillId="0" borderId="0" xfId="0" applyAlignment="1">
      <alignment vertical="center"/>
    </xf>
    <xf numFmtId="22" fontId="47" fillId="32" borderId="0" xfId="0" applyNumberFormat="1" applyFont="1" applyFill="1" applyAlignment="1">
      <alignment wrapText="1"/>
    </xf>
    <xf numFmtId="22" fontId="0" fillId="0" borderId="0" xfId="0" applyNumberFormat="1" applyAlignment="1" applyProtection="1">
      <alignment horizontal="left"/>
      <protection locked="0"/>
    </xf>
    <xf numFmtId="22" fontId="27" fillId="0" borderId="0" xfId="0" applyNumberFormat="1" applyFont="1" applyAlignment="1">
      <alignment horizontal="left"/>
    </xf>
    <xf numFmtId="0" fontId="46" fillId="0" borderId="0" xfId="0" applyFont="1" applyAlignment="1">
      <alignment horizontal="left"/>
    </xf>
    <xf numFmtId="22" fontId="32" fillId="0" borderId="0" xfId="0" applyNumberFormat="1" applyFont="1" applyAlignment="1">
      <alignment horizontal="left"/>
    </xf>
    <xf numFmtId="22" fontId="15" fillId="0" borderId="0" xfId="0" applyNumberFormat="1" applyFont="1" applyAlignment="1">
      <alignment horizontal="left"/>
    </xf>
    <xf numFmtId="0" fontId="15" fillId="0" borderId="0" xfId="0" applyFont="1" applyAlignment="1">
      <alignment horizontal="left"/>
    </xf>
    <xf numFmtId="0" fontId="3" fillId="0" borderId="0" xfId="0" applyFont="1" applyAlignment="1">
      <alignment horizontal="left"/>
    </xf>
    <xf numFmtId="22" fontId="3" fillId="0" borderId="0" xfId="0" applyNumberFormat="1" applyFont="1" applyAlignment="1">
      <alignment horizontal="left"/>
    </xf>
    <xf numFmtId="0" fontId="32" fillId="0" borderId="0" xfId="0" applyFont="1" applyAlignment="1">
      <alignment horizontal="left"/>
    </xf>
    <xf numFmtId="22" fontId="0" fillId="0" borderId="0" xfId="0" applyNumberFormat="1" applyAlignment="1">
      <alignment horizontal="left"/>
    </xf>
    <xf numFmtId="22" fontId="0" fillId="0" borderId="0" xfId="0" applyNumberFormat="1" applyAlignment="1">
      <alignment vertical="top"/>
    </xf>
    <xf numFmtId="22" fontId="27" fillId="0" borderId="1" xfId="0" applyNumberFormat="1" applyFont="1" applyBorder="1" applyAlignment="1">
      <alignment horizontal="center" vertical="center"/>
    </xf>
    <xf numFmtId="0" fontId="0" fillId="0" borderId="1" xfId="0" applyBorder="1" applyAlignment="1" applyProtection="1">
      <alignment vertical="top" wrapText="1"/>
      <protection locked="0"/>
    </xf>
    <xf numFmtId="0" fontId="0" fillId="0" borderId="1" xfId="0" applyBorder="1" applyAlignment="1">
      <alignment horizontal="center" vertical="center" wrapText="1"/>
    </xf>
    <xf numFmtId="0" fontId="35" fillId="0" borderId="1" xfId="0" applyFont="1" applyBorder="1"/>
    <xf numFmtId="22" fontId="33" fillId="0" borderId="1" xfId="0" applyNumberFormat="1" applyFont="1" applyBorder="1" applyAlignment="1">
      <alignment horizontal="center" vertical="center"/>
    </xf>
    <xf numFmtId="0" fontId="18" fillId="0" borderId="1" xfId="0" applyFont="1" applyBorder="1" applyAlignment="1" applyProtection="1">
      <alignment horizontal="center" vertical="center"/>
      <protection locked="0"/>
    </xf>
    <xf numFmtId="22" fontId="18" fillId="0" borderId="1" xfId="0" applyNumberFormat="1" applyFont="1" applyBorder="1" applyAlignment="1">
      <alignment horizontal="center" vertical="center"/>
    </xf>
    <xf numFmtId="22" fontId="18" fillId="0" borderId="1" xfId="0" applyNumberFormat="1" applyFont="1" applyBorder="1" applyProtection="1">
      <protection locked="0"/>
    </xf>
    <xf numFmtId="0" fontId="18" fillId="0" borderId="1" xfId="0" applyFont="1" applyBorder="1" applyProtection="1">
      <protection locked="0"/>
    </xf>
    <xf numFmtId="0" fontId="3" fillId="0" borderId="10" xfId="0" applyFont="1" applyBorder="1"/>
    <xf numFmtId="0" fontId="3" fillId="0" borderId="37" xfId="0" applyFont="1" applyBorder="1"/>
    <xf numFmtId="0" fontId="0" fillId="37" borderId="0" xfId="0" applyFill="1" applyProtection="1">
      <protection locked="0"/>
    </xf>
    <xf numFmtId="0" fontId="0" fillId="37" borderId="1" xfId="0" applyFill="1" applyBorder="1" applyProtection="1">
      <protection locked="0"/>
    </xf>
    <xf numFmtId="0" fontId="32" fillId="0" borderId="10" xfId="0" applyFont="1" applyBorder="1" applyAlignment="1">
      <alignment wrapText="1"/>
    </xf>
    <xf numFmtId="0" fontId="32" fillId="0" borderId="10" xfId="0" applyFont="1" applyBorder="1"/>
    <xf numFmtId="0" fontId="32" fillId="0" borderId="10" xfId="0" applyFont="1" applyBorder="1" applyAlignment="1">
      <alignment vertical="top" wrapText="1"/>
    </xf>
    <xf numFmtId="0" fontId="32" fillId="0" borderId="1" xfId="0" applyFont="1" applyBorder="1" applyAlignment="1">
      <alignment vertical="top" wrapText="1"/>
    </xf>
    <xf numFmtId="22" fontId="3" fillId="0" borderId="0" xfId="0" applyNumberFormat="1" applyFont="1"/>
    <xf numFmtId="0" fontId="38" fillId="0" borderId="1" xfId="0" applyFont="1" applyBorder="1"/>
    <xf numFmtId="46" fontId="0" fillId="0" borderId="10" xfId="0" applyNumberFormat="1" applyBorder="1"/>
    <xf numFmtId="0" fontId="3" fillId="0" borderId="1" xfId="0" applyFont="1" applyBorder="1" applyProtection="1">
      <protection locked="0"/>
    </xf>
    <xf numFmtId="0" fontId="3" fillId="0" borderId="38" xfId="0" applyFont="1" applyBorder="1" applyProtection="1">
      <protection locked="0"/>
    </xf>
    <xf numFmtId="0" fontId="3" fillId="0" borderId="39" xfId="0" applyFont="1" applyBorder="1" applyProtection="1">
      <protection locked="0"/>
    </xf>
    <xf numFmtId="22" fontId="3" fillId="0" borderId="38" xfId="0" applyNumberFormat="1" applyFont="1" applyBorder="1" applyProtection="1">
      <protection locked="0"/>
    </xf>
    <xf numFmtId="22" fontId="3" fillId="0" borderId="39" xfId="0" applyNumberFormat="1" applyFont="1" applyBorder="1" applyProtection="1">
      <protection locked="0"/>
    </xf>
    <xf numFmtId="22" fontId="3" fillId="0" borderId="40" xfId="0" applyNumberFormat="1" applyFont="1" applyBorder="1" applyProtection="1">
      <protection locked="0"/>
    </xf>
    <xf numFmtId="0" fontId="3" fillId="0" borderId="41" xfId="0" applyFont="1" applyBorder="1" applyProtection="1">
      <protection locked="0"/>
    </xf>
    <xf numFmtId="0" fontId="32" fillId="0" borderId="31" xfId="0" applyFont="1" applyBorder="1" applyProtection="1">
      <protection locked="0"/>
    </xf>
    <xf numFmtId="0" fontId="32" fillId="0" borderId="34" xfId="0" applyFont="1" applyBorder="1" applyProtection="1">
      <protection locked="0"/>
    </xf>
    <xf numFmtId="0" fontId="32" fillId="0" borderId="35" xfId="0" applyFont="1" applyBorder="1" applyProtection="1">
      <protection locked="0"/>
    </xf>
    <xf numFmtId="0" fontId="32" fillId="0" borderId="36" xfId="0" applyFont="1" applyBorder="1" applyProtection="1">
      <protection locked="0"/>
    </xf>
    <xf numFmtId="22" fontId="32" fillId="0" borderId="34" xfId="0" applyNumberFormat="1" applyFont="1" applyBorder="1" applyProtection="1">
      <protection locked="0"/>
    </xf>
    <xf numFmtId="22" fontId="32" fillId="0" borderId="36" xfId="0" applyNumberFormat="1" applyFont="1" applyBorder="1" applyProtection="1">
      <protection locked="0"/>
    </xf>
    <xf numFmtId="22" fontId="32" fillId="0" borderId="31" xfId="0" applyNumberFormat="1" applyFont="1" applyBorder="1" applyProtection="1">
      <protection locked="0"/>
    </xf>
    <xf numFmtId="0" fontId="48" fillId="0" borderId="0" xfId="0" applyFont="1" applyProtection="1">
      <protection locked="0"/>
    </xf>
    <xf numFmtId="0" fontId="32" fillId="0" borderId="0" xfId="0" applyFont="1" applyProtection="1">
      <protection locked="0"/>
    </xf>
    <xf numFmtId="22" fontId="32" fillId="0" borderId="0" xfId="0" applyNumberFormat="1" applyFont="1" applyProtection="1">
      <protection locked="0"/>
    </xf>
    <xf numFmtId="22" fontId="49" fillId="0" borderId="0" xfId="0" applyNumberFormat="1" applyFont="1" applyProtection="1">
      <protection locked="0"/>
    </xf>
    <xf numFmtId="0" fontId="50" fillId="0" borderId="0" xfId="0" applyFont="1" applyProtection="1">
      <protection locked="0"/>
    </xf>
    <xf numFmtId="0" fontId="15" fillId="0" borderId="0" xfId="0" applyFont="1" applyAlignment="1">
      <alignment wrapText="1"/>
    </xf>
    <xf numFmtId="22" fontId="23" fillId="0" borderId="0" xfId="0" applyNumberFormat="1" applyFont="1"/>
    <xf numFmtId="22" fontId="27" fillId="0" borderId="0" xfId="0" applyNumberFormat="1" applyFont="1" applyAlignment="1" applyProtection="1">
      <alignment wrapText="1"/>
      <protection locked="0"/>
    </xf>
    <xf numFmtId="22" fontId="27" fillId="24" borderId="0" xfId="0" applyNumberFormat="1" applyFont="1" applyFill="1" applyAlignment="1" applyProtection="1">
      <alignment wrapText="1"/>
      <protection locked="0"/>
    </xf>
    <xf numFmtId="22" fontId="32" fillId="0" borderId="1" xfId="0" applyNumberFormat="1" applyFont="1" applyBorder="1" applyAlignment="1">
      <alignment horizontal="right"/>
    </xf>
    <xf numFmtId="0" fontId="5" fillId="0" borderId="1" xfId="0" applyFont="1" applyBorder="1" applyProtection="1">
      <protection locked="0"/>
    </xf>
    <xf numFmtId="0" fontId="3" fillId="0" borderId="1" xfId="0" applyFont="1" applyBorder="1" applyAlignment="1">
      <alignment horizontal="center" wrapText="1"/>
    </xf>
    <xf numFmtId="20" fontId="3" fillId="0" borderId="1" xfId="0" applyNumberFormat="1" applyFont="1" applyBorder="1"/>
    <xf numFmtId="0" fontId="3" fillId="0" borderId="9" xfId="0" applyFont="1" applyBorder="1"/>
    <xf numFmtId="0" fontId="32" fillId="0" borderId="9" xfId="0" applyFont="1" applyBorder="1"/>
    <xf numFmtId="0" fontId="32" fillId="0" borderId="9" xfId="0" applyFont="1" applyBorder="1" applyAlignment="1">
      <alignment wrapText="1"/>
    </xf>
    <xf numFmtId="22" fontId="32" fillId="0" borderId="9" xfId="0" applyNumberFormat="1" applyFont="1" applyBorder="1" applyAlignment="1">
      <alignment horizontal="right"/>
    </xf>
    <xf numFmtId="46" fontId="0" fillId="0" borderId="9" xfId="0" applyNumberFormat="1" applyBorder="1"/>
    <xf numFmtId="2" fontId="0" fillId="0" borderId="9" xfId="0" applyNumberFormat="1" applyBorder="1"/>
    <xf numFmtId="0" fontId="32" fillId="0" borderId="5" xfId="0" applyFont="1" applyBorder="1"/>
    <xf numFmtId="0" fontId="0" fillId="37" borderId="9" xfId="0" applyFill="1" applyBorder="1" applyProtection="1">
      <protection locked="0"/>
    </xf>
    <xf numFmtId="49" fontId="0" fillId="0" borderId="9" xfId="0" applyNumberFormat="1" applyBorder="1" applyAlignment="1">
      <alignment vertical="top" wrapText="1"/>
    </xf>
    <xf numFmtId="0" fontId="32" fillId="0" borderId="9" xfId="0" applyFont="1" applyBorder="1" applyAlignment="1">
      <alignment vertical="top" wrapText="1"/>
    </xf>
    <xf numFmtId="0" fontId="3" fillId="0" borderId="5" xfId="0" applyFont="1" applyBorder="1"/>
    <xf numFmtId="0" fontId="32" fillId="0" borderId="21" xfId="0" applyFont="1" applyBorder="1" applyAlignment="1">
      <alignment wrapText="1"/>
    </xf>
    <xf numFmtId="0" fontId="32" fillId="0" borderId="21" xfId="0" applyFont="1" applyBorder="1" applyAlignment="1">
      <alignment vertical="top" wrapText="1"/>
    </xf>
    <xf numFmtId="0" fontId="3" fillId="0" borderId="21" xfId="0" applyFont="1" applyBorder="1"/>
    <xf numFmtId="0" fontId="3" fillId="0" borderId="7" xfId="0" applyFont="1" applyBorder="1"/>
    <xf numFmtId="0" fontId="32" fillId="0" borderId="21" xfId="0" applyFont="1" applyBorder="1"/>
    <xf numFmtId="22" fontId="32" fillId="0" borderId="21" xfId="0" applyNumberFormat="1" applyFont="1" applyBorder="1" applyAlignment="1">
      <alignment horizontal="right"/>
    </xf>
    <xf numFmtId="46" fontId="0" fillId="0" borderId="21" xfId="0" applyNumberFormat="1" applyBorder="1"/>
    <xf numFmtId="0" fontId="0" fillId="0" borderId="21" xfId="0" applyBorder="1"/>
    <xf numFmtId="2" fontId="0" fillId="0" borderId="21" xfId="0" applyNumberFormat="1" applyBorder="1"/>
    <xf numFmtId="0" fontId="0" fillId="0" borderId="21" xfId="0" applyBorder="1" applyAlignment="1">
      <alignment wrapText="1"/>
    </xf>
    <xf numFmtId="22" fontId="32" fillId="0" borderId="10" xfId="0" applyNumberFormat="1" applyFont="1" applyBorder="1" applyAlignment="1">
      <alignment horizontal="right"/>
    </xf>
    <xf numFmtId="2" fontId="0" fillId="0" borderId="10" xfId="0" applyNumberFormat="1" applyBorder="1"/>
    <xf numFmtId="0" fontId="0" fillId="0" borderId="10" xfId="0" applyBorder="1" applyAlignment="1">
      <alignment wrapText="1"/>
    </xf>
    <xf numFmtId="49" fontId="0" fillId="0" borderId="10" xfId="0" applyNumberFormat="1" applyBorder="1" applyAlignment="1">
      <alignment vertical="top" wrapText="1"/>
    </xf>
    <xf numFmtId="0" fontId="3" fillId="0" borderId="8" xfId="0" applyFont="1" applyBorder="1"/>
    <xf numFmtId="0" fontId="0" fillId="37" borderId="21" xfId="0" applyFill="1" applyBorder="1" applyProtection="1">
      <protection locked="0"/>
    </xf>
    <xf numFmtId="0" fontId="0" fillId="37" borderId="10" xfId="0" applyFill="1" applyBorder="1" applyProtection="1">
      <protection locked="0"/>
    </xf>
    <xf numFmtId="0" fontId="0" fillId="0" borderId="10" xfId="0" applyBorder="1" applyProtection="1">
      <protection locked="0"/>
    </xf>
    <xf numFmtId="22" fontId="1" fillId="0" borderId="1" xfId="0" applyNumberFormat="1" applyFont="1" applyBorder="1" applyAlignment="1">
      <alignment horizontal="center" vertical="center" wrapText="1"/>
    </xf>
    <xf numFmtId="22" fontId="1" fillId="0" borderId="1" xfId="0" applyNumberFormat="1" applyFont="1"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top" wrapText="1"/>
    </xf>
    <xf numFmtId="0" fontId="1" fillId="0" borderId="0" xfId="0" applyFont="1" applyAlignment="1" applyProtection="1">
      <alignment horizontal="center" vertical="top" wrapText="1"/>
      <protection locked="0"/>
    </xf>
    <xf numFmtId="22" fontId="27" fillId="0" borderId="0" xfId="0" applyNumberFormat="1" applyFont="1" applyAlignment="1" applyProtection="1">
      <alignment vertical="top" wrapText="1"/>
      <protection locked="0"/>
    </xf>
    <xf numFmtId="22" fontId="3" fillId="0" borderId="1" xfId="0" applyNumberFormat="1" applyFont="1" applyBorder="1" applyAlignment="1">
      <alignment wrapText="1"/>
    </xf>
    <xf numFmtId="0" fontId="3" fillId="0" borderId="1" xfId="0" applyFont="1" applyBorder="1" applyAlignment="1">
      <alignment vertical="top" wrapText="1"/>
    </xf>
    <xf numFmtId="22" fontId="3" fillId="35" borderId="0" xfId="0" applyNumberFormat="1" applyFont="1" applyFill="1" applyAlignment="1" applyProtection="1">
      <alignment horizontal="left" vertical="top"/>
      <protection locked="0"/>
    </xf>
    <xf numFmtId="0" fontId="3" fillId="0" borderId="31" xfId="0" applyFont="1" applyBorder="1" applyAlignment="1">
      <alignment horizontal="left" vertical="top" wrapText="1"/>
    </xf>
    <xf numFmtId="0" fontId="3" fillId="0" borderId="35" xfId="0" applyFont="1" applyBorder="1" applyAlignment="1">
      <alignment horizontal="left" vertical="top" wrapText="1"/>
    </xf>
    <xf numFmtId="0" fontId="3" fillId="0" borderId="0" xfId="0" applyFont="1" applyAlignment="1" applyProtection="1">
      <alignment horizontal="left"/>
      <protection locked="0"/>
    </xf>
    <xf numFmtId="22" fontId="7" fillId="0" borderId="0" xfId="0" applyNumberFormat="1" applyFont="1"/>
    <xf numFmtId="22" fontId="7" fillId="0" borderId="0" xfId="0" applyNumberFormat="1" applyFont="1" applyAlignment="1" applyProtection="1">
      <alignment wrapText="1"/>
      <protection locked="0"/>
    </xf>
    <xf numFmtId="0" fontId="35" fillId="0" borderId="0" xfId="0" applyFont="1" applyAlignment="1">
      <alignment horizontal="center" vertical="top"/>
    </xf>
    <xf numFmtId="0" fontId="35" fillId="0" borderId="0" xfId="0" applyFont="1" applyAlignment="1">
      <alignment horizontal="center"/>
    </xf>
    <xf numFmtId="0" fontId="35" fillId="32" borderId="0" xfId="0" applyFont="1" applyFill="1" applyAlignment="1">
      <alignment horizontal="center" wrapText="1"/>
    </xf>
    <xf numFmtId="0" fontId="2" fillId="7" borderId="1" xfId="0" applyFont="1" applyFill="1" applyBorder="1"/>
    <xf numFmtId="0" fontId="28" fillId="0" borderId="1" xfId="0" applyFont="1" applyBorder="1"/>
    <xf numFmtId="0" fontId="28" fillId="0" borderId="21" xfId="0" applyFont="1" applyBorder="1"/>
    <xf numFmtId="0" fontId="3" fillId="0" borderId="10" xfId="0" applyFont="1" applyBorder="1" applyAlignment="1">
      <alignment wrapText="1"/>
    </xf>
    <xf numFmtId="0" fontId="3" fillId="0" borderId="9" xfId="0" applyFont="1" applyBorder="1" applyAlignment="1">
      <alignment wrapText="1"/>
    </xf>
    <xf numFmtId="0" fontId="0" fillId="33" borderId="0" xfId="0" applyFill="1" applyAlignment="1">
      <alignment horizontal="left" vertical="top" wrapText="1"/>
    </xf>
    <xf numFmtId="0" fontId="0" fillId="33" borderId="1" xfId="0" applyFill="1" applyBorder="1" applyAlignment="1">
      <alignment vertical="top" wrapText="1"/>
    </xf>
    <xf numFmtId="0" fontId="15" fillId="33" borderId="1" xfId="0" applyFont="1" applyFill="1" applyBorder="1" applyAlignment="1">
      <alignment horizontal="left" vertical="top"/>
    </xf>
    <xf numFmtId="0" fontId="15" fillId="33" borderId="1" xfId="0" applyFont="1" applyFill="1" applyBorder="1" applyAlignment="1">
      <alignment horizontal="left" vertical="top" wrapText="1"/>
    </xf>
    <xf numFmtId="0" fontId="0" fillId="33" borderId="1" xfId="0" applyFill="1" applyBorder="1" applyAlignment="1">
      <alignment horizontal="left" vertical="top" wrapText="1"/>
    </xf>
    <xf numFmtId="0" fontId="0" fillId="33" borderId="0" xfId="0" applyFill="1"/>
    <xf numFmtId="0" fontId="7" fillId="33" borderId="1" xfId="0" applyFont="1" applyFill="1" applyBorder="1" applyAlignment="1">
      <alignment horizontal="left" vertical="top"/>
    </xf>
    <xf numFmtId="0" fontId="7" fillId="33" borderId="4" xfId="0" applyFont="1" applyFill="1" applyBorder="1" applyAlignment="1">
      <alignment horizontal="left" vertical="top" wrapText="1"/>
    </xf>
    <xf numFmtId="0" fontId="0" fillId="33" borderId="1" xfId="0" applyFill="1" applyBorder="1" applyAlignment="1">
      <alignment horizontal="left" vertical="top"/>
    </xf>
    <xf numFmtId="0" fontId="0" fillId="33" borderId="4" xfId="0" applyFill="1" applyBorder="1" applyAlignment="1">
      <alignment horizontal="left" vertical="top" wrapText="1"/>
    </xf>
    <xf numFmtId="0" fontId="0" fillId="33" borderId="21" xfId="0" applyFill="1" applyBorder="1" applyAlignment="1">
      <alignment horizontal="left" vertical="top" wrapText="1"/>
    </xf>
    <xf numFmtId="0" fontId="15" fillId="33" borderId="10" xfId="0" applyFont="1" applyFill="1" applyBorder="1" applyAlignment="1">
      <alignment horizontal="left" vertical="top" wrapText="1"/>
    </xf>
    <xf numFmtId="0" fontId="3" fillId="0" borderId="0" xfId="0" applyFont="1" applyAlignment="1" applyProtection="1">
      <alignment vertical="top"/>
      <protection locked="0"/>
    </xf>
    <xf numFmtId="0" fontId="3" fillId="0" borderId="0" xfId="0" applyFont="1" applyAlignment="1" applyProtection="1">
      <alignment vertical="top" wrapText="1"/>
      <protection locked="0"/>
    </xf>
    <xf numFmtId="0" fontId="0" fillId="0" borderId="0" xfId="0" applyAlignment="1" applyProtection="1">
      <alignment horizontal="left" vertical="top" wrapText="1"/>
      <protection locked="0"/>
    </xf>
    <xf numFmtId="0" fontId="0" fillId="0" borderId="4" xfId="0" applyBorder="1"/>
    <xf numFmtId="0" fontId="0" fillId="0" borderId="3" xfId="0" applyBorder="1"/>
    <xf numFmtId="22" fontId="0" fillId="0" borderId="3" xfId="0" applyNumberFormat="1" applyBorder="1"/>
    <xf numFmtId="22" fontId="51" fillId="0" borderId="0" xfId="0" applyNumberFormat="1" applyFont="1" applyProtection="1">
      <protection locked="0"/>
    </xf>
    <xf numFmtId="0" fontId="15" fillId="0" borderId="0" xfId="0" applyFont="1" applyAlignment="1" applyProtection="1">
      <alignment horizontal="center" vertical="center" wrapText="1"/>
      <protection locked="0"/>
    </xf>
    <xf numFmtId="0" fontId="15" fillId="0" borderId="0" xfId="0" applyFont="1" applyAlignment="1" applyProtection="1">
      <alignment vertical="top" wrapText="1"/>
      <protection locked="0"/>
    </xf>
    <xf numFmtId="0" fontId="15" fillId="0" borderId="0" xfId="0" applyFont="1" applyAlignment="1" applyProtection="1">
      <alignment horizontal="center" vertical="top" wrapText="1"/>
      <protection locked="0"/>
    </xf>
    <xf numFmtId="0" fontId="15" fillId="0" borderId="0" xfId="0" applyFont="1" applyAlignment="1" applyProtection="1">
      <alignment horizontal="center" vertical="center"/>
      <protection locked="0"/>
    </xf>
    <xf numFmtId="0" fontId="15" fillId="0" borderId="0" xfId="0" applyFont="1" applyAlignment="1" applyProtection="1">
      <alignment horizontal="center" vertical="top"/>
      <protection locked="0"/>
    </xf>
    <xf numFmtId="0" fontId="30" fillId="29" borderId="4" xfId="0" applyFont="1" applyFill="1" applyBorder="1" applyAlignment="1">
      <alignment horizontal="center" vertical="top" wrapText="1"/>
    </xf>
    <xf numFmtId="0" fontId="29" fillId="29" borderId="4" xfId="0" applyFont="1" applyFill="1" applyBorder="1" applyAlignment="1">
      <alignment horizontal="center"/>
    </xf>
    <xf numFmtId="0" fontId="29" fillId="29" borderId="3" xfId="0" applyFont="1" applyFill="1" applyBorder="1" applyAlignment="1">
      <alignment horizontal="center"/>
    </xf>
    <xf numFmtId="0" fontId="10" fillId="12" borderId="26" xfId="0" applyFont="1" applyFill="1" applyBorder="1" applyAlignment="1">
      <alignment wrapText="1"/>
    </xf>
    <xf numFmtId="0" fontId="10" fillId="12" borderId="27" xfId="0" applyFont="1" applyFill="1" applyBorder="1" applyAlignment="1">
      <alignment wrapText="1"/>
    </xf>
    <xf numFmtId="0" fontId="9" fillId="11" borderId="22" xfId="0" applyFont="1" applyFill="1" applyBorder="1" applyAlignment="1">
      <alignment horizontal="center" vertical="center" wrapText="1"/>
    </xf>
    <xf numFmtId="0" fontId="9" fillId="11" borderId="23" xfId="0" applyFont="1" applyFill="1" applyBorder="1" applyAlignment="1">
      <alignment horizontal="center" vertical="center" wrapText="1"/>
    </xf>
    <xf numFmtId="0" fontId="9" fillId="11" borderId="24" xfId="0" applyFont="1" applyFill="1" applyBorder="1" applyAlignment="1">
      <alignment horizontal="center" vertical="center" wrapText="1"/>
    </xf>
    <xf numFmtId="0" fontId="9" fillId="11" borderId="25" xfId="0" applyFont="1" applyFill="1" applyBorder="1" applyAlignment="1">
      <alignment horizontal="center" vertical="center" wrapText="1"/>
    </xf>
    <xf numFmtId="0" fontId="10" fillId="13" borderId="26" xfId="0" applyFont="1" applyFill="1" applyBorder="1" applyAlignment="1">
      <alignment wrapText="1"/>
    </xf>
    <xf numFmtId="0" fontId="10" fillId="13" borderId="27" xfId="0" applyFont="1" applyFill="1" applyBorder="1" applyAlignment="1">
      <alignment wrapText="1"/>
    </xf>
    <xf numFmtId="0" fontId="10" fillId="14" borderId="26" xfId="0" applyFont="1" applyFill="1" applyBorder="1" applyAlignment="1">
      <alignment wrapText="1"/>
    </xf>
    <xf numFmtId="0" fontId="10" fillId="14" borderId="27" xfId="0" applyFont="1" applyFill="1" applyBorder="1" applyAlignment="1">
      <alignment wrapText="1"/>
    </xf>
    <xf numFmtId="0" fontId="2" fillId="2" borderId="1" xfId="0" applyFont="1" applyFill="1" applyBorder="1" applyAlignment="1">
      <alignment horizontal="center"/>
    </xf>
    <xf numFmtId="0" fontId="2" fillId="6" borderId="1" xfId="0" applyFont="1" applyFill="1" applyBorder="1" applyAlignment="1">
      <alignment horizontal="center" vertical="center"/>
    </xf>
    <xf numFmtId="0" fontId="22" fillId="0" borderId="33" xfId="0" applyFont="1" applyBorder="1" applyAlignment="1">
      <alignment horizontal="center"/>
    </xf>
    <xf numFmtId="0" fontId="5" fillId="20" borderId="31" xfId="0" applyFont="1" applyFill="1" applyBorder="1" applyAlignment="1">
      <alignment horizontal="center"/>
    </xf>
    <xf numFmtId="0" fontId="21" fillId="0" borderId="31" xfId="0" applyFont="1" applyBorder="1" applyAlignment="1">
      <alignment horizontal="center"/>
    </xf>
    <xf numFmtId="0" fontId="5" fillId="21" borderId="31" xfId="0" applyFont="1" applyFill="1" applyBorder="1" applyAlignment="1">
      <alignment horizontal="center"/>
    </xf>
    <xf numFmtId="0" fontId="22" fillId="19" borderId="32" xfId="0" applyFont="1" applyFill="1" applyBorder="1" applyAlignment="1">
      <alignment horizontal="center"/>
    </xf>
    <xf numFmtId="0" fontId="5" fillId="22" borderId="1" xfId="0" applyFont="1" applyFill="1" applyBorder="1" applyAlignment="1">
      <alignment horizontal="center"/>
    </xf>
    <xf numFmtId="0" fontId="21" fillId="0" borderId="1" xfId="0" applyFont="1" applyBorder="1" applyAlignment="1">
      <alignment horizontal="center"/>
    </xf>
    <xf numFmtId="0" fontId="5" fillId="22" borderId="31" xfId="0" applyFont="1" applyFill="1" applyBorder="1" applyAlignment="1">
      <alignment horizontal="center"/>
    </xf>
    <xf numFmtId="0" fontId="25" fillId="25" borderId="0" xfId="0" applyFont="1" applyFill="1" applyAlignment="1">
      <alignment horizontal="center" vertical="center"/>
    </xf>
    <xf numFmtId="0" fontId="5" fillId="26" borderId="0" xfId="0" applyFont="1" applyFill="1" applyAlignment="1">
      <alignment horizontal="center" vertical="center"/>
    </xf>
    <xf numFmtId="0" fontId="5" fillId="22" borderId="1" xfId="0" applyFont="1" applyFill="1" applyBorder="1" applyAlignment="1">
      <alignment horizontal="center" vertical="center"/>
    </xf>
    <xf numFmtId="0" fontId="5" fillId="20" borderId="1" xfId="0" applyFont="1" applyFill="1" applyBorder="1" applyAlignment="1">
      <alignment horizontal="center" vertical="center"/>
    </xf>
    <xf numFmtId="0" fontId="26" fillId="16" borderId="0" xfId="0" applyFont="1" applyFill="1" applyAlignment="1">
      <alignment horizontal="center" vertical="center"/>
    </xf>
    <xf numFmtId="0" fontId="5" fillId="21" borderId="1" xfId="0" applyFont="1" applyFill="1" applyBorder="1" applyAlignment="1">
      <alignment horizontal="center" vertical="center"/>
    </xf>
  </cellXfs>
  <cellStyles count="2">
    <cellStyle name="Hyperlink" xfId="1" builtinId="8"/>
    <cellStyle name="Normal" xfId="0" builtinId="0"/>
  </cellStyles>
  <dxfs count="6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border diagonalUp="0" diagonalDown="0">
        <left/>
        <right style="thin">
          <color theme="5"/>
        </right>
        <top style="thin">
          <color theme="5"/>
        </top>
        <bottom/>
        <vertical/>
        <horizontal/>
      </border>
    </dxf>
    <dxf>
      <numFmt numFmtId="0" formatCode="General"/>
      <border diagonalUp="0" diagonalDown="0">
        <left/>
        <right/>
        <top style="thin">
          <color theme="5"/>
        </top>
        <bottom/>
        <vertical/>
        <horizontal/>
      </border>
    </dxf>
    <dxf>
      <numFmt numFmtId="0" formatCode="General"/>
      <border diagonalUp="0" diagonalDown="0">
        <left/>
        <right/>
        <top style="thin">
          <color theme="5"/>
        </top>
        <bottom/>
        <vertical/>
        <horizontal/>
      </border>
    </dxf>
    <dxf>
      <numFmt numFmtId="25" formatCode="hh:mm"/>
    </dxf>
    <dxf>
      <numFmt numFmtId="25" formatCode="hh:mm"/>
      <border diagonalUp="0" diagonalDown="0">
        <left/>
        <right/>
        <top style="thin">
          <color theme="1"/>
        </top>
        <bottom/>
        <vertical/>
        <horizontal/>
      </border>
    </dxf>
    <dxf>
      <font>
        <b val="0"/>
        <i val="0"/>
        <strike val="0"/>
        <condense val="0"/>
        <extend val="0"/>
        <outline val="0"/>
        <shadow val="0"/>
        <u val="none"/>
        <vertAlign val="baseline"/>
        <sz val="11"/>
        <color rgb="FF000000"/>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0" formatCode="General"/>
      <fill>
        <patternFill patternType="solid">
          <fgColor rgb="FFD9E1F2"/>
          <bgColor rgb="FFD9E1F2"/>
        </patternFill>
      </fill>
      <border diagonalUp="0" diagonalDown="0">
        <left/>
        <right/>
        <top style="thin">
          <color rgb="FF8EA9DB"/>
        </top>
        <bottom/>
      </border>
    </dxf>
    <dxf>
      <font>
        <b val="0"/>
        <i val="0"/>
        <strike val="0"/>
        <condense val="0"/>
        <extend val="0"/>
        <outline val="0"/>
        <shadow val="0"/>
        <u val="none"/>
        <vertAlign val="baseline"/>
        <sz val="11"/>
        <color rgb="FF000000"/>
        <name val="Calibri"/>
        <family val="2"/>
        <scheme val="minor"/>
      </font>
      <fill>
        <patternFill patternType="solid">
          <fgColor rgb="FFD9E1F2"/>
          <bgColor rgb="FFD9E1F2"/>
        </patternFill>
      </fill>
      <border diagonalUp="0" diagonalDown="0" outline="0">
        <left/>
        <right/>
        <top style="thin">
          <color rgb="FF8EA9DB"/>
        </top>
        <bottom/>
      </border>
    </dxf>
    <dxf>
      <border outline="0">
        <bottom style="thin">
          <color rgb="FF8EA9DB"/>
        </bottom>
      </border>
    </dxf>
    <dxf>
      <font>
        <b/>
        <i val="0"/>
        <strike val="0"/>
        <condense val="0"/>
        <extend val="0"/>
        <outline val="0"/>
        <shadow val="0"/>
        <u val="none"/>
        <vertAlign val="baseline"/>
        <sz val="11"/>
        <color rgb="FFFFFFFF"/>
        <name val="Calibri"/>
        <family val="2"/>
        <scheme val="minor"/>
      </font>
      <fill>
        <patternFill patternType="solid">
          <fgColor rgb="FF4472C4"/>
          <bgColor rgb="FF4472C4"/>
        </patternFill>
      </fill>
    </dxf>
    <dxf>
      <font>
        <b val="0"/>
        <i val="0"/>
        <strike val="0"/>
        <condense val="0"/>
        <extend val="0"/>
        <outline val="0"/>
        <shadow val="0"/>
        <u val="none"/>
        <vertAlign val="baseline"/>
        <sz val="11"/>
        <color rgb="FF000000"/>
        <name val="Calibri"/>
        <scheme val="none"/>
      </font>
      <fill>
        <patternFill patternType="solid">
          <fgColor rgb="FFD9E1F2"/>
          <bgColor rgb="FFD9E1F2"/>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Calibri"/>
        <scheme val="none"/>
      </font>
      <fill>
        <patternFill patternType="solid">
          <fgColor rgb="FFD9E1F2"/>
          <bgColor rgb="FFD9E1F2"/>
        </patternFill>
      </fill>
      <alignment wrapText="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wrapText="0"/>
    </dxf>
    <dxf>
      <font>
        <b/>
        <i val="0"/>
        <strike val="0"/>
        <condense val="0"/>
        <extend val="0"/>
        <outline val="0"/>
        <shadow val="0"/>
        <u val="none"/>
        <vertAlign val="baseline"/>
        <sz val="11"/>
        <color rgb="FFFFFFFF"/>
        <name val="Calibri"/>
        <scheme val="none"/>
      </font>
      <fill>
        <patternFill patternType="solid">
          <fgColor rgb="FF4472C4"/>
          <bgColor rgb="FF4472C4"/>
        </patternFill>
      </fill>
      <border diagonalUp="0" diagonalDown="0" outline="0">
        <left style="thin">
          <color rgb="FF000000"/>
        </left>
        <right style="thin">
          <color rgb="FF000000"/>
        </right>
        <top/>
        <bottom/>
      </border>
    </dxf>
    <dxf>
      <font>
        <b val="0"/>
        <i val="0"/>
        <strike val="0"/>
        <condense val="0"/>
        <extend val="0"/>
        <outline val="0"/>
        <shadow val="0"/>
        <u val="none"/>
        <vertAlign val="baseline"/>
        <sz val="11"/>
        <color rgb="FF000000"/>
        <name val="Calibri"/>
        <scheme val="none"/>
      </font>
      <fill>
        <patternFill patternType="solid">
          <fgColor rgb="FFFFF2CC"/>
          <bgColor rgb="FFFFF2CC"/>
        </patternFill>
      </fill>
      <alignment horizontal="general" vertical="bottom"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fill>
        <patternFill patternType="solid">
          <fgColor rgb="FFFFF2CC"/>
          <bgColor rgb="FFFFF2CC"/>
        </patternFill>
      </fill>
      <alignment wrapText="0"/>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wrapText="0"/>
    </dxf>
    <dxf>
      <font>
        <b/>
        <i val="0"/>
        <strike val="0"/>
        <condense val="0"/>
        <extend val="0"/>
        <outline val="0"/>
        <shadow val="0"/>
        <u val="none"/>
        <vertAlign val="baseline"/>
        <sz val="11"/>
        <color rgb="FFFFFFFF"/>
        <name val="Calibri"/>
        <scheme val="none"/>
      </font>
      <fill>
        <patternFill patternType="solid">
          <fgColor rgb="FFFFC000"/>
          <bgColor rgb="FFFFC000"/>
        </patternFill>
      </fill>
      <border diagonalUp="0" diagonalDown="0" outline="0">
        <left style="thin">
          <color rgb="FF000000"/>
        </left>
        <right style="thin">
          <color rgb="FF000000"/>
        </right>
        <top/>
        <bottom/>
      </border>
    </dxf>
  </dxfs>
  <tableStyles count="0" defaultTableStyle="TableStyleMedium2" defaultPivotStyle="PivotStyleMedium9"/>
  <colors>
    <mruColors>
      <color rgb="FFF2F2F2"/>
      <color rgb="FF448DC4"/>
      <color rgb="FFDDEBF7"/>
      <color rgb="FF0033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Backlogs By Domain</a:t>
            </a:r>
          </a:p>
        </c:rich>
      </c:tx>
      <c:layout>
        <c:manualLayout>
          <c:xMode val="edge"/>
          <c:yMode val="edge"/>
          <c:x val="0.34869240123491652"/>
          <c:y val="2.822001339648230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Dashboard!$AV$9</c:f>
              <c:strCache>
                <c:ptCount val="1"/>
                <c:pt idx="0">
                  <c:v>Backlog</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Dashboard!$AU$10:$AU$24</c:f>
              <c:strCache>
                <c:ptCount val="15"/>
                <c:pt idx="0">
                  <c:v>SIP</c:v>
                </c:pt>
                <c:pt idx="1">
                  <c:v>SharePoint</c:v>
                </c:pt>
                <c:pt idx="2">
                  <c:v>Apex</c:v>
                </c:pt>
                <c:pt idx="3">
                  <c:v>TechTools</c:v>
                </c:pt>
                <c:pt idx="4">
                  <c:v>BA AO</c:v>
                </c:pt>
                <c:pt idx="5">
                  <c:v>Mobile</c:v>
                </c:pt>
                <c:pt idx="6">
                  <c:v>LIP</c:v>
                </c:pt>
                <c:pt idx="7">
                  <c:v>QIP</c:v>
                </c:pt>
                <c:pt idx="8">
                  <c:v>BA MRO</c:v>
                </c:pt>
                <c:pt idx="9">
                  <c:v>Pathway</c:v>
                </c:pt>
                <c:pt idx="10">
                  <c:v>IB Mobile</c:v>
                </c:pt>
                <c:pt idx="11">
                  <c:v>IB Commercial</c:v>
                </c:pt>
                <c:pt idx="12">
                  <c:v>IB-MRO</c:v>
                </c:pt>
                <c:pt idx="13">
                  <c:v>EI AO</c:v>
                </c:pt>
                <c:pt idx="14">
                  <c:v>EI SharePoint</c:v>
                </c:pt>
              </c:strCache>
            </c:strRef>
          </c:cat>
          <c:val>
            <c:numRef>
              <c:f>Dashboard!$AV$10:$AV$24</c:f>
              <c:numCache>
                <c:formatCode>General</c:formatCode>
                <c:ptCount val="15"/>
                <c:pt idx="0">
                  <c:v>450</c:v>
                </c:pt>
                <c:pt idx="1">
                  <c:v>4</c:v>
                </c:pt>
                <c:pt idx="2">
                  <c:v>4</c:v>
                </c:pt>
                <c:pt idx="3">
                  <c:v>0</c:v>
                </c:pt>
                <c:pt idx="4">
                  <c:v>190</c:v>
                </c:pt>
                <c:pt idx="5">
                  <c:v>67</c:v>
                </c:pt>
                <c:pt idx="6">
                  <c:v>4</c:v>
                </c:pt>
                <c:pt idx="7">
                  <c:v>9</c:v>
                </c:pt>
                <c:pt idx="8">
                  <c:v>0</c:v>
                </c:pt>
                <c:pt idx="9">
                  <c:v>53</c:v>
                </c:pt>
                <c:pt idx="10">
                  <c:v>0</c:v>
                </c:pt>
                <c:pt idx="11">
                  <c:v>0</c:v>
                </c:pt>
                <c:pt idx="12">
                  <c:v>1</c:v>
                </c:pt>
                <c:pt idx="13">
                  <c:v>0</c:v>
                </c:pt>
                <c:pt idx="14">
                  <c:v>0</c:v>
                </c:pt>
              </c:numCache>
            </c:numRef>
          </c:val>
          <c:extLst>
            <c:ext xmlns:c16="http://schemas.microsoft.com/office/drawing/2014/chart" uri="{C3380CC4-5D6E-409C-BE32-E72D297353CC}">
              <c16:uniqueId val="{00000000-51A2-4800-BC02-B67B8C8034AA}"/>
            </c:ext>
          </c:extLst>
        </c:ser>
        <c:dLbls>
          <c:showLegendKey val="0"/>
          <c:showVal val="1"/>
          <c:showCatName val="0"/>
          <c:showSerName val="0"/>
          <c:showPercent val="0"/>
          <c:showBubbleSize val="0"/>
        </c:dLbls>
        <c:gapWidth val="65"/>
        <c:shape val="box"/>
        <c:axId val="64180159"/>
        <c:axId val="64172479"/>
        <c:axId val="0"/>
      </c:bar3DChart>
      <c:catAx>
        <c:axId val="6418015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4172479"/>
        <c:crosses val="autoZero"/>
        <c:auto val="1"/>
        <c:lblAlgn val="ctr"/>
        <c:lblOffset val="100"/>
        <c:noMultiLvlLbl val="0"/>
      </c:catAx>
      <c:valAx>
        <c:axId val="64172479"/>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4180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282758</xdr:colOff>
      <xdr:row>11</xdr:row>
      <xdr:rowOff>181056</xdr:rowOff>
    </xdr:from>
    <xdr:to>
      <xdr:col>17</xdr:col>
      <xdr:colOff>97391</xdr:colOff>
      <xdr:row>32</xdr:row>
      <xdr:rowOff>148938</xdr:rowOff>
    </xdr:to>
    <xdr:graphicFrame macro="">
      <xdr:nvGraphicFramePr>
        <xdr:cNvPr id="6" name="Chart 1">
          <a:extLst>
            <a:ext uri="{FF2B5EF4-FFF2-40B4-BE49-F238E27FC236}">
              <a16:creationId xmlns:a16="http://schemas.microsoft.com/office/drawing/2014/main" id="{2EE6A0EB-C014-E0FB-E103-A3EB7A904E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Ashwin V K" id="{297D3D36-355F-4A32-9B1D-02B0C8C7698A}" userId="ashwin.v.k@ba.com" providerId="PeoplePicker"/>
  <person displayName="John Pemr" id="{C7A2D12F-32A4-436A-A3FA-0988EEBC7B15}" userId="S::john.pemr@ba.com::f204b2dc-3706-4002-a637-f17cdd7d6856"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2C488D-D3E1-4E74-8FB6-FAD5CDECABA5}" name="IncidentCausalDescription" displayName="IncidentCausalDescription" ref="A2:B27" totalsRowShown="0" headerRowDxfId="67" dataDxfId="66" headerRowBorderDxfId="64" tableBorderDxfId="65" totalsRowBorderDxfId="63">
  <autoFilter ref="A2:B27" xr:uid="{432C488D-D3E1-4E74-8FB6-FAD5CDECABA5}"/>
  <tableColumns count="2">
    <tableColumn id="1" xr3:uid="{3B47B34A-6C58-4BB7-8D8C-186E9ABCF59B}" name="Incident Causal" dataDxfId="62"/>
    <tableColumn id="2" xr3:uid="{D892FD8F-915E-4CA7-BE66-D752ED4D5724}" name="Description" dataDxfId="61"/>
  </tableColumns>
  <tableStyleInfo name="TableStyleMedium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217099D-9B29-421C-AF5F-F10EDE7681DA}" name="RFSCausalDescription" displayName="RFSCausalDescription" ref="D2:E14" totalsRowShown="0" headerRowDxfId="60" dataDxfId="59" headerRowBorderDxfId="57" tableBorderDxfId="58" totalsRowBorderDxfId="56">
  <autoFilter ref="D2:E14" xr:uid="{E217099D-9B29-421C-AF5F-F10EDE7681DA}"/>
  <tableColumns count="2">
    <tableColumn id="1" xr3:uid="{F7B5C7C8-1D74-442B-A732-3EB80A0AD351}" name="RFS Category" dataDxfId="55"/>
    <tableColumn id="2" xr3:uid="{B0C6A5B4-C8BC-4F7D-9A5E-EA8C7655CD0B}" name="Description" dataDxfId="5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7659F0C-D095-4D89-B40F-B3E6482382DE}" name="MonthDt" displayName="MonthDt" ref="G9:H10" totalsRowShown="0" headerRowDxfId="53" headerRowBorderDxfId="52">
  <autoFilter ref="G9:H10" xr:uid="{A7659F0C-D095-4D89-B40F-B3E6482382DE}"/>
  <tableColumns count="2">
    <tableColumn id="1" xr3:uid="{1845B119-E307-410C-ABE3-4E60FA63AF9B}" name="Month Name" dataDxfId="51">
      <calculatedColumnFormula>TEXT(DATE(YEAR(NOW()),MONTH(NOW()),1)-1,"mmmm")</calculatedColumnFormula>
    </tableColumn>
    <tableColumn id="2" xr3:uid="{5CA65068-5B81-406A-927E-C5A29F25726D}" name="Number of Hours" dataDxfId="5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DF937C4-A8C3-44FD-A7D9-F7AA9B65CD71}" name="ResponseSLA" displayName="ResponseSLA" ref="A28:C36" totalsRowShown="0">
  <autoFilter ref="A28:C36" xr:uid="{4DF937C4-A8C3-44FD-A7D9-F7AA9B65CD71}"/>
  <tableColumns count="3">
    <tableColumn id="1" xr3:uid="{1F4FB043-34C3-4306-BF07-57A9C101153E}" name="Type" dataDxfId="49"/>
    <tableColumn id="2" xr3:uid="{54F24EEC-0D51-45BB-AD8A-6A14FB639FC4}" name="Priority" dataDxfId="48"/>
    <tableColumn id="3" xr3:uid="{3823E21F-01C9-471D-9CB1-4CA9F89482A5}" name="Response SLA" dataDxfId="4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B349A48-C3E0-4283-AD29-5BAAB91313AA}" name="SLATable" displayName="SLATable" ref="A42:D50" totalsRowShown="0" headerRowDxfId="46">
  <autoFilter ref="A42:D50" xr:uid="{4B349A48-C3E0-4283-AD29-5BAAB91313AA}"/>
  <tableColumns count="4">
    <tableColumn id="1" xr3:uid="{9D3EEC7A-DD56-478D-BD86-D216E94CF167}" name="Priority"/>
    <tableColumn id="2" xr3:uid="{82E7DE9C-4F38-496D-BEE9-69AFDEAC7166}" name="Minimum SLA" dataDxfId="45"/>
    <tableColumn id="3" xr3:uid="{D4D997A5-D10D-4A6C-93CD-8139396AD451}" name="Medium SLA" dataDxfId="44"/>
    <tableColumn id="4" xr3:uid="{3E656DBE-4618-47B8-B072-8FC41A567095}" name="Maximum SLA" dataDxfId="4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M166" dT="2026-06-01T09:52:15.50" personId="{C7A2D12F-32A4-436A-A3FA-0988EEBC7B15}" id="{32D3A0AB-0633-440F-9015-18224232E1E1}">
    <text>Hi Ashwin, Kindly check and correct the highlighted part. We can see that you are entering incorrect data.</text>
  </threadedComment>
  <threadedComment ref="M166" dT="2026-06-01T09:52:27.08" personId="{C7A2D12F-32A4-436A-A3FA-0988EEBC7B15}" id="{28820A9F-D47F-4C25-BD68-972E8C9E3FD9}" parentId="{32D3A0AB-0633-440F-9015-18224232E1E1}">
    <text>@Ashwin V K</text>
    <mentions>
      <mention mentionpersonId="{297D3D36-355F-4A32-9B1D-02B0C8C7698A}" mentionId="{FDD93A5E-4225-4BB2-BD3B-43CEACDF66F5}" startIndex="0" length="11"/>
    </mentions>
  </threadedComment>
</ThreadedComment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3" Type="http://schemas.openxmlformats.org/officeDocument/2006/relationships/hyperlink" Target="https://iagprod.service-now.com/incident.do?sys_id=58e3902a3b9983902b80f9bf55e45a65&amp;sysparm_record_target=incident&amp;sysparm_record_row=2&amp;sysparm_record_rows=3&amp;sysparm_record_list=active%3D+true%5Eassignment_group%3Djavascript%3AgetMyGroups%28%29%5Eassigned_to%3D80e8a2c51bbb9d986bd8b886d34bcb3b%5Estate%3D3%5EORDERBYDESCsys_created_on" TargetMode="External"/><Relationship Id="rId2" Type="http://schemas.openxmlformats.org/officeDocument/2006/relationships/hyperlink" Target="https://iagprod.service-now.com/incident.do?sys_id=540a92f1837043101a676940ceaad3fa&amp;sysparm_record_target=incident&amp;sysparm_record_row=3&amp;sysparm_record_rows=3&amp;sysparm_record_list=active%3D+true%5Eassignment_group%3Djavascript%3AgetMyGroups%28%29%5Eassigned_to%3D80e8a2c51bbb9d986bd8b886d34bcb3b%5Estate%3D3%5EORDERBYDESCsys_created_on" TargetMode="External"/><Relationship Id="rId1" Type="http://schemas.openxmlformats.org/officeDocument/2006/relationships/hyperlink" Target="https://iagprod.service-now.com/incident.do?sys_id=8a4ece0847454f50e491bd7f916d43be&amp;sysparm_record_target=incident&amp;sysparm_record_row=3&amp;sysparm_record_rows=971&amp;sysparm_record_list=assigned_to%3D3034c8151bb85d1008cd9828b04bcb89%5EORDERBYDESCresolved_at" TargetMode="External"/><Relationship Id="rId6" Type="http://schemas.openxmlformats.org/officeDocument/2006/relationships/printerSettings" Target="../printerSettings/printerSettings2.bin"/><Relationship Id="rId5" Type="http://schemas.openxmlformats.org/officeDocument/2006/relationships/hyperlink" Target="javascript:void(0)" TargetMode="External"/><Relationship Id="rId4" Type="http://schemas.openxmlformats.org/officeDocument/2006/relationships/hyperlink" Target="https://iagprod.service-now.com/incident.do?sys_id=540a92f1837043101a676940ceaad3fa&amp;sysparm_record_target=incident&amp;sysparm_record_row=3&amp;sysparm_record_rows=3&amp;sysparm_record_list=active%3D+true%5Eassignment_group%3Djavascript%3AgetMyGroups%28%29%5Eassigned_to%3D80e8a2c51bbb9d986bd8b886d34bcb3b%5Estate%3D3%5EORDERBYDESCsys_created_on"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iagprod.service-now.com/incident.do?sys_id=c6ed2ca78364035001dd1e60ceaad355&amp;sysparm_record_target=incident&amp;sysparm_record_row=2&amp;sysparm_record_rows=13&amp;sysparm_record_list=active%3D+true%5Eassigned_to%3Djavascript%3Ags.getUserID%28%29%5EORDERBYstate" TargetMode="External"/><Relationship Id="rId7" Type="http://schemas.openxmlformats.org/officeDocument/2006/relationships/printerSettings" Target="../printerSettings/printerSettings3.bin"/><Relationship Id="rId2" Type="http://schemas.openxmlformats.org/officeDocument/2006/relationships/hyperlink" Target="https://iagprod.service-now.com/incident.do?sys_id=24eedca383640710f5f2ee20ceaad305&amp;sysparm_record_target=incident&amp;sysparm_record_row=6&amp;sysparm_record_rows=13&amp;sysparm_record_list=active%3D+true%5Eassigned_to%3Djavascript%3Ags.getUserID%28%29%5EORDERBYstate" TargetMode="External"/><Relationship Id="rId1" Type="http://schemas.openxmlformats.org/officeDocument/2006/relationships/hyperlink" Target="https://iagprod.service-now.com/incident.do?sys_id=24c4d82783a84b501a676940ceaad322&amp;sysparm_record_target=incident&amp;sysparm_record_row=8&amp;sysparm_record_rows=13&amp;sysparm_record_list=active%3D+true%5Eassigned_to%3Djavascript%3Ags.getUserID%28%29%5EORDERBYstate" TargetMode="External"/><Relationship Id="rId6" Type="http://schemas.openxmlformats.org/officeDocument/2006/relationships/hyperlink" Target="https://iagprod.service-now.com/sc_task.do?sys_id=ce27552b33604f508410f3919e5c7bff&amp;sysparm_record_target=sc_task&amp;sysparm_record_row=3&amp;sysparm_record_rows=4&amp;sysparm_record_list=active%3D+true%5Eassigned_to%3Djavascript%3Ags.getUserID%28%29%5EstateIN1%2C2%2C11%2C12%2C13%2C6%5EORDERBYstate" TargetMode="External"/><Relationship Id="rId5" Type="http://schemas.openxmlformats.org/officeDocument/2006/relationships/hyperlink" Target="https://iagprod.service-now.com/sc_task.do?sys_id=9cd8dd1533a807108410f3919e5c7b2c&amp;sysparm_record_target=sc_task&amp;sysparm_record_row=4&amp;sysparm_record_rows=4&amp;sysparm_record_list=active%3D+true%5Eassigned_to%3Djavascript%3Ags.getUserID%28%29%5EstateIN1%2C2%2C11%2C12%2C13%2C6%5EORDERBYstate" TargetMode="External"/><Relationship Id="rId4" Type="http://schemas.openxmlformats.org/officeDocument/2006/relationships/hyperlink" Target="https://iagprod.service-now.com/incident.do?sys_id=41c4728c33b48f908410f3919e5c7b67&amp;sysparm_record_target=incident&amp;sysparm_record_row=2&amp;sysparm_record_rows=13&amp;sysparm_record_list=active%3D+true%5Eassigned_to%3Djavascript%3Ags.getUserID%28%29%5EORDERBYstate"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209B2-7DEB-49F1-AFAE-E1A36AA0E8AD}">
  <sheetPr codeName="Sheet2"/>
  <dimension ref="A1:X42"/>
  <sheetViews>
    <sheetView zoomScale="80" zoomScaleNormal="80" workbookViewId="0">
      <pane ySplit="3" topLeftCell="A4" activePane="bottomLeft" state="frozen"/>
      <selection pane="bottomLeft" activeCell="N16" sqref="N16"/>
    </sheetView>
  </sheetViews>
  <sheetFormatPr defaultColWidth="45.140625" defaultRowHeight="15" customHeight="1"/>
  <cols>
    <col min="1" max="1" width="23.28515625" style="46" customWidth="1"/>
    <col min="2" max="2" width="11.42578125" style="45" bestFit="1" customWidth="1"/>
    <col min="3" max="3" width="12.28515625" style="46" customWidth="1"/>
    <col min="4" max="4" width="11.42578125" style="46" customWidth="1"/>
    <col min="5" max="5" width="11.42578125" style="45" customWidth="1"/>
    <col min="6" max="6" width="11.140625" style="45" customWidth="1"/>
    <col min="7" max="7" width="12.28515625" style="45" customWidth="1"/>
    <col min="8" max="8" width="11.85546875" style="45" customWidth="1"/>
    <col min="9" max="9" width="11.42578125" style="45" customWidth="1"/>
    <col min="10" max="10" width="9.42578125" style="45" customWidth="1"/>
    <col min="11" max="11" width="14.85546875" style="45" customWidth="1"/>
    <col min="12" max="12" width="13" style="45" customWidth="1"/>
    <col min="13" max="13" width="13.140625" style="45" customWidth="1"/>
    <col min="14" max="14" width="11.42578125" style="45" customWidth="1"/>
    <col min="15" max="15" width="11.140625" style="45" customWidth="1"/>
    <col min="16" max="16" width="10.140625" style="45" customWidth="1"/>
    <col min="17" max="18" width="12.140625" style="45" customWidth="1"/>
    <col min="19" max="19" width="14.42578125" style="45" customWidth="1"/>
    <col min="20" max="20" width="16.28515625" style="77" customWidth="1"/>
    <col min="21" max="21" width="20.42578125" style="45" customWidth="1"/>
    <col min="22" max="22" width="18.140625" style="45" customWidth="1"/>
    <col min="23" max="23" width="18.42578125" style="45" customWidth="1"/>
    <col min="24" max="24" width="21.140625" style="45" customWidth="1"/>
    <col min="25" max="16384" width="45.140625" style="45"/>
  </cols>
  <sheetData>
    <row r="1" spans="1:24" customFormat="1" ht="15" customHeight="1">
      <c r="A1" s="156" t="s">
        <v>0</v>
      </c>
      <c r="B1" s="137">
        <v>46235</v>
      </c>
      <c r="C1" s="138">
        <v>46265</v>
      </c>
      <c r="D1" s="31"/>
      <c r="G1" s="24"/>
      <c r="T1" s="149"/>
    </row>
    <row r="2" spans="1:24" customFormat="1" ht="15" customHeight="1">
      <c r="A2" s="31"/>
      <c r="C2" s="31"/>
      <c r="D2" s="31"/>
      <c r="T2" s="149"/>
    </row>
    <row r="3" spans="1:24" customFormat="1" ht="15" customHeight="1">
      <c r="A3" s="155" t="s">
        <v>1</v>
      </c>
      <c r="B3" s="154" t="s">
        <v>2</v>
      </c>
      <c r="C3" s="154" t="s">
        <v>3</v>
      </c>
      <c r="D3" s="154" t="s">
        <v>4</v>
      </c>
      <c r="E3" s="154" t="s">
        <v>5</v>
      </c>
      <c r="F3" s="154" t="s">
        <v>6</v>
      </c>
      <c r="G3" s="154" t="s">
        <v>7</v>
      </c>
      <c r="H3" s="154" t="s">
        <v>8</v>
      </c>
      <c r="I3" s="154" t="s">
        <v>9</v>
      </c>
      <c r="J3" s="154" t="s">
        <v>10</v>
      </c>
      <c r="K3" s="154" t="s">
        <v>11</v>
      </c>
      <c r="L3" s="154" t="s">
        <v>12</v>
      </c>
      <c r="M3" s="154" t="s">
        <v>13</v>
      </c>
      <c r="N3" s="154" t="s">
        <v>14</v>
      </c>
      <c r="O3" s="154" t="s">
        <v>15</v>
      </c>
      <c r="P3" s="154" t="s">
        <v>16</v>
      </c>
      <c r="Q3" s="154" t="s">
        <v>17</v>
      </c>
      <c r="R3" s="154" t="s">
        <v>18</v>
      </c>
      <c r="S3" s="154" t="s">
        <v>19</v>
      </c>
      <c r="T3" s="154" t="s">
        <v>20</v>
      </c>
      <c r="U3" s="154" t="s">
        <v>21</v>
      </c>
      <c r="V3" s="154" t="s">
        <v>22</v>
      </c>
      <c r="W3" s="154" t="s">
        <v>23</v>
      </c>
      <c r="X3" s="154" t="s">
        <v>24</v>
      </c>
    </row>
    <row r="4" spans="1:24" s="421" customFormat="1" ht="15" customHeight="1">
      <c r="A4" s="416" t="s">
        <v>25</v>
      </c>
      <c r="B4" s="177" t="s">
        <v>26</v>
      </c>
      <c r="C4" s="417" t="s">
        <v>27</v>
      </c>
      <c r="D4" s="418">
        <f>COUNTIFS(
SIP!$D:$D,"Incident",
SIP!$G:$G,1,
SIP!$C:$C,"SIP",
SIP!$U:$U,"NO",
SIP!$L:$L,"&gt;="&amp;$B$1,
SIP!$L:$L,"&lt;"&amp;$C$1+1
)</f>
        <v>0</v>
      </c>
      <c r="E4" s="419">
        <f>SUM(
COUNTIFS(
SIP!$D:$D,"Incident",
SIP!$G:$G,1,
SIP!$C:$C,"SIP",
SIP!$I:$I,"Closed",
SIP!$U:$U,"NO",
SIP!$N:$N,"&gt;="&amp;$B$1,
SIP!$N:$N,"&lt;"&amp;$C$1+1
),
COUNTIFS(
SIP!$D:$D,"Incident",
SIP!$G:$G,1,
SIP!$C:$C,"SIP",
SIP!$I:$I,"Triaged",
SIP!$U:$U,"NO",
SIP!$N:$N,"&gt;="&amp;$B$1,
SIP!$N:$N,"&lt;"&amp;$C$1+1
)
)</f>
        <v>0</v>
      </c>
      <c r="F4" s="419">
        <f>COUNTIFS(
SIP!$C:$C,"SIP",
SIP!$D:$D,"Incident",
SIP!$G:$G,1,
SIP!$U:$U,"&lt;&gt;YES",
SIP!$K:$K,"&lt;"&amp;$B$1,
SIP!$N:$N,""
)
+
COUNTIFS(
SIP!$C:$C,"SIP",
SIP!$D:$D,"Incident",
SIP!$G:$G,1,
SIP!$U:$U,"&lt;&gt;YES",
SIP!$K:$K,"&lt;"&amp;$B$1,
SIP!$N:$N,"&gt;="&amp;$B$1
)
+
COUNTIFS(
SIP!$C:$C,"SIP",
SIP!$D:$D,"Incident",
SIP!$G:$G,1,
SIP!$U:$U,"&lt;&gt;YES",
SIP!$K:$K,"&gt;="&amp;$B$1,
SIP!$K:$K,"&lt;"&amp;$C$1+1
)
-
COUNTIFS(
SIP!$C:$C,"SIP",
SIP!$D:$D,"Incident",
SIP!$G:$G,1,
SIP!$U:$U,"&lt;&gt;YES",
SIP!$I:$I,"Closed",
SIP!$N:$N,"&gt;="&amp;$B$1,
SIP!$N:$N,"&lt;"&amp;$C$1+1
)
-
COUNTIFS(
SIP!$C:$C,"SIP",
SIP!$D:$D,"Incident",
SIP!$G:$G,1,
SIP!$U:$U,"&lt;&gt;YES",
SIP!$I:$I,"Triaged",
SIP!$N:$N,"&gt;="&amp;$B$1,
SIP!$N:$N,"&lt;"&amp;$C$1+1
)</f>
        <v>0</v>
      </c>
      <c r="G4" s="419">
        <f>COUNTIFS(
SIP!$D:$D,"Incident",
SIP!$G:$G,2,
SIP!$C:$C,"SIP",
SIP!$U:$U,"NO",
SIP!$L:$L,"&gt;="&amp;$B$1,
SIP!$L:$L,"&lt;"&amp;$C$1+1
)</f>
        <v>0</v>
      </c>
      <c r="H4" s="419">
        <f>SUM(
COUNTIFS(
SIP!$D:$D,"Incident",
SIP!$G:$G,2,
SIP!$C:$C,"SIP",
SIP!$I:$I,"Closed",
SIP!$U:$U,"NO",
SIP!$N:$N,"&gt;="&amp;$B$1,
SIP!$N:$N,"&lt;"&amp;$C$1+1
),
COUNTIFS(
SIP!$D:$D,"Incident",
SIP!$G:$G,2,
SIP!$C:$C,"SIP",
SIP!$I:$I,"Triaged",
SIP!$U:$U,"NO",
SIP!$N:$N,"&gt;="&amp;$B$1,
SIP!$N:$N,"&lt;"&amp;$C$1+1
)
)</f>
        <v>0</v>
      </c>
      <c r="I4" s="419">
        <f>COUNTIFS(
SIP!$C:$C,"SIP",
SIP!$D:$D,"Incident",
SIP!$G:$G,2,
SIP!$U:$U,"&lt;&gt;YES",
SIP!$K:$K,"&lt;"&amp;$B$1,
SIP!$N:$N,""
)
+
COUNTIFS(
SIP!$C:$C,"SIP",
SIP!$D:$D,"Incident",
SIP!$G:$G,2,
SIP!$U:$U,"&lt;&gt;YES",
SIP!$K:$K,"&lt;"&amp;$B$1,
SIP!$N:$N,"&gt;="&amp;$B$1
)
+
COUNTIFS(
SIP!$C:$C,"SIP",
SIP!$D:$D,"Incident",
SIP!$G:$G,2,
SIP!$U:$U,"&lt;&gt;YES",
SIP!$K:$K,"&gt;="&amp;$B$1,
SIP!$K:$K,"&lt;"&amp;$C$1+1
)
-
COUNTIFS(
SIP!$C:$C,"SIP",
SIP!$D:$D,"Incident",
SIP!$G:$G,2,
SIP!$U:$U,"&lt;&gt;YES",
SIP!$I:$I,"Closed",
SIP!$N:$N,"&gt;="&amp;$B$1,
SIP!$N:$N,"&lt;"&amp;$C$1+1
)
-
COUNTIFS(
SIP!$C:$C,"SIP",
SIP!$D:$D,"Incident",
SIP!$G:$G,2,
SIP!$U:$U,"&lt;&gt;YES",
SIP!$I:$I,"Triaged",
SIP!$N:$N,"&gt;="&amp;$B$1,
SIP!$N:$N,"&lt;"&amp;$C$1+1
)</f>
        <v>0</v>
      </c>
      <c r="J4" s="420">
        <f>COUNTIFS(
SIP!$D:$D,"Incident",
SIP!$G:$G,3,
SIP!$C:$C,"SIP",
SIP!$U:$U,"NO",
SIP!$L:$L,"&gt;="&amp;$B$1,
SIP!$L:$L,"&lt;"&amp;$C$1+1
)</f>
        <v>0</v>
      </c>
      <c r="K4" s="420">
        <f>SUM(
COUNTIFS(
SIP!$D:$D,"Incident",
SIP!$G:$G,3,
SIP!$C:$C,"SIP",
SIP!$I:$I,"Closed",
SIP!$U:$U,"NO",
SIP!$N:$N,"&gt;="&amp;$B$1,
SIP!$N:$N,"&lt;"&amp;$C$1+1
),
COUNTIFS(
SIP!$D:$D,"Incident",
SIP!$G:$G,3,
SIP!$C:$C,"SIP",
SIP!$I:$I,"Triaged",
SIP!$U:$U,"NO",
SIP!$N:$N,"&gt;="&amp;$B$1,
SIP!$N:$N,"&lt;"&amp;$C$1+1
)
)</f>
        <v>0</v>
      </c>
      <c r="L4" s="420">
        <f>COUNTIFS(
SIP!$C:$C,"SIP",
SIP!$D:$D,"Incident",
SIP!$G:$G,3,
SIP!$U:$U,"&lt;&gt;YES",
SIP!$K:$K,"&lt;"&amp;$B$1,
SIP!$N:$N,""
)
+
COUNTIFS(
SIP!$C:$C,"SIP",
SIP!$D:$D,"Incident",
SIP!$G:$G,3,
SIP!$U:$U,"&lt;&gt;YES",
SIP!$K:$K,"&lt;"&amp;$B$1,
SIP!$N:$N,"&gt;="&amp;$B$1
)
+
COUNTIFS(
SIP!$C:$C,"SIP",
SIP!$D:$D,"Incident",
SIP!$G:$G,3,
SIP!$U:$U,"&lt;&gt;YES",
SIP!$K:$K,"&gt;="&amp;$B$1,
SIP!$K:$K,"&lt;"&amp;$C$1+1
)
-
COUNTIFS(
SIP!$C:$C,"SIP",
SIP!$D:$D,"Incident",
SIP!$G:$G,3,
SIP!$U:$U,"&lt;&gt;YES",
SIP!$I:$I,"Closed",
SIP!$N:$N,"&gt;="&amp;$B$1,
SIP!$N:$N,"&lt;"&amp;$C$1+1
)
-
COUNTIFS(
SIP!$C:$C,"SIP",
SIP!$D:$D,"Incident",
SIP!$G:$G,3,
SIP!$U:$U,"&lt;&gt;YES",
SIP!$I:$I,"Triaged",
SIP!$N:$N,"&gt;="&amp;$B$1,
SIP!$N:$N,"&lt;"&amp;$C$1+1
)</f>
        <v>211</v>
      </c>
      <c r="M4" s="420">
        <f>COUNTIFS(
SIP!$D:$D,"Incident",
SIP!$G:$G,4,
SIP!$C:$C,"SIP",
SIP!$U:$U,"NO",
SIP!$L:$L,"&gt;="&amp;$B$1,
SIP!$L:$L,"&lt;"&amp;$C$1+1
)</f>
        <v>0</v>
      </c>
      <c r="N4" s="420">
        <f>SUM(
COUNTIFS(
SIP!$D:$D,"Incident",
SIP!$G:$G,4,
SIP!$C:$C,"SIP",
SIP!$I:$I,"Closed",
SIP!$U:$U,"NO",
SIP!$N:$N,"&gt;="&amp;$B$1,
SIP!$N:$N,"&lt;"&amp;$C$1+1
),
COUNTIFS(
SIP!$D:$D,"Incident",
SIP!$G:$G,4,
SIP!$C:$C,"SIP",
SIP!$I:$I,"Triaged",
SIP!$U:$U,"NO",
SIP!$N:$N,"&gt;="&amp;$B$1,
SIP!$N:$N,"&lt;"&amp;$C$1+1
)
)</f>
        <v>0</v>
      </c>
      <c r="O4" s="420">
        <f>COUNTIFS(
SIP!$C:$C,"SIP",
SIP!$D:$D,"Incident",
SIP!$G:$G,4,
SIP!$U:$U,"&lt;&gt;YES",
SIP!$K:$K,"&lt;"&amp;$B$1,
SIP!$N:$N,""
)
+
COUNTIFS(
SIP!$C:$C,"SIP",
SIP!$D:$D,"Incident",
SIP!$G:$G,4,
SIP!$U:$U,"&lt;&gt;YES",
SIP!$K:$K,"&lt;"&amp;$B$1,
SIP!$N:$N,"&gt;="&amp;$B$1
)
+
COUNTIFS(
SIP!$C:$C,"SIP",
SIP!$D:$D,"Incident",
SIP!$G:$G,4,
SIP!$U:$U,"&lt;&gt;YES",
SIP!$K:$K,"&gt;="&amp;$B$1,
SIP!$K:$K,"&lt;"&amp;$C$1+1
)
-
COUNTIFS(
SIP!$C:$C,"SIP",
SIP!$D:$D,"Incident",
SIP!$G:$G,4,
SIP!$U:$U,"&lt;&gt;YES",
SIP!$I:$I,"Closed",
SIP!$N:$N,"&gt;="&amp;$B$1,
SIP!$N:$N,"&lt;"&amp;$C$1+1
)
-
COUNTIFS(
SIP!$C:$C,"SIP",
SIP!$D:$D,"Incident",
SIP!$G:$G,4,
SIP!$U:$U,"&lt;&gt;YES",
SIP!$I:$I,"Triaged",
SIP!$N:$N,"&gt;="&amp;$B$1,
SIP!$N:$N,"&lt;"&amp;$C$1+1
)</f>
        <v>67</v>
      </c>
      <c r="P4" s="420">
        <f>COUNTIFS(
SIP!$D:$D,"RFS",
SIP!$C:$C,"SIP",
SIP!$U:$U,"NO",
SIP!$L:$L,"&gt;="&amp;$B$1,
SIP!$L:$L,"&lt;"&amp;$C$1+1
)</f>
        <v>0</v>
      </c>
      <c r="Q4" s="420">
        <f>SUM(
COUNTIFS(
SIP!$D:$D,"RFS",
SIP!$C:$C,"SIP",
SIP!$I:$I,"Closed",
SIP!$U:$U,"NO",
SIP!$N:$N,"&gt;="&amp;$B$1,
SIP!$N:$N,"&lt;"&amp;$C$1+1
),
COUNTIFS(
SIP!$D:$D,"RFS",
SIP!$C:$C,"SIP",
SIP!$I:$I,"Triaged",
SIP!$U:$U,"NO",
SIP!$N:$N,"&gt;="&amp;$B$1,
SIP!$N:$N,"&lt;"&amp;$C$1+1
)
)</f>
        <v>0</v>
      </c>
      <c r="R4" s="420">
        <f>COUNTIFS(
SIP!$D:$D,"RFS",
SIP!$C:$C,"SIP",
SIP!$U:$U,"&lt;&gt;YES",
SIP!$K:$K,"&lt;"&amp;$B$1,
SIP!$N:$N,""
)
+
COUNTIFS(
SIP!$D:$D,"RFS",
SIP!$C:$C,"SIP",
SIP!$U:$U,"&lt;&gt;YES",
SIP!$K:$K,"&lt;"&amp;$B$1,
SIP!$N:$N,"&gt;="&amp;$B$1
)
+
COUNTIFS(
SIP!$D:$D,"RFS",
SIP!$C:$C,"SIP",
SIP!$U:$U,"&lt;&gt;YES",
SIP!$K:$K,"&gt;="&amp;$B$1,
SIP!$K:$K,"&lt;"&amp;$C$1+1
)
-
COUNTIFS(
SIP!$D:$D,"RFS",
SIP!$C:$C,"SIP",
SIP!$I:$I,"Closed",
SIP!$U:$U,"&lt;&gt;YES",
SIP!$N:$N,"&gt;="&amp;$B$1,
SIP!$N:$N,"&lt;"&amp;$C$1+1
)
-
COUNTIFS(
SIP!$D:$D,"RFS",
SIP!$C:$C,"SIP",
SIP!$I:$I,"Triaged",
SIP!$U:$U,"&lt;&gt;YES",
SIP!$N:$N,"&gt;="&amp;$B$1,
SIP!$N:$N,"&lt;"&amp;$C$1+1
)</f>
        <v>172</v>
      </c>
      <c r="S4" s="420">
        <f>SUM(
COUNTIFS(
SIP!$D:$D,"P_Ticket",
SIP!$G:$G,"Low",
SIP!$C:$C,"SIP",
SIP!$U:$U,"NO",
SIP!$L:$L,"&gt;="&amp;$B$1,
SIP!$L:$L,"&lt;"&amp;$C$1+1
),
COUNTIFS(
SIP!$D:$D,"P_Ticket",
SIP!$G:$G,"Medium",
SIP!$C:$C,"SIP",
SIP!$U:$U,"NO",
SIP!$L:$L,"&gt;="&amp;$B$1,
SIP!$L:$L,"&lt;"&amp;$C$1+1
),
COUNTIFS(
SIP!$D:$D,"P_Ticket",
SIP!$G:$G,"High",
SIP!$C:$C,"SIP",
SIP!$U:$U,"NO",
SIP!$L:$L,"&gt;="&amp;$B$1,
SIP!$L:$L,"&lt;"&amp;$C$1+1
)
)</f>
        <v>0</v>
      </c>
      <c r="T4" s="420">
        <f>SUM(COUNTIFS(SIP!$D:$D,"P_Ticket",SIP!$G:$G,"Low",SIP!$C:$C,"SIP",SIP!$I:$I,"Closed",SIP!$U:$U,"NO",SIP!$N:$N,"&lt;"&amp;$C$1+1,SIP!$N:$N,"&gt;="&amp;$B$1),COUNTIFS(SIP!$D:$D,"P_Ticket",SIP!$G:$G,"Medium",SIP!$C:$C,"SIP",SIP!$I:$I,"Closed",SIP!$U:$U,"NO",SIP!$N:$N,"&lt;"&amp;$C$1+1,SIP!$N:$N,"&gt;="&amp;$B$1),COUNTIFS(SIP!$D:$D,"P_Ticket",SIP!$G:$G,"High",SIP!$C:$C,"SIP",SIP!$I:$I,"Closed",SIP!$U:$U,"NO",SIP!$N:$N,"&lt;"&amp;$C$1+1,SIP!$N:$N,"&gt;="&amp;$B$1),COUNTIFS(SIP!$D:$D,"P_Ticket",SIP!$G:$G,"Low",SIP!$C:$C,"SIP",SIP!$I:$I,"Triaged",SIP!$U:$U,"NO",SIP!$N:$N,"&lt;"&amp;$C$1+1,SIP!$N:$N,"&gt;="&amp;$B$1),COUNTIFS(SIP!$D:$D,"P_Ticket",SIP!$G:$G,"Medium",SIP!$C:$C,"SIP",SIP!$I:$I,"Triaged",SIP!$U:$U,"NO",SIP!$N:$N,"&lt;"&amp;$C$1+1,SIP!$N:$N,"&gt;="&amp;$B$1),COUNTIFS(SIP!$D:$D,"P_Ticket",SIP!$G:$G,"High",SIP!$C:$C,"SIP",SIP!$I:$I,"Triaged",SIP!$U:$U,"NO",SIP!$N:$N,"&lt;"&amp;$C$1+1,SIP!$N:$N,"&gt;="&amp;$B$1))</f>
        <v>0</v>
      </c>
      <c r="U4" s="420"/>
      <c r="V4" s="420"/>
      <c r="W4" s="420">
        <f>COUNTIFS(
SIP!$D:$D,"P_Ticket",
SIP!$G:$G,"High",
SIP!$C:$C,"SIP",
SIP!$U:$U,"NO",
SIP!$L:$L,"&gt;="&amp;$B$1,
SIP!$L:$L,"&lt;"&amp;$C$1+1
)</f>
        <v>0</v>
      </c>
      <c r="X4" s="420">
        <f>SUM(
COUNTIFS(
SIP!$D:$D,"P_Ticket",
SIP!$C:$C,"SIP",
SIP!$G:$G,"High",
SIP!$I:$I,"Closed",
SIP!$U:$U,"NO",
SIP!$N:$N,"&lt;"&amp;$C$1+1,
SIP!$N:$N,"&gt;="&amp;$B$1
),
COUNTIFS(
SIP!$D:$D,"P_Ticket",
SIP!$C:$C,"SIP",
SIP!$G:$G,"High",
SIP!$I:$I,"Triaged",
SIP!$U:$U,"NO",
SIP!$N:$N,"&lt;"&amp;$C$1+1,
SIP!$N:$N,"&gt;="&amp;$B$1
)
)</f>
        <v>0</v>
      </c>
    </row>
    <row r="5" spans="1:24" s="421" customFormat="1" ht="15" customHeight="1">
      <c r="A5" s="416" t="s">
        <v>28</v>
      </c>
      <c r="B5" s="177" t="s">
        <v>26</v>
      </c>
      <c r="C5" s="417" t="s">
        <v>29</v>
      </c>
      <c r="D5" s="418">
        <f>COUNTIFS(
'BA BackOffice'!$D:$D,"Incident",
'BA BackOffice'!$G:$G,1,
'BA BackOffice'!$C:$C,"SharePoint",
'BA BackOffice'!$U:$U,"NO",
'BA BackOffice'!$L:$L,"&gt;="&amp;$B$1,
'BA BackOffice'!$L:$L,"&lt;"&amp;$C$1+1
)</f>
        <v>0</v>
      </c>
      <c r="E5" s="419">
        <f>SUM(
COUNTIFS(
'BA BackOffice'!$D:$D,"Incident",
'BA BackOffice'!$C:$C,"SharePoint",
'BA BackOffice'!$G:$G,1,
'BA BackOffice'!$I:$I,"Closed",
'BA BackOffice'!$U:$U,"NO",
'BA BackOffice'!$N:$N,"&gt;="&amp;$B$1,
'BA BackOffice'!$N:$N,"&lt;"&amp;$C$1+1
),
COUNTIFS(
'BA BackOffice'!$D:$D,"Incident",
'BA BackOffice'!$C:$C,"SharePoint",
'BA BackOffice'!$G:$G,1,
'BA BackOffice'!$I:$I,"Triaged",
'BA BackOffice'!$U:$U,"NO",
'BA BackOffice'!$N:$N,"&gt;="&amp;$B$1,
'BA BackOffice'!$N:$N,"&lt;"&amp;$C$1+1
)
)</f>
        <v>0</v>
      </c>
      <c r="F5" s="419">
        <f>COUNTIFS(
'BA BackOffice'!$C:$C,"SharePoint",
'BA BackOffice'!$D:$D,"Incident",
'BA BackOffice'!$G:$G,1,
'BA BackOffice'!$U:$U,"&lt;&gt;YES",
'BA BackOffice'!$K:$K,"&lt;"&amp;$B$1,
'BA BackOffice'!$N:$N,""
)
+
COUNTIFS(
'BA BackOffice'!$C:$C,"SharePoint",
'BA BackOffice'!$D:$D,"Incident",
'BA BackOffice'!$G:$G,1,
'BA BackOffice'!$U:$U,"&lt;&gt;YES",
'BA BackOffice'!$K:$K,"&lt;"&amp;$B$1,
'BA BackOffice'!$N:$N,"&gt;="&amp;$B$1
)
+
COUNTIFS(
'BA BackOffice'!$C:$C,"SharePoint",
'BA BackOffice'!$D:$D,"Incident",
'BA BackOffice'!$G:$G,1,
'BA BackOffice'!$U:$U,"&lt;&gt;YES",
'BA BackOffice'!$K:$K,"&gt;="&amp;$B$1,
'BA BackOffice'!$K:$K,"&lt;"&amp;$C$1+1
)
-
COUNTIFS(
'BA BackOffice'!$C:$C,"SharePoint",
'BA BackOffice'!$D:$D,"Incident",
'BA BackOffice'!$G:$G,1,
'BA BackOffice'!$U:$U,"&lt;&gt;YES",
'BA BackOffice'!$I:$I,"Closed",
'BA BackOffice'!$N:$N,"&gt;="&amp;$B$1,
'BA BackOffice'!$N:$N,"&lt;"&amp;$C$1+1
)
-
COUNTIFS(
'BA BackOffice'!$C:$C,"SharePoint",
'BA BackOffice'!$D:$D,"Incident",
'BA BackOffice'!$G:$G,1,
'BA BackOffice'!$U:$U,"&lt;&gt;YES",
'BA BackOffice'!$I:$I,"Triaged",
'BA BackOffice'!$N:$N,"&gt;="&amp;$B$1,
'BA BackOffice'!$N:$N,"&lt;"&amp;$C$1+1
)</f>
        <v>0</v>
      </c>
      <c r="G5" s="419">
        <f>COUNTIFS(
'BA BackOffice'!$D:$D,"Incident",
'BA BackOffice'!$G:$G,2,
'BA BackOffice'!$C:$C,"SharePoint",
'BA BackOffice'!$U:$U,"NO",
'BA BackOffice'!$L:$L,"&gt;="&amp;$B$1,
'BA BackOffice'!$L:$L,"&lt;"&amp;$C$1+1
)</f>
        <v>0</v>
      </c>
      <c r="H5" s="419">
        <f>SUM(
COUNTIFS(
'BA BackOffice'!$D:$D,"Incident",
'BA BackOffice'!$C:$C,"SharePoint",
'BA BackOffice'!$G:$G,2,
'BA BackOffice'!$I:$I,"Closed",
'BA BackOffice'!$U:$U,"NO",
'BA BackOffice'!$N:$N,"&gt;="&amp;$B$1,
'BA BackOffice'!$N:$N,"&lt;"&amp;$C$1+1
),
COUNTIFS(
'BA BackOffice'!$D:$D,"Incident",
'BA BackOffice'!$C:$C,"SharePoint",
'BA BackOffice'!$G:$G,2,
'BA BackOffice'!$I:$I,"Triaged",
'BA BackOffice'!$U:$U,"NO",
'BA BackOffice'!$N:$N,"&gt;="&amp;$B$1,
'BA BackOffice'!$N:$N,"&lt;"&amp;$C$1+1
)
)</f>
        <v>0</v>
      </c>
      <c r="I5" s="419">
        <f>COUNTIFS(
'BA BackOffice'!$C:$C,"SharePoint",
'BA BackOffice'!$D:$D,"Incident",
'BA BackOffice'!$G:$G,2,
'BA BackOffice'!$U:$U,"&lt;&gt;YES",
'BA BackOffice'!$K:$K,"&lt;"&amp;$B$1,
'BA BackOffice'!$N:$N,""
)
+
COUNTIFS(
'BA BackOffice'!$C:$C,"SharePoint",
'BA BackOffice'!$D:$D,"Incident",
'BA BackOffice'!$G:$G,2,
'BA BackOffice'!$U:$U,"&lt;&gt;YES",
'BA BackOffice'!$K:$K,"&lt;"&amp;$B$1,
'BA BackOffice'!$N:$N,"&gt;="&amp;$B$1
)
+
COUNTIFS(
'BA BackOffice'!$C:$C,"SharePoint",
'BA BackOffice'!$D:$D,"Incident",
'BA BackOffice'!$G:$G,2,
'BA BackOffice'!$U:$U,"&lt;&gt;YES",
'BA BackOffice'!$K:$K,"&gt;="&amp;$B$1,
'BA BackOffice'!$K:$K,"&lt;"&amp;$C$1+1
)
-
COUNTIFS(
'BA BackOffice'!$C:$C,"SharePoint",
'BA BackOffice'!$D:$D,"Incident",
'BA BackOffice'!$G:$G,2,
'BA BackOffice'!$U:$U,"&lt;&gt;YES",
'BA BackOffice'!$I:$I,"Closed",
'BA BackOffice'!$N:$N,"&gt;="&amp;$B$1,
'BA BackOffice'!$N:$N,"&lt;"&amp;$C$1+1
)
-
COUNTIFS(
'BA BackOffice'!$C:$C,"SharePoint",
'BA BackOffice'!$D:$D,"Incident",
'BA BackOffice'!$G:$G,2,
'BA BackOffice'!$U:$U,"&lt;&gt;YES",
'BA BackOffice'!$I:$I,"Triaged",
'BA BackOffice'!$N:$N,"&gt;="&amp;$B$1,
'BA BackOffice'!$N:$N,"&lt;"&amp;$C$1+1
)</f>
        <v>0</v>
      </c>
      <c r="J5" s="420">
        <f>COUNTIFS(
'BA BackOffice'!$D:$D,"Incident",
'BA BackOffice'!$G:$G,3,
'BA BackOffice'!$C:$C,"SharePoint",
'BA BackOffice'!$U:$U,"NO",
'BA BackOffice'!$L:$L,"&gt;="&amp;$B$1,
'BA BackOffice'!$L:$L,"&lt;"&amp;$C$1+1
)</f>
        <v>1</v>
      </c>
      <c r="K5" s="420">
        <f>SUM(
COUNTIFS(
'BA BackOffice'!$D:$D,"Incident",
'BA BackOffice'!$C:$C,"SharePoint",
'BA BackOffice'!$G:$G,3,
'BA BackOffice'!$I:$I,"Closed",
'BA BackOffice'!$U:$U,"NO",
'BA BackOffice'!$N:$N,"&gt;="&amp;$B$1,
'BA BackOffice'!$N:$N,"&lt;"&amp;$C$1+1
),
COUNTIFS(
'BA BackOffice'!$D:$D,"Incident",
'BA BackOffice'!$C:$C,"SharePoint",
'BA BackOffice'!$G:$G,3,
'BA BackOffice'!$I:$I,"Triaged",
'BA BackOffice'!$U:$U,"NO",
'BA BackOffice'!$N:$N,"&gt;="&amp;$B$1,
'BA BackOffice'!$N:$N,"&lt;"&amp;$C$1+1
)
)</f>
        <v>1</v>
      </c>
      <c r="L5" s="420">
        <f>COUNTIFS(
'BA BackOffice'!$C:$C,"SharePoint",
'BA BackOffice'!$D:$D,"Incident",
'BA BackOffice'!$G:$G,3,
'BA BackOffice'!$U:$U,"&lt;&gt;YES",
'BA BackOffice'!$K:$K,"&lt;"&amp;$B$1,
'BA BackOffice'!$N:$N,""
)
+
COUNTIFS(
'BA BackOffice'!$C:$C,"SharePoint",
'BA BackOffice'!$D:$D,"Incident",
'BA BackOffice'!$G:$G,3,
'BA BackOffice'!$U:$U,"&lt;&gt;YES",
'BA BackOffice'!$K:$K,"&lt;"&amp;$B$1,
'BA BackOffice'!$N:$N,"&gt;="&amp;$B$1
)
+
COUNTIFS(
'BA BackOffice'!$C:$C,"SharePoint",
'BA BackOffice'!$D:$D,"Incident",
'BA BackOffice'!$G:$G,3,
'BA BackOffice'!$U:$U,"&lt;&gt;YES",
'BA BackOffice'!$K:$K,"&gt;="&amp;$B$1,
'BA BackOffice'!$K:$K,"&lt;"&amp;$C$1+1
)
-
COUNTIFS(
'BA BackOffice'!$C:$C,"SharePoint",
'BA BackOffice'!$D:$D,"Incident",
'BA BackOffice'!$G:$G,3,
'BA BackOffice'!$U:$U,"&lt;&gt;YES",
'BA BackOffice'!$I:$I,"Closed",
'BA BackOffice'!$N:$N,"&gt;="&amp;$B$1,
'BA BackOffice'!$N:$N,"&lt;"&amp;$C$1+1
)
-
COUNTIFS(
'BA BackOffice'!$C:$C,"SharePoint",
'BA BackOffice'!$D:$D,"Incident",
'BA BackOffice'!$G:$G,3,
'BA BackOffice'!$U:$U,"&lt;&gt;YES",
'BA BackOffice'!$I:$I,"Triaged",
'BA BackOffice'!$N:$N,"&gt;="&amp;$B$1,
'BA BackOffice'!$N:$N,"&lt;"&amp;$C$1+1
)</f>
        <v>0</v>
      </c>
      <c r="M5" s="420">
        <f>COUNTIFS(
'BA BackOffice'!$D:$D,"Incident",
'BA BackOffice'!$G:$G,4,
'BA BackOffice'!$C:$C,"SharePoint",
'BA BackOffice'!$U:$U,"NO",
'BA BackOffice'!$L:$L,"&gt;="&amp;$B$1,
'BA BackOffice'!$L:$L,"&lt;"&amp;$C$1+1
)</f>
        <v>6</v>
      </c>
      <c r="N5" s="420">
        <f>SUM(
COUNTIFS(
'BA BackOffice'!$D:$D,"Incident",
'BA BackOffice'!$C:$C,"SharePoint",
'BA BackOffice'!$G:$G,4,
'BA BackOffice'!$I:$I,"Closed",
'BA BackOffice'!$U:$U,"NO",
'BA BackOffice'!$N:$N,"&gt;="&amp;$B$1,
'BA BackOffice'!$N:$N,"&lt;"&amp;$C$1+1
),
COUNTIFS(
'BA BackOffice'!$D:$D,"Incident",
'BA BackOffice'!$C:$C,"SharePoint",
'BA BackOffice'!$G:$G,4,
'BA BackOffice'!$I:$I,"Triaged",
'BA BackOffice'!$U:$U,"NO",
'BA BackOffice'!$N:$N,"&gt;="&amp;$B$1,
'BA BackOffice'!$N:$N,"&lt;"&amp;$C$1+1
)
)</f>
        <v>6</v>
      </c>
      <c r="O5" s="420">
        <f>COUNTIFS(
'BA BackOffice'!$C:$C,"SharePoint",
'BA BackOffice'!$D:$D,"Incident",
'BA BackOffice'!$G:$G,4,
'BA BackOffice'!$U:$U,"&lt;&gt;YES",
'BA BackOffice'!$K:$K,"&lt;"&amp;$B$1,
'BA BackOffice'!$N:$N,""
)
+
COUNTIFS(
'BA BackOffice'!$C:$C,"SharePoint",
'BA BackOffice'!$D:$D,"Incident",
'BA BackOffice'!$G:$G,4,
'BA BackOffice'!$U:$U,"&lt;&gt;YES",
'BA BackOffice'!$K:$K,"&lt;"&amp;$B$1,
'BA BackOffice'!$N:$N,"&gt;="&amp;$B$1
)
+
COUNTIFS(
'BA BackOffice'!$C:$C,"SharePoint",
'BA BackOffice'!$D:$D,"Incident",
'BA BackOffice'!$G:$G,4,
'BA BackOffice'!$U:$U,"&lt;&gt;YES",
'BA BackOffice'!$K:$K,"&gt;="&amp;$B$1,
'BA BackOffice'!$K:$K,"&lt;"&amp;$C$1+1
)
-
COUNTIFS(
'BA BackOffice'!$C:$C,"SharePoint",
'BA BackOffice'!$D:$D,"Incident",
'BA BackOffice'!$G:$G,4,
'BA BackOffice'!$U:$U,"&lt;&gt;YES",
'BA BackOffice'!$I:$I,"Closed",
'BA BackOffice'!$N:$N,"&gt;="&amp;$B$1,
'BA BackOffice'!$N:$N,"&lt;"&amp;$C$1+1
)
-
COUNTIFS(
'BA BackOffice'!$C:$C,"SharePoint",
'BA BackOffice'!$D:$D,"Incident",
'BA BackOffice'!$G:$G,4,
'BA BackOffice'!$U:$U,"&lt;&gt;YES",
'BA BackOffice'!$I:$I,"Triaged",
'BA BackOffice'!$N:$N,"&gt;="&amp;$B$1,
'BA BackOffice'!$N:$N,"&lt;"&amp;$C$1+1
)</f>
        <v>1</v>
      </c>
      <c r="P5" s="420">
        <f>COUNTIFS(
'BA BackOffice'!$D:$D,"RFS",
'BA BackOffice'!$C:$C,"SharePoint",
'BA BackOffice'!$U:$U,"No",
'BA BackOffice'!$L:$L,"&gt;="&amp;$B$1,
'BA BackOffice'!$L:$L,"&lt;"&amp;$C$1+1
)</f>
        <v>0</v>
      </c>
      <c r="Q5" s="420">
        <f>SUM(
COUNTIFS(
'BA BackOffice'!$D:$D,"RFS",
'BA BackOffice'!$C:$C,"SharePoint",
'BA BackOffice'!$I:$I,"Closed",
'BA BackOffice'!$U:$U,"NO",
'BA BackOffice'!$N:$N,"&gt;="&amp;$B$1,
'BA BackOffice'!$N:$N,"&lt;"&amp;$C$1+1
),
COUNTIFS(
'BA BackOffice'!$D:$D,"RFS",
'BA BackOffice'!$C:$C,"SharePoint",
'BA BackOffice'!$I:$I,"Triaged",
'BA BackOffice'!$U:$U,"NO",
'BA BackOffice'!$N:$N,"&gt;="&amp;$B$1,
'BA BackOffice'!$N:$N,"&lt;"&amp;$C$1+1
)
)</f>
        <v>7</v>
      </c>
      <c r="R5" s="420">
        <f>COUNTIFS(
'BA BackOffice'!$D:$D,"RFS",
'BA BackOffice'!$C:$C,"SharePoint",
'BA BackOffice'!$U:$U,"&lt;&gt;YES",
'BA BackOffice'!$K:$K,"&lt;"&amp;$B$1,
'BA BackOffice'!$N:$N,""
)
+
COUNTIFS(
'BA BackOffice'!$D:$D,"RFS",
'BA BackOffice'!$C:$C,"SharePoint",
'BA BackOffice'!$U:$U,"&lt;&gt;YES",
'BA BackOffice'!$K:$K,"&lt;"&amp;$B$1,
'BA BackOffice'!$N:$N,"&gt;="&amp;$B$1
)
+
COUNTIFS(
'BA BackOffice'!$D:$D,"RFS",
'BA BackOffice'!$C:$C,"SharePoint",
'BA BackOffice'!$U:$U,"&lt;&gt;YES",
'BA BackOffice'!$K:$K,"&gt;="&amp;$B$1,
'BA BackOffice'!$K:$K,"&lt;"&amp;$C$1+1
)
-
COUNTIFS(
'BA BackOffice'!$D:$D,"RFS",
'BA BackOffice'!$C:$C,"SharePoint",
'BA BackOffice'!$I:$I,"Closed",
'BA BackOffice'!$U:$U,"&lt;&gt;YES",
'BA BackOffice'!$N:$N,"&gt;="&amp;$B$1,
'BA BackOffice'!$N:$N,"&lt;"&amp;$C$1+1
)
-
COUNTIFS(
'BA BackOffice'!$D:$D,"RFS",
'BA BackOffice'!$C:$C,"SharePoint",
'BA BackOffice'!$I:$I,"Triaged",
'BA BackOffice'!$U:$U,"&lt;&gt;YES",
'BA BackOffice'!$N:$N,"&gt;="&amp;$B$1,
'BA BackOffice'!$N:$N,"&lt;"&amp;$C$1+1
)</f>
        <v>3</v>
      </c>
      <c r="S5" s="420">
        <f>SUM(
COUNTIFS(
'BA BackOffice'!$D:$D,"P_Ticket",
'BA BackOffice'!$G:$G,"Low",
'BA BackOffice'!$C:$C,"SharePoint",
'BA BackOffice'!$U:$U,"NO",
'BA BackOffice'!$L:$L,"&gt;="&amp;$B$1,
'BA BackOffice'!$L:$L,"&lt;"&amp;$C$1+1
),
COUNTIFS(
'BA BackOffice'!$D:$D,"P_Ticket",
'BA BackOffice'!$G:$G,"Medium",
'BA BackOffice'!$C:$C,"SharePoint",
'BA BackOffice'!$U:$U,"NO",
'BA BackOffice'!$L:$L,"&gt;="&amp;$B$1,
'BA BackOffice'!$L:$L,"&lt;"&amp;$C$1+1
),
COUNTIFS(
'BA BackOffice'!$D:$D,"P_Ticket",
'BA BackOffice'!$G:$G,"High",
'BA BackOffice'!$C:$C,"SharePoint",
'BA BackOffice'!$U:$U,"NO",
'BA BackOffice'!$L:$L,"&gt;="&amp;$B$1,
'BA BackOffice'!$L:$L,"&lt;"&amp;$C$1+1
)
)</f>
        <v>0</v>
      </c>
      <c r="T5" s="420">
        <f>SUM(COUNTIFS('BA BackOffice'!$D:$D,"P_Ticket",'BA BackOffice'!$C:$C,"SharePoint",'BA BackOffice'!$G:$G,"Low",'BA BackOffice'!$I:$I,"Closed",'BA BackOffice'!$U:$U,"NO",'BA BackOffice'!$N:$N,"&lt;"&amp;$C$1+1,'BA BackOffice'!$N:$N,"&gt;="&amp;$B$1),COUNTIFS('BA BackOffice'!$D:$D,"P_Ticket",'BA BackOffice'!$C:$C,"SharePoint",'BA BackOffice'!$G:$G,"Medium",'BA BackOffice'!$I:$I,"Closed",'BA BackOffice'!$U:$U,"NO",'BA BackOffice'!$N:$N,"&lt;"&amp;$C$1+1,'BA BackOffice'!$N:$N,"&gt;="&amp;$B$1),COUNTIFS('BA BackOffice'!$D:$D,"P_Ticket",'BA BackOffice'!$C:$C,"SharePoint",'BA BackOffice'!$G:$G,"High",'BA BackOffice'!$I:$I,"Closed",'BA BackOffice'!$U:$U,"NO",'BA BackOffice'!$N:$N,"&lt;"&amp;$C$1+1,'BA BackOffice'!$N:$N,"&gt;="&amp;$B$1),COUNTIFS('BA BackOffice'!$D:$D,"P_Ticket",'BA BackOffice'!$C:$C,"SharePoint",'BA BackOffice'!$G:$G,"Low",'BA BackOffice'!$I:$I,"Triaged",'BA BackOffice'!$U:$U,"NO",'BA BackOffice'!$N:$N,"&lt;"&amp;$C$1+1,'BA BackOffice'!$N:$N,"&gt;="&amp;$B$1),COUNTIFS('BA BackOffice'!$D:$D,"P_Ticket",'BA BackOffice'!$C:$C,"SharePoint",'BA BackOffice'!$G:$G,"Medium",'BA BackOffice'!$I:$I,"Triaged",'BA BackOffice'!$U:$U,"NO",'BA BackOffice'!$N:$N,"&lt;"&amp;$C$1+1,'BA BackOffice'!$N:$N,"&gt;="&amp;$B$1),COUNTIFS('BA BackOffice'!$D:$D,"P_Ticket",'BA BackOffice'!$C:$C,"SharePoint",'BA BackOffice'!$G:$G,"High",'BA BackOffice'!$I:$I,"Triaged",'BA BackOffice'!$U:$U,"NO",'BA BackOffice'!$N:$N,"&lt;"&amp;$C$1+1,'BA BackOffice'!$N:$N,"&gt;="&amp;$B$1))</f>
        <v>0</v>
      </c>
      <c r="U5" s="420"/>
      <c r="V5" s="420"/>
      <c r="W5" s="420">
        <f>COUNTIFS(
'BA BackOffice'!$D:$D,"P_Ticket",
'BA BackOffice'!$G:$G,"High",
'BA BackOffice'!$C:$C,"SharePoint",
'BA BackOffice'!$U:$U,"NO",
'BA BackOffice'!$L:$L,"&gt;="&amp;$B$1,
'BA BackOffice'!$L:$L,"&lt;"&amp;$C$1+1
)</f>
        <v>0</v>
      </c>
      <c r="X5" s="420">
        <f>SUM(
COUNTIFS(
'BA BackOffice'!$D:$D,"P_Ticket",
'BA BackOffice'!$C:$C,"SharePoint",
'BA BackOffice'!$G:$G,"High",
'BA BackOffice'!$I:$I,"Closed",
'BA BackOffice'!$U:$U,"NO",
'BA BackOffice'!$N:$N,"&lt;"&amp;$C$1+1,
'BA BackOffice'!$N:$N,"&gt;="&amp;$B$1
),
COUNTIFS(
'BA BackOffice'!$D:$D,"P_Ticket",
'BA BackOffice'!$C:$C,"SharePoint",
'BA BackOffice'!$G:$G,"High",
'BA BackOffice'!$I:$I,"Triaged",
'BA BackOffice'!$U:$U,"NO",
'BA BackOffice'!$N:$N,"&lt;"&amp;$C$1+1,
'BA BackOffice'!$N:$N,"&gt;="&amp;$B$1
)
)</f>
        <v>0</v>
      </c>
    </row>
    <row r="6" spans="1:24" s="421" customFormat="1" ht="15" customHeight="1">
      <c r="A6" s="416" t="s">
        <v>30</v>
      </c>
      <c r="B6" s="177" t="s">
        <v>26</v>
      </c>
      <c r="C6" s="417" t="s">
        <v>31</v>
      </c>
      <c r="D6" s="418">
        <f>COUNTIFS(
'BA BackOffice'!$D:$D,"Incident",
'BA BackOffice'!$G:$G,1,
'BA BackOffice'!$C:$C,"Apex",
'BA BackOffice'!$U:$U,"NO",
'BA BackOffice'!$L:$L,"&gt;="&amp;$B$1,
'BA BackOffice'!$L:$L,"&lt;"&amp;$C$1+1
)</f>
        <v>0</v>
      </c>
      <c r="E6" s="419">
        <f>SUM(
COUNTIFS(
'BA BackOffice'!$D:$D,"Incident",
'BA BackOffice'!$C:$C,"Apex",
'BA BackOffice'!$G:$G,1,
'BA BackOffice'!$I:$I,"Closed",
'BA BackOffice'!$U:$U,"NO",
'BA BackOffice'!$N:$N,"&gt;="&amp;$B$1,
'BA BackOffice'!$N:$N,"&lt;"&amp;$C$1+1
),
COUNTIFS(
'BA BackOffice'!$D:$D,"Incident",
'BA BackOffice'!$C:$C,"Apex",
'BA BackOffice'!$G:$G,1,
'BA BackOffice'!$I:$I,"Triaged",
'BA BackOffice'!$U:$U,"NO",
'BA BackOffice'!$N:$N,"&gt;="&amp;$B$1,
'BA BackOffice'!$N:$N,"&lt;"&amp;$C$1+1
)
)</f>
        <v>0</v>
      </c>
      <c r="F6" s="419">
        <f>COUNTIFS(
'BA BackOffice'!$C:$C,"Apex",
'BA BackOffice'!$D:$D,"Incident",
'BA BackOffice'!$G:$G,1,
'BA BackOffice'!$U:$U,"&lt;&gt;YES",
'BA BackOffice'!$K:$K,"&lt;"&amp;$B$1,
'BA BackOffice'!$N:$N,""
)
+
COUNTIFS(
'BA BackOffice'!$C:$C,"Apex",
'BA BackOffice'!$D:$D,"Incident",
'BA BackOffice'!$G:$G,1,
'BA BackOffice'!$U:$U,"&lt;&gt;YES",
'BA BackOffice'!$K:$K,"&lt;"&amp;$B$1,
'BA BackOffice'!$N:$N,"&gt;="&amp;$B$1
)
+
COUNTIFS(
'BA BackOffice'!$C:$C,"Apex",
'BA BackOffice'!$D:$D,"Incident",
'BA BackOffice'!$G:$G,1,
'BA BackOffice'!$U:$U,"&lt;&gt;YES",
'BA BackOffice'!$K:$K,"&gt;="&amp;$B$1,
'BA BackOffice'!$K:$K,"&lt;"&amp;$C$1+1
)
-
COUNTIFS(
'BA BackOffice'!$C:$C,"Apex",
'BA BackOffice'!$D:$D,"Incident",
'BA BackOffice'!$G:$G,1,
'BA BackOffice'!$U:$U,"&lt;&gt;YES",
'BA BackOffice'!$I:$I,"Closed",
'BA BackOffice'!$N:$N,"&gt;="&amp;$B$1,
'BA BackOffice'!$N:$N,"&lt;"&amp;$C$1+1
)
-
COUNTIFS(
'BA BackOffice'!$C:$C,"Apex",
'BA BackOffice'!$D:$D,"Incident",
'BA BackOffice'!$G:$G,1,
'BA BackOffice'!$U:$U,"&lt;&gt;YES",
'BA BackOffice'!$I:$I,"Triaged",
'BA BackOffice'!$N:$N,"&gt;="&amp;$B$1,
'BA BackOffice'!$N:$N,"&lt;"&amp;$C$1+1
)</f>
        <v>0</v>
      </c>
      <c r="G6" s="419">
        <f>COUNTIFS(
'BA BackOffice'!$D:$D,"Incident",
'BA BackOffice'!$G:$G,2,
'BA BackOffice'!$C:$C,"Apex",
'BA BackOffice'!$U:$U,"NO",
'BA BackOffice'!$L:$L,"&gt;="&amp;$B$1,
'BA BackOffice'!$L:$L,"&lt;"&amp;$C$1+1
)</f>
        <v>0</v>
      </c>
      <c r="H6" s="419">
        <f>SUM(
COUNTIFS(
'BA BackOffice'!$D:$D,"Incident",
'BA BackOffice'!$C:$C,"Apex",
'BA BackOffice'!$G:$G,2,
'BA BackOffice'!$I:$I,"Closed",
'BA BackOffice'!$U:$U,"NO",
'BA BackOffice'!$N:$N,"&gt;="&amp;$B$1,
'BA BackOffice'!$N:$N,"&lt;"&amp;$C$1+1
),
COUNTIFS(
'BA BackOffice'!$D:$D,"Incident",
'BA BackOffice'!$C:$C,"Apex",
'BA BackOffice'!$G:$G,2,
'BA BackOffice'!$I:$I,"Triaged",
'BA BackOffice'!$U:$U,"NO",
'BA BackOffice'!$N:$N,"&gt;="&amp;$B$1,
'BA BackOffice'!$N:$N,"&lt;"&amp;$C$1+1
)
)</f>
        <v>0</v>
      </c>
      <c r="I6" s="419">
        <f>COUNTIFS(
'BA BackOffice'!$C:$C,"Apex",
'BA BackOffice'!$D:$D,"Incident",
'BA BackOffice'!$G:$G,2,
'BA BackOffice'!$U:$U,"&lt;&gt;YES",
'BA BackOffice'!$K:$K,"&lt;"&amp;$B$1,
'BA BackOffice'!$N:$N,""
)
+
COUNTIFS(
'BA BackOffice'!$C:$C,"Apex",
'BA BackOffice'!$D:$D,"Incident",
'BA BackOffice'!$G:$G,2,
'BA BackOffice'!$U:$U,"&lt;&gt;YES",
'BA BackOffice'!$K:$K,"&lt;"&amp;$B$1,
'BA BackOffice'!$N:$N,"&gt;="&amp;$B$1
)
+
COUNTIFS(
'BA BackOffice'!$C:$C,"Apex",
'BA BackOffice'!$D:$D,"Incident",
'BA BackOffice'!$G:$G,2,
'BA BackOffice'!$U:$U,"&lt;&gt;YES",
'BA BackOffice'!$K:$K,"&gt;="&amp;$B$1,
'BA BackOffice'!$K:$K,"&lt;"&amp;$C$1+1
)
-
COUNTIFS(
'BA BackOffice'!$C:$C,"Apex",
'BA BackOffice'!$D:$D,"Incident",
'BA BackOffice'!$G:$G,2,
'BA BackOffice'!$U:$U,"&lt;&gt;YES",
'BA BackOffice'!$I:$I,"Closed",
'BA BackOffice'!$N:$N,"&gt;="&amp;$B$1,
'BA BackOffice'!$N:$N,"&lt;"&amp;$C$1+1
)
-
COUNTIFS(
'BA BackOffice'!$C:$C,"Apex",
'BA BackOffice'!$D:$D,"Incident",
'BA BackOffice'!$G:$G,2,
'BA BackOffice'!$U:$U,"&lt;&gt;YES",
'BA BackOffice'!$I:$I,"Triaged",
'BA BackOffice'!$N:$N,"&gt;="&amp;$B$1,
'BA BackOffice'!$N:$N,"&lt;"&amp;$C$1+1
)</f>
        <v>0</v>
      </c>
      <c r="J6" s="420">
        <f>COUNTIFS(
'BA BackOffice'!$D:$D,"Incident",
'BA BackOffice'!$G:$G,3,
'BA BackOffice'!$C:$C,"Apex",
'BA BackOffice'!$U:$U,"NO",
'BA BackOffice'!$L:$L,"&gt;="&amp;$B$1,
'BA BackOffice'!$L:$L,"&lt;"&amp;$C$1+1
)</f>
        <v>0</v>
      </c>
      <c r="K6" s="420">
        <f>SUM(
COUNTIFS(
'BA BackOffice'!$D:$D,"Incident",
'BA BackOffice'!$C:$C,"Apex",
'BA BackOffice'!$G:$G,3,
'BA BackOffice'!$I:$I,"Closed",
'BA BackOffice'!$U:$U,"NO",
'BA BackOffice'!$N:$N,"&gt;="&amp;$B$1,
'BA BackOffice'!$N:$N,"&lt;"&amp;$C$1+1
),
COUNTIFS(
'BA BackOffice'!$D:$D,"Incident",
'BA BackOffice'!$C:$C,"Apex",
'BA BackOffice'!$G:$G,3,
'BA BackOffice'!$I:$I,"Triaged",
'BA BackOffice'!$U:$U,"NO",
'BA BackOffice'!$N:$N,"&gt;="&amp;$B$1,
'BA BackOffice'!$N:$N,"&lt;"&amp;$C$1+1
)
)</f>
        <v>0</v>
      </c>
      <c r="L6" s="420">
        <f>COUNTIFS(
'BA BackOffice'!$C:$C,"Apex",
'BA BackOffice'!$D:$D,"Incident",
'BA BackOffice'!$G:$G,3,
'BA BackOffice'!$U:$U,"&lt;&gt;YES",
'BA BackOffice'!$K:$K,"&lt;"&amp;$B$1,
'BA BackOffice'!$N:$N,""
)
+
COUNTIFS(
'BA BackOffice'!$C:$C,"Apex",
'BA BackOffice'!$D:$D,"Incident",
'BA BackOffice'!$G:$G,3,
'BA BackOffice'!$U:$U,"&lt;&gt;YES",
'BA BackOffice'!$K:$K,"&lt;"&amp;$B$1,
'BA BackOffice'!$N:$N,"&gt;="&amp;$B$1
)
+
COUNTIFS(
'BA BackOffice'!$C:$C,"Apex",
'BA BackOffice'!$D:$D,"Incident",
'BA BackOffice'!$G:$G,3,
'BA BackOffice'!$U:$U,"&lt;&gt;YES",
'BA BackOffice'!$K:$K,"&gt;="&amp;$B$1,
'BA BackOffice'!$K:$K,"&lt;"&amp;$C$1+1
)
-
COUNTIFS(
'BA BackOffice'!$C:$C,"Apex",
'BA BackOffice'!$D:$D,"Incident",
'BA BackOffice'!$G:$G,3,
'BA BackOffice'!$U:$U,"&lt;&gt;YES",
'BA BackOffice'!$I:$I,"Closed",
'BA BackOffice'!$N:$N,"&gt;="&amp;$B$1,
'BA BackOffice'!$N:$N,"&lt;"&amp;$C$1+1
)
-
COUNTIFS(
'BA BackOffice'!$C:$C,"Apex",
'BA BackOffice'!$D:$D,"Incident",
'BA BackOffice'!$G:$G,3,
'BA BackOffice'!$U:$U,"&lt;&gt;YES",
'BA BackOffice'!$I:$I,"Triaged",
'BA BackOffice'!$N:$N,"&gt;="&amp;$B$1,
'BA BackOffice'!$N:$N,"&lt;"&amp;$C$1+1
)</f>
        <v>0</v>
      </c>
      <c r="M6" s="420">
        <f>COUNTIFS(
'BA BackOffice'!$D:$D,"Incident",
'BA BackOffice'!$G:$G,4,
'BA BackOffice'!$C:$C,"Apex",
'BA BackOffice'!$U:$U,"NO",
'BA BackOffice'!$L:$L,"&gt;="&amp;$B$1,
'BA BackOffice'!$L:$L,"&lt;"&amp;$C$1+1
)</f>
        <v>0</v>
      </c>
      <c r="N6" s="420">
        <f>SUM(
COUNTIFS(
'BA BackOffice'!$D:$D,"Incident",
'BA BackOffice'!$C:$C,"Apex",
'BA BackOffice'!$G:$G,4,
'BA BackOffice'!$I:$I,"Closed",
'BA BackOffice'!$U:$U,"NO",
'BA BackOffice'!$N:$N,"&gt;="&amp;$B$1,
'BA BackOffice'!$N:$N,"&lt;"&amp;$C$1+1
),
COUNTIFS(
'BA BackOffice'!$D:$D,"Incident",
'BA BackOffice'!$C:$C,"Apex",
'BA BackOffice'!$G:$G,4,
'BA BackOffice'!$I:$I,"Triaged",
'BA BackOffice'!$U:$U,"NO",
'BA BackOffice'!$N:$N,"&gt;="&amp;$B$1,
'BA BackOffice'!$N:$N,"&lt;"&amp;$C$1+1
)
)</f>
        <v>0</v>
      </c>
      <c r="O6" s="420">
        <f>COUNTIFS(
'BA BackOffice'!$C:$C,"Apex",
'BA BackOffice'!$D:$D,"Incident",
'BA BackOffice'!$G:$G,4,
'BA BackOffice'!$U:$U,"&lt;&gt;YES",
'BA BackOffice'!$K:$K,"&lt;"&amp;$B$1,
'BA BackOffice'!$N:$N,""
)
+
COUNTIFS(
'BA BackOffice'!$C:$C,"Apex",
'BA BackOffice'!$D:$D,"Incident",
'BA BackOffice'!$G:$G,4,
'BA BackOffice'!$U:$U,"&lt;&gt;YES",
'BA BackOffice'!$K:$K,"&lt;"&amp;$B$1,
'BA BackOffice'!$N:$N,"&gt;="&amp;$B$1
)
+
COUNTIFS(
'BA BackOffice'!$C:$C,"Apex",
'BA BackOffice'!$D:$D,"Incident",
'BA BackOffice'!$G:$G,4,
'BA BackOffice'!$U:$U,"&lt;&gt;YES",
'BA BackOffice'!$K:$K,"&gt;="&amp;$B$1,
'BA BackOffice'!$K:$K,"&lt;"&amp;$C$1+1
)
-
COUNTIFS(
'BA BackOffice'!$C:$C,"Apex",
'BA BackOffice'!$D:$D,"Incident",
'BA BackOffice'!$G:$G,4,
'BA BackOffice'!$U:$U,"&lt;&gt;YES",
'BA BackOffice'!$I:$I,"Closed",
'BA BackOffice'!$N:$N,"&gt;="&amp;$B$1,
'BA BackOffice'!$N:$N,"&lt;"&amp;$C$1+1
)
-
COUNTIFS(
'BA BackOffice'!$C:$C,"Apex",
'BA BackOffice'!$D:$D,"Incident",
'BA BackOffice'!$G:$G,4,
'BA BackOffice'!$U:$U,"&lt;&gt;YES",
'BA BackOffice'!$I:$I,"Triaged",
'BA BackOffice'!$N:$N,"&gt;="&amp;$B$1,
'BA BackOffice'!$N:$N,"&lt;"&amp;$C$1+1
)</f>
        <v>0</v>
      </c>
      <c r="P6" s="420">
        <f>COUNTIFS(
'BA BackOffice'!$D:$D,"RFS",
'BA BackOffice'!$C:$C,"Apex",
'BA BackOffice'!$U:$U,"No",
'BA BackOffice'!$L:$L,"&gt;="&amp;$B$1,
'BA BackOffice'!$L:$L,"&lt;"&amp;$C$1+1
)</f>
        <v>0</v>
      </c>
      <c r="Q6" s="420">
        <f>SUM(
COUNTIFS(
'BA BackOffice'!$D:$D,"RFS",
'BA BackOffice'!$C:$C,"Apex",
'BA BackOffice'!$I:$I,"Closed",
'BA BackOffice'!$U:$U,"NO",
'BA BackOffice'!$N:$N,"&gt;="&amp;$B$1,
'BA BackOffice'!$N:$N,"&lt;"&amp;$C$1+1
),
COUNTIFS(
'BA BackOffice'!$D:$D,"RFS",
'BA BackOffice'!$C:$C,"Apex",
'BA BackOffice'!$I:$I,"Triaged",
'BA BackOffice'!$U:$U,"NO",
'BA BackOffice'!$N:$N,"&gt;="&amp;$B$1,
'BA BackOffice'!$N:$N,"&lt;"&amp;$C$1+1
)
)</f>
        <v>0</v>
      </c>
      <c r="R6" s="420">
        <f>COUNTIFS(
'BA BackOffice'!$D:$D,"RFS",
'BA BackOffice'!$C:$C,"Apex",
'BA BackOffice'!$U:$U,"&lt;&gt;YES",
'BA BackOffice'!$K:$K,"&lt;"&amp;$B$1,
'BA BackOffice'!$N:$N,""
)
+
COUNTIFS(
'BA BackOffice'!$D:$D,"RFS",
'BA BackOffice'!$C:$C,"Apex",
'BA BackOffice'!$U:$U,"&lt;&gt;YES",
'BA BackOffice'!$K:$K,"&lt;"&amp;$B$1,
'BA BackOffice'!$N:$N,"&gt;="&amp;$B$1
)
+
COUNTIFS(
'BA BackOffice'!$D:$D,"RFS",
'BA BackOffice'!$C:$C,"Apex",
'BA BackOffice'!$U:$U,"&lt;&gt;YES",
'BA BackOffice'!$K:$K,"&gt;="&amp;$B$1,
'BA BackOffice'!$K:$K,"&lt;"&amp;$C$1+1
)
-
COUNTIFS(
'BA BackOffice'!$D:$D,"RFS",
'BA BackOffice'!$C:$C,"Apex",
'BA BackOffice'!$I:$I,"Closed",
'BA BackOffice'!$U:$U,"&lt;&gt;YES",
'BA BackOffice'!$N:$N,"&gt;="&amp;$B$1,
'BA BackOffice'!$N:$N,"&lt;"&amp;$C$1+1
)
-
COUNTIFS(
'BA BackOffice'!$D:$D,"RFS",
'BA BackOffice'!$C:$C,"Apex",
'BA BackOffice'!$I:$I,"Triaged",
'BA BackOffice'!$U:$U,"&lt;&gt;YES",
'BA BackOffice'!$N:$N,"&gt;="&amp;$B$1,
'BA BackOffice'!$N:$N,"&lt;"&amp;$C$1+1
)</f>
        <v>4</v>
      </c>
      <c r="S6" s="420">
        <f>SUM(
COUNTIFS(
'BA BackOffice'!$D:$D,"P_Ticket",
'BA BackOffice'!$G:$G,"Low",
'BA BackOffice'!$C:$C,"Apex",
'BA BackOffice'!$U:$U,"NO",
'BA BackOffice'!$L:$L,"&gt;="&amp;$B$1,
'BA BackOffice'!$L:$L,"&lt;"&amp;$C$1+1
),
COUNTIFS(
'BA BackOffice'!$D:$D,"P_Ticket",
'BA BackOffice'!$G:$G,"Medium",
'BA BackOffice'!$C:$C,"Apex",
'BA BackOffice'!$U:$U,"NO",
'BA BackOffice'!$L:$L,"&gt;="&amp;$B$1,
'BA BackOffice'!$L:$L,"&lt;"&amp;$C$1+1
),
COUNTIFS(
'BA BackOffice'!$D:$D,"P_Ticket",
'BA BackOffice'!$G:$G,"High",
'BA BackOffice'!$C:$C,"Apex",
'BA BackOffice'!$U:$U,"NO",
'BA BackOffice'!$L:$L,"&gt;="&amp;$B$1,
'BA BackOffice'!$L:$L,"&lt;"&amp;$C$1+1
)
)</f>
        <v>0</v>
      </c>
      <c r="T6" s="420">
        <f>SUM(COUNTIFS('BA BackOffice'!$D:$D,"P_Ticket",'BA BackOffice'!$C:$C,"APEX",'BA BackOffice'!$G:$G,"Low",'BA BackOffice'!$I:$I,"Closed",'BA BackOffice'!$U:$U,"NO",'BA BackOffice'!$N:$N,"&lt;"&amp;$C$1+1,'BA BackOffice'!$N:$N,"&gt;="&amp;$B$1),COUNTIFS('BA BackOffice'!$D:$D,"P_Ticket",'BA BackOffice'!$C:$C,"APEX",'BA BackOffice'!$G:$G,"Medium",'BA BackOffice'!$I:$I,"Closed",'BA BackOffice'!$U:$U,"NO",'BA BackOffice'!$N:$N,"&lt;"&amp;$C$1+1,'BA BackOffice'!$N:$N,"&gt;="&amp;$B$1),COUNTIFS('BA BackOffice'!$D:$D,"P_Ticket",'BA BackOffice'!$C:$C,"APEX",'BA BackOffice'!$G:$G,"High",'BA BackOffice'!$I:$I,"Closed",'BA BackOffice'!$U:$U,"NO",'BA BackOffice'!$N:$N,"&lt;"&amp;$C$1+1,'BA BackOffice'!$N:$N,"&gt;="&amp;$B$1),COUNTIFS('BA BackOffice'!$D:$D,"P_Ticket",'BA BackOffice'!$C:$C,"APEX",'BA BackOffice'!$G:$G,"Low",'BA BackOffice'!$I:$I,"Triaged",'BA BackOffice'!$U:$U,"NO",'BA BackOffice'!$N:$N,"&lt;"&amp;$C$1+1,'BA BackOffice'!$N:$N,"&gt;="&amp;$B$1),COUNTIFS('BA BackOffice'!$D:$D,"P_Ticket",'BA BackOffice'!$C:$C,"APEX",'BA BackOffice'!$G:$G,"Medium",'BA BackOffice'!$I:$I,"Triaged",'BA BackOffice'!$U:$U,"NO",'BA BackOffice'!$N:$N,"&lt;"&amp;$C$1+1,'BA BackOffice'!$N:$N,"&gt;="&amp;$B$1),COUNTIFS('BA BackOffice'!$D:$D,"P_Ticket",'BA BackOffice'!$C:$C,"APEX",'BA BackOffice'!$G:$G,"High",'BA BackOffice'!$I:$I,"Triaged",'BA BackOffice'!$U:$U,"NO",'BA BackOffice'!$N:$N,"&lt;"&amp;$C$1+1,'BA BackOffice'!$N:$N,"&gt;="&amp;$B$1))</f>
        <v>0</v>
      </c>
      <c r="U6" s="420"/>
      <c r="V6" s="420"/>
      <c r="W6" s="420">
        <f>COUNTIFS(
'BA BackOffice'!$D:$D,"P_Ticket",
'BA BackOffice'!$G:$G,"High",
'BA BackOffice'!$C:$C,"Apex",
'BA BackOffice'!$U:$U,"NO",
'BA BackOffice'!$L:$L,"&gt;="&amp;$B$1,
'BA BackOffice'!$L:$L,"&lt;"&amp;$C$1+1
)</f>
        <v>0</v>
      </c>
      <c r="X6" s="420">
        <f>SUM(
COUNTIFS(
'BA BackOffice'!$D:$D,"P_Ticket",
'BA BackOffice'!$C:$C,"Apex",
'BA BackOffice'!$G:$G,"High",
'BA BackOffice'!$I:$I,"Closed",
'BA BackOffice'!$U:$U,"NO",
'BA BackOffice'!$N:$N,"&lt;"&amp;$C$1+1,
'BA BackOffice'!$N:$N,"&gt;="&amp;$B$1
),
COUNTIFS(
'BA BackOffice'!$D:$D,"P_Ticket",
'BA BackOffice'!$C:$C,"Apex",
'BA BackOffice'!$G:$G,"High",
'BA BackOffice'!$I:$I,"Triaged",
'BA BackOffice'!$U:$U,"NO",
'BA BackOffice'!$N:$N,"&lt;"&amp;$C$1+1,
'BA BackOffice'!$N:$N,"&gt;="&amp;$B$1
)
)</f>
        <v>0</v>
      </c>
    </row>
    <row r="7" spans="1:24" s="421" customFormat="1" ht="15" customHeight="1">
      <c r="A7" s="416" t="s">
        <v>32</v>
      </c>
      <c r="B7" s="177" t="s">
        <v>26</v>
      </c>
      <c r="C7" s="417" t="s">
        <v>33</v>
      </c>
      <c r="D7" s="418">
        <f>COUNTIFS(
'BA BackOffice'!$D:$D,"Incident",
'BA BackOffice'!$G:$G,1,
'BA BackOffice'!$C:$C,"TechTools",
'BA BackOffice'!$U:$U,"NO",
'BA BackOffice'!$L:$L,"&gt;="&amp;$B$1,
'BA BackOffice'!$L:$L,"&lt;"&amp;$C$1+1
)</f>
        <v>0</v>
      </c>
      <c r="E7" s="419">
        <f>SUM(
COUNTIFS(
'BA BackOffice'!$D:$D,"Incident",
'BA BackOffice'!$C:$C,"TechTools",
'BA BackOffice'!$G:$G,1,
'BA BackOffice'!$I:$I,"Closed",
'BA BackOffice'!$U:$U,"NO",
'BA BackOffice'!$N:$N,"&gt;="&amp;$B$1,
'BA BackOffice'!$N:$N,"&lt;"&amp;$C$1+1
),
COUNTIFS(
'BA BackOffice'!$D:$D,"Incident",
'BA BackOffice'!$C:$C,"TechTools",
'BA BackOffice'!$G:$G,1,
'BA BackOffice'!$I:$I,"Triaged",
'BA BackOffice'!$U:$U,"NO",
'BA BackOffice'!$N:$N,"&gt;="&amp;$B$1,
'BA BackOffice'!$N:$N,"&lt;"&amp;$C$1+1
)
)</f>
        <v>0</v>
      </c>
      <c r="F7" s="419">
        <f>COUNTIFS(
'BA BackOffice'!$C:$C,"TechTools",
'BA BackOffice'!$D:$D,"Incident",
'BA BackOffice'!$G:$G,1,
'BA BackOffice'!$U:$U,"&lt;&gt;YES",
'BA BackOffice'!$K:$K,"&lt;"&amp;$B$1,
'BA BackOffice'!$N:$N,""
)
+
COUNTIFS(
'BA BackOffice'!$C:$C,"TechTools",
'BA BackOffice'!$D:$D,"Incident",
'BA BackOffice'!$G:$G,1,
'BA BackOffice'!$U:$U,"&lt;&gt;YES",
'BA BackOffice'!$K:$K,"&lt;"&amp;$B$1,
'BA BackOffice'!$N:$N,"&gt;="&amp;$B$1
)
+
COUNTIFS(
'BA BackOffice'!$C:$C,"TechTools",
'BA BackOffice'!$D:$D,"Incident",
'BA BackOffice'!$G:$G,1,
'BA BackOffice'!$U:$U,"&lt;&gt;YES",
'BA BackOffice'!$K:$K,"&gt;="&amp;$B$1,
'BA BackOffice'!$K:$K,"&lt;"&amp;$C$1+1
)
-
COUNTIFS(
'BA BackOffice'!$C:$C,"TechTools",
'BA BackOffice'!$D:$D,"Incident",
'BA BackOffice'!$G:$G,1,
'BA BackOffice'!$U:$U,"&lt;&gt;YES",
'BA BackOffice'!$I:$I,"Closed",
'BA BackOffice'!$N:$N,"&gt;="&amp;$B$1,
'BA BackOffice'!$N:$N,"&lt;"&amp;$C$1+1
)
-
COUNTIFS(
'BA BackOffice'!$C:$C,"TechTools",
'BA BackOffice'!$D:$D,"Incident",
'BA BackOffice'!$G:$G,1,
'BA BackOffice'!$U:$U,"&lt;&gt;YES",
'BA BackOffice'!$I:$I,"Triaged",
'BA BackOffice'!$N:$N,"&gt;="&amp;$B$1,
'BA BackOffice'!$N:$N,"&lt;"&amp;$C$1+1
)</f>
        <v>0</v>
      </c>
      <c r="G7" s="419">
        <f>COUNTIFS(
'BA BackOffice'!$D:$D,"Incident",
'BA BackOffice'!$G:$G,2,
'BA BackOffice'!$C:$C,"TechTools",
'BA BackOffice'!$U:$U,"NO",
'BA BackOffice'!$L:$L,"&gt;="&amp;$B$1,
'BA BackOffice'!$L:$L,"&lt;"&amp;$C$1+1
)</f>
        <v>0</v>
      </c>
      <c r="H7" s="419">
        <f>SUM(
COUNTIFS(
'BA BackOffice'!$D:$D,"Incident",
'BA BackOffice'!$C:$C,"TechTools",
'BA BackOffice'!$G:$G,2,
'BA BackOffice'!$I:$I,"Closed",
'BA BackOffice'!$U:$U,"NO",
'BA BackOffice'!$N:$N,"&gt;="&amp;$B$1,
'BA BackOffice'!$N:$N,"&lt;"&amp;$C$1+1
),
COUNTIFS(
'BA BackOffice'!$D:$D,"Incident",
'BA BackOffice'!$C:$C,"TechTools",
'BA BackOffice'!$G:$G,2,
'BA BackOffice'!$I:$I,"Triaged",
'BA BackOffice'!$U:$U,"NO",
'BA BackOffice'!$N:$N,"&gt;="&amp;$B$1,
'BA BackOffice'!$N:$N,"&lt;"&amp;$C$1+1
)
)</f>
        <v>0</v>
      </c>
      <c r="I7" s="419">
        <f>COUNTIFS(
'BA BackOffice'!$C:$C,"TechTools",
'BA BackOffice'!$D:$D,"Incident",
'BA BackOffice'!$G:$G,2,
'BA BackOffice'!$U:$U,"&lt;&gt;YES",
'BA BackOffice'!$K:$K,"&lt;"&amp;$B$1,
'BA BackOffice'!$N:$N,""
)
+
COUNTIFS(
'BA BackOffice'!$C:$C,"TechTools",
'BA BackOffice'!$D:$D,"Incident",
'BA BackOffice'!$G:$G,2,
'BA BackOffice'!$U:$U,"&lt;&gt;YES",
'BA BackOffice'!$K:$K,"&lt;"&amp;$B$1,
'BA BackOffice'!$N:$N,"&gt;="&amp;$B$1
)
+
COUNTIFS(
'BA BackOffice'!$C:$C,"TechTools",
'BA BackOffice'!$D:$D,"Incident",
'BA BackOffice'!$G:$G,2,
'BA BackOffice'!$U:$U,"&lt;&gt;YES",
'BA BackOffice'!$K:$K,"&gt;="&amp;$B$1,
'BA BackOffice'!$K:$K,"&lt;"&amp;$C$1+1
)
-
COUNTIFS(
'BA BackOffice'!$C:$C,"TechTools",
'BA BackOffice'!$D:$D,"Incident",
'BA BackOffice'!$G:$G,2,
'BA BackOffice'!$U:$U,"&lt;&gt;YES",
'BA BackOffice'!$I:$I,"Closed",
'BA BackOffice'!$N:$N,"&gt;="&amp;$B$1,
'BA BackOffice'!$N:$N,"&lt;"&amp;$C$1+1
)
-
COUNTIFS(
'BA BackOffice'!$C:$C,"TechTools",
'BA BackOffice'!$D:$D,"Incident",
'BA BackOffice'!$G:$G,2,
'BA BackOffice'!$U:$U,"&lt;&gt;YES",
'BA BackOffice'!$I:$I,"Triaged",
'BA BackOffice'!$N:$N,"&gt;="&amp;$B$1,
'BA BackOffice'!$N:$N,"&lt;"&amp;$C$1+1
)</f>
        <v>0</v>
      </c>
      <c r="J7" s="420">
        <f>COUNTIFS(
'BA BackOffice'!$D:$D,"Incident",
'BA BackOffice'!$G:$G,3,
'BA BackOffice'!$C:$C,"TechTools",
'BA BackOffice'!$U:$U,"NO",
'BA BackOffice'!$L:$L,"&gt;="&amp;$B$1,
'BA BackOffice'!$L:$L,"&lt;"&amp;$C$1+1
)</f>
        <v>6</v>
      </c>
      <c r="K7" s="420">
        <f>SUM(
COUNTIFS(
'BA BackOffice'!$D:$D,"Incident",
'BA BackOffice'!$C:$C,"TechTools",
'BA BackOffice'!$G:$G,3,
'BA BackOffice'!$I:$I,"Closed",
'BA BackOffice'!$U:$U,"NO",
'BA BackOffice'!$N:$N,"&gt;="&amp;$B$1,
'BA BackOffice'!$N:$N,"&lt;"&amp;$C$1+1
),
COUNTIFS(
'BA BackOffice'!$D:$D,"Incident",
'BA BackOffice'!$C:$C,"TechTools",
'BA BackOffice'!$G:$G,3,
'BA BackOffice'!$I:$I,"Triaged",
'BA BackOffice'!$U:$U,"NO",
'BA BackOffice'!$N:$N,"&gt;="&amp;$B$1,
'BA BackOffice'!$N:$N,"&lt;"&amp;$C$1+1
)
)</f>
        <v>8</v>
      </c>
      <c r="L7" s="420">
        <f>COUNTIFS(
'BA BackOffice'!$C:$C,"TechTools",
'BA BackOffice'!$D:$D,"Incident",
'BA BackOffice'!$G:$G,3,
'BA BackOffice'!$U:$U,"&lt;&gt;YES",
'BA BackOffice'!$K:$K,"&lt;"&amp;$B$1,
'BA BackOffice'!$N:$N,""
)
+
COUNTIFS(
'BA BackOffice'!$C:$C,"TechTools",
'BA BackOffice'!$D:$D,"Incident",
'BA BackOffice'!$G:$G,3,
'BA BackOffice'!$U:$U,"&lt;&gt;YES",
'BA BackOffice'!$K:$K,"&lt;"&amp;$B$1,
'BA BackOffice'!$N:$N,"&gt;="&amp;$B$1
)
+
COUNTIFS(
'BA BackOffice'!$C:$C,"TechTools",
'BA BackOffice'!$D:$D,"Incident",
'BA BackOffice'!$G:$G,3,
'BA BackOffice'!$U:$U,"&lt;&gt;YES",
'BA BackOffice'!$K:$K,"&gt;="&amp;$B$1,
'BA BackOffice'!$K:$K,"&lt;"&amp;$C$1+1
)
-
COUNTIFS(
'BA BackOffice'!$C:$C,"TechTools",
'BA BackOffice'!$D:$D,"Incident",
'BA BackOffice'!$G:$G,3,
'BA BackOffice'!$U:$U,"&lt;&gt;YES",
'BA BackOffice'!$I:$I,"Closed",
'BA BackOffice'!$N:$N,"&gt;="&amp;$B$1,
'BA BackOffice'!$N:$N,"&lt;"&amp;$C$1+1
)
-
COUNTIFS(
'BA BackOffice'!$C:$C,"TechTools",
'BA BackOffice'!$D:$D,"Incident",
'BA BackOffice'!$G:$G,3,
'BA BackOffice'!$U:$U,"&lt;&gt;YES",
'BA BackOffice'!$I:$I,"Triaged",
'BA BackOffice'!$N:$N,"&gt;="&amp;$B$1,
'BA BackOffice'!$N:$N,"&lt;"&amp;$C$1+1
)</f>
        <v>0</v>
      </c>
      <c r="M7" s="420">
        <f>COUNTIFS(
'BA BackOffice'!$D:$D,"Incident",
'BA BackOffice'!$G:$G,4,
'BA BackOffice'!$C:$C,"TechTools",
'BA BackOffice'!$U:$U,"NO",
'BA BackOffice'!$L:$L,"&gt;="&amp;$B$1,
'BA BackOffice'!$L:$L,"&lt;"&amp;$C$1+1
)</f>
        <v>7</v>
      </c>
      <c r="N7" s="420">
        <f>SUM(
COUNTIFS(
'BA BackOffice'!$D:$D,"Incident",
'BA BackOffice'!$C:$C,"TechTools",
'BA BackOffice'!$G:$G,4,
'BA BackOffice'!$I:$I,"Closed",
'BA BackOffice'!$U:$U,"NO",
'BA BackOffice'!$N:$N,"&gt;="&amp;$B$1,
'BA BackOffice'!$N:$N,"&lt;"&amp;$C$1+1
),
COUNTIFS(
'BA BackOffice'!$D:$D,"Incident",
'BA BackOffice'!$C:$C,"TechTools",
'BA BackOffice'!$G:$G,4,
'BA BackOffice'!$I:$I,"Triaged",
'BA BackOffice'!$U:$U,"NO",
'BA BackOffice'!$N:$N,"&gt;="&amp;$B$1,
'BA BackOffice'!$N:$N,"&lt;"&amp;$C$1+1
)
)</f>
        <v>7</v>
      </c>
      <c r="O7" s="420">
        <f>COUNTIFS(
'BA BackOffice'!$C:$C,"TechTools",
'BA BackOffice'!$D:$D,"Incident",
'BA BackOffice'!$G:$G,4,
'BA BackOffice'!$U:$U,"&lt;&gt;YES",
'BA BackOffice'!$K:$K,"&lt;"&amp;$B$1,
'BA BackOffice'!$N:$N,""
)
+
COUNTIFS(
'BA BackOffice'!$C:$C,"TechTools",
'BA BackOffice'!$D:$D,"Incident",
'BA BackOffice'!$G:$G,4,
'BA BackOffice'!$U:$U,"&lt;&gt;YES",
'BA BackOffice'!$K:$K,"&lt;"&amp;$B$1,
'BA BackOffice'!$N:$N,"&gt;="&amp;$B$1
)
+
COUNTIFS(
'BA BackOffice'!$C:$C,"TechTools",
'BA BackOffice'!$D:$D,"Incident",
'BA BackOffice'!$G:$G,4,
'BA BackOffice'!$U:$U,"&lt;&gt;YES",
'BA BackOffice'!$K:$K,"&gt;="&amp;$B$1,
'BA BackOffice'!$K:$K,"&lt;"&amp;$C$1+1
)
-
COUNTIFS(
'BA BackOffice'!$C:$C,"TechTools",
'BA BackOffice'!$D:$D,"Incident",
'BA BackOffice'!$G:$G,4,
'BA BackOffice'!$U:$U,"&lt;&gt;YES",
'BA BackOffice'!$I:$I,"Closed",
'BA BackOffice'!$N:$N,"&gt;="&amp;$B$1,
'BA BackOffice'!$N:$N,"&lt;"&amp;$C$1+1
)
-
COUNTIFS(
'BA BackOffice'!$C:$C,"TechTools",
'BA BackOffice'!$D:$D,"Incident",
'BA BackOffice'!$G:$G,4,
'BA BackOffice'!$U:$U,"&lt;&gt;YES",
'BA BackOffice'!$I:$I,"Triaged",
'BA BackOffice'!$N:$N,"&gt;="&amp;$B$1,
'BA BackOffice'!$N:$N,"&lt;"&amp;$C$1+1
)</f>
        <v>0</v>
      </c>
      <c r="P7" s="420">
        <f>COUNTIFS(
'BA BackOffice'!$D:$D,"RFS",
'BA BackOffice'!$C:$C,"TechTools",
'BA BackOffice'!$U:$U,"No",
'BA BackOffice'!$L:$L,"&gt;="&amp;$B$1,
'BA BackOffice'!$L:$L,"&lt;"&amp;$C$1+1
)</f>
        <v>0</v>
      </c>
      <c r="Q7" s="420">
        <f>SUM(
COUNTIFS(
'BA BackOffice'!$D:$D,"RFS",
'BA BackOffice'!$C:$C,"TechTools",
'BA BackOffice'!$I:$I,"Closed",
'BA BackOffice'!$U:$U,"NO",
'BA BackOffice'!$N:$N,"&gt;="&amp;$B$1,
'BA BackOffice'!$N:$N,"&lt;"&amp;$C$1+1
),
COUNTIFS(
'BA BackOffice'!$D:$D,"RFS",
'BA BackOffice'!$C:$C,"TechTools",
'BA BackOffice'!$I:$I,"Triaged",
'BA BackOffice'!$U:$U,"NO",
'BA BackOffice'!$N:$N,"&gt;="&amp;$B$1,
'BA BackOffice'!$N:$N,"&lt;"&amp;$C$1+1
)
)</f>
        <v>3</v>
      </c>
      <c r="R7" s="420">
        <f>COUNTIFS(
'BA BackOffice'!$D:$D,"RFS",
'BA BackOffice'!$C:$C,"TechTools",
'BA BackOffice'!$U:$U,"&lt;&gt;YES",
'BA BackOffice'!$K:$K,"&lt;"&amp;$B$1,
'BA BackOffice'!$N:$N,""
)
+
COUNTIFS(
'BA BackOffice'!$D:$D,"RFS",
'BA BackOffice'!$C:$C,"TechTools",
'BA BackOffice'!$U:$U,"&lt;&gt;YES",
'BA BackOffice'!$K:$K,"&lt;"&amp;$B$1,
'BA BackOffice'!$N:$N,"&gt;="&amp;$B$1
)
+
COUNTIFS(
'BA BackOffice'!$D:$D,"RFS",
'BA BackOffice'!$C:$C,"TechTools",
'BA BackOffice'!$U:$U,"&lt;&gt;YES",
'BA BackOffice'!$K:$K,"&gt;="&amp;$B$1,
'BA BackOffice'!$K:$K,"&lt;"&amp;$C$1+1
)
-
COUNTIFS(
'BA BackOffice'!$D:$D,"RFS",
'BA BackOffice'!$C:$C,"TechTools",
'BA BackOffice'!$I:$I,"Closed",
'BA BackOffice'!$U:$U,"&lt;&gt;YES",
'BA BackOffice'!$N:$N,"&gt;="&amp;$B$1,
'BA BackOffice'!$N:$N,"&lt;"&amp;$C$1+1
)
-
COUNTIFS(
'BA BackOffice'!$D:$D,"RFS",
'BA BackOffice'!$C:$C,"TechTools",
'BA BackOffice'!$I:$I,"Triaged",
'BA BackOffice'!$U:$U,"&lt;&gt;YES",
'BA BackOffice'!$N:$N,"&gt;="&amp;$B$1,
'BA BackOffice'!$N:$N,"&lt;"&amp;$C$1+1
)</f>
        <v>1</v>
      </c>
      <c r="S7" s="420">
        <f>SUM(
COUNTIFS(
'BA BackOffice'!$D:$D,"P_Ticket",
'BA BackOffice'!$G:$G,"Low",
'BA BackOffice'!$C:$C,"TechTools",
'BA BackOffice'!$U:$U,"NO",
'BA BackOffice'!$L:$L,"&gt;="&amp;$B$1,
'BA BackOffice'!$L:$L,"&lt;"&amp;$C$1+1
),
COUNTIFS(
'BA BackOffice'!$D:$D,"P_Ticket",
'BA BackOffice'!$G:$G,"Medium",
'BA BackOffice'!$C:$C,"TechTools",
'BA BackOffice'!$U:$U,"NO",
'BA BackOffice'!$L:$L,"&gt;="&amp;$B$1,
'BA BackOffice'!$L:$L,"&lt;"&amp;$C$1+1
),
COUNTIFS(
'BA BackOffice'!$D:$D,"P_Ticket",
'BA BackOffice'!$G:$G,"High",
'BA BackOffice'!$C:$C,"TechTools",
'BA BackOffice'!$U:$U,"NO",
'BA BackOffice'!$L:$L,"&gt;="&amp;$B$1,
'BA BackOffice'!$L:$L,"&lt;"&amp;$C$1+1
)
)</f>
        <v>0</v>
      </c>
      <c r="T7" s="420">
        <f>SUM(COUNTIFS('BA BackOffice'!$D:$D,"P_Ticket",'BA BackOffice'!$C:$C,"TechTools",'BA BackOffice'!$G:$G,"Low",'BA BackOffice'!$I:$I,"Closed",'BA BackOffice'!$U:$U,"NO",'BA BackOffice'!$N:$N,"&lt;"&amp;$C$1+1,'BA BackOffice'!$N:$N,"&gt;="&amp;$B$1),COUNTIFS('BA BackOffice'!$D:$D,"P_Ticket",'BA BackOffice'!$C:$C,"TechTools",'BA BackOffice'!$G:$G,"Medium",'BA BackOffice'!$I:$I,"Closed",'BA BackOffice'!$U:$U,"NO",'BA BackOffice'!$N:$N,"&lt;"&amp;$C$1+1,'BA BackOffice'!$N:$N,"&gt;="&amp;$B$1),COUNTIFS('BA BackOffice'!$D:$D,"P_Ticket",'BA BackOffice'!$C:$C,"TechTools",'BA BackOffice'!$G:$G,"High",'BA BackOffice'!$I:$I,"Closed",'BA BackOffice'!$U:$U,"NO",'BA BackOffice'!$N:$N,"&lt;"&amp;$C$1+1,'BA BackOffice'!$N:$N,"&gt;="&amp;$B$1),COUNTIFS('BA BackOffice'!$D:$D,"P_Ticket",'BA BackOffice'!$C:$C,"TechTools",'BA BackOffice'!$G:$G,"Low",'BA BackOffice'!$I:$I,"Triaged",'BA BackOffice'!$U:$U,"NO",'BA BackOffice'!$N:$N,"&lt;"&amp;$C$1+1,'BA BackOffice'!$N:$N,"&gt;="&amp;$B$1),COUNTIFS('BA BackOffice'!$D:$D,"P_Ticket",'BA BackOffice'!$C:$C,"TechTools",'BA BackOffice'!$G:$G,"Medium",'BA BackOffice'!$I:$I,"Triaged",'BA BackOffice'!$U:$U,"NO",'BA BackOffice'!$N:$N,"&lt;"&amp;$C$1+1,'BA BackOffice'!$N:$N,"&gt;="&amp;$B$1),COUNTIFS('BA BackOffice'!$D:$D,"P_Ticket",'BA BackOffice'!$C:$C,"TechTools",'BA BackOffice'!$G:$G,"High",'BA BackOffice'!$I:$I,"Triaged",'BA BackOffice'!$U:$U,"NO",'BA BackOffice'!$N:$N,"&lt;"&amp;$C$1+1,'BA BackOffice'!$N:$N,"&gt;="&amp;$B$1))</f>
        <v>0</v>
      </c>
      <c r="U7" s="420"/>
      <c r="V7" s="420"/>
      <c r="W7" s="420">
        <f>COUNTIFS(
'BA BackOffice'!$D:$D,"P_Ticket",
'BA BackOffice'!$G:$G,"High",
'BA BackOffice'!$C:$C,"TechTools",
'BA BackOffice'!$U:$U,"NO",
'BA BackOffice'!$L:$L,"&gt;="&amp;$B$1,
'BA BackOffice'!$L:$L,"&lt;"&amp;$C$1+1
)</f>
        <v>0</v>
      </c>
      <c r="X7" s="420">
        <f>SUM(
COUNTIFS(
'BA BackOffice'!$D:$D,"P_Ticket",
'BA BackOffice'!$C:$C,"TechTools",
'BA BackOffice'!$G:$G,"High",
'BA BackOffice'!$I:$I,"Closed",
'BA BackOffice'!$U:$U,"NO",
'BA BackOffice'!$N:$N,"&lt;"&amp;$C$1+1,
'BA BackOffice'!$N:$N,"&gt;="&amp;$B$1
),
COUNTIFS(
'BA BackOffice'!$D:$D,"P_Ticket",
'BA BackOffice'!$C:$C,"TechTools",
'BA BackOffice'!$G:$G,"High",
'BA BackOffice'!$I:$I,"Triaged",
'BA BackOffice'!$U:$U,"NO",
'BA BackOffice'!$N:$N,"&lt;"&amp;$C$1+1,
'BA BackOffice'!$N:$N,"&gt;="&amp;$B$1
)
)</f>
        <v>0</v>
      </c>
    </row>
    <row r="8" spans="1:24" s="421" customFormat="1" ht="15" customHeight="1">
      <c r="A8" s="416" t="s">
        <v>34</v>
      </c>
      <c r="B8" s="177" t="s">
        <v>26</v>
      </c>
      <c r="C8" s="417" t="s">
        <v>35</v>
      </c>
      <c r="D8" s="418">
        <f>COUNTIFS(
'BA AO'!$D:$D,"Incident",
'BA AO'!$G:$G,1,
'BA AO'!$U:$U,"NO",
'BA AO'!$L:$L,"&gt;="&amp;$B$1,
'BA AO'!$L:$L,"&lt;"&amp;$C$1+1
)</f>
        <v>0</v>
      </c>
      <c r="E8" s="419">
        <f>SUM(
COUNTIFS(
'BA AO'!$D:$D,"Incident",
'BA AO'!$G:$G,1,
'BA AO'!$I:$I,"Closed",
'BA AO'!$U:$U,"NO",
'BA AO'!$N:$N,"&gt;="&amp;$B$1,
'BA AO'!$N:$N,"&lt;"&amp;$C$1+1
),
COUNTIFS(
'BA AO'!$D:$D,"Incident",
'BA AO'!$G:$G,1,
'BA AO'!$I:$I,"Triaged",
'BA AO'!$U:$U,"NO",
'BA AO'!$N:$N,"&gt;="&amp;$B$1,
'BA AO'!$N:$N,"&lt;"&amp;$C$1+1
)
)</f>
        <v>0</v>
      </c>
      <c r="F8" s="419">
        <f>COUNTIFS(
'BA AO'!$D:$D,"Incident",
'BA AO'!$G:$G,1,
'BA AO'!$U:$U,"&lt;&gt;YES",
'BA AO'!$K:$K,"&lt;"&amp;$B$1,
'BA AO'!$N:$N,""
)
+
COUNTIFS(
'BA AO'!$D:$D,"Incident",
'BA AO'!$G:$G,1,
'BA AO'!$U:$U,"&lt;&gt;YES",
'BA AO'!$K:$K,"&lt;"&amp;$B$1,
'BA AO'!$N:$N,"&gt;="&amp;$B$1
)
+
COUNTIFS(
'BA AO'!$D:$D,"Incident",
'BA AO'!$G:$G,1,
'BA AO'!$U:$U,"&lt;&gt;YES",
'BA AO'!$K:$K,"&gt;="&amp;$B$1,
'BA AO'!$K:$K,"&lt;"&amp;$C$1+1
)
-
COUNTIFS(
'BA AO'!$D:$D,"Incident",
'BA AO'!$G:$G,1,
'BA AO'!$U:$U,"&lt;&gt;YES",
'BA AO'!$I:$I,"Closed",
'BA AO'!$N:$N,"&gt;="&amp;$B$1,
'BA AO'!$N:$N,"&lt;"&amp;$C$1+1
)
-
COUNTIFS(
'BA AO'!$D:$D,"Incident",
'BA AO'!$G:$G,1,
'BA AO'!$U:$U,"&lt;&gt;YES",
'BA AO'!$I:$I,"Triaged",
'BA AO'!$N:$N,"&gt;="&amp;$B$1,
'BA AO'!$N:$N,"&lt;"&amp;$C$1+1
)</f>
        <v>0</v>
      </c>
      <c r="G8" s="419">
        <f>COUNTIFS(
'BA AO'!$D:$D,"Incident",
'BA AO'!$G:$G,2,
'BA AO'!$U:$U,"NO",
'BA AO'!$L:$L,"&gt;="&amp;$B$1,
'BA AO'!$L:$L,"&lt;"&amp;$C$1+1
)</f>
        <v>0</v>
      </c>
      <c r="H8" s="419">
        <f>SUM(
COUNTIFS(
'BA AO'!$D:$D,"Incident",
'BA AO'!$G:$G,2,
'BA AO'!$I:$I,"Closed",
'BA AO'!$U:$U,"NO",
'BA AO'!$N:$N,"&gt;="&amp;$B$1,
'BA AO'!$N:$N,"&lt;"&amp;$C$1+1
),
COUNTIFS(
'BA AO'!$D:$D,"Incident",
'BA AO'!$G:$G,2,
'BA AO'!$I:$I,"Triaged",
'BA AO'!$U:$U,"NO",
'BA AO'!$N:$N,"&gt;="&amp;$B$1,
'BA AO'!$N:$N,"&lt;"&amp;$C$1+1
)
)</f>
        <v>0</v>
      </c>
      <c r="I8" s="419">
        <f>COUNTIFS(
'BA AO'!$D:$D,"Incident",
'BA AO'!$G:$G,2,
'BA AO'!$U:$U,"&lt;&gt;YES",
'BA AO'!$K:$K,"&lt;"&amp;$B$1,
'BA AO'!$N:$N,""
)
+
COUNTIFS(
'BA AO'!$D:$D,"Incident",
'BA AO'!$G:$G,2,
'BA AO'!$U:$U,"&lt;&gt;YES",
'BA AO'!$K:$K,"&lt;"&amp;$B$1,
'BA AO'!$N:$N,"&gt;="&amp;$B$1
)
+
COUNTIFS(
'BA AO'!$D:$D,"Incident",
'BA AO'!$G:$G,2,
'BA AO'!$U:$U,"&lt;&gt;YES",
'BA AO'!$K:$K,"&gt;="&amp;$B$1,
'BA AO'!$K:$K,"&lt;"&amp;$C$1+1
)
-
COUNTIFS(
'BA AO'!$D:$D,"Incident",
'BA AO'!$G:$G,2,
'BA AO'!$U:$U,"&lt;&gt;YES",
'BA AO'!$I:$I,"Closed",
'BA AO'!$N:$N,"&gt;="&amp;$B$1,
'BA AO'!$N:$N,"&lt;"&amp;$C$1+1
)
-
COUNTIFS(
'BA AO'!$D:$D,"Incident",
'BA AO'!$G:$G,2,
'BA AO'!$U:$U,"&lt;&gt;YES",
'BA AO'!$I:$I,"Triaged",
'BA AO'!$N:$N,"&gt;="&amp;$B$1,
'BA AO'!$N:$N,"&lt;"&amp;$C$1+1
)</f>
        <v>0</v>
      </c>
      <c r="J8" s="420">
        <f>COUNTIFS(
'BA AO'!$D:$D,"Incident",
'BA AO'!$G:$G,3,
'BA AO'!$U:$U,"NO",
'BA AO'!$L:$L,"&gt;="&amp;$B$1,
'BA AO'!$L:$L,"&lt;"&amp;$C$1+1
)</f>
        <v>0</v>
      </c>
      <c r="K8" s="420">
        <f>SUM(
COUNTIFS(
'BA AO'!$D:$D,"Incident",
'BA AO'!$G:$G,3,
'BA AO'!$I:$I,"Closed",
'BA AO'!$U:$U,"NO",
'BA AO'!$N:$N,"&gt;="&amp;$B$1,
'BA AO'!$N:$N,"&lt;"&amp;$C$1+1
),
COUNTIFS(
'BA AO'!$D:$D,"Incident",
'BA AO'!$G:$G,3,
'BA AO'!$I:$I,"Triaged",
'BA AO'!$U:$U,"NO",
'BA AO'!$N:$N,"&gt;="&amp;$B$1,
'BA AO'!$N:$N,"&lt;"&amp;$C$1+1
)
)</f>
        <v>2</v>
      </c>
      <c r="L8" s="420">
        <f>COUNTIFS(
'BA AO'!$D:$D,"Incident",
'BA AO'!$G:$G,3,
'BA AO'!$U:$U,"&lt;&gt;YES",
'BA AO'!$K:$K,"&lt;"&amp;$B$1,
'BA AO'!$N:$N,""
)
+
COUNTIFS(
'BA AO'!$D:$D,"Incident",
'BA AO'!$G:$G,3,
'BA AO'!$U:$U,"&lt;&gt;YES",
'BA AO'!$K:$K,"&lt;"&amp;$B$1,
'BA AO'!$N:$N,"&gt;="&amp;$B$1
)
+
COUNTIFS(
'BA AO'!$D:$D,"Incident",
'BA AO'!$G:$G,3,
'BA AO'!$U:$U,"&lt;&gt;YES",
'BA AO'!$K:$K,"&gt;="&amp;$B$1,
'BA AO'!$K:$K,"&lt;"&amp;$C$1+1
)
-
COUNTIFS(
'BA AO'!$D:$D,"Incident",
'BA AO'!$G:$G,3,
'BA AO'!$U:$U,"&lt;&gt;YES",
'BA AO'!$I:$I,"Closed",
'BA AO'!$N:$N,"&gt;="&amp;$B$1,
'BA AO'!$N:$N,"&lt;"&amp;$C$1+1
)
-
COUNTIFS(
'BA AO'!$D:$D,"Incident",
'BA AO'!$G:$G,3,
'BA AO'!$U:$U,"&lt;&gt;YES",
'BA AO'!$I:$I,"Triaged",
'BA AO'!$N:$N,"&gt;="&amp;$B$1,
'BA AO'!$N:$N,"&lt;"&amp;$C$1+1
)</f>
        <v>55</v>
      </c>
      <c r="M8" s="420">
        <f>COUNTIFS(
'BA AO'!$D:$D,"Incident",
'BA AO'!$G:$G,4,
'BA AO'!$U:$U,"NO",
'BA AO'!$L:$L,"&gt;="&amp;$B$1,
'BA AO'!$L:$L,"&lt;"&amp;$C$1+1
)</f>
        <v>4</v>
      </c>
      <c r="N8" s="420">
        <f>SUM(
COUNTIFS(
'BA AO'!$D:$D,"Incident",
'BA AO'!$G:$G,4,
'BA AO'!$I:$I,"Closed",
'BA AO'!$U:$U,"NO",
'BA AO'!$N:$N,"&gt;="&amp;$B$1,
'BA AO'!$N:$N,"&lt;"&amp;$C$1+1
),
COUNTIFS(
'BA AO'!$D:$D,"Incident",
'BA AO'!$G:$G,4,
'BA AO'!$I:$I,"Triaged",
'BA AO'!$U:$U,"NO",
'BA AO'!$N:$N,"&gt;="&amp;$B$1,
'BA AO'!$N:$N,"&lt;"&amp;$C$1+1
)
)</f>
        <v>3</v>
      </c>
      <c r="O8" s="420">
        <f>COUNTIFS(
'BA AO'!$D:$D,"Incident",
'BA AO'!$G:$G,4,
'BA AO'!$U:$U,"&lt;&gt;YES",
'BA AO'!$K:$K,"&lt;"&amp;$B$1,
'BA AO'!$N:$N,""
)
+
COUNTIFS(
'BA AO'!$D:$D,"Incident",
'BA AO'!$G:$G,4,
'BA AO'!$U:$U,"&lt;&gt;YES",
'BA AO'!$K:$K,"&lt;"&amp;$B$1,
'BA AO'!$N:$N,"&gt;="&amp;$B$1
)
+
COUNTIFS(
'BA AO'!$D:$D,"Incident",
'BA AO'!$G:$G,4,
'BA AO'!$U:$U,"&lt;&gt;YES",
'BA AO'!$K:$K,"&gt;="&amp;$B$1,
'BA AO'!$K:$K,"&lt;"&amp;$C$1+1
)
-
COUNTIFS(
'BA AO'!$D:$D,"Incident",
'BA AO'!$G:$G,4,
'BA AO'!$U:$U,"&lt;&gt;YES",
'BA AO'!$I:$I,"Closed",
'BA AO'!$N:$N,"&gt;="&amp;$B$1,
'BA AO'!$N:$N,"&lt;"&amp;$C$1+1
)
-
COUNTIFS(
'BA AO'!$D:$D,"Incident",
'BA AO'!$G:$G,4,
'BA AO'!$U:$U,"&lt;&gt;YES",
'BA AO'!$I:$I,"Triaged",
'BA AO'!$N:$N,"&gt;="&amp;$B$1,
'BA AO'!$N:$N,"&lt;"&amp;$C$1+1
)</f>
        <v>56</v>
      </c>
      <c r="P8" s="420">
        <f>COUNTIFS(
'BA AO'!$D:$D,"RFS",
'BA AO'!$U:$U,"NO",
'BA AO'!$L:$L,"&gt;="&amp;$B$1,
'BA AO'!$L:$L,"&lt;"&amp;$C$1+1
)</f>
        <v>0</v>
      </c>
      <c r="Q8" s="420">
        <f>SUM(
COUNTIFS(
'BA AO'!$D:$D,"RFS",
'BA AO'!$I:$I,"Closed",
'BA AO'!$U:$U,"NO",
'BA AO'!$N:$N,"&gt;="&amp;$B$1,
'BA AO'!$N:$N,"&lt;"&amp;$C$1+1
),
COUNTIFS(
'BA AO'!$D:$D,"RFS",
'BA AO'!$I:$I,"Triaged",
'BA AO'!$U:$U,"NO",
'BA AO'!$N:$N,"&gt;="&amp;$B$1,
'BA AO'!$N:$N,"&lt;"&amp;$C$1+1
)
)</f>
        <v>1</v>
      </c>
      <c r="R8" s="420">
        <f>COUNTIFS(
'BA AO'!$D:$D,"RFS",
'BA AO'!$U:$U,"&lt;&gt;YES",
'BA AO'!$K:$K,"&lt;"&amp;$B$1,
'BA AO'!$N:$N,""
)
+
COUNTIFS(
'BA AO'!$D:$D,"RFS",
'BA AO'!$U:$U,"&lt;&gt;YES",
'BA AO'!$K:$K,"&lt;"&amp;$B$1,
'BA AO'!$N:$N,"&gt;="&amp;$B$1
)
+
COUNTIFS(
'BA AO'!$D:$D,"RFS",
'BA AO'!$U:$U,"&lt;&gt;YES",
'BA AO'!$K:$K,"&gt;="&amp;$B$1,
'BA AO'!$K:$K,"&lt;"&amp;$C$1+1
)
-
COUNTIFS(
'BA AO'!$D:$D,"RFS",
'BA AO'!$I:$I,"Closed",
'BA AO'!$U:$U,"&lt;&gt;YES",
'BA AO'!$N:$N,"&gt;="&amp;$B$1,
'BA AO'!$N:$N,"&lt;"&amp;$C$1+1
)
-
COUNTIFS(
'BA AO'!$D:$D,"RFS",
'BA AO'!$I:$I,"Triaged",
'BA AO'!$U:$U,"&lt;&gt;YES",
'BA AO'!$N:$N,"&gt;="&amp;$B$1,
'BA AO'!$N:$N,"&lt;"&amp;$C$1+1
)</f>
        <v>79</v>
      </c>
      <c r="S8" s="420">
        <f>SUM(
COUNTIFS(
'BA AO'!$D:$D,"P_Ticket",
'BA AO'!$G:$G,"Low",
'BA AO'!$U:$U,"NO",
'BA AO'!$L:$L,"&gt;="&amp;$B$1,
'BA AO'!$L:$L,"&lt;"&amp;$C$1+1
),
COUNTIFS(
'BA AO'!$D:$D,"P_Ticket",
'BA AO'!$G:$G,"Medium",
'BA AO'!$U:$U,"NO",
'BA AO'!$L:$L,"&gt;="&amp;$B$1,
'BA AO'!$L:$L,"&lt;"&amp;$C$1+1
),
COUNTIFS(
'BA AO'!$D:$D,"P_Ticket",
'BA AO'!$G:$G,"High",
'BA AO'!$U:$U,"NO",
'BA AO'!$L:$L,"&gt;="&amp;$B$1,
'BA AO'!$L:$L,"&lt;"&amp;$C$1+1
)
)</f>
        <v>0</v>
      </c>
      <c r="T8" s="420">
        <f>SUM(COUNTIFS('BA AO'!$D:$D,"P_Ticket",'BA AO'!$G:$G,"Low",'BA AO'!$I:$I,"Closed",'BA AO'!$U:$U,"NO",'BA AO'!$N:$N,"&lt;"&amp;$C$1+1,'BA AO'!$N:$N,"&gt;="&amp;$B$1),COUNTIFS('BA AO'!$D:$D,"P_Ticket",'BA AO'!$G:$G,"Medium",'BA AO'!$I:$I,"Closed",'BA AO'!$U:$U,"NO",'BA AO'!$N:$N,"&lt;"&amp;$C$1+1,'BA AO'!$N:$N,"&gt;="&amp;$B$1),COUNTIFS('BA AO'!$D:$D,"P_Ticket",'BA AO'!$G:$G,"High",'BA AO'!$I:$I,"Closed",'BA AO'!$U:$U,"NO",'BA AO'!$N:$N,"&lt;"&amp;$C$1+1,'BA AO'!$N:$N,"&gt;="&amp;$B$1),COUNTIFS('BA AO'!$D:$D,"P_Ticket",'BA AO'!$G:$G,"Low",'BA AO'!$I:$I,"Triaged",'BA AO'!$U:$U,"NO",'BA AO'!$N:$N,"&lt;"&amp;$C$1+1,'BA AO'!$N:$N,"&gt;="&amp;$B$1),COUNTIFS('BA AO'!$D:$D,"P_Ticket",'BA AO'!$G:$G,"Medium",'BA AO'!$I:$I,"Triaged",'BA AO'!$U:$U,"NO",'BA AO'!$N:$N,"&lt;"&amp;$C$1+1,'BA AO'!$N:$N,"&gt;="&amp;$B$1),COUNTIFS('BA AO'!$D:$D,"P_Ticket",'BA AO'!$G:$G,"High",'BA AO'!$I:$I,"Triaged",'BA AO'!$U:$U,"NO",'BA AO'!$N:$N,"&lt;"&amp;$C$1+1,'BA AO'!$N:$N,"&gt;="&amp;$B$1))</f>
        <v>0</v>
      </c>
      <c r="U8" s="420"/>
      <c r="V8" s="420"/>
      <c r="W8" s="420">
        <f>COUNTIFS(
'BA AO'!$D:$D,"P_Ticket",
'BA AO'!$G:$G,"High",
'BA AO'!$U:$U,"NO",
'BA AO'!$L:$L,"&gt;="&amp;$B$1,
'BA AO'!$L:$L,"&lt;"&amp;$C$1+1
)</f>
        <v>0</v>
      </c>
      <c r="X8" s="420">
        <f>SUM(
COUNTIFS(
'BA AO'!$D:$D,"P_Ticket",
'BA AO'!$G:$G,"High",
'BA AO'!$I:$I,"Closed",
'BA AO'!$U:$U,"NO",
'BA AO'!$N:$N,"&lt;"&amp;$C$1+1,
'BA AO'!$N:$N,"&gt;="&amp;$B$1
),
COUNTIFS(
'BA AO'!$D:$D,"P_Ticket",
'BA AO'!$G:$G,"High",
'BA AO'!$I:$I,"Triaged",
'BA AO'!$U:$U,"NO",
'BA AO'!$N:$N,"&lt;"&amp;$C$1+1,
'BA AO'!$N:$N,"&gt;="&amp;$B$1
)
)</f>
        <v>0</v>
      </c>
    </row>
    <row r="9" spans="1:24" s="421" customFormat="1" ht="15" customHeight="1">
      <c r="A9" s="416" t="s">
        <v>36</v>
      </c>
      <c r="B9" s="177" t="s">
        <v>26</v>
      </c>
      <c r="C9" s="417" t="s">
        <v>37</v>
      </c>
      <c r="D9" s="418">
        <f>COUNTIFS(
'BA Mobile'!$D:$D,"Incident",
'BA Mobile'!$G:$G,1,
'BA Mobile'!$U:$U,"NO",
'BA Mobile'!$L:$L,"&gt;="&amp;$B$1,
'BA Mobile'!$L:$L,"&lt;"&amp;$C$1+1
)</f>
        <v>0</v>
      </c>
      <c r="E9" s="419">
        <f>SUM(
COUNTIFS(
'BA Mobile'!$D:$D,"Incident",
'BA Mobile'!$G:$G,1,
'BA Mobile'!$I:$I,"Closed",
'BA Mobile'!$U:$U,"NO",
'BA Mobile'!$N:$N,"&gt;="&amp;$B$1,
'BA Mobile'!$N:$N,"&lt;"&amp;$C$1+1
),
COUNTIFS(
'BA Mobile'!$D:$D,"Incident",
'BA Mobile'!$G:$G,1,
'BA Mobile'!$I:$I,"Triaged",
'BA Mobile'!$U:$U,"NO",
'BA Mobile'!$N:$N,"&gt;="&amp;$B$1,
'BA Mobile'!$N:$N,"&lt;"&amp;$C$1+1
)
)</f>
        <v>0</v>
      </c>
      <c r="F9" s="419">
        <f>COUNTIFS(
'BA Mobile'!$D:$D,"Incident",
'BA Mobile'!$G:$G,1,
'BA Mobile'!$U:$U,"&lt;&gt;YES",
'BA Mobile'!$K:$K,"&lt;"&amp;$B$1,
'BA Mobile'!$N:$N,""
)
+
COUNTIFS(
'BA Mobile'!$D:$D,"Incident",
'BA Mobile'!$G:$G,1,
'BA Mobile'!$U:$U,"&lt;&gt;YES",
'BA Mobile'!$K:$K,"&lt;"&amp;$B$1,
'BA Mobile'!$N:$N,"&gt;="&amp;$B$1
)
+
COUNTIFS(
'BA Mobile'!$D:$D,"Incident",
'BA Mobile'!$G:$G,1,
'BA Mobile'!$U:$U,"&lt;&gt;YES",
'BA Mobile'!$K:$K,"&gt;="&amp;$B$1,
'BA Mobile'!$K:$K,"&lt;"&amp;$C$1+1
)
-
COUNTIFS(
'BA Mobile'!$D:$D,"Incident",
'BA Mobile'!$G:$G,1,
'BA Mobile'!$U:$U,"&lt;&gt;YES",
'BA Mobile'!$I:$I,"Closed",
'BA Mobile'!$N:$N,"&gt;="&amp;$B$1,
'BA Mobile'!$N:$N,"&lt;"&amp;$C$1+1
)
-
COUNTIFS(
'BA Mobile'!$D:$D,"Incident",
'BA Mobile'!$G:$G,1,
'BA Mobile'!$U:$U,"&lt;&gt;YES",
'BA Mobile'!$I:$I,"Triaged",
'BA Mobile'!$N:$N,"&gt;="&amp;$B$1,
'BA Mobile'!$N:$N,"&lt;"&amp;$C$1+1
)</f>
        <v>0</v>
      </c>
      <c r="G9" s="419">
        <f>COUNTIFS(
'BA Mobile'!$D:$D,"Incident",
'BA Mobile'!$G:$G,2,
'BA Mobile'!$U:$U,"NO",
'BA Mobile'!$L:$L,"&gt;="&amp;$B$1,
'BA Mobile'!$L:$L,"&lt;"&amp;$C$1+1
)</f>
        <v>0</v>
      </c>
      <c r="H9" s="419">
        <f>SUM(
COUNTIFS(
'BA Mobile'!$D:$D,"Incident",
'BA Mobile'!$G:$G,2,
'BA Mobile'!$I:$I,"Closed",
'BA Mobile'!$U:$U,"NO",
'BA Mobile'!$N:$N,"&gt;="&amp;$B$1,
'BA Mobile'!$N:$N,"&lt;"&amp;$C$1+1
),
COUNTIFS(
'BA Mobile'!$D:$D,"Incident",
'BA Mobile'!$G:$G,2,
'BA Mobile'!$I:$I,"Triaged",
'BA Mobile'!$U:$U,"NO",
'BA Mobile'!$N:$N,"&gt;="&amp;$B$1,
'BA Mobile'!$N:$N,"&lt;"&amp;$C$1+1
)
)</f>
        <v>0</v>
      </c>
      <c r="I9" s="419">
        <f>COUNTIFS(
'BA Mobile'!$D:$D,"Incident",
'BA Mobile'!$G:$G,2,
'BA Mobile'!$U:$U,"&lt;&gt;YES",
'BA Mobile'!$K:$K,"&lt;"&amp;$B$1,
'BA Mobile'!$N:$N,""
)
+
COUNTIFS(
'BA Mobile'!$D:$D,"Incident",
'BA Mobile'!$G:$G,2,
'BA Mobile'!$U:$U,"&lt;&gt;YES",
'BA Mobile'!$K:$K,"&lt;"&amp;$B$1,
'BA Mobile'!$N:$N,"&gt;="&amp;$B$1
)
+
COUNTIFS(
'BA Mobile'!$D:$D,"Incident",
'BA Mobile'!$G:$G,2,
'BA Mobile'!$U:$U,"&lt;&gt;YES",
'BA Mobile'!$K:$K,"&gt;="&amp;$B$1,
'BA Mobile'!$K:$K,"&lt;"&amp;$C$1+1
)
-
COUNTIFS(
'BA Mobile'!$D:$D,"Incident",
'BA Mobile'!$G:$G,2,
'BA Mobile'!$U:$U,"&lt;&gt;YES",
'BA Mobile'!$I:$I,"Closed",
'BA Mobile'!$N:$N,"&gt;="&amp;$B$1,
'BA Mobile'!$N:$N,"&lt;"&amp;$C$1+1
)
-
COUNTIFS(
'BA Mobile'!$D:$D,"Incident",
'BA Mobile'!$G:$G,2,
'BA Mobile'!$U:$U,"&lt;&gt;YES",
'BA Mobile'!$I:$I,"Triaged",
'BA Mobile'!$N:$N,"&gt;="&amp;$B$1,
'BA Mobile'!$N:$N,"&lt;"&amp;$C$1+1
)</f>
        <v>0</v>
      </c>
      <c r="J9" s="420">
        <f>COUNTIFS(
'BA Mobile'!$D:$D,"Incident",
'BA Mobile'!$G:$G,3,
'BA Mobile'!$U:$U,"NO",
'BA Mobile'!$L:$L,"&gt;="&amp;$B$1,
'BA Mobile'!$L:$L,"&lt;"&amp;$C$1+1
)</f>
        <v>0</v>
      </c>
      <c r="K9" s="420">
        <f>SUM(
COUNTIFS(
'BA Mobile'!$D:$D,"Incident",
'BA Mobile'!$G:$G,3,
'BA Mobile'!$I:$I,"Closed",
'BA Mobile'!$U:$U,"NO",
'BA Mobile'!$N:$N,"&gt;="&amp;$B$1,
'BA Mobile'!$N:$N,"&lt;"&amp;$C$1+1
),
COUNTIFS(
'BA Mobile'!$D:$D,"Incident",
'BA Mobile'!$G:$G,3,
'BA Mobile'!$I:$I,"Triaged",
'BA Mobile'!$U:$U,"NO",
'BA Mobile'!$N:$N,"&gt;="&amp;$B$1,
'BA Mobile'!$N:$N,"&lt;"&amp;$C$1+1
)
)</f>
        <v>0</v>
      </c>
      <c r="L9" s="420">
        <f>COUNTIFS(
'BA Mobile'!$D:$D,"Incident",
'BA Mobile'!$G:$G,3,
'BA Mobile'!$U:$U,"&lt;&gt;YES",
'BA Mobile'!$K:$K,"&lt;"&amp;$B$1,
'BA Mobile'!$N:$N,""
)
+
COUNTIFS(
'BA Mobile'!$D:$D,"Incident",
'BA Mobile'!$G:$G,3,
'BA Mobile'!$U:$U,"&lt;&gt;YES",
'BA Mobile'!$K:$K,"&lt;"&amp;$B$1,
'BA Mobile'!$N:$N,"&gt;="&amp;$B$1
)
+
COUNTIFS(
'BA Mobile'!$D:$D,"Incident",
'BA Mobile'!$G:$G,3,
'BA Mobile'!$U:$U,"&lt;&gt;YES",
'BA Mobile'!$K:$K,"&gt;="&amp;$B$1,
'BA Mobile'!$K:$K,"&lt;"&amp;$C$1+1
)
-
COUNTIFS(
'BA Mobile'!$D:$D,"Incident",
'BA Mobile'!$G:$G,3,
'BA Mobile'!$U:$U,"&lt;&gt;YES",
'BA Mobile'!$I:$I,"Closed",
'BA Mobile'!$N:$N,"&gt;="&amp;$B$1,
'BA Mobile'!$N:$N,"&lt;"&amp;$C$1+1
)
-
COUNTIFS(
'BA Mobile'!$D:$D,"Incident",
'BA Mobile'!$G:$G,3,
'BA Mobile'!$U:$U,"&lt;&gt;YES",
'BA Mobile'!$I:$I,"Triaged",
'BA Mobile'!$N:$N,"&gt;="&amp;$B$1,
'BA Mobile'!$N:$N,"&lt;"&amp;$C$1+1
)</f>
        <v>5</v>
      </c>
      <c r="M9" s="420">
        <f>COUNTIFS(
'BA Mobile'!$D:$D,"Incident",
'BA Mobile'!$G:$G,4,
'BA Mobile'!$U:$U,"NO",
'BA Mobile'!$L:$L,"&gt;="&amp;$B$1,
'BA Mobile'!$L:$L,"&lt;"&amp;$C$1+1
)</f>
        <v>0</v>
      </c>
      <c r="N9" s="420">
        <f>SUM(
COUNTIFS(
'BA Mobile'!$D:$D,"Incident",
'BA Mobile'!$G:$G,4,
'BA Mobile'!$I:$I,"Closed",
'BA Mobile'!$U:$U,"NO",
'BA Mobile'!$N:$N,"&gt;="&amp;$B$1,
'BA Mobile'!$N:$N,"&lt;"&amp;$C$1+1
),
COUNTIFS(
'BA Mobile'!$D:$D,"Incident",
'BA Mobile'!$G:$G,4,
'BA Mobile'!$I:$I,"Triaged",
'BA Mobile'!$U:$U,"NO",
'BA Mobile'!$N:$N,"&gt;="&amp;$B$1,
'BA Mobile'!$N:$N,"&lt;"&amp;$C$1+1
)
)</f>
        <v>1</v>
      </c>
      <c r="O9" s="420">
        <f>COUNTIFS(
'BA Mobile'!$D:$D,"Incident",
'BA Mobile'!$G:$G,4,
'BA Mobile'!$U:$U,"&lt;&gt;YES",
'BA Mobile'!$K:$K,"&lt;"&amp;$B$1,
'BA Mobile'!$N:$N,""
)
+
COUNTIFS(
'BA Mobile'!$D:$D,"Incident",
'BA Mobile'!$G:$G,4,
'BA Mobile'!$U:$U,"&lt;&gt;YES",
'BA Mobile'!$K:$K,"&lt;"&amp;$B$1,
'BA Mobile'!$N:$N,"&gt;="&amp;$B$1
)
+
COUNTIFS(
'BA Mobile'!$D:$D,"Incident",
'BA Mobile'!$G:$G,4,
'BA Mobile'!$U:$U,"&lt;&gt;YES",
'BA Mobile'!$K:$K,"&gt;="&amp;$B$1,
'BA Mobile'!$K:$K,"&lt;"&amp;$C$1+1
)
-
COUNTIFS(
'BA Mobile'!$D:$D,"Incident",
'BA Mobile'!$G:$G,4,
'BA Mobile'!$U:$U,"&lt;&gt;YES",
'BA Mobile'!$I:$I,"Closed",
'BA Mobile'!$N:$N,"&gt;="&amp;$B$1,
'BA Mobile'!$N:$N,"&lt;"&amp;$C$1+1
)
-
COUNTIFS(
'BA Mobile'!$D:$D,"Incident",
'BA Mobile'!$G:$G,4,
'BA Mobile'!$U:$U,"&lt;&gt;YES",
'BA Mobile'!$I:$I,"Triaged",
'BA Mobile'!$N:$N,"&gt;="&amp;$B$1,
'BA Mobile'!$N:$N,"&lt;"&amp;$C$1+1
)</f>
        <v>55</v>
      </c>
      <c r="P9" s="420">
        <f>COUNTIFS(
'BA Mobile'!$D:$D,"RFS",
'BA Mobile'!$U:$U,"NO",
'BA Mobile'!$L:$L,"&gt;="&amp;$B$1,
'BA Mobile'!$L:$L,"&lt;"&amp;$C$1+1
)</f>
        <v>0</v>
      </c>
      <c r="Q9" s="420">
        <f>SUM(
COUNTIFS(
'BA Mobile'!$D:$D,"RFS",
'BA Mobile'!$I:$I,"Closed",
'BA Mobile'!$U:$U,"NO",
'BA Mobile'!$N:$N,"&gt;="&amp;$B$1,
'BA Mobile'!$N:$N,"&lt;"&amp;$C$1+1
),
COUNTIFS(
'BA Mobile'!$D:$D,"RFS",
'BA Mobile'!$I:$I,"Triaged",
'BA Mobile'!$U:$U,"NO",
'BA Mobile'!$N:$N,"&gt;="&amp;$B$1,
'BA Mobile'!$N:$N,"&lt;"&amp;$C$1+1
)
)</f>
        <v>0</v>
      </c>
      <c r="R9" s="420">
        <f>COUNTIFS(
'BA Mobile'!$D:$D,"RFS",
'BA Mobile'!$U:$U,"&lt;&gt;YES",
'BA Mobile'!$K:$K,"&lt;"&amp;$B$1,
'BA Mobile'!$N:$N,""
)
+
COUNTIFS(
'BA Mobile'!$D:$D,"RFS",
'BA Mobile'!$U:$U,"&lt;&gt;YES",
'BA Mobile'!$K:$K,"&lt;"&amp;$B$1,
'BA Mobile'!$N:$N,"&gt;="&amp;$B$1
)
+
COUNTIFS(
'BA Mobile'!$D:$D,"RFS",
'BA Mobile'!$U:$U,"&lt;&gt;YES",
'BA Mobile'!$K:$K,"&gt;="&amp;$B$1,
'BA Mobile'!$K:$K,"&lt;"&amp;$C$1+1
)
-
COUNTIFS(
'BA Mobile'!$D:$D,"RFS",
'BA Mobile'!$I:$I,"Closed",
'BA Mobile'!$U:$U,"&lt;&gt;YES",
'BA Mobile'!$N:$N,"&gt;="&amp;$B$1,
'BA Mobile'!$N:$N,"&lt;"&amp;$C$1+1
)
-
COUNTIFS(
'BA Mobile'!$D:$D,"RFS",
'BA Mobile'!$I:$I,"Triaged",
'BA Mobile'!$U:$U,"&lt;&gt;YES",
'BA Mobile'!$N:$N,"&gt;="&amp;$B$1,
'BA Mobile'!$N:$N,"&lt;"&amp;$C$1+1
)</f>
        <v>7</v>
      </c>
      <c r="S9" s="420">
        <f>SUM(
COUNTIFS(
'BA Mobile'!$D:$D,"P_Ticket",
'BA Mobile'!$G:$G,"Low",
'BA Mobile'!$U:$U,"NO",
'BA Mobile'!$L:$L,"&gt;="&amp;$B$1,
'BA Mobile'!$L:$L,"&lt;"&amp;$C$1+1
),
COUNTIFS(
'BA Mobile'!$D:$D,"P_Ticket",
'BA Mobile'!$G:$G,"Medium",
'BA Mobile'!$U:$U,"NO",
'BA Mobile'!$L:$L,"&gt;="&amp;$B$1,
'BA Mobile'!$L:$L,"&lt;"&amp;$C$1+1
),
COUNTIFS(
'BA Mobile'!$D:$D,"P_Ticket",
'BA Mobile'!$G:$G,"High",
'BA Mobile'!$U:$U,"NO",
'BA Mobile'!$L:$L,"&gt;="&amp;$B$1,
'BA Mobile'!$L:$L,"&lt;"&amp;$C$1+1
)
)</f>
        <v>0</v>
      </c>
      <c r="T9" s="420">
        <f>SUM(COUNTIFS('BA Mobile'!$D:$D,"P_Ticket",'BA Mobile'!$G:$G,"Low",'BA Mobile'!$I:$I,"Closed",'BA Mobile'!$U:$U,"NO",'BA Mobile'!$N:$N,"&lt;"&amp;$C$1+1,'BA Mobile'!$N:$N,"&gt;="&amp;$B$1),COUNTIFS('BA Mobile'!$D:$D,"P_Ticket",'BA Mobile'!$G:$G,"Medium",'BA Mobile'!$I:$I,"Closed",'BA Mobile'!$U:$U,"NO",'BA Mobile'!$N:$N,"&lt;"&amp;$C$1+1,'BA Mobile'!$N:$N,"&gt;="&amp;$B$1),COUNTIFS('BA Mobile'!$D:$D,"P_Ticket",'BA Mobile'!$G:$G,"High",'BA Mobile'!$I:$I,"Closed",'BA Mobile'!$U:$U,"NO",'BA Mobile'!$N:$N,"&lt;"&amp;$C$1+1,'BA Mobile'!$N:$N,"&gt;="&amp;$B$1),COUNTIFS('BA Mobile'!$D:$D,"P_Ticket",'BA Mobile'!$G:$G,"Low",'BA Mobile'!$I:$I,"Triaged",'BA Mobile'!$U:$U,"NO",'BA Mobile'!$N:$N,"&lt;"&amp;$C$1+1,'BA Mobile'!$N:$N,"&gt;="&amp;$B$1),COUNTIFS('BA Mobile'!$D:$D,"P_Ticket",'BA Mobile'!$G:$G,"Medium",'BA Mobile'!$I:$I,"Triaged",'BA Mobile'!$U:$U,"NO",'BA Mobile'!$N:$N,"&lt;"&amp;$C$1+1,'BA Mobile'!$N:$N,"&gt;="&amp;$B$1),COUNTIFS('BA Mobile'!$D:$D,"P_Ticket",'BA Mobile'!$G:$G,"High",'BA Mobile'!$I:$I,"Triaged",'BA Mobile'!$U:$U,"NO",'BA Mobile'!$N:$N,"&lt;"&amp;$C$1+1,'BA Mobile'!$N:$N,"&gt;="&amp;$B$1))</f>
        <v>0</v>
      </c>
      <c r="U9" s="420"/>
      <c r="V9" s="420"/>
      <c r="W9" s="420">
        <f>COUNTIFS(
'BA Mobile'!$D:$D,"P_Ticket",
'BA Mobile'!$G:$G,"High",
'BA Mobile'!$U:$U,"NO",
'BA Mobile'!$L:$L,"&gt;="&amp;$B$1,
'BA Mobile'!$L:$L,"&lt;"&amp;$C$1+1
)</f>
        <v>0</v>
      </c>
      <c r="X9" s="420">
        <f>SUM(
COUNTIFS(
'BA Mobile'!$D:$D,"P_Ticket",
'BA Mobile'!$G:$G,"High",
'BA Mobile'!$I:$I,"Closed",
'BA Mobile'!$U:$U,"NO",
'BA Mobile'!$N:$N,"&lt;"&amp;$C$1+1,
'BA Mobile'!$N:$N,"&gt;="&amp;$B$1
),
COUNTIFS(
'BA Mobile'!$D:$D,"P_Ticket",
'BA Mobile'!$G:$G,"High",
'BA Mobile'!$I:$I,"Triaged",
'BA Mobile'!$U:$U,"NO",
'BA Mobile'!$N:$N,"&lt;"&amp;$C$1+1,
'BA Mobile'!$N:$N,"&gt;="&amp;$B$1
)
)</f>
        <v>0</v>
      </c>
    </row>
    <row r="10" spans="1:24" s="421" customFormat="1" ht="15" customHeight="1">
      <c r="A10" s="416" t="s">
        <v>38</v>
      </c>
      <c r="B10" s="177" t="s">
        <v>26</v>
      </c>
      <c r="C10" s="417" t="s">
        <v>39</v>
      </c>
      <c r="D10" s="418">
        <f>COUNTIFS(
LIP!$D:$D,"Incident",
LIP!$G:$G,1,
LIP!$U:$U,"NO",
LIP!$L:$L,"&gt;="&amp;$B$1,
LIP!$L:$L,"&lt;"&amp;$C$1+1
)</f>
        <v>0</v>
      </c>
      <c r="E10" s="419">
        <f>SUM(
COUNTIFS(
LIP!$D:$D,"Incident",
LIP!$G:$G,1,
LIP!$I:$I,"Closed",
LIP!$U:$U,"NO",
LIP!$N:$N,"&gt;="&amp;$B$1,
LIP!$N:$N,"&lt;"&amp;$C$1+1
),
COUNTIFS(
LIP!$D:$D,"Incident",
LIP!$G:$G,1,
LIP!$I:$I,"Triaged",
LIP!$U:$U,"NO",
LIP!$N:$N,"&gt;="&amp;$B$1,
LIP!$N:$N,"&lt;"&amp;$C$1+1
)
)</f>
        <v>0</v>
      </c>
      <c r="F10" s="419">
        <f xml:space="preserve">
COUNTIFS(
LIP!$D:$D,"Incident",
LIP!$G:$G,1,
LIP!$U:$U,"&lt;&gt;YES",
LIP!$K:$K,"&lt;"&amp;$B$1,
LIP!$N:$N,""
)
+
COUNTIFS(
LIP!$D:$D,"Incident",
LIP!$G:$G,1,
LIP!$U:$U,"&lt;&gt;YES",
LIP!$K:$K,"&lt;"&amp;$B$1,
LIP!$N:$N,"&gt;="&amp;$B$1
)
+
COUNTIFS(
LIP!$D:$D,"Incident",
LIP!$G:$G,1,
LIP!$U:$U,"&lt;&gt;YES",
LIP!$K:$K,"&gt;="&amp;$B$1,
LIP!$K:$K,"&lt;"&amp;$C$1+1
)
-
COUNTIFS(
LIP!$D:$D,"Incident",
LIP!$G:$G,1,
LIP!$I:$I,"Closed",
LIP!$U:$U,"&lt;&gt;YES",
LIP!$N:$N,"&gt;="&amp;$B$1,
LIP!$N:$N,"&lt;"&amp;$C$1+1
)
-
COUNTIFS(
LIP!$D:$D,"Incident",
LIP!$G:$G,1,
LIP!$I:$I,"Triaged",
LIP!$U:$U,"&lt;&gt;YES",
LIP!$N:$N,"&gt;="&amp;$B$1,
LIP!$N:$N,"&lt;"&amp;$C$1+1
)</f>
        <v>0</v>
      </c>
      <c r="G10" s="419">
        <f>COUNTIFS(
LIP!$D:$D,"Incident",
LIP!$G:$G,2,
LIP!$U:$U,"NO",
LIP!$L:$L,"&gt;="&amp;$B$1,
LIP!$L:$L,"&lt;"&amp;$C$1+1
)</f>
        <v>0</v>
      </c>
      <c r="H10" s="419">
        <f>SUM(
COUNTIFS(
LIP!$D:$D,"Incident",
LIP!$G:$G,2,
LIP!$I:$I,"Closed",
LIP!$U:$U,"NO",
LIP!$N:$N,"&gt;="&amp;$B$1,
LIP!$N:$N,"&lt;"&amp;$C$1+1
),
COUNTIFS(
LIP!$D:$D,"Incident",
LIP!$G:$G,2,
LIP!$I:$I,"Triaged",
LIP!$U:$U,"NO",
LIP!$N:$N,"&gt;="&amp;$B$1,
LIP!$N:$N,"&lt;"&amp;$C$1+1
)
)</f>
        <v>0</v>
      </c>
      <c r="I10" s="419">
        <f xml:space="preserve">
COUNTIFS(
LIP!$D:$D,"Incident",
LIP!$G:$G,2,
LIP!$U:$U,"&lt;&gt;YES",
LIP!$K:$K,"&lt;"&amp;$B$1,
LIP!$N:$N,""
)
+
COUNTIFS(
LIP!$D:$D,"Incident",
LIP!$G:$G,2,
LIP!$U:$U,"&lt;&gt;YES",
LIP!$K:$K,"&lt;"&amp;$B$1,
LIP!$N:$N,"&gt;="&amp;$B$1
)
+
COUNTIFS(
LIP!$D:$D,"Incident",
LIP!$G:$G,2,
LIP!$U:$U,"&lt;&gt;YES",
LIP!$K:$K,"&gt;="&amp;$B$1,
LIP!$K:$K,"&lt;"&amp;$C$1+1
)
-
COUNTIFS(
LIP!$D:$D,"Incident",
LIP!$G:$G,2,
LIP!$I:$I,"Closed",
LIP!$U:$U,"&lt;&gt;YES",
LIP!$N:$N,"&gt;="&amp;$B$1,
LIP!$N:$N,"&lt;"&amp;$C$1+1
)
-
COUNTIFS(
LIP!$D:$D,"Incident",
LIP!$G:$G,2,
LIP!$I:$I,"Triaged",
LIP!$U:$U,"&lt;&gt;YES",
LIP!$N:$N,"&gt;="&amp;$B$1,
LIP!$N:$N,"&lt;"&amp;$C$1+1
)</f>
        <v>0</v>
      </c>
      <c r="J10" s="420">
        <f>COUNTIFS(
LIP!$D:$D,"Incident",
LIP!$G:$G,3,
LIP!$U:$U,"NO",
LIP!$L:$L,"&gt;="&amp;$B$1,
LIP!$L:$L,"&lt;"&amp;$C$1+1
)</f>
        <v>1</v>
      </c>
      <c r="K10" s="420">
        <f>SUM(
COUNTIFS(
LIP!$D:$D,"Incident",
LIP!$G:$G,3,
LIP!$I:$I,"Closed",
LIP!$U:$U,"NO",
LIP!$N:$N,"&gt;="&amp;$B$1,
LIP!$N:$N,"&lt;"&amp;$C$1+1
),
COUNTIFS(
LIP!$D:$D,"Incident",
LIP!$G:$G,3,
LIP!$I:$I,"Triaged",
LIP!$U:$U,"NO",
LIP!$N:$N,"&gt;="&amp;$B$1,
LIP!$N:$N,"&lt;"&amp;$C$1+1
)
)</f>
        <v>1</v>
      </c>
      <c r="L10" s="420">
        <f xml:space="preserve">
COUNTIFS(
LIP!$D:$D,"Incident",
LIP!$G:$G,3,
LIP!$U:$U,"&lt;&gt;YES",
LIP!$K:$K,"&lt;"&amp;$B$1,
LIP!$N:$N,""
)
+
COUNTIFS(
LIP!$D:$D,"Incident",
LIP!$G:$G,3,
LIP!$U:$U,"&lt;&gt;YES",
LIP!$K:$K,"&lt;"&amp;$B$1,
LIP!$N:$N,"&gt;="&amp;$B$1
)
+
COUNTIFS(
LIP!$D:$D,"Incident",
LIP!$G:$G,3,
LIP!$U:$U,"&lt;&gt;YES",
LIP!$K:$K,"&gt;="&amp;$B$1,
LIP!$K:$K,"&lt;"&amp;$C$1+1
)
-
COUNTIFS(
LIP!$D:$D,"Incident",
LIP!$G:$G,3,
LIP!$I:$I,"Closed",
LIP!$U:$U,"&lt;&gt;YES",
LIP!$N:$N,"&gt;="&amp;$B$1,
LIP!$N:$N,"&lt;"&amp;$C$1+1
)
-
COUNTIFS(
LIP!$D:$D,"Incident",
LIP!$G:$G,3,
LIP!$I:$I,"Triaged",
LIP!$U:$U,"&lt;&gt;YES",
LIP!$N:$N,"&gt;="&amp;$B$1,
LIP!$N:$N,"&lt;"&amp;$C$1+1
)</f>
        <v>1</v>
      </c>
      <c r="M10" s="420">
        <f>COUNTIFS(
LIP!$D:$D,"Incident",
LIP!$G:$G,4,
LIP!$U:$U,"NO",
LIP!$L:$L,"&gt;="&amp;$B$1,
LIP!$L:$L,"&lt;"&amp;$C$1+1
)</f>
        <v>26</v>
      </c>
      <c r="N10" s="420">
        <f>SUM(
COUNTIFS(
LIP!$D:$D,"Incident",
LIP!$G:$G,4,
LIP!$I:$I,"Closed",
LIP!$U:$U,"NO",
LIP!$N:$N,"&gt;="&amp;$B$1,
LIP!$N:$N,"&lt;"&amp;$C$1+1
),
COUNTIFS(
LIP!$D:$D,"Incident",
LIP!$G:$G,4,
LIP!$I:$I,"Triaged",
LIP!$U:$U,"NO",
LIP!$N:$N,"&gt;="&amp;$B$1,
LIP!$N:$N,"&lt;"&amp;$C$1+1
)
)</f>
        <v>27</v>
      </c>
      <c r="O10" s="420">
        <f xml:space="preserve">
COUNTIFS(
LIP!$D:$D,"Incident",
LIP!$G:$G,4,
LIP!$U:$U,"&lt;&gt;YES",
LIP!$K:$K,"&lt;"&amp;$B$1,
LIP!$N:$N,""
)
+
COUNTIFS(
LIP!$D:$D,"Incident",
LIP!$G:$G,4,
LIP!$U:$U,"&lt;&gt;YES",
LIP!$K:$K,"&lt;"&amp;$B$1,
LIP!$N:$N,"&gt;="&amp;$B$1
)
+
COUNTIFS(
LIP!$D:$D,"Incident",
LIP!$G:$G,4,
LIP!$U:$U,"&lt;&gt;YES",
LIP!$K:$K,"&gt;="&amp;$B$1,
LIP!$K:$K,"&lt;"&amp;$C$1+1
)
-
COUNTIFS(
LIP!$D:$D,"Incident",
LIP!$G:$G,4,
LIP!$I:$I,"Closed",
LIP!$U:$U,"&lt;&gt;YES",
LIP!$N:$N,"&gt;="&amp;$B$1,
LIP!$N:$N,"&lt;"&amp;$C$1+1
)
-
COUNTIFS(
LIP!$D:$D,"Incident",
LIP!$G:$G,4,
LIP!$I:$I,"Triaged",
LIP!$U:$U,"&lt;&gt;YES",
LIP!$N:$N,"&gt;="&amp;$B$1,
LIP!$N:$N,"&lt;"&amp;$C$1+1
)</f>
        <v>0</v>
      </c>
      <c r="P10" s="420">
        <f>COUNTIFS(
LIP!$D:$D,"RFS",
LIP!$U:$U,"NO",
LIP!$L:$L,"&gt;="&amp;$B$1,
LIP!$L:$L,"&lt;"&amp;$C$1+1
)</f>
        <v>0</v>
      </c>
      <c r="Q10" s="420">
        <f>SUM(
COUNTIFS(
LIP!$D:$D,"RFS",
LIP!$I:$I,"Closed",
LIP!$U:$U,"NO",
LIP!$N:$N,"&gt;="&amp;$B$1,
LIP!$N:$N,"&lt;"&amp;$C$1+1
),
COUNTIFS(
LIP!$D:$D,"RFS",
LIP!$I:$I,"Triaged",
LIP!$U:$U,"NO",
LIP!$N:$N,"&gt;="&amp;$B$1,
LIP!$N:$N,"&lt;"&amp;$C$1+1
)
)</f>
        <v>0</v>
      </c>
      <c r="R10" s="420">
        <f>COUNTIFS(
LIP!$D:$D,"RFS",
LIP!$U:$U,"&lt;&gt;YES",
LIP!$K:$K,"&lt;"&amp;$B$1,
LIP!$N:$N,""
)
+
COUNTIFS(
LIP!$D:$D,"RFS",
LIP!$U:$U,"&lt;&gt;YES",
LIP!$K:$K,"&lt;"&amp;$B$1,
LIP!$N:$N,"&gt;="&amp;$B$1
)
+
COUNTIFS(
LIP!$D:$D,"RFS",
LIP!$U:$U,"&lt;&gt;YES",
LIP!$K:$K,"&gt;="&amp;$B$1,
LIP!$K:$K,"&lt;"&amp;$C$1+1
)
-
COUNTIFS(
LIP!$D:$D,"RFS",
LIP!$I:$I,"Closed",
LIP!$U:$U,"&lt;&gt;YES",
LIP!$N:$N,"&gt;="&amp;$B$1,
LIP!$N:$N,"&lt;"&amp;$C$1+1
)
-
COUNTIFS(
LIP!$D:$D,"RFS",
LIP!$I:$I,"Triaged",
LIP!$U:$U,"&lt;&gt;YES",
LIP!$N:$N,"&gt;="&amp;$B$1,
LIP!$N:$N,"&lt;"&amp;$C$1+1
)</f>
        <v>3</v>
      </c>
      <c r="S10" s="420">
        <f>SUM(
COUNTIFS(
LIP!$D:$D,"P_Ticket",
LIP!$G:$G,"Low",
LIP!$U:$U,"NO",
LIP!$L:$L,"&gt;="&amp;$B$1,
LIP!$L:$L,"&lt;"&amp;$C$1+1
),
COUNTIFS(
LIP!$D:$D,"P_Ticket",
LIP!$G:$G,"Medium",
LIP!$U:$U,"NO",
LIP!$L:$L,"&gt;="&amp;$B$1,
LIP!$L:$L,"&lt;"&amp;$C$1+1
),
COUNTIFS(
LIP!$D:$D,"P_Ticket",
LIP!$G:$G,"High",
LIP!$U:$U,"NO",
LIP!$L:$L,"&gt;="&amp;$B$1,
LIP!$L:$L,"&lt;"&amp;$C$1+1
)
)</f>
        <v>0</v>
      </c>
      <c r="T10" s="420">
        <f>SUM(COUNTIFS(LIP!$D:$D,"P_Ticket",LIP!$G:$G,"Low",LIP!$I:$I,"Closed",LIP!$U:$U,"NO",LIP!$N:$N,"&lt;"&amp;$C$1+1,LIP!$N:$N,"&gt;="&amp;$B$1),COUNTIFS(LIP!$D:$D,"P_Ticket",LIP!$G:$G,"Medium",LIP!$I:$I,"Closed",LIP!$U:$U,"NO",LIP!$N:$N,"&lt;"&amp;$C$1+1,LIP!$N:$N,"&gt;="&amp;$B$1),COUNTIFS(LIP!$D:$D,"P_Ticket",LIP!$G:$G,"High",LIP!$I:$I,"Closed",LIP!$U:$U,"NO",LIP!$N:$N,"&lt;"&amp;$C$1+1,LIP!$N:$N,"&gt;="&amp;$B$1),COUNTIFS(LIP!$D:$D,"P_Ticket",LIP!$G:$G,"Low",LIP!$I:$I,"Triaged",LIP!$U:$U,"NO",LIP!$N:$N,"&lt;"&amp;$C$1+1,LIP!$N:$N,"&gt;="&amp;$B$1),COUNTIFS(LIP!$D:$D,"P_Ticket",LIP!$G:$G,"Medium",LIP!$I:$I,"Triaged",LIP!$U:$U,"NO",LIP!$N:$N,"&lt;"&amp;$C$1+1,LIP!$N:$N,"&gt;="&amp;$B$1),COUNTIFS(LIP!$D:$D,"P_Ticket",LIP!$G:$G,"High",LIP!$I:$I,"Triaged",LIP!$U:$U,"NO",LIP!$N:$N,"&lt;"&amp;$C$1+1,LIP!$N:$N,"&gt;="&amp;$B$1))</f>
        <v>0</v>
      </c>
      <c r="U10" s="420"/>
      <c r="V10" s="420"/>
      <c r="W10" s="420">
        <f>COUNTIFS(
LIP!$D:$D,"P_Ticket",
LIP!$G:$G,"High",
LIP!$U:$U,"NO",
LIP!$L:$L,"&gt;="&amp;$B$1,
LIP!$L:$L,"&lt;"&amp;$C$1+1
)</f>
        <v>0</v>
      </c>
      <c r="X10" s="420">
        <f>SUM(
COUNTIFS(
LIP!$D:$D,"P_Ticket",
LIP!$G:$G,"High",
LIP!$I:$I,"Closed",
LIP!$U:$U,"NO",
LIP!$N:$N,"&lt;"&amp;$C$1+1,
LIP!$N:$N,"&gt;="&amp;$B$1
),
COUNTIFS(
LIP!$D:$D,"P_Ticket",
LIP!$G:$G,"High",
LIP!$I:$I,"Triaged",
LIP!$U:$U,"NO",
LIP!$N:$N,"&lt;"&amp;$C$1+1,
LIP!$N:$N,"&gt;="&amp;$B$1
)
)</f>
        <v>0</v>
      </c>
    </row>
    <row r="11" spans="1:24" s="421" customFormat="1" ht="15" customHeight="1">
      <c r="A11" s="416" t="s">
        <v>40</v>
      </c>
      <c r="B11" s="177" t="s">
        <v>26</v>
      </c>
      <c r="C11" s="417" t="s">
        <v>41</v>
      </c>
      <c r="D11" s="418">
        <f>COUNTIFS(
QIP!$D:$D,"Incident",
QIP!$G:$G,1,
QIP!$U:$U,"NO",
QIP!$L:$L,"&gt;="&amp;$B$1,
QIP!$L:$L,"&lt;"&amp;$C$1+1
)</f>
        <v>0</v>
      </c>
      <c r="E11" s="419">
        <f>SUM(
COUNTIFS(
QIP!$D:$D,"Incident",
QIP!$G:$G,1,
QIP!$I:$I,"Closed",
QIP!$U:$U,"NO",
QIP!$N:$N,"&gt;="&amp;$B$1,
QIP!$N:$N,"&lt;"&amp;$C$1+1
),
COUNTIFS(
QIP!$D:$D,"Incident",
QIP!$G:$G,1,
QIP!$I:$I,"Triaged",
QIP!$U:$U,"NO",
QIP!$N:$N,"&gt;="&amp;$B$1,
QIP!$N:$N,"&lt;"&amp;$C$1+1
)
)</f>
        <v>0</v>
      </c>
      <c r="F11" s="419">
        <f xml:space="preserve">
COUNTIFS(
QIP!$D:$D,"Incident",
QIP!$G:$G,1,
QIP!$U:$U,"&lt;&gt;YES",
QIP!$K:$K,"&lt;"&amp;$B$1,
QIP!$N:$N,""
)
+
COUNTIFS(
QIP!$D:$D,"Incident",
QIP!$G:$G,1,
QIP!$U:$U,"&lt;&gt;YES",
QIP!$K:$K,"&lt;"&amp;$B$1,
QIP!$N:$N,"&gt;="&amp;$B$1
)
+
COUNTIFS(
QIP!$D:$D,"Incident",
QIP!$G:$G,1,
QIP!$U:$U,"&lt;&gt;YES",
QIP!$K:$K,"&gt;="&amp;$B$1,
QIP!$K:$K,"&lt;"&amp;$C$1+1
)
-
COUNTIFS(
QIP!$D:$D,"Incident",
QIP!$G:$G,1,
QIP!$I:$I,"Closed",
QIP!$U:$U,"&lt;&gt;YES",
QIP!$N:$N,"&gt;="&amp;$B$1,
QIP!$N:$N,"&lt;"&amp;$C$1+1
)
-
COUNTIFS(
QIP!$D:$D,"Incident",
QIP!$G:$G,1,
QIP!$I:$I,"Triaged",
QIP!$U:$U,"&lt;&gt;YES",
QIP!$N:$N,"&gt;="&amp;$B$1,
QIP!$N:$N,"&lt;"&amp;$C$1+1
)</f>
        <v>0</v>
      </c>
      <c r="G11" s="419">
        <f>COUNTIFS(
QIP!$D:$D,"Incident",
QIP!$G:$G,2,
QIP!$U:$U,"NO",
QIP!$L:$L,"&gt;="&amp;$B$1,
QIP!$L:$L,"&lt;"&amp;$C$1+1
)</f>
        <v>0</v>
      </c>
      <c r="H11" s="419">
        <f>SUM(
COUNTIFS(
QIP!$D:$D,"Incident",
QIP!$G:$G,2,
QIP!$I:$I,"Closed",
QIP!$U:$U,"NO",
QIP!$N:$N,"&gt;="&amp;$B$1,
QIP!$N:$N,"&lt;"&amp;$C$1+1
),
COUNTIFS(
QIP!$D:$D,"Incident",
QIP!$G:$G,2,
QIP!$I:$I,"Triaged",
QIP!$U:$U,"NO",
QIP!$N:$N,"&gt;="&amp;$B$1,
QIP!$N:$N,"&lt;"&amp;$C$1+1
)
)</f>
        <v>0</v>
      </c>
      <c r="I11" s="419">
        <f xml:space="preserve">
COUNTIFS(
QIP!$D:$D,"Incident",
QIP!$G:$G,2,
QIP!$U:$U,"&lt;&gt;YES",
QIP!$K:$K,"&lt;"&amp;$B$1,
QIP!$N:$N,""
)
+
COUNTIFS(
QIP!$D:$D,"Incident",
QIP!$G:$G,2,
QIP!$U:$U,"&lt;&gt;YES",
QIP!$K:$K,"&lt;"&amp;$B$1,
QIP!$N:$N,"&gt;="&amp;$B$1
)
+
COUNTIFS(
QIP!$D:$D,"Incident",
QIP!$G:$G,2,
QIP!$U:$U,"&lt;&gt;YES",
QIP!$K:$K,"&gt;="&amp;$B$1,
QIP!$K:$K,"&lt;"&amp;$C$1+1
)
-
COUNTIFS(
QIP!$D:$D,"Incident",
QIP!$G:$G,2,
QIP!$I:$I,"Closed",
QIP!$U:$U,"&lt;&gt;YES",
QIP!$N:$N,"&gt;="&amp;$B$1,
QIP!$N:$N,"&lt;"&amp;$C$1+1
)
-
COUNTIFS(
QIP!$D:$D,"Incident",
QIP!$G:$G,2,
QIP!$I:$I,"Triaged",
QIP!$U:$U,"&lt;&gt;YES",
QIP!$N:$N,"&gt;="&amp;$B$1,
QIP!$N:$N,"&lt;"&amp;$C$1+1
)</f>
        <v>0</v>
      </c>
      <c r="J11" s="420">
        <f>COUNTIFS(
QIP!$D:$D,"Incident",
QIP!$G:$G,3,
QIP!$U:$U,"NO",
QIP!$L:$L,"&gt;="&amp;$B$1,
QIP!$L:$L,"&lt;"&amp;$C$1+1
)</f>
        <v>5</v>
      </c>
      <c r="K11" s="420">
        <f>SUM(
COUNTIFS(
QIP!$D:$D,"Incident",
QIP!$G:$G,3,
QIP!$I:$I,"Closed",
QIP!$U:$U,"NO",
QIP!$N:$N,"&gt;="&amp;$B$1,
QIP!$N:$N,"&lt;"&amp;$C$1+1
),
COUNTIFS(
QIP!$D:$D,"Incident",
QIP!$G:$G,3,
QIP!$I:$I,"Triaged",
QIP!$U:$U,"NO",
QIP!$N:$N,"&gt;="&amp;$B$1,
QIP!$N:$N,"&lt;"&amp;$C$1+1
)
)</f>
        <v>7</v>
      </c>
      <c r="L11" s="420">
        <f xml:space="preserve">
COUNTIFS(
QIP!$D:$D,"Incident",
QIP!$G:$G,3,
QIP!$U:$U,"&lt;&gt;YES",
QIP!$K:$K,"&lt;"&amp;$B$1,
QIP!$N:$N,""
)
+
COUNTIFS(
QIP!$D:$D,"Incident",
QIP!$G:$G,3,
QIP!$U:$U,"&lt;&gt;YES",
QIP!$K:$K,"&lt;"&amp;$B$1,
QIP!$N:$N,"&gt;="&amp;$B$1
)
+
COUNTIFS(
QIP!$D:$D,"Incident",
QIP!$G:$G,3,
QIP!$U:$U,"&lt;&gt;YES",
QIP!$K:$K,"&gt;="&amp;$B$1,
QIP!$K:$K,"&lt;"&amp;$C$1+1
)
-
COUNTIFS(
QIP!$D:$D,"Incident",
QIP!$G:$G,3,
QIP!$I:$I,"Closed",
QIP!$U:$U,"&lt;&gt;YES",
QIP!$N:$N,"&gt;="&amp;$B$1,
QIP!$N:$N,"&lt;"&amp;$C$1+1
)
-
COUNTIFS(
QIP!$D:$D,"Incident",
QIP!$G:$G,3,
QIP!$I:$I,"Triaged",
QIP!$U:$U,"&lt;&gt;YES",
QIP!$N:$N,"&gt;="&amp;$B$1,
QIP!$N:$N,"&lt;"&amp;$C$1+1
)</f>
        <v>2</v>
      </c>
      <c r="M11" s="420">
        <f>COUNTIFS(
QIP!$D:$D,"Incident",
QIP!$G:$G,4,
QIP!$U:$U,"NO",
QIP!$L:$L,"&gt;="&amp;$B$1,
QIP!$L:$L,"&lt;"&amp;$C$1+1
)</f>
        <v>42</v>
      </c>
      <c r="N11" s="420">
        <f>SUM(
COUNTIFS(
QIP!$D:$D,"Incident",
QIP!$G:$G,4,
QIP!$I:$I,"Closed",
QIP!$U:$U,"NO",
QIP!$N:$N,"&gt;="&amp;$B$1,
QIP!$N:$N,"&lt;"&amp;$C$1+1
),
COUNTIFS(
QIP!$D:$D,"Incident",
QIP!$G:$G,4,
QIP!$I:$I,"Triaged",
QIP!$U:$U,"NO",
QIP!$N:$N,"&gt;="&amp;$B$1,
QIP!$N:$N,"&lt;"&amp;$C$1+1
)
)</f>
        <v>49</v>
      </c>
      <c r="O11" s="420">
        <f xml:space="preserve">
COUNTIFS(
QIP!$D:$D,"Incident",
QIP!$G:$G,4,
QIP!$U:$U,"&lt;&gt;YES",
QIP!$K:$K,"&lt;"&amp;$B$1,
QIP!$N:$N,""
)
+
COUNTIFS(
QIP!$D:$D,"Incident",
QIP!$G:$G,4,
QIP!$U:$U,"&lt;&gt;YES",
QIP!$K:$K,"&lt;"&amp;$B$1,
QIP!$N:$N,"&gt;="&amp;$B$1
)
+
COUNTIFS(
QIP!$D:$D,"Incident",
QIP!$G:$G,4,
QIP!$U:$U,"&lt;&gt;YES",
QIP!$K:$K,"&gt;="&amp;$B$1,
QIP!$K:$K,"&lt;"&amp;$C$1+1
)
-
COUNTIFS(
QIP!$D:$D,"Incident",
QIP!$G:$G,4,
QIP!$I:$I,"Closed",
QIP!$U:$U,"&lt;&gt;YES",
QIP!$N:$N,"&gt;="&amp;$B$1,
QIP!$N:$N,"&lt;"&amp;$C$1+1
)
-
COUNTIFS(
QIP!$D:$D,"Incident",
QIP!$G:$G,4,
QIP!$I:$I,"Triaged",
QIP!$U:$U,"&lt;&gt;YES",
QIP!$N:$N,"&gt;="&amp;$B$1,
QIP!$N:$N,"&lt;"&amp;$C$1+1
)</f>
        <v>3</v>
      </c>
      <c r="P11" s="420">
        <f>COUNTIFS(
QIP!$D:$D,"RFS",
QIP!$U:$U,"NO",
QIP!$L:$L,"&gt;="&amp;$B$1,
QIP!$L:$L,"&lt;"&amp;$C$1+1
)</f>
        <v>8</v>
      </c>
      <c r="Q11" s="420">
        <f>SUM(
COUNTIFS(
QIP!$D:$D,"RFS",
QIP!$I:$I,"Closed",
QIP!$U:$U,"NO",
QIP!$N:$N,"&gt;="&amp;$B$1,
QIP!$N:$N,"&lt;"&amp;$C$1+1
),
COUNTIFS(
QIP!$D:$D,"RFS",
QIP!$I:$I,"Triaged",
QIP!$U:$U,"NO",
QIP!$N:$N,"&gt;="&amp;$B$1,
QIP!$N:$N,"&lt;"&amp;$C$1+1
)
)</f>
        <v>9</v>
      </c>
      <c r="R11" s="420">
        <f>COUNTIFS(
QIP!$D:$D,"RFS",
QIP!$U:$U,"&lt;&gt;YES",
QIP!$K:$K,"&lt;"&amp;$B$1,
QIP!$N:$N,""
)
+
COUNTIFS(
QIP!$D:$D,"RFS",
QIP!$U:$U,"&lt;&gt;YES",
QIP!$K:$K,"&lt;"&amp;$B$1,
QIP!$N:$N,"&gt;="&amp;$B$1
)
+
COUNTIFS(
QIP!$D:$D,"RFS",
QIP!$U:$U,"&lt;&gt;YES",
QIP!$K:$K,"&gt;="&amp;$B$1,
QIP!$K:$K,"&lt;"&amp;$C$1+1
)
-
COUNTIFS(
QIP!$D:$D,"RFS",
QIP!$I:$I,"Closed",
QIP!$U:$U,"&lt;&gt;YES",
QIP!$N:$N,"&gt;="&amp;$B$1,
QIP!$N:$N,"&lt;"&amp;$C$1+1
)
-
COUNTIFS(
QIP!$D:$D,"RFS",
QIP!$I:$I,"Triaged",
QIP!$U:$U,"&lt;&gt;YES",
QIP!$N:$N,"&gt;="&amp;$B$1,
QIP!$N:$N,"&lt;"&amp;$C$1+1
)</f>
        <v>4</v>
      </c>
      <c r="S11" s="420">
        <f>SUM(
COUNTIFS(
QIP!$D:$D,"P_Ticket",
QIP!$G:$G,"Low",
QIP!$U:$U,"NO",
QIP!$L:$L,"&gt;="&amp;$B$1,
QIP!$L:$L,"&lt;"&amp;$C$1+1
),
COUNTIFS(
QIP!$D:$D,"P_Ticket",
QIP!$G:$G,"Medium",
QIP!$U:$U,"NO",
QIP!$L:$L,"&gt;="&amp;$B$1,
QIP!$L:$L,"&lt;"&amp;$C$1+1
),
COUNTIFS(
QIP!$D:$D,"P_Ticket",
QIP!$G:$G,"High",
QIP!$U:$U,"NO",
QIP!$L:$L,"&gt;="&amp;$B$1,
QIP!$L:$L,"&lt;"&amp;$C$1+1
)
)</f>
        <v>0</v>
      </c>
      <c r="T11" s="420">
        <f>SUM(COUNTIFS(QIP!$D:$D,"P_Ticket",QIP!$G:$G,"Low",QIP!$I:$I,"Closed",QIP!$U:$U,"NO",QIP!$N:$N,"&lt;"&amp;$C$1+1,QIP!$N:$N,"&gt;="&amp;$B$1),COUNTIFS(QIP!$D:$D,"P_Ticket",QIP!$G:$G,"Medium",QIP!$I:$I,"Closed",QIP!$U:$U,"NO",QIP!$N:$N,"&lt;"&amp;$C$1+1,QIP!$N:$N,"&gt;="&amp;$B$1),COUNTIFS(QIP!$D:$D,"P_Ticket",QIP!$G:$G,"High",QIP!$I:$I,"Closed",QIP!$U:$U,"NO",QIP!$N:$N,"&lt;"&amp;$C$1+1,QIP!$N:$N,"&gt;="&amp;$B$1),COUNTIFS(QIP!$D:$D,"P_Ticket",QIP!$G:$G,"Low",QIP!$I:$I,"Triaged",QIP!$U:$U,"NO",QIP!$N:$N,"&lt;"&amp;$C$1+1,QIP!$N:$N,"&gt;="&amp;$B$1),COUNTIFS(QIP!$D:$D,"P_Ticket",QIP!$G:$G,"Medium",QIP!$I:$I,"Triaged",QIP!$U:$U,"NO",QIP!$N:$N,"&lt;"&amp;$C$1+1,QIP!$N:$N,"&gt;="&amp;$B$1),COUNTIFS(QIP!$D:$D,"P_Ticket",QIP!$G:$G,"High",QIP!$I:$I,"Triaged",QIP!$U:$U,"NO",QIP!$N:$N,"&lt;"&amp;$C$1+1,QIP!$N:$N,"&gt;="&amp;$B$1))</f>
        <v>0</v>
      </c>
      <c r="U11" s="420"/>
      <c r="V11" s="420"/>
      <c r="W11" s="420">
        <f>COUNTIFS(
QIP!$D:$D,"P_Ticket",
QIP!$G:$G,"High",
QIP!$U:$U,"NO",
QIP!$L:$L,"&gt;="&amp;$B$1,
QIP!$L:$L,"&lt;"&amp;$C$1+1
)</f>
        <v>0</v>
      </c>
      <c r="X11" s="420">
        <f>SUM(
COUNTIFS(
QIP!$D:$D,"P_Ticket",
QIP!$G:$G,"High",
QIP!$I:$I,"Closed",
QIP!$U:$U,"NO",
QIP!$N:$N,"&lt;"&amp;$C$1+1,
QIP!$N:$N,"&gt;="&amp;$B$1
),
COUNTIFS(
QIP!$D:$D,"P_Ticket",
QIP!$G:$G,"High",
QIP!$I:$I,"Triaged",
QIP!$U:$U,"NO",
QIP!$N:$N,"&lt;"&amp;$C$1+1,
QIP!$N:$N,"&gt;="&amp;$B$1
)
)</f>
        <v>0</v>
      </c>
    </row>
    <row r="12" spans="1:24" s="421" customFormat="1" ht="15" customHeight="1">
      <c r="A12" s="416"/>
      <c r="B12" s="177" t="s">
        <v>26</v>
      </c>
      <c r="C12" s="417" t="s">
        <v>42</v>
      </c>
      <c r="D12" s="418">
        <f>COUNTIFS(
'BA MRO'!$D:$D,"Incident",
'BA MRO'!$G:$G,1,
'BA MRO'!$U:$U,"NO",
'BA MRO'!$L:$L,"&gt;="&amp;$B$1,
'BA MRO'!$L:$L,"&lt;"&amp;$C$1+1
)</f>
        <v>0</v>
      </c>
      <c r="E12" s="419">
        <f>SUM(
COUNTIFS(
'BA MRO'!$D:$D,"Incident",
'BA MRO'!$G:$G,1,
'BA MRO'!$I:$I,"Closed",
'BA MRO'!$U:$U,"NO",
'BA MRO'!$N:$N,"&gt;="&amp;$B$1,
'BA MRO'!$N:$N,"&lt;"&amp;$C$1+1
),
COUNTIFS(
'BA MRO'!$D:$D,"Incident",
'BA MRO'!$G:$G,1,
'BA MRO'!$I:$I,"Triaged",
'BA MRO'!$U:$U,"NO",
'BA MRO'!$N:$N,"&gt;="&amp;$B$1,
'BA MRO'!$N:$N,"&lt;"&amp;$C$1+1
)
)</f>
        <v>0</v>
      </c>
      <c r="F12" s="419">
        <f>COUNTIFS(
'BA MRO'!$D:$D,"Incident",
'BA MRO'!$G:$G,1,
'BA MRO'!$U:$U,"&lt;&gt;YES",
'BA MRO'!$K:$K,"&lt;"&amp;$B$1,
'BA MRO'!$N:$N,""
)
+
COUNTIFS(
'BA MRO'!$D:$D,"Incident",
'BA MRO'!$G:$G,1,
'BA MRO'!$U:$U,"&lt;&gt;YES",
'BA MRO'!$K:$K,"&lt;"&amp;$B$1,
'BA MRO'!$N:$N,"&gt;="&amp;$B$1
)
+
COUNTIFS(
'BA MRO'!$D:$D,"Incident",
'BA MRO'!$G:$G,1,
'BA MRO'!$U:$U,"&lt;&gt;YES",
'BA MRO'!$K:$K,"&gt;="&amp;$B$1,
'BA MRO'!$K:$K,"&lt;"&amp;$C$1+1
)
-
COUNTIFS(
'BA MRO'!$D:$D,"Incident",
'BA MRO'!$G:$G,1,
'BA MRO'!$U:$U,"&lt;&gt;YES",
'BA MRO'!$I:$I,"Closed",
'BA MRO'!$N:$N,"&gt;="&amp;$B$1,
'BA MRO'!$N:$N,"&lt;"&amp;$C$1+1
)
-
COUNTIFS(
'BA MRO'!$D:$D,"Incident",
'BA MRO'!$G:$G,1,
'BA MRO'!$U:$U,"&lt;&gt;YES",
'BA MRO'!$I:$I,"Triaged",
'BA MRO'!$N:$N,"&gt;="&amp;$B$1,
'BA MRO'!$N:$N,"&lt;"&amp;$C$1+1
)</f>
        <v>0</v>
      </c>
      <c r="G12" s="419">
        <f>COUNTIFS(
'BA MRO'!$D:$D,"Incident",
'BA MRO'!$G:$G,2,
'BA MRO'!$U:$U,"NO",
'BA MRO'!$L:$L,"&gt;="&amp;$B$1,
'BA MRO'!$L:$L,"&lt;"&amp;$C$1+1
)</f>
        <v>0</v>
      </c>
      <c r="H12" s="419">
        <f>SUM(
COUNTIFS(
'BA MRO'!$D:$D,"Incident",
'BA MRO'!$G:$G,2,
'BA MRO'!$I:$I,"Closed",
'BA MRO'!$U:$U,"NO",
'BA MRO'!$N:$N,"&gt;="&amp;$B$1,
'BA MRO'!$N:$N,"&lt;"&amp;$C$1+1
),
COUNTIFS(
'BA MRO'!$D:$D,"Incident",
'BA MRO'!$G:$G,2,
'BA MRO'!$I:$I,"Triaged",
'BA MRO'!$U:$U,"NO",
'BA MRO'!$N:$N,"&gt;="&amp;$B$1,
'BA MRO'!$N:$N,"&lt;"&amp;$C$1+1
)
)</f>
        <v>0</v>
      </c>
      <c r="I12" s="419">
        <f>COUNTIFS(
'BA MRO'!$D:$D,"Incident",
'BA MRO'!$G:$G,2,
'BA MRO'!$U:$U,"&lt;&gt;YES",
'BA MRO'!$K:$K,"&lt;"&amp;$B$1,
'BA MRO'!$N:$N,""
)
+
COUNTIFS(
'BA MRO'!$D:$D,"Incident",
'BA MRO'!$G:$G,2,
'BA MRO'!$U:$U,"&lt;&gt;YES",
'BA MRO'!$K:$K,"&lt;"&amp;$B$1,
'BA MRO'!$N:$N,"&gt;="&amp;$B$1
)
+
COUNTIFS(
'BA MRO'!$D:$D,"Incident",
'BA MRO'!$G:$G,2,
'BA MRO'!$U:$U,"&lt;&gt;YES",
'BA MRO'!$K:$K,"&gt;="&amp;$B$1,
'BA MRO'!$K:$K,"&lt;"&amp;$C$1+1
)
-
COUNTIFS(
'BA MRO'!$D:$D,"Incident",
'BA MRO'!$G:$G,2,
'BA MRO'!$U:$U,"&lt;&gt;YES",
'BA MRO'!$I:$I,"Closed",
'BA MRO'!$N:$N,"&gt;="&amp;$B$1,
'BA MRO'!$N:$N,"&lt;"&amp;$C$1+1
)
-
COUNTIFS(
'BA MRO'!$D:$D,"Incident",
'BA MRO'!$G:$G,2,
'BA MRO'!$U:$U,"&lt;&gt;YES",
'BA MRO'!$I:$I,"Triaged",
'BA MRO'!$N:$N,"&gt;="&amp;$B$1,
'BA MRO'!$N:$N,"&lt;"&amp;$C$1+1
)</f>
        <v>0</v>
      </c>
      <c r="J12" s="420">
        <f>COUNTIFS(
'BA MRO'!$D:$D,"Incident",
'BA MRO'!$G:$G,3,
'BA MRO'!$U:$U,"NO",
'BA MRO'!$L:$L,"&gt;="&amp;$B$1,
'BA MRO'!$L:$L,"&lt;"&amp;$C$1+1
)</f>
        <v>0</v>
      </c>
      <c r="K12" s="420">
        <f>SUM(
COUNTIFS(
'BA MRO'!$D:$D,"Incident",
'BA MRO'!$G:$G,3,
'BA MRO'!$I:$I,"Closed",
'BA MRO'!$U:$U,"NO",
'BA MRO'!$N:$N,"&gt;="&amp;$B$1,
'BA MRO'!$N:$N,"&lt;"&amp;$C$1+1
),
COUNTIFS(
'BA MRO'!$D:$D,"Incident",
'BA MRO'!$G:$G,3,
'BA MRO'!$I:$I,"Triaged",
'BA MRO'!$U:$U,"NO",
'BA MRO'!$N:$N,"&gt;="&amp;$B$1,
'BA MRO'!$N:$N,"&lt;"&amp;$C$1+1
)
)</f>
        <v>0</v>
      </c>
      <c r="L12" s="420">
        <f>COUNTIFS(
'BA MRO'!$D:$D,"Incident",
'BA MRO'!$G:$G,3,
'BA MRO'!$U:$U,"&lt;&gt;YES",
'BA MRO'!$K:$K,"&lt;"&amp;$B$1,
'BA MRO'!$N:$N,""
)
+
COUNTIFS(
'BA MRO'!$D:$D,"Incident",
'BA MRO'!$G:$G,3,
'BA MRO'!$U:$U,"&lt;&gt;YES",
'BA MRO'!$K:$K,"&lt;"&amp;$B$1,
'BA MRO'!$N:$N,"&gt;="&amp;$B$1
)
+
COUNTIFS(
'BA MRO'!$D:$D,"Incident",
'BA MRO'!$G:$G,3,
'BA MRO'!$U:$U,"&lt;&gt;YES",
'BA MRO'!$K:$K,"&gt;="&amp;$B$1,
'BA MRO'!$K:$K,"&lt;"&amp;$C$1+1
)
-
COUNTIFS(
'BA MRO'!$D:$D,"Incident",
'BA MRO'!$G:$G,3,
'BA MRO'!$U:$U,"&lt;&gt;YES",
'BA MRO'!$I:$I,"Closed",
'BA MRO'!$N:$N,"&gt;="&amp;$B$1,
'BA MRO'!$N:$N,"&lt;"&amp;$C$1+1
)
-
COUNTIFS(
'BA MRO'!$D:$D,"Incident",
'BA MRO'!$G:$G,3,
'BA MRO'!$U:$U,"&lt;&gt;YES",
'BA MRO'!$I:$I,"Triaged",
'BA MRO'!$N:$N,"&gt;="&amp;$B$1,
'BA MRO'!$N:$N,"&lt;"&amp;$C$1+1
)</f>
        <v>0</v>
      </c>
      <c r="M12" s="420">
        <f>COUNTIFS(
'BA MRO'!$D:$D,"Incident",
'BA MRO'!$G:$G,4,
'BA MRO'!$U:$U,"NO",
'BA MRO'!$L:$L,"&gt;="&amp;$B$1,
'BA MRO'!$L:$L,"&lt;"&amp;$C$1+1
)</f>
        <v>0</v>
      </c>
      <c r="N12" s="420">
        <f>SUM(
COUNTIFS(
'BA MRO'!$D:$D,"Incident",
'BA MRO'!$G:$G,4,
'BA MRO'!$I:$I,"Closed",
'BA MRO'!$U:$U,"NO",
'BA MRO'!$N:$N,"&gt;="&amp;$B$1,
'BA MRO'!$N:$N,"&lt;"&amp;$C$1+1
),
COUNTIFS(
'BA MRO'!$D:$D,"Incident",
'BA MRO'!$G:$G,4,
'BA MRO'!$I:$I,"Triaged",
'BA MRO'!$U:$U,"NO",
'BA MRO'!$N:$N,"&gt;="&amp;$B$1,
'BA MRO'!$N:$N,"&lt;"&amp;$C$1+1
)
)</f>
        <v>0</v>
      </c>
      <c r="O12" s="420">
        <f>COUNTIFS(
'BA MRO'!$D:$D,"Incident",
'BA MRO'!$G:$G,4,
'BA MRO'!$U:$U,"&lt;&gt;YES",
'BA MRO'!$K:$K,"&lt;"&amp;$B$1,
'BA MRO'!$N:$N,""
)
+
COUNTIFS(
'BA MRO'!$D:$D,"Incident",
'BA MRO'!$G:$G,4,
'BA MRO'!$U:$U,"&lt;&gt;YES",
'BA MRO'!$K:$K,"&lt;"&amp;$B$1,
'BA MRO'!$N:$N,"&gt;="&amp;$B$1
)
+
COUNTIFS(
'BA MRO'!$D:$D,"Incident",
'BA MRO'!$G:$G,4,
'BA MRO'!$U:$U,"&lt;&gt;YES",
'BA MRO'!$K:$K,"&gt;="&amp;$B$1,
'BA MRO'!$K:$K,"&lt;"&amp;$C$1+1
)
-
COUNTIFS(
'BA MRO'!$D:$D,"Incident",
'BA MRO'!$G:$G,4,
'BA MRO'!$U:$U,"&lt;&gt;YES",
'BA MRO'!$I:$I,"Closed",
'BA MRO'!$N:$N,"&gt;="&amp;$B$1,
'BA MRO'!$N:$N,"&lt;"&amp;$C$1+1
)
-
COUNTIFS(
'BA MRO'!$D:$D,"Incident",
'BA MRO'!$G:$G,4,
'BA MRO'!$U:$U,"&lt;&gt;YES",
'BA MRO'!$I:$I,"Triaged",
'BA MRO'!$N:$N,"&gt;="&amp;$B$1,
'BA MRO'!$N:$N,"&lt;"&amp;$C$1+1
)</f>
        <v>0</v>
      </c>
      <c r="P12" s="420">
        <f>COUNTIFS(
'BA MRO'!$D:$D,"RFS",
'BA MRO'!$U:$U,"NO",
'BA MRO'!$L:$L,"&gt;="&amp;$B$1,
'BA MRO'!$L:$L,"&lt;"&amp;$C$1+1
)</f>
        <v>0</v>
      </c>
      <c r="Q12" s="420">
        <f>SUM(
COUNTIFS(
'BA MRO'!$D:$D,"RFS",
'BA MRO'!$I:$I,"Closed",
'BA MRO'!$U:$U,"NO",
'BA MRO'!$N:$N,"&gt;="&amp;$B$1,
'BA MRO'!$N:$N,"&lt;"&amp;$C$1+1
),
COUNTIFS(
'BA MRO'!$D:$D,"RFS",
'BA MRO'!$I:$I,"Triaged",
'BA MRO'!$U:$U,"NO",
'BA MRO'!$N:$N,"&gt;="&amp;$B$1,
'BA MRO'!$N:$N,"&lt;"&amp;$C$1+1
)
)</f>
        <v>0</v>
      </c>
      <c r="R12" s="420">
        <f>COUNTIFS(
'BA MRO'!$D:$D,"RFS",
'BA MRO'!$U:$U,"&lt;&gt;YES",
'BA MRO'!$K:$K,"&lt;"&amp;$B$1,
'BA MRO'!$N:$N,""
)
+
COUNTIFS(
'BA MRO'!$D:$D,"RFS",
'BA MRO'!$U:$U,"&lt;&gt;YES",
'BA MRO'!$K:$K,"&lt;"&amp;$B$1,
'BA MRO'!$N:$N,"&gt;="&amp;$B$1
)
+
COUNTIFS(
'BA MRO'!$D:$D,"RFS",
'BA MRO'!$U:$U,"&lt;&gt;YES",
'BA MRO'!$K:$K,"&gt;="&amp;$B$1,
'BA MRO'!$K:$K,"&lt;"&amp;$C$1+1
)
-
COUNTIFS(
'BA MRO'!$D:$D,"RFS",
'BA MRO'!$I:$I,"Closed",
'BA MRO'!$U:$U,"&lt;&gt;YES",
'BA MRO'!$N:$N,"&gt;="&amp;$B$1,
'BA MRO'!$N:$N,"&lt;"&amp;$C$1+1
)
-
COUNTIFS(
'BA MRO'!$D:$D,"RFS",
'BA MRO'!$I:$I,"Triaged",
'BA MRO'!$U:$U,"&lt;&gt;YES",
'BA MRO'!$N:$N,"&gt;="&amp;$B$1,
'BA MRO'!$N:$N,"&lt;"&amp;$C$1+1
)</f>
        <v>0</v>
      </c>
      <c r="S12" s="420">
        <f>SUM(
COUNTIFS(
'BA MRO'!$D:$D,"P_Ticket",
'BA MRO'!$G:$G,"Low",
'BA MRO'!$U:$U,"NO",
'BA MRO'!$L:$L,"&gt;="&amp;$B$1,
'BA MRO'!$L:$L,"&lt;"&amp;$C$1+1
),
COUNTIFS(
'BA MRO'!$D:$D,"P_Ticket",
'BA MRO'!$G:$G,"Medium",
'BA MRO'!$U:$U,"NO",
'BA MRO'!$L:$L,"&gt;="&amp;$B$1,
'BA MRO'!$L:$L,"&lt;"&amp;$C$1+1
),
COUNTIFS(
'BA MRO'!$D:$D,"P_Ticket",
'BA MRO'!$G:$G,"High",
'BA MRO'!$U:$U,"NO",
'BA MRO'!$L:$L,"&gt;="&amp;$B$1,
'BA MRO'!$L:$L,"&lt;"&amp;$C$1+1
)
)</f>
        <v>0</v>
      </c>
      <c r="T12" s="420">
        <f>SUM(COUNTIFS('BA MRO'!$D:$D,"P_Ticket",'BA MRO'!$G:$G,"Low",'BA MRO'!$I:$I,"Closed",'BA MRO'!$U:$U,"NO",'BA MRO'!$N:$N,"&lt;"&amp;$C$1+1,'BA MRO'!$N:$N,"&gt;="&amp;$B$1),COUNTIFS('BA MRO'!$D:$D,"P_Ticket",'BA MRO'!$G:$G,"Medium",'BA MRO'!$I:$I,"Closed",'BA MRO'!$U:$U,"NO",'BA MRO'!$N:$N,"&lt;"&amp;$C$1+1,'BA MRO'!$N:$N,"&gt;="&amp;$B$1),COUNTIFS('BA MRO'!$D:$D,"P_Ticket",'BA MRO'!$G:$G,"High",'BA MRO'!$I:$I,"Closed",'BA MRO'!$U:$U,"NO",'BA MRO'!$N:$N,"&lt;"&amp;$C$1+1,'BA MRO'!$N:$N,"&gt;="&amp;$B$1),COUNTIFS('BA MRO'!$D:$D,"P_Ticket",'BA MRO'!$G:$G,"Low",'BA MRO'!$I:$I,"Triaged",'BA MRO'!$U:$U,"NO",'BA MRO'!$N:$N,"&lt;"&amp;$C$1+1,'BA MRO'!$N:$N,"&gt;="&amp;$B$1),COUNTIFS('BA MRO'!$D:$D,"P_Ticket",'BA MRO'!$G:$G,"Medium",'BA MRO'!$I:$I,"Triaged",'BA MRO'!$U:$U,"NO",'BA MRO'!$N:$N,"&lt;"&amp;$C$1+1,'BA MRO'!$N:$N,"&gt;="&amp;$B$1),COUNTIFS('BA MRO'!$D:$D,"P_Ticket",'BA MRO'!$G:$G,"High",'BA MRO'!$I:$I,"Triaged",'BA MRO'!$U:$U,"NO",'BA MRO'!$N:$N,"&lt;"&amp;$C$1+1,'BA MRO'!$N:$N,"&gt;="&amp;$B$1))</f>
        <v>0</v>
      </c>
      <c r="U12" s="420"/>
      <c r="V12" s="420"/>
      <c r="W12" s="420">
        <f>COUNTIFS(
'BA MRO'!$D:$D,"P_Ticket",
'BA MRO'!$G:$G,"High",
'BA MRO'!$U:$U,"NO",
'BA MRO'!$L:$L,"&gt;="&amp;$B$1,
'BA MRO'!$L:$L,"&lt;"&amp;$C$1+1
)</f>
        <v>0</v>
      </c>
      <c r="X12" s="420">
        <f>SUM(
COUNTIFS(
'BA MRO'!$D:$D,"P_Ticket",
'BA MRO'!$G:$G,"High",
'BA MRO'!$I:$I,"Closed",
'BA MRO'!$U:$U,"NO",
'BA MRO'!$N:$N,"&lt;"&amp;$C$1+1,
'BA MRO'!$N:$N,"&gt;="&amp;$B$1
),
COUNTIFS(
'BA MRO'!$D:$D,"P_Ticket",
'BA MRO'!$G:$G,"High",
'BA MRO'!$I:$I,"Triaged",
'BA MRO'!$U:$U,"NO",
'BA MRO'!$N:$N,"&lt;"&amp;$C$1+1,
'BA MRO'!$N:$N,"&gt;="&amp;$B$1
)
)</f>
        <v>0</v>
      </c>
    </row>
    <row r="13" spans="1:24" s="421" customFormat="1" ht="15" customHeight="1">
      <c r="A13" s="416" t="s">
        <v>43</v>
      </c>
      <c r="B13" s="177" t="s">
        <v>26</v>
      </c>
      <c r="C13" s="417" t="s">
        <v>44</v>
      </c>
      <c r="D13" s="418">
        <f>COUNTIFS(
Pathway!$D:$D,"Incident",
Pathway!$G:$G,1,
Pathway!$U:$U,"NO",
Pathway!$L:$L,"&gt;="&amp;$B$1,
Pathway!$L:$L,"&lt;"&amp;$C$1+1
)</f>
        <v>0</v>
      </c>
      <c r="E13" s="419">
        <f>SUM(
COUNTIFS(
Pathway!$D:$D,"Incident",
Pathway!$G:$G,1,
Pathway!$I:$I,"Closed",
Pathway!$U:$U,"NO",
Pathway!$N:$N,"&gt;="&amp;$B$1,
Pathway!$N:$N,"&lt;"&amp;$C$1+1
),
COUNTIFS(
Pathway!$D:$D,"Incident",
Pathway!$G:$G,1,
Pathway!$I:$I,"Triaged",
Pathway!$U:$U,"NO",
Pathway!$N:$N,"&gt;="&amp;$B$1,
Pathway!$N:$N,"&lt;"&amp;$C$1+1
)
)</f>
        <v>0</v>
      </c>
      <c r="F13" s="419">
        <f xml:space="preserve">
COUNTIFS(
Pathway!$D:$D,"Incident",
Pathway!$G:$G,1,
Pathway!$U:$U,"&lt;&gt;YES",
Pathway!$K:$K,"&lt;"&amp;$B$1,
Pathway!$N:$N,""
)
+
COUNTIFS(
Pathway!$D:$D,"Incident",
Pathway!$G:$G,1,
Pathway!$U:$U,"&lt;&gt;YES",
Pathway!$K:$K,"&lt;"&amp;$B$1,
Pathway!$N:$N,"&gt;="&amp;$B$1
)
+
COUNTIFS(
Pathway!$D:$D,"Incident",
Pathway!$G:$G,1,
Pathway!$U:$U,"&lt;&gt;YES",
Pathway!$K:$K,"&gt;="&amp;$B$1,
Pathway!$K:$K,"&lt;"&amp;$C$1+1
)
-
COUNTIFS(
Pathway!$D:$D,"Incident",
Pathway!$G:$G,1,
Pathway!$I:$I,"Closed",
Pathway!$U:$U,"&lt;&gt;YES",
Pathway!$N:$N,"&gt;="&amp;$B$1,
Pathway!$N:$N,"&lt;"&amp;$C$1+1
)
-
COUNTIFS(
Pathway!$D:$D,"Incident",
Pathway!$G:$G,1,
Pathway!$I:$I,"Triaged",
Pathway!$U:$U,"&lt;&gt;YES",
Pathway!$N:$N,"&gt;="&amp;$B$1,
Pathway!$N:$N,"&lt;"&amp;$C$1+1
)</f>
        <v>0</v>
      </c>
      <c r="G13" s="419">
        <f>COUNTIFS(
Pathway!$D:$D,"Incident",
Pathway!$G:$G,2,
Pathway!$U:$U,"NO",
Pathway!$L:$L,"&gt;="&amp;$B$1,
Pathway!$L:$L,"&lt;"&amp;$C$1+1
)</f>
        <v>0</v>
      </c>
      <c r="H13" s="419">
        <f>SUM(
COUNTIFS(
Pathway!$D:$D,"Incident",
Pathway!$G:$G,2,
Pathway!$I:$I,"Closed",
Pathway!$U:$U,"NO",
Pathway!$N:$N,"&gt;="&amp;$B$1,
Pathway!$N:$N,"&lt;"&amp;$C$1+1
),
COUNTIFS(
Pathway!$D:$D,"Incident",
Pathway!$G:$G,2,
Pathway!$I:$I,"Triaged",
Pathway!$U:$U,"NO",
Pathway!$N:$N,"&gt;="&amp;$B$1,
Pathway!$N:$N,"&lt;"&amp;$C$1+1
)
)</f>
        <v>0</v>
      </c>
      <c r="I13" s="419">
        <f xml:space="preserve">
COUNTIFS(
Pathway!$D:$D,"Incident",
Pathway!$G:$G,2,
Pathway!$U:$U,"&lt;&gt;YES",
Pathway!$K:$K,"&lt;"&amp;$B$1,
Pathway!$N:$N,""
)
+
COUNTIFS(
Pathway!$D:$D,"Incident",
Pathway!$G:$G,2,
Pathway!$U:$U,"&lt;&gt;YES",
Pathway!$K:$K,"&lt;"&amp;$B$1,
Pathway!$N:$N,"&gt;="&amp;$B$1
)
+
COUNTIFS(
Pathway!$D:$D,"Incident",
Pathway!$G:$G,2,
Pathway!$U:$U,"&lt;&gt;YES",
Pathway!$K:$K,"&gt;="&amp;$B$1,
Pathway!$K:$K,"&lt;"&amp;$C$1+1
)
-
COUNTIFS(
Pathway!$D:$D,"Incident",
Pathway!$G:$G,2,
Pathway!$I:$I,"Closed",
Pathway!$U:$U,"&lt;&gt;YES",
Pathway!$N:$N,"&gt;="&amp;$B$1,
Pathway!$N:$N,"&lt;"&amp;$C$1+1
)
-
COUNTIFS(
Pathway!$D:$D,"Incident",
Pathway!$G:$G,2,
Pathway!$I:$I,"Triaged",
Pathway!$U:$U,"&lt;&gt;YES",
Pathway!$N:$N,"&gt;="&amp;$B$1,
Pathway!$N:$N,"&lt;"&amp;$C$1+1
)</f>
        <v>0</v>
      </c>
      <c r="J13" s="420">
        <f>COUNTIFS(
Pathway!$D:$D,"Incident",
Pathway!$G:$G,3,
Pathway!$U:$U,"NO",
Pathway!$L:$L,"&gt;="&amp;$B$1,
Pathway!$L:$L,"&lt;"&amp;$C$1+1
)</f>
        <v>3</v>
      </c>
      <c r="K13" s="420">
        <f>SUM(
COUNTIFS(
Pathway!$D:$D,"Incident",
Pathway!$G:$G,3,
Pathway!$I:$I,"Closed",
Pathway!$U:$U,"NO",
Pathway!$N:$N,"&gt;="&amp;$B$1,
Pathway!$N:$N,"&lt;"&amp;$C$1+1
),
COUNTIFS(
Pathway!$D:$D,"Incident",
Pathway!$G:$G,3,
Pathway!$I:$I,"Triaged",
Pathway!$U:$U,"NO",
Pathway!$N:$N,"&gt;="&amp;$B$1,
Pathway!$N:$N,"&lt;"&amp;$C$1+1
)
)</f>
        <v>8</v>
      </c>
      <c r="L13" s="420">
        <f xml:space="preserve">
COUNTIFS(
Pathway!$D:$D,"Incident",
Pathway!$G:$G,3,
Pathway!$U:$U,"&lt;&gt;YES",
Pathway!$K:$K,"&lt;"&amp;$B$1,
Pathway!$N:$N,""
)
+
COUNTIFS(
Pathway!$D:$D,"Incident",
Pathway!$G:$G,3,
Pathway!$U:$U,"&lt;&gt;YES",
Pathway!$K:$K,"&lt;"&amp;$B$1,
Pathway!$N:$N,"&gt;="&amp;$B$1
)
+
COUNTIFS(
Pathway!$D:$D,"Incident",
Pathway!$G:$G,3,
Pathway!$U:$U,"&lt;&gt;YES",
Pathway!$K:$K,"&gt;="&amp;$B$1,
Pathway!$K:$K,"&lt;"&amp;$C$1+1
)
-
COUNTIFS(
Pathway!$D:$D,"Incident",
Pathway!$G:$G,3,
Pathway!$I:$I,"Closed",
Pathway!$U:$U,"&lt;&gt;YES",
Pathway!$N:$N,"&gt;="&amp;$B$1,
Pathway!$N:$N,"&lt;"&amp;$C$1+1
)
-
COUNTIFS(
Pathway!$D:$D,"Incident",
Pathway!$G:$G,3,
Pathway!$I:$I,"Triaged",
Pathway!$U:$U,"&lt;&gt;YES",
Pathway!$N:$N,"&gt;="&amp;$B$1,
Pathway!$N:$N,"&lt;"&amp;$C$1+1
)</f>
        <v>6</v>
      </c>
      <c r="M13" s="420">
        <f>COUNTIFS(
Pathway!$D:$D,"Incident",
Pathway!$G:$G,4,
Pathway!$U:$U,"NO",
Pathway!$L:$L,"&gt;="&amp;$B$1,
Pathway!$L:$L,"&lt;"&amp;$C$1+1
)</f>
        <v>5</v>
      </c>
      <c r="N13" s="420">
        <f>SUM(
COUNTIFS(
Pathway!$D:$D,"Incident",
Pathway!$G:$G,4,
Pathway!$I:$I,"Closed",
Pathway!$U:$U,"NO",
Pathway!$N:$N,"&gt;="&amp;$B$1,
Pathway!$N:$N,"&lt;"&amp;$C$1+1
),
COUNTIFS(
Pathway!$D:$D,"Incident",
Pathway!$G:$G,4,
Pathway!$I:$I,"Triaged",
Pathway!$U:$U,"NO",
Pathway!$N:$N,"&gt;="&amp;$B$1,
Pathway!$N:$N,"&lt;"&amp;$C$1+1
)
)</f>
        <v>3</v>
      </c>
      <c r="O13" s="420">
        <f xml:space="preserve">
COUNTIFS(
Pathway!$D:$D,"Incident",
Pathway!$G:$G,4,
Pathway!$U:$U,"&lt;&gt;YES",
Pathway!$K:$K,"&lt;"&amp;$B$1,
Pathway!$N:$N,""
)
+
COUNTIFS(
Pathway!$D:$D,"Incident",
Pathway!$G:$G,4,
Pathway!$U:$U,"&lt;&gt;YES",
Pathway!$K:$K,"&lt;"&amp;$B$1,
Pathway!$N:$N,"&gt;="&amp;$B$1
)
+
COUNTIFS(
Pathway!$D:$D,"Incident",
Pathway!$G:$G,4,
Pathway!$U:$U,"&lt;&gt;YES",
Pathway!$K:$K,"&gt;="&amp;$B$1,
Pathway!$K:$K,"&lt;"&amp;$C$1+1
)
-
COUNTIFS(
Pathway!$D:$D,"Incident",
Pathway!$G:$G,4,
Pathway!$I:$I,"Closed",
Pathway!$U:$U,"&lt;&gt;YES",
Pathway!$N:$N,"&gt;="&amp;$B$1,
Pathway!$N:$N,"&lt;"&amp;$C$1+1
)
-
COUNTIFS(
Pathway!$D:$D,"Incident",
Pathway!$G:$G,4,
Pathway!$I:$I,"Triaged",
Pathway!$U:$U,"&lt;&gt;YES",
Pathway!$N:$N,"&gt;="&amp;$B$1,
Pathway!$N:$N,"&lt;"&amp;$C$1+1
)</f>
        <v>19</v>
      </c>
      <c r="P13" s="420">
        <f>COUNTIFS(
Pathway!$D:$D,"RFS",
Pathway!$U:$U,"NO",
Pathway!$L:$L,"&gt;="&amp;$B$1,
Pathway!$L:$L,"&lt;"&amp;$C$1+1
)</f>
        <v>5</v>
      </c>
      <c r="Q13" s="420">
        <f>SUM(
COUNTIFS(
Pathway!$D:$D,"RFS",
Pathway!$I:$I,"Closed",
Pathway!$U:$U,"NO",
Pathway!$N:$N,"&gt;="&amp;$B$1,
Pathway!$N:$N,"&lt;"&amp;$C$1+1
),
COUNTIFS(
Pathway!$D:$D,"RFS",
Pathway!$I:$I,"Triaged",
Pathway!$U:$U,"NO",
Pathway!$N:$N,"&gt;="&amp;$B$1,
Pathway!$N:$N,"&lt;"&amp;$C$1+1
)
)</f>
        <v>13</v>
      </c>
      <c r="R13" s="420">
        <f>COUNTIFS(
Pathway!$D:$D,"RFS",
Pathway!$U:$U,"&lt;&gt;YES",
Pathway!$K:$K,"&lt;"&amp;$B$1,
Pathway!$N:$N,""
)
+
COUNTIFS(
Pathway!$D:$D,"RFS",
Pathway!$U:$U,"&lt;&gt;YES",
Pathway!$K:$K,"&lt;"&amp;$B$1,
Pathway!$N:$N,"&gt;="&amp;$B$1
)
+
COUNTIFS(
Pathway!$D:$D,"RFS",
Pathway!$U:$U,"&lt;&gt;YES",
Pathway!$K:$K,"&gt;="&amp;$B$1,
Pathway!$K:$K,"&lt;"&amp;$C$1+1
)
-
COUNTIFS(
Pathway!$D:$D,"RFS",
Pathway!$I:$I,"Closed",
Pathway!$U:$U,"&lt;&gt;YES",
Pathway!$N:$N,"&gt;="&amp;$B$1,
Pathway!$N:$N,"&lt;"&amp;$C$1+1
)
-
COUNTIFS(
Pathway!$D:$D,"RFS",
Pathway!$I:$I,"Triaged",
Pathway!$U:$U,"&lt;&gt;YES",
Pathway!$N:$N,"&gt;="&amp;$B$1,
Pathway!$N:$N,"&lt;"&amp;$C$1+1
)</f>
        <v>28</v>
      </c>
      <c r="S13" s="420">
        <f>SUM(
COUNTIFS(
Pathway!$D:$D,"P_Ticket",
Pathway!$G:$G,"Low",
Pathway!$U:$U,"NO",
Pathway!$L:$L,"&gt;="&amp;$B$1,
Pathway!$L:$L,"&lt;"&amp;$C$1+1
),
COUNTIFS(
Pathway!$D:$D,"P_Ticket",
Pathway!$G:$G,"Medium",
Pathway!$U:$U,"NO",
Pathway!$L:$L,"&gt;="&amp;$B$1,
Pathway!$L:$L,"&lt;"&amp;$C$1+1
),
COUNTIFS(
Pathway!$D:$D,"P_Ticket",
Pathway!$G:$G,"High",
Pathway!$U:$U,"NO",
Pathway!$L:$L,"&gt;="&amp;$B$1,
Pathway!$L:$L,"&lt;"&amp;$C$1+1
)
)</f>
        <v>0</v>
      </c>
      <c r="T13" s="420">
        <f>SUM(
COUNTIFS(
Pathway!$D:$D,"P_Ticket",
Pathway!$G:$G,"Low",
Pathway!$I:$I,"Closed",
Pathway!$U:$U,"NO",
Pathway!$N:$N,"&lt;"&amp;$C$1+1,
Pathway!$N:$N,"&gt;="&amp;$B$1
),
COUNTIFS(
Pathway!$D:$D,"P_Ticket",
Pathway!$G:$G,"Medium",
Pathway!$I:$I,"Closed",
Pathway!$U:$U,"NO",
Pathway!$N:$N,"&lt;"&amp;$C$1+1,
Pathway!$N:$N,"&gt;="&amp;$B$1
),
COUNTIFS(
Pathway!$D:$D,"P_Ticket",
Pathway!$G:$G,"High",
Pathway!$I:$I,"Closed",
Pathway!$U:$U,"NO",
Pathway!$N:$N,"&lt;"&amp;$C$1+1,
Pathway!$N:$N,"&gt;="&amp;$B$1
),
COUNTIFS(
Pathway!$D:$D,"P_Ticket",
Pathway!$G:$G,"Low",
Pathway!$I:$I,"Triaged",
Pathway!$U:$U,"NO",
Pathway!$N:$N,"&lt;"&amp;$C$1+1,
Pathway!$N:$N,"&gt;="&amp;$B$1
),
COUNTIFS(
Pathway!$D:$D,"P_Ticket",
Pathway!$G:$G,"Medium",
Pathway!$I:$I,"Triaged",
Pathway!$U:$U,"NO",
Pathway!$N:$N,"&lt;"&amp;$C$1+1,
Pathway!$N:$N,"&gt;="&amp;$B$1
),
COUNTIFS(
Pathway!$D:$D,"P_Ticket",
Pathway!$G:$G,"High",
Pathway!$I:$I,"Triaged",
Pathway!$U:$U,"NO",
Pathway!$N:$N,"&lt;"&amp;$C$1+1,
Pathway!$N:$N,"&gt;="&amp;$B$1
)
)</f>
        <v>0</v>
      </c>
      <c r="U13" s="420"/>
      <c r="V13" s="420"/>
      <c r="W13" s="420">
        <f>COUNTIFS(
Pathway!$D:$D,"P_Ticket",
Pathway!$G:$G,"High",
Pathway!$U:$U,"NO",
Pathway!$L:$L,"&gt;="&amp;$B$1,
Pathway!$L:$L,"&lt;"&amp;$C$1+1
)</f>
        <v>0</v>
      </c>
      <c r="X13" s="420">
        <f>SUM(
COUNTIFS(
Pathway!$D:$D,"P_Ticket",
Pathway!$G:$G,"High",
Pathway!$I:$I,"Closed",
Pathway!$U:$U,"NO",
Pathway!$N:$N,"&lt;"&amp;$C$1+1,
Pathway!$N:$N,"&gt;="&amp;$B$1
),
COUNTIFS(
Pathway!$D:$D,"P_Ticket",
Pathway!$G:$G,"High",
Pathway!$I:$I,"Triaged",
Pathway!$U:$U,"NO",
Pathway!$N:$N,"&lt;"&amp;$C$1+1,
Pathway!$N:$N,"&gt;="&amp;$B$1
)
)</f>
        <v>0</v>
      </c>
    </row>
    <row r="14" spans="1:24" s="421" customFormat="1" ht="15" customHeight="1">
      <c r="A14" s="416" t="s">
        <v>45</v>
      </c>
      <c r="B14" s="177" t="s">
        <v>46</v>
      </c>
      <c r="C14" s="417" t="s">
        <v>37</v>
      </c>
      <c r="D14" s="422">
        <f>COUNTIFS(
'IB MOBILE'!$D:$D,"Incident",
'IB MOBILE'!$G:$G,1,
'IB MOBILE'!$U:$U,"NO",
'IB MOBILE'!$L:$L,"&gt;="&amp;$B$1,
'IB MOBILE'!$L:$L,"&lt;"&amp;$C$1+1
)</f>
        <v>0</v>
      </c>
      <c r="E14" s="177">
        <f>SUM(
COUNTIFS(
'IB MOBILE'!$D:$D,"Incident",
'IB MOBILE'!$G:$G,1,
'IB MOBILE'!$I:$I,"Closed",
'IB MOBILE'!$U:$U,"NO",
'IB MOBILE'!$N:$N,"&gt;="&amp;$B$1,
'IB MOBILE'!$N:$N,"&lt;"&amp;$C$1+1
),
COUNTIFS(
'IB MOBILE'!$D:$D,"Incident",
'IB MOBILE'!$G:$G,1,
'IB MOBILE'!$I:$I,"Triaged",
'IB MOBILE'!$U:$U,"NO",
'IB MOBILE'!$N:$N,"&gt;="&amp;$B$1,
'IB MOBILE'!$N:$N,"&lt;"&amp;$C$1+1
)
)</f>
        <v>0</v>
      </c>
      <c r="F14" s="177">
        <f>COUNTIFS(
'IB MOBILE'!$D:$D,"Incident",
'IB MOBILE'!$G:$G,1,
'IB MOBILE'!$U:$U,"&lt;&gt;YES",
'IB MOBILE'!$K:$K,"&lt;"&amp;$B$1,
'IB MOBILE'!$N:$N,""
)
+
COUNTIFS(
'IB MOBILE'!$D:$D,"Incident",
'IB MOBILE'!$G:$G,1,
'IB MOBILE'!$U:$U,"&lt;&gt;YES",
'IB MOBILE'!$K:$K,"&lt;"&amp;$B$1,
'IB MOBILE'!$N:$N,"&gt;="&amp;$B$1
)
+
COUNTIFS(
'IB MOBILE'!$D:$D,"Incident",
'IB MOBILE'!$G:$G,1,
'IB MOBILE'!$U:$U,"&lt;&gt;YES",
'IB MOBILE'!$K:$K,"&gt;="&amp;$B$1,
'IB MOBILE'!$K:$K,"&lt;"&amp;$C$1+1
)
-
COUNTIFS(
'IB MOBILE'!$D:$D,"Incident",
'IB MOBILE'!$G:$G,1,
'IB MOBILE'!$U:$U,"&lt;&gt;YES",
'IB MOBILE'!$I:$I,"Closed",
'IB MOBILE'!$N:$N,"&gt;="&amp;$B$1,
'IB MOBILE'!$N:$N,"&lt;"&amp;$C$1+1
)
-
COUNTIFS(
'IB MOBILE'!$D:$D,"Incident",
'IB MOBILE'!$G:$G,1,
'IB MOBILE'!$U:$U,"&lt;&gt;YES",
'IB MOBILE'!$I:$I,"Triaged",
'IB MOBILE'!$N:$N,"&gt;="&amp;$B$1,
'IB MOBILE'!$N:$N,"&lt;"&amp;$C$1+1
)</f>
        <v>0</v>
      </c>
      <c r="G14" s="419">
        <f>COUNTIFS(
'IB MOBILE'!$D:$D,"Incident",
'IB MOBILE'!$G:$G,2,
'IB MOBILE'!$U:$U,"NO",
'IB MOBILE'!$L:$L,"&gt;="&amp;$B$1,
'IB MOBILE'!$L:$L,"&lt;"&amp;$C$1+1
)</f>
        <v>0</v>
      </c>
      <c r="H14" s="423">
        <f>SUM(
COUNTIFS(
'IB MOBILE'!$D:$D,"Incident",
'IB MOBILE'!$G:$G,2,
'IB MOBILE'!$I:$I,"Closed",
'IB MOBILE'!$U:$U,"NO",
'IB MOBILE'!$N:$N,"&gt;="&amp;$B$1,
'IB MOBILE'!$N:$N,"&lt;"&amp;$C$1+1
),
COUNTIFS(
'IB MOBILE'!$D:$D,"Incident",
'IB MOBILE'!$G:$G,2,
'IB MOBILE'!$I:$I,"Triaged",
'IB MOBILE'!$U:$U,"NO",
'IB MOBILE'!$N:$N,"&gt;="&amp;$B$1,
'IB MOBILE'!$N:$N,"&lt;"&amp;$C$1+1
)
)</f>
        <v>0</v>
      </c>
      <c r="I14" s="423">
        <f>COUNTIFS(
'IB MOBILE'!$D:$D,"Incident",
'IB MOBILE'!$G:$G,2,
'IB MOBILE'!$U:$U,"&lt;&gt;YES",
'IB MOBILE'!$K:$K,"&lt;"&amp;$B$1,
'IB MOBILE'!$N:$N,""
)
+
COUNTIFS(
'IB MOBILE'!$D:$D,"Incident",
'IB MOBILE'!$G:$G,2,
'IB MOBILE'!$U:$U,"&lt;&gt;YES",
'IB MOBILE'!$K:$K,"&lt;"&amp;$B$1,
'IB MOBILE'!$N:$N,"&gt;="&amp;$B$1
)
+
COUNTIFS(
'IB MOBILE'!$D:$D,"Incident",
'IB MOBILE'!$G:$G,2,
'IB MOBILE'!$U:$U,"&lt;&gt;YES",
'IB MOBILE'!$K:$K,"&gt;="&amp;$B$1,
'IB MOBILE'!$K:$K,"&lt;"&amp;$C$1+1
)
-
COUNTIFS(
'IB MOBILE'!$D:$D,"Incident",
'IB MOBILE'!$G:$G,2,
'IB MOBILE'!$U:$U,"&lt;&gt;YES",
'IB MOBILE'!$I:$I,"Closed",
'IB MOBILE'!$N:$N,"&gt;="&amp;$B$1,
'IB MOBILE'!$N:$N,"&lt;"&amp;$C$1+1
)
-
COUNTIFS(
'IB MOBILE'!$D:$D,"Incident",
'IB MOBILE'!$G:$G,2,
'IB MOBILE'!$U:$U,"&lt;&gt;YES",
'IB MOBILE'!$I:$I,"Triaged",
'IB MOBILE'!$N:$N,"&gt;="&amp;$B$1,
'IB MOBILE'!$N:$N,"&lt;"&amp;$C$1+1
)</f>
        <v>0</v>
      </c>
      <c r="J14" s="420">
        <f>COUNTIFS(
'IB MOBILE'!$D:$D,"Incident",
'IB MOBILE'!$G:$G,3,
'IB MOBILE'!$U:$U,"NO",
'IB MOBILE'!$L:$L,"&gt;="&amp;$B$1,
'IB MOBILE'!$L:$L,"&lt;"&amp;$C$1+1
)</f>
        <v>0</v>
      </c>
      <c r="K14" s="420">
        <f>SUM(
COUNTIFS(
'IB MOBILE'!$D:$D,"Incident",
'IB MOBILE'!$G:$G,3,
'IB MOBILE'!$I:$I,"Closed",
'IB MOBILE'!$U:$U,"NO",
'IB MOBILE'!$N:$N,"&gt;="&amp;$B$1,
'IB MOBILE'!$N:$N,"&lt;"&amp;$C$1+1
),
COUNTIFS(
'IB MOBILE'!$D:$D,"Incident",
'IB MOBILE'!$G:$G,3,
'IB MOBILE'!$I:$I,"Triaged",
'IB MOBILE'!$U:$U,"NO",
'IB MOBILE'!$N:$N,"&gt;="&amp;$B$1,
'IB MOBILE'!$N:$N,"&lt;"&amp;$C$1+1
)
)</f>
        <v>0</v>
      </c>
      <c r="L14" s="420">
        <f>COUNTIFS(
'IB MOBILE'!$D:$D,"Incident",
'IB MOBILE'!$G:$G,3,
'IB MOBILE'!$U:$U,"&lt;&gt;YES",
'IB MOBILE'!$K:$K,"&lt;"&amp;$B$1,
'IB MOBILE'!$N:$N,""
)
+
COUNTIFS(
'IB MOBILE'!$D:$D,"Incident",
'IB MOBILE'!$G:$G,3,
'IB MOBILE'!$U:$U,"&lt;&gt;YES",
'IB MOBILE'!$K:$K,"&lt;"&amp;$B$1,
'IB MOBILE'!$N:$N,"&gt;="&amp;$B$1
)
+
COUNTIFS(
'IB MOBILE'!$D:$D,"Incident",
'IB MOBILE'!$G:$G,3,
'IB MOBILE'!$U:$U,"&lt;&gt;YES",
'IB MOBILE'!$K:$K,"&gt;="&amp;$B$1,
'IB MOBILE'!$K:$K,"&lt;"&amp;$C$1+1
)
-
COUNTIFS(
'IB MOBILE'!$D:$D,"Incident",
'IB MOBILE'!$G:$G,3,
'IB MOBILE'!$U:$U,"&lt;&gt;YES",
'IB MOBILE'!$I:$I,"Closed",
'IB MOBILE'!$N:$N,"&gt;="&amp;$B$1,
'IB MOBILE'!$N:$N,"&lt;"&amp;$C$1+1
)
-
COUNTIFS(
'IB MOBILE'!$D:$D,"Incident",
'IB MOBILE'!$G:$G,3,
'IB MOBILE'!$U:$U,"&lt;&gt;YES",
'IB MOBILE'!$I:$I,"Triaged",
'IB MOBILE'!$N:$N,"&gt;="&amp;$B$1,
'IB MOBILE'!$N:$N,"&lt;"&amp;$C$1+1
)</f>
        <v>0</v>
      </c>
      <c r="M14" s="420">
        <f>COUNTIFS(
'IB MOBILE'!$D:$D,"Incident",
'IB MOBILE'!$G:$G,4,
'IB MOBILE'!$U:$U,"NO",
'IB MOBILE'!$L:$L,"&gt;="&amp;$B$1,
'IB MOBILE'!$L:$L,"&lt;"&amp;$C$1+1
)</f>
        <v>0</v>
      </c>
      <c r="N14" s="420">
        <f>SUM(
COUNTIFS(
'IB MOBILE'!$D:$D,"Incident",
'IB MOBILE'!$G:$G,4,
'IB MOBILE'!$I:$I,"Closed",
'IB MOBILE'!$U:$U,"NO",
'IB MOBILE'!$N:$N,"&gt;="&amp;$B$1,
'IB MOBILE'!$N:$N,"&lt;"&amp;$C$1+1
),
COUNTIFS(
'IB MOBILE'!$D:$D,"Incident",
'IB MOBILE'!$G:$G,4,
'IB MOBILE'!$I:$I,"Triaged",
'IB MOBILE'!$U:$U,"NO",
'IB MOBILE'!$N:$N,"&gt;="&amp;$B$1,
'IB MOBILE'!$N:$N,"&lt;"&amp;$C$1+1
)
)</f>
        <v>0</v>
      </c>
      <c r="O14" s="420">
        <f>COUNTIFS(
'IB MOBILE'!$D:$D,"Incident",
'IB MOBILE'!$G:$G,4,
'IB MOBILE'!$U:$U,"&lt;&gt;YES",
'IB MOBILE'!$K:$K,"&lt;"&amp;$B$1,
'IB MOBILE'!$N:$N,""
)
+
COUNTIFS(
'IB MOBILE'!$D:$D,"Incident",
'IB MOBILE'!$G:$G,4,
'IB MOBILE'!$U:$U,"&lt;&gt;YES",
'IB MOBILE'!$K:$K,"&lt;"&amp;$B$1,
'IB MOBILE'!$N:$N,"&gt;="&amp;$B$1
)
+
COUNTIFS(
'IB MOBILE'!$D:$D,"Incident",
'IB MOBILE'!$G:$G,4,
'IB MOBILE'!$U:$U,"&lt;&gt;YES",
'IB MOBILE'!$K:$K,"&gt;="&amp;$B$1,
'IB MOBILE'!$K:$K,"&lt;"&amp;$C$1+1
)
-
COUNTIFS(
'IB MOBILE'!$D:$D,"Incident",
'IB MOBILE'!$G:$G,4,
'IB MOBILE'!$U:$U,"&lt;&gt;YES",
'IB MOBILE'!$I:$I,"Closed",
'IB MOBILE'!$N:$N,"&gt;="&amp;$B$1,
'IB MOBILE'!$N:$N,"&lt;"&amp;$C$1+1
)
-
COUNTIFS(
'IB MOBILE'!$D:$D,"Incident",
'IB MOBILE'!$G:$G,4,
'IB MOBILE'!$U:$U,"&lt;&gt;YES",
'IB MOBILE'!$I:$I,"Triaged",
'IB MOBILE'!$N:$N,"&gt;="&amp;$B$1,
'IB MOBILE'!$N:$N,"&lt;"&amp;$C$1+1
)</f>
        <v>0</v>
      </c>
      <c r="P14" s="420">
        <f>COUNTIFS(
'IB MOBILE'!$D:$D,"RFS",
'IB MOBILE'!$U:$U,"NO",
'IB MOBILE'!$L:$L,"&gt;="&amp;$B$1,
'IB MOBILE'!$L:$L,"&lt;"&amp;$C$1+1
)</f>
        <v>0</v>
      </c>
      <c r="Q14" s="420">
        <f>SUM(
COUNTIFS(
'IB MOBILE'!$D:$D,"RFS",
'IB MOBILE'!$I:$I,"Closed",
'IB MOBILE'!$U:$U,"NO",
'IB MOBILE'!$N:$N,"&gt;="&amp;$B$1,
'IB MOBILE'!$N:$N,"&lt;"&amp;$C$1+1
),
COUNTIFS(
'IB MOBILE'!$D:$D,"RFS",
'IB MOBILE'!$I:$I,"Triaged",
'IB MOBILE'!$U:$U,"NO",
'IB MOBILE'!$N:$N,"&gt;="&amp;$B$1,
'IB MOBILE'!$N:$N,"&lt;"&amp;$C$1+1
)
)</f>
        <v>0</v>
      </c>
      <c r="R14" s="420">
        <f>COUNTIFS(
'IB MOBILE'!$D:$D,"RFS",
'IB MOBILE'!$U:$U,"&lt;&gt;YES",
'IB MOBILE'!$K:$K,"&lt;"&amp;$B$1,
'IB MOBILE'!$N:$N,""
)
+
COUNTIFS(
'IB MOBILE'!$D:$D,"RFS",
'IB MOBILE'!$U:$U,"&lt;&gt;YES",
'IB MOBILE'!$K:$K,"&lt;"&amp;$B$1,
'IB MOBILE'!$N:$N,"&gt;="&amp;$B$1
)
+
COUNTIFS(
'IB MOBILE'!$D:$D,"RFS",
'IB MOBILE'!$U:$U,"&lt;&gt;YES",
'IB MOBILE'!$K:$K,"&gt;="&amp;$B$1,
'IB MOBILE'!$K:$K,"&lt;"&amp;$C$1+1
)
-
COUNTIFS(
'IB MOBILE'!$D:$D,"RFS",
'IB MOBILE'!$I:$I,"Closed",
'IB MOBILE'!$U:$U,"&lt;&gt;YES",
'IB MOBILE'!$N:$N,"&gt;="&amp;$B$1,
'IB MOBILE'!$N:$N,"&lt;"&amp;$C$1+1
)
-
COUNTIFS(
'IB MOBILE'!$D:$D,"RFS",
'IB MOBILE'!$I:$I,"Triaged",
'IB MOBILE'!$U:$U,"&lt;&gt;YES",
'IB MOBILE'!$N:$N,"&gt;="&amp;$B$1,
'IB MOBILE'!$N:$N,"&lt;"&amp;$C$1+1
)</f>
        <v>0</v>
      </c>
      <c r="S14" s="420">
        <f>SUM(
COUNTIFS(
'IB MOBILE'!$D:$D,"P_Ticket",
'IB MOBILE'!$G:$G,"Low",
'IB MOBILE'!$U:$U,"NO",
'IB MOBILE'!$L:$L,"&gt;="&amp;$B$1,
'IB MOBILE'!$L:$L,"&lt;"&amp;$C$1+1
),
COUNTIFS(
'IB MOBILE'!$D:$D,"P_Ticket",
'IB MOBILE'!$G:$G,"Medium",
'IB MOBILE'!$U:$U,"NO",
'IB MOBILE'!$L:$L,"&gt;="&amp;$B$1,
'IB MOBILE'!$L:$L,"&lt;"&amp;$C$1+1
),
COUNTIFS(
'IB MOBILE'!$D:$D,"P_Ticket",
'IB MOBILE'!$G:$G,"High",
'IB MOBILE'!$U:$U,"NO",
'IB MOBILE'!$L:$L,"&gt;="&amp;$B$1,
'IB MOBILE'!$L:$L,"&lt;"&amp;$C$1+1
)
)</f>
        <v>0</v>
      </c>
      <c r="T14" s="420">
        <f>SUM(
COUNTIFS(
'IB MOBILE'!$D:$D,"P_Ticket",
'IB MOBILE'!$G:$G,"Low",
'IB MOBILE'!$I:$I,"Closed",
'IB MOBILE'!$U:$U,"NO",
'IB MOBILE'!$N:$N,"&lt;"&amp;$C$1+1,
'IB MOBILE'!$N:$N,"&gt;="&amp;$B$1
),
COUNTIFS(
'IB MOBILE'!$D:$D,"P_Ticket",
'IB MOBILE'!$G:$G,"Medium",
'IB MOBILE'!$I:$I,"Closed",
'IB MOBILE'!$U:$U,"NO",
'IB MOBILE'!$N:$N,"&lt;"&amp;$C$1+1,
'IB MOBILE'!$N:$N,"&gt;="&amp;$B$1
),
COUNTIFS(
'IB MOBILE'!$D:$D,"P_Ticket",
'IB MOBILE'!$G:$G,"High",
'IB MOBILE'!$I:$I,"Closed",
'IB MOBILE'!$U:$U,"NO",
'IB MOBILE'!$N:$N,"&lt;"&amp;$C$1+1,
'IB MOBILE'!$N:$N,"&gt;="&amp;$B$1
),
COUNTIFS(
'IB MOBILE'!$D:$D,"P_Ticket",
'IB MOBILE'!$G:$G,"Low",
'IB MOBILE'!$I:$I,"Triaged",
'IB MOBILE'!$U:$U,"NO",
'IB MOBILE'!$N:$N,"&lt;"&amp;$C$1+1,
'IB MOBILE'!$N:$N,"&gt;="&amp;$B$1
),
COUNTIFS(
'IB MOBILE'!$D:$D,"P_Ticket",
'IB MOBILE'!$G:$G,"Medium",
'IB MOBILE'!$I:$I,"Triaged",
'IB MOBILE'!$U:$U,"NO",
'IB MOBILE'!$N:$N,"&lt;"&amp;$C$1+1,
'IB MOBILE'!$N:$N,"&gt;="&amp;$B$1
),
COUNTIFS(
'IB MOBILE'!$D:$D,"P_Ticket",
'IB MOBILE'!$G:$G,"High",
'IB MOBILE'!$I:$I,"Triaged",
'IB MOBILE'!$U:$U,"NO",
'IB MOBILE'!$N:$N,"&lt;"&amp;$C$1+1,
'IB MOBILE'!$N:$N,"&gt;="&amp;$B$1
)
)</f>
        <v>0</v>
      </c>
      <c r="U14" s="420"/>
      <c r="V14" s="420"/>
      <c r="W14" s="420">
        <f>COUNTIFS(
'IB MOBILE'!$D:$D,"P_Ticket",
'IB MOBILE'!$G:$G,"High",
'IB MOBILE'!$U:$U,"NO",
'IB MOBILE'!$L:$L,"&gt;="&amp;$B$1,
'IB MOBILE'!$L:$L,"&lt;"&amp;$C$1+1
)</f>
        <v>0</v>
      </c>
      <c r="X14" s="420">
        <f>SUM(
COUNTIFS(
'IB MOBILE'!$D:$D,"P_Ticket",
'IB MOBILE'!$G:$G,"High",
'IB MOBILE'!$I:$I,"Closed",
'IB MOBILE'!$U:$U,"NO",
'IB MOBILE'!$N:$N,"&lt;"&amp;$C$1+1,
'IB MOBILE'!$N:$N,"&gt;="&amp;$B$1
),
COUNTIFS(
'IB MOBILE'!$D:$D,"P_Ticket",
'IB MOBILE'!$G:$G,"High",
'IB MOBILE'!$I:$I,"Triaged",
'IB MOBILE'!$U:$U,"NO",
'IB MOBILE'!$N:$N,"&lt;"&amp;$C$1+1,
'IB MOBILE'!$N:$N,"&gt;="&amp;$B$1
)
)</f>
        <v>0</v>
      </c>
    </row>
    <row r="15" spans="1:24" s="421" customFormat="1" ht="15" customHeight="1">
      <c r="A15" s="416" t="s">
        <v>47</v>
      </c>
      <c r="B15" s="420" t="s">
        <v>46</v>
      </c>
      <c r="C15" s="417" t="s">
        <v>48</v>
      </c>
      <c r="D15" s="422">
        <f>COUNTIFS(
'IB COMMERCIAL'!$D:$D,"Incident",
'IB COMMERCIAL'!$G:$G,1,
'IB COMMERCIAL'!$U:$U,"NO",
'IB COMMERCIAL'!$L:$L,"&gt;="&amp;$B$1,
'IB COMMERCIAL'!$L:$L,"&lt;"&amp;$C$1+1
)</f>
        <v>0</v>
      </c>
      <c r="E15" s="177">
        <f>SUM(
COUNTIFS(
'IB COMMERCIAL'!$D:$D,"Incident",
'IB COMMERCIAL'!$G:$G,1,
'IB COMMERCIAL'!$I:$I,"Closed",
'IB COMMERCIAL'!$U:$U,"NO",
'IB COMMERCIAL'!$N:$N,"&gt;="&amp;$B$1,
'IB COMMERCIAL'!$N:$N,"&lt;"&amp;$C$1+1
),
COUNTIFS(
'IB COMMERCIAL'!$D:$D,"Incident",
'IB COMMERCIAL'!$G:$G,1,
'IB COMMERCIAL'!$I:$I,"Triaged",
'IB COMMERCIAL'!$U:$U,"NO",
'IB COMMERCIAL'!$N:$N,"&gt;="&amp;$B$1,
'IB COMMERCIAL'!$N:$N,"&lt;"&amp;$C$1+1
)
)</f>
        <v>0</v>
      </c>
      <c r="F15" s="177">
        <f>COUNTIFS(
'IB COMMERCIAL'!$D:$D,"Incident",
'IB COMMERCIAL'!$G:$G,1,
'IB COMMERCIAL'!$U:$U,"&lt;&gt;YES",
'IB COMMERCIAL'!$K:$K,"&lt;"&amp;$B$1,
'IB COMMERCIAL'!$N:$N,""
)
+
COUNTIFS(
'IB COMMERCIAL'!$D:$D,"Incident",
'IB COMMERCIAL'!$G:$G,1,
'IB COMMERCIAL'!$U:$U,"&lt;&gt;YES",
'IB COMMERCIAL'!$K:$K,"&lt;"&amp;$B$1,
'IB COMMERCIAL'!$N:$N,"&gt;="&amp;$B$1
)
+
COUNTIFS(
'IB COMMERCIAL'!$D:$D,"Incident",
'IB COMMERCIAL'!$G:$G,1,
'IB COMMERCIAL'!$U:$U,"&lt;&gt;YES",
'IB COMMERCIAL'!$K:$K,"&gt;="&amp;$B$1,
'IB COMMERCIAL'!$K:$K,"&lt;"&amp;$C$1+1
)
-
COUNTIFS(
'IB COMMERCIAL'!$D:$D,"Incident",
'IB COMMERCIAL'!$G:$G,1,
'IB COMMERCIAL'!$U:$U,"&lt;&gt;YES",
'IB COMMERCIAL'!$I:$I,"Closed",
'IB COMMERCIAL'!$N:$N,"&gt;="&amp;$B$1,
'IB COMMERCIAL'!$N:$N,"&lt;"&amp;$C$1+1
)
-
COUNTIFS(
'IB COMMERCIAL'!$D:$D,"Incident",
'IB COMMERCIAL'!$G:$G,1,
'IB COMMERCIAL'!$U:$U,"&lt;&gt;YES",
'IB COMMERCIAL'!$I:$I,"Triaged",
'IB COMMERCIAL'!$N:$N,"&gt;="&amp;$B$1,
'IB COMMERCIAL'!$N:$N,"&lt;"&amp;$C$1+1
)</f>
        <v>0</v>
      </c>
      <c r="G15" s="419">
        <f>COUNTIFS(
'IB COMMERCIAL'!$D:$D,"Incident",
'IB COMMERCIAL'!$G:$G,2,
'IB COMMERCIAL'!$U:$U,"NO",
'IB COMMERCIAL'!$L:$L,"&gt;="&amp;$B$1,
'IB COMMERCIAL'!$L:$L,"&lt;"&amp;$C$1+1
)</f>
        <v>0</v>
      </c>
      <c r="H15" s="423">
        <f>SUM(
COUNTIFS(
'IB COMMERCIAL'!$D:$D,"Incident",
'IB COMMERCIAL'!$G:$G,2,
'IB COMMERCIAL'!$I:$I,"Closed",
'IB COMMERCIAL'!$U:$U,"NO",
'IB COMMERCIAL'!$N:$N,"&gt;="&amp;$B$1,
'IB COMMERCIAL'!$N:$N,"&lt;"&amp;$C$1+1
),
COUNTIFS(
'IB COMMERCIAL'!$D:$D,"Incident",
'IB COMMERCIAL'!$G:$G,2,
'IB COMMERCIAL'!$I:$I,"Triaged",
'IB COMMERCIAL'!$U:$U,"NO",
'IB COMMERCIAL'!$N:$N,"&gt;="&amp;$B$1,
'IB COMMERCIAL'!$N:$N,"&lt;"&amp;$C$1+1
)
)</f>
        <v>0</v>
      </c>
      <c r="I15" s="423">
        <f>COUNTIFS(
'IB COMMERCIAL'!$D:$D,"Incident",
'IB COMMERCIAL'!$G:$G,2,
'IB COMMERCIAL'!$U:$U,"&lt;&gt;YES",
'IB COMMERCIAL'!$K:$K,"&lt;"&amp;$B$1,
'IB COMMERCIAL'!$N:$N,""
)
+
COUNTIFS(
'IB COMMERCIAL'!$D:$D,"Incident",
'IB COMMERCIAL'!$G:$G,2,
'IB COMMERCIAL'!$U:$U,"&lt;&gt;YES",
'IB COMMERCIAL'!$K:$K,"&lt;"&amp;$B$1,
'IB COMMERCIAL'!$N:$N,"&gt;="&amp;$B$1
)
+
COUNTIFS(
'IB COMMERCIAL'!$D:$D,"Incident",
'IB COMMERCIAL'!$G:$G,2,
'IB COMMERCIAL'!$U:$U,"&lt;&gt;YES",
'IB COMMERCIAL'!$K:$K,"&gt;="&amp;$B$1,
'IB COMMERCIAL'!$K:$K,"&lt;"&amp;$C$1+1
)
-
COUNTIFS(
'IB COMMERCIAL'!$D:$D,"Incident",
'IB COMMERCIAL'!$G:$G,2,
'IB COMMERCIAL'!$U:$U,"&lt;&gt;YES",
'IB COMMERCIAL'!$I:$I,"Closed",
'IB COMMERCIAL'!$N:$N,"&gt;="&amp;$B$1,
'IB COMMERCIAL'!$N:$N,"&lt;"&amp;$C$1+1
)
-
COUNTIFS(
'IB COMMERCIAL'!$D:$D,"Incident",
'IB COMMERCIAL'!$G:$G,2,
'IB COMMERCIAL'!$U:$U,"&lt;&gt;YES",
'IB COMMERCIAL'!$I:$I,"Triaged",
'IB COMMERCIAL'!$N:$N,"&gt;="&amp;$B$1,
'IB COMMERCIAL'!$N:$N,"&lt;"&amp;$C$1+1
)</f>
        <v>0</v>
      </c>
      <c r="J15" s="420">
        <f>COUNTIFS(
'IB COMMERCIAL'!$D:$D,"Incident",
'IB COMMERCIAL'!$G:$G,3,
'IB COMMERCIAL'!$U:$U,"NO",
'IB COMMERCIAL'!$L:$L,"&gt;="&amp;$B$1,
'IB COMMERCIAL'!$L:$L,"&lt;"&amp;$C$1+1
)</f>
        <v>0</v>
      </c>
      <c r="K15" s="420">
        <f>SUM(
COUNTIFS(
'IB COMMERCIAL'!$D:$D,"Incident",
'IB COMMERCIAL'!$G:$G,3,
'IB COMMERCIAL'!$I:$I,"Closed",
'IB COMMERCIAL'!$U:$U,"NO",
'IB COMMERCIAL'!$N:$N,"&gt;="&amp;$B$1,
'IB COMMERCIAL'!$N:$N,"&lt;"&amp;$C$1+1
),
COUNTIFS(
'IB COMMERCIAL'!$D:$D,"Incident",
'IB COMMERCIAL'!$G:$G,3,
'IB COMMERCIAL'!$I:$I,"Triaged",
'IB COMMERCIAL'!$U:$U,"NO",
'IB COMMERCIAL'!$N:$N,"&gt;="&amp;$B$1,
'IB COMMERCIAL'!$N:$N,"&lt;"&amp;$C$1+1
)
)</f>
        <v>0</v>
      </c>
      <c r="L15" s="420">
        <f>COUNTIFS(
'IB COMMERCIAL'!$D:$D,"Incident",
'IB COMMERCIAL'!$G:$G,3,
'IB COMMERCIAL'!$U:$U,"&lt;&gt;YES",
'IB COMMERCIAL'!$K:$K,"&lt;"&amp;$B$1,
'IB COMMERCIAL'!$N:$N,""
)
+
COUNTIFS(
'IB COMMERCIAL'!$D:$D,"Incident",
'IB COMMERCIAL'!$G:$G,3,
'IB COMMERCIAL'!$U:$U,"&lt;&gt;YES",
'IB COMMERCIAL'!$K:$K,"&lt;"&amp;$B$1,
'IB COMMERCIAL'!$N:$N,"&gt;="&amp;$B$1
)
+
COUNTIFS(
'IB COMMERCIAL'!$D:$D,"Incident",
'IB COMMERCIAL'!$G:$G,3,
'IB COMMERCIAL'!$U:$U,"&lt;&gt;YES",
'IB COMMERCIAL'!$K:$K,"&gt;="&amp;$B$1,
'IB COMMERCIAL'!$K:$K,"&lt;"&amp;$C$1+1
)
-
COUNTIFS(
'IB COMMERCIAL'!$D:$D,"Incident",
'IB COMMERCIAL'!$G:$G,3,
'IB COMMERCIAL'!$U:$U,"&lt;&gt;YES",
'IB COMMERCIAL'!$I:$I,"Closed",
'IB COMMERCIAL'!$N:$N,"&gt;="&amp;$B$1,
'IB COMMERCIAL'!$N:$N,"&lt;"&amp;$C$1+1
)
-
COUNTIFS(
'IB COMMERCIAL'!$D:$D,"Incident",
'IB COMMERCIAL'!$G:$G,3,
'IB COMMERCIAL'!$U:$U,"&lt;&gt;YES",
'IB COMMERCIAL'!$I:$I,"Triaged",
'IB COMMERCIAL'!$N:$N,"&gt;="&amp;$B$1,
'IB COMMERCIAL'!$N:$N,"&lt;"&amp;$C$1+1
)</f>
        <v>0</v>
      </c>
      <c r="M15" s="420">
        <f>COUNTIFS(
'IB COMMERCIAL'!$D:$D,"Incident",
'IB COMMERCIAL'!$G:$G,4,
'IB COMMERCIAL'!$U:$U,"NO",
'IB COMMERCIAL'!$L:$L,"&gt;="&amp;$B$1,
'IB COMMERCIAL'!$L:$L,"&lt;"&amp;$C$1+1
)</f>
        <v>0</v>
      </c>
      <c r="N15" s="420">
        <f>SUM(
COUNTIFS(
'IB COMMERCIAL'!$D:$D,"Incident",
'IB COMMERCIAL'!$G:$G,4,
'IB COMMERCIAL'!$I:$I,"Closed",
'IB COMMERCIAL'!$U:$U,"NO",
'IB COMMERCIAL'!$N:$N,"&gt;="&amp;$B$1,
'IB COMMERCIAL'!$N:$N,"&lt;"&amp;$C$1+1
),
COUNTIFS(
'IB COMMERCIAL'!$D:$D,"Incident",
'IB COMMERCIAL'!$G:$G,4,
'IB COMMERCIAL'!$I:$I,"Triaged",
'IB COMMERCIAL'!$U:$U,"NO",
'IB COMMERCIAL'!$N:$N,"&gt;="&amp;$B$1,
'IB COMMERCIAL'!$N:$N,"&lt;"&amp;$C$1+1
)
)</f>
        <v>0</v>
      </c>
      <c r="O15" s="420">
        <f>COUNTIFS(
'IB COMMERCIAL'!$D:$D,"Incident",
'IB COMMERCIAL'!$G:$G,4,
'IB COMMERCIAL'!$U:$U,"&lt;&gt;YES",
'IB COMMERCIAL'!$K:$K,"&lt;"&amp;$B$1,
'IB COMMERCIAL'!$N:$N,""
)
+
COUNTIFS(
'IB COMMERCIAL'!$D:$D,"Incident",
'IB COMMERCIAL'!$G:$G,4,
'IB COMMERCIAL'!$U:$U,"&lt;&gt;YES",
'IB COMMERCIAL'!$K:$K,"&lt;"&amp;$B$1,
'IB COMMERCIAL'!$N:$N,"&gt;="&amp;$B$1
)
+
COUNTIFS(
'IB COMMERCIAL'!$D:$D,"Incident",
'IB COMMERCIAL'!$G:$G,4,
'IB COMMERCIAL'!$U:$U,"&lt;&gt;YES",
'IB COMMERCIAL'!$K:$K,"&gt;="&amp;$B$1,
'IB COMMERCIAL'!$K:$K,"&lt;"&amp;$C$1+1
)
-
COUNTIFS(
'IB COMMERCIAL'!$D:$D,"Incident",
'IB COMMERCIAL'!$G:$G,4,
'IB COMMERCIAL'!$U:$U,"&lt;&gt;YES",
'IB COMMERCIAL'!$I:$I,"Closed",
'IB COMMERCIAL'!$N:$N,"&gt;="&amp;$B$1,
'IB COMMERCIAL'!$N:$N,"&lt;"&amp;$C$1+1
)
-
COUNTIFS(
'IB COMMERCIAL'!$D:$D,"Incident",
'IB COMMERCIAL'!$G:$G,4,
'IB COMMERCIAL'!$U:$U,"&lt;&gt;YES",
'IB COMMERCIAL'!$I:$I,"Triaged",
'IB COMMERCIAL'!$N:$N,"&gt;="&amp;$B$1,
'IB COMMERCIAL'!$N:$N,"&lt;"&amp;$C$1+1
)</f>
        <v>0</v>
      </c>
      <c r="P15" s="420">
        <f>COUNTIFS(
'IB COMMERCIAL'!$D:$D,"RFS",
'IB COMMERCIAL'!$U:$U,"NO",
'IB COMMERCIAL'!$L:$L,"&gt;="&amp;$B$1,
'IB COMMERCIAL'!$L:$L,"&lt;"&amp;$C$1+1
)</f>
        <v>0</v>
      </c>
      <c r="Q15" s="420">
        <f>SUM(
COUNTIFS(
'IB COMMERCIAL'!$D:$D,"RFS",
'IB COMMERCIAL'!$I:$I,"Closed",
'IB COMMERCIAL'!$U:$U,"NO",
'IB COMMERCIAL'!$N:$N,"&gt;="&amp;$B$1,
'IB COMMERCIAL'!$N:$N,"&lt;"&amp;$C$1+1
),
COUNTIFS(
'IB COMMERCIAL'!$D:$D,"RFS",
'IB COMMERCIAL'!$I:$I,"Triaged",
'IB COMMERCIAL'!$U:$U,"NO",
'IB COMMERCIAL'!$N:$N,"&gt;="&amp;$B$1,
'IB COMMERCIAL'!$N:$N,"&lt;"&amp;$C$1+1
)
)</f>
        <v>0</v>
      </c>
      <c r="R15" s="420">
        <f>COUNTIFS(
'IB COMMERCIAL'!$D:$D,"RFS",
'IB COMMERCIAL'!$U:$U,"&lt;&gt;YES",
'IB COMMERCIAL'!$K:$K,"&lt;"&amp;$B$1,
'IB COMMERCIAL'!$N:$N,""
)
+
COUNTIFS(
'IB COMMERCIAL'!$D:$D,"RFS",
'IB COMMERCIAL'!$U:$U,"&lt;&gt;YES",
'IB COMMERCIAL'!$K:$K,"&lt;"&amp;$B$1,
'IB COMMERCIAL'!$N:$N,"&gt;="&amp;$B$1
)
+
COUNTIFS(
'IB COMMERCIAL'!$D:$D,"RFS",
'IB COMMERCIAL'!$U:$U,"&lt;&gt;YES",
'IB COMMERCIAL'!$K:$K,"&gt;="&amp;$B$1,
'IB COMMERCIAL'!$K:$K,"&lt;"&amp;$C$1+1
)
-
COUNTIFS(
'IB COMMERCIAL'!$D:$D,"RFS",
'IB COMMERCIAL'!$I:$I,"Closed",
'IB COMMERCIAL'!$U:$U,"&lt;&gt;YES",
'IB COMMERCIAL'!$N:$N,"&gt;="&amp;$B$1,
'IB COMMERCIAL'!$N:$N,"&lt;"&amp;$C$1+1
)
-
COUNTIFS(
'IB COMMERCIAL'!$D:$D,"RFS",
'IB COMMERCIAL'!$I:$I,"Triaged",
'IB COMMERCIAL'!$U:$U,"&lt;&gt;YES",
'IB COMMERCIAL'!$N:$N,"&gt;="&amp;$B$1,
'IB COMMERCIAL'!$N:$N,"&lt;"&amp;$C$1+1
)</f>
        <v>0</v>
      </c>
      <c r="S15" s="420">
        <f>SUM(
COUNTIFS(
'IB COMMERCIAL'!$D:$D,"P_Ticket",
'IB COMMERCIAL'!$G:$G,"Low",
'IB COMMERCIAL'!$U:$U,"NO",
'IB COMMERCIAL'!$L:$L,"&gt;="&amp;$B$1,
'IB COMMERCIAL'!$L:$L,"&lt;"&amp;$C$1+1
),
COUNTIFS(
'IB COMMERCIAL'!$D:$D,"P_Ticket",
'IB COMMERCIAL'!$G:$G,"Medium",
'IB COMMERCIAL'!$U:$U,"NO",
'IB COMMERCIAL'!$L:$L,"&gt;="&amp;$B$1,
'IB COMMERCIAL'!$L:$L,"&lt;"&amp;$C$1+1
),
COUNTIFS(
'IB COMMERCIAL'!$D:$D,"P_Ticket",
'IB COMMERCIAL'!$G:$G,"High",
'IB COMMERCIAL'!$U:$U,"NO",
'IB COMMERCIAL'!$L:$L,"&gt;="&amp;$B$1,
'IB COMMERCIAL'!$L:$L,"&lt;"&amp;$C$1+1
)
)</f>
        <v>0</v>
      </c>
      <c r="T15" s="420">
        <f>SUM(
COUNTIFS(
'IB COMMERCIAL'!$D:$D,"P_Ticket",
'IB COMMERCIAL'!$G:$G,"Low",
'IB COMMERCIAL'!$I:$I,"Closed",
'IB COMMERCIAL'!$U:$U,"NO",
'IB COMMERCIAL'!$N:$N,"&lt;"&amp;$C$1+1,
'IB COMMERCIAL'!$N:$N,"&gt;="&amp;$B$1
),
COUNTIFS(
'IB COMMERCIAL'!$D:$D,"P_Ticket",
'IB COMMERCIAL'!$G:$G,"Medium",
'IB COMMERCIAL'!$I:$I,"Closed",
'IB COMMERCIAL'!$U:$U,"NO",
'IB COMMERCIAL'!$N:$N,"&lt;"&amp;$C$1+1,
'IB COMMERCIAL'!$N:$N,"&gt;="&amp;$B$1
),
COUNTIFS(
'IB COMMERCIAL'!$D:$D,"P_Ticket",
'IB COMMERCIAL'!$G:$G,"High",
'IB COMMERCIAL'!$I:$I,"Closed",
'IB COMMERCIAL'!$U:$U,"NO",
'IB COMMERCIAL'!$N:$N,"&lt;"&amp;$C$1+1,
'IB COMMERCIAL'!$N:$N,"&gt;="&amp;$B$1
),
COUNTIFS(
'IB COMMERCIAL'!$D:$D,"P_Ticket",
'IB COMMERCIAL'!$G:$G,"Low",
'IB COMMERCIAL'!$I:$I,"Triaged",
'IB COMMERCIAL'!$U:$U,"NO",
'IB COMMERCIAL'!$N:$N,"&lt;"&amp;$C$1+1,
'IB COMMERCIAL'!$N:$N,"&gt;="&amp;$B$1
),
COUNTIFS(
'IB COMMERCIAL'!$D:$D,"P_Ticket",
'IB COMMERCIAL'!$G:$G,"Medium",
'IB COMMERCIAL'!$I:$I,"Triaged",
'IB COMMERCIAL'!$U:$U,"NO",
'IB COMMERCIAL'!$N:$N,"&lt;"&amp;$C$1+1,
'IB COMMERCIAL'!$N:$N,"&gt;="&amp;$B$1
),
COUNTIFS(
'IB COMMERCIAL'!$D:$D,"P_Ticket",
'IB COMMERCIAL'!$G:$G,"High",
'IB COMMERCIAL'!$I:$I,"Triaged",
'IB COMMERCIAL'!$U:$U,"NO",
'IB COMMERCIAL'!$N:$N,"&lt;"&amp;$C$1+1,
'IB COMMERCIAL'!$N:$N,"&gt;="&amp;$B$1
)
)</f>
        <v>0</v>
      </c>
      <c r="U15" s="420"/>
      <c r="V15" s="420"/>
      <c r="W15" s="420">
        <f>COUNTIFS(
'IB COMMERCIAL'!$D:$D,"P_Ticket",
'IB COMMERCIAL'!$G:$G,"High",
'IB COMMERCIAL'!$U:$U,"NO",
'IB COMMERCIAL'!$L:$L,"&gt;="&amp;$B$1,
'IB COMMERCIAL'!$L:$L,"&lt;"&amp;$C$1+1
)</f>
        <v>0</v>
      </c>
      <c r="X15" s="420">
        <f>SUM(
COUNTIFS(
'IB COMMERCIAL'!$D:$D,"P_Ticket",
'IB COMMERCIAL'!$G:$G,"High",
'IB COMMERCIAL'!$I:$I,"Closed",
'IB COMMERCIAL'!$U:$U,"NO",
'IB COMMERCIAL'!$N:$N,"&lt;"&amp;$C$1+1,
'IB COMMERCIAL'!$N:$N,"&gt;="&amp;$B$1
),
COUNTIFS(
'IB COMMERCIAL'!$D:$D,"P_Ticket",
'IB COMMERCIAL'!$G:$G,"High",
'IB COMMERCIAL'!$I:$I,"Triaged",
'IB COMMERCIAL'!$U:$U,"NO",
'IB COMMERCIAL'!$N:$N,"&lt;"&amp;$C$1+1,
'IB COMMERCIAL'!$N:$N,"&gt;="&amp;$B$1
)
)</f>
        <v>0</v>
      </c>
    </row>
    <row r="16" spans="1:24" s="421" customFormat="1" ht="15" customHeight="1">
      <c r="A16" s="416" t="s">
        <v>49</v>
      </c>
      <c r="B16" s="420" t="s">
        <v>46</v>
      </c>
      <c r="C16" s="417" t="s">
        <v>42</v>
      </c>
      <c r="D16" s="422">
        <f>COUNTIFS(
'IB MRO'!$D:$D,"Incident",
'IB MRO'!$G:$G,1,
'IB MRO'!$U:$U,"NO",
'IB MRO'!$L:$L,"&gt;="&amp;$B$1,
'IB MRO'!$L:$L,"&lt;"&amp;$C$1+1
)</f>
        <v>0</v>
      </c>
      <c r="E16" s="177">
        <f>SUM(
COUNTIFS(
'IB MRO'!$D:$D,"Incident",
'IB MRO'!$G:$G,1,
'IB MRO'!$I:$I,"Closed",
'IB MRO'!$U:$U,"NO",
'IB MRO'!$N:$N,"&gt;="&amp;$B$1,
'IB MRO'!$N:$N,"&lt;"&amp;$C$1+1
),
COUNTIFS(
'IB MRO'!$D:$D,"Incident",
'IB MRO'!$G:$G,1,
'IB MRO'!$I:$I,"Triaged",
'IB MRO'!$U:$U,"NO",
'IB MRO'!$N:$N,"&gt;="&amp;$B$1,
'IB MRO'!$N:$N,"&lt;"&amp;$C$1+1
)
)</f>
        <v>0</v>
      </c>
      <c r="F16" s="177">
        <f>COUNTIFS(
'IB MRO'!$D:$D,"Incident",
'IB MRO'!$G:$G,1,
'IB MRO'!$U:$U,"&lt;&gt;YES",
'IB MRO'!$K:$K,"&lt;"&amp;$B$1,
'IB MRO'!$N:$N,""
)
+
COUNTIFS(
'IB MRO'!$D:$D,"Incident",
'IB MRO'!$G:$G,1,
'IB MRO'!$U:$U,"&lt;&gt;YES",
'IB MRO'!$K:$K,"&lt;"&amp;$B$1,
'IB MRO'!$N:$N,"&gt;="&amp;$B$1
)
+
COUNTIFS(
'IB MRO'!$D:$D,"Incident",
'IB MRO'!$G:$G,1,
'IB MRO'!$U:$U,"&lt;&gt;YES",
'IB MRO'!$K:$K,"&gt;="&amp;$B$1,
'IB MRO'!$K:$K,"&lt;"&amp;$C$1+1
)
-
COUNTIFS(
'IB MRO'!$D:$D,"Incident",
'IB MRO'!$G:$G,1,
'IB MRO'!$U:$U,"&lt;&gt;YES",
'IB MRO'!$I:$I,"Closed",
'IB MRO'!$N:$N,"&gt;="&amp;$B$1,
'IB MRO'!$N:$N,"&lt;"&amp;$C$1+1
)
-
COUNTIFS(
'IB MRO'!$D:$D,"Incident",
'IB MRO'!$G:$G,1,
'IB MRO'!$U:$U,"&lt;&gt;YES",
'IB MRO'!$I:$I,"Triaged",
'IB MRO'!$N:$N,"&gt;="&amp;$B$1,
'IB MRO'!$N:$N,"&lt;"&amp;$C$1+1
)</f>
        <v>0</v>
      </c>
      <c r="G16" s="419">
        <f>COUNTIFS(
'IB MRO'!$D:$D,"Incident",
'IB MRO'!$G:$G,2,
'IB MRO'!$U:$U,"NO",
'IB MRO'!$L:$L,"&gt;="&amp;$B$1,
'IB MRO'!$L:$L,"&lt;"&amp;$C$1+1
)</f>
        <v>0</v>
      </c>
      <c r="H16" s="423">
        <f>SUM(
COUNTIFS(
'IB MRO'!$D:$D,"Incident",
'IB MRO'!$G:$G,2,
'IB MRO'!$I:$I,"Closed",
'IB MRO'!$U:$U,"NO",
'IB MRO'!$N:$N,"&gt;="&amp;$B$1,
'IB MRO'!$N:$N,"&lt;"&amp;$C$1+1
),
COUNTIFS(
'IB MRO'!$D:$D,"Incident",
'IB MRO'!$G:$G,2,
'IB MRO'!$I:$I,"Triaged",
'IB MRO'!$U:$U,"NO",
'IB MRO'!$N:$N,"&gt;="&amp;$B$1,
'IB MRO'!$N:$N,"&lt;"&amp;$C$1+1
)
)</f>
        <v>0</v>
      </c>
      <c r="I16" s="423">
        <f>COUNTIFS(
'IB MRO'!$D:$D,"Incident",
'IB MRO'!$G:$G,2,
'IB MRO'!$U:$U,"&lt;&gt;YES",
'IB MRO'!$K:$K,"&lt;"&amp;$B$1,
'IB MRO'!$N:$N,""
)
+
COUNTIFS(
'IB MRO'!$D:$D,"Incident",
'IB MRO'!$G:$G,2,
'IB MRO'!$U:$U,"&lt;&gt;YES",
'IB MRO'!$K:$K,"&lt;"&amp;$B$1,
'IB MRO'!$N:$N,"&gt;="&amp;$B$1
)
+
COUNTIFS(
'IB MRO'!$D:$D,"Incident",
'IB MRO'!$G:$G,2,
'IB MRO'!$U:$U,"&lt;&gt;YES",
'IB MRO'!$K:$K,"&gt;="&amp;$B$1,
'IB MRO'!$K:$K,"&lt;"&amp;$C$1+1
)
-
COUNTIFS(
'IB MRO'!$D:$D,"Incident",
'IB MRO'!$G:$G,2,
'IB MRO'!$U:$U,"&lt;&gt;YES",
'IB MRO'!$I:$I,"Closed",
'IB MRO'!$N:$N,"&gt;="&amp;$B$1,
'IB MRO'!$N:$N,"&lt;"&amp;$C$1+1
)
-
COUNTIFS(
'IB MRO'!$D:$D,"Incident",
'IB MRO'!$G:$G,2,
'IB MRO'!$U:$U,"&lt;&gt;YES",
'IB MRO'!$I:$I,"Triaged",
'IB MRO'!$N:$N,"&gt;="&amp;$B$1,
'IB MRO'!$N:$N,"&lt;"&amp;$C$1+1
)</f>
        <v>0</v>
      </c>
      <c r="J16" s="420">
        <f>COUNTIFS(
'IB MRO'!$D:$D,"Incident",
'IB MRO'!$G:$G,3,
'IB MRO'!$U:$U,"NO",
'IB MRO'!$L:$L,"&gt;="&amp;$B$1,
'IB MRO'!$L:$L,"&lt;"&amp;$C$1+1
)</f>
        <v>0</v>
      </c>
      <c r="K16" s="420">
        <f>SUM(
COUNTIFS(
'IB MRO'!$D:$D,"Incident",
'IB MRO'!$G:$G,3,
'IB MRO'!$I:$I,"Closed",
'IB MRO'!$U:$U,"NO",
'IB MRO'!$N:$N,"&gt;="&amp;$B$1,
'IB MRO'!$N:$N,"&lt;"&amp;$C$1+1
),
COUNTIFS(
'IB MRO'!$D:$D,"Incident",
'IB MRO'!$G:$G,3,
'IB MRO'!$I:$I,"Triaged",
'IB MRO'!$U:$U,"NO",
'IB MRO'!$N:$N,"&gt;="&amp;$B$1,
'IB MRO'!$N:$N,"&lt;"&amp;$C$1+1
)
)</f>
        <v>0</v>
      </c>
      <c r="L16" s="420">
        <f>COUNTIFS(
'IB MRO'!$D:$D,"Incident",
'IB MRO'!$G:$G,3,
'IB MRO'!$U:$U,"&lt;&gt;YES",
'IB MRO'!$K:$K,"&lt;"&amp;$B$1,
'IB MRO'!$N:$N,""
)
+
COUNTIFS(
'IB MRO'!$D:$D,"Incident",
'IB MRO'!$G:$G,3,
'IB MRO'!$U:$U,"&lt;&gt;YES",
'IB MRO'!$K:$K,"&lt;"&amp;$B$1,
'IB MRO'!$N:$N,"&gt;="&amp;$B$1
)
+
COUNTIFS(
'IB MRO'!$D:$D,"Incident",
'IB MRO'!$G:$G,3,
'IB MRO'!$U:$U,"&lt;&gt;YES",
'IB MRO'!$K:$K,"&gt;="&amp;$B$1,
'IB MRO'!$K:$K,"&lt;"&amp;$C$1+1
)
-
COUNTIFS(
'IB MRO'!$D:$D,"Incident",
'IB MRO'!$G:$G,3,
'IB MRO'!$U:$U,"&lt;&gt;YES",
'IB MRO'!$I:$I,"Closed",
'IB MRO'!$N:$N,"&gt;="&amp;$B$1,
'IB MRO'!$N:$N,"&lt;"&amp;$C$1+1
)
-
COUNTIFS(
'IB MRO'!$D:$D,"Incident",
'IB MRO'!$G:$G,3,
'IB MRO'!$U:$U,"&lt;&gt;YES",
'IB MRO'!$I:$I,"Triaged",
'IB MRO'!$N:$N,"&gt;="&amp;$B$1,
'IB MRO'!$N:$N,"&lt;"&amp;$C$1+1
)</f>
        <v>0</v>
      </c>
      <c r="M16" s="420">
        <f>COUNTIFS(
'IB MRO'!$D:$D,"Incident",
'IB MRO'!$G:$G,4,
'IB MRO'!$U:$U,"NO",
'IB MRO'!$L:$L,"&gt;="&amp;$B$1,
'IB MRO'!$L:$L,"&lt;"&amp;$C$1+1
)</f>
        <v>0</v>
      </c>
      <c r="N16" s="420">
        <f>SUM(
COUNTIFS(
'IB MRO'!$D:$D,"Incident",
'IB MRO'!$G:$G,4,
'IB MRO'!$I:$I,"Closed",
'IB MRO'!$U:$U,"NO",
'IB MRO'!$N:$N,"&gt;="&amp;$B$1,
'IB MRO'!$N:$N,"&lt;"&amp;$C$1+1
),
COUNTIFS(
'IB MRO'!$D:$D,"Incident",
'IB MRO'!$G:$G,4,
'IB MRO'!$I:$I,"Triaged",
'IB MRO'!$U:$U,"NO",
'IB MRO'!$N:$N,"&gt;="&amp;$B$1,
'IB MRO'!$N:$N,"&lt;"&amp;$C$1+1
)
)</f>
        <v>0</v>
      </c>
      <c r="O16" s="420">
        <f>COUNTIFS(
'IB MRO'!$D:$D,"Incident",
'IB MRO'!$G:$G,4,
'IB MRO'!$U:$U,"&lt;&gt;YES",
'IB MRO'!$K:$K,"&lt;"&amp;$B$1,
'IB MRO'!$N:$N,""
)
+
COUNTIFS(
'IB MRO'!$D:$D,"Incident",
'IB MRO'!$G:$G,4,
'IB MRO'!$U:$U,"&lt;&gt;YES",
'IB MRO'!$K:$K,"&lt;"&amp;$B$1,
'IB MRO'!$N:$N,"&gt;="&amp;$B$1
)
+
COUNTIFS(
'IB MRO'!$D:$D,"Incident",
'IB MRO'!$G:$G,4,
'IB MRO'!$U:$U,"&lt;&gt;YES",
'IB MRO'!$K:$K,"&gt;="&amp;$B$1,
'IB MRO'!$K:$K,"&lt;"&amp;$C$1+1
)
-
COUNTIFS(
'IB MRO'!$D:$D,"Incident",
'IB MRO'!$G:$G,4,
'IB MRO'!$U:$U,"&lt;&gt;YES",
'IB MRO'!$I:$I,"Closed",
'IB MRO'!$N:$N,"&gt;="&amp;$B$1,
'IB MRO'!$N:$N,"&lt;"&amp;$C$1+1
)
-
COUNTIFS(
'IB MRO'!$D:$D,"Incident",
'IB MRO'!$G:$G,4,
'IB MRO'!$U:$U,"&lt;&gt;YES",
'IB MRO'!$I:$I,"Triaged",
'IB MRO'!$N:$N,"&gt;="&amp;$B$1,
'IB MRO'!$N:$N,"&lt;"&amp;$C$1+1
)</f>
        <v>0</v>
      </c>
      <c r="P16" s="420">
        <f>COUNTIFS(
'IB MRO'!$D:$D,"RFS",
'IB MRO'!$U:$U,"NO",
'IB MRO'!$L:$L,"&gt;="&amp;$B$1,
'IB MRO'!$L:$L,"&lt;"&amp;$C$1+1
)</f>
        <v>0</v>
      </c>
      <c r="Q16" s="420">
        <f>SUM(
COUNTIFS(
'IB MRO'!$D:$D,"RFS",
'IB MRO'!$I:$I,"Closed",
'IB MRO'!$U:$U,"NO",
'IB MRO'!$N:$N,"&gt;="&amp;$B$1,
'IB MRO'!$N:$N,"&lt;"&amp;$C$1+1
),
COUNTIFS(
'IB MRO'!$D:$D,"RFS",
'IB MRO'!$I:$I,"Triaged",
'IB MRO'!$U:$U,"NO",
'IB MRO'!$N:$N,"&gt;="&amp;$B$1,
'IB MRO'!$N:$N,"&lt;"&amp;$C$1+1
)
)</f>
        <v>0</v>
      </c>
      <c r="R16" s="420">
        <f>COUNTIFS(
'IB MRO'!$D:$D,"RFS",
'IB MRO'!$U:$U,"&lt;&gt;YES",
'IB MRO'!$K:$K,"&lt;"&amp;$B$1,
'IB MRO'!$N:$N,""
)
+
COUNTIFS(
'IB MRO'!$D:$D,"RFS",
'IB MRO'!$U:$U,"&lt;&gt;YES",
'IB MRO'!$K:$K,"&lt;"&amp;$B$1,
'IB MRO'!$N:$N,"&gt;="&amp;$B$1
)
+
COUNTIFS(
'IB MRO'!$D:$D,"RFS",
'IB MRO'!$U:$U,"&lt;&gt;YES",
'IB MRO'!$K:$K,"&gt;="&amp;$B$1,
'IB MRO'!$K:$K,"&lt;"&amp;$C$1+1
)
-
COUNTIFS(
'IB MRO'!$D:$D,"RFS",
'IB MRO'!$I:$I,"Closed",
'IB MRO'!$U:$U,"&lt;&gt;YES",
'IB MRO'!$N:$N,"&gt;="&amp;$B$1,
'IB MRO'!$N:$N,"&lt;"&amp;$C$1+1
)
-
COUNTIFS(
'IB MRO'!$D:$D,"RFS",
'IB MRO'!$I:$I,"Triaged",
'IB MRO'!$U:$U,"&lt;&gt;YES",
'IB MRO'!$N:$N,"&gt;="&amp;$B$1,
'IB MRO'!$N:$N,"&lt;"&amp;$C$1+1
)</f>
        <v>1</v>
      </c>
      <c r="S16" s="420">
        <f>SUM(
COUNTIFS(
'IB MRO'!$D:$D,"P_Ticket",
'IB MRO'!$G:$G,"Low",
'IB MRO'!$U:$U,"NO",
'IB MRO'!$L:$L,"&gt;="&amp;$B$1,
'IB MRO'!$L:$L,"&lt;"&amp;$C$1+1
),
COUNTIFS(
'IB MRO'!$D:$D,"P_Ticket",
'IB MRO'!$G:$G,"Medium",
'IB MRO'!$U:$U,"NO",
'IB MRO'!$L:$L,"&gt;="&amp;$B$1,
'IB MRO'!$L:$L,"&lt;"&amp;$C$1+1
),
COUNTIFS(
'IB MRO'!$D:$D,"P_Ticket",
'IB MRO'!$G:$G,"High",
'IB MRO'!$U:$U,"NO",
'IB MRO'!$L:$L,"&gt;="&amp;$B$1,
'IB MRO'!$L:$L,"&lt;"&amp;$C$1+1
)
)</f>
        <v>0</v>
      </c>
      <c r="T16" s="420">
        <f>SUM(
COUNTIFS(
'IB MRO'!$D:$D,"P_Ticket",
'IB MRO'!$G:$G,"Low",
'IB MRO'!$I:$I,"Closed",
'IB MRO'!$U:$U,"NO",
'IB MRO'!$N:$N,"&lt;"&amp;$C$1+1,
'IB MRO'!$N:$N,"&gt;="&amp;$B$1
),
COUNTIFS(
'IB MRO'!$D:$D,"P_Ticket",
'IB MRO'!$G:$G,"Medium",
'IB MRO'!$I:$I,"Closed",
'IB MRO'!$U:$U,"NO",
'IB MRO'!$N:$N,"&lt;"&amp;$C$1+1,
'IB MRO'!$N:$N,"&gt;="&amp;$B$1
),
COUNTIFS(
'IB MRO'!$D:$D,"P_Ticket",
'IB MRO'!$G:$G,"High",
'IB MRO'!$I:$I,"Closed",
'IB MRO'!$U:$U,"NO",
'IB MRO'!$N:$N,"&lt;"&amp;$C$1+1,
'IB MRO'!$N:$N,"&gt;="&amp;$B$1
),
COUNTIFS(
'IB MRO'!$D:$D,"P_Ticket",
'IB MRO'!$G:$G,"Low",
'IB MRO'!$I:$I,"Triaged",
'IB MRO'!$U:$U,"NO",
'IB MRO'!$N:$N,"&lt;"&amp;$C$1+1,
'IB MRO'!$N:$N,"&gt;="&amp;$B$1
),
COUNTIFS(
'IB MRO'!$D:$D,"P_Ticket",
'IB MRO'!$G:$G,"Medium",
'IB MRO'!$I:$I,"Triaged",
'IB MRO'!$U:$U,"NO",
'IB MRO'!$N:$N,"&lt;"&amp;$C$1+1,
'IB MRO'!$N:$N,"&gt;="&amp;$B$1
),
COUNTIFS(
'IB MRO'!$D:$D,"P_Ticket",
'IB MRO'!$G:$G,"High",
'IB MRO'!$I:$I,"Triaged",
'IB MRO'!$U:$U,"NO",
'IB MRO'!$N:$N,"&lt;"&amp;$C$1+1,
'IB MRO'!$N:$N,"&gt;="&amp;$B$1
)
)</f>
        <v>0</v>
      </c>
      <c r="U16" s="420"/>
      <c r="V16" s="420"/>
      <c r="W16" s="420">
        <f>COUNTIFS(
'IB MRO'!$D:$D,"P_Ticket",
'IB MRO'!$G:$G,"High",
'IB MRO'!$U:$U,"NO",
'IB MRO'!$L:$L,"&gt;="&amp;$B$1,
'IB MRO'!$L:$L,"&lt;"&amp;$C$1+1
)</f>
        <v>0</v>
      </c>
      <c r="X16" s="420">
        <f>SUM(
COUNTIFS(
'IB MRO'!$D:$D,"P_Ticket",
'IB MRO'!$G:$G,"High",
'IB MRO'!$I:$I,"Closed",
'IB MRO'!$U:$U,"NO",
'IB MRO'!$N:$N,"&lt;"&amp;$C$1+1,
'IB MRO'!$N:$N,"&gt;="&amp;$B$1
),
COUNTIFS(
'IB MRO'!$D:$D,"P_Ticket",
'IB MRO'!$G:$G,"High",
'IB MRO'!$I:$I,"Triaged",
'IB MRO'!$U:$U,"NO",
'IB MRO'!$N:$N,"&lt;"&amp;$C$1+1,
'IB MRO'!$N:$N,"&gt;="&amp;$B$1
)
)</f>
        <v>0</v>
      </c>
    </row>
    <row r="17" spans="1:24" s="421" customFormat="1" ht="15" customHeight="1">
      <c r="A17" s="416" t="s">
        <v>50</v>
      </c>
      <c r="B17" s="177" t="s">
        <v>51</v>
      </c>
      <c r="C17" s="417" t="s">
        <v>35</v>
      </c>
      <c r="D17" s="424">
        <f>COUNTIFS(
'EI AO'!$D:$D,"Incident",
'EI AO'!$G:$G,1,
'EI AO'!$U:$U,"NO",
'EI AO'!$L:$L,"&gt;="&amp;$B$1,
'EI AO'!$L:$L,"&lt;"&amp;$C$1+1
)</f>
        <v>0</v>
      </c>
      <c r="E17" s="420">
        <f>SUM(
COUNTIFS(
'EI AO'!$D:$D,"Incident",
'EI AO'!$G:$G,1,
'EI AO'!$I:$I,"Closed",
'EI AO'!$U:$U,"NO",
'EI AO'!$N:$N,"&gt;="&amp;$B$1,
'EI AO'!$N:$N,"&lt;"&amp;$C$1+1
),
COUNTIFS(
'EI AO'!$D:$D,"Incident",
'EI AO'!$G:$G,1,
'EI AO'!$I:$I,"Triaged",
'EI AO'!$U:$U,"NO",
'EI AO'!$N:$N,"&gt;="&amp;$B$1,
'EI AO'!$N:$N,"&lt;"&amp;$C$1+1
)
)</f>
        <v>0</v>
      </c>
      <c r="F17" s="420">
        <f>COUNTIFS(
'EI AO'!$D:$D,"Incident",
'EI AO'!$G:$G,1,
'EI AO'!$U:$U,"&lt;&gt;YES",
'EI AO'!$K:$K,"&lt;"&amp;$B$1,
'EI AO'!$N:$N,""
)
+
COUNTIFS(
'EI AO'!$D:$D,"Incident",
'EI AO'!$G:$G,1,
'EI AO'!$U:$U,"&lt;&gt;YES",
'EI AO'!$K:$K,"&lt;"&amp;$B$1,
'EI AO'!$N:$N,"&gt;="&amp;$B$1
)
+
COUNTIFS(
'EI AO'!$D:$D,"Incident",
'EI AO'!$G:$G,1,
'EI AO'!$U:$U,"&lt;&gt;YES",
'EI AO'!$K:$K,"&gt;="&amp;$B$1,
'EI AO'!$K:$K,"&lt;"&amp;$C$1+1
)
-
COUNTIFS(
'EI AO'!$D:$D,"Incident",
'EI AO'!$G:$G,1,
'EI AO'!$U:$U,"&lt;&gt;YES",
'EI AO'!$I:$I,"Closed",
'EI AO'!$N:$N,"&gt;="&amp;$B$1,
'EI AO'!$N:$N,"&lt;"&amp;$C$1+1
)
-
COUNTIFS(
'EI AO'!$D:$D,"Incident",
'EI AO'!$G:$G,1,
'EI AO'!$U:$U,"&lt;&gt;YES",
'EI AO'!$I:$I,"Triaged",
'EI AO'!$N:$N,"&gt;="&amp;$B$1,
'EI AO'!$N:$N,"&lt;"&amp;$C$1+1
)</f>
        <v>0</v>
      </c>
      <c r="G17" s="420">
        <f>COUNTIFS(
'EI AO'!$D:$D,"Incident",
'EI AO'!$G:$G,2,
'EI AO'!$U:$U,"NO",
'EI AO'!$L:$L,"&gt;="&amp;$B$1,
'EI AO'!$L:$L,"&lt;"&amp;$C$1+1
)</f>
        <v>0</v>
      </c>
      <c r="H17" s="425">
        <f>SUM(
COUNTIFS(
'EI AO'!$D:$D,"Incident",
'EI AO'!$G:$G,2,
'EI AO'!$I:$I,"Closed",
'EI AO'!$U:$U,"NO",
'EI AO'!$N:$N,"&gt;="&amp;$B$1,
'EI AO'!$N:$N,"&lt;"&amp;$C$1+1
),
COUNTIFS(
'EI AO'!$D:$D,"Incident",
'EI AO'!$G:$G,2,
'EI AO'!$I:$I,"Triaged",
'EI AO'!$U:$U,"NO",
'EI AO'!$N:$N,"&gt;="&amp;$B$1,
'EI AO'!$N:$N,"&lt;"&amp;$C$1+1
)
)</f>
        <v>0</v>
      </c>
      <c r="I17" s="425">
        <f>COUNTIFS(
'EI AO'!$D:$D,"Incident",
'EI AO'!$G:$G,2,
'EI AO'!$U:$U,"&lt;&gt;YES",
'EI AO'!$K:$K,"&lt;"&amp;$B$1,
'EI AO'!$N:$N,""
)
+
COUNTIFS(
'EI AO'!$D:$D,"Incident",
'EI AO'!$G:$G,2,
'EI AO'!$U:$U,"&lt;&gt;YES",
'EI AO'!$K:$K,"&lt;"&amp;$B$1,
'EI AO'!$N:$N,"&gt;="&amp;$B$1
)
+
COUNTIFS(
'EI AO'!$D:$D,"Incident",
'EI AO'!$G:$G,2,
'EI AO'!$U:$U,"&lt;&gt;YES",
'EI AO'!$K:$K,"&gt;="&amp;$B$1,
'EI AO'!$K:$K,"&lt;"&amp;$C$1+1
)
-
COUNTIFS(
'EI AO'!$D:$D,"Incident",
'EI AO'!$G:$G,2,
'EI AO'!$U:$U,"&lt;&gt;YES",
'EI AO'!$I:$I,"Closed",
'EI AO'!$N:$N,"&gt;="&amp;$B$1,
'EI AO'!$N:$N,"&lt;"&amp;$C$1+1
)
-
COUNTIFS(
'EI AO'!$D:$D,"Incident",
'EI AO'!$G:$G,2,
'EI AO'!$U:$U,"&lt;&gt;YES",
'EI AO'!$I:$I,"Triaged",
'EI AO'!$N:$N,"&gt;="&amp;$B$1,
'EI AO'!$N:$N,"&lt;"&amp;$C$1+1
)</f>
        <v>0</v>
      </c>
      <c r="J17" s="420">
        <f>COUNTIFS(
'EI AO'!$D:$D,"Incident",
'EI AO'!$G:$G,3,
'EI AO'!$U:$U,"NO",
'EI AO'!$L:$L,"&gt;="&amp;$B$1,
'EI AO'!$L:$L,"&lt;"&amp;$C$1+1
)</f>
        <v>0</v>
      </c>
      <c r="K17" s="420">
        <f>SUM(
COUNTIFS(
'EI AO'!$D:$D,"Incident",
'EI AO'!$G:$G,3,
'EI AO'!$I:$I,"Closed",
'EI AO'!$U:$U,"NO",
'EI AO'!$N:$N,"&gt;="&amp;$B$1,
'EI AO'!$N:$N,"&lt;"&amp;$C$1+1
),
COUNTIFS(
'EI AO'!$D:$D,"Incident",
'EI AO'!$G:$G,3,
'EI AO'!$I:$I,"Triaged",
'EI AO'!$U:$U,"NO",
'EI AO'!$N:$N,"&gt;="&amp;$B$1,
'EI AO'!$N:$N,"&lt;"&amp;$C$1+1
)
)</f>
        <v>0</v>
      </c>
      <c r="L17" s="420">
        <f>COUNTIFS(
'EI AO'!$D:$D,"Incident",
'EI AO'!$G:$G,3,
'EI AO'!$U:$U,"&lt;&gt;YES",
'EI AO'!$K:$K,"&lt;"&amp;$B$1,
'EI AO'!$N:$N,""
)
+
COUNTIFS(
'EI AO'!$D:$D,"Incident",
'EI AO'!$G:$G,3,
'EI AO'!$U:$U,"&lt;&gt;YES",
'EI AO'!$K:$K,"&lt;"&amp;$B$1,
'EI AO'!$N:$N,"&gt;="&amp;$B$1
)
+
COUNTIFS(
'EI AO'!$D:$D,"Incident",
'EI AO'!$G:$G,3,
'EI AO'!$U:$U,"&lt;&gt;YES",
'EI AO'!$K:$K,"&gt;="&amp;$B$1,
'EI AO'!$K:$K,"&lt;"&amp;$C$1+1
)
-
COUNTIFS(
'EI AO'!$D:$D,"Incident",
'EI AO'!$G:$G,3,
'EI AO'!$U:$U,"&lt;&gt;YES",
'EI AO'!$I:$I,"Closed",
'EI AO'!$N:$N,"&gt;="&amp;$B$1,
'EI AO'!$N:$N,"&lt;"&amp;$C$1+1
)
-
COUNTIFS(
'EI AO'!$D:$D,"Incident",
'EI AO'!$G:$G,3,
'EI AO'!$U:$U,"&lt;&gt;YES",
'EI AO'!$I:$I,"Triaged",
'EI AO'!$N:$N,"&gt;="&amp;$B$1,
'EI AO'!$N:$N,"&lt;"&amp;$C$1+1
)</f>
        <v>0</v>
      </c>
      <c r="M17" s="420">
        <f>COUNTIFS(
'EI AO'!$D:$D,"Incident",
'EI AO'!$G:$G,4,
'EI AO'!$U:$U,"NO",
'EI AO'!$L:$L,"&gt;="&amp;$B$1,
'EI AO'!$L:$L,"&lt;"&amp;$C$1+1
)</f>
        <v>1</v>
      </c>
      <c r="N17" s="420">
        <f>SUM(
COUNTIFS(
'EI AO'!$D:$D,"Incident",
'EI AO'!$G:$G,4,
'EI AO'!$I:$I,"Closed",
'EI AO'!$U:$U,"NO",
'EI AO'!$N:$N,"&gt;="&amp;$B$1,
'EI AO'!$N:$N,"&lt;"&amp;$C$1+1
),
COUNTIFS(
'EI AO'!$D:$D,"Incident",
'EI AO'!$G:$G,4,
'EI AO'!$I:$I,"Triaged",
'EI AO'!$U:$U,"NO",
'EI AO'!$N:$N,"&gt;="&amp;$B$1,
'EI AO'!$N:$N,"&lt;"&amp;$C$1+1
)
)</f>
        <v>1</v>
      </c>
      <c r="O17" s="420">
        <f>COUNTIFS(
'EI AO'!$D:$D,"Incident",
'EI AO'!$G:$G,4,
'EI AO'!$U:$U,"&lt;&gt;YES",
'EI AO'!$K:$K,"&lt;"&amp;$B$1,
'EI AO'!$N:$N,""
)
+
COUNTIFS(
'EI AO'!$D:$D,"Incident",
'EI AO'!$G:$G,4,
'EI AO'!$U:$U,"&lt;&gt;YES",
'EI AO'!$K:$K,"&lt;"&amp;$B$1,
'EI AO'!$N:$N,"&gt;="&amp;$B$1
)
+
COUNTIFS(
'EI AO'!$D:$D,"Incident",
'EI AO'!$G:$G,4,
'EI AO'!$U:$U,"&lt;&gt;YES",
'EI AO'!$K:$K,"&gt;="&amp;$B$1,
'EI AO'!$K:$K,"&lt;"&amp;$C$1+1
)
-
COUNTIFS(
'EI AO'!$D:$D,"Incident",
'EI AO'!$G:$G,4,
'EI AO'!$U:$U,"&lt;&gt;YES",
'EI AO'!$I:$I,"Closed",
'EI AO'!$N:$N,"&gt;="&amp;$B$1,
'EI AO'!$N:$N,"&lt;"&amp;$C$1+1
)
-
COUNTIFS(
'EI AO'!$D:$D,"Incident",
'EI AO'!$G:$G,4,
'EI AO'!$U:$U,"&lt;&gt;YES",
'EI AO'!$I:$I,"Triaged",
'EI AO'!$N:$N,"&gt;="&amp;$B$1,
'EI AO'!$N:$N,"&lt;"&amp;$C$1+1
)</f>
        <v>0</v>
      </c>
      <c r="P17" s="420">
        <f>COUNTIFS(
'EI AO'!$D:$D,"RFS",
'EI AO'!$U:$U,"NO",
'EI AO'!$L:$L,"&gt;="&amp;$B$1,
'EI AO'!$L:$L,"&lt;"&amp;$C$1+1
)</f>
        <v>5</v>
      </c>
      <c r="Q17" s="420">
        <f>SUM(
COUNTIFS(
'EI AO'!$D:$D,"RFS",
'EI AO'!$I:$I,"Closed",
'EI AO'!$U:$U,"NO",
'EI AO'!$N:$N,"&gt;="&amp;$B$1,
'EI AO'!$N:$N,"&lt;"&amp;$C$1+1
),
COUNTIFS(
'EI AO'!$D:$D,"RFS",
'EI AO'!$I:$I,"Triaged",
'EI AO'!$U:$U,"NO",
'EI AO'!$N:$N,"&gt;="&amp;$B$1,
'EI AO'!$N:$N,"&lt;"&amp;$C$1+1
)
)</f>
        <v>5</v>
      </c>
      <c r="R17" s="420">
        <f>COUNTIFS(
'EI AO'!$D:$D,"RFS",
'EI AO'!$U:$U,"&lt;&gt;YES",
'EI AO'!$K:$K,"&lt;"&amp;$B$1,
'EI AO'!$N:$N,""
)
+
COUNTIFS(
'EI AO'!$D:$D,"RFS",
'EI AO'!$U:$U,"&lt;&gt;YES",
'EI AO'!$K:$K,"&lt;"&amp;$B$1,
'EI AO'!$N:$N,"&gt;="&amp;$B$1
)
+
COUNTIFS(
'EI AO'!$D:$D,"RFS",
'EI AO'!$U:$U,"&lt;&gt;YES",
'EI AO'!$K:$K,"&gt;="&amp;$B$1,
'EI AO'!$K:$K,"&lt;"&amp;$C$1+1
)
-
COUNTIFS(
'EI AO'!$D:$D,"RFS",
'EI AO'!$I:$I,"Closed",
'EI AO'!$U:$U,"&lt;&gt;YES",
'EI AO'!$N:$N,"&gt;="&amp;$B$1,
'EI AO'!$N:$N,"&lt;"&amp;$C$1+1
)
-
COUNTIFS(
'EI AO'!$D:$D,"RFS",
'EI AO'!$I:$I,"Triaged",
'EI AO'!$U:$U,"&lt;&gt;YES",
'EI AO'!$N:$N,"&gt;="&amp;$B$1,
'EI AO'!$N:$N,"&lt;"&amp;$C$1+1
)</f>
        <v>0</v>
      </c>
      <c r="S17" s="420">
        <f>SUM(
COUNTIFS(
'EI AO'!$D:$D,"P_Ticket",
'EI AO'!$G:$G,"Low",
'EI AO'!$U:$U,"NO",
'EI AO'!$L:$L,"&gt;="&amp;$B$1,
'EI AO'!$L:$L,"&lt;"&amp;$C$1+1
),
COUNTIFS(
'EI AO'!$D:$D,"P_Ticket",
'EI AO'!$G:$G,"Medium",
'EI AO'!$U:$U,"NO",
'EI AO'!$L:$L,"&gt;="&amp;$B$1,
'EI AO'!$L:$L,"&lt;"&amp;$C$1+1
),
COUNTIFS(
'EI AO'!$D:$D,"P_Ticket",
'EI AO'!$G:$G,"High",
'EI AO'!$U:$U,"NO",
'EI AO'!$L:$L,"&gt;="&amp;$B$1,
'EI AO'!$L:$L,"&lt;"&amp;$C$1+1
)
)</f>
        <v>0</v>
      </c>
      <c r="T17" s="420">
        <f>SUM(
COUNTIFS(
'EI AO'!$D:$D,"P_Ticket",
'EI AO'!$G:$G,"Low",
'EI AO'!$I:$I,"Closed",
'EI AO'!$U:$U,"NO",
'EI AO'!$N:$N,"&lt;"&amp;$C$1+1,
'EI AO'!$N:$N,"&gt;="&amp;$B$1
),
COUNTIFS(
'EI AO'!$D:$D,"P_Ticket",
'EI AO'!$G:$G,"Medium",
'EI AO'!$I:$I,"Closed",
'EI AO'!$U:$U,"NO",
'EI AO'!$N:$N,"&lt;"&amp;$C$1+1,
'EI AO'!$N:$N,"&gt;="&amp;$B$1
),
COUNTIFS(
'EI AO'!$D:$D,"P_Ticket",
'EI AO'!$G:$G,"High",
'EI AO'!$I:$I,"Closed",
'EI AO'!$U:$U,"NO",
'EI AO'!$N:$N,"&lt;"&amp;$C$1+1,
'EI AO'!$N:$N,"&gt;="&amp;$B$1
),
COUNTIFS(
'EI AO'!$D:$D,"P_Ticket",
'EI AO'!$G:$G,"Low",
'EI AO'!$I:$I,"Triaged",
'EI AO'!$U:$U,"NO",
'EI AO'!$N:$N,"&lt;"&amp;$C$1+1,
'EI AO'!$N:$N,"&gt;="&amp;$B$1
),
COUNTIFS(
'EI AO'!$D:$D,"P_Ticket",
'EI AO'!$G:$G,"Medium",
'EI AO'!$I:$I,"Triaged",
'EI AO'!$U:$U,"NO",
'EI AO'!$N:$N,"&lt;"&amp;$C$1+1,
'EI AO'!$N:$N,"&gt;="&amp;$B$1
),
COUNTIFS(
'EI AO'!$D:$D,"P_Ticket",
'EI AO'!$G:$G,"High",
'EI AO'!$I:$I,"Triaged",
'EI AO'!$U:$U,"NO",
'EI AO'!$N:$N,"&lt;"&amp;$C$1+1,
'EI AO'!$N:$N,"&gt;="&amp;$B$1
)
)</f>
        <v>0</v>
      </c>
      <c r="U17" s="420"/>
      <c r="V17" s="420"/>
      <c r="W17" s="420">
        <f>COUNTIFS(
'EI AO'!$D:$D,"P_Ticket",
'EI AO'!$G:$G,"High",
'EI AO'!$U:$U,"NO",
'EI AO'!$L:$L,"&gt;="&amp;$B$1,
'EI AO'!$L:$L,"&lt;"&amp;$C$1+1
)</f>
        <v>0</v>
      </c>
      <c r="X17" s="420">
        <f>SUM(
COUNTIFS(
'EI AO'!$D:$D,"P_Ticket",
'EI AO'!$G:$G,"High",
'EI AO'!$I:$I,"Closed",
'EI AO'!$U:$U,"NO",
'EI AO'!$N:$N,"&lt;"&amp;$C$1+1,
'EI AO'!$N:$N,"&gt;="&amp;$B$1
),
COUNTIFS(
'EI AO'!$D:$D,"P_Ticket",
'EI AO'!$G:$G,"High",
'EI AO'!$I:$I,"Triaged",
'EI AO'!$U:$U,"NO",
'EI AO'!$N:$N,"&lt;"&amp;$C$1+1,
'EI AO'!$N:$N,"&gt;="&amp;$B$1
)
)</f>
        <v>0</v>
      </c>
    </row>
    <row r="18" spans="1:24" s="421" customFormat="1" ht="15" customHeight="1">
      <c r="A18" s="426" t="s">
        <v>52</v>
      </c>
      <c r="B18" s="177" t="s">
        <v>51</v>
      </c>
      <c r="C18" s="417" t="s">
        <v>29</v>
      </c>
      <c r="D18" s="418">
        <f>COUNTIFS(
'EI BackOffice'!$D:$D,"Incident",
'EI BackOffice'!$G:$G,1,
'EI BackOffice'!$C:$C,"SharePoint",
'EI BackOffice'!$U:$U,"NO",
'EI BackOffice'!$L:$L,"&gt;="&amp;$B$1,
'EI BackOffice'!$L:$L,"&lt;"&amp;$C$1+1
)</f>
        <v>0</v>
      </c>
      <c r="E18" s="419">
        <f>SUM(
COUNTIFS(
'EI BackOffice'!$D:$D,"Incident",
'EI BackOffice'!$C:$C,"SharePoint",
'EI BackOffice'!$G:$G,1,
'EI BackOffice'!$I:$I,"Closed",
'EI BackOffice'!$U:$U,"NO",
'EI BackOffice'!$N:$N,"&gt;="&amp;$B$1,
'EI BackOffice'!$N:$N,"&lt;"&amp;$C$1+1
),
COUNTIFS(
'EI BackOffice'!$D:$D,"Incident",
'EI BackOffice'!$C:$C,"SharePoint",
'EI BackOffice'!$G:$G,1,
'EI BackOffice'!$I:$I,"Triaged",
'EI BackOffice'!$U:$U,"NO",
'EI BackOffice'!$N:$N,"&gt;="&amp;$B$1,
'EI BackOffice'!$N:$N,"&lt;"&amp;$C$1+1
)
)</f>
        <v>0</v>
      </c>
      <c r="F18" s="419">
        <f>COUNTIFS(
'EI BackOffice'!$C:$C,"SharePoint",
'EI BackOffice'!$D:$D,"Incident",
'EI BackOffice'!$G:$G,1,
'EI BackOffice'!$S:$S,"&lt;&gt;YES",
'EI BackOffice'!$K:$K,"&lt;"&amp;$B$1,
'EI BackOffice'!$N:$N,""
)
+
COUNTIFS(
'EI BackOffice'!$C:$C,"SharePoint",
'EI BackOffice'!$D:$D,"Incident",
'EI BackOffice'!$G:$G,1,
'EI BackOffice'!$S:$S,"&lt;&gt;YES",
'EI BackOffice'!$K:$K,"&lt;"&amp;$B$1,
'EI BackOffice'!$N:$N,"&gt;="&amp;$B$1
)
+
COUNTIFS(
'EI BackOffice'!$C:$C,"SharePoint",
'EI BackOffice'!$D:$D,"Incident",
'EI BackOffice'!$G:$G,1,
'EI BackOffice'!$S:$S,"&lt;&gt;YES",
'EI BackOffice'!$K:$K,"&gt;="&amp;$B$1,
'EI BackOffice'!$K:$K,"&lt;"&amp;$C$1+1
)
-
COUNTIFS(
'EI BackOffice'!$C:$C,"SharePoint",
'EI BackOffice'!$D:$D,"Incident",
'EI BackOffice'!$G:$G,1,
'EI BackOffice'!$S:$S,"&lt;&gt;YES",
'EI BackOffice'!$I:$I,"Closed",
'EI BackOffice'!$N:$N,"&gt;="&amp;$B$1,
'EI BackOffice'!$N:$N,"&lt;"&amp;$C$1+1
)
-
COUNTIFS(
'EI BackOffice'!$C:$C,"SharePoint",
'EI BackOffice'!$D:$D,"Incident",
'EI BackOffice'!$G:$G,1,
'EI BackOffice'!$S:$S,"&lt;&gt;YES",
'EI BackOffice'!$I:$I,"Triaged",
'EI BackOffice'!$N:$N,"&gt;="&amp;$B$1,
'EI BackOffice'!$N:$N,"&lt;"&amp;$C$1+1
)</f>
        <v>0</v>
      </c>
      <c r="G18" s="419">
        <f>COUNTIFS(
'EI BackOffice'!$D:$D,"Incident",
'EI BackOffice'!$G:$G,2,
'EI BackOffice'!$C:$C,"SharePoint",
'EI BackOffice'!$U:$U,"NO",
'EI BackOffice'!$L:$L,"&gt;="&amp;$B$1,
'EI BackOffice'!$L:$L,"&lt;"&amp;$C$1+1
)</f>
        <v>0</v>
      </c>
      <c r="H18" s="419">
        <f>SUM(
COUNTIFS(
'EI BackOffice'!$D:$D,"Incident",
'EI BackOffice'!$C:$C,"SharePoint",
'EI BackOffice'!$G:$G,2,
'EI BackOffice'!$I:$I,"Closed",
'EI BackOffice'!$U:$U,"NO",
'EI BackOffice'!$N:$N,"&gt;="&amp;$B$1,
'EI BackOffice'!$N:$N,"&lt;"&amp;$C$1+1
),
COUNTIFS(
'EI BackOffice'!$D:$D,"Incident",
'EI BackOffice'!$C:$C,"SharePoint",
'EI BackOffice'!$G:$G,2,
'EI BackOffice'!$I:$I,"Triaged",
'EI BackOffice'!$U:$U,"NO",
'EI BackOffice'!$N:$N,"&gt;="&amp;$B$1,
'EI BackOffice'!$N:$N,"&lt;"&amp;$C$1+1
)
)</f>
        <v>0</v>
      </c>
      <c r="I18" s="427">
        <f>COUNTIFS(
'EI BackOffice'!$C:$C,"SharePoint",
'EI BackOffice'!$D:$D,"Incident",
'EI BackOffice'!$G:$G,2,
'EI BackOffice'!$S:$S,"&lt;&gt;YES",
'EI BackOffice'!$K:$K,"&lt;"&amp;$B$1,
'EI BackOffice'!$N:$N,""
)
+
COUNTIFS(
'EI BackOffice'!$C:$C,"SharePoint",
'EI BackOffice'!$D:$D,"Incident",
'EI BackOffice'!$G:$G,2,
'EI BackOffice'!$S:$S,"&lt;&gt;YES",
'EI BackOffice'!$K:$K,"&lt;"&amp;$B$1,
'EI BackOffice'!$N:$N,"&gt;="&amp;$B$1
)
+
COUNTIFS(
'EI BackOffice'!$C:$C,"SharePoint",
'EI BackOffice'!$D:$D,"Incident",
'EI BackOffice'!$G:$G,2,
'EI BackOffice'!$S:$S,"&lt;&gt;YES",
'EI BackOffice'!$K:$K,"&gt;="&amp;$B$1,
'EI BackOffice'!$K:$K,"&lt;"&amp;$C$1+1
)
-
COUNTIFS(
'EI BackOffice'!$C:$C,"SharePoint",
'EI BackOffice'!$D:$D,"Incident",
'EI BackOffice'!$G:$G,2,
'EI BackOffice'!$S:$S,"&lt;&gt;YES",
'EI BackOffice'!$I:$I,"Closed",
'EI BackOffice'!$N:$N,"&gt;="&amp;$B$1,
'EI BackOffice'!$N:$N,"&lt;"&amp;$C$1+1
)
-
COUNTIFS(
'EI BackOffice'!$C:$C,"SharePoint",
'EI BackOffice'!$D:$D,"Incident",
'EI BackOffice'!$G:$G,2,
'EI BackOffice'!$S:$S,"&lt;&gt;YES",
'EI BackOffice'!$I:$I,"Triaged",
'EI BackOffice'!$N:$N,"&gt;="&amp;$B$1,
'EI BackOffice'!$N:$N,"&lt;"&amp;$C$1+1
)</f>
        <v>0</v>
      </c>
      <c r="J18" s="427">
        <f>COUNTIFS(
'EI BackOffice'!$D:$D,"Incident",
'EI BackOffice'!$G:$G,3,
'EI BackOffice'!$C:$C,"SharePoint",
'EI BackOffice'!$U:$U,"NO",
'EI BackOffice'!$L:$L,"&gt;="&amp;$B$1,
'EI BackOffice'!$L:$L,"&lt;"&amp;$C$1+1
)</f>
        <v>0</v>
      </c>
      <c r="K18" s="420">
        <f>SUM(
COUNTIFS(
'EI BackOffice'!$D:$D,"Incident",
'EI BackOffice'!$C:$C,"SharePoint",
'EI BackOffice'!$G:$G,3,
'EI BackOffice'!$I:$I,"Closed",
'EI BackOffice'!$U:$U,"NO",
'EI BackOffice'!$N:$N,"&gt;="&amp;$B$1,
'EI BackOffice'!$N:$N,"&lt;"&amp;$C$1+1
),
COUNTIFS(
'EI BackOffice'!$D:$D,"Incident",
'EI BackOffice'!$C:$C,"SharePoint",
'EI BackOffice'!$G:$G,3,
'EI BackOffice'!$I:$I,"Triaged",
'EI BackOffice'!$U:$U,"NO",
'EI BackOffice'!$N:$N,"&gt;="&amp;$B$1,
'EI BackOffice'!$N:$N,"&lt;"&amp;$C$1+1
)
)</f>
        <v>0</v>
      </c>
      <c r="L18" s="420">
        <f>COUNTIFS(
'EI BackOffice'!$C:$C,"SharePoint",
'EI BackOffice'!$D:$D,"Incident",
'EI BackOffice'!$G:$G,3,
'EI BackOffice'!$S:$S,"&lt;&gt;YES",
'EI BackOffice'!$K:$K,"&lt;"&amp;$B$1,
'EI BackOffice'!$N:$N,""
)
+
COUNTIFS(
'EI BackOffice'!$C:$C,"SharePoint",
'EI BackOffice'!$D:$D,"Incident",
'EI BackOffice'!$G:$G,3,
'EI BackOffice'!$S:$S,"&lt;&gt;YES",
'EI BackOffice'!$K:$K,"&lt;"&amp;$B$1,
'EI BackOffice'!$N:$N,"&gt;="&amp;$B$1
)
+
COUNTIFS(
'EI BackOffice'!$C:$C,"SharePoint",
'EI BackOffice'!$D:$D,"Incident",
'EI BackOffice'!$G:$G,3,
'EI BackOffice'!$S:$S,"&lt;&gt;YES",
'EI BackOffice'!$K:$K,"&gt;="&amp;$B$1,
'EI BackOffice'!$K:$K,"&lt;"&amp;$C$1+1
)
-
COUNTIFS(
'EI BackOffice'!$C:$C,"SharePoint",
'EI BackOffice'!$D:$D,"Incident",
'EI BackOffice'!$G:$G,3,
'EI BackOffice'!$S:$S,"&lt;&gt;YES",
'EI BackOffice'!$I:$I,"Closed",
'EI BackOffice'!$N:$N,"&gt;="&amp;$B$1,
'EI BackOffice'!$N:$N,"&lt;"&amp;$C$1+1
)
-
COUNTIFS(
'EI BackOffice'!$C:$C,"SharePoint",
'EI BackOffice'!$D:$D,"Incident",
'EI BackOffice'!$G:$G,3,
'EI BackOffice'!$S:$S,"&lt;&gt;YES",
'EI BackOffice'!$I:$I,"Triaged",
'EI BackOffice'!$N:$N,"&gt;="&amp;$B$1,
'EI BackOffice'!$N:$N,"&lt;"&amp;$C$1+1
)</f>
        <v>0</v>
      </c>
      <c r="M18" s="420">
        <f>COUNTIFS(
'EI BackOffice'!$D:$D,"Incident",
'EI BackOffice'!$G:$G,4,
'EI BackOffice'!$C:$C,"SharePoint",
'EI BackOffice'!$U:$U,"NO",
'EI BackOffice'!$L:$L,"&gt;="&amp;$B$1,
'EI BackOffice'!$L:$L,"&lt;"&amp;$C$1+1
)</f>
        <v>0</v>
      </c>
      <c r="N18" s="420">
        <f>SUM(
COUNTIFS(
'EI BackOffice'!$D:$D,"Incident",
'EI BackOffice'!$C:$C,"SharePoint",
'EI BackOffice'!$G:$G,4,
'EI BackOffice'!$I:$I,"Closed",
'EI BackOffice'!$U:$U,"NO",
'EI BackOffice'!$N:$N,"&gt;="&amp;$B$1,
'EI BackOffice'!$N:$N,"&lt;"&amp;$C$1+1
),
COUNTIFS(
'EI BackOffice'!$D:$D,"Incident",
'EI BackOffice'!$C:$C,"SharePoint",
'EI BackOffice'!$G:$G,4,
'EI BackOffice'!$I:$I,"Triaged",
'EI BackOffice'!$U:$U,"NO",
'EI BackOffice'!$N:$N,"&gt;="&amp;$B$1,
'EI BackOffice'!$N:$N,"&lt;"&amp;$C$1+1
)
)</f>
        <v>0</v>
      </c>
      <c r="O18" s="420">
        <f>COUNTIFS(
'EI BackOffice'!$C:$C,"SharePoint",
'EI BackOffice'!$D:$D,"Incident",
'EI BackOffice'!$G:$G,4,
'EI BackOffice'!$S:$S,"&lt;&gt;YES",
'EI BackOffice'!$K:$K,"&lt;"&amp;$B$1,
'EI BackOffice'!$N:$N,""
)
+
COUNTIFS(
'EI BackOffice'!$C:$C,"SharePoint",
'EI BackOffice'!$D:$D,"Incident",
'EI BackOffice'!$G:$G,4,
'EI BackOffice'!$S:$S,"&lt;&gt;YES",
'EI BackOffice'!$K:$K,"&lt;"&amp;$B$1,
'EI BackOffice'!$N:$N,"&gt;="&amp;$B$1
)
+
COUNTIFS(
'EI BackOffice'!$C:$C,"SharePoint",
'EI BackOffice'!$D:$D,"Incident",
'EI BackOffice'!$G:$G,4,
'EI BackOffice'!$S:$S,"&lt;&gt;YES",
'EI BackOffice'!$K:$K,"&gt;="&amp;$B$1,
'EI BackOffice'!$K:$K,"&lt;"&amp;$C$1+1
)
-
COUNTIFS(
'EI BackOffice'!$C:$C,"SharePoint",
'EI BackOffice'!$D:$D,"Incident",
'EI BackOffice'!$G:$G,4,
'EI BackOffice'!$S:$S,"&lt;&gt;YES",
'EI BackOffice'!$I:$I,"Closed",
'EI BackOffice'!$N:$N,"&gt;="&amp;$B$1,
'EI BackOffice'!$N:$N,"&lt;"&amp;$C$1+1
)
-
COUNTIFS(
'EI BackOffice'!$C:$C,"SharePoint",
'EI BackOffice'!$D:$D,"Incident",
'EI BackOffice'!$G:$G,4,
'EI BackOffice'!$S:$S,"&lt;&gt;YES",
'EI BackOffice'!$I:$I,"Triaged",
'EI BackOffice'!$N:$N,"&gt;="&amp;$B$1,
'EI BackOffice'!$N:$N,"&lt;"&amp;$C$1+1
)</f>
        <v>0</v>
      </c>
      <c r="P18" s="420">
        <f>COUNTIFS(
'EI BackOffice'!$D:$D,"RFS",
'EI BackOffice'!$C:$C,"SharePoint",
'EI BackOffice'!$U:$U,"No",
'EI BackOffice'!$L:$L,"&gt;="&amp;$B$1,
'EI BackOffice'!$L:$L,"&lt;"&amp;$C$1+1
)</f>
        <v>0</v>
      </c>
      <c r="Q18" s="420">
        <f>SUM(
COUNTIFS(
'EI BackOffice'!$D:$D,"RFS",
'EI BackOffice'!$C:$C,"SharePoint",
'EI BackOffice'!$I:$I,"Closed",
'EI BackOffice'!$U:$U,"NO",
'EI BackOffice'!$N:$N,"&gt;="&amp;$B$1,
'EI BackOffice'!$N:$N,"&lt;"&amp;$C$1+1
),
COUNTIFS(
'EI BackOffice'!$D:$D,"RFS",
'EI BackOffice'!$C:$C,"SharePoint",
'EI BackOffice'!$I:$I,"Triaged",
'EI BackOffice'!$U:$U,"NO",
'EI BackOffice'!$N:$N,"&gt;="&amp;$B$1,
'EI BackOffice'!$N:$N,"&lt;"&amp;$C$1+1
)
)</f>
        <v>0</v>
      </c>
      <c r="R18" s="420">
        <f>COUNTIFS(
'EI BackOffice'!$D:$D,"RFS",
'EI BackOffice'!$C:$C,"SharePoint",
'EI BackOffice'!$U:$U,"&lt;&gt;YES",
'EI BackOffice'!$K:$K,"&lt;"&amp;$B$1,
'EI BackOffice'!$N:$N,""
)
+
COUNTIFS(
'EI BackOffice'!$D:$D,"RFS",
'EI BackOffice'!$C:$C,"SharePoint",
'EI BackOffice'!$U:$U,"&lt;&gt;YES",
'EI BackOffice'!$K:$K,"&lt;"&amp;$B$1,
'EI BackOffice'!$N:$N,"&gt;="&amp;$B$1
)
+
COUNTIFS(
'EI BackOffice'!$D:$D,"RFS",
'EI BackOffice'!$C:$C,"SharePoint",
'EI BackOffice'!$U:$U,"&lt;&gt;YES",
'EI BackOffice'!$K:$K,"&gt;="&amp;$B$1,
'EI BackOffice'!$K:$K,"&lt;"&amp;$C$1+1
)
-
COUNTIFS(
'EI BackOffice'!$D:$D,"RFS",
'EI BackOffice'!$C:$C,"SharePoint",
'EI BackOffice'!$I:$I,"Closed",
'EI BackOffice'!$U:$U,"&lt;&gt;YES",
'EI BackOffice'!$N:$N,"&gt;="&amp;$B$1,
'EI BackOffice'!$N:$N,"&lt;"&amp;$C$1+1
)
-
COUNTIFS(
'EI BackOffice'!$D:$D,"RFS",
'EI BackOffice'!$C:$C,"SharePoint",
'EI BackOffice'!$I:$I,"Triaged",
'EI BackOffice'!$U:$U,"&lt;&gt;YES",
'EI BackOffice'!$N:$N,"&gt;="&amp;$B$1,
'EI BackOffice'!$N:$N,"&lt;"&amp;$C$1+1
)</f>
        <v>0</v>
      </c>
      <c r="S18" s="420">
        <f>SUM(
COUNTIFS(
'EI BackOffice'!$D:$D,"P_Ticket",
'EI BackOffice'!$G:$G,"Low",
'EI BackOffice'!$C:$C,"SharePoint",
'EI BackOffice'!$U:$U,"NO",
'EI BackOffice'!$L:$L,"&gt;="&amp;$B$1,
'EI BackOffice'!$L:$L,"&lt;"&amp;$C$1+1
),
COUNTIFS(
'EI BackOffice'!$D:$D,"P_Ticket",
'EI BackOffice'!$G:$G,"Medium",
'EI BackOffice'!$C:$C,"SharePoint",
'EI BackOffice'!$U:$U,"NO",
'EI BackOffice'!$L:$L,"&gt;="&amp;$B$1,
'EI BackOffice'!$L:$L,"&lt;"&amp;$C$1+1
),
COUNTIFS(
'EI BackOffice'!$D:$D,"P_Ticket",
'EI BackOffice'!$G:$G,"High",
'EI BackOffice'!$C:$C,"SharePoint",
'EI BackOffice'!$U:$U,"NO",
'EI BackOffice'!$L:$L,"&gt;="&amp;$B$1,
'EI BackOffice'!$L:$L,"&lt;"&amp;$C$1+1
)
)</f>
        <v>0</v>
      </c>
      <c r="T18" s="420">
        <f>SUM(
COUNTIFS(
'EI BackOffice'!$D:$D,"P_Ticket",
'EI BackOffice'!$C:$C,"SharePoint",
'EI BackOffice'!$G:$G,"Low",
'EI BackOffice'!$I:$I,"Closed",
'EI BackOffice'!$U:$U,"NO",
'EI BackOffice'!$N:$N,"&lt;"&amp;$C$1+1,
'EI BackOffice'!$N:$N,"&gt;="&amp;$B$1
),
COUNTIFS(
'EI BackOffice'!$D:$D,"P_Ticket",
'EI BackOffice'!$C:$C,"SharePoint",
'EI BackOffice'!$G:$G,"Medium",
'EI BackOffice'!$I:$I,"Closed",
'EI BackOffice'!$U:$U,"NO",
'EI BackOffice'!$N:$N,"&lt;"&amp;$C$1+1,
'EI BackOffice'!$N:$N,"&gt;="&amp;$B$1
),
COUNTIFS(
'EI BackOffice'!$D:$D,"P_Ticket",
'EI BackOffice'!$C:$C,"SharePoint",
'EI BackOffice'!$G:$G,"High",
'EI BackOffice'!$I:$I,"Closed",
'EI BackOffice'!$U:$U,"NO",
'EI BackOffice'!$N:$N,"&lt;"&amp;$C$1+1,
'EI BackOffice'!$N:$N,"&gt;="&amp;$B$1
),
COUNTIFS(
'EI BackOffice'!$D:$D,"P_Ticket",
'EI BackOffice'!$C:$C,"SharePoint",
'EI BackOffice'!$G:$G,"Low",
'EI BackOffice'!$I:$I,"Triaged",
'EI BackOffice'!$U:$U,"NO",
'EI BackOffice'!$N:$N,"&lt;"&amp;$C$1+1,
'EI BackOffice'!$N:$N,"&gt;="&amp;$B$1
),
COUNTIFS(
'EI BackOffice'!$D:$D,"P_Ticket",
'EI BackOffice'!$C:$C,"SharePoint",
'EI BackOffice'!$G:$G,"Medium",
'EI BackOffice'!$I:$I,"Triaged",
'EI BackOffice'!$U:$U,"NO",
'EI BackOffice'!$N:$N,"&lt;"&amp;$C$1+1,
'EI BackOffice'!$N:$N,"&gt;="&amp;$B$1
),
COUNTIFS(
'EI BackOffice'!$D:$D,"P_Ticket",
'EI BackOffice'!$C:$C,"SharePoint",
'EI BackOffice'!$G:$G,"High",
'EI BackOffice'!$I:$I,"Triaged",
'EI BackOffice'!$U:$U,"NO",
'EI BackOffice'!$N:$N,"&lt;"&amp;$C$1+1,
'EI BackOffice'!$N:$N,"&gt;="&amp;$B$1
)
)</f>
        <v>0</v>
      </c>
      <c r="U18" s="420"/>
      <c r="V18" s="420"/>
      <c r="W18" s="420">
        <f>COUNTIFS(
'EI BackOffice'!$D:$D,"P_Ticket",
'EI BackOffice'!$G:$G,"High",
'EI BackOffice'!$C:$C,"SharePoint",
'EI BackOffice'!$U:$U,"NO",
'EI BackOffice'!$L:$L,"&gt;="&amp;$B$1,
'EI BackOffice'!$L:$L,"&lt;"&amp;$C$1+1
)</f>
        <v>0</v>
      </c>
      <c r="X18" s="420">
        <f>SUM(
COUNTIFS(
'EI BackOffice'!$D:$D,"P_Ticket",
'EI BackOffice'!$C:$C,"SharePoint",
'EI BackOffice'!$G:$G,"High",
'EI BackOffice'!$I:$I,"Closed",
'EI BackOffice'!$U:$U,"NO",
'EI BackOffice'!$N:$N,"&lt;"&amp;$C$1+1,
'EI BackOffice'!$N:$N,"&gt;="&amp;$B$1
),
COUNTIFS(
'EI BackOffice'!$D:$D,"P_Ticket",
'EI BackOffice'!$C:$C,"SharePoint",
'EI BackOffice'!$G:$G,"High",
'EI BackOffice'!$I:$I,"Triaged",
'EI BackOffice'!$U:$U,"NO",
'EI BackOffice'!$N:$N,"&lt;"&amp;$C$1+1,
'EI BackOffice'!$N:$N,"&gt;="&amp;$B$1
)
)</f>
        <v>0</v>
      </c>
    </row>
    <row r="19" spans="1:24" customFormat="1" ht="15" customHeight="1">
      <c r="A19" s="18" t="s">
        <v>53</v>
      </c>
      <c r="B19" s="142" t="s">
        <v>26</v>
      </c>
      <c r="C19" s="157" t="s">
        <v>54</v>
      </c>
      <c r="D19" s="140"/>
      <c r="E19" s="140"/>
      <c r="F19" s="140"/>
      <c r="G19" s="140"/>
      <c r="H19" s="140"/>
      <c r="I19" s="143"/>
      <c r="J19" s="143"/>
      <c r="K19" s="141"/>
      <c r="L19" s="141"/>
      <c r="M19" s="141"/>
      <c r="N19" s="141"/>
      <c r="O19" s="141"/>
      <c r="P19" s="141"/>
      <c r="Q19" s="141"/>
      <c r="R19" s="141"/>
      <c r="S19" s="141"/>
      <c r="T19" s="150"/>
      <c r="U19" s="141"/>
      <c r="V19" s="141"/>
      <c r="W19" s="141"/>
      <c r="X19" s="141"/>
    </row>
    <row r="20" spans="1:24" customFormat="1" ht="15" customHeight="1">
      <c r="A20" s="144"/>
      <c r="B20" s="440" t="s">
        <v>55</v>
      </c>
      <c r="C20" s="440"/>
      <c r="D20" s="152">
        <f t="shared" ref="D20:X20" si="0">SUM(D4:D18)</f>
        <v>0</v>
      </c>
      <c r="E20" s="153">
        <f t="shared" si="0"/>
        <v>0</v>
      </c>
      <c r="F20" s="153">
        <f t="shared" si="0"/>
        <v>0</v>
      </c>
      <c r="G20" s="153">
        <f t="shared" si="0"/>
        <v>0</v>
      </c>
      <c r="H20" s="153">
        <f t="shared" si="0"/>
        <v>0</v>
      </c>
      <c r="I20" s="153">
        <f t="shared" si="0"/>
        <v>0</v>
      </c>
      <c r="J20" s="153">
        <f t="shared" si="0"/>
        <v>16</v>
      </c>
      <c r="K20" s="153">
        <f t="shared" si="0"/>
        <v>27</v>
      </c>
      <c r="L20" s="153">
        <f t="shared" si="0"/>
        <v>280</v>
      </c>
      <c r="M20" s="153">
        <f t="shared" si="0"/>
        <v>91</v>
      </c>
      <c r="N20" s="153">
        <f t="shared" si="0"/>
        <v>97</v>
      </c>
      <c r="O20" s="153">
        <f t="shared" si="0"/>
        <v>201</v>
      </c>
      <c r="P20" s="153">
        <f t="shared" si="0"/>
        <v>18</v>
      </c>
      <c r="Q20" s="153">
        <f t="shared" si="0"/>
        <v>38</v>
      </c>
      <c r="R20" s="153">
        <f t="shared" si="0"/>
        <v>302</v>
      </c>
      <c r="S20" s="153">
        <f t="shared" si="0"/>
        <v>0</v>
      </c>
      <c r="T20" s="153">
        <f t="shared" si="0"/>
        <v>0</v>
      </c>
      <c r="U20" s="153">
        <f t="shared" si="0"/>
        <v>0</v>
      </c>
      <c r="V20" s="153">
        <f t="shared" si="0"/>
        <v>0</v>
      </c>
      <c r="W20" s="153">
        <f t="shared" si="0"/>
        <v>0</v>
      </c>
      <c r="X20" s="153">
        <f t="shared" si="0"/>
        <v>0</v>
      </c>
    </row>
    <row r="23" spans="1:24" ht="15" customHeight="1">
      <c r="B23" s="158" t="s">
        <v>56</v>
      </c>
    </row>
    <row r="25" spans="1:24" s="46" customFormat="1" ht="30.75" customHeight="1">
      <c r="B25" s="154" t="s">
        <v>2</v>
      </c>
      <c r="C25" s="159" t="s">
        <v>3</v>
      </c>
      <c r="D25" s="160" t="s">
        <v>5</v>
      </c>
      <c r="E25" s="161" t="s">
        <v>57</v>
      </c>
      <c r="F25" s="161" t="s">
        <v>58</v>
      </c>
      <c r="G25" s="161" t="s">
        <v>59</v>
      </c>
      <c r="H25" s="161" t="s">
        <v>8</v>
      </c>
      <c r="I25" s="161" t="s">
        <v>57</v>
      </c>
      <c r="J25" s="161" t="s">
        <v>58</v>
      </c>
      <c r="K25" s="161" t="s">
        <v>59</v>
      </c>
      <c r="L25" s="161" t="s">
        <v>11</v>
      </c>
      <c r="M25" s="161" t="s">
        <v>57</v>
      </c>
      <c r="N25" s="161" t="s">
        <v>58</v>
      </c>
      <c r="O25" s="161" t="s">
        <v>59</v>
      </c>
      <c r="P25" s="161" t="s">
        <v>14</v>
      </c>
      <c r="Q25" s="161" t="s">
        <v>57</v>
      </c>
      <c r="R25" s="161" t="s">
        <v>58</v>
      </c>
      <c r="S25" s="161" t="s">
        <v>59</v>
      </c>
      <c r="T25" s="151"/>
    </row>
    <row r="26" spans="1:24" ht="15" customHeight="1">
      <c r="B26" s="139" t="s">
        <v>26</v>
      </c>
      <c r="C26" s="157" t="s">
        <v>27</v>
      </c>
      <c r="D26" s="81">
        <f>SUM(
COUNTIFS(
SIP!$D:$D,"Incident",
SIP!$G:$G,1,
SIP!$C:$C,"SIP",
SIP!$I:$I,"Closed",
SIP!$U:$U,"NO",
SIP!$N:$N,"&gt;="&amp;$B$1,
SIP!$N:$N,"&lt;"&amp;$C$1+1
),
COUNTIFS(
SIP!$D:$D,"Incident",
SIP!$G:$G,1,
SIP!$C:$C,"SIP",
SIP!$I:$I,"Triaged",
SIP!$U:$U,"NO",
SIP!$N:$N,"&gt;="&amp;$B$1,
SIP!$N:$N,"&lt;"&amp;$C$1+1
)
)</f>
        <v>0</v>
      </c>
      <c r="E26" s="19">
        <f>SUM(
COUNTIFS(
SIP!$D:$D,"Incident",
SIP!$C:$C,"SIP",
SIP!$G:$G,1,
SIP!$I:$I,"Closed",
SIP!$AI:$AI,"YES",
SIP!$U:$U,"No",
SIP!$N:$N,"&gt;="&amp;$B$1,
SIP!$N:$N,"&lt;"&amp;$C$1+1
),
COUNTIFS(
SIP!$D:$D,"Incident",
SIP!$C:$C,"SIP",
SIP!$G:$G,1,
SIP!$I:$I,"Triaged",
SIP!$AI:$AI,"YES",
SIP!$U:$U,"No",
SIP!$N:$N,"&gt;="&amp;$B$1,
SIP!$N:$N,"&lt;"&amp;$C$1+1
)
)</f>
        <v>0</v>
      </c>
      <c r="F26" s="19">
        <f>SUM(
COUNTIFS(
SIP!$D:$D,"Incident",
SIP!$C:$C,"SIP",
SIP!$G:$G,1,
SIP!$I:$I,"Closed",
SIP!$AJ:$AJ,"YES",
SIP!$U:$U,"No",
SIP!$N:$N,"&gt;="&amp;$B$1,
SIP!$N:$N,"&lt;"&amp;$C$1+1
),
COUNTIFS(
SIP!$D:$D,"Incident",
SIP!$C:$C,"SIP",
SIP!$G:$G,1,
SIP!$I:$I,"Triaged",
SIP!$AJ:$AJ,"YES",
SIP!$U:$U,"No",
SIP!$N:$N,"&gt;="&amp;$B$1,
SIP!$N:$N,"&lt;"&amp;$C$1+1
)
)</f>
        <v>0</v>
      </c>
      <c r="G26" s="81">
        <f>SUM(
COUNTIFS(
SIP!$D:$D,"Incident",
SIP!$C:$C,"SIP",
SIP!$G:$G,1,
SIP!$I:$I,"Closed",
SIP!$AI:$AI,"NO",
SIP!$AJ:$AJ,"NO",
SIP!$U:$U,"No",
SIP!$N:$N,"&gt;="&amp;$B$1,
SIP!$N:$N,"&lt;"&amp;$C$1+1
),
COUNTIFS(
SIP!$D:$D,"Incident",
SIP!$C:$C,"SIP",
SIP!$G:$G,1,
SIP!$I:$I,"Triaged",
SIP!$AI:$AI,"NO",
SIP!$AJ:$AJ,"NO",
SIP!$U:$U,"No",
SIP!$N:$N,"&gt;="&amp;$B$1,
SIP!$N:$N,"&lt;"&amp;$C$1+1
)
)</f>
        <v>0</v>
      </c>
      <c r="H26" s="19">
        <f>SUM(
COUNTIFS(
SIP!$D:$D,"Incident",
SIP!$G:$G,2,
SIP!$C:$C,"SIP",
SIP!$I:$I,"Closed",
SIP!$U:$U,"NO",
SIP!$N:$N,"&gt;="&amp;$B$1,
SIP!$N:$N,"&lt;"&amp;$C$1+1
),
COUNTIFS(
SIP!$D:$D,"Incident",
SIP!$G:$G,2,
SIP!$C:$C,"SIP",
SIP!$I:$I,"Triaged",
SIP!$U:$U,"NO",
SIP!$N:$N,"&gt;="&amp;$B$1,
SIP!$N:$N,"&lt;"&amp;$C$1+1
)
)</f>
        <v>0</v>
      </c>
      <c r="I26" s="19">
        <f>SUM(
COUNTIFS(
SIP!$D:$D,"Incident",
SIP!$C:$C,"SIP",
SIP!$G:$G,2,
SIP!$I:$I,"Closed",
SIP!$AI:$AI,"YES",
SIP!$U:$U,"No",
SIP!$N:$N,"&gt;="&amp;$B$1,
SIP!$N:$N,"&lt;"&amp;$C$1+1
),
COUNTIFS(
SIP!$D:$D,"Incident",
SIP!$C:$C,"SIP",
SIP!$G:$G,2,
SIP!$I:$I,"Triaged",
SIP!$AI:$AI,"YES",
SIP!$U:$U,"No",
SIP!$N:$N,"&gt;="&amp;$B$1,
SIP!$N:$N,"&lt;"&amp;$C$1+1
)
)</f>
        <v>0</v>
      </c>
      <c r="J26" s="19">
        <f>SUM(
COUNTIFS(
SIP!$D:$D,"Incident",
SIP!$C:$C,"SIP",
SIP!$G:$G,2,
SIP!$I:$I,"Closed",
SIP!$AJ:$AJ,"YES",
SIP!$U:$U,"No",
SIP!$N:$N,"&gt;="&amp;$B$1,
SIP!$N:$N,"&lt;"&amp;$C$1+1
),
COUNTIFS(
SIP!$D:$D,"Incident",
SIP!$C:$C,"SIP",
SIP!$G:$G,2,
SIP!$I:$I,"Triaged",
SIP!$AJ:$AJ,"YES",
SIP!$U:$U,"No",
SIP!$N:$N,"&gt;="&amp;$B$1,
SIP!$N:$N,"&lt;"&amp;$C$1+1
)
)</f>
        <v>0</v>
      </c>
      <c r="K26" s="19">
        <f ca="1">SUM(
COUNTIFS(
SIP!$D:$D,"Incident",
SIP!$C:$C,"SIP",
SIP!$G:$G,2,
SIP!$I:$I,"Closed",
SIP!$AI:$AI,"NO",
SIP!$AJ:$AJ,"NO",
SIP!$U:$U,"No",
SIP!$N:$N,"&gt;="&amp;$B$1,
SIP!$N:$N,"&lt;"&amp;$C$1+1
),
COUNTIFS(
SIP!$D:$D,"Incident",
SIP!$C:$C,"SIP",
SIP!$G:$G,2,
SIP!$I:$I,"Triaged",
SIP!$AI:$AI,"NO",
SIP!$AJ:$AJ,"NO",
SIP!$U:$U,"No",
SIP!$N:$N,"&gt;="&amp;$B$1,
SIP!$N:$N,"&lt;"&amp;$C$1+1
)
)</f>
        <v>0</v>
      </c>
      <c r="L26" s="19">
        <f>SUM(
COUNTIFS(
SIP!$D:$D,"Incident",
SIP!$G:$G,3,
SIP!$C:$C,"SIP",
SIP!$I:$I,"Closed",
SIP!$U:$U,"NO",
SIP!$N:$N,"&gt;="&amp;$B$1,
SIP!$N:$N,"&lt;"&amp;$C$1+1
),
COUNTIFS(
SIP!$D:$D,"Incident",
SIP!$G:$G,3,
SIP!$C:$C,"SIP",
SIP!$I:$I,"Triaged",
SIP!$U:$U,"NO",
SIP!$N:$N,"&gt;="&amp;$B$1,
SIP!$N:$N,"&lt;"&amp;$C$1+1
)
)</f>
        <v>0</v>
      </c>
      <c r="M26" s="19">
        <f ca="1">SUM(
COUNTIFS(
SIP!$D:$D,"Incident",
SIP!$C:$C,"SIP",
SIP!$G:$G,3,
SIP!$I:$I,"Closed",
SIP!$AI:$AI,"YES",
SIP!$U:$U,"No",
SIP!$N:$N,"&gt;="&amp;$B$1,
SIP!$N:$N,"&lt;"&amp;$C$1+1
),
COUNTIFS(
SIP!$D:$D,"Incident",
SIP!$C:$C,"SIP",
SIP!$G:$G,3,
SIP!$I:$I,"Triaged",
SIP!$AI:$AI,"YES",
SIP!$U:$U,"No",
SIP!$N:$N,"&gt;="&amp;$B$1,
SIP!$N:$N,"&lt;"&amp;$C$1+1
)
)</f>
        <v>0</v>
      </c>
      <c r="N26" s="19">
        <f ca="1">SUM(
COUNTIFS(
SIP!$D:$D,"Incident",
SIP!$C:$C,"SIP",
SIP!$G:$G,3,
SIP!$I:$I,"Closed",
SIP!$AJ:$AJ,"YES",
SIP!$U:$U,"No",
SIP!$N:$N,"&gt;="&amp;$B$1,
SIP!$N:$N,"&lt;"&amp;$C$1+1
),
COUNTIFS(
SIP!$D:$D,"Incident",
SIP!$C:$C,"SIP",
SIP!$G:$G,3,
SIP!$I:$I,"Triaged",
SIP!$AJ:$AJ,"YES",
SIP!$U:$U,"No",
SIP!$N:$N,"&gt;="&amp;$B$1,
SIP!$N:$N,"&lt;"&amp;$C$1+1
)
)</f>
        <v>0</v>
      </c>
      <c r="O26" s="19">
        <f ca="1">SUM(
COUNTIFS(
SIP!$D:$D,"Incident",
SIP!$C:$C,"SIP",
SIP!$G:$G,3,
SIP!$I:$I,"Closed",
SIP!$AI:$AI,"NO",
SIP!$AJ:$AJ,"NO",
SIP!$U:$U,"No",
SIP!$N:$N,"&gt;="&amp;$B$1,
SIP!$N:$N,"&lt;"&amp;$C$1+1
),
COUNTIFS(
SIP!$D:$D,"Incident",
SIP!$C:$C,"SIP",
SIP!$G:$G,3,
SIP!$I:$I,"Triaged",
SIP!$AI:$AI,"NO",
SIP!$AJ:$AJ,"NO",
SIP!$U:$U,"No",
SIP!$N:$N,"&gt;="&amp;$B$1,
SIP!$N:$N,"&lt;"&amp;$C$1+1
)
)</f>
        <v>0</v>
      </c>
      <c r="P26" s="19">
        <f>SUM(
COUNTIFS(
SIP!$D:$D,"Incident",
SIP!$G:$G,4,
SIP!$C:$C,"SIP",
SIP!$I:$I,"Closed",
SIP!$U:$U,"NO",
SIP!$N:$N,"&gt;="&amp;$B$1,
SIP!$N:$N,"&lt;"&amp;$C$1+1
),
COUNTIFS(
SIP!$D:$D,"Incident",
SIP!$G:$G,4,
SIP!$C:$C,"SIP",
SIP!$I:$I,"Triaged",
SIP!$U:$U,"NO",
SIP!$N:$N,"&gt;="&amp;$B$1,
SIP!$N:$N,"&lt;"&amp;$C$1+1
)
)</f>
        <v>0</v>
      </c>
      <c r="Q26" s="19">
        <f ca="1">SUM(
COUNTIFS(
SIP!$D:$D,"Incident",
SIP!$C:$C,"SIP",
SIP!$G:$G,4,
SIP!$I:$I,"Closed",
SIP!$AI:$AI,"YES",
SIP!$U:$U,"No",
SIP!$N:$N,"&gt;="&amp;$B$1,
SIP!$N:$N,"&lt;"&amp;$C$1+1
),
COUNTIFS(
SIP!$D:$D,"Incident",
SIP!$C:$C,"SIP",
SIP!$G:$G,4,
SIP!$I:$I,"Triaged",
SIP!$AI:$AI,"YES",
SIP!$U:$U,"No",
SIP!$N:$N,"&gt;="&amp;$B$1,
SIP!$N:$N,"&lt;"&amp;$C$1+1
)
)</f>
        <v>0</v>
      </c>
      <c r="R26" s="19">
        <f ca="1">SUM(
COUNTIFS(
SIP!$D:$D,"Incident",
SIP!$C:$C,"SIP",
SIP!$G:$G,4,
SIP!$I:$I,"Closed",
SIP!$AJ:$AJ,"YES",
SIP!$U:$U,"No",
SIP!$N:$N,"&gt;="&amp;$B$1,
SIP!$N:$N,"&lt;"&amp;$C$1+1
),
COUNTIFS(
SIP!$D:$D,"Incident",
SIP!$C:$C,"SIP",
SIP!$G:$G,4,
SIP!$I:$I,"Triaged",
SIP!$AJ:$AJ,"YES",
SIP!$U:$U,"No",
SIP!$N:$N,"&gt;="&amp;$B$1,
SIP!$N:$N,"&lt;"&amp;$C$1+1
)
)</f>
        <v>0</v>
      </c>
      <c r="S26" s="19">
        <f ca="1">SUM(
COUNTIFS(
SIP!$D:$D,"Incident",
SIP!$C:$C,"SIP",
SIP!$G:$G,4,
SIP!$I:$I,"Closed",
SIP!$AI:$AI,"NO",
SIP!$AJ:$AJ,"NO",
SIP!$U:$U,"No",
SIP!$N:$N,"&gt;="&amp;$B$1,
SIP!$N:$N,"&lt;"&amp;$C$1+1
),
COUNTIFS(
SIP!$D:$D,"Incident",
SIP!$C:$C,"SIP",
SIP!$G:$G,4,
SIP!$I:$I,"Triaged",
SIP!$AI:$AI,"NO",
SIP!$AJ:$AJ,"NO",
SIP!$U:$U,"No",
SIP!$N:$N,"&gt;="&amp;$B$1,
SIP!$N:$N,"&lt;"&amp;$C$1+1
)
)</f>
        <v>0</v>
      </c>
    </row>
    <row r="27" spans="1:24" ht="15" customHeight="1">
      <c r="B27" s="139" t="s">
        <v>26</v>
      </c>
      <c r="C27" s="157" t="s">
        <v>29</v>
      </c>
      <c r="D27" s="81">
        <f>SUM(
COUNTIFS(
'BA BackOffice'!$D:$D,"Incident",
'BA BackOffice'!$C:$C,"SharePoint",
'BA BackOffice'!$G:$G,1,
'BA BackOffice'!$I:$I,"Closed",
'BA BackOffice'!$U:$U,"NO",
'BA BackOffice'!$N:$N,"&gt;="&amp;$B$1,
'BA BackOffice'!$N:$N,"&lt;"&amp;$C$1+1
),
COUNTIFS(
'BA BackOffice'!$D:$D,"Incident",
'BA BackOffice'!$C:$C,"SharePoint",
'BA BackOffice'!$G:$G,1,
'BA BackOffice'!$I:$I,"Triaged",
'BA BackOffice'!$U:$U,"NO",
'BA BackOffice'!$N:$N,"&gt;="&amp;$B$1,
'BA BackOffice'!$N:$N,"&lt;"&amp;$C$1+1
)
)</f>
        <v>0</v>
      </c>
      <c r="E27" s="19">
        <f>SUM(
COUNTIFS(
'BA BackOffice'!$D:$D,"Incident",
'BA BackOffice'!$C:$C,"SharePoint",
'BA BackOffice'!$G:$G,1,
'BA BackOffice'!$I:$I,"Closed",
'BA BackOffice'!$AI:$AI,"YES",
'BA BackOffice'!$U:$U,"No",
'BA BackOffice'!$N:$N,"&gt;="&amp;$B$1,
'BA BackOffice'!$N:$N,"&lt;"&amp;$C$1+1
),
COUNTIFS(
'BA BackOffice'!$D:$D,"Incident",
'BA BackOffice'!$C:$C,"SharePoint",
'BA BackOffice'!$G:$G,1,
'BA BackOffice'!$I:$I,"Triaged",
'BA BackOffice'!$AI:$AI,"YES",
'BA BackOffice'!$U:$U,"No",
'BA BackOffice'!$N:$N,"&gt;="&amp;$B$1,
'BA BackOffice'!$N:$N,"&lt;"&amp;$C$1+1
)
)</f>
        <v>0</v>
      </c>
      <c r="F27" s="19">
        <f>SUM(
COUNTIFS(
'BA BackOffice'!$D:$D,"Incident",
'BA BackOffice'!$C:$C,"SharePoint",
'BA BackOffice'!$G:$G,1,
'BA BackOffice'!$I:$I,"Closed",
'BA BackOffice'!$AJ:$AJ,"YES",
'BA BackOffice'!$U:$U,"No",
'BA BackOffice'!$N:$N,"&gt;="&amp;$B$1,
'BA BackOffice'!$N:$N,"&lt;"&amp;$C$1+1
),
COUNTIFS(
'BA BackOffice'!$D:$D,"Incident",
'BA BackOffice'!$C:$C,"SharePoint",
'BA BackOffice'!$G:$G,1,
'BA BackOffice'!$I:$I,"Triaged",
'BA BackOffice'!$AJ:$AJ,"YES",
'BA BackOffice'!$U:$U,"No",
'BA BackOffice'!$N:$N,"&gt;="&amp;$B$1,
'BA BackOffice'!$N:$N,"&lt;"&amp;$C$1+1
)
)</f>
        <v>0</v>
      </c>
      <c r="G27" s="19">
        <f>SUM(
COUNTIFS(
'BA BackOffice'!$D:$D,"Incident",
'BA BackOffice'!$C:$C,"SharePoint",
'BA BackOffice'!$G:$G,1,
'BA BackOffice'!$I:$I,"Closed",
'BA BackOffice'!$AI:$AI,"NO",
'BA BackOffice'!$AJ:$AJ,"NO",
'BA BackOffice'!$U:$U,"No",
'BA BackOffice'!$N:$N,"&gt;="&amp;$B$1,
'BA BackOffice'!$N:$N,"&lt;"&amp;$C$1+1
),
COUNTIFS(
'BA BackOffice'!$D:$D,"Incident",
'BA BackOffice'!$C:$C,"SharePoint",
'BA BackOffice'!$G:$G,1,
'BA BackOffice'!$I:$I,"Triaged",
'BA BackOffice'!$AI:$AI,"NO",
'BA BackOffice'!$AJ:$AJ,"NO",
'BA BackOffice'!$U:$U,"No",
'BA BackOffice'!$N:$N,"&gt;="&amp;$B$1,
'BA BackOffice'!$N:$N,"&lt;"&amp;$C$1+1
)
)</f>
        <v>0</v>
      </c>
      <c r="H27" s="19">
        <f>SUM(
COUNTIFS(
'BA BackOffice'!$D:$D,"Incident",
'BA BackOffice'!$C:$C,"SharePoint",
'BA BackOffice'!$G:$G,2,
'BA BackOffice'!$I:$I,"Closed",
'BA BackOffice'!$U:$U,"NO",
'BA BackOffice'!$N:$N,"&gt;="&amp;$B$1,
'BA BackOffice'!$N:$N,"&lt;"&amp;$C$1+1
),
COUNTIFS(
'BA BackOffice'!$D:$D,"Incident",
'BA BackOffice'!$C:$C,"SharePoint",
'BA BackOffice'!$G:$G,2,
'BA BackOffice'!$I:$I,"Triaged",
'BA BackOffice'!$U:$U,"NO",
'BA BackOffice'!$N:$N,"&gt;="&amp;$B$1,
'BA BackOffice'!$N:$N,"&lt;"&amp;$C$1+1
)
)</f>
        <v>0</v>
      </c>
      <c r="I27" s="19">
        <f>SUM(
COUNTIFS(
'BA BackOffice'!$D:$D,"Incident",
'BA BackOffice'!$C:$C,"SharePoint",
'BA BackOffice'!$G:$G,2,
'BA BackOffice'!$I:$I,"Closed",
'BA BackOffice'!$AI:$AI,"YES",
'BA BackOffice'!$U:$U,"No",
'BA BackOffice'!$N:$N,"&gt;="&amp;$B$1,
'BA BackOffice'!$N:$N,"&lt;"&amp;$C$1+1
),
COUNTIFS(
'BA BackOffice'!$D:$D,"Incident",
'BA BackOffice'!$C:$C,"SharePoint",
'BA BackOffice'!$G:$G,2,
'BA BackOffice'!$I:$I,"Triaged",
'BA BackOffice'!$AI:$AI,"YES",
'BA BackOffice'!$U:$U,"No",
'BA BackOffice'!$N:$N,"&gt;="&amp;$B$1,
'BA BackOffice'!$N:$N,"&lt;"&amp;$C$1+1
)
)</f>
        <v>0</v>
      </c>
      <c r="J27" s="19">
        <f>SUM(
COUNTIFS(
'BA BackOffice'!$D:$D,"Incident",
'BA BackOffice'!$C:$C,"SharePoint",
'BA BackOffice'!$G:$G,2,
'BA BackOffice'!$I:$I,"Closed",
'BA BackOffice'!$AJ:$AJ,"YES",
'BA BackOffice'!$U:$U,"No",
'BA BackOffice'!$N:$N,"&gt;="&amp;$B$1,
'BA BackOffice'!$N:$N,"&lt;"&amp;$C$1+1
),
COUNTIFS(
'BA BackOffice'!$D:$D,"Incident",
'BA BackOffice'!$C:$C,"SharePoint",
'BA BackOffice'!$G:$G,2,
'BA BackOffice'!$I:$I,"Triaged",
'BA BackOffice'!$AJ:$AJ,"YES",
'BA BackOffice'!$U:$U,"No",
'BA BackOffice'!$N:$N,"&gt;="&amp;$B$1,
'BA BackOffice'!$N:$N,"&lt;"&amp;$C$1+1
)
)</f>
        <v>0</v>
      </c>
      <c r="K27" s="19">
        <f>SUM(
COUNTIFS(
'BA BackOffice'!$D:$D,"Incident",
'BA BackOffice'!$C:$C,"SharePoint",
'BA BackOffice'!$G:$G,2,
'BA BackOffice'!$I:$I,"Closed",
'BA BackOffice'!$AI:$AI,"NO",
'BA BackOffice'!$AJ:$AJ,"NO",
'BA BackOffice'!$U:$U,"No",
'BA BackOffice'!$N:$N,"&gt;="&amp;$B$1,
'BA BackOffice'!$N:$N,"&lt;"&amp;$C$1+1
),
COUNTIFS(
'BA BackOffice'!$D:$D,"Incident",
'BA BackOffice'!$C:$C,"SharePoint",
'BA BackOffice'!$G:$G,2,
'BA BackOffice'!$I:$I,"Triaged",
'BA BackOffice'!$AI:$AI,"NO",
'BA BackOffice'!$AJ:$AJ,"NO",
'BA BackOffice'!$U:$U,"No",
'BA BackOffice'!$N:$N,"&gt;="&amp;$B$1,
'BA BackOffice'!$N:$N,"&lt;"&amp;$C$1+1
)
)</f>
        <v>0</v>
      </c>
      <c r="L27" s="19">
        <f>SUM(
COUNTIFS(
'BA BackOffice'!$D:$D,"Incident",
'BA BackOffice'!$C:$C,"SharePoint",
'BA BackOffice'!$G:$G,3,
'BA BackOffice'!$I:$I,"Closed",
'BA BackOffice'!$U:$U,"NO",
'BA BackOffice'!$N:$N,"&gt;="&amp;$B$1,
'BA BackOffice'!$N:$N,"&lt;"&amp;$C$1+1
),
COUNTIFS(
'BA BackOffice'!$D:$D,"Incident",
'BA BackOffice'!$C:$C,"SharePoint",
'BA BackOffice'!$G:$G,3,
'BA BackOffice'!$I:$I,"Triaged",
'BA BackOffice'!$U:$U,"NO",
'BA BackOffice'!$N:$N,"&gt;="&amp;$B$1,
'BA BackOffice'!$N:$N,"&lt;"&amp;$C$1+1
)
)</f>
        <v>1</v>
      </c>
      <c r="M27" s="19">
        <f ca="1">SUM(
COUNTIFS(
'BA BackOffice'!$D:$D,"Incident",
'BA BackOffice'!$C:$C,"SharePoint",
'BA BackOffice'!$G:$G,3,
'BA BackOffice'!$I:$I,"Closed",
'BA BackOffice'!$AI:$AI,"YES",
'BA BackOffice'!$U:$U,"No",
'BA BackOffice'!$N:$N,"&gt;="&amp;$B$1,
'BA BackOffice'!$N:$N,"&lt;"&amp;$C$1+1
),
COUNTIFS(
'BA BackOffice'!$D:$D,"Incident",
'BA BackOffice'!$C:$C,"SharePoint",
'BA BackOffice'!$G:$G,3,
'BA BackOffice'!$I:$I,"Triaged",
'BA BackOffice'!$AI:$AI,"YES",
'BA BackOffice'!$U:$U,"No",
'BA BackOffice'!$N:$N,"&gt;="&amp;$B$1,
'BA BackOffice'!$N:$N,"&lt;"&amp;$C$1+1
)
)</f>
        <v>1</v>
      </c>
      <c r="N27" s="19">
        <f ca="1">SUM(
COUNTIFS(
'BA BackOffice'!$D:$D,"Incident",
'BA BackOffice'!$C:$C,"SharePoint",
'BA BackOffice'!$G:$G,3,
'BA BackOffice'!$I:$I,"Closed",
'BA BackOffice'!$AJ:$AJ,"YES",
'BA BackOffice'!$U:$U,"No",
'BA BackOffice'!$N:$N,"&gt;="&amp;$B$1,
'BA BackOffice'!$N:$N,"&lt;"&amp;$C$1+1
),
COUNTIFS(
'BA BackOffice'!$D:$D,"Incident",
'BA BackOffice'!$C:$C,"SharePoint",
'BA BackOffice'!$G:$G,3,
'BA BackOffice'!$I:$I,"Triaged",
'BA BackOffice'!$AJ:$AJ,"YES",
'BA BackOffice'!$U:$U,"No",
'BA BackOffice'!$N:$N,"&gt;="&amp;$B$1,
'BA BackOffice'!$N:$N,"&lt;"&amp;$C$1+1
)
)</f>
        <v>1</v>
      </c>
      <c r="O27" s="19">
        <f ca="1">SUM(
COUNTIFS(
'BA BackOffice'!$D:$D,"Incident",
'BA BackOffice'!$C:$C,"SharePoint",
'BA BackOffice'!$G:$G,3,
'BA BackOffice'!$I:$I,"Closed",
'BA BackOffice'!$AI:$AI,"NO",
'BA BackOffice'!$AJ:$AJ,"NO",
'BA BackOffice'!$U:$U,"No",
'BA BackOffice'!$N:$N,"&gt;="&amp;$B$1,
'BA BackOffice'!$N:$N,"&lt;"&amp;$C$1+1
),
COUNTIFS(
'BA BackOffice'!$D:$D,"Incident",
'BA BackOffice'!$C:$C,"SharePoint",
'BA BackOffice'!$G:$G,3,
'BA BackOffice'!$I:$I,"Triaged",
'BA BackOffice'!$AI:$AI,"NO",
'BA BackOffice'!$AJ:$AJ,"NO",
'BA BackOffice'!$U:$U,"No",
'BA BackOffice'!$N:$N,"&gt;="&amp;$B$1,
'BA BackOffice'!$N:$N,"&lt;"&amp;$C$1+1
)
)</f>
        <v>0</v>
      </c>
      <c r="P27" s="19">
        <f>SUM(
COUNTIFS(
'BA BackOffice'!$D:$D,"Incident",
'BA BackOffice'!$C:$C,"SharePoint",
'BA BackOffice'!$G:$G,4,
'BA BackOffice'!$I:$I,"Closed",
'BA BackOffice'!$U:$U,"NO",
'BA BackOffice'!$N:$N,"&gt;="&amp;$B$1,
'BA BackOffice'!$N:$N,"&lt;"&amp;$C$1+1
),
COUNTIFS(
'BA BackOffice'!$D:$D,"Incident",
'BA BackOffice'!$C:$C,"SharePoint",
'BA BackOffice'!$G:$G,4,
'BA BackOffice'!$I:$I,"Triaged",
'BA BackOffice'!$U:$U,"NO",
'BA BackOffice'!$N:$N,"&gt;="&amp;$B$1,
'BA BackOffice'!$N:$N,"&lt;"&amp;$C$1+1
)
)</f>
        <v>6</v>
      </c>
      <c r="Q27" s="19">
        <f ca="1">SUM(
COUNTIFS(
'BA BackOffice'!$D:$D,"Incident",
'BA BackOffice'!$C:$C,"SharePoint",
'BA BackOffice'!$G:$G,4,
'BA BackOffice'!$I:$I,"Closed",
'BA BackOffice'!$AI:$AI,"YES",
'BA BackOffice'!$U:$U,"No",
'BA BackOffice'!$N:$N,"&gt;="&amp;$B$1,
'BA BackOffice'!$N:$N,"&lt;"&amp;$C$1+1
),
COUNTIFS(
'BA BackOffice'!$D:$D,"Incident",
'BA BackOffice'!$C:$C,"SharePoint",
'BA BackOffice'!$G:$G,4,
'BA BackOffice'!$I:$I,"Triaged",
'BA BackOffice'!$AI:$AI,"YES",
'BA BackOffice'!$U:$U,"No",
'BA BackOffice'!$N:$N,"&gt;="&amp;$B$1,
'BA BackOffice'!$N:$N,"&lt;"&amp;$C$1+1
)
)</f>
        <v>6</v>
      </c>
      <c r="R27" s="19">
        <f ca="1">SUM(
COUNTIFS(
'BA BackOffice'!$D:$D,"Incident",
'BA BackOffice'!$C:$C,"SharePoint",
'BA BackOffice'!$G:$G,4,
'BA BackOffice'!$I:$I,"Closed",
'BA BackOffice'!$AJ:$AJ,"YES",
'BA BackOffice'!$U:$U,"No",
'BA BackOffice'!$N:$N,"&gt;="&amp;$B$1,
'BA BackOffice'!$N:$N,"&lt;"&amp;$C$1+1
),
COUNTIFS(
'BA BackOffice'!$D:$D,"Incident",
'BA BackOffice'!$C:$C,"SharePoint",
'BA BackOffice'!$G:$G,4,
'BA BackOffice'!$I:$I,"Triaged",
'BA BackOffice'!$AJ:$AJ,"YES",
'BA BackOffice'!$U:$U,"No",
'BA BackOffice'!$N:$N,"&gt;="&amp;$B$1,
'BA BackOffice'!$N:$N,"&lt;"&amp;$C$1+1
)
)</f>
        <v>6</v>
      </c>
      <c r="S27" s="19">
        <f ca="1">SUM(
COUNTIFS(
'BA BackOffice'!$D:$D,"Incident",
'BA BackOffice'!$C:$C,"SharePoint",
'BA BackOffice'!$G:$G,4,
'BA BackOffice'!$I:$I,"Closed",
'BA BackOffice'!$AI:$AI,"NO",
'BA BackOffice'!$AJ:$AJ,"NO",
'BA BackOffice'!$U:$U,"No",
'BA BackOffice'!$N:$N,"&gt;="&amp;$B$1,
'BA BackOffice'!$N:$N,"&lt;"&amp;$C$1+1
),
COUNTIFS(
'BA BackOffice'!$D:$D,"Incident",
'BA BackOffice'!$C:$C,"SharePoint",
'BA BackOffice'!$G:$G,4,
'BA BackOffice'!$I:$I,"Triaged",
'BA BackOffice'!$AI:$AI,"NO",
'BA BackOffice'!$AJ:$AJ,"NO",
'BA BackOffice'!$U:$U,"No",
'BA BackOffice'!$N:$N,"&gt;="&amp;$B$1,
'BA BackOffice'!$N:$N,"&lt;"&amp;$C$1+1
)
)</f>
        <v>0</v>
      </c>
    </row>
    <row r="28" spans="1:24" ht="15" customHeight="1">
      <c r="B28" s="139" t="s">
        <v>26</v>
      </c>
      <c r="C28" s="157" t="s">
        <v>31</v>
      </c>
      <c r="D28" s="81">
        <f>SUM(
COUNTIFS(
'BA BackOffice'!$D:$D,"Incident",
'BA BackOffice'!$C:$C,"Apex",
'BA BackOffice'!$G:$G,1,
'BA BackOffice'!$I:$I,"Closed",
'BA BackOffice'!$U:$U,"NO",
'BA BackOffice'!$N:$N,"&gt;="&amp;$B$1,
'BA BackOffice'!$N:$N,"&lt;"&amp;$C$1+1
),
COUNTIFS(
'BA BackOffice'!$D:$D,"Incident",
'BA BackOffice'!$C:$C,"Apex",
'BA BackOffice'!$G:$G,1,
'BA BackOffice'!$I:$I,"Triaged",
'BA BackOffice'!$U:$U,"NO",
'BA BackOffice'!$N:$N,"&gt;="&amp;$B$1,
'BA BackOffice'!$N:$N,"&lt;"&amp;$C$1+1
)
)</f>
        <v>0</v>
      </c>
      <c r="E28" s="19">
        <f>SUM(
COUNTIFS(
'BA BackOffice'!$D:$D,"Incident",
'BA BackOffice'!$C:$C,"Apex",
'BA BackOffice'!$G:$G,1,
'BA BackOffice'!$I:$I,"Closed",
'BA BackOffice'!$AI:$AI,"YES",
'BA BackOffice'!$U:$U,"No",
'BA BackOffice'!$N:$N,"&gt;="&amp;$B$1,
'BA BackOffice'!$N:$N,"&lt;"&amp;$C$1+1
),
COUNTIFS(
'BA BackOffice'!$D:$D,"Incident",
'BA BackOffice'!$C:$C,"Apex",
'BA BackOffice'!$G:$G,1,
'BA BackOffice'!$I:$I,"Triaged",
'BA BackOffice'!$AI:$AI,"YES",
'BA BackOffice'!$U:$U,"No",
'BA BackOffice'!$N:$N,"&gt;="&amp;$B$1,
'BA BackOffice'!$N:$N,"&lt;"&amp;$C$1+1
)
)</f>
        <v>0</v>
      </c>
      <c r="F28" s="19">
        <f>SUM(
COUNTIFS(
'BA BackOffice'!$D:$D,"Incident",
'BA BackOffice'!$C:$C,"Apex",
'BA BackOffice'!$G:$G,1,
'BA BackOffice'!$I:$I,"Closed",
'BA BackOffice'!$AJ:$AJ,"YES",
'BA BackOffice'!$U:$U,"No",
'BA BackOffice'!$N:$N,"&gt;="&amp;$B$1,
'BA BackOffice'!$N:$N,"&lt;"&amp;$C$1+1
),
COUNTIFS(
'BA BackOffice'!$D:$D,"Incident",
'BA BackOffice'!$C:$C,"Apex",
'BA BackOffice'!$G:$G,1,
'BA BackOffice'!$I:$I,"Triaged",
'BA BackOffice'!$AJ:$AJ,"YES",
'BA BackOffice'!$U:$U,"No",
'BA BackOffice'!$N:$N,"&gt;="&amp;$B$1,
'BA BackOffice'!$N:$N,"&lt;"&amp;$C$1+1
)
)</f>
        <v>0</v>
      </c>
      <c r="G28" s="19">
        <f>SUM(
COUNTIFS(
'BA BackOffice'!$D:$D,"Incident",
'BA BackOffice'!$C:$C,"Apex",
'BA BackOffice'!$G:$G,1,
'BA BackOffice'!$I:$I,"Closed",
'BA BackOffice'!$AI:$AI,"NO",
'BA BackOffice'!$AJ:$AJ,"NO",
'BA BackOffice'!$U:$U,"No",
'BA BackOffice'!$N:$N,"&gt;="&amp;$B$1,
'BA BackOffice'!$N:$N,"&lt;"&amp;$C$1+1
),
COUNTIFS(
'BA BackOffice'!$D:$D,"Incident",
'BA BackOffice'!$C:$C,"Apex",
'BA BackOffice'!$G:$G,1,
'BA BackOffice'!$I:$I,"Triaged",
'BA BackOffice'!$AI:$AI,"NO",
'BA BackOffice'!$AJ:$AJ,"NO",
'BA BackOffice'!$U:$U,"No",
'BA BackOffice'!$N:$N,"&gt;="&amp;$B$1,
'BA BackOffice'!$N:$N,"&lt;"&amp;$C$1+1
)
)</f>
        <v>0</v>
      </c>
      <c r="H28" s="19">
        <f>SUM(
COUNTIFS(
'BA BackOffice'!$D:$D,"Incident",
'BA BackOffice'!$C:$C,"Apex",
'BA BackOffice'!$G:$G,2,
'BA BackOffice'!$I:$I,"Closed",
'BA BackOffice'!$U:$U,"NO",
'BA BackOffice'!$N:$N,"&gt;="&amp;$B$1,
'BA BackOffice'!$N:$N,"&lt;"&amp;$C$1+1
),
COUNTIFS(
'BA BackOffice'!$D:$D,"Incident",
'BA BackOffice'!$C:$C,"Apex",
'BA BackOffice'!$G:$G,2,
'BA BackOffice'!$I:$I,"Triaged",
'BA BackOffice'!$U:$U,"NO",
'BA BackOffice'!$N:$N,"&gt;="&amp;$B$1,
'BA BackOffice'!$N:$N,"&lt;"&amp;$C$1+1
)
)</f>
        <v>0</v>
      </c>
      <c r="I28" s="19">
        <f>SUM(
COUNTIFS(
'BA BackOffice'!$D:$D,"Incident",
'BA BackOffice'!$C:$C,"Apex",
'BA BackOffice'!$G:$G,2,
'BA BackOffice'!$I:$I,"Closed",
'BA BackOffice'!$AI:$AI,"YES",
'BA BackOffice'!$U:$U,"No",
'BA BackOffice'!$N:$N,"&gt;="&amp;$B$1,
'BA BackOffice'!$N:$N,"&lt;"&amp;$C$1+1
),
COUNTIFS(
'BA BackOffice'!$D:$D,"Incident",
'BA BackOffice'!$C:$C,"Apex",
'BA BackOffice'!$G:$G,2,
'BA BackOffice'!$I:$I,"Triaged",
'BA BackOffice'!$AI:$AI,"YES",
'BA BackOffice'!$U:$U,"No",
'BA BackOffice'!$N:$N,"&gt;="&amp;$B$1,
'BA BackOffice'!$N:$N,"&lt;"&amp;$C$1+1
)
)</f>
        <v>0</v>
      </c>
      <c r="J28" s="19">
        <f>SUM(
COUNTIFS(
'BA BackOffice'!$D:$D,"Incident",
'BA BackOffice'!$C:$C,"Apex",
'BA BackOffice'!$G:$G,2,
'BA BackOffice'!$I:$I,"Closed",
'BA BackOffice'!$AJ:$AJ,"YES",
'BA BackOffice'!$U:$U,"No",
'BA BackOffice'!$N:$N,"&gt;="&amp;$B$1,
'BA BackOffice'!$N:$N,"&lt;"&amp;$C$1+1
),
COUNTIFS(
'BA BackOffice'!$D:$D,"Incident",
'BA BackOffice'!$C:$C,"Apex",
'BA BackOffice'!$G:$G,2,
'BA BackOffice'!$I:$I,"Triaged",
'BA BackOffice'!$AJ:$AJ,"YES",
'BA BackOffice'!$U:$U,"No",
'BA BackOffice'!$N:$N,"&gt;="&amp;$B$1,
'BA BackOffice'!$N:$N,"&lt;"&amp;$C$1+1
)
)</f>
        <v>0</v>
      </c>
      <c r="K28" s="19">
        <f>SUM(
COUNTIFS(
'BA BackOffice'!$D:$D,"Incident",
'BA BackOffice'!$C:$C,"Apex",
'BA BackOffice'!$G:$G,2,
'BA BackOffice'!$I:$I,"Closed",
'BA BackOffice'!$AI:$AI,"NO",
'BA BackOffice'!$AJ:$AJ,"NO",
'BA BackOffice'!$U:$U,"No",
'BA BackOffice'!$N:$N,"&gt;="&amp;$B$1,
'BA BackOffice'!$N:$N,"&lt;"&amp;$C$1+1
),
COUNTIFS(
'BA BackOffice'!$D:$D,"Incident",
'BA BackOffice'!$C:$C,"Apex",
'BA BackOffice'!$G:$G,2,
'BA BackOffice'!$I:$I,"Triaged",
'BA BackOffice'!$AI:$AI,"NO",
'BA BackOffice'!$AJ:$AJ,"NO",
'BA BackOffice'!$U:$U,"No",
'BA BackOffice'!$N:$N,"&gt;="&amp;$B$1,
'BA BackOffice'!$N:$N,"&lt;"&amp;$C$1+1
)
)</f>
        <v>0</v>
      </c>
      <c r="L28" s="19">
        <f>SUM(
COUNTIFS(
'BA BackOffice'!$D:$D,"Incident",
'BA BackOffice'!$C:$C,"Apex",
'BA BackOffice'!$G:$G,3,
'BA BackOffice'!$I:$I,"Closed",
'BA BackOffice'!$U:$U,"NO",
'BA BackOffice'!$N:$N,"&gt;="&amp;$B$1,
'BA BackOffice'!$N:$N,"&lt;"&amp;$C$1+1
),
COUNTIFS(
'BA BackOffice'!$D:$D,"Incident",
'BA BackOffice'!$C:$C,"Apex",
'BA BackOffice'!$G:$G,3,
'BA BackOffice'!$I:$I,"Triaged",
'BA BackOffice'!$U:$U,"NO",
'BA BackOffice'!$N:$N,"&gt;="&amp;$B$1,
'BA BackOffice'!$N:$N,"&lt;"&amp;$C$1+1
)
)</f>
        <v>0</v>
      </c>
      <c r="M28" s="19">
        <f ca="1">SUM(
COUNTIFS(
'BA BackOffice'!$D:$D,"Incident",
'BA BackOffice'!$C:$C,"Apex",
'BA BackOffice'!$G:$G,3,
'BA BackOffice'!$I:$I,"Closed",
'BA BackOffice'!$AI:$AI,"YES",
'BA BackOffice'!$U:$U,"No",
'BA BackOffice'!$N:$N,"&gt;="&amp;$B$1,
'BA BackOffice'!$N:$N,"&lt;"&amp;$C$1+1
),
COUNTIFS(
'BA BackOffice'!$D:$D,"Incident",
'BA BackOffice'!$C:$C,"Apex",
'BA BackOffice'!$G:$G,3,
'BA BackOffice'!$I:$I,"Triaged",
'BA BackOffice'!$AI:$AI,"YES",
'BA BackOffice'!$U:$U,"No",
'BA BackOffice'!$N:$N,"&gt;="&amp;$B$1,
'BA BackOffice'!$N:$N,"&lt;"&amp;$C$1+1
)
)</f>
        <v>0</v>
      </c>
      <c r="N28" s="19">
        <f ca="1">SUM(
COUNTIFS(
'BA BackOffice'!$D:$D,"Incident",
'BA BackOffice'!$C:$C,"Apex",
'BA BackOffice'!$G:$G,3,
'BA BackOffice'!$I:$I,"Closed",
'BA BackOffice'!$AJ:$AJ,"YES",
'BA BackOffice'!$U:$U,"No",
'BA BackOffice'!$N:$N,"&gt;="&amp;$B$1,
'BA BackOffice'!$N:$N,"&lt;"&amp;$C$1+1
),
COUNTIFS(
'BA BackOffice'!$D:$D,"Incident",
'BA BackOffice'!$C:$C,"Apex",
'BA BackOffice'!$G:$G,3,
'BA BackOffice'!$I:$I,"Triaged",
'BA BackOffice'!$AJ:$AJ,"YES",
'BA BackOffice'!$U:$U,"No",
'BA BackOffice'!$N:$N,"&gt;="&amp;$B$1,
'BA BackOffice'!$N:$N,"&lt;"&amp;$C$1+1
)
)</f>
        <v>0</v>
      </c>
      <c r="O28" s="19">
        <f ca="1">SUM(
COUNTIFS(
'BA BackOffice'!$D:$D,"Incident",
'BA BackOffice'!$C:$C,"Apex",
'BA BackOffice'!$G:$G,3,
'BA BackOffice'!$I:$I,"Closed",
'BA BackOffice'!$AI:$AI,"NO",
'BA BackOffice'!$AJ:$AJ,"NO",
'BA BackOffice'!$U:$U,"No",
'BA BackOffice'!$N:$N,"&gt;="&amp;$B$1,
'BA BackOffice'!$N:$N,"&lt;"&amp;$C$1+1
),
COUNTIFS(
'BA BackOffice'!$D:$D,"Incident",
'BA BackOffice'!$C:$C,"Apex",
'BA BackOffice'!$G:$G,3,
'BA BackOffice'!$I:$I,"Triaged",
'BA BackOffice'!$AI:$AI,"NO",
'BA BackOffice'!$AJ:$AJ,"NO",
'BA BackOffice'!$U:$U,"No",
'BA BackOffice'!$N:$N,"&gt;="&amp;$B$1,
'BA BackOffice'!$N:$N,"&lt;"&amp;$C$1+1
)
)</f>
        <v>0</v>
      </c>
      <c r="P28" s="19">
        <f>SUM(
COUNTIFS(
'BA BackOffice'!$D:$D,"Incident",
'BA BackOffice'!$C:$C,"Apex",
'BA BackOffice'!$G:$G,4,
'BA BackOffice'!$I:$I,"Closed",
'BA BackOffice'!$U:$U,"NO",
'BA BackOffice'!$N:$N,"&gt;="&amp;$B$1,
'BA BackOffice'!$N:$N,"&lt;"&amp;$C$1+1
),
COUNTIFS(
'BA BackOffice'!$D:$D,"Incident",
'BA BackOffice'!$C:$C,"Apex",
'BA BackOffice'!$G:$G,4,
'BA BackOffice'!$I:$I,"Triaged",
'BA BackOffice'!$U:$U,"NO",
'BA BackOffice'!$N:$N,"&gt;="&amp;$B$1,
'BA BackOffice'!$N:$N,"&lt;"&amp;$C$1+1
)
)</f>
        <v>0</v>
      </c>
      <c r="Q28" s="19">
        <f ca="1">SUM(
COUNTIFS(
'BA BackOffice'!$D:$D,"Incident",
'BA BackOffice'!$C:$C,"Apex",
'BA BackOffice'!$G:$G,4,
'BA BackOffice'!$I:$I,"Closed",
'BA BackOffice'!$AI:$AI,"YES",
'BA BackOffice'!$U:$U,"No",
'BA BackOffice'!$N:$N,"&gt;="&amp;$B$1,
'BA BackOffice'!$N:$N,"&lt;"&amp;$C$1+1
),
COUNTIFS(
'BA BackOffice'!$D:$D,"Incident",
'BA BackOffice'!$C:$C,"Apex",
'BA BackOffice'!$G:$G,4,
'BA BackOffice'!$I:$I,"Triaged",
'BA BackOffice'!$AI:$AI,"YES",
'BA BackOffice'!$U:$U,"No",
'BA BackOffice'!$N:$N,"&gt;="&amp;$B$1,
'BA BackOffice'!$N:$N,"&lt;"&amp;$C$1+1
)
)</f>
        <v>0</v>
      </c>
      <c r="R28" s="19">
        <f ca="1">SUM(
COUNTIFS(
'BA BackOffice'!$D:$D,"Incident",
'BA BackOffice'!$C:$C,"Apex",
'BA BackOffice'!$G:$G,4,
'BA BackOffice'!$I:$I,"Closed",
'BA BackOffice'!$AJ:$AJ,"YES",
'BA BackOffice'!$U:$U,"No",
'BA BackOffice'!$N:$N,"&gt;="&amp;$B$1,
'BA BackOffice'!$N:$N,"&lt;"&amp;$C$1+1
),
COUNTIFS(
'BA BackOffice'!$D:$D,"Incident",
'BA BackOffice'!$C:$C,"Apex",
'BA BackOffice'!$G:$G,4,
'BA BackOffice'!$I:$I,"Triaged",
'BA BackOffice'!$AJ:$AJ,"YES",
'BA BackOffice'!$U:$U,"No",
'BA BackOffice'!$N:$N,"&gt;="&amp;$B$1,
'BA BackOffice'!$N:$N,"&lt;"&amp;$C$1+1
)
)</f>
        <v>0</v>
      </c>
      <c r="S28" s="19">
        <f ca="1">SUM(
COUNTIFS(
'BA BackOffice'!$D:$D,"Incident",
'BA BackOffice'!$C:$C,"Apex",
'BA BackOffice'!$G:$G,4,
'BA BackOffice'!$I:$I,"Closed",
'BA BackOffice'!$AI:$AI,"NO",
'BA BackOffice'!$AJ:$AJ,"NO",
'BA BackOffice'!$U:$U,"No",
'BA BackOffice'!$N:$N,"&gt;="&amp;$B$1,
'BA BackOffice'!$N:$N,"&lt;"&amp;$C$1+1
),
COUNTIFS(
'BA BackOffice'!$D:$D,"Incident",
'BA BackOffice'!$C:$C,"Apex",
'BA BackOffice'!$G:$G,4,
'BA BackOffice'!$I:$I,"Triaged",
'BA BackOffice'!$AI:$AI,"NO",
'BA BackOffice'!$AJ:$AJ,"NO",
'BA BackOffice'!$U:$U,"No",
'BA BackOffice'!$N:$N,"&gt;="&amp;$B$1,
'BA BackOffice'!$N:$N,"&lt;"&amp;$C$1+1
)
)</f>
        <v>0</v>
      </c>
    </row>
    <row r="29" spans="1:24" s="181" customFormat="1" ht="15" customHeight="1">
      <c r="A29" s="176"/>
      <c r="B29" s="177" t="s">
        <v>26</v>
      </c>
      <c r="C29" s="178" t="s">
        <v>33</v>
      </c>
      <c r="D29" s="179">
        <f>SUM(
COUNTIFS(
'BA BackOffice'!$D:$D,"Incident",
'BA BackOffice'!$C:$C,"TechTools",
'BA BackOffice'!$G:$G,1,
'BA BackOffice'!$I:$I,"Closed",
'BA BackOffice'!$U:$U,"NO",
'BA BackOffice'!$N:$N,"&gt;="&amp;$B$1,
'BA BackOffice'!$N:$N,"&lt;"&amp;$C$1+1
),
COUNTIFS(
'BA BackOffice'!$D:$D,"Incident",
'BA BackOffice'!$C:$C,"TechTools",
'BA BackOffice'!$G:$G,1,
'BA BackOffice'!$I:$I,"Triaged",
'BA BackOffice'!$U:$U,"NO",
'BA BackOffice'!$N:$N,"&gt;="&amp;$B$1,
'BA BackOffice'!$N:$N,"&lt;"&amp;$C$1+1
)
)</f>
        <v>0</v>
      </c>
      <c r="E29" s="180">
        <f>SUM(
COUNTIFS(
'BA BackOffice'!$D:$D,"Incident",
'BA BackOffice'!$C:$C,"TechTools",
'BA BackOffice'!$G:$G,1,
'BA BackOffice'!$I:$I,"Closed",
'BA BackOffice'!$AI:$AI,"YES",
'BA BackOffice'!$U:$U,"No",
'BA BackOffice'!$N:$N,"&gt;="&amp;$B$1,
'BA BackOffice'!$N:$N,"&lt;"&amp;$C$1+1
),
COUNTIFS(
'BA BackOffice'!$D:$D,"Incident",
'BA BackOffice'!$C:$C,"TechTools",
'BA BackOffice'!$G:$G,1,
'BA BackOffice'!$I:$I,"Triaged",
'BA BackOffice'!$AI:$AI,"YES",
'BA BackOffice'!$U:$U,"No",
'BA BackOffice'!$N:$N,"&gt;="&amp;$B$1,
'BA BackOffice'!$N:$N,"&lt;"&amp;$C$1+1
)
)</f>
        <v>0</v>
      </c>
      <c r="F29" s="180">
        <f>SUM(
COUNTIFS(
'BA BackOffice'!$D:$D,"Incident",
'BA BackOffice'!$C:$C,"TechTools",
'BA BackOffice'!$G:$G,1,
'BA BackOffice'!$I:$I,"Closed",
'BA BackOffice'!$AJ:$AJ,"YES",
'BA BackOffice'!$U:$U,"No",
'BA BackOffice'!$N:$N,"&gt;="&amp;$B$1,
'BA BackOffice'!$N:$N,"&lt;"&amp;$C$1+1
),
COUNTIFS(
'BA BackOffice'!$D:$D,"Incident",
'BA BackOffice'!$C:$C,"TechTools",
'BA BackOffice'!$G:$G,1,
'BA BackOffice'!$I:$I,"Triaged",
'BA BackOffice'!$AJ:$AJ,"YES",
'BA BackOffice'!$U:$U,"No",
'BA BackOffice'!$N:$N,"&gt;="&amp;$B$1,
'BA BackOffice'!$N:$N,"&lt;"&amp;$C$1+1
)
)</f>
        <v>0</v>
      </c>
      <c r="G29" s="180">
        <f>SUM(
COUNTIFS(
'BA BackOffice'!$D:$D,"Incident",
'BA BackOffice'!$C:$C,"TechTools",
'BA BackOffice'!$G:$G,1,
'BA BackOffice'!$I:$I,"Closed",
'BA BackOffice'!$AI:$AI,"NO",
'BA BackOffice'!$AJ:$AJ,"NO",
'BA BackOffice'!$U:$U,"No",
'BA BackOffice'!$N:$N,"&gt;="&amp;$B$1,
'BA BackOffice'!$N:$N,"&lt;"&amp;$C$1+1
),
COUNTIFS(
'BA BackOffice'!$D:$D,"Incident",
'BA BackOffice'!$C:$C,"TechTools",
'BA BackOffice'!$G:$G,1,
'BA BackOffice'!$I:$I,"Triaged",
'BA BackOffice'!$AI:$AI,"NO",
'BA BackOffice'!$AJ:$AJ,"NO",
'BA BackOffice'!$U:$U,"No",
'BA BackOffice'!$N:$N,"&gt;="&amp;$B$1,
'BA BackOffice'!$N:$N,"&lt;"&amp;$C$1+1
)
)</f>
        <v>0</v>
      </c>
      <c r="H29" s="180">
        <f>SUM(
COUNTIFS(
'BA BackOffice'!$D:$D,"Incident",
'BA BackOffice'!$C:$C,"TechTools",
'BA BackOffice'!$G:$G,2,
'BA BackOffice'!$I:$I,"Closed",
'BA BackOffice'!$U:$U,"NO",
'BA BackOffice'!$N:$N,"&gt;="&amp;$B$1,
'BA BackOffice'!$N:$N,"&lt;"&amp;$C$1+1
),
COUNTIFS(
'BA BackOffice'!$D:$D,"Incident",
'BA BackOffice'!$C:$C,"TechTools",
'BA BackOffice'!$G:$G,2,
'BA BackOffice'!$I:$I,"Triaged",
'BA BackOffice'!$U:$U,"NO",
'BA BackOffice'!$N:$N,"&gt;="&amp;$B$1,
'BA BackOffice'!$N:$N,"&lt;"&amp;$C$1+1
)
)</f>
        <v>0</v>
      </c>
      <c r="I29" s="180">
        <f>SUM(
COUNTIFS(
'BA BackOffice'!$D:$D,"Incident",
'BA BackOffice'!$C:$C,"TechTools",
'BA BackOffice'!$G:$G,2,
'BA BackOffice'!$I:$I,"Closed",
'BA BackOffice'!$AI:$AI,"YES",
'BA BackOffice'!$U:$U,"No",
'BA BackOffice'!$N:$N,"&gt;="&amp;$B$1,
'BA BackOffice'!$N:$N,"&lt;"&amp;$C$1+1
),
COUNTIFS(
'BA BackOffice'!$D:$D,"Incident",
'BA BackOffice'!$C:$C,"TechTools",
'BA BackOffice'!$G:$G,2,
'BA BackOffice'!$I:$I,"Triaged",
'BA BackOffice'!$AI:$AI,"YES",
'BA BackOffice'!$U:$U,"No",
'BA BackOffice'!$N:$N,"&gt;="&amp;$B$1,
'BA BackOffice'!$N:$N,"&lt;"&amp;$C$1+1
)
)</f>
        <v>0</v>
      </c>
      <c r="J29" s="180">
        <f>SUM(
COUNTIFS(
'BA BackOffice'!$D:$D,"Incident",
'BA BackOffice'!$C:$C,"TechTools",
'BA BackOffice'!$G:$G,2,
'BA BackOffice'!$I:$I,"Closed",
'BA BackOffice'!$AJ:$AJ,"YES",
'BA BackOffice'!$U:$U,"No",
'BA BackOffice'!$N:$N,"&gt;="&amp;$B$1,
'BA BackOffice'!$N:$N,"&lt;"&amp;$C$1+1
),
COUNTIFS(
'BA BackOffice'!$D:$D,"Incident",
'BA BackOffice'!$C:$C,"TechTools",
'BA BackOffice'!$G:$G,2,
'BA BackOffice'!$I:$I,"Triaged",
'BA BackOffice'!$AJ:$AJ,"YES",
'BA BackOffice'!$U:$U,"No",
'BA BackOffice'!$N:$N,"&gt;="&amp;$B$1,
'BA BackOffice'!$N:$N,"&lt;"&amp;$C$1+1
)
)</f>
        <v>0</v>
      </c>
      <c r="K29" s="180">
        <f>SUM(
COUNTIFS(
'BA BackOffice'!$D:$D,"Incident",
'BA BackOffice'!$C:$C,"TechTools",
'BA BackOffice'!$G:$G,2,
'BA BackOffice'!$I:$I,"Closed",
'BA BackOffice'!$AI:$AI,"NO",
'BA BackOffice'!$AJ:$AJ,"NO",
'BA BackOffice'!$U:$U,"No",
'BA BackOffice'!$N:$N,"&gt;="&amp;$B$1,
'BA BackOffice'!$N:$N,"&lt;"&amp;$C$1+1
),
COUNTIFS(
'BA BackOffice'!$D:$D,"Incident",
'BA BackOffice'!$C:$C,"TechTools",
'BA BackOffice'!$G:$G,2,
'BA BackOffice'!$I:$I,"Triaged",
'BA BackOffice'!$AI:$AI,"NO",
'BA BackOffice'!$AJ:$AJ,"NO",
'BA BackOffice'!$U:$U,"No",
'BA BackOffice'!$N:$N,"&gt;="&amp;$B$1,
'BA BackOffice'!$N:$N,"&lt;"&amp;$C$1+1
)
)</f>
        <v>0</v>
      </c>
      <c r="L29" s="180">
        <f>SUM(
COUNTIFS(
'BA BackOffice'!$D:$D,"Incident",
'BA BackOffice'!$C:$C,"TechTools",
'BA BackOffice'!$G:$G,3,
'BA BackOffice'!$I:$I,"Closed",
'BA BackOffice'!$U:$U,"NO",
'BA BackOffice'!$N:$N,"&gt;="&amp;$B$1,
'BA BackOffice'!$N:$N,"&lt;"&amp;$C$1+1
),
COUNTIFS(
'BA BackOffice'!$D:$D,"Incident",
'BA BackOffice'!$C:$C,"TechTools",
'BA BackOffice'!$G:$G,3,
'BA BackOffice'!$I:$I,"Triaged",
'BA BackOffice'!$U:$U,"NO",
'BA BackOffice'!$N:$N,"&gt;="&amp;$B$1,
'BA BackOffice'!$N:$N,"&lt;"&amp;$C$1+1
)
)</f>
        <v>8</v>
      </c>
      <c r="M29" s="180">
        <f ca="1">SUM(
COUNTIFS(
'BA BackOffice'!$D:$D,"Incident",
'BA BackOffice'!$C:$C,"TechTools",
'BA BackOffice'!$G:$G,3,
'BA BackOffice'!$I:$I,"Closed",
'BA BackOffice'!$AI:$AI,"YES",
'BA BackOffice'!$U:$U,"No",
'BA BackOffice'!$N:$N,"&gt;="&amp;$B$1,
'BA BackOffice'!$N:$N,"&lt;"&amp;$C$1+1
),
COUNTIFS(
'BA BackOffice'!$D:$D,"Incident",
'BA BackOffice'!$C:$C,"TechTools",
'BA BackOffice'!$G:$G,3,
'BA BackOffice'!$I:$I,"Triaged",
'BA BackOffice'!$AI:$AI,"YES",
'BA BackOffice'!$U:$U,"No",
'BA BackOffice'!$N:$N,"&gt;="&amp;$B$1,
'BA BackOffice'!$N:$N,"&lt;"&amp;$C$1+1
)
)</f>
        <v>5</v>
      </c>
      <c r="N29" s="180">
        <f ca="1">SUM(
COUNTIFS(
'BA BackOffice'!$D:$D,"Incident",
'BA BackOffice'!$C:$C,"TechTools",
'BA BackOffice'!$G:$G,3,
'BA BackOffice'!$I:$I,"Closed",
'BA BackOffice'!$AJ:$AJ,"YES",
'BA BackOffice'!$U:$U,"No",
'BA BackOffice'!$N:$N,"&gt;="&amp;$B$1,
'BA BackOffice'!$N:$N,"&lt;"&amp;$C$1+1
),
COUNTIFS(
'BA BackOffice'!$D:$D,"Incident",
'BA BackOffice'!$C:$C,"TechTools",
'BA BackOffice'!$G:$G,3,
'BA BackOffice'!$I:$I,"Triaged",
'BA BackOffice'!$AJ:$AJ,"YES",
'BA BackOffice'!$U:$U,"No",
'BA BackOffice'!$N:$N,"&gt;="&amp;$B$1,
'BA BackOffice'!$N:$N,"&lt;"&amp;$C$1+1
)
)</f>
        <v>6</v>
      </c>
      <c r="O29" s="180">
        <f ca="1">SUM(
COUNTIFS(
'BA BackOffice'!$D:$D,"Incident",
'BA BackOffice'!$C:$C,"TechTools",
'BA BackOffice'!$G:$G,3,
'BA BackOffice'!$I:$I,"Closed",
'BA BackOffice'!$AI:$AI,"NO",
'BA BackOffice'!$AJ:$AJ,"NO",
'BA BackOffice'!$U:$U,"No",
'BA BackOffice'!$N:$N,"&gt;="&amp;$B$1,
'BA BackOffice'!$N:$N,"&lt;"&amp;$C$1+1
),
COUNTIFS(
'BA BackOffice'!$D:$D,"Incident",
'BA BackOffice'!$C:$C,"TechTools",
'BA BackOffice'!$G:$G,3,
'BA BackOffice'!$I:$I,"Triaged",
'BA BackOffice'!$AI:$AI,"NO",
'BA BackOffice'!$AJ:$AJ,"NO",
'BA BackOffice'!$U:$U,"No",
'BA BackOffice'!$N:$N,"&gt;="&amp;$B$1,
'BA BackOffice'!$N:$N,"&lt;"&amp;$C$1+1
)
)</f>
        <v>2</v>
      </c>
      <c r="P29" s="180">
        <f>SUM(
COUNTIFS(
'BA BackOffice'!$D:$D,"Incident",
'BA BackOffice'!$C:$C,"TechTools",
'BA BackOffice'!$G:$G,4,
'BA BackOffice'!$I:$I,"Closed",
'BA BackOffice'!$U:$U,"NO",
'BA BackOffice'!$N:$N,"&gt;="&amp;$B$1,
'BA BackOffice'!$N:$N,"&lt;"&amp;$C$1+1
),
COUNTIFS(
'BA BackOffice'!$D:$D,"Incident",
'BA BackOffice'!$C:$C,"TechTools",
'BA BackOffice'!$G:$G,4,
'BA BackOffice'!$I:$I,"Triaged",
'BA BackOffice'!$U:$U,"NO",
'BA BackOffice'!$N:$N,"&gt;="&amp;$B$1,
'BA BackOffice'!$N:$N,"&lt;"&amp;$C$1+1
)
)</f>
        <v>7</v>
      </c>
      <c r="Q29" s="180">
        <f ca="1">SUM(
COUNTIFS(
'BA BackOffice'!$D:$D,"Incident",
'BA BackOffice'!$C:$C,"TechTools",
'BA BackOffice'!$G:$G,4,
'BA BackOffice'!$I:$I,"Closed",
'BA BackOffice'!$AI:$AI,"YES",
'BA BackOffice'!$U:$U,"No",
'BA BackOffice'!$N:$N,"&gt;="&amp;$B$1,
'BA BackOffice'!$N:$N,"&lt;"&amp;$C$1+1
),
COUNTIFS(
'BA BackOffice'!$D:$D,"Incident",
'BA BackOffice'!$C:$C,"TechTools",
'BA BackOffice'!$G:$G,4,
'BA BackOffice'!$I:$I,"Triaged",
'BA BackOffice'!$AI:$AI,"YES",
'BA BackOffice'!$U:$U,"No",
'BA BackOffice'!$N:$N,"&gt;="&amp;$B$1,
'BA BackOffice'!$N:$N,"&lt;"&amp;$C$1+1
)
)</f>
        <v>7</v>
      </c>
      <c r="R29" s="180">
        <f ca="1">SUM(
COUNTIFS(
'BA BackOffice'!$D:$D,"Incident",
'BA BackOffice'!$C:$C,"TechTools",
'BA BackOffice'!$G:$G,4,
'BA BackOffice'!$I:$I,"Closed",
'BA BackOffice'!$AJ:$AJ,"YES",
'BA BackOffice'!$U:$U,"No",
'BA BackOffice'!$N:$N,"&gt;="&amp;$B$1,
'BA BackOffice'!$N:$N,"&lt;"&amp;$C$1+1
),
COUNTIFS(
'BA BackOffice'!$D:$D,"Incident",
'BA BackOffice'!$C:$C,"TechTools",
'BA BackOffice'!$G:$G,4,
'BA BackOffice'!$I:$I,"Triaged",
'BA BackOffice'!$AJ:$AJ,"YES",
'BA BackOffice'!$U:$U,"No",
'BA BackOffice'!$N:$N,"&gt;="&amp;$B$1,
'BA BackOffice'!$N:$N,"&lt;"&amp;$C$1+1
)
)</f>
        <v>7</v>
      </c>
      <c r="S29" s="180">
        <f ca="1">SUM(
COUNTIFS(
'BA BackOffice'!$D:$D,"Incident",
'BA BackOffice'!$C:$C,"TechTools",
'BA BackOffice'!$G:$G,4,
'BA BackOffice'!$I:$I,"Closed",
'BA BackOffice'!$AI:$AI,"NO",
'BA BackOffice'!$AJ:$AJ,"NO",
'BA BackOffice'!$U:$U,"No",
'BA BackOffice'!$N:$N,"&gt;="&amp;$B$1,
'BA BackOffice'!$N:$N,"&lt;"&amp;$C$1+1
),
COUNTIFS(
'BA BackOffice'!$D:$D,"Incident",
'BA BackOffice'!$C:$C,"TechTools",
'BA BackOffice'!$G:$G,4,
'BA BackOffice'!$I:$I,"Triaged",
'BA BackOffice'!$AI:$AI,"NO",
'BA BackOffice'!$AJ:$AJ,"NO",
'BA BackOffice'!$U:$U,"No",
'BA BackOffice'!$N:$N,"&gt;="&amp;$B$1,
'BA BackOffice'!$N:$N,"&lt;"&amp;$C$1+1
)
)</f>
        <v>0</v>
      </c>
    </row>
    <row r="30" spans="1:24" s="181" customFormat="1" ht="15" customHeight="1">
      <c r="A30" s="176"/>
      <c r="B30" s="177" t="s">
        <v>26</v>
      </c>
      <c r="C30" s="178" t="s">
        <v>35</v>
      </c>
      <c r="D30" s="179">
        <f>SUM(
COUNTIFS(
'BA AO'!$D:$D,"Incident",
'BA AO'!$G:$G,1,
'BA AO'!$I:$I,"Closed",
'BA AO'!$U:$U,"NO",
'BA AO'!$N:$N,"&gt;="&amp;$B$1,
'BA AO'!$N:$N,"&lt;"&amp;$C$1+1
),
COUNTIFS(
'BA AO'!$D:$D,"Incident",
'BA AO'!$G:$G,1,
'BA AO'!$I:$I,"Triaged",
'BA AO'!$U:$U,"NO",
'BA AO'!$N:$N,"&gt;="&amp;$B$1,
'BA AO'!$N:$N,"&lt;"&amp;$C$1+1
)
)</f>
        <v>0</v>
      </c>
      <c r="E30" s="180">
        <f>SUM(
COUNTIFS(
'BA AO'!$D:$D,"Incident",
'BA AO'!$G:$G,1,
'BA AO'!$I:$I,"Closed",
'BA AO'!$AI:$AI,"YES",
'BA AO'!$U:$U,"No",
'BA AO'!$N:$N,"&gt;="&amp;$B$1,
'BA AO'!$N:$N,"&lt;"&amp;$C$1+1
),
COUNTIFS(
'BA AO'!$D:$D,"Incident",
'BA AO'!$G:$G,1,
'BA AO'!$I:$I,"Triaged",
'BA AO'!$AI:$AI,"YES",
'BA AO'!$U:$U,"No",
'BA AO'!$N:$N,"&gt;="&amp;$B$1,
'BA AO'!$N:$N,"&lt;"&amp;$C$1+1
)
)</f>
        <v>0</v>
      </c>
      <c r="F30" s="180">
        <f ca="1">SUM(
COUNTIFS(
'BA AO'!$D:$D,"Incident",
'BA AO'!$G:$G,1,
'BA AO'!$I:$I,"Closed",
'BA AO'!$AJ:$AJ,"YES",
'BA AO'!$U:$U,"No",
'BA AO'!$N:$N,"&gt;="&amp;$B$1,
'BA AO'!$N:$N,"&lt;"&amp;$C$1+1
),
COUNTIFS(
'BA AO'!$D:$D,"Incident",
'BA AO'!$G:$G,1,
'BA AO'!$I:$I,"Triaged",
'BA AO'!$AJ:$AJ,"YES",
'BA AO'!$U:$U,"No",
'BA AO'!$N:$N,"&gt;="&amp;$B$1,
'BA AO'!$N:$N,"&lt;"&amp;$C$1+1
)
)</f>
        <v>0</v>
      </c>
      <c r="G30" s="180">
        <f ca="1">SUM(
COUNTIFS(
'BA AO'!$D:$D,"Incident",
'BA AO'!$G:$G,1,
'BA AO'!$I:$I,"Closed",
'BA AO'!$AI:$AI,"NO",
'BA AO'!$AJ:$AJ,"NO",
'BA AO'!$U:$U,"No",
'BA AO'!$N:$N,"&gt;="&amp;$B$1,
'BA AO'!$N:$N,"&lt;"&amp;$C$1+1
),
COUNTIFS(
'BA AO'!$D:$D,"Incident",
'BA AO'!$G:$G,1,
'BA AO'!$I:$I,"Triaged",
'BA AO'!$AI:$AI,"NO",
'BA AO'!$AJ:$AJ,"NO",
'BA AO'!$U:$U,"No",
'BA AO'!$N:$N,"&gt;="&amp;$B$1,
'BA AO'!$N:$N,"&lt;"&amp;$C$1+1
)
)</f>
        <v>0</v>
      </c>
      <c r="H30" s="180">
        <f>SUM(
COUNTIFS(
'BA AO'!$D:$D,"Incident",
'BA AO'!$G:$G,2,
'BA AO'!$I:$I,"Closed",
'BA AO'!$U:$U,"NO",
'BA AO'!$N:$N,"&gt;="&amp;$B$1,
'BA AO'!$N:$N,"&lt;"&amp;$C$1+1
),
COUNTIFS(
'BA AO'!$D:$D,"Incident",
'BA AO'!$G:$G,2,
'BA AO'!$I:$I,"Triaged",
'BA AO'!$U:$U,"NO",
'BA AO'!$N:$N,"&gt;="&amp;$B$1,
'BA AO'!$N:$N,"&lt;"&amp;$C$1+1
)
)</f>
        <v>0</v>
      </c>
      <c r="I30" s="180">
        <f>SUM(
COUNTIFS(
'BA AO'!$D:$D,"Incident",
'BA AO'!$G:$G,2,
'BA AO'!$I:$I,"Closed",
'BA AO'!$AI:$AI,"YES",
'BA AO'!$U:$U,"No",
'BA AO'!$N:$N,"&gt;="&amp;$B$1,
'BA AO'!$N:$N,"&lt;"&amp;$C$1+1
),
COUNTIFS(
'BA AO'!$D:$D,"Incident",
'BA AO'!$G:$G,2,
'BA AO'!$I:$I,"Triaged",
'BA AO'!$AI:$AI,"YES",
'BA AO'!$U:$U,"No",
'BA AO'!$N:$N,"&gt;="&amp;$B$1,
'BA AO'!$N:$N,"&lt;"&amp;$C$1+1
)
)</f>
        <v>0</v>
      </c>
      <c r="J30" s="180">
        <f ca="1">SUM(
COUNTIFS(
'BA AO'!$D:$D,"Incident",
'BA AO'!$G:$G,2,
'BA AO'!$I:$I,"Closed",
'BA AO'!$AJ:$AJ,"YES",
'BA AO'!$U:$U,"No",
'BA AO'!$N:$N,"&gt;="&amp;$B$1,
'BA AO'!$N:$N,"&lt;"&amp;$C$1+1
),
COUNTIFS(
'BA AO'!$D:$D,"Incident",
'BA AO'!$G:$G,2,
'BA AO'!$I:$I,"Triaged",
'BA AO'!$AJ:$AJ,"YES",
'BA AO'!$U:$U,"No",
'BA AO'!$N:$N,"&gt;="&amp;$B$1,
'BA AO'!$N:$N,"&lt;"&amp;$C$1+1
)
)</f>
        <v>0</v>
      </c>
      <c r="K30" s="180">
        <f>SUM(
COUNTIFS(
'BA AO'!$D:$D,"Incident",
'BA AO'!$G:$G,2,
'BA AO'!$I:$I,"Closed",
'BA AO'!$AI:$AI,"NO",
'BA AO'!$AJ:$AJ,"NO",
'BA AO'!$U:$U,"No",
'BA AO'!$N:$N,"&gt;="&amp;$B$1,
'BA AO'!$N:$N,"&lt;"&amp;$C$1+1
),
COUNTIFS(
'BA AO'!$D:$D,"Incident",
'BA AO'!$G:$G,2,
'BA AO'!$I:$I,"Triaged",
'BA AO'!$AI:$AI,"NO",
'BA AO'!$AJ:$AJ,"NO",
'BA AO'!$U:$U,"No",
'BA AO'!$N:$N,"&gt;="&amp;$B$1,
'BA AO'!$N:$N,"&lt;"&amp;$C$1+1
)
)</f>
        <v>0</v>
      </c>
      <c r="L30" s="180">
        <f>SUM(
COUNTIFS(
'BA AO'!$D:$D,"Incident",
'BA AO'!$G:$G,3,
'BA AO'!$I:$I,"Closed",
'BA AO'!$U:$U,"NO",
'BA AO'!$N:$N,"&gt;="&amp;$B$1,
'BA AO'!$N:$N,"&lt;"&amp;$C$1+1
),
COUNTIFS(
'BA AO'!$D:$D,"Incident",
'BA AO'!$G:$G,3,
'BA AO'!$I:$I,"Triaged",
'BA AO'!$U:$U,"NO",
'BA AO'!$N:$N,"&gt;="&amp;$B$1,
'BA AO'!$N:$N,"&lt;"&amp;$C$1+1
)
)</f>
        <v>2</v>
      </c>
      <c r="M30" s="180">
        <f ca="1">SUM(
COUNTIFS(
'BA AO'!$D:$D,"Incident",
'BA AO'!$G:$G,3,
'BA AO'!$I:$I,"Closed",
'BA AO'!$AI:$AI,"YES",
'BA AO'!$U:$U,"No",
'BA AO'!$N:$N,"&gt;="&amp;$B$1,
'BA AO'!$N:$N,"&lt;"&amp;$C$1+1
),
COUNTIFS(
'BA AO'!$D:$D,"Incident",
'BA AO'!$G:$G,3,
'BA AO'!$I:$I,"Triaged",
'BA AO'!$AI:$AI,"YES",
'BA AO'!$U:$U,"No",
'BA AO'!$N:$N,"&gt;="&amp;$B$1,
'BA AO'!$N:$N,"&lt;"&amp;$C$1+1
)
)</f>
        <v>0</v>
      </c>
      <c r="N30" s="180">
        <f ca="1">SUM(
COUNTIFS(
'BA AO'!$D:$D,"Incident",
'BA AO'!$G:$G,3,
'BA AO'!$I:$I,"Closed",
'BA AO'!$AJ:$AJ,"YES",
'BA AO'!$U:$U,"No",
'BA AO'!$N:$N,"&gt;="&amp;$B$1,
'BA AO'!$N:$N,"&lt;"&amp;$C$1+1
),
COUNTIFS(
'BA AO'!$D:$D,"Incident",
'BA AO'!$G:$G,3,
'BA AO'!$I:$I,"Triaged",
'BA AO'!$AJ:$AJ,"YES",
'BA AO'!$U:$U,"No",
'BA AO'!$N:$N,"&gt;="&amp;$B$1,
'BA AO'!$N:$N,"&lt;"&amp;$C$1+1
)
)</f>
        <v>0</v>
      </c>
      <c r="O30" s="180">
        <f ca="1">SUM(
COUNTIFS(
'BA AO'!$D:$D,"Incident",
'BA AO'!$G:$G,3,
'BA AO'!$I:$I,"Closed",
'BA AO'!$AI:$AI,"NO",
'BA AO'!$AJ:$AJ,"NO",
'BA AO'!$U:$U,"No",
'BA AO'!$N:$N,"&gt;="&amp;$B$1,
'BA AO'!$N:$N,"&lt;"&amp;$C$1+1
),
COUNTIFS(
'BA AO'!$D:$D,"Incident",
'BA AO'!$G:$G,3,
'BA AO'!$I:$I,"Triaged",
'BA AO'!$AI:$AI,"NO",
'BA AO'!$AJ:$AJ,"NO",
'BA AO'!$U:$U,"No",
'BA AO'!$N:$N,"&gt;="&amp;$B$1,
'BA AO'!$N:$N,"&lt;"&amp;$C$1+1
)
)</f>
        <v>2</v>
      </c>
      <c r="P30" s="180">
        <f>SUM(
COUNTIFS(
'BA AO'!$D:$D,"Incident",
'BA AO'!$G:$G,4,
'BA AO'!$I:$I,"Closed",
'BA AO'!$U:$U,"NO",
'BA AO'!$N:$N,"&gt;="&amp;$B$1,
'BA AO'!$N:$N,"&lt;"&amp;$C$1+1
),
COUNTIFS(
'BA AO'!$D:$D,"Incident",
'BA AO'!$G:$G,4,
'BA AO'!$I:$I,"Triaged",
'BA AO'!$U:$U,"NO",
'BA AO'!$N:$N,"&gt;="&amp;$B$1,
'BA AO'!$N:$N,"&lt;"&amp;$C$1+1
)
)</f>
        <v>3</v>
      </c>
      <c r="Q30" s="180">
        <f ca="1">SUM(
COUNTIFS(
'BA AO'!$D:$D,"Incident",
'BA AO'!$G:$G,4,
'BA AO'!$I:$I,"Closed",
'BA AO'!$AI:$AI,"YES",
'BA AO'!$U:$U,"No",
'BA AO'!$N:$N,"&gt;="&amp;$B$1,
'BA AO'!$N:$N,"&lt;"&amp;$C$1+1
),
COUNTIFS(
'BA AO'!$D:$D,"Incident",
'BA AO'!$G:$G,4,
'BA AO'!$I:$I,"Triaged",
'BA AO'!$AI:$AI,"YES",
'BA AO'!$U:$U,"No",
'BA AO'!$N:$N,"&gt;="&amp;$B$1,
'BA AO'!$N:$N,"&lt;"&amp;$C$1+1
)
)</f>
        <v>2</v>
      </c>
      <c r="R30" s="180">
        <f ca="1">SUM(
COUNTIFS(
'BA AO'!$D:$D,"Incident",
'BA AO'!$G:$G,4,
'BA AO'!$I:$I,"Closed",
'BA AO'!$AJ:$AJ,"YES",
'BA AO'!$U:$U,"No",
'BA AO'!$N:$N,"&gt;="&amp;$B$1,
'BA AO'!$N:$N,"&lt;"&amp;$C$1+1
),
COUNTIFS(
'BA AO'!$D:$D,"Incident",
'BA AO'!$G:$G,4,
'BA AO'!$I:$I,"Triaged",
'BA AO'!$AJ:$AJ,"YES",
'BA AO'!$U:$U,"No",
'BA AO'!$N:$N,"&gt;="&amp;$B$1,
'BA AO'!$N:$N,"&lt;"&amp;$C$1+1
)
)</f>
        <v>2</v>
      </c>
      <c r="S30" s="180">
        <f ca="1">SUM(
COUNTIFS(
'BA AO'!$D:$D,"Incident",
'BA AO'!$G:$G,4,
'BA AO'!$I:$I,"Closed",
'BA AO'!$AI:$AI,"NO",
'BA AO'!$AJ:$AJ,"NO",
'BA AO'!$U:$U,"No",
'BA AO'!$N:$N,"&gt;="&amp;$B$1,
'BA AO'!$N:$N,"&lt;"&amp;$C$1+1
),
COUNTIFS(
'BA AO'!$D:$D,"Incident",
'BA AO'!$G:$G,4,
'BA AO'!$I:$I,"Triaged",
'BA AO'!$AI:$AI,"NO",
'BA AO'!$AJ:$AJ,"NO",
'BA AO'!$U:$U,"No",
'BA AO'!$N:$N,"&gt;="&amp;$B$1,
'BA AO'!$N:$N,"&lt;"&amp;$C$1+1
)
)</f>
        <v>1</v>
      </c>
    </row>
    <row r="31" spans="1:24" ht="15" customHeight="1">
      <c r="B31" s="139" t="s">
        <v>26</v>
      </c>
      <c r="C31" s="157" t="s">
        <v>37</v>
      </c>
      <c r="D31" s="81">
        <f>SUM(
COUNTIFS(
'BA Mobile'!$D:$D,"Incident",
'BA Mobile'!$G:$G,1,
'BA Mobile'!$I:$I,"Closed",
'BA Mobile'!$U:$U,"NO",
'BA Mobile'!$N:$N,"&gt;="&amp;$B$1,
'BA Mobile'!$N:$N,"&lt;"&amp;$C$1+1
),
COUNTIFS(
'BA Mobile'!$D:$D,"Incident",
'BA Mobile'!$G:$G,1,
'BA Mobile'!$I:$I,"Triaged",
'BA Mobile'!$U:$U,"NO",
'BA Mobile'!$N:$N,"&gt;="&amp;$B$1,
'BA Mobile'!$N:$N,"&lt;"&amp;$C$1+1
)
)</f>
        <v>0</v>
      </c>
      <c r="E31" s="19">
        <f>SUM(
COUNTIFS(
'BA Mobile'!$D:$D,"Incident",
'BA Mobile'!$G:$G,1,
'BA Mobile'!$I:$I,"Closed",
'BA Mobile'!$AI:$AI,"YES",
'BA Mobile'!$U:$U,"No",
'BA Mobile'!$N:$N,"&gt;="&amp;$B$1,
'BA Mobile'!$N:$N,"&lt;"&amp;$C$1+1
),
COUNTIFS(
'BA Mobile'!$D:$D,"Incident",
'BA Mobile'!$G:$G,1,
'BA Mobile'!$I:$I,"Triaged",
'BA Mobile'!$AI:$AI,"YES",
'BA Mobile'!$U:$U,"No",
'BA Mobile'!$N:$N,"&gt;="&amp;$B$1,
'BA Mobile'!$N:$N,"&lt;"&amp;$C$1+1
)
)</f>
        <v>0</v>
      </c>
      <c r="F31" s="19">
        <f>SUM(
COUNTIFS(
'BA Mobile'!$D:$D,"Incident",
'BA Mobile'!$G:$G,1,
'BA Mobile'!$I:$I,"Closed",
'BA Mobile'!$AJ:$AJ,"YES",
'BA Mobile'!$U:$U,"No",
'BA Mobile'!$N:$N,"&gt;="&amp;$B$1,
'BA Mobile'!$N:$N,"&lt;"&amp;$C$1+1
),
COUNTIFS(
'BA Mobile'!$D:$D,"Incident",
'BA Mobile'!$G:$G,1,
'BA Mobile'!$I:$I,"Triaged",
'BA Mobile'!$AJ:$AJ,"YES",
'BA Mobile'!$U:$U,"No",
'BA Mobile'!$N:$N,"&gt;="&amp;$B$1,
'BA Mobile'!$N:$N,"&lt;"&amp;$C$1+1
)
)</f>
        <v>0</v>
      </c>
      <c r="G31" s="19">
        <f>SUM(
COUNTIFS(
'BA Mobile'!$D:$D,"Incident",
'BA Mobile'!$G:$G,1,
'BA Mobile'!$I:$I,"Closed",
'BA Mobile'!$AI:$AI,"NO",
'BA Mobile'!$AJ:$AJ,"NO",
'BA Mobile'!$U:$U,"No",
'BA Mobile'!$N:$N,"&gt;="&amp;$B$1,
'BA Mobile'!$N:$N,"&lt;"&amp;$C$1+1
),
COUNTIFS(
'BA Mobile'!$D:$D,"Incident",
'BA Mobile'!$G:$G,1,
'BA Mobile'!$I:$I,"Triaged",
'BA Mobile'!$AI:$AI,"NO",
'BA Mobile'!$AJ:$AJ,"NO",
'BA Mobile'!$U:$U,"No",
'BA Mobile'!$N:$N,"&gt;="&amp;$B$1,
'BA Mobile'!$N:$N,"&lt;"&amp;$C$1+1
)
)</f>
        <v>0</v>
      </c>
      <c r="H31" s="19">
        <f>SUM(
COUNTIFS(
'BA Mobile'!$D:$D,"Incident",
'BA Mobile'!$G:$G,2,
'BA Mobile'!$I:$I,"Closed",
'BA Mobile'!$U:$U,"NO",
'BA Mobile'!$N:$N,"&gt;="&amp;$B$1,
'BA Mobile'!$N:$N,"&lt;"&amp;$C$1+1
),
COUNTIFS(
'BA Mobile'!$D:$D,"Incident",
'BA Mobile'!$G:$G,2,
'BA Mobile'!$I:$I,"Triaged",
'BA Mobile'!$U:$U,"NO",
'BA Mobile'!$N:$N,"&gt;="&amp;$B$1,
'BA Mobile'!$N:$N,"&lt;"&amp;$C$1+1
)
)</f>
        <v>0</v>
      </c>
      <c r="I31" s="19">
        <f>SUM(
COUNTIFS(
'BA Mobile'!$D:$D,"Incident",
'BA Mobile'!$G:$G,2,
'BA Mobile'!$I:$I,"Closed",
'BA Mobile'!$AI:$AI,"YES",
'BA Mobile'!$U:$U,"No",
'BA Mobile'!$N:$N,"&gt;="&amp;$B$1,
'BA Mobile'!$N:$N,"&lt;"&amp;$C$1+1
),
COUNTIFS(
'BA Mobile'!$D:$D,"Incident",
'BA Mobile'!$G:$G,2,
'BA Mobile'!$I:$I,"Triaged",
'BA Mobile'!$AI:$AI,"YES",
'BA Mobile'!$U:$U,"No",
'BA Mobile'!$N:$N,"&gt;="&amp;$B$1,
'BA Mobile'!$N:$N,"&lt;"&amp;$C$1+1
)
)</f>
        <v>0</v>
      </c>
      <c r="J31" s="19">
        <f>SUM(
COUNTIFS(
'BA Mobile'!$D:$D,"Incident",
'BA Mobile'!$G:$G,2,
'BA Mobile'!$I:$I,"Closed",
'BA Mobile'!$AJ:$AJ,"YES",
'BA Mobile'!$U:$U,"No",
'BA Mobile'!$N:$N,"&gt;="&amp;$B$1,
'BA Mobile'!$N:$N,"&lt;"&amp;$C$1+1
),
COUNTIFS(
'BA Mobile'!$D:$D,"Incident",
'BA Mobile'!$G:$G,2,
'BA Mobile'!$I:$I,"Triaged",
'BA Mobile'!$AJ:$AJ,"YES",
'BA Mobile'!$U:$U,"No",
'BA Mobile'!$N:$N,"&gt;="&amp;$B$1,
'BA Mobile'!$N:$N,"&lt;"&amp;$C$1+1
)
)</f>
        <v>0</v>
      </c>
      <c r="K31" s="19">
        <f>SUM(
COUNTIFS(
'BA Mobile'!$D:$D,"Incident",
'BA Mobile'!$G:$G,2,
'BA Mobile'!$I:$I,"Closed",
'BA Mobile'!$AI:$AI,"NO",
'BA Mobile'!$AJ:$AJ,"NO",
'BA Mobile'!$U:$U,"No",
'BA Mobile'!$N:$N,"&gt;="&amp;$B$1,
'BA Mobile'!$N:$N,"&lt;"&amp;$C$1+1
),
COUNTIFS(
'BA Mobile'!$D:$D,"Incident",
'BA Mobile'!$G:$G,2,
'BA Mobile'!$I:$I,"Triaged",
'BA Mobile'!$AI:$AI,"NO",
'BA Mobile'!$AJ:$AJ,"NO",
'BA Mobile'!$U:$U,"No",
'BA Mobile'!$N:$N,"&gt;="&amp;$B$1,
'BA Mobile'!$N:$N,"&lt;"&amp;$C$1+1
)
)</f>
        <v>0</v>
      </c>
      <c r="L31" s="19">
        <f>SUM(
COUNTIFS(
'BA Mobile'!$D:$D,"Incident",
'BA Mobile'!$G:$G,3,
'BA Mobile'!$I:$I,"Closed",
'BA Mobile'!$U:$U,"NO",
'BA Mobile'!$N:$N,"&gt;="&amp;$B$1,
'BA Mobile'!$N:$N,"&lt;"&amp;$C$1+1
),
COUNTIFS(
'BA Mobile'!$D:$D,"Incident",
'BA Mobile'!$G:$G,3,
'BA Mobile'!$I:$I,"Triaged",
'BA Mobile'!$U:$U,"NO",
'BA Mobile'!$N:$N,"&gt;="&amp;$B$1,
'BA Mobile'!$N:$N,"&lt;"&amp;$C$1+1
)
)</f>
        <v>0</v>
      </c>
      <c r="M31" s="19">
        <f ca="1">SUM(
COUNTIFS(
'BA Mobile'!$D:$D,"Incident",
'BA Mobile'!$G:$G,3,
'BA Mobile'!$I:$I,"Closed",
'BA Mobile'!$AI:$AI,"YES",
'BA Mobile'!$U:$U,"No",
'BA Mobile'!$N:$N,"&gt;="&amp;$B$1,
'BA Mobile'!$N:$N,"&lt;"&amp;$C$1+1
),
COUNTIFS(
'BA Mobile'!$D:$D,"Incident",
'BA Mobile'!$G:$G,3,
'BA Mobile'!$I:$I,"Triaged",
'BA Mobile'!$AI:$AI,"YES",
'BA Mobile'!$U:$U,"No",
'BA Mobile'!$N:$N,"&gt;="&amp;$B$1,
'BA Mobile'!$N:$N,"&lt;"&amp;$C$1+1
)
)</f>
        <v>0</v>
      </c>
      <c r="N31" s="19">
        <f ca="1">SUM(
COUNTIFS(
'BA Mobile'!$D:$D,"Incident",
'BA Mobile'!$G:$G,3,
'BA Mobile'!$I:$I,"Closed",
'BA Mobile'!$AJ:$AJ,"YES",
'BA Mobile'!$U:$U,"No",
'BA Mobile'!$N:$N,"&gt;="&amp;$B$1,
'BA Mobile'!$N:$N,"&lt;"&amp;$C$1+1
),
COUNTIFS(
'BA Mobile'!$D:$D,"Incident",
'BA Mobile'!$G:$G,3,
'BA Mobile'!$I:$I,"Triaged",
'BA Mobile'!$AJ:$AJ,"YES",
'BA Mobile'!$U:$U,"No",
'BA Mobile'!$N:$N,"&gt;="&amp;$B$1,
'BA Mobile'!$N:$N,"&lt;"&amp;$C$1+1
)
)</f>
        <v>0</v>
      </c>
      <c r="O31" s="19">
        <f ca="1">SUM(
COUNTIFS(
'BA Mobile'!$D:$D,"Incident",
'BA Mobile'!$G:$G,3,
'BA Mobile'!$I:$I,"Closed",
'BA Mobile'!$AI:$AI,"NO",
'BA Mobile'!$AJ:$AJ,"NO",
'BA Mobile'!$U:$U,"No",
'BA Mobile'!$N:$N,"&gt;="&amp;$B$1,
'BA Mobile'!$N:$N,"&lt;"&amp;$C$1+1
),
COUNTIFS(
'BA Mobile'!$D:$D,"Incident",
'BA Mobile'!$G:$G,3,
'BA Mobile'!$I:$I,"Triaged",
'BA Mobile'!$AI:$AI,"NO",
'BA Mobile'!$AJ:$AJ,"NO",
'BA Mobile'!$U:$U,"No",
'BA Mobile'!$N:$N,"&gt;="&amp;$B$1,
'BA Mobile'!$N:$N,"&lt;"&amp;$C$1+1
)
)</f>
        <v>0</v>
      </c>
      <c r="P31" s="19">
        <f>SUM(
COUNTIFS(
'BA Mobile'!$D:$D,"Incident",
'BA Mobile'!$G:$G,4,
'BA Mobile'!$I:$I,"Closed",
'BA Mobile'!$U:$U,"NO",
'BA Mobile'!$N:$N,"&gt;="&amp;$B$1,
'BA Mobile'!$N:$N,"&lt;"&amp;$C$1+1
),
COUNTIFS(
'BA Mobile'!$D:$D,"Incident",
'BA Mobile'!$G:$G,4,
'BA Mobile'!$I:$I,"Triaged",
'BA Mobile'!$U:$U,"NO",
'BA Mobile'!$N:$N,"&gt;="&amp;$B$1,
'BA Mobile'!$N:$N,"&lt;"&amp;$C$1+1
)
)</f>
        <v>1</v>
      </c>
      <c r="Q31" s="19">
        <f ca="1">SUM(
COUNTIFS(
'BA Mobile'!$D:$D,"Incident",
'BA Mobile'!$G:$G,4,
'BA Mobile'!$I:$I,"Closed",
'BA Mobile'!$AI:$AI,"YES",
'BA Mobile'!$U:$U,"No",
'BA Mobile'!$N:$N,"&gt;="&amp;$B$1,
'BA Mobile'!$N:$N,"&lt;"&amp;$C$1+1
),
COUNTIFS(
'BA Mobile'!$D:$D,"Incident",
'BA Mobile'!$G:$G,4,
'BA Mobile'!$I:$I,"Triaged",
'BA Mobile'!$AI:$AI,"YES",
'BA Mobile'!$U:$U,"No",
'BA Mobile'!$N:$N,"&gt;="&amp;$B$1,
'BA Mobile'!$N:$N,"&lt;"&amp;$C$1+1
)
)</f>
        <v>0</v>
      </c>
      <c r="R31" s="19">
        <f ca="1">SUM(
COUNTIFS(
'BA Mobile'!$D:$D,"Incident",
'BA Mobile'!$G:$G,4,
'BA Mobile'!$I:$I,"Closed",
'BA Mobile'!$AJ:$AJ,"YES",
'BA Mobile'!$U:$U,"No",
'BA Mobile'!$N:$N,"&gt;="&amp;$B$1,
'BA Mobile'!$N:$N,"&lt;"&amp;$C$1+1
),
COUNTIFS(
'BA Mobile'!$D:$D,"Incident",
'BA Mobile'!$G:$G,4,
'BA Mobile'!$I:$I,"Triaged",
'BA Mobile'!$AJ:$AJ,"YES",
'BA Mobile'!$U:$U,"No",
'BA Mobile'!$N:$N,"&gt;="&amp;$B$1,
'BA Mobile'!$N:$N,"&lt;"&amp;$C$1+1
)
)</f>
        <v>0</v>
      </c>
      <c r="S31" s="19">
        <f ca="1">SUM(
COUNTIFS(
'BA Mobile'!$D:$D,"Incident",
'BA Mobile'!$G:$G,4,
'BA Mobile'!$I:$I,"Closed",
'BA Mobile'!$AI:$AI,"NO",
'BA Mobile'!$AJ:$AJ,"NO",
'BA Mobile'!$U:$U,"No",
'BA Mobile'!$N:$N,"&gt;="&amp;$B$1,
'BA Mobile'!$N:$N,"&lt;"&amp;$C$1+1
),
COUNTIFS(
'BA Mobile'!$D:$D,"Incident",
'BA Mobile'!$G:$G,4,
'BA Mobile'!$I:$I,"Triaged",
'BA Mobile'!$AI:$AI,"NO",
'BA Mobile'!$AJ:$AJ,"NO",
'BA Mobile'!$U:$U,"No",
'BA Mobile'!$N:$N,"&gt;="&amp;$B$1,
'BA Mobile'!$N:$N,"&lt;"&amp;$C$1+1
)
)</f>
        <v>0</v>
      </c>
    </row>
    <row r="32" spans="1:24" ht="15" customHeight="1">
      <c r="B32" s="139" t="s">
        <v>26</v>
      </c>
      <c r="C32" s="157" t="s">
        <v>39</v>
      </c>
      <c r="D32" s="81">
        <f>SUM(
COUNTIFS(
LIP!$D:$D,"Incident",
LIP!$G:$G,1,
LIP!$I:$I,"Closed",
LIP!$U:$U,"NO",
LIP!$N:$N,"&gt;="&amp;$B$1,
LIP!$N:$N,"&lt;"&amp;$C$1+1
),
COUNTIFS(
LIP!$D:$D,"Incident",
LIP!$G:$G,1,
LIP!$I:$I,"Triaged",
LIP!$U:$U,"NO",
LIP!$N:$N,"&gt;="&amp;$B$1,
LIP!$N:$N,"&lt;"&amp;$C$1+1
)
)</f>
        <v>0</v>
      </c>
      <c r="E32" s="19">
        <f>SUM(
COUNTIFS(
LIP!$D:$D,"Incident",
LIP!$G:$G,1,
LIP!$I:$I,"Closed",
LIP!$AI:$AI,"YES",
LIP!$U:$U,"No",
LIP!$N:$N,"&gt;="&amp;$B$1,
LIP!$N:$N,"&lt;"&amp;$C$1+1
),
COUNTIFS(
LIP!$D:$D,"Incident",
LIP!$G:$G,1,
LIP!$I:$I,"Triaged",
LIP!$AI:$AI,"YES",
LIP!$U:$U,"No",
LIP!$N:$N,"&gt;="&amp;$B$1,
LIP!$N:$N,"&lt;"&amp;$C$1+1
)
)</f>
        <v>0</v>
      </c>
      <c r="F32" s="19">
        <f>SUM(
COUNTIFS(
LIP!$D:$D,"Incident",
LIP!$G:$G,1,
LIP!$I:$I,"Closed",
LIP!$AJ:$AJ,"YES",
LIP!$U:$U,"No",
LIP!$N:$N,"&gt;="&amp;$B$1,
LIP!$N:$N,"&lt;"&amp;$C$1+1
),
COUNTIFS(
LIP!$D:$D,"Incident",
LIP!$G:$G,1,
LIP!$I:$I,"Triaged",
LIP!$AJ:$AJ,"YES",
LIP!$U:$U,"No",
LIP!$N:$N,"&gt;="&amp;$B$1,
LIP!$N:$N,"&lt;"&amp;$C$1+1
)
)</f>
        <v>0</v>
      </c>
      <c r="G32" s="19">
        <f>SUM(
COUNTIFS(
LIP!$D:$D,"Incident",
LIP!$G:$G,1,
LIP!$I:$I,"Closed",
LIP!$AI:$AI,"NO",
LIP!$AJ:$AJ,"NO",
LIP!$U:$U,"No",
LIP!$N:$N,"&gt;="&amp;$B$1,
LIP!$N:$N,"&lt;"&amp;$C$1+1
),
COUNTIFS(
LIP!$D:$D,"Incident",
LIP!$G:$G,1,
LIP!$I:$I,"Triaged",
LIP!$AI:$AI,"NO",
LIP!$AJ:$AJ,"NO",
LIP!$U:$U,"No",
LIP!$N:$N,"&gt;="&amp;$B$1,
LIP!$N:$N,"&lt;"&amp;$C$1+1
)
)</f>
        <v>0</v>
      </c>
      <c r="H32" s="19">
        <f>SUM(
COUNTIFS(
LIP!$D:$D,"Incident",
LIP!$G:$G,2,
LIP!$I:$I,"Closed",
LIP!$U:$U,"NO",
LIP!$N:$N,"&gt;="&amp;$B$1,
LIP!$N:$N,"&lt;"&amp;$C$1+1
),
COUNTIFS(
LIP!$D:$D,"Incident",
LIP!$G:$G,2,
LIP!$I:$I,"Triaged",
LIP!$U:$U,"NO",
LIP!$N:$N,"&gt;="&amp;$B$1,
LIP!$N:$N,"&lt;"&amp;$C$1+1
)
)</f>
        <v>0</v>
      </c>
      <c r="I32" s="19">
        <f>SUM(
COUNTIFS(
LIP!$D:$D,"Incident",
LIP!$G:$G,2,
LIP!$I:$I,"Closed",
LIP!$AI:$AI,"YES",
LIP!$U:$U,"No",
LIP!$N:$N,"&gt;="&amp;$B$1,
LIP!$N:$N,"&lt;"&amp;$C$1+1
),
COUNTIFS(
LIP!$D:$D,"Incident",
LIP!$G:$G,2,
LIP!$I:$I,"Triaged",
LIP!$AI:$AI,"YES",
LIP!$U:$U,"No",
LIP!$N:$N,"&gt;="&amp;$B$1,
LIP!$N:$N,"&lt;"&amp;$C$1+1
)
)</f>
        <v>0</v>
      </c>
      <c r="J32" s="19">
        <f>SUM(
COUNTIFS(
LIP!$D:$D,"Incident",
LIP!$G:$G,2,
LIP!$I:$I,"Closed",
LIP!$AJ:$AJ,"YES",
LIP!$U:$U,"No",
LIP!$N:$N,"&gt;="&amp;$B$1,
LIP!$N:$N,"&lt;"&amp;$C$1+1
),
COUNTIFS(
LIP!$D:$D,"Incident",
LIP!$G:$G,2,
LIP!$I:$I,"Triaged",
LIP!$AJ:$AJ,"YES",
LIP!$U:$U,"No",
LIP!$N:$N,"&gt;="&amp;$B$1,
LIP!$N:$N,"&lt;"&amp;$C$1+1
)
)</f>
        <v>0</v>
      </c>
      <c r="K32" s="19">
        <f>SUM(
COUNTIFS(
LIP!$D:$D,"Incident",
LIP!$G:$G,2,
LIP!$I:$I,"Closed",
LIP!$AI:$AI,"NO",
LIP!$AJ:$AJ,"NO",
LIP!$U:$U,"No",
LIP!$N:$N,"&gt;="&amp;$B$1,
LIP!$N:$N,"&lt;"&amp;$C$1+1
),
COUNTIFS(
LIP!$D:$D,"Incident",
LIP!$G:$G,2,
LIP!$I:$I,"Triaged",
LIP!$AI:$AI,"NO",
LIP!$AJ:$AJ,"NO",
LIP!$U:$U,"No",
LIP!$N:$N,"&gt;="&amp;$B$1,
LIP!$N:$N,"&lt;"&amp;$C$1+1
)
)</f>
        <v>0</v>
      </c>
      <c r="L32" s="19">
        <f>SUM(
COUNTIFS(
LIP!$D:$D,"Incident",
LIP!$G:$G,3,
LIP!$I:$I,"Closed",
LIP!$U:$U,"NO",
LIP!$N:$N,"&gt;="&amp;$B$1,
LIP!$N:$N,"&lt;"&amp;$C$1+1
),
COUNTIFS(
LIP!$D:$D,"Incident",
LIP!$G:$G,3,
LIP!$I:$I,"Triaged",
LIP!$U:$U,"NO",
LIP!$N:$N,"&gt;="&amp;$B$1,
LIP!$N:$N,"&lt;"&amp;$C$1+1
)
)</f>
        <v>1</v>
      </c>
      <c r="M32" s="19">
        <f ca="1">SUM(
COUNTIFS(
LIP!$D:$D,"Incident",
LIP!$G:$G,3,
LIP!$I:$I,"Closed",
LIP!$AI:$AI,"YES",
LIP!$U:$U,"No",
LIP!$N:$N,"&gt;="&amp;$B$1,
LIP!$N:$N,"&lt;"&amp;$C$1+1
),
COUNTIFS(
LIP!$D:$D,"Incident",
LIP!$G:$G,3,
LIP!$I:$I,"Triaged",
LIP!$AI:$AI,"YES",
LIP!$U:$U,"No",
LIP!$N:$N,"&gt;="&amp;$B$1,
LIP!$N:$N,"&lt;"&amp;$C$1+1
)
)</f>
        <v>1</v>
      </c>
      <c r="N32" s="19">
        <f ca="1">SUM(
COUNTIFS(
LIP!$D:$D,"Incident",
LIP!$G:$G,3,
LIP!$I:$I,"Closed",
LIP!$AJ:$AJ,"YES",
LIP!$U:$U,"No",
LIP!$N:$N,"&gt;="&amp;$B$1,
LIP!$N:$N,"&lt;"&amp;$C$1+1
),
COUNTIFS(
LIP!$D:$D,"Incident",
LIP!$G:$G,3,
LIP!$I:$I,"Triaged",
LIP!$AJ:$AJ,"YES",
LIP!$U:$U,"No",
LIP!$N:$N,"&gt;="&amp;$B$1,
LIP!$N:$N,"&lt;"&amp;$C$1+1
)
)</f>
        <v>1</v>
      </c>
      <c r="O32" s="19">
        <f ca="1">SUM(
COUNTIFS(
LIP!$D:$D,"Incident",
LIP!$G:$G,3,
LIP!$I:$I,"Closed",
LIP!$AI:$AI,"NO",
LIP!$AJ:$AJ,"NO",
LIP!$U:$U,"No",
LIP!$N:$N,"&gt;="&amp;$B$1,
LIP!$N:$N,"&lt;"&amp;$C$1+1
),
COUNTIFS(
LIP!$D:$D,"Incident",
LIP!$G:$G,3,
LIP!$I:$I,"Triaged",
LIP!$AI:$AI,"NO",
LIP!$AJ:$AJ,"NO",
LIP!$U:$U,"No",
LIP!$N:$N,"&gt;="&amp;$B$1,
LIP!$N:$N,"&lt;"&amp;$C$1+1
)
)</f>
        <v>0</v>
      </c>
      <c r="P32" s="19">
        <f>SUM(
COUNTIFS(
LIP!$D:$D,"Incident",
LIP!$G:$G,4,
LIP!$I:$I,"Closed",
LIP!$U:$U,"NO",
LIP!$N:$N,"&gt;="&amp;$B$1,
LIP!$N:$N,"&lt;"&amp;$C$1+1
),
COUNTIFS(
LIP!$D:$D,"Incident",
LIP!$G:$G,4,
LIP!$I:$I,"Triaged",
LIP!$U:$U,"NO",
LIP!$N:$N,"&gt;="&amp;$B$1,
LIP!$N:$N,"&lt;"&amp;$C$1+1
)
)</f>
        <v>27</v>
      </c>
      <c r="Q32" s="19">
        <f ca="1">SUM(
COUNTIFS(
LIP!$D:$D,"Incident",
LIP!$G:$G,4,
LIP!$I:$I,"Closed",
LIP!$AI:$AI,"YES",
LIP!$U:$U,"No",
LIP!$N:$N,"&gt;="&amp;$B$1,
LIP!$N:$N,"&lt;"&amp;$C$1+1
),
COUNTIFS(
LIP!$D:$D,"Incident",
LIP!$G:$G,4,
LIP!$I:$I,"Triaged",
LIP!$AI:$AI,"YES",
LIP!$U:$U,"No",
LIP!$N:$N,"&gt;="&amp;$B$1,
LIP!$N:$N,"&lt;"&amp;$C$1+1
)
)</f>
        <v>27</v>
      </c>
      <c r="R32" s="19">
        <f ca="1">SUM(
COUNTIFS(
LIP!$D:$D,"Incident",
LIP!$G:$G,4,
LIP!$I:$I,"Closed",
LIP!$AJ:$AJ,"YES",
LIP!$U:$U,"No",
LIP!$N:$N,"&gt;="&amp;$B$1,
LIP!$N:$N,"&lt;"&amp;$C$1+1
),
COUNTIFS(
LIP!$D:$D,"Incident",
LIP!$G:$G,4,
LIP!$I:$I,"Triaged",
LIP!$AJ:$AJ,"YES",
LIP!$U:$U,"No",
LIP!$N:$N,"&gt;="&amp;$B$1,
LIP!$N:$N,"&lt;"&amp;$C$1+1
)
)</f>
        <v>27</v>
      </c>
      <c r="S32" s="19">
        <f ca="1">SUM(
COUNTIFS(
LIP!$D:$D,"Incident",
LIP!$G:$G,4,
LIP!$I:$I,"Closed",
LIP!$AI:$AI,"NO",
LIP!$AJ:$AJ,"NO",
LIP!$U:$U,"No",
LIP!$N:$N,"&gt;="&amp;$B$1,
LIP!$N:$N,"&lt;"&amp;$C$1+1
),
COUNTIFS(
LIP!$D:$D,"Incident",
LIP!$G:$G,4,
LIP!$I:$I,"Triaged",
LIP!$AI:$AI,"NO",
LIP!$AJ:$AJ,"NO",
LIP!$U:$U,"No",
LIP!$N:$N,"&gt;="&amp;$B$1,
LIP!$N:$N,"&lt;"&amp;$C$1+1
)
)</f>
        <v>0</v>
      </c>
    </row>
    <row r="33" spans="2:19" ht="15" customHeight="1">
      <c r="B33" s="139" t="s">
        <v>26</v>
      </c>
      <c r="C33" s="157" t="s">
        <v>41</v>
      </c>
      <c r="D33" s="81">
        <f>SUM(
COUNTIFS(
QIP!$D:$D,"Incident",
QIP!$G:$G,1,
QIP!$I:$I,"Closed",
QIP!$U:$U,"NO",
QIP!$N:$N,"&gt;="&amp;$B$1,
QIP!$N:$N,"&lt;"&amp;$C$1+1
),
COUNTIFS(
QIP!$D:$D,"Incident",
QIP!$G:$G,1,
QIP!$I:$I,"Triaged",
QIP!$U:$U,"NO",
QIP!$N:$N,"&gt;="&amp;$B$1,
QIP!$N:$N,"&lt;"&amp;$C$1+1
)
)</f>
        <v>0</v>
      </c>
      <c r="E33" s="19">
        <f>SUM(
COUNTIFS(
QIP!$D:$D,"Incident",
QIP!$G:$G,1,
QIP!$I:$I,"Closed",
QIP!$AI:$AI,"YES",
QIP!$U:$U,"No",
QIP!$N:$N,"&gt;="&amp;$B$1,
QIP!$N:$N,"&lt;"&amp;$C$1+1
),
COUNTIFS(
QIP!$D:$D,"Incident",
QIP!$G:$G,1,
QIP!$I:$I,"Triaged",
QIP!$AI:$AI,"YES",
QIP!$U:$U,"No",
QIP!$N:$N,"&gt;="&amp;$B$1,
QIP!$N:$N,"&lt;"&amp;$C$1+1
)
)</f>
        <v>0</v>
      </c>
      <c r="F33" s="19">
        <f>SUM(
COUNTIFS(
QIP!$D:$D,"Incident",
QIP!$G:$G,1,
QIP!$I:$I,"Closed",
QIP!$AJ:$AJ,"YES",
QIP!$U:$U,"No",
QIP!$N:$N,"&gt;="&amp;$B$1,
QIP!$N:$N,"&lt;"&amp;$C$1+1
),
COUNTIFS(
QIP!$D:$D,"Incident",
QIP!$G:$G,1,
QIP!$I:$I,"Triaged",
QIP!$AJ:$AJ,"YES",
QIP!$U:$U,"No",
QIP!$N:$N,"&gt;="&amp;$B$1,
QIP!$N:$N,"&lt;"&amp;$C$1+1
)
)</f>
        <v>0</v>
      </c>
      <c r="G33" s="19">
        <f>SUM(
COUNTIFS(
QIP!$D:$D,"Incident",
QIP!$G:$G,1,
QIP!$I:$I,"Closed",
QIP!$AI:$AI,"NO",
QIP!$AJ:$AJ,"NO",
QIP!$U:$U,"No",
QIP!$N:$N,"&gt;="&amp;$B$1,
QIP!$N:$N,"&lt;"&amp;$C$1+1
),
COUNTIFS(
QIP!$D:$D,"Incident",
QIP!$G:$G,1,
QIP!$I:$I,"Triaged",
QIP!$AI:$AI,"NO",
QIP!$AJ:$AJ,"NO",
QIP!$U:$U,"No",
QIP!$N:$N,"&gt;="&amp;$B$1,
QIP!$N:$N,"&lt;"&amp;$C$1+1
)
)</f>
        <v>0</v>
      </c>
      <c r="H33" s="19">
        <f>SUM(
COUNTIFS(
QIP!$D:$D,"Incident",
QIP!$G:$G,2,
QIP!$I:$I,"Closed",
QIP!$U:$U,"NO",
QIP!$N:$N,"&gt;="&amp;$B$1,
QIP!$N:$N,"&lt;"&amp;$C$1+1
),
COUNTIFS(
QIP!$D:$D,"Incident",
QIP!$G:$G,2,
QIP!$I:$I,"Triaged",
QIP!$U:$U,"NO",
QIP!$N:$N,"&gt;="&amp;$B$1,
QIP!$N:$N,"&lt;"&amp;$C$1+1
)
)</f>
        <v>0</v>
      </c>
      <c r="I33" s="19">
        <f>SUM(
COUNTIFS(
QIP!$D:$D,"Incident",
QIP!$G:$G,2,
QIP!$I:$I,"Closed",
QIP!$AI:$AI,"YES",
QIP!$U:$U,"No",
QIP!$N:$N,"&gt;="&amp;$B$1,
QIP!$N:$N,"&lt;"&amp;$C$1+1
),
COUNTIFS(
QIP!$D:$D,"Incident",
QIP!$G:$G,2,
QIP!$I:$I,"Triaged",
QIP!$AI:$AI,"YES",
QIP!$U:$U,"No",
QIP!$N:$N,"&gt;="&amp;$B$1,
QIP!$N:$N,"&lt;"&amp;$C$1+1
)
)</f>
        <v>0</v>
      </c>
      <c r="J33" s="19">
        <f>SUM(
COUNTIFS(
QIP!$D:$D,"Incident",
QIP!$G:$G,2,
QIP!$I:$I,"Closed",
QIP!$AJ:$AJ,"YES",
QIP!$U:$U,"No",
QIP!$N:$N,"&gt;="&amp;$B$1,
QIP!$N:$N,"&lt;"&amp;$C$1+1
),
COUNTIFS(
QIP!$D:$D,"Incident",
QIP!$G:$G,2,
QIP!$I:$I,"Triaged",
QIP!$AJ:$AJ,"YES",
QIP!$U:$U,"No",
QIP!$N:$N,"&gt;="&amp;$B$1,
QIP!$N:$N,"&lt;"&amp;$C$1+1
)
)</f>
        <v>0</v>
      </c>
      <c r="K33" s="19">
        <f>SUM(
COUNTIFS(
QIP!$D:$D,"Incident",
QIP!$G:$G,2,
QIP!$I:$I,"Closed",
QIP!$AI:$AI,"NO",
QIP!$AJ:$AJ,"NO",
QIP!$U:$U,"No",
QIP!$N:$N,"&gt;="&amp;$B$1,
QIP!$N:$N,"&lt;"&amp;$C$1+1
),
COUNTIFS(
QIP!$D:$D,"Incident",
QIP!$G:$G,2,
QIP!$I:$I,"Triaged",
QIP!$AI:$AI,"NO",
QIP!$AJ:$AJ,"NO",
QIP!$U:$U,"No",
QIP!$N:$N,"&gt;="&amp;$B$1,
QIP!$N:$N,"&lt;"&amp;$C$1+1
)
)</f>
        <v>0</v>
      </c>
      <c r="L33" s="19">
        <f>SUM(
COUNTIFS(
QIP!$D:$D,"Incident",
QIP!$G:$G,3,
QIP!$I:$I,"Closed",
QIP!$U:$U,"NO",
QIP!$N:$N,"&gt;="&amp;$B$1,
QIP!$N:$N,"&lt;"&amp;$C$1+1
),
COUNTIFS(
QIP!$D:$D,"Incident",
QIP!$G:$G,3,
QIP!$I:$I,"Triaged",
QIP!$U:$U,"NO",
QIP!$N:$N,"&gt;="&amp;$B$1,
QIP!$N:$N,"&lt;"&amp;$C$1+1
)
)</f>
        <v>7</v>
      </c>
      <c r="M33" s="19">
        <f ca="1">SUM(
COUNTIFS(
QIP!$D:$D,"Incident",
QIP!$G:$G,3,
QIP!$I:$I,"Closed",
QIP!$AI:$AI,"YES",
QIP!$U:$U,"No",
QIP!$N:$N,"&gt;="&amp;$B$1,
QIP!$N:$N,"&lt;"&amp;$C$1+1
),
COUNTIFS(
QIP!$D:$D,"Incident",
QIP!$G:$G,3,
QIP!$I:$I,"Triaged",
QIP!$AI:$AI,"YES",
QIP!$U:$U,"No",
QIP!$N:$N,"&gt;="&amp;$B$1,
QIP!$N:$N,"&lt;"&amp;$C$1+1
)
)</f>
        <v>4</v>
      </c>
      <c r="N33" s="19">
        <f ca="1">SUM(
COUNTIFS(
QIP!$D:$D,"Incident",
QIP!$G:$G,3,
QIP!$I:$I,"Closed",
QIP!$AJ:$AJ,"YES",
QIP!$U:$U,"No",
QIP!$N:$N,"&gt;="&amp;$B$1,
QIP!$N:$N,"&lt;"&amp;$C$1+1
),
COUNTIFS(
QIP!$D:$D,"Incident",
QIP!$G:$G,3,
QIP!$I:$I,"Triaged",
QIP!$AJ:$AJ,"YES",
QIP!$U:$U,"No",
QIP!$N:$N,"&gt;="&amp;$B$1,
QIP!$N:$N,"&lt;"&amp;$C$1+1
)
)</f>
        <v>7</v>
      </c>
      <c r="O33" s="19">
        <f ca="1">SUM(
COUNTIFS(
QIP!$D:$D,"Incident",
QIP!$G:$G,3,
QIP!$I:$I,"Closed",
QIP!$AI:$AI,"NO",
QIP!$AJ:$AJ,"NO",
QIP!$U:$U,"No",
QIP!$N:$N,"&gt;="&amp;$B$1,
QIP!$N:$N,"&lt;"&amp;$C$1+1
),
COUNTIFS(
QIP!$D:$D,"Incident",
QIP!$G:$G,3,
QIP!$I:$I,"Triaged",
QIP!$AI:$AI,"NO",
QIP!$AJ:$AJ,"NO",
QIP!$U:$U,"No",
QIP!$N:$N,"&gt;="&amp;$B$1,
QIP!$N:$N,"&lt;"&amp;$C$1+1
)
)</f>
        <v>0</v>
      </c>
      <c r="P33" s="19">
        <f>SUM(
COUNTIFS(
QIP!$D:$D,"Incident",
QIP!$G:$G,4,
QIP!$I:$I,"Closed",
QIP!$U:$U,"NO",
QIP!$N:$N,"&gt;="&amp;$B$1,
QIP!$N:$N,"&lt;"&amp;$C$1+1
),
COUNTIFS(
QIP!$D:$D,"Incident",
QIP!$G:$G,4,
QIP!$I:$I,"Triaged",
QIP!$U:$U,"NO",
QIP!$N:$N,"&gt;="&amp;$B$1,
QIP!$N:$N,"&lt;"&amp;$C$1+1
)
)</f>
        <v>49</v>
      </c>
      <c r="Q33" s="19">
        <f ca="1">SUM(
COUNTIFS(
QIP!$D:$D,"Incident",
QIP!$G:$G,4,
QIP!$I:$I,"Closed",
QIP!$AI:$AI,"YES",
QIP!$U:$U,"No",
QIP!$N:$N,"&gt;="&amp;$B$1,
QIP!$N:$N,"&lt;"&amp;$C$1+1
),
COUNTIFS(
QIP!$D:$D,"Incident",
QIP!$G:$G,4,
QIP!$I:$I,"Triaged",
QIP!$AI:$AI,"YES",
QIP!$U:$U,"No",
QIP!$N:$N,"&gt;="&amp;$B$1,
QIP!$N:$N,"&lt;"&amp;$C$1+1
)
)</f>
        <v>44</v>
      </c>
      <c r="R33" s="19">
        <f ca="1">SUM(
COUNTIFS(
QIP!$D:$D,"Incident",
QIP!$G:$G,4,
QIP!$I:$I,"Closed",
QIP!$AJ:$AJ,"YES",
QIP!$U:$U,"No",
QIP!$N:$N,"&gt;="&amp;$B$1,
QIP!$N:$N,"&lt;"&amp;$C$1+1
),
COUNTIFS(
QIP!$D:$D,"Incident",
QIP!$G:$G,4,
QIP!$I:$I,"Triaged",
QIP!$AJ:$AJ,"YES",
QIP!$U:$U,"No",
QIP!$N:$N,"&gt;="&amp;$B$1,
QIP!$N:$N,"&lt;"&amp;$C$1+1
)
)</f>
        <v>44</v>
      </c>
      <c r="S33" s="19">
        <f ca="1">SUM(
COUNTIFS(
QIP!$D:$D,"Incident",
QIP!$G:$G,4,
QIP!$I:$I,"Closed",
QIP!$AI:$AI,"NO",
QIP!$AJ:$AJ,"NO",
QIP!$U:$U,"No",
QIP!$N:$N,"&gt;="&amp;$B$1,
QIP!$N:$N,"&lt;"&amp;$C$1+1
),
COUNTIFS(
QIP!$D:$D,"Incident",
QIP!$G:$G,4,
QIP!$I:$I,"Triaged",
QIP!$AI:$AI,"NO",
QIP!$AJ:$AJ,"NO",
QIP!$U:$U,"No",
QIP!$N:$N,"&gt;="&amp;$B$1,
QIP!$N:$N,"&lt;"&amp;$C$1+1
)
)</f>
        <v>2</v>
      </c>
    </row>
    <row r="34" spans="2:19" ht="15" customHeight="1">
      <c r="B34" s="139" t="s">
        <v>26</v>
      </c>
      <c r="C34" s="157" t="s">
        <v>42</v>
      </c>
      <c r="D34" s="81">
        <f>SUM(
COUNTIFS(
'BA MRO'!$D:$D,"Incident",
'BA MRO'!$G:$G,1,
'BA MRO'!$I:$I,"Closed",
'BA MRO'!$U:$U,"NO",
'BA MRO'!$N:$N,"&gt;="&amp;$B$1,
'BA MRO'!$N:$N,"&lt;"&amp;$C$1+1
),
COUNTIFS(
'BA MRO'!$D:$D,"Incident",
'BA MRO'!$G:$G,1,
'BA MRO'!$I:$I,"Triaged",
'BA MRO'!$U:$U,"NO",
'BA MRO'!$N:$N,"&gt;="&amp;$B$1,
'BA MRO'!$N:$N,"&lt;"&amp;$C$1+1
)
)</f>
        <v>0</v>
      </c>
      <c r="E34" s="19">
        <f>SUM(
COUNTIFS(
'BA MRO'!$D:$D,"Incident",
'BA MRO'!$G:$G,1,
'BA MRO'!$I:$I,"Closed",
'BA MRO'!$AI:$AI,"YES",
'BA MRO'!$U:$U,"No",
'BA MRO'!$N:$N,"&gt;="&amp;$B$1,
'BA MRO'!$N:$N,"&lt;"&amp;$C$1+1
),
COUNTIFS(
'BA MRO'!$D:$D,"Incident",
'BA MRO'!$G:$G,1,
'BA MRO'!$I:$I,"Triaged",
'BA MRO'!$AI:$AI,"YES",
'BA MRO'!$U:$U,"No",
'BA MRO'!$N:$N,"&gt;="&amp;$B$1,
'BA MRO'!$N:$N,"&lt;"&amp;$C$1+1
)
)</f>
        <v>0</v>
      </c>
      <c r="F34" s="19">
        <f>SUM(
COUNTIFS(
'BA MRO'!$D:$D,"Incident",
'BA MRO'!$G:$G,1,
'BA MRO'!$I:$I,"Closed",
'BA MRO'!$AJ:$AJ,"YES",
'BA MRO'!$U:$U,"No",
'BA MRO'!$N:$N,"&gt;="&amp;$B$1,
'BA MRO'!$N:$N,"&lt;"&amp;$C$1+1
),
COUNTIFS(
'BA MRO'!$D:$D,"Incident",
'BA MRO'!$G:$G,1,
'BA MRO'!$I:$I,"Triaged",
'BA MRO'!$AJ:$AJ,"YES",
'BA MRO'!$U:$U,"No",
'BA MRO'!$N:$N,"&gt;="&amp;$B$1,
'BA MRO'!$N:$N,"&lt;"&amp;$C$1+1
)
)</f>
        <v>0</v>
      </c>
      <c r="G34" s="19">
        <f>SUM(
COUNTIFS(
'BA MRO'!$D:$D,"Incident",
'BA MRO'!$G:$G,1,
'BA MRO'!$I:$I,"Closed",
'BA MRO'!$AI:$AI,"NO",
'BA MRO'!$AJ:$AJ,"NO",
'BA MRO'!$U:$U,"No",
'BA MRO'!$N:$N,"&gt;="&amp;$B$1,
'BA MRO'!$N:$N,"&lt;"&amp;$C$1+1
),
COUNTIFS(
'BA MRO'!$D:$D,"Incident",
'BA MRO'!$G:$G,1,
'BA MRO'!$I:$I,"Triaged",
'BA MRO'!$AI:$AI,"NO",
'BA MRO'!$AJ:$AJ,"NO",
'BA MRO'!$U:$U,"No",
'BA MRO'!$N:$N,"&gt;="&amp;$B$1,
'BA MRO'!$N:$N,"&lt;"&amp;$C$1+1
)
)</f>
        <v>0</v>
      </c>
      <c r="H34" s="19">
        <f>SUM(
COUNTIFS(
'BA MRO'!$D:$D,"Incident",
'BA MRO'!$G:$G,2,
'BA MRO'!$I:$I,"Closed",
'BA MRO'!$U:$U,"NO",
'BA MRO'!$N:$N,"&gt;="&amp;$B$1,
'BA MRO'!$N:$N,"&lt;"&amp;$C$1+1
),
COUNTIFS(
'BA MRO'!$D:$D,"Incident",
'BA MRO'!$G:$G,2,
'BA MRO'!$I:$I,"Triaged",
'BA MRO'!$U:$U,"NO",
'BA MRO'!$N:$N,"&gt;="&amp;$B$1,
'BA MRO'!$N:$N,"&lt;"&amp;$C$1+1
)
)</f>
        <v>0</v>
      </c>
      <c r="I34" s="19">
        <f>SUM(
COUNTIFS(
'BA MRO'!$D:$D,"Incident",
'BA MRO'!$G:$G,2,
'BA MRO'!$I:$I,"Closed",
'BA MRO'!$AI:$AI,"YES",
'BA MRO'!$U:$U,"No",
'BA MRO'!$N:$N,"&gt;="&amp;$B$1,
'BA MRO'!$N:$N,"&lt;"&amp;$C$1+1
),
COUNTIFS(
'BA MRO'!$D:$D,"Incident",
'BA MRO'!$G:$G,2,
'BA MRO'!$I:$I,"Triaged",
'BA MRO'!$AI:$AI,"YES",
'BA MRO'!$U:$U,"No",
'BA MRO'!$N:$N,"&gt;="&amp;$B$1,
'BA MRO'!$N:$N,"&lt;"&amp;$C$1+1
)
)</f>
        <v>0</v>
      </c>
      <c r="J34" s="19">
        <f>SUM(
COUNTIFS(
'BA MRO'!$D:$D,"Incident",
'BA MRO'!$G:$G,2,
'BA MRO'!$I:$I,"Closed",
'BA MRO'!$AJ:$AJ,"YES",
'BA MRO'!$U:$U,"No",
'BA MRO'!$N:$N,"&gt;="&amp;$B$1,
'BA MRO'!$N:$N,"&lt;"&amp;$C$1+1
),
COUNTIFS(
'BA MRO'!$D:$D,"Incident",
'BA MRO'!$G:$G,2,
'BA MRO'!$I:$I,"Triaged",
'BA MRO'!$AJ:$AJ,"YES",
'BA MRO'!$U:$U,"No",
'BA MRO'!$N:$N,"&gt;="&amp;$B$1,
'BA MRO'!$N:$N,"&lt;"&amp;$C$1+1
)
)</f>
        <v>0</v>
      </c>
      <c r="K34" s="19">
        <f>SUM(
COUNTIFS(
'BA MRO'!$D:$D,"Incident",
'BA MRO'!$G:$G,2,
'BA MRO'!$I:$I,"Closed",
'BA MRO'!$AI:$AI,"NO",
'BA MRO'!$AJ:$AJ,"NO",
'BA MRO'!$U:$U,"No",
'BA MRO'!$N:$N,"&gt;="&amp;$B$1,
'BA MRO'!$N:$N,"&lt;"&amp;$C$1+1
),
COUNTIFS(
'BA MRO'!$D:$D,"Incident",
'BA MRO'!$G:$G,2,
'BA MRO'!$I:$I,"Triaged",
'BA MRO'!$AI:$AI,"NO",
'BA MRO'!$AJ:$AJ,"NO",
'BA MRO'!$U:$U,"No",
'BA MRO'!$N:$N,"&gt;="&amp;$B$1,
'BA MRO'!$N:$N,"&lt;"&amp;$C$1+1
)
)</f>
        <v>0</v>
      </c>
      <c r="L34" s="19">
        <f>SUM(
COUNTIFS(
'BA MRO'!$D:$D,"Incident",
'BA MRO'!$G:$G,3,
'BA MRO'!$I:$I,"Closed",
'BA MRO'!$U:$U,"NO",
'BA MRO'!$N:$N,"&gt;="&amp;$B$1,
'BA MRO'!$N:$N,"&lt;"&amp;$C$1+1
),
COUNTIFS(
'BA MRO'!$D:$D,"Incident",
'BA MRO'!$G:$G,3,
'BA MRO'!$I:$I,"Triaged",
'BA MRO'!$U:$U,"NO",
'BA MRO'!$N:$N,"&gt;="&amp;$B$1,
'BA MRO'!$N:$N,"&lt;"&amp;$C$1+1
)
)</f>
        <v>0</v>
      </c>
      <c r="M34" s="19">
        <f>SUM(
COUNTIFS(
'BA MRO'!$D:$D,"Incident",
'BA MRO'!$G:$G,3,
'BA MRO'!$I:$I,"Closed",
'BA MRO'!$AI:$AI,"YES",
'BA MRO'!$U:$U,"No",
'BA MRO'!$N:$N,"&gt;="&amp;$B$1,
'BA MRO'!$N:$N,"&lt;"&amp;$C$1+1
),
COUNTIFS(
'BA MRO'!$D:$D,"Incident",
'BA MRO'!$G:$G,3,
'BA MRO'!$I:$I,"Triaged",
'BA MRO'!$AI:$AI,"YES",
'BA MRO'!$U:$U,"No",
'BA MRO'!$N:$N,"&gt;="&amp;$B$1,
'BA MRO'!$N:$N,"&lt;"&amp;$C$1+1
)
)</f>
        <v>0</v>
      </c>
      <c r="N34" s="19">
        <f>SUM(
COUNTIFS(
'BA MRO'!$D:$D,"Incident",
'BA MRO'!$G:$G,3,
'BA MRO'!$I:$I,"Closed",
'BA MRO'!$AJ:$AJ,"YES",
'BA MRO'!$U:$U,"No",
'BA MRO'!$N:$N,"&gt;="&amp;$B$1,
'BA MRO'!$N:$N,"&lt;"&amp;$C$1+1
),
COUNTIFS(
'BA MRO'!$D:$D,"Incident",
'BA MRO'!$G:$G,3,
'BA MRO'!$I:$I,"Triaged",
'BA MRO'!$AJ:$AJ,"YES",
'BA MRO'!$U:$U,"No",
'BA MRO'!$N:$N,"&gt;="&amp;$B$1,
'BA MRO'!$N:$N,"&lt;"&amp;$C$1+1
)
)</f>
        <v>0</v>
      </c>
      <c r="O34" s="19">
        <f>SUM(
COUNTIFS(
'BA MRO'!$D:$D,"Incident",
'BA MRO'!$G:$G,3,
'BA MRO'!$I:$I,"Closed",
'BA MRO'!$AI:$AI,"NO",
'BA MRO'!$AJ:$AJ,"NO",
'BA MRO'!$U:$U,"No",
'BA MRO'!$N:$N,"&gt;="&amp;$B$1,
'BA MRO'!$N:$N,"&lt;"&amp;$C$1+1
),
COUNTIFS(
'BA MRO'!$D:$D,"Incident",
'BA MRO'!$G:$G,3,
'BA MRO'!$I:$I,"Triaged",
'BA MRO'!$AI:$AI,"NO",
'BA MRO'!$AJ:$AJ,"NO",
'BA MRO'!$U:$U,"No",
'BA MRO'!$N:$N,"&gt;="&amp;$B$1,
'BA MRO'!$N:$N,"&lt;"&amp;$C$1+1
)
)</f>
        <v>0</v>
      </c>
      <c r="P34" s="19">
        <f>SUM(
COUNTIFS(
'BA MRO'!$D:$D,"Incident",
'BA MRO'!$G:$G,4,
'BA MRO'!$I:$I,"Closed",
'BA MRO'!$U:$U,"NO",
'BA MRO'!$N:$N,"&gt;="&amp;$B$1,
'BA MRO'!$N:$N,"&lt;"&amp;$C$1+1
),
COUNTIFS(
'BA MRO'!$D:$D,"Incident",
'BA MRO'!$G:$G,4,
'BA MRO'!$I:$I,"Triaged",
'BA MRO'!$U:$U,"NO",
'BA MRO'!$N:$N,"&gt;="&amp;$B$1,
'BA MRO'!$N:$N,"&lt;"&amp;$C$1+1
)
)</f>
        <v>0</v>
      </c>
      <c r="Q34" s="19">
        <f>SUM(
COUNTIFS(
'BA MRO'!$D:$D,"Incident",
'BA MRO'!$G:$G,4,
'BA MRO'!$I:$I,"Closed",
'BA MRO'!$AI:$AI,"YES",
'BA MRO'!$U:$U,"No",
'BA MRO'!$N:$N,"&gt;="&amp;$B$1,
'BA MRO'!$N:$N,"&lt;"&amp;$C$1+1
),
COUNTIFS(
'BA MRO'!$D:$D,"Incident",
'BA MRO'!$G:$G,4,
'BA MRO'!$I:$I,"Triaged",
'BA MRO'!$AI:$AI,"YES",
'BA MRO'!$U:$U,"No",
'BA MRO'!$N:$N,"&gt;="&amp;$B$1,
'BA MRO'!$N:$N,"&lt;"&amp;$C$1+1
)
)</f>
        <v>0</v>
      </c>
      <c r="R34" s="19">
        <f>SUM(
COUNTIFS(
'BA MRO'!$D:$D,"Incident",
'BA MRO'!$G:$G,4,
'BA MRO'!$I:$I,"Closed",
'BA MRO'!$AJ:$AJ,"YES",
'BA MRO'!$U:$U,"No",
'BA MRO'!$N:$N,"&gt;="&amp;$B$1,
'BA MRO'!$N:$N,"&lt;"&amp;$C$1+1
),
COUNTIFS(
'BA MRO'!$D:$D,"Incident",
'BA MRO'!$G:$G,4,
'BA MRO'!$I:$I,"Triaged",
'BA MRO'!$AJ:$AJ,"YES",
'BA MRO'!$U:$U,"No",
'BA MRO'!$N:$N,"&gt;="&amp;$B$1,
'BA MRO'!$N:$N,"&lt;"&amp;$C$1+1
)
)</f>
        <v>0</v>
      </c>
      <c r="S34" s="19">
        <f>SUM(
COUNTIFS(
'BA MRO'!$D:$D,"Incident",
'BA MRO'!$G:$G,4,
'BA MRO'!$I:$I,"Closed",
'BA MRO'!$AI:$AI,"NO",
'BA MRO'!$AJ:$AJ,"NO",
'BA MRO'!$U:$U,"No",
'BA MRO'!$N:$N,"&gt;="&amp;$B$1,
'BA MRO'!$N:$N,"&lt;"&amp;$C$1+1
),
COUNTIFS(
'BA MRO'!$D:$D,"Incident",
'BA MRO'!$G:$G,4,
'BA MRO'!$I:$I,"Triaged",
'BA MRO'!$AI:$AI,"NO",
'BA MRO'!$AJ:$AJ,"NO",
'BA MRO'!$U:$U,"No",
'BA MRO'!$N:$N,"&gt;="&amp;$B$1,
'BA MRO'!$N:$N,"&lt;"&amp;$C$1+1
)
)</f>
        <v>0</v>
      </c>
    </row>
    <row r="35" spans="2:19" ht="15" customHeight="1">
      <c r="B35" s="139" t="s">
        <v>26</v>
      </c>
      <c r="C35" s="157" t="s">
        <v>44</v>
      </c>
      <c r="D35" s="81">
        <f>SUM(
COUNTIFS(
Pathway!$D:$D,"Incident",
Pathway!$G:$G,1,
Pathway!$I:$I,"Closed",
Pathway!$U:$U,"NO",
Pathway!$N:$N,"&gt;="&amp;$B$1,
Pathway!$N:$N,"&lt;"&amp;$C$1+1
),
COUNTIFS(
Pathway!$D:$D,"Incident",
Pathway!$G:$G,1,
Pathway!$I:$I,"Triaged",
Pathway!$U:$U,"NO",
Pathway!$N:$N,"&gt;="&amp;$B$1,
Pathway!$N:$N,"&lt;"&amp;$C$1+1
)
)</f>
        <v>0</v>
      </c>
      <c r="E35" s="19">
        <f>SUM(
COUNTIFS(
Pathway!$D:$D,"Incident",
Pathway!$G:$G,1,
Pathway!$I:$I,"Closed",
Pathway!$AI:$AI,"YES",
Pathway!$U:$U,"No",
Pathway!$N:$N,"&gt;="&amp;$B$1,
Pathway!$N:$N,"&lt;"&amp;$C$1+1
),
COUNTIFS(
Pathway!$D:$D,"Incident",
Pathway!$G:$G,1,
Pathway!$I:$I,"Triaged",
Pathway!$AI:$AI,"YES",
Pathway!$U:$U,"No",
Pathway!$N:$N,"&gt;="&amp;$B$1,
Pathway!$N:$N,"&lt;"&amp;$C$1+1
)
)</f>
        <v>0</v>
      </c>
      <c r="F35" s="19">
        <f>SUM(
COUNTIFS(
Pathway!$D:$D,"Incident",
Pathway!$G:$G,1,
Pathway!$I:$I,"Closed",
Pathway!$AJ:$AJ,"YES",
Pathway!$U:$U,"No",
Pathway!$N:$N,"&gt;="&amp;$B$1,
Pathway!$N:$N,"&lt;"&amp;$C$1+1
),
COUNTIFS(
Pathway!$D:$D,"Incident",
Pathway!$G:$G,1,
Pathway!$I:$I,"Triaged",
Pathway!$AJ:$AJ,"YES",
Pathway!$U:$U,"No",
Pathway!$N:$N,"&gt;="&amp;$B$1,
Pathway!$N:$N,"&lt;"&amp;$C$1+1
)
)</f>
        <v>0</v>
      </c>
      <c r="G35" s="19">
        <f>SUM(
COUNTIFS(
Pathway!$D:$D,"Incident",
Pathway!$G:$G,1,
Pathway!$I:$I,"Closed",
Pathway!$AI:$AI,"NO",
Pathway!$AJ:$AJ,"NO",
Pathway!$U:$U,"No",
Pathway!$N:$N,"&gt;="&amp;$B$1,
Pathway!$N:$N,"&lt;"&amp;$C$1+1
),
COUNTIFS(
Pathway!$D:$D,"Incident",
Pathway!$G:$G,1,
Pathway!$I:$I,"Triaged",
Pathway!$AI:$AI,"NO",
Pathway!$AJ:$AJ,"NO",
Pathway!$U:$U,"No",
Pathway!$N:$N,"&gt;="&amp;$B$1,
Pathway!$N:$N,"&lt;"&amp;$C$1+1
)
)</f>
        <v>0</v>
      </c>
      <c r="H35" s="19">
        <f>SUM(
COUNTIFS(
Pathway!$D:$D,"Incident",
Pathway!$G:$G,2,
Pathway!$I:$I,"Closed",
Pathway!$U:$U,"NO",
Pathway!$N:$N,"&gt;="&amp;$B$1,
Pathway!$N:$N,"&lt;"&amp;$C$1+1
),
COUNTIFS(
Pathway!$D:$D,"Incident",
Pathway!$G:$G,2,
Pathway!$I:$I,"Triaged",
Pathway!$U:$U,"NO",
Pathway!$N:$N,"&gt;="&amp;$B$1,
Pathway!$N:$N,"&lt;"&amp;$C$1+1
)
)</f>
        <v>0</v>
      </c>
      <c r="I35" s="19">
        <f>SUM(
COUNTIFS(
Pathway!$D:$D,"Incident",
Pathway!$G:$G,2,
Pathway!$I:$I,"Closed",
Pathway!$AI:$AI,"YES",
Pathway!$U:$U,"No",
Pathway!$N:$N,"&gt;="&amp;$B$1,
Pathway!$N:$N,"&lt;"&amp;$C$1+1
),
COUNTIFS(
Pathway!$D:$D,"Incident",
Pathway!$G:$G,2,
Pathway!$I:$I,"Triaged",
Pathway!$AI:$AI,"YES",
Pathway!$U:$U,"No",
Pathway!$N:$N,"&gt;="&amp;$B$1,
Pathway!$N:$N,"&lt;"&amp;$C$1+1
)
)</f>
        <v>0</v>
      </c>
      <c r="J35" s="19">
        <f>SUM(
COUNTIFS(
Pathway!$D:$D,"Incident",
Pathway!$G:$G,2,
Pathway!$I:$I,"Closed",
Pathway!$AJ:$AJ,"YES",
Pathway!$U:$U,"No",
Pathway!$N:$N,"&gt;="&amp;$B$1,
Pathway!$N:$N,"&lt;"&amp;$C$1+1
),
COUNTIFS(
Pathway!$D:$D,"Incident",
Pathway!$G:$G,2,
Pathway!$I:$I,"Triaged",
Pathway!$AJ:$AJ,"YES",
Pathway!$U:$U,"No",
Pathway!$N:$N,"&gt;="&amp;$B$1,
Pathway!$N:$N,"&lt;"&amp;$C$1+1
)
)</f>
        <v>0</v>
      </c>
      <c r="K35" s="19">
        <f>SUM(
COUNTIFS(
Pathway!$D:$D,"Incident",
Pathway!$G:$G,2,
Pathway!$I:$I,"Closed",
Pathway!$AI:$AI,"NO",
Pathway!$AJ:$AJ,"NO",
Pathway!$U:$U,"No",
Pathway!$N:$N,"&gt;="&amp;$B$1,
Pathway!$N:$N,"&lt;"&amp;$C$1+1
),
COUNTIFS(
Pathway!$D:$D,"Incident",
Pathway!$G:$G,2,
Pathway!$I:$I,"Triaged",
Pathway!$AI:$AI,"NO",
Pathway!$AJ:$AJ,"NO",
Pathway!$U:$U,"No",
Pathway!$N:$N,"&gt;="&amp;$B$1,
Pathway!$N:$N,"&lt;"&amp;$C$1+1
)
)</f>
        <v>0</v>
      </c>
      <c r="L35" s="19">
        <f>SUM(
COUNTIFS(
Pathway!$D:$D,"Incident",
Pathway!$G:$G,3,
Pathway!$I:$I,"Closed",
Pathway!$U:$U,"NO",
Pathway!$N:$N,"&gt;="&amp;$B$1,
Pathway!$N:$N,"&lt;"&amp;$C$1+1
),
COUNTIFS(
Pathway!$D:$D,"Incident",
Pathway!$G:$G,3,
Pathway!$I:$I,"Triaged",
Pathway!$U:$U,"NO",
Pathway!$N:$N,"&gt;="&amp;$B$1,
Pathway!$N:$N,"&lt;"&amp;$C$1+1
)
)</f>
        <v>8</v>
      </c>
      <c r="M35" s="19">
        <f ca="1">SUM(
COUNTIFS(
Pathway!$D:$D,"Incident",
Pathway!$G:$G,3,
Pathway!$I:$I,"Closed",
Pathway!$AI:$AI,"YES",
Pathway!$U:$U,"No",
Pathway!$N:$N,"&gt;="&amp;$B$1,
Pathway!$N:$N,"&lt;"&amp;$C$1+1
),
COUNTIFS(
Pathway!$D:$D,"Incident",
Pathway!$G:$G,3,
Pathway!$I:$I,"Triaged",
Pathway!$AI:$AI,"YES",
Pathway!$U:$U,"No",
Pathway!$N:$N,"&gt;="&amp;$B$1,
Pathway!$N:$N,"&lt;"&amp;$C$1+1
)
)</f>
        <v>0</v>
      </c>
      <c r="N35" s="19">
        <f ca="1">SUM(
COUNTIFS(
Pathway!$D:$D,"Incident",
Pathway!$G:$G,3,
Pathway!$I:$I,"Closed",
Pathway!$AJ:$AJ,"YES",
Pathway!$U:$U,"No",
Pathway!$N:$N,"&gt;="&amp;$B$1,
Pathway!$N:$N,"&lt;"&amp;$C$1+1
),
COUNTIFS(
Pathway!$D:$D,"Incident",
Pathway!$G:$G,3,
Pathway!$I:$I,"Triaged",
Pathway!$AJ:$AJ,"YES",
Pathway!$U:$U,"No",
Pathway!$N:$N,"&gt;="&amp;$B$1,
Pathway!$N:$N,"&lt;"&amp;$C$1+1
)
)</f>
        <v>0</v>
      </c>
      <c r="O35" s="19">
        <f>SUM(
COUNTIFS(
Pathway!$D:$D,"Incident",
Pathway!$G:$G,3,
Pathway!$I:$I,"Closed",
Pathway!$AI:$AI,"NO",
Pathway!$AJ:$AJ,"NO",
Pathway!$U:$U,"No",
Pathway!$N:$N,"&gt;="&amp;$B$1,
Pathway!$N:$N,"&lt;"&amp;$C$1+1
),
COUNTIFS(
Pathway!$D:$D,"Incident",
Pathway!$G:$G,3,
Pathway!$I:$I,"Triaged",
Pathway!$AI:$AI,"NO",
Pathway!$AJ:$AJ,"NO",
Pathway!$U:$U,"No",
Pathway!$N:$N,"&gt;="&amp;$B$1,
Pathway!$N:$N,"&lt;"&amp;$C$1+1
)
)</f>
        <v>0</v>
      </c>
      <c r="P35" s="19">
        <f>SUM(
COUNTIFS(
Pathway!$D:$D,"Incident",
Pathway!$G:$G,4,
Pathway!$I:$I,"Closed",
Pathway!$U:$U,"NO",
Pathway!$N:$N,"&gt;="&amp;$B$1,
Pathway!$N:$N,"&lt;"&amp;$C$1+1
),
COUNTIFS(
Pathway!$D:$D,"Incident",
Pathway!$G:$G,4,
Pathway!$I:$I,"Triaged",
Pathway!$U:$U,"NO",
Pathway!$N:$N,"&gt;="&amp;$B$1,
Pathway!$N:$N,"&lt;"&amp;$C$1+1
)
)</f>
        <v>3</v>
      </c>
      <c r="Q35" s="19">
        <f ca="1">SUM(
COUNTIFS(
Pathway!$D:$D,"Incident",
Pathway!$G:$G,4,
Pathway!$I:$I,"Closed",
Pathway!$AI:$AI,"YES",
Pathway!$U:$U,"No",
Pathway!$N:$N,"&gt;="&amp;$B$1,
Pathway!$N:$N,"&lt;"&amp;$C$1+1
),
COUNTIFS(
Pathway!$D:$D,"Incident",
Pathway!$G:$G,4,
Pathway!$I:$I,"Triaged",
Pathway!$AI:$AI,"YES",
Pathway!$U:$U,"No",
Pathway!$N:$N,"&gt;="&amp;$B$1,
Pathway!$N:$N,"&lt;"&amp;$C$1+1
)
)</f>
        <v>0</v>
      </c>
      <c r="R35" s="19">
        <f ca="1">SUM(
COUNTIFS(
Pathway!$D:$D,"Incident",
Pathway!$G:$G,4,
Pathway!$I:$I,"Closed",
Pathway!$AJ:$AJ,"YES",
Pathway!$U:$U,"No",
Pathway!$N:$N,"&gt;="&amp;$B$1,
Pathway!$N:$N,"&lt;"&amp;$C$1+1
),
COUNTIFS(
Pathway!$D:$D,"Incident",
Pathway!$G:$G,4,
Pathway!$I:$I,"Triaged",
Pathway!$AJ:$AJ,"YES",
Pathway!$U:$U,"No",
Pathway!$N:$N,"&gt;="&amp;$B$1,
Pathway!$N:$N,"&lt;"&amp;$C$1+1
)
)</f>
        <v>0</v>
      </c>
      <c r="S35" s="19">
        <f ca="1">SUM(
COUNTIFS(
Pathway!$D:$D,"Incident",
Pathway!$G:$G,4,
Pathway!$I:$I,"Closed",
Pathway!$AI:$AI,"NO",
Pathway!$AJ:$AJ,"NO",
Pathway!$U:$U,"No",
Pathway!$N:$N,"&gt;="&amp;$B$1,
Pathway!$N:$N,"&lt;"&amp;$C$1+1
),
COUNTIFS(
Pathway!$D:$D,"Incident",
Pathway!$G:$G,4,
Pathway!$I:$I,"Triaged",
Pathway!$AI:$AI,"NO",
Pathway!$AJ:$AJ,"NO",
Pathway!$U:$U,"No",
Pathway!$N:$N,"&gt;="&amp;$B$1,
Pathway!$N:$N,"&lt;"&amp;$C$1+1
)
)</f>
        <v>0</v>
      </c>
    </row>
    <row r="36" spans="2:19" ht="15" customHeight="1">
      <c r="B36" s="139" t="s">
        <v>46</v>
      </c>
      <c r="C36" s="157" t="s">
        <v>37</v>
      </c>
      <c r="D36" s="81">
        <f>SUM(
COUNTIFS(
'IB MOBILE'!$D:$D,"Incident",
'IB MOBILE'!$G:$G,1,
'IB MOBILE'!$I:$I,"Closed",
'IB MOBILE'!$U:$U,"NO",
'IB MOBILE'!$N:$N,"&gt;="&amp;$B$1,
'IB MOBILE'!$N:$N,"&lt;"&amp;$C$1+1
),
COUNTIFS(
'IB MOBILE'!$D:$D,"Incident",
'IB MOBILE'!$G:$G,1,
'IB MOBILE'!$I:$I,"Triaged",
'IB MOBILE'!$U:$U,"NO",
'IB MOBILE'!$N:$N,"&gt;="&amp;$B$1,
'IB MOBILE'!$N:$N,"&lt;"&amp;$C$1+1
)
)</f>
        <v>0</v>
      </c>
      <c r="E36" s="19">
        <f>SUM(
COUNTIFS(
'IB MOBILE'!$D:$D,"Incident",
'IB MOBILE'!$G:$G,1,
'IB MOBILE'!$I:$I,"Closed",
'IB MOBILE'!$AI:$AI,"YES",
'IB MOBILE'!$U:$U,"No",
'IB MOBILE'!$N:$N,"&gt;="&amp;$B$1,
'IB MOBILE'!$N:$N,"&lt;"&amp;$C$1+1
),
COUNTIFS(
'IB MOBILE'!$D:$D,"Incident",
'IB MOBILE'!$G:$G,1,
'IB MOBILE'!$I:$I,"Triaged",
'IB MOBILE'!$AI:$AI,"YES",
'IB MOBILE'!$U:$U,"No",
'IB MOBILE'!$N:$N,"&gt;="&amp;$B$1,
'IB MOBILE'!$N:$N,"&lt;"&amp;$C$1+1
)
)</f>
        <v>0</v>
      </c>
      <c r="F36" s="19">
        <f>SUM(
COUNTIFS(
'IB MOBILE'!$D:$D,"Incident",
'IB MOBILE'!$G:$G,1,
'IB MOBILE'!$I:$I,"Closed",
'IB MOBILE'!$AJ:$AJ,"YES",
'IB MOBILE'!$U:$U,"No",
'IB MOBILE'!$N:$N,"&gt;="&amp;$B$1,
'IB MOBILE'!$N:$N,"&lt;"&amp;$C$1+1
),
COUNTIFS(
'IB MOBILE'!$D:$D,"Incident",
'IB MOBILE'!$G:$G,1,
'IB MOBILE'!$I:$I,"Triaged",
'IB MOBILE'!$AJ:$AJ,"YES",
'IB MOBILE'!$U:$U,"No",
'IB MOBILE'!$N:$N,"&gt;="&amp;$B$1,
'IB MOBILE'!$N:$N,"&lt;"&amp;$C$1+1
)
)</f>
        <v>0</v>
      </c>
      <c r="G36" s="19">
        <f>SUM(
COUNTIFS(
'IB MOBILE'!$D:$D,"Incident",
'IB MOBILE'!$G:$G,1,
'IB MOBILE'!$I:$I,"Closed",
'IB MOBILE'!$AI:$AI,"NO",
'IB MOBILE'!$AJ:$AJ,"NO",
'IB MOBILE'!$U:$U,"No",
'IB MOBILE'!$N:$N,"&gt;="&amp;$B$1,
'IB MOBILE'!$N:$N,"&lt;"&amp;$C$1+1
),
COUNTIFS(
'IB MOBILE'!$D:$D,"Incident",
'IB MOBILE'!$G:$G,1,
'IB MOBILE'!$I:$I,"Triaged",
'IB MOBILE'!$AI:$AI,"NO",
'IB MOBILE'!$AJ:$AJ,"NO",
'IB MOBILE'!$U:$U,"No",
'IB MOBILE'!$N:$N,"&gt;="&amp;$B$1,
'IB MOBILE'!$N:$N,"&lt;"&amp;$C$1+1
)
)</f>
        <v>0</v>
      </c>
      <c r="H36" s="19">
        <f>SUM(
COUNTIFS(
'IB MOBILE'!$D:$D,"Incident",
'IB MOBILE'!$G:$G,2,
'IB MOBILE'!$I:$I,"Closed",
'IB MOBILE'!$U:$U,"NO",
'IB MOBILE'!$N:$N,"&gt;="&amp;$B$1,
'IB MOBILE'!$N:$N,"&lt;"&amp;$C$1+1
),
COUNTIFS(
'IB MOBILE'!$D:$D,"Incident",
'IB MOBILE'!$G:$G,2,
'IB MOBILE'!$I:$I,"Triaged",
'IB MOBILE'!$U:$U,"NO",
'IB MOBILE'!$N:$N,"&gt;="&amp;$B$1,
'IB MOBILE'!$N:$N,"&lt;"&amp;$C$1+1
)
)</f>
        <v>0</v>
      </c>
      <c r="I36" s="19">
        <f>SUM(
COUNTIFS(
'IB MOBILE'!$D:$D,"Incident",
'IB MOBILE'!$G:$G,2,
'IB MOBILE'!$I:$I,"Closed",
'IB MOBILE'!$AI:$AI,"YES",
'IB MOBILE'!$U:$U,"No",
'IB MOBILE'!$N:$N,"&gt;="&amp;$B$1,
'IB MOBILE'!$N:$N,"&lt;"&amp;$C$1+1
),
COUNTIFS(
'IB MOBILE'!$D:$D,"Incident",
'IB MOBILE'!$G:$G,2,
'IB MOBILE'!$I:$I,"Triaged",
'IB MOBILE'!$AI:$AI,"YES",
'IB MOBILE'!$U:$U,"No",
'IB MOBILE'!$N:$N,"&gt;="&amp;$B$1,
'IB MOBILE'!$N:$N,"&lt;"&amp;$C$1+1
)
)</f>
        <v>0</v>
      </c>
      <c r="J36" s="19">
        <f>SUM(
COUNTIFS(
'IB MOBILE'!$D:$D,"Incident",
'IB MOBILE'!$G:$G,2,
'IB MOBILE'!$I:$I,"Closed",
'IB MOBILE'!$AJ:$AJ,"YES",
'IB MOBILE'!$U:$U,"No",
'IB MOBILE'!$N:$N,"&gt;="&amp;$B$1,
'IB MOBILE'!$N:$N,"&lt;"&amp;$C$1+1
),
COUNTIFS(
'IB MOBILE'!$D:$D,"Incident",
'IB MOBILE'!$G:$G,2,
'IB MOBILE'!$I:$I,"Triaged",
'IB MOBILE'!$AJ:$AJ,"YES",
'IB MOBILE'!$U:$U,"No",
'IB MOBILE'!$N:$N,"&gt;="&amp;$B$1,
'IB MOBILE'!$N:$N,"&lt;"&amp;$C$1+1
)
)</f>
        <v>0</v>
      </c>
      <c r="K36" s="19">
        <f>SUM(
COUNTIFS(
'IB MOBILE'!$D:$D,"Incident",
'IB MOBILE'!$G:$G,2,
'IB MOBILE'!$I:$I,"Closed",
'IB MOBILE'!$AI:$AI,"NO",
'IB MOBILE'!$AJ:$AJ,"NO",
'IB MOBILE'!$U:$U,"No",
'IB MOBILE'!$N:$N,"&gt;="&amp;$B$1,
'IB MOBILE'!$N:$N,"&lt;"&amp;$C$1+1
),
COUNTIFS(
'IB MOBILE'!$D:$D,"Incident",
'IB MOBILE'!$G:$G,2,
'IB MOBILE'!$I:$I,"Triaged",
'IB MOBILE'!$AI:$AI,"NO",
'IB MOBILE'!$AJ:$AJ,"NO",
'IB MOBILE'!$U:$U,"No",
'IB MOBILE'!$N:$N,"&gt;="&amp;$B$1,
'IB MOBILE'!$N:$N,"&lt;"&amp;$C$1+1
)
)</f>
        <v>0</v>
      </c>
      <c r="L36" s="19">
        <f>SUM(
COUNTIFS(
'IB MOBILE'!$D:$D,"Incident",
'IB MOBILE'!$G:$G,3,
'IB MOBILE'!$I:$I,"Closed",
'IB MOBILE'!$U:$U,"NO",
'IB MOBILE'!$N:$N,"&gt;="&amp;$B$1,
'IB MOBILE'!$N:$N,"&lt;"&amp;$C$1+1
),
COUNTIFS(
'IB MOBILE'!$D:$D,"Incident",
'IB MOBILE'!$G:$G,3,
'IB MOBILE'!$I:$I,"Triaged",
'IB MOBILE'!$U:$U,"NO",
'IB MOBILE'!$N:$N,"&gt;="&amp;$B$1,
'IB MOBILE'!$N:$N,"&lt;"&amp;$C$1+1
)
)</f>
        <v>0</v>
      </c>
      <c r="M36" s="19">
        <f>SUM(
COUNTIFS(
'IB MOBILE'!$D:$D,"Incident",
'IB MOBILE'!$G:$G,3,
'IB MOBILE'!$I:$I,"Closed",
'IB MOBILE'!$AI:$AI,"YES",
'IB MOBILE'!$U:$U,"No",
'IB MOBILE'!$N:$N,"&gt;="&amp;$B$1,
'IB MOBILE'!$N:$N,"&lt;"&amp;$C$1+1
),
COUNTIFS(
'IB MOBILE'!$D:$D,"Incident",
'IB MOBILE'!$G:$G,3,
'IB MOBILE'!$I:$I,"Triaged",
'IB MOBILE'!$AI:$AI,"YES",
'IB MOBILE'!$U:$U,"No",
'IB MOBILE'!$N:$N,"&gt;="&amp;$B$1,
'IB MOBILE'!$N:$N,"&lt;"&amp;$C$1+1
)
)</f>
        <v>0</v>
      </c>
      <c r="N36" s="19">
        <f>SUM(
COUNTIFS(
'IB MOBILE'!$D:$D,"Incident",
'IB MOBILE'!$G:$G,3,
'IB MOBILE'!$I:$I,"Closed",
'IB MOBILE'!$AJ:$AJ,"YES",
'IB MOBILE'!$U:$U,"No",
'IB MOBILE'!$N:$N,"&gt;="&amp;$B$1,
'IB MOBILE'!$N:$N,"&lt;"&amp;$C$1+1
),
COUNTIFS(
'IB MOBILE'!$D:$D,"Incident",
'IB MOBILE'!$G:$G,3,
'IB MOBILE'!$I:$I,"Triaged",
'IB MOBILE'!$AJ:$AJ,"YES",
'IB MOBILE'!$U:$U,"No",
'IB MOBILE'!$N:$N,"&gt;="&amp;$B$1,
'IB MOBILE'!$N:$N,"&lt;"&amp;$C$1+1
)
)</f>
        <v>0</v>
      </c>
      <c r="O36" s="19">
        <f>SUM(
COUNTIFS(
'IB MOBILE'!$D:$D,"Incident",
'IB MOBILE'!$G:$G,3,
'IB MOBILE'!$I:$I,"Closed",
'IB MOBILE'!$AI:$AI,"NO",
'IB MOBILE'!$AJ:$AJ,"NO",
'IB MOBILE'!$U:$U,"No",
'IB MOBILE'!$N:$N,"&gt;="&amp;$B$1,
'IB MOBILE'!$N:$N,"&lt;"&amp;$C$1+1
),
COUNTIFS(
'IB MOBILE'!$D:$D,"Incident",
'IB MOBILE'!$G:$G,3,
'IB MOBILE'!$I:$I,"Triaged",
'IB MOBILE'!$AI:$AI,"NO",
'IB MOBILE'!$AJ:$AJ,"NO",
'IB MOBILE'!$U:$U,"No",
'IB MOBILE'!$N:$N,"&gt;="&amp;$B$1,
'IB MOBILE'!$N:$N,"&lt;"&amp;$C$1+1
)
)</f>
        <v>0</v>
      </c>
      <c r="P36" s="19">
        <f>SUM(
COUNTIFS(
'IB MOBILE'!$D:$D,"Incident",
'IB MOBILE'!$G:$G,4,
'IB MOBILE'!$I:$I,"Closed",
'IB MOBILE'!$U:$U,"NO",
'IB MOBILE'!$N:$N,"&gt;="&amp;$B$1,
'IB MOBILE'!$N:$N,"&lt;"&amp;$C$1+1
),
COUNTIFS(
'IB MOBILE'!$D:$D,"Incident",
'IB MOBILE'!$G:$G,4,
'IB MOBILE'!$I:$I,"Triaged",
'IB MOBILE'!$U:$U,"NO",
'IB MOBILE'!$N:$N,"&gt;="&amp;$B$1,
'IB MOBILE'!$N:$N,"&lt;"&amp;$C$1+1
)
)</f>
        <v>0</v>
      </c>
      <c r="Q36" s="19">
        <f>SUM(
COUNTIFS(
'IB MOBILE'!$D:$D,"Incident",
'IB MOBILE'!$G:$G,4,
'IB MOBILE'!$I:$I,"Closed",
'IB MOBILE'!$AI:$AI,"YES",
'IB MOBILE'!$U:$U,"No",
'IB MOBILE'!$N:$N,"&gt;="&amp;$B$1,
'IB MOBILE'!$N:$N,"&lt;"&amp;$C$1+1
),
COUNTIFS(
'IB MOBILE'!$D:$D,"Incident",
'IB MOBILE'!$G:$G,4,
'IB MOBILE'!$I:$I,"Triaged",
'IB MOBILE'!$AI:$AI,"YES",
'IB MOBILE'!$U:$U,"No",
'IB MOBILE'!$N:$N,"&gt;="&amp;$B$1,
'IB MOBILE'!$N:$N,"&lt;"&amp;$C$1+1
)
)</f>
        <v>0</v>
      </c>
      <c r="R36" s="19">
        <f>SUM(
COUNTIFS(
'IB MOBILE'!$D:$D,"Incident",
'IB MOBILE'!$G:$G,4,
'IB MOBILE'!$I:$I,"Closed",
'IB MOBILE'!$AJ:$AJ,"YES",
'IB MOBILE'!$U:$U,"No",
'IB MOBILE'!$N:$N,"&gt;="&amp;$B$1,
'IB MOBILE'!$N:$N,"&lt;"&amp;$C$1+1
),
COUNTIFS(
'IB MOBILE'!$D:$D,"Incident",
'IB MOBILE'!$G:$G,4,
'IB MOBILE'!$I:$I,"Triaged",
'IB MOBILE'!$AJ:$AJ,"YES",
'IB MOBILE'!$U:$U,"No",
'IB MOBILE'!$N:$N,"&gt;="&amp;$B$1,
'IB MOBILE'!$N:$N,"&lt;"&amp;$C$1+1
)
)</f>
        <v>0</v>
      </c>
      <c r="S36" s="19">
        <f>SUM(
COUNTIFS(
'IB MOBILE'!$D:$D,"Incident",
'IB MOBILE'!$G:$G,4,
'IB MOBILE'!$I:$I,"Closed",
'IB MOBILE'!$AI:$AI,"NO",
'IB MOBILE'!$AJ:$AJ,"NO",
'IB MOBILE'!$U:$U,"No",
'IB MOBILE'!$N:$N,"&gt;="&amp;$B$1,
'IB MOBILE'!$N:$N,"&lt;"&amp;$C$1+1
),
COUNTIFS(
'IB MOBILE'!$D:$D,"Incident",
'IB MOBILE'!$G:$G,4,
'IB MOBILE'!$I:$I,"Triaged",
'IB MOBILE'!$AI:$AI,"NO",
'IB MOBILE'!$AJ:$AJ,"NO",
'IB MOBILE'!$U:$U,"No",
'IB MOBILE'!$N:$N,"&gt;="&amp;$B$1,
'IB MOBILE'!$N:$N,"&lt;"&amp;$C$1+1
)
)</f>
        <v>0</v>
      </c>
    </row>
    <row r="37" spans="2:19" ht="15" customHeight="1">
      <c r="B37" s="141" t="s">
        <v>46</v>
      </c>
      <c r="C37" s="157" t="s">
        <v>48</v>
      </c>
      <c r="D37" s="81">
        <f>SUM(
COUNTIFS(
'IB COMMERCIAL'!$D:$D,"Incident",
'IB COMMERCIAL'!$G:$G,1,
'IB COMMERCIAL'!$I:$I,"Closed",
'IB COMMERCIAL'!$U:$U,"NO",
'IB COMMERCIAL'!$N:$N,"&gt;="&amp;$B$1,
'IB COMMERCIAL'!$N:$N,"&lt;"&amp;$C$1+1
),
COUNTIFS(
'IB COMMERCIAL'!$D:$D,"Incident",
'IB COMMERCIAL'!$G:$G,1,
'IB COMMERCIAL'!$I:$I,"Triaged",
'IB COMMERCIAL'!$U:$U,"NO",
'IB COMMERCIAL'!$N:$N,"&gt;="&amp;$B$1,
'IB COMMERCIAL'!$N:$N,"&lt;"&amp;$C$1+1
)
)</f>
        <v>0</v>
      </c>
      <c r="E37" s="19">
        <f>SUM(
COUNTIFS(
'IB COMMERCIAL'!$D:$D,"Incident",
'IB COMMERCIAL'!$G:$G,1,
'IB COMMERCIAL'!$I:$I,"Closed",
'IB COMMERCIAL'!$AI:$AI,"YES",
'IB COMMERCIAL'!$U:$U,"No",
'IB COMMERCIAL'!$N:$N,"&gt;="&amp;$B$1,
'IB COMMERCIAL'!$N:$N,"&lt;"&amp;$C$1+1
),
COUNTIFS(
'IB COMMERCIAL'!$D:$D,"Incident",
'IB COMMERCIAL'!$G:$G,1,
'IB COMMERCIAL'!$I:$I,"Triaged",
'IB COMMERCIAL'!$AI:$AI,"YES",
'IB COMMERCIAL'!$U:$U,"No",
'IB COMMERCIAL'!$N:$N,"&gt;="&amp;$B$1,
'IB COMMERCIAL'!$N:$N,"&lt;"&amp;$C$1+1
)
)</f>
        <v>0</v>
      </c>
      <c r="F37" s="19">
        <f>SUM(
COUNTIFS(
'IB COMMERCIAL'!$D:$D,"Incident",
'IB COMMERCIAL'!$G:$G,1,
'IB COMMERCIAL'!$I:$I,"Closed",
'IB COMMERCIAL'!$AJ:$AJ,"YES",
'IB COMMERCIAL'!$U:$U,"No",
'IB COMMERCIAL'!$N:$N,"&gt;="&amp;$B$1,
'IB COMMERCIAL'!$N:$N,"&lt;"&amp;$C$1+1
),
COUNTIFS(
'IB COMMERCIAL'!$D:$D,"Incident",
'IB COMMERCIAL'!$G:$G,1,
'IB COMMERCIAL'!$I:$I,"Triaged",
'IB COMMERCIAL'!$AJ:$AJ,"YES",
'IB COMMERCIAL'!$U:$U,"No",
'IB COMMERCIAL'!$N:$N,"&gt;="&amp;$B$1,
'IB COMMERCIAL'!$N:$N,"&lt;"&amp;$C$1+1
)
)</f>
        <v>0</v>
      </c>
      <c r="G37" s="19">
        <f>SUM(
COUNTIFS(
'IB COMMERCIAL'!$D:$D,"Incident",
'IB COMMERCIAL'!$G:$G,1,
'IB COMMERCIAL'!$I:$I,"Closed",
'IB COMMERCIAL'!$AI:$AI,"NO",
'IB COMMERCIAL'!$AJ:$AJ,"NO",
'IB COMMERCIAL'!$U:$U,"No",
'IB COMMERCIAL'!$N:$N,"&gt;="&amp;$B$1,
'IB COMMERCIAL'!$N:$N,"&lt;"&amp;$C$1+1
),
COUNTIFS(
'IB COMMERCIAL'!$D:$D,"Incident",
'IB COMMERCIAL'!$G:$G,1,
'IB COMMERCIAL'!$I:$I,"Triaged",
'IB COMMERCIAL'!$AI:$AI,"NO",
'IB COMMERCIAL'!$AJ:$AJ,"NO",
'IB COMMERCIAL'!$U:$U,"No",
'IB COMMERCIAL'!$N:$N,"&gt;="&amp;$B$1,
'IB COMMERCIAL'!$N:$N,"&lt;"&amp;$C$1+1
)
)</f>
        <v>0</v>
      </c>
      <c r="H37" s="19">
        <f>SUM(
COUNTIFS(
'IB COMMERCIAL'!$D:$D,"Incident",
'IB COMMERCIAL'!$G:$G,2,
'IB COMMERCIAL'!$I:$I,"Closed",
'IB COMMERCIAL'!$U:$U,"NO",
'IB COMMERCIAL'!$N:$N,"&gt;="&amp;$B$1,
'IB COMMERCIAL'!$N:$N,"&lt;"&amp;$C$1+1
),
COUNTIFS(
'IB COMMERCIAL'!$D:$D,"Incident",
'IB COMMERCIAL'!$G:$G,2,
'IB COMMERCIAL'!$I:$I,"Triaged",
'IB COMMERCIAL'!$U:$U,"NO",
'IB COMMERCIAL'!$N:$N,"&gt;="&amp;$B$1,
'IB COMMERCIAL'!$N:$N,"&lt;"&amp;$C$1+1
)
)</f>
        <v>0</v>
      </c>
      <c r="I37" s="19">
        <f>SUM(
COUNTIFS(
'IB COMMERCIAL'!$D:$D,"Incident",
'IB COMMERCIAL'!$G:$G,2,
'IB COMMERCIAL'!$I:$I,"Closed",
'IB COMMERCIAL'!$AI:$AI,"YES",
'IB COMMERCIAL'!$U:$U,"No",
'IB COMMERCIAL'!$N:$N,"&gt;="&amp;$B$1,
'IB COMMERCIAL'!$N:$N,"&lt;"&amp;$C$1+1
),
COUNTIFS(
'IB COMMERCIAL'!$D:$D,"Incident",
'IB COMMERCIAL'!$G:$G,2,
'IB COMMERCIAL'!$I:$I,"Triaged",
'IB COMMERCIAL'!$AI:$AI,"YES",
'IB COMMERCIAL'!$U:$U,"No",
'IB COMMERCIAL'!$N:$N,"&gt;="&amp;$B$1,
'IB COMMERCIAL'!$N:$N,"&lt;"&amp;$C$1+1
)
)</f>
        <v>0</v>
      </c>
      <c r="J37" s="19">
        <f>SUM(
COUNTIFS(
'IB COMMERCIAL'!$D:$D,"Incident",
'IB COMMERCIAL'!$G:$G,2,
'IB COMMERCIAL'!$I:$I,"Closed",
'IB COMMERCIAL'!$AJ:$AJ,"YES",
'IB COMMERCIAL'!$U:$U,"No",
'IB COMMERCIAL'!$N:$N,"&gt;="&amp;$B$1,
'IB COMMERCIAL'!$N:$N,"&lt;"&amp;$C$1+1
),
COUNTIFS(
'IB COMMERCIAL'!$D:$D,"Incident",
'IB COMMERCIAL'!$G:$G,2,
'IB COMMERCIAL'!$I:$I,"Triaged",
'IB COMMERCIAL'!$AJ:$AJ,"YES",
'IB COMMERCIAL'!$U:$U,"No",
'IB COMMERCIAL'!$N:$N,"&gt;="&amp;$B$1,
'IB COMMERCIAL'!$N:$N,"&lt;"&amp;$C$1+1
)
)</f>
        <v>0</v>
      </c>
      <c r="K37" s="19">
        <f>SUM(
COUNTIFS(
'IB COMMERCIAL'!$D:$D,"Incident",
'IB COMMERCIAL'!$G:$G,2,
'IB COMMERCIAL'!$I:$I,"Closed",
'IB COMMERCIAL'!$AI:$AI,"NO",
'IB COMMERCIAL'!$AJ:$AJ,"NO",
'IB COMMERCIAL'!$U:$U,"No",
'IB COMMERCIAL'!$N:$N,"&gt;="&amp;$B$1,
'IB COMMERCIAL'!$N:$N,"&lt;"&amp;$C$1+1
),
COUNTIFS(
'IB COMMERCIAL'!$D:$D,"Incident",
'IB COMMERCIAL'!$G:$G,2,
'IB COMMERCIAL'!$I:$I,"Triaged",
'IB COMMERCIAL'!$AI:$AI,"NO",
'IB COMMERCIAL'!$AJ:$AJ,"NO",
'IB COMMERCIAL'!$U:$U,"No",
'IB COMMERCIAL'!$N:$N,"&gt;="&amp;$B$1,
'IB COMMERCIAL'!$N:$N,"&lt;"&amp;$C$1+1
)
)</f>
        <v>0</v>
      </c>
      <c r="L37" s="19">
        <f>SUM(
COUNTIFS(
'IB COMMERCIAL'!$D:$D,"Incident",
'IB COMMERCIAL'!$G:$G,3,
'IB COMMERCIAL'!$I:$I,"Closed",
'IB COMMERCIAL'!$U:$U,"NO",
'IB COMMERCIAL'!$N:$N,"&gt;="&amp;$B$1,
'IB COMMERCIAL'!$N:$N,"&lt;"&amp;$C$1+1
),
COUNTIFS(
'IB COMMERCIAL'!$D:$D,"Incident",
'IB COMMERCIAL'!$G:$G,3,
'IB COMMERCIAL'!$I:$I,"Triaged",
'IB COMMERCIAL'!$U:$U,"NO",
'IB COMMERCIAL'!$N:$N,"&gt;="&amp;$B$1,
'IB COMMERCIAL'!$N:$N,"&lt;"&amp;$C$1+1
)
)</f>
        <v>0</v>
      </c>
      <c r="M37" s="19">
        <f>SUM(
COUNTIFS(
'IB COMMERCIAL'!$D:$D,"Incident",
'IB COMMERCIAL'!$G:$G,3,
'IB COMMERCIAL'!$I:$I,"Closed",
'IB COMMERCIAL'!$AI:$AI,"YES",
'IB COMMERCIAL'!$U:$U,"No",
'IB COMMERCIAL'!$N:$N,"&gt;="&amp;$B$1,
'IB COMMERCIAL'!$N:$N,"&lt;"&amp;$C$1+1
),
COUNTIFS(
'IB COMMERCIAL'!$D:$D,"Incident",
'IB COMMERCIAL'!$G:$G,3,
'IB COMMERCIAL'!$I:$I,"Triaged",
'IB COMMERCIAL'!$AI:$AI,"YES",
'IB COMMERCIAL'!$U:$U,"No",
'IB COMMERCIAL'!$N:$N,"&gt;="&amp;$B$1,
'IB COMMERCIAL'!$N:$N,"&lt;"&amp;$C$1+1
)
)</f>
        <v>0</v>
      </c>
      <c r="N37" s="19">
        <f>SUM(
COUNTIFS(
'IB COMMERCIAL'!$D:$D,"Incident",
'IB COMMERCIAL'!$G:$G,3,
'IB COMMERCIAL'!$I:$I,"Closed",
'IB COMMERCIAL'!$AJ:$AJ,"YES",
'IB COMMERCIAL'!$U:$U,"No",
'IB COMMERCIAL'!$N:$N,"&gt;="&amp;$B$1,
'IB COMMERCIAL'!$N:$N,"&lt;"&amp;$C$1+1
),
COUNTIFS(
'IB COMMERCIAL'!$D:$D,"Incident",
'IB COMMERCIAL'!$G:$G,3,
'IB COMMERCIAL'!$I:$I,"Triaged",
'IB COMMERCIAL'!$AJ:$AJ,"YES",
'IB COMMERCIAL'!$U:$U,"No",
'IB COMMERCIAL'!$N:$N,"&gt;="&amp;$B$1,
'IB COMMERCIAL'!$N:$N,"&lt;"&amp;$C$1+1
)
)</f>
        <v>0</v>
      </c>
      <c r="O37" s="19">
        <f>SUM(
COUNTIFS(
'IB COMMERCIAL'!$D:$D,"Incident",
'IB COMMERCIAL'!$G:$G,3,
'IB COMMERCIAL'!$I:$I,"Closed",
'IB COMMERCIAL'!$AI:$AI,"NO",
'IB COMMERCIAL'!$AJ:$AJ,"NO",
'IB COMMERCIAL'!$U:$U,"No",
'IB COMMERCIAL'!$N:$N,"&gt;="&amp;$B$1,
'IB COMMERCIAL'!$N:$N,"&lt;"&amp;$C$1+1
),
COUNTIFS(
'IB COMMERCIAL'!$D:$D,"Incident",
'IB COMMERCIAL'!$G:$G,3,
'IB COMMERCIAL'!$I:$I,"Triaged",
'IB COMMERCIAL'!$AI:$AI,"NO",
'IB COMMERCIAL'!$AJ:$AJ,"NO",
'IB COMMERCIAL'!$U:$U,"No",
'IB COMMERCIAL'!$N:$N,"&gt;="&amp;$B$1,
'IB COMMERCIAL'!$N:$N,"&lt;"&amp;$C$1+1
)
)</f>
        <v>0</v>
      </c>
      <c r="P37" s="19">
        <f>SUM(
COUNTIFS(
'IB COMMERCIAL'!$D:$D,"Incident",
'IB COMMERCIAL'!$G:$G,4,
'IB COMMERCIAL'!$I:$I,"Closed",
'IB COMMERCIAL'!$U:$U,"NO",
'IB COMMERCIAL'!$N:$N,"&gt;="&amp;$B$1,
'IB COMMERCIAL'!$N:$N,"&lt;"&amp;$C$1+1
),
COUNTIFS(
'IB COMMERCIAL'!$D:$D,"Incident",
'IB COMMERCIAL'!$G:$G,4,
'IB COMMERCIAL'!$I:$I,"Triaged",
'IB COMMERCIAL'!$U:$U,"NO",
'IB COMMERCIAL'!$N:$N,"&gt;="&amp;$B$1,
'IB COMMERCIAL'!$N:$N,"&lt;"&amp;$C$1+1
)
)</f>
        <v>0</v>
      </c>
      <c r="Q37" s="19">
        <f>SUM(
COUNTIFS(
'IB COMMERCIAL'!$D:$D,"Incident",
'IB COMMERCIAL'!$G:$G,4,
'IB COMMERCIAL'!$I:$I,"Closed",
'IB COMMERCIAL'!$AI:$AI,"YES",
'IB COMMERCIAL'!$U:$U,"No",
'IB COMMERCIAL'!$N:$N,"&gt;="&amp;$B$1,
'IB COMMERCIAL'!$N:$N,"&lt;"&amp;$C$1+1
),
COUNTIFS(
'IB COMMERCIAL'!$D:$D,"Incident",
'IB COMMERCIAL'!$G:$G,4,
'IB COMMERCIAL'!$I:$I,"Triaged",
'IB COMMERCIAL'!$AI:$AI,"YES",
'IB COMMERCIAL'!$U:$U,"No",
'IB COMMERCIAL'!$N:$N,"&gt;="&amp;$B$1,
'IB COMMERCIAL'!$N:$N,"&lt;"&amp;$C$1+1
)
)</f>
        <v>0</v>
      </c>
      <c r="R37" s="19">
        <f>SUM(
COUNTIFS(
'IB COMMERCIAL'!$D:$D,"Incident",
'IB COMMERCIAL'!$G:$G,4,
'IB COMMERCIAL'!$I:$I,"Closed",
'IB COMMERCIAL'!$AJ:$AJ,"YES",
'IB COMMERCIAL'!$U:$U,"No",
'IB COMMERCIAL'!$N:$N,"&gt;="&amp;$B$1,
'IB COMMERCIAL'!$N:$N,"&lt;"&amp;$C$1+1
),
COUNTIFS(
'IB COMMERCIAL'!$D:$D,"Incident",
'IB COMMERCIAL'!$G:$G,4,
'IB COMMERCIAL'!$I:$I,"Triaged",
'IB COMMERCIAL'!$AJ:$AJ,"YES",
'IB COMMERCIAL'!$U:$U,"No",
'IB COMMERCIAL'!$N:$N,"&gt;="&amp;$B$1,
'IB COMMERCIAL'!$N:$N,"&lt;"&amp;$C$1+1
)
)</f>
        <v>0</v>
      </c>
      <c r="S37" s="19">
        <f>SUM(
COUNTIFS(
'IB COMMERCIAL'!$D:$D,"Incident",
'IB COMMERCIAL'!$G:$G,4,
'IB COMMERCIAL'!$I:$I,"Closed",
'IB COMMERCIAL'!$AI:$AI,"NO",
'IB COMMERCIAL'!$AJ:$AJ,"NO",
'IB COMMERCIAL'!$U:$U,"No",
'IB COMMERCIAL'!$N:$N,"&gt;="&amp;$B$1,
'IB COMMERCIAL'!$N:$N,"&lt;"&amp;$C$1+1
),
COUNTIFS(
'IB COMMERCIAL'!$D:$D,"Incident",
'IB COMMERCIAL'!$G:$G,4,
'IB COMMERCIAL'!$I:$I,"Triaged",
'IB COMMERCIAL'!$AI:$AI,"NO",
'IB COMMERCIAL'!$AJ:$AJ,"NO",
'IB COMMERCIAL'!$U:$U,"No",
'IB COMMERCIAL'!$N:$N,"&gt;="&amp;$B$1,
'IB COMMERCIAL'!$N:$N,"&lt;"&amp;$C$1+1
)
)</f>
        <v>0</v>
      </c>
    </row>
    <row r="38" spans="2:19" ht="15" customHeight="1">
      <c r="B38" s="141" t="s">
        <v>46</v>
      </c>
      <c r="C38" s="157" t="s">
        <v>42</v>
      </c>
      <c r="D38" s="81">
        <f>SUM(
COUNTIFS(
'IB MRO'!$D:$D,"Incident",
'IB MRO'!$G:$G,1,
'IB MRO'!$I:$I,"Closed",
'IB MRO'!$U:$U,"NO",
'IB MRO'!$N:$N,"&gt;="&amp;$B$1,
'IB MRO'!$N:$N,"&lt;"&amp;$C$1+1
),
COUNTIFS(
'IB MRO'!$D:$D,"Incident",
'IB MRO'!$G:$G,1,
'IB MRO'!$I:$I,"Triaged",
'IB MRO'!$U:$U,"NO",
'IB MRO'!$N:$N,"&gt;="&amp;$B$1,
'IB MRO'!$N:$N,"&lt;"&amp;$C$1+1
)
)</f>
        <v>0</v>
      </c>
      <c r="E38" s="19">
        <f>SUM(
COUNTIFS(
'IB MRO'!$D:$D,"Incident",
'IB MRO'!$G:$G,1,
'IB MRO'!$I:$I,"Closed",
'IB MRO'!$AI:$AI,"YES",
'IB MRO'!$U:$U,"No",
'IB MRO'!$N:$N,"&gt;="&amp;$B$1,
'IB MRO'!$N:$N,"&lt;"&amp;$C$1+1
),
COUNTIFS(
'IB MRO'!$D:$D,"Incident",
'IB MRO'!$G:$G,1,
'IB MRO'!$I:$I,"Triaged",
'IB MRO'!$AI:$AI,"YES",
'IB MRO'!$U:$U,"No",
'IB MRO'!$N:$N,"&gt;="&amp;$B$1,
'IB MRO'!$N:$N,"&lt;"&amp;$C$1+1
)
)</f>
        <v>0</v>
      </c>
      <c r="F38" s="19">
        <f>SUM(
COUNTIFS(
'IB MRO'!$D:$D,"Incident",
'IB MRO'!$G:$G,1,
'IB MRO'!$I:$I,"Closed",
'IB MRO'!$AJ:$AJ,"YES",
'IB MRO'!$U:$U,"No",
'IB MRO'!$N:$N,"&gt;="&amp;$B$1,
'IB MRO'!$N:$N,"&lt;"&amp;$C$1+1
),
COUNTIFS(
'IB MRO'!$D:$D,"Incident",
'IB MRO'!$G:$G,1,
'IB MRO'!$I:$I,"Triaged",
'IB MRO'!$AJ:$AJ,"YES",
'IB MRO'!$U:$U,"No",
'IB MRO'!$N:$N,"&gt;="&amp;$B$1,
'IB MRO'!$N:$N,"&lt;"&amp;$C$1+1
)
)</f>
        <v>0</v>
      </c>
      <c r="G38" s="19">
        <f>SUM(
COUNTIFS(
'IB MRO'!$D:$D,"Incident",
'IB MRO'!$G:$G,1,
'IB MRO'!$I:$I,"Closed",
'IB MRO'!$AI:$AI,"NO",
'IB MRO'!$AJ:$AJ,"NO",
'IB MRO'!$U:$U,"No",
'IB MRO'!$N:$N,"&gt;="&amp;$B$1,
'IB MRO'!$N:$N,"&lt;"&amp;$C$1+1
),
COUNTIFS(
'IB MRO'!$D:$D,"Incident",
'IB MRO'!$G:$G,1,
'IB MRO'!$I:$I,"Triaged",
'IB MRO'!$AI:$AI,"NO",
'IB MRO'!$AJ:$AJ,"NO",
'IB MRO'!$U:$U,"No",
'IB MRO'!$N:$N,"&gt;="&amp;$B$1,
'IB MRO'!$N:$N,"&lt;"&amp;$C$1+1
)
)</f>
        <v>0</v>
      </c>
      <c r="H38" s="19">
        <f>SUM(
COUNTIFS(
'IB MRO'!$D:$D,"Incident",
'IB MRO'!$G:$G,2,
'IB MRO'!$I:$I,"Closed",
'IB MRO'!$U:$U,"NO",
'IB MRO'!$N:$N,"&gt;="&amp;$B$1,
'IB MRO'!$N:$N,"&lt;"&amp;$C$1+1
),
COUNTIFS(
'IB MRO'!$D:$D,"Incident",
'IB MRO'!$G:$G,2,
'IB MRO'!$I:$I,"Triaged",
'IB MRO'!$U:$U,"NO",
'IB MRO'!$N:$N,"&gt;="&amp;$B$1,
'IB MRO'!$N:$N,"&lt;"&amp;$C$1+1
)
)</f>
        <v>0</v>
      </c>
      <c r="I38" s="19">
        <f>SUM(
COUNTIFS(
'IB MRO'!$D:$D,"Incident",
'IB MRO'!$G:$G,2,
'IB MRO'!$I:$I,"Closed",
'IB MRO'!$AI:$AI,"YES",
'IB MRO'!$U:$U,"No",
'IB MRO'!$N:$N,"&gt;="&amp;$B$1,
'IB MRO'!$N:$N,"&lt;"&amp;$C$1+1
),
COUNTIFS(
'IB MRO'!$D:$D,"Incident",
'IB MRO'!$G:$G,2,
'IB MRO'!$I:$I,"Triaged",
'IB MRO'!$AI:$AI,"YES",
'IB MRO'!$U:$U,"No",
'IB MRO'!$N:$N,"&gt;="&amp;$B$1,
'IB MRO'!$N:$N,"&lt;"&amp;$C$1+1
)
)</f>
        <v>0</v>
      </c>
      <c r="J38" s="19">
        <f>SUM(
COUNTIFS(
'IB MRO'!$D:$D,"Incident",
'IB MRO'!$G:$G,2,
'IB MRO'!$I:$I,"Closed",
'IB MRO'!$AJ:$AJ,"YES",
'IB MRO'!$U:$U,"No",
'IB MRO'!$N:$N,"&gt;="&amp;$B$1,
'IB MRO'!$N:$N,"&lt;"&amp;$C$1+1
),
COUNTIFS(
'IB MRO'!$D:$D,"Incident",
'IB MRO'!$G:$G,2,
'IB MRO'!$I:$I,"Triaged",
'IB MRO'!$AJ:$AJ,"YES",
'IB MRO'!$U:$U,"No",
'IB MRO'!$N:$N,"&gt;="&amp;$B$1,
'IB MRO'!$N:$N,"&lt;"&amp;$C$1+1
)
)</f>
        <v>0</v>
      </c>
      <c r="K38" s="19">
        <f>SUM(
COUNTIFS(
'IB MRO'!$D:$D,"Incident",
'IB MRO'!$G:$G,2,
'IB MRO'!$I:$I,"Closed",
'IB MRO'!$AI:$AI,"NO",
'IB MRO'!$AJ:$AJ,"NO",
'IB MRO'!$U:$U,"No",
'IB MRO'!$N:$N,"&gt;="&amp;$B$1,
'IB MRO'!$N:$N,"&lt;"&amp;$C$1+1
),
COUNTIFS(
'IB MRO'!$D:$D,"Incident",
'IB MRO'!$G:$G,2,
'IB MRO'!$I:$I,"Triaged",
'IB MRO'!$AI:$AI,"NO",
'IB MRO'!$AJ:$AJ,"NO",
'IB MRO'!$U:$U,"No",
'IB MRO'!$N:$N,"&gt;="&amp;$B$1,
'IB MRO'!$N:$N,"&lt;"&amp;$C$1+1
)
)</f>
        <v>0</v>
      </c>
      <c r="L38" s="19">
        <f>SUM(
COUNTIFS(
'IB MRO'!$D:$D,"Incident",
'IB MRO'!$G:$G,3,
'IB MRO'!$I:$I,"Closed",
'IB MRO'!$U:$U,"NO",
'IB MRO'!$N:$N,"&gt;="&amp;$B$1,
'IB MRO'!$N:$N,"&lt;"&amp;$C$1+1
),
COUNTIFS(
'IB MRO'!$D:$D,"Incident",
'IB MRO'!$G:$G,3,
'IB MRO'!$I:$I,"Triaged",
'IB MRO'!$U:$U,"NO",
'IB MRO'!$N:$N,"&gt;="&amp;$B$1,
'IB MRO'!$N:$N,"&lt;"&amp;$C$1+1
)
)</f>
        <v>0</v>
      </c>
      <c r="M38" s="19">
        <f ca="1">SUM(
COUNTIFS(
'IB MRO'!$D:$D,"Incident",
'IB MRO'!$G:$G,3,
'IB MRO'!$I:$I,"Closed",
'IB MRO'!$AI:$AI,"YES",
'IB MRO'!$U:$U,"No",
'IB MRO'!$N:$N,"&gt;="&amp;$B$1,
'IB MRO'!$N:$N,"&lt;"&amp;$C$1+1
),
COUNTIFS(
'IB MRO'!$D:$D,"Incident",
'IB MRO'!$G:$G,3,
'IB MRO'!$I:$I,"Triaged",
'IB MRO'!$AI:$AI,"YES",
'IB MRO'!$U:$U,"No",
'IB MRO'!$N:$N,"&gt;="&amp;$B$1,
'IB MRO'!$N:$N,"&lt;"&amp;$C$1+1
)
)</f>
        <v>0</v>
      </c>
      <c r="N38" s="19">
        <f ca="1">SUM(
COUNTIFS(
'IB MRO'!$D:$D,"Incident",
'IB MRO'!$G:$G,3,
'IB MRO'!$I:$I,"Closed",
'IB MRO'!$AJ:$AJ,"YES",
'IB MRO'!$U:$U,"No",
'IB MRO'!$N:$N,"&gt;="&amp;$B$1,
'IB MRO'!$N:$N,"&lt;"&amp;$C$1+1
),
COUNTIFS(
'IB MRO'!$D:$D,"Incident",
'IB MRO'!$G:$G,3,
'IB MRO'!$I:$I,"Triaged",
'IB MRO'!$AJ:$AJ,"YES",
'IB MRO'!$U:$U,"No",
'IB MRO'!$N:$N,"&gt;="&amp;$B$1,
'IB MRO'!$N:$N,"&lt;"&amp;$C$1+1
)
)</f>
        <v>0</v>
      </c>
      <c r="O38" s="19">
        <f ca="1">SUM(
COUNTIFS(
'IB MRO'!$D:$D,"Incident",
'IB MRO'!$G:$G,3,
'IB MRO'!$I:$I,"Closed",
'IB MRO'!$AI:$AI,"NO",
'IB MRO'!$AJ:$AJ,"NO",
'IB MRO'!$U:$U,"No",
'IB MRO'!$N:$N,"&gt;="&amp;$B$1,
'IB MRO'!$N:$N,"&lt;"&amp;$C$1+1
),
COUNTIFS(
'IB MRO'!$D:$D,"Incident",
'IB MRO'!$G:$G,3,
'IB MRO'!$I:$I,"Triaged",
'IB MRO'!$AI:$AI,"NO",
'IB MRO'!$AJ:$AJ,"NO",
'IB MRO'!$U:$U,"No",
'IB MRO'!$N:$N,"&gt;="&amp;$B$1,
'IB MRO'!$N:$N,"&lt;"&amp;$C$1+1
)
)</f>
        <v>0</v>
      </c>
      <c r="P38" s="19">
        <f>SUM(
COUNTIFS(
'IB MRO'!$D:$D,"Incident",
'IB MRO'!$G:$G,4,
'IB MRO'!$I:$I,"Closed",
'IB MRO'!$U:$U,"NO",
'IB MRO'!$N:$N,"&gt;="&amp;$B$1,
'IB MRO'!$N:$N,"&lt;"&amp;$C$1+1
),
COUNTIFS(
'IB MRO'!$D:$D,"Incident",
'IB MRO'!$G:$G,4,
'IB MRO'!$I:$I,"Triaged",
'IB MRO'!$U:$U,"NO",
'IB MRO'!$N:$N,"&gt;="&amp;$B$1,
'IB MRO'!$N:$N,"&lt;"&amp;$C$1+1
)
)</f>
        <v>0</v>
      </c>
      <c r="Q38" s="19">
        <f ca="1">SUM(
COUNTIFS(
'IB MRO'!$D:$D,"Incident",
'IB MRO'!$G:$G,4,
'IB MRO'!$I:$I,"Closed",
'IB MRO'!$AI:$AI,"YES",
'IB MRO'!$U:$U,"No",
'IB MRO'!$N:$N,"&gt;="&amp;$B$1,
'IB MRO'!$N:$N,"&lt;"&amp;$C$1+1
),
COUNTIFS(
'IB MRO'!$D:$D,"Incident",
'IB MRO'!$G:$G,4,
'IB MRO'!$I:$I,"Triaged",
'IB MRO'!$AI:$AI,"YES",
'IB MRO'!$U:$U,"No",
'IB MRO'!$N:$N,"&gt;="&amp;$B$1,
'IB MRO'!$N:$N,"&lt;"&amp;$C$1+1
)
)</f>
        <v>0</v>
      </c>
      <c r="R38" s="19">
        <f ca="1">SUM(
COUNTIFS(
'IB MRO'!$D:$D,"Incident",
'IB MRO'!$G:$G,4,
'IB MRO'!$I:$I,"Closed",
'IB MRO'!$AJ:$AJ,"YES",
'IB MRO'!$U:$U,"No",
'IB MRO'!$N:$N,"&gt;="&amp;$B$1,
'IB MRO'!$N:$N,"&lt;"&amp;$C$1+1
),
COUNTIFS(
'IB MRO'!$D:$D,"Incident",
'IB MRO'!$G:$G,4,
'IB MRO'!$I:$I,"Triaged",
'IB MRO'!$AJ:$AJ,"YES",
'IB MRO'!$U:$U,"No",
'IB MRO'!$N:$N,"&gt;="&amp;$B$1,
'IB MRO'!$N:$N,"&lt;"&amp;$C$1+1
)
)</f>
        <v>0</v>
      </c>
      <c r="S38" s="19">
        <f ca="1">SUM(
COUNTIFS(
'IB MRO'!$D:$D,"Incident",
'IB MRO'!$G:$G,4,
'IB MRO'!$I:$I,"Closed",
'IB MRO'!$AI:$AI,"NO",
'IB MRO'!$AJ:$AJ,"NO",
'IB MRO'!$U:$U,"No",
'IB MRO'!$N:$N,"&gt;="&amp;$B$1,
'IB MRO'!$N:$N,"&lt;"&amp;$C$1+1
),
COUNTIFS(
'IB MRO'!$D:$D,"Incident",
'IB MRO'!$G:$G,4,
'IB MRO'!$I:$I,"Triaged",
'IB MRO'!$AI:$AI,"NO",
'IB MRO'!$AJ:$AJ,"NO",
'IB MRO'!$U:$U,"No",
'IB MRO'!$N:$N,"&gt;="&amp;$B$1,
'IB MRO'!$N:$N,"&lt;"&amp;$C$1+1
)
)</f>
        <v>0</v>
      </c>
    </row>
    <row r="39" spans="2:19" ht="15" customHeight="1">
      <c r="B39" s="139" t="s">
        <v>51</v>
      </c>
      <c r="C39" s="157" t="s">
        <v>35</v>
      </c>
      <c r="D39" s="81">
        <f>SUM(
COUNTIFS(
'EI AO'!$D:$D,"Incident",
'EI AO'!$G:$G,1,
'EI AO'!$I:$I,"Closed",
'EI AO'!$U:$U,"NO",
'EI AO'!$N:$N,"&gt;="&amp;$B$1,
'EI AO'!$N:$N,"&lt;"&amp;$C$1+1
),
COUNTIFS(
'EI AO'!$D:$D,"Incident",
'EI AO'!$G:$G,1,
'EI AO'!$I:$I,"Triaged",
'EI AO'!$U:$U,"NO",
'EI AO'!$N:$N,"&gt;="&amp;$B$1,
'EI AO'!$N:$N,"&lt;"&amp;$C$1+1
)
)</f>
        <v>0</v>
      </c>
      <c r="E39" s="19">
        <f>SUM(
COUNTIFS(
'EI AO'!$D:$D,"Incident",
'EI AO'!$G:$G,1,
'EI AO'!$I:$I,"Closed",
'EI AO'!$AI:$AI,"YES",
'EI AO'!$U:$U,"No",
'EI AO'!$N:$N,"&gt;="&amp;$B$1,
'EI AO'!$N:$N,"&lt;"&amp;$C$1+1
),
COUNTIFS(
'EI AO'!$D:$D,"Incident",
'EI AO'!$G:$G,1,
'EI AO'!$I:$I,"Triaged",
'EI AO'!$AI:$AI,"YES",
'EI AO'!$U:$U,"No",
'EI AO'!$N:$N,"&gt;="&amp;$B$1,
'EI AO'!$N:$N,"&lt;"&amp;$C$1+1
)
)</f>
        <v>0</v>
      </c>
      <c r="F39" s="19">
        <f>SUM(
COUNTIFS(
'EI AO'!$D:$D,"Incident",
'EI AO'!$G:$G,1,
'EI AO'!$I:$I,"Closed",
'EI AO'!$AJ:$AJ,"YES",
'EI AO'!$U:$U,"No",
'EI AO'!$N:$N,"&gt;="&amp;$B$1,
'EI AO'!$N:$N,"&lt;"&amp;$C$1+1
),
COUNTIFS(
'EI AO'!$D:$D,"Incident",
'EI AO'!$G:$G,1,
'EI AO'!$I:$I,"Triaged",
'EI AO'!$AJ:$AJ,"YES",
'EI AO'!$U:$U,"No",
'EI AO'!$N:$N,"&gt;="&amp;$B$1,
'EI AO'!$N:$N,"&lt;"&amp;$C$1+1
)
)</f>
        <v>0</v>
      </c>
      <c r="G39" s="19">
        <f>SUM(
COUNTIFS(
'EI AO'!$D:$D,"Incident",
'EI AO'!$G:$G,1,
'EI AO'!$I:$I,"Closed",
'EI AO'!$AI:$AI,"NO",
'EI AO'!$AJ:$AJ,"NO",
'EI AO'!$U:$U,"No",
'EI AO'!$N:$N,"&gt;="&amp;$B$1,
'EI AO'!$N:$N,"&lt;"&amp;$C$1+1
),
COUNTIFS(
'EI AO'!$D:$D,"Incident",
'EI AO'!$G:$G,1,
'EI AO'!$I:$I,"Triaged",
'EI AO'!$AI:$AI,"NO",
'EI AO'!$AJ:$AJ,"NO",
'EI AO'!$U:$U,"No",
'EI AO'!$N:$N,"&gt;="&amp;$B$1,
'EI AO'!$N:$N,"&lt;"&amp;$C$1+1
)
)</f>
        <v>0</v>
      </c>
      <c r="H39" s="19">
        <f>SUM(
COUNTIFS(
'EI AO'!$D:$D,"Incident",
'EI AO'!$G:$G,2,
'EI AO'!$I:$I,"Closed",
'EI AO'!$U:$U,"NO",
'EI AO'!$N:$N,"&gt;="&amp;$B$1,
'EI AO'!$N:$N,"&lt;"&amp;$C$1+1
),
COUNTIFS(
'EI AO'!$D:$D,"Incident",
'EI AO'!$G:$G,2,
'EI AO'!$I:$I,"Triaged",
'EI AO'!$U:$U,"NO",
'EI AO'!$N:$N,"&gt;="&amp;$B$1,
'EI AO'!$N:$N,"&lt;"&amp;$C$1+1
)
)</f>
        <v>0</v>
      </c>
      <c r="I39" s="19">
        <f ca="1">SUM(
COUNTIFS(
'EI AO'!$D:$D,"Incident",
'EI AO'!$G:$G,2,
'EI AO'!$I:$I,"Closed",
'EI AO'!$AI:$AI,"YES",
'EI AO'!$U:$U,"No",
'EI AO'!$N:$N,"&gt;="&amp;$B$1,
'EI AO'!$N:$N,"&lt;"&amp;$C$1+1
),
COUNTIFS(
'EI AO'!$D:$D,"Incident",
'EI AO'!$G:$G,2,
'EI AO'!$I:$I,"Triaged",
'EI AO'!$AI:$AI,"YES",
'EI AO'!$U:$U,"No",
'EI AO'!$N:$N,"&gt;="&amp;$B$1,
'EI AO'!$N:$N,"&lt;"&amp;$C$1+1
)
)</f>
        <v>0</v>
      </c>
      <c r="J39" s="19">
        <f ca="1">SUM(
COUNTIFS(
'EI AO'!$D:$D,"Incident",
'EI AO'!$G:$G,2,
'EI AO'!$I:$I,"Closed",
'EI AO'!$AJ:$AJ,"YES",
'EI AO'!$U:$U,"No",
'EI AO'!$N:$N,"&gt;="&amp;$B$1,
'EI AO'!$N:$N,"&lt;"&amp;$C$1+1
),
COUNTIFS(
'EI AO'!$D:$D,"Incident",
'EI AO'!$G:$G,2,
'EI AO'!$I:$I,"Triaged",
'EI AO'!$AJ:$AJ,"YES",
'EI AO'!$U:$U,"No",
'EI AO'!$N:$N,"&gt;="&amp;$B$1,
'EI AO'!$N:$N,"&lt;"&amp;$C$1+1
)
)</f>
        <v>0</v>
      </c>
      <c r="K39" s="19">
        <f ca="1">SUM(
COUNTIFS(
'EI AO'!$D:$D,"Incident",
'EI AO'!$G:$G,2,
'EI AO'!$I:$I,"Closed",
'EI AO'!$AI:$AI,"NO",
'EI AO'!$AJ:$AJ,"NO",
'EI AO'!$U:$U,"No",
'EI AO'!$N:$N,"&gt;="&amp;$B$1,
'EI AO'!$N:$N,"&lt;"&amp;$C$1+1
),
COUNTIFS(
'EI AO'!$D:$D,"Incident",
'EI AO'!$G:$G,2,
'EI AO'!$I:$I,"Triaged",
'EI AO'!$AI:$AI,"NO",
'EI AO'!$AJ:$AJ,"NO",
'EI AO'!$U:$U,"No",
'EI AO'!$N:$N,"&gt;="&amp;$B$1,
'EI AO'!$N:$N,"&lt;"&amp;$C$1+1
)
)</f>
        <v>0</v>
      </c>
      <c r="L39" s="19">
        <f>SUM(
COUNTIFS(
'EI AO'!$D:$D,"Incident",
'EI AO'!$G:$G,3,
'EI AO'!$I:$I,"Closed",
'EI AO'!$U:$U,"NO",
'EI AO'!$N:$N,"&gt;="&amp;$B$1,
'EI AO'!$N:$N,"&lt;"&amp;$C$1+1
),
COUNTIFS(
'EI AO'!$D:$D,"Incident",
'EI AO'!$G:$G,3,
'EI AO'!$I:$I,"Triaged",
'EI AO'!$U:$U,"NO",
'EI AO'!$N:$N,"&gt;="&amp;$B$1,
'EI AO'!$N:$N,"&lt;"&amp;$C$1+1
)
)</f>
        <v>0</v>
      </c>
      <c r="M39" s="19">
        <f ca="1">SUM(
COUNTIFS(
'EI AO'!$D:$D,"Incident",
'EI AO'!$G:$G,3,
'EI AO'!$I:$I,"Closed",
'EI AO'!$AI:$AI,"YES",
'EI AO'!$U:$U,"No",
'EI AO'!$N:$N,"&gt;="&amp;$B$1,
'EI AO'!$N:$N,"&lt;"&amp;$C$1+1
),
COUNTIFS(
'EI AO'!$D:$D,"Incident",
'EI AO'!$G:$G,3,
'EI AO'!$I:$I,"Triaged",
'EI AO'!$AI:$AI,"YES",
'EI AO'!$U:$U,"No",
'EI AO'!$N:$N,"&gt;="&amp;$B$1,
'EI AO'!$N:$N,"&lt;"&amp;$C$1+1
)
)</f>
        <v>0</v>
      </c>
      <c r="N39" s="19">
        <f ca="1">SUM(
COUNTIFS(
'EI AO'!$D:$D,"Incident",
'EI AO'!$G:$G,3,
'EI AO'!$I:$I,"Closed",
'EI AO'!$AJ:$AJ,"YES",
'EI AO'!$U:$U,"No",
'EI AO'!$N:$N,"&gt;="&amp;$B$1,
'EI AO'!$N:$N,"&lt;"&amp;$C$1+1
),
COUNTIFS(
'EI AO'!$D:$D,"Incident",
'EI AO'!$G:$G,3,
'EI AO'!$I:$I,"Triaged",
'EI AO'!$AJ:$AJ,"YES",
'EI AO'!$U:$U,"No",
'EI AO'!$N:$N,"&gt;="&amp;$B$1,
'EI AO'!$N:$N,"&lt;"&amp;$C$1+1
)
)</f>
        <v>0</v>
      </c>
      <c r="O39" s="19">
        <f ca="1">SUM(
COUNTIFS(
'EI AO'!$D:$D,"Incident",
'EI AO'!$G:$G,3,
'EI AO'!$I:$I,"Closed",
'EI AO'!$AI:$AI,"NO",
'EI AO'!$AJ:$AJ,"NO",
'EI AO'!$U:$U,"No",
'EI AO'!$N:$N,"&gt;="&amp;$B$1,
'EI AO'!$N:$N,"&lt;"&amp;$C$1+1
),
COUNTIFS(
'EI AO'!$D:$D,"Incident",
'EI AO'!$G:$G,3,
'EI AO'!$I:$I,"Triaged",
'EI AO'!$AI:$AI,"NO",
'EI AO'!$AJ:$AJ,"NO",
'EI AO'!$U:$U,"No",
'EI AO'!$N:$N,"&gt;="&amp;$B$1,
'EI AO'!$N:$N,"&lt;"&amp;$C$1+1
)
)</f>
        <v>0</v>
      </c>
      <c r="P39" s="19">
        <f>SUM(
COUNTIFS(
'EI AO'!$D:$D,"Incident",
'EI AO'!$G:$G,4,
'EI AO'!$I:$I,"Closed",
'EI AO'!$U:$U,"NO",
'EI AO'!$N:$N,"&gt;="&amp;$B$1,
'EI AO'!$N:$N,"&lt;"&amp;$C$1+1
),
COUNTIFS(
'EI AO'!$D:$D,"Incident",
'EI AO'!$G:$G,4,
'EI AO'!$I:$I,"Triaged",
'EI AO'!$U:$U,"NO",
'EI AO'!$N:$N,"&gt;="&amp;$B$1,
'EI AO'!$N:$N,"&lt;"&amp;$C$1+1
)
)</f>
        <v>1</v>
      </c>
      <c r="Q39" s="19">
        <f ca="1">SUM(
COUNTIFS(
'EI AO'!$D:$D,"Incident",
'EI AO'!$G:$G,4,
'EI AO'!$I:$I,"Closed",
'EI AO'!$AI:$AI,"YES",
'EI AO'!$U:$U,"No",
'EI AO'!$N:$N,"&gt;="&amp;$B$1,
'EI AO'!$N:$N,"&lt;"&amp;$C$1+1
),
COUNTIFS(
'EI AO'!$D:$D,"Incident",
'EI AO'!$G:$G,4,
'EI AO'!$I:$I,"Triaged",
'EI AO'!$AI:$AI,"YES",
'EI AO'!$U:$U,"No",
'EI AO'!$N:$N,"&gt;="&amp;$B$1,
'EI AO'!$N:$N,"&lt;"&amp;$C$1+1
)
)</f>
        <v>1</v>
      </c>
      <c r="R39" s="19">
        <f ca="1">SUM(
COUNTIFS(
'EI AO'!$D:$D,"Incident",
'EI AO'!$G:$G,4,
'EI AO'!$I:$I,"Closed",
'EI AO'!$AJ:$AJ,"YES",
'EI AO'!$U:$U,"No",
'EI AO'!$N:$N,"&gt;="&amp;$B$1,
'EI AO'!$N:$N,"&lt;"&amp;$C$1+1
),
COUNTIFS(
'EI AO'!$D:$D,"Incident",
'EI AO'!$G:$G,4,
'EI AO'!$I:$I,"Triaged",
'EI AO'!$AJ:$AJ,"YES",
'EI AO'!$U:$U,"No",
'EI AO'!$N:$N,"&gt;="&amp;$B$1,
'EI AO'!$N:$N,"&lt;"&amp;$C$1+1
)
)</f>
        <v>1</v>
      </c>
      <c r="S39" s="19">
        <f ca="1">SUM(
COUNTIFS(
'EI AO'!$D:$D,"Incident",
'EI AO'!$G:$G,4,
'EI AO'!$I:$I,"Closed",
'EI AO'!$AI:$AI,"NO",
'EI AO'!$AJ:$AJ,"NO",
'EI AO'!$U:$U,"No",
'EI AO'!$N:$N,"&gt;="&amp;$B$1,
'EI AO'!$N:$N,"&lt;"&amp;$C$1+1
),
COUNTIFS(
'EI AO'!$D:$D,"Incident",
'EI AO'!$G:$G,4,
'EI AO'!$I:$I,"Triaged",
'EI AO'!$AI:$AI,"NO",
'EI AO'!$AJ:$AJ,"NO",
'EI AO'!$U:$U,"No",
'EI AO'!$N:$N,"&gt;="&amp;$B$1,
'EI AO'!$N:$N,"&lt;"&amp;$C$1+1
)
)</f>
        <v>0</v>
      </c>
    </row>
    <row r="40" spans="2:19" ht="15" customHeight="1">
      <c r="B40" s="139" t="s">
        <v>51</v>
      </c>
      <c r="C40" s="157" t="s">
        <v>29</v>
      </c>
      <c r="D40" s="81">
        <f>SUM(
COUNTIFS(
'EI BackOffice'!$D:$D,"Incident",
'EI BackOffice'!$C:$C,"SharePoint",
'EI BackOffice'!$G:$G,1,
'EI BackOffice'!$I:$I,"Closed",
'EI BackOffice'!$U:$U,"NO",
'EI BackOffice'!$N:$N,"&gt;="&amp;$B$1,
'EI BackOffice'!$N:$N,"&lt;"&amp;$C$1+1
),
COUNTIFS(
'EI BackOffice'!$D:$D,"Incident",
'EI BackOffice'!$C:$C,"SharePoint",
'EI BackOffice'!$G:$G,1,
'EI BackOffice'!$I:$I,"Triaged",
'EI BackOffice'!$U:$U,"NO",
'EI BackOffice'!$N:$N,"&gt;="&amp;$B$1,
'EI BackOffice'!$N:$N,"&lt;"&amp;$C$1+1
)
)</f>
        <v>0</v>
      </c>
      <c r="E40" s="19">
        <f>SUM(
COUNTIFS(
'EI BackOffice'!$D:$D,"Incident",
'EI BackOffice'!$C:$C,"SharePoint",
'EI BackOffice'!$G:$G,1,
'EI BackOffice'!$I:$I,"Closed",
'EI BackOffice'!$AI:$AI,"YES",
'EI BackOffice'!$U:$U,"No",
'EI BackOffice'!$N:$N,"&gt;="&amp;$B$1,
'EI BackOffice'!$N:$N,"&lt;"&amp;$C$1+1
),
COUNTIFS(
'EI BackOffice'!$D:$D,"Incident",
'EI BackOffice'!$C:$C,"SharePoint",
'EI BackOffice'!$G:$G,1,
'EI BackOffice'!$I:$I,"Triaged",
'EI BackOffice'!$AI:$AI,"YES",
'EI BackOffice'!$U:$U,"No",
'EI BackOffice'!$N:$N,"&gt;="&amp;$B$1,
'EI BackOffice'!$N:$N,"&lt;"&amp;$C$1+1
)
)</f>
        <v>0</v>
      </c>
      <c r="F40" s="19">
        <f>SUM(
COUNTIFS(
'EI BackOffice'!$D:$D,"Incident",
'EI BackOffice'!$C:$C,"SharePoint",
'EI BackOffice'!$G:$G,1,
'EI BackOffice'!$I:$I,"Closed",
'EI BackOffice'!$AJ:$AJ,"YES",
'EI BackOffice'!$U:$U,"No",
'EI BackOffice'!$N:$N,"&gt;="&amp;$B$1,
'EI BackOffice'!$N:$N,"&lt;"&amp;$C$1+1
),
COUNTIFS(
'EI BackOffice'!$D:$D,"Incident",
'EI BackOffice'!$C:$C,"SharePoint",
'EI BackOffice'!$G:$G,1,
'EI BackOffice'!$I:$I,"Triaged",
'EI BackOffice'!$AJ:$AJ,"YES",
'EI BackOffice'!$U:$U,"No",
'EI BackOffice'!$N:$N,"&gt;="&amp;$B$1,
'EI BackOffice'!$N:$N,"&lt;"&amp;$C$1+1
)
)</f>
        <v>0</v>
      </c>
      <c r="G40" s="19">
        <f>SUM(
COUNTIFS(
'EI BackOffice'!$D:$D,"Incident",
'EI BackOffice'!$C:$C,"SharePoint",
'EI BackOffice'!$G:$G,1,
'EI BackOffice'!$I:$I,"Closed",
'EI BackOffice'!$AI:$AI,"NO",
'EI BackOffice'!$AJ:$AJ,"NO",
'EI BackOffice'!$U:$U,"No",
'EI BackOffice'!$N:$N,"&gt;="&amp;$B$1,
'EI BackOffice'!$N:$N,"&lt;"&amp;$C$1+1
),
COUNTIFS(
'EI BackOffice'!$D:$D,"Incident",
'EI BackOffice'!$C:$C,"SharePoint",
'EI BackOffice'!$G:$G,1,
'EI BackOffice'!$I:$I,"Triaged",
'EI BackOffice'!$AI:$AI,"NO",
'EI BackOffice'!$AJ:$AJ,"NO",
'EI BackOffice'!$U:$U,"No",
'EI BackOffice'!$N:$N,"&gt;="&amp;$B$1,
'EI BackOffice'!$N:$N,"&lt;"&amp;$C$1+1
)
)</f>
        <v>0</v>
      </c>
      <c r="H40" s="19">
        <f>SUM(
COUNTIFS(
'EI BackOffice'!$D:$D,"Incident",
'EI BackOffice'!$C:$C,"SharePoint",
'EI BackOffice'!$G:$G,2,
'EI BackOffice'!$I:$I,"Closed",
'EI BackOffice'!$U:$U,"NO",
'EI BackOffice'!$N:$N,"&gt;="&amp;$B$1,
'EI BackOffice'!$N:$N,"&lt;"&amp;$C$1+1
),
COUNTIFS(
'EI BackOffice'!$D:$D,"Incident",
'EI BackOffice'!$C:$C,"SharePoint",
'EI BackOffice'!$G:$G,2,
'EI BackOffice'!$I:$I,"Triaged",
'EI BackOffice'!$U:$U,"NO",
'EI BackOffice'!$N:$N,"&gt;="&amp;$B$1,
'EI BackOffice'!$N:$N,"&lt;"&amp;$C$1+1
)
)</f>
        <v>0</v>
      </c>
      <c r="I40" s="19">
        <f>SUM(
COUNTIFS(
'EI BackOffice'!$D:$D,"Incident",
'EI BackOffice'!$C:$C,"SharePoint",
'EI BackOffice'!$G:$G,2,
'EI BackOffice'!$I:$I,"Closed",
'EI BackOffice'!$AI:$AI,"YES",
'EI BackOffice'!$U:$U,"No",
'EI BackOffice'!$N:$N,"&gt;="&amp;$B$1,
'EI BackOffice'!$N:$N,"&lt;"&amp;$C$1+1
),
COUNTIFS(
'EI BackOffice'!$D:$D,"Incident",
'EI BackOffice'!$C:$C,"SharePoint",
'EI BackOffice'!$G:$G,2,
'EI BackOffice'!$I:$I,"Triaged",
'EI BackOffice'!$AI:$AI,"YES",
'EI BackOffice'!$U:$U,"No",
'EI BackOffice'!$N:$N,"&gt;="&amp;$B$1,
'EI BackOffice'!$N:$N,"&lt;"&amp;$C$1+1
)
)</f>
        <v>0</v>
      </c>
      <c r="J40" s="19">
        <f>SUM(
COUNTIFS(
'EI BackOffice'!$D:$D,"Incident",
'EI BackOffice'!$C:$C,"SharePoint",
'EI BackOffice'!$G:$G,2,
'EI BackOffice'!$I:$I,"Closed",
'EI BackOffice'!$AJ:$AJ,"YES",
'EI BackOffice'!$U:$U,"No",
'EI BackOffice'!$N:$N,"&gt;="&amp;$B$1,
'EI BackOffice'!$N:$N,"&lt;"&amp;$C$1+1
),
COUNTIFS(
'EI BackOffice'!$D:$D,"Incident",
'EI BackOffice'!$C:$C,"SharePoint",
'EI BackOffice'!$G:$G,2,
'EI BackOffice'!$I:$I,"Triaged",
'EI BackOffice'!$AJ:$AJ,"YES",
'EI BackOffice'!$U:$U,"No",
'EI BackOffice'!$N:$N,"&gt;="&amp;$B$1,
'EI BackOffice'!$N:$N,"&lt;"&amp;$C$1+1
)
)</f>
        <v>0</v>
      </c>
      <c r="K40" s="19">
        <f>SUM(
COUNTIFS(
'EI BackOffice'!$D:$D,"Incident",
'EI BackOffice'!$C:$C,"SharePoint",
'EI BackOffice'!$G:$G,2,
'EI BackOffice'!$I:$I,"Closed",
'EI BackOffice'!$AI:$AI,"NO",
'EI BackOffice'!$AJ:$AJ,"NO",
'EI BackOffice'!$U:$U,"No",
'EI BackOffice'!$N:$N,"&gt;="&amp;$B$1,
'EI BackOffice'!$N:$N,"&lt;"&amp;$C$1+1
),
COUNTIFS(
'EI BackOffice'!$D:$D,"Incident",
'EI BackOffice'!$C:$C,"SharePoint",
'EI BackOffice'!$G:$G,2,
'EI BackOffice'!$I:$I,"Triaged",
'EI BackOffice'!$AI:$AI,"NO",
'EI BackOffice'!$AJ:$AJ,"NO",
'EI BackOffice'!$U:$U,"No",
'EI BackOffice'!$N:$N,"&gt;="&amp;$B$1,
'EI BackOffice'!$N:$N,"&lt;"&amp;$C$1+1
)
)</f>
        <v>0</v>
      </c>
      <c r="L40" s="19">
        <f>SUM(
COUNTIFS(
'EI BackOffice'!$D:$D,"Incident",
'EI BackOffice'!$C:$C,"SharePoint",
'EI BackOffice'!$G:$G,3,
'EI BackOffice'!$I:$I,"Closed",
'EI BackOffice'!$U:$U,"NO",
'EI BackOffice'!$N:$N,"&gt;="&amp;$B$1,
'EI BackOffice'!$N:$N,"&lt;"&amp;$C$1+1
),
COUNTIFS(
'EI BackOffice'!$D:$D,"Incident",
'EI BackOffice'!$C:$C,"SharePoint",
'EI BackOffice'!$G:$G,3,
'EI BackOffice'!$I:$I,"Triaged",
'EI BackOffice'!$U:$U,"NO",
'EI BackOffice'!$N:$N,"&gt;="&amp;$B$1,
'EI BackOffice'!$N:$N,"&lt;"&amp;$C$1+1
)
)</f>
        <v>0</v>
      </c>
      <c r="M40" s="19">
        <f ca="1">SUM(
COUNTIFS(
'EI BackOffice'!$D:$D,"Incident",
'EI BackOffice'!$C:$C,"SharePoint",
'EI BackOffice'!$G:$G,3,
'EI BackOffice'!$I:$I,"Closed",
'EI BackOffice'!$AI:$AI,"YES",
'EI BackOffice'!$U:$U,"No",
'EI BackOffice'!$N:$N,"&gt;="&amp;$B$1,
'EI BackOffice'!$N:$N,"&lt;"&amp;$C$1+1
),
COUNTIFS(
'EI BackOffice'!$D:$D,"Incident",
'EI BackOffice'!$C:$C,"SharePoint",
'EI BackOffice'!$G:$G,3,
'EI BackOffice'!$I:$I,"Triaged",
'EI BackOffice'!$AI:$AI,"YES",
'EI BackOffice'!$U:$U,"No",
'EI BackOffice'!$N:$N,"&gt;="&amp;$B$1,
'EI BackOffice'!$N:$N,"&lt;"&amp;$C$1+1
)
)</f>
        <v>0</v>
      </c>
      <c r="N40" s="19">
        <f ca="1">SUM(
COUNTIFS(
'EI BackOffice'!$D:$D,"Incident",
'EI BackOffice'!$C:$C,"SharePoint",
'EI BackOffice'!$G:$G,3,
'EI BackOffice'!$I:$I,"Closed",
'EI BackOffice'!$AJ:$AJ,"YES",
'EI BackOffice'!$U:$U,"No",
'EI BackOffice'!$N:$N,"&gt;="&amp;$B$1,
'EI BackOffice'!$N:$N,"&lt;"&amp;$C$1+1
),
COUNTIFS(
'EI BackOffice'!$D:$D,"Incident",
'EI BackOffice'!$C:$C,"SharePoint",
'EI BackOffice'!$G:$G,3,
'EI BackOffice'!$I:$I,"Triaged",
'EI BackOffice'!$AJ:$AJ,"YES",
'EI BackOffice'!$U:$U,"No",
'EI BackOffice'!$N:$N,"&gt;="&amp;$B$1,
'EI BackOffice'!$N:$N,"&lt;"&amp;$C$1+1
)
)</f>
        <v>0</v>
      </c>
      <c r="O40" s="19">
        <f ca="1">SUM(
COUNTIFS(
'EI BackOffice'!$D:$D,"Incident",
'EI BackOffice'!$C:$C,"SharePoint",
'EI BackOffice'!$G:$G,3,
'EI BackOffice'!$I:$I,"Closed",
'EI BackOffice'!$AI:$AI,"NO",
'EI BackOffice'!$AJ:$AJ,"NO",
'EI BackOffice'!$U:$U,"No",
'EI BackOffice'!$N:$N,"&gt;="&amp;$B$1,
'EI BackOffice'!$N:$N,"&lt;"&amp;$C$1+1
),
COUNTIFS(
'EI BackOffice'!$D:$D,"Incident",
'EI BackOffice'!$C:$C,"SharePoint",
'EI BackOffice'!$G:$G,3,
'EI BackOffice'!$I:$I,"Triaged",
'EI BackOffice'!$AI:$AI,"NO",
'EI BackOffice'!$AJ:$AJ,"NO",
'EI BackOffice'!$U:$U,"No",
'EI BackOffice'!$N:$N,"&gt;="&amp;$B$1,
'EI BackOffice'!$N:$N,"&lt;"&amp;$C$1+1
)
)</f>
        <v>0</v>
      </c>
      <c r="P40" s="19">
        <f>SUM(
COUNTIFS(
'EI BackOffice'!$D:$D,"Incident",
'EI BackOffice'!$C:$C,"SharePoint",
'EI BackOffice'!$G:$G,4,
'EI BackOffice'!$I:$I,"Closed",
'EI BackOffice'!$U:$U,"NO",
'EI BackOffice'!$N:$N,"&gt;="&amp;$B$1,
'EI BackOffice'!$N:$N,"&lt;"&amp;$C$1+1
),
COUNTIFS(
'EI BackOffice'!$D:$D,"Incident",
'EI BackOffice'!$C:$C,"SharePoint",
'EI BackOffice'!$G:$G,4,
'EI BackOffice'!$I:$I,"Triaged",
'EI BackOffice'!$U:$U,"NO",
'EI BackOffice'!$N:$N,"&gt;="&amp;$B$1,
'EI BackOffice'!$N:$N,"&lt;"&amp;$C$1+1
)
)</f>
        <v>0</v>
      </c>
      <c r="Q40" s="19">
        <f ca="1">SUM(
COUNTIFS(
'EI BackOffice'!$D:$D,"Incident",
'EI BackOffice'!$C:$C,"SharePoint",
'EI BackOffice'!$G:$G,4,
'EI BackOffice'!$I:$I,"Closed",
'EI BackOffice'!$AI:$AI,"YES",
'EI BackOffice'!$U:$U,"No",
'EI BackOffice'!$N:$N,"&gt;="&amp;$B$1,
'EI BackOffice'!$N:$N,"&lt;"&amp;$C$1+1
),
COUNTIFS(
'EI BackOffice'!$D:$D,"Incident",
'EI BackOffice'!$C:$C,"SharePoint",
'EI BackOffice'!$G:$G,4,
'EI BackOffice'!$I:$I,"Triaged",
'EI BackOffice'!$AI:$AI,"YES",
'EI BackOffice'!$U:$U,"No",
'EI BackOffice'!$N:$N,"&gt;="&amp;$B$1,
'EI BackOffice'!$N:$N,"&lt;"&amp;$C$1+1
)
)</f>
        <v>0</v>
      </c>
      <c r="R40" s="19">
        <f ca="1">SUM(
COUNTIFS(
'EI BackOffice'!$D:$D,"Incident",
'EI BackOffice'!$C:$C,"SharePoint",
'EI BackOffice'!$G:$G,4,
'EI BackOffice'!$I:$I,"Closed",
'EI BackOffice'!$AJ:$AJ,"YES",
'EI BackOffice'!$U:$U,"No",
'EI BackOffice'!$N:$N,"&gt;="&amp;$B$1,
'EI BackOffice'!$N:$N,"&lt;"&amp;$C$1+1
),
COUNTIFS(
'EI BackOffice'!$D:$D,"Incident",
'EI BackOffice'!$C:$C,"SharePoint",
'EI BackOffice'!$G:$G,4,
'EI BackOffice'!$I:$I,"Triaged",
'EI BackOffice'!$AJ:$AJ,"YES",
'EI BackOffice'!$U:$U,"No",
'EI BackOffice'!$N:$N,"&gt;="&amp;$B$1,
'EI BackOffice'!$N:$N,"&lt;"&amp;$C$1+1
)
)</f>
        <v>0</v>
      </c>
      <c r="S40" s="19">
        <f ca="1">SUM(
COUNTIFS(
'EI BackOffice'!$D:$D,"Incident",
'EI BackOffice'!$C:$C,"SharePoint",
'EI BackOffice'!$G:$G,4,
'EI BackOffice'!$I:$I,"Closed",
'EI BackOffice'!$AI:$AI,"NO",
'EI BackOffice'!$AJ:$AJ,"NO",
'EI BackOffice'!$U:$U,"No",
'EI BackOffice'!$N:$N,"&gt;="&amp;$B$1,
'EI BackOffice'!$N:$N,"&lt;"&amp;$C$1+1
),
COUNTIFS(
'EI BackOffice'!$D:$D,"Incident",
'EI BackOffice'!$C:$C,"SharePoint",
'EI BackOffice'!$G:$G,4,
'EI BackOffice'!$I:$I,"Triaged",
'EI BackOffice'!$AI:$AI,"NO",
'EI BackOffice'!$AJ:$AJ,"NO",
'EI BackOffice'!$U:$U,"No",
'EI BackOffice'!$N:$N,"&gt;="&amp;$B$1,
'EI BackOffice'!$N:$N,"&lt;"&amp;$C$1+1
)
)</f>
        <v>0</v>
      </c>
    </row>
    <row r="41" spans="2:19" ht="15" customHeight="1">
      <c r="B41" s="162" t="s">
        <v>26</v>
      </c>
      <c r="C41" s="163" t="s">
        <v>54</v>
      </c>
      <c r="D41" s="164"/>
      <c r="E41" s="145"/>
      <c r="F41" s="145"/>
      <c r="G41" s="145"/>
      <c r="H41" s="145"/>
      <c r="I41" s="145"/>
      <c r="J41" s="145"/>
      <c r="K41" s="145"/>
      <c r="L41" s="145"/>
      <c r="M41" s="145"/>
      <c r="N41" s="145"/>
      <c r="O41" s="145"/>
      <c r="P41" s="145"/>
      <c r="Q41" s="145"/>
      <c r="R41" s="145"/>
      <c r="S41" s="145"/>
    </row>
    <row r="42" spans="2:19" ht="15" customHeight="1">
      <c r="B42" s="441" t="s">
        <v>55</v>
      </c>
      <c r="C42" s="442"/>
      <c r="D42" s="165">
        <f t="shared" ref="D42:F42" si="1">SUM(D26:D41)</f>
        <v>0</v>
      </c>
      <c r="E42" s="165">
        <f t="shared" si="1"/>
        <v>0</v>
      </c>
      <c r="F42" s="165">
        <f t="shared" ca="1" si="1"/>
        <v>0</v>
      </c>
      <c r="G42" s="165">
        <f t="shared" ref="G42:S42" ca="1" si="2">SUM(G26:G41)</f>
        <v>0</v>
      </c>
      <c r="H42" s="165">
        <f t="shared" si="2"/>
        <v>0</v>
      </c>
      <c r="I42" s="165">
        <f t="shared" ca="1" si="2"/>
        <v>0</v>
      </c>
      <c r="J42" s="165">
        <f t="shared" ca="1" si="2"/>
        <v>0</v>
      </c>
      <c r="K42" s="165">
        <f t="shared" ca="1" si="2"/>
        <v>0</v>
      </c>
      <c r="L42" s="165">
        <f t="shared" si="2"/>
        <v>27</v>
      </c>
      <c r="M42" s="165">
        <f t="shared" ca="1" si="2"/>
        <v>11</v>
      </c>
      <c r="N42" s="165">
        <f t="shared" ca="1" si="2"/>
        <v>15</v>
      </c>
      <c r="O42" s="165">
        <f t="shared" ca="1" si="2"/>
        <v>4</v>
      </c>
      <c r="P42" s="165">
        <f t="shared" si="2"/>
        <v>97</v>
      </c>
      <c r="Q42" s="165">
        <f t="shared" ca="1" si="2"/>
        <v>87</v>
      </c>
      <c r="R42" s="165">
        <f t="shared" ca="1" si="2"/>
        <v>87</v>
      </c>
      <c r="S42" s="165">
        <f t="shared" ca="1" si="2"/>
        <v>3</v>
      </c>
    </row>
  </sheetData>
  <protectedRanges>
    <protectedRange sqref="B1:C1" name="Range1"/>
  </protectedRanges>
  <mergeCells count="2">
    <mergeCell ref="B20:C20"/>
    <mergeCell ref="B42:C4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79AE0-3582-488F-B25E-EAB0F925CC45}">
  <sheetPr codeName="Sheet1"/>
  <dimension ref="A1:B51"/>
  <sheetViews>
    <sheetView workbookViewId="0">
      <selection activeCell="B27" sqref="B27"/>
    </sheetView>
  </sheetViews>
  <sheetFormatPr defaultColWidth="8.85546875" defaultRowHeight="15"/>
  <cols>
    <col min="1" max="1" width="29.42578125" customWidth="1"/>
    <col min="2" max="2" width="105.42578125" customWidth="1"/>
    <col min="16384" max="16384" width="9.140625" bestFit="1" customWidth="1"/>
  </cols>
  <sheetData>
    <row r="1" spans="1:2">
      <c r="A1" s="445" t="s">
        <v>60</v>
      </c>
      <c r="B1" s="446"/>
    </row>
    <row r="2" spans="1:2">
      <c r="A2" s="447"/>
      <c r="B2" s="448"/>
    </row>
    <row r="3" spans="1:2">
      <c r="A3" s="18"/>
      <c r="B3" s="18"/>
    </row>
    <row r="4" spans="1:2" ht="15.95">
      <c r="A4" s="443" t="s">
        <v>61</v>
      </c>
      <c r="B4" s="444"/>
    </row>
    <row r="5" spans="1:2" ht="32.1">
      <c r="A5" s="48" t="s">
        <v>62</v>
      </c>
      <c r="B5" s="49" t="s">
        <v>63</v>
      </c>
    </row>
    <row r="6" spans="1:2">
      <c r="A6" s="18"/>
      <c r="B6" s="18"/>
    </row>
    <row r="7" spans="1:2" ht="15.95">
      <c r="A7" s="443" t="s">
        <v>64</v>
      </c>
      <c r="B7" s="444"/>
    </row>
    <row r="8" spans="1:2" ht="15.95">
      <c r="A8" s="48" t="s">
        <v>65</v>
      </c>
      <c r="B8" s="49" t="s">
        <v>66</v>
      </c>
    </row>
    <row r="9" spans="1:2" ht="15.95">
      <c r="A9" s="48" t="s">
        <v>67</v>
      </c>
      <c r="B9" s="49" t="s">
        <v>68</v>
      </c>
    </row>
    <row r="10" spans="1:2" ht="15.95">
      <c r="A10" s="48" t="s">
        <v>69</v>
      </c>
      <c r="B10" s="49" t="s">
        <v>70</v>
      </c>
    </row>
    <row r="11" spans="1:2" ht="15.95">
      <c r="A11" s="48" t="s">
        <v>71</v>
      </c>
      <c r="B11" s="49" t="s">
        <v>72</v>
      </c>
    </row>
    <row r="12" spans="1:2" ht="32.1">
      <c r="A12" s="48" t="s">
        <v>73</v>
      </c>
      <c r="B12" s="49" t="s">
        <v>74</v>
      </c>
    </row>
    <row r="13" spans="1:2" ht="15.95">
      <c r="A13" s="48" t="s">
        <v>75</v>
      </c>
      <c r="B13" s="49" t="s">
        <v>76</v>
      </c>
    </row>
    <row r="14" spans="1:2" ht="15.95">
      <c r="A14" s="48" t="s">
        <v>77</v>
      </c>
      <c r="B14" s="49" t="s">
        <v>78</v>
      </c>
    </row>
    <row r="15" spans="1:2" ht="15.95">
      <c r="A15" s="48" t="s">
        <v>79</v>
      </c>
      <c r="B15" s="49" t="s">
        <v>80</v>
      </c>
    </row>
    <row r="16" spans="1:2">
      <c r="A16" s="18"/>
      <c r="B16" s="18"/>
    </row>
    <row r="17" spans="1:2" ht="15.95">
      <c r="A17" s="449" t="s">
        <v>81</v>
      </c>
      <c r="B17" s="450"/>
    </row>
    <row r="18" spans="1:2" ht="15.95">
      <c r="A18" s="48" t="s">
        <v>82</v>
      </c>
      <c r="B18" s="49" t="s">
        <v>83</v>
      </c>
    </row>
    <row r="19" spans="1:2" ht="15.95">
      <c r="A19" s="48" t="s">
        <v>84</v>
      </c>
      <c r="B19" s="49" t="s">
        <v>85</v>
      </c>
    </row>
    <row r="20" spans="1:2" ht="15.95">
      <c r="A20" s="48" t="s">
        <v>86</v>
      </c>
      <c r="B20" s="49" t="s">
        <v>87</v>
      </c>
    </row>
    <row r="21" spans="1:2" ht="15.95">
      <c r="A21" s="48" t="s">
        <v>88</v>
      </c>
      <c r="B21" s="49" t="s">
        <v>89</v>
      </c>
    </row>
    <row r="22" spans="1:2" ht="15.95">
      <c r="A22" s="48" t="s">
        <v>90</v>
      </c>
      <c r="B22" s="49" t="s">
        <v>91</v>
      </c>
    </row>
    <row r="23" spans="1:2" ht="15.95">
      <c r="A23" s="48" t="s">
        <v>92</v>
      </c>
      <c r="B23" s="49" t="s">
        <v>93</v>
      </c>
    </row>
    <row r="24" spans="1:2" ht="15.95">
      <c r="A24" s="48" t="s">
        <v>94</v>
      </c>
      <c r="B24" s="49" t="s">
        <v>95</v>
      </c>
    </row>
    <row r="25" spans="1:2" ht="15.95">
      <c r="A25" s="48" t="s">
        <v>96</v>
      </c>
      <c r="B25" s="49" t="s">
        <v>97</v>
      </c>
    </row>
    <row r="26" spans="1:2" ht="15.95">
      <c r="A26" s="48" t="s">
        <v>98</v>
      </c>
      <c r="B26" s="49" t="s">
        <v>99</v>
      </c>
    </row>
    <row r="27" spans="1:2">
      <c r="A27" s="18"/>
      <c r="B27" s="18"/>
    </row>
    <row r="28" spans="1:2" ht="15.95">
      <c r="A28" s="451" t="s">
        <v>100</v>
      </c>
      <c r="B28" s="452"/>
    </row>
    <row r="29" spans="1:2" ht="15.95">
      <c r="A29" s="48" t="s">
        <v>101</v>
      </c>
      <c r="B29" s="49" t="s">
        <v>102</v>
      </c>
    </row>
    <row r="30" spans="1:2" ht="15.95">
      <c r="A30" s="48" t="s">
        <v>103</v>
      </c>
      <c r="B30" s="49" t="s">
        <v>104</v>
      </c>
    </row>
    <row r="31" spans="1:2" ht="15.95">
      <c r="A31" s="48" t="s">
        <v>105</v>
      </c>
      <c r="B31" s="49" t="s">
        <v>106</v>
      </c>
    </row>
    <row r="32" spans="1:2" ht="15.95">
      <c r="A32" s="48" t="s">
        <v>107</v>
      </c>
      <c r="B32" s="49" t="s">
        <v>108</v>
      </c>
    </row>
    <row r="33" spans="1:2" ht="15.95">
      <c r="A33" s="48" t="s">
        <v>109</v>
      </c>
      <c r="B33" s="49" t="s">
        <v>110</v>
      </c>
    </row>
    <row r="34" spans="1:2">
      <c r="A34" s="18"/>
      <c r="B34" s="18"/>
    </row>
    <row r="35" spans="1:2" ht="15.95">
      <c r="A35" s="443" t="s">
        <v>111</v>
      </c>
      <c r="B35" s="444"/>
    </row>
    <row r="36" spans="1:2" ht="15.95">
      <c r="A36" s="48" t="s">
        <v>112</v>
      </c>
      <c r="B36" s="49" t="s">
        <v>113</v>
      </c>
    </row>
    <row r="37" spans="1:2" ht="15.95">
      <c r="A37" s="48" t="s">
        <v>114</v>
      </c>
      <c r="B37" s="49" t="s">
        <v>115</v>
      </c>
    </row>
    <row r="38" spans="1:2" ht="15.95">
      <c r="A38" s="48" t="s">
        <v>116</v>
      </c>
      <c r="B38" s="49" t="s">
        <v>117</v>
      </c>
    </row>
    <row r="39" spans="1:2" ht="15.95">
      <c r="A39" s="48" t="s">
        <v>118</v>
      </c>
      <c r="B39" s="49" t="s">
        <v>119</v>
      </c>
    </row>
    <row r="40" spans="1:2" ht="15.95">
      <c r="A40" s="48" t="s">
        <v>120</v>
      </c>
      <c r="B40" s="49" t="s">
        <v>121</v>
      </c>
    </row>
    <row r="41" spans="1:2" ht="15.95">
      <c r="A41" s="48" t="s">
        <v>122</v>
      </c>
      <c r="B41" s="49" t="s">
        <v>123</v>
      </c>
    </row>
    <row r="42" spans="1:2">
      <c r="A42" s="18"/>
      <c r="B42" s="18"/>
    </row>
    <row r="43" spans="1:2" ht="17.100000000000001">
      <c r="A43" s="50" t="s">
        <v>124</v>
      </c>
      <c r="B43" s="51"/>
    </row>
    <row r="44" spans="1:2" ht="15.95">
      <c r="A44" s="48" t="s">
        <v>125</v>
      </c>
      <c r="B44" s="49" t="s">
        <v>126</v>
      </c>
    </row>
    <row r="45" spans="1:2" ht="15.95">
      <c r="A45" s="48" t="s">
        <v>125</v>
      </c>
      <c r="B45" s="49" t="s">
        <v>127</v>
      </c>
    </row>
    <row r="46" spans="1:2" ht="15.95">
      <c r="A46" s="48" t="s">
        <v>125</v>
      </c>
      <c r="B46" s="49" t="s">
        <v>128</v>
      </c>
    </row>
    <row r="47" spans="1:2" ht="15.95">
      <c r="A47" s="48" t="s">
        <v>125</v>
      </c>
      <c r="B47" s="49" t="s">
        <v>129</v>
      </c>
    </row>
    <row r="48" spans="1:2" ht="15.95">
      <c r="A48" s="48" t="s">
        <v>125</v>
      </c>
      <c r="B48" s="49" t="s">
        <v>130</v>
      </c>
    </row>
    <row r="50" spans="1:2" ht="15.75" customHeight="1">
      <c r="A50" s="50" t="s">
        <v>131</v>
      </c>
      <c r="B50" s="49" t="s">
        <v>132</v>
      </c>
    </row>
    <row r="51" spans="1:2">
      <c r="A51" s="48"/>
      <c r="B51" s="49"/>
    </row>
  </sheetData>
  <sheetProtection sheet="1" objects="1" scenarios="1"/>
  <mergeCells count="6">
    <mergeCell ref="A35:B35"/>
    <mergeCell ref="A1:B2"/>
    <mergeCell ref="A4:B4"/>
    <mergeCell ref="A7:B7"/>
    <mergeCell ref="A17:B17"/>
    <mergeCell ref="A28:B2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dimension ref="A1:E27"/>
  <sheetViews>
    <sheetView topLeftCell="B1" workbookViewId="0">
      <selection activeCell="B27" sqref="B27"/>
    </sheetView>
  </sheetViews>
  <sheetFormatPr defaultColWidth="8.85546875" defaultRowHeight="15"/>
  <cols>
    <col min="1" max="1" width="28.28515625" bestFit="1" customWidth="1"/>
    <col min="2" max="2" width="96.7109375" customWidth="1"/>
    <col min="3" max="3" width="4.140625" customWidth="1"/>
    <col min="4" max="4" width="34.28515625" bestFit="1" customWidth="1"/>
    <col min="5" max="5" width="103.28515625" customWidth="1"/>
  </cols>
  <sheetData>
    <row r="1" spans="1:5">
      <c r="A1" s="453" t="s">
        <v>133</v>
      </c>
      <c r="B1" s="453"/>
      <c r="D1" s="454" t="s">
        <v>134</v>
      </c>
      <c r="E1" s="454"/>
    </row>
    <row r="2" spans="1:5">
      <c r="A2" s="1" t="s">
        <v>133</v>
      </c>
      <c r="B2" s="2" t="s">
        <v>135</v>
      </c>
      <c r="D2" s="13" t="s">
        <v>136</v>
      </c>
      <c r="E2" s="14" t="s">
        <v>135</v>
      </c>
    </row>
    <row r="3" spans="1:5">
      <c r="A3" s="3" t="s">
        <v>137</v>
      </c>
      <c r="B3" s="4" t="s">
        <v>138</v>
      </c>
      <c r="D3" s="11" t="s">
        <v>139</v>
      </c>
      <c r="E3" s="11" t="s">
        <v>140</v>
      </c>
    </row>
    <row r="4" spans="1:5">
      <c r="A4" s="3" t="s">
        <v>141</v>
      </c>
      <c r="B4" s="5" t="s">
        <v>142</v>
      </c>
      <c r="D4" s="12" t="s">
        <v>143</v>
      </c>
      <c r="E4" s="12" t="s">
        <v>144</v>
      </c>
    </row>
    <row r="5" spans="1:5">
      <c r="A5" s="3" t="s">
        <v>145</v>
      </c>
      <c r="B5" s="4" t="s">
        <v>146</v>
      </c>
      <c r="D5" s="11" t="s">
        <v>147</v>
      </c>
      <c r="E5" s="11" t="s">
        <v>148</v>
      </c>
    </row>
    <row r="6" spans="1:5">
      <c r="A6" s="6" t="s">
        <v>149</v>
      </c>
      <c r="B6" s="5" t="s">
        <v>150</v>
      </c>
      <c r="D6" s="12" t="s">
        <v>151</v>
      </c>
      <c r="E6" s="12" t="s">
        <v>152</v>
      </c>
    </row>
    <row r="7" spans="1:5">
      <c r="A7" s="3" t="s">
        <v>153</v>
      </c>
      <c r="B7" s="4" t="s">
        <v>154</v>
      </c>
      <c r="D7" s="11" t="s">
        <v>155</v>
      </c>
      <c r="E7" s="11" t="s">
        <v>156</v>
      </c>
    </row>
    <row r="8" spans="1:5">
      <c r="A8" s="6" t="s">
        <v>157</v>
      </c>
      <c r="B8" s="5" t="s">
        <v>158</v>
      </c>
      <c r="D8" s="12" t="s">
        <v>159</v>
      </c>
      <c r="E8" s="12" t="s">
        <v>160</v>
      </c>
    </row>
    <row r="9" spans="1:5">
      <c r="A9" s="3" t="s">
        <v>161</v>
      </c>
      <c r="B9" s="4" t="s">
        <v>162</v>
      </c>
      <c r="D9" s="11" t="s">
        <v>163</v>
      </c>
      <c r="E9" s="11" t="s">
        <v>164</v>
      </c>
    </row>
    <row r="10" spans="1:5">
      <c r="A10" s="6" t="s">
        <v>165</v>
      </c>
      <c r="B10" s="5" t="s">
        <v>166</v>
      </c>
      <c r="D10" s="12" t="s">
        <v>167</v>
      </c>
      <c r="E10" s="12" t="s">
        <v>168</v>
      </c>
    </row>
    <row r="11" spans="1:5">
      <c r="A11" s="3" t="s">
        <v>169</v>
      </c>
      <c r="B11" s="4" t="s">
        <v>170</v>
      </c>
      <c r="D11" s="11" t="s">
        <v>171</v>
      </c>
      <c r="E11" s="15" t="s">
        <v>172</v>
      </c>
    </row>
    <row r="12" spans="1:5">
      <c r="A12" s="6" t="s">
        <v>173</v>
      </c>
      <c r="B12" s="5" t="s">
        <v>174</v>
      </c>
      <c r="D12" s="5" t="s">
        <v>175</v>
      </c>
      <c r="E12" s="12" t="s">
        <v>176</v>
      </c>
    </row>
    <row r="13" spans="1:5">
      <c r="A13" s="3" t="s">
        <v>177</v>
      </c>
      <c r="B13" s="4" t="s">
        <v>178</v>
      </c>
      <c r="D13" s="11" t="s">
        <v>179</v>
      </c>
      <c r="E13" s="16" t="s">
        <v>180</v>
      </c>
    </row>
    <row r="14" spans="1:5">
      <c r="A14" s="6" t="s">
        <v>181</v>
      </c>
      <c r="B14" s="5" t="s">
        <v>182</v>
      </c>
      <c r="D14" s="12" t="s">
        <v>183</v>
      </c>
      <c r="E14" s="12" t="s">
        <v>184</v>
      </c>
    </row>
    <row r="15" spans="1:5">
      <c r="A15" s="3" t="s">
        <v>185</v>
      </c>
      <c r="B15" s="4" t="s">
        <v>186</v>
      </c>
    </row>
    <row r="16" spans="1:5">
      <c r="A16" s="6" t="s">
        <v>187</v>
      </c>
      <c r="B16" s="5" t="s">
        <v>188</v>
      </c>
    </row>
    <row r="17" spans="1:2">
      <c r="A17" s="3" t="s">
        <v>175</v>
      </c>
      <c r="B17" s="4" t="s">
        <v>189</v>
      </c>
    </row>
    <row r="18" spans="1:2">
      <c r="A18" s="6" t="s">
        <v>155</v>
      </c>
      <c r="B18" s="5" t="s">
        <v>156</v>
      </c>
    </row>
    <row r="19" spans="1:2">
      <c r="A19" s="3" t="s">
        <v>190</v>
      </c>
      <c r="B19" s="4" t="s">
        <v>191</v>
      </c>
    </row>
    <row r="20" spans="1:2">
      <c r="A20" s="6" t="s">
        <v>167</v>
      </c>
      <c r="B20" s="5" t="s">
        <v>192</v>
      </c>
    </row>
    <row r="21" spans="1:2">
      <c r="A21" s="3" t="s">
        <v>193</v>
      </c>
      <c r="B21" s="4" t="s">
        <v>194</v>
      </c>
    </row>
    <row r="22" spans="1:2">
      <c r="A22" s="6" t="s">
        <v>195</v>
      </c>
      <c r="B22" s="5" t="s">
        <v>196</v>
      </c>
    </row>
    <row r="23" spans="1:2">
      <c r="A23" s="3" t="s">
        <v>197</v>
      </c>
      <c r="B23" s="4" t="s">
        <v>198</v>
      </c>
    </row>
    <row r="24" spans="1:2">
      <c r="A24" s="6" t="s">
        <v>199</v>
      </c>
      <c r="B24" s="5" t="s">
        <v>200</v>
      </c>
    </row>
    <row r="25" spans="1:2">
      <c r="A25" s="7" t="s">
        <v>201</v>
      </c>
      <c r="B25" s="8" t="s">
        <v>202</v>
      </c>
    </row>
    <row r="26" spans="1:2">
      <c r="A26" s="9" t="s">
        <v>203</v>
      </c>
      <c r="B26" s="10" t="s">
        <v>204</v>
      </c>
    </row>
    <row r="27" spans="1:2">
      <c r="A27" s="7" t="s">
        <v>205</v>
      </c>
      <c r="B27" s="8" t="s">
        <v>206</v>
      </c>
    </row>
  </sheetData>
  <sheetProtection algorithmName="SHA-512" hashValue="sbvz7aTbQin9akHDRKsK/+ZSmiHxM1rLUQxLQVb99yYnNc6Y7Czt2mckWKv9LrGR0NQvfqs2whCfTQcVscBW2g==" saltValue="SzrNhyuWbxeZCH25oL7DjQ==" spinCount="100000" sheet="1" objects="1" scenarios="1" selectLockedCells="1" selectUnlockedCells="1"/>
  <mergeCells count="2">
    <mergeCell ref="A1:B1"/>
    <mergeCell ref="D1:E1"/>
  </mergeCells>
  <pageMargins left="0.7" right="0.7" top="0.75" bottom="0.75" header="0.3" footer="0.3"/>
  <headerFooter>
    <oddFooter>&amp;C_x000D_&amp;1#&amp;"Mylius Modern"&amp;10&amp;K000000 INTERNAL</oddFooter>
  </headerFooter>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37A99-7B94-4ECE-B1EC-A1628AE713A7}">
  <sheetPr codeName="Sheet3"/>
  <dimension ref="A1:BC40"/>
  <sheetViews>
    <sheetView workbookViewId="0">
      <selection activeCell="A39" sqref="A39:B39"/>
    </sheetView>
  </sheetViews>
  <sheetFormatPr defaultColWidth="8.85546875" defaultRowHeight="15"/>
  <cols>
    <col min="54" max="54" width="13.85546875" bestFit="1" customWidth="1"/>
  </cols>
  <sheetData>
    <row r="1" spans="1:55" ht="18.95">
      <c r="J1" s="455" t="str">
        <f>TEXT(MSR!B1,"dd-mmm-yyyy")&amp;" to "&amp;TEXT(MSR!C1,"dd-mmm-yyyy")</f>
        <v>01-Aug-2026 to 31-Aug-2026</v>
      </c>
      <c r="K1" s="455"/>
      <c r="L1" s="455"/>
      <c r="M1" s="455"/>
      <c r="N1" s="455"/>
    </row>
    <row r="3" spans="1:55" ht="18.95">
      <c r="C3" s="459" t="s">
        <v>207</v>
      </c>
      <c r="D3" s="459"/>
      <c r="E3" s="459"/>
      <c r="K3" s="459" t="s">
        <v>208</v>
      </c>
      <c r="L3" s="459"/>
      <c r="M3" s="459"/>
      <c r="S3" s="459" t="s">
        <v>209</v>
      </c>
      <c r="T3" s="459"/>
      <c r="U3" s="459"/>
    </row>
    <row r="5" spans="1:55" ht="31.5" customHeight="1">
      <c r="A5" s="462" t="s">
        <v>210</v>
      </c>
      <c r="B5" s="462"/>
      <c r="C5" s="462"/>
      <c r="E5" s="456" t="s">
        <v>211</v>
      </c>
      <c r="F5" s="456"/>
      <c r="G5" s="456"/>
      <c r="I5" s="462" t="s">
        <v>16</v>
      </c>
      <c r="J5" s="462"/>
      <c r="K5" s="462"/>
      <c r="M5" s="456" t="s">
        <v>17</v>
      </c>
      <c r="N5" s="456"/>
      <c r="O5" s="456"/>
      <c r="Q5" s="460" t="s">
        <v>212</v>
      </c>
      <c r="R5" s="460"/>
      <c r="S5" s="460"/>
      <c r="U5" s="456" t="s">
        <v>213</v>
      </c>
      <c r="V5" s="456"/>
      <c r="W5" s="456"/>
    </row>
    <row r="6" spans="1:55" ht="30.95">
      <c r="A6" s="457">
        <f>MSR!D20+MSR!G20+MSR!J20+MSR!M20</f>
        <v>107</v>
      </c>
      <c r="B6" s="457"/>
      <c r="C6" s="457"/>
      <c r="E6" s="457">
        <f>MSR!E20+MSR!H20+MSR!K20+MSR!N20</f>
        <v>124</v>
      </c>
      <c r="F6" s="457"/>
      <c r="G6" s="457"/>
      <c r="I6" s="457">
        <f>MSR!P20</f>
        <v>18</v>
      </c>
      <c r="J6" s="457"/>
      <c r="K6" s="457"/>
      <c r="M6" s="457">
        <f>MSR!Q20</f>
        <v>38</v>
      </c>
      <c r="N6" s="457"/>
      <c r="O6" s="457"/>
      <c r="Q6" s="461">
        <f>MSR!S20</f>
        <v>0</v>
      </c>
      <c r="R6" s="461"/>
      <c r="S6" s="461"/>
      <c r="U6" s="457">
        <f>MSR!T20</f>
        <v>0</v>
      </c>
      <c r="V6" s="457"/>
      <c r="W6" s="457"/>
    </row>
    <row r="7" spans="1:55" ht="31.5" customHeight="1"/>
    <row r="8" spans="1:55">
      <c r="C8" s="458" t="s">
        <v>214</v>
      </c>
      <c r="D8" s="458"/>
      <c r="E8" s="458"/>
      <c r="K8" s="458" t="s">
        <v>18</v>
      </c>
      <c r="L8" s="458"/>
      <c r="M8" s="458"/>
      <c r="S8" s="458" t="s">
        <v>215</v>
      </c>
      <c r="T8" s="458"/>
      <c r="U8" s="458"/>
    </row>
    <row r="9" spans="1:55" ht="30.95">
      <c r="C9" s="457">
        <f>MSR!F20+MSR!I20+MSR!L20+MSR!O20</f>
        <v>481</v>
      </c>
      <c r="D9" s="457"/>
      <c r="E9" s="457"/>
      <c r="K9" s="457">
        <f>MSR!R20</f>
        <v>302</v>
      </c>
      <c r="L9" s="457"/>
      <c r="M9" s="457"/>
      <c r="S9" s="457">
        <f>MSR!S20-MSR!T20</f>
        <v>0</v>
      </c>
      <c r="T9" s="457"/>
      <c r="U9" s="457"/>
      <c r="AQ9" s="116" t="s">
        <v>216</v>
      </c>
      <c r="AR9" s="116" t="s">
        <v>217</v>
      </c>
      <c r="AS9" s="116" t="s">
        <v>218</v>
      </c>
      <c r="AU9" s="116" t="s">
        <v>3</v>
      </c>
      <c r="AV9" s="116" t="s">
        <v>219</v>
      </c>
      <c r="AX9" s="116"/>
      <c r="AY9" s="116"/>
      <c r="AZ9" s="116"/>
      <c r="BB9" s="19" t="s">
        <v>220</v>
      </c>
      <c r="BC9" s="19">
        <v>4</v>
      </c>
    </row>
    <row r="10" spans="1:55">
      <c r="AQ10" s="19" t="s">
        <v>221</v>
      </c>
      <c r="AR10" s="19">
        <f>MSR!D20</f>
        <v>0</v>
      </c>
      <c r="AS10" s="19">
        <f>MSR!E20</f>
        <v>0</v>
      </c>
      <c r="AU10" s="19" t="s">
        <v>27</v>
      </c>
      <c r="AV10" s="19">
        <f>MSR!F4+MSR!I4+MSR!L4+MSR!O4+MSR!R4</f>
        <v>450</v>
      </c>
      <c r="AX10" s="19"/>
      <c r="AY10" s="19"/>
      <c r="AZ10" s="19"/>
      <c r="BB10" s="19" t="s">
        <v>222</v>
      </c>
      <c r="BC10" s="19">
        <v>5</v>
      </c>
    </row>
    <row r="11" spans="1:55">
      <c r="AQ11" s="19" t="s">
        <v>223</v>
      </c>
      <c r="AR11" s="19">
        <f>MSR!G20</f>
        <v>0</v>
      </c>
      <c r="AS11" s="19">
        <f>MSR!H20</f>
        <v>0</v>
      </c>
      <c r="AU11" s="19" t="s">
        <v>29</v>
      </c>
      <c r="AV11" s="19">
        <f>MSR!F5+MSR!I5+MSR!L5+MSR!O5+MSR!R5</f>
        <v>4</v>
      </c>
      <c r="AX11" s="19"/>
      <c r="AY11" s="19"/>
      <c r="AZ11" s="19"/>
      <c r="BB11" s="19" t="s">
        <v>224</v>
      </c>
      <c r="BC11" s="19">
        <v>6</v>
      </c>
    </row>
    <row r="12" spans="1:55">
      <c r="AQ12" s="19" t="s">
        <v>225</v>
      </c>
      <c r="AR12" s="19">
        <f>MSR!J20</f>
        <v>16</v>
      </c>
      <c r="AS12" s="19">
        <f>MSR!K20</f>
        <v>27</v>
      </c>
      <c r="AU12" s="19" t="s">
        <v>31</v>
      </c>
      <c r="AV12" s="19">
        <f>MSR!F6+MSR!I6+MSR!L6+MSR!O6+MSR!R6</f>
        <v>4</v>
      </c>
      <c r="AX12" s="19"/>
      <c r="AY12" s="19"/>
      <c r="AZ12" s="19"/>
      <c r="BB12" s="19" t="s">
        <v>226</v>
      </c>
      <c r="BC12" s="19">
        <v>7</v>
      </c>
    </row>
    <row r="13" spans="1:55">
      <c r="AQ13" s="19" t="s">
        <v>227</v>
      </c>
      <c r="AR13" s="19">
        <f>MSR!M20</f>
        <v>91</v>
      </c>
      <c r="AS13" s="19">
        <f>MSR!N20</f>
        <v>97</v>
      </c>
      <c r="AU13" s="19" t="s">
        <v>33</v>
      </c>
      <c r="AV13" s="19">
        <f>MSR!F7+MSR!I7+MSR!L7+MSR!O7</f>
        <v>0</v>
      </c>
      <c r="AX13" s="19"/>
      <c r="AY13" s="19"/>
      <c r="AZ13" s="19"/>
      <c r="BB13" s="19" t="s">
        <v>228</v>
      </c>
      <c r="BC13" s="19">
        <v>8</v>
      </c>
    </row>
    <row r="14" spans="1:55">
      <c r="AQ14" s="19" t="s">
        <v>208</v>
      </c>
      <c r="AR14" s="19">
        <f>MSR!P20</f>
        <v>18</v>
      </c>
      <c r="AS14" s="19">
        <f>MSR!Q20</f>
        <v>38</v>
      </c>
      <c r="AU14" s="19" t="s">
        <v>229</v>
      </c>
      <c r="AV14" s="19">
        <f>MSR!F8+MSR!I8+MSR!L8+MSR!O8+MSR!R8</f>
        <v>190</v>
      </c>
      <c r="AX14" s="19"/>
      <c r="AY14" s="19"/>
      <c r="AZ14" s="19"/>
      <c r="BB14" s="19" t="s">
        <v>230</v>
      </c>
      <c r="BC14" s="19">
        <v>9</v>
      </c>
    </row>
    <row r="15" spans="1:55">
      <c r="AQ15" s="19" t="s">
        <v>231</v>
      </c>
      <c r="AR15" s="19">
        <f>MSR!S20</f>
        <v>0</v>
      </c>
      <c r="AS15" s="19">
        <f>MSR!T20</f>
        <v>0</v>
      </c>
      <c r="AU15" s="19" t="s">
        <v>37</v>
      </c>
      <c r="AV15" s="19">
        <f>MSR!F9+MSR!I9+MSR!L9+MSR!O9+MSR!R9</f>
        <v>67</v>
      </c>
      <c r="AX15" s="19"/>
      <c r="AY15" s="19"/>
      <c r="AZ15" s="19"/>
      <c r="BB15" s="19" t="s">
        <v>232</v>
      </c>
      <c r="BC15" s="19">
        <v>10</v>
      </c>
    </row>
    <row r="16" spans="1:55">
      <c r="AU16" s="19" t="s">
        <v>39</v>
      </c>
      <c r="AV16" s="19">
        <f>MSR!F10+MSR!I10+MSR!L10+MSR!O10+MSR!R10</f>
        <v>4</v>
      </c>
      <c r="AX16" s="19"/>
      <c r="AY16" s="19"/>
      <c r="AZ16" s="19"/>
      <c r="BB16" s="19" t="s">
        <v>233</v>
      </c>
      <c r="BC16" s="19">
        <v>11</v>
      </c>
    </row>
    <row r="17" spans="47:55">
      <c r="AU17" s="19" t="s">
        <v>41</v>
      </c>
      <c r="AV17" s="19">
        <f>MSR!F11+MSR!I11+MSR!L11+MSR!O11+MSR!R11</f>
        <v>9</v>
      </c>
      <c r="AX17" s="19"/>
      <c r="AY17" s="19"/>
      <c r="AZ17" s="19"/>
      <c r="BB17" s="19" t="s">
        <v>234</v>
      </c>
      <c r="BC17" s="19">
        <v>12</v>
      </c>
    </row>
    <row r="18" spans="47:55">
      <c r="AU18" s="19" t="s">
        <v>235</v>
      </c>
      <c r="AV18" s="19">
        <f>MSR!F12+MSR!I12+MSR!L12+MSR!O12+MSR!R12</f>
        <v>0</v>
      </c>
      <c r="AX18" s="19"/>
      <c r="AY18" s="19"/>
      <c r="AZ18" s="19"/>
      <c r="BB18" s="145" t="s">
        <v>236</v>
      </c>
      <c r="BC18" s="145">
        <v>13</v>
      </c>
    </row>
    <row r="19" spans="47:55">
      <c r="AU19" s="19" t="s">
        <v>44</v>
      </c>
      <c r="AV19" s="19">
        <f>MSR!F13+MSR!I13+MSR!L13+MSR!O13+MSR!R13</f>
        <v>53</v>
      </c>
      <c r="AX19" s="19"/>
      <c r="AY19" s="19"/>
      <c r="AZ19" s="19"/>
      <c r="BB19" s="19" t="s">
        <v>237</v>
      </c>
      <c r="BC19" s="19">
        <v>14</v>
      </c>
    </row>
    <row r="20" spans="47:55">
      <c r="AU20" s="145" t="s">
        <v>238</v>
      </c>
      <c r="AV20" s="145">
        <f>MSR!F14+MSR!I14+MSR!L14+MSR!O14+MSR!R14</f>
        <v>0</v>
      </c>
      <c r="AX20" s="19"/>
      <c r="AY20" s="19"/>
      <c r="AZ20" s="19"/>
      <c r="BB20" s="19" t="s">
        <v>239</v>
      </c>
      <c r="BC20" s="19">
        <v>15</v>
      </c>
    </row>
    <row r="21" spans="47:55">
      <c r="AU21" s="19" t="s">
        <v>240</v>
      </c>
      <c r="AV21" s="19">
        <f>MSR!F15+MSR!I15+MSR!L15+MSR!O15+MSR!R15</f>
        <v>0</v>
      </c>
      <c r="AX21" s="19"/>
      <c r="AY21" s="19"/>
      <c r="AZ21" s="19"/>
      <c r="BB21" s="145" t="s">
        <v>241</v>
      </c>
      <c r="BC21" s="145">
        <v>16</v>
      </c>
    </row>
    <row r="22" spans="47:55">
      <c r="AU22" s="19" t="s">
        <v>239</v>
      </c>
      <c r="AV22" s="19">
        <f>MSR!F16+MSR!I16+MSR!L16+MSR!O16+MSR!R16</f>
        <v>1</v>
      </c>
      <c r="AX22" s="19"/>
      <c r="AY22" s="19"/>
      <c r="AZ22" s="19"/>
      <c r="BB22" s="19" t="s">
        <v>242</v>
      </c>
      <c r="BC22" s="19">
        <v>17</v>
      </c>
    </row>
    <row r="23" spans="47:55">
      <c r="AU23" s="19" t="s">
        <v>243</v>
      </c>
      <c r="AV23" s="19">
        <f>MSR!F17+MSR!I17+MSR!L17+MSR!O17+MSR!R17</f>
        <v>0</v>
      </c>
      <c r="AX23" s="19"/>
      <c r="AY23" s="19"/>
      <c r="AZ23" s="19"/>
      <c r="BB23" s="19" t="s">
        <v>244</v>
      </c>
      <c r="BC23" s="19">
        <v>18</v>
      </c>
    </row>
    <row r="24" spans="47:55">
      <c r="AU24" s="146" t="s">
        <v>245</v>
      </c>
      <c r="AV24" s="146">
        <f>MSR!F18+MSR!I18+MSR!L18+MSR!O18+MSR!R18</f>
        <v>0</v>
      </c>
    </row>
    <row r="36" spans="1:14" ht="15.95">
      <c r="A36" s="467" t="s">
        <v>246</v>
      </c>
      <c r="B36" s="467"/>
      <c r="C36" s="467"/>
      <c r="D36" s="467"/>
      <c r="E36" s="467"/>
      <c r="F36" s="467"/>
      <c r="G36" s="467"/>
      <c r="H36" s="467"/>
      <c r="I36" s="467"/>
      <c r="J36" s="467"/>
      <c r="K36" s="467"/>
      <c r="L36" s="467"/>
    </row>
    <row r="38" spans="1:14" ht="29.25" customHeight="1">
      <c r="A38" s="463" t="s">
        <v>247</v>
      </c>
      <c r="B38" s="463"/>
      <c r="D38" s="465" t="s">
        <v>16</v>
      </c>
      <c r="E38" s="465"/>
      <c r="F38" s="126" cm="1">
        <f t="array" ref="F38">INDEX(MSR!$P$4:$P$18,_xlfn.XMATCH($A$39,$BB$9:$BB$23))</f>
        <v>0</v>
      </c>
      <c r="H38" s="465" t="s">
        <v>248</v>
      </c>
      <c r="I38" s="465"/>
      <c r="J38" s="126" cm="1">
        <f t="array" ref="J38">INDEX(MSR!$D$4:$D$18,_xlfn.XMATCH($A$39,$BB$9:$BB$23))
+INDEX(MSR!$G$4:$G$18,_xlfn.XMATCH($A$39,$BB$9:$BB$23))
+INDEX(MSR!$J$4:$J$18,_xlfn.XMATCH($A$39,$BB$9:$BB$23))
+INDEX(MSR!$M$4:$M$18,_xlfn.XMATCH($A$39,$BB$9:$BB$23))</f>
        <v>27</v>
      </c>
      <c r="L38" s="465" t="s">
        <v>212</v>
      </c>
      <c r="M38" s="465"/>
      <c r="N38" s="126" cm="1">
        <f t="array" ref="N38">INDEX(MSR!$S$4:$S$18,_xlfn.XMATCH($A$39,$BB$9:$BB$23))</f>
        <v>0</v>
      </c>
    </row>
    <row r="39" spans="1:14" ht="32.25" customHeight="1">
      <c r="A39" s="464" t="s">
        <v>232</v>
      </c>
      <c r="B39" s="464"/>
      <c r="D39" s="466" t="s">
        <v>17</v>
      </c>
      <c r="E39" s="466"/>
      <c r="F39" s="126" cm="1">
        <f t="array" ref="F39">INDEX(MSR!$Q$4:$Q$18,_xlfn.XMATCH($A$39,$BB$9:$BB$23))</f>
        <v>0</v>
      </c>
      <c r="H39" s="466" t="s">
        <v>249</v>
      </c>
      <c r="I39" s="466"/>
      <c r="J39" s="126" cm="1">
        <f t="array" ref="J39">INDEX(MSR!$E$4:$E$18,_xlfn.XMATCH($A$39,$BB$9:$BB$23))
+INDEX(MSR!$H$4:$H$18,_xlfn.XMATCH($A$39,$BB$9:$BB$23))
+INDEX(MSR!$K$4:$K$18,_xlfn.XMATCH($A$39,$BB$9:$BB$23))
+INDEX(MSR!$N$4:$N$18,_xlfn.XMATCH($A$39,$BB$9:$BB$23))</f>
        <v>28</v>
      </c>
      <c r="L39" s="466" t="s">
        <v>213</v>
      </c>
      <c r="M39" s="466"/>
      <c r="N39" s="126" cm="1">
        <f t="array" ref="N39">INDEX(MSR!$T$4:$T$18,_xlfn.XMATCH($A$39,$BB$9:$BB$23))</f>
        <v>0</v>
      </c>
    </row>
    <row r="40" spans="1:14" ht="30" customHeight="1">
      <c r="D40" s="468" t="s">
        <v>250</v>
      </c>
      <c r="E40" s="468"/>
      <c r="F40" s="126" cm="1">
        <f t="array" ref="F40">INDEX(MSR!$R$4:$R$18,_xlfn.XMATCH($A$39,$BB$9:$BB$23))</f>
        <v>3</v>
      </c>
      <c r="H40" s="468" t="s">
        <v>251</v>
      </c>
      <c r="I40" s="468"/>
      <c r="J40" s="126" cm="1">
        <f t="array" ref="J40">INDEX(MSR!$F$4:$F$18,_xlfn.XMATCH($A$39,$BB$9:$BB$23))
+INDEX(MSR!$I$4:$I$18,_xlfn.XMATCH($A$39,$BB$9:$BB$23))
+INDEX(MSR!$L$4:$L$18,_xlfn.XMATCH($A$39,$BB$9:$BB$23))
+INDEX(MSR!$O$4:$O$18,_xlfn.XMATCH($A$39,$BB$9:$BB$23))</f>
        <v>1</v>
      </c>
    </row>
  </sheetData>
  <sheetProtection algorithmName="SHA-512" hashValue="Xsf2vIA2d+pK/n3a2Ht8rbqcupSE6UnSaB7+2SrK1KXCfNZDf2QhvAhtcFs0f77oujSHBmV2+HNyPbeIM9tQPA==" saltValue="f28DSocVuRamV7+6HqyIGw==" spinCount="100000" sheet="1" objects="1" scenarios="1"/>
  <mergeCells count="33">
    <mergeCell ref="D40:E40"/>
    <mergeCell ref="H38:I38"/>
    <mergeCell ref="H39:I39"/>
    <mergeCell ref="H40:I40"/>
    <mergeCell ref="L38:M38"/>
    <mergeCell ref="L39:M39"/>
    <mergeCell ref="A38:B38"/>
    <mergeCell ref="A39:B39"/>
    <mergeCell ref="D38:E38"/>
    <mergeCell ref="D39:E39"/>
    <mergeCell ref="C3:E3"/>
    <mergeCell ref="A5:C5"/>
    <mergeCell ref="A6:C6"/>
    <mergeCell ref="E5:G5"/>
    <mergeCell ref="E6:G6"/>
    <mergeCell ref="C8:E8"/>
    <mergeCell ref="C9:E9"/>
    <mergeCell ref="A36:L36"/>
    <mergeCell ref="J1:N1"/>
    <mergeCell ref="U5:W5"/>
    <mergeCell ref="U6:W6"/>
    <mergeCell ref="S8:U8"/>
    <mergeCell ref="S9:U9"/>
    <mergeCell ref="S3:U3"/>
    <mergeCell ref="Q5:S5"/>
    <mergeCell ref="Q6:S6"/>
    <mergeCell ref="M5:O5"/>
    <mergeCell ref="M6:O6"/>
    <mergeCell ref="K8:M8"/>
    <mergeCell ref="K9:M9"/>
    <mergeCell ref="K3:M3"/>
    <mergeCell ref="I6:K6"/>
    <mergeCell ref="I5:K5"/>
  </mergeCells>
  <dataValidations count="1">
    <dataValidation type="list" allowBlank="1" showInputMessage="1" showErrorMessage="1" sqref="A39:B39" xr:uid="{4C4456C0-0F39-4D91-AC29-A530D4DA3BB3}">
      <formula1>$BB$10:$BB$23</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F2F6B-7B52-4C17-A113-B744AB14A560}">
  <sheetPr codeName="Sheet4"/>
  <dimension ref="A1:AA50"/>
  <sheetViews>
    <sheetView zoomScale="80" zoomScaleNormal="80" workbookViewId="0">
      <selection activeCell="Y2" sqref="Y2"/>
    </sheetView>
  </sheetViews>
  <sheetFormatPr defaultColWidth="8.85546875" defaultRowHeight="15"/>
  <cols>
    <col min="1" max="1" width="16.42578125" bestFit="1" customWidth="1"/>
    <col min="2" max="2" width="10.28515625" customWidth="1"/>
    <col min="3" max="3" width="20.42578125" bestFit="1" customWidth="1"/>
    <col min="4" max="4" width="13.42578125" customWidth="1"/>
    <col min="5" max="5" width="29.42578125" bestFit="1" customWidth="1"/>
    <col min="7" max="7" width="13.85546875" customWidth="1"/>
    <col min="8" max="8" width="17.28515625" customWidth="1"/>
    <col min="9" max="9" width="12.140625" bestFit="1" customWidth="1"/>
    <col min="13" max="13" width="8.42578125" bestFit="1" customWidth="1"/>
    <col min="15" max="15" width="10.7109375" bestFit="1" customWidth="1"/>
    <col min="17" max="17" width="20" bestFit="1" customWidth="1"/>
    <col min="19" max="19" width="28.28515625" bestFit="1" customWidth="1"/>
    <col min="20" max="20" width="19.42578125" customWidth="1"/>
    <col min="21" max="21" width="34.28515625" bestFit="1" customWidth="1"/>
    <col min="22" max="22" width="17.140625" customWidth="1"/>
    <col min="23" max="23" width="28.28515625" bestFit="1" customWidth="1"/>
    <col min="24" max="24" width="17.140625" customWidth="1"/>
    <col min="25" max="25" width="35.42578125" customWidth="1"/>
  </cols>
  <sheetData>
    <row r="1" spans="1:27" s="21" customFormat="1">
      <c r="A1" s="22" t="s">
        <v>252</v>
      </c>
      <c r="C1" s="22" t="s">
        <v>3</v>
      </c>
      <c r="E1" s="22" t="s">
        <v>1</v>
      </c>
      <c r="G1" s="20" t="s">
        <v>253</v>
      </c>
      <c r="I1" s="22" t="s">
        <v>207</v>
      </c>
      <c r="K1" s="22" t="s">
        <v>208</v>
      </c>
      <c r="M1" s="22" t="s">
        <v>231</v>
      </c>
      <c r="O1" s="22" t="s">
        <v>254</v>
      </c>
      <c r="Q1" s="22" t="s">
        <v>255</v>
      </c>
      <c r="S1" s="23" t="s">
        <v>256</v>
      </c>
      <c r="T1" s="17"/>
      <c r="U1" s="22" t="s">
        <v>136</v>
      </c>
      <c r="W1" s="22" t="s">
        <v>257</v>
      </c>
      <c r="Y1" s="22" t="s">
        <v>258</v>
      </c>
    </row>
    <row r="2" spans="1:27">
      <c r="A2" s="19" t="s">
        <v>26</v>
      </c>
      <c r="C2" s="19" t="s">
        <v>31</v>
      </c>
      <c r="E2" s="19" t="s">
        <v>30</v>
      </c>
      <c r="G2" s="19" t="s">
        <v>207</v>
      </c>
      <c r="I2" s="19">
        <v>1</v>
      </c>
      <c r="K2" s="19" t="s">
        <v>208</v>
      </c>
      <c r="M2" s="19" t="s">
        <v>259</v>
      </c>
      <c r="O2" s="19" t="s">
        <v>260</v>
      </c>
      <c r="Q2" s="19" t="s">
        <v>261</v>
      </c>
      <c r="S2" s="12" t="s">
        <v>137</v>
      </c>
      <c r="T2" s="18"/>
      <c r="U2" s="12" t="s">
        <v>139</v>
      </c>
      <c r="W2" s="12" t="s">
        <v>137</v>
      </c>
      <c r="Y2" s="12" t="s">
        <v>262</v>
      </c>
      <c r="AA2" t="s">
        <v>263</v>
      </c>
    </row>
    <row r="3" spans="1:27">
      <c r="A3" s="19" t="s">
        <v>46</v>
      </c>
      <c r="C3" s="19" t="s">
        <v>29</v>
      </c>
      <c r="E3" s="19" t="s">
        <v>264</v>
      </c>
      <c r="G3" s="19" t="s">
        <v>208</v>
      </c>
      <c r="I3" s="19">
        <v>2</v>
      </c>
      <c r="M3" s="19" t="s">
        <v>265</v>
      </c>
      <c r="O3" s="19" t="s">
        <v>266</v>
      </c>
      <c r="Q3" s="19" t="s">
        <v>267</v>
      </c>
      <c r="S3" s="12" t="s">
        <v>141</v>
      </c>
      <c r="T3" s="18"/>
      <c r="U3" s="12" t="s">
        <v>143</v>
      </c>
      <c r="W3" s="12" t="s">
        <v>141</v>
      </c>
      <c r="Y3" s="12" t="s">
        <v>268</v>
      </c>
    </row>
    <row r="4" spans="1:27">
      <c r="A4" s="19" t="s">
        <v>51</v>
      </c>
      <c r="C4" s="19" t="s">
        <v>33</v>
      </c>
      <c r="E4" s="19" t="s">
        <v>269</v>
      </c>
      <c r="G4" s="19" t="s">
        <v>231</v>
      </c>
      <c r="I4" s="19">
        <v>3</v>
      </c>
      <c r="M4" s="19" t="s">
        <v>270</v>
      </c>
      <c r="O4" s="19" t="s">
        <v>271</v>
      </c>
      <c r="Q4" s="19" t="s">
        <v>272</v>
      </c>
      <c r="S4" s="12" t="s">
        <v>145</v>
      </c>
      <c r="T4" s="18"/>
      <c r="U4" s="12" t="s">
        <v>147</v>
      </c>
      <c r="W4" s="12" t="s">
        <v>145</v>
      </c>
      <c r="Y4" s="12" t="s">
        <v>273</v>
      </c>
    </row>
    <row r="5" spans="1:27">
      <c r="C5" s="19" t="s">
        <v>37</v>
      </c>
      <c r="E5" s="19" t="s">
        <v>274</v>
      </c>
      <c r="I5" s="19">
        <v>4</v>
      </c>
      <c r="O5" s="19" t="s">
        <v>275</v>
      </c>
      <c r="Q5" s="19" t="s">
        <v>276</v>
      </c>
      <c r="S5" s="12" t="s">
        <v>149</v>
      </c>
      <c r="T5" s="18"/>
      <c r="U5" s="12" t="s">
        <v>151</v>
      </c>
      <c r="W5" s="12" t="s">
        <v>149</v>
      </c>
      <c r="Y5" s="12" t="s">
        <v>277</v>
      </c>
    </row>
    <row r="6" spans="1:27">
      <c r="C6" s="19" t="s">
        <v>27</v>
      </c>
      <c r="E6" s="19" t="s">
        <v>278</v>
      </c>
      <c r="S6" s="12" t="s">
        <v>153</v>
      </c>
      <c r="T6" s="18"/>
      <c r="U6" s="12" t="s">
        <v>155</v>
      </c>
      <c r="W6" s="12" t="s">
        <v>153</v>
      </c>
      <c r="Y6" s="12" t="s">
        <v>279</v>
      </c>
    </row>
    <row r="7" spans="1:27">
      <c r="C7" s="19" t="s">
        <v>54</v>
      </c>
      <c r="E7" s="19" t="s">
        <v>280</v>
      </c>
      <c r="S7" s="12" t="s">
        <v>157</v>
      </c>
      <c r="T7" s="18"/>
      <c r="U7" s="12" t="s">
        <v>159</v>
      </c>
      <c r="W7" s="12" t="s">
        <v>157</v>
      </c>
      <c r="Y7" s="12" t="s">
        <v>281</v>
      </c>
    </row>
    <row r="8" spans="1:27">
      <c r="C8" s="19" t="s">
        <v>35</v>
      </c>
      <c r="E8" s="19" t="s">
        <v>282</v>
      </c>
      <c r="S8" s="12" t="s">
        <v>161</v>
      </c>
      <c r="T8" s="18"/>
      <c r="U8" s="12" t="s">
        <v>163</v>
      </c>
      <c r="W8" s="12" t="s">
        <v>161</v>
      </c>
      <c r="Y8" s="12" t="s">
        <v>283</v>
      </c>
    </row>
    <row r="9" spans="1:27">
      <c r="C9" s="19" t="s">
        <v>42</v>
      </c>
      <c r="E9" s="19" t="s">
        <v>284</v>
      </c>
      <c r="G9" s="26" t="s">
        <v>285</v>
      </c>
      <c r="H9" s="26" t="s">
        <v>286</v>
      </c>
      <c r="S9" s="12" t="s">
        <v>165</v>
      </c>
      <c r="T9" s="18"/>
      <c r="U9" s="12" t="s">
        <v>167</v>
      </c>
      <c r="W9" s="12" t="s">
        <v>165</v>
      </c>
      <c r="Y9" s="12" t="s">
        <v>287</v>
      </c>
    </row>
    <row r="10" spans="1:27">
      <c r="C10" s="19" t="s">
        <v>39</v>
      </c>
      <c r="E10" s="19" t="s">
        <v>36</v>
      </c>
      <c r="G10" s="27" t="str">
        <f ca="1">TEXT(DATE(YEAR(NOW()),MONTH(NOW()),1)-1,"mmmm")</f>
        <v>July</v>
      </c>
      <c r="H10" s="27">
        <v>0.375</v>
      </c>
      <c r="S10" s="12" t="s">
        <v>169</v>
      </c>
      <c r="T10" s="18"/>
      <c r="U10" s="12" t="s">
        <v>171</v>
      </c>
      <c r="W10" s="12" t="s">
        <v>169</v>
      </c>
      <c r="Y10" s="12" t="s">
        <v>288</v>
      </c>
    </row>
    <row r="11" spans="1:27">
      <c r="C11" s="19" t="s">
        <v>44</v>
      </c>
      <c r="E11" s="19" t="s">
        <v>289</v>
      </c>
      <c r="S11" s="12" t="s">
        <v>173</v>
      </c>
      <c r="T11" s="18"/>
      <c r="U11" s="12" t="s">
        <v>175</v>
      </c>
      <c r="W11" s="12" t="s">
        <v>173</v>
      </c>
      <c r="Y11" s="12" t="s">
        <v>290</v>
      </c>
    </row>
    <row r="12" spans="1:27">
      <c r="A12" s="21" t="s">
        <v>291</v>
      </c>
      <c r="C12" s="19" t="s">
        <v>41</v>
      </c>
      <c r="E12" s="19" t="s">
        <v>292</v>
      </c>
      <c r="S12" s="12" t="s">
        <v>177</v>
      </c>
      <c r="T12" s="18"/>
      <c r="U12" s="12" t="s">
        <v>179</v>
      </c>
      <c r="W12" s="12" t="s">
        <v>177</v>
      </c>
      <c r="Y12" s="12" t="s">
        <v>293</v>
      </c>
    </row>
    <row r="13" spans="1:27">
      <c r="A13" s="24">
        <v>46023</v>
      </c>
      <c r="C13" s="19" t="s">
        <v>294</v>
      </c>
      <c r="E13" s="19" t="s">
        <v>295</v>
      </c>
      <c r="G13" s="28"/>
      <c r="H13" s="28"/>
      <c r="I13" s="28"/>
      <c r="S13" s="12" t="s">
        <v>181</v>
      </c>
      <c r="T13" s="18"/>
      <c r="U13" s="12" t="s">
        <v>183</v>
      </c>
      <c r="W13" s="12" t="s">
        <v>181</v>
      </c>
      <c r="Y13" s="12" t="s">
        <v>260</v>
      </c>
    </row>
    <row r="14" spans="1:27">
      <c r="A14" s="24">
        <v>46115</v>
      </c>
      <c r="C14" s="19" t="s">
        <v>48</v>
      </c>
      <c r="E14" s="19" t="s">
        <v>296</v>
      </c>
      <c r="S14" s="12" t="s">
        <v>185</v>
      </c>
      <c r="T14" s="18"/>
      <c r="W14" s="12" t="s">
        <v>185</v>
      </c>
      <c r="Y14" s="12" t="s">
        <v>297</v>
      </c>
    </row>
    <row r="15" spans="1:27">
      <c r="A15" s="24">
        <v>46118</v>
      </c>
      <c r="C15" s="19" t="s">
        <v>298</v>
      </c>
      <c r="E15" s="19" t="s">
        <v>299</v>
      </c>
      <c r="S15" s="12" t="s">
        <v>187</v>
      </c>
      <c r="T15" s="18"/>
      <c r="W15" s="12" t="s">
        <v>187</v>
      </c>
      <c r="Y15" s="12" t="s">
        <v>300</v>
      </c>
    </row>
    <row r="16" spans="1:27">
      <c r="A16" s="24">
        <v>46146</v>
      </c>
      <c r="E16" s="19" t="s">
        <v>301</v>
      </c>
      <c r="S16" s="12" t="s">
        <v>175</v>
      </c>
      <c r="T16" s="18"/>
      <c r="W16" s="12" t="s">
        <v>175</v>
      </c>
      <c r="Y16" s="12" t="s">
        <v>302</v>
      </c>
    </row>
    <row r="17" spans="1:25">
      <c r="A17" s="24">
        <v>46167</v>
      </c>
      <c r="E17" s="19" t="s">
        <v>303</v>
      </c>
      <c r="S17" s="12" t="s">
        <v>155</v>
      </c>
      <c r="T17" s="18"/>
      <c r="W17" s="12" t="s">
        <v>155</v>
      </c>
      <c r="Y17" s="12" t="s">
        <v>304</v>
      </c>
    </row>
    <row r="18" spans="1:25">
      <c r="A18" s="24">
        <v>46265</v>
      </c>
      <c r="E18" s="19" t="s">
        <v>305</v>
      </c>
      <c r="S18" s="12" t="s">
        <v>190</v>
      </c>
      <c r="T18" s="18"/>
      <c r="W18" s="12" t="s">
        <v>190</v>
      </c>
      <c r="Y18" s="12" t="s">
        <v>306</v>
      </c>
    </row>
    <row r="19" spans="1:25">
      <c r="A19" s="24">
        <v>46381</v>
      </c>
      <c r="E19" s="19" t="s">
        <v>307</v>
      </c>
      <c r="S19" s="12" t="s">
        <v>167</v>
      </c>
      <c r="T19" s="18"/>
      <c r="W19" s="12" t="s">
        <v>167</v>
      </c>
      <c r="Y19" s="12" t="s">
        <v>308</v>
      </c>
    </row>
    <row r="20" spans="1:25">
      <c r="A20" s="24">
        <v>46384</v>
      </c>
      <c r="E20" s="19" t="s">
        <v>309</v>
      </c>
      <c r="S20" s="12" t="s">
        <v>193</v>
      </c>
      <c r="T20" s="18"/>
      <c r="W20" s="12" t="s">
        <v>193</v>
      </c>
      <c r="Y20" s="12" t="s">
        <v>310</v>
      </c>
    </row>
    <row r="21" spans="1:25">
      <c r="A21" s="24">
        <v>46143</v>
      </c>
      <c r="E21" s="19" t="s">
        <v>40</v>
      </c>
      <c r="S21" s="12" t="s">
        <v>195</v>
      </c>
      <c r="T21" s="18"/>
      <c r="W21" s="12" t="s">
        <v>195</v>
      </c>
      <c r="Y21" s="12" t="s">
        <v>311</v>
      </c>
    </row>
    <row r="22" spans="1:25">
      <c r="E22" s="19" t="s">
        <v>312</v>
      </c>
      <c r="S22" s="12" t="s">
        <v>197</v>
      </c>
      <c r="T22" s="18"/>
      <c r="W22" s="12" t="s">
        <v>197</v>
      </c>
      <c r="Y22" s="12" t="s">
        <v>313</v>
      </c>
    </row>
    <row r="23" spans="1:25">
      <c r="E23" s="19" t="s">
        <v>314</v>
      </c>
      <c r="S23" s="12" t="s">
        <v>199</v>
      </c>
      <c r="T23" s="18"/>
      <c r="W23" s="12" t="s">
        <v>199</v>
      </c>
      <c r="Y23" s="12" t="s">
        <v>315</v>
      </c>
    </row>
    <row r="24" spans="1:25">
      <c r="E24" s="19" t="s">
        <v>316</v>
      </c>
      <c r="S24" s="12" t="s">
        <v>201</v>
      </c>
      <c r="T24" s="18"/>
      <c r="W24" s="12" t="s">
        <v>201</v>
      </c>
      <c r="Y24" s="12" t="s">
        <v>317</v>
      </c>
    </row>
    <row r="25" spans="1:25">
      <c r="A25" s="34"/>
      <c r="B25" s="34"/>
      <c r="C25" s="34"/>
      <c r="E25" s="19" t="s">
        <v>318</v>
      </c>
      <c r="S25" s="12" t="s">
        <v>203</v>
      </c>
      <c r="T25" s="18"/>
      <c r="W25" s="12" t="s">
        <v>203</v>
      </c>
      <c r="Y25" s="12" t="s">
        <v>319</v>
      </c>
    </row>
    <row r="26" spans="1:25">
      <c r="A26" s="29"/>
      <c r="B26" s="29"/>
      <c r="C26" s="30"/>
      <c r="E26" s="19" t="s">
        <v>320</v>
      </c>
      <c r="S26" s="12" t="s">
        <v>205</v>
      </c>
      <c r="T26" s="18"/>
      <c r="W26" s="12" t="s">
        <v>205</v>
      </c>
      <c r="Y26" s="12" t="s">
        <v>321</v>
      </c>
    </row>
    <row r="27" spans="1:25">
      <c r="A27" s="29"/>
      <c r="B27" s="29"/>
      <c r="C27" s="35"/>
      <c r="E27" s="19" t="s">
        <v>322</v>
      </c>
      <c r="Y27" s="12" t="s">
        <v>323</v>
      </c>
    </row>
    <row r="28" spans="1:25">
      <c r="A28" s="29" t="s">
        <v>253</v>
      </c>
      <c r="B28" s="29" t="s">
        <v>324</v>
      </c>
      <c r="C28" s="35" t="s">
        <v>86</v>
      </c>
      <c r="E28" s="19" t="s">
        <v>325</v>
      </c>
      <c r="Y28" s="12" t="s">
        <v>326</v>
      </c>
    </row>
    <row r="29" spans="1:25">
      <c r="A29" s="29" t="s">
        <v>207</v>
      </c>
      <c r="B29" s="29">
        <v>1</v>
      </c>
      <c r="C29" s="35">
        <v>3.4722220000000001E-3</v>
      </c>
      <c r="E29" s="19" t="s">
        <v>327</v>
      </c>
      <c r="Y29" s="12" t="s">
        <v>328</v>
      </c>
    </row>
    <row r="30" spans="1:25">
      <c r="A30" s="29" t="s">
        <v>207</v>
      </c>
      <c r="B30" s="29">
        <v>2</v>
      </c>
      <c r="C30" s="35">
        <v>1.0416666999999999E-2</v>
      </c>
      <c r="E30" s="19" t="s">
        <v>53</v>
      </c>
      <c r="Y30" s="12" t="s">
        <v>329</v>
      </c>
    </row>
    <row r="31" spans="1:25">
      <c r="A31" s="29" t="s">
        <v>207</v>
      </c>
      <c r="B31" s="29">
        <v>3</v>
      </c>
      <c r="C31" s="35">
        <v>8.3333332999999996E-2</v>
      </c>
      <c r="E31" s="19" t="s">
        <v>45</v>
      </c>
      <c r="Y31" s="12" t="s">
        <v>330</v>
      </c>
    </row>
    <row r="32" spans="1:25">
      <c r="A32" s="29" t="s">
        <v>207</v>
      </c>
      <c r="B32" s="29">
        <v>4</v>
      </c>
      <c r="C32" s="35">
        <f>0.125</f>
        <v>0.125</v>
      </c>
      <c r="E32" s="19" t="s">
        <v>331</v>
      </c>
      <c r="Y32" s="12" t="s">
        <v>332</v>
      </c>
    </row>
    <row r="33" spans="1:25">
      <c r="A33" s="29" t="s">
        <v>208</v>
      </c>
      <c r="B33" t="s">
        <v>208</v>
      </c>
      <c r="C33" s="35">
        <v>0.375</v>
      </c>
      <c r="E33" s="145" t="s">
        <v>333</v>
      </c>
      <c r="Y33" s="12" t="s">
        <v>334</v>
      </c>
    </row>
    <row r="34" spans="1:25">
      <c r="A34" s="29" t="s">
        <v>231</v>
      </c>
      <c r="B34" s="29" t="s">
        <v>259</v>
      </c>
      <c r="C34" s="35">
        <v>0.375</v>
      </c>
      <c r="E34" s="19" t="s">
        <v>52</v>
      </c>
      <c r="Y34" s="12" t="s">
        <v>335</v>
      </c>
    </row>
    <row r="35" spans="1:25">
      <c r="A35" s="29" t="s">
        <v>231</v>
      </c>
      <c r="B35" s="29" t="s">
        <v>265</v>
      </c>
      <c r="C35" s="35">
        <v>0.375</v>
      </c>
      <c r="E35" s="19" t="s">
        <v>50</v>
      </c>
    </row>
    <row r="36" spans="1:25">
      <c r="A36" s="29" t="s">
        <v>231</v>
      </c>
      <c r="B36" s="29" t="s">
        <v>270</v>
      </c>
      <c r="C36" s="41">
        <v>0.375</v>
      </c>
      <c r="E36" s="145" t="s">
        <v>49</v>
      </c>
    </row>
    <row r="37" spans="1:25">
      <c r="E37" s="19" t="s">
        <v>336</v>
      </c>
    </row>
    <row r="38" spans="1:25">
      <c r="E38" s="19" t="s">
        <v>337</v>
      </c>
    </row>
    <row r="39" spans="1:25">
      <c r="E39" s="19" t="s">
        <v>338</v>
      </c>
    </row>
    <row r="40" spans="1:25">
      <c r="E40" s="19" t="s">
        <v>339</v>
      </c>
    </row>
    <row r="41" spans="1:25">
      <c r="E41" s="19" t="s">
        <v>340</v>
      </c>
    </row>
    <row r="42" spans="1:25">
      <c r="A42" t="s">
        <v>324</v>
      </c>
      <c r="B42" s="25" t="s">
        <v>341</v>
      </c>
      <c r="C42" s="25" t="s">
        <v>342</v>
      </c>
      <c r="D42" s="25" t="s">
        <v>343</v>
      </c>
      <c r="E42" s="19" t="s">
        <v>344</v>
      </c>
    </row>
    <row r="43" spans="1:25">
      <c r="A43">
        <v>1</v>
      </c>
      <c r="B43" s="36">
        <v>4.1666666666666664E-2</v>
      </c>
      <c r="C43" s="36">
        <v>8.3333333333333329E-2</v>
      </c>
      <c r="D43" s="36">
        <v>0.16666666666666666</v>
      </c>
      <c r="E43" s="19" t="s">
        <v>345</v>
      </c>
    </row>
    <row r="44" spans="1:25">
      <c r="A44">
        <v>2</v>
      </c>
      <c r="B44" s="36">
        <v>8.3333333333333301E-2</v>
      </c>
      <c r="C44" s="36">
        <v>0.25</v>
      </c>
      <c r="D44" s="37">
        <v>0.33333333333333331</v>
      </c>
    </row>
    <row r="45" spans="1:25">
      <c r="A45">
        <v>3</v>
      </c>
      <c r="B45" s="36">
        <v>0.375</v>
      </c>
      <c r="C45" s="38" t="s">
        <v>346</v>
      </c>
      <c r="D45" s="37">
        <v>1.875</v>
      </c>
    </row>
    <row r="46" spans="1:25">
      <c r="A46">
        <v>4</v>
      </c>
      <c r="B46" s="36">
        <v>3.75</v>
      </c>
      <c r="C46" s="36" t="s">
        <v>346</v>
      </c>
      <c r="D46" s="37">
        <v>5.625</v>
      </c>
    </row>
    <row r="47" spans="1:25">
      <c r="A47" t="s">
        <v>208</v>
      </c>
      <c r="B47" s="36">
        <v>0.75</v>
      </c>
      <c r="C47" s="36" t="s">
        <v>346</v>
      </c>
      <c r="D47" s="37">
        <v>0.75</v>
      </c>
    </row>
    <row r="48" spans="1:25">
      <c r="A48" t="s">
        <v>259</v>
      </c>
      <c r="B48" s="36">
        <v>6.666666666666667</v>
      </c>
      <c r="C48" s="36"/>
      <c r="D48" s="37"/>
    </row>
    <row r="49" spans="1:4">
      <c r="A49" t="s">
        <v>265</v>
      </c>
      <c r="B49" s="36">
        <v>6.666666666666667</v>
      </c>
      <c r="C49" s="38"/>
      <c r="D49" s="37"/>
    </row>
    <row r="50" spans="1:4">
      <c r="A50" t="s">
        <v>270</v>
      </c>
      <c r="B50" s="42">
        <v>1.6666666666666667</v>
      </c>
      <c r="C50" s="39"/>
      <c r="D50" s="40"/>
    </row>
  </sheetData>
  <sheetProtection sheet="1" objects="1" scenarios="1"/>
  <protectedRanges>
    <protectedRange sqref="A1:XFD1048576" name="Range1"/>
  </protectedRanges>
  <pageMargins left="0.7" right="0.7" top="0.75" bottom="0.75" header="0.3" footer="0.3"/>
  <tableParts count="3">
    <tablePart r:id="rId1"/>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6D3A6-BDB1-42B5-A974-1DBB4292F755}">
  <sheetPr codeName="Sheet7"/>
  <dimension ref="A1:AJ409"/>
  <sheetViews>
    <sheetView zoomScaleNormal="100" workbookViewId="0">
      <pane ySplit="1" topLeftCell="M281" activePane="bottomLeft" state="frozen"/>
      <selection pane="bottomLeft" activeCell="S297" sqref="S297"/>
    </sheetView>
  </sheetViews>
  <sheetFormatPr defaultColWidth="9.140625" defaultRowHeight="15" customHeight="1"/>
  <cols>
    <col min="1" max="1" width="6.42578125" style="45" customWidth="1"/>
    <col min="2" max="2" width="7.85546875" style="45" customWidth="1"/>
    <col min="3" max="3" width="10.42578125" style="45" customWidth="1"/>
    <col min="4" max="4" width="9.140625" style="45" customWidth="1"/>
    <col min="5" max="5" width="15.42578125" style="45" customWidth="1"/>
    <col min="6" max="6" width="17.42578125" style="45" customWidth="1"/>
    <col min="7" max="7" width="9.140625" style="45" customWidth="1"/>
    <col min="8" max="8" width="34.7109375" style="58" customWidth="1"/>
    <col min="9" max="9" width="11.7109375" style="45" customWidth="1"/>
    <col min="10" max="10" width="24" style="58" customWidth="1"/>
    <col min="11" max="11" width="20.140625" style="281" customWidth="1"/>
    <col min="12" max="12" width="16.42578125" style="281" customWidth="1"/>
    <col min="13" max="13" width="24.7109375" style="281" customWidth="1"/>
    <col min="14" max="14" width="23.42578125" style="281" customWidth="1"/>
    <col min="15" max="15" width="21.42578125" style="47" customWidth="1"/>
    <col min="16" max="16" width="18.42578125" style="47" customWidth="1"/>
    <col min="17" max="17" width="31.140625" style="45" customWidth="1"/>
    <col min="18" max="18" width="16.140625" style="45" customWidth="1"/>
    <col min="19" max="19" width="26.140625" style="45" customWidth="1"/>
    <col min="20" max="20" width="13.85546875" style="45" customWidth="1"/>
    <col min="21" max="21" width="9.140625" style="45" customWidth="1"/>
    <col min="22" max="22" width="17.85546875" style="45" customWidth="1"/>
    <col min="23" max="23" width="15.42578125" style="45" customWidth="1"/>
    <col min="24" max="24" width="25" style="45" customWidth="1"/>
    <col min="25" max="25" width="10.42578125" style="45" customWidth="1"/>
    <col min="26" max="26" width="11.42578125" customWidth="1"/>
    <col min="27" max="27" width="16.42578125" customWidth="1"/>
    <col min="28" max="28" width="21.85546875" customWidth="1"/>
    <col min="29" max="29" width="19.85546875" customWidth="1"/>
    <col min="30" max="30" width="13.42578125" style="192" customWidth="1"/>
    <col min="31" max="31" width="14" customWidth="1"/>
    <col min="32" max="32" width="18.85546875" customWidth="1"/>
    <col min="33" max="33" width="21" style="75" customWidth="1"/>
    <col min="34" max="34" width="17.85546875" bestFit="1" customWidth="1"/>
    <col min="35" max="35" width="28.28515625" bestFit="1" customWidth="1"/>
    <col min="36" max="36" width="28.7109375" bestFit="1" customWidth="1"/>
    <col min="37" max="16384" width="9.140625" style="45"/>
  </cols>
  <sheetData>
    <row r="1" spans="1:36" s="44" customFormat="1" ht="15" customHeight="1">
      <c r="A1" s="87" t="s">
        <v>347</v>
      </c>
      <c r="B1" s="87" t="s">
        <v>2</v>
      </c>
      <c r="C1" s="87" t="s">
        <v>3</v>
      </c>
      <c r="D1" s="87" t="s">
        <v>253</v>
      </c>
      <c r="E1" s="87" t="s">
        <v>348</v>
      </c>
      <c r="F1" s="87" t="s">
        <v>1</v>
      </c>
      <c r="G1" s="87" t="s">
        <v>324</v>
      </c>
      <c r="H1" s="88" t="s">
        <v>349</v>
      </c>
      <c r="I1" s="87" t="s">
        <v>254</v>
      </c>
      <c r="J1" s="88" t="s">
        <v>350</v>
      </c>
      <c r="K1" s="276" t="s">
        <v>351</v>
      </c>
      <c r="L1" s="276" t="s">
        <v>352</v>
      </c>
      <c r="M1" s="276" t="s">
        <v>353</v>
      </c>
      <c r="N1" s="276" t="s">
        <v>354</v>
      </c>
      <c r="O1" s="89" t="s">
        <v>355</v>
      </c>
      <c r="P1" s="89" t="s">
        <v>356</v>
      </c>
      <c r="Q1" s="87" t="s">
        <v>357</v>
      </c>
      <c r="R1" s="87" t="s">
        <v>358</v>
      </c>
      <c r="S1" s="87" t="s">
        <v>359</v>
      </c>
      <c r="T1" s="87" t="s">
        <v>258</v>
      </c>
      <c r="U1" s="87" t="s">
        <v>360</v>
      </c>
      <c r="V1" s="87" t="s">
        <v>361</v>
      </c>
      <c r="W1" s="87" t="s">
        <v>362</v>
      </c>
      <c r="X1" s="87" t="s">
        <v>363</v>
      </c>
      <c r="Y1" s="87" t="s">
        <v>364</v>
      </c>
      <c r="Z1" s="90" t="s">
        <v>82</v>
      </c>
      <c r="AA1" s="90" t="s">
        <v>90</v>
      </c>
      <c r="AB1" s="90" t="s">
        <v>84</v>
      </c>
      <c r="AC1" s="90" t="s">
        <v>92</v>
      </c>
      <c r="AD1" s="190" t="s">
        <v>86</v>
      </c>
      <c r="AE1" s="90" t="s">
        <v>88</v>
      </c>
      <c r="AF1" s="90" t="s">
        <v>365</v>
      </c>
      <c r="AG1" s="175" t="s">
        <v>366</v>
      </c>
      <c r="AH1" s="90" t="s">
        <v>94</v>
      </c>
      <c r="AI1" s="90" t="s">
        <v>96</v>
      </c>
      <c r="AJ1" s="90" t="s">
        <v>98</v>
      </c>
    </row>
    <row r="2" spans="1:36" ht="15" customHeight="1">
      <c r="A2" s="78">
        <v>1</v>
      </c>
      <c r="B2" s="78" t="s">
        <v>26</v>
      </c>
      <c r="C2" s="78" t="s">
        <v>29</v>
      </c>
      <c r="D2" s="78" t="s">
        <v>207</v>
      </c>
      <c r="E2" s="78" t="s">
        <v>367</v>
      </c>
      <c r="F2" s="78" t="s">
        <v>264</v>
      </c>
      <c r="G2" s="78">
        <v>4</v>
      </c>
      <c r="H2" s="86" t="s">
        <v>368</v>
      </c>
      <c r="I2" s="78" t="s">
        <v>271</v>
      </c>
      <c r="J2" s="86" t="s">
        <v>369</v>
      </c>
      <c r="K2" s="277">
        <v>46126.421319444446</v>
      </c>
      <c r="L2" s="277">
        <v>46160.258842592593</v>
      </c>
      <c r="M2" s="277">
        <v>46160.263182870367</v>
      </c>
      <c r="N2" s="277">
        <v>46164.232777777775</v>
      </c>
      <c r="O2" s="80"/>
      <c r="P2" s="80"/>
      <c r="Q2" s="78" t="s">
        <v>370</v>
      </c>
      <c r="R2" s="78" t="s">
        <v>267</v>
      </c>
      <c r="S2" s="78" t="s">
        <v>205</v>
      </c>
      <c r="T2" s="78"/>
      <c r="U2" s="78" t="s">
        <v>371</v>
      </c>
      <c r="V2" s="78"/>
      <c r="W2" s="78"/>
      <c r="X2" s="78"/>
      <c r="Y2" s="78"/>
      <c r="Z2" s="167">
        <f t="shared" ref="Z2:Z33" ca="1" si="0">IF(NOT(OR(G2=1,G2=2)),MAX(0,_xlfn.IFS(AND(K2&lt;&gt;"",N2&lt;&gt;""),((MAX(NETWORKDAYS(K2,N2,UKBankHolidays)-1,0))*(TIME(17,0,0)-TIME(8,0,0))+IF(NETWORKDAYS(N2,N2,UKBankHolidays)&gt;0,MEDIAN(TIME(8,0,0),MOD(N2,1),TIME(17,0,0)),TIME(8,0,0))-IF(NETWORKDAYS(K2,K2,UKBankHolidays)&gt;0,MEDIAN(TIME(8,0,0),MOD(K2,1),TIME(17,0,0)),TIME(8,0,0)))-IF(AND(O2&lt;&gt;"",P2&lt;&gt;""),((MAX(NETWORKDAYS(O2,P2,UKBankHolidays)-1,0))*(TIME(17,0,0)-TIME(8,0,0))+IF(NETWORKDAYS(P2,P2,UKBankHolidays)&gt;0,MEDIAN(TIME(8,0,0),MOD(P2,1),TIME(17,0,0)),TIME(8,0,0))-IF(NETWORKDAYS(O2,O2,UKBankHolidays)&gt;0,MEDIAN(TIME(8,0,0),MOD(O2,1),TIME(17,0,0)),TIME(8,0,0))),0),AND(K2&lt;&gt;"",N2=""),((MAX(NETWORKDAYS(K2,NOW(),UKBankHolidays)-1,0))*(TIME(17,0,0)-TIME(8,0,0))+IF(NETWORKDAYS(NOW(),NOW(),UKBankHolidays)&gt;0,MEDIAN(TIME(8,0,0),MOD(NOW(),1),TIME(17,0,0)),TIME(8,0,0))-IF(NETWORKDAYS(K2,K2,UKBankHolidays)&gt;0,MEDIAN(TIME(8,0,0),MOD(K2,1),TIME(17,0,0)),TIME(8,0,0))))),IF(N2="",NOW()-K2,N2-K2))</f>
        <v>9.6620138888877918</v>
      </c>
      <c r="AA2" s="168">
        <f t="shared" ref="AA2:AA65" ca="1" si="1">(Z2*24)/9</f>
        <v>25.765370370367446</v>
      </c>
      <c r="AB2" s="167">
        <f t="shared" ref="AB2:AB33" ca="1" si="2">IF(NOT(OR(G2=1,G2=2)),MAX(0,_xlfn.IFS(AND(K2&lt;&gt;"",N2&lt;&gt;""),(((MAX(NETWORKDAYS(L2,N2,UKBankHolidays)-1,0))*(TIME(17,0,0)-TIME(8,0,0)))+IF(NETWORKDAYS(N2,N2,UKBankHolidays)&gt;0,MEDIAN(TIME(8,0,0),MOD(N2,1),TIME(17,0,0)),TIME(8,0,0))-IF(NETWORKDAYS(L2,L2,UKBankHolidays)&gt;0,MEDIAN(TIME(8,0,0),MOD(L2,1),TIME(17,0,0)),TIME(8,0,0)))-IF(AND(O2&lt;&gt;"",P2&lt;&gt;""),(((MAX(NETWORKDAYS(O2,P2,UKBankHolidays)-1,0))*(TIME(17,0,0)-TIME(8,0,0)))+IF(NETWORKDAYS(P2,P2,UKBankHolidays)&gt;0,MEDIAN(TIME(8,0,0),MOD(P2,1),TIME(17,0,0)),TIME(8,0,0))-IF(NETWORKDAYS(O2,O2,UKBankHolidays)&gt;0,MEDIAN(TIME(8,0,0),MOD(O2,1),TIME(17,0,0)),TIME(8,0,0))),0),AND(L2&lt;&gt;"",N2="",O2=""),(((MAX(NETWORKDAYS(L2,NOW(),UKBankHolidays)-1,0))*(TIME(17,0,0)-TIME(8,0,0)))+IF(NETWORKDAYS(NOW(),NOW(),UKBankHolidays)&gt;0,MEDIAN(TIME(8,0,0),MOD(NOW(),1),TIME(17,0,0)),TIME(8,0,0))-IF(NETWORKDAYS(L2,L2,UKBankHolidays)&gt;0,MEDIAN(TIME(8,0,0),MOD(L2,1),TIME(17,0,0)),TIME(8,0,0)))-IF(AND(O2&lt;&gt;"",P2&lt;&gt;""),(((MAX(NETWORKDAYS(O2,P2,UKBankHolidays)-1,0))*(TIME(17,0,0)-TIME(8,0,0)))+IF(NETWORKDAYS(P2,P2,UKBankHolidays)&gt;0,MEDIAN(TIME(8,0,0),MOD(P2,1),TIME(17,0,0)),TIME(8,0,0))-IF(NETWORKDAYS(O2,O2,UKBankHolidays)&gt;0,MEDIAN(TIME(8,0,0),MOD(O2,1),TIME(17,0,0)),TIME(8,0,0))),0),AND(L2&lt;&gt;"",N2="",P2="",O2&lt;&gt;""),(((MAX(NETWORKDAYS(L2,O2,UKBankHolidays)-1,0))*(TIME(17,0,0)-TIME(8,0,0)))+IF(NETWORKDAYS(O2,O2,UKBankHolidays)&gt;0,MEDIAN(TIME(8,0,0),MOD(O2,1),TIME(17,0,0)),TIME(8,0,0))-IF(NETWORKDAYS(L2,L2,UKBankHolidays)&gt;0,MEDIAN(TIME(8,0,0),MOD(L2,1),TIME(17,0,0)),TIME(8,0,0))),ISBLANK(K2),"0")),IF(ISBLANK(N2),NOW()-L2,N2-L2))</f>
        <v>1.5000000000000002</v>
      </c>
      <c r="AC2" s="168">
        <f t="shared" ref="AC2:AC65" ca="1" si="3">(AB2*24)/9</f>
        <v>4.0000000000000009</v>
      </c>
      <c r="AD2" s="191">
        <f t="shared" ref="AD2:AD65" ca="1" si="4">MAX(0,
IF(
OR(G2=1,G2=2),
IF(M2&lt;&gt;"",M2-L2,NOW()-L2),
IF(
M2&lt;&gt;"",
IF(
INT(L2)=INT(M2),
IF(
NETWORKDAYS(L2,L2,UKBankHolidays)=0,
0,
MAX(
0,
MIN(MOD(M2,1),TIME(17,0,0))
-
MAX(MOD(L2,1),TIME(8,0,0))
)
),
MAX(
0,
IF(
NETWORKDAYS(L2,L2,UKBankHolidays)&gt;0,
TIME(17,0,0)-MAX(MOD(L2,1),TIME(8,0,0)),
0
)
)
+
MAX(
0,
NETWORKDAYS(INT(L2)+1,INT(M2)-1,UKBankHolidays)
*(TIME(17,0,0)-TIME(8,0,0))
)
+
MAX(
0,
IF(
NETWORKDAYS(M2,M2,UKBankHolidays)&gt;0,
MIN(MOD(M2,1),TIME(17,0,0))-TIME(8,0,0),
0
)
)
),
IF(M2&lt;&gt;"",M2-L2,NOW()-L2)
)
)
)</f>
        <v>0</v>
      </c>
      <c r="AE2" s="167">
        <f t="shared" ref="AE2:AE65" ca="1" si="5">SUMIFS(AB:AB,E:E,E2)</f>
        <v>1.5000000000000002</v>
      </c>
      <c r="AF2" s="168">
        <f t="shared" ref="AF2:AF65" ca="1" si="6">(AE2*24)/9</f>
        <v>4.0000000000000009</v>
      </c>
      <c r="AG2" s="168">
        <f t="shared" ref="AG2:AG65" ca="1" si="7">AF2</f>
        <v>4.0000000000000009</v>
      </c>
      <c r="AH2" s="81" t="str" cm="1">
        <f t="array" aca="1" ref="AH2" ca="1">IF((AD2) &lt; (INDEX(ResponseSLA[#All],(MATCH((G2),ResponseSLA[Priority],0))+1,3)),"YES","No")</f>
        <v>YES</v>
      </c>
      <c r="AI2" s="81" t="str">
        <f ca="1">_xlfn.IFNA(IF(AE2 &lt; (INDEX(SLATable[Minimum SLA],MATCH(G2,SLATable[Priority],0))),"YES","NO"),"")</f>
        <v>YES</v>
      </c>
      <c r="AJ2" s="19" t="str">
        <f ca="1">_xlfn.IFNA(IF(AE2 &lt; (INDEX(SLATable[Maximum SLA],MATCH(G2,SLATable[Priority],0))),"YES","NO"),"")</f>
        <v>YES</v>
      </c>
    </row>
    <row r="3" spans="1:36" ht="15" customHeight="1">
      <c r="A3" s="78">
        <v>2</v>
      </c>
      <c r="B3" s="78" t="s">
        <v>26</v>
      </c>
      <c r="C3" s="78" t="s">
        <v>29</v>
      </c>
      <c r="D3" s="78" t="s">
        <v>207</v>
      </c>
      <c r="E3" s="78" t="s">
        <v>372</v>
      </c>
      <c r="F3" s="78" t="s">
        <v>264</v>
      </c>
      <c r="G3" s="78">
        <v>4</v>
      </c>
      <c r="H3" s="86" t="s">
        <v>373</v>
      </c>
      <c r="I3" s="78" t="s">
        <v>271</v>
      </c>
      <c r="J3" s="86" t="s">
        <v>374</v>
      </c>
      <c r="K3" s="277">
        <v>46127.388564814813</v>
      </c>
      <c r="L3" s="277">
        <v>46150.716087962966</v>
      </c>
      <c r="M3" s="277">
        <v>46153.239178240743</v>
      </c>
      <c r="N3" s="277">
        <v>46163.483310185184</v>
      </c>
      <c r="O3" s="80"/>
      <c r="P3" s="80"/>
      <c r="Q3" s="78" t="s">
        <v>370</v>
      </c>
      <c r="R3" s="78" t="s">
        <v>267</v>
      </c>
      <c r="S3" s="78" t="s">
        <v>205</v>
      </c>
      <c r="T3" s="78"/>
      <c r="U3" s="78" t="s">
        <v>371</v>
      </c>
      <c r="V3" s="78"/>
      <c r="W3" s="78"/>
      <c r="X3" s="78"/>
      <c r="Y3" s="78"/>
      <c r="Z3" s="167">
        <f t="shared" ca="1" si="0"/>
        <v>9.0947453703702212</v>
      </c>
      <c r="AA3" s="168">
        <f t="shared" ca="1" si="1"/>
        <v>24.252654320987258</v>
      </c>
      <c r="AB3" s="167">
        <f t="shared" ca="1" si="2"/>
        <v>3.1499768518503215</v>
      </c>
      <c r="AC3" s="168">
        <f t="shared" ca="1" si="3"/>
        <v>8.3999382716008562</v>
      </c>
      <c r="AD3" s="191">
        <f t="shared" ca="1" si="4"/>
        <v>0</v>
      </c>
      <c r="AE3" s="167">
        <f t="shared" ca="1" si="5"/>
        <v>3.1499768518503215</v>
      </c>
      <c r="AF3" s="168">
        <f t="shared" ca="1" si="6"/>
        <v>8.3999382716008562</v>
      </c>
      <c r="AG3" s="168">
        <f t="shared" ca="1" si="7"/>
        <v>8.3999382716008562</v>
      </c>
      <c r="AH3" s="81" t="str" cm="1">
        <f t="array" aca="1" ref="AH3" ca="1">IF((AD3) &lt; (INDEX(ResponseSLA[#All],(MATCH((G3),ResponseSLA[Priority],0))+1,3)),"YES","No")</f>
        <v>YES</v>
      </c>
      <c r="AI3" s="81" t="str">
        <f ca="1">_xlfn.IFNA(IF(AE3 &lt; (INDEX(SLATable[Minimum SLA],MATCH(G3,SLATable[Priority],0))),"YES","NO"),"")</f>
        <v>YES</v>
      </c>
      <c r="AJ3" s="19" t="str">
        <f ca="1">_xlfn.IFNA(IF(AE3 &lt; (INDEX(SLATable[Maximum SLA],MATCH(G3,SLATable[Priority],0))),"YES","NO"),"")</f>
        <v>YES</v>
      </c>
    </row>
    <row r="4" spans="1:36" ht="15" customHeight="1">
      <c r="A4" s="78">
        <v>3</v>
      </c>
      <c r="B4" s="78" t="s">
        <v>26</v>
      </c>
      <c r="C4" s="78" t="s">
        <v>29</v>
      </c>
      <c r="D4" s="78" t="s">
        <v>208</v>
      </c>
      <c r="E4" s="93" t="s">
        <v>375</v>
      </c>
      <c r="F4" s="93" t="s">
        <v>264</v>
      </c>
      <c r="G4" s="78" t="s">
        <v>208</v>
      </c>
      <c r="H4" s="93" t="s">
        <v>376</v>
      </c>
      <c r="I4" s="78" t="s">
        <v>271</v>
      </c>
      <c r="J4" s="94" t="s">
        <v>377</v>
      </c>
      <c r="K4" s="283">
        <v>46127.573067129626</v>
      </c>
      <c r="L4" s="277">
        <v>46127.573113425926</v>
      </c>
      <c r="M4" s="277">
        <v>46127.576157407406</v>
      </c>
      <c r="N4" s="283">
        <v>46143.750196759262</v>
      </c>
      <c r="O4" s="80">
        <v>46129.325057870374</v>
      </c>
      <c r="P4" s="95">
        <v>46143.750196759262</v>
      </c>
      <c r="Q4" s="78" t="s">
        <v>378</v>
      </c>
      <c r="R4" s="78" t="s">
        <v>267</v>
      </c>
      <c r="S4" s="78" t="s">
        <v>183</v>
      </c>
      <c r="T4" s="78"/>
      <c r="U4" s="78" t="s">
        <v>371</v>
      </c>
      <c r="V4" s="78"/>
      <c r="W4" s="78"/>
      <c r="X4" s="78"/>
      <c r="Y4" s="78"/>
      <c r="Z4" s="167">
        <f t="shared" ca="1" si="0"/>
        <v>0.51026620370733644</v>
      </c>
      <c r="AA4" s="168">
        <f t="shared" ca="1" si="1"/>
        <v>1.3607098765528971</v>
      </c>
      <c r="AB4" s="167">
        <f t="shared" ca="1" si="2"/>
        <v>0.51021990740749379</v>
      </c>
      <c r="AC4" s="168">
        <f t="shared" ca="1" si="3"/>
        <v>1.3605864197533168</v>
      </c>
      <c r="AD4" s="191">
        <f t="shared" ca="1" si="4"/>
        <v>3.0439814800047316E-3</v>
      </c>
      <c r="AE4" s="167">
        <f t="shared" ca="1" si="5"/>
        <v>0.51021990740749379</v>
      </c>
      <c r="AF4" s="168">
        <f t="shared" ca="1" si="6"/>
        <v>1.3605864197533168</v>
      </c>
      <c r="AG4" s="168">
        <f t="shared" ca="1" si="7"/>
        <v>1.3605864197533168</v>
      </c>
      <c r="AH4" s="81" t="str" cm="1">
        <f t="array" aca="1" ref="AH4" ca="1">IF((AD4) &lt; (INDEX(ResponseSLA[#All],(MATCH((G4),ResponseSLA[Priority],0))+1,3)),"YES","No")</f>
        <v>YES</v>
      </c>
      <c r="AI4" s="81" t="str">
        <f ca="1">_xlfn.IFNA(IF(AE4 &lt; (INDEX(SLATable[Minimum SLA],MATCH(G4,SLATable[Priority],0))),"YES","NO"),"")</f>
        <v>YES</v>
      </c>
      <c r="AJ4" s="19" t="str">
        <f ca="1">_xlfn.IFNA(IF(AE4 &lt; (INDEX(SLATable[Maximum SLA],MATCH(G4,SLATable[Priority],0))),"YES","NO"),"")</f>
        <v>YES</v>
      </c>
    </row>
    <row r="5" spans="1:36" ht="15" customHeight="1">
      <c r="A5" s="78">
        <v>4</v>
      </c>
      <c r="B5" s="78" t="s">
        <v>26</v>
      </c>
      <c r="C5" s="78" t="s">
        <v>29</v>
      </c>
      <c r="D5" s="78" t="s">
        <v>208</v>
      </c>
      <c r="E5" s="93" t="s">
        <v>379</v>
      </c>
      <c r="F5" s="93" t="s">
        <v>264</v>
      </c>
      <c r="G5" s="78" t="s">
        <v>208</v>
      </c>
      <c r="H5" s="93" t="s">
        <v>380</v>
      </c>
      <c r="I5" s="78" t="s">
        <v>271</v>
      </c>
      <c r="J5" s="94" t="s">
        <v>377</v>
      </c>
      <c r="K5" s="283">
        <v>46127.57472222222</v>
      </c>
      <c r="L5" s="277">
        <v>46127.574791666666</v>
      </c>
      <c r="M5" s="277">
        <v>46127.57644675926</v>
      </c>
      <c r="N5" s="283">
        <v>46143.750185185185</v>
      </c>
      <c r="O5" s="80">
        <v>46129.325428240743</v>
      </c>
      <c r="P5" s="95">
        <v>46143.750185185185</v>
      </c>
      <c r="Q5" s="78" t="s">
        <v>378</v>
      </c>
      <c r="R5" s="78" t="s">
        <v>267</v>
      </c>
      <c r="S5" s="78"/>
      <c r="T5" s="78"/>
      <c r="U5" s="78" t="s">
        <v>371</v>
      </c>
      <c r="V5" s="78"/>
      <c r="W5" s="78"/>
      <c r="X5" s="78"/>
      <c r="Y5" s="78"/>
      <c r="Z5" s="167">
        <f t="shared" ca="1" si="0"/>
        <v>0.5086111111134719</v>
      </c>
      <c r="AA5" s="168">
        <f t="shared" ca="1" si="1"/>
        <v>1.3562962963025917</v>
      </c>
      <c r="AB5" s="167">
        <f t="shared" ca="1" si="2"/>
        <v>0.5085416666673459</v>
      </c>
      <c r="AC5" s="168">
        <f t="shared" ca="1" si="3"/>
        <v>1.3561111111129225</v>
      </c>
      <c r="AD5" s="191">
        <f t="shared" ca="1" si="4"/>
        <v>1.6550925938645378E-3</v>
      </c>
      <c r="AE5" s="167">
        <f t="shared" ca="1" si="5"/>
        <v>0.5085416666673459</v>
      </c>
      <c r="AF5" s="168">
        <f t="shared" ca="1" si="6"/>
        <v>1.3561111111129225</v>
      </c>
      <c r="AG5" s="168">
        <f t="shared" ca="1" si="7"/>
        <v>1.3561111111129225</v>
      </c>
      <c r="AH5" s="81" t="str" cm="1">
        <f t="array" aca="1" ref="AH5" ca="1">IF((AD5) &lt; (INDEX(ResponseSLA[#All],(MATCH((G5),ResponseSLA[Priority],0))+1,3)),"YES","No")</f>
        <v>YES</v>
      </c>
      <c r="AI5" s="81" t="str">
        <f ca="1">_xlfn.IFNA(IF(AE5 &lt; (INDEX(SLATable[Minimum SLA],MATCH(G5,SLATable[Priority],0))),"YES","NO"),"")</f>
        <v>YES</v>
      </c>
      <c r="AJ5" s="19" t="str">
        <f ca="1">_xlfn.IFNA(IF(AE5 &lt; (INDEX(SLATable[Maximum SLA],MATCH(G5,SLATable[Priority],0))),"YES","NO"),"")</f>
        <v>YES</v>
      </c>
    </row>
    <row r="6" spans="1:36" ht="15" customHeight="1">
      <c r="A6" s="78">
        <v>5</v>
      </c>
      <c r="B6" s="78" t="s">
        <v>26</v>
      </c>
      <c r="C6" s="78" t="s">
        <v>29</v>
      </c>
      <c r="D6" s="78" t="s">
        <v>208</v>
      </c>
      <c r="E6" s="93" t="s">
        <v>381</v>
      </c>
      <c r="F6" s="93" t="s">
        <v>264</v>
      </c>
      <c r="G6" s="78" t="s">
        <v>208</v>
      </c>
      <c r="H6" s="93" t="s">
        <v>382</v>
      </c>
      <c r="I6" s="78" t="s">
        <v>271</v>
      </c>
      <c r="J6" s="94" t="s">
        <v>377</v>
      </c>
      <c r="K6" s="283">
        <v>46132.503078703703</v>
      </c>
      <c r="L6" s="277">
        <v>46132.503148148149</v>
      </c>
      <c r="M6" s="277">
        <v>46132.504525462966</v>
      </c>
      <c r="N6" s="283">
        <v>46147.750104166669</v>
      </c>
      <c r="O6" s="80">
        <v>46133.271458333336</v>
      </c>
      <c r="P6" s="95">
        <v>46147.750104166669</v>
      </c>
      <c r="Q6" s="78" t="s">
        <v>378</v>
      </c>
      <c r="R6" s="78" t="s">
        <v>267</v>
      </c>
      <c r="S6" s="78"/>
      <c r="T6" s="78"/>
      <c r="U6" s="78" t="s">
        <v>371</v>
      </c>
      <c r="V6" s="78"/>
      <c r="W6" s="78"/>
      <c r="X6" s="78"/>
      <c r="Y6" s="78"/>
      <c r="Z6" s="167">
        <f t="shared" ca="1" si="0"/>
        <v>0.20525462963026575</v>
      </c>
      <c r="AA6" s="168">
        <f t="shared" ca="1" si="1"/>
        <v>0.54734567901404196</v>
      </c>
      <c r="AB6" s="167">
        <f t="shared" ca="1" si="2"/>
        <v>0.20518518518413975</v>
      </c>
      <c r="AC6" s="168">
        <f t="shared" ca="1" si="3"/>
        <v>0.54716049382437271</v>
      </c>
      <c r="AD6" s="191">
        <f t="shared" ca="1" si="4"/>
        <v>1.377314816636499E-3</v>
      </c>
      <c r="AE6" s="167">
        <f t="shared" ca="1" si="5"/>
        <v>0.20518518518413975</v>
      </c>
      <c r="AF6" s="168">
        <f t="shared" ca="1" si="6"/>
        <v>0.54716049382437271</v>
      </c>
      <c r="AG6" s="168">
        <f t="shared" ca="1" si="7"/>
        <v>0.54716049382437271</v>
      </c>
      <c r="AH6" s="81" t="str" cm="1">
        <f t="array" aca="1" ref="AH6" ca="1">IF((AD6) &lt; (INDEX(ResponseSLA[#All],(MATCH((G6),ResponseSLA[Priority],0))+1,3)),"YES","No")</f>
        <v>YES</v>
      </c>
      <c r="AI6" s="81" t="str">
        <f ca="1">_xlfn.IFNA(IF(AE6 &lt; (INDEX(SLATable[Minimum SLA],MATCH(G6,SLATable[Priority],0))),"YES","NO"),"")</f>
        <v>YES</v>
      </c>
      <c r="AJ6" s="19" t="str">
        <f ca="1">_xlfn.IFNA(IF(AE6 &lt; (INDEX(SLATable[Maximum SLA],MATCH(G6,SLATable[Priority],0))),"YES","NO"),"")</f>
        <v>YES</v>
      </c>
    </row>
    <row r="7" spans="1:36" ht="15" customHeight="1">
      <c r="A7" s="78">
        <v>6</v>
      </c>
      <c r="B7" s="78" t="s">
        <v>26</v>
      </c>
      <c r="C7" s="78" t="s">
        <v>31</v>
      </c>
      <c r="D7" s="78" t="s">
        <v>207</v>
      </c>
      <c r="E7" s="78" t="s">
        <v>383</v>
      </c>
      <c r="F7" s="78" t="s">
        <v>30</v>
      </c>
      <c r="G7" s="78">
        <v>3</v>
      </c>
      <c r="H7" s="86" t="s">
        <v>384</v>
      </c>
      <c r="I7" s="78" t="s">
        <v>271</v>
      </c>
      <c r="J7" s="86" t="s">
        <v>385</v>
      </c>
      <c r="K7" s="277">
        <v>46147.477372685185</v>
      </c>
      <c r="L7" s="277">
        <v>46147.481203703705</v>
      </c>
      <c r="M7" s="277">
        <v>46147.491990740738</v>
      </c>
      <c r="N7" s="277">
        <v>46149.607569444444</v>
      </c>
      <c r="O7" s="80">
        <v>46147.549780092595</v>
      </c>
      <c r="P7" s="80">
        <v>46149.551481481481</v>
      </c>
      <c r="Q7" s="78" t="s">
        <v>386</v>
      </c>
      <c r="R7" s="78" t="s">
        <v>267</v>
      </c>
      <c r="S7" s="78" t="s">
        <v>175</v>
      </c>
      <c r="T7" s="78"/>
      <c r="U7" s="78" t="s">
        <v>371</v>
      </c>
      <c r="V7" s="78"/>
      <c r="W7" s="78"/>
      <c r="X7" s="78"/>
      <c r="Y7" s="78"/>
      <c r="Z7" s="167">
        <f t="shared" ca="1" si="0"/>
        <v>0.12849537037254777</v>
      </c>
      <c r="AA7" s="168">
        <f t="shared" ca="1" si="1"/>
        <v>0.34265432099346071</v>
      </c>
      <c r="AB7" s="167">
        <f t="shared" ca="1" si="2"/>
        <v>0.12466435185342561</v>
      </c>
      <c r="AC7" s="168">
        <f t="shared" ca="1" si="3"/>
        <v>0.33243827160913497</v>
      </c>
      <c r="AD7" s="191">
        <f t="shared" ca="1" si="4"/>
        <v>1.0787037033878732E-2</v>
      </c>
      <c r="AE7" s="167">
        <f t="shared" ca="1" si="5"/>
        <v>0.12466435185342561</v>
      </c>
      <c r="AF7" s="168">
        <f t="shared" ca="1" si="6"/>
        <v>0.33243827160913497</v>
      </c>
      <c r="AG7" s="168">
        <f t="shared" ca="1" si="7"/>
        <v>0.33243827160913497</v>
      </c>
      <c r="AH7" s="81" t="str" cm="1">
        <f t="array" aca="1" ref="AH7" ca="1">IF((AD7) &lt; (INDEX(ResponseSLA[#All],(MATCH((G7),ResponseSLA[Priority],0))+1,3)),"YES","No")</f>
        <v>YES</v>
      </c>
      <c r="AI7" s="81" t="str">
        <f ca="1">_xlfn.IFNA(IF(AE7 &lt; (INDEX(SLATable[Minimum SLA],MATCH(G7,SLATable[Priority],0))),"YES","NO"),"")</f>
        <v>YES</v>
      </c>
      <c r="AJ7" s="19" t="str">
        <f ca="1">_xlfn.IFNA(IF(AE7 &lt; (INDEX(SLATable[Maximum SLA],MATCH(G7,SLATable[Priority],0))),"YES","NO"),"")</f>
        <v>YES</v>
      </c>
    </row>
    <row r="8" spans="1:36" ht="15" customHeight="1">
      <c r="A8" s="78">
        <v>7</v>
      </c>
      <c r="B8" s="78" t="s">
        <v>26</v>
      </c>
      <c r="C8" s="78" t="s">
        <v>31</v>
      </c>
      <c r="D8" s="78" t="s">
        <v>207</v>
      </c>
      <c r="E8" s="78" t="s">
        <v>387</v>
      </c>
      <c r="F8" s="78" t="s">
        <v>30</v>
      </c>
      <c r="G8" s="78">
        <v>4</v>
      </c>
      <c r="H8" s="86" t="s">
        <v>388</v>
      </c>
      <c r="I8" s="78" t="s">
        <v>271</v>
      </c>
      <c r="J8" s="86" t="s">
        <v>389</v>
      </c>
      <c r="K8" s="277">
        <v>46147.969027777777</v>
      </c>
      <c r="L8" s="277">
        <v>46148.535474537035</v>
      </c>
      <c r="M8" s="277">
        <v>46148.539421296293</v>
      </c>
      <c r="N8" s="277">
        <v>46156.541759259257</v>
      </c>
      <c r="O8" s="80">
        <v>46148.541076388887</v>
      </c>
      <c r="P8" s="80">
        <v>46156.541759259257</v>
      </c>
      <c r="Q8" s="78" t="s">
        <v>390</v>
      </c>
      <c r="R8" s="78" t="s">
        <v>276</v>
      </c>
      <c r="S8" s="78" t="s">
        <v>137</v>
      </c>
      <c r="T8" s="78"/>
      <c r="U8" s="78" t="s">
        <v>371</v>
      </c>
      <c r="V8" s="78"/>
      <c r="W8" s="78"/>
      <c r="X8" s="78"/>
      <c r="Y8" s="78"/>
      <c r="Z8" s="167">
        <f t="shared" ca="1" si="0"/>
        <v>0.20774305555338879</v>
      </c>
      <c r="AA8" s="168">
        <f t="shared" ca="1" si="1"/>
        <v>0.55398148147570347</v>
      </c>
      <c r="AB8" s="167">
        <f t="shared" ca="1" si="2"/>
        <v>5.6018518516793847E-3</v>
      </c>
      <c r="AC8" s="168">
        <f t="shared" ca="1" si="3"/>
        <v>1.4938271604478359E-2</v>
      </c>
      <c r="AD8" s="191">
        <f t="shared" ca="1" si="4"/>
        <v>3.9467592578148469E-3</v>
      </c>
      <c r="AE8" s="167">
        <f t="shared" ca="1" si="5"/>
        <v>5.6018518516793847E-3</v>
      </c>
      <c r="AF8" s="168">
        <f t="shared" ca="1" si="6"/>
        <v>1.4938271604478359E-2</v>
      </c>
      <c r="AG8" s="168">
        <f t="shared" ca="1" si="7"/>
        <v>1.4938271604478359E-2</v>
      </c>
      <c r="AH8" s="81" t="str" cm="1">
        <f t="array" aca="1" ref="AH8" ca="1">IF((AD8) &lt; (INDEX(ResponseSLA[#All],(MATCH((G8),ResponseSLA[Priority],0))+1,3)),"YES","No")</f>
        <v>YES</v>
      </c>
      <c r="AI8" s="81" t="str">
        <f ca="1">_xlfn.IFNA(IF(AE8 &lt; (INDEX(SLATable[Minimum SLA],MATCH(G8,SLATable[Priority],0))),"YES","NO"),"")</f>
        <v>YES</v>
      </c>
      <c r="AJ8" s="19" t="str">
        <f ca="1">_xlfn.IFNA(IF(AE8 &lt; (INDEX(SLATable[Maximum SLA],MATCH(G8,SLATable[Priority],0))),"YES","NO"),"")</f>
        <v>YES</v>
      </c>
    </row>
    <row r="9" spans="1:36" ht="15" customHeight="1">
      <c r="A9" s="78">
        <v>8</v>
      </c>
      <c r="B9" s="78" t="s">
        <v>26</v>
      </c>
      <c r="C9" s="78" t="s">
        <v>31</v>
      </c>
      <c r="D9" s="78" t="s">
        <v>207</v>
      </c>
      <c r="E9" s="78" t="s">
        <v>391</v>
      </c>
      <c r="F9" s="78" t="s">
        <v>30</v>
      </c>
      <c r="G9" s="78">
        <v>4</v>
      </c>
      <c r="H9" s="86" t="s">
        <v>392</v>
      </c>
      <c r="I9" s="78" t="s">
        <v>271</v>
      </c>
      <c r="J9" s="86" t="s">
        <v>393</v>
      </c>
      <c r="K9" s="277">
        <v>46155.66574074074</v>
      </c>
      <c r="L9" s="277">
        <v>46155.66574074074</v>
      </c>
      <c r="M9" s="277">
        <v>46156.228726851848</v>
      </c>
      <c r="N9" s="277">
        <v>46163.750289351854</v>
      </c>
      <c r="O9" s="80">
        <v>46156.229664351849</v>
      </c>
      <c r="P9" s="80">
        <v>46163.750289351854</v>
      </c>
      <c r="Q9" s="78" t="s">
        <v>394</v>
      </c>
      <c r="R9" s="78" t="s">
        <v>276</v>
      </c>
      <c r="S9" s="78" t="s">
        <v>199</v>
      </c>
      <c r="T9" s="78" t="s">
        <v>335</v>
      </c>
      <c r="U9" s="78" t="s">
        <v>371</v>
      </c>
      <c r="V9" s="78"/>
      <c r="W9" s="78"/>
      <c r="X9" s="78"/>
      <c r="Y9" s="78"/>
      <c r="Z9" s="167">
        <f t="shared" ca="1" si="0"/>
        <v>4.2592592593186041E-2</v>
      </c>
      <c r="AA9" s="168">
        <f t="shared" ca="1" si="1"/>
        <v>0.11358024691516277</v>
      </c>
      <c r="AB9" s="167">
        <f t="shared" ca="1" si="2"/>
        <v>4.2592592593186041E-2</v>
      </c>
      <c r="AC9" s="168">
        <f t="shared" ca="1" si="3"/>
        <v>0.11358024691516277</v>
      </c>
      <c r="AD9" s="191">
        <f t="shared" ca="1" si="4"/>
        <v>4.2592592593185485E-2</v>
      </c>
      <c r="AE9" s="167">
        <f t="shared" ca="1" si="5"/>
        <v>4.2592592593186041E-2</v>
      </c>
      <c r="AF9" s="168">
        <f t="shared" ca="1" si="6"/>
        <v>0.11358024691516277</v>
      </c>
      <c r="AG9" s="168">
        <f t="shared" ca="1" si="7"/>
        <v>0.11358024691516277</v>
      </c>
      <c r="AH9" s="81" t="str" cm="1">
        <f t="array" aca="1" ref="AH9" ca="1">IF((AD9) &lt; (INDEX(ResponseSLA[#All],(MATCH((G9),ResponseSLA[Priority],0))+1,3)),"YES","No")</f>
        <v>YES</v>
      </c>
      <c r="AI9" s="81" t="str">
        <f ca="1">_xlfn.IFNA(IF(AE9 &lt; (INDEX(SLATable[Minimum SLA],MATCH(G9,SLATable[Priority],0))),"YES","NO"),"")</f>
        <v>YES</v>
      </c>
      <c r="AJ9" s="19" t="str">
        <f ca="1">_xlfn.IFNA(IF(AE9 &lt; (INDEX(SLATable[Maximum SLA],MATCH(G9,SLATable[Priority],0))),"YES","NO"),"")</f>
        <v>YES</v>
      </c>
    </row>
    <row r="10" spans="1:36" ht="15" customHeight="1">
      <c r="A10" s="78">
        <v>9</v>
      </c>
      <c r="B10" s="78" t="s">
        <v>26</v>
      </c>
      <c r="C10" s="78" t="s">
        <v>29</v>
      </c>
      <c r="D10" s="78" t="s">
        <v>207</v>
      </c>
      <c r="E10" s="91" t="s">
        <v>395</v>
      </c>
      <c r="F10" s="78" t="s">
        <v>264</v>
      </c>
      <c r="G10" s="78">
        <v>4</v>
      </c>
      <c r="H10" s="92" t="s">
        <v>396</v>
      </c>
      <c r="I10" s="78" t="s">
        <v>271</v>
      </c>
      <c r="J10" s="86" t="s">
        <v>374</v>
      </c>
      <c r="K10" s="282">
        <v>46135.986805555556</v>
      </c>
      <c r="L10" s="277">
        <v>46135.987500000003</v>
      </c>
      <c r="M10" s="277">
        <v>46136.380393518521</v>
      </c>
      <c r="N10" s="282">
        <v>46147.456944444442</v>
      </c>
      <c r="O10" s="80"/>
      <c r="P10" s="80"/>
      <c r="Q10" s="78" t="s">
        <v>370</v>
      </c>
      <c r="R10" s="78" t="s">
        <v>267</v>
      </c>
      <c r="S10" s="78" t="s">
        <v>181</v>
      </c>
      <c r="T10" s="78"/>
      <c r="U10" s="78" t="s">
        <v>371</v>
      </c>
      <c r="V10" s="78"/>
      <c r="W10" s="78"/>
      <c r="X10" s="78"/>
      <c r="Y10" s="78"/>
      <c r="Z10" s="167">
        <f t="shared" ca="1" si="0"/>
        <v>1.9986111111090095</v>
      </c>
      <c r="AA10" s="168">
        <f t="shared" ca="1" si="1"/>
        <v>5.3296296296240255</v>
      </c>
      <c r="AB10" s="167">
        <f t="shared" ca="1" si="2"/>
        <v>1.9986111111090095</v>
      </c>
      <c r="AC10" s="168">
        <f t="shared" ca="1" si="3"/>
        <v>5.3296296296240255</v>
      </c>
      <c r="AD10" s="191">
        <f t="shared" ca="1" si="4"/>
        <v>4.706018518724403E-2</v>
      </c>
      <c r="AE10" s="167">
        <f t="shared" ca="1" si="5"/>
        <v>1.9986111111090095</v>
      </c>
      <c r="AF10" s="168">
        <f t="shared" ca="1" si="6"/>
        <v>5.3296296296240255</v>
      </c>
      <c r="AG10" s="168">
        <f t="shared" ca="1" si="7"/>
        <v>5.3296296296240255</v>
      </c>
      <c r="AH10" s="81" t="str" cm="1">
        <f t="array" aca="1" ref="AH10" ca="1">IF((AD10) &lt; (INDEX(ResponseSLA[#All],(MATCH((G10),ResponseSLA[Priority],0))+1,3)),"YES","No")</f>
        <v>YES</v>
      </c>
      <c r="AI10" s="81" t="str">
        <f ca="1">_xlfn.IFNA(IF(AE10 &lt; (INDEX(SLATable[Minimum SLA],MATCH(G10,SLATable[Priority],0))),"YES","NO"),"")</f>
        <v>YES</v>
      </c>
      <c r="AJ10" s="19" t="str">
        <f ca="1">_xlfn.IFNA(IF(AE10 &lt; (INDEX(SLATable[Maximum SLA],MATCH(G10,SLATable[Priority],0))),"YES","NO"),"")</f>
        <v>YES</v>
      </c>
    </row>
    <row r="11" spans="1:36" ht="15" customHeight="1">
      <c r="A11" s="78">
        <v>10</v>
      </c>
      <c r="B11" s="78" t="s">
        <v>26</v>
      </c>
      <c r="C11" s="78" t="s">
        <v>29</v>
      </c>
      <c r="D11" s="78" t="s">
        <v>207</v>
      </c>
      <c r="E11" s="91" t="s">
        <v>397</v>
      </c>
      <c r="F11" s="78" t="s">
        <v>264</v>
      </c>
      <c r="G11" s="78">
        <v>4</v>
      </c>
      <c r="H11" s="92" t="s">
        <v>398</v>
      </c>
      <c r="I11" s="78" t="s">
        <v>271</v>
      </c>
      <c r="J11" s="86" t="s">
        <v>374</v>
      </c>
      <c r="K11" s="282">
        <v>46138.895833333336</v>
      </c>
      <c r="L11" s="277">
        <v>46140.404108796298</v>
      </c>
      <c r="M11" s="277">
        <v>46140.483298611114</v>
      </c>
      <c r="N11" s="282">
        <v>46148.484722222223</v>
      </c>
      <c r="O11" s="80"/>
      <c r="P11" s="80"/>
      <c r="Q11" s="78" t="s">
        <v>399</v>
      </c>
      <c r="R11" s="78" t="s">
        <v>267</v>
      </c>
      <c r="S11" s="78" t="s">
        <v>199</v>
      </c>
      <c r="T11" s="78"/>
      <c r="U11" s="78" t="s">
        <v>371</v>
      </c>
      <c r="V11" s="78"/>
      <c r="W11" s="78"/>
      <c r="X11" s="78"/>
      <c r="Y11" s="78"/>
      <c r="Z11" s="167">
        <f t="shared" ca="1" si="0"/>
        <v>2.0263888888900206</v>
      </c>
      <c r="AA11" s="168">
        <f t="shared" ca="1" si="1"/>
        <v>5.4037037037067215</v>
      </c>
      <c r="AB11" s="167">
        <f t="shared" ca="1" si="2"/>
        <v>1.5806134259255489</v>
      </c>
      <c r="AC11" s="168">
        <f t="shared" ca="1" si="3"/>
        <v>4.2149691358014643</v>
      </c>
      <c r="AD11" s="191">
        <f t="shared" ca="1" si="4"/>
        <v>7.9189814816345461E-2</v>
      </c>
      <c r="AE11" s="167">
        <f t="shared" ca="1" si="5"/>
        <v>1.5806134259255489</v>
      </c>
      <c r="AF11" s="168">
        <f t="shared" ca="1" si="6"/>
        <v>4.2149691358014643</v>
      </c>
      <c r="AG11" s="168">
        <f t="shared" ca="1" si="7"/>
        <v>4.2149691358014643</v>
      </c>
      <c r="AH11" s="81" t="str" cm="1">
        <f t="array" aca="1" ref="AH11" ca="1">IF((AD11) &lt; (INDEX(ResponseSLA[#All],(MATCH((G11),ResponseSLA[Priority],0))+1,3)),"YES","No")</f>
        <v>YES</v>
      </c>
      <c r="AI11" s="81" t="str">
        <f ca="1">_xlfn.IFNA(IF(AE11 &lt; (INDEX(SLATable[Minimum SLA],MATCH(G11,SLATable[Priority],0))),"YES","NO"),"")</f>
        <v>YES</v>
      </c>
      <c r="AJ11" s="19" t="str">
        <f ca="1">_xlfn.IFNA(IF(AE11 &lt; (INDEX(SLATable[Maximum SLA],MATCH(G11,SLATable[Priority],0))),"YES","NO"),"")</f>
        <v>YES</v>
      </c>
    </row>
    <row r="12" spans="1:36" ht="15" customHeight="1">
      <c r="A12" s="78">
        <v>11</v>
      </c>
      <c r="B12" s="78" t="s">
        <v>26</v>
      </c>
      <c r="C12" s="78" t="s">
        <v>29</v>
      </c>
      <c r="D12" s="78" t="s">
        <v>208</v>
      </c>
      <c r="E12" s="93" t="s">
        <v>400</v>
      </c>
      <c r="F12" s="93" t="s">
        <v>264</v>
      </c>
      <c r="G12" s="78" t="s">
        <v>208</v>
      </c>
      <c r="H12" s="93" t="s">
        <v>401</v>
      </c>
      <c r="I12" s="78" t="s">
        <v>271</v>
      </c>
      <c r="J12" s="94" t="s">
        <v>374</v>
      </c>
      <c r="K12" s="283">
        <v>46139.670138888891</v>
      </c>
      <c r="L12" s="277">
        <v>46139.671446759261</v>
      </c>
      <c r="M12" s="277">
        <v>46139.685254629629</v>
      </c>
      <c r="N12" s="283">
        <v>46147.303819444445</v>
      </c>
      <c r="O12" s="80">
        <v>46140.284189814818</v>
      </c>
      <c r="P12" s="95">
        <v>46147.303819444445</v>
      </c>
      <c r="Q12" s="78" t="s">
        <v>370</v>
      </c>
      <c r="R12" s="78" t="s">
        <v>267</v>
      </c>
      <c r="S12" s="78"/>
      <c r="T12" s="78"/>
      <c r="U12" s="78" t="s">
        <v>371</v>
      </c>
      <c r="V12" s="78"/>
      <c r="W12" s="78"/>
      <c r="X12" s="78"/>
      <c r="Y12" s="78"/>
      <c r="Z12" s="167">
        <f t="shared" ca="1" si="0"/>
        <v>3.8194444442827491E-2</v>
      </c>
      <c r="AA12" s="168">
        <f t="shared" ca="1" si="1"/>
        <v>0.10185185184753998</v>
      </c>
      <c r="AB12" s="167">
        <f t="shared" ca="1" si="2"/>
        <v>3.6886574072316991E-2</v>
      </c>
      <c r="AC12" s="168">
        <f t="shared" ca="1" si="3"/>
        <v>9.8364197526178643E-2</v>
      </c>
      <c r="AD12" s="191">
        <f t="shared" ca="1" si="4"/>
        <v>1.3807870367600117E-2</v>
      </c>
      <c r="AE12" s="167">
        <f t="shared" ca="1" si="5"/>
        <v>3.6886574072316991E-2</v>
      </c>
      <c r="AF12" s="168">
        <f t="shared" ca="1" si="6"/>
        <v>9.8364197526178643E-2</v>
      </c>
      <c r="AG12" s="168">
        <f t="shared" ca="1" si="7"/>
        <v>9.8364197526178643E-2</v>
      </c>
      <c r="AH12" s="81" t="str" cm="1">
        <f t="array" aca="1" ref="AH12" ca="1">IF((AD12) &lt; (INDEX(ResponseSLA[#All],(MATCH((G12),ResponseSLA[Priority],0))+1,3)),"YES","No")</f>
        <v>YES</v>
      </c>
      <c r="AI12" s="81" t="str">
        <f ca="1">_xlfn.IFNA(IF(AE12 &lt; (INDEX(SLATable[Minimum SLA],MATCH(G12,SLATable[Priority],0))),"YES","NO"),"")</f>
        <v>YES</v>
      </c>
      <c r="AJ12" s="19" t="str">
        <f ca="1">_xlfn.IFNA(IF(AE12 &lt; (INDEX(SLATable[Maximum SLA],MATCH(G12,SLATable[Priority],0))),"YES","NO"),"")</f>
        <v>YES</v>
      </c>
    </row>
    <row r="13" spans="1:36" ht="15" customHeight="1">
      <c r="A13" s="78">
        <v>12</v>
      </c>
      <c r="B13" s="78" t="s">
        <v>26</v>
      </c>
      <c r="C13" s="78" t="s">
        <v>29</v>
      </c>
      <c r="D13" s="78" t="s">
        <v>208</v>
      </c>
      <c r="E13" s="93" t="s">
        <v>402</v>
      </c>
      <c r="F13" s="93" t="s">
        <v>264</v>
      </c>
      <c r="G13" s="78" t="s">
        <v>208</v>
      </c>
      <c r="H13" s="93" t="s">
        <v>403</v>
      </c>
      <c r="I13" s="78" t="s">
        <v>271</v>
      </c>
      <c r="J13" s="94" t="s">
        <v>374</v>
      </c>
      <c r="K13" s="283">
        <v>46141.510324074072</v>
      </c>
      <c r="L13" s="277">
        <v>46141.538657407407</v>
      </c>
      <c r="M13" s="277">
        <v>46141.546678240738</v>
      </c>
      <c r="N13" s="283">
        <v>46156.750185185185</v>
      </c>
      <c r="O13" s="80">
        <v>46142.281817129631</v>
      </c>
      <c r="P13" s="95">
        <v>46156.750185185185</v>
      </c>
      <c r="Q13" s="78" t="s">
        <v>378</v>
      </c>
      <c r="R13" s="78" t="s">
        <v>267</v>
      </c>
      <c r="S13" s="78"/>
      <c r="T13" s="78"/>
      <c r="U13" s="78" t="s">
        <v>371</v>
      </c>
      <c r="V13" s="78"/>
      <c r="W13" s="78"/>
      <c r="X13" s="78"/>
      <c r="Y13" s="78"/>
      <c r="Z13" s="167">
        <f t="shared" ca="1" si="0"/>
        <v>0.19800925926150148</v>
      </c>
      <c r="AA13" s="168">
        <f t="shared" ca="1" si="1"/>
        <v>0.52802469136400398</v>
      </c>
      <c r="AB13" s="167">
        <f t="shared" ca="1" si="2"/>
        <v>0.16967592592603387</v>
      </c>
      <c r="AC13" s="168">
        <f t="shared" ca="1" si="3"/>
        <v>0.45246913580275699</v>
      </c>
      <c r="AD13" s="191">
        <f t="shared" ca="1" si="4"/>
        <v>8.0208333311020397E-3</v>
      </c>
      <c r="AE13" s="167">
        <f t="shared" ca="1" si="5"/>
        <v>0.16967592592603387</v>
      </c>
      <c r="AF13" s="168">
        <f t="shared" ca="1" si="6"/>
        <v>0.45246913580275699</v>
      </c>
      <c r="AG13" s="168">
        <f t="shared" ca="1" si="7"/>
        <v>0.45246913580275699</v>
      </c>
      <c r="AH13" s="81" t="str" cm="1">
        <f t="array" aca="1" ref="AH13" ca="1">IF((AD13) &lt; (INDEX(ResponseSLA[#All],(MATCH((G13),ResponseSLA[Priority],0))+1,3)),"YES","No")</f>
        <v>YES</v>
      </c>
      <c r="AI13" s="81" t="str">
        <f ca="1">_xlfn.IFNA(IF(AE13 &lt; (INDEX(SLATable[Minimum SLA],MATCH(G13,SLATable[Priority],0))),"YES","NO"),"")</f>
        <v>YES</v>
      </c>
      <c r="AJ13" s="19" t="str">
        <f ca="1">_xlfn.IFNA(IF(AE13 &lt; (INDEX(SLATable[Maximum SLA],MATCH(G13,SLATable[Priority],0))),"YES","NO"),"")</f>
        <v>YES</v>
      </c>
    </row>
    <row r="14" spans="1:36" ht="15" customHeight="1">
      <c r="A14" s="78">
        <v>13</v>
      </c>
      <c r="B14" s="78" t="s">
        <v>26</v>
      </c>
      <c r="C14" s="78" t="s">
        <v>29</v>
      </c>
      <c r="D14" s="78" t="s">
        <v>208</v>
      </c>
      <c r="E14" s="93" t="s">
        <v>404</v>
      </c>
      <c r="F14" s="93" t="s">
        <v>264</v>
      </c>
      <c r="G14" s="78" t="s">
        <v>208</v>
      </c>
      <c r="H14" s="93" t="s">
        <v>405</v>
      </c>
      <c r="I14" s="78" t="s">
        <v>271</v>
      </c>
      <c r="J14" s="94" t="s">
        <v>374</v>
      </c>
      <c r="K14" s="283">
        <v>46141.514675925922</v>
      </c>
      <c r="L14" s="277">
        <v>46141.536840277775</v>
      </c>
      <c r="M14" s="277">
        <v>46141.546990740739</v>
      </c>
      <c r="N14" s="283">
        <v>46156.750057870369</v>
      </c>
      <c r="O14" s="80">
        <v>46142.281458333331</v>
      </c>
      <c r="P14" s="95">
        <v>46156.750057870369</v>
      </c>
      <c r="Q14" s="78" t="s">
        <v>378</v>
      </c>
      <c r="R14" s="78" t="s">
        <v>267</v>
      </c>
      <c r="S14" s="78"/>
      <c r="T14" s="78"/>
      <c r="U14" s="78" t="s">
        <v>371</v>
      </c>
      <c r="V14" s="78"/>
      <c r="W14" s="78"/>
      <c r="X14" s="78"/>
      <c r="Y14" s="78"/>
      <c r="Z14" s="167">
        <f t="shared" ca="1" si="0"/>
        <v>0.19365740741098625</v>
      </c>
      <c r="AA14" s="168">
        <f t="shared" ca="1" si="1"/>
        <v>0.51641975309596333</v>
      </c>
      <c r="AB14" s="167">
        <f t="shared" ca="1" si="2"/>
        <v>0.17149305555843375</v>
      </c>
      <c r="AC14" s="168">
        <f t="shared" ca="1" si="3"/>
        <v>0.45731481482248998</v>
      </c>
      <c r="AD14" s="191">
        <f t="shared" ca="1" si="4"/>
        <v>1.0150462963792961E-2</v>
      </c>
      <c r="AE14" s="167">
        <f t="shared" ca="1" si="5"/>
        <v>0.17149305555843375</v>
      </c>
      <c r="AF14" s="168">
        <f t="shared" ca="1" si="6"/>
        <v>0.45731481482248998</v>
      </c>
      <c r="AG14" s="168">
        <f t="shared" ca="1" si="7"/>
        <v>0.45731481482248998</v>
      </c>
      <c r="AH14" s="81" t="str" cm="1">
        <f t="array" aca="1" ref="AH14" ca="1">IF((AD14) &lt; (INDEX(ResponseSLA[#All],(MATCH((G14),ResponseSLA[Priority],0))+1,3)),"YES","No")</f>
        <v>YES</v>
      </c>
      <c r="AI14" s="81" t="str">
        <f ca="1">_xlfn.IFNA(IF(AE14 &lt; (INDEX(SLATable[Minimum SLA],MATCH(G14,SLATable[Priority],0))),"YES","NO"),"")</f>
        <v>YES</v>
      </c>
      <c r="AJ14" s="19" t="str">
        <f ca="1">_xlfn.IFNA(IF(AE14 &lt; (INDEX(SLATable[Maximum SLA],MATCH(G14,SLATable[Priority],0))),"YES","NO"),"")</f>
        <v>YES</v>
      </c>
    </row>
    <row r="15" spans="1:36" ht="15" customHeight="1">
      <c r="A15" s="78">
        <v>14</v>
      </c>
      <c r="B15" s="78" t="s">
        <v>26</v>
      </c>
      <c r="C15" s="78" t="s">
        <v>29</v>
      </c>
      <c r="D15" s="78" t="s">
        <v>208</v>
      </c>
      <c r="E15" s="93" t="s">
        <v>406</v>
      </c>
      <c r="F15" s="93" t="s">
        <v>264</v>
      </c>
      <c r="G15" s="78" t="s">
        <v>208</v>
      </c>
      <c r="H15" s="93" t="s">
        <v>407</v>
      </c>
      <c r="I15" s="78" t="s">
        <v>271</v>
      </c>
      <c r="J15" s="94" t="s">
        <v>374</v>
      </c>
      <c r="K15" s="283">
        <v>46141.515289351853</v>
      </c>
      <c r="L15" s="277">
        <v>46141.537280092591</v>
      </c>
      <c r="M15" s="277">
        <v>46141.547268518516</v>
      </c>
      <c r="N15" s="283">
        <v>46156.750069444446</v>
      </c>
      <c r="O15" s="96">
        <v>46142.280925925923</v>
      </c>
      <c r="P15" s="95">
        <v>46156.750069444446</v>
      </c>
      <c r="Q15" s="78" t="s">
        <v>378</v>
      </c>
      <c r="R15" s="78" t="s">
        <v>267</v>
      </c>
      <c r="S15" s="78"/>
      <c r="T15" s="78"/>
      <c r="U15" s="78" t="s">
        <v>371</v>
      </c>
      <c r="V15" s="78"/>
      <c r="W15" s="78"/>
      <c r="X15" s="78"/>
      <c r="Y15" s="78"/>
      <c r="Z15" s="167">
        <f t="shared" ca="1" si="0"/>
        <v>0.19304398147990787</v>
      </c>
      <c r="AA15" s="168">
        <f t="shared" ca="1" si="1"/>
        <v>0.51478395061308768</v>
      </c>
      <c r="AB15" s="167">
        <f t="shared" ca="1" si="2"/>
        <v>0.17105324074267036</v>
      </c>
      <c r="AC15" s="168">
        <f t="shared" ca="1" si="3"/>
        <v>0.45614197531378764</v>
      </c>
      <c r="AD15" s="191">
        <f t="shared" ca="1" si="4"/>
        <v>9.9884259252576157E-3</v>
      </c>
      <c r="AE15" s="167">
        <f t="shared" ca="1" si="5"/>
        <v>0.17105324074267036</v>
      </c>
      <c r="AF15" s="168">
        <f t="shared" ca="1" si="6"/>
        <v>0.45614197531378764</v>
      </c>
      <c r="AG15" s="168">
        <f t="shared" ca="1" si="7"/>
        <v>0.45614197531378764</v>
      </c>
      <c r="AH15" s="81" t="str" cm="1">
        <f t="array" aca="1" ref="AH15" ca="1">IF((AD15) &lt; (INDEX(ResponseSLA[#All],(MATCH((G15),ResponseSLA[Priority],0))+1,3)),"YES","No")</f>
        <v>YES</v>
      </c>
      <c r="AI15" s="81" t="str">
        <f ca="1">_xlfn.IFNA(IF(AE15 &lt; (INDEX(SLATable[Minimum SLA],MATCH(G15,SLATable[Priority],0))),"YES","NO"),"")</f>
        <v>YES</v>
      </c>
      <c r="AJ15" s="19" t="str">
        <f ca="1">_xlfn.IFNA(IF(AE15 &lt; (INDEX(SLATable[Maximum SLA],MATCH(G15,SLATable[Priority],0))),"YES","NO"),"")</f>
        <v>YES</v>
      </c>
    </row>
    <row r="16" spans="1:36" ht="15" customHeight="1">
      <c r="A16" s="78">
        <v>15</v>
      </c>
      <c r="B16" s="78" t="s">
        <v>26</v>
      </c>
      <c r="C16" s="78" t="s">
        <v>29</v>
      </c>
      <c r="D16" s="78" t="s">
        <v>208</v>
      </c>
      <c r="E16" s="93" t="s">
        <v>408</v>
      </c>
      <c r="F16" s="93" t="s">
        <v>264</v>
      </c>
      <c r="G16" s="78" t="s">
        <v>208</v>
      </c>
      <c r="H16" s="93" t="s">
        <v>409</v>
      </c>
      <c r="I16" s="78" t="s">
        <v>271</v>
      </c>
      <c r="J16" s="94" t="s">
        <v>374</v>
      </c>
      <c r="K16" s="283">
        <v>46141.515844907408</v>
      </c>
      <c r="L16" s="277">
        <v>46141.537199074075</v>
      </c>
      <c r="M16" s="277">
        <v>46141.54755787037</v>
      </c>
      <c r="N16" s="283">
        <v>46156.750196759262</v>
      </c>
      <c r="O16" s="80">
        <v>46142.280162037037</v>
      </c>
      <c r="P16" s="95">
        <v>46156.750196759262</v>
      </c>
      <c r="Q16" s="78" t="s">
        <v>378</v>
      </c>
      <c r="R16" s="78" t="s">
        <v>267</v>
      </c>
      <c r="S16" s="78"/>
      <c r="T16" s="78"/>
      <c r="U16" s="78" t="s">
        <v>371</v>
      </c>
      <c r="V16" s="78"/>
      <c r="W16" s="78"/>
      <c r="X16" s="78"/>
      <c r="Y16" s="78"/>
      <c r="Z16" s="167">
        <f t="shared" ca="1" si="0"/>
        <v>0.19248842592545179</v>
      </c>
      <c r="AA16" s="168">
        <f t="shared" ca="1" si="1"/>
        <v>0.51330246913453814</v>
      </c>
      <c r="AB16" s="167">
        <f t="shared" ca="1" si="2"/>
        <v>0.17113425925830006</v>
      </c>
      <c r="AC16" s="168">
        <f t="shared" ca="1" si="3"/>
        <v>0.45635802468880016</v>
      </c>
      <c r="AD16" s="191">
        <f t="shared" ca="1" si="4"/>
        <v>1.0358796294895001E-2</v>
      </c>
      <c r="AE16" s="167">
        <f t="shared" ca="1" si="5"/>
        <v>0.17113425925830006</v>
      </c>
      <c r="AF16" s="168">
        <f t="shared" ca="1" si="6"/>
        <v>0.45635802468880016</v>
      </c>
      <c r="AG16" s="168">
        <f t="shared" ca="1" si="7"/>
        <v>0.45635802468880016</v>
      </c>
      <c r="AH16" s="81" t="str" cm="1">
        <f t="array" aca="1" ref="AH16" ca="1">IF((AD16) &lt; (INDEX(ResponseSLA[#All],(MATCH((G16),ResponseSLA[Priority],0))+1,3)),"YES","No")</f>
        <v>YES</v>
      </c>
      <c r="AI16" s="81" t="str">
        <f ca="1">_xlfn.IFNA(IF(AE16 &lt; (INDEX(SLATable[Minimum SLA],MATCH(G16,SLATable[Priority],0))),"YES","NO"),"")</f>
        <v>YES</v>
      </c>
      <c r="AJ16" s="19" t="str">
        <f ca="1">_xlfn.IFNA(IF(AE16 &lt; (INDEX(SLATable[Maximum SLA],MATCH(G16,SLATable[Priority],0))),"YES","NO"),"")</f>
        <v>YES</v>
      </c>
    </row>
    <row r="17" spans="1:36" ht="15" customHeight="1">
      <c r="A17" s="78">
        <v>16</v>
      </c>
      <c r="B17" s="78" t="s">
        <v>26</v>
      </c>
      <c r="C17" s="78" t="s">
        <v>29</v>
      </c>
      <c r="D17" s="78" t="s">
        <v>208</v>
      </c>
      <c r="E17" s="93" t="s">
        <v>410</v>
      </c>
      <c r="F17" s="93" t="s">
        <v>264</v>
      </c>
      <c r="G17" s="78" t="s">
        <v>208</v>
      </c>
      <c r="H17" s="93" t="s">
        <v>411</v>
      </c>
      <c r="I17" s="78" t="s">
        <v>271</v>
      </c>
      <c r="J17" s="94" t="s">
        <v>374</v>
      </c>
      <c r="K17" s="283">
        <v>46141.517604166664</v>
      </c>
      <c r="L17" s="277">
        <v>46141.536979166667</v>
      </c>
      <c r="M17" s="277">
        <v>46142.283148148148</v>
      </c>
      <c r="N17" s="283">
        <v>46156.750150462962</v>
      </c>
      <c r="O17" s="80">
        <v>46142.283900462964</v>
      </c>
      <c r="P17" s="95">
        <v>46156.750150462962</v>
      </c>
      <c r="Q17" s="78" t="s">
        <v>378</v>
      </c>
      <c r="R17" s="78" t="s">
        <v>267</v>
      </c>
      <c r="S17" s="78"/>
      <c r="T17" s="78"/>
      <c r="U17" s="78" t="s">
        <v>371</v>
      </c>
      <c r="V17" s="78"/>
      <c r="W17" s="78"/>
      <c r="X17" s="78"/>
      <c r="Y17" s="78"/>
      <c r="Z17" s="167">
        <f t="shared" ca="1" si="0"/>
        <v>0.19072916666967421</v>
      </c>
      <c r="AA17" s="168">
        <f t="shared" ca="1" si="1"/>
        <v>0.50861111111913127</v>
      </c>
      <c r="AB17" s="167">
        <f t="shared" ca="1" si="2"/>
        <v>0.17135416666618175</v>
      </c>
      <c r="AC17" s="168">
        <f t="shared" ca="1" si="3"/>
        <v>0.45694444444315135</v>
      </c>
      <c r="AD17" s="191">
        <f t="shared" ca="1" si="4"/>
        <v>0.17135416666618164</v>
      </c>
      <c r="AE17" s="167">
        <f t="shared" ca="1" si="5"/>
        <v>0.17135416666618175</v>
      </c>
      <c r="AF17" s="168">
        <f t="shared" ca="1" si="6"/>
        <v>0.45694444444315135</v>
      </c>
      <c r="AG17" s="168">
        <f t="shared" ca="1" si="7"/>
        <v>0.45694444444315135</v>
      </c>
      <c r="AH17" s="81" t="str" cm="1">
        <f t="array" aca="1" ref="AH17" ca="1">IF((AD17) &lt; (INDEX(ResponseSLA[#All],(MATCH((G17),ResponseSLA[Priority],0))+1,3)),"YES","No")</f>
        <v>YES</v>
      </c>
      <c r="AI17" s="81" t="str">
        <f ca="1">_xlfn.IFNA(IF(AE17 &lt; (INDEX(SLATable[Minimum SLA],MATCH(G17,SLATable[Priority],0))),"YES","NO"),"")</f>
        <v>YES</v>
      </c>
      <c r="AJ17" s="19" t="str">
        <f ca="1">_xlfn.IFNA(IF(AE17 &lt; (INDEX(SLATable[Maximum SLA],MATCH(G17,SLATable[Priority],0))),"YES","NO"),"")</f>
        <v>YES</v>
      </c>
    </row>
    <row r="18" spans="1:36" ht="15" customHeight="1">
      <c r="A18" s="78">
        <v>17</v>
      </c>
      <c r="B18" s="78" t="s">
        <v>26</v>
      </c>
      <c r="C18" s="78" t="s">
        <v>29</v>
      </c>
      <c r="D18" s="78" t="s">
        <v>208</v>
      </c>
      <c r="E18" s="93" t="s">
        <v>412</v>
      </c>
      <c r="F18" s="93" t="s">
        <v>264</v>
      </c>
      <c r="G18" s="78" t="s">
        <v>208</v>
      </c>
      <c r="H18" s="93" t="s">
        <v>413</v>
      </c>
      <c r="I18" s="78" t="s">
        <v>271</v>
      </c>
      <c r="J18" s="94" t="s">
        <v>374</v>
      </c>
      <c r="K18" s="283">
        <v>46141.520011574074</v>
      </c>
      <c r="L18" s="277">
        <v>46141.536724537036</v>
      </c>
      <c r="M18" s="277">
        <v>46142.522581018522</v>
      </c>
      <c r="N18" s="283">
        <v>46157.524710648147</v>
      </c>
      <c r="O18" s="80">
        <v>46142.52375</v>
      </c>
      <c r="P18" s="97">
        <v>46157.524710648147</v>
      </c>
      <c r="Q18" s="78" t="s">
        <v>378</v>
      </c>
      <c r="R18" s="78" t="s">
        <v>267</v>
      </c>
      <c r="S18" s="78"/>
      <c r="T18" s="78"/>
      <c r="U18" s="78" t="s">
        <v>371</v>
      </c>
      <c r="V18" s="78"/>
      <c r="W18" s="78"/>
      <c r="X18" s="78"/>
      <c r="Y18" s="78"/>
      <c r="Z18" s="167">
        <f t="shared" ca="1" si="0"/>
        <v>0.37873842592671236</v>
      </c>
      <c r="AA18" s="168">
        <f t="shared" ca="1" si="1"/>
        <v>1.0099691358045664</v>
      </c>
      <c r="AB18" s="167">
        <f t="shared" ca="1" si="2"/>
        <v>0.36202546296408356</v>
      </c>
      <c r="AC18" s="168">
        <f t="shared" ca="1" si="3"/>
        <v>0.96540123457088944</v>
      </c>
      <c r="AD18" s="191">
        <f t="shared" ca="1" si="4"/>
        <v>0.36085648148582555</v>
      </c>
      <c r="AE18" s="167">
        <f t="shared" ca="1" si="5"/>
        <v>0.36202546296408356</v>
      </c>
      <c r="AF18" s="168">
        <f t="shared" ca="1" si="6"/>
        <v>0.96540123457088944</v>
      </c>
      <c r="AG18" s="168">
        <f t="shared" ca="1" si="7"/>
        <v>0.96540123457088944</v>
      </c>
      <c r="AH18" s="81" t="str" cm="1">
        <f t="array" aca="1" ref="AH18" ca="1">IF((AD18) &lt; (INDEX(ResponseSLA[#All],(MATCH((G18),ResponseSLA[Priority],0))+1,3)),"YES","No")</f>
        <v>YES</v>
      </c>
      <c r="AI18" s="81" t="str">
        <f ca="1">_xlfn.IFNA(IF(AE18 &lt; (INDEX(SLATable[Minimum SLA],MATCH(G18,SLATable[Priority],0))),"YES","NO"),"")</f>
        <v>YES</v>
      </c>
      <c r="AJ18" s="19" t="str">
        <f ca="1">_xlfn.IFNA(IF(AE18 &lt; (INDEX(SLATable[Maximum SLA],MATCH(G18,SLATable[Priority],0))),"YES","NO"),"")</f>
        <v>YES</v>
      </c>
    </row>
    <row r="19" spans="1:36" ht="15" customHeight="1">
      <c r="A19" s="78">
        <v>18</v>
      </c>
      <c r="B19" s="78" t="s">
        <v>26</v>
      </c>
      <c r="C19" s="78" t="s">
        <v>29</v>
      </c>
      <c r="D19" s="78" t="s">
        <v>207</v>
      </c>
      <c r="E19" s="91" t="s">
        <v>414</v>
      </c>
      <c r="F19" s="78" t="s">
        <v>264</v>
      </c>
      <c r="G19" s="78">
        <v>4</v>
      </c>
      <c r="H19" s="92" t="s">
        <v>415</v>
      </c>
      <c r="I19" s="78" t="s">
        <v>271</v>
      </c>
      <c r="J19" s="86" t="s">
        <v>374</v>
      </c>
      <c r="K19" s="282">
        <v>46142.43472222222</v>
      </c>
      <c r="L19" s="277">
        <v>46142.435115740744</v>
      </c>
      <c r="M19" s="277">
        <v>46142.443611111114</v>
      </c>
      <c r="N19" s="282">
        <v>46146.433333333334</v>
      </c>
      <c r="O19" s="80"/>
      <c r="P19" s="80"/>
      <c r="Q19" s="78" t="s">
        <v>370</v>
      </c>
      <c r="R19" s="78" t="s">
        <v>267</v>
      </c>
      <c r="S19" s="78" t="s">
        <v>181</v>
      </c>
      <c r="T19" s="78"/>
      <c r="U19" s="78" t="s">
        <v>371</v>
      </c>
      <c r="V19" s="78"/>
      <c r="W19" s="78"/>
      <c r="X19" s="78"/>
      <c r="Y19" s="78"/>
      <c r="Z19" s="167">
        <f t="shared" ca="1" si="0"/>
        <v>0</v>
      </c>
      <c r="AA19" s="168">
        <f t="shared" ca="1" si="1"/>
        <v>0</v>
      </c>
      <c r="AB19" s="167">
        <f t="shared" ca="1" si="2"/>
        <v>0</v>
      </c>
      <c r="AC19" s="168">
        <f t="shared" ca="1" si="3"/>
        <v>0</v>
      </c>
      <c r="AD19" s="191">
        <f t="shared" ca="1" si="4"/>
        <v>8.4953703699284233E-3</v>
      </c>
      <c r="AE19" s="167">
        <f t="shared" ca="1" si="5"/>
        <v>0</v>
      </c>
      <c r="AF19" s="168">
        <f t="shared" ca="1" si="6"/>
        <v>0</v>
      </c>
      <c r="AG19" s="168">
        <f t="shared" ca="1" si="7"/>
        <v>0</v>
      </c>
      <c r="AH19" s="81" t="str" cm="1">
        <f t="array" aca="1" ref="AH19" ca="1">IF((AD19) &lt; (INDEX(ResponseSLA[#All],(MATCH((G19),ResponseSLA[Priority],0))+1,3)),"YES","No")</f>
        <v>YES</v>
      </c>
      <c r="AI19" s="81" t="str">
        <f ca="1">_xlfn.IFNA(IF(AE19 &lt; (INDEX(SLATable[Minimum SLA],MATCH(G19,SLATable[Priority],0))),"YES","NO"),"")</f>
        <v>YES</v>
      </c>
      <c r="AJ19" s="19" t="str">
        <f ca="1">_xlfn.IFNA(IF(AE19 &lt; (INDEX(SLATable[Maximum SLA],MATCH(G19,SLATable[Priority],0))),"YES","NO"),"")</f>
        <v>YES</v>
      </c>
    </row>
    <row r="20" spans="1:36" ht="15" customHeight="1">
      <c r="A20" s="78">
        <v>19</v>
      </c>
      <c r="B20" s="78" t="s">
        <v>26</v>
      </c>
      <c r="C20" s="78" t="s">
        <v>29</v>
      </c>
      <c r="D20" s="78" t="s">
        <v>207</v>
      </c>
      <c r="E20" s="91" t="s">
        <v>416</v>
      </c>
      <c r="F20" s="78" t="s">
        <v>264</v>
      </c>
      <c r="G20" s="78">
        <v>3</v>
      </c>
      <c r="H20" s="92" t="s">
        <v>417</v>
      </c>
      <c r="I20" s="78" t="s">
        <v>271</v>
      </c>
      <c r="J20" s="86" t="s">
        <v>374</v>
      </c>
      <c r="K20" s="282">
        <v>46142.478472222225</v>
      </c>
      <c r="L20" s="277">
        <v>46142.479004629633</v>
      </c>
      <c r="M20" s="277">
        <v>46142.47997685185</v>
      </c>
      <c r="N20" s="282">
        <v>46150.543055555558</v>
      </c>
      <c r="O20" s="80">
        <v>46142.542511574073</v>
      </c>
      <c r="P20" s="80">
        <v>46150.543136574073</v>
      </c>
      <c r="Q20" s="78" t="s">
        <v>370</v>
      </c>
      <c r="R20" s="78" t="s">
        <v>261</v>
      </c>
      <c r="S20" s="78" t="s">
        <v>175</v>
      </c>
      <c r="T20" s="78"/>
      <c r="U20" s="78" t="s">
        <v>371</v>
      </c>
      <c r="V20" s="78"/>
      <c r="W20" s="78"/>
      <c r="X20" s="78"/>
      <c r="Y20" s="78"/>
      <c r="Z20" s="167">
        <f t="shared" ca="1" si="0"/>
        <v>6.3958333332266193E-2</v>
      </c>
      <c r="AA20" s="168">
        <f t="shared" ca="1" si="1"/>
        <v>0.17055555555270985</v>
      </c>
      <c r="AB20" s="167">
        <f t="shared" ca="1" si="2"/>
        <v>6.3425925924093463E-2</v>
      </c>
      <c r="AC20" s="168">
        <f t="shared" ca="1" si="3"/>
        <v>0.16913580246424922</v>
      </c>
      <c r="AD20" s="191">
        <f t="shared" ca="1" si="4"/>
        <v>9.7222221666015685E-4</v>
      </c>
      <c r="AE20" s="167">
        <f t="shared" ca="1" si="5"/>
        <v>6.3425925924093463E-2</v>
      </c>
      <c r="AF20" s="168">
        <f t="shared" ca="1" si="6"/>
        <v>0.16913580246424922</v>
      </c>
      <c r="AG20" s="168">
        <f t="shared" ca="1" si="7"/>
        <v>0.16913580246424922</v>
      </c>
      <c r="AH20" s="81" t="str" cm="1">
        <f t="array" aca="1" ref="AH20" ca="1">IF((AD20) &lt; (INDEX(ResponseSLA[#All],(MATCH((G20),ResponseSLA[Priority],0))+1,3)),"YES","No")</f>
        <v>YES</v>
      </c>
      <c r="AI20" s="81" t="str">
        <f ca="1">_xlfn.IFNA(IF(AE20 &lt; (INDEX(SLATable[Minimum SLA],MATCH(G20,SLATable[Priority],0))),"YES","NO"),"")</f>
        <v>YES</v>
      </c>
      <c r="AJ20" s="19" t="str">
        <f ca="1">_xlfn.IFNA(IF(AE20 &lt; (INDEX(SLATable[Maximum SLA],MATCH(G20,SLATable[Priority],0))),"YES","NO"),"")</f>
        <v>YES</v>
      </c>
    </row>
    <row r="21" spans="1:36" ht="15" customHeight="1">
      <c r="A21" s="78">
        <v>20</v>
      </c>
      <c r="B21" s="78" t="s">
        <v>26</v>
      </c>
      <c r="C21" s="78" t="s">
        <v>29</v>
      </c>
      <c r="D21" s="78" t="s">
        <v>207</v>
      </c>
      <c r="E21" s="91" t="s">
        <v>418</v>
      </c>
      <c r="F21" s="78" t="s">
        <v>264</v>
      </c>
      <c r="G21" s="78">
        <v>4</v>
      </c>
      <c r="H21" s="92" t="s">
        <v>419</v>
      </c>
      <c r="I21" s="78" t="s">
        <v>271</v>
      </c>
      <c r="J21" s="86" t="s">
        <v>374</v>
      </c>
      <c r="K21" s="282">
        <v>46142.527777777781</v>
      </c>
      <c r="L21" s="277">
        <v>46142.528055555558</v>
      </c>
      <c r="M21" s="277">
        <v>46142.528877314813</v>
      </c>
      <c r="N21" s="277">
        <v>46147.236111111109</v>
      </c>
      <c r="O21" s="80"/>
      <c r="P21" s="80"/>
      <c r="Q21" s="78" t="s">
        <v>370</v>
      </c>
      <c r="R21" s="78" t="s">
        <v>267</v>
      </c>
      <c r="S21" s="78" t="s">
        <v>181</v>
      </c>
      <c r="T21" s="78"/>
      <c r="U21" s="78" t="s">
        <v>371</v>
      </c>
      <c r="V21" s="78"/>
      <c r="W21" s="78"/>
      <c r="X21" s="78"/>
      <c r="Y21" s="78"/>
      <c r="Z21" s="167">
        <f t="shared" ca="1" si="0"/>
        <v>0.18055555555232183</v>
      </c>
      <c r="AA21" s="168">
        <f t="shared" ca="1" si="1"/>
        <v>0.48148148147285824</v>
      </c>
      <c r="AB21" s="167">
        <f t="shared" ca="1" si="2"/>
        <v>0.18027777777509379</v>
      </c>
      <c r="AC21" s="168">
        <f t="shared" ca="1" si="3"/>
        <v>0.48074074073358347</v>
      </c>
      <c r="AD21" s="191">
        <f t="shared" ca="1" si="4"/>
        <v>8.2175925490446389E-4</v>
      </c>
      <c r="AE21" s="167">
        <f t="shared" ca="1" si="5"/>
        <v>0.18027777777509379</v>
      </c>
      <c r="AF21" s="168">
        <f t="shared" ca="1" si="6"/>
        <v>0.48074074073358347</v>
      </c>
      <c r="AG21" s="168">
        <f t="shared" ca="1" si="7"/>
        <v>0.48074074073358347</v>
      </c>
      <c r="AH21" s="81" t="str" cm="1">
        <f t="array" aca="1" ref="AH21" ca="1">IF((AD21) &lt; (INDEX(ResponseSLA[#All],(MATCH((G21),ResponseSLA[Priority],0))+1,3)),"YES","No")</f>
        <v>YES</v>
      </c>
      <c r="AI21" s="81" t="str">
        <f ca="1">_xlfn.IFNA(IF(AE21 &lt; (INDEX(SLATable[Minimum SLA],MATCH(G21,SLATable[Priority],0))),"YES","NO"),"")</f>
        <v>YES</v>
      </c>
      <c r="AJ21" s="19" t="str">
        <f ca="1">_xlfn.IFNA(IF(AE21 &lt; (INDEX(SLATable[Maximum SLA],MATCH(G21,SLATable[Priority],0))),"YES","NO"),"")</f>
        <v>YES</v>
      </c>
    </row>
    <row r="22" spans="1:36" ht="15" customHeight="1">
      <c r="A22" s="78">
        <v>21</v>
      </c>
      <c r="B22" s="78" t="s">
        <v>26</v>
      </c>
      <c r="C22" s="78" t="s">
        <v>29</v>
      </c>
      <c r="D22" s="78" t="s">
        <v>208</v>
      </c>
      <c r="E22" s="93" t="s">
        <v>420</v>
      </c>
      <c r="F22" s="93" t="s">
        <v>264</v>
      </c>
      <c r="G22" s="78" t="s">
        <v>208</v>
      </c>
      <c r="H22" s="93" t="s">
        <v>421</v>
      </c>
      <c r="I22" s="78" t="s">
        <v>271</v>
      </c>
      <c r="J22" s="94" t="s">
        <v>377</v>
      </c>
      <c r="K22" s="283">
        <v>46142.590775462966</v>
      </c>
      <c r="L22" s="277">
        <v>46142.590902777774</v>
      </c>
      <c r="M22" s="277">
        <v>46146.289201388892</v>
      </c>
      <c r="N22" s="283">
        <v>46147.261134259257</v>
      </c>
      <c r="O22" s="80"/>
      <c r="P22" s="80"/>
      <c r="Q22" s="78" t="s">
        <v>378</v>
      </c>
      <c r="R22" s="78" t="s">
        <v>267</v>
      </c>
      <c r="S22" s="78"/>
      <c r="T22" s="78"/>
      <c r="U22" s="78" t="s">
        <v>371</v>
      </c>
      <c r="V22" s="78"/>
      <c r="W22" s="78"/>
      <c r="X22" s="78"/>
      <c r="Y22" s="78"/>
      <c r="Z22" s="167">
        <f t="shared" ca="1" si="0"/>
        <v>0.1175578703672121</v>
      </c>
      <c r="AA22" s="168">
        <f t="shared" ca="1" si="1"/>
        <v>0.31348765431256559</v>
      </c>
      <c r="AB22" s="167">
        <f t="shared" ca="1" si="2"/>
        <v>0.11743055555901571</v>
      </c>
      <c r="AC22" s="168">
        <f t="shared" ca="1" si="3"/>
        <v>0.31314814815737524</v>
      </c>
      <c r="AD22" s="191">
        <f t="shared" ca="1" si="4"/>
        <v>0.11743055555901571</v>
      </c>
      <c r="AE22" s="167">
        <f t="shared" ca="1" si="5"/>
        <v>0.11743055555901571</v>
      </c>
      <c r="AF22" s="168">
        <f t="shared" ca="1" si="6"/>
        <v>0.31314814815737524</v>
      </c>
      <c r="AG22" s="168">
        <f t="shared" ca="1" si="7"/>
        <v>0.31314814815737524</v>
      </c>
      <c r="AH22" s="81" t="str" cm="1">
        <f t="array" aca="1" ref="AH22" ca="1">IF((AD22) &lt; (INDEX(ResponseSLA[#All],(MATCH((G22),ResponseSLA[Priority],0))+1,3)),"YES","No")</f>
        <v>YES</v>
      </c>
      <c r="AI22" s="81" t="str">
        <f ca="1">_xlfn.IFNA(IF(AE22 &lt; (INDEX(SLATable[Minimum SLA],MATCH(G22,SLATable[Priority],0))),"YES","NO"),"")</f>
        <v>YES</v>
      </c>
      <c r="AJ22" s="19" t="str">
        <f ca="1">_xlfn.IFNA(IF(AE22 &lt; (INDEX(SLATable[Maximum SLA],MATCH(G22,SLATable[Priority],0))),"YES","NO"),"")</f>
        <v>YES</v>
      </c>
    </row>
    <row r="23" spans="1:36" ht="15" customHeight="1">
      <c r="A23" s="78">
        <v>22</v>
      </c>
      <c r="B23" s="78" t="s">
        <v>26</v>
      </c>
      <c r="C23" s="78" t="s">
        <v>29</v>
      </c>
      <c r="D23" s="78" t="s">
        <v>208</v>
      </c>
      <c r="E23" s="79" t="s">
        <v>422</v>
      </c>
      <c r="F23" s="79" t="s">
        <v>264</v>
      </c>
      <c r="G23" s="78" t="s">
        <v>208</v>
      </c>
      <c r="H23" s="79" t="s">
        <v>423</v>
      </c>
      <c r="I23" s="78" t="s">
        <v>271</v>
      </c>
      <c r="J23" s="79" t="s">
        <v>377</v>
      </c>
      <c r="K23" s="284">
        <v>46147.416238425925</v>
      </c>
      <c r="L23" s="277">
        <v>46147.503738425927</v>
      </c>
      <c r="M23" s="277">
        <v>46147.50472222222</v>
      </c>
      <c r="N23" s="284">
        <v>46156.239386574074</v>
      </c>
      <c r="O23" s="80">
        <v>46148.460405092592</v>
      </c>
      <c r="P23" s="80">
        <v>46155.579062500001</v>
      </c>
      <c r="Q23" s="78" t="s">
        <v>370</v>
      </c>
      <c r="R23" s="78" t="s">
        <v>267</v>
      </c>
      <c r="S23" s="78"/>
      <c r="T23" s="78"/>
      <c r="U23" s="78" t="s">
        <v>371</v>
      </c>
      <c r="V23" s="78"/>
      <c r="W23" s="78"/>
      <c r="X23" s="78"/>
      <c r="Y23" s="78"/>
      <c r="Z23" s="167">
        <f t="shared" ca="1" si="0"/>
        <v>0.54843749999903046</v>
      </c>
      <c r="AA23" s="168">
        <f t="shared" ca="1" si="1"/>
        <v>1.4624999999974146</v>
      </c>
      <c r="AB23" s="167">
        <f t="shared" ca="1" si="2"/>
        <v>0.46093749999757527</v>
      </c>
      <c r="AC23" s="168">
        <f t="shared" ca="1" si="3"/>
        <v>1.2291666666602008</v>
      </c>
      <c r="AD23" s="191">
        <f t="shared" ca="1" si="4"/>
        <v>9.8379629343980923E-4</v>
      </c>
      <c r="AE23" s="167">
        <f t="shared" ca="1" si="5"/>
        <v>0.46093749999757527</v>
      </c>
      <c r="AF23" s="168">
        <f t="shared" ca="1" si="6"/>
        <v>1.2291666666602008</v>
      </c>
      <c r="AG23" s="168">
        <f t="shared" ca="1" si="7"/>
        <v>1.2291666666602008</v>
      </c>
      <c r="AH23" s="81" t="str" cm="1">
        <f t="array" aca="1" ref="AH23" ca="1">IF((AD23) &lt; (INDEX(ResponseSLA[#All],(MATCH((G23),ResponseSLA[Priority],0))+1,3)),"YES","No")</f>
        <v>YES</v>
      </c>
      <c r="AI23" s="81" t="str">
        <f ca="1">_xlfn.IFNA(IF(AE23 &lt; (INDEX(SLATable[Minimum SLA],MATCH(G23,SLATable[Priority],0))),"YES","NO"),"")</f>
        <v>YES</v>
      </c>
      <c r="AJ23" s="19" t="str">
        <f ca="1">_xlfn.IFNA(IF(AE23 &lt; (INDEX(SLATable[Maximum SLA],MATCH(G23,SLATable[Priority],0))),"YES","NO"),"")</f>
        <v>YES</v>
      </c>
    </row>
    <row r="24" spans="1:36" ht="15" customHeight="1">
      <c r="A24" s="78">
        <v>23</v>
      </c>
      <c r="B24" s="78" t="s">
        <v>26</v>
      </c>
      <c r="C24" s="78" t="s">
        <v>29</v>
      </c>
      <c r="D24" s="78" t="s">
        <v>207</v>
      </c>
      <c r="E24" s="78" t="s">
        <v>424</v>
      </c>
      <c r="F24" s="78" t="s">
        <v>264</v>
      </c>
      <c r="G24" s="78">
        <v>4</v>
      </c>
      <c r="H24" s="86" t="s">
        <v>425</v>
      </c>
      <c r="I24" s="78" t="s">
        <v>271</v>
      </c>
      <c r="J24" s="86" t="s">
        <v>374</v>
      </c>
      <c r="K24" s="277">
        <v>46149.444178240738</v>
      </c>
      <c r="L24" s="277">
        <v>46149.501192129632</v>
      </c>
      <c r="M24" s="277">
        <v>46149.503368055557</v>
      </c>
      <c r="N24" s="277">
        <v>46157.504872685182</v>
      </c>
      <c r="O24" s="80"/>
      <c r="P24" s="80"/>
      <c r="Q24" s="78" t="s">
        <v>399</v>
      </c>
      <c r="R24" s="78" t="s">
        <v>267</v>
      </c>
      <c r="S24" s="78" t="s">
        <v>199</v>
      </c>
      <c r="T24" s="78"/>
      <c r="U24" s="78" t="s">
        <v>371</v>
      </c>
      <c r="V24" s="78"/>
      <c r="W24" s="78"/>
      <c r="X24" s="78"/>
      <c r="Y24" s="78"/>
      <c r="Z24" s="167">
        <f t="shared" ca="1" si="0"/>
        <v>2.3106944444443802</v>
      </c>
      <c r="AA24" s="168">
        <f t="shared" ca="1" si="1"/>
        <v>6.1618518518516812</v>
      </c>
      <c r="AB24" s="167">
        <f t="shared" ca="1" si="2"/>
        <v>2.2536805555500909</v>
      </c>
      <c r="AC24" s="168">
        <f t="shared" ca="1" si="3"/>
        <v>6.0098148148002428</v>
      </c>
      <c r="AD24" s="191">
        <f t="shared" ca="1" si="4"/>
        <v>2.1759259252576157E-3</v>
      </c>
      <c r="AE24" s="167">
        <f t="shared" ca="1" si="5"/>
        <v>2.2536805555500909</v>
      </c>
      <c r="AF24" s="168">
        <f t="shared" ca="1" si="6"/>
        <v>6.0098148148002428</v>
      </c>
      <c r="AG24" s="168">
        <f t="shared" ca="1" si="7"/>
        <v>6.0098148148002428</v>
      </c>
      <c r="AH24" s="81" t="str" cm="1">
        <f t="array" aca="1" ref="AH24" ca="1">IF((AD24) &lt; (INDEX(ResponseSLA[#All],(MATCH((G24),ResponseSLA[Priority],0))+1,3)),"YES","No")</f>
        <v>YES</v>
      </c>
      <c r="AI24" s="81" t="str">
        <f ca="1">_xlfn.IFNA(IF(AE24 &lt; (INDEX(SLATable[Minimum SLA],MATCH(G24,SLATable[Priority],0))),"YES","NO"),"")</f>
        <v>YES</v>
      </c>
      <c r="AJ24" s="19" t="str">
        <f ca="1">_xlfn.IFNA(IF(AE24 &lt; (INDEX(SLATable[Maximum SLA],MATCH(G24,SLATable[Priority],0))),"YES","NO"),"")</f>
        <v>YES</v>
      </c>
    </row>
    <row r="25" spans="1:36" ht="15" customHeight="1">
      <c r="A25" s="78">
        <v>24</v>
      </c>
      <c r="B25" s="78" t="s">
        <v>26</v>
      </c>
      <c r="C25" s="78" t="s">
        <v>29</v>
      </c>
      <c r="D25" s="78" t="s">
        <v>207</v>
      </c>
      <c r="E25" s="78" t="s">
        <v>426</v>
      </c>
      <c r="F25" s="78" t="s">
        <v>264</v>
      </c>
      <c r="G25" s="78">
        <v>4</v>
      </c>
      <c r="H25" s="86" t="s">
        <v>427</v>
      </c>
      <c r="I25" s="78" t="s">
        <v>275</v>
      </c>
      <c r="J25" s="86" t="s">
        <v>374</v>
      </c>
      <c r="K25" s="277">
        <v>46149.563530092593</v>
      </c>
      <c r="L25" s="277">
        <v>46149.592175925929</v>
      </c>
      <c r="M25" s="277">
        <v>46149.592974537038</v>
      </c>
      <c r="N25" s="277">
        <v>46153.447418981479</v>
      </c>
      <c r="O25" s="80"/>
      <c r="P25" s="80"/>
      <c r="Q25" s="78" t="s">
        <v>370</v>
      </c>
      <c r="R25" s="78" t="s">
        <v>267</v>
      </c>
      <c r="S25" s="78" t="s">
        <v>205</v>
      </c>
      <c r="T25" s="78"/>
      <c r="U25" s="78" t="s">
        <v>428</v>
      </c>
      <c r="V25" s="78"/>
      <c r="W25" s="78"/>
      <c r="X25" s="78"/>
      <c r="Y25" s="78"/>
      <c r="Z25" s="167">
        <f t="shared" ca="1" si="0"/>
        <v>0.63388888888584916</v>
      </c>
      <c r="AA25" s="168">
        <f t="shared" ca="1" si="1"/>
        <v>1.6903703703622643</v>
      </c>
      <c r="AB25" s="167">
        <f t="shared" ca="1" si="2"/>
        <v>0.6052430555500905</v>
      </c>
      <c r="AC25" s="168">
        <f t="shared" ca="1" si="3"/>
        <v>1.613981481466908</v>
      </c>
      <c r="AD25" s="191">
        <f t="shared" ca="1" si="4"/>
        <v>7.9861110862111673E-4</v>
      </c>
      <c r="AE25" s="167">
        <f t="shared" ca="1" si="5"/>
        <v>1.1261342592503447</v>
      </c>
      <c r="AF25" s="168">
        <f t="shared" ca="1" si="6"/>
        <v>3.0030246913342524</v>
      </c>
      <c r="AG25" s="168">
        <f t="shared" ca="1" si="7"/>
        <v>3.0030246913342524</v>
      </c>
      <c r="AH25" s="81" t="str" cm="1">
        <f t="array" aca="1" ref="AH25" ca="1">IF((AD25) &lt; (INDEX(ResponseSLA[#All],(MATCH((G25),ResponseSLA[Priority],0))+1,3)),"YES","No")</f>
        <v>YES</v>
      </c>
      <c r="AI25" s="81" t="str">
        <f ca="1">_xlfn.IFNA(IF(AE25 &lt; (INDEX(SLATable[Minimum SLA],MATCH(G25,SLATable[Priority],0))),"YES","NO"),"")</f>
        <v>YES</v>
      </c>
      <c r="AJ25" s="19" t="str">
        <f ca="1">_xlfn.IFNA(IF(AE25 &lt; (INDEX(SLATable[Maximum SLA],MATCH(G25,SLATable[Priority],0))),"YES","NO"),"")</f>
        <v>YES</v>
      </c>
    </row>
    <row r="26" spans="1:36" ht="15" customHeight="1">
      <c r="A26" s="78">
        <v>25</v>
      </c>
      <c r="B26" s="78" t="s">
        <v>26</v>
      </c>
      <c r="C26" s="78" t="s">
        <v>29</v>
      </c>
      <c r="D26" s="78" t="s">
        <v>207</v>
      </c>
      <c r="E26" s="78" t="s">
        <v>426</v>
      </c>
      <c r="F26" s="78" t="s">
        <v>264</v>
      </c>
      <c r="G26" s="78">
        <v>4</v>
      </c>
      <c r="H26" s="86" t="s">
        <v>427</v>
      </c>
      <c r="I26" s="78" t="s">
        <v>271</v>
      </c>
      <c r="J26" s="86" t="s">
        <v>369</v>
      </c>
      <c r="K26" s="277">
        <v>46149.563530092593</v>
      </c>
      <c r="L26" s="277">
        <v>46161.759710648148</v>
      </c>
      <c r="M26" s="277">
        <v>46162.235081018516</v>
      </c>
      <c r="N26" s="277">
        <v>46163.479224537034</v>
      </c>
      <c r="O26" s="80"/>
      <c r="P26" s="80"/>
      <c r="Q26" s="78" t="s">
        <v>370</v>
      </c>
      <c r="R26" s="78" t="s">
        <v>267</v>
      </c>
      <c r="S26" s="78" t="s">
        <v>205</v>
      </c>
      <c r="T26" s="78"/>
      <c r="U26" s="78" t="s">
        <v>371</v>
      </c>
      <c r="V26" s="78"/>
      <c r="W26" s="78"/>
      <c r="X26" s="78"/>
      <c r="Y26" s="78"/>
      <c r="Z26" s="167">
        <f t="shared" ca="1" si="0"/>
        <v>3.6656944444403052</v>
      </c>
      <c r="AA26" s="168">
        <f t="shared" ca="1" si="1"/>
        <v>9.7751851851741467</v>
      </c>
      <c r="AB26" s="167">
        <f t="shared" ca="1" si="2"/>
        <v>0.52089120370025432</v>
      </c>
      <c r="AC26" s="168">
        <f t="shared" ca="1" si="3"/>
        <v>1.3890432098673449</v>
      </c>
      <c r="AD26" s="191">
        <f t="shared" ca="1" si="4"/>
        <v>0</v>
      </c>
      <c r="AE26" s="167">
        <f t="shared" ca="1" si="5"/>
        <v>1.1261342592503447</v>
      </c>
      <c r="AF26" s="168">
        <f t="shared" ca="1" si="6"/>
        <v>3.0030246913342524</v>
      </c>
      <c r="AG26" s="168">
        <f t="shared" ca="1" si="7"/>
        <v>3.0030246913342524</v>
      </c>
      <c r="AH26" s="81" t="str" cm="1">
        <f t="array" aca="1" ref="AH26" ca="1">IF((AD26) &lt; (INDEX(ResponseSLA[#All],(MATCH((G26),ResponseSLA[Priority],0))+1,3)),"YES","No")</f>
        <v>YES</v>
      </c>
      <c r="AI26" s="81" t="str">
        <f ca="1">_xlfn.IFNA(IF(AE26 &lt; (INDEX(SLATable[Minimum SLA],MATCH(G26,SLATable[Priority],0))),"YES","NO"),"")</f>
        <v>YES</v>
      </c>
      <c r="AJ26" s="19" t="str">
        <f ca="1">_xlfn.IFNA(IF(AE26 &lt; (INDEX(SLATable[Maximum SLA],MATCH(G26,SLATable[Priority],0))),"YES","NO"),"")</f>
        <v>YES</v>
      </c>
    </row>
    <row r="27" spans="1:36" ht="15" customHeight="1">
      <c r="A27" s="78">
        <v>26</v>
      </c>
      <c r="B27" s="78" t="s">
        <v>26</v>
      </c>
      <c r="C27" s="78" t="s">
        <v>29</v>
      </c>
      <c r="D27" s="78" t="s">
        <v>207</v>
      </c>
      <c r="E27" s="78" t="s">
        <v>429</v>
      </c>
      <c r="F27" s="78" t="s">
        <v>264</v>
      </c>
      <c r="G27" s="78">
        <v>3</v>
      </c>
      <c r="H27" s="86" t="s">
        <v>430</v>
      </c>
      <c r="I27" s="78" t="s">
        <v>271</v>
      </c>
      <c r="J27" s="86" t="s">
        <v>369</v>
      </c>
      <c r="K27" s="277">
        <v>46149.617974537039</v>
      </c>
      <c r="L27" s="277">
        <v>46149.618067129632</v>
      </c>
      <c r="M27" s="277">
        <v>46149.628136574072</v>
      </c>
      <c r="N27" s="277">
        <v>46150.458703703705</v>
      </c>
      <c r="O27" s="80"/>
      <c r="P27" s="80"/>
      <c r="Q27" s="78" t="s">
        <v>378</v>
      </c>
      <c r="R27" s="78" t="s">
        <v>267</v>
      </c>
      <c r="S27" s="78" t="s">
        <v>175</v>
      </c>
      <c r="T27" s="78"/>
      <c r="U27" s="78" t="s">
        <v>371</v>
      </c>
      <c r="V27" s="78"/>
      <c r="W27" s="78"/>
      <c r="X27" s="78"/>
      <c r="Y27" s="78"/>
      <c r="Z27" s="167">
        <f t="shared" ca="1" si="0"/>
        <v>0.21572916666627862</v>
      </c>
      <c r="AA27" s="168">
        <f t="shared" ca="1" si="1"/>
        <v>0.57527777777674294</v>
      </c>
      <c r="AB27" s="167">
        <f t="shared" ca="1" si="2"/>
        <v>0.21563657407386927</v>
      </c>
      <c r="AC27" s="168">
        <f t="shared" ca="1" si="3"/>
        <v>0.57503086419698468</v>
      </c>
      <c r="AD27" s="191">
        <f t="shared" ca="1" si="4"/>
        <v>1.006944444088731E-2</v>
      </c>
      <c r="AE27" s="167">
        <f t="shared" ca="1" si="5"/>
        <v>0.21563657407386927</v>
      </c>
      <c r="AF27" s="168">
        <f t="shared" ca="1" si="6"/>
        <v>0.57503086419698468</v>
      </c>
      <c r="AG27" s="168">
        <f t="shared" ca="1" si="7"/>
        <v>0.57503086419698468</v>
      </c>
      <c r="AH27" s="81" t="str" cm="1">
        <f t="array" aca="1" ref="AH27" ca="1">IF((AD27) &lt; (INDEX(ResponseSLA[#All],(MATCH((G27),ResponseSLA[Priority],0))+1,3)),"YES","No")</f>
        <v>YES</v>
      </c>
      <c r="AI27" s="81" t="str">
        <f ca="1">_xlfn.IFNA(IF(AE27 &lt; (INDEX(SLATable[Minimum SLA],MATCH(G27,SLATable[Priority],0))),"YES","NO"),"")</f>
        <v>YES</v>
      </c>
      <c r="AJ27" s="19" t="str">
        <f ca="1">_xlfn.IFNA(IF(AE27 &lt; (INDEX(SLATable[Maximum SLA],MATCH(G27,SLATable[Priority],0))),"YES","NO"),"")</f>
        <v>YES</v>
      </c>
    </row>
    <row r="28" spans="1:36" ht="15" customHeight="1">
      <c r="A28" s="78">
        <v>27</v>
      </c>
      <c r="B28" s="78" t="s">
        <v>26</v>
      </c>
      <c r="C28" s="78" t="s">
        <v>29</v>
      </c>
      <c r="D28" s="78" t="s">
        <v>207</v>
      </c>
      <c r="E28" s="78" t="s">
        <v>431</v>
      </c>
      <c r="F28" s="78" t="s">
        <v>264</v>
      </c>
      <c r="G28" s="78">
        <v>4</v>
      </c>
      <c r="H28" s="86" t="s">
        <v>432</v>
      </c>
      <c r="I28" s="78" t="s">
        <v>271</v>
      </c>
      <c r="J28" s="86" t="s">
        <v>369</v>
      </c>
      <c r="K28" s="277">
        <v>46150.405393518522</v>
      </c>
      <c r="L28" s="277">
        <v>46150.405451388891</v>
      </c>
      <c r="M28" s="277">
        <v>46150.419664351852</v>
      </c>
      <c r="N28" s="277">
        <v>46160.426655092589</v>
      </c>
      <c r="O28" s="80"/>
      <c r="P28" s="80"/>
      <c r="Q28" s="78" t="s">
        <v>370</v>
      </c>
      <c r="R28" s="78" t="s">
        <v>267</v>
      </c>
      <c r="S28" s="78"/>
      <c r="T28" s="78"/>
      <c r="U28" s="78" t="s">
        <v>371</v>
      </c>
      <c r="V28" s="78"/>
      <c r="W28" s="78"/>
      <c r="X28" s="78"/>
      <c r="Y28" s="78"/>
      <c r="Z28" s="167">
        <f t="shared" ca="1" si="0"/>
        <v>2.2712615740674669</v>
      </c>
      <c r="AA28" s="168">
        <f t="shared" ca="1" si="1"/>
        <v>6.0566975308465789</v>
      </c>
      <c r="AB28" s="167">
        <f t="shared" ca="1" si="2"/>
        <v>2.2712037036981205</v>
      </c>
      <c r="AC28" s="168">
        <f t="shared" ca="1" si="3"/>
        <v>6.0565432098616547</v>
      </c>
      <c r="AD28" s="191">
        <f t="shared" ca="1" si="4"/>
        <v>1.4212962960300501E-2</v>
      </c>
      <c r="AE28" s="167">
        <f t="shared" ca="1" si="5"/>
        <v>2.2712037036981205</v>
      </c>
      <c r="AF28" s="168">
        <f t="shared" ca="1" si="6"/>
        <v>6.0565432098616547</v>
      </c>
      <c r="AG28" s="168">
        <f t="shared" ca="1" si="7"/>
        <v>6.0565432098616547</v>
      </c>
      <c r="AH28" s="81" t="str" cm="1">
        <f t="array" aca="1" ref="AH28" ca="1">IF((AD28) &lt; (INDEX(ResponseSLA[#All],(MATCH((G28),ResponseSLA[Priority],0))+1,3)),"YES","No")</f>
        <v>YES</v>
      </c>
      <c r="AI28" s="81" t="str">
        <f ca="1">_xlfn.IFNA(IF(AE28 &lt; (INDEX(SLATable[Minimum SLA],MATCH(G28,SLATable[Priority],0))),"YES","NO"),"")</f>
        <v>YES</v>
      </c>
      <c r="AJ28" s="19" t="str">
        <f ca="1">_xlfn.IFNA(IF(AE28 &lt; (INDEX(SLATable[Maximum SLA],MATCH(G28,SLATable[Priority],0))),"YES","NO"),"")</f>
        <v>YES</v>
      </c>
    </row>
    <row r="29" spans="1:36" ht="15" customHeight="1">
      <c r="A29" s="78">
        <v>28</v>
      </c>
      <c r="B29" s="78" t="s">
        <v>26</v>
      </c>
      <c r="C29" s="78" t="s">
        <v>29</v>
      </c>
      <c r="D29" s="78" t="s">
        <v>208</v>
      </c>
      <c r="E29" s="79" t="s">
        <v>433</v>
      </c>
      <c r="F29" s="79" t="s">
        <v>264</v>
      </c>
      <c r="G29" s="78" t="s">
        <v>208</v>
      </c>
      <c r="H29" s="79" t="s">
        <v>434</v>
      </c>
      <c r="I29" s="78" t="s">
        <v>271</v>
      </c>
      <c r="J29" s="79" t="s">
        <v>377</v>
      </c>
      <c r="K29" s="284">
        <v>46150.464131944442</v>
      </c>
      <c r="L29" s="277">
        <v>46154.504629629628</v>
      </c>
      <c r="M29" s="277">
        <v>46154.566203703704</v>
      </c>
      <c r="N29" s="284">
        <v>46157.278078703705</v>
      </c>
      <c r="O29" s="80"/>
      <c r="P29" s="80"/>
      <c r="Q29" s="78" t="s">
        <v>370</v>
      </c>
      <c r="R29" s="78" t="s">
        <v>267</v>
      </c>
      <c r="S29" s="78"/>
      <c r="T29" s="78"/>
      <c r="U29" s="78" t="s">
        <v>371</v>
      </c>
      <c r="V29" s="78"/>
      <c r="W29" s="78"/>
      <c r="X29" s="78"/>
      <c r="Y29" s="78"/>
      <c r="Z29" s="167">
        <f t="shared" ca="1" si="0"/>
        <v>1.7442013888915731</v>
      </c>
      <c r="AA29" s="168">
        <f t="shared" ca="1" si="1"/>
        <v>4.6512037037108609</v>
      </c>
      <c r="AB29" s="167">
        <f t="shared" ca="1" si="2"/>
        <v>0.95370370370559021</v>
      </c>
      <c r="AC29" s="168">
        <f t="shared" ca="1" si="3"/>
        <v>2.5432098765482407</v>
      </c>
      <c r="AD29" s="191">
        <f t="shared" ca="1" si="4"/>
        <v>6.1574074075906537E-2</v>
      </c>
      <c r="AE29" s="167">
        <f t="shared" ca="1" si="5"/>
        <v>0.95370370370559021</v>
      </c>
      <c r="AF29" s="168">
        <f t="shared" ca="1" si="6"/>
        <v>2.5432098765482407</v>
      </c>
      <c r="AG29" s="168">
        <f t="shared" ca="1" si="7"/>
        <v>2.5432098765482407</v>
      </c>
      <c r="AH29" s="81" t="str" cm="1">
        <f t="array" aca="1" ref="AH29" ca="1">IF((AD29) &lt; (INDEX(ResponseSLA[#All],(MATCH((G29),ResponseSLA[Priority],0))+1,3)),"YES","No")</f>
        <v>YES</v>
      </c>
      <c r="AI29" s="81" t="str">
        <f ca="1">_xlfn.IFNA(IF(AE29 &lt; (INDEX(SLATable[Minimum SLA],MATCH(G29,SLATable[Priority],0))),"YES","NO"),"")</f>
        <v>NO</v>
      </c>
      <c r="AJ29" s="19" t="str">
        <f ca="1">_xlfn.IFNA(IF(AE29 &lt; (INDEX(SLATable[Maximum SLA],MATCH(G29,SLATable[Priority],0))),"YES","NO"),"")</f>
        <v>NO</v>
      </c>
    </row>
    <row r="30" spans="1:36" ht="15" customHeight="1">
      <c r="A30" s="78">
        <v>29</v>
      </c>
      <c r="B30" s="78" t="s">
        <v>26</v>
      </c>
      <c r="C30" s="78" t="s">
        <v>29</v>
      </c>
      <c r="D30" s="78" t="s">
        <v>208</v>
      </c>
      <c r="E30" s="79" t="s">
        <v>435</v>
      </c>
      <c r="F30" s="79" t="s">
        <v>264</v>
      </c>
      <c r="G30" s="78" t="s">
        <v>208</v>
      </c>
      <c r="H30" s="79" t="s">
        <v>382</v>
      </c>
      <c r="I30" s="78" t="s">
        <v>271</v>
      </c>
      <c r="J30" s="79" t="s">
        <v>374</v>
      </c>
      <c r="K30" s="284">
        <v>46150.657222222224</v>
      </c>
      <c r="L30" s="277">
        <v>46150.65729166667</v>
      </c>
      <c r="M30" s="277">
        <v>46153.249664351853</v>
      </c>
      <c r="N30" s="284">
        <v>46154.631527777776</v>
      </c>
      <c r="O30" s="80"/>
      <c r="P30" s="80"/>
      <c r="Q30" s="78" t="s">
        <v>378</v>
      </c>
      <c r="R30" s="78" t="s">
        <v>267</v>
      </c>
      <c r="S30" s="78"/>
      <c r="T30" s="78"/>
      <c r="U30" s="78" t="s">
        <v>371</v>
      </c>
      <c r="V30" s="78"/>
      <c r="W30" s="78"/>
      <c r="X30" s="78"/>
      <c r="Y30" s="78"/>
      <c r="Z30" s="167">
        <f t="shared" ca="1" si="0"/>
        <v>0.72430555555183673</v>
      </c>
      <c r="AA30" s="168">
        <f t="shared" ca="1" si="1"/>
        <v>1.9314814814715646</v>
      </c>
      <c r="AB30" s="167">
        <f t="shared" ca="1" si="2"/>
        <v>0.72423611110571073</v>
      </c>
      <c r="AC30" s="168">
        <f t="shared" ca="1" si="3"/>
        <v>1.9312962962818954</v>
      </c>
      <c r="AD30" s="191">
        <f t="shared" ca="1" si="4"/>
        <v>5.1041666663271257E-2</v>
      </c>
      <c r="AE30" s="167">
        <f t="shared" ca="1" si="5"/>
        <v>0.72423611110571073</v>
      </c>
      <c r="AF30" s="168">
        <f t="shared" ca="1" si="6"/>
        <v>1.9312962962818954</v>
      </c>
      <c r="AG30" s="168">
        <f t="shared" ca="1" si="7"/>
        <v>1.9312962962818954</v>
      </c>
      <c r="AH30" s="81" t="str" cm="1">
        <f t="array" aca="1" ref="AH30" ca="1">IF((AD30) &lt; (INDEX(ResponseSLA[#All],(MATCH((G30),ResponseSLA[Priority],0))+1,3)),"YES","No")</f>
        <v>YES</v>
      </c>
      <c r="AI30" s="81" t="str">
        <f ca="1">_xlfn.IFNA(IF(AE30 &lt; (INDEX(SLATable[Minimum SLA],MATCH(G30,SLATable[Priority],0))),"YES","NO"),"")</f>
        <v>YES</v>
      </c>
      <c r="AJ30" s="19" t="str">
        <f ca="1">_xlfn.IFNA(IF(AE30 &lt; (INDEX(SLATable[Maximum SLA],MATCH(G30,SLATable[Priority],0))),"YES","NO"),"")</f>
        <v>YES</v>
      </c>
    </row>
    <row r="31" spans="1:36" ht="15" customHeight="1">
      <c r="A31" s="78">
        <v>30</v>
      </c>
      <c r="B31" s="78" t="s">
        <v>26</v>
      </c>
      <c r="C31" s="78" t="s">
        <v>29</v>
      </c>
      <c r="D31" s="78" t="s">
        <v>207</v>
      </c>
      <c r="E31" s="78" t="s">
        <v>436</v>
      </c>
      <c r="F31" s="78" t="s">
        <v>264</v>
      </c>
      <c r="G31" s="78">
        <v>4</v>
      </c>
      <c r="H31" s="86" t="s">
        <v>437</v>
      </c>
      <c r="I31" s="78" t="s">
        <v>271</v>
      </c>
      <c r="J31" s="86" t="s">
        <v>369</v>
      </c>
      <c r="K31" s="277">
        <v>46154.424583333333</v>
      </c>
      <c r="L31" s="277">
        <v>46154.427546296298</v>
      </c>
      <c r="M31" s="277">
        <v>46154.42869212963</v>
      </c>
      <c r="N31" s="277">
        <v>46173.256168981483</v>
      </c>
      <c r="O31" s="80">
        <v>46155.567037037035</v>
      </c>
      <c r="P31" s="80">
        <v>46169.25712962963</v>
      </c>
      <c r="Q31" s="78" t="s">
        <v>370</v>
      </c>
      <c r="R31" s="78" t="s">
        <v>267</v>
      </c>
      <c r="S31" s="78"/>
      <c r="T31" s="78"/>
      <c r="U31" s="78" t="s">
        <v>371</v>
      </c>
      <c r="V31" s="78"/>
      <c r="W31" s="78"/>
      <c r="X31" s="78"/>
      <c r="Y31" s="78"/>
      <c r="Z31" s="167">
        <f t="shared" ca="1" si="0"/>
        <v>1.2674537037019036</v>
      </c>
      <c r="AA31" s="168">
        <f t="shared" ca="1" si="1"/>
        <v>3.3798765432050764</v>
      </c>
      <c r="AB31" s="167">
        <f t="shared" ca="1" si="2"/>
        <v>1.2644907407375285</v>
      </c>
      <c r="AC31" s="168">
        <f t="shared" ca="1" si="3"/>
        <v>3.3719753086334094</v>
      </c>
      <c r="AD31" s="191">
        <f t="shared" ca="1" si="4"/>
        <v>1.1458333319751546E-3</v>
      </c>
      <c r="AE31" s="167">
        <f t="shared" ca="1" si="5"/>
        <v>1.2644907407375285</v>
      </c>
      <c r="AF31" s="168">
        <f t="shared" ca="1" si="6"/>
        <v>3.3719753086334094</v>
      </c>
      <c r="AG31" s="168">
        <f t="shared" ca="1" si="7"/>
        <v>3.3719753086334094</v>
      </c>
      <c r="AH31" s="81" t="str" cm="1">
        <f t="array" aca="1" ref="AH31" ca="1">IF((AD31) &lt; (INDEX(ResponseSLA[#All],(MATCH((G31),ResponseSLA[Priority],0))+1,3)),"YES","No")</f>
        <v>YES</v>
      </c>
      <c r="AI31" s="81" t="str">
        <f ca="1">_xlfn.IFNA(IF(AE31 &lt; (INDEX(SLATable[Minimum SLA],MATCH(G31,SLATable[Priority],0))),"YES","NO"),"")</f>
        <v>YES</v>
      </c>
      <c r="AJ31" s="19" t="str">
        <f ca="1">_xlfn.IFNA(IF(AE31 &lt; (INDEX(SLATable[Maximum SLA],MATCH(G31,SLATable[Priority],0))),"YES","NO"),"")</f>
        <v>YES</v>
      </c>
    </row>
    <row r="32" spans="1:36" ht="15" customHeight="1">
      <c r="A32" s="78">
        <v>31</v>
      </c>
      <c r="B32" s="78" t="s">
        <v>26</v>
      </c>
      <c r="C32" s="78" t="s">
        <v>29</v>
      </c>
      <c r="D32" s="78" t="s">
        <v>207</v>
      </c>
      <c r="E32" s="78" t="s">
        <v>438</v>
      </c>
      <c r="F32" s="78" t="s">
        <v>264</v>
      </c>
      <c r="G32" s="78">
        <v>4</v>
      </c>
      <c r="H32" s="86" t="s">
        <v>439</v>
      </c>
      <c r="I32" s="78" t="s">
        <v>271</v>
      </c>
      <c r="J32" s="86" t="s">
        <v>369</v>
      </c>
      <c r="K32" s="277">
        <v>46157.026956018519</v>
      </c>
      <c r="L32" s="277">
        <v>46157.027048611111</v>
      </c>
      <c r="M32" s="277">
        <v>46157.230300925927</v>
      </c>
      <c r="N32" s="277">
        <v>46163.484155092592</v>
      </c>
      <c r="O32" s="80"/>
      <c r="P32" s="80"/>
      <c r="Q32" s="78" t="s">
        <v>370</v>
      </c>
      <c r="R32" s="78" t="s">
        <v>267</v>
      </c>
      <c r="S32" s="78"/>
      <c r="T32" s="78"/>
      <c r="U32" s="78" t="s">
        <v>371</v>
      </c>
      <c r="V32" s="78"/>
      <c r="W32" s="78"/>
      <c r="X32" s="78"/>
      <c r="Y32" s="78"/>
      <c r="Z32" s="167">
        <f t="shared" ca="1" si="0"/>
        <v>1.6508217592587853</v>
      </c>
      <c r="AA32" s="168">
        <f t="shared" ca="1" si="1"/>
        <v>4.4021913580234271</v>
      </c>
      <c r="AB32" s="167">
        <f t="shared" ca="1" si="2"/>
        <v>1.6508217592587853</v>
      </c>
      <c r="AC32" s="168">
        <f t="shared" ca="1" si="3"/>
        <v>4.4021913580234271</v>
      </c>
      <c r="AD32" s="191">
        <f t="shared" ca="1" si="4"/>
        <v>0</v>
      </c>
      <c r="AE32" s="167">
        <f t="shared" ca="1" si="5"/>
        <v>1.6508217592587853</v>
      </c>
      <c r="AF32" s="168">
        <f t="shared" ca="1" si="6"/>
        <v>4.4021913580234271</v>
      </c>
      <c r="AG32" s="168">
        <f t="shared" ca="1" si="7"/>
        <v>4.4021913580234271</v>
      </c>
      <c r="AH32" s="81" t="str" cm="1">
        <f t="array" aca="1" ref="AH32" ca="1">IF((AD32) &lt; (INDEX(ResponseSLA[#All],(MATCH((G32),ResponseSLA[Priority],0))+1,3)),"YES","No")</f>
        <v>YES</v>
      </c>
      <c r="AI32" s="81" t="str">
        <f ca="1">_xlfn.IFNA(IF(AE32 &lt; (INDEX(SLATable[Minimum SLA],MATCH(G32,SLATable[Priority],0))),"YES","NO"),"")</f>
        <v>YES</v>
      </c>
      <c r="AJ32" s="19" t="str">
        <f ca="1">_xlfn.IFNA(IF(AE32 &lt; (INDEX(SLATable[Maximum SLA],MATCH(G32,SLATable[Priority],0))),"YES","NO"),"")</f>
        <v>YES</v>
      </c>
    </row>
    <row r="33" spans="1:36" ht="15" customHeight="1">
      <c r="A33" s="78">
        <v>32</v>
      </c>
      <c r="B33" s="78" t="s">
        <v>26</v>
      </c>
      <c r="C33" s="78" t="s">
        <v>29</v>
      </c>
      <c r="D33" s="78" t="s">
        <v>208</v>
      </c>
      <c r="E33" s="79" t="s">
        <v>440</v>
      </c>
      <c r="F33" s="79" t="s">
        <v>264</v>
      </c>
      <c r="G33" s="78" t="s">
        <v>208</v>
      </c>
      <c r="H33" s="79" t="s">
        <v>441</v>
      </c>
      <c r="I33" s="78" t="s">
        <v>271</v>
      </c>
      <c r="J33" s="79" t="s">
        <v>377</v>
      </c>
      <c r="K33" s="284">
        <v>46160.582094907404</v>
      </c>
      <c r="L33" s="277">
        <v>46160.586296296293</v>
      </c>
      <c r="M33" s="277">
        <v>46160.590127314812</v>
      </c>
      <c r="N33" s="284">
        <v>46169.380949074075</v>
      </c>
      <c r="O33" s="80">
        <v>46162.385891203703</v>
      </c>
      <c r="P33" s="80">
        <v>46169.339780092596</v>
      </c>
      <c r="Q33" s="78" t="s">
        <v>370</v>
      </c>
      <c r="R33" s="78" t="s">
        <v>267</v>
      </c>
      <c r="S33" s="78"/>
      <c r="T33" s="78"/>
      <c r="U33" s="78" t="s">
        <v>371</v>
      </c>
      <c r="V33" s="78"/>
      <c r="W33" s="78"/>
      <c r="X33" s="78"/>
      <c r="Y33" s="78"/>
      <c r="Z33" s="167">
        <f t="shared" ca="1" si="0"/>
        <v>0.59496527777810138</v>
      </c>
      <c r="AA33" s="168">
        <f t="shared" ca="1" si="1"/>
        <v>1.586574074074937</v>
      </c>
      <c r="AB33" s="167">
        <f t="shared" ca="1" si="2"/>
        <v>0.59076388888934184</v>
      </c>
      <c r="AC33" s="168">
        <f t="shared" ca="1" si="3"/>
        <v>1.5753703703715782</v>
      </c>
      <c r="AD33" s="191">
        <f t="shared" ca="1" si="4"/>
        <v>3.8310185191221535E-3</v>
      </c>
      <c r="AE33" s="167">
        <f t="shared" ca="1" si="5"/>
        <v>0.59076388888934184</v>
      </c>
      <c r="AF33" s="168">
        <f t="shared" ca="1" si="6"/>
        <v>1.5753703703715782</v>
      </c>
      <c r="AG33" s="168">
        <f t="shared" ca="1" si="7"/>
        <v>1.5753703703715782</v>
      </c>
      <c r="AH33" s="81" t="str" cm="1">
        <f t="array" aca="1" ref="AH33" ca="1">IF((AD33) &lt; (INDEX(ResponseSLA[#All],(MATCH((G33),ResponseSLA[Priority],0))+1,3)),"YES","No")</f>
        <v>YES</v>
      </c>
      <c r="AI33" s="81" t="str">
        <f ca="1">_xlfn.IFNA(IF(AE33 &lt; (INDEX(SLATable[Minimum SLA],MATCH(G33,SLATable[Priority],0))),"YES","NO"),"")</f>
        <v>YES</v>
      </c>
      <c r="AJ33" s="19" t="str">
        <f ca="1">_xlfn.IFNA(IF(AE33 &lt; (INDEX(SLATable[Maximum SLA],MATCH(G33,SLATable[Priority],0))),"YES","NO"),"")</f>
        <v>YES</v>
      </c>
    </row>
    <row r="34" spans="1:36" ht="15" customHeight="1">
      <c r="A34" s="78">
        <v>33</v>
      </c>
      <c r="B34" s="78" t="s">
        <v>26</v>
      </c>
      <c r="C34" s="78" t="s">
        <v>29</v>
      </c>
      <c r="D34" s="78" t="s">
        <v>207</v>
      </c>
      <c r="E34" s="78" t="s">
        <v>442</v>
      </c>
      <c r="F34" s="78" t="s">
        <v>269</v>
      </c>
      <c r="G34" s="78">
        <v>4</v>
      </c>
      <c r="H34" s="86" t="s">
        <v>443</v>
      </c>
      <c r="I34" s="78" t="s">
        <v>271</v>
      </c>
      <c r="J34" s="86" t="s">
        <v>369</v>
      </c>
      <c r="K34" s="277">
        <v>46160.704710648148</v>
      </c>
      <c r="L34" s="277">
        <v>46160.704814814817</v>
      </c>
      <c r="M34" s="277">
        <v>46161.223553240743</v>
      </c>
      <c r="N34" s="277">
        <v>46161.791828703703</v>
      </c>
      <c r="O34" s="80"/>
      <c r="P34" s="80"/>
      <c r="Q34" s="78" t="s">
        <v>370</v>
      </c>
      <c r="R34" s="78" t="s">
        <v>267</v>
      </c>
      <c r="S34" s="78"/>
      <c r="T34" s="78"/>
      <c r="U34" s="78" t="s">
        <v>371</v>
      </c>
      <c r="V34" s="78"/>
      <c r="W34" s="78"/>
      <c r="X34" s="78"/>
      <c r="Y34" s="78"/>
      <c r="Z34" s="167">
        <f t="shared" ref="Z34:Z65" ca="1" si="8">IF(NOT(OR(G34=1,G34=2)),MAX(0,_xlfn.IFS(AND(K34&lt;&gt;"",N34&lt;&gt;""),((MAX(NETWORKDAYS(K34,N34,UKBankHolidays)-1,0))*(TIME(17,0,0)-TIME(8,0,0))+IF(NETWORKDAYS(N34,N34,UKBankHolidays)&gt;0,MEDIAN(TIME(8,0,0),MOD(N34,1),TIME(17,0,0)),TIME(8,0,0))-IF(NETWORKDAYS(K34,K34,UKBankHolidays)&gt;0,MEDIAN(TIME(8,0,0),MOD(K34,1),TIME(17,0,0)),TIME(8,0,0)))-IF(AND(O34&lt;&gt;"",P34&lt;&gt;""),((MAX(NETWORKDAYS(O34,P34,UKBankHolidays)-1,0))*(TIME(17,0,0)-TIME(8,0,0))+IF(NETWORKDAYS(P34,P34,UKBankHolidays)&gt;0,MEDIAN(TIME(8,0,0),MOD(P34,1),TIME(17,0,0)),TIME(8,0,0))-IF(NETWORKDAYS(O34,O34,UKBankHolidays)&gt;0,MEDIAN(TIME(8,0,0),MOD(O34,1),TIME(17,0,0)),TIME(8,0,0))),0),AND(K34&lt;&gt;"",N34=""),((MAX(NETWORKDAYS(K34,NOW(),UKBankHolidays)-1,0))*(TIME(17,0,0)-TIME(8,0,0))+IF(NETWORKDAYS(NOW(),NOW(),UKBankHolidays)&gt;0,MEDIAN(TIME(8,0,0),MOD(NOW(),1),TIME(17,0,0)),TIME(8,0,0))-IF(NETWORKDAYS(K34,K34,UKBankHolidays)&gt;0,MEDIAN(TIME(8,0,0),MOD(K34,1),TIME(17,0,0)),TIME(8,0,0))))),IF(N34="",NOW()-K34,N34-K34))</f>
        <v>0.37862268518559494</v>
      </c>
      <c r="AA34" s="168">
        <f t="shared" ca="1" si="1"/>
        <v>1.0096604938282532</v>
      </c>
      <c r="AB34" s="167">
        <f t="shared" ref="AB34:AB65" ca="1" si="9">IF(NOT(OR(G34=1,G34=2)),MAX(0,_xlfn.IFS(AND(K34&lt;&gt;"",N34&lt;&gt;""),(((MAX(NETWORKDAYS(L34,N34,UKBankHolidays)-1,0))*(TIME(17,0,0)-TIME(8,0,0)))+IF(NETWORKDAYS(N34,N34,UKBankHolidays)&gt;0,MEDIAN(TIME(8,0,0),MOD(N34,1),TIME(17,0,0)),TIME(8,0,0))-IF(NETWORKDAYS(L34,L34,UKBankHolidays)&gt;0,MEDIAN(TIME(8,0,0),MOD(L34,1),TIME(17,0,0)),TIME(8,0,0)))-IF(AND(O34&lt;&gt;"",P34&lt;&gt;""),(((MAX(NETWORKDAYS(O34,P34,UKBankHolidays)-1,0))*(TIME(17,0,0)-TIME(8,0,0)))+IF(NETWORKDAYS(P34,P34,UKBankHolidays)&gt;0,MEDIAN(TIME(8,0,0),MOD(P34,1),TIME(17,0,0)),TIME(8,0,0))-IF(NETWORKDAYS(O34,O34,UKBankHolidays)&gt;0,MEDIAN(TIME(8,0,0),MOD(O34,1),TIME(17,0,0)),TIME(8,0,0))),0),AND(L34&lt;&gt;"",N34="",O34=""),(((MAX(NETWORKDAYS(L34,NOW(),UKBankHolidays)-1,0))*(TIME(17,0,0)-TIME(8,0,0)))+IF(NETWORKDAYS(NOW(),NOW(),UKBankHolidays)&gt;0,MEDIAN(TIME(8,0,0),MOD(NOW(),1),TIME(17,0,0)),TIME(8,0,0))-IF(NETWORKDAYS(L34,L34,UKBankHolidays)&gt;0,MEDIAN(TIME(8,0,0),MOD(L34,1),TIME(17,0,0)),TIME(8,0,0)))-IF(AND(O34&lt;&gt;"",P34&lt;&gt;""),(((MAX(NETWORKDAYS(O34,P34,UKBankHolidays)-1,0))*(TIME(17,0,0)-TIME(8,0,0)))+IF(NETWORKDAYS(P34,P34,UKBankHolidays)&gt;0,MEDIAN(TIME(8,0,0),MOD(P34,1),TIME(17,0,0)),TIME(8,0,0))-IF(NETWORKDAYS(O34,O34,UKBankHolidays)&gt;0,MEDIAN(TIME(8,0,0),MOD(O34,1),TIME(17,0,0)),TIME(8,0,0))),0),AND(L34&lt;&gt;"",N34="",P34="",O34&lt;&gt;""),(((MAX(NETWORKDAYS(L34,O34,UKBankHolidays)-1,0))*(TIME(17,0,0)-TIME(8,0,0)))+IF(NETWORKDAYS(O34,O34,UKBankHolidays)&gt;0,MEDIAN(TIME(8,0,0),MOD(O34,1),TIME(17,0,0)),TIME(8,0,0))-IF(NETWORKDAYS(L34,L34,UKBankHolidays)&gt;0,MEDIAN(TIME(8,0,0),MOD(L34,1),TIME(17,0,0)),TIME(8,0,0))),ISBLANK(K34),"0")),IF(ISBLANK(N34),NOW()-L34,N34-L34))</f>
        <v>0.37851851851640594</v>
      </c>
      <c r="AC34" s="168">
        <f t="shared" ca="1" si="3"/>
        <v>1.0093827160437492</v>
      </c>
      <c r="AD34" s="191">
        <f t="shared" ca="1" si="4"/>
        <v>3.518518516405833E-3</v>
      </c>
      <c r="AE34" s="167">
        <f t="shared" ca="1" si="5"/>
        <v>0.37851851851640594</v>
      </c>
      <c r="AF34" s="168">
        <f t="shared" ca="1" si="6"/>
        <v>1.0093827160437492</v>
      </c>
      <c r="AG34" s="168">
        <f t="shared" ca="1" si="7"/>
        <v>1.0093827160437492</v>
      </c>
      <c r="AH34" s="81" t="str" cm="1">
        <f t="array" aca="1" ref="AH34" ca="1">IF((AD34) &lt; (INDEX(ResponseSLA[#All],(MATCH((G34),ResponseSLA[Priority],0))+1,3)),"YES","No")</f>
        <v>YES</v>
      </c>
      <c r="AI34" s="81" t="str">
        <f ca="1">_xlfn.IFNA(IF(AE34 &lt; (INDEX(SLATable[Minimum SLA],MATCH(G34,SLATable[Priority],0))),"YES","NO"),"")</f>
        <v>YES</v>
      </c>
      <c r="AJ34" s="19" t="str">
        <f ca="1">_xlfn.IFNA(IF(AE34 &lt; (INDEX(SLATable[Maximum SLA],MATCH(G34,SLATable[Priority],0))),"YES","NO"),"")</f>
        <v>YES</v>
      </c>
    </row>
    <row r="35" spans="1:36" ht="15" customHeight="1">
      <c r="A35" s="78">
        <v>34</v>
      </c>
      <c r="B35" s="78" t="s">
        <v>26</v>
      </c>
      <c r="C35" s="78" t="s">
        <v>29</v>
      </c>
      <c r="D35" s="78" t="s">
        <v>208</v>
      </c>
      <c r="E35" s="79" t="s">
        <v>444</v>
      </c>
      <c r="F35" s="79" t="s">
        <v>264</v>
      </c>
      <c r="G35" s="78" t="s">
        <v>208</v>
      </c>
      <c r="H35" s="79" t="s">
        <v>445</v>
      </c>
      <c r="I35" s="78" t="s">
        <v>271</v>
      </c>
      <c r="J35" s="79" t="s">
        <v>377</v>
      </c>
      <c r="K35" s="284">
        <v>46161.381122685183</v>
      </c>
      <c r="L35" s="277">
        <v>46161.388807870368</v>
      </c>
      <c r="M35" s="277">
        <v>46161.388807870368</v>
      </c>
      <c r="N35" s="284">
        <v>46176.408888888887</v>
      </c>
      <c r="O35" s="80">
        <v>46161.407708333332</v>
      </c>
      <c r="P35" s="80"/>
      <c r="Q35" s="78" t="s">
        <v>370</v>
      </c>
      <c r="R35" s="78" t="s">
        <v>267</v>
      </c>
      <c r="S35" s="78"/>
      <c r="T35" s="78"/>
      <c r="U35" s="78" t="s">
        <v>371</v>
      </c>
      <c r="V35" s="78"/>
      <c r="W35" s="78"/>
      <c r="X35" s="78"/>
      <c r="Y35" s="78"/>
      <c r="Z35" s="167">
        <f t="shared" ca="1" si="8"/>
        <v>3.7777662037042319</v>
      </c>
      <c r="AA35" s="168">
        <f t="shared" ca="1" si="1"/>
        <v>10.074043209877951</v>
      </c>
      <c r="AB35" s="167">
        <f t="shared" ca="1" si="9"/>
        <v>3.7700810185197042</v>
      </c>
      <c r="AC35" s="168">
        <f t="shared" ca="1" si="3"/>
        <v>10.053549382719211</v>
      </c>
      <c r="AD35" s="191">
        <f t="shared" ca="1" si="4"/>
        <v>0</v>
      </c>
      <c r="AE35" s="167">
        <f t="shared" ca="1" si="5"/>
        <v>3.7700810185197042</v>
      </c>
      <c r="AF35" s="168">
        <f t="shared" ca="1" si="6"/>
        <v>10.053549382719211</v>
      </c>
      <c r="AG35" s="168">
        <f t="shared" ca="1" si="7"/>
        <v>10.053549382719211</v>
      </c>
      <c r="AH35" s="81" t="str" cm="1">
        <f t="array" aca="1" ref="AH35" ca="1">IF((AD35) &lt; (INDEX(ResponseSLA[#All],(MATCH((G35),ResponseSLA[Priority],0))+1,3)),"YES","No")</f>
        <v>YES</v>
      </c>
      <c r="AI35" s="81" t="str">
        <f ca="1">_xlfn.IFNA(IF(AE35 &lt; (INDEX(SLATable[Minimum SLA],MATCH(G35,SLATable[Priority],0))),"YES","NO"),"")</f>
        <v>NO</v>
      </c>
      <c r="AJ35" s="19" t="str">
        <f ca="1">_xlfn.IFNA(IF(AE35 &lt; (INDEX(SLATable[Maximum SLA],MATCH(G35,SLATable[Priority],0))),"YES","NO"),"")</f>
        <v>NO</v>
      </c>
    </row>
    <row r="36" spans="1:36" ht="15" customHeight="1">
      <c r="A36" s="78">
        <v>35</v>
      </c>
      <c r="B36" s="78" t="s">
        <v>26</v>
      </c>
      <c r="C36" s="78" t="s">
        <v>29</v>
      </c>
      <c r="D36" s="78" t="s">
        <v>208</v>
      </c>
      <c r="E36" s="79" t="s">
        <v>446</v>
      </c>
      <c r="F36" s="79" t="s">
        <v>264</v>
      </c>
      <c r="G36" s="78" t="s">
        <v>208</v>
      </c>
      <c r="H36" s="79" t="s">
        <v>447</v>
      </c>
      <c r="I36" s="78" t="s">
        <v>271</v>
      </c>
      <c r="J36" s="79" t="s">
        <v>377</v>
      </c>
      <c r="K36" s="284">
        <v>46161.494837962964</v>
      </c>
      <c r="L36" s="277">
        <v>46161.49722222222</v>
      </c>
      <c r="M36" s="277">
        <v>46161.50136574074</v>
      </c>
      <c r="N36" s="284">
        <v>46162.238865740743</v>
      </c>
      <c r="O36" s="80"/>
      <c r="P36" s="80"/>
      <c r="Q36" s="78" t="s">
        <v>370</v>
      </c>
      <c r="R36" s="78" t="s">
        <v>267</v>
      </c>
      <c r="S36" s="78"/>
      <c r="T36" s="78"/>
      <c r="U36" s="78" t="s">
        <v>371</v>
      </c>
      <c r="V36" s="78"/>
      <c r="W36" s="78"/>
      <c r="X36" s="78"/>
      <c r="Y36" s="78"/>
      <c r="Z36" s="167">
        <f t="shared" ca="1" si="8"/>
        <v>0.21349537036924937</v>
      </c>
      <c r="AA36" s="168">
        <f t="shared" ca="1" si="1"/>
        <v>0.56932098765133166</v>
      </c>
      <c r="AB36" s="167">
        <f t="shared" ca="1" si="9"/>
        <v>0.21111111111288972</v>
      </c>
      <c r="AC36" s="168">
        <f t="shared" ca="1" si="3"/>
        <v>0.56296296296770587</v>
      </c>
      <c r="AD36" s="191">
        <f t="shared" ca="1" si="4"/>
        <v>4.1435185194131918E-3</v>
      </c>
      <c r="AE36" s="167">
        <f t="shared" ca="1" si="5"/>
        <v>0.21111111111288972</v>
      </c>
      <c r="AF36" s="168">
        <f t="shared" ca="1" si="6"/>
        <v>0.56296296296770587</v>
      </c>
      <c r="AG36" s="168">
        <f t="shared" ca="1" si="7"/>
        <v>0.56296296296770587</v>
      </c>
      <c r="AH36" s="81" t="str" cm="1">
        <f t="array" aca="1" ref="AH36" ca="1">IF((AD36) &lt; (INDEX(ResponseSLA[#All],(MATCH((G36),ResponseSLA[Priority],0))+1,3)),"YES","No")</f>
        <v>YES</v>
      </c>
      <c r="AI36" s="81" t="str">
        <f ca="1">_xlfn.IFNA(IF(AE36 &lt; (INDEX(SLATable[Minimum SLA],MATCH(G36,SLATable[Priority],0))),"YES","NO"),"")</f>
        <v>YES</v>
      </c>
      <c r="AJ36" s="19" t="str">
        <f ca="1">_xlfn.IFNA(IF(AE36 &lt; (INDEX(SLATable[Maximum SLA],MATCH(G36,SLATable[Priority],0))),"YES","NO"),"")</f>
        <v>YES</v>
      </c>
    </row>
    <row r="37" spans="1:36" ht="15" customHeight="1">
      <c r="A37" s="78">
        <v>36</v>
      </c>
      <c r="B37" s="78" t="s">
        <v>26</v>
      </c>
      <c r="C37" s="78" t="s">
        <v>29</v>
      </c>
      <c r="D37" s="78" t="s">
        <v>208</v>
      </c>
      <c r="E37" s="79" t="s">
        <v>448</v>
      </c>
      <c r="F37" s="79" t="s">
        <v>264</v>
      </c>
      <c r="G37" s="78" t="s">
        <v>208</v>
      </c>
      <c r="H37" s="79" t="s">
        <v>449</v>
      </c>
      <c r="I37" s="78" t="s">
        <v>271</v>
      </c>
      <c r="J37" s="79" t="s">
        <v>377</v>
      </c>
      <c r="K37" s="284">
        <v>46162.331990740742</v>
      </c>
      <c r="L37" s="277">
        <v>46162.37945601852</v>
      </c>
      <c r="M37" s="277">
        <v>46162.38045138889</v>
      </c>
      <c r="N37" s="284">
        <v>46163.240937499999</v>
      </c>
      <c r="O37" s="80"/>
      <c r="P37" s="80"/>
      <c r="Q37" s="78" t="s">
        <v>370</v>
      </c>
      <c r="R37" s="78" t="s">
        <v>267</v>
      </c>
      <c r="S37" s="78"/>
      <c r="T37" s="78"/>
      <c r="U37" s="78" t="s">
        <v>371</v>
      </c>
      <c r="V37" s="78"/>
      <c r="W37" s="78"/>
      <c r="X37" s="78"/>
      <c r="Y37" s="78"/>
      <c r="Z37" s="167">
        <f t="shared" ca="1" si="8"/>
        <v>0.37500000000000006</v>
      </c>
      <c r="AA37" s="168">
        <f t="shared" ca="1" si="1"/>
        <v>1.0000000000000002</v>
      </c>
      <c r="AB37" s="167">
        <f t="shared" ca="1" si="9"/>
        <v>0.32887731481362914</v>
      </c>
      <c r="AC37" s="168">
        <f t="shared" ca="1" si="3"/>
        <v>0.87700617283634441</v>
      </c>
      <c r="AD37" s="191">
        <f t="shared" ca="1" si="4"/>
        <v>9.9537037021946162E-4</v>
      </c>
      <c r="AE37" s="167">
        <f t="shared" ca="1" si="5"/>
        <v>0.32887731481362914</v>
      </c>
      <c r="AF37" s="168">
        <f t="shared" ca="1" si="6"/>
        <v>0.87700617283634441</v>
      </c>
      <c r="AG37" s="168">
        <f t="shared" ca="1" si="7"/>
        <v>0.87700617283634441</v>
      </c>
      <c r="AH37" s="81" t="str" cm="1">
        <f t="array" aca="1" ref="AH37" ca="1">IF((AD37) &lt; (INDEX(ResponseSLA[#All],(MATCH((G37),ResponseSLA[Priority],0))+1,3)),"YES","No")</f>
        <v>YES</v>
      </c>
      <c r="AI37" s="81" t="str">
        <f ca="1">_xlfn.IFNA(IF(AE37 &lt; (INDEX(SLATable[Minimum SLA],MATCH(G37,SLATable[Priority],0))),"YES","NO"),"")</f>
        <v>YES</v>
      </c>
      <c r="AJ37" s="19" t="str">
        <f ca="1">_xlfn.IFNA(IF(AE37 &lt; (INDEX(SLATable[Maximum SLA],MATCH(G37,SLATable[Priority],0))),"YES","NO"),"")</f>
        <v>YES</v>
      </c>
    </row>
    <row r="38" spans="1:36" ht="15" customHeight="1">
      <c r="A38" s="78">
        <v>37</v>
      </c>
      <c r="B38" s="78" t="s">
        <v>26</v>
      </c>
      <c r="C38" s="78" t="s">
        <v>29</v>
      </c>
      <c r="D38" s="78" t="s">
        <v>208</v>
      </c>
      <c r="E38" s="79" t="s">
        <v>450</v>
      </c>
      <c r="F38" s="79" t="s">
        <v>264</v>
      </c>
      <c r="G38" s="78" t="s">
        <v>208</v>
      </c>
      <c r="H38" s="79" t="s">
        <v>451</v>
      </c>
      <c r="I38" s="78" t="s">
        <v>271</v>
      </c>
      <c r="J38" s="79" t="s">
        <v>374</v>
      </c>
      <c r="K38" s="284">
        <v>46162.454386574071</v>
      </c>
      <c r="L38" s="277">
        <v>46163.497499999998</v>
      </c>
      <c r="M38" s="277">
        <v>46163.500844907408</v>
      </c>
      <c r="N38" s="284">
        <v>46163.574884259258</v>
      </c>
      <c r="O38" s="80"/>
      <c r="P38" s="80"/>
      <c r="Q38" s="78" t="s">
        <v>378</v>
      </c>
      <c r="R38" s="78" t="s">
        <v>267</v>
      </c>
      <c r="S38" s="78" t="s">
        <v>179</v>
      </c>
      <c r="T38" s="78"/>
      <c r="U38" s="78" t="s">
        <v>371</v>
      </c>
      <c r="V38" s="78"/>
      <c r="W38" s="78"/>
      <c r="X38" s="78"/>
      <c r="Y38" s="78"/>
      <c r="Z38" s="167">
        <f t="shared" ca="1" si="8"/>
        <v>0.49549768518772908</v>
      </c>
      <c r="AA38" s="168">
        <f t="shared" ca="1" si="1"/>
        <v>1.3213271605006109</v>
      </c>
      <c r="AB38" s="167">
        <f t="shared" ca="1" si="9"/>
        <v>7.738425926072523E-2</v>
      </c>
      <c r="AC38" s="168">
        <f t="shared" ca="1" si="3"/>
        <v>0.20635802469526729</v>
      </c>
      <c r="AD38" s="191">
        <f t="shared" ca="1" si="4"/>
        <v>3.3449074107920751E-3</v>
      </c>
      <c r="AE38" s="167">
        <f t="shared" ca="1" si="5"/>
        <v>7.738425926072523E-2</v>
      </c>
      <c r="AF38" s="168">
        <f t="shared" ca="1" si="6"/>
        <v>0.20635802469526729</v>
      </c>
      <c r="AG38" s="168">
        <f t="shared" ca="1" si="7"/>
        <v>0.20635802469526729</v>
      </c>
      <c r="AH38" s="81" t="str" cm="1">
        <f t="array" aca="1" ref="AH38" ca="1">IF((AD38) &lt; (INDEX(ResponseSLA[#All],(MATCH((G38),ResponseSLA[Priority],0))+1,3)),"YES","No")</f>
        <v>YES</v>
      </c>
      <c r="AI38" s="81" t="str">
        <f ca="1">_xlfn.IFNA(IF(AE38 &lt; (INDEX(SLATable[Minimum SLA],MATCH(G38,SLATable[Priority],0))),"YES","NO"),"")</f>
        <v>YES</v>
      </c>
      <c r="AJ38" s="19" t="str">
        <f ca="1">_xlfn.IFNA(IF(AE38 &lt; (INDEX(SLATable[Maximum SLA],MATCH(G38,SLATable[Priority],0))),"YES","NO"),"")</f>
        <v>YES</v>
      </c>
    </row>
    <row r="39" spans="1:36" ht="15" customHeight="1">
      <c r="A39" s="78">
        <v>38</v>
      </c>
      <c r="B39" s="78" t="s">
        <v>26</v>
      </c>
      <c r="C39" s="78" t="s">
        <v>29</v>
      </c>
      <c r="D39" s="78" t="s">
        <v>207</v>
      </c>
      <c r="E39" s="78" t="s">
        <v>452</v>
      </c>
      <c r="F39" s="78" t="s">
        <v>269</v>
      </c>
      <c r="G39" s="78">
        <v>4</v>
      </c>
      <c r="H39" s="86" t="s">
        <v>453</v>
      </c>
      <c r="I39" s="78" t="s">
        <v>271</v>
      </c>
      <c r="J39" s="86" t="s">
        <v>369</v>
      </c>
      <c r="K39" s="277">
        <v>46162.644178240742</v>
      </c>
      <c r="L39" s="277">
        <v>46162.648877314816</v>
      </c>
      <c r="M39" s="277">
        <v>46162.657210648147</v>
      </c>
      <c r="N39" s="277">
        <v>46163.48773148148</v>
      </c>
      <c r="O39" s="80"/>
      <c r="P39" s="80"/>
      <c r="Q39" s="78" t="s">
        <v>454</v>
      </c>
      <c r="R39" s="78" t="s">
        <v>267</v>
      </c>
      <c r="S39" s="78" t="s">
        <v>199</v>
      </c>
      <c r="T39" s="78"/>
      <c r="U39" s="78" t="s">
        <v>371</v>
      </c>
      <c r="V39" s="78"/>
      <c r="W39" s="78"/>
      <c r="X39" s="78"/>
      <c r="Y39" s="78"/>
      <c r="Z39" s="167">
        <f t="shared" ca="1" si="8"/>
        <v>0.21855324073840166</v>
      </c>
      <c r="AA39" s="168">
        <f t="shared" ca="1" si="1"/>
        <v>0.58280864196907112</v>
      </c>
      <c r="AB39" s="167">
        <f t="shared" ca="1" si="9"/>
        <v>0.21385416666453239</v>
      </c>
      <c r="AC39" s="168">
        <f t="shared" ca="1" si="3"/>
        <v>0.57027777777208633</v>
      </c>
      <c r="AD39" s="191">
        <f t="shared" ca="1" si="4"/>
        <v>8.333333331393078E-3</v>
      </c>
      <c r="AE39" s="167">
        <f t="shared" ca="1" si="5"/>
        <v>0.21385416666453239</v>
      </c>
      <c r="AF39" s="168">
        <f t="shared" ca="1" si="6"/>
        <v>0.57027777777208633</v>
      </c>
      <c r="AG39" s="168">
        <f t="shared" ca="1" si="7"/>
        <v>0.57027777777208633</v>
      </c>
      <c r="AH39" s="81" t="str" cm="1">
        <f t="array" aca="1" ref="AH39" ca="1">IF((AD39) &lt; (INDEX(ResponseSLA[#All],(MATCH((G39),ResponseSLA[Priority],0))+1,3)),"YES","No")</f>
        <v>YES</v>
      </c>
      <c r="AI39" s="81" t="str">
        <f ca="1">_xlfn.IFNA(IF(AE39 &lt; (INDEX(SLATable[Minimum SLA],MATCH(G39,SLATable[Priority],0))),"YES","NO"),"")</f>
        <v>YES</v>
      </c>
      <c r="AJ39" s="19" t="str">
        <f ca="1">_xlfn.IFNA(IF(AE39 &lt; (INDEX(SLATable[Maximum SLA],MATCH(G39,SLATable[Priority],0))),"YES","NO"),"")</f>
        <v>YES</v>
      </c>
    </row>
    <row r="40" spans="1:36" ht="15" customHeight="1">
      <c r="A40" s="78">
        <v>39</v>
      </c>
      <c r="B40" s="78" t="s">
        <v>26</v>
      </c>
      <c r="C40" s="78" t="s">
        <v>29</v>
      </c>
      <c r="D40" s="78" t="s">
        <v>208</v>
      </c>
      <c r="E40" s="79" t="s">
        <v>455</v>
      </c>
      <c r="F40" s="79" t="s">
        <v>264</v>
      </c>
      <c r="G40" s="78" t="s">
        <v>208</v>
      </c>
      <c r="H40" s="79" t="s">
        <v>456</v>
      </c>
      <c r="I40" s="78" t="s">
        <v>271</v>
      </c>
      <c r="J40" s="79" t="s">
        <v>377</v>
      </c>
      <c r="K40" s="284">
        <v>46164.72283564815</v>
      </c>
      <c r="L40" s="277">
        <v>46164.722905092596</v>
      </c>
      <c r="M40" s="277">
        <v>46167.281469907408</v>
      </c>
      <c r="N40" s="284">
        <v>46181.750057870369</v>
      </c>
      <c r="O40" s="80">
        <v>46169.232314814813</v>
      </c>
      <c r="P40" s="80"/>
      <c r="Q40" s="78" t="s">
        <v>370</v>
      </c>
      <c r="R40" s="78" t="s">
        <v>267</v>
      </c>
      <c r="S40" s="78" t="s">
        <v>179</v>
      </c>
      <c r="T40" s="78"/>
      <c r="U40" s="78" t="s">
        <v>371</v>
      </c>
      <c r="V40" s="78"/>
      <c r="W40" s="78"/>
      <c r="X40" s="78"/>
      <c r="Y40" s="78"/>
      <c r="Z40" s="167">
        <f t="shared" ca="1" si="8"/>
        <v>3.7500000000000004</v>
      </c>
      <c r="AA40" s="168">
        <f t="shared" ca="1" si="1"/>
        <v>10.000000000000002</v>
      </c>
      <c r="AB40" s="167">
        <f t="shared" ca="1" si="9"/>
        <v>3.7500000000000004</v>
      </c>
      <c r="AC40" s="168">
        <f t="shared" ca="1" si="3"/>
        <v>10.000000000000002</v>
      </c>
      <c r="AD40" s="191">
        <f t="shared" ca="1" si="4"/>
        <v>0</v>
      </c>
      <c r="AE40" s="167">
        <f t="shared" ca="1" si="5"/>
        <v>3.7500000000000004</v>
      </c>
      <c r="AF40" s="168">
        <f t="shared" ca="1" si="6"/>
        <v>10.000000000000002</v>
      </c>
      <c r="AG40" s="168">
        <f t="shared" ca="1" si="7"/>
        <v>10.000000000000002</v>
      </c>
      <c r="AH40" s="81" t="str" cm="1">
        <f t="array" aca="1" ref="AH40" ca="1">IF((AD40) &lt; (INDEX(ResponseSLA[#All],(MATCH((G40),ResponseSLA[Priority],0))+1,3)),"YES","No")</f>
        <v>YES</v>
      </c>
      <c r="AI40" s="81" t="str">
        <f ca="1">_xlfn.IFNA(IF(AE40 &lt; (INDEX(SLATable[Minimum SLA],MATCH(G40,SLATable[Priority],0))),"YES","NO"),"")</f>
        <v>NO</v>
      </c>
      <c r="AJ40" s="19" t="str">
        <f ca="1">_xlfn.IFNA(IF(AE40 &lt; (INDEX(SLATable[Maximum SLA],MATCH(G40,SLATable[Priority],0))),"YES","NO"),"")</f>
        <v>NO</v>
      </c>
    </row>
    <row r="41" spans="1:36" ht="15" customHeight="1">
      <c r="A41" s="78">
        <v>40</v>
      </c>
      <c r="B41" s="78" t="s">
        <v>26</v>
      </c>
      <c r="C41" s="78" t="s">
        <v>29</v>
      </c>
      <c r="D41" s="78" t="s">
        <v>208</v>
      </c>
      <c r="E41" s="79" t="s">
        <v>457</v>
      </c>
      <c r="F41" s="79" t="s">
        <v>458</v>
      </c>
      <c r="G41" s="78" t="s">
        <v>208</v>
      </c>
      <c r="H41" s="79" t="s">
        <v>459</v>
      </c>
      <c r="I41" s="78" t="s">
        <v>271</v>
      </c>
      <c r="J41" s="79" t="s">
        <v>377</v>
      </c>
      <c r="K41" s="284">
        <v>46167.264479166668</v>
      </c>
      <c r="L41" s="284">
        <v>46167.264479166668</v>
      </c>
      <c r="M41" s="277">
        <v>46167.28466435185</v>
      </c>
      <c r="N41" s="284">
        <v>46167.291076388887</v>
      </c>
      <c r="O41" s="80"/>
      <c r="P41" s="80"/>
      <c r="Q41" s="78" t="s">
        <v>460</v>
      </c>
      <c r="R41" s="78" t="s">
        <v>267</v>
      </c>
      <c r="S41" s="78" t="s">
        <v>183</v>
      </c>
      <c r="T41" s="78"/>
      <c r="U41" s="78" t="s">
        <v>371</v>
      </c>
      <c r="V41" s="78"/>
      <c r="W41" s="78"/>
      <c r="X41" s="78"/>
      <c r="Y41" s="78"/>
      <c r="Z41" s="167">
        <f t="shared" ca="1" si="8"/>
        <v>0</v>
      </c>
      <c r="AA41" s="168">
        <f t="shared" ca="1" si="1"/>
        <v>0</v>
      </c>
      <c r="AB41" s="167">
        <f t="shared" ca="1" si="9"/>
        <v>0</v>
      </c>
      <c r="AC41" s="168">
        <f t="shared" ca="1" si="3"/>
        <v>0</v>
      </c>
      <c r="AD41" s="191">
        <f t="shared" ca="1" si="4"/>
        <v>0</v>
      </c>
      <c r="AE41" s="167">
        <f t="shared" ca="1" si="5"/>
        <v>0</v>
      </c>
      <c r="AF41" s="168">
        <f t="shared" ca="1" si="6"/>
        <v>0</v>
      </c>
      <c r="AG41" s="168">
        <f t="shared" ca="1" si="7"/>
        <v>0</v>
      </c>
      <c r="AH41" s="81" t="str" cm="1">
        <f t="array" aca="1" ref="AH41" ca="1">IF((AD41) &lt; (INDEX(ResponseSLA[#All],(MATCH((G41),ResponseSLA[Priority],0))+1,3)),"YES","No")</f>
        <v>YES</v>
      </c>
      <c r="AI41" s="81" t="str">
        <f ca="1">_xlfn.IFNA(IF(AE41 &lt; (INDEX(SLATable[Minimum SLA],MATCH(G41,SLATable[Priority],0))),"YES","NO"),"")</f>
        <v>YES</v>
      </c>
      <c r="AJ41" s="19" t="str">
        <f ca="1">_xlfn.IFNA(IF(AE41 &lt; (INDEX(SLATable[Maximum SLA],MATCH(G41,SLATable[Priority],0))),"YES","NO"),"")</f>
        <v>YES</v>
      </c>
    </row>
    <row r="42" spans="1:36" ht="15" customHeight="1">
      <c r="A42" s="78">
        <v>41</v>
      </c>
      <c r="B42" s="78" t="s">
        <v>26</v>
      </c>
      <c r="C42" s="78" t="s">
        <v>33</v>
      </c>
      <c r="D42" s="78" t="s">
        <v>208</v>
      </c>
      <c r="E42" s="85" t="s">
        <v>461</v>
      </c>
      <c r="F42" s="78" t="s">
        <v>274</v>
      </c>
      <c r="G42" s="78" t="s">
        <v>208</v>
      </c>
      <c r="H42" s="79" t="s">
        <v>462</v>
      </c>
      <c r="I42" s="78" t="s">
        <v>271</v>
      </c>
      <c r="J42" s="86" t="s">
        <v>463</v>
      </c>
      <c r="K42" s="279">
        <v>46154.234027777777</v>
      </c>
      <c r="L42" s="278">
        <v>46154.243055555555</v>
      </c>
      <c r="M42" s="278">
        <v>46154.243055555555</v>
      </c>
      <c r="N42" s="279">
        <v>46155.34375</v>
      </c>
      <c r="O42" s="80"/>
      <c r="P42" s="80"/>
      <c r="Q42" s="78" t="s">
        <v>464</v>
      </c>
      <c r="R42" s="78"/>
      <c r="S42" s="78"/>
      <c r="T42" s="78"/>
      <c r="U42" s="78" t="s">
        <v>371</v>
      </c>
      <c r="V42" s="78"/>
      <c r="W42" s="78"/>
      <c r="X42" s="78"/>
      <c r="Y42" s="78"/>
      <c r="Z42" s="167">
        <f t="shared" ca="1" si="8"/>
        <v>0.38541666666666669</v>
      </c>
      <c r="AA42" s="168">
        <f t="shared" ca="1" si="1"/>
        <v>1.0277777777777777</v>
      </c>
      <c r="AB42" s="167">
        <f t="shared" ca="1" si="9"/>
        <v>0.38541666666666669</v>
      </c>
      <c r="AC42" s="168">
        <f t="shared" ca="1" si="3"/>
        <v>1.0277777777777777</v>
      </c>
      <c r="AD42" s="191">
        <f t="shared" ca="1" si="4"/>
        <v>0</v>
      </c>
      <c r="AE42" s="167">
        <f t="shared" ca="1" si="5"/>
        <v>0.38541666666666669</v>
      </c>
      <c r="AF42" s="168">
        <f t="shared" ca="1" si="6"/>
        <v>1.0277777777777777</v>
      </c>
      <c r="AG42" s="168">
        <f t="shared" ca="1" si="7"/>
        <v>1.0277777777777777</v>
      </c>
      <c r="AH42" s="81" t="str" cm="1">
        <f t="array" aca="1" ref="AH42" ca="1">IF((AD42) &lt; (INDEX(ResponseSLA[#All],(MATCH((G42),ResponseSLA[Priority],0))+1,3)),"YES","No")</f>
        <v>YES</v>
      </c>
      <c r="AI42" s="81" t="str">
        <f ca="1">_xlfn.IFNA(IF(AE42 &lt; (INDEX(SLATable[Minimum SLA],MATCH(G42,SLATable[Priority],0))),"YES","NO"),"")</f>
        <v>YES</v>
      </c>
      <c r="AJ42" s="19" t="str">
        <f ca="1">_xlfn.IFNA(IF(AE42 &lt; (INDEX(SLATable[Maximum SLA],MATCH(G42,SLATable[Priority],0))),"YES","NO"),"")</f>
        <v>YES</v>
      </c>
    </row>
    <row r="43" spans="1:36" ht="15" customHeight="1">
      <c r="A43" s="78">
        <v>42</v>
      </c>
      <c r="B43" s="78" t="s">
        <v>26</v>
      </c>
      <c r="C43" s="78" t="s">
        <v>33</v>
      </c>
      <c r="D43" s="78" t="s">
        <v>208</v>
      </c>
      <c r="E43" s="85" t="s">
        <v>465</v>
      </c>
      <c r="F43" s="78" t="s">
        <v>274</v>
      </c>
      <c r="G43" s="78" t="s">
        <v>208</v>
      </c>
      <c r="H43" s="79" t="s">
        <v>466</v>
      </c>
      <c r="I43" s="78" t="s">
        <v>271</v>
      </c>
      <c r="J43" s="86" t="s">
        <v>467</v>
      </c>
      <c r="K43" s="279">
        <v>46156.484722222223</v>
      </c>
      <c r="L43" s="278">
        <v>46156.493055555555</v>
      </c>
      <c r="M43" s="278">
        <v>46156.493055555555</v>
      </c>
      <c r="N43" s="279">
        <v>46157.285416666666</v>
      </c>
      <c r="O43" s="80"/>
      <c r="P43" s="80"/>
      <c r="Q43" s="78"/>
      <c r="R43" s="78"/>
      <c r="S43" s="78"/>
      <c r="T43" s="78"/>
      <c r="U43" s="78" t="s">
        <v>371</v>
      </c>
      <c r="V43" s="78"/>
      <c r="W43" s="78"/>
      <c r="X43" s="78"/>
      <c r="Y43" s="78"/>
      <c r="Z43" s="167">
        <f t="shared" ca="1" si="8"/>
        <v>0.22361111110997933</v>
      </c>
      <c r="AA43" s="168">
        <f t="shared" ca="1" si="1"/>
        <v>0.59629629629327818</v>
      </c>
      <c r="AB43" s="167">
        <f t="shared" ca="1" si="9"/>
        <v>0.21527777777858625</v>
      </c>
      <c r="AC43" s="168">
        <f t="shared" ca="1" si="3"/>
        <v>0.57407407407623001</v>
      </c>
      <c r="AD43" s="191">
        <f t="shared" ca="1" si="4"/>
        <v>0</v>
      </c>
      <c r="AE43" s="167">
        <f t="shared" ca="1" si="5"/>
        <v>0.21527777777858625</v>
      </c>
      <c r="AF43" s="168">
        <f t="shared" ca="1" si="6"/>
        <v>0.57407407407623001</v>
      </c>
      <c r="AG43" s="168">
        <f t="shared" ca="1" si="7"/>
        <v>0.57407407407623001</v>
      </c>
      <c r="AH43" s="81" t="str" cm="1">
        <f t="array" aca="1" ref="AH43" ca="1">IF((AD43) &lt; (INDEX(ResponseSLA[#All],(MATCH((G43),ResponseSLA[Priority],0))+1,3)),"YES","No")</f>
        <v>YES</v>
      </c>
      <c r="AI43" s="81" t="str">
        <f ca="1">_xlfn.IFNA(IF(AE43 &lt; (INDEX(SLATable[Minimum SLA],MATCH(G43,SLATable[Priority],0))),"YES","NO"),"")</f>
        <v>YES</v>
      </c>
      <c r="AJ43" s="19" t="str">
        <f ca="1">_xlfn.IFNA(IF(AE43 &lt; (INDEX(SLATable[Maximum SLA],MATCH(G43,SLATable[Priority],0))),"YES","NO"),"")</f>
        <v>YES</v>
      </c>
    </row>
    <row r="44" spans="1:36" ht="15" customHeight="1">
      <c r="A44" s="78">
        <v>43</v>
      </c>
      <c r="B44" s="78" t="s">
        <v>26</v>
      </c>
      <c r="C44" s="78" t="s">
        <v>33</v>
      </c>
      <c r="D44" s="78" t="s">
        <v>208</v>
      </c>
      <c r="E44" s="85" t="s">
        <v>468</v>
      </c>
      <c r="F44" s="78" t="s">
        <v>274</v>
      </c>
      <c r="G44" s="78" t="s">
        <v>208</v>
      </c>
      <c r="H44" s="79" t="s">
        <v>469</v>
      </c>
      <c r="I44" s="78" t="s">
        <v>271</v>
      </c>
      <c r="J44" s="86" t="s">
        <v>467</v>
      </c>
      <c r="K44" s="277">
        <v>46163.376388888886</v>
      </c>
      <c r="L44" s="277">
        <v>46163.376388888886</v>
      </c>
      <c r="M44" s="277">
        <v>46163.380555555559</v>
      </c>
      <c r="N44" s="277">
        <v>46164.365277777775</v>
      </c>
      <c r="O44" s="80"/>
      <c r="P44" s="80"/>
      <c r="Q44" s="78"/>
      <c r="R44" s="78"/>
      <c r="S44" s="78"/>
      <c r="T44" s="78"/>
      <c r="U44" s="78" t="s">
        <v>371</v>
      </c>
      <c r="V44" s="78"/>
      <c r="W44" s="78"/>
      <c r="X44" s="78"/>
      <c r="Y44" s="78"/>
      <c r="Z44" s="167">
        <f t="shared" ca="1" si="8"/>
        <v>0.36388888888905058</v>
      </c>
      <c r="AA44" s="168">
        <f t="shared" ca="1" si="1"/>
        <v>0.97037037037080154</v>
      </c>
      <c r="AB44" s="167">
        <f t="shared" ca="1" si="9"/>
        <v>0.36388888888905058</v>
      </c>
      <c r="AC44" s="168">
        <f t="shared" ca="1" si="3"/>
        <v>0.97037037037080154</v>
      </c>
      <c r="AD44" s="191">
        <f t="shared" ca="1" si="4"/>
        <v>4.1666666729724966E-3</v>
      </c>
      <c r="AE44" s="167">
        <f t="shared" ca="1" si="5"/>
        <v>0.36388888888905058</v>
      </c>
      <c r="AF44" s="168">
        <f t="shared" ca="1" si="6"/>
        <v>0.97037037037080154</v>
      </c>
      <c r="AG44" s="168">
        <f t="shared" ca="1" si="7"/>
        <v>0.97037037037080154</v>
      </c>
      <c r="AH44" s="81" t="str" cm="1">
        <f t="array" aca="1" ref="AH44" ca="1">IF((AD44) &lt; (INDEX(ResponseSLA[#All],(MATCH((G44),ResponseSLA[Priority],0))+1,3)),"YES","No")</f>
        <v>YES</v>
      </c>
      <c r="AI44" s="81" t="str">
        <f ca="1">_xlfn.IFNA(IF(AE44 &lt; (INDEX(SLATable[Minimum SLA],MATCH(G44,SLATable[Priority],0))),"YES","NO"),"")</f>
        <v>YES</v>
      </c>
      <c r="AJ44" s="19" t="str">
        <f ca="1">_xlfn.IFNA(IF(AE44 &lt; (INDEX(SLATable[Maximum SLA],MATCH(G44,SLATable[Priority],0))),"YES","NO"),"")</f>
        <v>YES</v>
      </c>
    </row>
    <row r="45" spans="1:36" ht="15" customHeight="1">
      <c r="A45" s="78">
        <v>44</v>
      </c>
      <c r="B45" s="78" t="s">
        <v>26</v>
      </c>
      <c r="C45" s="78" t="s">
        <v>33</v>
      </c>
      <c r="D45" s="78" t="s">
        <v>208</v>
      </c>
      <c r="E45" s="85" t="s">
        <v>470</v>
      </c>
      <c r="F45" s="78" t="s">
        <v>274</v>
      </c>
      <c r="G45" s="78" t="s">
        <v>208</v>
      </c>
      <c r="H45" s="79" t="s">
        <v>471</v>
      </c>
      <c r="I45" s="78" t="s">
        <v>271</v>
      </c>
      <c r="J45" s="86" t="s">
        <v>463</v>
      </c>
      <c r="K45" s="277">
        <v>46168.273611111108</v>
      </c>
      <c r="L45" s="277">
        <v>46168.273611111108</v>
      </c>
      <c r="M45" s="277">
        <v>46168.277777777781</v>
      </c>
      <c r="N45" s="277">
        <v>46168.390972222223</v>
      </c>
      <c r="O45" s="80"/>
      <c r="P45" s="80"/>
      <c r="Q45" s="78"/>
      <c r="R45" s="78"/>
      <c r="S45" s="78"/>
      <c r="T45" s="78"/>
      <c r="U45" s="78" t="s">
        <v>371</v>
      </c>
      <c r="V45" s="78"/>
      <c r="W45" s="78"/>
      <c r="X45" s="78"/>
      <c r="Y45" s="78"/>
      <c r="Z45" s="167">
        <f t="shared" ca="1" si="8"/>
        <v>5.7638888890020723E-2</v>
      </c>
      <c r="AA45" s="168">
        <f t="shared" ca="1" si="1"/>
        <v>0.15370370370672193</v>
      </c>
      <c r="AB45" s="167">
        <f t="shared" ca="1" si="9"/>
        <v>5.7638888890020723E-2</v>
      </c>
      <c r="AC45" s="168">
        <f t="shared" ca="1" si="3"/>
        <v>0.15370370370672193</v>
      </c>
      <c r="AD45" s="191">
        <f t="shared" ca="1" si="4"/>
        <v>0</v>
      </c>
      <c r="AE45" s="167">
        <f t="shared" ca="1" si="5"/>
        <v>5.7638888890020723E-2</v>
      </c>
      <c r="AF45" s="168">
        <f t="shared" ca="1" si="6"/>
        <v>0.15370370370672193</v>
      </c>
      <c r="AG45" s="168">
        <f t="shared" ca="1" si="7"/>
        <v>0.15370370370672193</v>
      </c>
      <c r="AH45" s="81" t="str" cm="1">
        <f t="array" aca="1" ref="AH45" ca="1">IF((AD45) &lt; (INDEX(ResponseSLA[#All],(MATCH((G45),ResponseSLA[Priority],0))+1,3)),"YES","No")</f>
        <v>YES</v>
      </c>
      <c r="AI45" s="81" t="str">
        <f ca="1">_xlfn.IFNA(IF(AE45 &lt; (INDEX(SLATable[Minimum SLA],MATCH(G45,SLATable[Priority],0))),"YES","NO"),"")</f>
        <v>YES</v>
      </c>
      <c r="AJ45" s="19" t="str">
        <f ca="1">_xlfn.IFNA(IF(AE45 &lt; (INDEX(SLATable[Maximum SLA],MATCH(G45,SLATable[Priority],0))),"YES","NO"),"")</f>
        <v>YES</v>
      </c>
    </row>
    <row r="46" spans="1:36" ht="15" customHeight="1">
      <c r="A46" s="78">
        <v>45</v>
      </c>
      <c r="B46" s="78" t="s">
        <v>26</v>
      </c>
      <c r="C46" s="78" t="s">
        <v>33</v>
      </c>
      <c r="D46" s="78" t="s">
        <v>208</v>
      </c>
      <c r="E46" s="85" t="s">
        <v>472</v>
      </c>
      <c r="F46" s="78" t="s">
        <v>274</v>
      </c>
      <c r="G46" s="78" t="s">
        <v>208</v>
      </c>
      <c r="H46" s="98" t="s">
        <v>473</v>
      </c>
      <c r="I46" s="78" t="s">
        <v>271</v>
      </c>
      <c r="J46" s="86" t="s">
        <v>474</v>
      </c>
      <c r="K46" s="277">
        <v>46168.656400462962</v>
      </c>
      <c r="L46" s="277">
        <v>46168.656400462962</v>
      </c>
      <c r="M46" s="277">
        <v>46169.270949074074</v>
      </c>
      <c r="N46" s="277">
        <v>46169.576388888891</v>
      </c>
      <c r="O46" s="80"/>
      <c r="P46" s="80"/>
      <c r="Q46" s="78"/>
      <c r="R46" s="78"/>
      <c r="S46" s="78"/>
      <c r="T46" s="78"/>
      <c r="U46" s="78" t="s">
        <v>371</v>
      </c>
      <c r="V46" s="78"/>
      <c r="W46" s="78"/>
      <c r="X46" s="78"/>
      <c r="Y46" s="78"/>
      <c r="Z46" s="167">
        <f t="shared" ca="1" si="8"/>
        <v>0.29498842592875008</v>
      </c>
      <c r="AA46" s="168">
        <f t="shared" ca="1" si="1"/>
        <v>0.78663580247666687</v>
      </c>
      <c r="AB46" s="167">
        <f t="shared" ca="1" si="9"/>
        <v>0.29498842592875008</v>
      </c>
      <c r="AC46" s="168">
        <f t="shared" ca="1" si="3"/>
        <v>0.78663580247666687</v>
      </c>
      <c r="AD46" s="191">
        <f t="shared" ca="1" si="4"/>
        <v>5.1932870371577677E-2</v>
      </c>
      <c r="AE46" s="167">
        <f t="shared" ca="1" si="5"/>
        <v>0.29498842592875008</v>
      </c>
      <c r="AF46" s="168">
        <f t="shared" ca="1" si="6"/>
        <v>0.78663580247666687</v>
      </c>
      <c r="AG46" s="168">
        <f t="shared" ca="1" si="7"/>
        <v>0.78663580247666687</v>
      </c>
      <c r="AH46" s="81" t="str" cm="1">
        <f t="array" aca="1" ref="AH46" ca="1">IF((AD46) &lt; (INDEX(ResponseSLA[#All],(MATCH((G46),ResponseSLA[Priority],0))+1,3)),"YES","No")</f>
        <v>YES</v>
      </c>
      <c r="AI46" s="81" t="str">
        <f ca="1">_xlfn.IFNA(IF(AE46 &lt; (INDEX(SLATable[Minimum SLA],MATCH(G46,SLATable[Priority],0))),"YES","NO"),"")</f>
        <v>YES</v>
      </c>
      <c r="AJ46" s="19" t="str">
        <f ca="1">_xlfn.IFNA(IF(AE46 &lt; (INDEX(SLATable[Maximum SLA],MATCH(G46,SLATable[Priority],0))),"YES","NO"),"")</f>
        <v>YES</v>
      </c>
    </row>
    <row r="47" spans="1:36" ht="15" customHeight="1">
      <c r="A47" s="78">
        <v>46</v>
      </c>
      <c r="B47" s="78" t="s">
        <v>26</v>
      </c>
      <c r="C47" s="78" t="s">
        <v>33</v>
      </c>
      <c r="D47" s="78" t="s">
        <v>207</v>
      </c>
      <c r="E47" s="85" t="s">
        <v>475</v>
      </c>
      <c r="F47" s="78" t="s">
        <v>274</v>
      </c>
      <c r="G47" s="78">
        <v>4</v>
      </c>
      <c r="H47" s="98" t="s">
        <v>476</v>
      </c>
      <c r="I47" s="78" t="s">
        <v>271</v>
      </c>
      <c r="J47" s="86" t="s">
        <v>467</v>
      </c>
      <c r="K47" s="279">
        <v>46153.337500000001</v>
      </c>
      <c r="L47" s="279">
        <v>46153.340277777781</v>
      </c>
      <c r="M47" s="279">
        <v>46153.340277777781</v>
      </c>
      <c r="N47" s="279">
        <v>46153.384027777778</v>
      </c>
      <c r="O47" s="80"/>
      <c r="P47" s="80"/>
      <c r="Q47" s="78"/>
      <c r="R47" s="78"/>
      <c r="S47" s="78"/>
      <c r="T47" s="78"/>
      <c r="U47" s="78" t="s">
        <v>371</v>
      </c>
      <c r="V47" s="78"/>
      <c r="W47" s="78"/>
      <c r="X47" s="78"/>
      <c r="Y47" s="78"/>
      <c r="Z47" s="167">
        <f t="shared" ca="1" si="8"/>
        <v>4.6527777776645962E-2</v>
      </c>
      <c r="AA47" s="168">
        <f t="shared" ca="1" si="1"/>
        <v>0.1240740740710559</v>
      </c>
      <c r="AB47" s="167">
        <f t="shared" ca="1" si="9"/>
        <v>4.3749999997089617E-2</v>
      </c>
      <c r="AC47" s="168">
        <f t="shared" ca="1" si="3"/>
        <v>0.11666666665890564</v>
      </c>
      <c r="AD47" s="191">
        <f t="shared" ca="1" si="4"/>
        <v>0</v>
      </c>
      <c r="AE47" s="167">
        <f t="shared" ca="1" si="5"/>
        <v>4.3749999997089617E-2</v>
      </c>
      <c r="AF47" s="168">
        <f t="shared" ca="1" si="6"/>
        <v>0.11666666665890564</v>
      </c>
      <c r="AG47" s="168">
        <f t="shared" ca="1" si="7"/>
        <v>0.11666666665890564</v>
      </c>
      <c r="AH47" s="81" t="str" cm="1">
        <f t="array" aca="1" ref="AH47" ca="1">IF((AD47) &lt; (INDEX(ResponseSLA[#All],(MATCH((G47),ResponseSLA[Priority],0))+1,3)),"YES","No")</f>
        <v>YES</v>
      </c>
      <c r="AI47" s="81" t="str">
        <f ca="1">_xlfn.IFNA(IF(AE47 &lt; (INDEX(SLATable[Minimum SLA],MATCH(G47,SLATable[Priority],0))),"YES","NO"),"")</f>
        <v>YES</v>
      </c>
      <c r="AJ47" s="19" t="str">
        <f ca="1">_xlfn.IFNA(IF(AE47 &lt; (INDEX(SLATable[Maximum SLA],MATCH(G47,SLATable[Priority],0))),"YES","NO"),"")</f>
        <v>YES</v>
      </c>
    </row>
    <row r="48" spans="1:36" ht="15" customHeight="1">
      <c r="A48" s="78">
        <v>47</v>
      </c>
      <c r="B48" s="78" t="s">
        <v>26</v>
      </c>
      <c r="C48" s="78" t="s">
        <v>33</v>
      </c>
      <c r="D48" s="78" t="s">
        <v>207</v>
      </c>
      <c r="E48" s="85" t="s">
        <v>477</v>
      </c>
      <c r="F48" s="78" t="s">
        <v>274</v>
      </c>
      <c r="G48" s="78">
        <v>3</v>
      </c>
      <c r="H48" s="85" t="s">
        <v>478</v>
      </c>
      <c r="I48" s="78" t="s">
        <v>271</v>
      </c>
      <c r="J48" s="86" t="s">
        <v>463</v>
      </c>
      <c r="K48" s="279">
        <v>46163.418055555558</v>
      </c>
      <c r="L48" s="279">
        <v>46163.45416666667</v>
      </c>
      <c r="M48" s="279">
        <v>46163.457638888889</v>
      </c>
      <c r="N48" s="279">
        <v>46164.568958333337</v>
      </c>
      <c r="O48" s="80">
        <v>46164.401446759257</v>
      </c>
      <c r="P48" s="80">
        <v>46164.568958333337</v>
      </c>
      <c r="Q48" s="78"/>
      <c r="R48" s="78" t="s">
        <v>267</v>
      </c>
      <c r="S48" s="78"/>
      <c r="T48" s="78"/>
      <c r="U48" s="78" t="s">
        <v>371</v>
      </c>
      <c r="V48" s="78"/>
      <c r="W48" s="78"/>
      <c r="X48" s="78"/>
      <c r="Y48" s="78"/>
      <c r="Z48" s="167">
        <f t="shared" ca="1" si="8"/>
        <v>0.35839120369928423</v>
      </c>
      <c r="AA48" s="168">
        <f t="shared" ca="1" si="1"/>
        <v>0.95570987653142458</v>
      </c>
      <c r="AB48" s="167">
        <f t="shared" ca="1" si="9"/>
        <v>0.32228009258687962</v>
      </c>
      <c r="AC48" s="168">
        <f t="shared" ca="1" si="3"/>
        <v>0.85941358023167902</v>
      </c>
      <c r="AD48" s="191">
        <f t="shared" ca="1" si="4"/>
        <v>3.4722222189884633E-3</v>
      </c>
      <c r="AE48" s="167">
        <f t="shared" ca="1" si="5"/>
        <v>0.32228009258687962</v>
      </c>
      <c r="AF48" s="168">
        <f t="shared" ca="1" si="6"/>
        <v>0.85941358023167902</v>
      </c>
      <c r="AG48" s="168">
        <f t="shared" ca="1" si="7"/>
        <v>0.85941358023167902</v>
      </c>
      <c r="AH48" s="81" t="str" cm="1">
        <f t="array" aca="1" ref="AH48" ca="1">IF((AD48) &lt; (INDEX(ResponseSLA[#All],(MATCH((G48),ResponseSLA[Priority],0))+1,3)),"YES","No")</f>
        <v>YES</v>
      </c>
      <c r="AI48" s="81" t="str">
        <f ca="1">_xlfn.IFNA(IF(AE48 &lt; (INDEX(SLATable[Minimum SLA],MATCH(G48,SLATable[Priority],0))),"YES","NO"),"")</f>
        <v>YES</v>
      </c>
      <c r="AJ48" s="19" t="str">
        <f ca="1">_xlfn.IFNA(IF(AE48 &lt; (INDEX(SLATable[Maximum SLA],MATCH(G48,SLATable[Priority],0))),"YES","NO"),"")</f>
        <v>YES</v>
      </c>
    </row>
    <row r="49" spans="1:36" ht="15" customHeight="1">
      <c r="A49" s="78">
        <v>48</v>
      </c>
      <c r="B49" s="78" t="s">
        <v>26</v>
      </c>
      <c r="C49" s="78" t="s">
        <v>33</v>
      </c>
      <c r="D49" s="78" t="s">
        <v>207</v>
      </c>
      <c r="E49" s="85" t="s">
        <v>479</v>
      </c>
      <c r="F49" s="78" t="s">
        <v>274</v>
      </c>
      <c r="G49" s="78">
        <v>4</v>
      </c>
      <c r="H49" s="85" t="s">
        <v>480</v>
      </c>
      <c r="I49" s="78" t="s">
        <v>271</v>
      </c>
      <c r="J49" s="86" t="s">
        <v>474</v>
      </c>
      <c r="K49" s="279">
        <v>46164.479166666664</v>
      </c>
      <c r="L49" s="279">
        <v>46164.536111111112</v>
      </c>
      <c r="M49" s="279">
        <v>46164.538888888892</v>
      </c>
      <c r="N49" s="279">
        <v>46164.552083333336</v>
      </c>
      <c r="O49" s="80"/>
      <c r="P49" s="80"/>
      <c r="Q49" s="78"/>
      <c r="R49" s="78"/>
      <c r="S49" s="78"/>
      <c r="T49" s="78"/>
      <c r="U49" s="78" t="s">
        <v>371</v>
      </c>
      <c r="V49" s="78"/>
      <c r="W49" s="78"/>
      <c r="X49" s="78"/>
      <c r="Y49" s="78"/>
      <c r="Z49" s="167">
        <f t="shared" ca="1" si="8"/>
        <v>7.2916666671517305E-2</v>
      </c>
      <c r="AA49" s="168">
        <f t="shared" ca="1" si="1"/>
        <v>0.19444444445737949</v>
      </c>
      <c r="AB49" s="167">
        <f t="shared" ca="1" si="9"/>
        <v>1.5972222223354038E-2</v>
      </c>
      <c r="AC49" s="168">
        <f t="shared" ca="1" si="3"/>
        <v>4.2592592595610768E-2</v>
      </c>
      <c r="AD49" s="191">
        <f t="shared" ca="1" si="4"/>
        <v>2.7777777795563452E-3</v>
      </c>
      <c r="AE49" s="167">
        <f t="shared" ca="1" si="5"/>
        <v>1.5972222223354038E-2</v>
      </c>
      <c r="AF49" s="168">
        <f t="shared" ca="1" si="6"/>
        <v>4.2592592595610768E-2</v>
      </c>
      <c r="AG49" s="168">
        <f t="shared" ca="1" si="7"/>
        <v>4.2592592595610768E-2</v>
      </c>
      <c r="AH49" s="81" t="str" cm="1">
        <f t="array" aca="1" ref="AH49" ca="1">IF((AD49) &lt; (INDEX(ResponseSLA[#All],(MATCH((G49),ResponseSLA[Priority],0))+1,3)),"YES","No")</f>
        <v>YES</v>
      </c>
      <c r="AI49" s="81" t="str">
        <f ca="1">_xlfn.IFNA(IF(AE49 &lt; (INDEX(SLATable[Minimum SLA],MATCH(G49,SLATable[Priority],0))),"YES","NO"),"")</f>
        <v>YES</v>
      </c>
      <c r="AJ49" s="19" t="str">
        <f ca="1">_xlfn.IFNA(IF(AE49 &lt; (INDEX(SLATable[Maximum SLA],MATCH(G49,SLATable[Priority],0))),"YES","NO"),"")</f>
        <v>YES</v>
      </c>
    </row>
    <row r="50" spans="1:36" s="77" customFormat="1" ht="15" customHeight="1">
      <c r="A50" s="78">
        <v>49</v>
      </c>
      <c r="B50" s="82" t="s">
        <v>26</v>
      </c>
      <c r="C50" s="82" t="s">
        <v>33</v>
      </c>
      <c r="D50" s="82" t="s">
        <v>207</v>
      </c>
      <c r="E50" s="117" t="s">
        <v>481</v>
      </c>
      <c r="F50" s="82" t="s">
        <v>274</v>
      </c>
      <c r="G50" s="82">
        <v>3</v>
      </c>
      <c r="H50" s="118" t="s">
        <v>482</v>
      </c>
      <c r="I50" s="82" t="s">
        <v>275</v>
      </c>
      <c r="J50" s="83" t="s">
        <v>463</v>
      </c>
      <c r="K50" s="280">
        <v>46167.275000000001</v>
      </c>
      <c r="L50" s="280">
        <v>46167.279861111114</v>
      </c>
      <c r="M50" s="280">
        <v>46167.450150462966</v>
      </c>
      <c r="N50" s="285">
        <v>46167.54923611111</v>
      </c>
      <c r="O50" s="84"/>
      <c r="P50" s="84"/>
      <c r="Q50" s="82"/>
      <c r="R50" s="82" t="s">
        <v>261</v>
      </c>
      <c r="S50" s="82"/>
      <c r="T50" s="82"/>
      <c r="U50" s="82" t="s">
        <v>371</v>
      </c>
      <c r="V50" s="82"/>
      <c r="W50" s="82"/>
      <c r="X50" s="82"/>
      <c r="Y50" s="82"/>
      <c r="Z50" s="167">
        <f t="shared" ca="1" si="8"/>
        <v>0</v>
      </c>
      <c r="AA50" s="168">
        <f t="shared" ca="1" si="1"/>
        <v>0</v>
      </c>
      <c r="AB50" s="167">
        <f t="shared" ca="1" si="9"/>
        <v>0</v>
      </c>
      <c r="AC50" s="168">
        <f t="shared" ca="1" si="3"/>
        <v>0</v>
      </c>
      <c r="AD50" s="191">
        <f t="shared" ca="1" si="4"/>
        <v>0</v>
      </c>
      <c r="AE50" s="167">
        <f t="shared" ca="1" si="5"/>
        <v>0</v>
      </c>
      <c r="AF50" s="168">
        <f t="shared" ca="1" si="6"/>
        <v>0</v>
      </c>
      <c r="AG50" s="168">
        <f t="shared" ca="1" si="7"/>
        <v>0</v>
      </c>
      <c r="AH50" s="81" t="str" cm="1">
        <f t="array" aca="1" ref="AH50" ca="1">IF((AD50) &lt; (INDEX(ResponseSLA[#All],(MATCH((G50),ResponseSLA[Priority],0))+1,3)),"YES","No")</f>
        <v>YES</v>
      </c>
      <c r="AI50" s="81" t="str">
        <f ca="1">_xlfn.IFNA(IF(AE50 &lt; (INDEX(SLATable[Minimum SLA],MATCH(G50,SLATable[Priority],0))),"YES","NO"),"")</f>
        <v>YES</v>
      </c>
      <c r="AJ50" s="19" t="str">
        <f ca="1">_xlfn.IFNA(IF(AE50 &lt; (INDEX(SLATable[Maximum SLA],MATCH(G50,SLATable[Priority],0))),"YES","NO"),"")</f>
        <v>YES</v>
      </c>
    </row>
    <row r="51" spans="1:36" s="77" customFormat="1" ht="15" customHeight="1">
      <c r="A51" s="78">
        <v>50</v>
      </c>
      <c r="B51" s="82" t="s">
        <v>26</v>
      </c>
      <c r="C51" s="82" t="s">
        <v>33</v>
      </c>
      <c r="D51" s="82" t="s">
        <v>207</v>
      </c>
      <c r="E51" s="117" t="s">
        <v>483</v>
      </c>
      <c r="F51" s="82" t="s">
        <v>274</v>
      </c>
      <c r="G51" s="82">
        <v>3</v>
      </c>
      <c r="H51" s="119" t="s">
        <v>484</v>
      </c>
      <c r="I51" s="82" t="s">
        <v>275</v>
      </c>
      <c r="J51" s="83" t="s">
        <v>467</v>
      </c>
      <c r="K51" s="280">
        <v>46168.025694444441</v>
      </c>
      <c r="L51" s="280">
        <v>46168.033333333333</v>
      </c>
      <c r="M51" s="280">
        <v>46168.217905092592</v>
      </c>
      <c r="N51" s="285">
        <v>46168.359629629631</v>
      </c>
      <c r="O51" s="84"/>
      <c r="P51" s="84"/>
      <c r="Q51" s="82"/>
      <c r="R51" s="82" t="s">
        <v>261</v>
      </c>
      <c r="S51" s="82"/>
      <c r="T51" s="82"/>
      <c r="U51" s="82" t="s">
        <v>371</v>
      </c>
      <c r="V51" s="82"/>
      <c r="W51" s="82"/>
      <c r="X51" s="82"/>
      <c r="Y51" s="82"/>
      <c r="Z51" s="167">
        <f t="shared" ca="1" si="8"/>
        <v>2.6296296297611377E-2</v>
      </c>
      <c r="AA51" s="168">
        <f t="shared" ca="1" si="1"/>
        <v>7.0123456793630343E-2</v>
      </c>
      <c r="AB51" s="167">
        <f t="shared" ca="1" si="9"/>
        <v>2.6296296297611377E-2</v>
      </c>
      <c r="AC51" s="168">
        <f t="shared" ca="1" si="3"/>
        <v>7.0123456793630343E-2</v>
      </c>
      <c r="AD51" s="191">
        <f t="shared" ca="1" si="4"/>
        <v>0</v>
      </c>
      <c r="AE51" s="167">
        <f t="shared" ca="1" si="5"/>
        <v>2.6296296297611377E-2</v>
      </c>
      <c r="AF51" s="168">
        <f t="shared" ca="1" si="6"/>
        <v>7.0123456793630343E-2</v>
      </c>
      <c r="AG51" s="168">
        <f t="shared" ca="1" si="7"/>
        <v>7.0123456793630343E-2</v>
      </c>
      <c r="AH51" s="81" t="str" cm="1">
        <f t="array" aca="1" ref="AH51" ca="1">IF((AD51) &lt; (INDEX(ResponseSLA[#All],(MATCH((G51),ResponseSLA[Priority],0))+1,3)),"YES","No")</f>
        <v>YES</v>
      </c>
      <c r="AI51" s="81" t="str">
        <f ca="1">_xlfn.IFNA(IF(AE51 &lt; (INDEX(SLATable[Minimum SLA],MATCH(G51,SLATable[Priority],0))),"YES","NO"),"")</f>
        <v>YES</v>
      </c>
      <c r="AJ51" s="19" t="str">
        <f ca="1">_xlfn.IFNA(IF(AE51 &lt; (INDEX(SLATable[Maximum SLA],MATCH(G51,SLATable[Priority],0))),"YES","NO"),"")</f>
        <v>YES</v>
      </c>
    </row>
    <row r="52" spans="1:36" ht="15" customHeight="1">
      <c r="A52" s="78">
        <v>51</v>
      </c>
      <c r="B52" s="78" t="s">
        <v>26</v>
      </c>
      <c r="C52" s="78" t="s">
        <v>29</v>
      </c>
      <c r="D52" s="78" t="s">
        <v>207</v>
      </c>
      <c r="E52" s="78" t="s">
        <v>485</v>
      </c>
      <c r="F52" s="78" t="s">
        <v>264</v>
      </c>
      <c r="G52" s="78">
        <v>4</v>
      </c>
      <c r="H52" s="86" t="s">
        <v>486</v>
      </c>
      <c r="I52" s="78" t="s">
        <v>271</v>
      </c>
      <c r="J52" s="86" t="s">
        <v>369</v>
      </c>
      <c r="K52" s="277">
        <v>46168.498113425929</v>
      </c>
      <c r="L52" s="277">
        <v>46168.498136574075</v>
      </c>
      <c r="M52" s="277">
        <v>46168.502951388888</v>
      </c>
      <c r="N52" s="277">
        <v>46181.385520833333</v>
      </c>
      <c r="O52" s="80">
        <v>46171.375092592592</v>
      </c>
      <c r="P52" s="80">
        <v>46181.385520833333</v>
      </c>
      <c r="Q52" s="78" t="s">
        <v>370</v>
      </c>
      <c r="R52" s="78" t="s">
        <v>267</v>
      </c>
      <c r="S52" s="78" t="s">
        <v>181</v>
      </c>
      <c r="T52" s="78"/>
      <c r="U52" s="78" t="s">
        <v>371</v>
      </c>
      <c r="V52" s="78"/>
      <c r="W52" s="78"/>
      <c r="X52" s="78"/>
      <c r="Y52" s="78"/>
      <c r="Z52" s="167">
        <f t="shared" ca="1" si="8"/>
        <v>1.0019791666636593</v>
      </c>
      <c r="AA52" s="168">
        <f t="shared" ca="1" si="1"/>
        <v>2.6719444444364249</v>
      </c>
      <c r="AB52" s="167">
        <f t="shared" ca="1" si="9"/>
        <v>1.0019560185173759</v>
      </c>
      <c r="AC52" s="168">
        <f t="shared" ca="1" si="3"/>
        <v>2.6718827160463356</v>
      </c>
      <c r="AD52" s="191">
        <f t="shared" ca="1" si="4"/>
        <v>4.8148148125619628E-3</v>
      </c>
      <c r="AE52" s="167">
        <f t="shared" ca="1" si="5"/>
        <v>1.0019560185173759</v>
      </c>
      <c r="AF52" s="168">
        <f t="shared" ca="1" si="6"/>
        <v>2.6718827160463356</v>
      </c>
      <c r="AG52" s="168">
        <f t="shared" ca="1" si="7"/>
        <v>2.6718827160463356</v>
      </c>
      <c r="AH52" s="81" t="str" cm="1">
        <f t="array" aca="1" ref="AH52" ca="1">IF((AD52) &lt; (INDEX(ResponseSLA[#All],(MATCH((G52),ResponseSLA[Priority],0))+1,3)),"YES","No")</f>
        <v>YES</v>
      </c>
      <c r="AI52" s="81" t="str">
        <f ca="1">_xlfn.IFNA(IF(AE52 &lt; (INDEX(SLATable[Minimum SLA],MATCH(G52,SLATable[Priority],0))),"YES","NO"),"")</f>
        <v>YES</v>
      </c>
      <c r="AJ52" s="19" t="str">
        <f ca="1">_xlfn.IFNA(IF(AE52 &lt; (INDEX(SLATable[Maximum SLA],MATCH(G52,SLATable[Priority],0))),"YES","NO"),"")</f>
        <v>YES</v>
      </c>
    </row>
    <row r="53" spans="1:36" ht="15" customHeight="1">
      <c r="A53" s="78">
        <v>52</v>
      </c>
      <c r="B53" s="78" t="s">
        <v>26</v>
      </c>
      <c r="C53" s="78" t="s">
        <v>31</v>
      </c>
      <c r="D53" s="78" t="s">
        <v>208</v>
      </c>
      <c r="E53" s="78" t="s">
        <v>487</v>
      </c>
      <c r="F53" s="78" t="s">
        <v>30</v>
      </c>
      <c r="G53" s="78" t="s">
        <v>208</v>
      </c>
      <c r="H53" s="86" t="s">
        <v>488</v>
      </c>
      <c r="I53" s="78" t="s">
        <v>271</v>
      </c>
      <c r="J53" s="86" t="s">
        <v>389</v>
      </c>
      <c r="K53" s="277">
        <v>46143.484733796293</v>
      </c>
      <c r="L53" s="277">
        <v>46146.444780092592</v>
      </c>
      <c r="M53" s="277">
        <v>46146.470972222225</v>
      </c>
      <c r="N53" s="277">
        <v>46197.495081018518</v>
      </c>
      <c r="O53" s="80">
        <v>46176.477812500001</v>
      </c>
      <c r="P53" s="80">
        <v>46185.484270833331</v>
      </c>
      <c r="Q53" s="78" t="s">
        <v>489</v>
      </c>
      <c r="R53" s="78" t="s">
        <v>267</v>
      </c>
      <c r="S53" s="78" t="s">
        <v>179</v>
      </c>
      <c r="T53" s="78"/>
      <c r="U53" s="78" t="s">
        <v>371</v>
      </c>
      <c r="V53" s="78"/>
      <c r="W53" s="78"/>
      <c r="X53" s="78"/>
      <c r="Y53" s="78"/>
      <c r="Z53" s="167">
        <f t="shared" ca="1" si="8"/>
        <v>10.65528935185527</v>
      </c>
      <c r="AA53" s="168">
        <f t="shared" ca="1" si="1"/>
        <v>28.414104938280719</v>
      </c>
      <c r="AB53" s="167">
        <f t="shared" ca="1" si="9"/>
        <v>10.65528935185527</v>
      </c>
      <c r="AC53" s="168">
        <f t="shared" ca="1" si="3"/>
        <v>28.414104938280719</v>
      </c>
      <c r="AD53" s="191">
        <f t="shared" ca="1" si="4"/>
        <v>0</v>
      </c>
      <c r="AE53" s="167">
        <f t="shared" ca="1" si="5"/>
        <v>10.65528935185527</v>
      </c>
      <c r="AF53" s="168">
        <f t="shared" ca="1" si="6"/>
        <v>28.414104938280719</v>
      </c>
      <c r="AG53" s="168">
        <f t="shared" ca="1" si="7"/>
        <v>28.414104938280719</v>
      </c>
      <c r="AH53" s="81" t="str" cm="1">
        <f t="array" aca="1" ref="AH53" ca="1">IF((AD53) &lt; (INDEX(ResponseSLA[#All],(MATCH((G53),ResponseSLA[Priority],0))+1,3)),"YES","No")</f>
        <v>YES</v>
      </c>
      <c r="AI53" s="81" t="str">
        <f ca="1">_xlfn.IFNA(IF(AE53 &lt; (INDEX(SLATable[Minimum SLA],MATCH(G53,SLATable[Priority],0))),"YES","NO"),"")</f>
        <v>NO</v>
      </c>
      <c r="AJ53" s="19" t="str">
        <f ca="1">_xlfn.IFNA(IF(AE53 &lt; (INDEX(SLATable[Maximum SLA],MATCH(G53,SLATable[Priority],0))),"YES","NO"),"")</f>
        <v>NO</v>
      </c>
    </row>
    <row r="54" spans="1:36" ht="15" customHeight="1">
      <c r="A54" s="78">
        <v>53</v>
      </c>
      <c r="B54" s="78" t="s">
        <v>26</v>
      </c>
      <c r="C54" s="78" t="s">
        <v>31</v>
      </c>
      <c r="D54" s="78" t="s">
        <v>208</v>
      </c>
      <c r="E54" s="78" t="s">
        <v>490</v>
      </c>
      <c r="F54" s="78" t="s">
        <v>30</v>
      </c>
      <c r="G54" s="78" t="s">
        <v>208</v>
      </c>
      <c r="H54" s="86" t="s">
        <v>491</v>
      </c>
      <c r="I54" s="78" t="s">
        <v>271</v>
      </c>
      <c r="J54" s="86" t="s">
        <v>385</v>
      </c>
      <c r="K54" s="277">
        <v>46155.460451388892</v>
      </c>
      <c r="L54" s="277">
        <v>46155.460451388892</v>
      </c>
      <c r="M54" s="277">
        <v>46155.471273148149</v>
      </c>
      <c r="N54" s="277">
        <v>46191.35392361111</v>
      </c>
      <c r="O54" s="80">
        <v>46182.42150462963</v>
      </c>
      <c r="P54" s="80">
        <v>46191.35392361111</v>
      </c>
      <c r="Q54" s="78" t="s">
        <v>492</v>
      </c>
      <c r="R54" s="78" t="s">
        <v>267</v>
      </c>
      <c r="S54" s="78" t="s">
        <v>179</v>
      </c>
      <c r="T54" s="78"/>
      <c r="U54" s="78" t="s">
        <v>371</v>
      </c>
      <c r="V54" s="78"/>
      <c r="W54" s="78"/>
      <c r="X54" s="78"/>
      <c r="Y54" s="78"/>
      <c r="Z54" s="167">
        <f t="shared" ca="1" si="8"/>
        <v>6.7110532407386945</v>
      </c>
      <c r="AA54" s="168">
        <f t="shared" ca="1" si="1"/>
        <v>17.896141975303188</v>
      </c>
      <c r="AB54" s="167">
        <f t="shared" ca="1" si="9"/>
        <v>6.7110532407386945</v>
      </c>
      <c r="AC54" s="168">
        <f t="shared" ca="1" si="3"/>
        <v>17.896141975303188</v>
      </c>
      <c r="AD54" s="191">
        <f t="shared" ca="1" si="4"/>
        <v>1.0821759256941732E-2</v>
      </c>
      <c r="AE54" s="167">
        <f t="shared" ca="1" si="5"/>
        <v>6.7110532407386945</v>
      </c>
      <c r="AF54" s="168">
        <f t="shared" ca="1" si="6"/>
        <v>17.896141975303188</v>
      </c>
      <c r="AG54" s="168">
        <f t="shared" ca="1" si="7"/>
        <v>17.896141975303188</v>
      </c>
      <c r="AH54" s="81" t="str" cm="1">
        <f t="array" aca="1" ref="AH54" ca="1">IF((AD54) &lt; (INDEX(ResponseSLA[#All],(MATCH((G54),ResponseSLA[Priority],0))+1,3)),"YES","No")</f>
        <v>YES</v>
      </c>
      <c r="AI54" s="81" t="str">
        <f ca="1">_xlfn.IFNA(IF(AE54 &lt; (INDEX(SLATable[Minimum SLA],MATCH(G54,SLATable[Priority],0))),"YES","NO"),"")</f>
        <v>NO</v>
      </c>
      <c r="AJ54" s="19" t="str">
        <f ca="1">_xlfn.IFNA(IF(AE54 &lt; (INDEX(SLATable[Maximum SLA],MATCH(G54,SLATable[Priority],0))),"YES","NO"),"")</f>
        <v>NO</v>
      </c>
    </row>
    <row r="55" spans="1:36" ht="15" customHeight="1">
      <c r="A55" s="78">
        <v>54</v>
      </c>
      <c r="B55" s="78" t="s">
        <v>26</v>
      </c>
      <c r="C55" s="78" t="s">
        <v>31</v>
      </c>
      <c r="D55" s="78" t="s">
        <v>208</v>
      </c>
      <c r="E55" s="78" t="s">
        <v>493</v>
      </c>
      <c r="F55" s="78" t="s">
        <v>30</v>
      </c>
      <c r="G55" s="78" t="s">
        <v>208</v>
      </c>
      <c r="H55" s="86" t="s">
        <v>494</v>
      </c>
      <c r="I55" s="78" t="s">
        <v>271</v>
      </c>
      <c r="J55" s="86" t="s">
        <v>393</v>
      </c>
      <c r="K55" s="277">
        <v>46160.182986111111</v>
      </c>
      <c r="L55" s="277">
        <v>46160.331365740742</v>
      </c>
      <c r="M55" s="277">
        <v>46160.67019675926</v>
      </c>
      <c r="N55" s="277">
        <v>46169.552673611113</v>
      </c>
      <c r="O55" s="80"/>
      <c r="P55" s="80"/>
      <c r="Q55" s="78" t="s">
        <v>495</v>
      </c>
      <c r="R55" s="78" t="s">
        <v>267</v>
      </c>
      <c r="S55" s="78" t="s">
        <v>179</v>
      </c>
      <c r="T55" s="78"/>
      <c r="U55" s="78" t="s">
        <v>371</v>
      </c>
      <c r="V55" s="78"/>
      <c r="W55" s="78"/>
      <c r="X55" s="78"/>
      <c r="Y55" s="78"/>
      <c r="Z55" s="167">
        <f t="shared" ca="1" si="8"/>
        <v>2.4693402777799447</v>
      </c>
      <c r="AA55" s="168">
        <f t="shared" ca="1" si="1"/>
        <v>6.5849074074131861</v>
      </c>
      <c r="AB55" s="167">
        <f t="shared" ca="1" si="9"/>
        <v>2.4693402777799447</v>
      </c>
      <c r="AC55" s="168">
        <f t="shared" ca="1" si="3"/>
        <v>6.5849074074131861</v>
      </c>
      <c r="AD55" s="191">
        <f t="shared" ca="1" si="4"/>
        <v>0.3368634259265188</v>
      </c>
      <c r="AE55" s="167">
        <f t="shared" ca="1" si="5"/>
        <v>2.4693402777799447</v>
      </c>
      <c r="AF55" s="168">
        <f t="shared" ca="1" si="6"/>
        <v>6.5849074074131861</v>
      </c>
      <c r="AG55" s="168">
        <f t="shared" ca="1" si="7"/>
        <v>6.5849074074131861</v>
      </c>
      <c r="AH55" s="81" t="str" cm="1">
        <f t="array" aca="1" ref="AH55" ca="1">IF((AD55) &lt; (INDEX(ResponseSLA[#All],(MATCH((G55),ResponseSLA[Priority],0))+1,3)),"YES","No")</f>
        <v>YES</v>
      </c>
      <c r="AI55" s="81" t="str">
        <f ca="1">_xlfn.IFNA(IF(AE55 &lt; (INDEX(SLATable[Minimum SLA],MATCH(G55,SLATable[Priority],0))),"YES","NO"),"")</f>
        <v>NO</v>
      </c>
      <c r="AJ55" s="19" t="str">
        <f ca="1">_xlfn.IFNA(IF(AE55 &lt; (INDEX(SLATable[Maximum SLA],MATCH(G55,SLATable[Priority],0))),"YES","NO"),"")</f>
        <v>NO</v>
      </c>
    </row>
    <row r="56" spans="1:36" ht="15" customHeight="1">
      <c r="A56" s="78">
        <v>55</v>
      </c>
      <c r="B56" s="78" t="s">
        <v>26</v>
      </c>
      <c r="C56" s="78" t="s">
        <v>31</v>
      </c>
      <c r="D56" s="78" t="s">
        <v>208</v>
      </c>
      <c r="E56" s="78" t="s">
        <v>496</v>
      </c>
      <c r="F56" s="78" t="s">
        <v>30</v>
      </c>
      <c r="G56" s="78" t="s">
        <v>208</v>
      </c>
      <c r="H56" s="86" t="s">
        <v>497</v>
      </c>
      <c r="I56" s="78" t="s">
        <v>271</v>
      </c>
      <c r="J56" s="86" t="s">
        <v>389</v>
      </c>
      <c r="K56" s="277">
        <v>46157.279502314814</v>
      </c>
      <c r="L56" s="277">
        <v>46157.279502314814</v>
      </c>
      <c r="M56" s="277">
        <v>46157.283599537041</v>
      </c>
      <c r="N56" s="277">
        <v>46176.485995370371</v>
      </c>
      <c r="O56" s="80">
        <v>46168.411504629628</v>
      </c>
      <c r="P56" s="80">
        <v>46176.486006944448</v>
      </c>
      <c r="Q56" s="78" t="s">
        <v>498</v>
      </c>
      <c r="R56" s="78" t="s">
        <v>267</v>
      </c>
      <c r="S56" s="78" t="s">
        <v>147</v>
      </c>
      <c r="T56" s="78"/>
      <c r="U56" s="78" t="s">
        <v>371</v>
      </c>
      <c r="V56" s="78"/>
      <c r="W56" s="78"/>
      <c r="X56" s="78"/>
      <c r="Y56" s="78"/>
      <c r="Z56" s="167">
        <f t="shared" ca="1" si="8"/>
        <v>2.3281597222182131</v>
      </c>
      <c r="AA56" s="168">
        <f t="shared" ca="1" si="1"/>
        <v>6.2084259259152343</v>
      </c>
      <c r="AB56" s="167">
        <f t="shared" ca="1" si="9"/>
        <v>2.3281597222182131</v>
      </c>
      <c r="AC56" s="168">
        <f t="shared" ca="1" si="3"/>
        <v>6.2084259259152343</v>
      </c>
      <c r="AD56" s="191">
        <f t="shared" ca="1" si="4"/>
        <v>0</v>
      </c>
      <c r="AE56" s="167">
        <f t="shared" ca="1" si="5"/>
        <v>2.3281597222182131</v>
      </c>
      <c r="AF56" s="168">
        <f t="shared" ca="1" si="6"/>
        <v>6.2084259259152343</v>
      </c>
      <c r="AG56" s="168">
        <f t="shared" ca="1" si="7"/>
        <v>6.2084259259152343</v>
      </c>
      <c r="AH56" s="81" t="str" cm="1">
        <f t="array" aca="1" ref="AH56" ca="1">IF((AD56) &lt; (INDEX(ResponseSLA[#All],(MATCH((G56),ResponseSLA[Priority],0))+1,3)),"YES","No")</f>
        <v>YES</v>
      </c>
      <c r="AI56" s="81" t="str">
        <f ca="1">_xlfn.IFNA(IF(AE56 &lt; (INDEX(SLATable[Minimum SLA],MATCH(G56,SLATable[Priority],0))),"YES","NO"),"")</f>
        <v>NO</v>
      </c>
      <c r="AJ56" s="19" t="str">
        <f ca="1">_xlfn.IFNA(IF(AE56 &lt; (INDEX(SLATable[Maximum SLA],MATCH(G56,SLATable[Priority],0))),"YES","NO"),"")</f>
        <v>NO</v>
      </c>
    </row>
    <row r="57" spans="1:36" ht="15" customHeight="1">
      <c r="A57" s="78">
        <v>56</v>
      </c>
      <c r="B57" s="78" t="s">
        <v>26</v>
      </c>
      <c r="C57" s="78" t="s">
        <v>31</v>
      </c>
      <c r="D57" s="78" t="s">
        <v>208</v>
      </c>
      <c r="E57" s="78" t="s">
        <v>499</v>
      </c>
      <c r="F57" s="78" t="s">
        <v>30</v>
      </c>
      <c r="G57" s="78" t="s">
        <v>208</v>
      </c>
      <c r="H57" s="86" t="s">
        <v>500</v>
      </c>
      <c r="I57" s="78" t="s">
        <v>271</v>
      </c>
      <c r="J57" s="86" t="s">
        <v>389</v>
      </c>
      <c r="K57" s="277">
        <v>46163.432754629626</v>
      </c>
      <c r="L57" s="277">
        <v>46163.432754629626</v>
      </c>
      <c r="M57" s="277">
        <v>46163.436944444446</v>
      </c>
      <c r="N57" s="277">
        <v>46178.438900462963</v>
      </c>
      <c r="O57" s="80">
        <v>46163.437557870369</v>
      </c>
      <c r="P57" s="80">
        <v>46178.438900462963</v>
      </c>
      <c r="Q57" s="78" t="s">
        <v>498</v>
      </c>
      <c r="R57" s="78" t="s">
        <v>276</v>
      </c>
      <c r="S57" s="78" t="s">
        <v>147</v>
      </c>
      <c r="T57" s="78"/>
      <c r="U57" s="78" t="s">
        <v>371</v>
      </c>
      <c r="V57" s="78"/>
      <c r="W57" s="78"/>
      <c r="X57" s="78"/>
      <c r="Y57" s="78"/>
      <c r="Z57" s="167">
        <f t="shared" ca="1" si="8"/>
        <v>4.803240743058268E-3</v>
      </c>
      <c r="AA57" s="168">
        <f t="shared" ca="1" si="1"/>
        <v>1.2808641981488714E-2</v>
      </c>
      <c r="AB57" s="167">
        <f t="shared" ca="1" si="9"/>
        <v>4.803240743058268E-3</v>
      </c>
      <c r="AC57" s="168">
        <f t="shared" ca="1" si="3"/>
        <v>1.2808641981488714E-2</v>
      </c>
      <c r="AD57" s="191">
        <f t="shared" ca="1" si="4"/>
        <v>4.1898148192558438E-3</v>
      </c>
      <c r="AE57" s="167">
        <f t="shared" ca="1" si="5"/>
        <v>4.803240743058268E-3</v>
      </c>
      <c r="AF57" s="168">
        <f t="shared" ca="1" si="6"/>
        <v>1.2808641981488714E-2</v>
      </c>
      <c r="AG57" s="168">
        <f t="shared" ca="1" si="7"/>
        <v>1.2808641981488714E-2</v>
      </c>
      <c r="AH57" s="81" t="str" cm="1">
        <f t="array" aca="1" ref="AH57" ca="1">IF((AD57) &lt; (INDEX(ResponseSLA[#All],(MATCH((G57),ResponseSLA[Priority],0))+1,3)),"YES","No")</f>
        <v>YES</v>
      </c>
      <c r="AI57" s="81" t="str">
        <f ca="1">_xlfn.IFNA(IF(AE57 &lt; (INDEX(SLATable[Minimum SLA],MATCH(G57,SLATable[Priority],0))),"YES","NO"),"")</f>
        <v>YES</v>
      </c>
      <c r="AJ57" s="19" t="str">
        <f ca="1">_xlfn.IFNA(IF(AE57 &lt; (INDEX(SLATable[Maximum SLA],MATCH(G57,SLATable[Priority],0))),"YES","NO"),"")</f>
        <v>YES</v>
      </c>
    </row>
    <row r="58" spans="1:36" ht="15" customHeight="1">
      <c r="A58" s="78">
        <v>57</v>
      </c>
      <c r="B58" s="78" t="s">
        <v>26</v>
      </c>
      <c r="C58" s="78" t="s">
        <v>31</v>
      </c>
      <c r="D58" s="78" t="s">
        <v>208</v>
      </c>
      <c r="E58" s="78" t="s">
        <v>501</v>
      </c>
      <c r="F58" s="78" t="s">
        <v>30</v>
      </c>
      <c r="G58" s="78" t="s">
        <v>208</v>
      </c>
      <c r="H58" s="86" t="s">
        <v>502</v>
      </c>
      <c r="I58" s="78" t="s">
        <v>271</v>
      </c>
      <c r="J58" s="86" t="s">
        <v>389</v>
      </c>
      <c r="K58" s="277">
        <v>46164.281828703701</v>
      </c>
      <c r="L58" s="277">
        <v>46164.283935185187</v>
      </c>
      <c r="M58" s="277">
        <v>46164.286087962966</v>
      </c>
      <c r="N58" s="277">
        <v>46176.487685185188</v>
      </c>
      <c r="O58" s="80">
        <v>46168.415300925924</v>
      </c>
      <c r="P58" s="80">
        <v>46176.487696759257</v>
      </c>
      <c r="Q58" s="78" t="s">
        <v>498</v>
      </c>
      <c r="R58" s="78" t="s">
        <v>267</v>
      </c>
      <c r="S58" s="78" t="s">
        <v>147</v>
      </c>
      <c r="T58" s="78"/>
      <c r="U58" s="78" t="s">
        <v>371</v>
      </c>
      <c r="V58" s="78"/>
      <c r="W58" s="78"/>
      <c r="X58" s="78"/>
      <c r="Y58" s="78"/>
      <c r="Z58" s="167">
        <f t="shared" ca="1" si="8"/>
        <v>0.45695601852154732</v>
      </c>
      <c r="AA58" s="168">
        <f t="shared" ca="1" si="1"/>
        <v>1.2185493827241263</v>
      </c>
      <c r="AB58" s="167">
        <f t="shared" ca="1" si="9"/>
        <v>0.45695601852154732</v>
      </c>
      <c r="AC58" s="168">
        <f t="shared" ca="1" si="3"/>
        <v>1.2185493827241263</v>
      </c>
      <c r="AD58" s="191">
        <f t="shared" ca="1" si="4"/>
        <v>0</v>
      </c>
      <c r="AE58" s="167">
        <f t="shared" ca="1" si="5"/>
        <v>0.45695601852154732</v>
      </c>
      <c r="AF58" s="168">
        <f t="shared" ca="1" si="6"/>
        <v>1.2185493827241263</v>
      </c>
      <c r="AG58" s="168">
        <f t="shared" ca="1" si="7"/>
        <v>1.2185493827241263</v>
      </c>
      <c r="AH58" s="81" t="str" cm="1">
        <f t="array" aca="1" ref="AH58" ca="1">IF((AD58) &lt; (INDEX(ResponseSLA[#All],(MATCH((G58),ResponseSLA[Priority],0))+1,3)),"YES","No")</f>
        <v>YES</v>
      </c>
      <c r="AI58" s="81" t="str">
        <f ca="1">_xlfn.IFNA(IF(AE58 &lt; (INDEX(SLATable[Minimum SLA],MATCH(G58,SLATable[Priority],0))),"YES","NO"),"")</f>
        <v>YES</v>
      </c>
      <c r="AJ58" s="19" t="str">
        <f ca="1">_xlfn.IFNA(IF(AE58 &lt; (INDEX(SLATable[Maximum SLA],MATCH(G58,SLATable[Priority],0))),"YES","NO"),"")</f>
        <v>YES</v>
      </c>
    </row>
    <row r="59" spans="1:36" ht="15" customHeight="1">
      <c r="A59" s="78">
        <v>58</v>
      </c>
      <c r="B59" s="78" t="s">
        <v>26</v>
      </c>
      <c r="C59" s="78" t="s">
        <v>31</v>
      </c>
      <c r="D59" s="78" t="s">
        <v>208</v>
      </c>
      <c r="E59" s="78" t="s">
        <v>503</v>
      </c>
      <c r="F59" s="78" t="s">
        <v>30</v>
      </c>
      <c r="G59" s="78" t="s">
        <v>208</v>
      </c>
      <c r="H59" s="86" t="s">
        <v>502</v>
      </c>
      <c r="I59" s="78" t="s">
        <v>271</v>
      </c>
      <c r="J59" s="86" t="s">
        <v>389</v>
      </c>
      <c r="K59" s="277">
        <v>46164.283935185187</v>
      </c>
      <c r="L59" s="277">
        <v>46164.283935185187</v>
      </c>
      <c r="M59" s="277">
        <v>46164.286562499998</v>
      </c>
      <c r="N59" s="277">
        <v>46176.483437499999</v>
      </c>
      <c r="O59" s="80">
        <v>46168.420717592591</v>
      </c>
      <c r="P59" s="80">
        <v>46176.483437499999</v>
      </c>
      <c r="Q59" s="78" t="s">
        <v>498</v>
      </c>
      <c r="R59" s="78" t="s">
        <v>267</v>
      </c>
      <c r="S59" s="78" t="s">
        <v>147</v>
      </c>
      <c r="T59" s="78"/>
      <c r="U59" s="78" t="s">
        <v>371</v>
      </c>
      <c r="V59" s="78"/>
      <c r="W59" s="78"/>
      <c r="X59" s="78"/>
      <c r="Y59" s="78"/>
      <c r="Z59" s="167">
        <f t="shared" ca="1" si="8"/>
        <v>0.46238425925791171</v>
      </c>
      <c r="AA59" s="168">
        <f t="shared" ca="1" si="1"/>
        <v>1.2330246913544312</v>
      </c>
      <c r="AB59" s="167">
        <f t="shared" ca="1" si="9"/>
        <v>0.46238425925791171</v>
      </c>
      <c r="AC59" s="168">
        <f t="shared" ca="1" si="3"/>
        <v>1.2330246913544312</v>
      </c>
      <c r="AD59" s="191">
        <f t="shared" ca="1" si="4"/>
        <v>0</v>
      </c>
      <c r="AE59" s="167">
        <f t="shared" ca="1" si="5"/>
        <v>0.46238425925791171</v>
      </c>
      <c r="AF59" s="168">
        <f t="shared" ca="1" si="6"/>
        <v>1.2330246913544312</v>
      </c>
      <c r="AG59" s="168">
        <f t="shared" ca="1" si="7"/>
        <v>1.2330246913544312</v>
      </c>
      <c r="AH59" s="81" t="str" cm="1">
        <f t="array" aca="1" ref="AH59" ca="1">IF((AD59) &lt; (INDEX(ResponseSLA[#All],(MATCH((G59),ResponseSLA[Priority],0))+1,3)),"YES","No")</f>
        <v>YES</v>
      </c>
      <c r="AI59" s="81" t="str">
        <f ca="1">_xlfn.IFNA(IF(AE59 &lt; (INDEX(SLATable[Minimum SLA],MATCH(G59,SLATable[Priority],0))),"YES","NO"),"")</f>
        <v>YES</v>
      </c>
      <c r="AJ59" s="19" t="str">
        <f ca="1">_xlfn.IFNA(IF(AE59 &lt; (INDEX(SLATable[Maximum SLA],MATCH(G59,SLATable[Priority],0))),"YES","NO"),"")</f>
        <v>YES</v>
      </c>
    </row>
    <row r="60" spans="1:36" ht="15" customHeight="1">
      <c r="A60" s="78">
        <v>59</v>
      </c>
      <c r="B60" s="78" t="s">
        <v>26</v>
      </c>
      <c r="C60" s="78" t="s">
        <v>33</v>
      </c>
      <c r="D60" s="78" t="s">
        <v>207</v>
      </c>
      <c r="E60" s="120" t="s">
        <v>504</v>
      </c>
      <c r="F60" s="78" t="s">
        <v>282</v>
      </c>
      <c r="G60" s="78">
        <v>3</v>
      </c>
      <c r="H60" s="86" t="s">
        <v>505</v>
      </c>
      <c r="I60" s="78" t="s">
        <v>271</v>
      </c>
      <c r="J60" s="86" t="s">
        <v>506</v>
      </c>
      <c r="K60" s="277">
        <v>46143.057638888888</v>
      </c>
      <c r="L60" s="277">
        <v>46143.063194444447</v>
      </c>
      <c r="M60" s="277">
        <v>46146.245138888888</v>
      </c>
      <c r="N60" s="277">
        <v>46150.35833333333</v>
      </c>
      <c r="O60" s="80"/>
      <c r="P60" s="80"/>
      <c r="Q60" s="78" t="s">
        <v>507</v>
      </c>
      <c r="R60" s="78" t="s">
        <v>267</v>
      </c>
      <c r="S60" s="78" t="s">
        <v>157</v>
      </c>
      <c r="T60" s="78"/>
      <c r="U60" s="78" t="s">
        <v>371</v>
      </c>
      <c r="V60" s="78"/>
      <c r="W60" s="78"/>
      <c r="X60" s="78"/>
      <c r="Y60" s="78"/>
      <c r="Z60" s="167">
        <f t="shared" ca="1" si="8"/>
        <v>1.1499999999966048</v>
      </c>
      <c r="AA60" s="168">
        <f t="shared" ca="1" si="1"/>
        <v>3.0666666666576128</v>
      </c>
      <c r="AB60" s="167">
        <f t="shared" ca="1" si="9"/>
        <v>1.1499999999966048</v>
      </c>
      <c r="AC60" s="168">
        <f t="shared" ca="1" si="3"/>
        <v>3.0666666666576128</v>
      </c>
      <c r="AD60" s="191">
        <f t="shared" ca="1" si="4"/>
        <v>0</v>
      </c>
      <c r="AE60" s="167">
        <f t="shared" ca="1" si="5"/>
        <v>1.1499999999966048</v>
      </c>
      <c r="AF60" s="168">
        <f t="shared" ca="1" si="6"/>
        <v>3.0666666666576128</v>
      </c>
      <c r="AG60" s="168">
        <f t="shared" ca="1" si="7"/>
        <v>3.0666666666576128</v>
      </c>
      <c r="AH60" s="81" t="str" cm="1">
        <f t="array" aca="1" ref="AH60" ca="1">IF((AD60) &lt; (INDEX(ResponseSLA[#All],(MATCH((G60),ResponseSLA[Priority],0))+1,3)),"YES","No")</f>
        <v>YES</v>
      </c>
      <c r="AI60" s="81" t="str">
        <f ca="1">_xlfn.IFNA(IF(AE60 &lt; (INDEX(SLATable[Minimum SLA],MATCH(G60,SLATable[Priority],0))),"YES","NO"),"")</f>
        <v>NO</v>
      </c>
      <c r="AJ60" s="19" t="str">
        <f ca="1">_xlfn.IFNA(IF(AE60 &lt; (INDEX(SLATable[Maximum SLA],MATCH(G60,SLATable[Priority],0))),"YES","NO"),"")</f>
        <v>YES</v>
      </c>
    </row>
    <row r="61" spans="1:36" ht="15" customHeight="1">
      <c r="A61" s="78">
        <v>60</v>
      </c>
      <c r="B61" s="78" t="s">
        <v>26</v>
      </c>
      <c r="C61" s="78" t="s">
        <v>33</v>
      </c>
      <c r="D61" s="78" t="s">
        <v>207</v>
      </c>
      <c r="E61" s="78" t="s">
        <v>508</v>
      </c>
      <c r="F61" s="78" t="s">
        <v>282</v>
      </c>
      <c r="G61" s="78">
        <v>3</v>
      </c>
      <c r="H61" s="86" t="s">
        <v>509</v>
      </c>
      <c r="I61" s="78" t="s">
        <v>271</v>
      </c>
      <c r="J61" s="86" t="s">
        <v>510</v>
      </c>
      <c r="K61" s="277">
        <v>46143.070833333331</v>
      </c>
      <c r="L61" s="277">
        <v>46143.074305555558</v>
      </c>
      <c r="M61" s="277">
        <v>46146.245138888888</v>
      </c>
      <c r="N61" s="277">
        <v>46150.357638888891</v>
      </c>
      <c r="O61" s="80"/>
      <c r="P61" s="80"/>
      <c r="Q61" s="78" t="s">
        <v>507</v>
      </c>
      <c r="R61" s="78" t="s">
        <v>267</v>
      </c>
      <c r="S61" s="78" t="s">
        <v>157</v>
      </c>
      <c r="T61" s="78"/>
      <c r="U61" s="78" t="s">
        <v>371</v>
      </c>
      <c r="V61" s="78"/>
      <c r="W61" s="78"/>
      <c r="X61" s="78"/>
      <c r="Y61" s="78"/>
      <c r="Z61" s="167">
        <f t="shared" ca="1" si="8"/>
        <v>1.1493055555571727</v>
      </c>
      <c r="AA61" s="168">
        <f t="shared" ca="1" si="1"/>
        <v>3.0648148148191274</v>
      </c>
      <c r="AB61" s="167">
        <f t="shared" ca="1" si="9"/>
        <v>1.1493055555571727</v>
      </c>
      <c r="AC61" s="168">
        <f t="shared" ca="1" si="3"/>
        <v>3.0648148148191274</v>
      </c>
      <c r="AD61" s="191">
        <f t="shared" ca="1" si="4"/>
        <v>0</v>
      </c>
      <c r="AE61" s="167">
        <f t="shared" ca="1" si="5"/>
        <v>1.1493055555571727</v>
      </c>
      <c r="AF61" s="168">
        <f t="shared" ca="1" si="6"/>
        <v>3.0648148148191274</v>
      </c>
      <c r="AG61" s="168">
        <f t="shared" ca="1" si="7"/>
        <v>3.0648148148191274</v>
      </c>
      <c r="AH61" s="81" t="str" cm="1">
        <f t="array" aca="1" ref="AH61" ca="1">IF((AD61) &lt; (INDEX(ResponseSLA[#All],(MATCH((G61),ResponseSLA[Priority],0))+1,3)),"YES","No")</f>
        <v>YES</v>
      </c>
      <c r="AI61" s="81" t="str">
        <f ca="1">_xlfn.IFNA(IF(AE61 &lt; (INDEX(SLATable[Minimum SLA],MATCH(G61,SLATable[Priority],0))),"YES","NO"),"")</f>
        <v>NO</v>
      </c>
      <c r="AJ61" s="19" t="str">
        <f ca="1">_xlfn.IFNA(IF(AE61 &lt; (INDEX(SLATable[Maximum SLA],MATCH(G61,SLATable[Priority],0))),"YES","NO"),"")</f>
        <v>YES</v>
      </c>
    </row>
    <row r="62" spans="1:36" ht="15" customHeight="1">
      <c r="A62" s="78">
        <v>61</v>
      </c>
      <c r="B62" s="78" t="s">
        <v>26</v>
      </c>
      <c r="C62" s="78" t="s">
        <v>33</v>
      </c>
      <c r="D62" s="78" t="s">
        <v>207</v>
      </c>
      <c r="E62" s="78" t="s">
        <v>511</v>
      </c>
      <c r="F62" s="78" t="s">
        <v>280</v>
      </c>
      <c r="G62" s="78">
        <v>4</v>
      </c>
      <c r="H62" s="86" t="s">
        <v>512</v>
      </c>
      <c r="I62" s="78" t="s">
        <v>271</v>
      </c>
      <c r="J62" s="86" t="s">
        <v>513</v>
      </c>
      <c r="K62" s="277">
        <v>46145.96597222222</v>
      </c>
      <c r="L62" s="277">
        <v>46145.96597222222</v>
      </c>
      <c r="M62" s="277">
        <v>46146.244444444441</v>
      </c>
      <c r="N62" s="277">
        <v>46146.357638888891</v>
      </c>
      <c r="O62" s="80"/>
      <c r="P62" s="80"/>
      <c r="Q62" s="78" t="s">
        <v>514</v>
      </c>
      <c r="R62" s="78" t="s">
        <v>267</v>
      </c>
      <c r="S62" s="78" t="s">
        <v>193</v>
      </c>
      <c r="T62" s="78"/>
      <c r="U62" s="78" t="s">
        <v>371</v>
      </c>
      <c r="V62" s="78"/>
      <c r="W62" s="78"/>
      <c r="X62" s="78"/>
      <c r="Y62" s="78"/>
      <c r="Z62" s="167">
        <f t="shared" ca="1" si="8"/>
        <v>0</v>
      </c>
      <c r="AA62" s="168">
        <f t="shared" ca="1" si="1"/>
        <v>0</v>
      </c>
      <c r="AB62" s="167">
        <f t="shared" ca="1" si="9"/>
        <v>0</v>
      </c>
      <c r="AC62" s="168">
        <f t="shared" ca="1" si="3"/>
        <v>0</v>
      </c>
      <c r="AD62" s="191">
        <f t="shared" ca="1" si="4"/>
        <v>0</v>
      </c>
      <c r="AE62" s="167">
        <f t="shared" ca="1" si="5"/>
        <v>0</v>
      </c>
      <c r="AF62" s="168">
        <f t="shared" ca="1" si="6"/>
        <v>0</v>
      </c>
      <c r="AG62" s="168">
        <f t="shared" ca="1" si="7"/>
        <v>0</v>
      </c>
      <c r="AH62" s="81" t="str" cm="1">
        <f t="array" aca="1" ref="AH62" ca="1">IF((AD62) &lt; (INDEX(ResponseSLA[#All],(MATCH((G62),ResponseSLA[Priority],0))+1,3)),"YES","No")</f>
        <v>YES</v>
      </c>
      <c r="AI62" s="81" t="str">
        <f ca="1">_xlfn.IFNA(IF(AE62 &lt; (INDEX(SLATable[Minimum SLA],MATCH(G62,SLATable[Priority],0))),"YES","NO"),"")</f>
        <v>YES</v>
      </c>
      <c r="AJ62" s="19" t="str">
        <f ca="1">_xlfn.IFNA(IF(AE62 &lt; (INDEX(SLATable[Maximum SLA],MATCH(G62,SLATable[Priority],0))),"YES","NO"),"")</f>
        <v>YES</v>
      </c>
    </row>
    <row r="63" spans="1:36" ht="15" customHeight="1">
      <c r="A63" s="78">
        <v>62</v>
      </c>
      <c r="B63" s="78" t="s">
        <v>26</v>
      </c>
      <c r="C63" s="78" t="s">
        <v>33</v>
      </c>
      <c r="D63" s="78" t="s">
        <v>208</v>
      </c>
      <c r="E63" s="78" t="s">
        <v>515</v>
      </c>
      <c r="F63" s="78" t="s">
        <v>280</v>
      </c>
      <c r="G63" s="78" t="s">
        <v>208</v>
      </c>
      <c r="H63" s="86" t="s">
        <v>516</v>
      </c>
      <c r="I63" s="78" t="s">
        <v>271</v>
      </c>
      <c r="J63" s="86" t="s">
        <v>513</v>
      </c>
      <c r="K63" s="277">
        <v>46149.511805555558</v>
      </c>
      <c r="L63" s="277">
        <v>46149.511805555558</v>
      </c>
      <c r="M63" s="277">
        <v>46149.556944444441</v>
      </c>
      <c r="N63" s="277">
        <v>46171.504270833335</v>
      </c>
      <c r="O63" s="80">
        <v>46156.502997685187</v>
      </c>
      <c r="P63" s="80">
        <v>46171.504270833335</v>
      </c>
      <c r="Q63" s="78" t="s">
        <v>514</v>
      </c>
      <c r="R63" s="78" t="s">
        <v>267</v>
      </c>
      <c r="S63" s="78" t="s">
        <v>155</v>
      </c>
      <c r="T63" s="78"/>
      <c r="U63" s="78" t="s">
        <v>371</v>
      </c>
      <c r="V63" s="78"/>
      <c r="W63" s="78"/>
      <c r="X63" s="78"/>
      <c r="Y63" s="78"/>
      <c r="Z63" s="167">
        <f t="shared" ca="1" si="8"/>
        <v>1.8661921296297814</v>
      </c>
      <c r="AA63" s="168">
        <f t="shared" ca="1" si="1"/>
        <v>4.9765123456794171</v>
      </c>
      <c r="AB63" s="167">
        <f t="shared" ca="1" si="9"/>
        <v>1.8661921296297814</v>
      </c>
      <c r="AC63" s="168">
        <f t="shared" ca="1" si="3"/>
        <v>4.9765123456794171</v>
      </c>
      <c r="AD63" s="191">
        <f t="shared" ca="1" si="4"/>
        <v>4.5138888883229811E-2</v>
      </c>
      <c r="AE63" s="167">
        <f t="shared" ca="1" si="5"/>
        <v>1.8661921296297814</v>
      </c>
      <c r="AF63" s="168">
        <f t="shared" ca="1" si="6"/>
        <v>4.9765123456794171</v>
      </c>
      <c r="AG63" s="168">
        <f t="shared" ca="1" si="7"/>
        <v>4.9765123456794171</v>
      </c>
      <c r="AH63" s="81" t="str" cm="1">
        <f t="array" aca="1" ref="AH63" ca="1">IF((AD63) &lt; (INDEX(ResponseSLA[#All],(MATCH((G63),ResponseSLA[Priority],0))+1,3)),"YES","No")</f>
        <v>YES</v>
      </c>
      <c r="AI63" s="81" t="str">
        <f ca="1">_xlfn.IFNA(IF(AE63 &lt; (INDEX(SLATable[Minimum SLA],MATCH(G63,SLATable[Priority],0))),"YES","NO"),"")</f>
        <v>NO</v>
      </c>
      <c r="AJ63" s="19" t="str">
        <f ca="1">_xlfn.IFNA(IF(AE63 &lt; (INDEX(SLATable[Maximum SLA],MATCH(G63,SLATable[Priority],0))),"YES","NO"),"")</f>
        <v>NO</v>
      </c>
    </row>
    <row r="64" spans="1:36" ht="15" customHeight="1">
      <c r="A64" s="78">
        <v>63</v>
      </c>
      <c r="B64" s="78" t="s">
        <v>26</v>
      </c>
      <c r="C64" s="78" t="s">
        <v>33</v>
      </c>
      <c r="D64" s="78" t="s">
        <v>207</v>
      </c>
      <c r="E64" s="78" t="s">
        <v>517</v>
      </c>
      <c r="F64" s="78" t="s">
        <v>280</v>
      </c>
      <c r="G64" s="78">
        <v>4</v>
      </c>
      <c r="H64" s="86" t="s">
        <v>512</v>
      </c>
      <c r="I64" s="78" t="s">
        <v>271</v>
      </c>
      <c r="J64" s="86" t="s">
        <v>513</v>
      </c>
      <c r="K64" s="277">
        <v>46152.967361111114</v>
      </c>
      <c r="L64" s="277">
        <v>46152.967361111114</v>
      </c>
      <c r="M64" s="277">
        <v>46153.237500000003</v>
      </c>
      <c r="N64" s="277">
        <v>46153.479861111111</v>
      </c>
      <c r="O64" s="80"/>
      <c r="P64" s="80"/>
      <c r="Q64" s="78" t="s">
        <v>514</v>
      </c>
      <c r="R64" s="78" t="s">
        <v>267</v>
      </c>
      <c r="S64" s="78" t="s">
        <v>193</v>
      </c>
      <c r="T64" s="78"/>
      <c r="U64" s="78" t="s">
        <v>371</v>
      </c>
      <c r="V64" s="78"/>
      <c r="W64" s="78"/>
      <c r="X64" s="78"/>
      <c r="Y64" s="78"/>
      <c r="Z64" s="167">
        <f t="shared" ca="1" si="8"/>
        <v>0.14652777777761611</v>
      </c>
      <c r="AA64" s="168">
        <f t="shared" ca="1" si="1"/>
        <v>0.39074074074030962</v>
      </c>
      <c r="AB64" s="167">
        <f t="shared" ca="1" si="9"/>
        <v>0.14652777777761611</v>
      </c>
      <c r="AC64" s="168">
        <f t="shared" ca="1" si="3"/>
        <v>0.39074074074030962</v>
      </c>
      <c r="AD64" s="191">
        <f t="shared" ca="1" si="4"/>
        <v>0</v>
      </c>
      <c r="AE64" s="167">
        <f t="shared" ca="1" si="5"/>
        <v>0.14652777777761611</v>
      </c>
      <c r="AF64" s="168">
        <f t="shared" ca="1" si="6"/>
        <v>0.39074074074030962</v>
      </c>
      <c r="AG64" s="168">
        <f t="shared" ca="1" si="7"/>
        <v>0.39074074074030962</v>
      </c>
      <c r="AH64" s="81" t="str" cm="1">
        <f t="array" aca="1" ref="AH64" ca="1">IF((AD64) &lt; (INDEX(ResponseSLA[#All],(MATCH((G64),ResponseSLA[Priority],0))+1,3)),"YES","No")</f>
        <v>YES</v>
      </c>
      <c r="AI64" s="81" t="str">
        <f ca="1">_xlfn.IFNA(IF(AE64 &lt; (INDEX(SLATable[Minimum SLA],MATCH(G64,SLATable[Priority],0))),"YES","NO"),"")</f>
        <v>YES</v>
      </c>
      <c r="AJ64" s="19" t="str">
        <f ca="1">_xlfn.IFNA(IF(AE64 &lt; (INDEX(SLATable[Maximum SLA],MATCH(G64,SLATable[Priority],0))),"YES","NO"),"")</f>
        <v>YES</v>
      </c>
    </row>
    <row r="65" spans="1:36" ht="15" customHeight="1">
      <c r="A65" s="78">
        <v>64</v>
      </c>
      <c r="B65" s="78" t="s">
        <v>26</v>
      </c>
      <c r="C65" s="78" t="s">
        <v>33</v>
      </c>
      <c r="D65" s="78" t="s">
        <v>208</v>
      </c>
      <c r="E65" s="78" t="s">
        <v>518</v>
      </c>
      <c r="F65" s="78" t="s">
        <v>280</v>
      </c>
      <c r="G65" s="78" t="s">
        <v>208</v>
      </c>
      <c r="H65" s="86" t="s">
        <v>519</v>
      </c>
      <c r="I65" s="78" t="s">
        <v>271</v>
      </c>
      <c r="J65" s="86" t="s">
        <v>506</v>
      </c>
      <c r="K65" s="277">
        <v>46154.475694444445</v>
      </c>
      <c r="L65" s="277">
        <v>46154.507638888892</v>
      </c>
      <c r="M65" s="277">
        <v>46154.553472222222</v>
      </c>
      <c r="N65" s="277">
        <v>46178.644305555557</v>
      </c>
      <c r="O65" s="80">
        <v>46163.643472222226</v>
      </c>
      <c r="P65" s="80">
        <v>46178.643750000003</v>
      </c>
      <c r="Q65" s="78" t="s">
        <v>514</v>
      </c>
      <c r="R65" s="78" t="s">
        <v>267</v>
      </c>
      <c r="S65" s="78" t="s">
        <v>147</v>
      </c>
      <c r="T65" s="78"/>
      <c r="U65" s="78" t="s">
        <v>371</v>
      </c>
      <c r="V65" s="78"/>
      <c r="W65" s="78"/>
      <c r="X65" s="78"/>
      <c r="Y65" s="78"/>
      <c r="Z65" s="167">
        <f t="shared" ca="1" si="8"/>
        <v>2.7933333333348864</v>
      </c>
      <c r="AA65" s="168">
        <f t="shared" ca="1" si="1"/>
        <v>7.4488888888930314</v>
      </c>
      <c r="AB65" s="167">
        <f t="shared" ca="1" si="9"/>
        <v>2.7613888888881784</v>
      </c>
      <c r="AC65" s="168">
        <f t="shared" ca="1" si="3"/>
        <v>7.3637037037018098</v>
      </c>
      <c r="AD65" s="191">
        <f t="shared" ca="1" si="4"/>
        <v>4.5833333329937886E-2</v>
      </c>
      <c r="AE65" s="167">
        <f t="shared" ca="1" si="5"/>
        <v>2.7613888888881784</v>
      </c>
      <c r="AF65" s="168">
        <f t="shared" ca="1" si="6"/>
        <v>7.3637037037018098</v>
      </c>
      <c r="AG65" s="168">
        <f t="shared" ca="1" si="7"/>
        <v>7.3637037037018098</v>
      </c>
      <c r="AH65" s="81" t="str" cm="1">
        <f t="array" aca="1" ref="AH65" ca="1">IF((AD65) &lt; (INDEX(ResponseSLA[#All],(MATCH((G65),ResponseSLA[Priority],0))+1,3)),"YES","No")</f>
        <v>YES</v>
      </c>
      <c r="AI65" s="81" t="str">
        <f ca="1">_xlfn.IFNA(IF(AE65 &lt; (INDEX(SLATable[Minimum SLA],MATCH(G65,SLATable[Priority],0))),"YES","NO"),"")</f>
        <v>NO</v>
      </c>
      <c r="AJ65" s="19" t="str">
        <f ca="1">_xlfn.IFNA(IF(AE65 &lt; (INDEX(SLATable[Maximum SLA],MATCH(G65,SLATable[Priority],0))),"YES","NO"),"")</f>
        <v>NO</v>
      </c>
    </row>
    <row r="66" spans="1:36" ht="15" customHeight="1">
      <c r="A66" s="78">
        <v>65</v>
      </c>
      <c r="B66" s="78" t="s">
        <v>26</v>
      </c>
      <c r="C66" s="78" t="s">
        <v>33</v>
      </c>
      <c r="D66" s="78" t="s">
        <v>207</v>
      </c>
      <c r="E66" s="78" t="s">
        <v>520</v>
      </c>
      <c r="F66" s="78" t="s">
        <v>284</v>
      </c>
      <c r="G66" s="78">
        <v>4</v>
      </c>
      <c r="H66" s="86" t="s">
        <v>521</v>
      </c>
      <c r="I66" s="78" t="s">
        <v>271</v>
      </c>
      <c r="J66" s="86" t="s">
        <v>522</v>
      </c>
      <c r="K66" s="277">
        <v>46155.061215277776</v>
      </c>
      <c r="L66" s="277">
        <v>46155.061215277776</v>
      </c>
      <c r="M66" s="277">
        <v>46155.292962962965</v>
      </c>
      <c r="N66" s="277">
        <v>46157.525405092594</v>
      </c>
      <c r="O66" s="80"/>
      <c r="P66" s="80"/>
      <c r="Q66" s="78" t="s">
        <v>523</v>
      </c>
      <c r="R66" s="78" t="s">
        <v>267</v>
      </c>
      <c r="S66" s="78" t="s">
        <v>193</v>
      </c>
      <c r="T66" s="78"/>
      <c r="U66" s="78" t="s">
        <v>371</v>
      </c>
      <c r="V66" s="78"/>
      <c r="W66" s="78"/>
      <c r="X66" s="78"/>
      <c r="Y66" s="78"/>
      <c r="Z66" s="167">
        <f t="shared" ref="Z66:Z97" ca="1" si="10">IF(NOT(OR(G66=1,G66=2)),MAX(0,_xlfn.IFS(AND(K66&lt;&gt;"",N66&lt;&gt;""),((MAX(NETWORKDAYS(K66,N66,UKBankHolidays)-1,0))*(TIME(17,0,0)-TIME(8,0,0))+IF(NETWORKDAYS(N66,N66,UKBankHolidays)&gt;0,MEDIAN(TIME(8,0,0),MOD(N66,1),TIME(17,0,0)),TIME(8,0,0))-IF(NETWORKDAYS(K66,K66,UKBankHolidays)&gt;0,MEDIAN(TIME(8,0,0),MOD(K66,1),TIME(17,0,0)),TIME(8,0,0)))-IF(AND(O66&lt;&gt;"",P66&lt;&gt;""),((MAX(NETWORKDAYS(O66,P66,UKBankHolidays)-1,0))*(TIME(17,0,0)-TIME(8,0,0))+IF(NETWORKDAYS(P66,P66,UKBankHolidays)&gt;0,MEDIAN(TIME(8,0,0),MOD(P66,1),TIME(17,0,0)),TIME(8,0,0))-IF(NETWORKDAYS(O66,O66,UKBankHolidays)&gt;0,MEDIAN(TIME(8,0,0),MOD(O66,1),TIME(17,0,0)),TIME(8,0,0))),0),AND(K66&lt;&gt;"",N66=""),((MAX(NETWORKDAYS(K66,NOW(),UKBankHolidays)-1,0))*(TIME(17,0,0)-TIME(8,0,0))+IF(NETWORKDAYS(NOW(),NOW(),UKBankHolidays)&gt;0,MEDIAN(TIME(8,0,0),MOD(NOW(),1),TIME(17,0,0)),TIME(8,0,0))-IF(NETWORKDAYS(K66,K66,UKBankHolidays)&gt;0,MEDIAN(TIME(8,0,0),MOD(K66,1),TIME(17,0,0)),TIME(8,0,0))))),IF(N66="",NOW()-K66,N66-K66))</f>
        <v>0.94207175926082232</v>
      </c>
      <c r="AA66" s="168">
        <f t="shared" ref="AA66:AA129" ca="1" si="11">(Z66*24)/9</f>
        <v>2.5121913580288595</v>
      </c>
      <c r="AB66" s="167">
        <f t="shared" ref="AB66:AB97" ca="1" si="12">IF(NOT(OR(G66=1,G66=2)),MAX(0,_xlfn.IFS(AND(K66&lt;&gt;"",N66&lt;&gt;""),(((MAX(NETWORKDAYS(L66,N66,UKBankHolidays)-1,0))*(TIME(17,0,0)-TIME(8,0,0)))+IF(NETWORKDAYS(N66,N66,UKBankHolidays)&gt;0,MEDIAN(TIME(8,0,0),MOD(N66,1),TIME(17,0,0)),TIME(8,0,0))-IF(NETWORKDAYS(L66,L66,UKBankHolidays)&gt;0,MEDIAN(TIME(8,0,0),MOD(L66,1),TIME(17,0,0)),TIME(8,0,0)))-IF(AND(O66&lt;&gt;"",P66&lt;&gt;""),(((MAX(NETWORKDAYS(O66,P66,UKBankHolidays)-1,0))*(TIME(17,0,0)-TIME(8,0,0)))+IF(NETWORKDAYS(P66,P66,UKBankHolidays)&gt;0,MEDIAN(TIME(8,0,0),MOD(P66,1),TIME(17,0,0)),TIME(8,0,0))-IF(NETWORKDAYS(O66,O66,UKBankHolidays)&gt;0,MEDIAN(TIME(8,0,0),MOD(O66,1),TIME(17,0,0)),TIME(8,0,0))),0),AND(L66&lt;&gt;"",N66="",O66=""),(((MAX(NETWORKDAYS(L66,NOW(),UKBankHolidays)-1,0))*(TIME(17,0,0)-TIME(8,0,0)))+IF(NETWORKDAYS(NOW(),NOW(),UKBankHolidays)&gt;0,MEDIAN(TIME(8,0,0),MOD(NOW(),1),TIME(17,0,0)),TIME(8,0,0))-IF(NETWORKDAYS(L66,L66,UKBankHolidays)&gt;0,MEDIAN(TIME(8,0,0),MOD(L66,1),TIME(17,0,0)),TIME(8,0,0)))-IF(AND(O66&lt;&gt;"",P66&lt;&gt;""),(((MAX(NETWORKDAYS(O66,P66,UKBankHolidays)-1,0))*(TIME(17,0,0)-TIME(8,0,0)))+IF(NETWORKDAYS(P66,P66,UKBankHolidays)&gt;0,MEDIAN(TIME(8,0,0),MOD(P66,1),TIME(17,0,0)),TIME(8,0,0))-IF(NETWORKDAYS(O66,O66,UKBankHolidays)&gt;0,MEDIAN(TIME(8,0,0),MOD(O66,1),TIME(17,0,0)),TIME(8,0,0))),0),AND(L66&lt;&gt;"",N66="",P66="",O66&lt;&gt;""),(((MAX(NETWORKDAYS(L66,O66,UKBankHolidays)-1,0))*(TIME(17,0,0)-TIME(8,0,0)))+IF(NETWORKDAYS(O66,O66,UKBankHolidays)&gt;0,MEDIAN(TIME(8,0,0),MOD(O66,1),TIME(17,0,0)),TIME(8,0,0))-IF(NETWORKDAYS(L66,L66,UKBankHolidays)&gt;0,MEDIAN(TIME(8,0,0),MOD(L66,1),TIME(17,0,0)),TIME(8,0,0))),ISBLANK(K66),"0")),IF(ISBLANK(N66),NOW()-L66,N66-L66))</f>
        <v>0.94207175926082232</v>
      </c>
      <c r="AC66" s="168">
        <f t="shared" ref="AC66:AC129" ca="1" si="13">(AB66*24)/9</f>
        <v>2.5121913580288595</v>
      </c>
      <c r="AD66" s="191">
        <f t="shared" ref="AD66:AD129" ca="1" si="14">MAX(0,
IF(
OR(G66=1,G66=2),
IF(M66&lt;&gt;"",M66-L66,NOW()-L66),
IF(
M66&lt;&gt;"",
IF(
INT(L66)=INT(M66),
IF(
NETWORKDAYS(L66,L66,UKBankHolidays)=0,
0,
MAX(
0,
MIN(MOD(M66,1),TIME(17,0,0))
-
MAX(MOD(L66,1),TIME(8,0,0))
)
),
MAX(
0,
IF(
NETWORKDAYS(L66,L66,UKBankHolidays)&gt;0,
TIME(17,0,0)-MAX(MOD(L66,1),TIME(8,0,0)),
0
)
)
+
MAX(
0,
NETWORKDAYS(INT(L66)+1,INT(M66)-1,UKBankHolidays)
*(TIME(17,0,0)-TIME(8,0,0))
)
+
MAX(
0,
IF(
NETWORKDAYS(M66,M66,UKBankHolidays)&gt;0,
MIN(MOD(M66,1),TIME(17,0,0))-TIME(8,0,0),
0
)
)
),
IF(M66&lt;&gt;"",M66-L66,NOW()-L66)
)
)
)</f>
        <v>0</v>
      </c>
      <c r="AE66" s="167">
        <f t="shared" ref="AE66:AE129" ca="1" si="15">SUMIFS(AB:AB,E:E,E66)</f>
        <v>0.94207175926082232</v>
      </c>
      <c r="AF66" s="168">
        <f t="shared" ref="AF66:AF129" ca="1" si="16">(AE66*24)/9</f>
        <v>2.5121913580288595</v>
      </c>
      <c r="AG66" s="168">
        <f t="shared" ref="AG66:AG129" ca="1" si="17">AF66</f>
        <v>2.5121913580288595</v>
      </c>
      <c r="AH66" s="81" t="str" cm="1">
        <f t="array" aca="1" ref="AH66" ca="1">IF((AD66) &lt; (INDEX(ResponseSLA[#All],(MATCH((G66),ResponseSLA[Priority],0))+1,3)),"YES","No")</f>
        <v>YES</v>
      </c>
      <c r="AI66" s="81" t="str">
        <f ca="1">_xlfn.IFNA(IF(AE66 &lt; (INDEX(SLATable[Minimum SLA],MATCH(G66,SLATable[Priority],0))),"YES","NO"),"")</f>
        <v>YES</v>
      </c>
      <c r="AJ66" s="19" t="str">
        <f ca="1">_xlfn.IFNA(IF(AE66 &lt; (INDEX(SLATable[Maximum SLA],MATCH(G66,SLATable[Priority],0))),"YES","NO"),"")</f>
        <v>YES</v>
      </c>
    </row>
    <row r="67" spans="1:36" ht="15" customHeight="1">
      <c r="A67" s="78">
        <v>66</v>
      </c>
      <c r="B67" s="78" t="s">
        <v>26</v>
      </c>
      <c r="C67" s="78" t="s">
        <v>33</v>
      </c>
      <c r="D67" s="78" t="s">
        <v>207</v>
      </c>
      <c r="E67" s="78" t="s">
        <v>524</v>
      </c>
      <c r="F67" s="78" t="s">
        <v>282</v>
      </c>
      <c r="G67" s="78">
        <v>4</v>
      </c>
      <c r="H67" s="86" t="s">
        <v>525</v>
      </c>
      <c r="I67" s="78" t="s">
        <v>271</v>
      </c>
      <c r="J67" s="86" t="s">
        <v>510</v>
      </c>
      <c r="K67" s="277">
        <v>46155.718078703707</v>
      </c>
      <c r="L67" s="277">
        <v>46155.738807870373</v>
      </c>
      <c r="M67" s="277">
        <v>46156.21775462963</v>
      </c>
      <c r="N67" s="277">
        <v>46160.589178240742</v>
      </c>
      <c r="O67" s="80"/>
      <c r="P67" s="80"/>
      <c r="Q67" s="78" t="s">
        <v>507</v>
      </c>
      <c r="R67" s="78" t="s">
        <v>267</v>
      </c>
      <c r="S67" s="78" t="s">
        <v>157</v>
      </c>
      <c r="T67" s="78"/>
      <c r="U67" s="78" t="s">
        <v>371</v>
      </c>
      <c r="V67" s="78"/>
      <c r="W67" s="78"/>
      <c r="X67" s="78"/>
      <c r="Y67" s="78"/>
      <c r="Z67" s="167">
        <f t="shared" ca="1" si="10"/>
        <v>1.00584490740827</v>
      </c>
      <c r="AA67" s="168">
        <f t="shared" ca="1" si="11"/>
        <v>2.6822530864220533</v>
      </c>
      <c r="AB67" s="167">
        <f t="shared" ca="1" si="12"/>
        <v>1.00584490740827</v>
      </c>
      <c r="AC67" s="168">
        <f t="shared" ca="1" si="13"/>
        <v>2.6822530864220533</v>
      </c>
      <c r="AD67" s="191">
        <f t="shared" ca="1" si="14"/>
        <v>0</v>
      </c>
      <c r="AE67" s="167">
        <f t="shared" ca="1" si="15"/>
        <v>1.00584490740827</v>
      </c>
      <c r="AF67" s="168">
        <f t="shared" ca="1" si="16"/>
        <v>2.6822530864220533</v>
      </c>
      <c r="AG67" s="168">
        <f t="shared" ca="1" si="17"/>
        <v>2.6822530864220533</v>
      </c>
      <c r="AH67" s="81" t="str" cm="1">
        <f t="array" aca="1" ref="AH67" ca="1">IF((AD67) &lt; (INDEX(ResponseSLA[#All],(MATCH((G67),ResponseSLA[Priority],0))+1,3)),"YES","No")</f>
        <v>YES</v>
      </c>
      <c r="AI67" s="81" t="str">
        <f ca="1">_xlfn.IFNA(IF(AE67 &lt; (INDEX(SLATable[Minimum SLA],MATCH(G67,SLATable[Priority],0))),"YES","NO"),"")</f>
        <v>YES</v>
      </c>
      <c r="AJ67" s="19" t="str">
        <f ca="1">_xlfn.IFNA(IF(AE67 &lt; (INDEX(SLATable[Maximum SLA],MATCH(G67,SLATable[Priority],0))),"YES","NO"),"")</f>
        <v>YES</v>
      </c>
    </row>
    <row r="68" spans="1:36" ht="15" customHeight="1">
      <c r="A68" s="78">
        <v>67</v>
      </c>
      <c r="B68" s="78" t="s">
        <v>26</v>
      </c>
      <c r="C68" s="78" t="s">
        <v>33</v>
      </c>
      <c r="D68" s="78" t="s">
        <v>207</v>
      </c>
      <c r="E68" s="78" t="s">
        <v>526</v>
      </c>
      <c r="F68" s="78" t="s">
        <v>282</v>
      </c>
      <c r="G68" s="78">
        <v>3</v>
      </c>
      <c r="H68" s="86" t="s">
        <v>527</v>
      </c>
      <c r="I68" s="78" t="s">
        <v>271</v>
      </c>
      <c r="J68" s="86" t="s">
        <v>510</v>
      </c>
      <c r="K68" s="277">
        <v>46155.741273148145</v>
      </c>
      <c r="L68" s="277">
        <v>46155.745613425926</v>
      </c>
      <c r="M68" s="277">
        <v>46156.217777777776</v>
      </c>
      <c r="N68" s="277">
        <v>46160.589895833335</v>
      </c>
      <c r="O68" s="80"/>
      <c r="P68" s="80"/>
      <c r="Q68" s="78" t="s">
        <v>507</v>
      </c>
      <c r="R68" s="78" t="s">
        <v>267</v>
      </c>
      <c r="S68" s="78" t="s">
        <v>157</v>
      </c>
      <c r="T68" s="78"/>
      <c r="U68" s="78" t="s">
        <v>371</v>
      </c>
      <c r="V68" s="78"/>
      <c r="W68" s="78"/>
      <c r="X68" s="78"/>
      <c r="Y68" s="78"/>
      <c r="Z68" s="167">
        <f t="shared" ca="1" si="10"/>
        <v>1.0065625000012615</v>
      </c>
      <c r="AA68" s="168">
        <f t="shared" ca="1" si="11"/>
        <v>2.6841666666700306</v>
      </c>
      <c r="AB68" s="167">
        <f t="shared" ca="1" si="12"/>
        <v>1.0065625000012615</v>
      </c>
      <c r="AC68" s="168">
        <f t="shared" ca="1" si="13"/>
        <v>2.6841666666700306</v>
      </c>
      <c r="AD68" s="191">
        <f t="shared" ca="1" si="14"/>
        <v>0</v>
      </c>
      <c r="AE68" s="167">
        <f t="shared" ca="1" si="15"/>
        <v>1.0065625000012615</v>
      </c>
      <c r="AF68" s="168">
        <f t="shared" ca="1" si="16"/>
        <v>2.6841666666700306</v>
      </c>
      <c r="AG68" s="168">
        <f t="shared" ca="1" si="17"/>
        <v>2.6841666666700306</v>
      </c>
      <c r="AH68" s="81" t="str" cm="1">
        <f t="array" aca="1" ref="AH68" ca="1">IF((AD68) &lt; (INDEX(ResponseSLA[#All],(MATCH((G68),ResponseSLA[Priority],0))+1,3)),"YES","No")</f>
        <v>YES</v>
      </c>
      <c r="AI68" s="81" t="str">
        <f ca="1">_xlfn.IFNA(IF(AE68 &lt; (INDEX(SLATable[Minimum SLA],MATCH(G68,SLATable[Priority],0))),"YES","NO"),"")</f>
        <v>NO</v>
      </c>
      <c r="AJ68" s="19" t="str">
        <f ca="1">_xlfn.IFNA(IF(AE68 &lt; (INDEX(SLATable[Maximum SLA],MATCH(G68,SLATable[Priority],0))),"YES","NO"),"")</f>
        <v>YES</v>
      </c>
    </row>
    <row r="69" spans="1:36" ht="15" customHeight="1">
      <c r="A69" s="78">
        <v>68</v>
      </c>
      <c r="B69" s="78" t="s">
        <v>26</v>
      </c>
      <c r="C69" s="78" t="s">
        <v>33</v>
      </c>
      <c r="D69" s="78" t="s">
        <v>207</v>
      </c>
      <c r="E69" s="78" t="s">
        <v>528</v>
      </c>
      <c r="F69" s="78" t="s">
        <v>280</v>
      </c>
      <c r="G69" s="78">
        <v>4</v>
      </c>
      <c r="H69" s="86" t="s">
        <v>529</v>
      </c>
      <c r="I69" s="78" t="s">
        <v>271</v>
      </c>
      <c r="J69" s="86" t="s">
        <v>506</v>
      </c>
      <c r="K69" s="277">
        <v>46158.104837962965</v>
      </c>
      <c r="L69" s="277">
        <v>46158.104837962965</v>
      </c>
      <c r="M69" s="277">
        <v>46160.248993055553</v>
      </c>
      <c r="N69" s="277">
        <v>46160.359884259262</v>
      </c>
      <c r="O69" s="80"/>
      <c r="P69" s="80"/>
      <c r="Q69" s="78" t="s">
        <v>514</v>
      </c>
      <c r="R69" s="78" t="s">
        <v>267</v>
      </c>
      <c r="S69" s="78" t="s">
        <v>193</v>
      </c>
      <c r="T69" s="78"/>
      <c r="U69" s="78" t="s">
        <v>371</v>
      </c>
      <c r="V69" s="78"/>
      <c r="W69" s="78"/>
      <c r="X69" s="78"/>
      <c r="Y69" s="78"/>
      <c r="Z69" s="167">
        <f t="shared" ca="1" si="10"/>
        <v>2.6550925928556068E-2</v>
      </c>
      <c r="AA69" s="168">
        <f t="shared" ca="1" si="11"/>
        <v>7.0802469142816182E-2</v>
      </c>
      <c r="AB69" s="167">
        <f t="shared" ca="1" si="12"/>
        <v>2.6550925928556068E-2</v>
      </c>
      <c r="AC69" s="168">
        <f t="shared" ca="1" si="13"/>
        <v>7.0802469142816182E-2</v>
      </c>
      <c r="AD69" s="191">
        <f t="shared" ca="1" si="14"/>
        <v>0</v>
      </c>
      <c r="AE69" s="167">
        <f t="shared" ca="1" si="15"/>
        <v>2.6550925928556068E-2</v>
      </c>
      <c r="AF69" s="168">
        <f t="shared" ca="1" si="16"/>
        <v>7.0802469142816182E-2</v>
      </c>
      <c r="AG69" s="168">
        <f t="shared" ca="1" si="17"/>
        <v>7.0802469142816182E-2</v>
      </c>
      <c r="AH69" s="81" t="str" cm="1">
        <f t="array" aca="1" ref="AH69" ca="1">IF((AD69) &lt; (INDEX(ResponseSLA[#All],(MATCH((G69),ResponseSLA[Priority],0))+1,3)),"YES","No")</f>
        <v>YES</v>
      </c>
      <c r="AI69" s="81" t="str">
        <f ca="1">_xlfn.IFNA(IF(AE69 &lt; (INDEX(SLATable[Minimum SLA],MATCH(G69,SLATable[Priority],0))),"YES","NO"),"")</f>
        <v>YES</v>
      </c>
      <c r="AJ69" s="19" t="str">
        <f ca="1">_xlfn.IFNA(IF(AE69 &lt; (INDEX(SLATable[Maximum SLA],MATCH(G69,SLATable[Priority],0))),"YES","NO"),"")</f>
        <v>YES</v>
      </c>
    </row>
    <row r="70" spans="1:36" ht="15" customHeight="1">
      <c r="A70" s="78">
        <v>69</v>
      </c>
      <c r="B70" s="78" t="s">
        <v>26</v>
      </c>
      <c r="C70" s="78" t="s">
        <v>33</v>
      </c>
      <c r="D70" s="78" t="s">
        <v>207</v>
      </c>
      <c r="E70" s="78" t="s">
        <v>530</v>
      </c>
      <c r="F70" s="78" t="s">
        <v>280</v>
      </c>
      <c r="G70" s="78">
        <v>4</v>
      </c>
      <c r="H70" s="86" t="s">
        <v>531</v>
      </c>
      <c r="I70" s="78" t="s">
        <v>271</v>
      </c>
      <c r="J70" s="86" t="s">
        <v>506</v>
      </c>
      <c r="K70" s="277">
        <v>46159.9453587963</v>
      </c>
      <c r="L70" s="277">
        <v>46159.9453587963</v>
      </c>
      <c r="M70" s="277">
        <v>46160.252060185187</v>
      </c>
      <c r="N70" s="277">
        <v>46168.53633101852</v>
      </c>
      <c r="O70" s="80"/>
      <c r="P70" s="80"/>
      <c r="Q70" s="78" t="s">
        <v>514</v>
      </c>
      <c r="R70" s="78" t="s">
        <v>267</v>
      </c>
      <c r="S70" s="78" t="s">
        <v>193</v>
      </c>
      <c r="T70" s="78"/>
      <c r="U70" s="78" t="s">
        <v>371</v>
      </c>
      <c r="V70" s="78"/>
      <c r="W70" s="78"/>
      <c r="X70" s="78"/>
      <c r="Y70" s="78"/>
      <c r="Z70" s="167">
        <f t="shared" ca="1" si="10"/>
        <v>2.0779976851869528</v>
      </c>
      <c r="AA70" s="168">
        <f t="shared" ca="1" si="11"/>
        <v>5.5413271604985415</v>
      </c>
      <c r="AB70" s="167">
        <f t="shared" ca="1" si="12"/>
        <v>2.0779976851869528</v>
      </c>
      <c r="AC70" s="168">
        <f t="shared" ca="1" si="13"/>
        <v>5.5413271604985415</v>
      </c>
      <c r="AD70" s="191">
        <f t="shared" ca="1" si="14"/>
        <v>0</v>
      </c>
      <c r="AE70" s="167">
        <f t="shared" ca="1" si="15"/>
        <v>2.0779976851869528</v>
      </c>
      <c r="AF70" s="168">
        <f t="shared" ca="1" si="16"/>
        <v>5.5413271604985415</v>
      </c>
      <c r="AG70" s="168">
        <f t="shared" ca="1" si="17"/>
        <v>5.5413271604985415</v>
      </c>
      <c r="AH70" s="81" t="str" cm="1">
        <f t="array" aca="1" ref="AH70" ca="1">IF((AD70) &lt; (INDEX(ResponseSLA[#All],(MATCH((G70),ResponseSLA[Priority],0))+1,3)),"YES","No")</f>
        <v>YES</v>
      </c>
      <c r="AI70" s="81" t="str">
        <f ca="1">_xlfn.IFNA(IF(AE70 &lt; (INDEX(SLATable[Minimum SLA],MATCH(G70,SLATable[Priority],0))),"YES","NO"),"")</f>
        <v>YES</v>
      </c>
      <c r="AJ70" s="19" t="str">
        <f ca="1">_xlfn.IFNA(IF(AE70 &lt; (INDEX(SLATable[Maximum SLA],MATCH(G70,SLATable[Priority],0))),"YES","NO"),"")</f>
        <v>YES</v>
      </c>
    </row>
    <row r="71" spans="1:36" ht="15" customHeight="1">
      <c r="A71" s="78">
        <v>70</v>
      </c>
      <c r="B71" s="78" t="s">
        <v>26</v>
      </c>
      <c r="C71" s="78" t="s">
        <v>33</v>
      </c>
      <c r="D71" s="78" t="s">
        <v>207</v>
      </c>
      <c r="E71" s="78" t="s">
        <v>532</v>
      </c>
      <c r="F71" s="78" t="s">
        <v>282</v>
      </c>
      <c r="G71" s="78">
        <v>3</v>
      </c>
      <c r="H71" s="86" t="s">
        <v>533</v>
      </c>
      <c r="I71" s="78" t="s">
        <v>271</v>
      </c>
      <c r="J71" s="86" t="s">
        <v>506</v>
      </c>
      <c r="K71" s="277">
        <v>46160.544675925928</v>
      </c>
      <c r="L71" s="277">
        <v>46160.547129629631</v>
      </c>
      <c r="M71" s="277">
        <v>46160.569050925929</v>
      </c>
      <c r="N71" s="277">
        <v>46169.591608796298</v>
      </c>
      <c r="O71" s="80"/>
      <c r="P71" s="80"/>
      <c r="Q71" s="78" t="s">
        <v>507</v>
      </c>
      <c r="R71" s="78" t="s">
        <v>267</v>
      </c>
      <c r="S71" s="78" t="s">
        <v>157</v>
      </c>
      <c r="T71" s="78"/>
      <c r="U71" s="78" t="s">
        <v>371</v>
      </c>
      <c r="V71" s="78"/>
      <c r="W71" s="78"/>
      <c r="X71" s="78"/>
      <c r="Y71" s="78"/>
      <c r="Z71" s="167">
        <f t="shared" ca="1" si="10"/>
        <v>2.2969328703693468</v>
      </c>
      <c r="AA71" s="168">
        <f t="shared" ca="1" si="11"/>
        <v>6.1251543209849251</v>
      </c>
      <c r="AB71" s="167">
        <f t="shared" ca="1" si="12"/>
        <v>2.2944791666668611</v>
      </c>
      <c r="AC71" s="168">
        <f t="shared" ca="1" si="13"/>
        <v>6.1186111111116297</v>
      </c>
      <c r="AD71" s="191">
        <f t="shared" ca="1" si="14"/>
        <v>2.192129629838746E-2</v>
      </c>
      <c r="AE71" s="167">
        <f t="shared" ca="1" si="15"/>
        <v>2.2944791666668611</v>
      </c>
      <c r="AF71" s="168">
        <f t="shared" ca="1" si="16"/>
        <v>6.1186111111116297</v>
      </c>
      <c r="AG71" s="168">
        <f t="shared" ca="1" si="17"/>
        <v>6.1186111111116297</v>
      </c>
      <c r="AH71" s="81" t="str" cm="1">
        <f t="array" aca="1" ref="AH71" ca="1">IF((AD71) &lt; (INDEX(ResponseSLA[#All],(MATCH((G71),ResponseSLA[Priority],0))+1,3)),"YES","No")</f>
        <v>YES</v>
      </c>
      <c r="AI71" s="81" t="str">
        <f ca="1">_xlfn.IFNA(IF(AE71 &lt; (INDEX(SLATable[Minimum SLA],MATCH(G71,SLATable[Priority],0))),"YES","NO"),"")</f>
        <v>NO</v>
      </c>
      <c r="AJ71" s="19" t="str">
        <f ca="1">_xlfn.IFNA(IF(AE71 &lt; (INDEX(SLATable[Maximum SLA],MATCH(G71,SLATable[Priority],0))),"YES","NO"),"")</f>
        <v>NO</v>
      </c>
    </row>
    <row r="72" spans="1:36" ht="15" customHeight="1">
      <c r="A72" s="78">
        <v>71</v>
      </c>
      <c r="B72" s="78" t="s">
        <v>26</v>
      </c>
      <c r="C72" s="78" t="s">
        <v>33</v>
      </c>
      <c r="D72" s="78" t="s">
        <v>207</v>
      </c>
      <c r="E72" s="78" t="s">
        <v>534</v>
      </c>
      <c r="F72" s="78" t="s">
        <v>280</v>
      </c>
      <c r="G72" s="78">
        <v>4</v>
      </c>
      <c r="H72" s="86" t="s">
        <v>535</v>
      </c>
      <c r="I72" s="78" t="s">
        <v>275</v>
      </c>
      <c r="J72" s="86" t="s">
        <v>513</v>
      </c>
      <c r="K72" s="277">
        <v>46162.484236111108</v>
      </c>
      <c r="L72" s="277">
        <v>46162.484236111108</v>
      </c>
      <c r="M72" s="277">
        <v>46162.491990740738</v>
      </c>
      <c r="N72" s="277">
        <v>46163.565798611111</v>
      </c>
      <c r="O72" s="80">
        <v>46163.496620370373</v>
      </c>
      <c r="P72" s="80">
        <v>46163.56527777778</v>
      </c>
      <c r="Q72" s="78" t="s">
        <v>514</v>
      </c>
      <c r="R72" s="78" t="s">
        <v>261</v>
      </c>
      <c r="S72" s="78" t="s">
        <v>161</v>
      </c>
      <c r="T72" s="78"/>
      <c r="U72" s="78" t="s">
        <v>371</v>
      </c>
      <c r="V72" s="78"/>
      <c r="W72" s="78"/>
      <c r="X72" s="78"/>
      <c r="Y72" s="78"/>
      <c r="Z72" s="167">
        <f t="shared" ca="1" si="10"/>
        <v>0.38790509259706596</v>
      </c>
      <c r="AA72" s="168">
        <f t="shared" ca="1" si="11"/>
        <v>1.0344135802588426</v>
      </c>
      <c r="AB72" s="167">
        <f t="shared" ca="1" si="12"/>
        <v>0.38790509259706596</v>
      </c>
      <c r="AC72" s="168">
        <f t="shared" ca="1" si="13"/>
        <v>1.0344135802588426</v>
      </c>
      <c r="AD72" s="191">
        <f t="shared" ca="1" si="14"/>
        <v>7.7546296306536533E-3</v>
      </c>
      <c r="AE72" s="167">
        <f t="shared" ca="1" si="15"/>
        <v>0.38790509259706596</v>
      </c>
      <c r="AF72" s="168">
        <f t="shared" ca="1" si="16"/>
        <v>1.0344135802588426</v>
      </c>
      <c r="AG72" s="168">
        <f t="shared" ca="1" si="17"/>
        <v>1.0344135802588426</v>
      </c>
      <c r="AH72" s="81" t="str" cm="1">
        <f t="array" aca="1" ref="AH72" ca="1">IF((AD72) &lt; (INDEX(ResponseSLA[#All],(MATCH((G72),ResponseSLA[Priority],0))+1,3)),"YES","No")</f>
        <v>YES</v>
      </c>
      <c r="AI72" s="81" t="str">
        <f ca="1">_xlfn.IFNA(IF(AE72 &lt; (INDEX(SLATable[Minimum SLA],MATCH(G72,SLATable[Priority],0))),"YES","NO"),"")</f>
        <v>YES</v>
      </c>
      <c r="AJ72" s="19" t="str">
        <f ca="1">_xlfn.IFNA(IF(AE72 &lt; (INDEX(SLATable[Maximum SLA],MATCH(G72,SLATable[Priority],0))),"YES","NO"),"")</f>
        <v>YES</v>
      </c>
    </row>
    <row r="73" spans="1:36" ht="15" customHeight="1">
      <c r="A73" s="78">
        <v>72</v>
      </c>
      <c r="B73" s="78" t="s">
        <v>26</v>
      </c>
      <c r="C73" s="78" t="s">
        <v>33</v>
      </c>
      <c r="D73" s="78" t="s">
        <v>207</v>
      </c>
      <c r="E73" s="78" t="s">
        <v>536</v>
      </c>
      <c r="F73" s="78" t="s">
        <v>282</v>
      </c>
      <c r="G73" s="78">
        <v>3</v>
      </c>
      <c r="H73" s="86" t="s">
        <v>537</v>
      </c>
      <c r="I73" s="78" t="s">
        <v>271</v>
      </c>
      <c r="J73" s="86" t="s">
        <v>506</v>
      </c>
      <c r="K73" s="277">
        <v>46155.493356481478</v>
      </c>
      <c r="L73" s="277">
        <v>46163.585648148146</v>
      </c>
      <c r="M73" s="277">
        <v>46163.589965277781</v>
      </c>
      <c r="N73" s="277">
        <v>46169.577766203707</v>
      </c>
      <c r="O73" s="80"/>
      <c r="P73" s="80"/>
      <c r="Q73" s="78" t="s">
        <v>507</v>
      </c>
      <c r="R73" s="78" t="s">
        <v>267</v>
      </c>
      <c r="S73" s="78" t="s">
        <v>145</v>
      </c>
      <c r="T73" s="78"/>
      <c r="U73" s="78" t="s">
        <v>371</v>
      </c>
      <c r="V73" s="78"/>
      <c r="W73" s="78"/>
      <c r="X73" s="78"/>
      <c r="Y73" s="78"/>
      <c r="Z73" s="167">
        <f t="shared" ca="1" si="10"/>
        <v>3.4594097222288842</v>
      </c>
      <c r="AA73" s="168">
        <f t="shared" ca="1" si="11"/>
        <v>9.2250925926103591</v>
      </c>
      <c r="AB73" s="167">
        <f t="shared" ca="1" si="12"/>
        <v>1.1171180555611502</v>
      </c>
      <c r="AC73" s="168">
        <f t="shared" ca="1" si="13"/>
        <v>2.9789814814964006</v>
      </c>
      <c r="AD73" s="191">
        <f t="shared" ca="1" si="14"/>
        <v>4.3171296347281896E-3</v>
      </c>
      <c r="AE73" s="167">
        <f t="shared" ca="1" si="15"/>
        <v>1.1171180555611502</v>
      </c>
      <c r="AF73" s="168">
        <f t="shared" ca="1" si="16"/>
        <v>2.9789814814964006</v>
      </c>
      <c r="AG73" s="168">
        <f t="shared" ca="1" si="17"/>
        <v>2.9789814814964006</v>
      </c>
      <c r="AH73" s="81" t="str" cm="1">
        <f t="array" aca="1" ref="AH73" ca="1">IF((AD73) &lt; (INDEX(ResponseSLA[#All],(MATCH((G73),ResponseSLA[Priority],0))+1,3)),"YES","No")</f>
        <v>YES</v>
      </c>
      <c r="AI73" s="81" t="str">
        <f ca="1">_xlfn.IFNA(IF(AE73 &lt; (INDEX(SLATable[Minimum SLA],MATCH(G73,SLATable[Priority],0))),"YES","NO"),"")</f>
        <v>NO</v>
      </c>
      <c r="AJ73" s="19" t="str">
        <f ca="1">_xlfn.IFNA(IF(AE73 &lt; (INDEX(SLATable[Maximum SLA],MATCH(G73,SLATable[Priority],0))),"YES","NO"),"")</f>
        <v>YES</v>
      </c>
    </row>
    <row r="74" spans="1:36" ht="15" customHeight="1">
      <c r="A74" s="78">
        <v>73</v>
      </c>
      <c r="B74" s="78" t="s">
        <v>26</v>
      </c>
      <c r="C74" s="78" t="s">
        <v>33</v>
      </c>
      <c r="D74" s="78" t="s">
        <v>207</v>
      </c>
      <c r="E74" s="78" t="s">
        <v>538</v>
      </c>
      <c r="F74" s="78" t="s">
        <v>280</v>
      </c>
      <c r="G74" s="78">
        <v>4</v>
      </c>
      <c r="H74" s="86" t="s">
        <v>512</v>
      </c>
      <c r="I74" s="78" t="s">
        <v>271</v>
      </c>
      <c r="J74" s="86" t="s">
        <v>513</v>
      </c>
      <c r="K74" s="277">
        <v>46166.966423611113</v>
      </c>
      <c r="L74" s="277">
        <v>46166.966423611113</v>
      </c>
      <c r="M74" s="277">
        <v>46167.222534722219</v>
      </c>
      <c r="N74" s="277">
        <v>46167.459548611114</v>
      </c>
      <c r="O74" s="80"/>
      <c r="P74" s="80"/>
      <c r="Q74" s="78" t="s">
        <v>514</v>
      </c>
      <c r="R74" s="78" t="s">
        <v>267</v>
      </c>
      <c r="S74" s="78" t="s">
        <v>193</v>
      </c>
      <c r="T74" s="78"/>
      <c r="U74" s="78" t="s">
        <v>371</v>
      </c>
      <c r="V74" s="78"/>
      <c r="W74" s="78"/>
      <c r="X74" s="78"/>
      <c r="Y74" s="78"/>
      <c r="Z74" s="167">
        <f t="shared" ca="1" si="10"/>
        <v>0</v>
      </c>
      <c r="AA74" s="168">
        <f t="shared" ca="1" si="11"/>
        <v>0</v>
      </c>
      <c r="AB74" s="167">
        <f t="shared" ca="1" si="12"/>
        <v>0</v>
      </c>
      <c r="AC74" s="168">
        <f t="shared" ca="1" si="13"/>
        <v>0</v>
      </c>
      <c r="AD74" s="191">
        <f t="shared" ca="1" si="14"/>
        <v>0</v>
      </c>
      <c r="AE74" s="167">
        <f t="shared" ca="1" si="15"/>
        <v>0</v>
      </c>
      <c r="AF74" s="168">
        <f t="shared" ca="1" si="16"/>
        <v>0</v>
      </c>
      <c r="AG74" s="168">
        <f t="shared" ca="1" si="17"/>
        <v>0</v>
      </c>
      <c r="AH74" s="81" t="str" cm="1">
        <f t="array" aca="1" ref="AH74" ca="1">IF((AD74) &lt; (INDEX(ResponseSLA[#All],(MATCH((G74),ResponseSLA[Priority],0))+1,3)),"YES","No")</f>
        <v>YES</v>
      </c>
      <c r="AI74" s="81" t="str">
        <f ca="1">_xlfn.IFNA(IF(AE74 &lt; (INDEX(SLATable[Minimum SLA],MATCH(G74,SLATable[Priority],0))),"YES","NO"),"")</f>
        <v>YES</v>
      </c>
      <c r="AJ74" s="19" t="str">
        <f ca="1">_xlfn.IFNA(IF(AE74 &lt; (INDEX(SLATable[Maximum SLA],MATCH(G74,SLATable[Priority],0))),"YES","NO"),"")</f>
        <v>YES</v>
      </c>
    </row>
    <row r="75" spans="1:36" ht="15" customHeight="1">
      <c r="A75" s="78">
        <v>74</v>
      </c>
      <c r="B75" s="78" t="s">
        <v>26</v>
      </c>
      <c r="C75" s="78" t="s">
        <v>33</v>
      </c>
      <c r="D75" s="78" t="s">
        <v>207</v>
      </c>
      <c r="E75" s="78" t="s">
        <v>539</v>
      </c>
      <c r="F75" s="78" t="s">
        <v>284</v>
      </c>
      <c r="G75" s="78">
        <v>3</v>
      </c>
      <c r="H75" s="86" t="s">
        <v>540</v>
      </c>
      <c r="I75" s="78" t="s">
        <v>271</v>
      </c>
      <c r="J75" s="86" t="s">
        <v>522</v>
      </c>
      <c r="K75" s="277">
        <v>46168.744097222225</v>
      </c>
      <c r="L75" s="277">
        <v>46168.750208333331</v>
      </c>
      <c r="M75" s="277">
        <v>46169.225694444445</v>
      </c>
      <c r="N75" s="277">
        <v>46174.489918981482</v>
      </c>
      <c r="O75" s="80"/>
      <c r="P75" s="80"/>
      <c r="Q75" s="78" t="s">
        <v>523</v>
      </c>
      <c r="R75" s="78" t="s">
        <v>267</v>
      </c>
      <c r="S75" s="78" t="s">
        <v>193</v>
      </c>
      <c r="T75" s="78"/>
      <c r="U75" s="78" t="s">
        <v>371</v>
      </c>
      <c r="V75" s="78"/>
      <c r="W75" s="78"/>
      <c r="X75" s="78"/>
      <c r="Y75" s="78"/>
      <c r="Z75" s="167">
        <f t="shared" ca="1" si="10"/>
        <v>1.281585648149</v>
      </c>
      <c r="AA75" s="168">
        <f t="shared" ca="1" si="11"/>
        <v>3.4175617283973332</v>
      </c>
      <c r="AB75" s="167">
        <f t="shared" ca="1" si="12"/>
        <v>1.281585648149</v>
      </c>
      <c r="AC75" s="168">
        <f t="shared" ca="1" si="13"/>
        <v>3.4175617283973332</v>
      </c>
      <c r="AD75" s="191">
        <f t="shared" ca="1" si="14"/>
        <v>0</v>
      </c>
      <c r="AE75" s="167">
        <f t="shared" ca="1" si="15"/>
        <v>1.281585648149</v>
      </c>
      <c r="AF75" s="168">
        <f t="shared" ca="1" si="16"/>
        <v>3.4175617283973332</v>
      </c>
      <c r="AG75" s="168">
        <f t="shared" ca="1" si="17"/>
        <v>3.4175617283973332</v>
      </c>
      <c r="AH75" s="81" t="str" cm="1">
        <f t="array" aca="1" ref="AH75" ca="1">IF((AD75) &lt; (INDEX(ResponseSLA[#All],(MATCH((G75),ResponseSLA[Priority],0))+1,3)),"YES","No")</f>
        <v>YES</v>
      </c>
      <c r="AI75" s="81" t="str">
        <f ca="1">_xlfn.IFNA(IF(AE75 &lt; (INDEX(SLATable[Minimum SLA],MATCH(G75,SLATable[Priority],0))),"YES","NO"),"")</f>
        <v>NO</v>
      </c>
      <c r="AJ75" s="19" t="str">
        <f ca="1">_xlfn.IFNA(IF(AE75 &lt; (INDEX(SLATable[Maximum SLA],MATCH(G75,SLATable[Priority],0))),"YES","NO"),"")</f>
        <v>YES</v>
      </c>
    </row>
    <row r="76" spans="1:36" ht="15" customHeight="1">
      <c r="A76" s="78">
        <v>75</v>
      </c>
      <c r="B76" s="78" t="s">
        <v>26</v>
      </c>
      <c r="C76" s="78" t="s">
        <v>33</v>
      </c>
      <c r="D76" s="78" t="s">
        <v>207</v>
      </c>
      <c r="E76" s="78" t="s">
        <v>541</v>
      </c>
      <c r="F76" s="78" t="s">
        <v>280</v>
      </c>
      <c r="G76" s="78">
        <v>4</v>
      </c>
      <c r="H76" s="86" t="s">
        <v>529</v>
      </c>
      <c r="I76" s="78" t="s">
        <v>271</v>
      </c>
      <c r="J76" s="86" t="s">
        <v>506</v>
      </c>
      <c r="K76" s="277">
        <v>46169.104780092595</v>
      </c>
      <c r="L76" s="277">
        <v>46169.104780092595</v>
      </c>
      <c r="M76" s="277">
        <v>46169.224976851852</v>
      </c>
      <c r="N76" s="277">
        <v>46171.249363425923</v>
      </c>
      <c r="O76" s="80"/>
      <c r="P76" s="80"/>
      <c r="Q76" s="78" t="s">
        <v>514</v>
      </c>
      <c r="R76" s="78" t="s">
        <v>267</v>
      </c>
      <c r="S76" s="78" t="s">
        <v>193</v>
      </c>
      <c r="T76" s="78"/>
      <c r="U76" s="78" t="s">
        <v>371</v>
      </c>
      <c r="V76" s="78"/>
      <c r="W76" s="78"/>
      <c r="X76" s="78"/>
      <c r="Y76" s="78"/>
      <c r="Z76" s="167">
        <f t="shared" ca="1" si="10"/>
        <v>0.75000000000000022</v>
      </c>
      <c r="AA76" s="168">
        <f t="shared" ca="1" si="11"/>
        <v>2.0000000000000009</v>
      </c>
      <c r="AB76" s="167">
        <f t="shared" ca="1" si="12"/>
        <v>0.75000000000000022</v>
      </c>
      <c r="AC76" s="168">
        <f t="shared" ca="1" si="13"/>
        <v>2.0000000000000009</v>
      </c>
      <c r="AD76" s="191">
        <f t="shared" ca="1" si="14"/>
        <v>0</v>
      </c>
      <c r="AE76" s="167">
        <f t="shared" ca="1" si="15"/>
        <v>0.75000000000000022</v>
      </c>
      <c r="AF76" s="168">
        <f t="shared" ca="1" si="16"/>
        <v>2.0000000000000009</v>
      </c>
      <c r="AG76" s="168">
        <f t="shared" ca="1" si="17"/>
        <v>2.0000000000000009</v>
      </c>
      <c r="AH76" s="81" t="str" cm="1">
        <f t="array" aca="1" ref="AH76" ca="1">IF((AD76) &lt; (INDEX(ResponseSLA[#All],(MATCH((G76),ResponseSLA[Priority],0))+1,3)),"YES","No")</f>
        <v>YES</v>
      </c>
      <c r="AI76" s="81" t="str">
        <f ca="1">_xlfn.IFNA(IF(AE76 &lt; (INDEX(SLATable[Minimum SLA],MATCH(G76,SLATable[Priority],0))),"YES","NO"),"")</f>
        <v>YES</v>
      </c>
      <c r="AJ76" s="19" t="str">
        <f ca="1">_xlfn.IFNA(IF(AE76 &lt; (INDEX(SLATable[Maximum SLA],MATCH(G76,SLATable[Priority],0))),"YES","NO"),"")</f>
        <v>YES</v>
      </c>
    </row>
    <row r="77" spans="1:36" ht="15" customHeight="1">
      <c r="A77" s="78">
        <v>76</v>
      </c>
      <c r="B77" s="78" t="s">
        <v>26</v>
      </c>
      <c r="C77" s="78" t="s">
        <v>33</v>
      </c>
      <c r="D77" s="78" t="s">
        <v>207</v>
      </c>
      <c r="E77" s="78" t="s">
        <v>542</v>
      </c>
      <c r="F77" s="78" t="s">
        <v>280</v>
      </c>
      <c r="G77" s="78">
        <v>4</v>
      </c>
      <c r="H77" s="86" t="s">
        <v>529</v>
      </c>
      <c r="I77" s="78" t="s">
        <v>271</v>
      </c>
      <c r="J77" s="86" t="s">
        <v>506</v>
      </c>
      <c r="K77" s="277">
        <v>46169.233530092592</v>
      </c>
      <c r="L77" s="277">
        <v>46169.233530092592</v>
      </c>
      <c r="M77" s="277">
        <v>46169.246111111112</v>
      </c>
      <c r="N77" s="277">
        <v>46171.249363425923</v>
      </c>
      <c r="O77" s="80"/>
      <c r="P77" s="80"/>
      <c r="Q77" s="78" t="s">
        <v>514</v>
      </c>
      <c r="R77" s="78" t="s">
        <v>267</v>
      </c>
      <c r="S77" s="78" t="s">
        <v>193</v>
      </c>
      <c r="T77" s="78"/>
      <c r="U77" s="78" t="s">
        <v>428</v>
      </c>
      <c r="V77" s="78" t="s">
        <v>541</v>
      </c>
      <c r="W77" s="78"/>
      <c r="X77" s="78"/>
      <c r="Y77" s="78"/>
      <c r="Z77" s="167">
        <f t="shared" ca="1" si="10"/>
        <v>0.75000000000000022</v>
      </c>
      <c r="AA77" s="168">
        <f t="shared" ca="1" si="11"/>
        <v>2.0000000000000009</v>
      </c>
      <c r="AB77" s="167">
        <f t="shared" ca="1" si="12"/>
        <v>0.75000000000000022</v>
      </c>
      <c r="AC77" s="168">
        <f t="shared" ca="1" si="13"/>
        <v>2.0000000000000009</v>
      </c>
      <c r="AD77" s="191">
        <f t="shared" ca="1" si="14"/>
        <v>0</v>
      </c>
      <c r="AE77" s="167">
        <f t="shared" ca="1" si="15"/>
        <v>0.75000000000000022</v>
      </c>
      <c r="AF77" s="168">
        <f t="shared" ca="1" si="16"/>
        <v>2.0000000000000009</v>
      </c>
      <c r="AG77" s="168">
        <f t="shared" ca="1" si="17"/>
        <v>2.0000000000000009</v>
      </c>
      <c r="AH77" s="81" t="str" cm="1">
        <f t="array" aca="1" ref="AH77" ca="1">IF((AD77) &lt; (INDEX(ResponseSLA[#All],(MATCH((G77),ResponseSLA[Priority],0))+1,3)),"YES","No")</f>
        <v>YES</v>
      </c>
      <c r="AI77" s="81" t="str">
        <f ca="1">_xlfn.IFNA(IF(AE77 &lt; (INDEX(SLATable[Minimum SLA],MATCH(G77,SLATable[Priority],0))),"YES","NO"),"")</f>
        <v>YES</v>
      </c>
      <c r="AJ77" s="19" t="str">
        <f ca="1">_xlfn.IFNA(IF(AE77 &lt; (INDEX(SLATable[Maximum SLA],MATCH(G77,SLATable[Priority],0))),"YES","NO"),"")</f>
        <v>YES</v>
      </c>
    </row>
    <row r="78" spans="1:36" ht="15" customHeight="1">
      <c r="A78" s="78">
        <v>77</v>
      </c>
      <c r="B78" s="78" t="s">
        <v>26</v>
      </c>
      <c r="C78" s="78" t="s">
        <v>33</v>
      </c>
      <c r="D78" s="78" t="s">
        <v>208</v>
      </c>
      <c r="E78" s="78" t="s">
        <v>543</v>
      </c>
      <c r="F78" s="78" t="s">
        <v>284</v>
      </c>
      <c r="G78" s="78" t="s">
        <v>208</v>
      </c>
      <c r="H78" s="86" t="s">
        <v>544</v>
      </c>
      <c r="I78" s="78" t="s">
        <v>275</v>
      </c>
      <c r="J78" s="86" t="s">
        <v>522</v>
      </c>
      <c r="K78" s="277">
        <v>46168.525138888886</v>
      </c>
      <c r="L78" s="277">
        <v>46169.686793981484</v>
      </c>
      <c r="M78" s="277">
        <v>46169.689340277779</v>
      </c>
      <c r="N78" s="277">
        <v>46175.532199074078</v>
      </c>
      <c r="O78" s="80"/>
      <c r="P78" s="80"/>
      <c r="Q78" s="78" t="s">
        <v>523</v>
      </c>
      <c r="R78" s="78" t="s">
        <v>267</v>
      </c>
      <c r="S78" s="78" t="s">
        <v>179</v>
      </c>
      <c r="T78" s="78"/>
      <c r="U78" s="78" t="s">
        <v>371</v>
      </c>
      <c r="V78" s="78"/>
      <c r="W78" s="78"/>
      <c r="X78" s="78"/>
      <c r="Y78" s="78"/>
      <c r="Z78" s="167">
        <f t="shared" ca="1" si="10"/>
        <v>1.8820601851912215</v>
      </c>
      <c r="AA78" s="168">
        <f t="shared" ca="1" si="11"/>
        <v>5.0188271605099244</v>
      </c>
      <c r="AB78" s="167">
        <f t="shared" ca="1" si="12"/>
        <v>1.3454050925938645</v>
      </c>
      <c r="AC78" s="168">
        <f t="shared" ca="1" si="13"/>
        <v>3.5877469135836386</v>
      </c>
      <c r="AD78" s="191">
        <f t="shared" ca="1" si="14"/>
        <v>2.5462962948950008E-3</v>
      </c>
      <c r="AE78" s="167">
        <f t="shared" ca="1" si="15"/>
        <v>1.3454050925938645</v>
      </c>
      <c r="AF78" s="168">
        <f t="shared" ca="1" si="16"/>
        <v>3.5877469135836386</v>
      </c>
      <c r="AG78" s="168">
        <f t="shared" ca="1" si="17"/>
        <v>3.5877469135836386</v>
      </c>
      <c r="AH78" s="81" t="str" cm="1">
        <f t="array" aca="1" ref="AH78" ca="1">IF((AD78) &lt; (INDEX(ResponseSLA[#All],(MATCH((G78),ResponseSLA[Priority],0))+1,3)),"YES","No")</f>
        <v>YES</v>
      </c>
      <c r="AI78" s="81" t="str">
        <f ca="1">_xlfn.IFNA(IF(AE78 &lt; (INDEX(SLATable[Minimum SLA],MATCH(G78,SLATable[Priority],0))),"YES","NO"),"")</f>
        <v>NO</v>
      </c>
      <c r="AJ78" s="19" t="str">
        <f ca="1">_xlfn.IFNA(IF(AE78 &lt; (INDEX(SLATable[Maximum SLA],MATCH(G78,SLATable[Priority],0))),"YES","NO"),"")</f>
        <v>NO</v>
      </c>
    </row>
    <row r="79" spans="1:36" ht="15" customHeight="1">
      <c r="A79" s="78">
        <v>78</v>
      </c>
      <c r="B79" s="78" t="s">
        <v>26</v>
      </c>
      <c r="C79" s="78" t="s">
        <v>33</v>
      </c>
      <c r="D79" s="78" t="s">
        <v>208</v>
      </c>
      <c r="E79" s="120" t="s">
        <v>545</v>
      </c>
      <c r="F79" s="78" t="s">
        <v>274</v>
      </c>
      <c r="G79" s="78" t="s">
        <v>208</v>
      </c>
      <c r="H79" s="99" t="s">
        <v>546</v>
      </c>
      <c r="I79" s="78" t="s">
        <v>275</v>
      </c>
      <c r="J79" s="86" t="s">
        <v>547</v>
      </c>
      <c r="K79" s="277">
        <v>46163.266944444447</v>
      </c>
      <c r="L79" s="277">
        <v>46163.35465277778</v>
      </c>
      <c r="M79" s="277">
        <v>46163.35465277778</v>
      </c>
      <c r="N79" s="277"/>
      <c r="O79" s="80"/>
      <c r="P79" s="80"/>
      <c r="Q79" s="78" t="s">
        <v>548</v>
      </c>
      <c r="R79" s="78" t="s">
        <v>261</v>
      </c>
      <c r="S79" s="78" t="s">
        <v>175</v>
      </c>
      <c r="T79" s="78"/>
      <c r="U79" s="78" t="s">
        <v>371</v>
      </c>
      <c r="V79" s="78"/>
      <c r="W79" s="78"/>
      <c r="X79" s="78"/>
      <c r="Y79" s="78"/>
      <c r="Z79" s="167">
        <f t="shared" ca="1" si="10"/>
        <v>25.425643750003175</v>
      </c>
      <c r="AA79" s="168">
        <f t="shared" ca="1" si="11"/>
        <v>67.801716666675134</v>
      </c>
      <c r="AB79" s="167">
        <f t="shared" ca="1" si="12"/>
        <v>25.404324189810726</v>
      </c>
      <c r="AC79" s="168">
        <f t="shared" ca="1" si="13"/>
        <v>67.744864506161946</v>
      </c>
      <c r="AD79" s="191">
        <f t="shared" ca="1" si="14"/>
        <v>0</v>
      </c>
      <c r="AE79" s="167">
        <f t="shared" ca="1" si="15"/>
        <v>25.404324189810726</v>
      </c>
      <c r="AF79" s="168">
        <f t="shared" ca="1" si="16"/>
        <v>67.744864506161946</v>
      </c>
      <c r="AG79" s="168">
        <f t="shared" ca="1" si="17"/>
        <v>67.744864506161946</v>
      </c>
      <c r="AH79" s="81" t="str" cm="1">
        <f t="array" aca="1" ref="AH79" ca="1">IF((AD79) &lt; (INDEX(ResponseSLA[#All],(MATCH((G79),ResponseSLA[Priority],0))+1,3)),"YES","No")</f>
        <v>YES</v>
      </c>
      <c r="AI79" s="81" t="str">
        <f ca="1">_xlfn.IFNA(IF(AE79 &lt; (INDEX(SLATable[Minimum SLA],MATCH(G79,SLATable[Priority],0))),"YES","NO"),"")</f>
        <v>NO</v>
      </c>
      <c r="AJ79" s="19" t="str">
        <f ca="1">_xlfn.IFNA(IF(AE79 &lt; (INDEX(SLATable[Maximum SLA],MATCH(G79,SLATable[Priority],0))),"YES","NO"),"")</f>
        <v>NO</v>
      </c>
    </row>
    <row r="80" spans="1:36" ht="15" customHeight="1">
      <c r="A80" s="78">
        <v>79</v>
      </c>
      <c r="B80" s="78" t="s">
        <v>26</v>
      </c>
      <c r="C80" s="78" t="s">
        <v>33</v>
      </c>
      <c r="D80" s="78" t="s">
        <v>208</v>
      </c>
      <c r="E80" s="78" t="s">
        <v>549</v>
      </c>
      <c r="F80" s="78" t="s">
        <v>274</v>
      </c>
      <c r="G80" s="78" t="s">
        <v>208</v>
      </c>
      <c r="H80" s="319" t="s">
        <v>550</v>
      </c>
      <c r="I80" s="78" t="s">
        <v>271</v>
      </c>
      <c r="J80" s="86" t="s">
        <v>547</v>
      </c>
      <c r="K80" s="277">
        <v>46168.49255787037</v>
      </c>
      <c r="L80" s="277">
        <v>46168.500277777777</v>
      </c>
      <c r="M80" s="277">
        <v>46168.500277777777</v>
      </c>
      <c r="N80" s="395">
        <v>46169.182650462964</v>
      </c>
      <c r="O80" s="80"/>
      <c r="P80" s="80"/>
      <c r="Q80" s="78" t="s">
        <v>548</v>
      </c>
      <c r="R80" s="78" t="s">
        <v>267</v>
      </c>
      <c r="S80" s="78" t="s">
        <v>155</v>
      </c>
      <c r="T80" s="78"/>
      <c r="U80" s="78" t="s">
        <v>371</v>
      </c>
      <c r="V80" s="78"/>
      <c r="W80" s="78"/>
      <c r="X80" s="78"/>
      <c r="Y80" s="78"/>
      <c r="Z80" s="167">
        <f t="shared" ca="1" si="10"/>
        <v>0.21577546296369599</v>
      </c>
      <c r="AA80" s="168">
        <f t="shared" ca="1" si="11"/>
        <v>0.57540123456985592</v>
      </c>
      <c r="AB80" s="167">
        <f t="shared" ca="1" si="12"/>
        <v>0.20805555555610533</v>
      </c>
      <c r="AC80" s="168">
        <f t="shared" ca="1" si="13"/>
        <v>0.55481481481628092</v>
      </c>
      <c r="AD80" s="191">
        <f t="shared" ca="1" si="14"/>
        <v>0</v>
      </c>
      <c r="AE80" s="167">
        <f t="shared" ca="1" si="15"/>
        <v>0.20805555555610533</v>
      </c>
      <c r="AF80" s="168">
        <f t="shared" ca="1" si="16"/>
        <v>0.55481481481628092</v>
      </c>
      <c r="AG80" s="168">
        <f t="shared" ca="1" si="17"/>
        <v>0.55481481481628092</v>
      </c>
      <c r="AH80" s="81" t="str" cm="1">
        <f t="array" aca="1" ref="AH80" ca="1">IF((AD80) &lt; (INDEX(ResponseSLA[#All],(MATCH((G80),ResponseSLA[Priority],0))+1,3)),"YES","No")</f>
        <v>YES</v>
      </c>
      <c r="AI80" s="81" t="str">
        <f ca="1">_xlfn.IFNA(IF(AE80 &lt; (INDEX(SLATable[Minimum SLA],MATCH(G80,SLATable[Priority],0))),"YES","NO"),"")</f>
        <v>YES</v>
      </c>
      <c r="AJ80" s="19" t="str">
        <f ca="1">_xlfn.IFNA(IF(AE80 &lt; (INDEX(SLATable[Maximum SLA],MATCH(G80,SLATable[Priority],0))),"YES","NO"),"")</f>
        <v>YES</v>
      </c>
    </row>
    <row r="81" spans="1:36" ht="15" customHeight="1">
      <c r="A81" s="78">
        <v>80</v>
      </c>
      <c r="B81" s="78" t="s">
        <v>26</v>
      </c>
      <c r="C81" s="78" t="s">
        <v>33</v>
      </c>
      <c r="D81" s="78" t="s">
        <v>207</v>
      </c>
      <c r="E81" s="78" t="s">
        <v>551</v>
      </c>
      <c r="F81" s="78" t="s">
        <v>284</v>
      </c>
      <c r="G81" s="78">
        <v>3</v>
      </c>
      <c r="H81" s="86" t="s">
        <v>552</v>
      </c>
      <c r="I81" s="78" t="s">
        <v>271</v>
      </c>
      <c r="J81" s="86" t="s">
        <v>522</v>
      </c>
      <c r="K81" s="277">
        <v>46170.742372685185</v>
      </c>
      <c r="L81" s="277">
        <v>46170.744930555556</v>
      </c>
      <c r="M81" s="277">
        <v>46171.222129629627</v>
      </c>
      <c r="N81" s="277">
        <v>46174.485312500001</v>
      </c>
      <c r="O81" s="80"/>
      <c r="P81" s="80"/>
      <c r="Q81" s="78" t="s">
        <v>523</v>
      </c>
      <c r="R81" s="78" t="s">
        <v>267</v>
      </c>
      <c r="S81" s="78" t="s">
        <v>193</v>
      </c>
      <c r="T81" s="78"/>
      <c r="U81" s="78" t="s">
        <v>371</v>
      </c>
      <c r="V81" s="78"/>
      <c r="W81" s="78"/>
      <c r="X81" s="78"/>
      <c r="Y81" s="78"/>
      <c r="Z81" s="167">
        <f t="shared" ca="1" si="10"/>
        <v>0.52697916666753974</v>
      </c>
      <c r="AA81" s="168">
        <f t="shared" ca="1" si="11"/>
        <v>1.405277777780106</v>
      </c>
      <c r="AB81" s="167">
        <f t="shared" ca="1" si="12"/>
        <v>0.52697916666753974</v>
      </c>
      <c r="AC81" s="168">
        <f t="shared" ca="1" si="13"/>
        <v>1.405277777780106</v>
      </c>
      <c r="AD81" s="191">
        <f t="shared" ca="1" si="14"/>
        <v>0</v>
      </c>
      <c r="AE81" s="167">
        <f t="shared" ca="1" si="15"/>
        <v>0.52697916666753974</v>
      </c>
      <c r="AF81" s="168">
        <f t="shared" ca="1" si="16"/>
        <v>1.405277777780106</v>
      </c>
      <c r="AG81" s="168">
        <f t="shared" ca="1" si="17"/>
        <v>1.405277777780106</v>
      </c>
      <c r="AH81" s="81" t="str" cm="1">
        <f t="array" aca="1" ref="AH81" ca="1">IF((AD81) &lt; (INDEX(ResponseSLA[#All],(MATCH((G81),ResponseSLA[Priority],0))+1,3)),"YES","No")</f>
        <v>YES</v>
      </c>
      <c r="AI81" s="81" t="str">
        <f ca="1">_xlfn.IFNA(IF(AE81 &lt; (INDEX(SLATable[Minimum SLA],MATCH(G81,SLATable[Priority],0))),"YES","NO"),"")</f>
        <v>NO</v>
      </c>
      <c r="AJ81" s="19" t="str">
        <f ca="1">_xlfn.IFNA(IF(AE81 &lt; (INDEX(SLATable[Maximum SLA],MATCH(G81,SLATable[Priority],0))),"YES","NO"),"")</f>
        <v>YES</v>
      </c>
    </row>
    <row r="82" spans="1:36" ht="15" customHeight="1">
      <c r="A82" s="78">
        <v>81</v>
      </c>
      <c r="B82" s="78" t="s">
        <v>26</v>
      </c>
      <c r="C82" s="78" t="s">
        <v>33</v>
      </c>
      <c r="D82" s="78" t="s">
        <v>207</v>
      </c>
      <c r="E82" s="78" t="s">
        <v>553</v>
      </c>
      <c r="F82" s="78" t="s">
        <v>284</v>
      </c>
      <c r="G82" s="78">
        <v>3</v>
      </c>
      <c r="H82" s="86" t="s">
        <v>554</v>
      </c>
      <c r="I82" s="78" t="s">
        <v>271</v>
      </c>
      <c r="J82" s="86" t="s">
        <v>522</v>
      </c>
      <c r="K82" s="277">
        <v>46173.940208333333</v>
      </c>
      <c r="L82" s="277">
        <v>46173.974849537037</v>
      </c>
      <c r="M82" s="277">
        <v>46174.228078703702</v>
      </c>
      <c r="N82" s="277">
        <v>46174.426851851851</v>
      </c>
      <c r="O82" s="80"/>
      <c r="P82" s="80"/>
      <c r="Q82" s="78" t="s">
        <v>523</v>
      </c>
      <c r="R82" s="78" t="s">
        <v>267</v>
      </c>
      <c r="S82" s="78" t="s">
        <v>193</v>
      </c>
      <c r="T82" s="78"/>
      <c r="U82" s="78" t="s">
        <v>371</v>
      </c>
      <c r="V82" s="78"/>
      <c r="W82" s="78"/>
      <c r="X82" s="78"/>
      <c r="Y82" s="78"/>
      <c r="Z82" s="167">
        <f t="shared" ca="1" si="10"/>
        <v>9.3518518517763993E-2</v>
      </c>
      <c r="AA82" s="168">
        <f t="shared" ca="1" si="11"/>
        <v>0.24938271604737064</v>
      </c>
      <c r="AB82" s="167">
        <f t="shared" ca="1" si="12"/>
        <v>9.3518518517763993E-2</v>
      </c>
      <c r="AC82" s="168">
        <f t="shared" ca="1" si="13"/>
        <v>0.24938271604737064</v>
      </c>
      <c r="AD82" s="191">
        <f t="shared" ca="1" si="14"/>
        <v>0</v>
      </c>
      <c r="AE82" s="167">
        <f t="shared" ca="1" si="15"/>
        <v>9.3518518517763993E-2</v>
      </c>
      <c r="AF82" s="168">
        <f t="shared" ca="1" si="16"/>
        <v>0.24938271604737064</v>
      </c>
      <c r="AG82" s="168">
        <f t="shared" ca="1" si="17"/>
        <v>0.24938271604737064</v>
      </c>
      <c r="AH82" s="81" t="str" cm="1">
        <f t="array" aca="1" ref="AH82" ca="1">IF((AD82) &lt; (INDEX(ResponseSLA[#All],(MATCH((G82),ResponseSLA[Priority],0))+1,3)),"YES","No")</f>
        <v>YES</v>
      </c>
      <c r="AI82" s="81" t="str">
        <f ca="1">_xlfn.IFNA(IF(AE82 &lt; (INDEX(SLATable[Minimum SLA],MATCH(G82,SLATable[Priority],0))),"YES","NO"),"")</f>
        <v>YES</v>
      </c>
      <c r="AJ82" s="19" t="str">
        <f ca="1">_xlfn.IFNA(IF(AE82 &lt; (INDEX(SLATable[Maximum SLA],MATCH(G82,SLATable[Priority],0))),"YES","NO"),"")</f>
        <v>YES</v>
      </c>
    </row>
    <row r="83" spans="1:36" ht="15" customHeight="1">
      <c r="A83" s="78">
        <v>82</v>
      </c>
      <c r="B83" s="78" t="s">
        <v>26</v>
      </c>
      <c r="C83" s="78" t="s">
        <v>33</v>
      </c>
      <c r="D83" s="78" t="s">
        <v>207</v>
      </c>
      <c r="E83" s="78" t="s">
        <v>555</v>
      </c>
      <c r="F83" s="78" t="s">
        <v>280</v>
      </c>
      <c r="G83" s="78">
        <v>4</v>
      </c>
      <c r="H83" s="86" t="s">
        <v>531</v>
      </c>
      <c r="I83" s="78" t="s">
        <v>271</v>
      </c>
      <c r="J83" s="86" t="s">
        <v>506</v>
      </c>
      <c r="K83" s="277">
        <v>46173.945625</v>
      </c>
      <c r="L83" s="277">
        <v>46173.945625</v>
      </c>
      <c r="M83" s="277">
        <v>46174.228113425925</v>
      </c>
      <c r="N83" s="277">
        <v>46185.565972222219</v>
      </c>
      <c r="O83" s="80"/>
      <c r="P83" s="80"/>
      <c r="Q83" s="78" t="s">
        <v>514</v>
      </c>
      <c r="R83" s="78" t="s">
        <v>267</v>
      </c>
      <c r="S83" s="78" t="s">
        <v>193</v>
      </c>
      <c r="T83" s="78"/>
      <c r="U83" s="78" t="s">
        <v>371</v>
      </c>
      <c r="V83" s="78"/>
      <c r="W83" s="78"/>
      <c r="X83" s="78"/>
      <c r="Y83" s="78"/>
      <c r="Z83" s="167">
        <f t="shared" ca="1" si="10"/>
        <v>3.6076388888856554</v>
      </c>
      <c r="AA83" s="168">
        <f t="shared" ca="1" si="11"/>
        <v>9.6203703703617478</v>
      </c>
      <c r="AB83" s="167">
        <f t="shared" ca="1" si="12"/>
        <v>3.6076388888856554</v>
      </c>
      <c r="AC83" s="168">
        <f t="shared" ca="1" si="13"/>
        <v>9.6203703703617478</v>
      </c>
      <c r="AD83" s="191">
        <f t="shared" ca="1" si="14"/>
        <v>0</v>
      </c>
      <c r="AE83" s="167">
        <f t="shared" ca="1" si="15"/>
        <v>3.6076388888856554</v>
      </c>
      <c r="AF83" s="168">
        <f t="shared" ca="1" si="16"/>
        <v>9.6203703703617478</v>
      </c>
      <c r="AG83" s="168">
        <f t="shared" ca="1" si="17"/>
        <v>9.6203703703617478</v>
      </c>
      <c r="AH83" s="81" t="str" cm="1">
        <f t="array" aca="1" ref="AH83" ca="1">IF((AD83) &lt; (INDEX(ResponseSLA[#All],(MATCH((G83),ResponseSLA[Priority],0))+1,3)),"YES","No")</f>
        <v>YES</v>
      </c>
      <c r="AI83" s="81" t="str">
        <f ca="1">_xlfn.IFNA(IF(AE83 &lt; (INDEX(SLATable[Minimum SLA],MATCH(G83,SLATable[Priority],0))),"YES","NO"),"")</f>
        <v>YES</v>
      </c>
      <c r="AJ83" s="19" t="str">
        <f ca="1">_xlfn.IFNA(IF(AE83 &lt; (INDEX(SLATable[Maximum SLA],MATCH(G83,SLATable[Priority],0))),"YES","NO"),"")</f>
        <v>YES</v>
      </c>
    </row>
    <row r="84" spans="1:36" ht="15" customHeight="1">
      <c r="A84" s="78">
        <v>83</v>
      </c>
      <c r="B84" s="78" t="s">
        <v>26</v>
      </c>
      <c r="C84" s="78" t="s">
        <v>29</v>
      </c>
      <c r="D84" s="78" t="s">
        <v>207</v>
      </c>
      <c r="E84" s="78" t="s">
        <v>556</v>
      </c>
      <c r="F84" s="78" t="s">
        <v>264</v>
      </c>
      <c r="G84" s="78">
        <v>4</v>
      </c>
      <c r="H84" s="86" t="s">
        <v>557</v>
      </c>
      <c r="I84" s="78" t="s">
        <v>271</v>
      </c>
      <c r="J84" s="86" t="s">
        <v>369</v>
      </c>
      <c r="K84" s="277">
        <v>46171.513356481482</v>
      </c>
      <c r="L84" s="277">
        <v>46171.51462962963</v>
      </c>
      <c r="M84" s="277">
        <v>46171.521770833337</v>
      </c>
      <c r="N84" s="277">
        <v>46171.537662037037</v>
      </c>
      <c r="O84" s="80"/>
      <c r="P84" s="80"/>
      <c r="Q84" s="78" t="s">
        <v>370</v>
      </c>
      <c r="R84" s="78" t="s">
        <v>267</v>
      </c>
      <c r="S84" s="78" t="s">
        <v>190</v>
      </c>
      <c r="T84" s="78"/>
      <c r="U84" s="78" t="s">
        <v>371</v>
      </c>
      <c r="V84" s="78"/>
      <c r="W84" s="78"/>
      <c r="X84" s="78"/>
      <c r="Y84" s="78"/>
      <c r="Z84" s="167">
        <f t="shared" ca="1" si="10"/>
        <v>2.4305555554747116E-2</v>
      </c>
      <c r="AA84" s="168">
        <f t="shared" ca="1" si="11"/>
        <v>6.481481481265898E-2</v>
      </c>
      <c r="AB84" s="167">
        <f t="shared" ca="1" si="12"/>
        <v>2.3032407407299615E-2</v>
      </c>
      <c r="AC84" s="168">
        <f t="shared" ca="1" si="13"/>
        <v>6.141975308613231E-2</v>
      </c>
      <c r="AD84" s="191">
        <f t="shared" ca="1" si="14"/>
        <v>7.1412037068512291E-3</v>
      </c>
      <c r="AE84" s="167">
        <f t="shared" ca="1" si="15"/>
        <v>2.3032407407299615E-2</v>
      </c>
      <c r="AF84" s="168">
        <f t="shared" ca="1" si="16"/>
        <v>6.141975308613231E-2</v>
      </c>
      <c r="AG84" s="168">
        <f t="shared" ca="1" si="17"/>
        <v>6.141975308613231E-2</v>
      </c>
      <c r="AH84" s="81" t="str" cm="1">
        <f t="array" aca="1" ref="AH84" ca="1">IF((AD84) &lt; (INDEX(ResponseSLA[#All],(MATCH((G84),ResponseSLA[Priority],0))+1,3)),"YES","No")</f>
        <v>YES</v>
      </c>
      <c r="AI84" s="81" t="str">
        <f ca="1">_xlfn.IFNA(IF(AE84 &lt; (INDEX(SLATable[Minimum SLA],MATCH(G84,SLATable[Priority],0))),"YES","NO"),"")</f>
        <v>YES</v>
      </c>
      <c r="AJ84" s="19" t="str">
        <f ca="1">_xlfn.IFNA(IF(AE84 &lt; (INDEX(SLATable[Maximum SLA],MATCH(G84,SLATable[Priority],0))),"YES","NO"),"")</f>
        <v>YES</v>
      </c>
    </row>
    <row r="85" spans="1:36" ht="15" customHeight="1">
      <c r="A85" s="78">
        <v>84</v>
      </c>
      <c r="B85" s="78" t="s">
        <v>26</v>
      </c>
      <c r="C85" s="78" t="s">
        <v>33</v>
      </c>
      <c r="D85" s="78" t="s">
        <v>207</v>
      </c>
      <c r="E85" s="78" t="s">
        <v>558</v>
      </c>
      <c r="F85" s="78" t="s">
        <v>274</v>
      </c>
      <c r="G85" s="78">
        <v>4</v>
      </c>
      <c r="H85" s="86" t="s">
        <v>559</v>
      </c>
      <c r="I85" s="78" t="s">
        <v>275</v>
      </c>
      <c r="J85" s="86" t="s">
        <v>463</v>
      </c>
      <c r="K85" s="277">
        <v>46172.167488425926</v>
      </c>
      <c r="L85" s="277">
        <v>46172.753125000003</v>
      </c>
      <c r="M85" s="277">
        <v>46172.764374999999</v>
      </c>
      <c r="N85" s="277">
        <v>46172.843506944446</v>
      </c>
      <c r="O85" s="80"/>
      <c r="P85" s="80"/>
      <c r="Q85" s="78" t="s">
        <v>560</v>
      </c>
      <c r="R85" s="78"/>
      <c r="S85" s="78"/>
      <c r="T85" s="78"/>
      <c r="U85" s="78" t="s">
        <v>371</v>
      </c>
      <c r="V85" s="78"/>
      <c r="W85" s="78"/>
      <c r="X85" s="78"/>
      <c r="Y85" s="78"/>
      <c r="Z85" s="167">
        <f t="shared" ca="1" si="10"/>
        <v>0</v>
      </c>
      <c r="AA85" s="168">
        <f t="shared" ca="1" si="11"/>
        <v>0</v>
      </c>
      <c r="AB85" s="167">
        <f t="shared" ca="1" si="12"/>
        <v>0</v>
      </c>
      <c r="AC85" s="168">
        <f t="shared" ca="1" si="13"/>
        <v>0</v>
      </c>
      <c r="AD85" s="191">
        <f t="shared" ca="1" si="14"/>
        <v>0</v>
      </c>
      <c r="AE85" s="167">
        <f t="shared" ca="1" si="15"/>
        <v>0</v>
      </c>
      <c r="AF85" s="168">
        <f t="shared" ca="1" si="16"/>
        <v>0</v>
      </c>
      <c r="AG85" s="168">
        <f t="shared" ca="1" si="17"/>
        <v>0</v>
      </c>
      <c r="AH85" s="81" t="str" cm="1">
        <f t="array" aca="1" ref="AH85" ca="1">IF((AD85) &lt; (INDEX(ResponseSLA[#All],(MATCH((G85),ResponseSLA[Priority],0))+1,3)),"YES","No")</f>
        <v>YES</v>
      </c>
      <c r="AI85" s="81" t="str">
        <f ca="1">_xlfn.IFNA(IF(AE85 &lt; (INDEX(SLATable[Minimum SLA],MATCH(G85,SLATable[Priority],0))),"YES","NO"),"")</f>
        <v>YES</v>
      </c>
      <c r="AJ85" s="19" t="str">
        <f ca="1">_xlfn.IFNA(IF(AE85 &lt; (INDEX(SLATable[Maximum SLA],MATCH(G85,SLATable[Priority],0))),"YES","NO"),"")</f>
        <v>YES</v>
      </c>
    </row>
    <row r="86" spans="1:36" ht="15" customHeight="1">
      <c r="A86" s="78">
        <v>85</v>
      </c>
      <c r="B86" s="78" t="s">
        <v>26</v>
      </c>
      <c r="C86" s="78" t="s">
        <v>31</v>
      </c>
      <c r="D86" s="78" t="s">
        <v>207</v>
      </c>
      <c r="E86" s="19" t="s">
        <v>561</v>
      </c>
      <c r="F86" s="78" t="s">
        <v>30</v>
      </c>
      <c r="G86" s="78">
        <v>4</v>
      </c>
      <c r="H86" s="86" t="s">
        <v>562</v>
      </c>
      <c r="I86" s="78" t="s">
        <v>271</v>
      </c>
      <c r="J86" s="86" t="s">
        <v>389</v>
      </c>
      <c r="K86" s="277">
        <v>46126.379618055558</v>
      </c>
      <c r="L86" s="277">
        <v>46131.343912037039</v>
      </c>
      <c r="M86" s="277">
        <v>46132.268935185188</v>
      </c>
      <c r="N86" s="277">
        <v>46155.473657407405</v>
      </c>
      <c r="O86" s="80">
        <v>46134.414560185185</v>
      </c>
      <c r="P86" s="80">
        <v>46155.473657407405</v>
      </c>
      <c r="Q86" s="78" t="s">
        <v>386</v>
      </c>
      <c r="R86" s="78" t="s">
        <v>272</v>
      </c>
      <c r="S86" s="78" t="s">
        <v>197</v>
      </c>
      <c r="T86" s="78"/>
      <c r="U86" s="78" t="s">
        <v>428</v>
      </c>
      <c r="V86" s="78"/>
      <c r="W86" s="78"/>
      <c r="X86" s="78"/>
      <c r="Y86" s="78"/>
      <c r="Z86" s="167">
        <f t="shared" ca="1" si="10"/>
        <v>2.2849421296268702</v>
      </c>
      <c r="AA86" s="168">
        <f t="shared" ca="1" si="11"/>
        <v>6.0931790123383207</v>
      </c>
      <c r="AB86" s="167">
        <f t="shared" ca="1" si="12"/>
        <v>0.83122685185177669</v>
      </c>
      <c r="AC86" s="168">
        <f t="shared" ca="1" si="13"/>
        <v>2.2166049382714044</v>
      </c>
      <c r="AD86" s="191">
        <f t="shared" ca="1" si="14"/>
        <v>0</v>
      </c>
      <c r="AE86" s="167">
        <f t="shared" ca="1" si="15"/>
        <v>2.1808217592624723</v>
      </c>
      <c r="AF86" s="168">
        <f t="shared" ca="1" si="16"/>
        <v>5.8155246913665932</v>
      </c>
      <c r="AG86" s="168">
        <f t="shared" ca="1" si="17"/>
        <v>5.8155246913665932</v>
      </c>
      <c r="AH86" s="81" t="str" cm="1">
        <f t="array" aca="1" ref="AH86" ca="1">IF((AD86) &lt; (INDEX(ResponseSLA[#All],(MATCH((G86),ResponseSLA[Priority],0))+1,3)),"YES","No")</f>
        <v>YES</v>
      </c>
      <c r="AI86" s="81" t="str">
        <f ca="1">_xlfn.IFNA(IF(AE86 &lt; (INDEX(SLATable[Minimum SLA],MATCH(G86,SLATable[Priority],0))),"YES","NO"),"")</f>
        <v>YES</v>
      </c>
      <c r="AJ86" s="19" t="str">
        <f ca="1">_xlfn.IFNA(IF(AE86 &lt; (INDEX(SLATable[Maximum SLA],MATCH(G86,SLATable[Priority],0))),"YES","NO"),"")</f>
        <v>YES</v>
      </c>
    </row>
    <row r="87" spans="1:36" ht="15" customHeight="1">
      <c r="A87" s="78">
        <v>86</v>
      </c>
      <c r="B87" s="78" t="s">
        <v>26</v>
      </c>
      <c r="C87" s="78" t="s">
        <v>31</v>
      </c>
      <c r="D87" s="78" t="s">
        <v>207</v>
      </c>
      <c r="E87" s="19" t="s">
        <v>561</v>
      </c>
      <c r="F87" s="78" t="s">
        <v>30</v>
      </c>
      <c r="G87" s="78">
        <v>4</v>
      </c>
      <c r="H87" s="86" t="s">
        <v>562</v>
      </c>
      <c r="I87" s="78" t="s">
        <v>271</v>
      </c>
      <c r="J87" s="86" t="s">
        <v>389</v>
      </c>
      <c r="K87" s="277">
        <v>46126.379618055558</v>
      </c>
      <c r="L87" s="277">
        <v>46155.483738425923</v>
      </c>
      <c r="M87" s="277">
        <v>46155.540682870371</v>
      </c>
      <c r="N87" s="277">
        <v>46168.750219907408</v>
      </c>
      <c r="O87" s="80">
        <v>46161.288680555554</v>
      </c>
      <c r="P87" s="80">
        <v>46168.750219907408</v>
      </c>
      <c r="Q87" s="78" t="s">
        <v>386</v>
      </c>
      <c r="R87" s="78" t="s">
        <v>272</v>
      </c>
      <c r="S87" s="78" t="s">
        <v>175</v>
      </c>
      <c r="T87" s="78"/>
      <c r="U87" s="78" t="s">
        <v>371</v>
      </c>
      <c r="V87" s="78"/>
      <c r="W87" s="78"/>
      <c r="X87" s="78"/>
      <c r="Y87" s="78"/>
      <c r="Z87" s="167">
        <f t="shared" ca="1" si="10"/>
        <v>8.5787152777750961</v>
      </c>
      <c r="AA87" s="168">
        <f t="shared" ca="1" si="11"/>
        <v>22.876574074066923</v>
      </c>
      <c r="AB87" s="167">
        <f t="shared" ca="1" si="12"/>
        <v>1.3495949074106954</v>
      </c>
      <c r="AC87" s="168">
        <f t="shared" ca="1" si="13"/>
        <v>3.5989197530951875</v>
      </c>
      <c r="AD87" s="191">
        <f t="shared" ca="1" si="14"/>
        <v>5.6944444448163267E-2</v>
      </c>
      <c r="AE87" s="167">
        <f t="shared" ca="1" si="15"/>
        <v>2.1808217592624723</v>
      </c>
      <c r="AF87" s="168">
        <f t="shared" ca="1" si="16"/>
        <v>5.8155246913665932</v>
      </c>
      <c r="AG87" s="168">
        <f t="shared" ca="1" si="17"/>
        <v>5.8155246913665932</v>
      </c>
      <c r="AH87" s="81" t="str" cm="1">
        <f t="array" aca="1" ref="AH87" ca="1">IF((AD87) &lt; (INDEX(ResponseSLA[#All],(MATCH((G87),ResponseSLA[Priority],0))+1,3)),"YES","No")</f>
        <v>YES</v>
      </c>
      <c r="AI87" s="81" t="str">
        <f ca="1">_xlfn.IFNA(IF(AE87 &lt; (INDEX(SLATable[Minimum SLA],MATCH(G87,SLATable[Priority],0))),"YES","NO"),"")</f>
        <v>YES</v>
      </c>
      <c r="AJ87" s="19" t="str">
        <f ca="1">_xlfn.IFNA(IF(AE87 &lt; (INDEX(SLATable[Maximum SLA],MATCH(G87,SLATable[Priority],0))),"YES","NO"),"")</f>
        <v>YES</v>
      </c>
    </row>
    <row r="88" spans="1:36" ht="15" customHeight="1">
      <c r="A88" s="78">
        <v>87</v>
      </c>
      <c r="B88" s="78" t="s">
        <v>26</v>
      </c>
      <c r="C88" s="78" t="s">
        <v>31</v>
      </c>
      <c r="D88" s="78" t="s">
        <v>207</v>
      </c>
      <c r="E88" s="78" t="s">
        <v>563</v>
      </c>
      <c r="F88" s="78" t="s">
        <v>30</v>
      </c>
      <c r="G88" s="78">
        <v>4</v>
      </c>
      <c r="H88" s="86" t="s">
        <v>564</v>
      </c>
      <c r="I88" s="78" t="s">
        <v>275</v>
      </c>
      <c r="J88" s="86" t="s">
        <v>393</v>
      </c>
      <c r="K88" s="277">
        <v>46148.552106481482</v>
      </c>
      <c r="L88" s="277">
        <v>46148.552800925929</v>
      </c>
      <c r="M88" s="277">
        <v>46148.565000000002</v>
      </c>
      <c r="N88" s="277">
        <v>46149.498090277775</v>
      </c>
      <c r="O88" s="80"/>
      <c r="P88" s="80"/>
      <c r="Q88" s="78" t="s">
        <v>565</v>
      </c>
      <c r="R88" s="78" t="s">
        <v>261</v>
      </c>
      <c r="S88" s="78" t="s">
        <v>137</v>
      </c>
      <c r="T88" s="78"/>
      <c r="U88" s="78" t="s">
        <v>371</v>
      </c>
      <c r="V88" s="78"/>
      <c r="W88" s="78"/>
      <c r="X88" s="78"/>
      <c r="Y88" s="78"/>
      <c r="Z88" s="167">
        <f t="shared" ca="1" si="10"/>
        <v>0.32098379629314877</v>
      </c>
      <c r="AA88" s="168">
        <f t="shared" ca="1" si="11"/>
        <v>0.85595679011506343</v>
      </c>
      <c r="AB88" s="167">
        <f t="shared" ca="1" si="12"/>
        <v>0.3202893518464407</v>
      </c>
      <c r="AC88" s="168">
        <f t="shared" ca="1" si="13"/>
        <v>0.85410493825717515</v>
      </c>
      <c r="AD88" s="191">
        <f t="shared" ca="1" si="14"/>
        <v>1.2199074073578231E-2</v>
      </c>
      <c r="AE88" s="167">
        <f t="shared" ca="1" si="15"/>
        <v>0.3202893518464407</v>
      </c>
      <c r="AF88" s="168">
        <f t="shared" ca="1" si="16"/>
        <v>0.85410493825717515</v>
      </c>
      <c r="AG88" s="168">
        <f t="shared" ca="1" si="17"/>
        <v>0.85410493825717515</v>
      </c>
      <c r="AH88" s="81" t="str" cm="1">
        <f t="array" aca="1" ref="AH88" ca="1">IF((AD88) &lt; (INDEX(ResponseSLA[#All],(MATCH((G88),ResponseSLA[Priority],0))+1,3)),"YES","No")</f>
        <v>YES</v>
      </c>
      <c r="AI88" s="81" t="str">
        <f ca="1">_xlfn.IFNA(IF(AE88 &lt; (INDEX(SLATable[Minimum SLA],MATCH(G88,SLATable[Priority],0))),"YES","NO"),"")</f>
        <v>YES</v>
      </c>
      <c r="AJ88" s="19" t="str">
        <f ca="1">_xlfn.IFNA(IF(AE88 &lt; (INDEX(SLATable[Maximum SLA],MATCH(G88,SLATable[Priority],0))),"YES","NO"),"")</f>
        <v>YES</v>
      </c>
    </row>
    <row r="89" spans="1:36" ht="15" customHeight="1">
      <c r="A89" s="78">
        <v>88</v>
      </c>
      <c r="B89" s="78" t="s">
        <v>26</v>
      </c>
      <c r="C89" s="78" t="s">
        <v>31</v>
      </c>
      <c r="D89" s="78" t="s">
        <v>207</v>
      </c>
      <c r="E89" s="78" t="s">
        <v>566</v>
      </c>
      <c r="F89" s="78" t="s">
        <v>30</v>
      </c>
      <c r="G89" s="78">
        <v>4</v>
      </c>
      <c r="H89" s="86" t="s">
        <v>567</v>
      </c>
      <c r="I89" s="78" t="s">
        <v>275</v>
      </c>
      <c r="J89" s="86" t="s">
        <v>393</v>
      </c>
      <c r="K89" s="277">
        <v>46150.575983796298</v>
      </c>
      <c r="L89" s="277">
        <v>46150.576192129629</v>
      </c>
      <c r="M89" s="277">
        <v>46150.578622685185</v>
      </c>
      <c r="N89" s="277">
        <v>46153.299317129633</v>
      </c>
      <c r="O89" s="80"/>
      <c r="P89" s="80"/>
      <c r="Q89" s="78" t="s">
        <v>565</v>
      </c>
      <c r="R89" s="78" t="s">
        <v>261</v>
      </c>
      <c r="S89" s="78" t="s">
        <v>137</v>
      </c>
      <c r="T89" s="78"/>
      <c r="U89" s="78" t="s">
        <v>371</v>
      </c>
      <c r="V89" s="78"/>
      <c r="W89" s="78"/>
      <c r="X89" s="78"/>
      <c r="Y89" s="78"/>
      <c r="Z89" s="167">
        <f t="shared" ca="1" si="10"/>
        <v>0.13234953703552799</v>
      </c>
      <c r="AA89" s="168">
        <f t="shared" ca="1" si="11"/>
        <v>0.35293209876140796</v>
      </c>
      <c r="AB89" s="167">
        <f t="shared" ca="1" si="12"/>
        <v>0.13214120370442595</v>
      </c>
      <c r="AC89" s="168">
        <f t="shared" ca="1" si="13"/>
        <v>0.35237654321180251</v>
      </c>
      <c r="AD89" s="191">
        <f t="shared" ca="1" si="14"/>
        <v>2.4305555562023073E-3</v>
      </c>
      <c r="AE89" s="167">
        <f t="shared" ca="1" si="15"/>
        <v>0.13214120370442595</v>
      </c>
      <c r="AF89" s="168">
        <f t="shared" ca="1" si="16"/>
        <v>0.35237654321180251</v>
      </c>
      <c r="AG89" s="168">
        <f t="shared" ca="1" si="17"/>
        <v>0.35237654321180251</v>
      </c>
      <c r="AH89" s="81" t="str" cm="1">
        <f t="array" aca="1" ref="AH89" ca="1">IF((AD89) &lt; (INDEX(ResponseSLA[#All],(MATCH((G89),ResponseSLA[Priority],0))+1,3)),"YES","No")</f>
        <v>YES</v>
      </c>
      <c r="AI89" s="81" t="str">
        <f ca="1">_xlfn.IFNA(IF(AE89 &lt; (INDEX(SLATable[Minimum SLA],MATCH(G89,SLATable[Priority],0))),"YES","NO"),"")</f>
        <v>YES</v>
      </c>
      <c r="AJ89" s="19" t="str">
        <f ca="1">_xlfn.IFNA(IF(AE89 &lt; (INDEX(SLATable[Maximum SLA],MATCH(G89,SLATable[Priority],0))),"YES","NO"),"")</f>
        <v>YES</v>
      </c>
    </row>
    <row r="90" spans="1:36" ht="15" customHeight="1">
      <c r="A90" s="78">
        <v>89</v>
      </c>
      <c r="B90" s="78" t="s">
        <v>26</v>
      </c>
      <c r="C90" s="78" t="s">
        <v>31</v>
      </c>
      <c r="D90" s="78" t="s">
        <v>207</v>
      </c>
      <c r="E90" s="78" t="s">
        <v>568</v>
      </c>
      <c r="F90" s="78" t="s">
        <v>30</v>
      </c>
      <c r="G90" s="78">
        <v>3</v>
      </c>
      <c r="H90" s="86" t="s">
        <v>569</v>
      </c>
      <c r="I90" s="78" t="s">
        <v>275</v>
      </c>
      <c r="J90" s="86" t="s">
        <v>389</v>
      </c>
      <c r="K90" s="277">
        <v>46158.36074074074</v>
      </c>
      <c r="L90" s="277">
        <v>46160.341365740744</v>
      </c>
      <c r="M90" s="277">
        <v>46160.345601851855</v>
      </c>
      <c r="N90" s="277">
        <v>46160.4221875</v>
      </c>
      <c r="O90" s="80"/>
      <c r="P90" s="80"/>
      <c r="Q90" s="78" t="s">
        <v>565</v>
      </c>
      <c r="R90" s="78" t="s">
        <v>261</v>
      </c>
      <c r="S90" s="78" t="s">
        <v>137</v>
      </c>
      <c r="T90" s="78"/>
      <c r="U90" s="78" t="s">
        <v>371</v>
      </c>
      <c r="V90" s="78"/>
      <c r="W90" s="78"/>
      <c r="X90" s="78"/>
      <c r="Y90" s="78"/>
      <c r="Z90" s="167">
        <f t="shared" ca="1" si="10"/>
        <v>8.8854166666957723E-2</v>
      </c>
      <c r="AA90" s="168">
        <f t="shared" ca="1" si="11"/>
        <v>0.23694444444522059</v>
      </c>
      <c r="AB90" s="167">
        <f t="shared" ca="1" si="12"/>
        <v>8.0821759256650694E-2</v>
      </c>
      <c r="AC90" s="168">
        <f t="shared" ca="1" si="13"/>
        <v>0.21552469135106853</v>
      </c>
      <c r="AD90" s="191">
        <f t="shared" ca="1" si="14"/>
        <v>4.2361111118225381E-3</v>
      </c>
      <c r="AE90" s="167">
        <f t="shared" ca="1" si="15"/>
        <v>8.0821759256650694E-2</v>
      </c>
      <c r="AF90" s="168">
        <f t="shared" ca="1" si="16"/>
        <v>0.21552469135106853</v>
      </c>
      <c r="AG90" s="168">
        <f t="shared" ca="1" si="17"/>
        <v>0.21552469135106853</v>
      </c>
      <c r="AH90" s="81" t="str" cm="1">
        <f t="array" aca="1" ref="AH90" ca="1">IF((AD90) &lt; (INDEX(ResponseSLA[#All],(MATCH((G90),ResponseSLA[Priority],0))+1,3)),"YES","No")</f>
        <v>YES</v>
      </c>
      <c r="AI90" s="81" t="str">
        <f ca="1">_xlfn.IFNA(IF(AE90 &lt; (INDEX(SLATable[Minimum SLA],MATCH(G90,SLATable[Priority],0))),"YES","NO"),"")</f>
        <v>YES</v>
      </c>
      <c r="AJ90" s="19" t="str">
        <f ca="1">_xlfn.IFNA(IF(AE90 &lt; (INDEX(SLATable[Maximum SLA],MATCH(G90,SLATable[Priority],0))),"YES","NO"),"")</f>
        <v>YES</v>
      </c>
    </row>
    <row r="91" spans="1:36" ht="15" customHeight="1">
      <c r="A91" s="78">
        <v>90</v>
      </c>
      <c r="B91" s="78" t="s">
        <v>26</v>
      </c>
      <c r="C91" s="78" t="s">
        <v>31</v>
      </c>
      <c r="D91" s="78" t="s">
        <v>231</v>
      </c>
      <c r="E91" s="78" t="s">
        <v>570</v>
      </c>
      <c r="F91" s="78" t="s">
        <v>30</v>
      </c>
      <c r="G91" s="78" t="s">
        <v>265</v>
      </c>
      <c r="H91" s="86" t="s">
        <v>571</v>
      </c>
      <c r="I91" s="78" t="s">
        <v>271</v>
      </c>
      <c r="J91" s="86" t="s">
        <v>389</v>
      </c>
      <c r="K91" s="277">
        <v>45852.233055555553</v>
      </c>
      <c r="L91" s="277">
        <v>45852.233055555553</v>
      </c>
      <c r="M91" s="277">
        <v>45852.233055555553</v>
      </c>
      <c r="N91" s="277">
        <v>46155.449814814812</v>
      </c>
      <c r="O91" s="80"/>
      <c r="P91" s="80"/>
      <c r="Q91" s="78" t="s">
        <v>390</v>
      </c>
      <c r="R91" s="78" t="s">
        <v>267</v>
      </c>
      <c r="S91" s="78" t="s">
        <v>205</v>
      </c>
      <c r="T91" s="78"/>
      <c r="U91" s="78" t="s">
        <v>371</v>
      </c>
      <c r="V91" s="78" t="s">
        <v>572</v>
      </c>
      <c r="W91" s="78"/>
      <c r="X91" s="78"/>
      <c r="Y91" s="78"/>
      <c r="Z91" s="167">
        <f t="shared" ca="1" si="10"/>
        <v>79.616481481478957</v>
      </c>
      <c r="AA91" s="168">
        <f t="shared" ca="1" si="11"/>
        <v>212.31061728394388</v>
      </c>
      <c r="AB91" s="167">
        <f t="shared" ca="1" si="12"/>
        <v>79.616481481478957</v>
      </c>
      <c r="AC91" s="168">
        <f t="shared" ca="1" si="13"/>
        <v>212.31061728394388</v>
      </c>
      <c r="AD91" s="191">
        <f t="shared" ca="1" si="14"/>
        <v>0</v>
      </c>
      <c r="AE91" s="167">
        <f t="shared" ca="1" si="15"/>
        <v>79.616481481478957</v>
      </c>
      <c r="AF91" s="168">
        <f t="shared" ca="1" si="16"/>
        <v>212.31061728394388</v>
      </c>
      <c r="AG91" s="168">
        <f t="shared" ca="1" si="17"/>
        <v>212.31061728394388</v>
      </c>
      <c r="AH91" s="81" t="str" cm="1">
        <f t="array" aca="1" ref="AH91" ca="1">IF((AD91) &lt; (INDEX(ResponseSLA[#All],(MATCH((G91),ResponseSLA[Priority],0))+1,3)),"YES","No")</f>
        <v>YES</v>
      </c>
      <c r="AI91" s="81" t="str">
        <f ca="1">_xlfn.IFNA(IF(AE91 &lt; (INDEX(SLATable[Minimum SLA],MATCH(G91,SLATable[Priority],0))),"YES","NO"),"")</f>
        <v>NO</v>
      </c>
      <c r="AJ91" s="19" t="str">
        <f ca="1">_xlfn.IFNA(IF(AE91 &lt; (INDEX(SLATable[Maximum SLA],MATCH(G91,SLATable[Priority],0))),"YES","NO"),"")</f>
        <v>NO</v>
      </c>
    </row>
    <row r="92" spans="1:36" ht="15" customHeight="1">
      <c r="A92" s="78">
        <v>91</v>
      </c>
      <c r="B92" s="78" t="s">
        <v>26</v>
      </c>
      <c r="C92" s="78" t="s">
        <v>31</v>
      </c>
      <c r="D92" s="78" t="s">
        <v>208</v>
      </c>
      <c r="E92" s="78" t="s">
        <v>573</v>
      </c>
      <c r="F92" s="78" t="s">
        <v>30</v>
      </c>
      <c r="G92" s="78" t="s">
        <v>208</v>
      </c>
      <c r="H92" s="86" t="s">
        <v>574</v>
      </c>
      <c r="I92" s="78" t="s">
        <v>271</v>
      </c>
      <c r="J92" s="86" t="s">
        <v>389</v>
      </c>
      <c r="K92" s="277">
        <v>46155.507164351853</v>
      </c>
      <c r="L92" s="277">
        <v>46155.506944444445</v>
      </c>
      <c r="M92" s="277">
        <v>46156.301539351851</v>
      </c>
      <c r="N92" s="277">
        <v>46157.264293981483</v>
      </c>
      <c r="O92" s="80"/>
      <c r="P92" s="80"/>
      <c r="Q92" s="78" t="s">
        <v>498</v>
      </c>
      <c r="R92" s="78" t="s">
        <v>267</v>
      </c>
      <c r="S92" s="78" t="s">
        <v>147</v>
      </c>
      <c r="T92" s="78"/>
      <c r="U92" s="78" t="s">
        <v>371</v>
      </c>
      <c r="V92" s="78"/>
      <c r="W92" s="78"/>
      <c r="X92" s="78"/>
      <c r="Y92" s="78"/>
      <c r="Z92" s="167">
        <f t="shared" ca="1" si="10"/>
        <v>0.57616898148019891</v>
      </c>
      <c r="AA92" s="168">
        <f t="shared" ca="1" si="11"/>
        <v>1.5364506172805303</v>
      </c>
      <c r="AB92" s="167">
        <f t="shared" ca="1" si="12"/>
        <v>0.5763888888880806</v>
      </c>
      <c r="AC92" s="168">
        <f t="shared" ca="1" si="13"/>
        <v>1.5370370370348816</v>
      </c>
      <c r="AD92" s="191">
        <f t="shared" ca="1" si="14"/>
        <v>0.20138888888808049</v>
      </c>
      <c r="AE92" s="167">
        <f t="shared" ca="1" si="15"/>
        <v>0.5763888888880806</v>
      </c>
      <c r="AF92" s="168">
        <f t="shared" ca="1" si="16"/>
        <v>1.5370370370348816</v>
      </c>
      <c r="AG92" s="168">
        <f t="shared" ca="1" si="17"/>
        <v>1.5370370370348816</v>
      </c>
      <c r="AH92" s="81" t="str" cm="1">
        <f t="array" aca="1" ref="AH92" ca="1">IF((AD92) &lt; (INDEX(ResponseSLA[#All],(MATCH((G92),ResponseSLA[Priority],0))+1,3)),"YES","No")</f>
        <v>YES</v>
      </c>
      <c r="AI92" s="81" t="str">
        <f ca="1">_xlfn.IFNA(IF(AE92 &lt; (INDEX(SLATable[Minimum SLA],MATCH(G92,SLATable[Priority],0))),"YES","NO"),"")</f>
        <v>YES</v>
      </c>
      <c r="AJ92" s="19" t="str">
        <f ca="1">_xlfn.IFNA(IF(AE92 &lt; (INDEX(SLATable[Maximum SLA],MATCH(G92,SLATable[Priority],0))),"YES","NO"),"")</f>
        <v>YES</v>
      </c>
    </row>
    <row r="93" spans="1:36" ht="15" customHeight="1">
      <c r="A93" s="78">
        <v>92</v>
      </c>
      <c r="B93" s="78" t="s">
        <v>26</v>
      </c>
      <c r="C93" s="78" t="s">
        <v>31</v>
      </c>
      <c r="D93" s="78" t="s">
        <v>208</v>
      </c>
      <c r="E93" s="78" t="s">
        <v>575</v>
      </c>
      <c r="F93" s="78" t="s">
        <v>30</v>
      </c>
      <c r="G93" s="78" t="s">
        <v>208</v>
      </c>
      <c r="H93" s="86" t="s">
        <v>576</v>
      </c>
      <c r="I93" s="78" t="s">
        <v>271</v>
      </c>
      <c r="J93" s="86" t="s">
        <v>389</v>
      </c>
      <c r="K93" s="277">
        <v>46148.454421296294</v>
      </c>
      <c r="L93" s="277">
        <v>46148.454421296294</v>
      </c>
      <c r="M93" s="277">
        <v>46148.456331018519</v>
      </c>
      <c r="N93" s="277">
        <v>46149.295543981483</v>
      </c>
      <c r="O93" s="80"/>
      <c r="P93" s="80"/>
      <c r="Q93" s="78" t="s">
        <v>498</v>
      </c>
      <c r="R93" s="78" t="s">
        <v>267</v>
      </c>
      <c r="S93" s="78" t="s">
        <v>179</v>
      </c>
      <c r="T93" s="78"/>
      <c r="U93" s="78" t="s">
        <v>371</v>
      </c>
      <c r="V93" s="78"/>
      <c r="W93" s="78"/>
      <c r="X93" s="78"/>
      <c r="Y93" s="78"/>
      <c r="Z93" s="167">
        <f t="shared" ca="1" si="10"/>
        <v>0.25391203703960252</v>
      </c>
      <c r="AA93" s="168">
        <f t="shared" ca="1" si="11"/>
        <v>0.6770987654389401</v>
      </c>
      <c r="AB93" s="167">
        <f t="shared" ca="1" si="12"/>
        <v>0.25391203703960252</v>
      </c>
      <c r="AC93" s="168">
        <f t="shared" ca="1" si="13"/>
        <v>0.6770987654389401</v>
      </c>
      <c r="AD93" s="191">
        <f t="shared" ca="1" si="14"/>
        <v>1.9097222248092294E-3</v>
      </c>
      <c r="AE93" s="167">
        <f t="shared" ca="1" si="15"/>
        <v>0.25391203703960252</v>
      </c>
      <c r="AF93" s="168">
        <f t="shared" ca="1" si="16"/>
        <v>0.6770987654389401</v>
      </c>
      <c r="AG93" s="168">
        <f t="shared" ca="1" si="17"/>
        <v>0.6770987654389401</v>
      </c>
      <c r="AH93" s="81" t="str" cm="1">
        <f t="array" aca="1" ref="AH93" ca="1">IF((AD93) &lt; (INDEX(ResponseSLA[#All],(MATCH((G93),ResponseSLA[Priority],0))+1,3)),"YES","No")</f>
        <v>YES</v>
      </c>
      <c r="AI93" s="81" t="str">
        <f ca="1">_xlfn.IFNA(IF(AE93 &lt; (INDEX(SLATable[Minimum SLA],MATCH(G93,SLATable[Priority],0))),"YES","NO"),"")</f>
        <v>YES</v>
      </c>
      <c r="AJ93" s="19" t="str">
        <f ca="1">_xlfn.IFNA(IF(AE93 &lt; (INDEX(SLATable[Maximum SLA],MATCH(G93,SLATable[Priority],0))),"YES","NO"),"")</f>
        <v>YES</v>
      </c>
    </row>
    <row r="94" spans="1:36" ht="15" customHeight="1">
      <c r="A94" s="78">
        <v>93</v>
      </c>
      <c r="B94" s="78" t="s">
        <v>26</v>
      </c>
      <c r="C94" s="78" t="s">
        <v>31</v>
      </c>
      <c r="D94" s="78" t="s">
        <v>208</v>
      </c>
      <c r="E94" s="78" t="s">
        <v>577</v>
      </c>
      <c r="F94" s="78" t="s">
        <v>30</v>
      </c>
      <c r="G94" s="78" t="s">
        <v>208</v>
      </c>
      <c r="H94" s="86" t="s">
        <v>578</v>
      </c>
      <c r="I94" s="78" t="s">
        <v>271</v>
      </c>
      <c r="J94" s="86" t="s">
        <v>393</v>
      </c>
      <c r="K94" s="277">
        <v>46160.186666666668</v>
      </c>
      <c r="L94" s="277">
        <v>46150.186666666668</v>
      </c>
      <c r="M94" s="277">
        <v>46160.187685185185</v>
      </c>
      <c r="N94" s="277">
        <v>46160.689039351855</v>
      </c>
      <c r="O94" s="80"/>
      <c r="P94" s="80"/>
      <c r="Q94" s="78" t="s">
        <v>495</v>
      </c>
      <c r="R94" s="78" t="s">
        <v>267</v>
      </c>
      <c r="S94" s="78" t="s">
        <v>179</v>
      </c>
      <c r="T94" s="78"/>
      <c r="U94" s="78" t="s">
        <v>371</v>
      </c>
      <c r="V94" s="78"/>
      <c r="W94" s="78"/>
      <c r="X94" s="78"/>
      <c r="Y94" s="78"/>
      <c r="Z94" s="167">
        <f t="shared" ca="1" si="10"/>
        <v>0.35570601852183853</v>
      </c>
      <c r="AA94" s="168">
        <f t="shared" ca="1" si="11"/>
        <v>0.94854938272490275</v>
      </c>
      <c r="AB94" s="167">
        <f t="shared" ca="1" si="12"/>
        <v>2.6057060185218388</v>
      </c>
      <c r="AC94" s="168">
        <f t="shared" ca="1" si="13"/>
        <v>6.9485493827249032</v>
      </c>
      <c r="AD94" s="191">
        <f t="shared" ca="1" si="14"/>
        <v>2.2500000000000004</v>
      </c>
      <c r="AE94" s="167">
        <f t="shared" ca="1" si="15"/>
        <v>2.6057060185218388</v>
      </c>
      <c r="AF94" s="168">
        <f t="shared" ca="1" si="16"/>
        <v>6.9485493827249032</v>
      </c>
      <c r="AG94" s="168">
        <f t="shared" ca="1" si="17"/>
        <v>6.9485493827249032</v>
      </c>
      <c r="AH94" s="81" t="str" cm="1">
        <f t="array" aca="1" ref="AH94" ca="1">IF((AD94) &lt; (INDEX(ResponseSLA[#All],(MATCH((G94),ResponseSLA[Priority],0))+1,3)),"YES","No")</f>
        <v>No</v>
      </c>
      <c r="AI94" s="81" t="str">
        <f ca="1">_xlfn.IFNA(IF(AE94 &lt; (INDEX(SLATable[Minimum SLA],MATCH(G94,SLATable[Priority],0))),"YES","NO"),"")</f>
        <v>NO</v>
      </c>
      <c r="AJ94" s="19" t="str">
        <f ca="1">_xlfn.IFNA(IF(AE94 &lt; (INDEX(SLATable[Maximum SLA],MATCH(G94,SLATable[Priority],0))),"YES","NO"),"")</f>
        <v>NO</v>
      </c>
    </row>
    <row r="95" spans="1:36" ht="15" customHeight="1">
      <c r="A95" s="78">
        <v>94</v>
      </c>
      <c r="B95" s="78" t="s">
        <v>26</v>
      </c>
      <c r="C95" s="78" t="s">
        <v>29</v>
      </c>
      <c r="D95" s="78" t="s">
        <v>207</v>
      </c>
      <c r="E95" s="78" t="s">
        <v>579</v>
      </c>
      <c r="F95" s="78" t="s">
        <v>264</v>
      </c>
      <c r="G95" s="78">
        <v>4</v>
      </c>
      <c r="H95" s="86" t="s">
        <v>580</v>
      </c>
      <c r="I95" s="78" t="s">
        <v>271</v>
      </c>
      <c r="J95" s="86" t="s">
        <v>374</v>
      </c>
      <c r="K95" s="277">
        <v>46174.577511574076</v>
      </c>
      <c r="L95" s="277">
        <v>46174.578055555554</v>
      </c>
      <c r="M95" s="277">
        <v>46174.580347222225</v>
      </c>
      <c r="N95" s="277">
        <v>46182.750219907408</v>
      </c>
      <c r="O95" s="80">
        <v>46175.23609953704</v>
      </c>
      <c r="P95" s="80">
        <v>46182.750219907408</v>
      </c>
      <c r="Q95" s="78" t="s">
        <v>370</v>
      </c>
      <c r="R95" s="78" t="s">
        <v>267</v>
      </c>
      <c r="S95" s="78"/>
      <c r="T95" s="78"/>
      <c r="U95" s="78" t="s">
        <v>371</v>
      </c>
      <c r="V95" s="78"/>
      <c r="W95" s="78"/>
      <c r="X95" s="78"/>
      <c r="Y95" s="78"/>
      <c r="Z95" s="167">
        <f t="shared" ca="1" si="10"/>
        <v>0.13082175925713635</v>
      </c>
      <c r="AA95" s="168">
        <f t="shared" ca="1" si="11"/>
        <v>0.34885802468569693</v>
      </c>
      <c r="AB95" s="167">
        <f t="shared" ca="1" si="12"/>
        <v>0.13027777777945992</v>
      </c>
      <c r="AC95" s="168">
        <f t="shared" ca="1" si="13"/>
        <v>0.34740740741189313</v>
      </c>
      <c r="AD95" s="191">
        <f t="shared" ca="1" si="14"/>
        <v>2.2916666712262668E-3</v>
      </c>
      <c r="AE95" s="167">
        <f t="shared" ca="1" si="15"/>
        <v>0.13027777777945992</v>
      </c>
      <c r="AF95" s="168">
        <f t="shared" ca="1" si="16"/>
        <v>0.34740740741189313</v>
      </c>
      <c r="AG95" s="168">
        <f t="shared" ca="1" si="17"/>
        <v>0.34740740741189313</v>
      </c>
      <c r="AH95" s="81" t="str" cm="1">
        <f t="array" aca="1" ref="AH95" ca="1">IF((AD95) &lt; (INDEX(ResponseSLA[#All],(MATCH((G95),ResponseSLA[Priority],0))+1,3)),"YES","No")</f>
        <v>YES</v>
      </c>
      <c r="AI95" s="81" t="str">
        <f ca="1">_xlfn.IFNA(IF(AE95 &lt; (INDEX(SLATable[Minimum SLA],MATCH(G95,SLATable[Priority],0))),"YES","NO"),"")</f>
        <v>YES</v>
      </c>
      <c r="AJ95" s="19" t="str">
        <f ca="1">_xlfn.IFNA(IF(AE95 &lt; (INDEX(SLATable[Maximum SLA],MATCH(G95,SLATable[Priority],0))),"YES","NO"),"")</f>
        <v>YES</v>
      </c>
    </row>
    <row r="96" spans="1:36" ht="15" customHeight="1">
      <c r="A96" s="78">
        <v>95</v>
      </c>
      <c r="B96" s="78" t="s">
        <v>26</v>
      </c>
      <c r="C96" s="78" t="s">
        <v>29</v>
      </c>
      <c r="D96" s="78" t="s">
        <v>207</v>
      </c>
      <c r="E96" s="78" t="s">
        <v>581</v>
      </c>
      <c r="F96" s="78" t="s">
        <v>264</v>
      </c>
      <c r="G96" s="78">
        <v>4</v>
      </c>
      <c r="H96" s="86" t="s">
        <v>582</v>
      </c>
      <c r="I96" s="78" t="s">
        <v>271</v>
      </c>
      <c r="J96" s="86" t="s">
        <v>369</v>
      </c>
      <c r="K96" s="277">
        <v>46175.130949074075</v>
      </c>
      <c r="L96" s="277">
        <v>46175.131006944444</v>
      </c>
      <c r="M96" s="277">
        <v>46175.137337962966</v>
      </c>
      <c r="N96" s="277">
        <v>46192.400613425925</v>
      </c>
      <c r="O96" s="80">
        <v>46176.280416666668</v>
      </c>
      <c r="P96" s="80"/>
      <c r="Q96" s="78" t="s">
        <v>370</v>
      </c>
      <c r="R96" s="78"/>
      <c r="S96" s="78"/>
      <c r="T96" s="78"/>
      <c r="U96" s="78" t="s">
        <v>371</v>
      </c>
      <c r="V96" s="78"/>
      <c r="W96" s="78"/>
      <c r="X96" s="78"/>
      <c r="Y96" s="78"/>
      <c r="Z96" s="167">
        <f t="shared" ca="1" si="10"/>
        <v>4.9422800925919255</v>
      </c>
      <c r="AA96" s="168">
        <f t="shared" ca="1" si="11"/>
        <v>13.179413580245134</v>
      </c>
      <c r="AB96" s="167">
        <f t="shared" ca="1" si="12"/>
        <v>4.9422800925919255</v>
      </c>
      <c r="AC96" s="168">
        <f t="shared" ca="1" si="13"/>
        <v>13.179413580245134</v>
      </c>
      <c r="AD96" s="191">
        <f t="shared" ca="1" si="14"/>
        <v>0</v>
      </c>
      <c r="AE96" s="167">
        <f t="shared" ca="1" si="15"/>
        <v>4.9422800925919255</v>
      </c>
      <c r="AF96" s="168">
        <f t="shared" ca="1" si="16"/>
        <v>13.179413580245134</v>
      </c>
      <c r="AG96" s="168">
        <f t="shared" ca="1" si="17"/>
        <v>13.179413580245134</v>
      </c>
      <c r="AH96" s="81" t="str" cm="1">
        <f t="array" aca="1" ref="AH96" ca="1">IF((AD96) &lt; (INDEX(ResponseSLA[#All],(MATCH((G96),ResponseSLA[Priority],0))+1,3)),"YES","No")</f>
        <v>YES</v>
      </c>
      <c r="AI96" s="81" t="str">
        <f ca="1">_xlfn.IFNA(IF(AE96 &lt; (INDEX(SLATable[Minimum SLA],MATCH(G96,SLATable[Priority],0))),"YES","NO"),"")</f>
        <v>NO</v>
      </c>
      <c r="AJ96" s="19" t="str">
        <f ca="1">_xlfn.IFNA(IF(AE96 &lt; (INDEX(SLATable[Maximum SLA],MATCH(G96,SLATable[Priority],0))),"YES","NO"),"")</f>
        <v>YES</v>
      </c>
    </row>
    <row r="97" spans="1:36" ht="15" customHeight="1">
      <c r="A97" s="78">
        <v>96</v>
      </c>
      <c r="B97" s="78" t="s">
        <v>26</v>
      </c>
      <c r="C97" s="78" t="s">
        <v>29</v>
      </c>
      <c r="D97" s="78" t="s">
        <v>207</v>
      </c>
      <c r="E97" s="78" t="s">
        <v>583</v>
      </c>
      <c r="F97" s="78" t="s">
        <v>264</v>
      </c>
      <c r="G97" s="78">
        <v>3</v>
      </c>
      <c r="H97" s="86" t="s">
        <v>584</v>
      </c>
      <c r="I97" s="78" t="s">
        <v>271</v>
      </c>
      <c r="J97" s="86" t="s">
        <v>585</v>
      </c>
      <c r="K97" s="277">
        <v>46176.625289351854</v>
      </c>
      <c r="L97" s="277">
        <v>46176.625821759262</v>
      </c>
      <c r="M97" s="277">
        <v>46176.631458333337</v>
      </c>
      <c r="N97" s="318">
        <v>46185.426249999997</v>
      </c>
      <c r="O97" s="80">
        <v>46177.42527777778</v>
      </c>
      <c r="P97" s="80">
        <v>46185.434374999997</v>
      </c>
      <c r="Q97" s="78" t="s">
        <v>370</v>
      </c>
      <c r="R97" s="78" t="s">
        <v>267</v>
      </c>
      <c r="S97" s="78"/>
      <c r="T97" s="78"/>
      <c r="U97" s="78" t="s">
        <v>428</v>
      </c>
      <c r="V97" s="78"/>
      <c r="W97" s="78"/>
      <c r="X97" s="78"/>
      <c r="Y97" s="78"/>
      <c r="Z97" s="167">
        <f t="shared" ca="1" si="10"/>
        <v>0.16686342592583969</v>
      </c>
      <c r="AA97" s="168">
        <f t="shared" ca="1" si="11"/>
        <v>0.44496913580223918</v>
      </c>
      <c r="AB97" s="167">
        <f t="shared" ca="1" si="12"/>
        <v>0.16633101851766696</v>
      </c>
      <c r="AC97" s="168">
        <f t="shared" ca="1" si="13"/>
        <v>0.44354938271377858</v>
      </c>
      <c r="AD97" s="191">
        <f t="shared" ca="1" si="14"/>
        <v>5.6365740747423843E-3</v>
      </c>
      <c r="AE97" s="167">
        <f t="shared" ca="1" si="15"/>
        <v>0.34460648148524342</v>
      </c>
      <c r="AF97" s="168">
        <f t="shared" ca="1" si="16"/>
        <v>0.91895061729398242</v>
      </c>
      <c r="AG97" s="168">
        <f t="shared" ca="1" si="17"/>
        <v>0.91895061729398242</v>
      </c>
      <c r="AH97" s="81" t="str" cm="1">
        <f t="array" aca="1" ref="AH97" ca="1">IF((AD97) &lt; (INDEX(ResponseSLA[#All],(MATCH((G97),ResponseSLA[Priority],0))+1,3)),"YES","No")</f>
        <v>YES</v>
      </c>
      <c r="AI97" s="81" t="str">
        <f ca="1">_xlfn.IFNA(IF(AE97 &lt; (INDEX(SLATable[Minimum SLA],MATCH(G97,SLATable[Priority],0))),"YES","NO"),"")</f>
        <v>YES</v>
      </c>
      <c r="AJ97" s="19" t="str">
        <f ca="1">_xlfn.IFNA(IF(AE97 &lt; (INDEX(SLATable[Maximum SLA],MATCH(G97,SLATable[Priority],0))),"YES","NO"),"")</f>
        <v>YES</v>
      </c>
    </row>
    <row r="98" spans="1:36" ht="15" customHeight="1">
      <c r="A98" s="78">
        <v>97</v>
      </c>
      <c r="B98" s="78" t="s">
        <v>26</v>
      </c>
      <c r="C98" s="78" t="s">
        <v>31</v>
      </c>
      <c r="D98" s="78" t="s">
        <v>208</v>
      </c>
      <c r="E98" s="78" t="s">
        <v>586</v>
      </c>
      <c r="F98" s="78" t="s">
        <v>30</v>
      </c>
      <c r="G98" s="78" t="s">
        <v>208</v>
      </c>
      <c r="H98" s="86" t="s">
        <v>587</v>
      </c>
      <c r="I98" s="78" t="s">
        <v>271</v>
      </c>
      <c r="J98" s="86" t="s">
        <v>389</v>
      </c>
      <c r="K98" s="277">
        <v>46177.495254629626</v>
      </c>
      <c r="L98" s="277">
        <v>46177.495254629626</v>
      </c>
      <c r="M98" s="277">
        <v>46177.496967592589</v>
      </c>
      <c r="N98" s="277">
        <v>46184.222719907404</v>
      </c>
      <c r="O98" s="80">
        <v>46177.502708333333</v>
      </c>
      <c r="P98" s="80">
        <v>46184.222719907404</v>
      </c>
      <c r="Q98" s="78" t="s">
        <v>498</v>
      </c>
      <c r="R98" s="78" t="s">
        <v>267</v>
      </c>
      <c r="S98" s="78" t="s">
        <v>147</v>
      </c>
      <c r="T98" s="78"/>
      <c r="U98" s="78" t="s">
        <v>371</v>
      </c>
      <c r="V98" s="78"/>
      <c r="W98" s="78"/>
      <c r="X98" s="78"/>
      <c r="Y98" s="78"/>
      <c r="Z98" s="167">
        <f t="shared" ref="Z98:Z129" ca="1" si="18">IF(NOT(OR(G98=1,G98=2)),MAX(0,_xlfn.IFS(AND(K98&lt;&gt;"",N98&lt;&gt;""),((MAX(NETWORKDAYS(K98,N98,UKBankHolidays)-1,0))*(TIME(17,0,0)-TIME(8,0,0))+IF(NETWORKDAYS(N98,N98,UKBankHolidays)&gt;0,MEDIAN(TIME(8,0,0),MOD(N98,1),TIME(17,0,0)),TIME(8,0,0))-IF(NETWORKDAYS(K98,K98,UKBankHolidays)&gt;0,MEDIAN(TIME(8,0,0),MOD(K98,1),TIME(17,0,0)),TIME(8,0,0)))-IF(AND(O98&lt;&gt;"",P98&lt;&gt;""),((MAX(NETWORKDAYS(O98,P98,UKBankHolidays)-1,0))*(TIME(17,0,0)-TIME(8,0,0))+IF(NETWORKDAYS(P98,P98,UKBankHolidays)&gt;0,MEDIAN(TIME(8,0,0),MOD(P98,1),TIME(17,0,0)),TIME(8,0,0))-IF(NETWORKDAYS(O98,O98,UKBankHolidays)&gt;0,MEDIAN(TIME(8,0,0),MOD(O98,1),TIME(17,0,0)),TIME(8,0,0))),0),AND(K98&lt;&gt;"",N98=""),((MAX(NETWORKDAYS(K98,NOW(),UKBankHolidays)-1,0))*(TIME(17,0,0)-TIME(8,0,0))+IF(NETWORKDAYS(NOW(),NOW(),UKBankHolidays)&gt;0,MEDIAN(TIME(8,0,0),MOD(NOW(),1),TIME(17,0,0)),TIME(8,0,0))-IF(NETWORKDAYS(K98,K98,UKBankHolidays)&gt;0,MEDIAN(TIME(8,0,0),MOD(K98,1),TIME(17,0,0)),TIME(8,0,0))))),IF(N98="",NOW()-K98,N98-K98))</f>
        <v>7.4537037071422674E-3</v>
      </c>
      <c r="AA98" s="168">
        <f t="shared" ca="1" si="11"/>
        <v>1.9876543219046045E-2</v>
      </c>
      <c r="AB98" s="167">
        <f t="shared" ref="AB98:AB129" ca="1" si="19">IF(NOT(OR(G98=1,G98=2)),MAX(0,_xlfn.IFS(AND(K98&lt;&gt;"",N98&lt;&gt;""),(((MAX(NETWORKDAYS(L98,N98,UKBankHolidays)-1,0))*(TIME(17,0,0)-TIME(8,0,0)))+IF(NETWORKDAYS(N98,N98,UKBankHolidays)&gt;0,MEDIAN(TIME(8,0,0),MOD(N98,1),TIME(17,0,0)),TIME(8,0,0))-IF(NETWORKDAYS(L98,L98,UKBankHolidays)&gt;0,MEDIAN(TIME(8,0,0),MOD(L98,1),TIME(17,0,0)),TIME(8,0,0)))-IF(AND(O98&lt;&gt;"",P98&lt;&gt;""),(((MAX(NETWORKDAYS(O98,P98,UKBankHolidays)-1,0))*(TIME(17,0,0)-TIME(8,0,0)))+IF(NETWORKDAYS(P98,P98,UKBankHolidays)&gt;0,MEDIAN(TIME(8,0,0),MOD(P98,1),TIME(17,0,0)),TIME(8,0,0))-IF(NETWORKDAYS(O98,O98,UKBankHolidays)&gt;0,MEDIAN(TIME(8,0,0),MOD(O98,1),TIME(17,0,0)),TIME(8,0,0))),0),AND(L98&lt;&gt;"",N98="",O98=""),(((MAX(NETWORKDAYS(L98,NOW(),UKBankHolidays)-1,0))*(TIME(17,0,0)-TIME(8,0,0)))+IF(NETWORKDAYS(NOW(),NOW(),UKBankHolidays)&gt;0,MEDIAN(TIME(8,0,0),MOD(NOW(),1),TIME(17,0,0)),TIME(8,0,0))-IF(NETWORKDAYS(L98,L98,UKBankHolidays)&gt;0,MEDIAN(TIME(8,0,0),MOD(L98,1),TIME(17,0,0)),TIME(8,0,0)))-IF(AND(O98&lt;&gt;"",P98&lt;&gt;""),(((MAX(NETWORKDAYS(O98,P98,UKBankHolidays)-1,0))*(TIME(17,0,0)-TIME(8,0,0)))+IF(NETWORKDAYS(P98,P98,UKBankHolidays)&gt;0,MEDIAN(TIME(8,0,0),MOD(P98,1),TIME(17,0,0)),TIME(8,0,0))-IF(NETWORKDAYS(O98,O98,UKBankHolidays)&gt;0,MEDIAN(TIME(8,0,0),MOD(O98,1),TIME(17,0,0)),TIME(8,0,0))),0),AND(L98&lt;&gt;"",N98="",P98="",O98&lt;&gt;""),(((MAX(NETWORKDAYS(L98,O98,UKBankHolidays)-1,0))*(TIME(17,0,0)-TIME(8,0,0)))+IF(NETWORKDAYS(O98,O98,UKBankHolidays)&gt;0,MEDIAN(TIME(8,0,0),MOD(O98,1),TIME(17,0,0)),TIME(8,0,0))-IF(NETWORKDAYS(L98,L98,UKBankHolidays)&gt;0,MEDIAN(TIME(8,0,0),MOD(L98,1),TIME(17,0,0)),TIME(8,0,0))),ISBLANK(K98),"0")),IF(ISBLANK(N98),NOW()-L98,N98-L98))</f>
        <v>7.4537037071422674E-3</v>
      </c>
      <c r="AC98" s="168">
        <f t="shared" ca="1" si="13"/>
        <v>1.9876543219046045E-2</v>
      </c>
      <c r="AD98" s="191">
        <f t="shared" ca="1" si="14"/>
        <v>1.7129629632108845E-3</v>
      </c>
      <c r="AE98" s="167">
        <f t="shared" ca="1" si="15"/>
        <v>7.4537037071422674E-3</v>
      </c>
      <c r="AF98" s="168">
        <f t="shared" ca="1" si="16"/>
        <v>1.9876543219046045E-2</v>
      </c>
      <c r="AG98" s="168">
        <f t="shared" ca="1" si="17"/>
        <v>1.9876543219046045E-2</v>
      </c>
      <c r="AH98" s="81" t="str" cm="1">
        <f t="array" aca="1" ref="AH98" ca="1">IF((AD98) &lt; (INDEX(ResponseSLA[#All],(MATCH((G98),ResponseSLA[Priority],0))+1,3)),"YES","No")</f>
        <v>YES</v>
      </c>
      <c r="AI98" s="81" t="str">
        <f ca="1">_xlfn.IFNA(IF(AE98 &lt; (INDEX(SLATable[Minimum SLA],MATCH(G98,SLATable[Priority],0))),"YES","NO"),"")</f>
        <v>YES</v>
      </c>
      <c r="AJ98" s="19" t="str">
        <f ca="1">_xlfn.IFNA(IF(AE98 &lt; (INDEX(SLATable[Maximum SLA],MATCH(G98,SLATable[Priority],0))),"YES","NO"),"")</f>
        <v>YES</v>
      </c>
    </row>
    <row r="99" spans="1:36" ht="15" customHeight="1">
      <c r="A99" s="78">
        <v>98</v>
      </c>
      <c r="B99" s="78" t="s">
        <v>26</v>
      </c>
      <c r="C99" s="78" t="s">
        <v>31</v>
      </c>
      <c r="D99" s="78" t="s">
        <v>208</v>
      </c>
      <c r="E99" s="78" t="s">
        <v>588</v>
      </c>
      <c r="F99" s="78" t="s">
        <v>30</v>
      </c>
      <c r="G99" s="78" t="s">
        <v>208</v>
      </c>
      <c r="H99" s="86" t="s">
        <v>589</v>
      </c>
      <c r="I99" s="78" t="s">
        <v>271</v>
      </c>
      <c r="J99" s="86" t="s">
        <v>389</v>
      </c>
      <c r="K99" s="277">
        <v>46177.320474537039</v>
      </c>
      <c r="L99" s="277">
        <v>46177.320474537039</v>
      </c>
      <c r="M99" s="277">
        <v>46177.321342592593</v>
      </c>
      <c r="N99" s="277">
        <v>46177.591354166667</v>
      </c>
      <c r="O99" s="80">
        <v>46177.326932870368</v>
      </c>
      <c r="P99" s="80">
        <v>46177.591354166667</v>
      </c>
      <c r="Q99" s="78" t="s">
        <v>498</v>
      </c>
      <c r="R99" s="78" t="s">
        <v>267</v>
      </c>
      <c r="S99" s="78" t="s">
        <v>147</v>
      </c>
      <c r="T99" s="78"/>
      <c r="U99" s="78" t="s">
        <v>371</v>
      </c>
      <c r="V99" s="78"/>
      <c r="W99" s="78"/>
      <c r="X99" s="78"/>
      <c r="Y99" s="78"/>
      <c r="Z99" s="167">
        <f t="shared" ca="1" si="18"/>
        <v>0</v>
      </c>
      <c r="AA99" s="168">
        <f t="shared" ca="1" si="11"/>
        <v>0</v>
      </c>
      <c r="AB99" s="167">
        <f t="shared" ca="1" si="19"/>
        <v>0</v>
      </c>
      <c r="AC99" s="168">
        <f t="shared" ca="1" si="13"/>
        <v>0</v>
      </c>
      <c r="AD99" s="191">
        <f t="shared" ca="1" si="14"/>
        <v>0</v>
      </c>
      <c r="AE99" s="167">
        <f t="shared" ca="1" si="15"/>
        <v>0</v>
      </c>
      <c r="AF99" s="168">
        <f t="shared" ca="1" si="16"/>
        <v>0</v>
      </c>
      <c r="AG99" s="168">
        <f t="shared" ca="1" si="17"/>
        <v>0</v>
      </c>
      <c r="AH99" s="81" t="str" cm="1">
        <f t="array" aca="1" ref="AH99" ca="1">IF((AD99) &lt; (INDEX(ResponseSLA[#All],(MATCH((G99),ResponseSLA[Priority],0))+1,3)),"YES","No")</f>
        <v>YES</v>
      </c>
      <c r="AI99" s="81" t="str">
        <f ca="1">_xlfn.IFNA(IF(AE99 &lt; (INDEX(SLATable[Minimum SLA],MATCH(G99,SLATable[Priority],0))),"YES","NO"),"")</f>
        <v>YES</v>
      </c>
      <c r="AJ99" s="19" t="str">
        <f ca="1">_xlfn.IFNA(IF(AE99 &lt; (INDEX(SLATable[Maximum SLA],MATCH(G99,SLATable[Priority],0))),"YES","NO"),"")</f>
        <v>YES</v>
      </c>
    </row>
    <row r="100" spans="1:36" ht="15" customHeight="1">
      <c r="A100" s="78">
        <v>99</v>
      </c>
      <c r="B100" s="78" t="s">
        <v>26</v>
      </c>
      <c r="C100" s="78" t="s">
        <v>33</v>
      </c>
      <c r="D100" s="78" t="s">
        <v>207</v>
      </c>
      <c r="E100" s="320" t="s">
        <v>590</v>
      </c>
      <c r="F100" s="78" t="s">
        <v>274</v>
      </c>
      <c r="G100" s="78">
        <v>4</v>
      </c>
      <c r="H100" s="86" t="s">
        <v>591</v>
      </c>
      <c r="I100" s="78" t="s">
        <v>271</v>
      </c>
      <c r="J100" s="86" t="s">
        <v>592</v>
      </c>
      <c r="K100" s="277">
        <v>46178.557638888888</v>
      </c>
      <c r="L100" s="277">
        <v>46178.557638888888</v>
      </c>
      <c r="M100" s="277">
        <v>46178.568749999999</v>
      </c>
      <c r="N100" s="277">
        <v>46178.926388888889</v>
      </c>
      <c r="O100" s="80"/>
      <c r="P100" s="80"/>
      <c r="Q100" s="78"/>
      <c r="R100" s="78"/>
      <c r="S100" s="78"/>
      <c r="T100" s="78"/>
      <c r="U100" s="78" t="s">
        <v>371</v>
      </c>
      <c r="V100" s="78"/>
      <c r="W100" s="78"/>
      <c r="X100" s="78"/>
      <c r="Y100" s="78"/>
      <c r="Z100" s="167">
        <f t="shared" ca="1" si="18"/>
        <v>0.15069444444573799</v>
      </c>
      <c r="AA100" s="168">
        <f t="shared" ca="1" si="11"/>
        <v>0.40185185185530131</v>
      </c>
      <c r="AB100" s="167">
        <f t="shared" ca="1" si="19"/>
        <v>0.15069444444573799</v>
      </c>
      <c r="AC100" s="168">
        <f t="shared" ca="1" si="13"/>
        <v>0.40185185185530131</v>
      </c>
      <c r="AD100" s="191">
        <f t="shared" ca="1" si="14"/>
        <v>1.1111111110949423E-2</v>
      </c>
      <c r="AE100" s="167">
        <f t="shared" ca="1" si="15"/>
        <v>0.15069444444573799</v>
      </c>
      <c r="AF100" s="168">
        <f t="shared" ca="1" si="16"/>
        <v>0.40185185185530131</v>
      </c>
      <c r="AG100" s="168">
        <f t="shared" ca="1" si="17"/>
        <v>0.40185185185530131</v>
      </c>
      <c r="AH100" s="81" t="str" cm="1">
        <f t="array" aca="1" ref="AH100" ca="1">IF((AD100) &lt; (INDEX(ResponseSLA[#All],(MATCH((G100),ResponseSLA[Priority],0))+1,3)),"YES","No")</f>
        <v>YES</v>
      </c>
      <c r="AI100" s="81" t="str">
        <f ca="1">_xlfn.IFNA(IF(AE100 &lt; (INDEX(SLATable[Minimum SLA],MATCH(G100,SLATable[Priority],0))),"YES","NO"),"")</f>
        <v>YES</v>
      </c>
      <c r="AJ100" s="19" t="str">
        <f ca="1">_xlfn.IFNA(IF(AE100 &lt; (INDEX(SLATable[Maximum SLA],MATCH(G100,SLATable[Priority],0))),"YES","NO"),"")</f>
        <v>YES</v>
      </c>
    </row>
    <row r="101" spans="1:36" ht="15" customHeight="1">
      <c r="A101" s="78">
        <v>100</v>
      </c>
      <c r="B101" s="78" t="s">
        <v>26</v>
      </c>
      <c r="C101" s="78" t="s">
        <v>33</v>
      </c>
      <c r="D101" s="78" t="s">
        <v>207</v>
      </c>
      <c r="E101" s="184" t="s">
        <v>593</v>
      </c>
      <c r="F101" s="78" t="s">
        <v>284</v>
      </c>
      <c r="G101" s="78">
        <v>3</v>
      </c>
      <c r="H101" s="185" t="s">
        <v>594</v>
      </c>
      <c r="I101" s="78" t="s">
        <v>271</v>
      </c>
      <c r="J101" s="86" t="s">
        <v>522</v>
      </c>
      <c r="K101" s="277">
        <v>46175.689583333333</v>
      </c>
      <c r="L101" s="186">
        <v>46175.713194444441</v>
      </c>
      <c r="M101" s="186">
        <v>46176.215277777781</v>
      </c>
      <c r="N101" s="186">
        <v>46181.359027777777</v>
      </c>
      <c r="O101" s="80"/>
      <c r="P101" s="80"/>
      <c r="Q101" s="78" t="s">
        <v>523</v>
      </c>
      <c r="R101" s="78" t="s">
        <v>267</v>
      </c>
      <c r="S101" s="78" t="s">
        <v>193</v>
      </c>
      <c r="T101" s="78"/>
      <c r="U101" s="78" t="s">
        <v>371</v>
      </c>
      <c r="V101" s="78"/>
      <c r="W101" s="78"/>
      <c r="X101" s="78"/>
      <c r="Y101" s="78"/>
      <c r="Z101" s="167">
        <f t="shared" ca="1" si="18"/>
        <v>1.1694444444437979</v>
      </c>
      <c r="AA101" s="168">
        <f t="shared" ca="1" si="11"/>
        <v>3.1185185185167947</v>
      </c>
      <c r="AB101" s="167">
        <f t="shared" ca="1" si="19"/>
        <v>1.1506944444433129</v>
      </c>
      <c r="AC101" s="168">
        <f t="shared" ca="1" si="13"/>
        <v>3.0685185185155013</v>
      </c>
      <c r="AD101" s="191">
        <f t="shared" ca="1" si="14"/>
        <v>0</v>
      </c>
      <c r="AE101" s="167">
        <f t="shared" ca="1" si="15"/>
        <v>1.1506944444433129</v>
      </c>
      <c r="AF101" s="168">
        <f t="shared" ca="1" si="16"/>
        <v>3.0685185185155013</v>
      </c>
      <c r="AG101" s="168">
        <f t="shared" ca="1" si="17"/>
        <v>3.0685185185155013</v>
      </c>
      <c r="AH101" s="81" t="str" cm="1">
        <f t="array" aca="1" ref="AH101" ca="1">IF((AD101) &lt; (INDEX(ResponseSLA[#All],(MATCH((G101),ResponseSLA[Priority],0))+1,3)),"YES","No")</f>
        <v>YES</v>
      </c>
      <c r="AI101" s="81" t="str">
        <f ca="1">_xlfn.IFNA(IF(AE101 &lt; (INDEX(SLATable[Minimum SLA],MATCH(G101,SLATable[Priority],0))),"YES","NO"),"")</f>
        <v>NO</v>
      </c>
      <c r="AJ101" s="19" t="str">
        <f ca="1">_xlfn.IFNA(IF(AE101 &lt; (INDEX(SLATable[Maximum SLA],MATCH(G101,SLATable[Priority],0))),"YES","NO"),"")</f>
        <v>YES</v>
      </c>
    </row>
    <row r="102" spans="1:36" ht="15" customHeight="1">
      <c r="A102" s="78">
        <v>101</v>
      </c>
      <c r="B102" s="78" t="s">
        <v>26</v>
      </c>
      <c r="C102" s="78" t="s">
        <v>33</v>
      </c>
      <c r="D102" s="78" t="s">
        <v>207</v>
      </c>
      <c r="E102" s="184" t="s">
        <v>595</v>
      </c>
      <c r="F102" s="78" t="s">
        <v>284</v>
      </c>
      <c r="G102" s="78">
        <v>3</v>
      </c>
      <c r="H102" s="185" t="s">
        <v>596</v>
      </c>
      <c r="I102" s="78" t="s">
        <v>271</v>
      </c>
      <c r="J102" s="86" t="s">
        <v>522</v>
      </c>
      <c r="K102" s="277">
        <v>46176.185416666667</v>
      </c>
      <c r="L102" s="277">
        <v>46176.211111111108</v>
      </c>
      <c r="M102" s="277">
        <v>46176.215277777781</v>
      </c>
      <c r="N102" s="186">
        <v>46240.367013888892</v>
      </c>
      <c r="O102" s="80"/>
      <c r="P102" s="80"/>
      <c r="Q102" s="78" t="s">
        <v>523</v>
      </c>
      <c r="R102" s="78" t="s">
        <v>267</v>
      </c>
      <c r="S102" s="78" t="s">
        <v>193</v>
      </c>
      <c r="T102" s="78"/>
      <c r="U102" s="78" t="s">
        <v>371</v>
      </c>
      <c r="V102" s="78"/>
      <c r="W102" s="78"/>
      <c r="X102" s="78"/>
      <c r="Y102" s="78"/>
      <c r="Z102" s="167">
        <f t="shared" ca="1" si="18"/>
        <v>17.283680555558632</v>
      </c>
      <c r="AA102" s="168">
        <f t="shared" ca="1" si="11"/>
        <v>46.089814814823022</v>
      </c>
      <c r="AB102" s="167">
        <f t="shared" ca="1" si="19"/>
        <v>17.283680555558632</v>
      </c>
      <c r="AC102" s="168">
        <f t="shared" ca="1" si="13"/>
        <v>46.089814814823022</v>
      </c>
      <c r="AD102" s="191">
        <f t="shared" ca="1" si="14"/>
        <v>0</v>
      </c>
      <c r="AE102" s="167">
        <f t="shared" ca="1" si="15"/>
        <v>17.283680555558632</v>
      </c>
      <c r="AF102" s="168">
        <f t="shared" ca="1" si="16"/>
        <v>46.089814814823022</v>
      </c>
      <c r="AG102" s="168">
        <f t="shared" ca="1" si="17"/>
        <v>46.089814814823022</v>
      </c>
      <c r="AH102" s="81" t="str" cm="1">
        <f t="array" aca="1" ref="AH102" ca="1">IF((AD102) &lt; (INDEX(ResponseSLA[#All],(MATCH((G102),ResponseSLA[Priority],0))+1,3)),"YES","No")</f>
        <v>YES</v>
      </c>
      <c r="AI102" s="81" t="str">
        <f ca="1">_xlfn.IFNA(IF(AE102 &lt; (INDEX(SLATable[Minimum SLA],MATCH(G102,SLATable[Priority],0))),"YES","NO"),"")</f>
        <v>NO</v>
      </c>
      <c r="AJ102" s="19" t="str">
        <f ca="1">_xlfn.IFNA(IF(AE102 &lt; (INDEX(SLATable[Maximum SLA],MATCH(G102,SLATable[Priority],0))),"YES","NO"),"")</f>
        <v>NO</v>
      </c>
    </row>
    <row r="103" spans="1:36" ht="15" customHeight="1">
      <c r="A103" s="78">
        <v>102</v>
      </c>
      <c r="B103" s="78" t="s">
        <v>26</v>
      </c>
      <c r="C103" s="78" t="s">
        <v>33</v>
      </c>
      <c r="D103" s="78" t="s">
        <v>207</v>
      </c>
      <c r="E103" s="184" t="s">
        <v>597</v>
      </c>
      <c r="F103" s="78" t="s">
        <v>278</v>
      </c>
      <c r="G103" s="78">
        <v>4</v>
      </c>
      <c r="H103" s="185" t="s">
        <v>598</v>
      </c>
      <c r="I103" s="78" t="s">
        <v>275</v>
      </c>
      <c r="J103" s="86" t="s">
        <v>510</v>
      </c>
      <c r="K103" s="277">
        <v>46176.526388888888</v>
      </c>
      <c r="L103" s="277">
        <v>46176.566666666666</v>
      </c>
      <c r="M103" s="277">
        <v>46176.628472222219</v>
      </c>
      <c r="N103" s="277">
        <v>46178.298993055556</v>
      </c>
      <c r="O103" s="80"/>
      <c r="P103" s="80"/>
      <c r="Q103" s="78" t="s">
        <v>599</v>
      </c>
      <c r="R103" s="78" t="s">
        <v>261</v>
      </c>
      <c r="S103" s="78" t="s">
        <v>193</v>
      </c>
      <c r="T103" s="78"/>
      <c r="U103" s="78" t="s">
        <v>371</v>
      </c>
      <c r="V103" s="78"/>
      <c r="W103" s="78"/>
      <c r="X103" s="78"/>
      <c r="Y103" s="78"/>
      <c r="Z103" s="167">
        <f t="shared" ca="1" si="18"/>
        <v>0.5569444444457381</v>
      </c>
      <c r="AA103" s="168">
        <f t="shared" ca="1" si="11"/>
        <v>1.4851851851886348</v>
      </c>
      <c r="AB103" s="167">
        <f t="shared" ca="1" si="19"/>
        <v>0.51666666666763694</v>
      </c>
      <c r="AC103" s="168">
        <f t="shared" ca="1" si="13"/>
        <v>1.3777777777803653</v>
      </c>
      <c r="AD103" s="191">
        <f t="shared" ca="1" si="14"/>
        <v>6.1805555553291924E-2</v>
      </c>
      <c r="AE103" s="167">
        <f t="shared" ca="1" si="15"/>
        <v>0.51666666666763694</v>
      </c>
      <c r="AF103" s="168">
        <f t="shared" ca="1" si="16"/>
        <v>1.3777777777803653</v>
      </c>
      <c r="AG103" s="168">
        <f t="shared" ca="1" si="17"/>
        <v>1.3777777777803653</v>
      </c>
      <c r="AH103" s="81" t="str" cm="1">
        <f t="array" aca="1" ref="AH103" ca="1">IF((AD103) &lt; (INDEX(ResponseSLA[#All],(MATCH((G103),ResponseSLA[Priority],0))+1,3)),"YES","No")</f>
        <v>YES</v>
      </c>
      <c r="AI103" s="81" t="str">
        <f ca="1">_xlfn.IFNA(IF(AE103 &lt; (INDEX(SLATable[Minimum SLA],MATCH(G103,SLATable[Priority],0))),"YES","NO"),"")</f>
        <v>YES</v>
      </c>
      <c r="AJ103" s="19" t="str">
        <f ca="1">_xlfn.IFNA(IF(AE103 &lt; (INDEX(SLATable[Maximum SLA],MATCH(G103,SLATable[Priority],0))),"YES","NO"),"")</f>
        <v>YES</v>
      </c>
    </row>
    <row r="104" spans="1:36" ht="15" customHeight="1">
      <c r="A104" s="78">
        <v>103</v>
      </c>
      <c r="B104" s="78" t="s">
        <v>26</v>
      </c>
      <c r="C104" s="78" t="s">
        <v>33</v>
      </c>
      <c r="D104" s="78" t="s">
        <v>207</v>
      </c>
      <c r="E104" s="184" t="s">
        <v>600</v>
      </c>
      <c r="F104" s="78" t="s">
        <v>282</v>
      </c>
      <c r="G104" s="78">
        <v>3</v>
      </c>
      <c r="H104" s="185" t="s">
        <v>601</v>
      </c>
      <c r="I104" s="78" t="s">
        <v>271</v>
      </c>
      <c r="J104" s="86" t="s">
        <v>510</v>
      </c>
      <c r="K104" s="277">
        <v>46176.576388888891</v>
      </c>
      <c r="L104" s="277">
        <v>46176.580555555556</v>
      </c>
      <c r="M104" s="277">
        <v>46176.629861111112</v>
      </c>
      <c r="N104" s="277">
        <v>46184.488194444442</v>
      </c>
      <c r="O104" s="80"/>
      <c r="P104" s="80"/>
      <c r="Q104" s="78" t="s">
        <v>507</v>
      </c>
      <c r="R104" s="78" t="s">
        <v>267</v>
      </c>
      <c r="S104" s="78" t="s">
        <v>157</v>
      </c>
      <c r="T104" s="78"/>
      <c r="U104" s="78" t="s">
        <v>371</v>
      </c>
      <c r="V104" s="78"/>
      <c r="W104" s="78"/>
      <c r="X104" s="78"/>
      <c r="Y104" s="78"/>
      <c r="Z104" s="167">
        <f t="shared" ca="1" si="18"/>
        <v>2.1618055555518372</v>
      </c>
      <c r="AA104" s="168">
        <f t="shared" ca="1" si="11"/>
        <v>5.7648148148048994</v>
      </c>
      <c r="AB104" s="167">
        <f t="shared" ca="1" si="19"/>
        <v>2.1576388888861406</v>
      </c>
      <c r="AC104" s="168">
        <f t="shared" ca="1" si="13"/>
        <v>5.7537037036963756</v>
      </c>
      <c r="AD104" s="191">
        <f t="shared" ca="1" si="14"/>
        <v>4.9305555556202307E-2</v>
      </c>
      <c r="AE104" s="167">
        <f t="shared" ca="1" si="15"/>
        <v>2.1576388888861406</v>
      </c>
      <c r="AF104" s="168">
        <f t="shared" ca="1" si="16"/>
        <v>5.7537037036963756</v>
      </c>
      <c r="AG104" s="168">
        <f t="shared" ca="1" si="17"/>
        <v>5.7537037036963756</v>
      </c>
      <c r="AH104" s="81" t="str" cm="1">
        <f t="array" aca="1" ref="AH104" ca="1">IF((AD104) &lt; (INDEX(ResponseSLA[#All],(MATCH((G104),ResponseSLA[Priority],0))+1,3)),"YES","No")</f>
        <v>YES</v>
      </c>
      <c r="AI104" s="81" t="str">
        <f ca="1">_xlfn.IFNA(IF(AE104 &lt; (INDEX(SLATable[Minimum SLA],MATCH(G104,SLATable[Priority],0))),"YES","NO"),"")</f>
        <v>NO</v>
      </c>
      <c r="AJ104" s="19" t="str">
        <f ca="1">_xlfn.IFNA(IF(AE104 &lt; (INDEX(SLATable[Maximum SLA],MATCH(G104,SLATable[Priority],0))),"YES","NO"),"")</f>
        <v>NO</v>
      </c>
    </row>
    <row r="105" spans="1:36" ht="15" customHeight="1">
      <c r="A105" s="78">
        <v>104</v>
      </c>
      <c r="B105" s="78" t="s">
        <v>26</v>
      </c>
      <c r="C105" s="78" t="s">
        <v>33</v>
      </c>
      <c r="D105" s="78" t="s">
        <v>207</v>
      </c>
      <c r="E105" s="184" t="s">
        <v>602</v>
      </c>
      <c r="F105" s="78" t="s">
        <v>282</v>
      </c>
      <c r="G105" s="78">
        <v>3</v>
      </c>
      <c r="H105" s="185" t="s">
        <v>603</v>
      </c>
      <c r="I105" s="78" t="s">
        <v>271</v>
      </c>
      <c r="J105" s="86" t="s">
        <v>510</v>
      </c>
      <c r="K105" s="394">
        <v>46087.571296296293</v>
      </c>
      <c r="L105" s="277">
        <v>46176.572916666664</v>
      </c>
      <c r="M105" s="277">
        <v>46176.629861111112</v>
      </c>
      <c r="N105" s="277">
        <v>46184.488888888889</v>
      </c>
      <c r="O105" s="80"/>
      <c r="P105" s="80"/>
      <c r="Q105" s="78" t="s">
        <v>507</v>
      </c>
      <c r="R105" s="78" t="s">
        <v>267</v>
      </c>
      <c r="S105" s="78" t="s">
        <v>157</v>
      </c>
      <c r="T105" s="78"/>
      <c r="U105" s="78" t="s">
        <v>371</v>
      </c>
      <c r="V105" s="78"/>
      <c r="W105" s="78"/>
      <c r="X105" s="78"/>
      <c r="Y105" s="78"/>
      <c r="Z105" s="167">
        <f t="shared" ca="1" si="18"/>
        <v>23.917592592595614</v>
      </c>
      <c r="AA105" s="168">
        <f t="shared" ca="1" si="11"/>
        <v>63.780246913588307</v>
      </c>
      <c r="AB105" s="167">
        <f t="shared" ca="1" si="19"/>
        <v>2.1659722222248097</v>
      </c>
      <c r="AC105" s="168">
        <f t="shared" ca="1" si="13"/>
        <v>5.7759259259328264</v>
      </c>
      <c r="AD105" s="191">
        <f t="shared" ca="1" si="14"/>
        <v>5.6944444448163267E-2</v>
      </c>
      <c r="AE105" s="167">
        <f t="shared" ca="1" si="15"/>
        <v>2.1659722222248097</v>
      </c>
      <c r="AF105" s="168">
        <f t="shared" ca="1" si="16"/>
        <v>5.7759259259328264</v>
      </c>
      <c r="AG105" s="168">
        <f t="shared" ca="1" si="17"/>
        <v>5.7759259259328264</v>
      </c>
      <c r="AH105" s="81" t="str" cm="1">
        <f t="array" aca="1" ref="AH105" ca="1">IF((AD105) &lt; (INDEX(ResponseSLA[#All],(MATCH((G105),ResponseSLA[Priority],0))+1,3)),"YES","No")</f>
        <v>YES</v>
      </c>
      <c r="AI105" s="81" t="str">
        <f ca="1">_xlfn.IFNA(IF(AE105 &lt; (INDEX(SLATable[Minimum SLA],MATCH(G105,SLATable[Priority],0))),"YES","NO"),"")</f>
        <v>NO</v>
      </c>
      <c r="AJ105" s="19" t="str">
        <f ca="1">_xlfn.IFNA(IF(AE105 &lt; (INDEX(SLATable[Maximum SLA],MATCH(G105,SLATable[Priority],0))),"YES","NO"),"")</f>
        <v>NO</v>
      </c>
    </row>
    <row r="106" spans="1:36" ht="15" customHeight="1">
      <c r="A106" s="78">
        <v>105</v>
      </c>
      <c r="B106" s="78" t="s">
        <v>26</v>
      </c>
      <c r="C106" s="78" t="s">
        <v>33</v>
      </c>
      <c r="D106" s="78" t="s">
        <v>207</v>
      </c>
      <c r="E106" s="184" t="s">
        <v>604</v>
      </c>
      <c r="F106" s="78" t="s">
        <v>280</v>
      </c>
      <c r="G106" s="78">
        <v>4</v>
      </c>
      <c r="H106" s="185" t="s">
        <v>531</v>
      </c>
      <c r="I106" s="78" t="s">
        <v>271</v>
      </c>
      <c r="J106" s="86" t="s">
        <v>513</v>
      </c>
      <c r="K106" s="277">
        <v>46180.944444444445</v>
      </c>
      <c r="L106" s="277">
        <v>46180.944444444445</v>
      </c>
      <c r="M106" s="277">
        <v>46181.256944444445</v>
      </c>
      <c r="N106" s="277">
        <v>46185.566666666666</v>
      </c>
      <c r="O106" s="80"/>
      <c r="P106" s="80"/>
      <c r="Q106" s="78" t="s">
        <v>514</v>
      </c>
      <c r="R106" s="78" t="s">
        <v>267</v>
      </c>
      <c r="S106" s="78" t="s">
        <v>193</v>
      </c>
      <c r="T106" s="78"/>
      <c r="U106" s="78" t="s">
        <v>371</v>
      </c>
      <c r="V106" s="78"/>
      <c r="W106" s="78"/>
      <c r="X106" s="78"/>
      <c r="Y106" s="78"/>
      <c r="Z106" s="167">
        <f t="shared" ca="1" si="18"/>
        <v>1.7333333333323633</v>
      </c>
      <c r="AA106" s="168">
        <f t="shared" ca="1" si="11"/>
        <v>4.6222222222196354</v>
      </c>
      <c r="AB106" s="167">
        <f t="shared" ca="1" si="19"/>
        <v>1.7333333333323633</v>
      </c>
      <c r="AC106" s="168">
        <f t="shared" ca="1" si="13"/>
        <v>4.6222222222196354</v>
      </c>
      <c r="AD106" s="191">
        <f t="shared" ca="1" si="14"/>
        <v>0</v>
      </c>
      <c r="AE106" s="167">
        <f t="shared" ca="1" si="15"/>
        <v>1.7333333333323633</v>
      </c>
      <c r="AF106" s="168">
        <f t="shared" ca="1" si="16"/>
        <v>4.6222222222196354</v>
      </c>
      <c r="AG106" s="168">
        <f t="shared" ca="1" si="17"/>
        <v>4.6222222222196354</v>
      </c>
      <c r="AH106" s="81" t="str" cm="1">
        <f t="array" aca="1" ref="AH106" ca="1">IF((AD106) &lt; (INDEX(ResponseSLA[#All],(MATCH((G106),ResponseSLA[Priority],0))+1,3)),"YES","No")</f>
        <v>YES</v>
      </c>
      <c r="AI106" s="81" t="str">
        <f ca="1">_xlfn.IFNA(IF(AE106 &lt; (INDEX(SLATable[Minimum SLA],MATCH(G106,SLATable[Priority],0))),"YES","NO"),"")</f>
        <v>YES</v>
      </c>
      <c r="AJ106" s="19" t="str">
        <f ca="1">_xlfn.IFNA(IF(AE106 &lt; (INDEX(SLATable[Maximum SLA],MATCH(G106,SLATable[Priority],0))),"YES","NO"),"")</f>
        <v>YES</v>
      </c>
    </row>
    <row r="107" spans="1:36" ht="15" customHeight="1">
      <c r="A107" s="78">
        <v>106</v>
      </c>
      <c r="B107" s="78" t="s">
        <v>26</v>
      </c>
      <c r="C107" s="78" t="s">
        <v>33</v>
      </c>
      <c r="D107" s="78" t="s">
        <v>207</v>
      </c>
      <c r="E107" s="184" t="s">
        <v>605</v>
      </c>
      <c r="F107" s="78" t="s">
        <v>280</v>
      </c>
      <c r="G107" s="78">
        <v>4</v>
      </c>
      <c r="H107" s="185" t="s">
        <v>529</v>
      </c>
      <c r="I107" s="78" t="s">
        <v>271</v>
      </c>
      <c r="J107" s="86" t="s">
        <v>506</v>
      </c>
      <c r="K107" s="277">
        <v>46181.104166666664</v>
      </c>
      <c r="L107" s="277">
        <v>46181.104166666664</v>
      </c>
      <c r="M107" s="277">
        <v>46181.257638888892</v>
      </c>
      <c r="N107" s="277">
        <v>46182.224305555559</v>
      </c>
      <c r="O107" s="80"/>
      <c r="P107" s="80"/>
      <c r="Q107" s="78" t="s">
        <v>514</v>
      </c>
      <c r="R107" s="78" t="s">
        <v>267</v>
      </c>
      <c r="S107" s="78" t="s">
        <v>193</v>
      </c>
      <c r="T107" s="78"/>
      <c r="U107" s="78" t="s">
        <v>371</v>
      </c>
      <c r="V107" s="78"/>
      <c r="W107" s="78"/>
      <c r="X107" s="78"/>
      <c r="Y107" s="78"/>
      <c r="Z107" s="167">
        <f t="shared" ca="1" si="18"/>
        <v>0.37500000000000006</v>
      </c>
      <c r="AA107" s="168">
        <f t="shared" ca="1" si="11"/>
        <v>1.0000000000000002</v>
      </c>
      <c r="AB107" s="167">
        <f t="shared" ca="1" si="19"/>
        <v>0.37500000000000006</v>
      </c>
      <c r="AC107" s="168">
        <f t="shared" ca="1" si="13"/>
        <v>1.0000000000000002</v>
      </c>
      <c r="AD107" s="191">
        <f t="shared" ca="1" si="14"/>
        <v>0</v>
      </c>
      <c r="AE107" s="167">
        <f t="shared" ca="1" si="15"/>
        <v>0.37500000000000006</v>
      </c>
      <c r="AF107" s="168">
        <f t="shared" ca="1" si="16"/>
        <v>1.0000000000000002</v>
      </c>
      <c r="AG107" s="168">
        <f t="shared" ca="1" si="17"/>
        <v>1.0000000000000002</v>
      </c>
      <c r="AH107" s="81" t="str" cm="1">
        <f t="array" aca="1" ref="AH107" ca="1">IF((AD107) &lt; (INDEX(ResponseSLA[#All],(MATCH((G107),ResponseSLA[Priority],0))+1,3)),"YES","No")</f>
        <v>YES</v>
      </c>
      <c r="AI107" s="81" t="str">
        <f ca="1">_xlfn.IFNA(IF(AE107 &lt; (INDEX(SLATable[Minimum SLA],MATCH(G107,SLATable[Priority],0))),"YES","NO"),"")</f>
        <v>YES</v>
      </c>
      <c r="AJ107" s="19" t="str">
        <f ca="1">_xlfn.IFNA(IF(AE107 &lt; (INDEX(SLATable[Maximum SLA],MATCH(G107,SLATable[Priority],0))),"YES","NO"),"")</f>
        <v>YES</v>
      </c>
    </row>
    <row r="108" spans="1:36" ht="15" customHeight="1">
      <c r="A108" s="78">
        <v>107</v>
      </c>
      <c r="B108" s="78" t="s">
        <v>26</v>
      </c>
      <c r="C108" s="78" t="s">
        <v>33</v>
      </c>
      <c r="D108" s="78" t="s">
        <v>207</v>
      </c>
      <c r="E108" s="184" t="s">
        <v>606</v>
      </c>
      <c r="F108" s="78" t="s">
        <v>282</v>
      </c>
      <c r="G108" s="78">
        <v>3</v>
      </c>
      <c r="H108" s="185" t="s">
        <v>607</v>
      </c>
      <c r="I108" s="78" t="s">
        <v>271</v>
      </c>
      <c r="J108" s="86" t="s">
        <v>510</v>
      </c>
      <c r="K108" s="277">
        <v>46181.563888888886</v>
      </c>
      <c r="L108" s="277">
        <v>46181.565972222219</v>
      </c>
      <c r="M108" s="277">
        <v>46182.219444444447</v>
      </c>
      <c r="N108" s="394">
        <v>46184.48982638889</v>
      </c>
      <c r="O108" s="80"/>
      <c r="P108" s="80"/>
      <c r="Q108" s="78" t="s">
        <v>507</v>
      </c>
      <c r="R108" s="78" t="s">
        <v>267</v>
      </c>
      <c r="S108" s="78" t="s">
        <v>157</v>
      </c>
      <c r="T108" s="78"/>
      <c r="U108" s="78" t="s">
        <v>371</v>
      </c>
      <c r="V108" s="78"/>
      <c r="W108" s="78"/>
      <c r="X108" s="78"/>
      <c r="Y108" s="78"/>
      <c r="Z108" s="167">
        <f t="shared" ca="1" si="18"/>
        <v>1.0509375000037837</v>
      </c>
      <c r="AA108" s="168">
        <f t="shared" ca="1" si="11"/>
        <v>2.8025000000100899</v>
      </c>
      <c r="AB108" s="167">
        <f t="shared" ca="1" si="19"/>
        <v>1.0488541666709355</v>
      </c>
      <c r="AC108" s="168">
        <f t="shared" ca="1" si="13"/>
        <v>2.796944444455828</v>
      </c>
      <c r="AD108" s="191">
        <f t="shared" ca="1" si="14"/>
        <v>0.14236111111434491</v>
      </c>
      <c r="AE108" s="167">
        <f t="shared" ca="1" si="15"/>
        <v>1.0488541666709355</v>
      </c>
      <c r="AF108" s="168">
        <f t="shared" ca="1" si="16"/>
        <v>2.796944444455828</v>
      </c>
      <c r="AG108" s="168">
        <f t="shared" ca="1" si="17"/>
        <v>2.796944444455828</v>
      </c>
      <c r="AH108" s="81" t="str" cm="1">
        <f t="array" aca="1" ref="AH108" ca="1">IF((AD108) &lt; (INDEX(ResponseSLA[#All],(MATCH((G108),ResponseSLA[Priority],0))+1,3)),"YES","No")</f>
        <v>No</v>
      </c>
      <c r="AI108" s="81" t="str">
        <f ca="1">_xlfn.IFNA(IF(AE108 &lt; (INDEX(SLATable[Minimum SLA],MATCH(G108,SLATable[Priority],0))),"YES","NO"),"")</f>
        <v>NO</v>
      </c>
      <c r="AJ108" s="19" t="str">
        <f ca="1">_xlfn.IFNA(IF(AE108 &lt; (INDEX(SLATable[Maximum SLA],MATCH(G108,SLATable[Priority],0))),"YES","NO"),"")</f>
        <v>YES</v>
      </c>
    </row>
    <row r="109" spans="1:36" ht="15" customHeight="1">
      <c r="A109" s="78">
        <v>108</v>
      </c>
      <c r="B109" s="78" t="s">
        <v>26</v>
      </c>
      <c r="C109" s="78" t="s">
        <v>33</v>
      </c>
      <c r="D109" s="78" t="s">
        <v>207</v>
      </c>
      <c r="E109" s="184" t="s">
        <v>608</v>
      </c>
      <c r="F109" s="78" t="s">
        <v>284</v>
      </c>
      <c r="G109" s="78">
        <v>3</v>
      </c>
      <c r="H109" s="185" t="s">
        <v>609</v>
      </c>
      <c r="I109" s="78" t="s">
        <v>271</v>
      </c>
      <c r="J109" s="86" t="s">
        <v>522</v>
      </c>
      <c r="K109" s="277">
        <v>46181.574999999997</v>
      </c>
      <c r="L109" s="277">
        <v>46181.580555555556</v>
      </c>
      <c r="M109" s="277">
        <v>46182.220138888886</v>
      </c>
      <c r="N109" s="277">
        <v>46183.311805555553</v>
      </c>
      <c r="O109" s="80"/>
      <c r="P109" s="80"/>
      <c r="Q109" s="78" t="s">
        <v>523</v>
      </c>
      <c r="R109" s="78" t="s">
        <v>267</v>
      </c>
      <c r="S109" s="78" t="s">
        <v>193</v>
      </c>
      <c r="T109" s="78"/>
      <c r="U109" s="78" t="s">
        <v>371</v>
      </c>
      <c r="V109" s="78"/>
      <c r="W109" s="78"/>
      <c r="X109" s="78"/>
      <c r="Y109" s="78"/>
      <c r="Z109" s="167">
        <f t="shared" ca="1" si="18"/>
        <v>0.50833333333624386</v>
      </c>
      <c r="AA109" s="168">
        <f t="shared" ca="1" si="11"/>
        <v>1.355555555563317</v>
      </c>
      <c r="AB109" s="167">
        <f t="shared" ca="1" si="19"/>
        <v>0.50277777777713117</v>
      </c>
      <c r="AC109" s="168">
        <f t="shared" ca="1" si="13"/>
        <v>1.3407407407390164</v>
      </c>
      <c r="AD109" s="191">
        <f t="shared" ca="1" si="14"/>
        <v>0.12777777777713106</v>
      </c>
      <c r="AE109" s="167">
        <f t="shared" ca="1" si="15"/>
        <v>0.50277777777713117</v>
      </c>
      <c r="AF109" s="168">
        <f t="shared" ca="1" si="16"/>
        <v>1.3407407407390164</v>
      </c>
      <c r="AG109" s="168">
        <f t="shared" ca="1" si="17"/>
        <v>1.3407407407390164</v>
      </c>
      <c r="AH109" s="81" t="str" cm="1">
        <f t="array" aca="1" ref="AH109" ca="1">IF((AD109) &lt; (INDEX(ResponseSLA[#All],(MATCH((G109),ResponseSLA[Priority],0))+1,3)),"YES","No")</f>
        <v>No</v>
      </c>
      <c r="AI109" s="81" t="str">
        <f ca="1">_xlfn.IFNA(IF(AE109 &lt; (INDEX(SLATable[Minimum SLA],MATCH(G109,SLATable[Priority],0))),"YES","NO"),"")</f>
        <v>NO</v>
      </c>
      <c r="AJ109" s="19" t="str">
        <f ca="1">_xlfn.IFNA(IF(AE109 &lt; (INDEX(SLATable[Maximum SLA],MATCH(G109,SLATable[Priority],0))),"YES","NO"),"")</f>
        <v>YES</v>
      </c>
    </row>
    <row r="110" spans="1:36" ht="15" customHeight="1">
      <c r="A110" s="78">
        <v>109</v>
      </c>
      <c r="B110" s="78" t="s">
        <v>26</v>
      </c>
      <c r="C110" s="78" t="s">
        <v>33</v>
      </c>
      <c r="D110" s="78" t="s">
        <v>208</v>
      </c>
      <c r="E110" s="184" t="s">
        <v>610</v>
      </c>
      <c r="F110" s="78" t="s">
        <v>284</v>
      </c>
      <c r="G110" s="78" t="s">
        <v>208</v>
      </c>
      <c r="H110" s="185" t="s">
        <v>611</v>
      </c>
      <c r="I110" s="78" t="s">
        <v>271</v>
      </c>
      <c r="J110" s="86" t="s">
        <v>522</v>
      </c>
      <c r="K110" s="277">
        <v>46181.555555555555</v>
      </c>
      <c r="L110" s="277">
        <v>46181.555555555555</v>
      </c>
      <c r="M110" s="277">
        <v>46182.248611111114</v>
      </c>
      <c r="N110" s="277">
        <v>46195.346782407411</v>
      </c>
      <c r="O110" s="80"/>
      <c r="P110" s="80"/>
      <c r="Q110" s="78" t="s">
        <v>523</v>
      </c>
      <c r="R110" s="78" t="s">
        <v>267</v>
      </c>
      <c r="S110" s="78" t="s">
        <v>179</v>
      </c>
      <c r="T110" s="78"/>
      <c r="U110" s="78" t="s">
        <v>371</v>
      </c>
      <c r="V110" s="78"/>
      <c r="W110" s="78"/>
      <c r="X110" s="78"/>
      <c r="Y110" s="78"/>
      <c r="Z110" s="167">
        <f t="shared" ca="1" si="18"/>
        <v>3.5412268518557539</v>
      </c>
      <c r="AA110" s="168">
        <f t="shared" ca="1" si="11"/>
        <v>9.4432716049486771</v>
      </c>
      <c r="AB110" s="167">
        <f t="shared" ca="1" si="19"/>
        <v>3.5412268518557539</v>
      </c>
      <c r="AC110" s="168">
        <f t="shared" ca="1" si="13"/>
        <v>9.4432716049486771</v>
      </c>
      <c r="AD110" s="191">
        <f t="shared" ca="1" si="14"/>
        <v>0.15277777777858625</v>
      </c>
      <c r="AE110" s="167">
        <f t="shared" ca="1" si="15"/>
        <v>3.5412268518557539</v>
      </c>
      <c r="AF110" s="168">
        <f t="shared" ca="1" si="16"/>
        <v>9.4432716049486771</v>
      </c>
      <c r="AG110" s="168">
        <f t="shared" ca="1" si="17"/>
        <v>9.4432716049486771</v>
      </c>
      <c r="AH110" s="81" t="str" cm="1">
        <f t="array" aca="1" ref="AH110" ca="1">IF((AD110) &lt; (INDEX(ResponseSLA[#All],(MATCH((G110),ResponseSLA[Priority],0))+1,3)),"YES","No")</f>
        <v>YES</v>
      </c>
      <c r="AI110" s="81" t="str">
        <f ca="1">_xlfn.IFNA(IF(AE110 &lt; (INDEX(SLATable[Minimum SLA],MATCH(G110,SLATable[Priority],0))),"YES","NO"),"")</f>
        <v>NO</v>
      </c>
      <c r="AJ110" s="19" t="str">
        <f ca="1">_xlfn.IFNA(IF(AE110 &lt; (INDEX(SLATable[Maximum SLA],MATCH(G110,SLATable[Priority],0))),"YES","NO"),"")</f>
        <v>NO</v>
      </c>
    </row>
    <row r="111" spans="1:36" ht="15" customHeight="1">
      <c r="A111" s="78">
        <v>110</v>
      </c>
      <c r="B111" s="78" t="s">
        <v>26</v>
      </c>
      <c r="C111" s="78" t="s">
        <v>33</v>
      </c>
      <c r="D111" s="78" t="s">
        <v>207</v>
      </c>
      <c r="E111" s="184" t="s">
        <v>612</v>
      </c>
      <c r="F111" s="78" t="s">
        <v>284</v>
      </c>
      <c r="G111" s="78">
        <v>3</v>
      </c>
      <c r="H111" s="185" t="s">
        <v>613</v>
      </c>
      <c r="I111" s="78" t="s">
        <v>271</v>
      </c>
      <c r="J111" s="86" t="s">
        <v>522</v>
      </c>
      <c r="K111" s="277">
        <v>46181.665277777778</v>
      </c>
      <c r="L111" s="277">
        <v>46181.673611111109</v>
      </c>
      <c r="M111" s="277">
        <v>46182.220138888886</v>
      </c>
      <c r="N111" s="277">
        <v>46183.315972222219</v>
      </c>
      <c r="O111" s="80"/>
      <c r="P111" s="80"/>
      <c r="Q111" s="78" t="s">
        <v>523</v>
      </c>
      <c r="R111" s="78" t="s">
        <v>267</v>
      </c>
      <c r="S111" s="78" t="s">
        <v>193</v>
      </c>
      <c r="T111" s="78"/>
      <c r="U111" s="78" t="s">
        <v>371</v>
      </c>
      <c r="V111" s="78"/>
      <c r="W111" s="78"/>
      <c r="X111" s="78"/>
      <c r="Y111" s="78"/>
      <c r="Z111" s="167">
        <f t="shared" ca="1" si="18"/>
        <v>0.41805555555523233</v>
      </c>
      <c r="AA111" s="168">
        <f t="shared" ca="1" si="11"/>
        <v>1.1148148148139529</v>
      </c>
      <c r="AB111" s="167">
        <f t="shared" ca="1" si="19"/>
        <v>0.40972222222383925</v>
      </c>
      <c r="AC111" s="168">
        <f t="shared" ca="1" si="13"/>
        <v>1.0925925925969047</v>
      </c>
      <c r="AD111" s="191">
        <f t="shared" ca="1" si="14"/>
        <v>3.4722222223839139E-2</v>
      </c>
      <c r="AE111" s="167">
        <f t="shared" ca="1" si="15"/>
        <v>0.40972222222383925</v>
      </c>
      <c r="AF111" s="168">
        <f t="shared" ca="1" si="16"/>
        <v>1.0925925925969047</v>
      </c>
      <c r="AG111" s="168">
        <f t="shared" ca="1" si="17"/>
        <v>1.0925925925969047</v>
      </c>
      <c r="AH111" s="81" t="str" cm="1">
        <f t="array" aca="1" ref="AH111" ca="1">IF((AD111) &lt; (INDEX(ResponseSLA[#All],(MATCH((G111),ResponseSLA[Priority],0))+1,3)),"YES","No")</f>
        <v>YES</v>
      </c>
      <c r="AI111" s="81" t="str">
        <f ca="1">_xlfn.IFNA(IF(AE111 &lt; (INDEX(SLATable[Minimum SLA],MATCH(G111,SLATable[Priority],0))),"YES","NO"),"")</f>
        <v>NO</v>
      </c>
      <c r="AJ111" s="19" t="str">
        <f ca="1">_xlfn.IFNA(IF(AE111 &lt; (INDEX(SLATable[Maximum SLA],MATCH(G111,SLATable[Priority],0))),"YES","NO"),"")</f>
        <v>YES</v>
      </c>
    </row>
    <row r="112" spans="1:36" ht="15" customHeight="1">
      <c r="A112" s="78">
        <v>111</v>
      </c>
      <c r="B112" s="78" t="s">
        <v>26</v>
      </c>
      <c r="C112" s="78" t="s">
        <v>33</v>
      </c>
      <c r="D112" s="78" t="s">
        <v>207</v>
      </c>
      <c r="E112" s="184" t="s">
        <v>614</v>
      </c>
      <c r="F112" s="78" t="s">
        <v>284</v>
      </c>
      <c r="G112" s="78">
        <v>3</v>
      </c>
      <c r="H112" s="185" t="s">
        <v>615</v>
      </c>
      <c r="I112" s="78" t="s">
        <v>271</v>
      </c>
      <c r="J112" s="86" t="s">
        <v>522</v>
      </c>
      <c r="K112" s="277">
        <v>46181.712500000001</v>
      </c>
      <c r="L112" s="277">
        <v>46181.727777777778</v>
      </c>
      <c r="M112" s="277">
        <v>46182.220138888886</v>
      </c>
      <c r="N112" s="277">
        <v>46183.313888888886</v>
      </c>
      <c r="O112" s="80"/>
      <c r="P112" s="80"/>
      <c r="Q112" s="78" t="s">
        <v>523</v>
      </c>
      <c r="R112" s="78" t="s">
        <v>267</v>
      </c>
      <c r="S112" s="78" t="s">
        <v>193</v>
      </c>
      <c r="T112" s="78"/>
      <c r="U112" s="78" t="s">
        <v>371</v>
      </c>
      <c r="V112" s="78"/>
      <c r="W112" s="78"/>
      <c r="X112" s="78"/>
      <c r="Y112" s="78"/>
      <c r="Z112" s="167">
        <f t="shared" ca="1" si="18"/>
        <v>0.37500000000000011</v>
      </c>
      <c r="AA112" s="168">
        <f t="shared" ca="1" si="11"/>
        <v>1.0000000000000004</v>
      </c>
      <c r="AB112" s="167">
        <f t="shared" ca="1" si="19"/>
        <v>0.37500000000000011</v>
      </c>
      <c r="AC112" s="168">
        <f t="shared" ca="1" si="13"/>
        <v>1.0000000000000004</v>
      </c>
      <c r="AD112" s="191">
        <f t="shared" ca="1" si="14"/>
        <v>0</v>
      </c>
      <c r="AE112" s="167">
        <f t="shared" ca="1" si="15"/>
        <v>0.37500000000000011</v>
      </c>
      <c r="AF112" s="168">
        <f t="shared" ca="1" si="16"/>
        <v>1.0000000000000004</v>
      </c>
      <c r="AG112" s="168">
        <f t="shared" ca="1" si="17"/>
        <v>1.0000000000000004</v>
      </c>
      <c r="AH112" s="81" t="str" cm="1">
        <f t="array" aca="1" ref="AH112" ca="1">IF((AD112) &lt; (INDEX(ResponseSLA[#All],(MATCH((G112),ResponseSLA[Priority],0))+1,3)),"YES","No")</f>
        <v>YES</v>
      </c>
      <c r="AI112" s="81" t="str">
        <f ca="1">_xlfn.IFNA(IF(AE112 &lt; (INDEX(SLATable[Minimum SLA],MATCH(G112,SLATable[Priority],0))),"YES","NO"),"")</f>
        <v>NO</v>
      </c>
      <c r="AJ112" s="19" t="str">
        <f ca="1">_xlfn.IFNA(IF(AE112 &lt; (INDEX(SLATable[Maximum SLA],MATCH(G112,SLATable[Priority],0))),"YES","NO"),"")</f>
        <v>YES</v>
      </c>
    </row>
    <row r="113" spans="1:36" ht="15" customHeight="1">
      <c r="A113" s="78">
        <v>112</v>
      </c>
      <c r="B113" s="78" t="s">
        <v>26</v>
      </c>
      <c r="C113" s="78" t="s">
        <v>33</v>
      </c>
      <c r="D113" s="78" t="s">
        <v>207</v>
      </c>
      <c r="E113" s="184" t="s">
        <v>616</v>
      </c>
      <c r="F113" s="78" t="s">
        <v>284</v>
      </c>
      <c r="G113" s="78">
        <v>3</v>
      </c>
      <c r="H113" s="185" t="s">
        <v>617</v>
      </c>
      <c r="I113" s="78" t="s">
        <v>271</v>
      </c>
      <c r="J113" s="86" t="s">
        <v>522</v>
      </c>
      <c r="K113" s="277">
        <v>46183.623611111114</v>
      </c>
      <c r="L113" s="277">
        <v>46183.651388888888</v>
      </c>
      <c r="M113" s="277">
        <v>46184.230555555558</v>
      </c>
      <c r="N113" s="277">
        <v>46185.379861111112</v>
      </c>
      <c r="O113" s="80"/>
      <c r="P113" s="80"/>
      <c r="Q113" s="78" t="s">
        <v>523</v>
      </c>
      <c r="R113" s="78" t="s">
        <v>267</v>
      </c>
      <c r="S113" s="78" t="s">
        <v>193</v>
      </c>
      <c r="T113" s="78"/>
      <c r="U113" s="78" t="s">
        <v>371</v>
      </c>
      <c r="V113" s="78"/>
      <c r="W113" s="78"/>
      <c r="X113" s="78"/>
      <c r="Y113" s="78"/>
      <c r="Z113" s="167">
        <f t="shared" ca="1" si="18"/>
        <v>0.50624999999854481</v>
      </c>
      <c r="AA113" s="168">
        <f t="shared" ca="1" si="11"/>
        <v>1.3499999999961194</v>
      </c>
      <c r="AB113" s="167">
        <f t="shared" ca="1" si="19"/>
        <v>0.47847222222480923</v>
      </c>
      <c r="AC113" s="168">
        <f t="shared" ca="1" si="13"/>
        <v>1.2759259259328246</v>
      </c>
      <c r="AD113" s="191">
        <f t="shared" ca="1" si="14"/>
        <v>5.6944444445737985E-2</v>
      </c>
      <c r="AE113" s="167">
        <f t="shared" ca="1" si="15"/>
        <v>0.47847222222480923</v>
      </c>
      <c r="AF113" s="168">
        <f t="shared" ca="1" si="16"/>
        <v>1.2759259259328246</v>
      </c>
      <c r="AG113" s="168">
        <f t="shared" ca="1" si="17"/>
        <v>1.2759259259328246</v>
      </c>
      <c r="AH113" s="81" t="str" cm="1">
        <f t="array" aca="1" ref="AH113" ca="1">IF((AD113) &lt; (INDEX(ResponseSLA[#All],(MATCH((G113),ResponseSLA[Priority],0))+1,3)),"YES","No")</f>
        <v>YES</v>
      </c>
      <c r="AI113" s="81" t="str">
        <f ca="1">_xlfn.IFNA(IF(AE113 &lt; (INDEX(SLATable[Minimum SLA],MATCH(G113,SLATable[Priority],0))),"YES","NO"),"")</f>
        <v>NO</v>
      </c>
      <c r="AJ113" s="19" t="str">
        <f ca="1">_xlfn.IFNA(IF(AE113 &lt; (INDEX(SLATable[Maximum SLA],MATCH(G113,SLATable[Priority],0))),"YES","NO"),"")</f>
        <v>YES</v>
      </c>
    </row>
    <row r="114" spans="1:36" ht="15" customHeight="1">
      <c r="A114" s="78">
        <v>113</v>
      </c>
      <c r="B114" s="78" t="s">
        <v>26</v>
      </c>
      <c r="C114" s="78" t="s">
        <v>33</v>
      </c>
      <c r="D114" s="78" t="s">
        <v>207</v>
      </c>
      <c r="E114" s="184" t="s">
        <v>618</v>
      </c>
      <c r="F114" s="78" t="s">
        <v>284</v>
      </c>
      <c r="G114" s="78">
        <v>3</v>
      </c>
      <c r="H114" s="185" t="s">
        <v>619</v>
      </c>
      <c r="I114" s="78" t="s">
        <v>271</v>
      </c>
      <c r="J114" s="86" t="s">
        <v>522</v>
      </c>
      <c r="K114" s="277">
        <v>46183.587500000001</v>
      </c>
      <c r="L114" s="277">
        <v>46183.609722222223</v>
      </c>
      <c r="M114" s="277">
        <v>46184.23333333333</v>
      </c>
      <c r="N114" s="277">
        <v>46185.379166666666</v>
      </c>
      <c r="O114" s="80"/>
      <c r="P114" s="80"/>
      <c r="Q114" s="78" t="s">
        <v>523</v>
      </c>
      <c r="R114" s="78" t="s">
        <v>267</v>
      </c>
      <c r="S114" s="78" t="s">
        <v>193</v>
      </c>
      <c r="T114" s="78"/>
      <c r="U114" s="78" t="s">
        <v>371</v>
      </c>
      <c r="V114" s="78"/>
      <c r="W114" s="78"/>
      <c r="X114" s="78"/>
      <c r="Y114" s="78"/>
      <c r="Z114" s="167">
        <f t="shared" ca="1" si="18"/>
        <v>0.54166666666424135</v>
      </c>
      <c r="AA114" s="168">
        <f t="shared" ca="1" si="11"/>
        <v>1.4444444444379769</v>
      </c>
      <c r="AB114" s="167">
        <f t="shared" ca="1" si="19"/>
        <v>0.5194444444423425</v>
      </c>
      <c r="AC114" s="168">
        <f t="shared" ca="1" si="13"/>
        <v>1.38518518517958</v>
      </c>
      <c r="AD114" s="191">
        <f t="shared" ca="1" si="14"/>
        <v>9.8611111109979332E-2</v>
      </c>
      <c r="AE114" s="167">
        <f t="shared" ca="1" si="15"/>
        <v>0.5194444444423425</v>
      </c>
      <c r="AF114" s="168">
        <f t="shared" ca="1" si="16"/>
        <v>1.38518518517958</v>
      </c>
      <c r="AG114" s="168">
        <f t="shared" ca="1" si="17"/>
        <v>1.38518518517958</v>
      </c>
      <c r="AH114" s="81" t="str" cm="1">
        <f t="array" aca="1" ref="AH114" ca="1">IF((AD114) &lt; (INDEX(ResponseSLA[#All],(MATCH((G114),ResponseSLA[Priority],0))+1,3)),"YES","No")</f>
        <v>No</v>
      </c>
      <c r="AI114" s="81" t="str">
        <f ca="1">_xlfn.IFNA(IF(AE114 &lt; (INDEX(SLATable[Minimum SLA],MATCH(G114,SLATable[Priority],0))),"YES","NO"),"")</f>
        <v>NO</v>
      </c>
      <c r="AJ114" s="19" t="str">
        <f ca="1">_xlfn.IFNA(IF(AE114 &lt; (INDEX(SLATable[Maximum SLA],MATCH(G114,SLATable[Priority],0))),"YES","NO"),"")</f>
        <v>YES</v>
      </c>
    </row>
    <row r="115" spans="1:36" ht="15" customHeight="1">
      <c r="A115" s="78">
        <v>114</v>
      </c>
      <c r="B115" s="78" t="s">
        <v>26</v>
      </c>
      <c r="C115" s="78" t="s">
        <v>33</v>
      </c>
      <c r="D115" s="78" t="s">
        <v>207</v>
      </c>
      <c r="E115" s="184" t="s">
        <v>620</v>
      </c>
      <c r="F115" s="78" t="s">
        <v>284</v>
      </c>
      <c r="G115" s="78">
        <v>3</v>
      </c>
      <c r="H115" s="185" t="s">
        <v>621</v>
      </c>
      <c r="I115" s="78" t="s">
        <v>271</v>
      </c>
      <c r="J115" s="86" t="s">
        <v>522</v>
      </c>
      <c r="K115" s="277">
        <v>46183.588888888888</v>
      </c>
      <c r="L115" s="277">
        <v>46183.606249999997</v>
      </c>
      <c r="M115" s="277">
        <v>46184.234027777777</v>
      </c>
      <c r="N115" s="277">
        <v>46185.380555555559</v>
      </c>
      <c r="O115" s="80"/>
      <c r="P115" s="80"/>
      <c r="Q115" s="78" t="s">
        <v>523</v>
      </c>
      <c r="R115" s="78" t="s">
        <v>267</v>
      </c>
      <c r="S115" s="78" t="s">
        <v>193</v>
      </c>
      <c r="T115" s="78"/>
      <c r="U115" s="78" t="s">
        <v>371</v>
      </c>
      <c r="V115" s="78"/>
      <c r="W115" s="78"/>
      <c r="X115" s="78"/>
      <c r="Y115" s="78"/>
      <c r="Z115" s="167">
        <f t="shared" ca="1" si="18"/>
        <v>0.54166666667151731</v>
      </c>
      <c r="AA115" s="168">
        <f t="shared" ca="1" si="11"/>
        <v>1.4444444444573794</v>
      </c>
      <c r="AB115" s="167">
        <f t="shared" ca="1" si="19"/>
        <v>0.52430555556202307</v>
      </c>
      <c r="AC115" s="168">
        <f t="shared" ca="1" si="13"/>
        <v>1.3981481481653948</v>
      </c>
      <c r="AD115" s="191">
        <f t="shared" ca="1" si="14"/>
        <v>0.10208333333624375</v>
      </c>
      <c r="AE115" s="167">
        <f t="shared" ca="1" si="15"/>
        <v>0.52430555556202307</v>
      </c>
      <c r="AF115" s="168">
        <f t="shared" ca="1" si="16"/>
        <v>1.3981481481653948</v>
      </c>
      <c r="AG115" s="168">
        <f t="shared" ca="1" si="17"/>
        <v>1.3981481481653948</v>
      </c>
      <c r="AH115" s="81" t="str" cm="1">
        <f t="array" aca="1" ref="AH115" ca="1">IF((AD115) &lt; (INDEX(ResponseSLA[#All],(MATCH((G115),ResponseSLA[Priority],0))+1,3)),"YES","No")</f>
        <v>No</v>
      </c>
      <c r="AI115" s="81" t="str">
        <f ca="1">_xlfn.IFNA(IF(AE115 &lt; (INDEX(SLATable[Minimum SLA],MATCH(G115,SLATable[Priority],0))),"YES","NO"),"")</f>
        <v>NO</v>
      </c>
      <c r="AJ115" s="19" t="str">
        <f ca="1">_xlfn.IFNA(IF(AE115 &lt; (INDEX(SLATable[Maximum SLA],MATCH(G115,SLATable[Priority],0))),"YES","NO"),"")</f>
        <v>YES</v>
      </c>
    </row>
    <row r="116" spans="1:36" ht="15" customHeight="1">
      <c r="A116" s="78">
        <v>115</v>
      </c>
      <c r="B116" s="78" t="s">
        <v>26</v>
      </c>
      <c r="C116" s="78" t="s">
        <v>33</v>
      </c>
      <c r="D116" s="78" t="s">
        <v>207</v>
      </c>
      <c r="E116" s="184" t="s">
        <v>622</v>
      </c>
      <c r="F116" s="78" t="s">
        <v>284</v>
      </c>
      <c r="G116" s="78">
        <v>3</v>
      </c>
      <c r="H116" s="185" t="s">
        <v>623</v>
      </c>
      <c r="I116" s="78" t="s">
        <v>271</v>
      </c>
      <c r="J116" s="86" t="s">
        <v>522</v>
      </c>
      <c r="K116" s="277">
        <v>46183.618750000001</v>
      </c>
      <c r="L116" s="277">
        <v>46183.652777777781</v>
      </c>
      <c r="M116" s="277">
        <v>46184.23541666667</v>
      </c>
      <c r="N116" s="277">
        <v>46185.378472222219</v>
      </c>
      <c r="O116" s="80"/>
      <c r="P116" s="80"/>
      <c r="Q116" s="78" t="s">
        <v>523</v>
      </c>
      <c r="R116" s="78" t="s">
        <v>267</v>
      </c>
      <c r="S116" s="78" t="s">
        <v>193</v>
      </c>
      <c r="T116" s="78"/>
      <c r="U116" s="78" t="s">
        <v>371</v>
      </c>
      <c r="V116" s="78"/>
      <c r="W116" s="78"/>
      <c r="X116" s="78"/>
      <c r="Y116" s="78"/>
      <c r="Z116" s="167">
        <f t="shared" ca="1" si="18"/>
        <v>0.50972222221753327</v>
      </c>
      <c r="AA116" s="168">
        <f t="shared" ca="1" si="11"/>
        <v>1.3592592592467554</v>
      </c>
      <c r="AB116" s="167">
        <f t="shared" ca="1" si="19"/>
        <v>0.47569444443797693</v>
      </c>
      <c r="AC116" s="168">
        <f t="shared" ca="1" si="13"/>
        <v>1.2685185185012717</v>
      </c>
      <c r="AD116" s="191">
        <f t="shared" ca="1" si="14"/>
        <v>5.5555555552321834E-2</v>
      </c>
      <c r="AE116" s="167">
        <f t="shared" ca="1" si="15"/>
        <v>0.47569444443797693</v>
      </c>
      <c r="AF116" s="168">
        <f t="shared" ca="1" si="16"/>
        <v>1.2685185185012717</v>
      </c>
      <c r="AG116" s="168">
        <f t="shared" ca="1" si="17"/>
        <v>1.2685185185012717</v>
      </c>
      <c r="AH116" s="81" t="str" cm="1">
        <f t="array" aca="1" ref="AH116" ca="1">IF((AD116) &lt; (INDEX(ResponseSLA[#All],(MATCH((G116),ResponseSLA[Priority],0))+1,3)),"YES","No")</f>
        <v>YES</v>
      </c>
      <c r="AI116" s="81" t="str">
        <f ca="1">_xlfn.IFNA(IF(AE116 &lt; (INDEX(SLATable[Minimum SLA],MATCH(G116,SLATable[Priority],0))),"YES","NO"),"")</f>
        <v>NO</v>
      </c>
      <c r="AJ116" s="19" t="str">
        <f ca="1">_xlfn.IFNA(IF(AE116 &lt; (INDEX(SLATable[Maximum SLA],MATCH(G116,SLATable[Priority],0))),"YES","NO"),"")</f>
        <v>YES</v>
      </c>
    </row>
    <row r="117" spans="1:36" ht="15" customHeight="1">
      <c r="A117" s="78">
        <v>116</v>
      </c>
      <c r="B117" s="78" t="s">
        <v>26</v>
      </c>
      <c r="C117" s="78" t="s">
        <v>33</v>
      </c>
      <c r="D117" s="78" t="s">
        <v>207</v>
      </c>
      <c r="E117" s="184" t="s">
        <v>624</v>
      </c>
      <c r="F117" s="78" t="s">
        <v>280</v>
      </c>
      <c r="G117" s="78">
        <v>4</v>
      </c>
      <c r="H117" s="185" t="s">
        <v>529</v>
      </c>
      <c r="I117" s="78" t="s">
        <v>271</v>
      </c>
      <c r="J117" s="86" t="s">
        <v>510</v>
      </c>
      <c r="K117" s="277">
        <v>46187.105011574073</v>
      </c>
      <c r="L117" s="277">
        <v>46187.105011574073</v>
      </c>
      <c r="M117" s="277">
        <v>46188.22074074074</v>
      </c>
      <c r="N117" s="277">
        <v>46188.551759259259</v>
      </c>
      <c r="O117" s="80"/>
      <c r="P117" s="80"/>
      <c r="Q117" s="78" t="s">
        <v>514</v>
      </c>
      <c r="R117" s="78" t="s">
        <v>267</v>
      </c>
      <c r="S117" s="78" t="s">
        <v>193</v>
      </c>
      <c r="T117" s="78"/>
      <c r="U117" s="78" t="s">
        <v>371</v>
      </c>
      <c r="V117" s="78"/>
      <c r="W117" s="78"/>
      <c r="X117" s="78"/>
      <c r="Y117" s="78"/>
      <c r="Z117" s="167">
        <f t="shared" ca="1" si="18"/>
        <v>0.21842592592535465</v>
      </c>
      <c r="AA117" s="168">
        <f t="shared" ca="1" si="11"/>
        <v>0.58246913580094573</v>
      </c>
      <c r="AB117" s="167">
        <f t="shared" ca="1" si="19"/>
        <v>0.21842592592535465</v>
      </c>
      <c r="AC117" s="168">
        <f t="shared" ca="1" si="13"/>
        <v>0.58246913580094573</v>
      </c>
      <c r="AD117" s="191">
        <f t="shared" ca="1" si="14"/>
        <v>0</v>
      </c>
      <c r="AE117" s="167">
        <f t="shared" ca="1" si="15"/>
        <v>0.21842592592535465</v>
      </c>
      <c r="AF117" s="168">
        <f t="shared" ca="1" si="16"/>
        <v>0.58246913580094573</v>
      </c>
      <c r="AG117" s="168">
        <f t="shared" ca="1" si="17"/>
        <v>0.58246913580094573</v>
      </c>
      <c r="AH117" s="81" t="str" cm="1">
        <f t="array" aca="1" ref="AH117" ca="1">IF((AD117) &lt; (INDEX(ResponseSLA[#All],(MATCH((G117),ResponseSLA[Priority],0))+1,3)),"YES","No")</f>
        <v>YES</v>
      </c>
      <c r="AI117" s="81" t="str">
        <f ca="1">_xlfn.IFNA(IF(AE117 &lt; (INDEX(SLATable[Minimum SLA],MATCH(G117,SLATable[Priority],0))),"YES","NO"),"")</f>
        <v>YES</v>
      </c>
      <c r="AJ117" s="19" t="str">
        <f ca="1">_xlfn.IFNA(IF(AE117 &lt; (INDEX(SLATable[Maximum SLA],MATCH(G117,SLATable[Priority],0))),"YES","NO"),"")</f>
        <v>YES</v>
      </c>
    </row>
    <row r="118" spans="1:36" ht="15" customHeight="1">
      <c r="A118" s="78">
        <v>117</v>
      </c>
      <c r="B118" s="78" t="s">
        <v>26</v>
      </c>
      <c r="C118" s="78" t="s">
        <v>33</v>
      </c>
      <c r="D118" s="78" t="s">
        <v>207</v>
      </c>
      <c r="E118" s="184" t="s">
        <v>625</v>
      </c>
      <c r="F118" s="78" t="s">
        <v>280</v>
      </c>
      <c r="G118" s="78">
        <v>4</v>
      </c>
      <c r="H118" s="185" t="s">
        <v>512</v>
      </c>
      <c r="I118" s="78" t="s">
        <v>271</v>
      </c>
      <c r="J118" s="86" t="s">
        <v>513</v>
      </c>
      <c r="K118" s="277">
        <v>46187.996747685182</v>
      </c>
      <c r="L118" s="277">
        <v>46187.996747685182</v>
      </c>
      <c r="M118" s="395">
        <v>46188.221620370372</v>
      </c>
      <c r="N118" s="277">
        <v>46188.28597222222</v>
      </c>
      <c r="O118" s="80"/>
      <c r="P118" s="80"/>
      <c r="Q118" s="78" t="s">
        <v>514</v>
      </c>
      <c r="R118" s="78" t="s">
        <v>267</v>
      </c>
      <c r="S118" s="78" t="s">
        <v>193</v>
      </c>
      <c r="T118" s="78"/>
      <c r="U118" s="78" t="s">
        <v>371</v>
      </c>
      <c r="V118" s="78"/>
      <c r="W118" s="78"/>
      <c r="X118" s="78"/>
      <c r="Y118" s="78"/>
      <c r="Z118" s="167">
        <f t="shared" ca="1" si="18"/>
        <v>0</v>
      </c>
      <c r="AA118" s="168">
        <f t="shared" ca="1" si="11"/>
        <v>0</v>
      </c>
      <c r="AB118" s="167">
        <f t="shared" ca="1" si="19"/>
        <v>0</v>
      </c>
      <c r="AC118" s="168">
        <f t="shared" ca="1" si="13"/>
        <v>0</v>
      </c>
      <c r="AD118" s="191">
        <f t="shared" ca="1" si="14"/>
        <v>0</v>
      </c>
      <c r="AE118" s="167">
        <f t="shared" ca="1" si="15"/>
        <v>0</v>
      </c>
      <c r="AF118" s="168">
        <f t="shared" ca="1" si="16"/>
        <v>0</v>
      </c>
      <c r="AG118" s="168">
        <f t="shared" ca="1" si="17"/>
        <v>0</v>
      </c>
      <c r="AH118" s="81" t="str" cm="1">
        <f t="array" aca="1" ref="AH118" ca="1">IF((AD118) &lt; (INDEX(ResponseSLA[#All],(MATCH((G118),ResponseSLA[Priority],0))+1,3)),"YES","No")</f>
        <v>YES</v>
      </c>
      <c r="AI118" s="81" t="str">
        <f ca="1">_xlfn.IFNA(IF(AE118 &lt; (INDEX(SLATable[Minimum SLA],MATCH(G118,SLATable[Priority],0))),"YES","NO"),"")</f>
        <v>YES</v>
      </c>
      <c r="AJ118" s="19" t="str">
        <f ca="1">_xlfn.IFNA(IF(AE118 &lt; (INDEX(SLATable[Maximum SLA],MATCH(G118,SLATable[Priority],0))),"YES","NO"),"")</f>
        <v>YES</v>
      </c>
    </row>
    <row r="119" spans="1:36" ht="15" customHeight="1">
      <c r="A119" s="78">
        <v>118</v>
      </c>
      <c r="B119" s="78" t="s">
        <v>26</v>
      </c>
      <c r="C119" s="78" t="s">
        <v>29</v>
      </c>
      <c r="D119" s="78" t="s">
        <v>207</v>
      </c>
      <c r="E119" s="78" t="s">
        <v>583</v>
      </c>
      <c r="F119" s="78" t="s">
        <v>264</v>
      </c>
      <c r="G119" s="78">
        <v>3</v>
      </c>
      <c r="H119" s="86" t="s">
        <v>584</v>
      </c>
      <c r="I119" s="78" t="s">
        <v>271</v>
      </c>
      <c r="J119" s="86" t="s">
        <v>585</v>
      </c>
      <c r="K119" s="277">
        <v>46176.625289351854</v>
      </c>
      <c r="L119" s="277">
        <v>46185.434374999997</v>
      </c>
      <c r="M119" s="277">
        <v>46185.435937499999</v>
      </c>
      <c r="N119" s="277">
        <v>46188.391493055555</v>
      </c>
      <c r="O119" s="80">
        <v>46185.443078703705</v>
      </c>
      <c r="P119" s="80">
        <v>46185.596921296295</v>
      </c>
      <c r="Q119" s="78"/>
      <c r="R119" s="78"/>
      <c r="S119" s="78"/>
      <c r="T119" s="78"/>
      <c r="U119" s="78" t="s">
        <v>371</v>
      </c>
      <c r="V119" s="78"/>
      <c r="W119" s="78"/>
      <c r="X119" s="78"/>
      <c r="Y119" s="78"/>
      <c r="Z119" s="167">
        <f t="shared" ca="1" si="18"/>
        <v>2.6123611111106588</v>
      </c>
      <c r="AA119" s="168">
        <f t="shared" ca="1" si="11"/>
        <v>6.9662962962950905</v>
      </c>
      <c r="AB119" s="167">
        <f t="shared" ca="1" si="19"/>
        <v>0.17827546296757646</v>
      </c>
      <c r="AC119" s="168">
        <f t="shared" ca="1" si="13"/>
        <v>0.47540123458020389</v>
      </c>
      <c r="AD119" s="191">
        <f t="shared" ca="1" si="14"/>
        <v>1.5625000014551915E-3</v>
      </c>
      <c r="AE119" s="167">
        <f t="shared" ca="1" si="15"/>
        <v>0.34460648148524342</v>
      </c>
      <c r="AF119" s="168">
        <f t="shared" ca="1" si="16"/>
        <v>0.91895061729398242</v>
      </c>
      <c r="AG119" s="168">
        <f t="shared" ca="1" si="17"/>
        <v>0.91895061729398242</v>
      </c>
      <c r="AH119" s="81" t="str" cm="1">
        <f t="array" aca="1" ref="AH119" ca="1">IF((AD119) &lt; (INDEX(ResponseSLA[#All],(MATCH((G119),ResponseSLA[Priority],0))+1,3)),"YES","No")</f>
        <v>YES</v>
      </c>
      <c r="AI119" s="81" t="str">
        <f ca="1">_xlfn.IFNA(IF(AE119 &lt; (INDEX(SLATable[Minimum SLA],MATCH(G119,SLATable[Priority],0))),"YES","NO"),"")</f>
        <v>YES</v>
      </c>
      <c r="AJ119" s="19" t="str">
        <f ca="1">_xlfn.IFNA(IF(AE119 &lt; (INDEX(SLATable[Maximum SLA],MATCH(G119,SLATable[Priority],0))),"YES","NO"),"")</f>
        <v>YES</v>
      </c>
    </row>
    <row r="120" spans="1:36" ht="15" customHeight="1">
      <c r="A120" s="78">
        <v>119</v>
      </c>
      <c r="B120" s="78" t="s">
        <v>26</v>
      </c>
      <c r="C120" s="78" t="s">
        <v>29</v>
      </c>
      <c r="D120" s="78" t="s">
        <v>207</v>
      </c>
      <c r="E120" s="78" t="s">
        <v>626</v>
      </c>
      <c r="F120" s="78" t="s">
        <v>264</v>
      </c>
      <c r="G120" s="78">
        <v>4</v>
      </c>
      <c r="H120" s="86" t="s">
        <v>627</v>
      </c>
      <c r="I120" s="78" t="s">
        <v>271</v>
      </c>
      <c r="J120" s="86" t="s">
        <v>369</v>
      </c>
      <c r="K120" s="277">
        <v>46178.388518518521</v>
      </c>
      <c r="L120" s="318">
        <v>46178.495937500003</v>
      </c>
      <c r="M120" s="277">
        <v>46178.498310185183</v>
      </c>
      <c r="N120" s="277">
        <v>46181.236215277779</v>
      </c>
      <c r="O120" s="80"/>
      <c r="P120" s="80"/>
      <c r="Q120" s="78" t="s">
        <v>370</v>
      </c>
      <c r="R120" s="78" t="s">
        <v>267</v>
      </c>
      <c r="S120" s="78"/>
      <c r="T120" s="78"/>
      <c r="U120" s="78" t="s">
        <v>371</v>
      </c>
      <c r="V120" s="78"/>
      <c r="W120" s="78"/>
      <c r="X120" s="78"/>
      <c r="Y120" s="78"/>
      <c r="Z120" s="167">
        <f t="shared" ca="1" si="18"/>
        <v>0.31981481481246499</v>
      </c>
      <c r="AA120" s="168">
        <f t="shared" ca="1" si="11"/>
        <v>0.85283950616657334</v>
      </c>
      <c r="AB120" s="167">
        <f t="shared" ca="1" si="19"/>
        <v>0.21239583332984091</v>
      </c>
      <c r="AC120" s="168">
        <f t="shared" ca="1" si="13"/>
        <v>0.56638888887957572</v>
      </c>
      <c r="AD120" s="191">
        <f t="shared" ca="1" si="14"/>
        <v>2.372685179580003E-3</v>
      </c>
      <c r="AE120" s="167">
        <f t="shared" ca="1" si="15"/>
        <v>0.21239583332984091</v>
      </c>
      <c r="AF120" s="168">
        <f t="shared" ca="1" si="16"/>
        <v>0.56638888887957572</v>
      </c>
      <c r="AG120" s="168">
        <f t="shared" ca="1" si="17"/>
        <v>0.56638888887957572</v>
      </c>
      <c r="AH120" s="81" t="str" cm="1">
        <f t="array" aca="1" ref="AH120" ca="1">IF((AD120) &lt; (INDEX(ResponseSLA[#All],(MATCH((G120),ResponseSLA[Priority],0))+1,3)),"YES","No")</f>
        <v>YES</v>
      </c>
      <c r="AI120" s="81" t="str">
        <f ca="1">_xlfn.IFNA(IF(AE120 &lt; (INDEX(SLATable[Minimum SLA],MATCH(G120,SLATable[Priority],0))),"YES","NO"),"")</f>
        <v>YES</v>
      </c>
      <c r="AJ120" s="19" t="str">
        <f ca="1">_xlfn.IFNA(IF(AE120 &lt; (INDEX(SLATable[Maximum SLA],MATCH(G120,SLATable[Priority],0))),"YES","NO"),"")</f>
        <v>YES</v>
      </c>
    </row>
    <row r="121" spans="1:36" ht="15" customHeight="1">
      <c r="A121" s="78">
        <v>120</v>
      </c>
      <c r="B121" s="78" t="s">
        <v>26</v>
      </c>
      <c r="C121" s="78" t="s">
        <v>29</v>
      </c>
      <c r="D121" s="78" t="s">
        <v>207</v>
      </c>
      <c r="E121" s="78" t="s">
        <v>628</v>
      </c>
      <c r="F121" s="78" t="s">
        <v>264</v>
      </c>
      <c r="G121" s="78">
        <v>3</v>
      </c>
      <c r="H121" s="86" t="s">
        <v>629</v>
      </c>
      <c r="I121" s="78" t="s">
        <v>271</v>
      </c>
      <c r="J121" s="86" t="s">
        <v>369</v>
      </c>
      <c r="K121" s="277">
        <v>46184.387245370373</v>
      </c>
      <c r="L121" s="277">
        <v>46184.65347222222</v>
      </c>
      <c r="M121" s="277">
        <v>46184.663819444446</v>
      </c>
      <c r="N121" s="277">
        <v>46191.342094907406</v>
      </c>
      <c r="O121" s="80"/>
      <c r="P121" s="80"/>
      <c r="Q121" s="78" t="s">
        <v>370</v>
      </c>
      <c r="R121" s="78"/>
      <c r="S121" s="78"/>
      <c r="T121" s="78"/>
      <c r="U121" s="78" t="s">
        <v>371</v>
      </c>
      <c r="V121" s="78"/>
      <c r="W121" s="78"/>
      <c r="X121" s="78"/>
      <c r="Y121" s="78"/>
      <c r="Z121" s="167">
        <f t="shared" ca="1" si="18"/>
        <v>1.8298495370327146</v>
      </c>
      <c r="AA121" s="168">
        <f t="shared" ca="1" si="11"/>
        <v>4.8795987654205719</v>
      </c>
      <c r="AB121" s="167">
        <f t="shared" ca="1" si="19"/>
        <v>1.5636226851856918</v>
      </c>
      <c r="AC121" s="168">
        <f t="shared" ca="1" si="13"/>
        <v>4.1696604938285118</v>
      </c>
      <c r="AD121" s="191">
        <f t="shared" ca="1" si="14"/>
        <v>1.0347222225391306E-2</v>
      </c>
      <c r="AE121" s="167">
        <f t="shared" ca="1" si="15"/>
        <v>1.5636226851856918</v>
      </c>
      <c r="AF121" s="168">
        <f t="shared" ca="1" si="16"/>
        <v>4.1696604938285118</v>
      </c>
      <c r="AG121" s="168">
        <f t="shared" ca="1" si="17"/>
        <v>4.1696604938285118</v>
      </c>
      <c r="AH121" s="81" t="str" cm="1">
        <f t="array" aca="1" ref="AH121" ca="1">IF((AD121) &lt; (INDEX(ResponseSLA[#All],(MATCH((G121),ResponseSLA[Priority],0))+1,3)),"YES","No")</f>
        <v>YES</v>
      </c>
      <c r="AI121" s="81" t="str">
        <f ca="1">_xlfn.IFNA(IF(AE121 &lt; (INDEX(SLATable[Minimum SLA],MATCH(G121,SLATable[Priority],0))),"YES","NO"),"")</f>
        <v>NO</v>
      </c>
      <c r="AJ121" s="19" t="str">
        <f ca="1">_xlfn.IFNA(IF(AE121 &lt; (INDEX(SLATable[Maximum SLA],MATCH(G121,SLATable[Priority],0))),"YES","NO"),"")</f>
        <v>YES</v>
      </c>
    </row>
    <row r="122" spans="1:36" ht="15" customHeight="1">
      <c r="A122" s="78">
        <v>121</v>
      </c>
      <c r="B122" s="78" t="s">
        <v>26</v>
      </c>
      <c r="C122" s="78" t="s">
        <v>33</v>
      </c>
      <c r="D122" s="78" t="s">
        <v>207</v>
      </c>
      <c r="E122" s="78" t="s">
        <v>630</v>
      </c>
      <c r="F122" s="78" t="s">
        <v>282</v>
      </c>
      <c r="G122" s="78">
        <v>3</v>
      </c>
      <c r="H122" s="86" t="s">
        <v>631</v>
      </c>
      <c r="I122" s="78" t="s">
        <v>271</v>
      </c>
      <c r="J122" s="86" t="s">
        <v>510</v>
      </c>
      <c r="K122" s="277">
        <v>46191.056307870371</v>
      </c>
      <c r="L122" s="277">
        <v>46191.082708333335</v>
      </c>
      <c r="M122" s="277">
        <v>46191.221909722219</v>
      </c>
      <c r="N122" s="277">
        <v>46191.335694444446</v>
      </c>
      <c r="O122" s="80"/>
      <c r="P122" s="80"/>
      <c r="Q122" s="78" t="s">
        <v>507</v>
      </c>
      <c r="R122" s="78" t="s">
        <v>267</v>
      </c>
      <c r="S122" s="78" t="s">
        <v>157</v>
      </c>
      <c r="T122" s="78"/>
      <c r="U122" s="78" t="s">
        <v>371</v>
      </c>
      <c r="V122" s="78"/>
      <c r="W122" s="78"/>
      <c r="X122" s="78"/>
      <c r="Y122" s="78"/>
      <c r="Z122" s="167">
        <f t="shared" ca="1" si="18"/>
        <v>2.361111112501646E-3</v>
      </c>
      <c r="AA122" s="168">
        <f t="shared" ca="1" si="11"/>
        <v>6.2962963000043892E-3</v>
      </c>
      <c r="AB122" s="167">
        <f t="shared" ca="1" si="19"/>
        <v>2.361111112501646E-3</v>
      </c>
      <c r="AC122" s="168">
        <f t="shared" ca="1" si="13"/>
        <v>6.2962963000043892E-3</v>
      </c>
      <c r="AD122" s="191">
        <f t="shared" ca="1" si="14"/>
        <v>0</v>
      </c>
      <c r="AE122" s="167">
        <f t="shared" ca="1" si="15"/>
        <v>2.361111112501646E-3</v>
      </c>
      <c r="AF122" s="168">
        <f t="shared" ca="1" si="16"/>
        <v>6.2962963000043892E-3</v>
      </c>
      <c r="AG122" s="168">
        <f t="shared" ca="1" si="17"/>
        <v>6.2962963000043892E-3</v>
      </c>
      <c r="AH122" s="81" t="str" cm="1">
        <f t="array" aca="1" ref="AH122" ca="1">IF((AD122) &lt; (INDEX(ResponseSLA[#All],(MATCH((G122),ResponseSLA[Priority],0))+1,3)),"YES","No")</f>
        <v>YES</v>
      </c>
      <c r="AI122" s="81" t="str">
        <f ca="1">_xlfn.IFNA(IF(AE122 &lt; (INDEX(SLATable[Minimum SLA],MATCH(G122,SLATable[Priority],0))),"YES","NO"),"")</f>
        <v>YES</v>
      </c>
      <c r="AJ122" s="19" t="str">
        <f ca="1">_xlfn.IFNA(IF(AE122 &lt; (INDEX(SLATable[Maximum SLA],MATCH(G122,SLATable[Priority],0))),"YES","NO"),"")</f>
        <v>YES</v>
      </c>
    </row>
    <row r="123" spans="1:36" ht="15" customHeight="1">
      <c r="A123" s="78">
        <v>122</v>
      </c>
      <c r="B123" s="78" t="s">
        <v>26</v>
      </c>
      <c r="C123" s="78" t="s">
        <v>33</v>
      </c>
      <c r="D123" s="78" t="s">
        <v>207</v>
      </c>
      <c r="E123" s="78" t="s">
        <v>632</v>
      </c>
      <c r="F123" s="78" t="s">
        <v>274</v>
      </c>
      <c r="G123" s="78">
        <v>4</v>
      </c>
      <c r="H123" s="187" t="s">
        <v>633</v>
      </c>
      <c r="I123" s="78" t="s">
        <v>271</v>
      </c>
      <c r="J123" s="86" t="s">
        <v>467</v>
      </c>
      <c r="K123" s="277">
        <v>46187.854409722226</v>
      </c>
      <c r="L123" s="277">
        <v>46187.855555555558</v>
      </c>
      <c r="M123" s="277">
        <v>46188.419444444444</v>
      </c>
      <c r="N123" s="277">
        <v>46188.433333333334</v>
      </c>
      <c r="O123" s="80"/>
      <c r="P123" s="80"/>
      <c r="Q123" s="78"/>
      <c r="R123" s="78"/>
      <c r="S123" s="78"/>
      <c r="T123" s="78"/>
      <c r="U123" s="78" t="s">
        <v>371</v>
      </c>
      <c r="V123" s="78"/>
      <c r="W123" s="78"/>
      <c r="X123" s="78"/>
      <c r="Y123" s="78"/>
      <c r="Z123" s="167">
        <f t="shared" ca="1" si="18"/>
        <v>0.10000000000097015</v>
      </c>
      <c r="AA123" s="168">
        <f t="shared" ca="1" si="11"/>
        <v>0.2666666666692537</v>
      </c>
      <c r="AB123" s="167">
        <f t="shared" ca="1" si="19"/>
        <v>0.10000000000097015</v>
      </c>
      <c r="AC123" s="168">
        <f t="shared" ca="1" si="13"/>
        <v>0.2666666666692537</v>
      </c>
      <c r="AD123" s="191">
        <f t="shared" ca="1" si="14"/>
        <v>8.6111111110464378E-2</v>
      </c>
      <c r="AE123" s="167">
        <f t="shared" ca="1" si="15"/>
        <v>0.10000000000097015</v>
      </c>
      <c r="AF123" s="168">
        <f t="shared" ca="1" si="16"/>
        <v>0.2666666666692537</v>
      </c>
      <c r="AG123" s="168">
        <f t="shared" ca="1" si="17"/>
        <v>0.2666666666692537</v>
      </c>
      <c r="AH123" s="81" t="str" cm="1">
        <f t="array" aca="1" ref="AH123" ca="1">IF((AD123) &lt; (INDEX(ResponseSLA[#All],(MATCH((G123),ResponseSLA[Priority],0))+1,3)),"YES","No")</f>
        <v>YES</v>
      </c>
      <c r="AI123" s="81" t="str">
        <f ca="1">_xlfn.IFNA(IF(AE123 &lt; (INDEX(SLATable[Minimum SLA],MATCH(G123,SLATable[Priority],0))),"YES","NO"),"")</f>
        <v>YES</v>
      </c>
      <c r="AJ123" s="19" t="str">
        <f ca="1">_xlfn.IFNA(IF(AE123 &lt; (INDEX(SLATable[Maximum SLA],MATCH(G123,SLATable[Priority],0))),"YES","NO"),"")</f>
        <v>YES</v>
      </c>
    </row>
    <row r="124" spans="1:36" ht="15" customHeight="1">
      <c r="A124" s="78">
        <v>123</v>
      </c>
      <c r="B124" s="78" t="s">
        <v>26</v>
      </c>
      <c r="C124" s="78" t="s">
        <v>33</v>
      </c>
      <c r="D124" s="78" t="s">
        <v>208</v>
      </c>
      <c r="E124" s="78" t="s">
        <v>634</v>
      </c>
      <c r="F124" s="78" t="s">
        <v>274</v>
      </c>
      <c r="G124" s="78" t="s">
        <v>208</v>
      </c>
      <c r="H124" s="99" t="s">
        <v>635</v>
      </c>
      <c r="I124" s="78" t="s">
        <v>271</v>
      </c>
      <c r="J124" s="86" t="s">
        <v>474</v>
      </c>
      <c r="K124" s="277">
        <v>46174.526388888888</v>
      </c>
      <c r="L124" s="277">
        <v>46174.529861111114</v>
      </c>
      <c r="M124" s="277">
        <v>46174.592361111114</v>
      </c>
      <c r="N124" s="277">
        <v>46175.661805555559</v>
      </c>
      <c r="O124" s="80"/>
      <c r="P124" s="80"/>
      <c r="Q124" s="78"/>
      <c r="R124" s="78"/>
      <c r="S124" s="78"/>
      <c r="T124" s="78"/>
      <c r="U124" s="78" t="s">
        <v>371</v>
      </c>
      <c r="V124" s="78"/>
      <c r="W124" s="78"/>
      <c r="X124" s="78"/>
      <c r="Y124" s="86"/>
      <c r="Z124" s="167">
        <f t="shared" ca="1" si="18"/>
        <v>0.51041666667151731</v>
      </c>
      <c r="AA124" s="168">
        <f t="shared" ca="1" si="11"/>
        <v>1.3611111111240461</v>
      </c>
      <c r="AB124" s="167">
        <f t="shared" ca="1" si="19"/>
        <v>0.50694444444525288</v>
      </c>
      <c r="AC124" s="168">
        <f t="shared" ca="1" si="13"/>
        <v>1.3518518518540077</v>
      </c>
      <c r="AD124" s="191">
        <f t="shared" ca="1" si="14"/>
        <v>6.25E-2</v>
      </c>
      <c r="AE124" s="167">
        <f t="shared" ca="1" si="15"/>
        <v>0.50694444444525288</v>
      </c>
      <c r="AF124" s="168">
        <f t="shared" ca="1" si="16"/>
        <v>1.3518518518540077</v>
      </c>
      <c r="AG124" s="168">
        <f t="shared" ca="1" si="17"/>
        <v>1.3518518518540077</v>
      </c>
      <c r="AH124" s="81" t="str" cm="1">
        <f t="array" aca="1" ref="AH124" ca="1">IF((AD124) &lt; (INDEX(ResponseSLA[#All],(MATCH((G124),ResponseSLA[Priority],0))+1,3)),"YES","No")</f>
        <v>YES</v>
      </c>
      <c r="AI124" s="81" t="str">
        <f ca="1">_xlfn.IFNA(IF(AE124 &lt; (INDEX(SLATable[Minimum SLA],MATCH(G124,SLATable[Priority],0))),"YES","NO"),"")</f>
        <v>YES</v>
      </c>
      <c r="AJ124" s="19" t="str">
        <f ca="1">_xlfn.IFNA(IF(AE124 &lt; (INDEX(SLATable[Maximum SLA],MATCH(G124,SLATable[Priority],0))),"YES","NO"),"")</f>
        <v>YES</v>
      </c>
    </row>
    <row r="125" spans="1:36" ht="15" customHeight="1">
      <c r="A125" s="78">
        <v>124</v>
      </c>
      <c r="B125" s="78" t="s">
        <v>26</v>
      </c>
      <c r="C125" s="78" t="s">
        <v>33</v>
      </c>
      <c r="D125" s="78" t="s">
        <v>208</v>
      </c>
      <c r="E125" s="78" t="s">
        <v>636</v>
      </c>
      <c r="F125" s="78" t="s">
        <v>274</v>
      </c>
      <c r="G125" s="78" t="s">
        <v>208</v>
      </c>
      <c r="H125" s="99" t="s">
        <v>637</v>
      </c>
      <c r="I125" s="78" t="s">
        <v>271</v>
      </c>
      <c r="J125" s="86" t="s">
        <v>467</v>
      </c>
      <c r="K125" s="277">
        <v>46175.493055555555</v>
      </c>
      <c r="L125" s="277">
        <v>46175.602777777778</v>
      </c>
      <c r="M125" s="277">
        <v>46175.606249999997</v>
      </c>
      <c r="N125" s="277">
        <v>46175.683136574073</v>
      </c>
      <c r="O125" s="80">
        <v>46175.67</v>
      </c>
      <c r="P125" s="80">
        <v>46175.683136574073</v>
      </c>
      <c r="Q125" s="78"/>
      <c r="R125" s="78"/>
      <c r="S125" s="78"/>
      <c r="T125" s="78"/>
      <c r="U125" s="78" t="s">
        <v>371</v>
      </c>
      <c r="V125" s="78"/>
      <c r="W125" s="78"/>
      <c r="X125" s="78"/>
      <c r="Y125" s="78"/>
      <c r="Z125" s="167">
        <f t="shared" ca="1" si="18"/>
        <v>0.17694444444350665</v>
      </c>
      <c r="AA125" s="168">
        <f t="shared" ca="1" si="11"/>
        <v>0.47185185184935108</v>
      </c>
      <c r="AB125" s="167">
        <f t="shared" ca="1" si="19"/>
        <v>6.7222222220152617E-2</v>
      </c>
      <c r="AC125" s="168">
        <f t="shared" ca="1" si="13"/>
        <v>0.17925925925374031</v>
      </c>
      <c r="AD125" s="191">
        <f t="shared" ca="1" si="14"/>
        <v>3.4722222189884633E-3</v>
      </c>
      <c r="AE125" s="167">
        <f t="shared" ca="1" si="15"/>
        <v>6.7222222220152617E-2</v>
      </c>
      <c r="AF125" s="168">
        <f t="shared" ca="1" si="16"/>
        <v>0.17925925925374031</v>
      </c>
      <c r="AG125" s="168">
        <f t="shared" ca="1" si="17"/>
        <v>0.17925925925374031</v>
      </c>
      <c r="AH125" s="81" t="str" cm="1">
        <f t="array" aca="1" ref="AH125" ca="1">IF((AD125) &lt; (INDEX(ResponseSLA[#All],(MATCH((G125),ResponseSLA[Priority],0))+1,3)),"YES","No")</f>
        <v>YES</v>
      </c>
      <c r="AI125" s="81" t="str">
        <f ca="1">_xlfn.IFNA(IF(AE125 &lt; (INDEX(SLATable[Minimum SLA],MATCH(G125,SLATable[Priority],0))),"YES","NO"),"")</f>
        <v>YES</v>
      </c>
      <c r="AJ125" s="19" t="str">
        <f ca="1">_xlfn.IFNA(IF(AE125 &lt; (INDEX(SLATable[Maximum SLA],MATCH(G125,SLATable[Priority],0))),"YES","NO"),"")</f>
        <v>YES</v>
      </c>
    </row>
    <row r="126" spans="1:36" ht="15" customHeight="1">
      <c r="A126" s="78">
        <v>125</v>
      </c>
      <c r="B126" s="78" t="s">
        <v>26</v>
      </c>
      <c r="C126" s="78" t="s">
        <v>33</v>
      </c>
      <c r="D126" s="78" t="s">
        <v>208</v>
      </c>
      <c r="E126" s="78" t="s">
        <v>638</v>
      </c>
      <c r="F126" s="78" t="s">
        <v>274</v>
      </c>
      <c r="G126" s="78" t="s">
        <v>208</v>
      </c>
      <c r="H126" s="99" t="s">
        <v>639</v>
      </c>
      <c r="I126" s="78" t="s">
        <v>271</v>
      </c>
      <c r="J126" s="86" t="s">
        <v>474</v>
      </c>
      <c r="K126" s="277">
        <v>46184.485902777778</v>
      </c>
      <c r="L126" s="277">
        <v>46184.48609953704</v>
      </c>
      <c r="M126" s="277">
        <v>46184.48814814815</v>
      </c>
      <c r="N126" s="277">
        <v>46184.532546296294</v>
      </c>
      <c r="O126" s="80"/>
      <c r="P126" s="80"/>
      <c r="Q126" s="78" t="s">
        <v>640</v>
      </c>
      <c r="R126" s="78"/>
      <c r="S126" s="78"/>
      <c r="T126" s="78"/>
      <c r="U126" s="78" t="s">
        <v>371</v>
      </c>
      <c r="V126" s="78"/>
      <c r="W126" s="78"/>
      <c r="X126" s="78"/>
      <c r="Y126" s="78"/>
      <c r="Z126" s="167">
        <f t="shared" ca="1" si="18"/>
        <v>4.6643518515338656E-2</v>
      </c>
      <c r="AA126" s="168">
        <f t="shared" ca="1" si="11"/>
        <v>0.12438271604090308</v>
      </c>
      <c r="AB126" s="167">
        <f t="shared" ca="1" si="19"/>
        <v>4.6446759253740311E-2</v>
      </c>
      <c r="AC126" s="168">
        <f t="shared" ca="1" si="13"/>
        <v>0.12385802467664082</v>
      </c>
      <c r="AD126" s="191">
        <f t="shared" ca="1" si="14"/>
        <v>2.0486111097852699E-3</v>
      </c>
      <c r="AE126" s="167">
        <f t="shared" ca="1" si="15"/>
        <v>4.6446759253740311E-2</v>
      </c>
      <c r="AF126" s="168">
        <f t="shared" ca="1" si="16"/>
        <v>0.12385802467664082</v>
      </c>
      <c r="AG126" s="168">
        <f t="shared" ca="1" si="17"/>
        <v>0.12385802467664082</v>
      </c>
      <c r="AH126" s="81" t="str" cm="1">
        <f t="array" aca="1" ref="AH126" ca="1">IF((AD126) &lt; (INDEX(ResponseSLA[#All],(MATCH((G126),ResponseSLA[Priority],0))+1,3)),"YES","No")</f>
        <v>YES</v>
      </c>
      <c r="AI126" s="81" t="str">
        <f ca="1">_xlfn.IFNA(IF(AE126 &lt; (INDEX(SLATable[Minimum SLA],MATCH(G126,SLATable[Priority],0))),"YES","NO"),"")</f>
        <v>YES</v>
      </c>
      <c r="AJ126" s="19" t="str">
        <f ca="1">_xlfn.IFNA(IF(AE126 &lt; (INDEX(SLATable[Maximum SLA],MATCH(G126,SLATable[Priority],0))),"YES","NO"),"")</f>
        <v>YES</v>
      </c>
    </row>
    <row r="127" spans="1:36" ht="15" customHeight="1">
      <c r="A127" s="78">
        <v>126</v>
      </c>
      <c r="B127" s="78" t="s">
        <v>26</v>
      </c>
      <c r="C127" s="78" t="s">
        <v>33</v>
      </c>
      <c r="D127" s="78" t="s">
        <v>208</v>
      </c>
      <c r="E127" s="78" t="s">
        <v>641</v>
      </c>
      <c r="F127" s="78" t="s">
        <v>274</v>
      </c>
      <c r="G127" s="78" t="s">
        <v>208</v>
      </c>
      <c r="H127" s="86" t="s">
        <v>642</v>
      </c>
      <c r="I127" s="78" t="s">
        <v>271</v>
      </c>
      <c r="J127" s="86" t="s">
        <v>467</v>
      </c>
      <c r="K127" s="277">
        <v>46190.719699074078</v>
      </c>
      <c r="L127" s="277">
        <v>46190.720729166664</v>
      </c>
      <c r="M127" s="277">
        <v>46190.722604166665</v>
      </c>
      <c r="N127" s="277">
        <v>46190.768391203703</v>
      </c>
      <c r="O127" s="80">
        <v>46190.727893518517</v>
      </c>
      <c r="P127" s="80">
        <v>46190.768391203703</v>
      </c>
      <c r="Q127" s="78" t="s">
        <v>643</v>
      </c>
      <c r="R127" s="78"/>
      <c r="S127" s="78"/>
      <c r="T127" s="78"/>
      <c r="U127" s="78" t="s">
        <v>371</v>
      </c>
      <c r="V127" s="78"/>
      <c r="W127" s="78"/>
      <c r="X127" s="78"/>
      <c r="Y127" s="78"/>
      <c r="Z127" s="167">
        <f t="shared" ca="1" si="18"/>
        <v>0</v>
      </c>
      <c r="AA127" s="168">
        <f t="shared" ca="1" si="11"/>
        <v>0</v>
      </c>
      <c r="AB127" s="167">
        <f t="shared" ca="1" si="19"/>
        <v>0</v>
      </c>
      <c r="AC127" s="168">
        <f t="shared" ca="1" si="13"/>
        <v>0</v>
      </c>
      <c r="AD127" s="191">
        <f t="shared" ca="1" si="14"/>
        <v>0</v>
      </c>
      <c r="AE127" s="167">
        <f t="shared" ca="1" si="15"/>
        <v>0</v>
      </c>
      <c r="AF127" s="168">
        <f t="shared" ca="1" si="16"/>
        <v>0</v>
      </c>
      <c r="AG127" s="168">
        <f t="shared" ca="1" si="17"/>
        <v>0</v>
      </c>
      <c r="AH127" s="81" t="str" cm="1">
        <f t="array" aca="1" ref="AH127" ca="1">IF((AD127) &lt; (INDEX(ResponseSLA[#All],(MATCH((G127),ResponseSLA[Priority],0))+1,3)),"YES","No")</f>
        <v>YES</v>
      </c>
      <c r="AI127" s="81" t="str">
        <f ca="1">_xlfn.IFNA(IF(AE127 &lt; (INDEX(SLATable[Minimum SLA],MATCH(G127,SLATable[Priority],0))),"YES","NO"),"")</f>
        <v>YES</v>
      </c>
      <c r="AJ127" s="19" t="str">
        <f ca="1">_xlfn.IFNA(IF(AE127 &lt; (INDEX(SLATable[Maximum SLA],MATCH(G127,SLATable[Priority],0))),"YES","NO"),"")</f>
        <v>YES</v>
      </c>
    </row>
    <row r="128" spans="1:36" ht="15" customHeight="1">
      <c r="A128" s="78">
        <v>127</v>
      </c>
      <c r="B128" s="78" t="s">
        <v>26</v>
      </c>
      <c r="C128" s="78" t="s">
        <v>33</v>
      </c>
      <c r="D128" s="78" t="s">
        <v>207</v>
      </c>
      <c r="E128" s="196" t="s">
        <v>644</v>
      </c>
      <c r="F128" s="78" t="s">
        <v>284</v>
      </c>
      <c r="G128" s="78">
        <v>3</v>
      </c>
      <c r="H128" s="99" t="s">
        <v>645</v>
      </c>
      <c r="I128" s="78" t="s">
        <v>271</v>
      </c>
      <c r="J128" s="86" t="s">
        <v>646</v>
      </c>
      <c r="K128" s="277">
        <v>46191.842418981483</v>
      </c>
      <c r="L128" s="277">
        <v>46191.874444444446</v>
      </c>
      <c r="M128" s="277">
        <v>46192.227835648147</v>
      </c>
      <c r="N128" s="277">
        <v>46192.622002314813</v>
      </c>
      <c r="O128" s="80"/>
      <c r="P128" s="80"/>
      <c r="Q128" s="78" t="s">
        <v>523</v>
      </c>
      <c r="R128" s="78" t="s">
        <v>267</v>
      </c>
      <c r="S128" s="78" t="s">
        <v>193</v>
      </c>
      <c r="T128" s="78"/>
      <c r="U128" s="78" t="s">
        <v>371</v>
      </c>
      <c r="V128" s="78"/>
      <c r="W128" s="78"/>
      <c r="X128" s="78"/>
      <c r="Y128" s="78"/>
      <c r="Z128" s="167">
        <f t="shared" ca="1" si="18"/>
        <v>0.28866898147922859</v>
      </c>
      <c r="AA128" s="168">
        <f t="shared" ca="1" si="11"/>
        <v>0.76978395061127625</v>
      </c>
      <c r="AB128" s="167">
        <f t="shared" ca="1" si="19"/>
        <v>0.28866898147922859</v>
      </c>
      <c r="AC128" s="168">
        <f t="shared" ca="1" si="13"/>
        <v>0.76978395061127625</v>
      </c>
      <c r="AD128" s="191">
        <f t="shared" ca="1" si="14"/>
        <v>0</v>
      </c>
      <c r="AE128" s="167">
        <f t="shared" ca="1" si="15"/>
        <v>0.28866898147922859</v>
      </c>
      <c r="AF128" s="168">
        <f t="shared" ca="1" si="16"/>
        <v>0.76978395061127625</v>
      </c>
      <c r="AG128" s="168">
        <f t="shared" ca="1" si="17"/>
        <v>0.76978395061127625</v>
      </c>
      <c r="AH128" s="81" t="str" cm="1">
        <f t="array" aca="1" ref="AH128" ca="1">IF((AD128) &lt; (INDEX(ResponseSLA[#All],(MATCH((G128),ResponseSLA[Priority],0))+1,3)),"YES","No")</f>
        <v>YES</v>
      </c>
      <c r="AI128" s="81" t="str">
        <f ca="1">_xlfn.IFNA(IF(AE128 &lt; (INDEX(SLATable[Minimum SLA],MATCH(G128,SLATable[Priority],0))),"YES","NO"),"")</f>
        <v>YES</v>
      </c>
      <c r="AJ128" s="19" t="str">
        <f ca="1">_xlfn.IFNA(IF(AE128 &lt; (INDEX(SLATable[Maximum SLA],MATCH(G128,SLATable[Priority],0))),"YES","NO"),"")</f>
        <v>YES</v>
      </c>
    </row>
    <row r="129" spans="1:36" ht="15" customHeight="1">
      <c r="A129" s="78">
        <v>128</v>
      </c>
      <c r="B129" s="78" t="s">
        <v>26</v>
      </c>
      <c r="C129" s="78" t="s">
        <v>33</v>
      </c>
      <c r="D129" s="78" t="s">
        <v>207</v>
      </c>
      <c r="E129" s="193" t="s">
        <v>647</v>
      </c>
      <c r="F129" s="78" t="s">
        <v>280</v>
      </c>
      <c r="G129" s="78">
        <v>4</v>
      </c>
      <c r="H129" s="193" t="s">
        <v>529</v>
      </c>
      <c r="I129" s="78" t="s">
        <v>271</v>
      </c>
      <c r="J129" s="86" t="s">
        <v>510</v>
      </c>
      <c r="K129" s="194">
        <v>46192.104826388888</v>
      </c>
      <c r="L129" s="194">
        <v>46192.104826388888</v>
      </c>
      <c r="M129" s="186">
        <v>46192.229907407411</v>
      </c>
      <c r="N129" s="186">
        <v>46192.504953703705</v>
      </c>
      <c r="O129" s="80"/>
      <c r="P129" s="80"/>
      <c r="Q129" s="321" t="s">
        <v>514</v>
      </c>
      <c r="R129" s="78" t="s">
        <v>267</v>
      </c>
      <c r="S129" s="78" t="s">
        <v>193</v>
      </c>
      <c r="T129" s="78"/>
      <c r="U129" s="78" t="s">
        <v>371</v>
      </c>
      <c r="V129" s="78"/>
      <c r="W129" s="78"/>
      <c r="X129" s="78"/>
      <c r="Y129" s="78"/>
      <c r="Z129" s="167">
        <f t="shared" ca="1" si="18"/>
        <v>0.17162037037148065</v>
      </c>
      <c r="AA129" s="168">
        <f t="shared" ca="1" si="11"/>
        <v>0.45765432099061498</v>
      </c>
      <c r="AB129" s="167">
        <f t="shared" ca="1" si="19"/>
        <v>0.17162037037148065</v>
      </c>
      <c r="AC129" s="168">
        <f t="shared" ca="1" si="13"/>
        <v>0.45765432099061498</v>
      </c>
      <c r="AD129" s="191">
        <f t="shared" ca="1" si="14"/>
        <v>0</v>
      </c>
      <c r="AE129" s="167">
        <f t="shared" ca="1" si="15"/>
        <v>0.17162037037148065</v>
      </c>
      <c r="AF129" s="168">
        <f t="shared" ca="1" si="16"/>
        <v>0.45765432099061498</v>
      </c>
      <c r="AG129" s="168">
        <f t="shared" ca="1" si="17"/>
        <v>0.45765432099061498</v>
      </c>
      <c r="AH129" s="81" t="str" cm="1">
        <f t="array" aca="1" ref="AH129" ca="1">IF((AD129) &lt; (INDEX(ResponseSLA[#All],(MATCH((G129),ResponseSLA[Priority],0))+1,3)),"YES","No")</f>
        <v>YES</v>
      </c>
      <c r="AI129" s="81" t="str">
        <f ca="1">_xlfn.IFNA(IF(AE129 &lt; (INDEX(SLATable[Minimum SLA],MATCH(G129,SLATable[Priority],0))),"YES","NO"),"")</f>
        <v>YES</v>
      </c>
      <c r="AJ129" s="19" t="str">
        <f ca="1">_xlfn.IFNA(IF(AE129 &lt; (INDEX(SLATable[Maximum SLA],MATCH(G129,SLATable[Priority],0))),"YES","NO"),"")</f>
        <v>YES</v>
      </c>
    </row>
    <row r="130" spans="1:36" ht="15" customHeight="1">
      <c r="A130" s="78">
        <v>129</v>
      </c>
      <c r="B130" s="78" t="s">
        <v>26</v>
      </c>
      <c r="C130" s="78" t="s">
        <v>33</v>
      </c>
      <c r="D130" s="78" t="s">
        <v>207</v>
      </c>
      <c r="E130" s="193" t="s">
        <v>648</v>
      </c>
      <c r="F130" s="78" t="s">
        <v>278</v>
      </c>
      <c r="G130" s="78">
        <v>4</v>
      </c>
      <c r="H130" s="195" t="s">
        <v>649</v>
      </c>
      <c r="I130" s="78" t="s">
        <v>271</v>
      </c>
      <c r="J130" s="86" t="s">
        <v>510</v>
      </c>
      <c r="K130" s="194">
        <v>46192.056354166663</v>
      </c>
      <c r="L130" s="194">
        <v>46192.056354166663</v>
      </c>
      <c r="M130" s="186">
        <v>46192.250902777778</v>
      </c>
      <c r="N130" s="186">
        <v>46192.496469907404</v>
      </c>
      <c r="O130" s="80"/>
      <c r="P130" s="80"/>
      <c r="Q130" s="78" t="s">
        <v>599</v>
      </c>
      <c r="R130" s="78" t="s">
        <v>267</v>
      </c>
      <c r="S130" s="78" t="s">
        <v>175</v>
      </c>
      <c r="T130" s="78"/>
      <c r="U130" s="78" t="s">
        <v>371</v>
      </c>
      <c r="V130" s="78"/>
      <c r="W130" s="78"/>
      <c r="X130" s="78"/>
      <c r="Y130" s="78"/>
      <c r="Z130" s="167">
        <f t="shared" ref="Z130:Z161" ca="1" si="20">IF(NOT(OR(G130=1,G130=2)),MAX(0,_xlfn.IFS(AND(K130&lt;&gt;"",N130&lt;&gt;""),((MAX(NETWORKDAYS(K130,N130,UKBankHolidays)-1,0))*(TIME(17,0,0)-TIME(8,0,0))+IF(NETWORKDAYS(N130,N130,UKBankHolidays)&gt;0,MEDIAN(TIME(8,0,0),MOD(N130,1),TIME(17,0,0)),TIME(8,0,0))-IF(NETWORKDAYS(K130,K130,UKBankHolidays)&gt;0,MEDIAN(TIME(8,0,0),MOD(K130,1),TIME(17,0,0)),TIME(8,0,0)))-IF(AND(O130&lt;&gt;"",P130&lt;&gt;""),((MAX(NETWORKDAYS(O130,P130,UKBankHolidays)-1,0))*(TIME(17,0,0)-TIME(8,0,0))+IF(NETWORKDAYS(P130,P130,UKBankHolidays)&gt;0,MEDIAN(TIME(8,0,0),MOD(P130,1),TIME(17,0,0)),TIME(8,0,0))-IF(NETWORKDAYS(O130,O130,UKBankHolidays)&gt;0,MEDIAN(TIME(8,0,0),MOD(O130,1),TIME(17,0,0)),TIME(8,0,0))),0),AND(K130&lt;&gt;"",N130=""),((MAX(NETWORKDAYS(K130,NOW(),UKBankHolidays)-1,0))*(TIME(17,0,0)-TIME(8,0,0))+IF(NETWORKDAYS(NOW(),NOW(),UKBankHolidays)&gt;0,MEDIAN(TIME(8,0,0),MOD(NOW(),1),TIME(17,0,0)),TIME(8,0,0))-IF(NETWORKDAYS(K130,K130,UKBankHolidays)&gt;0,MEDIAN(TIME(8,0,0),MOD(K130,1),TIME(17,0,0)),TIME(8,0,0))))),IF(N130="",NOW()-K130,N130-K130))</f>
        <v>0.16313657407105592</v>
      </c>
      <c r="AA130" s="168">
        <f t="shared" ref="AA130:AA193" ca="1" si="21">(Z130*24)/9</f>
        <v>0.43503086418948245</v>
      </c>
      <c r="AB130" s="167">
        <f t="shared" ref="AB130:AB161" ca="1" si="22">IF(NOT(OR(G130=1,G130=2)),MAX(0,_xlfn.IFS(AND(K130&lt;&gt;"",N130&lt;&gt;""),(((MAX(NETWORKDAYS(L130,N130,UKBankHolidays)-1,0))*(TIME(17,0,0)-TIME(8,0,0)))+IF(NETWORKDAYS(N130,N130,UKBankHolidays)&gt;0,MEDIAN(TIME(8,0,0),MOD(N130,1),TIME(17,0,0)),TIME(8,0,0))-IF(NETWORKDAYS(L130,L130,UKBankHolidays)&gt;0,MEDIAN(TIME(8,0,0),MOD(L130,1),TIME(17,0,0)),TIME(8,0,0)))-IF(AND(O130&lt;&gt;"",P130&lt;&gt;""),(((MAX(NETWORKDAYS(O130,P130,UKBankHolidays)-1,0))*(TIME(17,0,0)-TIME(8,0,0)))+IF(NETWORKDAYS(P130,P130,UKBankHolidays)&gt;0,MEDIAN(TIME(8,0,0),MOD(P130,1),TIME(17,0,0)),TIME(8,0,0))-IF(NETWORKDAYS(O130,O130,UKBankHolidays)&gt;0,MEDIAN(TIME(8,0,0),MOD(O130,1),TIME(17,0,0)),TIME(8,0,0))),0),AND(L130&lt;&gt;"",N130="",O130=""),(((MAX(NETWORKDAYS(L130,NOW(),UKBankHolidays)-1,0))*(TIME(17,0,0)-TIME(8,0,0)))+IF(NETWORKDAYS(NOW(),NOW(),UKBankHolidays)&gt;0,MEDIAN(TIME(8,0,0),MOD(NOW(),1),TIME(17,0,0)),TIME(8,0,0))-IF(NETWORKDAYS(L130,L130,UKBankHolidays)&gt;0,MEDIAN(TIME(8,0,0),MOD(L130,1),TIME(17,0,0)),TIME(8,0,0)))-IF(AND(O130&lt;&gt;"",P130&lt;&gt;""),(((MAX(NETWORKDAYS(O130,P130,UKBankHolidays)-1,0))*(TIME(17,0,0)-TIME(8,0,0)))+IF(NETWORKDAYS(P130,P130,UKBankHolidays)&gt;0,MEDIAN(TIME(8,0,0),MOD(P130,1),TIME(17,0,0)),TIME(8,0,0))-IF(NETWORKDAYS(O130,O130,UKBankHolidays)&gt;0,MEDIAN(TIME(8,0,0),MOD(O130,1),TIME(17,0,0)),TIME(8,0,0))),0),AND(L130&lt;&gt;"",N130="",P130="",O130&lt;&gt;""),(((MAX(NETWORKDAYS(L130,O130,UKBankHolidays)-1,0))*(TIME(17,0,0)-TIME(8,0,0)))+IF(NETWORKDAYS(O130,O130,UKBankHolidays)&gt;0,MEDIAN(TIME(8,0,0),MOD(O130,1),TIME(17,0,0)),TIME(8,0,0))-IF(NETWORKDAYS(L130,L130,UKBankHolidays)&gt;0,MEDIAN(TIME(8,0,0),MOD(L130,1),TIME(17,0,0)),TIME(8,0,0))),ISBLANK(K130),"0")),IF(ISBLANK(N130),NOW()-L130,N130-L130))</f>
        <v>0.16313657407105592</v>
      </c>
      <c r="AC130" s="168">
        <f t="shared" ref="AC130:AC193" ca="1" si="23">(AB130*24)/9</f>
        <v>0.43503086418948245</v>
      </c>
      <c r="AD130" s="191">
        <f t="shared" ref="AD130:AD193" ca="1" si="24">MAX(0,
IF(
OR(G130=1,G130=2),
IF(M130&lt;&gt;"",M130-L130,NOW()-L130),
IF(
M130&lt;&gt;"",
IF(
INT(L130)=INT(M130),
IF(
NETWORKDAYS(L130,L130,UKBankHolidays)=0,
0,
MAX(
0,
MIN(MOD(M130,1),TIME(17,0,0))
-
MAX(MOD(L130,1),TIME(8,0,0))
)
),
MAX(
0,
IF(
NETWORKDAYS(L130,L130,UKBankHolidays)&gt;0,
TIME(17,0,0)-MAX(MOD(L130,1),TIME(8,0,0)),
0
)
)
+
MAX(
0,
NETWORKDAYS(INT(L130)+1,INT(M130)-1,UKBankHolidays)
*(TIME(17,0,0)-TIME(8,0,0))
)
+
MAX(
0,
IF(
NETWORKDAYS(M130,M130,UKBankHolidays)&gt;0,
MIN(MOD(M130,1),TIME(17,0,0))-TIME(8,0,0),
0
)
)
),
IF(M130&lt;&gt;"",M130-L130,NOW()-L130)
)
)
)</f>
        <v>0</v>
      </c>
      <c r="AE130" s="167">
        <f t="shared" ref="AE130:AE193" ca="1" si="25">SUMIFS(AB:AB,E:E,E130)</f>
        <v>0.16313657407105592</v>
      </c>
      <c r="AF130" s="168">
        <f t="shared" ref="AF130:AF193" ca="1" si="26">(AE130*24)/9</f>
        <v>0.43503086418948245</v>
      </c>
      <c r="AG130" s="168">
        <f t="shared" ref="AG130:AG193" ca="1" si="27">AF130</f>
        <v>0.43503086418948245</v>
      </c>
      <c r="AH130" s="81" t="str" cm="1">
        <f t="array" aca="1" ref="AH130" ca="1">IF((AD130) &lt; (INDEX(ResponseSLA[#All],(MATCH((G130),ResponseSLA[Priority],0))+1,3)),"YES","No")</f>
        <v>YES</v>
      </c>
      <c r="AI130" s="81" t="str">
        <f ca="1">_xlfn.IFNA(IF(AE130 &lt; (INDEX(SLATable[Minimum SLA],MATCH(G130,SLATable[Priority],0))),"YES","NO"),"")</f>
        <v>YES</v>
      </c>
      <c r="AJ130" s="19" t="str">
        <f ca="1">_xlfn.IFNA(IF(AE130 &lt; (INDEX(SLATable[Maximum SLA],MATCH(G130,SLATable[Priority],0))),"YES","NO"),"")</f>
        <v>YES</v>
      </c>
    </row>
    <row r="131" spans="1:36" ht="15" customHeight="1">
      <c r="A131" s="78">
        <v>130</v>
      </c>
      <c r="B131" s="78" t="s">
        <v>26</v>
      </c>
      <c r="C131" s="78" t="s">
        <v>33</v>
      </c>
      <c r="D131" s="78" t="s">
        <v>207</v>
      </c>
      <c r="E131" s="193" t="s">
        <v>650</v>
      </c>
      <c r="F131" s="78" t="s">
        <v>278</v>
      </c>
      <c r="G131" s="78">
        <v>4</v>
      </c>
      <c r="H131" s="195" t="s">
        <v>651</v>
      </c>
      <c r="I131" s="78" t="s">
        <v>271</v>
      </c>
      <c r="J131" s="86" t="s">
        <v>510</v>
      </c>
      <c r="K131" s="194">
        <v>46192.056608796294</v>
      </c>
      <c r="L131" s="194">
        <v>46192.056608796294</v>
      </c>
      <c r="M131" s="186">
        <v>46192.250925925924</v>
      </c>
      <c r="N131" s="186">
        <v>46192.498993055553</v>
      </c>
      <c r="O131" s="80"/>
      <c r="P131" s="80"/>
      <c r="Q131" s="78" t="s">
        <v>599</v>
      </c>
      <c r="R131" s="78" t="s">
        <v>267</v>
      </c>
      <c r="S131" s="78" t="s">
        <v>175</v>
      </c>
      <c r="T131" s="78"/>
      <c r="U131" s="78" t="s">
        <v>371</v>
      </c>
      <c r="V131" s="78"/>
      <c r="W131" s="78"/>
      <c r="X131" s="78"/>
      <c r="Y131" s="78"/>
      <c r="Z131" s="167">
        <f t="shared" ca="1" si="20"/>
        <v>0.16565972221966757</v>
      </c>
      <c r="AA131" s="168">
        <f t="shared" ca="1" si="21"/>
        <v>0.44175925925244686</v>
      </c>
      <c r="AB131" s="167">
        <f t="shared" ca="1" si="22"/>
        <v>0.16565972221966757</v>
      </c>
      <c r="AC131" s="168">
        <f t="shared" ca="1" si="23"/>
        <v>0.44175925925244686</v>
      </c>
      <c r="AD131" s="191">
        <f t="shared" ca="1" si="24"/>
        <v>0</v>
      </c>
      <c r="AE131" s="167">
        <f t="shared" ca="1" si="25"/>
        <v>0.16565972221966757</v>
      </c>
      <c r="AF131" s="168">
        <f t="shared" ca="1" si="26"/>
        <v>0.44175925925244686</v>
      </c>
      <c r="AG131" s="168">
        <f t="shared" ca="1" si="27"/>
        <v>0.44175925925244686</v>
      </c>
      <c r="AH131" s="81" t="str" cm="1">
        <f t="array" aca="1" ref="AH131" ca="1">IF((AD131) &lt; (INDEX(ResponseSLA[#All],(MATCH((G131),ResponseSLA[Priority],0))+1,3)),"YES","No")</f>
        <v>YES</v>
      </c>
      <c r="AI131" s="81" t="str">
        <f ca="1">_xlfn.IFNA(IF(AE131 &lt; (INDEX(SLATable[Minimum SLA],MATCH(G131,SLATable[Priority],0))),"YES","NO"),"")</f>
        <v>YES</v>
      </c>
      <c r="AJ131" s="19" t="str">
        <f ca="1">_xlfn.IFNA(IF(AE131 &lt; (INDEX(SLATable[Maximum SLA],MATCH(G131,SLATable[Priority],0))),"YES","NO"),"")</f>
        <v>YES</v>
      </c>
    </row>
    <row r="132" spans="1:36" ht="15" customHeight="1">
      <c r="A132" s="78">
        <v>131</v>
      </c>
      <c r="B132" s="78" t="s">
        <v>26</v>
      </c>
      <c r="C132" s="78" t="s">
        <v>33</v>
      </c>
      <c r="D132" s="78" t="s">
        <v>207</v>
      </c>
      <c r="E132" s="193" t="s">
        <v>652</v>
      </c>
      <c r="F132" s="78" t="s">
        <v>278</v>
      </c>
      <c r="G132" s="78">
        <v>4</v>
      </c>
      <c r="H132" s="195" t="s">
        <v>653</v>
      </c>
      <c r="I132" s="78" t="s">
        <v>271</v>
      </c>
      <c r="J132" s="86" t="s">
        <v>513</v>
      </c>
      <c r="K132" s="194">
        <v>46192.091331018521</v>
      </c>
      <c r="L132" s="194">
        <v>46192.091331018521</v>
      </c>
      <c r="M132" s="186">
        <v>46192.250937500001</v>
      </c>
      <c r="N132" s="186">
        <v>46192.48574074074</v>
      </c>
      <c r="O132" s="80"/>
      <c r="P132" s="80"/>
      <c r="Q132" s="78" t="s">
        <v>599</v>
      </c>
      <c r="R132" s="78" t="s">
        <v>267</v>
      </c>
      <c r="S132" s="78" t="s">
        <v>175</v>
      </c>
      <c r="T132" s="78"/>
      <c r="U132" s="78" t="s">
        <v>371</v>
      </c>
      <c r="V132" s="78"/>
      <c r="W132" s="78"/>
      <c r="X132" s="78"/>
      <c r="Y132" s="78"/>
      <c r="Z132" s="167">
        <f t="shared" ca="1" si="20"/>
        <v>0.15240740740652353</v>
      </c>
      <c r="AA132" s="168">
        <f t="shared" ca="1" si="21"/>
        <v>0.40641975308406275</v>
      </c>
      <c r="AB132" s="167">
        <f t="shared" ca="1" si="22"/>
        <v>0.15240740740652353</v>
      </c>
      <c r="AC132" s="168">
        <f t="shared" ca="1" si="23"/>
        <v>0.40641975308406275</v>
      </c>
      <c r="AD132" s="191">
        <f t="shared" ca="1" si="24"/>
        <v>0</v>
      </c>
      <c r="AE132" s="167">
        <f t="shared" ca="1" si="25"/>
        <v>0.15240740740652353</v>
      </c>
      <c r="AF132" s="168">
        <f t="shared" ca="1" si="26"/>
        <v>0.40641975308406275</v>
      </c>
      <c r="AG132" s="168">
        <f t="shared" ca="1" si="27"/>
        <v>0.40641975308406275</v>
      </c>
      <c r="AH132" s="81" t="str" cm="1">
        <f t="array" aca="1" ref="AH132" ca="1">IF((AD132) &lt; (INDEX(ResponseSLA[#All],(MATCH((G132),ResponseSLA[Priority],0))+1,3)),"YES","No")</f>
        <v>YES</v>
      </c>
      <c r="AI132" s="81" t="str">
        <f ca="1">_xlfn.IFNA(IF(AE132 &lt; (INDEX(SLATable[Minimum SLA],MATCH(G132,SLATable[Priority],0))),"YES","NO"),"")</f>
        <v>YES</v>
      </c>
      <c r="AJ132" s="19" t="str">
        <f ca="1">_xlfn.IFNA(IF(AE132 &lt; (INDEX(SLATable[Maximum SLA],MATCH(G132,SLATable[Priority],0))),"YES","NO"),"")</f>
        <v>YES</v>
      </c>
    </row>
    <row r="133" spans="1:36" ht="15" customHeight="1">
      <c r="A133" s="78">
        <v>132</v>
      </c>
      <c r="B133" s="78" t="s">
        <v>26</v>
      </c>
      <c r="C133" s="78" t="s">
        <v>33</v>
      </c>
      <c r="D133" s="78" t="s">
        <v>207</v>
      </c>
      <c r="E133" s="193" t="s">
        <v>654</v>
      </c>
      <c r="F133" s="78" t="s">
        <v>278</v>
      </c>
      <c r="G133" s="78">
        <v>4</v>
      </c>
      <c r="H133" s="195" t="s">
        <v>655</v>
      </c>
      <c r="I133" s="78" t="s">
        <v>271</v>
      </c>
      <c r="J133" s="86" t="s">
        <v>513</v>
      </c>
      <c r="K133" s="194">
        <v>46192.09101851852</v>
      </c>
      <c r="L133" s="194">
        <v>46192.09101851852</v>
      </c>
      <c r="M133" s="186">
        <v>46192.250960648147</v>
      </c>
      <c r="N133" s="186">
        <v>46192.483136574076</v>
      </c>
      <c r="O133" s="80"/>
      <c r="P133" s="80"/>
      <c r="Q133" s="78" t="s">
        <v>599</v>
      </c>
      <c r="R133" s="78" t="s">
        <v>267</v>
      </c>
      <c r="S133" s="78" t="s">
        <v>175</v>
      </c>
      <c r="T133" s="78"/>
      <c r="U133" s="78" t="s">
        <v>371</v>
      </c>
      <c r="V133" s="78"/>
      <c r="W133" s="78"/>
      <c r="X133" s="78"/>
      <c r="Y133" s="78"/>
      <c r="Z133" s="167">
        <f t="shared" ca="1" si="20"/>
        <v>0.14980324074228218</v>
      </c>
      <c r="AA133" s="168">
        <f t="shared" ca="1" si="21"/>
        <v>0.39947530864608582</v>
      </c>
      <c r="AB133" s="167">
        <f t="shared" ca="1" si="22"/>
        <v>0.14980324074228218</v>
      </c>
      <c r="AC133" s="168">
        <f t="shared" ca="1" si="23"/>
        <v>0.39947530864608582</v>
      </c>
      <c r="AD133" s="191">
        <f t="shared" ca="1" si="24"/>
        <v>0</v>
      </c>
      <c r="AE133" s="167">
        <f t="shared" ca="1" si="25"/>
        <v>0.14980324074228218</v>
      </c>
      <c r="AF133" s="168">
        <f t="shared" ca="1" si="26"/>
        <v>0.39947530864608582</v>
      </c>
      <c r="AG133" s="168">
        <f t="shared" ca="1" si="27"/>
        <v>0.39947530864608582</v>
      </c>
      <c r="AH133" s="81" t="str" cm="1">
        <f t="array" aca="1" ref="AH133" ca="1">IF((AD133) &lt; (INDEX(ResponseSLA[#All],(MATCH((G133),ResponseSLA[Priority],0))+1,3)),"YES","No")</f>
        <v>YES</v>
      </c>
      <c r="AI133" s="81" t="str">
        <f ca="1">_xlfn.IFNA(IF(AE133 &lt; (INDEX(SLATable[Minimum SLA],MATCH(G133,SLATable[Priority],0))),"YES","NO"),"")</f>
        <v>YES</v>
      </c>
      <c r="AJ133" s="19" t="str">
        <f ca="1">_xlfn.IFNA(IF(AE133 &lt; (INDEX(SLATable[Maximum SLA],MATCH(G133,SLATable[Priority],0))),"YES","NO"),"")</f>
        <v>YES</v>
      </c>
    </row>
    <row r="134" spans="1:36" ht="15" customHeight="1">
      <c r="A134" s="78">
        <v>133</v>
      </c>
      <c r="B134" s="78" t="s">
        <v>26</v>
      </c>
      <c r="C134" s="78" t="s">
        <v>33</v>
      </c>
      <c r="D134" s="78" t="s">
        <v>207</v>
      </c>
      <c r="E134" s="184" t="s">
        <v>656</v>
      </c>
      <c r="F134" s="78" t="s">
        <v>284</v>
      </c>
      <c r="G134" s="78">
        <v>3</v>
      </c>
      <c r="H134" s="86" t="s">
        <v>657</v>
      </c>
      <c r="I134" s="78" t="s">
        <v>271</v>
      </c>
      <c r="J134" s="86" t="s">
        <v>646</v>
      </c>
      <c r="K134" s="277">
        <v>46192.571759259263</v>
      </c>
      <c r="L134" s="277">
        <v>46192.580185185187</v>
      </c>
      <c r="M134" s="277">
        <v>46195.235625000001</v>
      </c>
      <c r="N134" s="277">
        <v>46195.610011574077</v>
      </c>
      <c r="O134" s="80"/>
      <c r="P134" s="80"/>
      <c r="Q134" s="78" t="s">
        <v>523</v>
      </c>
      <c r="R134" s="78" t="s">
        <v>267</v>
      </c>
      <c r="S134" s="78" t="s">
        <v>193</v>
      </c>
      <c r="T134" s="78"/>
      <c r="U134" s="78" t="s">
        <v>371</v>
      </c>
      <c r="V134" s="78"/>
      <c r="W134" s="78"/>
      <c r="X134" s="78"/>
      <c r="Y134" s="78"/>
      <c r="Z134" s="167">
        <f t="shared" ca="1" si="20"/>
        <v>0.41325231481459923</v>
      </c>
      <c r="AA134" s="168">
        <f t="shared" ca="1" si="21"/>
        <v>1.1020061728389312</v>
      </c>
      <c r="AB134" s="167">
        <f t="shared" ca="1" si="22"/>
        <v>0.40482638889079681</v>
      </c>
      <c r="AC134" s="168">
        <f t="shared" ca="1" si="23"/>
        <v>1.0795370370421249</v>
      </c>
      <c r="AD134" s="191">
        <f t="shared" ca="1" si="24"/>
        <v>0.12814814814676845</v>
      </c>
      <c r="AE134" s="167">
        <f t="shared" ca="1" si="25"/>
        <v>0.40482638889079681</v>
      </c>
      <c r="AF134" s="168">
        <f t="shared" ca="1" si="26"/>
        <v>1.0795370370421249</v>
      </c>
      <c r="AG134" s="168">
        <f t="shared" ca="1" si="27"/>
        <v>1.0795370370421249</v>
      </c>
      <c r="AH134" s="81" t="str" cm="1">
        <f t="array" aca="1" ref="AH134" ca="1">IF((AD134) &lt; (INDEX(ResponseSLA[#All],(MATCH((G134),ResponseSLA[Priority],0))+1,3)),"YES","No")</f>
        <v>No</v>
      </c>
      <c r="AI134" s="81" t="str">
        <f ca="1">_xlfn.IFNA(IF(AE134 &lt; (INDEX(SLATable[Minimum SLA],MATCH(G134,SLATable[Priority],0))),"YES","NO"),"")</f>
        <v>NO</v>
      </c>
      <c r="AJ134" s="19" t="str">
        <f ca="1">_xlfn.IFNA(IF(AE134 &lt; (INDEX(SLATable[Maximum SLA],MATCH(G134,SLATable[Priority],0))),"YES","NO"),"")</f>
        <v>YES</v>
      </c>
    </row>
    <row r="135" spans="1:36" ht="15" customHeight="1">
      <c r="A135" s="78">
        <v>134</v>
      </c>
      <c r="B135" s="78" t="s">
        <v>26</v>
      </c>
      <c r="C135" s="78" t="s">
        <v>33</v>
      </c>
      <c r="D135" s="78" t="s">
        <v>207</v>
      </c>
      <c r="E135" s="184" t="s">
        <v>658</v>
      </c>
      <c r="F135" s="78" t="s">
        <v>284</v>
      </c>
      <c r="G135" s="78">
        <v>3</v>
      </c>
      <c r="H135" s="86" t="s">
        <v>659</v>
      </c>
      <c r="I135" s="78" t="s">
        <v>271</v>
      </c>
      <c r="J135" s="86" t="s">
        <v>522</v>
      </c>
      <c r="K135" s="277">
        <v>46192.87777777778</v>
      </c>
      <c r="L135" s="277">
        <v>46192.888518518521</v>
      </c>
      <c r="M135" s="277">
        <v>46195.237546296295</v>
      </c>
      <c r="N135" s="277">
        <v>46195.432974537034</v>
      </c>
      <c r="O135" s="80"/>
      <c r="P135" s="80"/>
      <c r="Q135" s="78" t="s">
        <v>523</v>
      </c>
      <c r="R135" s="78" t="s">
        <v>267</v>
      </c>
      <c r="S135" s="78" t="s">
        <v>193</v>
      </c>
      <c r="T135" s="78"/>
      <c r="U135" s="78" t="s">
        <v>371</v>
      </c>
      <c r="V135" s="78"/>
      <c r="W135" s="78"/>
      <c r="X135" s="78"/>
      <c r="Y135" s="78"/>
      <c r="Z135" s="167">
        <f t="shared" ca="1" si="20"/>
        <v>9.96412037008364E-2</v>
      </c>
      <c r="AA135" s="168">
        <f t="shared" ca="1" si="21"/>
        <v>0.26570987653556372</v>
      </c>
      <c r="AB135" s="167">
        <f t="shared" ca="1" si="22"/>
        <v>9.96412037008364E-2</v>
      </c>
      <c r="AC135" s="168">
        <f t="shared" ca="1" si="23"/>
        <v>0.26570987653556372</v>
      </c>
      <c r="AD135" s="191">
        <f t="shared" ca="1" si="24"/>
        <v>0</v>
      </c>
      <c r="AE135" s="167">
        <f t="shared" ca="1" si="25"/>
        <v>9.96412037008364E-2</v>
      </c>
      <c r="AF135" s="168">
        <f t="shared" ca="1" si="26"/>
        <v>0.26570987653556372</v>
      </c>
      <c r="AG135" s="168">
        <f t="shared" ca="1" si="27"/>
        <v>0.26570987653556372</v>
      </c>
      <c r="AH135" s="81" t="str" cm="1">
        <f t="array" aca="1" ref="AH135" ca="1">IF((AD135) &lt; (INDEX(ResponseSLA[#All],(MATCH((G135),ResponseSLA[Priority],0))+1,3)),"YES","No")</f>
        <v>YES</v>
      </c>
      <c r="AI135" s="81" t="str">
        <f ca="1">_xlfn.IFNA(IF(AE135 &lt; (INDEX(SLATable[Minimum SLA],MATCH(G135,SLATable[Priority],0))),"YES","NO"),"")</f>
        <v>YES</v>
      </c>
      <c r="AJ135" s="19" t="str">
        <f ca="1">_xlfn.IFNA(IF(AE135 &lt; (INDEX(SLATable[Maximum SLA],MATCH(G135,SLATable[Priority],0))),"YES","NO"),"")</f>
        <v>YES</v>
      </c>
    </row>
    <row r="136" spans="1:36" ht="15" customHeight="1">
      <c r="A136" s="78">
        <v>135</v>
      </c>
      <c r="B136" s="78" t="s">
        <v>26</v>
      </c>
      <c r="C136" s="78" t="s">
        <v>33</v>
      </c>
      <c r="D136" s="78" t="s">
        <v>207</v>
      </c>
      <c r="E136" s="78" t="s">
        <v>660</v>
      </c>
      <c r="F136" s="78" t="s">
        <v>278</v>
      </c>
      <c r="G136" s="78">
        <v>4</v>
      </c>
      <c r="H136" s="86" t="s">
        <v>661</v>
      </c>
      <c r="I136" s="78" t="s">
        <v>271</v>
      </c>
      <c r="J136" s="86" t="s">
        <v>513</v>
      </c>
      <c r="K136" s="277">
        <v>46195.058344907404</v>
      </c>
      <c r="L136" s="277">
        <v>46195.058344907404</v>
      </c>
      <c r="M136" s="277">
        <v>46195.252928240741</v>
      </c>
      <c r="N136" s="277">
        <v>46195.31554398148</v>
      </c>
      <c r="O136" s="80"/>
      <c r="P136" s="80"/>
      <c r="Q136" s="78" t="s">
        <v>599</v>
      </c>
      <c r="R136" s="78" t="s">
        <v>267</v>
      </c>
      <c r="S136" s="78" t="s">
        <v>175</v>
      </c>
      <c r="T136" s="78"/>
      <c r="U136" s="78" t="s">
        <v>371</v>
      </c>
      <c r="V136" s="78"/>
      <c r="W136" s="78"/>
      <c r="X136" s="78"/>
      <c r="Y136" s="78"/>
      <c r="Z136" s="167">
        <f t="shared" ca="1" si="20"/>
        <v>0</v>
      </c>
      <c r="AA136" s="168">
        <f t="shared" ca="1" si="21"/>
        <v>0</v>
      </c>
      <c r="AB136" s="167">
        <f t="shared" ca="1" si="22"/>
        <v>0</v>
      </c>
      <c r="AC136" s="168">
        <f t="shared" ca="1" si="23"/>
        <v>0</v>
      </c>
      <c r="AD136" s="191">
        <f t="shared" ca="1" si="24"/>
        <v>0</v>
      </c>
      <c r="AE136" s="167">
        <f t="shared" ca="1" si="25"/>
        <v>0</v>
      </c>
      <c r="AF136" s="168">
        <f t="shared" ca="1" si="26"/>
        <v>0</v>
      </c>
      <c r="AG136" s="168">
        <f t="shared" ca="1" si="27"/>
        <v>0</v>
      </c>
      <c r="AH136" s="81" t="str" cm="1">
        <f t="array" aca="1" ref="AH136" ca="1">IF((AD136) &lt; (INDEX(ResponseSLA[#All],(MATCH((G136),ResponseSLA[Priority],0))+1,3)),"YES","No")</f>
        <v>YES</v>
      </c>
      <c r="AI136" s="81" t="str">
        <f ca="1">_xlfn.IFNA(IF(AE136 &lt; (INDEX(SLATable[Minimum SLA],MATCH(G136,SLATable[Priority],0))),"YES","NO"),"")</f>
        <v>YES</v>
      </c>
      <c r="AJ136" s="19" t="str">
        <f ca="1">_xlfn.IFNA(IF(AE136 &lt; (INDEX(SLATable[Maximum SLA],MATCH(G136,SLATable[Priority],0))),"YES","NO"),"")</f>
        <v>YES</v>
      </c>
    </row>
    <row r="137" spans="1:36" ht="15" customHeight="1">
      <c r="A137" s="78">
        <v>136</v>
      </c>
      <c r="B137" s="78" t="s">
        <v>26</v>
      </c>
      <c r="C137" s="78" t="s">
        <v>33</v>
      </c>
      <c r="D137" s="78" t="s">
        <v>207</v>
      </c>
      <c r="E137" s="78" t="s">
        <v>662</v>
      </c>
      <c r="F137" s="78" t="s">
        <v>278</v>
      </c>
      <c r="G137" s="78">
        <v>4</v>
      </c>
      <c r="H137" s="86" t="s">
        <v>663</v>
      </c>
      <c r="I137" s="78" t="s">
        <v>271</v>
      </c>
      <c r="J137" s="86" t="s">
        <v>510</v>
      </c>
      <c r="K137" s="277">
        <v>46195.058796296296</v>
      </c>
      <c r="L137" s="277">
        <v>46195.058796296296</v>
      </c>
      <c r="M137" s="277">
        <v>46195.272256944445</v>
      </c>
      <c r="N137" s="277">
        <v>46195.30872685185</v>
      </c>
      <c r="O137" s="80"/>
      <c r="P137" s="80"/>
      <c r="Q137" s="78" t="s">
        <v>599</v>
      </c>
      <c r="R137" s="78" t="s">
        <v>267</v>
      </c>
      <c r="S137" s="78" t="s">
        <v>175</v>
      </c>
      <c r="T137" s="78"/>
      <c r="U137" s="78" t="s">
        <v>371</v>
      </c>
      <c r="V137" s="78"/>
      <c r="W137" s="78"/>
      <c r="X137" s="78"/>
      <c r="Y137" s="78"/>
      <c r="Z137" s="167">
        <f t="shared" ca="1" si="20"/>
        <v>0</v>
      </c>
      <c r="AA137" s="168">
        <f t="shared" ca="1" si="21"/>
        <v>0</v>
      </c>
      <c r="AB137" s="167">
        <f t="shared" ca="1" si="22"/>
        <v>0</v>
      </c>
      <c r="AC137" s="168">
        <f t="shared" ca="1" si="23"/>
        <v>0</v>
      </c>
      <c r="AD137" s="191">
        <f t="shared" ca="1" si="24"/>
        <v>0</v>
      </c>
      <c r="AE137" s="167">
        <f t="shared" ca="1" si="25"/>
        <v>0</v>
      </c>
      <c r="AF137" s="168">
        <f t="shared" ca="1" si="26"/>
        <v>0</v>
      </c>
      <c r="AG137" s="168">
        <f t="shared" ca="1" si="27"/>
        <v>0</v>
      </c>
      <c r="AH137" s="81" t="str" cm="1">
        <f t="array" aca="1" ref="AH137" ca="1">IF((AD137) &lt; (INDEX(ResponseSLA[#All],(MATCH((G137),ResponseSLA[Priority],0))+1,3)),"YES","No")</f>
        <v>YES</v>
      </c>
      <c r="AI137" s="81" t="str">
        <f ca="1">_xlfn.IFNA(IF(AE137 &lt; (INDEX(SLATable[Minimum SLA],MATCH(G137,SLATable[Priority],0))),"YES","NO"),"")</f>
        <v>YES</v>
      </c>
      <c r="AJ137" s="19" t="str">
        <f ca="1">_xlfn.IFNA(IF(AE137 &lt; (INDEX(SLATable[Maximum SLA],MATCH(G137,SLATable[Priority],0))),"YES","NO"),"")</f>
        <v>YES</v>
      </c>
    </row>
    <row r="138" spans="1:36" ht="15" customHeight="1">
      <c r="A138" s="78">
        <v>137</v>
      </c>
      <c r="B138" s="78" t="s">
        <v>26</v>
      </c>
      <c r="C138" s="78" t="s">
        <v>33</v>
      </c>
      <c r="D138" s="78" t="s">
        <v>207</v>
      </c>
      <c r="E138" s="78" t="s">
        <v>664</v>
      </c>
      <c r="F138" s="78" t="s">
        <v>280</v>
      </c>
      <c r="G138" s="78">
        <v>4</v>
      </c>
      <c r="H138" s="86" t="s">
        <v>531</v>
      </c>
      <c r="I138" s="78" t="s">
        <v>271</v>
      </c>
      <c r="J138" s="86" t="s">
        <v>513</v>
      </c>
      <c r="K138" s="277">
        <v>46194.998171296298</v>
      </c>
      <c r="L138" s="277">
        <v>46194.997916666667</v>
      </c>
      <c r="M138" s="277">
        <v>46195.227708333332</v>
      </c>
      <c r="N138" s="277">
        <v>46196.584282407406</v>
      </c>
      <c r="O138" s="80"/>
      <c r="P138" s="80"/>
      <c r="Q138" s="321" t="s">
        <v>514</v>
      </c>
      <c r="R138" s="78" t="s">
        <v>267</v>
      </c>
      <c r="S138" s="78" t="s">
        <v>193</v>
      </c>
      <c r="T138" s="78"/>
      <c r="U138" s="78" t="s">
        <v>371</v>
      </c>
      <c r="V138" s="78"/>
      <c r="W138" s="78"/>
      <c r="X138" s="78"/>
      <c r="Y138" s="78"/>
      <c r="Z138" s="167">
        <f t="shared" ca="1" si="20"/>
        <v>0.6259490740728022</v>
      </c>
      <c r="AA138" s="168">
        <f t="shared" ca="1" si="21"/>
        <v>1.6691975308608058</v>
      </c>
      <c r="AB138" s="167">
        <f t="shared" ca="1" si="22"/>
        <v>0.6259490740728022</v>
      </c>
      <c r="AC138" s="168">
        <f t="shared" ca="1" si="23"/>
        <v>1.6691975308608058</v>
      </c>
      <c r="AD138" s="191">
        <f t="shared" ca="1" si="24"/>
        <v>0</v>
      </c>
      <c r="AE138" s="167">
        <f t="shared" ca="1" si="25"/>
        <v>0.6259490740728022</v>
      </c>
      <c r="AF138" s="168">
        <f t="shared" ca="1" si="26"/>
        <v>1.6691975308608058</v>
      </c>
      <c r="AG138" s="168">
        <f t="shared" ca="1" si="27"/>
        <v>1.6691975308608058</v>
      </c>
      <c r="AH138" s="81" t="str" cm="1">
        <f t="array" aca="1" ref="AH138" ca="1">IF((AD138) &lt; (INDEX(ResponseSLA[#All],(MATCH((G138),ResponseSLA[Priority],0))+1,3)),"YES","No")</f>
        <v>YES</v>
      </c>
      <c r="AI138" s="81" t="str">
        <f ca="1">_xlfn.IFNA(IF(AE138 &lt; (INDEX(SLATable[Minimum SLA],MATCH(G138,SLATable[Priority],0))),"YES","NO"),"")</f>
        <v>YES</v>
      </c>
      <c r="AJ138" s="19" t="str">
        <f ca="1">_xlfn.IFNA(IF(AE138 &lt; (INDEX(SLATable[Maximum SLA],MATCH(G138,SLATable[Priority],0))),"YES","NO"),"")</f>
        <v>YES</v>
      </c>
    </row>
    <row r="139" spans="1:36" ht="15" customHeight="1">
      <c r="A139" s="78">
        <v>138</v>
      </c>
      <c r="B139" s="78" t="s">
        <v>26</v>
      </c>
      <c r="C139" s="78" t="s">
        <v>33</v>
      </c>
      <c r="D139" s="78" t="s">
        <v>208</v>
      </c>
      <c r="E139" s="396" t="s">
        <v>665</v>
      </c>
      <c r="F139" s="78" t="s">
        <v>280</v>
      </c>
      <c r="G139" s="78" t="s">
        <v>208</v>
      </c>
      <c r="H139" s="397" t="s">
        <v>666</v>
      </c>
      <c r="I139" s="78" t="s">
        <v>271</v>
      </c>
      <c r="J139" s="86" t="s">
        <v>513</v>
      </c>
      <c r="K139" s="277">
        <v>46196.597615740742</v>
      </c>
      <c r="L139" s="277">
        <v>46196.597615740742</v>
      </c>
      <c r="M139" s="277">
        <v>46197.233807870369</v>
      </c>
      <c r="N139" s="277">
        <v>46206.37804398148</v>
      </c>
      <c r="O139" s="80"/>
      <c r="P139" s="80"/>
      <c r="Q139" s="78" t="s">
        <v>514</v>
      </c>
      <c r="R139" s="78" t="s">
        <v>267</v>
      </c>
      <c r="S139" s="78" t="s">
        <v>179</v>
      </c>
      <c r="T139" s="78"/>
      <c r="U139" s="78" t="s">
        <v>371</v>
      </c>
      <c r="V139" s="78"/>
      <c r="W139" s="78"/>
      <c r="X139" s="78"/>
      <c r="Y139" s="78"/>
      <c r="Z139" s="167">
        <f t="shared" ca="1" si="20"/>
        <v>2.78042824073782</v>
      </c>
      <c r="AA139" s="168">
        <f t="shared" ca="1" si="21"/>
        <v>7.414475308634187</v>
      </c>
      <c r="AB139" s="167">
        <f t="shared" ca="1" si="22"/>
        <v>2.78042824073782</v>
      </c>
      <c r="AC139" s="168">
        <f t="shared" ca="1" si="23"/>
        <v>7.414475308634187</v>
      </c>
      <c r="AD139" s="191">
        <f t="shared" ca="1" si="24"/>
        <v>0.11071759259114822</v>
      </c>
      <c r="AE139" s="167">
        <f t="shared" ca="1" si="25"/>
        <v>2.78042824073782</v>
      </c>
      <c r="AF139" s="168">
        <f t="shared" ca="1" si="26"/>
        <v>7.414475308634187</v>
      </c>
      <c r="AG139" s="168">
        <f t="shared" ca="1" si="27"/>
        <v>7.414475308634187</v>
      </c>
      <c r="AH139" s="81" t="str" cm="1">
        <f t="array" aca="1" ref="AH139" ca="1">IF((AD139) &lt; (INDEX(ResponseSLA[#All],(MATCH((G139),ResponseSLA[Priority],0))+1,3)),"YES","No")</f>
        <v>YES</v>
      </c>
      <c r="AI139" s="81" t="str">
        <f ca="1">_xlfn.IFNA(IF(AE139 &lt; (INDEX(SLATable[Minimum SLA],MATCH(G139,SLATable[Priority],0))),"YES","NO"),"")</f>
        <v>NO</v>
      </c>
      <c r="AJ139" s="19" t="str">
        <f ca="1">_xlfn.IFNA(IF(AE139 &lt; (INDEX(SLATable[Maximum SLA],MATCH(G139,SLATable[Priority],0))),"YES","NO"),"")</f>
        <v>NO</v>
      </c>
    </row>
    <row r="140" spans="1:36" ht="15" customHeight="1">
      <c r="A140" s="78">
        <v>139</v>
      </c>
      <c r="B140" s="78" t="s">
        <v>26</v>
      </c>
      <c r="C140" s="78" t="s">
        <v>33</v>
      </c>
      <c r="D140" s="78" t="s">
        <v>208</v>
      </c>
      <c r="E140" s="396" t="s">
        <v>667</v>
      </c>
      <c r="F140" s="78" t="s">
        <v>280</v>
      </c>
      <c r="G140" s="78" t="s">
        <v>208</v>
      </c>
      <c r="H140" s="397" t="s">
        <v>668</v>
      </c>
      <c r="I140" s="78" t="s">
        <v>271</v>
      </c>
      <c r="J140" s="86" t="s">
        <v>513</v>
      </c>
      <c r="K140" s="277">
        <v>46196.599594907406</v>
      </c>
      <c r="L140" s="277">
        <v>46196.599594907406</v>
      </c>
      <c r="M140" s="277">
        <v>46197.234155092592</v>
      </c>
      <c r="N140" s="277">
        <v>46217.693738425929</v>
      </c>
      <c r="O140" s="80"/>
      <c r="P140" s="80"/>
      <c r="Q140" s="78" t="s">
        <v>514</v>
      </c>
      <c r="R140" s="78" t="s">
        <v>267</v>
      </c>
      <c r="S140" s="78" t="s">
        <v>179</v>
      </c>
      <c r="T140" s="78"/>
      <c r="U140" s="78" t="s">
        <v>371</v>
      </c>
      <c r="V140" s="78"/>
      <c r="W140" s="78"/>
      <c r="X140" s="78"/>
      <c r="Y140" s="78"/>
      <c r="Z140" s="167">
        <f t="shared" ca="1" si="20"/>
        <v>5.7191435185231976</v>
      </c>
      <c r="AA140" s="168">
        <f t="shared" ca="1" si="21"/>
        <v>15.251049382728528</v>
      </c>
      <c r="AB140" s="167">
        <f t="shared" ca="1" si="22"/>
        <v>5.7191435185231976</v>
      </c>
      <c r="AC140" s="168">
        <f t="shared" ca="1" si="23"/>
        <v>15.251049382728528</v>
      </c>
      <c r="AD140" s="191">
        <f t="shared" ca="1" si="24"/>
        <v>0.10873842592748895</v>
      </c>
      <c r="AE140" s="167">
        <f t="shared" ca="1" si="25"/>
        <v>5.7191435185231976</v>
      </c>
      <c r="AF140" s="168">
        <f t="shared" ca="1" si="26"/>
        <v>15.251049382728528</v>
      </c>
      <c r="AG140" s="168">
        <f t="shared" ca="1" si="27"/>
        <v>15.251049382728528</v>
      </c>
      <c r="AH140" s="81" t="str" cm="1">
        <f t="array" aca="1" ref="AH140" ca="1">IF((AD140) &lt; (INDEX(ResponseSLA[#All],(MATCH((G140),ResponseSLA[Priority],0))+1,3)),"YES","No")</f>
        <v>YES</v>
      </c>
      <c r="AI140" s="81" t="str">
        <f ca="1">_xlfn.IFNA(IF(AE140 &lt; (INDEX(SLATable[Minimum SLA],MATCH(G140,SLATable[Priority],0))),"YES","NO"),"")</f>
        <v>NO</v>
      </c>
      <c r="AJ140" s="19" t="str">
        <f ca="1">_xlfn.IFNA(IF(AE140 &lt; (INDEX(SLATable[Maximum SLA],MATCH(G140,SLATable[Priority],0))),"YES","NO"),"")</f>
        <v>NO</v>
      </c>
    </row>
    <row r="141" spans="1:36" ht="15" customHeight="1">
      <c r="A141" s="78">
        <v>140</v>
      </c>
      <c r="B141" s="78" t="s">
        <v>26</v>
      </c>
      <c r="C141" s="78" t="s">
        <v>33</v>
      </c>
      <c r="D141" s="78" t="s">
        <v>208</v>
      </c>
      <c r="E141" s="396" t="s">
        <v>669</v>
      </c>
      <c r="F141" s="78" t="s">
        <v>280</v>
      </c>
      <c r="G141" s="78" t="s">
        <v>208</v>
      </c>
      <c r="H141" s="397" t="s">
        <v>670</v>
      </c>
      <c r="I141" s="78" t="s">
        <v>271</v>
      </c>
      <c r="J141" s="86" t="s">
        <v>513</v>
      </c>
      <c r="K141" s="277">
        <v>46196.601689814815</v>
      </c>
      <c r="L141" s="277">
        <v>46196.601689814815</v>
      </c>
      <c r="M141" s="277">
        <v>46197.235162037039</v>
      </c>
      <c r="N141" s="277">
        <v>46224.464837962965</v>
      </c>
      <c r="O141" s="80"/>
      <c r="P141" s="80"/>
      <c r="Q141" s="78" t="s">
        <v>514</v>
      </c>
      <c r="R141" s="78" t="s">
        <v>267</v>
      </c>
      <c r="S141" s="78" t="s">
        <v>179</v>
      </c>
      <c r="T141" s="78"/>
      <c r="U141" s="78" t="s">
        <v>371</v>
      </c>
      <c r="V141" s="78"/>
      <c r="W141" s="78"/>
      <c r="X141" s="78"/>
      <c r="Y141" s="78"/>
      <c r="Z141" s="167">
        <f t="shared" ca="1" si="20"/>
        <v>7.3631481481497767</v>
      </c>
      <c r="AA141" s="168">
        <f t="shared" ca="1" si="21"/>
        <v>19.635061728399407</v>
      </c>
      <c r="AB141" s="167">
        <f t="shared" ca="1" si="22"/>
        <v>7.3631481481497767</v>
      </c>
      <c r="AC141" s="168">
        <f t="shared" ca="1" si="23"/>
        <v>19.635061728399407</v>
      </c>
      <c r="AD141" s="191">
        <f t="shared" ca="1" si="24"/>
        <v>0.10664351851786102</v>
      </c>
      <c r="AE141" s="167">
        <f t="shared" ca="1" si="25"/>
        <v>7.3631481481497767</v>
      </c>
      <c r="AF141" s="168">
        <f t="shared" ca="1" si="26"/>
        <v>19.635061728399407</v>
      </c>
      <c r="AG141" s="168">
        <f t="shared" ca="1" si="27"/>
        <v>19.635061728399407</v>
      </c>
      <c r="AH141" s="81" t="str" cm="1">
        <f t="array" aca="1" ref="AH141" ca="1">IF((AD141) &lt; (INDEX(ResponseSLA[#All],(MATCH((G141),ResponseSLA[Priority],0))+1,3)),"YES","No")</f>
        <v>YES</v>
      </c>
      <c r="AI141" s="81" t="str">
        <f ca="1">_xlfn.IFNA(IF(AE141 &lt; (INDEX(SLATable[Minimum SLA],MATCH(G141,SLATable[Priority],0))),"YES","NO"),"")</f>
        <v>NO</v>
      </c>
      <c r="AJ141" s="19" t="str">
        <f ca="1">_xlfn.IFNA(IF(AE141 &lt; (INDEX(SLATable[Maximum SLA],MATCH(G141,SLATable[Priority],0))),"YES","NO"),"")</f>
        <v>NO</v>
      </c>
    </row>
    <row r="142" spans="1:36" ht="15" customHeight="1">
      <c r="A142" s="78">
        <v>141</v>
      </c>
      <c r="B142" s="78" t="s">
        <v>26</v>
      </c>
      <c r="C142" s="78" t="s">
        <v>33</v>
      </c>
      <c r="D142" s="78" t="s">
        <v>208</v>
      </c>
      <c r="E142" s="396" t="s">
        <v>671</v>
      </c>
      <c r="F142" s="78" t="s">
        <v>280</v>
      </c>
      <c r="G142" s="78" t="s">
        <v>208</v>
      </c>
      <c r="H142" s="397" t="s">
        <v>672</v>
      </c>
      <c r="I142" s="78" t="s">
        <v>271</v>
      </c>
      <c r="J142" s="86" t="s">
        <v>513</v>
      </c>
      <c r="K142" s="277">
        <v>46197.49422453704</v>
      </c>
      <c r="L142" s="277">
        <v>46197.495439814818</v>
      </c>
      <c r="M142" s="277">
        <v>46197.495439814818</v>
      </c>
      <c r="N142" s="277">
        <v>46232.217118055552</v>
      </c>
      <c r="O142" s="80">
        <v>46223.237766203703</v>
      </c>
      <c r="P142" s="80">
        <v>46231.769282407404</v>
      </c>
      <c r="Q142" s="78" t="s">
        <v>514</v>
      </c>
      <c r="R142" s="78" t="s">
        <v>267</v>
      </c>
      <c r="S142" s="78" t="s">
        <v>179</v>
      </c>
      <c r="T142" s="78"/>
      <c r="U142" s="78" t="s">
        <v>371</v>
      </c>
      <c r="V142" s="78"/>
      <c r="W142" s="78"/>
      <c r="X142" s="78"/>
      <c r="Y142" s="78"/>
      <c r="Z142" s="167">
        <f t="shared" ca="1" si="20"/>
        <v>6.5891087962930541</v>
      </c>
      <c r="AA142" s="168">
        <f t="shared" ca="1" si="21"/>
        <v>17.57095679011481</v>
      </c>
      <c r="AB142" s="167">
        <f t="shared" ca="1" si="22"/>
        <v>6.587893518514953</v>
      </c>
      <c r="AC142" s="168">
        <f t="shared" ca="1" si="23"/>
        <v>17.567716049373207</v>
      </c>
      <c r="AD142" s="191">
        <f t="shared" ca="1" si="24"/>
        <v>0</v>
      </c>
      <c r="AE142" s="167">
        <f t="shared" ca="1" si="25"/>
        <v>6.587893518514953</v>
      </c>
      <c r="AF142" s="168">
        <f t="shared" ca="1" si="26"/>
        <v>17.567716049373207</v>
      </c>
      <c r="AG142" s="168">
        <f t="shared" ca="1" si="27"/>
        <v>17.567716049373207</v>
      </c>
      <c r="AH142" s="81" t="str" cm="1">
        <f t="array" aca="1" ref="AH142" ca="1">IF((AD142) &lt; (INDEX(ResponseSLA[#All],(MATCH((G142),ResponseSLA[Priority],0))+1,3)),"YES","No")</f>
        <v>YES</v>
      </c>
      <c r="AI142" s="81" t="str">
        <f ca="1">_xlfn.IFNA(IF(AE142 &lt; (INDEX(SLATable[Minimum SLA],MATCH(G142,SLATable[Priority],0))),"YES","NO"),"")</f>
        <v>NO</v>
      </c>
      <c r="AJ142" s="19" t="str">
        <f ca="1">_xlfn.IFNA(IF(AE142 &lt; (INDEX(SLATable[Maximum SLA],MATCH(G142,SLATable[Priority],0))),"YES","NO"),"")</f>
        <v>NO</v>
      </c>
    </row>
    <row r="143" spans="1:36" ht="15" customHeight="1">
      <c r="A143" s="78">
        <v>142</v>
      </c>
      <c r="B143" s="78" t="s">
        <v>26</v>
      </c>
      <c r="C143" s="78" t="s">
        <v>33</v>
      </c>
      <c r="D143" s="78" t="s">
        <v>208</v>
      </c>
      <c r="E143" s="396" t="s">
        <v>673</v>
      </c>
      <c r="F143" s="78" t="s">
        <v>282</v>
      </c>
      <c r="G143" s="78" t="s">
        <v>208</v>
      </c>
      <c r="H143" s="397" t="s">
        <v>674</v>
      </c>
      <c r="I143" s="78" t="s">
        <v>271</v>
      </c>
      <c r="J143" s="86" t="s">
        <v>510</v>
      </c>
      <c r="K143" s="277">
        <v>46197.498043981483</v>
      </c>
      <c r="L143" s="277">
        <v>46197.498043981483</v>
      </c>
      <c r="M143" s="277">
        <v>46197.504224537035</v>
      </c>
      <c r="N143" s="277">
        <v>46206.378831018519</v>
      </c>
      <c r="O143" s="80"/>
      <c r="P143" s="80"/>
      <c r="Q143" s="78" t="s">
        <v>507</v>
      </c>
      <c r="R143" s="78" t="s">
        <v>267</v>
      </c>
      <c r="S143" s="78" t="s">
        <v>179</v>
      </c>
      <c r="T143" s="78"/>
      <c r="U143" s="78" t="s">
        <v>371</v>
      </c>
      <c r="V143" s="78"/>
      <c r="W143" s="78"/>
      <c r="X143" s="78"/>
      <c r="Y143" s="78"/>
      <c r="Z143" s="167">
        <f t="shared" ca="1" si="20"/>
        <v>2.5057870370364985</v>
      </c>
      <c r="AA143" s="168">
        <f t="shared" ca="1" si="21"/>
        <v>6.6820987654306627</v>
      </c>
      <c r="AB143" s="167">
        <f t="shared" ca="1" si="22"/>
        <v>2.5057870370364985</v>
      </c>
      <c r="AC143" s="168">
        <f t="shared" ca="1" si="23"/>
        <v>6.6820987654306627</v>
      </c>
      <c r="AD143" s="191">
        <f t="shared" ca="1" si="24"/>
        <v>6.1805555524188094E-3</v>
      </c>
      <c r="AE143" s="167">
        <f t="shared" ca="1" si="25"/>
        <v>2.5057870370364985</v>
      </c>
      <c r="AF143" s="168">
        <f t="shared" ca="1" si="26"/>
        <v>6.6820987654306627</v>
      </c>
      <c r="AG143" s="168">
        <f t="shared" ca="1" si="27"/>
        <v>6.6820987654306627</v>
      </c>
      <c r="AH143" s="81" t="str" cm="1">
        <f t="array" aca="1" ref="AH143" ca="1">IF((AD143) &lt; (INDEX(ResponseSLA[#All],(MATCH((G143),ResponseSLA[Priority],0))+1,3)),"YES","No")</f>
        <v>YES</v>
      </c>
      <c r="AI143" s="81" t="str">
        <f ca="1">_xlfn.IFNA(IF(AE143 &lt; (INDEX(SLATable[Minimum SLA],MATCH(G143,SLATable[Priority],0))),"YES","NO"),"")</f>
        <v>NO</v>
      </c>
      <c r="AJ143" s="19" t="str">
        <f ca="1">_xlfn.IFNA(IF(AE143 &lt; (INDEX(SLATable[Maximum SLA],MATCH(G143,SLATable[Priority],0))),"YES","NO"),"")</f>
        <v>NO</v>
      </c>
    </row>
    <row r="144" spans="1:36" ht="15" customHeight="1">
      <c r="A144" s="78">
        <v>143</v>
      </c>
      <c r="B144" s="78" t="s">
        <v>26</v>
      </c>
      <c r="C144" s="78" t="s">
        <v>33</v>
      </c>
      <c r="D144" s="78" t="s">
        <v>208</v>
      </c>
      <c r="E144" s="396" t="s">
        <v>675</v>
      </c>
      <c r="F144" s="78" t="s">
        <v>282</v>
      </c>
      <c r="G144" s="78" t="s">
        <v>208</v>
      </c>
      <c r="H144" s="397" t="s">
        <v>676</v>
      </c>
      <c r="I144" s="78" t="s">
        <v>271</v>
      </c>
      <c r="J144" s="86" t="s">
        <v>510</v>
      </c>
      <c r="K144" s="277">
        <v>46197.499722222223</v>
      </c>
      <c r="L144" s="277">
        <v>46197.499722222223</v>
      </c>
      <c r="M144" s="277">
        <v>46197.504583333335</v>
      </c>
      <c r="N144" s="277">
        <v>46217.694212962961</v>
      </c>
      <c r="O144" s="80"/>
      <c r="P144" s="80"/>
      <c r="Q144" s="78" t="s">
        <v>507</v>
      </c>
      <c r="R144" s="78" t="s">
        <v>267</v>
      </c>
      <c r="S144" s="78" t="s">
        <v>179</v>
      </c>
      <c r="T144" s="78"/>
      <c r="U144" s="78" t="s">
        <v>371</v>
      </c>
      <c r="V144" s="78"/>
      <c r="W144" s="78"/>
      <c r="X144" s="78"/>
      <c r="Y144" s="78"/>
      <c r="Z144" s="167">
        <f t="shared" ca="1" si="20"/>
        <v>5.4444907407378205</v>
      </c>
      <c r="AA144" s="168">
        <f t="shared" ca="1" si="21"/>
        <v>14.518641975300856</v>
      </c>
      <c r="AB144" s="167">
        <f t="shared" ca="1" si="22"/>
        <v>5.4444907407378205</v>
      </c>
      <c r="AC144" s="168">
        <f t="shared" ca="1" si="23"/>
        <v>14.518641975300856</v>
      </c>
      <c r="AD144" s="191">
        <f t="shared" ca="1" si="24"/>
        <v>4.8611111124046147E-3</v>
      </c>
      <c r="AE144" s="167">
        <f t="shared" ca="1" si="25"/>
        <v>5.4444907407378205</v>
      </c>
      <c r="AF144" s="168">
        <f t="shared" ca="1" si="26"/>
        <v>14.518641975300856</v>
      </c>
      <c r="AG144" s="168">
        <f t="shared" ca="1" si="27"/>
        <v>14.518641975300856</v>
      </c>
      <c r="AH144" s="81" t="str" cm="1">
        <f t="array" aca="1" ref="AH144" ca="1">IF((AD144) &lt; (INDEX(ResponseSLA[#All],(MATCH((G144),ResponseSLA[Priority],0))+1,3)),"YES","No")</f>
        <v>YES</v>
      </c>
      <c r="AI144" s="81" t="str">
        <f ca="1">_xlfn.IFNA(IF(AE144 &lt; (INDEX(SLATable[Minimum SLA],MATCH(G144,SLATable[Priority],0))),"YES","NO"),"")</f>
        <v>NO</v>
      </c>
      <c r="AJ144" s="19" t="str">
        <f ca="1">_xlfn.IFNA(IF(AE144 &lt; (INDEX(SLATable[Maximum SLA],MATCH(G144,SLATable[Priority],0))),"YES","NO"),"")</f>
        <v>NO</v>
      </c>
    </row>
    <row r="145" spans="1:36" ht="15" customHeight="1">
      <c r="A145" s="78">
        <v>144</v>
      </c>
      <c r="B145" s="78" t="s">
        <v>26</v>
      </c>
      <c r="C145" s="78" t="s">
        <v>33</v>
      </c>
      <c r="D145" s="78" t="s">
        <v>208</v>
      </c>
      <c r="E145" s="396" t="s">
        <v>677</v>
      </c>
      <c r="F145" s="78" t="s">
        <v>282</v>
      </c>
      <c r="G145" s="78" t="s">
        <v>208</v>
      </c>
      <c r="H145" s="397" t="s">
        <v>678</v>
      </c>
      <c r="I145" s="78" t="s">
        <v>271</v>
      </c>
      <c r="J145" s="86" t="s">
        <v>510</v>
      </c>
      <c r="K145" s="277">
        <v>46197.501597222225</v>
      </c>
      <c r="L145" s="277">
        <v>46197.501597222225</v>
      </c>
      <c r="M145" s="277">
        <v>46197.505057870374</v>
      </c>
      <c r="N145" s="277">
        <v>46224.464861111112</v>
      </c>
      <c r="O145" s="80"/>
      <c r="P145" s="80"/>
      <c r="Q145" s="78" t="s">
        <v>507</v>
      </c>
      <c r="R145" s="78" t="s">
        <v>267</v>
      </c>
      <c r="S145" s="78" t="s">
        <v>179</v>
      </c>
      <c r="T145" s="78"/>
      <c r="U145" s="78" t="s">
        <v>371</v>
      </c>
      <c r="V145" s="78"/>
      <c r="W145" s="78"/>
      <c r="X145" s="78"/>
      <c r="Y145" s="78"/>
      <c r="Z145" s="167">
        <f t="shared" ca="1" si="20"/>
        <v>7.0882638888870142</v>
      </c>
      <c r="AA145" s="168">
        <f t="shared" ca="1" si="21"/>
        <v>18.902037037032038</v>
      </c>
      <c r="AB145" s="167">
        <f t="shared" ca="1" si="22"/>
        <v>7.0882638888870142</v>
      </c>
      <c r="AC145" s="168">
        <f t="shared" ca="1" si="23"/>
        <v>18.902037037032038</v>
      </c>
      <c r="AD145" s="191">
        <f t="shared" ca="1" si="24"/>
        <v>3.4606481494847685E-3</v>
      </c>
      <c r="AE145" s="167">
        <f t="shared" ca="1" si="25"/>
        <v>7.0882638888870142</v>
      </c>
      <c r="AF145" s="168">
        <f t="shared" ca="1" si="26"/>
        <v>18.902037037032038</v>
      </c>
      <c r="AG145" s="168">
        <f t="shared" ca="1" si="27"/>
        <v>18.902037037032038</v>
      </c>
      <c r="AH145" s="81" t="str" cm="1">
        <f t="array" aca="1" ref="AH145" ca="1">IF((AD145) &lt; (INDEX(ResponseSLA[#All],(MATCH((G145),ResponseSLA[Priority],0))+1,3)),"YES","No")</f>
        <v>YES</v>
      </c>
      <c r="AI145" s="81" t="str">
        <f ca="1">_xlfn.IFNA(IF(AE145 &lt; (INDEX(SLATable[Minimum SLA],MATCH(G145,SLATable[Priority],0))),"YES","NO"),"")</f>
        <v>NO</v>
      </c>
      <c r="AJ145" s="19" t="str">
        <f ca="1">_xlfn.IFNA(IF(AE145 &lt; (INDEX(SLATable[Maximum SLA],MATCH(G145,SLATable[Priority],0))),"YES","NO"),"")</f>
        <v>NO</v>
      </c>
    </row>
    <row r="146" spans="1:36" ht="15" customHeight="1">
      <c r="A146" s="78">
        <v>145</v>
      </c>
      <c r="B146" s="78" t="s">
        <v>26</v>
      </c>
      <c r="C146" s="78" t="s">
        <v>33</v>
      </c>
      <c r="D146" s="78" t="s">
        <v>208</v>
      </c>
      <c r="E146" s="78" t="s">
        <v>679</v>
      </c>
      <c r="F146" s="78" t="s">
        <v>274</v>
      </c>
      <c r="G146" s="78" t="s">
        <v>208</v>
      </c>
      <c r="H146" s="99" t="s">
        <v>680</v>
      </c>
      <c r="I146" s="78" t="s">
        <v>271</v>
      </c>
      <c r="J146" s="86" t="s">
        <v>474</v>
      </c>
      <c r="K146" s="277">
        <v>46196.579861111109</v>
      </c>
      <c r="L146" s="277">
        <v>46196.579861111109</v>
      </c>
      <c r="M146" s="277">
        <v>46196.586111111108</v>
      </c>
      <c r="N146" s="269">
        <v>46196.782986111109</v>
      </c>
      <c r="O146" s="80"/>
      <c r="P146" s="80"/>
      <c r="Q146" s="78" t="s">
        <v>681</v>
      </c>
      <c r="R146" s="78" t="s">
        <v>267</v>
      </c>
      <c r="S146" s="78" t="s">
        <v>167</v>
      </c>
      <c r="T146" s="78"/>
      <c r="U146" s="78" t="s">
        <v>371</v>
      </c>
      <c r="V146" s="78"/>
      <c r="W146" s="78"/>
      <c r="X146" s="78"/>
      <c r="Y146" s="78"/>
      <c r="Z146" s="167">
        <f t="shared" ca="1" si="20"/>
        <v>0.12847222222383914</v>
      </c>
      <c r="AA146" s="168">
        <f t="shared" ca="1" si="21"/>
        <v>0.34259259259690439</v>
      </c>
      <c r="AB146" s="167">
        <f t="shared" ca="1" si="22"/>
        <v>0.12847222222383914</v>
      </c>
      <c r="AC146" s="168">
        <f t="shared" ca="1" si="23"/>
        <v>0.34259259259690439</v>
      </c>
      <c r="AD146" s="191">
        <f t="shared" ca="1" si="24"/>
        <v>6.2499999985448085E-3</v>
      </c>
      <c r="AE146" s="167">
        <f t="shared" ca="1" si="25"/>
        <v>0.12847222222383914</v>
      </c>
      <c r="AF146" s="168">
        <f t="shared" ca="1" si="26"/>
        <v>0.34259259259690439</v>
      </c>
      <c r="AG146" s="168">
        <f t="shared" ca="1" si="27"/>
        <v>0.34259259259690439</v>
      </c>
      <c r="AH146" s="81" t="str" cm="1">
        <f t="array" aca="1" ref="AH146" ca="1">IF((AD146) &lt; (INDEX(ResponseSLA[#All],(MATCH((G146),ResponseSLA[Priority],0))+1,3)),"YES","No")</f>
        <v>YES</v>
      </c>
      <c r="AI146" s="81" t="str">
        <f ca="1">_xlfn.IFNA(IF(AE146 &lt; (INDEX(SLATable[Minimum SLA],MATCH(G146,SLATable[Priority],0))),"YES","NO"),"")</f>
        <v>YES</v>
      </c>
      <c r="AJ146" s="19" t="str">
        <f ca="1">_xlfn.IFNA(IF(AE146 &lt; (INDEX(SLATable[Maximum SLA],MATCH(G146,SLATable[Priority],0))),"YES","NO"),"")</f>
        <v>YES</v>
      </c>
    </row>
    <row r="147" spans="1:36" ht="15" customHeight="1">
      <c r="A147" s="78">
        <v>146</v>
      </c>
      <c r="B147" s="78" t="s">
        <v>26</v>
      </c>
      <c r="C147" s="78" t="s">
        <v>33</v>
      </c>
      <c r="D147" s="78" t="s">
        <v>208</v>
      </c>
      <c r="E147" s="78" t="s">
        <v>682</v>
      </c>
      <c r="F147" s="78" t="s">
        <v>274</v>
      </c>
      <c r="G147" s="78" t="s">
        <v>208</v>
      </c>
      <c r="H147" s="99" t="s">
        <v>683</v>
      </c>
      <c r="I147" s="78" t="s">
        <v>271</v>
      </c>
      <c r="J147" s="86" t="s">
        <v>467</v>
      </c>
      <c r="K147" s="277">
        <v>46197.950694444444</v>
      </c>
      <c r="L147" s="277">
        <v>46198.190972222219</v>
      </c>
      <c r="M147" s="277">
        <v>46198.42083333333</v>
      </c>
      <c r="N147" s="277">
        <v>46198.511805555558</v>
      </c>
      <c r="O147" s="80"/>
      <c r="P147" s="80"/>
      <c r="Q147" s="78"/>
      <c r="R147" s="78" t="s">
        <v>267</v>
      </c>
      <c r="S147" s="78" t="s">
        <v>179</v>
      </c>
      <c r="T147" s="78"/>
      <c r="U147" s="78" t="s">
        <v>371</v>
      </c>
      <c r="V147" s="78"/>
      <c r="W147" s="78"/>
      <c r="X147" s="78"/>
      <c r="Y147" s="78"/>
      <c r="Z147" s="167">
        <f t="shared" ca="1" si="20"/>
        <v>0.17847222222432413</v>
      </c>
      <c r="AA147" s="168">
        <f t="shared" ca="1" si="21"/>
        <v>0.47592592593153099</v>
      </c>
      <c r="AB147" s="167">
        <f t="shared" ca="1" si="22"/>
        <v>0.17847222222432418</v>
      </c>
      <c r="AC147" s="168">
        <f t="shared" ca="1" si="23"/>
        <v>0.4759259259315311</v>
      </c>
      <c r="AD147" s="191">
        <f t="shared" ca="1" si="24"/>
        <v>8.7499999996604572E-2</v>
      </c>
      <c r="AE147" s="167">
        <f t="shared" ca="1" si="25"/>
        <v>0.17847222222432418</v>
      </c>
      <c r="AF147" s="168">
        <f t="shared" ca="1" si="26"/>
        <v>0.4759259259315311</v>
      </c>
      <c r="AG147" s="168">
        <f t="shared" ca="1" si="27"/>
        <v>0.4759259259315311</v>
      </c>
      <c r="AH147" s="81" t="str" cm="1">
        <f t="array" aca="1" ref="AH147" ca="1">IF((AD147) &lt; (INDEX(ResponseSLA[#All],(MATCH((G147),ResponseSLA[Priority],0))+1,3)),"YES","No")</f>
        <v>YES</v>
      </c>
      <c r="AI147" s="81" t="str">
        <f ca="1">_xlfn.IFNA(IF(AE147 &lt; (INDEX(SLATable[Minimum SLA],MATCH(G147,SLATable[Priority],0))),"YES","NO"),"")</f>
        <v>YES</v>
      </c>
      <c r="AJ147" s="19" t="str">
        <f ca="1">_xlfn.IFNA(IF(AE147 &lt; (INDEX(SLATable[Maximum SLA],MATCH(G147,SLATable[Priority],0))),"YES","NO"),"")</f>
        <v>YES</v>
      </c>
    </row>
    <row r="148" spans="1:36" ht="15" customHeight="1">
      <c r="A148" s="78">
        <v>147</v>
      </c>
      <c r="B148" s="78" t="s">
        <v>26</v>
      </c>
      <c r="C148" s="78" t="s">
        <v>33</v>
      </c>
      <c r="D148" s="78" t="s">
        <v>208</v>
      </c>
      <c r="E148" s="78" t="s">
        <v>684</v>
      </c>
      <c r="F148" s="78" t="s">
        <v>274</v>
      </c>
      <c r="G148" s="78" t="s">
        <v>208</v>
      </c>
      <c r="H148" s="99" t="s">
        <v>685</v>
      </c>
      <c r="I148" s="78" t="s">
        <v>271</v>
      </c>
      <c r="J148" s="86" t="s">
        <v>474</v>
      </c>
      <c r="K148" s="277">
        <v>46198.352083333331</v>
      </c>
      <c r="L148" s="277">
        <v>46198.352083333331</v>
      </c>
      <c r="M148" s="277">
        <v>46198.357638888891</v>
      </c>
      <c r="N148" s="277">
        <v>46198.411111111112</v>
      </c>
      <c r="O148" s="80"/>
      <c r="P148" s="80"/>
      <c r="Q148" s="78" t="s">
        <v>686</v>
      </c>
      <c r="R148" s="78" t="s">
        <v>267</v>
      </c>
      <c r="S148" s="78" t="s">
        <v>139</v>
      </c>
      <c r="T148" s="78"/>
      <c r="U148" s="78" t="s">
        <v>371</v>
      </c>
      <c r="V148" s="78"/>
      <c r="W148" s="78"/>
      <c r="X148" s="78"/>
      <c r="Y148" s="78"/>
      <c r="Z148" s="167">
        <f t="shared" ca="1" si="20"/>
        <v>5.9027777781011537E-2</v>
      </c>
      <c r="AA148" s="168">
        <f t="shared" ca="1" si="21"/>
        <v>0.15740740741603076</v>
      </c>
      <c r="AB148" s="167">
        <f t="shared" ca="1" si="22"/>
        <v>5.9027777781011537E-2</v>
      </c>
      <c r="AC148" s="168">
        <f t="shared" ca="1" si="23"/>
        <v>0.15740740741603076</v>
      </c>
      <c r="AD148" s="191">
        <f t="shared" ca="1" si="24"/>
        <v>5.5555555591126904E-3</v>
      </c>
      <c r="AE148" s="167">
        <f t="shared" ca="1" si="25"/>
        <v>5.9027777781011537E-2</v>
      </c>
      <c r="AF148" s="168">
        <f t="shared" ca="1" si="26"/>
        <v>0.15740740741603076</v>
      </c>
      <c r="AG148" s="168">
        <f t="shared" ca="1" si="27"/>
        <v>0.15740740741603076</v>
      </c>
      <c r="AH148" s="81" t="str" cm="1">
        <f t="array" aca="1" ref="AH148" ca="1">IF((AD148) &lt; (INDEX(ResponseSLA[#All],(MATCH((G148),ResponseSLA[Priority],0))+1,3)),"YES","No")</f>
        <v>YES</v>
      </c>
      <c r="AI148" s="81" t="str">
        <f ca="1">_xlfn.IFNA(IF(AE148 &lt; (INDEX(SLATable[Minimum SLA],MATCH(G148,SLATable[Priority],0))),"YES","NO"),"")</f>
        <v>YES</v>
      </c>
      <c r="AJ148" s="19" t="str">
        <f ca="1">_xlfn.IFNA(IF(AE148 &lt; (INDEX(SLATable[Maximum SLA],MATCH(G148,SLATable[Priority],0))),"YES","NO"),"")</f>
        <v>YES</v>
      </c>
    </row>
    <row r="149" spans="1:36" ht="15" customHeight="1">
      <c r="A149" s="78">
        <v>148</v>
      </c>
      <c r="B149" s="78" t="s">
        <v>26</v>
      </c>
      <c r="C149" s="78" t="s">
        <v>33</v>
      </c>
      <c r="D149" s="78" t="s">
        <v>208</v>
      </c>
      <c r="E149" s="78" t="s">
        <v>687</v>
      </c>
      <c r="F149" s="78" t="s">
        <v>274</v>
      </c>
      <c r="G149" s="78" t="s">
        <v>208</v>
      </c>
      <c r="H149" s="99" t="s">
        <v>688</v>
      </c>
      <c r="I149" s="78" t="s">
        <v>271</v>
      </c>
      <c r="J149" s="86" t="s">
        <v>467</v>
      </c>
      <c r="K149" s="277">
        <v>46199.869444444441</v>
      </c>
      <c r="L149" s="277">
        <v>46199.870833333334</v>
      </c>
      <c r="M149" s="277">
        <v>46199.872916666667</v>
      </c>
      <c r="N149" s="277">
        <v>46199.874305555553</v>
      </c>
      <c r="O149" s="80"/>
      <c r="P149" s="80"/>
      <c r="Q149" s="78"/>
      <c r="R149" s="198" t="s">
        <v>267</v>
      </c>
      <c r="S149" s="78" t="s">
        <v>139</v>
      </c>
      <c r="T149" s="78"/>
      <c r="U149" s="78" t="s">
        <v>371</v>
      </c>
      <c r="V149" s="78"/>
      <c r="W149" s="78"/>
      <c r="X149" s="78"/>
      <c r="Y149" s="78"/>
      <c r="Z149" s="167">
        <f t="shared" ca="1" si="20"/>
        <v>0</v>
      </c>
      <c r="AA149" s="168">
        <f t="shared" ca="1" si="21"/>
        <v>0</v>
      </c>
      <c r="AB149" s="167">
        <f t="shared" ca="1" si="22"/>
        <v>0</v>
      </c>
      <c r="AC149" s="168">
        <f t="shared" ca="1" si="23"/>
        <v>0</v>
      </c>
      <c r="AD149" s="191">
        <f t="shared" ca="1" si="24"/>
        <v>0</v>
      </c>
      <c r="AE149" s="167">
        <f t="shared" ca="1" si="25"/>
        <v>0</v>
      </c>
      <c r="AF149" s="168">
        <f t="shared" ca="1" si="26"/>
        <v>0</v>
      </c>
      <c r="AG149" s="168">
        <f t="shared" ca="1" si="27"/>
        <v>0</v>
      </c>
      <c r="AH149" s="81" t="str" cm="1">
        <f t="array" aca="1" ref="AH149" ca="1">IF((AD149) &lt; (INDEX(ResponseSLA[#All],(MATCH((G149),ResponseSLA[Priority],0))+1,3)),"YES","No")</f>
        <v>YES</v>
      </c>
      <c r="AI149" s="81" t="str">
        <f ca="1">_xlfn.IFNA(IF(AE149 &lt; (INDEX(SLATable[Minimum SLA],MATCH(G149,SLATable[Priority],0))),"YES","NO"),"")</f>
        <v>YES</v>
      </c>
      <c r="AJ149" s="19" t="str">
        <f ca="1">_xlfn.IFNA(IF(AE149 &lt; (INDEX(SLATable[Maximum SLA],MATCH(G149,SLATable[Priority],0))),"YES","NO"),"")</f>
        <v>YES</v>
      </c>
    </row>
    <row r="150" spans="1:36" ht="15" customHeight="1">
      <c r="A150" s="78">
        <v>149</v>
      </c>
      <c r="B150" s="78" t="s">
        <v>26</v>
      </c>
      <c r="C150" s="78" t="s">
        <v>33</v>
      </c>
      <c r="D150" s="78" t="s">
        <v>207</v>
      </c>
      <c r="E150" s="78" t="s">
        <v>689</v>
      </c>
      <c r="F150" s="78" t="s">
        <v>274</v>
      </c>
      <c r="G150" s="78">
        <v>4</v>
      </c>
      <c r="H150" s="99" t="s">
        <v>690</v>
      </c>
      <c r="I150" s="78" t="s">
        <v>271</v>
      </c>
      <c r="J150" s="86" t="s">
        <v>592</v>
      </c>
      <c r="K150" s="277">
        <v>46197.29583333333</v>
      </c>
      <c r="L150" s="277">
        <v>46197.638194444444</v>
      </c>
      <c r="M150" s="277">
        <v>46197.640277777777</v>
      </c>
      <c r="N150" s="277">
        <v>46198.443749999999</v>
      </c>
      <c r="O150" s="80"/>
      <c r="P150" s="80"/>
      <c r="Q150" s="78" t="s">
        <v>691</v>
      </c>
      <c r="R150" s="78" t="s">
        <v>267</v>
      </c>
      <c r="S150" s="78"/>
      <c r="T150" s="78"/>
      <c r="U150" s="78" t="s">
        <v>371</v>
      </c>
      <c r="V150" s="78"/>
      <c r="W150" s="78"/>
      <c r="X150" s="78"/>
      <c r="Y150" s="78"/>
      <c r="Z150" s="167">
        <f t="shared" ca="1" si="20"/>
        <v>0.48541666666521149</v>
      </c>
      <c r="AA150" s="168">
        <f t="shared" ca="1" si="21"/>
        <v>1.2944444444405638</v>
      </c>
      <c r="AB150" s="167">
        <f t="shared" ca="1" si="22"/>
        <v>0.18055555555474712</v>
      </c>
      <c r="AC150" s="168">
        <f t="shared" ca="1" si="23"/>
        <v>0.48148148147932562</v>
      </c>
      <c r="AD150" s="191">
        <f t="shared" ca="1" si="24"/>
        <v>2.0833333328482695E-3</v>
      </c>
      <c r="AE150" s="167">
        <f t="shared" ca="1" si="25"/>
        <v>0.18055555555474712</v>
      </c>
      <c r="AF150" s="168">
        <f t="shared" ca="1" si="26"/>
        <v>0.48148148147932562</v>
      </c>
      <c r="AG150" s="168">
        <f t="shared" ca="1" si="27"/>
        <v>0.48148148147932562</v>
      </c>
      <c r="AH150" s="81" t="str" cm="1">
        <f t="array" aca="1" ref="AH150" ca="1">IF((AD150) &lt; (INDEX(ResponseSLA[#All],(MATCH((G150),ResponseSLA[Priority],0))+1,3)),"YES","No")</f>
        <v>YES</v>
      </c>
      <c r="AI150" s="81" t="str">
        <f ca="1">_xlfn.IFNA(IF(AE150 &lt; (INDEX(SLATable[Minimum SLA],MATCH(G150,SLATable[Priority],0))),"YES","NO"),"")</f>
        <v>YES</v>
      </c>
      <c r="AJ150" s="19" t="str">
        <f ca="1">_xlfn.IFNA(IF(AE150 &lt; (INDEX(SLATable[Maximum SLA],MATCH(G150,SLATable[Priority],0))),"YES","NO"),"")</f>
        <v>YES</v>
      </c>
    </row>
    <row r="151" spans="1:36" ht="15" customHeight="1">
      <c r="A151" s="78">
        <v>150</v>
      </c>
      <c r="B151" s="78" t="s">
        <v>26</v>
      </c>
      <c r="C151" s="78" t="s">
        <v>33</v>
      </c>
      <c r="D151" s="78" t="s">
        <v>207</v>
      </c>
      <c r="E151" s="78" t="s">
        <v>692</v>
      </c>
      <c r="F151" s="78" t="s">
        <v>274</v>
      </c>
      <c r="G151" s="78">
        <v>3</v>
      </c>
      <c r="H151" s="86" t="s">
        <v>693</v>
      </c>
      <c r="I151" s="78" t="s">
        <v>275</v>
      </c>
      <c r="J151" s="86" t="s">
        <v>694</v>
      </c>
      <c r="K151" s="277">
        <v>46196.288194444445</v>
      </c>
      <c r="L151" s="277">
        <v>46198.125694444447</v>
      </c>
      <c r="M151" s="277">
        <v>46198.42291666667</v>
      </c>
      <c r="N151" s="277">
        <v>46198.439583333333</v>
      </c>
      <c r="O151" s="80"/>
      <c r="P151" s="80"/>
      <c r="Q151" s="78" t="s">
        <v>695</v>
      </c>
      <c r="R151" s="78" t="s">
        <v>267</v>
      </c>
      <c r="S151" s="78"/>
      <c r="T151" s="78"/>
      <c r="U151" s="78" t="s">
        <v>371</v>
      </c>
      <c r="V151" s="78"/>
      <c r="W151" s="78"/>
      <c r="X151" s="78"/>
      <c r="Y151" s="78"/>
      <c r="Z151" s="167">
        <f t="shared" ca="1" si="20"/>
        <v>0.85624999999951501</v>
      </c>
      <c r="AA151" s="168">
        <f t="shared" ca="1" si="21"/>
        <v>2.28333333333204</v>
      </c>
      <c r="AB151" s="167">
        <f t="shared" ca="1" si="22"/>
        <v>0.10624999999951495</v>
      </c>
      <c r="AC151" s="168">
        <f t="shared" ca="1" si="23"/>
        <v>0.28333333333203986</v>
      </c>
      <c r="AD151" s="191">
        <f t="shared" ca="1" si="24"/>
        <v>8.9583333336728799E-2</v>
      </c>
      <c r="AE151" s="167">
        <f t="shared" ca="1" si="25"/>
        <v>0.10624999999951495</v>
      </c>
      <c r="AF151" s="168">
        <f t="shared" ca="1" si="26"/>
        <v>0.28333333333203986</v>
      </c>
      <c r="AG151" s="168">
        <f t="shared" ca="1" si="27"/>
        <v>0.28333333333203986</v>
      </c>
      <c r="AH151" s="81" t="str" cm="1">
        <f t="array" aca="1" ref="AH151" ca="1">IF((AD151) &lt; (INDEX(ResponseSLA[#All],(MATCH((G151),ResponseSLA[Priority],0))+1,3)),"YES","No")</f>
        <v>No</v>
      </c>
      <c r="AI151" s="81" t="str">
        <f ca="1">_xlfn.IFNA(IF(AE151 &lt; (INDEX(SLATable[Minimum SLA],MATCH(G151,SLATable[Priority],0))),"YES","NO"),"")</f>
        <v>YES</v>
      </c>
      <c r="AJ151" s="19" t="str">
        <f ca="1">_xlfn.IFNA(IF(AE151 &lt; (INDEX(SLATable[Maximum SLA],MATCH(G151,SLATable[Priority],0))),"YES","NO"),"")</f>
        <v>YES</v>
      </c>
    </row>
    <row r="152" spans="1:36" ht="15" customHeight="1">
      <c r="A152" s="78">
        <v>151</v>
      </c>
      <c r="B152" s="78" t="s">
        <v>26</v>
      </c>
      <c r="C152" s="78" t="s">
        <v>33</v>
      </c>
      <c r="D152" s="78" t="s">
        <v>207</v>
      </c>
      <c r="E152" s="78" t="s">
        <v>696</v>
      </c>
      <c r="F152" s="78" t="s">
        <v>274</v>
      </c>
      <c r="G152" s="78">
        <v>3</v>
      </c>
      <c r="H152" s="99" t="s">
        <v>697</v>
      </c>
      <c r="I152" s="78" t="s">
        <v>271</v>
      </c>
      <c r="J152" s="86" t="s">
        <v>474</v>
      </c>
      <c r="K152" s="277">
        <v>46201.438194444447</v>
      </c>
      <c r="L152" s="277">
        <v>46201.440972222219</v>
      </c>
      <c r="M152" s="277">
        <v>46202.228472222225</v>
      </c>
      <c r="N152" s="277">
        <v>46202.243055555555</v>
      </c>
      <c r="O152" s="80"/>
      <c r="P152" s="80"/>
      <c r="Q152" s="78" t="s">
        <v>698</v>
      </c>
      <c r="R152" s="78" t="s">
        <v>267</v>
      </c>
      <c r="S152" s="78"/>
      <c r="T152" s="78"/>
      <c r="U152" s="78" t="s">
        <v>371</v>
      </c>
      <c r="V152" s="78"/>
      <c r="W152" s="78"/>
      <c r="X152" s="78"/>
      <c r="Y152" s="78"/>
      <c r="Z152" s="167">
        <f t="shared" ca="1" si="20"/>
        <v>0</v>
      </c>
      <c r="AA152" s="168">
        <f t="shared" ca="1" si="21"/>
        <v>0</v>
      </c>
      <c r="AB152" s="167">
        <f t="shared" ca="1" si="22"/>
        <v>0</v>
      </c>
      <c r="AC152" s="168">
        <f t="shared" ca="1" si="23"/>
        <v>0</v>
      </c>
      <c r="AD152" s="191">
        <f t="shared" ca="1" si="24"/>
        <v>0</v>
      </c>
      <c r="AE152" s="167">
        <f t="shared" ca="1" si="25"/>
        <v>0</v>
      </c>
      <c r="AF152" s="168">
        <f t="shared" ca="1" si="26"/>
        <v>0</v>
      </c>
      <c r="AG152" s="168">
        <f t="shared" ca="1" si="27"/>
        <v>0</v>
      </c>
      <c r="AH152" s="81" t="str" cm="1">
        <f t="array" aca="1" ref="AH152" ca="1">IF((AD152) &lt; (INDEX(ResponseSLA[#All],(MATCH((G152),ResponseSLA[Priority],0))+1,3)),"YES","No")</f>
        <v>YES</v>
      </c>
      <c r="AI152" s="81" t="str">
        <f ca="1">_xlfn.IFNA(IF(AE152 &lt; (INDEX(SLATable[Minimum SLA],MATCH(G152,SLATable[Priority],0))),"YES","NO"),"")</f>
        <v>YES</v>
      </c>
      <c r="AJ152" s="19" t="str">
        <f ca="1">_xlfn.IFNA(IF(AE152 &lt; (INDEX(SLATable[Maximum SLA],MATCH(G152,SLATable[Priority],0))),"YES","NO"),"")</f>
        <v>YES</v>
      </c>
    </row>
    <row r="153" spans="1:36" ht="15" customHeight="1">
      <c r="A153" s="78">
        <v>152</v>
      </c>
      <c r="B153" s="78" t="s">
        <v>26</v>
      </c>
      <c r="C153" s="78" t="s">
        <v>33</v>
      </c>
      <c r="D153" s="78" t="s">
        <v>207</v>
      </c>
      <c r="E153" s="78" t="s">
        <v>699</v>
      </c>
      <c r="F153" s="78" t="s">
        <v>274</v>
      </c>
      <c r="G153" s="78">
        <v>3</v>
      </c>
      <c r="H153" s="86" t="s">
        <v>700</v>
      </c>
      <c r="I153" s="78" t="s">
        <v>275</v>
      </c>
      <c r="J153" s="86" t="s">
        <v>592</v>
      </c>
      <c r="K153" s="277">
        <v>46199.769444444442</v>
      </c>
      <c r="L153" s="277">
        <v>46199.770833333336</v>
      </c>
      <c r="M153" s="277">
        <v>46199.782638888886</v>
      </c>
      <c r="N153" s="277">
        <v>46199.78733796296</v>
      </c>
      <c r="O153" s="80"/>
      <c r="P153" s="80"/>
      <c r="Q153" s="78"/>
      <c r="R153" s="78"/>
      <c r="S153" s="78"/>
      <c r="T153" s="78"/>
      <c r="U153" s="78" t="s">
        <v>371</v>
      </c>
      <c r="V153" s="78"/>
      <c r="W153" s="78"/>
      <c r="X153" s="78"/>
      <c r="Y153" s="78"/>
      <c r="Z153" s="167">
        <f t="shared" ca="1" si="20"/>
        <v>0</v>
      </c>
      <c r="AA153" s="168">
        <f t="shared" ca="1" si="21"/>
        <v>0</v>
      </c>
      <c r="AB153" s="167">
        <f t="shared" ca="1" si="22"/>
        <v>0</v>
      </c>
      <c r="AC153" s="168">
        <f t="shared" ca="1" si="23"/>
        <v>0</v>
      </c>
      <c r="AD153" s="191">
        <f t="shared" ca="1" si="24"/>
        <v>0</v>
      </c>
      <c r="AE153" s="167">
        <f t="shared" ca="1" si="25"/>
        <v>0</v>
      </c>
      <c r="AF153" s="168">
        <f t="shared" ca="1" si="26"/>
        <v>0</v>
      </c>
      <c r="AG153" s="168">
        <f t="shared" ca="1" si="27"/>
        <v>0</v>
      </c>
      <c r="AH153" s="81" t="str" cm="1">
        <f t="array" aca="1" ref="AH153" ca="1">IF((AD153) &lt; (INDEX(ResponseSLA[#All],(MATCH((G153),ResponseSLA[Priority],0))+1,3)),"YES","No")</f>
        <v>YES</v>
      </c>
      <c r="AI153" s="81" t="str">
        <f ca="1">_xlfn.IFNA(IF(AE153 &lt; (INDEX(SLATable[Minimum SLA],MATCH(G153,SLATable[Priority],0))),"YES","NO"),"")</f>
        <v>YES</v>
      </c>
      <c r="AJ153" s="19" t="str">
        <f ca="1">_xlfn.IFNA(IF(AE153 &lt; (INDEX(SLATable[Maximum SLA],MATCH(G153,SLATable[Priority],0))),"YES","NO"),"")</f>
        <v>YES</v>
      </c>
    </row>
    <row r="154" spans="1:36" ht="15" customHeight="1">
      <c r="A154" s="78">
        <v>153</v>
      </c>
      <c r="B154" s="78" t="s">
        <v>26</v>
      </c>
      <c r="C154" s="78" t="s">
        <v>31</v>
      </c>
      <c r="D154" s="78" t="s">
        <v>207</v>
      </c>
      <c r="E154" s="78" t="s">
        <v>701</v>
      </c>
      <c r="F154" s="78" t="s">
        <v>30</v>
      </c>
      <c r="G154" s="78">
        <v>4</v>
      </c>
      <c r="H154" s="86" t="s">
        <v>702</v>
      </c>
      <c r="I154" s="78" t="s">
        <v>275</v>
      </c>
      <c r="J154" s="86" t="s">
        <v>389</v>
      </c>
      <c r="K154" s="277">
        <v>46178.08734953704</v>
      </c>
      <c r="L154" s="277">
        <v>46178.08734953704</v>
      </c>
      <c r="M154" s="277">
        <v>46178.275011574071</v>
      </c>
      <c r="N154" s="277">
        <v>46178.440289351849</v>
      </c>
      <c r="O154" s="80">
        <v>46178.276921296296</v>
      </c>
      <c r="P154" s="80">
        <v>46178.289884259262</v>
      </c>
      <c r="Q154" s="78" t="s">
        <v>703</v>
      </c>
      <c r="R154" s="78" t="s">
        <v>261</v>
      </c>
      <c r="S154" s="78" t="s">
        <v>137</v>
      </c>
      <c r="T154" s="78"/>
      <c r="U154" s="78" t="s">
        <v>371</v>
      </c>
      <c r="V154" s="78"/>
      <c r="W154" s="78"/>
      <c r="X154" s="78"/>
      <c r="Y154" s="78"/>
      <c r="Z154" s="167">
        <f t="shared" ca="1" si="20"/>
        <v>0.10695601851572673</v>
      </c>
      <c r="AA154" s="168">
        <f t="shared" ca="1" si="21"/>
        <v>0.28521604937527129</v>
      </c>
      <c r="AB154" s="167">
        <f t="shared" ca="1" si="22"/>
        <v>0.10695601851572673</v>
      </c>
      <c r="AC154" s="168">
        <f t="shared" ca="1" si="23"/>
        <v>0.28521604937527129</v>
      </c>
      <c r="AD154" s="191">
        <f t="shared" ca="1" si="24"/>
        <v>0</v>
      </c>
      <c r="AE154" s="167">
        <f t="shared" ca="1" si="25"/>
        <v>0.10695601851572673</v>
      </c>
      <c r="AF154" s="168">
        <f t="shared" ca="1" si="26"/>
        <v>0.28521604937527129</v>
      </c>
      <c r="AG154" s="168">
        <f t="shared" ca="1" si="27"/>
        <v>0.28521604937527129</v>
      </c>
      <c r="AH154" s="81" t="str" cm="1">
        <f t="array" aca="1" ref="AH154" ca="1">IF((AD154) &lt; (INDEX(ResponseSLA[#All],(MATCH((G154),ResponseSLA[Priority],0))+1,3)),"YES","No")</f>
        <v>YES</v>
      </c>
      <c r="AI154" s="81" t="str">
        <f ca="1">_xlfn.IFNA(IF(AE154 &lt; (INDEX(SLATable[Minimum SLA],MATCH(G154,SLATable[Priority],0))),"YES","NO"),"")</f>
        <v>YES</v>
      </c>
      <c r="AJ154" s="19" t="str">
        <f ca="1">_xlfn.IFNA(IF(AE154 &lt; (INDEX(SLATable[Maximum SLA],MATCH(G154,SLATable[Priority],0))),"YES","NO"),"")</f>
        <v>YES</v>
      </c>
    </row>
    <row r="155" spans="1:36" ht="15" customHeight="1">
      <c r="A155" s="78">
        <v>154</v>
      </c>
      <c r="B155" s="78" t="s">
        <v>26</v>
      </c>
      <c r="C155" s="78" t="s">
        <v>31</v>
      </c>
      <c r="D155" s="78" t="s">
        <v>207</v>
      </c>
      <c r="E155" s="78" t="s">
        <v>704</v>
      </c>
      <c r="F155" s="78" t="s">
        <v>30</v>
      </c>
      <c r="G155" s="78">
        <v>3</v>
      </c>
      <c r="H155" s="86" t="s">
        <v>705</v>
      </c>
      <c r="I155" s="78" t="s">
        <v>271</v>
      </c>
      <c r="J155" s="86" t="s">
        <v>393</v>
      </c>
      <c r="K155" s="277">
        <v>46170.458101851851</v>
      </c>
      <c r="L155" s="277">
        <v>46170.458101851851</v>
      </c>
      <c r="M155" s="277">
        <v>46170.46802083333</v>
      </c>
      <c r="N155" s="277">
        <v>46175.556296296294</v>
      </c>
      <c r="O155" s="80">
        <v>46170.492581018516</v>
      </c>
      <c r="P155" s="80">
        <v>46175.556296296294</v>
      </c>
      <c r="Q155" s="78" t="s">
        <v>706</v>
      </c>
      <c r="R155" s="78" t="s">
        <v>267</v>
      </c>
      <c r="S155" s="78" t="s">
        <v>169</v>
      </c>
      <c r="T155" s="78"/>
      <c r="U155" s="78" t="s">
        <v>371</v>
      </c>
      <c r="V155" s="78"/>
      <c r="W155" s="78"/>
      <c r="X155" s="78"/>
      <c r="Y155" s="78"/>
      <c r="Z155" s="167">
        <f t="shared" ca="1" si="20"/>
        <v>3.4479166664823424E-2</v>
      </c>
      <c r="AA155" s="168">
        <f t="shared" ca="1" si="21"/>
        <v>9.1944444439529135E-2</v>
      </c>
      <c r="AB155" s="167">
        <f t="shared" ca="1" si="22"/>
        <v>3.4479166664823424E-2</v>
      </c>
      <c r="AC155" s="168">
        <f t="shared" ca="1" si="23"/>
        <v>9.1944444439529135E-2</v>
      </c>
      <c r="AD155" s="191">
        <f t="shared" ca="1" si="24"/>
        <v>9.9189814791316167E-3</v>
      </c>
      <c r="AE155" s="167">
        <f t="shared" ca="1" si="25"/>
        <v>3.4479166664823424E-2</v>
      </c>
      <c r="AF155" s="168">
        <f t="shared" ca="1" si="26"/>
        <v>9.1944444439529135E-2</v>
      </c>
      <c r="AG155" s="168">
        <f t="shared" ca="1" si="27"/>
        <v>9.1944444439529135E-2</v>
      </c>
      <c r="AH155" s="81" t="str" cm="1">
        <f t="array" aca="1" ref="AH155" ca="1">IF((AD155) &lt; (INDEX(ResponseSLA[#All],(MATCH((G155),ResponseSLA[Priority],0))+1,3)),"YES","No")</f>
        <v>YES</v>
      </c>
      <c r="AI155" s="81" t="str">
        <f ca="1">_xlfn.IFNA(IF(AE155 &lt; (INDEX(SLATable[Minimum SLA],MATCH(G155,SLATable[Priority],0))),"YES","NO"),"")</f>
        <v>YES</v>
      </c>
      <c r="AJ155" s="19" t="str">
        <f ca="1">_xlfn.IFNA(IF(AE155 &lt; (INDEX(SLATable[Maximum SLA],MATCH(G155,SLATable[Priority],0))),"YES","NO"),"")</f>
        <v>YES</v>
      </c>
    </row>
    <row r="156" spans="1:36" ht="15" customHeight="1">
      <c r="A156" s="78">
        <v>155</v>
      </c>
      <c r="B156" s="78" t="s">
        <v>26</v>
      </c>
      <c r="C156" s="78" t="s">
        <v>31</v>
      </c>
      <c r="D156" s="78" t="s">
        <v>208</v>
      </c>
      <c r="E156" s="78" t="s">
        <v>707</v>
      </c>
      <c r="F156" s="78" t="s">
        <v>30</v>
      </c>
      <c r="G156" s="78" t="s">
        <v>208</v>
      </c>
      <c r="H156" s="86" t="s">
        <v>708</v>
      </c>
      <c r="I156" s="78" t="s">
        <v>271</v>
      </c>
      <c r="J156" s="86" t="s">
        <v>389</v>
      </c>
      <c r="K156" s="277">
        <v>46163.437326388892</v>
      </c>
      <c r="L156" s="277">
        <v>46163.437326388892</v>
      </c>
      <c r="M156" s="277">
        <v>46163.442557870374</v>
      </c>
      <c r="N156" s="277">
        <v>46177.507592592592</v>
      </c>
      <c r="O156" s="80">
        <v>46163.442962962959</v>
      </c>
      <c r="P156" s="80">
        <v>46171.36446759259</v>
      </c>
      <c r="Q156" s="78" t="s">
        <v>498</v>
      </c>
      <c r="R156" s="78" t="s">
        <v>267</v>
      </c>
      <c r="S156" s="78" t="s">
        <v>147</v>
      </c>
      <c r="T156" s="78"/>
      <c r="U156" s="78" t="s">
        <v>371</v>
      </c>
      <c r="V156" s="78"/>
      <c r="W156" s="78"/>
      <c r="X156" s="78"/>
      <c r="Y156" s="78"/>
      <c r="Z156" s="167">
        <f t="shared" ca="1" si="20"/>
        <v>1.6487615740697952</v>
      </c>
      <c r="AA156" s="168">
        <f t="shared" ca="1" si="21"/>
        <v>4.3966975308527871</v>
      </c>
      <c r="AB156" s="167">
        <f t="shared" ca="1" si="22"/>
        <v>1.6487615740697952</v>
      </c>
      <c r="AC156" s="168">
        <f t="shared" ca="1" si="23"/>
        <v>4.3966975308527871</v>
      </c>
      <c r="AD156" s="191">
        <f t="shared" ca="1" si="24"/>
        <v>5.2314814820419997E-3</v>
      </c>
      <c r="AE156" s="167">
        <f t="shared" ca="1" si="25"/>
        <v>1.6487615740697952</v>
      </c>
      <c r="AF156" s="168">
        <f t="shared" ca="1" si="26"/>
        <v>4.3966975308527871</v>
      </c>
      <c r="AG156" s="168">
        <f t="shared" ca="1" si="27"/>
        <v>4.3966975308527871</v>
      </c>
      <c r="AH156" s="81" t="str" cm="1">
        <f t="array" aca="1" ref="AH156" ca="1">IF((AD156) &lt; (INDEX(ResponseSLA[#All],(MATCH((G156),ResponseSLA[Priority],0))+1,3)),"YES","No")</f>
        <v>YES</v>
      </c>
      <c r="AI156" s="81" t="str">
        <f ca="1">_xlfn.IFNA(IF(AE156 &lt; (INDEX(SLATable[Minimum SLA],MATCH(G156,SLATable[Priority],0))),"YES","NO"),"")</f>
        <v>NO</v>
      </c>
      <c r="AJ156" s="19" t="str">
        <f ca="1">_xlfn.IFNA(IF(AE156 &lt; (INDEX(SLATable[Maximum SLA],MATCH(G156,SLATable[Priority],0))),"YES","NO"),"")</f>
        <v>NO</v>
      </c>
    </row>
    <row r="157" spans="1:36" ht="15" customHeight="1">
      <c r="A157" s="78">
        <v>156</v>
      </c>
      <c r="B157" s="78" t="s">
        <v>26</v>
      </c>
      <c r="C157" s="78" t="s">
        <v>31</v>
      </c>
      <c r="D157" s="78" t="s">
        <v>207</v>
      </c>
      <c r="E157" s="78" t="s">
        <v>709</v>
      </c>
      <c r="F157" s="78" t="s">
        <v>30</v>
      </c>
      <c r="G157" s="78">
        <v>4</v>
      </c>
      <c r="H157" s="86" t="s">
        <v>710</v>
      </c>
      <c r="I157" s="78" t="s">
        <v>271</v>
      </c>
      <c r="J157" s="86" t="s">
        <v>385</v>
      </c>
      <c r="K157" s="277">
        <v>46194.507916666669</v>
      </c>
      <c r="L157" s="277">
        <v>46196.475046296298</v>
      </c>
      <c r="M157" s="277">
        <v>46196.510289351849</v>
      </c>
      <c r="N157" s="277">
        <v>46204.516793981478</v>
      </c>
      <c r="O157" s="80">
        <v>46196.515833333331</v>
      </c>
      <c r="P157" s="80">
        <v>46204.516793981478</v>
      </c>
      <c r="Q157" s="78" t="s">
        <v>565</v>
      </c>
      <c r="R157" s="78" t="s">
        <v>267</v>
      </c>
      <c r="S157" s="78" t="s">
        <v>190</v>
      </c>
      <c r="T157" s="78"/>
      <c r="U157" s="78" t="s">
        <v>371</v>
      </c>
      <c r="V157" s="78"/>
      <c r="W157" s="78"/>
      <c r="X157" s="78"/>
      <c r="Y157" s="78"/>
      <c r="Z157" s="167">
        <f t="shared" ca="1" si="20"/>
        <v>0.55749999999776856</v>
      </c>
      <c r="AA157" s="168">
        <f t="shared" ca="1" si="21"/>
        <v>1.4866666666607162</v>
      </c>
      <c r="AB157" s="167">
        <f t="shared" ca="1" si="22"/>
        <v>4.0787037032714579E-2</v>
      </c>
      <c r="AC157" s="168">
        <f t="shared" ca="1" si="23"/>
        <v>0.10876543208723888</v>
      </c>
      <c r="AD157" s="191">
        <f t="shared" ca="1" si="24"/>
        <v>3.5243055550381541E-2</v>
      </c>
      <c r="AE157" s="167">
        <f t="shared" ca="1" si="25"/>
        <v>4.0787037032714579E-2</v>
      </c>
      <c r="AF157" s="168">
        <f t="shared" ca="1" si="26"/>
        <v>0.10876543208723888</v>
      </c>
      <c r="AG157" s="168">
        <f t="shared" ca="1" si="27"/>
        <v>0.10876543208723888</v>
      </c>
      <c r="AH157" s="81" t="str" cm="1">
        <f t="array" aca="1" ref="AH157" ca="1">IF((AD157) &lt; (INDEX(ResponseSLA[#All],(MATCH((G157),ResponseSLA[Priority],0))+1,3)),"YES","No")</f>
        <v>YES</v>
      </c>
      <c r="AI157" s="81" t="str">
        <f ca="1">_xlfn.IFNA(IF(AE157 &lt; (INDEX(SLATable[Minimum SLA],MATCH(G157,SLATable[Priority],0))),"YES","NO"),"")</f>
        <v>YES</v>
      </c>
      <c r="AJ157" s="19" t="str">
        <f ca="1">_xlfn.IFNA(IF(AE157 &lt; (INDEX(SLATable[Maximum SLA],MATCH(G157,SLATable[Priority],0))),"YES","NO"),"")</f>
        <v>YES</v>
      </c>
    </row>
    <row r="158" spans="1:36" ht="15" customHeight="1">
      <c r="A158" s="78">
        <v>157</v>
      </c>
      <c r="B158" s="78" t="s">
        <v>26</v>
      </c>
      <c r="C158" s="78" t="s">
        <v>31</v>
      </c>
      <c r="D158" s="78" t="s">
        <v>207</v>
      </c>
      <c r="E158" s="78" t="s">
        <v>711</v>
      </c>
      <c r="F158" s="78" t="s">
        <v>30</v>
      </c>
      <c r="G158" s="78">
        <v>3</v>
      </c>
      <c r="H158" s="86" t="s">
        <v>712</v>
      </c>
      <c r="I158" s="78" t="s">
        <v>271</v>
      </c>
      <c r="J158" s="86" t="s">
        <v>389</v>
      </c>
      <c r="K158" s="277">
        <v>46196.536631944444</v>
      </c>
      <c r="L158" s="277">
        <v>46196.536631944444</v>
      </c>
      <c r="M158" s="277">
        <v>46196.576122685183</v>
      </c>
      <c r="N158" s="277">
        <v>46202.532442129632</v>
      </c>
      <c r="O158" s="80">
        <v>46196.632337962961</v>
      </c>
      <c r="P158" s="80">
        <v>46202.364421296297</v>
      </c>
      <c r="Q158" s="78" t="s">
        <v>706</v>
      </c>
      <c r="R158" s="78" t="s">
        <v>267</v>
      </c>
      <c r="S158" s="78" t="s">
        <v>205</v>
      </c>
      <c r="T158" s="78"/>
      <c r="U158" s="78" t="s">
        <v>371</v>
      </c>
      <c r="V158" s="78"/>
      <c r="W158" s="78"/>
      <c r="X158" s="78"/>
      <c r="Y158" s="78"/>
      <c r="Z158" s="167">
        <f t="shared" ca="1" si="20"/>
        <v>0.2637268518519702</v>
      </c>
      <c r="AA158" s="168">
        <f t="shared" ca="1" si="21"/>
        <v>0.7032716049385872</v>
      </c>
      <c r="AB158" s="167">
        <f t="shared" ca="1" si="22"/>
        <v>0.2637268518519702</v>
      </c>
      <c r="AC158" s="168">
        <f t="shared" ca="1" si="23"/>
        <v>0.7032716049385872</v>
      </c>
      <c r="AD158" s="191">
        <f t="shared" ca="1" si="24"/>
        <v>3.9490740738983732E-2</v>
      </c>
      <c r="AE158" s="167">
        <f t="shared" ca="1" si="25"/>
        <v>0.2637268518519702</v>
      </c>
      <c r="AF158" s="168">
        <f t="shared" ca="1" si="26"/>
        <v>0.7032716049385872</v>
      </c>
      <c r="AG158" s="168">
        <f t="shared" ca="1" si="27"/>
        <v>0.7032716049385872</v>
      </c>
      <c r="AH158" s="81" t="str" cm="1">
        <f t="array" aca="1" ref="AH158" ca="1">IF((AD158) &lt; (INDEX(ResponseSLA[#All],(MATCH((G158),ResponseSLA[Priority],0))+1,3)),"YES","No")</f>
        <v>YES</v>
      </c>
      <c r="AI158" s="81" t="str">
        <f ca="1">_xlfn.IFNA(IF(AE158 &lt; (INDEX(SLATable[Minimum SLA],MATCH(G158,SLATable[Priority],0))),"YES","NO"),"")</f>
        <v>YES</v>
      </c>
      <c r="AJ158" s="19" t="str">
        <f ca="1">_xlfn.IFNA(IF(AE158 &lt; (INDEX(SLATable[Maximum SLA],MATCH(G158,SLATable[Priority],0))),"YES","NO"),"")</f>
        <v>YES</v>
      </c>
    </row>
    <row r="159" spans="1:36" ht="15" customHeight="1">
      <c r="A159" s="78">
        <v>158</v>
      </c>
      <c r="B159" s="78" t="s">
        <v>26</v>
      </c>
      <c r="C159" s="78" t="s">
        <v>31</v>
      </c>
      <c r="D159" s="78" t="s">
        <v>208</v>
      </c>
      <c r="E159" s="78" t="s">
        <v>713</v>
      </c>
      <c r="F159" s="78" t="s">
        <v>30</v>
      </c>
      <c r="G159" s="78" t="s">
        <v>208</v>
      </c>
      <c r="H159" s="86" t="s">
        <v>714</v>
      </c>
      <c r="I159" s="78" t="s">
        <v>271</v>
      </c>
      <c r="J159" s="86" t="s">
        <v>389</v>
      </c>
      <c r="K159" s="277">
        <v>46192.532500000001</v>
      </c>
      <c r="L159" s="277">
        <v>46192.532500000001</v>
      </c>
      <c r="M159" s="277">
        <v>46195.299641203703</v>
      </c>
      <c r="N159" s="277">
        <v>46204.473391203705</v>
      </c>
      <c r="O159" s="80">
        <v>46204.309155092589</v>
      </c>
      <c r="P159" s="80">
        <v>46204.360763888886</v>
      </c>
      <c r="Q159" s="78" t="s">
        <v>498</v>
      </c>
      <c r="R159" s="78" t="s">
        <v>267</v>
      </c>
      <c r="S159" s="78" t="s">
        <v>147</v>
      </c>
      <c r="T159" s="78"/>
      <c r="U159" s="78" t="s">
        <v>371</v>
      </c>
      <c r="V159" s="78"/>
      <c r="W159" s="78"/>
      <c r="X159" s="78"/>
      <c r="Y159" s="78"/>
      <c r="Z159" s="167">
        <f t="shared" ca="1" si="20"/>
        <v>2.9134606481505525</v>
      </c>
      <c r="AA159" s="168">
        <f t="shared" ca="1" si="21"/>
        <v>7.76922839506814</v>
      </c>
      <c r="AB159" s="167">
        <f t="shared" ca="1" si="22"/>
        <v>2.9134606481505525</v>
      </c>
      <c r="AC159" s="168">
        <f t="shared" ca="1" si="23"/>
        <v>7.76922839506814</v>
      </c>
      <c r="AD159" s="191">
        <f t="shared" ca="1" si="24"/>
        <v>0.17583333333216922</v>
      </c>
      <c r="AE159" s="167">
        <f t="shared" ca="1" si="25"/>
        <v>2.9134606481505525</v>
      </c>
      <c r="AF159" s="168">
        <f t="shared" ca="1" si="26"/>
        <v>7.76922839506814</v>
      </c>
      <c r="AG159" s="168">
        <f t="shared" ca="1" si="27"/>
        <v>7.76922839506814</v>
      </c>
      <c r="AH159" s="81" t="str" cm="1">
        <f t="array" aca="1" ref="AH159" ca="1">IF((AD159) &lt; (INDEX(ResponseSLA[#All],(MATCH((G159),ResponseSLA[Priority],0))+1,3)),"YES","No")</f>
        <v>YES</v>
      </c>
      <c r="AI159" s="81" t="str">
        <f ca="1">_xlfn.IFNA(IF(AE159 &lt; (INDEX(SLATable[Minimum SLA],MATCH(G159,SLATable[Priority],0))),"YES","NO"),"")</f>
        <v>NO</v>
      </c>
      <c r="AJ159" s="19" t="str">
        <f ca="1">_xlfn.IFNA(IF(AE159 &lt; (INDEX(SLATable[Maximum SLA],MATCH(G159,SLATable[Priority],0))),"YES","NO"),"")</f>
        <v>NO</v>
      </c>
    </row>
    <row r="160" spans="1:36" ht="15" customHeight="1">
      <c r="A160" s="78">
        <v>159</v>
      </c>
      <c r="B160" s="78" t="s">
        <v>26</v>
      </c>
      <c r="C160" s="78" t="s">
        <v>31</v>
      </c>
      <c r="D160" s="78" t="s">
        <v>208</v>
      </c>
      <c r="E160" s="78" t="s">
        <v>715</v>
      </c>
      <c r="F160" s="78" t="s">
        <v>30</v>
      </c>
      <c r="G160" s="78" t="s">
        <v>208</v>
      </c>
      <c r="H160" s="86" t="s">
        <v>716</v>
      </c>
      <c r="I160" s="78" t="s">
        <v>271</v>
      </c>
      <c r="J160" s="86" t="s">
        <v>393</v>
      </c>
      <c r="K160" s="277">
        <v>46197.670694444445</v>
      </c>
      <c r="L160" s="277">
        <v>46197.670694444445</v>
      </c>
      <c r="M160" s="277">
        <v>46197.671631944446</v>
      </c>
      <c r="N160" s="277">
        <v>46218.223819444444</v>
      </c>
      <c r="O160" s="80">
        <v>46212.458807870367</v>
      </c>
      <c r="P160" s="277">
        <v>46218.223819444444</v>
      </c>
      <c r="Q160" s="78" t="s">
        <v>495</v>
      </c>
      <c r="R160" s="78" t="s">
        <v>267</v>
      </c>
      <c r="S160" s="78" t="s">
        <v>179</v>
      </c>
      <c r="T160" s="78"/>
      <c r="U160" s="78" t="s">
        <v>371</v>
      </c>
      <c r="V160" s="78"/>
      <c r="W160" s="78"/>
      <c r="X160" s="78"/>
      <c r="Y160" s="78"/>
      <c r="Z160" s="167">
        <f t="shared" ca="1" si="20"/>
        <v>3.9131134259223477</v>
      </c>
      <c r="AA160" s="168">
        <f t="shared" ca="1" si="21"/>
        <v>10.434969135792928</v>
      </c>
      <c r="AB160" s="167">
        <f t="shared" ca="1" si="22"/>
        <v>3.9131134259223477</v>
      </c>
      <c r="AC160" s="168">
        <f t="shared" ca="1" si="23"/>
        <v>10.434969135792928</v>
      </c>
      <c r="AD160" s="191">
        <f t="shared" ca="1" si="24"/>
        <v>9.3750000087311491E-4</v>
      </c>
      <c r="AE160" s="167">
        <f t="shared" ca="1" si="25"/>
        <v>3.9131134259223477</v>
      </c>
      <c r="AF160" s="168">
        <f t="shared" ca="1" si="26"/>
        <v>10.434969135792928</v>
      </c>
      <c r="AG160" s="168">
        <f t="shared" ca="1" si="27"/>
        <v>10.434969135792928</v>
      </c>
      <c r="AH160" s="81" t="str" cm="1">
        <f t="array" aca="1" ref="AH160" ca="1">IF((AD160) &lt; (INDEX(ResponseSLA[#All],(MATCH((G160),ResponseSLA[Priority],0))+1,3)),"YES","No")</f>
        <v>YES</v>
      </c>
      <c r="AI160" s="81" t="str">
        <f ca="1">_xlfn.IFNA(IF(AE160 &lt; (INDEX(SLATable[Minimum SLA],MATCH(G160,SLATable[Priority],0))),"YES","NO"),"")</f>
        <v>NO</v>
      </c>
      <c r="AJ160" s="19" t="str">
        <f ca="1">_xlfn.IFNA(IF(AE160 &lt; (INDEX(SLATable[Maximum SLA],MATCH(G160,SLATable[Priority],0))),"YES","NO"),"")</f>
        <v>NO</v>
      </c>
    </row>
    <row r="161" spans="1:36" ht="15" customHeight="1">
      <c r="A161" s="78">
        <v>160</v>
      </c>
      <c r="B161" s="78" t="s">
        <v>26</v>
      </c>
      <c r="C161" s="78" t="s">
        <v>31</v>
      </c>
      <c r="D161" s="78" t="s">
        <v>208</v>
      </c>
      <c r="E161" s="78" t="s">
        <v>717</v>
      </c>
      <c r="F161" s="78" t="s">
        <v>30</v>
      </c>
      <c r="G161" s="78" t="s">
        <v>208</v>
      </c>
      <c r="H161" s="86" t="s">
        <v>718</v>
      </c>
      <c r="I161" s="78" t="s">
        <v>271</v>
      </c>
      <c r="J161" s="86" t="s">
        <v>393</v>
      </c>
      <c r="K161" s="277">
        <v>46196.4450462963</v>
      </c>
      <c r="L161" s="277">
        <v>46196.4450462963</v>
      </c>
      <c r="M161" s="277">
        <v>46196.445868055554</v>
      </c>
      <c r="N161" s="277">
        <v>46204.313969907409</v>
      </c>
      <c r="O161" s="80"/>
      <c r="P161" s="80"/>
      <c r="Q161" s="78" t="s">
        <v>719</v>
      </c>
      <c r="R161" s="78" t="s">
        <v>267</v>
      </c>
      <c r="S161" s="78" t="s">
        <v>155</v>
      </c>
      <c r="T161" s="78"/>
      <c r="U161" s="78" t="s">
        <v>371</v>
      </c>
      <c r="V161" s="78"/>
      <c r="W161" s="78"/>
      <c r="X161" s="78"/>
      <c r="Y161" s="78"/>
      <c r="Z161" s="167">
        <f t="shared" ca="1" si="20"/>
        <v>2.1382870370337823</v>
      </c>
      <c r="AA161" s="168">
        <f t="shared" ca="1" si="21"/>
        <v>5.7020987654234192</v>
      </c>
      <c r="AB161" s="167">
        <f t="shared" ca="1" si="22"/>
        <v>2.1382870370337823</v>
      </c>
      <c r="AC161" s="168">
        <f t="shared" ca="1" si="23"/>
        <v>5.7020987654234192</v>
      </c>
      <c r="AD161" s="191">
        <f t="shared" ca="1" si="24"/>
        <v>8.2175925490446389E-4</v>
      </c>
      <c r="AE161" s="167">
        <f t="shared" ca="1" si="25"/>
        <v>2.1382870370337823</v>
      </c>
      <c r="AF161" s="168">
        <f t="shared" ca="1" si="26"/>
        <v>5.7020987654234192</v>
      </c>
      <c r="AG161" s="168">
        <f t="shared" ca="1" si="27"/>
        <v>5.7020987654234192</v>
      </c>
      <c r="AH161" s="81" t="str" cm="1">
        <f t="array" aca="1" ref="AH161" ca="1">IF((AD161) &lt; (INDEX(ResponseSLA[#All],(MATCH((G161),ResponseSLA[Priority],0))+1,3)),"YES","No")</f>
        <v>YES</v>
      </c>
      <c r="AI161" s="81" t="str">
        <f ca="1">_xlfn.IFNA(IF(AE161 &lt; (INDEX(SLATable[Minimum SLA],MATCH(G161,SLATable[Priority],0))),"YES","NO"),"")</f>
        <v>NO</v>
      </c>
      <c r="AJ161" s="19" t="str">
        <f ca="1">_xlfn.IFNA(IF(AE161 &lt; (INDEX(SLATable[Maximum SLA],MATCH(G161,SLATable[Priority],0))),"YES","NO"),"")</f>
        <v>NO</v>
      </c>
    </row>
    <row r="162" spans="1:36" ht="15" customHeight="1">
      <c r="A162" s="78">
        <v>161</v>
      </c>
      <c r="B162" s="78" t="s">
        <v>26</v>
      </c>
      <c r="C162" s="78" t="s">
        <v>31</v>
      </c>
      <c r="D162" s="78" t="s">
        <v>208</v>
      </c>
      <c r="E162" s="78" t="s">
        <v>720</v>
      </c>
      <c r="F162" s="78" t="s">
        <v>30</v>
      </c>
      <c r="G162" s="78" t="s">
        <v>208</v>
      </c>
      <c r="H162" s="86" t="s">
        <v>721</v>
      </c>
      <c r="I162" s="78" t="s">
        <v>271</v>
      </c>
      <c r="J162" s="86" t="s">
        <v>389</v>
      </c>
      <c r="K162" s="277">
        <v>46196.439965277779</v>
      </c>
      <c r="L162" s="277">
        <v>46196.439965277779</v>
      </c>
      <c r="M162" s="277">
        <v>46196.441423611112</v>
      </c>
      <c r="N162" s="277">
        <v>46203.627743055556</v>
      </c>
      <c r="O162" s="80">
        <v>46196.445648148147</v>
      </c>
      <c r="P162" s="80">
        <v>46203.524918981479</v>
      </c>
      <c r="Q162" s="78" t="s">
        <v>498</v>
      </c>
      <c r="R162" s="78" t="s">
        <v>267</v>
      </c>
      <c r="S162" s="78" t="s">
        <v>179</v>
      </c>
      <c r="T162" s="78"/>
      <c r="U162" s="78" t="s">
        <v>371</v>
      </c>
      <c r="V162" s="78"/>
      <c r="W162" s="78"/>
      <c r="X162" s="78"/>
      <c r="Y162" s="78"/>
      <c r="Z162" s="167">
        <f t="shared" ref="Z162:Z181" ca="1" si="28">IF(NOT(OR(G162=1,G162=2)),MAX(0,_xlfn.IFS(AND(K162&lt;&gt;"",N162&lt;&gt;""),((MAX(NETWORKDAYS(K162,N162,UKBankHolidays)-1,0))*(TIME(17,0,0)-TIME(8,0,0))+IF(NETWORKDAYS(N162,N162,UKBankHolidays)&gt;0,MEDIAN(TIME(8,0,0),MOD(N162,1),TIME(17,0,0)),TIME(8,0,0))-IF(NETWORKDAYS(K162,K162,UKBankHolidays)&gt;0,MEDIAN(TIME(8,0,0),MOD(K162,1),TIME(17,0,0)),TIME(8,0,0)))-IF(AND(O162&lt;&gt;"",P162&lt;&gt;""),((MAX(NETWORKDAYS(O162,P162,UKBankHolidays)-1,0))*(TIME(17,0,0)-TIME(8,0,0))+IF(NETWORKDAYS(P162,P162,UKBankHolidays)&gt;0,MEDIAN(TIME(8,0,0),MOD(P162,1),TIME(17,0,0)),TIME(8,0,0))-IF(NETWORKDAYS(O162,O162,UKBankHolidays)&gt;0,MEDIAN(TIME(8,0,0),MOD(O162,1),TIME(17,0,0)),TIME(8,0,0))),0),AND(K162&lt;&gt;"",N162=""),((MAX(NETWORKDAYS(K162,NOW(),UKBankHolidays)-1,0))*(TIME(17,0,0)-TIME(8,0,0))+IF(NETWORKDAYS(NOW(),NOW(),UKBankHolidays)&gt;0,MEDIAN(TIME(8,0,0),MOD(NOW(),1),TIME(17,0,0)),TIME(8,0,0))-IF(NETWORKDAYS(K162,K162,UKBankHolidays)&gt;0,MEDIAN(TIME(8,0,0),MOD(K162,1),TIME(17,0,0)),TIME(8,0,0))))),IF(N162="",NOW()-K162,N162-K162))</f>
        <v>0.10850694444525288</v>
      </c>
      <c r="AA162" s="168">
        <f t="shared" ca="1" si="21"/>
        <v>0.28935185185400769</v>
      </c>
      <c r="AB162" s="167">
        <f t="shared" ref="AB162:AB181" ca="1" si="29">IF(NOT(OR(G162=1,G162=2)),MAX(0,_xlfn.IFS(AND(K162&lt;&gt;"",N162&lt;&gt;""),(((MAX(NETWORKDAYS(L162,N162,UKBankHolidays)-1,0))*(TIME(17,0,0)-TIME(8,0,0)))+IF(NETWORKDAYS(N162,N162,UKBankHolidays)&gt;0,MEDIAN(TIME(8,0,0),MOD(N162,1),TIME(17,0,0)),TIME(8,0,0))-IF(NETWORKDAYS(L162,L162,UKBankHolidays)&gt;0,MEDIAN(TIME(8,0,0),MOD(L162,1),TIME(17,0,0)),TIME(8,0,0)))-IF(AND(O162&lt;&gt;"",P162&lt;&gt;""),(((MAX(NETWORKDAYS(O162,P162,UKBankHolidays)-1,0))*(TIME(17,0,0)-TIME(8,0,0)))+IF(NETWORKDAYS(P162,P162,UKBankHolidays)&gt;0,MEDIAN(TIME(8,0,0),MOD(P162,1),TIME(17,0,0)),TIME(8,0,0))-IF(NETWORKDAYS(O162,O162,UKBankHolidays)&gt;0,MEDIAN(TIME(8,0,0),MOD(O162,1),TIME(17,0,0)),TIME(8,0,0))),0),AND(L162&lt;&gt;"",N162="",O162=""),(((MAX(NETWORKDAYS(L162,NOW(),UKBankHolidays)-1,0))*(TIME(17,0,0)-TIME(8,0,0)))+IF(NETWORKDAYS(NOW(),NOW(),UKBankHolidays)&gt;0,MEDIAN(TIME(8,0,0),MOD(NOW(),1),TIME(17,0,0)),TIME(8,0,0))-IF(NETWORKDAYS(L162,L162,UKBankHolidays)&gt;0,MEDIAN(TIME(8,0,0),MOD(L162,1),TIME(17,0,0)),TIME(8,0,0)))-IF(AND(O162&lt;&gt;"",P162&lt;&gt;""),(((MAX(NETWORKDAYS(O162,P162,UKBankHolidays)-1,0))*(TIME(17,0,0)-TIME(8,0,0)))+IF(NETWORKDAYS(P162,P162,UKBankHolidays)&gt;0,MEDIAN(TIME(8,0,0),MOD(P162,1),TIME(17,0,0)),TIME(8,0,0))-IF(NETWORKDAYS(O162,O162,UKBankHolidays)&gt;0,MEDIAN(TIME(8,0,0),MOD(O162,1),TIME(17,0,0)),TIME(8,0,0))),0),AND(L162&lt;&gt;"",N162="",P162="",O162&lt;&gt;""),(((MAX(NETWORKDAYS(L162,O162,UKBankHolidays)-1,0))*(TIME(17,0,0)-TIME(8,0,0)))+IF(NETWORKDAYS(O162,O162,UKBankHolidays)&gt;0,MEDIAN(TIME(8,0,0),MOD(O162,1),TIME(17,0,0)),TIME(8,0,0))-IF(NETWORKDAYS(L162,L162,UKBankHolidays)&gt;0,MEDIAN(TIME(8,0,0),MOD(L162,1),TIME(17,0,0)),TIME(8,0,0))),ISBLANK(K162),"0")),IF(ISBLANK(N162),NOW()-L162,N162-L162))</f>
        <v>0.10850694444525288</v>
      </c>
      <c r="AC162" s="168">
        <f t="shared" ca="1" si="23"/>
        <v>0.28935185185400769</v>
      </c>
      <c r="AD162" s="191">
        <f t="shared" ca="1" si="24"/>
        <v>1.4583333322661929E-3</v>
      </c>
      <c r="AE162" s="167">
        <f t="shared" ca="1" si="25"/>
        <v>0.10850694444525288</v>
      </c>
      <c r="AF162" s="168">
        <f t="shared" ca="1" si="26"/>
        <v>0.28935185185400769</v>
      </c>
      <c r="AG162" s="168">
        <f t="shared" ca="1" si="27"/>
        <v>0.28935185185400769</v>
      </c>
      <c r="AH162" s="81" t="str" cm="1">
        <f t="array" aca="1" ref="AH162" ca="1">IF((AD162) &lt; (INDEX(ResponseSLA[#All],(MATCH((G162),ResponseSLA[Priority],0))+1,3)),"YES","No")</f>
        <v>YES</v>
      </c>
      <c r="AI162" s="81" t="str">
        <f ca="1">_xlfn.IFNA(IF(AE162 &lt; (INDEX(SLATable[Minimum SLA],MATCH(G162,SLATable[Priority],0))),"YES","NO"),"")</f>
        <v>YES</v>
      </c>
      <c r="AJ162" s="19" t="str">
        <f ca="1">_xlfn.IFNA(IF(AE162 &lt; (INDEX(SLATable[Maximum SLA],MATCH(G162,SLATable[Priority],0))),"YES","NO"),"")</f>
        <v>YES</v>
      </c>
    </row>
    <row r="163" spans="1:36" ht="15" customHeight="1">
      <c r="A163" s="78">
        <v>162</v>
      </c>
      <c r="B163" s="78" t="s">
        <v>26</v>
      </c>
      <c r="C163" s="78" t="s">
        <v>31</v>
      </c>
      <c r="D163" s="78" t="s">
        <v>208</v>
      </c>
      <c r="E163" s="78" t="s">
        <v>722</v>
      </c>
      <c r="F163" s="78" t="s">
        <v>30</v>
      </c>
      <c r="G163" s="78" t="s">
        <v>208</v>
      </c>
      <c r="H163" s="86" t="s">
        <v>723</v>
      </c>
      <c r="I163" s="78" t="s">
        <v>271</v>
      </c>
      <c r="J163" s="86" t="s">
        <v>393</v>
      </c>
      <c r="K163" s="277">
        <v>46192.589942129627</v>
      </c>
      <c r="L163" s="277">
        <v>46192.589942129627</v>
      </c>
      <c r="M163" s="277">
        <v>46195.291273148148</v>
      </c>
      <c r="N163" s="277">
        <v>46218.223587962966</v>
      </c>
      <c r="O163" s="80">
        <v>46204.559363425928</v>
      </c>
      <c r="P163" s="277">
        <v>46218.223587962966</v>
      </c>
      <c r="Q163" s="78" t="s">
        <v>495</v>
      </c>
      <c r="R163" s="78" t="s">
        <v>267</v>
      </c>
      <c r="S163" s="78" t="s">
        <v>179</v>
      </c>
      <c r="T163" s="78"/>
      <c r="U163" s="78" t="s">
        <v>371</v>
      </c>
      <c r="V163" s="78"/>
      <c r="W163" s="78"/>
      <c r="X163" s="78"/>
      <c r="Y163" s="78"/>
      <c r="Z163" s="167">
        <f t="shared" ca="1" si="28"/>
        <v>2.9694212963004247</v>
      </c>
      <c r="AA163" s="168">
        <f t="shared" ca="1" si="21"/>
        <v>7.9184567901344662</v>
      </c>
      <c r="AB163" s="167">
        <f t="shared" ca="1" si="29"/>
        <v>2.9694212963004247</v>
      </c>
      <c r="AC163" s="168">
        <f t="shared" ca="1" si="23"/>
        <v>7.9184567901344662</v>
      </c>
      <c r="AD163" s="191">
        <f t="shared" ca="1" si="24"/>
        <v>0.11839120370617218</v>
      </c>
      <c r="AE163" s="167">
        <f t="shared" ca="1" si="25"/>
        <v>2.9694212963004247</v>
      </c>
      <c r="AF163" s="168">
        <f t="shared" ca="1" si="26"/>
        <v>7.9184567901344662</v>
      </c>
      <c r="AG163" s="168">
        <f t="shared" ca="1" si="27"/>
        <v>7.9184567901344662</v>
      </c>
      <c r="AH163" s="81" t="str" cm="1">
        <f t="array" aca="1" ref="AH163" ca="1">IF((AD163) &lt; (INDEX(ResponseSLA[#All],(MATCH((G163),ResponseSLA[Priority],0))+1,3)),"YES","No")</f>
        <v>YES</v>
      </c>
      <c r="AI163" s="81" t="str">
        <f ca="1">_xlfn.IFNA(IF(AE163 &lt; (INDEX(SLATable[Minimum SLA],MATCH(G163,SLATable[Priority],0))),"YES","NO"),"")</f>
        <v>NO</v>
      </c>
      <c r="AJ163" s="19" t="str">
        <f ca="1">_xlfn.IFNA(IF(AE163 &lt; (INDEX(SLATable[Maximum SLA],MATCH(G163,SLATable[Priority],0))),"YES","NO"),"")</f>
        <v>NO</v>
      </c>
    </row>
    <row r="164" spans="1:36" ht="15" customHeight="1">
      <c r="A164" s="78">
        <v>163</v>
      </c>
      <c r="B164" s="78" t="s">
        <v>26</v>
      </c>
      <c r="C164" s="78" t="s">
        <v>33</v>
      </c>
      <c r="D164" s="78" t="s">
        <v>208</v>
      </c>
      <c r="E164" s="78" t="s">
        <v>724</v>
      </c>
      <c r="F164" s="78" t="s">
        <v>274</v>
      </c>
      <c r="G164" s="78" t="s">
        <v>208</v>
      </c>
      <c r="H164" s="99" t="s">
        <v>725</v>
      </c>
      <c r="I164" s="78" t="s">
        <v>275</v>
      </c>
      <c r="J164" s="86" t="s">
        <v>467</v>
      </c>
      <c r="K164" s="277">
        <v>46188.456250000003</v>
      </c>
      <c r="L164" s="277">
        <v>46188.456250000003</v>
      </c>
      <c r="M164" s="277">
        <v>46188.472222222219</v>
      </c>
      <c r="N164" s="277">
        <v>46188.541145833333</v>
      </c>
      <c r="O164" s="80"/>
      <c r="P164" s="80"/>
      <c r="Q164" s="78" t="s">
        <v>726</v>
      </c>
      <c r="R164" s="78" t="s">
        <v>272</v>
      </c>
      <c r="S164" s="78" t="s">
        <v>175</v>
      </c>
      <c r="T164" s="78"/>
      <c r="U164" s="78" t="s">
        <v>371</v>
      </c>
      <c r="V164" s="78"/>
      <c r="W164" s="78"/>
      <c r="X164" s="78"/>
      <c r="Y164" s="78"/>
      <c r="Z164" s="167">
        <f t="shared" ca="1" si="28"/>
        <v>8.4895833329937886E-2</v>
      </c>
      <c r="AA164" s="168">
        <f t="shared" ca="1" si="21"/>
        <v>0.22638888887983435</v>
      </c>
      <c r="AB164" s="167">
        <f t="shared" ca="1" si="29"/>
        <v>8.4895833329937886E-2</v>
      </c>
      <c r="AC164" s="168">
        <f t="shared" ca="1" si="23"/>
        <v>0.22638888887983435</v>
      </c>
      <c r="AD164" s="191">
        <f t="shared" ca="1" si="24"/>
        <v>1.597222221607808E-2</v>
      </c>
      <c r="AE164" s="167">
        <f t="shared" ca="1" si="25"/>
        <v>8.4895833329937886E-2</v>
      </c>
      <c r="AF164" s="168">
        <f t="shared" ca="1" si="26"/>
        <v>0.22638888887983435</v>
      </c>
      <c r="AG164" s="168">
        <f t="shared" ca="1" si="27"/>
        <v>0.22638888887983435</v>
      </c>
      <c r="AH164" s="81" t="str" cm="1">
        <f t="array" aca="1" ref="AH164" ca="1">IF((AD164) &lt; (INDEX(ResponseSLA[#All],(MATCH((G164),ResponseSLA[Priority],0))+1,3)),"YES","No")</f>
        <v>YES</v>
      </c>
      <c r="AI164" s="81" t="str">
        <f ca="1">_xlfn.IFNA(IF(AE164 &lt; (INDEX(SLATable[Minimum SLA],MATCH(G164,SLATable[Priority],0))),"YES","NO"),"")</f>
        <v>YES</v>
      </c>
      <c r="AJ164" s="19" t="str">
        <f ca="1">_xlfn.IFNA(IF(AE164 &lt; (INDEX(SLATable[Maximum SLA],MATCH(G164,SLATable[Priority],0))),"YES","NO"),"")</f>
        <v>YES</v>
      </c>
    </row>
    <row r="165" spans="1:36" ht="15" customHeight="1">
      <c r="A165" s="78">
        <v>164</v>
      </c>
      <c r="B165" s="78" t="s">
        <v>26</v>
      </c>
      <c r="C165" s="78" t="s">
        <v>33</v>
      </c>
      <c r="D165" s="78" t="s">
        <v>207</v>
      </c>
      <c r="E165" s="78" t="s">
        <v>727</v>
      </c>
      <c r="F165" s="78" t="s">
        <v>274</v>
      </c>
      <c r="G165" s="78">
        <v>4</v>
      </c>
      <c r="H165" s="203" t="s">
        <v>728</v>
      </c>
      <c r="I165" s="78" t="s">
        <v>275</v>
      </c>
      <c r="J165" s="86" t="s">
        <v>694</v>
      </c>
      <c r="K165" s="277">
        <v>46199.771527777775</v>
      </c>
      <c r="L165" s="277">
        <v>46202.688888888886</v>
      </c>
      <c r="M165" s="277">
        <v>46202.705555555556</v>
      </c>
      <c r="N165" s="277">
        <v>46202.788194444445</v>
      </c>
      <c r="O165" s="80"/>
      <c r="P165" s="80"/>
      <c r="Q165" s="78" t="s">
        <v>729</v>
      </c>
      <c r="R165" s="78" t="s">
        <v>272</v>
      </c>
      <c r="S165" s="78" t="s">
        <v>175</v>
      </c>
      <c r="T165" s="78"/>
      <c r="U165" s="78" t="s">
        <v>371</v>
      </c>
      <c r="V165" s="78"/>
      <c r="W165" s="78"/>
      <c r="X165" s="78"/>
      <c r="Y165" s="78"/>
      <c r="Z165" s="167">
        <f t="shared" ca="1" si="28"/>
        <v>0.37500000000000011</v>
      </c>
      <c r="AA165" s="168">
        <f t="shared" ca="1" si="21"/>
        <v>1.0000000000000004</v>
      </c>
      <c r="AB165" s="167">
        <f t="shared" ca="1" si="29"/>
        <v>1.9444444447193177E-2</v>
      </c>
      <c r="AC165" s="168">
        <f t="shared" ca="1" si="23"/>
        <v>5.1851851859181806E-2</v>
      </c>
      <c r="AD165" s="191">
        <f t="shared" ca="1" si="24"/>
        <v>1.6666666670062114E-2</v>
      </c>
      <c r="AE165" s="167">
        <f t="shared" ca="1" si="25"/>
        <v>1.9444444447193177E-2</v>
      </c>
      <c r="AF165" s="168">
        <f t="shared" ca="1" si="26"/>
        <v>5.1851851859181806E-2</v>
      </c>
      <c r="AG165" s="168">
        <f t="shared" ca="1" si="27"/>
        <v>5.1851851859181806E-2</v>
      </c>
      <c r="AH165" s="81" t="str" cm="1">
        <f t="array" aca="1" ref="AH165" ca="1">IF((AD165) &lt; (INDEX(ResponseSLA[#All],(MATCH((G165),ResponseSLA[Priority],0))+1,3)),"YES","No")</f>
        <v>YES</v>
      </c>
      <c r="AI165" s="81" t="str">
        <f ca="1">_xlfn.IFNA(IF(AE165 &lt; (INDEX(SLATable[Minimum SLA],MATCH(G165,SLATable[Priority],0))),"YES","NO"),"")</f>
        <v>YES</v>
      </c>
      <c r="AJ165" s="19" t="str">
        <f ca="1">_xlfn.IFNA(IF(AE165 &lt; (INDEX(SLATable[Maximum SLA],MATCH(G165,SLATable[Priority],0))),"YES","NO"),"")</f>
        <v>YES</v>
      </c>
    </row>
    <row r="166" spans="1:36" ht="15" customHeight="1">
      <c r="A166" s="78">
        <v>165</v>
      </c>
      <c r="B166" s="78" t="s">
        <v>26</v>
      </c>
      <c r="C166" s="78" t="s">
        <v>33</v>
      </c>
      <c r="D166" s="78" t="s">
        <v>207</v>
      </c>
      <c r="E166" s="78" t="s">
        <v>730</v>
      </c>
      <c r="F166" s="78" t="s">
        <v>284</v>
      </c>
      <c r="G166" s="78">
        <v>3</v>
      </c>
      <c r="H166" s="86" t="s">
        <v>731</v>
      </c>
      <c r="I166" s="78" t="s">
        <v>271</v>
      </c>
      <c r="J166" s="86" t="s">
        <v>646</v>
      </c>
      <c r="K166" s="277">
        <v>46202.640428240738</v>
      </c>
      <c r="L166" s="277">
        <v>46202.692199074074</v>
      </c>
      <c r="M166" s="277">
        <v>46202.692199074074</v>
      </c>
      <c r="N166" s="277">
        <v>46203.259525462963</v>
      </c>
      <c r="O166" s="80"/>
      <c r="P166" s="80"/>
      <c r="Q166" s="78" t="s">
        <v>523</v>
      </c>
      <c r="R166" s="78" t="s">
        <v>267</v>
      </c>
      <c r="S166" s="78" t="s">
        <v>193</v>
      </c>
      <c r="T166" s="78"/>
      <c r="U166" s="78" t="s">
        <v>371</v>
      </c>
      <c r="V166" s="78"/>
      <c r="W166" s="78"/>
      <c r="X166" s="78"/>
      <c r="Y166" s="78"/>
      <c r="Z166" s="167">
        <f t="shared" ca="1" si="28"/>
        <v>6.7905092594931715E-2</v>
      </c>
      <c r="AA166" s="168">
        <f t="shared" ca="1" si="21"/>
        <v>0.18108024691981792</v>
      </c>
      <c r="AB166" s="167">
        <f t="shared" ca="1" si="29"/>
        <v>1.6134259259464101E-2</v>
      </c>
      <c r="AC166" s="168">
        <f t="shared" ca="1" si="23"/>
        <v>4.3024691358570934E-2</v>
      </c>
      <c r="AD166" s="191">
        <f t="shared" ca="1" si="24"/>
        <v>0</v>
      </c>
      <c r="AE166" s="167">
        <f t="shared" ca="1" si="25"/>
        <v>1.6134259259464101E-2</v>
      </c>
      <c r="AF166" s="168">
        <f t="shared" ca="1" si="26"/>
        <v>4.3024691358570934E-2</v>
      </c>
      <c r="AG166" s="168">
        <f t="shared" ca="1" si="27"/>
        <v>4.3024691358570934E-2</v>
      </c>
      <c r="AH166" s="81" t="str" cm="1">
        <f t="array" aca="1" ref="AH166" ca="1">IF((AD166) &lt; (INDEX(ResponseSLA[#All],(MATCH((G166),ResponseSLA[Priority],0))+1,3)),"YES","No")</f>
        <v>YES</v>
      </c>
      <c r="AI166" s="81" t="str">
        <f ca="1">_xlfn.IFNA(IF(AE166 &lt; (INDEX(SLATable[Minimum SLA],MATCH(G166,SLATable[Priority],0))),"YES","NO"),"")</f>
        <v>YES</v>
      </c>
      <c r="AJ166" s="19" t="str">
        <f ca="1">_xlfn.IFNA(IF(AE166 &lt; (INDEX(SLATable[Maximum SLA],MATCH(G166,SLATable[Priority],0))),"YES","NO"),"")</f>
        <v>YES</v>
      </c>
    </row>
    <row r="167" spans="1:36" ht="15" customHeight="1">
      <c r="A167" s="78">
        <v>166</v>
      </c>
      <c r="B167" s="78" t="s">
        <v>26</v>
      </c>
      <c r="C167" s="78" t="s">
        <v>33</v>
      </c>
      <c r="D167" s="78" t="s">
        <v>207</v>
      </c>
      <c r="E167" s="78" t="s">
        <v>732</v>
      </c>
      <c r="F167" s="78" t="s">
        <v>284</v>
      </c>
      <c r="G167" s="78">
        <v>3</v>
      </c>
      <c r="H167" s="86" t="s">
        <v>733</v>
      </c>
      <c r="I167" s="78" t="s">
        <v>271</v>
      </c>
      <c r="J167" s="86" t="s">
        <v>646</v>
      </c>
      <c r="K167" s="394">
        <v>46203.671006944445</v>
      </c>
      <c r="L167" s="394">
        <v>46203.693819444445</v>
      </c>
      <c r="M167" s="277">
        <v>46204.226527777777</v>
      </c>
      <c r="N167" s="277">
        <v>46204.645520833335</v>
      </c>
      <c r="O167" s="80"/>
      <c r="P167" s="80"/>
      <c r="Q167" s="78" t="s">
        <v>523</v>
      </c>
      <c r="R167" s="78" t="s">
        <v>267</v>
      </c>
      <c r="S167" s="78" t="s">
        <v>193</v>
      </c>
      <c r="T167" s="78"/>
      <c r="U167" s="78" t="s">
        <v>371</v>
      </c>
      <c r="V167" s="78"/>
      <c r="W167" s="78"/>
      <c r="X167" s="78"/>
      <c r="Y167" s="78"/>
      <c r="Z167" s="167">
        <f t="shared" ca="1" si="28"/>
        <v>0.34951388889021473</v>
      </c>
      <c r="AA167" s="168">
        <f t="shared" ca="1" si="21"/>
        <v>0.93203703704057261</v>
      </c>
      <c r="AB167" s="167">
        <f t="shared" ca="1" si="29"/>
        <v>0.32670138889079681</v>
      </c>
      <c r="AC167" s="168">
        <f t="shared" ca="1" si="23"/>
        <v>0.87120370370879152</v>
      </c>
      <c r="AD167" s="191">
        <f t="shared" ca="1" si="24"/>
        <v>1.4513888888662563E-2</v>
      </c>
      <c r="AE167" s="167">
        <f t="shared" ca="1" si="25"/>
        <v>0.32670138889079681</v>
      </c>
      <c r="AF167" s="168">
        <f t="shared" ca="1" si="26"/>
        <v>0.87120370370879152</v>
      </c>
      <c r="AG167" s="168">
        <f t="shared" ca="1" si="27"/>
        <v>0.87120370370879152</v>
      </c>
      <c r="AH167" s="81" t="str" cm="1">
        <f t="array" aca="1" ref="AH167" ca="1">IF((AD167) &lt; (INDEX(ResponseSLA[#All],(MATCH((G167),ResponseSLA[Priority],0))+1,3)),"YES","No")</f>
        <v>YES</v>
      </c>
      <c r="AI167" s="81" t="str">
        <f ca="1">_xlfn.IFNA(IF(AE167 &lt; (INDEX(SLATable[Minimum SLA],MATCH(G167,SLATable[Priority],0))),"YES","NO"),"")</f>
        <v>YES</v>
      </c>
      <c r="AJ167" s="19" t="str">
        <f ca="1">_xlfn.IFNA(IF(AE167 &lt; (INDEX(SLATable[Maximum SLA],MATCH(G167,SLATable[Priority],0))),"YES","NO"),"")</f>
        <v>YES</v>
      </c>
    </row>
    <row r="168" spans="1:36" ht="15" customHeight="1">
      <c r="A168" s="78">
        <v>167</v>
      </c>
      <c r="B168" s="78" t="s">
        <v>26</v>
      </c>
      <c r="C168" s="78" t="s">
        <v>31</v>
      </c>
      <c r="D168" s="78" t="s">
        <v>207</v>
      </c>
      <c r="E168" s="78" t="s">
        <v>734</v>
      </c>
      <c r="F168" s="78" t="s">
        <v>30</v>
      </c>
      <c r="G168" s="78">
        <v>4</v>
      </c>
      <c r="H168" s="86" t="s">
        <v>735</v>
      </c>
      <c r="I168" s="78" t="s">
        <v>271</v>
      </c>
      <c r="J168" s="86" t="s">
        <v>393</v>
      </c>
      <c r="K168" s="277">
        <v>46203.591631944444</v>
      </c>
      <c r="L168" s="277">
        <v>46203.591631944444</v>
      </c>
      <c r="M168" s="277">
        <v>46204.259282407409</v>
      </c>
      <c r="N168" s="277">
        <v>46206.383703703701</v>
      </c>
      <c r="O168" s="80">
        <v>46204.26152777778</v>
      </c>
      <c r="P168" s="80">
        <v>46206.352696759262</v>
      </c>
      <c r="Q168" s="78" t="s">
        <v>703</v>
      </c>
      <c r="R168" s="78" t="s">
        <v>276</v>
      </c>
      <c r="S168" s="78" t="s">
        <v>190</v>
      </c>
      <c r="T168" s="78"/>
      <c r="U168" s="78" t="s">
        <v>371</v>
      </c>
      <c r="V168" s="78"/>
      <c r="W168" s="78"/>
      <c r="X168" s="78"/>
      <c r="Y168" s="78"/>
      <c r="Z168" s="167">
        <f t="shared" ca="1" si="28"/>
        <v>0.14770833332780375</v>
      </c>
      <c r="AA168" s="168">
        <f t="shared" ca="1" si="21"/>
        <v>0.39388888887414336</v>
      </c>
      <c r="AB168" s="167">
        <f t="shared" ca="1" si="29"/>
        <v>0.14770833332780375</v>
      </c>
      <c r="AC168" s="168">
        <f t="shared" ca="1" si="23"/>
        <v>0.39388888887414336</v>
      </c>
      <c r="AD168" s="191">
        <f t="shared" ca="1" si="24"/>
        <v>0.11670138888924464</v>
      </c>
      <c r="AE168" s="167">
        <f t="shared" ca="1" si="25"/>
        <v>0.14770833332780375</v>
      </c>
      <c r="AF168" s="168">
        <f t="shared" ca="1" si="26"/>
        <v>0.39388888887414336</v>
      </c>
      <c r="AG168" s="168">
        <f t="shared" ca="1" si="27"/>
        <v>0.39388888887414336</v>
      </c>
      <c r="AH168" s="81" t="str" cm="1">
        <f t="array" aca="1" ref="AH168" ca="1">IF((AD168) &lt; (INDEX(ResponseSLA[#All],(MATCH((G168),ResponseSLA[Priority],0))+1,3)),"YES","No")</f>
        <v>YES</v>
      </c>
      <c r="AI168" s="81" t="str">
        <f ca="1">_xlfn.IFNA(IF(AE168 &lt; (INDEX(SLATable[Minimum SLA],MATCH(G168,SLATable[Priority],0))),"YES","NO"),"")</f>
        <v>YES</v>
      </c>
      <c r="AJ168" s="19" t="str">
        <f ca="1">_xlfn.IFNA(IF(AE168 &lt; (INDEX(SLATable[Maximum SLA],MATCH(G168,SLATable[Priority],0))),"YES","NO"),"")</f>
        <v>YES</v>
      </c>
    </row>
    <row r="169" spans="1:36" ht="15" customHeight="1">
      <c r="A169" s="78">
        <v>168</v>
      </c>
      <c r="B169" s="78" t="s">
        <v>26</v>
      </c>
      <c r="C169" s="78" t="s">
        <v>33</v>
      </c>
      <c r="D169" s="78" t="s">
        <v>208</v>
      </c>
      <c r="E169" s="78" t="s">
        <v>736</v>
      </c>
      <c r="F169" s="78" t="s">
        <v>274</v>
      </c>
      <c r="G169" s="78" t="s">
        <v>208</v>
      </c>
      <c r="H169" s="99" t="s">
        <v>737</v>
      </c>
      <c r="I169" s="78" t="s">
        <v>275</v>
      </c>
      <c r="J169" s="86" t="s">
        <v>694</v>
      </c>
      <c r="K169" s="277">
        <v>46202.581250000003</v>
      </c>
      <c r="L169" s="277">
        <v>46202.581250000003</v>
      </c>
      <c r="M169" s="277">
        <v>46202.597916666666</v>
      </c>
      <c r="N169" s="277">
        <v>46203.554166666669</v>
      </c>
      <c r="O169" s="80"/>
      <c r="P169" s="80"/>
      <c r="Q169" s="78"/>
      <c r="R169" s="78"/>
      <c r="S169" s="78"/>
      <c r="T169" s="78"/>
      <c r="U169" s="78" t="s">
        <v>371</v>
      </c>
      <c r="V169" s="78"/>
      <c r="W169" s="78"/>
      <c r="X169" s="78"/>
      <c r="Y169" s="78"/>
      <c r="Z169" s="167">
        <f t="shared" ca="1" si="28"/>
        <v>0.34791666666569654</v>
      </c>
      <c r="AA169" s="168">
        <f t="shared" ca="1" si="21"/>
        <v>0.92777777777519077</v>
      </c>
      <c r="AB169" s="167">
        <f t="shared" ca="1" si="29"/>
        <v>0.34791666666569654</v>
      </c>
      <c r="AC169" s="168">
        <f t="shared" ca="1" si="23"/>
        <v>0.92777777777519077</v>
      </c>
      <c r="AD169" s="191">
        <f t="shared" ca="1" si="24"/>
        <v>1.6666666662786156E-2</v>
      </c>
      <c r="AE169" s="167">
        <f t="shared" ca="1" si="25"/>
        <v>0.34791666666569654</v>
      </c>
      <c r="AF169" s="168">
        <f t="shared" ca="1" si="26"/>
        <v>0.92777777777519077</v>
      </c>
      <c r="AG169" s="168">
        <f t="shared" ca="1" si="27"/>
        <v>0.92777777777519077</v>
      </c>
      <c r="AH169" s="81" t="str" cm="1">
        <f t="array" aca="1" ref="AH169" ca="1">IF((AD169) &lt; (INDEX(ResponseSLA[#All],(MATCH((G169),ResponseSLA[Priority],0))+1,3)),"YES","No")</f>
        <v>YES</v>
      </c>
      <c r="AI169" s="81" t="str">
        <f ca="1">_xlfn.IFNA(IF(AE169 &lt; (INDEX(SLATable[Minimum SLA],MATCH(G169,SLATable[Priority],0))),"YES","NO"),"")</f>
        <v>YES</v>
      </c>
      <c r="AJ169" s="19" t="str">
        <f ca="1">_xlfn.IFNA(IF(AE169 &lt; (INDEX(SLATable[Maximum SLA],MATCH(G169,SLATable[Priority],0))),"YES","NO"),"")</f>
        <v>YES</v>
      </c>
    </row>
    <row r="170" spans="1:36" ht="15" customHeight="1">
      <c r="A170" s="78">
        <v>169</v>
      </c>
      <c r="B170" s="78" t="s">
        <v>26</v>
      </c>
      <c r="C170" s="78" t="s">
        <v>31</v>
      </c>
      <c r="D170" s="78" t="s">
        <v>208</v>
      </c>
      <c r="E170" s="78" t="s">
        <v>738</v>
      </c>
      <c r="F170" s="78" t="s">
        <v>30</v>
      </c>
      <c r="G170" s="78" t="s">
        <v>208</v>
      </c>
      <c r="H170" s="86" t="s">
        <v>739</v>
      </c>
      <c r="I170" s="78" t="s">
        <v>271</v>
      </c>
      <c r="J170" s="86" t="s">
        <v>389</v>
      </c>
      <c r="K170" s="277">
        <v>46202.437384259261</v>
      </c>
      <c r="L170" s="277">
        <v>46202.437384259261</v>
      </c>
      <c r="M170" s="277">
        <v>46202.438831018517</v>
      </c>
      <c r="N170" s="277">
        <v>46204.318541666667</v>
      </c>
      <c r="O170" s="80">
        <v>46203.39916666667</v>
      </c>
      <c r="P170" s="80">
        <v>46204.318541666667</v>
      </c>
      <c r="Q170" s="78" t="s">
        <v>498</v>
      </c>
      <c r="R170" s="78" t="s">
        <v>267</v>
      </c>
      <c r="S170" s="78" t="s">
        <v>179</v>
      </c>
      <c r="T170" s="78"/>
      <c r="U170" s="78" t="s">
        <v>371</v>
      </c>
      <c r="V170" s="78"/>
      <c r="W170" s="78"/>
      <c r="X170" s="78"/>
      <c r="Y170" s="78"/>
      <c r="Z170" s="167">
        <f t="shared" ca="1" si="28"/>
        <v>0.33678240740846388</v>
      </c>
      <c r="AA170" s="168">
        <f t="shared" ca="1" si="21"/>
        <v>0.89808641975590375</v>
      </c>
      <c r="AB170" s="167">
        <f t="shared" ca="1" si="29"/>
        <v>0.33678240740846388</v>
      </c>
      <c r="AC170" s="168">
        <f t="shared" ca="1" si="23"/>
        <v>0.89808641975590375</v>
      </c>
      <c r="AD170" s="191">
        <f t="shared" ca="1" si="24"/>
        <v>1.4467592554865405E-3</v>
      </c>
      <c r="AE170" s="167">
        <f t="shared" ca="1" si="25"/>
        <v>0.33678240740846388</v>
      </c>
      <c r="AF170" s="168">
        <f t="shared" ca="1" si="26"/>
        <v>0.89808641975590375</v>
      </c>
      <c r="AG170" s="168">
        <f t="shared" ca="1" si="27"/>
        <v>0.89808641975590375</v>
      </c>
      <c r="AH170" s="81" t="str" cm="1">
        <f t="array" aca="1" ref="AH170" ca="1">IF((AD170) &lt; (INDEX(ResponseSLA[#All],(MATCH((G170),ResponseSLA[Priority],0))+1,3)),"YES","No")</f>
        <v>YES</v>
      </c>
      <c r="AI170" s="81" t="str">
        <f ca="1">_xlfn.IFNA(IF(AE170 &lt; (INDEX(SLATable[Minimum SLA],MATCH(G170,SLATable[Priority],0))),"YES","NO"),"")</f>
        <v>YES</v>
      </c>
      <c r="AJ170" s="19" t="str">
        <f ca="1">_xlfn.IFNA(IF(AE170 &lt; (INDEX(SLATable[Maximum SLA],MATCH(G170,SLATable[Priority],0))),"YES","NO"),"")</f>
        <v>YES</v>
      </c>
    </row>
    <row r="171" spans="1:36" ht="15" customHeight="1">
      <c r="A171" s="78">
        <v>170</v>
      </c>
      <c r="B171" s="78" t="s">
        <v>26</v>
      </c>
      <c r="C171" s="78" t="s">
        <v>31</v>
      </c>
      <c r="D171" s="78" t="s">
        <v>208</v>
      </c>
      <c r="E171" s="78" t="s">
        <v>740</v>
      </c>
      <c r="F171" s="78" t="s">
        <v>30</v>
      </c>
      <c r="G171" s="78" t="s">
        <v>208</v>
      </c>
      <c r="H171" s="86" t="s">
        <v>741</v>
      </c>
      <c r="I171" s="78" t="s">
        <v>271</v>
      </c>
      <c r="J171" s="86" t="s">
        <v>389</v>
      </c>
      <c r="K171" s="277">
        <v>46202.520879629628</v>
      </c>
      <c r="L171" s="277">
        <v>46202.520879629628</v>
      </c>
      <c r="M171" s="277">
        <v>46202.522222222222</v>
      </c>
      <c r="N171" s="277">
        <v>46203.296319444446</v>
      </c>
      <c r="O171" s="80">
        <v>46202.547662037039</v>
      </c>
      <c r="P171" s="80">
        <v>46203.296319444446</v>
      </c>
      <c r="Q171" s="78" t="s">
        <v>498</v>
      </c>
      <c r="R171" s="78" t="s">
        <v>267</v>
      </c>
      <c r="S171" s="78" t="s">
        <v>179</v>
      </c>
      <c r="T171" s="78"/>
      <c r="U171" s="78" t="s">
        <v>371</v>
      </c>
      <c r="V171" s="78"/>
      <c r="W171" s="78"/>
      <c r="X171" s="78"/>
      <c r="Y171" s="78"/>
      <c r="Z171" s="167">
        <f t="shared" ca="1" si="28"/>
        <v>2.6782407410792075E-2</v>
      </c>
      <c r="AA171" s="168">
        <f t="shared" ca="1" si="21"/>
        <v>7.1419753095445529E-2</v>
      </c>
      <c r="AB171" s="167">
        <f t="shared" ca="1" si="29"/>
        <v>2.6782407410792075E-2</v>
      </c>
      <c r="AC171" s="168">
        <f t="shared" ca="1" si="23"/>
        <v>7.1419753095445529E-2</v>
      </c>
      <c r="AD171" s="191">
        <f t="shared" ca="1" si="24"/>
        <v>1.3425925935734995E-3</v>
      </c>
      <c r="AE171" s="167">
        <f t="shared" ca="1" si="25"/>
        <v>2.6782407410792075E-2</v>
      </c>
      <c r="AF171" s="168">
        <f t="shared" ca="1" si="26"/>
        <v>7.1419753095445529E-2</v>
      </c>
      <c r="AG171" s="168">
        <f t="shared" ca="1" si="27"/>
        <v>7.1419753095445529E-2</v>
      </c>
      <c r="AH171" s="81" t="str" cm="1">
        <f t="array" aca="1" ref="AH171" ca="1">IF((AD171) &lt; (INDEX(ResponseSLA[#All],(MATCH((G171),ResponseSLA[Priority],0))+1,3)),"YES","No")</f>
        <v>YES</v>
      </c>
      <c r="AI171" s="81" t="str">
        <f ca="1">_xlfn.IFNA(IF(AE171 &lt; (INDEX(SLATable[Minimum SLA],MATCH(G171,SLATable[Priority],0))),"YES","NO"),"")</f>
        <v>YES</v>
      </c>
      <c r="AJ171" s="19" t="str">
        <f ca="1">_xlfn.IFNA(IF(AE171 &lt; (INDEX(SLATable[Maximum SLA],MATCH(G171,SLATable[Priority],0))),"YES","NO"),"")</f>
        <v>YES</v>
      </c>
    </row>
    <row r="172" spans="1:36" ht="15" customHeight="1">
      <c r="A172" s="78">
        <v>171</v>
      </c>
      <c r="B172" s="78" t="s">
        <v>26</v>
      </c>
      <c r="C172" s="78" t="s">
        <v>31</v>
      </c>
      <c r="D172" s="78" t="s">
        <v>208</v>
      </c>
      <c r="E172" s="78" t="s">
        <v>742</v>
      </c>
      <c r="F172" s="78" t="s">
        <v>30</v>
      </c>
      <c r="G172" s="78" t="s">
        <v>208</v>
      </c>
      <c r="H172" s="86" t="s">
        <v>743</v>
      </c>
      <c r="I172" s="78" t="s">
        <v>260</v>
      </c>
      <c r="J172" s="86" t="s">
        <v>389</v>
      </c>
      <c r="K172" s="277">
        <v>46202.52888888889</v>
      </c>
      <c r="L172" s="277">
        <v>46202.52888888889</v>
      </c>
      <c r="M172" s="277">
        <v>46202.537569444445</v>
      </c>
      <c r="N172" s="277"/>
      <c r="O172" s="80">
        <v>46202.539710648147</v>
      </c>
      <c r="P172" s="80">
        <v>46209.546238425923</v>
      </c>
      <c r="Q172" s="78" t="s">
        <v>706</v>
      </c>
      <c r="R172" s="78" t="s">
        <v>267</v>
      </c>
      <c r="S172" s="78" t="s">
        <v>179</v>
      </c>
      <c r="T172" s="78"/>
      <c r="U172" s="78" t="s">
        <v>371</v>
      </c>
      <c r="V172" s="78"/>
      <c r="W172" s="78"/>
      <c r="X172" s="78"/>
      <c r="Y172" s="78"/>
      <c r="Z172" s="167">
        <f t="shared" ca="1" si="28"/>
        <v>15.48008819444658</v>
      </c>
      <c r="AA172" s="168">
        <f t="shared" ca="1" si="21"/>
        <v>41.280235185190882</v>
      </c>
      <c r="AB172" s="167" t="e">
        <f t="shared" ca="1" si="29"/>
        <v>#N/A</v>
      </c>
      <c r="AC172" s="168" t="e">
        <f t="shared" ca="1" si="23"/>
        <v>#N/A</v>
      </c>
      <c r="AD172" s="191">
        <f t="shared" ca="1" si="24"/>
        <v>8.6805555547471158E-3</v>
      </c>
      <c r="AE172" s="167" t="e">
        <f t="shared" ca="1" si="25"/>
        <v>#N/A</v>
      </c>
      <c r="AF172" s="168" t="e">
        <f t="shared" ca="1" si="26"/>
        <v>#N/A</v>
      </c>
      <c r="AG172" s="168" t="e">
        <f t="shared" ca="1" si="27"/>
        <v>#N/A</v>
      </c>
      <c r="AH172" s="81" t="str" cm="1">
        <f t="array" aca="1" ref="AH172" ca="1">IF((AD172) &lt; (INDEX(ResponseSLA[#All],(MATCH((G172),ResponseSLA[Priority],0))+1,3)),"YES","No")</f>
        <v>YES</v>
      </c>
      <c r="AI172" s="81" t="str">
        <f ca="1">_xlfn.IFNA(IF(AE172 &lt; (INDEX(SLATable[Minimum SLA],MATCH(G172,SLATable[Priority],0))),"YES","NO"),"")</f>
        <v/>
      </c>
      <c r="AJ172" s="19" t="str">
        <f ca="1">_xlfn.IFNA(IF(AE172 &lt; (INDEX(SLATable[Maximum SLA],MATCH(G172,SLATable[Priority],0))),"YES","NO"),"")</f>
        <v/>
      </c>
    </row>
    <row r="173" spans="1:36" ht="15" customHeight="1">
      <c r="A173" s="78">
        <v>172</v>
      </c>
      <c r="B173" s="78" t="s">
        <v>26</v>
      </c>
      <c r="C173" s="78" t="s">
        <v>31</v>
      </c>
      <c r="D173" s="78" t="s">
        <v>208</v>
      </c>
      <c r="E173" s="78" t="s">
        <v>744</v>
      </c>
      <c r="F173" s="78" t="s">
        <v>30</v>
      </c>
      <c r="G173" s="78" t="s">
        <v>208</v>
      </c>
      <c r="H173" s="86" t="s">
        <v>745</v>
      </c>
      <c r="I173" s="78" t="s">
        <v>271</v>
      </c>
      <c r="J173" s="86" t="s">
        <v>389</v>
      </c>
      <c r="K173" s="277">
        <v>46188.563240740739</v>
      </c>
      <c r="L173" s="277">
        <v>46188.563240740739</v>
      </c>
      <c r="M173" s="277">
        <v>46188.563877314817</v>
      </c>
      <c r="N173" s="277">
        <v>46189.316388888888</v>
      </c>
      <c r="O173" s="80">
        <v>46188.566446759258</v>
      </c>
      <c r="P173" s="80">
        <v>46189.316388888888</v>
      </c>
      <c r="Q173" s="78" t="s">
        <v>498</v>
      </c>
      <c r="R173" s="78" t="s">
        <v>267</v>
      </c>
      <c r="S173" s="78" t="s">
        <v>179</v>
      </c>
      <c r="T173" s="78"/>
      <c r="U173" s="78" t="s">
        <v>371</v>
      </c>
      <c r="V173" s="78"/>
      <c r="W173" s="78"/>
      <c r="X173" s="78"/>
      <c r="Y173" s="78"/>
      <c r="Z173" s="167">
        <f t="shared" ca="1" si="28"/>
        <v>3.2060185185400769E-3</v>
      </c>
      <c r="AA173" s="168">
        <f t="shared" ca="1" si="21"/>
        <v>8.5493827161068712E-3</v>
      </c>
      <c r="AB173" s="167">
        <f t="shared" ca="1" si="29"/>
        <v>3.2060185185400769E-3</v>
      </c>
      <c r="AC173" s="168">
        <f t="shared" ca="1" si="23"/>
        <v>8.5493827161068712E-3</v>
      </c>
      <c r="AD173" s="191">
        <f t="shared" ca="1" si="24"/>
        <v>6.36574077361729E-4</v>
      </c>
      <c r="AE173" s="167">
        <f t="shared" ca="1" si="25"/>
        <v>3.2060185185400769E-3</v>
      </c>
      <c r="AF173" s="168">
        <f t="shared" ca="1" si="26"/>
        <v>8.5493827161068712E-3</v>
      </c>
      <c r="AG173" s="168">
        <f t="shared" ca="1" si="27"/>
        <v>8.5493827161068712E-3</v>
      </c>
      <c r="AH173" s="81" t="str" cm="1">
        <f t="array" aca="1" ref="AH173" ca="1">IF((AD173) &lt; (INDEX(ResponseSLA[#All],(MATCH((G173),ResponseSLA[Priority],0))+1,3)),"YES","No")</f>
        <v>YES</v>
      </c>
      <c r="AI173" s="81" t="str">
        <f ca="1">_xlfn.IFNA(IF(AE173 &lt; (INDEX(SLATable[Minimum SLA],MATCH(G173,SLATable[Priority],0))),"YES","NO"),"")</f>
        <v>YES</v>
      </c>
      <c r="AJ173" s="19" t="str">
        <f ca="1">_xlfn.IFNA(IF(AE173 &lt; (INDEX(SLATable[Maximum SLA],MATCH(G173,SLATable[Priority],0))),"YES","NO"),"")</f>
        <v>YES</v>
      </c>
    </row>
    <row r="174" spans="1:36" ht="15" customHeight="1">
      <c r="A174" s="78">
        <v>173</v>
      </c>
      <c r="B174" s="78" t="s">
        <v>26</v>
      </c>
      <c r="C174" s="78" t="s">
        <v>31</v>
      </c>
      <c r="D174" s="78" t="s">
        <v>208</v>
      </c>
      <c r="E174" s="78" t="s">
        <v>746</v>
      </c>
      <c r="F174" s="78" t="s">
        <v>30</v>
      </c>
      <c r="G174" s="78" t="s">
        <v>208</v>
      </c>
      <c r="H174" s="86" t="s">
        <v>747</v>
      </c>
      <c r="I174" s="78" t="s">
        <v>271</v>
      </c>
      <c r="J174" s="86" t="s">
        <v>389</v>
      </c>
      <c r="K174" s="277">
        <v>46189.352997685186</v>
      </c>
      <c r="L174" s="277">
        <v>46189.352997685186</v>
      </c>
      <c r="M174" s="277">
        <v>46189.354166666664</v>
      </c>
      <c r="N174" s="277">
        <v>46189.408310185187</v>
      </c>
      <c r="O174" s="80">
        <v>46189.357662037037</v>
      </c>
      <c r="P174" s="80">
        <v>46189.408310185187</v>
      </c>
      <c r="Q174" s="78" t="s">
        <v>498</v>
      </c>
      <c r="R174" s="78" t="s">
        <v>267</v>
      </c>
      <c r="S174" s="78" t="s">
        <v>179</v>
      </c>
      <c r="T174" s="78"/>
      <c r="U174" s="78" t="s">
        <v>371</v>
      </c>
      <c r="V174" s="78"/>
      <c r="W174" s="78"/>
      <c r="X174" s="78"/>
      <c r="Y174" s="78"/>
      <c r="Z174" s="167">
        <f t="shared" ca="1" si="28"/>
        <v>4.6643518508062698E-3</v>
      </c>
      <c r="AA174" s="168">
        <f t="shared" ca="1" si="21"/>
        <v>1.2438271602150053E-2</v>
      </c>
      <c r="AB174" s="167">
        <f t="shared" ca="1" si="29"/>
        <v>4.6643518508062698E-3</v>
      </c>
      <c r="AC174" s="168">
        <f t="shared" ca="1" si="23"/>
        <v>1.2438271602150053E-2</v>
      </c>
      <c r="AD174" s="191">
        <f t="shared" ca="1" si="24"/>
        <v>1.1689814782585017E-3</v>
      </c>
      <c r="AE174" s="167">
        <f t="shared" ca="1" si="25"/>
        <v>4.6643518508062698E-3</v>
      </c>
      <c r="AF174" s="168">
        <f t="shared" ca="1" si="26"/>
        <v>1.2438271602150053E-2</v>
      </c>
      <c r="AG174" s="168">
        <f t="shared" ca="1" si="27"/>
        <v>1.2438271602150053E-2</v>
      </c>
      <c r="AH174" s="81" t="str" cm="1">
        <f t="array" aca="1" ref="AH174" ca="1">IF((AD174) &lt; (INDEX(ResponseSLA[#All],(MATCH((G174),ResponseSLA[Priority],0))+1,3)),"YES","No")</f>
        <v>YES</v>
      </c>
      <c r="AI174" s="81" t="str">
        <f ca="1">_xlfn.IFNA(IF(AE174 &lt; (INDEX(SLATable[Minimum SLA],MATCH(G174,SLATable[Priority],0))),"YES","NO"),"")</f>
        <v>YES</v>
      </c>
      <c r="AJ174" s="19" t="str">
        <f ca="1">_xlfn.IFNA(IF(AE174 &lt; (INDEX(SLATable[Maximum SLA],MATCH(G174,SLATable[Priority],0))),"YES","NO"),"")</f>
        <v>YES</v>
      </c>
    </row>
    <row r="175" spans="1:36" ht="15" customHeight="1">
      <c r="A175" s="78">
        <v>174</v>
      </c>
      <c r="B175" s="78" t="s">
        <v>26</v>
      </c>
      <c r="C175" s="78" t="s">
        <v>31</v>
      </c>
      <c r="D175" s="78" t="s">
        <v>208</v>
      </c>
      <c r="E175" s="78" t="s">
        <v>748</v>
      </c>
      <c r="F175" s="78" t="s">
        <v>30</v>
      </c>
      <c r="G175" s="78" t="s">
        <v>208</v>
      </c>
      <c r="H175" s="86" t="s">
        <v>749</v>
      </c>
      <c r="I175" s="78" t="s">
        <v>271</v>
      </c>
      <c r="J175" s="86" t="s">
        <v>389</v>
      </c>
      <c r="K175" s="277">
        <v>46190.37939814815</v>
      </c>
      <c r="L175" s="277">
        <v>46190.37939814815</v>
      </c>
      <c r="M175" s="277">
        <v>46190.381030092591</v>
      </c>
      <c r="N175" s="277">
        <v>46190.462939814817</v>
      </c>
      <c r="O175" s="80">
        <v>46190.400497685187</v>
      </c>
      <c r="P175" s="80">
        <v>46190.462939814817</v>
      </c>
      <c r="Q175" s="78" t="s">
        <v>498</v>
      </c>
      <c r="R175" s="78" t="s">
        <v>267</v>
      </c>
      <c r="S175" s="78" t="s">
        <v>179</v>
      </c>
      <c r="T175" s="78"/>
      <c r="U175" s="78" t="s">
        <v>371</v>
      </c>
      <c r="V175" s="78"/>
      <c r="W175" s="78"/>
      <c r="X175" s="78"/>
      <c r="Y175" s="78"/>
      <c r="Z175" s="167">
        <f t="shared" ca="1" si="28"/>
        <v>2.1099537036207039E-2</v>
      </c>
      <c r="AA175" s="168">
        <f t="shared" ca="1" si="21"/>
        <v>5.6265432096552104E-2</v>
      </c>
      <c r="AB175" s="167">
        <f t="shared" ca="1" si="29"/>
        <v>2.1099537036207039E-2</v>
      </c>
      <c r="AC175" s="168">
        <f t="shared" ca="1" si="23"/>
        <v>5.6265432096552104E-2</v>
      </c>
      <c r="AD175" s="191">
        <f t="shared" ca="1" si="24"/>
        <v>1.631944440305233E-3</v>
      </c>
      <c r="AE175" s="167">
        <f t="shared" ca="1" si="25"/>
        <v>2.1099537036207039E-2</v>
      </c>
      <c r="AF175" s="168">
        <f t="shared" ca="1" si="26"/>
        <v>5.6265432096552104E-2</v>
      </c>
      <c r="AG175" s="168">
        <f t="shared" ca="1" si="27"/>
        <v>5.6265432096552104E-2</v>
      </c>
      <c r="AH175" s="81" t="str" cm="1">
        <f t="array" aca="1" ref="AH175" ca="1">IF((AD175) &lt; (INDEX(ResponseSLA[#All],(MATCH((G175),ResponseSLA[Priority],0))+1,3)),"YES","No")</f>
        <v>YES</v>
      </c>
      <c r="AI175" s="81" t="str">
        <f ca="1">_xlfn.IFNA(IF(AE175 &lt; (INDEX(SLATable[Minimum SLA],MATCH(G175,SLATable[Priority],0))),"YES","NO"),"")</f>
        <v>YES</v>
      </c>
      <c r="AJ175" s="19" t="str">
        <f ca="1">_xlfn.IFNA(IF(AE175 &lt; (INDEX(SLATable[Maximum SLA],MATCH(G175,SLATable[Priority],0))),"YES","NO"),"")</f>
        <v>YES</v>
      </c>
    </row>
    <row r="176" spans="1:36" ht="15" customHeight="1">
      <c r="A176" s="78">
        <v>175</v>
      </c>
      <c r="B176" s="78" t="s">
        <v>26</v>
      </c>
      <c r="C176" s="78" t="s">
        <v>31</v>
      </c>
      <c r="D176" s="78" t="s">
        <v>208</v>
      </c>
      <c r="E176" s="78" t="s">
        <v>750</v>
      </c>
      <c r="F176" s="78" t="s">
        <v>30</v>
      </c>
      <c r="G176" s="78" t="s">
        <v>208</v>
      </c>
      <c r="H176" s="86" t="s">
        <v>751</v>
      </c>
      <c r="I176" s="78" t="s">
        <v>271</v>
      </c>
      <c r="J176" s="86" t="s">
        <v>389</v>
      </c>
      <c r="K176" s="277">
        <v>46191.290856481479</v>
      </c>
      <c r="L176" s="277">
        <v>46191.290856481479</v>
      </c>
      <c r="M176" s="277">
        <v>46191.291631944441</v>
      </c>
      <c r="N176" s="277">
        <v>46191.475775462961</v>
      </c>
      <c r="O176" s="80">
        <v>46191.345995370371</v>
      </c>
      <c r="P176" s="80">
        <v>46191.475775462961</v>
      </c>
      <c r="Q176" s="78" t="s">
        <v>498</v>
      </c>
      <c r="R176" s="78" t="s">
        <v>267</v>
      </c>
      <c r="S176" s="78" t="s">
        <v>147</v>
      </c>
      <c r="T176" s="78"/>
      <c r="U176" s="78" t="s">
        <v>371</v>
      </c>
      <c r="V176" s="78"/>
      <c r="W176" s="78"/>
      <c r="X176" s="78"/>
      <c r="Y176" s="78"/>
      <c r="Z176" s="167">
        <f t="shared" ca="1" si="28"/>
        <v>1.26620370380503E-2</v>
      </c>
      <c r="AA176" s="168">
        <f t="shared" ca="1" si="21"/>
        <v>3.3765432101467464E-2</v>
      </c>
      <c r="AB176" s="167">
        <f t="shared" ca="1" si="29"/>
        <v>1.26620370380503E-2</v>
      </c>
      <c r="AC176" s="168">
        <f t="shared" ca="1" si="23"/>
        <v>3.3765432101467464E-2</v>
      </c>
      <c r="AD176" s="191">
        <f t="shared" ca="1" si="24"/>
        <v>0</v>
      </c>
      <c r="AE176" s="167">
        <f t="shared" ca="1" si="25"/>
        <v>1.26620370380503E-2</v>
      </c>
      <c r="AF176" s="168">
        <f t="shared" ca="1" si="26"/>
        <v>3.3765432101467464E-2</v>
      </c>
      <c r="AG176" s="168">
        <f t="shared" ca="1" si="27"/>
        <v>3.3765432101467464E-2</v>
      </c>
      <c r="AH176" s="81" t="str" cm="1">
        <f t="array" aca="1" ref="AH176" ca="1">IF((AD176) &lt; (INDEX(ResponseSLA[#All],(MATCH((G176),ResponseSLA[Priority],0))+1,3)),"YES","No")</f>
        <v>YES</v>
      </c>
      <c r="AI176" s="81" t="str">
        <f ca="1">_xlfn.IFNA(IF(AE176 &lt; (INDEX(SLATable[Minimum SLA],MATCH(G176,SLATable[Priority],0))),"YES","NO"),"")</f>
        <v>YES</v>
      </c>
      <c r="AJ176" s="19" t="str">
        <f ca="1">_xlfn.IFNA(IF(AE176 &lt; (INDEX(SLATable[Maximum SLA],MATCH(G176,SLATable[Priority],0))),"YES","NO"),"")</f>
        <v>YES</v>
      </c>
    </row>
    <row r="177" spans="1:36" ht="15" customHeight="1">
      <c r="A177" s="78">
        <v>176</v>
      </c>
      <c r="B177" s="78" t="s">
        <v>26</v>
      </c>
      <c r="C177" s="78" t="s">
        <v>33</v>
      </c>
      <c r="D177" s="78" t="s">
        <v>207</v>
      </c>
      <c r="E177" s="78" t="s">
        <v>752</v>
      </c>
      <c r="F177" s="78" t="s">
        <v>284</v>
      </c>
      <c r="G177" s="78">
        <v>3</v>
      </c>
      <c r="H177" s="86" t="s">
        <v>753</v>
      </c>
      <c r="I177" s="78" t="s">
        <v>271</v>
      </c>
      <c r="J177" s="86" t="s">
        <v>646</v>
      </c>
      <c r="K177" s="277">
        <v>46204.456250000003</v>
      </c>
      <c r="L177" s="277">
        <v>46204.488888888889</v>
      </c>
      <c r="M177" s="277">
        <v>46204.544444444444</v>
      </c>
      <c r="N177" s="277">
        <v>46204.738194444442</v>
      </c>
      <c r="O177" s="80"/>
      <c r="P177" s="80"/>
      <c r="Q177" s="78" t="s">
        <v>523</v>
      </c>
      <c r="R177" s="78" t="s">
        <v>267</v>
      </c>
      <c r="S177" s="78" t="s">
        <v>193</v>
      </c>
      <c r="T177" s="78"/>
      <c r="U177" s="78" t="s">
        <v>371</v>
      </c>
      <c r="V177" s="78"/>
      <c r="W177" s="78"/>
      <c r="X177" s="78"/>
      <c r="Y177" s="78"/>
      <c r="Z177" s="167">
        <f t="shared" ca="1" si="28"/>
        <v>0.25208333333042299</v>
      </c>
      <c r="AA177" s="168">
        <f t="shared" ca="1" si="21"/>
        <v>0.67222222221446126</v>
      </c>
      <c r="AB177" s="167">
        <f t="shared" ca="1" si="29"/>
        <v>0.21944444444428279</v>
      </c>
      <c r="AC177" s="168">
        <f t="shared" ca="1" si="23"/>
        <v>0.58518518518475415</v>
      </c>
      <c r="AD177" s="191">
        <f t="shared" ca="1" si="24"/>
        <v>5.5555555554747116E-2</v>
      </c>
      <c r="AE177" s="167">
        <f t="shared" ca="1" si="25"/>
        <v>0.21944444444428279</v>
      </c>
      <c r="AF177" s="168">
        <f t="shared" ca="1" si="26"/>
        <v>0.58518518518475415</v>
      </c>
      <c r="AG177" s="168">
        <f t="shared" ca="1" si="27"/>
        <v>0.58518518518475415</v>
      </c>
      <c r="AH177" s="81" t="str" cm="1">
        <f t="array" aca="1" ref="AH177" ca="1">IF((AD177) &lt; (INDEX(ResponseSLA[#All],(MATCH((G177),ResponseSLA[Priority],0))+1,3)),"YES","No")</f>
        <v>YES</v>
      </c>
      <c r="AI177" s="81" t="str">
        <f ca="1">_xlfn.IFNA(IF(AE177 &lt; (INDEX(SLATable[Minimum SLA],MATCH(G177,SLATable[Priority],0))),"YES","NO"),"")</f>
        <v>YES</v>
      </c>
      <c r="AJ177" s="19" t="str">
        <f ca="1">_xlfn.IFNA(IF(AE177 &lt; (INDEX(SLATable[Maximum SLA],MATCH(G177,SLATable[Priority],0))),"YES","NO"),"")</f>
        <v>YES</v>
      </c>
    </row>
    <row r="178" spans="1:36" ht="15" customHeight="1">
      <c r="A178" s="78">
        <v>177</v>
      </c>
      <c r="B178" s="78" t="s">
        <v>26</v>
      </c>
      <c r="C178" s="78" t="s">
        <v>33</v>
      </c>
      <c r="D178" s="78" t="s">
        <v>207</v>
      </c>
      <c r="E178" s="78" t="s">
        <v>754</v>
      </c>
      <c r="F178" s="78" t="s">
        <v>282</v>
      </c>
      <c r="G178" s="78">
        <v>4</v>
      </c>
      <c r="H178" s="86" t="s">
        <v>755</v>
      </c>
      <c r="I178" s="78" t="s">
        <v>271</v>
      </c>
      <c r="J178" s="86" t="s">
        <v>510</v>
      </c>
      <c r="K178" s="186">
        <v>46204.570879629631</v>
      </c>
      <c r="L178" s="186">
        <v>46204.585798611108</v>
      </c>
      <c r="M178" s="186">
        <v>46204.586597222224</v>
      </c>
      <c r="N178" s="277">
        <v>46206.486111111109</v>
      </c>
      <c r="O178" s="80"/>
      <c r="P178" s="80"/>
      <c r="Q178" s="78" t="s">
        <v>507</v>
      </c>
      <c r="R178" s="78" t="s">
        <v>267</v>
      </c>
      <c r="S178" s="78" t="s">
        <v>157</v>
      </c>
      <c r="T178" s="78"/>
      <c r="U178" s="78" t="s">
        <v>371</v>
      </c>
      <c r="V178" s="78"/>
      <c r="W178" s="78"/>
      <c r="X178" s="78"/>
      <c r="Y178" s="78"/>
      <c r="Z178" s="167">
        <f t="shared" ca="1" si="28"/>
        <v>0.6652314814782585</v>
      </c>
      <c r="AA178" s="168">
        <f t="shared" ca="1" si="21"/>
        <v>1.7739506172753561</v>
      </c>
      <c r="AB178" s="167">
        <f t="shared" ca="1" si="29"/>
        <v>0.65031250000174623</v>
      </c>
      <c r="AC178" s="168">
        <f t="shared" ca="1" si="23"/>
        <v>1.7341666666713234</v>
      </c>
      <c r="AD178" s="191">
        <f t="shared" ca="1" si="24"/>
        <v>7.9861111589707434E-4</v>
      </c>
      <c r="AE178" s="167">
        <f t="shared" ca="1" si="25"/>
        <v>0.65031250000174623</v>
      </c>
      <c r="AF178" s="168">
        <f t="shared" ca="1" si="26"/>
        <v>1.7341666666713234</v>
      </c>
      <c r="AG178" s="168">
        <f t="shared" ca="1" si="27"/>
        <v>1.7341666666713234</v>
      </c>
      <c r="AH178" s="81" t="str" cm="1">
        <f t="array" aca="1" ref="AH178" ca="1">IF((AD178) &lt; (INDEX(ResponseSLA[#All],(MATCH((G178),ResponseSLA[Priority],0))+1,3)),"YES","No")</f>
        <v>YES</v>
      </c>
      <c r="AI178" s="81" t="str">
        <f ca="1">_xlfn.IFNA(IF(AE178 &lt; (INDEX(SLATable[Minimum SLA],MATCH(G178,SLATable[Priority],0))),"YES","NO"),"")</f>
        <v>YES</v>
      </c>
      <c r="AJ178" s="19" t="str">
        <f ca="1">_xlfn.IFNA(IF(AE178 &lt; (INDEX(SLATable[Maximum SLA],MATCH(G178,SLATable[Priority],0))),"YES","NO"),"")</f>
        <v>YES</v>
      </c>
    </row>
    <row r="179" spans="1:36" ht="15" customHeight="1">
      <c r="A179" s="78">
        <v>178</v>
      </c>
      <c r="B179" s="78" t="s">
        <v>26</v>
      </c>
      <c r="C179" s="78" t="s">
        <v>33</v>
      </c>
      <c r="D179" s="78" t="s">
        <v>207</v>
      </c>
      <c r="E179" s="184" t="s">
        <v>756</v>
      </c>
      <c r="F179" s="78" t="s">
        <v>284</v>
      </c>
      <c r="G179" s="78">
        <v>3</v>
      </c>
      <c r="H179" s="86" t="s">
        <v>757</v>
      </c>
      <c r="I179" s="78" t="s">
        <v>271</v>
      </c>
      <c r="J179" s="86" t="s">
        <v>646</v>
      </c>
      <c r="K179" s="277">
        <v>46204.675000000003</v>
      </c>
      <c r="L179" s="277">
        <v>46204.709027777775</v>
      </c>
      <c r="M179" s="322">
        <v>46205.227083333331</v>
      </c>
      <c r="N179" s="277">
        <v>46205.48333333333</v>
      </c>
      <c r="O179" s="80"/>
      <c r="P179" s="80"/>
      <c r="Q179" s="78" t="s">
        <v>523</v>
      </c>
      <c r="R179" s="78" t="s">
        <v>267</v>
      </c>
      <c r="S179" s="78" t="s">
        <v>193</v>
      </c>
      <c r="T179" s="78"/>
      <c r="U179" s="78" t="s">
        <v>371</v>
      </c>
      <c r="V179" s="78"/>
      <c r="W179" s="78"/>
      <c r="X179" s="78"/>
      <c r="Y179" s="78"/>
      <c r="Z179" s="167">
        <f t="shared" ca="1" si="28"/>
        <v>0.1833333333270275</v>
      </c>
      <c r="AA179" s="168">
        <f t="shared" ca="1" si="21"/>
        <v>0.48888888887207332</v>
      </c>
      <c r="AB179" s="167">
        <f t="shared" ca="1" si="29"/>
        <v>0.14999999999660452</v>
      </c>
      <c r="AC179" s="168">
        <f t="shared" ca="1" si="23"/>
        <v>0.39999999999094538</v>
      </c>
      <c r="AD179" s="191">
        <f t="shared" ca="1" si="24"/>
        <v>0</v>
      </c>
      <c r="AE179" s="167">
        <f t="shared" ca="1" si="25"/>
        <v>0.14999999999660452</v>
      </c>
      <c r="AF179" s="168">
        <f t="shared" ca="1" si="26"/>
        <v>0.39999999999094538</v>
      </c>
      <c r="AG179" s="168">
        <f t="shared" ca="1" si="27"/>
        <v>0.39999999999094538</v>
      </c>
      <c r="AH179" s="81" t="str" cm="1">
        <f t="array" aca="1" ref="AH179" ca="1">IF((AD179) &lt; (INDEX(ResponseSLA[#All],(MATCH((G179),ResponseSLA[Priority],0))+1,3)),"YES","No")</f>
        <v>YES</v>
      </c>
      <c r="AI179" s="81" t="str">
        <f ca="1">_xlfn.IFNA(IF(AE179 &lt; (INDEX(SLATable[Minimum SLA],MATCH(G179,SLATable[Priority],0))),"YES","NO"),"")</f>
        <v>YES</v>
      </c>
      <c r="AJ179" s="19" t="str">
        <f ca="1">_xlfn.IFNA(IF(AE179 &lt; (INDEX(SLATable[Maximum SLA],MATCH(G179,SLATable[Priority],0))),"YES","NO"),"")</f>
        <v>YES</v>
      </c>
    </row>
    <row r="180" spans="1:36" ht="15" customHeight="1">
      <c r="A180" s="78">
        <v>179</v>
      </c>
      <c r="B180" s="78" t="s">
        <v>26</v>
      </c>
      <c r="C180" s="78" t="s">
        <v>33</v>
      </c>
      <c r="D180" s="78" t="s">
        <v>207</v>
      </c>
      <c r="E180" s="184" t="s">
        <v>758</v>
      </c>
      <c r="F180" s="78" t="s">
        <v>284</v>
      </c>
      <c r="G180" s="78">
        <v>3</v>
      </c>
      <c r="H180" s="86" t="s">
        <v>759</v>
      </c>
      <c r="I180" s="78" t="s">
        <v>271</v>
      </c>
      <c r="J180" s="86" t="s">
        <v>646</v>
      </c>
      <c r="K180" s="277">
        <v>46204.673611111109</v>
      </c>
      <c r="L180" s="277">
        <v>46204.711111111108</v>
      </c>
      <c r="M180" s="277">
        <v>46205.228472222225</v>
      </c>
      <c r="N180" s="277">
        <v>46205.501388888886</v>
      </c>
      <c r="O180" s="80"/>
      <c r="P180" s="80"/>
      <c r="Q180" s="78" t="s">
        <v>523</v>
      </c>
      <c r="R180" s="78" t="s">
        <v>267</v>
      </c>
      <c r="S180" s="78" t="s">
        <v>193</v>
      </c>
      <c r="T180" s="78"/>
      <c r="U180" s="78" t="s">
        <v>371</v>
      </c>
      <c r="V180" s="78"/>
      <c r="W180" s="78"/>
      <c r="X180" s="78"/>
      <c r="Y180" s="78"/>
      <c r="Z180" s="167">
        <f t="shared" ca="1" si="28"/>
        <v>0.20277777777664596</v>
      </c>
      <c r="AA180" s="168">
        <f t="shared" ca="1" si="21"/>
        <v>0.5407407407377226</v>
      </c>
      <c r="AB180" s="167">
        <f t="shared" ca="1" si="29"/>
        <v>0.16805555555280682</v>
      </c>
      <c r="AC180" s="168">
        <f t="shared" ca="1" si="23"/>
        <v>0.44814814814081821</v>
      </c>
      <c r="AD180" s="191">
        <f t="shared" ca="1" si="24"/>
        <v>0</v>
      </c>
      <c r="AE180" s="167">
        <f t="shared" ca="1" si="25"/>
        <v>0.16805555555280682</v>
      </c>
      <c r="AF180" s="168">
        <f t="shared" ca="1" si="26"/>
        <v>0.44814814814081821</v>
      </c>
      <c r="AG180" s="168">
        <f t="shared" ca="1" si="27"/>
        <v>0.44814814814081821</v>
      </c>
      <c r="AH180" s="81" t="str" cm="1">
        <f t="array" aca="1" ref="AH180" ca="1">IF((AD180) &lt; (INDEX(ResponseSLA[#All],(MATCH((G180),ResponseSLA[Priority],0))+1,3)),"YES","No")</f>
        <v>YES</v>
      </c>
      <c r="AI180" s="81" t="str">
        <f ca="1">_xlfn.IFNA(IF(AE180 &lt; (INDEX(SLATable[Minimum SLA],MATCH(G180,SLATable[Priority],0))),"YES","NO"),"")</f>
        <v>YES</v>
      </c>
      <c r="AJ180" s="19" t="str">
        <f ca="1">_xlfn.IFNA(IF(AE180 &lt; (INDEX(SLATable[Maximum SLA],MATCH(G180,SLATable[Priority],0))),"YES","NO"),"")</f>
        <v>YES</v>
      </c>
    </row>
    <row r="181" spans="1:36" ht="15" customHeight="1">
      <c r="A181" s="78">
        <v>180</v>
      </c>
      <c r="B181" s="78" t="s">
        <v>26</v>
      </c>
      <c r="C181" s="78" t="s">
        <v>33</v>
      </c>
      <c r="D181" s="78" t="s">
        <v>207</v>
      </c>
      <c r="E181" s="184" t="s">
        <v>760</v>
      </c>
      <c r="F181" s="78" t="s">
        <v>284</v>
      </c>
      <c r="G181" s="78">
        <v>3</v>
      </c>
      <c r="H181" s="86" t="s">
        <v>761</v>
      </c>
      <c r="I181" s="78" t="s">
        <v>271</v>
      </c>
      <c r="J181" s="86" t="s">
        <v>646</v>
      </c>
      <c r="K181" s="277">
        <v>46204.675000000003</v>
      </c>
      <c r="L181" s="277">
        <v>46204.710416666669</v>
      </c>
      <c r="M181" s="277">
        <v>46205.229861111111</v>
      </c>
      <c r="N181" s="277">
        <v>46205.489583333336</v>
      </c>
      <c r="O181" s="80"/>
      <c r="P181" s="80"/>
      <c r="Q181" s="78" t="s">
        <v>523</v>
      </c>
      <c r="R181" s="78" t="s">
        <v>267</v>
      </c>
      <c r="S181" s="78" t="s">
        <v>193</v>
      </c>
      <c r="T181" s="78"/>
      <c r="U181" s="78" t="s">
        <v>371</v>
      </c>
      <c r="V181" s="78"/>
      <c r="W181" s="78"/>
      <c r="X181" s="78"/>
      <c r="Y181" s="78"/>
      <c r="Z181" s="167">
        <f t="shared" ca="1" si="28"/>
        <v>0.18958333333284827</v>
      </c>
      <c r="AA181" s="168">
        <f t="shared" ca="1" si="21"/>
        <v>0.50555555555426201</v>
      </c>
      <c r="AB181" s="167">
        <f t="shared" ca="1" si="29"/>
        <v>0.15625000000242528</v>
      </c>
      <c r="AC181" s="168">
        <f t="shared" ca="1" si="23"/>
        <v>0.41666666667313407</v>
      </c>
      <c r="AD181" s="191">
        <f t="shared" ca="1" si="24"/>
        <v>0</v>
      </c>
      <c r="AE181" s="167">
        <f t="shared" ca="1" si="25"/>
        <v>0.15625000000242528</v>
      </c>
      <c r="AF181" s="168">
        <f t="shared" ca="1" si="26"/>
        <v>0.41666666667313407</v>
      </c>
      <c r="AG181" s="168">
        <f t="shared" ca="1" si="27"/>
        <v>0.41666666667313407</v>
      </c>
      <c r="AH181" s="81" t="str" cm="1">
        <f t="array" aca="1" ref="AH181" ca="1">IF((AD181) &lt; (INDEX(ResponseSLA[#All],(MATCH((G181),ResponseSLA[Priority],0))+1,3)),"YES","No")</f>
        <v>YES</v>
      </c>
      <c r="AI181" s="81" t="str">
        <f ca="1">_xlfn.IFNA(IF(AE181 &lt; (INDEX(SLATable[Minimum SLA],MATCH(G181,SLATable[Priority],0))),"YES","NO"),"")</f>
        <v>YES</v>
      </c>
      <c r="AJ181" s="19" t="str">
        <f ca="1">_xlfn.IFNA(IF(AE181 &lt; (INDEX(SLATable[Maximum SLA],MATCH(G181,SLATable[Priority],0))),"YES","NO"),"")</f>
        <v>YES</v>
      </c>
    </row>
    <row r="182" spans="1:36" ht="15" customHeight="1">
      <c r="A182" s="78">
        <v>181</v>
      </c>
      <c r="B182" s="78" t="s">
        <v>26</v>
      </c>
      <c r="C182" s="78" t="s">
        <v>33</v>
      </c>
      <c r="D182" s="78" t="s">
        <v>207</v>
      </c>
      <c r="E182" s="184" t="s">
        <v>762</v>
      </c>
      <c r="F182" s="78" t="s">
        <v>282</v>
      </c>
      <c r="G182" s="78">
        <v>4</v>
      </c>
      <c r="H182" s="86" t="s">
        <v>763</v>
      </c>
      <c r="I182" s="78" t="s">
        <v>271</v>
      </c>
      <c r="J182" s="86" t="s">
        <v>510</v>
      </c>
      <c r="K182" s="186">
        <v>46205.298611111109</v>
      </c>
      <c r="L182" s="186">
        <v>46205.298611111109</v>
      </c>
      <c r="M182" s="186">
        <v>46205.318055555559</v>
      </c>
      <c r="N182" s="277">
        <v>46213.363888888889</v>
      </c>
      <c r="O182" s="80"/>
      <c r="P182" s="80"/>
      <c r="Q182" s="78" t="s">
        <v>507</v>
      </c>
      <c r="R182" s="78" t="s">
        <v>267</v>
      </c>
      <c r="S182" s="78" t="s">
        <v>149</v>
      </c>
      <c r="T182" s="78"/>
      <c r="U182" s="78" t="s">
        <v>371</v>
      </c>
      <c r="V182" s="78"/>
      <c r="W182" s="78"/>
      <c r="X182" s="78"/>
      <c r="Y182" s="78"/>
      <c r="Z182" s="167" t="e">
        <f ca="1">IF(NOT(OR(G182=1,G182=2)),MAX(0,_xlfn.IFS(AND(K182&lt;&gt;"",#REF!&lt;&gt;""),((MAX(NETWORKDAYS(K182,#REF!,UKBankHolidays)-1,0))*(TIME(17,0,0)-TIME(8,0,0))+IF(NETWORKDAYS(#REF!,#REF!,UKBankHolidays)&gt;0,MEDIAN(TIME(8,0,0),MOD(#REF!,1),TIME(17,0,0)),TIME(8,0,0))-IF(NETWORKDAYS(K182,K182,UKBankHolidays)&gt;0,MEDIAN(TIME(8,0,0),MOD(K182,1),TIME(17,0,0)),TIME(8,0,0)))-IF(AND(O182&lt;&gt;"",P182&lt;&gt;""),((MAX(NETWORKDAYS(O182,P182,UKBankHolidays)-1,0))*(TIME(17,0,0)-TIME(8,0,0))+IF(NETWORKDAYS(P182,P182,UKBankHolidays)&gt;0,MEDIAN(TIME(8,0,0),MOD(P182,1),TIME(17,0,0)),TIME(8,0,0))-IF(NETWORKDAYS(O182,O182,UKBankHolidays)&gt;0,MEDIAN(TIME(8,0,0),MOD(O182,1),TIME(17,0,0)),TIME(8,0,0))),0),AND(K182&lt;&gt;"",#REF!=""),((MAX(NETWORKDAYS(K182,NOW(),UKBankHolidays)-1,0))*(TIME(17,0,0)-TIME(8,0,0))+IF(NETWORKDAYS(NOW(),NOW(),UKBankHolidays)&gt;0,MEDIAN(TIME(8,0,0),MOD(NOW(),1),TIME(17,0,0)),TIME(8,0,0))-IF(NETWORKDAYS(K182,K182,UKBankHolidays)&gt;0,MEDIAN(TIME(8,0,0),MOD(K182,1),TIME(17,0,0)),TIME(8,0,0))))),IF(#REF!="",NOW()-K182,#REF!-K182))</f>
        <v>#REF!</v>
      </c>
      <c r="AA182" s="168" t="e">
        <f t="shared" ca="1" si="21"/>
        <v>#REF!</v>
      </c>
      <c r="AB182" s="167" t="e">
        <f ca="1">IF(NOT(OR(G182=1,G182=2)),MAX(0,_xlfn.IFS(AND(K182&lt;&gt;"",#REF!&lt;&gt;""),(((MAX(NETWORKDAYS(L182,#REF!,UKBankHolidays)-1,0))*(TIME(17,0,0)-TIME(8,0,0)))+IF(NETWORKDAYS(#REF!,#REF!,UKBankHolidays)&gt;0,MEDIAN(TIME(8,0,0),MOD(#REF!,1),TIME(17,0,0)),TIME(8,0,0))-IF(NETWORKDAYS(L182,L182,UKBankHolidays)&gt;0,MEDIAN(TIME(8,0,0),MOD(L182,1),TIME(17,0,0)),TIME(8,0,0)))-IF(AND(O182&lt;&gt;"",P182&lt;&gt;""),(((MAX(NETWORKDAYS(O182,P182,UKBankHolidays)-1,0))*(TIME(17,0,0)-TIME(8,0,0)))+IF(NETWORKDAYS(P182,P182,UKBankHolidays)&gt;0,MEDIAN(TIME(8,0,0),MOD(P182,1),TIME(17,0,0)),TIME(8,0,0))-IF(NETWORKDAYS(O182,O182,UKBankHolidays)&gt;0,MEDIAN(TIME(8,0,0),MOD(O182,1),TIME(17,0,0)),TIME(8,0,0))),0),AND(L182&lt;&gt;"",#REF!="",O182=""),(((MAX(NETWORKDAYS(L182,NOW(),UKBankHolidays)-1,0))*(TIME(17,0,0)-TIME(8,0,0)))+IF(NETWORKDAYS(NOW(),NOW(),UKBankHolidays)&gt;0,MEDIAN(TIME(8,0,0),MOD(NOW(),1),TIME(17,0,0)),TIME(8,0,0))-IF(NETWORKDAYS(L182,L182,UKBankHolidays)&gt;0,MEDIAN(TIME(8,0,0),MOD(L182,1),TIME(17,0,0)),TIME(8,0,0)))-IF(AND(O182&lt;&gt;"",P182&lt;&gt;""),(((MAX(NETWORKDAYS(O182,P182,UKBankHolidays)-1,0))*(TIME(17,0,0)-TIME(8,0,0)))+IF(NETWORKDAYS(P182,P182,UKBankHolidays)&gt;0,MEDIAN(TIME(8,0,0),MOD(P182,1),TIME(17,0,0)),TIME(8,0,0))-IF(NETWORKDAYS(O182,O182,UKBankHolidays)&gt;0,MEDIAN(TIME(8,0,0),MOD(O182,1),TIME(17,0,0)),TIME(8,0,0))),0),AND(L182&lt;&gt;"",#REF!="",P182="",O182&lt;&gt;""),(((MAX(NETWORKDAYS(L182,O182,UKBankHolidays)-1,0))*(TIME(17,0,0)-TIME(8,0,0)))+IF(NETWORKDAYS(O182,O182,UKBankHolidays)&gt;0,MEDIAN(TIME(8,0,0),MOD(O182,1),TIME(17,0,0)),TIME(8,0,0))-IF(NETWORKDAYS(L182,L182,UKBankHolidays)&gt;0,MEDIAN(TIME(8,0,0),MOD(L182,1),TIME(17,0,0)),TIME(8,0,0))),ISBLANK(K182),"0")),IF(ISBLANK(#REF!),NOW()-L182,#REF!-L182))</f>
        <v>#REF!</v>
      </c>
      <c r="AC182" s="168" t="e">
        <f t="shared" ca="1" si="23"/>
        <v>#REF!</v>
      </c>
      <c r="AD182" s="191">
        <f t="shared" ca="1" si="24"/>
        <v>0</v>
      </c>
      <c r="AE182" s="167" t="e">
        <f t="shared" ca="1" si="25"/>
        <v>#REF!</v>
      </c>
      <c r="AF182" s="168" t="e">
        <f t="shared" ca="1" si="26"/>
        <v>#REF!</v>
      </c>
      <c r="AG182" s="168" t="e">
        <f t="shared" ca="1" si="27"/>
        <v>#REF!</v>
      </c>
      <c r="AH182" s="81" t="str" cm="1">
        <f t="array" aca="1" ref="AH182" ca="1">IF((AD182) &lt; (INDEX(ResponseSLA[#All],(MATCH((G182),ResponseSLA[Priority],0))+1,3)),"YES","No")</f>
        <v>YES</v>
      </c>
      <c r="AI182" s="81" t="e">
        <f ca="1">_xlfn.IFNA(IF(AE182 &lt; (INDEX(SLATable[Minimum SLA],MATCH(G182,SLATable[Priority],0))),"YES","NO"),"")</f>
        <v>#REF!</v>
      </c>
      <c r="AJ182" s="19" t="e">
        <f ca="1">_xlfn.IFNA(IF(AE182 &lt; (INDEX(SLATable[Maximum SLA],MATCH(G182,SLATable[Priority],0))),"YES","NO"),"")</f>
        <v>#REF!</v>
      </c>
    </row>
    <row r="183" spans="1:36" ht="15" customHeight="1">
      <c r="A183" s="78">
        <v>182</v>
      </c>
      <c r="B183" s="78" t="s">
        <v>26</v>
      </c>
      <c r="C183" s="78" t="s">
        <v>33</v>
      </c>
      <c r="D183" s="78" t="s">
        <v>207</v>
      </c>
      <c r="E183" s="184" t="s">
        <v>764</v>
      </c>
      <c r="F183" s="78" t="s">
        <v>282</v>
      </c>
      <c r="G183" s="78">
        <v>4</v>
      </c>
      <c r="H183" s="185" t="s">
        <v>765</v>
      </c>
      <c r="I183" s="78" t="s">
        <v>271</v>
      </c>
      <c r="J183" s="86" t="s">
        <v>510</v>
      </c>
      <c r="K183" s="186">
        <v>46205.394074074073</v>
      </c>
      <c r="L183" s="186">
        <v>46205.393750000003</v>
      </c>
      <c r="M183" s="186">
        <v>46205.404166666667</v>
      </c>
      <c r="N183" s="277">
        <v>46206.462500000001</v>
      </c>
      <c r="O183" s="80">
        <v>46206.266064814816</v>
      </c>
      <c r="P183" s="80"/>
      <c r="Q183" s="78" t="s">
        <v>507</v>
      </c>
      <c r="R183" s="78" t="s">
        <v>267</v>
      </c>
      <c r="S183" s="78" t="s">
        <v>141</v>
      </c>
      <c r="T183" s="78"/>
      <c r="U183" s="78" t="s">
        <v>371</v>
      </c>
      <c r="V183" s="78"/>
      <c r="W183" s="78"/>
      <c r="X183" s="78"/>
      <c r="Y183" s="78"/>
      <c r="Z183" s="167">
        <f t="shared" ref="Z183:Z246" ca="1" si="30">IF(NOT(OR(G183=1,G183=2)),MAX(0,_xlfn.IFS(AND(K183&lt;&gt;"",N183&lt;&gt;""),((MAX(NETWORKDAYS(K183,N183,UKBankHolidays)-1,0))*(TIME(17,0,0)-TIME(8,0,0))+IF(NETWORKDAYS(N183,N183,UKBankHolidays)&gt;0,MEDIAN(TIME(8,0,0),MOD(N183,1),TIME(17,0,0)),TIME(8,0,0))-IF(NETWORKDAYS(K183,K183,UKBankHolidays)&gt;0,MEDIAN(TIME(8,0,0),MOD(K183,1),TIME(17,0,0)),TIME(8,0,0)))-IF(AND(O183&lt;&gt;"",P183&lt;&gt;""),((MAX(NETWORKDAYS(O183,P183,UKBankHolidays)-1,0))*(TIME(17,0,0)-TIME(8,0,0))+IF(NETWORKDAYS(P183,P183,UKBankHolidays)&gt;0,MEDIAN(TIME(8,0,0),MOD(P183,1),TIME(17,0,0)),TIME(8,0,0))-IF(NETWORKDAYS(O183,O183,UKBankHolidays)&gt;0,MEDIAN(TIME(8,0,0),MOD(O183,1),TIME(17,0,0)),TIME(8,0,0))),0),AND(K183&lt;&gt;"",N183=""),((MAX(NETWORKDAYS(K183,NOW(),UKBankHolidays)-1,0))*(TIME(17,0,0)-TIME(8,0,0))+IF(NETWORKDAYS(NOW(),NOW(),UKBankHolidays)&gt;0,MEDIAN(TIME(8,0,0),MOD(NOW(),1),TIME(17,0,0)),TIME(8,0,0))-IF(NETWORKDAYS(K183,K183,UKBankHolidays)&gt;0,MEDIAN(TIME(8,0,0),MOD(K183,1),TIME(17,0,0)),TIME(8,0,0))))),IF(N183="",NOW()-K183,N183-K183))</f>
        <v>0.44342592592875008</v>
      </c>
      <c r="AA183" s="168">
        <f t="shared" ca="1" si="21"/>
        <v>1.1824691358100001</v>
      </c>
      <c r="AB183" s="167">
        <f t="shared" ref="AB183:AB246" ca="1" si="31">IF(NOT(OR(G183=1,G183=2)),MAX(0,_xlfn.IFS(AND(K183&lt;&gt;"",N183&lt;&gt;""),(((MAX(NETWORKDAYS(L183,N183,UKBankHolidays)-1,0))*(TIME(17,0,0)-TIME(8,0,0)))+IF(NETWORKDAYS(N183,N183,UKBankHolidays)&gt;0,MEDIAN(TIME(8,0,0),MOD(N183,1),TIME(17,0,0)),TIME(8,0,0))-IF(NETWORKDAYS(L183,L183,UKBankHolidays)&gt;0,MEDIAN(TIME(8,0,0),MOD(L183,1),TIME(17,0,0)),TIME(8,0,0)))-IF(AND(O183&lt;&gt;"",P183&lt;&gt;""),(((MAX(NETWORKDAYS(O183,P183,UKBankHolidays)-1,0))*(TIME(17,0,0)-TIME(8,0,0)))+IF(NETWORKDAYS(P183,P183,UKBankHolidays)&gt;0,MEDIAN(TIME(8,0,0),MOD(P183,1),TIME(17,0,0)),TIME(8,0,0))-IF(NETWORKDAYS(O183,O183,UKBankHolidays)&gt;0,MEDIAN(TIME(8,0,0),MOD(O183,1),TIME(17,0,0)),TIME(8,0,0))),0),AND(L183&lt;&gt;"",N183="",O183=""),(((MAX(NETWORKDAYS(L183,NOW(),UKBankHolidays)-1,0))*(TIME(17,0,0)-TIME(8,0,0)))+IF(NETWORKDAYS(NOW(),NOW(),UKBankHolidays)&gt;0,MEDIAN(TIME(8,0,0),MOD(NOW(),1),TIME(17,0,0)),TIME(8,0,0))-IF(NETWORKDAYS(L183,L183,UKBankHolidays)&gt;0,MEDIAN(TIME(8,0,0),MOD(L183,1),TIME(17,0,0)),TIME(8,0,0)))-IF(AND(O183&lt;&gt;"",P183&lt;&gt;""),(((MAX(NETWORKDAYS(O183,P183,UKBankHolidays)-1,0))*(TIME(17,0,0)-TIME(8,0,0)))+IF(NETWORKDAYS(P183,P183,UKBankHolidays)&gt;0,MEDIAN(TIME(8,0,0),MOD(P183,1),TIME(17,0,0)),TIME(8,0,0))-IF(NETWORKDAYS(O183,O183,UKBankHolidays)&gt;0,MEDIAN(TIME(8,0,0),MOD(O183,1),TIME(17,0,0)),TIME(8,0,0))),0),AND(L183&lt;&gt;"",N183="",P183="",O183&lt;&gt;""),(((MAX(NETWORKDAYS(L183,O183,UKBankHolidays)-1,0))*(TIME(17,0,0)-TIME(8,0,0)))+IF(NETWORKDAYS(O183,O183,UKBankHolidays)&gt;0,MEDIAN(TIME(8,0,0),MOD(O183,1),TIME(17,0,0)),TIME(8,0,0))-IF(NETWORKDAYS(L183,L183,UKBankHolidays)&gt;0,MEDIAN(TIME(8,0,0),MOD(L183,1),TIME(17,0,0)),TIME(8,0,0))),ISBLANK(K183),"0")),IF(ISBLANK(N183),NOW()-L183,N183-L183))</f>
        <v>0.44374999999854481</v>
      </c>
      <c r="AC183" s="168">
        <f t="shared" ca="1" si="23"/>
        <v>1.1833333333294529</v>
      </c>
      <c r="AD183" s="191">
        <f t="shared" ca="1" si="24"/>
        <v>1.0416666664241347E-2</v>
      </c>
      <c r="AE183" s="167">
        <f t="shared" ca="1" si="25"/>
        <v>0.44374999999854481</v>
      </c>
      <c r="AF183" s="168">
        <f t="shared" ca="1" si="26"/>
        <v>1.1833333333294529</v>
      </c>
      <c r="AG183" s="168">
        <f t="shared" ca="1" si="27"/>
        <v>1.1833333333294529</v>
      </c>
      <c r="AH183" s="81" t="str" cm="1">
        <f t="array" aca="1" ref="AH183" ca="1">IF((AD183) &lt; (INDEX(ResponseSLA[#All],(MATCH((G183),ResponseSLA[Priority],0))+1,3)),"YES","No")</f>
        <v>YES</v>
      </c>
      <c r="AI183" s="81" t="str">
        <f ca="1">_xlfn.IFNA(IF(AE183 &lt; (INDEX(SLATable[Minimum SLA],MATCH(G183,SLATable[Priority],0))),"YES","NO"),"")</f>
        <v>YES</v>
      </c>
      <c r="AJ183" s="19" t="str">
        <f ca="1">_xlfn.IFNA(IF(AE183 &lt; (INDEX(SLATable[Maximum SLA],MATCH(G183,SLATable[Priority],0))),"YES","NO"),"")</f>
        <v>YES</v>
      </c>
    </row>
    <row r="184" spans="1:36" ht="15" customHeight="1">
      <c r="A184" s="78">
        <v>183</v>
      </c>
      <c r="B184" s="78" t="s">
        <v>26</v>
      </c>
      <c r="C184" s="78" t="s">
        <v>33</v>
      </c>
      <c r="D184" s="78" t="s">
        <v>207</v>
      </c>
      <c r="E184" s="184" t="s">
        <v>766</v>
      </c>
      <c r="F184" s="78" t="s">
        <v>280</v>
      </c>
      <c r="G184" s="78">
        <v>3</v>
      </c>
      <c r="H184" s="86" t="s">
        <v>767</v>
      </c>
      <c r="I184" s="78" t="s">
        <v>275</v>
      </c>
      <c r="J184" s="86" t="s">
        <v>513</v>
      </c>
      <c r="K184" s="277">
        <v>46204.675694444442</v>
      </c>
      <c r="L184" s="277">
        <v>46205.935416666667</v>
      </c>
      <c r="M184" s="277">
        <v>46205.935416666667</v>
      </c>
      <c r="N184" s="277">
        <v>46206.540925925925</v>
      </c>
      <c r="O184" s="80"/>
      <c r="P184" s="80"/>
      <c r="Q184" s="78" t="s">
        <v>514</v>
      </c>
      <c r="R184" s="78" t="s">
        <v>261</v>
      </c>
      <c r="S184" s="78" t="s">
        <v>181</v>
      </c>
      <c r="T184" s="78"/>
      <c r="U184" s="78" t="s">
        <v>371</v>
      </c>
      <c r="V184" s="78"/>
      <c r="W184" s="78"/>
      <c r="X184" s="78"/>
      <c r="Y184" s="78"/>
      <c r="Z184" s="167">
        <f t="shared" ca="1" si="30"/>
        <v>0.61523148148262408</v>
      </c>
      <c r="AA184" s="168">
        <f t="shared" ca="1" si="21"/>
        <v>1.6406172839536641</v>
      </c>
      <c r="AB184" s="167">
        <f t="shared" ca="1" si="31"/>
        <v>0.20759259259163321</v>
      </c>
      <c r="AC184" s="168">
        <f t="shared" ca="1" si="23"/>
        <v>0.55358024691102192</v>
      </c>
      <c r="AD184" s="191">
        <f t="shared" ca="1" si="24"/>
        <v>0</v>
      </c>
      <c r="AE184" s="167">
        <f t="shared" ca="1" si="25"/>
        <v>0.20759259259163321</v>
      </c>
      <c r="AF184" s="168">
        <f t="shared" ca="1" si="26"/>
        <v>0.55358024691102192</v>
      </c>
      <c r="AG184" s="168">
        <f t="shared" ca="1" si="27"/>
        <v>0.55358024691102192</v>
      </c>
      <c r="AH184" s="81" t="str" cm="1">
        <f t="array" aca="1" ref="AH184" ca="1">IF((AD184) &lt; (INDEX(ResponseSLA[#All],(MATCH((G184),ResponseSLA[Priority],0))+1,3)),"YES","No")</f>
        <v>YES</v>
      </c>
      <c r="AI184" s="81" t="str">
        <f ca="1">_xlfn.IFNA(IF(AE184 &lt; (INDEX(SLATable[Minimum SLA],MATCH(G184,SLATable[Priority],0))),"YES","NO"),"")</f>
        <v>YES</v>
      </c>
      <c r="AJ184" s="19" t="str">
        <f ca="1">_xlfn.IFNA(IF(AE184 &lt; (INDEX(SLATable[Maximum SLA],MATCH(G184,SLATable[Priority],0))),"YES","NO"),"")</f>
        <v>YES</v>
      </c>
    </row>
    <row r="185" spans="1:36" ht="15" customHeight="1">
      <c r="A185" s="78">
        <v>184</v>
      </c>
      <c r="B185" s="78" t="s">
        <v>26</v>
      </c>
      <c r="C185" s="78" t="s">
        <v>31</v>
      </c>
      <c r="D185" s="78" t="s">
        <v>208</v>
      </c>
      <c r="E185" s="184" t="s">
        <v>768</v>
      </c>
      <c r="F185" s="78" t="s">
        <v>30</v>
      </c>
      <c r="G185" s="78" t="s">
        <v>208</v>
      </c>
      <c r="H185" s="86" t="s">
        <v>769</v>
      </c>
      <c r="I185" s="78" t="s">
        <v>271</v>
      </c>
      <c r="J185" s="86" t="s">
        <v>389</v>
      </c>
      <c r="K185" s="277">
        <v>46204.654340277775</v>
      </c>
      <c r="L185" s="277">
        <v>46205.410277777781</v>
      </c>
      <c r="M185" s="277">
        <v>46205.425821759258</v>
      </c>
      <c r="N185" s="277">
        <v>46205.426724537036</v>
      </c>
      <c r="O185" s="80"/>
      <c r="P185" s="80"/>
      <c r="Q185" s="78" t="s">
        <v>770</v>
      </c>
      <c r="R185" s="78" t="s">
        <v>276</v>
      </c>
      <c r="S185" s="78" t="s">
        <v>179</v>
      </c>
      <c r="T185" s="78"/>
      <c r="U185" s="78" t="s">
        <v>371</v>
      </c>
      <c r="V185" s="78"/>
      <c r="W185" s="78"/>
      <c r="X185" s="78"/>
      <c r="Y185" s="78"/>
      <c r="Z185" s="167">
        <f t="shared" ca="1" si="30"/>
        <v>0.14738425926043419</v>
      </c>
      <c r="AA185" s="168">
        <f t="shared" ca="1" si="21"/>
        <v>0.39302469136115786</v>
      </c>
      <c r="AB185" s="167">
        <f t="shared" ca="1" si="31"/>
        <v>1.6446759254904464E-2</v>
      </c>
      <c r="AC185" s="168">
        <f t="shared" ca="1" si="23"/>
        <v>4.3858024679745235E-2</v>
      </c>
      <c r="AD185" s="191">
        <f t="shared" ca="1" si="24"/>
        <v>1.5543981477094349E-2</v>
      </c>
      <c r="AE185" s="167">
        <f t="shared" ca="1" si="25"/>
        <v>1.6446759254904464E-2</v>
      </c>
      <c r="AF185" s="168">
        <f t="shared" ca="1" si="26"/>
        <v>4.3858024679745235E-2</v>
      </c>
      <c r="AG185" s="168">
        <f t="shared" ca="1" si="27"/>
        <v>4.3858024679745235E-2</v>
      </c>
      <c r="AH185" s="81" t="str" cm="1">
        <f t="array" aca="1" ref="AH185" ca="1">IF((AD185) &lt; (INDEX(ResponseSLA[#All],(MATCH((G185),ResponseSLA[Priority],0))+1,3)),"YES","No")</f>
        <v>YES</v>
      </c>
      <c r="AI185" s="81" t="str">
        <f ca="1">_xlfn.IFNA(IF(AE185 &lt; (INDEX(SLATable[Minimum SLA],MATCH(G185,SLATable[Priority],0))),"YES","NO"),"")</f>
        <v>YES</v>
      </c>
      <c r="AJ185" s="19" t="str">
        <f ca="1">_xlfn.IFNA(IF(AE185 &lt; (INDEX(SLATable[Maximum SLA],MATCH(G185,SLATable[Priority],0))),"YES","NO"),"")</f>
        <v>YES</v>
      </c>
    </row>
    <row r="186" spans="1:36" ht="15" customHeight="1">
      <c r="A186" s="78">
        <v>185</v>
      </c>
      <c r="B186" s="78" t="s">
        <v>26</v>
      </c>
      <c r="C186" s="78" t="s">
        <v>31</v>
      </c>
      <c r="D186" s="78" t="s">
        <v>208</v>
      </c>
      <c r="E186" s="184" t="s">
        <v>771</v>
      </c>
      <c r="F186" s="78" t="s">
        <v>30</v>
      </c>
      <c r="G186" s="78" t="s">
        <v>208</v>
      </c>
      <c r="H186" s="86" t="s">
        <v>772</v>
      </c>
      <c r="I186" s="78" t="s">
        <v>275</v>
      </c>
      <c r="J186" s="86" t="s">
        <v>389</v>
      </c>
      <c r="K186" s="277">
        <v>46204.285266203704</v>
      </c>
      <c r="L186" s="277">
        <v>46204.285266203704</v>
      </c>
      <c r="M186" s="277">
        <v>46204.285810185182</v>
      </c>
      <c r="N186" s="277">
        <v>46204.346967592595</v>
      </c>
      <c r="O186" s="80"/>
      <c r="P186" s="80"/>
      <c r="Q186" s="78" t="s">
        <v>498</v>
      </c>
      <c r="R186" s="78" t="s">
        <v>261</v>
      </c>
      <c r="S186" s="78" t="s">
        <v>179</v>
      </c>
      <c r="T186" s="78"/>
      <c r="U186" s="78" t="s">
        <v>371</v>
      </c>
      <c r="V186" s="78"/>
      <c r="W186" s="78"/>
      <c r="X186" s="78"/>
      <c r="Y186" s="78"/>
      <c r="Z186" s="167">
        <f t="shared" ca="1" si="30"/>
        <v>1.3634259261986414E-2</v>
      </c>
      <c r="AA186" s="168">
        <f t="shared" ca="1" si="21"/>
        <v>3.6358024698630441E-2</v>
      </c>
      <c r="AB186" s="167">
        <f t="shared" ca="1" si="31"/>
        <v>1.3634259261986414E-2</v>
      </c>
      <c r="AC186" s="168">
        <f t="shared" ca="1" si="23"/>
        <v>3.6358024698630441E-2</v>
      </c>
      <c r="AD186" s="191">
        <f t="shared" ca="1" si="24"/>
        <v>0</v>
      </c>
      <c r="AE186" s="167">
        <f t="shared" ca="1" si="25"/>
        <v>1.3634259261986414E-2</v>
      </c>
      <c r="AF186" s="168">
        <f t="shared" ca="1" si="26"/>
        <v>3.6358024698630441E-2</v>
      </c>
      <c r="AG186" s="168">
        <f t="shared" ca="1" si="27"/>
        <v>3.6358024698630441E-2</v>
      </c>
      <c r="AH186" s="81" t="str" cm="1">
        <f t="array" aca="1" ref="AH186" ca="1">IF((AD186) &lt; (INDEX(ResponseSLA[#All],(MATCH((G186),ResponseSLA[Priority],0))+1,3)),"YES","No")</f>
        <v>YES</v>
      </c>
      <c r="AI186" s="81" t="str">
        <f ca="1">_xlfn.IFNA(IF(AE186 &lt; (INDEX(SLATable[Minimum SLA],MATCH(G186,SLATable[Priority],0))),"YES","NO"),"")</f>
        <v>YES</v>
      </c>
      <c r="AJ186" s="19" t="str">
        <f ca="1">_xlfn.IFNA(IF(AE186 &lt; (INDEX(SLATable[Maximum SLA],MATCH(G186,SLATable[Priority],0))),"YES","NO"),"")</f>
        <v>YES</v>
      </c>
    </row>
    <row r="187" spans="1:36" ht="15" customHeight="1">
      <c r="A187" s="78">
        <v>186</v>
      </c>
      <c r="B187" s="78" t="s">
        <v>26</v>
      </c>
      <c r="C187" s="78" t="s">
        <v>31</v>
      </c>
      <c r="D187" s="78" t="s">
        <v>208</v>
      </c>
      <c r="E187" s="184" t="s">
        <v>773</v>
      </c>
      <c r="F187" s="78" t="s">
        <v>30</v>
      </c>
      <c r="G187" s="78" t="s">
        <v>208</v>
      </c>
      <c r="H187" s="86" t="s">
        <v>774</v>
      </c>
      <c r="I187" s="78" t="s">
        <v>271</v>
      </c>
      <c r="J187" s="86" t="s">
        <v>389</v>
      </c>
      <c r="K187" s="277">
        <v>46210.310717592591</v>
      </c>
      <c r="L187" s="277">
        <v>46210.310717592591</v>
      </c>
      <c r="M187" s="277">
        <v>46210.317662037036</v>
      </c>
      <c r="N187" s="277">
        <v>46210.484907407408</v>
      </c>
      <c r="O187" s="80">
        <v>46210.328159722223</v>
      </c>
      <c r="P187" s="277">
        <v>46210.484907407408</v>
      </c>
      <c r="Q187" s="78" t="s">
        <v>498</v>
      </c>
      <c r="R187" s="78" t="s">
        <v>267</v>
      </c>
      <c r="S187" s="78" t="s">
        <v>179</v>
      </c>
      <c r="T187" s="78"/>
      <c r="U187" s="78" t="s">
        <v>371</v>
      </c>
      <c r="V187" s="78"/>
      <c r="W187" s="78"/>
      <c r="X187" s="78"/>
      <c r="Y187" s="78"/>
      <c r="Z187" s="167">
        <f t="shared" ca="1" si="30"/>
        <v>0</v>
      </c>
      <c r="AA187" s="168">
        <f t="shared" ca="1" si="21"/>
        <v>0</v>
      </c>
      <c r="AB187" s="167">
        <f t="shared" ca="1" si="31"/>
        <v>0</v>
      </c>
      <c r="AC187" s="168">
        <f t="shared" ca="1" si="23"/>
        <v>0</v>
      </c>
      <c r="AD187" s="191">
        <f t="shared" ca="1" si="24"/>
        <v>0</v>
      </c>
      <c r="AE187" s="167">
        <f t="shared" ca="1" si="25"/>
        <v>0</v>
      </c>
      <c r="AF187" s="168">
        <f t="shared" ca="1" si="26"/>
        <v>0</v>
      </c>
      <c r="AG187" s="168">
        <f t="shared" ca="1" si="27"/>
        <v>0</v>
      </c>
      <c r="AH187" s="81" t="str" cm="1">
        <f t="array" aca="1" ref="AH187" ca="1">IF((AD187) &lt; (INDEX(ResponseSLA[#All],(MATCH((G187),ResponseSLA[Priority],0))+1,3)),"YES","No")</f>
        <v>YES</v>
      </c>
      <c r="AI187" s="81" t="str">
        <f ca="1">_xlfn.IFNA(IF(AE187 &lt; (INDEX(SLATable[Minimum SLA],MATCH(G187,SLATable[Priority],0))),"YES","NO"),"")</f>
        <v>YES</v>
      </c>
      <c r="AJ187" s="19" t="str">
        <f ca="1">_xlfn.IFNA(IF(AE187 &lt; (INDEX(SLATable[Maximum SLA],MATCH(G187,SLATable[Priority],0))),"YES","NO"),"")</f>
        <v>YES</v>
      </c>
    </row>
    <row r="188" spans="1:36" ht="15" customHeight="1">
      <c r="A188" s="78">
        <v>187</v>
      </c>
      <c r="B188" s="78" t="s">
        <v>26</v>
      </c>
      <c r="C188" s="78" t="s">
        <v>31</v>
      </c>
      <c r="D188" s="78" t="s">
        <v>208</v>
      </c>
      <c r="E188" s="184" t="s">
        <v>775</v>
      </c>
      <c r="F188" s="78" t="s">
        <v>30</v>
      </c>
      <c r="G188" s="78" t="s">
        <v>208</v>
      </c>
      <c r="H188" s="86" t="s">
        <v>776</v>
      </c>
      <c r="I188" s="78" t="s">
        <v>271</v>
      </c>
      <c r="J188" s="86" t="s">
        <v>389</v>
      </c>
      <c r="K188" s="277">
        <v>46210.313703703701</v>
      </c>
      <c r="L188" s="277">
        <v>46210.313703703701</v>
      </c>
      <c r="M188" s="277">
        <v>46210.317824074074</v>
      </c>
      <c r="N188" s="277">
        <v>46218.28125</v>
      </c>
      <c r="O188" s="80">
        <v>46210.333784722221</v>
      </c>
      <c r="P188" s="80">
        <v>46218.28125</v>
      </c>
      <c r="Q188" s="78" t="s">
        <v>498</v>
      </c>
      <c r="R188" s="78" t="s">
        <v>267</v>
      </c>
      <c r="S188" s="78" t="s">
        <v>179</v>
      </c>
      <c r="T188" s="78"/>
      <c r="U188" s="78" t="s">
        <v>371</v>
      </c>
      <c r="V188" s="78"/>
      <c r="W188" s="78"/>
      <c r="X188" s="78"/>
      <c r="Y188" s="78"/>
      <c r="Z188" s="167">
        <f t="shared" ca="1" si="30"/>
        <v>4.5138888769225005E-4</v>
      </c>
      <c r="AA188" s="168">
        <f t="shared" ca="1" si="21"/>
        <v>1.2037037005126667E-3</v>
      </c>
      <c r="AB188" s="167">
        <f t="shared" ca="1" si="31"/>
        <v>4.5138888769225005E-4</v>
      </c>
      <c r="AC188" s="168">
        <f t="shared" ca="1" si="23"/>
        <v>1.2037037005126667E-3</v>
      </c>
      <c r="AD188" s="191">
        <f t="shared" ca="1" si="24"/>
        <v>0</v>
      </c>
      <c r="AE188" s="167">
        <f t="shared" ca="1" si="25"/>
        <v>4.5138888769225005E-4</v>
      </c>
      <c r="AF188" s="168">
        <f t="shared" ca="1" si="26"/>
        <v>1.2037037005126667E-3</v>
      </c>
      <c r="AG188" s="168">
        <f t="shared" ca="1" si="27"/>
        <v>1.2037037005126667E-3</v>
      </c>
      <c r="AH188" s="81" t="str" cm="1">
        <f t="array" aca="1" ref="AH188" ca="1">IF((AD188) &lt; (INDEX(ResponseSLA[#All],(MATCH((G188),ResponseSLA[Priority],0))+1,3)),"YES","No")</f>
        <v>YES</v>
      </c>
      <c r="AI188" s="81" t="str">
        <f ca="1">_xlfn.IFNA(IF(AE188 &lt; (INDEX(SLATable[Minimum SLA],MATCH(G188,SLATable[Priority],0))),"YES","NO"),"")</f>
        <v>YES</v>
      </c>
      <c r="AJ188" s="19" t="str">
        <f ca="1">_xlfn.IFNA(IF(AE188 &lt; (INDEX(SLATable[Maximum SLA],MATCH(G188,SLATable[Priority],0))),"YES","NO"),"")</f>
        <v>YES</v>
      </c>
    </row>
    <row r="189" spans="1:36" ht="15" customHeight="1">
      <c r="A189" s="78">
        <v>188</v>
      </c>
      <c r="B189" s="78" t="s">
        <v>26</v>
      </c>
      <c r="C189" s="78" t="s">
        <v>31</v>
      </c>
      <c r="D189" s="78" t="s">
        <v>208</v>
      </c>
      <c r="E189" s="184" t="s">
        <v>777</v>
      </c>
      <c r="F189" s="78" t="s">
        <v>30</v>
      </c>
      <c r="G189" s="78" t="s">
        <v>208</v>
      </c>
      <c r="H189" s="86" t="s">
        <v>778</v>
      </c>
      <c r="I189" s="78" t="s">
        <v>271</v>
      </c>
      <c r="J189" s="86" t="s">
        <v>389</v>
      </c>
      <c r="K189" s="277">
        <v>46211.27306712963</v>
      </c>
      <c r="L189" s="277">
        <v>46211.27306712963</v>
      </c>
      <c r="M189" s="277">
        <v>46211.277962962966</v>
      </c>
      <c r="N189" s="277">
        <v>46227.563333333332</v>
      </c>
      <c r="O189" s="80">
        <v>46212.563078703701</v>
      </c>
      <c r="P189" s="277">
        <v>46227.563333333332</v>
      </c>
      <c r="Q189" s="78" t="s">
        <v>498</v>
      </c>
      <c r="R189" s="78" t="s">
        <v>267</v>
      </c>
      <c r="S189" s="78" t="s">
        <v>147</v>
      </c>
      <c r="T189" s="78"/>
      <c r="U189" s="78" t="s">
        <v>371</v>
      </c>
      <c r="V189" s="78"/>
      <c r="W189" s="78"/>
      <c r="X189" s="78"/>
      <c r="Y189" s="78"/>
      <c r="Z189" s="167">
        <f t="shared" ca="1" si="30"/>
        <v>0.60474537036740639</v>
      </c>
      <c r="AA189" s="168">
        <f t="shared" ca="1" si="21"/>
        <v>1.6126543209797504</v>
      </c>
      <c r="AB189" s="167">
        <f t="shared" ca="1" si="31"/>
        <v>0.60474537036740639</v>
      </c>
      <c r="AC189" s="168">
        <f t="shared" ca="1" si="23"/>
        <v>1.6126543209797504</v>
      </c>
      <c r="AD189" s="191">
        <f t="shared" ca="1" si="24"/>
        <v>0</v>
      </c>
      <c r="AE189" s="167">
        <f t="shared" ca="1" si="25"/>
        <v>0.60474537036740639</v>
      </c>
      <c r="AF189" s="168">
        <f t="shared" ca="1" si="26"/>
        <v>1.6126543209797504</v>
      </c>
      <c r="AG189" s="168">
        <f t="shared" ca="1" si="27"/>
        <v>1.6126543209797504</v>
      </c>
      <c r="AH189" s="81" t="str" cm="1">
        <f t="array" aca="1" ref="AH189" ca="1">IF((AD189) &lt; (INDEX(ResponseSLA[#All],(MATCH((G189),ResponseSLA[Priority],0))+1,3)),"YES","No")</f>
        <v>YES</v>
      </c>
      <c r="AI189" s="81" t="str">
        <f ca="1">_xlfn.IFNA(IF(AE189 &lt; (INDEX(SLATable[Minimum SLA],MATCH(G189,SLATable[Priority],0))),"YES","NO"),"")</f>
        <v>YES</v>
      </c>
      <c r="AJ189" s="19" t="str">
        <f ca="1">_xlfn.IFNA(IF(AE189 &lt; (INDEX(SLATable[Maximum SLA],MATCH(G189,SLATable[Priority],0))),"YES","NO"),"")</f>
        <v>YES</v>
      </c>
    </row>
    <row r="190" spans="1:36" ht="15" customHeight="1">
      <c r="A190" s="78">
        <v>189</v>
      </c>
      <c r="B190" s="78" t="s">
        <v>26</v>
      </c>
      <c r="C190" s="78" t="s">
        <v>31</v>
      </c>
      <c r="D190" s="78" t="s">
        <v>208</v>
      </c>
      <c r="E190" s="184" t="s">
        <v>779</v>
      </c>
      <c r="F190" s="78" t="s">
        <v>30</v>
      </c>
      <c r="G190" s="78" t="s">
        <v>208</v>
      </c>
      <c r="H190" s="86" t="s">
        <v>780</v>
      </c>
      <c r="I190" s="78" t="s">
        <v>271</v>
      </c>
      <c r="J190" s="86" t="s">
        <v>389</v>
      </c>
      <c r="K190" s="277">
        <v>46211.275810185187</v>
      </c>
      <c r="L190" s="277">
        <v>46211.275810185187</v>
      </c>
      <c r="M190" s="277">
        <v>46211.277708333335</v>
      </c>
      <c r="N190" s="277">
        <v>46212.328518518516</v>
      </c>
      <c r="O190" s="80"/>
      <c r="P190" s="80"/>
      <c r="Q190" s="78" t="s">
        <v>498</v>
      </c>
      <c r="R190" s="78" t="s">
        <v>267</v>
      </c>
      <c r="S190" s="78" t="s">
        <v>179</v>
      </c>
      <c r="T190" s="78"/>
      <c r="U190" s="78" t="s">
        <v>371</v>
      </c>
      <c r="V190" s="78"/>
      <c r="W190" s="78"/>
      <c r="X190" s="78"/>
      <c r="Y190" s="78"/>
      <c r="Z190" s="167">
        <f t="shared" ca="1" si="30"/>
        <v>0.37500000000000006</v>
      </c>
      <c r="AA190" s="168">
        <f t="shared" ca="1" si="21"/>
        <v>1.0000000000000002</v>
      </c>
      <c r="AB190" s="167">
        <f t="shared" ca="1" si="31"/>
        <v>0.37500000000000006</v>
      </c>
      <c r="AC190" s="168">
        <f t="shared" ca="1" si="23"/>
        <v>1.0000000000000002</v>
      </c>
      <c r="AD190" s="191">
        <f t="shared" ca="1" si="24"/>
        <v>0</v>
      </c>
      <c r="AE190" s="167">
        <f t="shared" ca="1" si="25"/>
        <v>0.37500000000000006</v>
      </c>
      <c r="AF190" s="168">
        <f t="shared" ca="1" si="26"/>
        <v>1.0000000000000002</v>
      </c>
      <c r="AG190" s="168">
        <f t="shared" ca="1" si="27"/>
        <v>1.0000000000000002</v>
      </c>
      <c r="AH190" s="81" t="str" cm="1">
        <f t="array" aca="1" ref="AH190" ca="1">IF((AD190) &lt; (INDEX(ResponseSLA[#All],(MATCH((G190),ResponseSLA[Priority],0))+1,3)),"YES","No")</f>
        <v>YES</v>
      </c>
      <c r="AI190" s="81" t="str">
        <f ca="1">_xlfn.IFNA(IF(AE190 &lt; (INDEX(SLATable[Minimum SLA],MATCH(G190,SLATable[Priority],0))),"YES","NO"),"")</f>
        <v>YES</v>
      </c>
      <c r="AJ190" s="19" t="str">
        <f ca="1">_xlfn.IFNA(IF(AE190 &lt; (INDEX(SLATable[Maximum SLA],MATCH(G190,SLATable[Priority],0))),"YES","NO"),"")</f>
        <v>YES</v>
      </c>
    </row>
    <row r="191" spans="1:36" ht="15" customHeight="1">
      <c r="A191" s="78">
        <v>190</v>
      </c>
      <c r="B191" s="78" t="s">
        <v>26</v>
      </c>
      <c r="C191" s="78" t="s">
        <v>33</v>
      </c>
      <c r="D191" s="78" t="s">
        <v>207</v>
      </c>
      <c r="E191" s="184" t="s">
        <v>781</v>
      </c>
      <c r="F191" s="78" t="s">
        <v>280</v>
      </c>
      <c r="G191" s="78">
        <v>3</v>
      </c>
      <c r="H191" s="252" t="s">
        <v>782</v>
      </c>
      <c r="I191" s="78" t="s">
        <v>275</v>
      </c>
      <c r="J191" s="86" t="s">
        <v>513</v>
      </c>
      <c r="K191" s="277">
        <v>46211.357638888891</v>
      </c>
      <c r="L191" s="277">
        <v>46211.481249999997</v>
      </c>
      <c r="M191" s="277">
        <v>46211.490972222222</v>
      </c>
      <c r="N191" s="277">
        <v>46212.439826388887</v>
      </c>
      <c r="O191" s="80"/>
      <c r="P191" s="80"/>
      <c r="Q191" s="78" t="s">
        <v>514</v>
      </c>
      <c r="R191" s="78" t="s">
        <v>261</v>
      </c>
      <c r="S191" s="78" t="s">
        <v>175</v>
      </c>
      <c r="T191" s="78"/>
      <c r="U191" s="78" t="s">
        <v>371</v>
      </c>
      <c r="V191" s="78"/>
      <c r="W191" s="78"/>
      <c r="X191" s="78"/>
      <c r="Y191" s="78"/>
      <c r="Z191" s="167">
        <f t="shared" ca="1" si="30"/>
        <v>0.45718749999650754</v>
      </c>
      <c r="AA191" s="168">
        <f t="shared" ca="1" si="21"/>
        <v>1.2191666666573535</v>
      </c>
      <c r="AB191" s="167">
        <f t="shared" ca="1" si="31"/>
        <v>0.33357638888992369</v>
      </c>
      <c r="AC191" s="168">
        <f t="shared" ca="1" si="23"/>
        <v>0.88953703703979647</v>
      </c>
      <c r="AD191" s="191">
        <f t="shared" ca="1" si="24"/>
        <v>9.7222222248092294E-3</v>
      </c>
      <c r="AE191" s="167">
        <f t="shared" ca="1" si="25"/>
        <v>0.33357638888992369</v>
      </c>
      <c r="AF191" s="168">
        <f t="shared" ca="1" si="26"/>
        <v>0.88953703703979647</v>
      </c>
      <c r="AG191" s="168">
        <f t="shared" ca="1" si="27"/>
        <v>0.88953703703979647</v>
      </c>
      <c r="AH191" s="81" t="str" cm="1">
        <f t="array" aca="1" ref="AH191" ca="1">IF((AD191) &lt; (INDEX(ResponseSLA[#All],(MATCH((G191),ResponseSLA[Priority],0))+1,3)),"YES","No")</f>
        <v>YES</v>
      </c>
      <c r="AI191" s="81" t="str">
        <f ca="1">_xlfn.IFNA(IF(AE191 &lt; (INDEX(SLATable[Minimum SLA],MATCH(G191,SLATable[Priority],0))),"YES","NO"),"")</f>
        <v>YES</v>
      </c>
      <c r="AJ191" s="19" t="str">
        <f ca="1">_xlfn.IFNA(IF(AE191 &lt; (INDEX(SLATable[Maximum SLA],MATCH(G191,SLATable[Priority],0))),"YES","NO"),"")</f>
        <v>YES</v>
      </c>
    </row>
    <row r="192" spans="1:36" ht="15" customHeight="1">
      <c r="A192" s="78">
        <v>191</v>
      </c>
      <c r="B192" s="78" t="s">
        <v>26</v>
      </c>
      <c r="C192" s="78" t="s">
        <v>33</v>
      </c>
      <c r="D192" s="78" t="s">
        <v>207</v>
      </c>
      <c r="E192" s="184" t="s">
        <v>783</v>
      </c>
      <c r="F192" s="78" t="s">
        <v>280</v>
      </c>
      <c r="G192" s="78">
        <v>4</v>
      </c>
      <c r="H192" s="86" t="s">
        <v>784</v>
      </c>
      <c r="I192" s="78" t="s">
        <v>271</v>
      </c>
      <c r="J192" s="86" t="s">
        <v>506</v>
      </c>
      <c r="K192" s="277">
        <v>46198.4299537037</v>
      </c>
      <c r="L192" s="277">
        <v>46212.595949074072</v>
      </c>
      <c r="M192" s="277">
        <v>46213.234479166669</v>
      </c>
      <c r="N192" s="277">
        <v>46223.230185185188</v>
      </c>
      <c r="O192" s="80">
        <v>46219.331504629627</v>
      </c>
      <c r="P192" s="80">
        <v>46223.230185185188</v>
      </c>
      <c r="Q192" s="78" t="s">
        <v>514</v>
      </c>
      <c r="R192" s="78" t="s">
        <v>267</v>
      </c>
      <c r="S192" s="78" t="s">
        <v>175</v>
      </c>
      <c r="T192" s="78"/>
      <c r="U192" s="78" t="s">
        <v>371</v>
      </c>
      <c r="V192" s="78"/>
      <c r="W192" s="78"/>
      <c r="X192" s="78"/>
      <c r="Y192" s="78"/>
      <c r="Z192" s="167">
        <f t="shared" ca="1" si="30"/>
        <v>5.5283796296328855</v>
      </c>
      <c r="AA192" s="168">
        <f t="shared" ca="1" si="21"/>
        <v>14.742345679021026</v>
      </c>
      <c r="AB192" s="167">
        <f t="shared" ca="1" si="31"/>
        <v>1.6123842592617927</v>
      </c>
      <c r="AC192" s="168">
        <f t="shared" ca="1" si="23"/>
        <v>4.2996913580314473</v>
      </c>
      <c r="AD192" s="191">
        <f t="shared" ca="1" si="24"/>
        <v>0.11238425926179241</v>
      </c>
      <c r="AE192" s="167">
        <f t="shared" ca="1" si="25"/>
        <v>1.6123842592617927</v>
      </c>
      <c r="AF192" s="168">
        <f t="shared" ca="1" si="26"/>
        <v>4.2996913580314473</v>
      </c>
      <c r="AG192" s="168">
        <f t="shared" ca="1" si="27"/>
        <v>4.2996913580314473</v>
      </c>
      <c r="AH192" s="81" t="str" cm="1">
        <f t="array" aca="1" ref="AH192" ca="1">IF((AD192) &lt; (INDEX(ResponseSLA[#All],(MATCH((G192),ResponseSLA[Priority],0))+1,3)),"YES","No")</f>
        <v>YES</v>
      </c>
      <c r="AI192" s="81" t="str">
        <f ca="1">_xlfn.IFNA(IF(AE192 &lt; (INDEX(SLATable[Minimum SLA],MATCH(G192,SLATable[Priority],0))),"YES","NO"),"")</f>
        <v>YES</v>
      </c>
      <c r="AJ192" s="19" t="str">
        <f ca="1">_xlfn.IFNA(IF(AE192 &lt; (INDEX(SLATable[Maximum SLA],MATCH(G192,SLATable[Priority],0))),"YES","NO"),"")</f>
        <v>YES</v>
      </c>
    </row>
    <row r="193" spans="1:36" ht="15" customHeight="1">
      <c r="A193" s="78">
        <v>192</v>
      </c>
      <c r="B193" s="78" t="s">
        <v>26</v>
      </c>
      <c r="C193" s="78" t="s">
        <v>33</v>
      </c>
      <c r="D193" s="78" t="s">
        <v>207</v>
      </c>
      <c r="E193" s="184" t="s">
        <v>785</v>
      </c>
      <c r="F193" s="78" t="s">
        <v>280</v>
      </c>
      <c r="G193" s="78">
        <v>4</v>
      </c>
      <c r="H193" s="86" t="s">
        <v>529</v>
      </c>
      <c r="I193" s="78" t="s">
        <v>271</v>
      </c>
      <c r="J193" s="86" t="s">
        <v>513</v>
      </c>
      <c r="K193" s="277">
        <v>46216.104791666665</v>
      </c>
      <c r="L193" s="277">
        <v>46216.104791666665</v>
      </c>
      <c r="M193" s="277">
        <v>46216.226087962961</v>
      </c>
      <c r="N193" s="277">
        <v>46216.59101851852</v>
      </c>
      <c r="O193" s="80"/>
      <c r="P193" s="80"/>
      <c r="Q193" s="78" t="s">
        <v>514</v>
      </c>
      <c r="R193" s="78" t="s">
        <v>267</v>
      </c>
      <c r="S193" s="78" t="s">
        <v>193</v>
      </c>
      <c r="T193" s="78"/>
      <c r="U193" s="78" t="s">
        <v>371</v>
      </c>
      <c r="V193" s="78"/>
      <c r="W193" s="78"/>
      <c r="X193" s="78"/>
      <c r="Y193" s="78"/>
      <c r="Z193" s="167">
        <f t="shared" ca="1" si="30"/>
        <v>0.25768518518695299</v>
      </c>
      <c r="AA193" s="168">
        <f t="shared" ca="1" si="21"/>
        <v>0.68716049383187461</v>
      </c>
      <c r="AB193" s="167">
        <f t="shared" ca="1" si="31"/>
        <v>0.25768518518695299</v>
      </c>
      <c r="AC193" s="168">
        <f t="shared" ca="1" si="23"/>
        <v>0.68716049383187461</v>
      </c>
      <c r="AD193" s="191">
        <f t="shared" ca="1" si="24"/>
        <v>0</v>
      </c>
      <c r="AE193" s="167">
        <f t="shared" ca="1" si="25"/>
        <v>0.25768518518695299</v>
      </c>
      <c r="AF193" s="168">
        <f t="shared" ca="1" si="26"/>
        <v>0.68716049383187461</v>
      </c>
      <c r="AG193" s="168">
        <f t="shared" ca="1" si="27"/>
        <v>0.68716049383187461</v>
      </c>
      <c r="AH193" s="81" t="str" cm="1">
        <f t="array" aca="1" ref="AH193" ca="1">IF((AD193) &lt; (INDEX(ResponseSLA[#All],(MATCH((G193),ResponseSLA[Priority],0))+1,3)),"YES","No")</f>
        <v>YES</v>
      </c>
      <c r="AI193" s="81" t="str">
        <f ca="1">_xlfn.IFNA(IF(AE193 &lt; (INDEX(SLATable[Minimum SLA],MATCH(G193,SLATable[Priority],0))),"YES","NO"),"")</f>
        <v>YES</v>
      </c>
      <c r="AJ193" s="19" t="str">
        <f ca="1">_xlfn.IFNA(IF(AE193 &lt; (INDEX(SLATable[Maximum SLA],MATCH(G193,SLATable[Priority],0))),"YES","NO"),"")</f>
        <v>YES</v>
      </c>
    </row>
    <row r="194" spans="1:36" ht="15" customHeight="1">
      <c r="A194" s="78">
        <v>193</v>
      </c>
      <c r="B194" s="78" t="s">
        <v>26</v>
      </c>
      <c r="C194" s="78" t="s">
        <v>33</v>
      </c>
      <c r="D194" s="78" t="s">
        <v>208</v>
      </c>
      <c r="E194" s="184" t="s">
        <v>786</v>
      </c>
      <c r="F194" s="78" t="s">
        <v>280</v>
      </c>
      <c r="G194" s="78" t="s">
        <v>208</v>
      </c>
      <c r="H194" s="86" t="s">
        <v>787</v>
      </c>
      <c r="I194" s="78" t="s">
        <v>271</v>
      </c>
      <c r="J194" s="86" t="s">
        <v>513</v>
      </c>
      <c r="K194" s="277">
        <v>46216.572511574072</v>
      </c>
      <c r="L194" s="277">
        <v>46216.574131944442</v>
      </c>
      <c r="M194" s="277">
        <v>46216.591851851852</v>
      </c>
      <c r="N194" s="277">
        <v>46238.483182870368</v>
      </c>
      <c r="O194" s="80">
        <v>46223.483020833337</v>
      </c>
      <c r="P194" s="80">
        <v>46238.483182870368</v>
      </c>
      <c r="Q194" s="78" t="s">
        <v>514</v>
      </c>
      <c r="R194" s="78" t="s">
        <v>267</v>
      </c>
      <c r="S194" s="78" t="s">
        <v>175</v>
      </c>
      <c r="T194" s="78"/>
      <c r="U194" s="78" t="s">
        <v>371</v>
      </c>
      <c r="V194" s="78"/>
      <c r="W194" s="78"/>
      <c r="X194" s="78"/>
      <c r="Y194" s="78"/>
      <c r="Z194" s="167">
        <f t="shared" ca="1" si="30"/>
        <v>1.7855092592653818</v>
      </c>
      <c r="AA194" s="168">
        <f t="shared" ref="AA194:AA257" ca="1" si="32">(Z194*24)/9</f>
        <v>4.7613580247076852</v>
      </c>
      <c r="AB194" s="167">
        <f t="shared" ca="1" si="31"/>
        <v>1.7838888888945803</v>
      </c>
      <c r="AC194" s="168">
        <f t="shared" ref="AC194:AC257" ca="1" si="33">(AB194*24)/9</f>
        <v>4.7570370370522141</v>
      </c>
      <c r="AD194" s="191">
        <f t="shared" ref="AD194:AD257" ca="1" si="34">MAX(0,
IF(
OR(G194=1,G194=2),
IF(M194&lt;&gt;"",M194-L194,NOW()-L194),
IF(
M194&lt;&gt;"",
IF(
INT(L194)=INT(M194),
IF(
NETWORKDAYS(L194,L194,UKBankHolidays)=0,
0,
MAX(
0,
MIN(MOD(M194,1),TIME(17,0,0))
-
MAX(MOD(L194,1),TIME(8,0,0))
)
),
MAX(
0,
IF(
NETWORKDAYS(L194,L194,UKBankHolidays)&gt;0,
TIME(17,0,0)-MAX(MOD(L194,1),TIME(8,0,0)),
0
)
)
+
MAX(
0,
NETWORKDAYS(INT(L194)+1,INT(M194)-1,UKBankHolidays)
*(TIME(17,0,0)-TIME(8,0,0))
)
+
MAX(
0,
IF(
NETWORKDAYS(M194,M194,UKBankHolidays)&gt;0,
MIN(MOD(M194,1),TIME(17,0,0))-TIME(8,0,0),
0
)
)
),
IF(M194&lt;&gt;"",M194-L194,NOW()-L194)
)
)
)</f>
        <v>1.7719907409627922E-2</v>
      </c>
      <c r="AE194" s="167">
        <f t="shared" ref="AE194:AE257" ca="1" si="35">SUMIFS(AB:AB,E:E,E194)</f>
        <v>1.7838888888945803</v>
      </c>
      <c r="AF194" s="168">
        <f t="shared" ref="AF194:AF257" ca="1" si="36">(AE194*24)/9</f>
        <v>4.7570370370522141</v>
      </c>
      <c r="AG194" s="168">
        <f t="shared" ref="AG194:AG257" ca="1" si="37">AF194</f>
        <v>4.7570370370522141</v>
      </c>
      <c r="AH194" s="81" t="str" cm="1">
        <f t="array" aca="1" ref="AH194" ca="1">IF((AD194) &lt; (INDEX(ResponseSLA[#All],(MATCH((G194),ResponseSLA[Priority],0))+1,3)),"YES","No")</f>
        <v>YES</v>
      </c>
      <c r="AI194" s="81" t="str">
        <f ca="1">_xlfn.IFNA(IF(AE194 &lt; (INDEX(SLATable[Minimum SLA],MATCH(G194,SLATable[Priority],0))),"YES","NO"),"")</f>
        <v>NO</v>
      </c>
      <c r="AJ194" s="19" t="str">
        <f ca="1">_xlfn.IFNA(IF(AE194 &lt; (INDEX(SLATable[Maximum SLA],MATCH(G194,SLATable[Priority],0))),"YES","NO"),"")</f>
        <v>NO</v>
      </c>
    </row>
    <row r="195" spans="1:36" ht="15" customHeight="1">
      <c r="A195" s="78">
        <v>194</v>
      </c>
      <c r="B195" s="78" t="s">
        <v>26</v>
      </c>
      <c r="C195" s="78" t="s">
        <v>33</v>
      </c>
      <c r="D195" s="78" t="s">
        <v>208</v>
      </c>
      <c r="E195" s="184" t="s">
        <v>788</v>
      </c>
      <c r="F195" s="78" t="s">
        <v>280</v>
      </c>
      <c r="G195" s="78" t="s">
        <v>208</v>
      </c>
      <c r="H195" s="86" t="s">
        <v>789</v>
      </c>
      <c r="I195" s="78" t="s">
        <v>271</v>
      </c>
      <c r="J195" s="86" t="s">
        <v>513</v>
      </c>
      <c r="K195" s="277">
        <v>46217.508090277777</v>
      </c>
      <c r="L195" s="277">
        <v>46217.515682870369</v>
      </c>
      <c r="M195" s="277">
        <v>46217.519409722219</v>
      </c>
      <c r="N195" s="277">
        <v>46240.482638888891</v>
      </c>
      <c r="O195" s="80">
        <v>46225.482604166667</v>
      </c>
      <c r="P195" s="80">
        <v>46240.482638888891</v>
      </c>
      <c r="Q195" s="78" t="s">
        <v>514</v>
      </c>
      <c r="R195" s="78" t="s">
        <v>267</v>
      </c>
      <c r="S195" s="78" t="s">
        <v>175</v>
      </c>
      <c r="T195" s="78"/>
      <c r="U195" s="78" t="s">
        <v>371</v>
      </c>
      <c r="V195" s="78"/>
      <c r="W195" s="78"/>
      <c r="X195" s="78"/>
      <c r="Y195" s="78"/>
      <c r="Z195" s="167">
        <f t="shared" ca="1" si="30"/>
        <v>2.2245138888902147</v>
      </c>
      <c r="AA195" s="168">
        <f t="shared" ca="1" si="32"/>
        <v>5.9320370370405726</v>
      </c>
      <c r="AB195" s="167">
        <f t="shared" ca="1" si="31"/>
        <v>2.2169212962980964</v>
      </c>
      <c r="AC195" s="168">
        <f t="shared" ca="1" si="33"/>
        <v>5.9117901234615902</v>
      </c>
      <c r="AD195" s="191">
        <f t="shared" ca="1" si="34"/>
        <v>3.7268518499331549E-3</v>
      </c>
      <c r="AE195" s="167">
        <f t="shared" ca="1" si="35"/>
        <v>2.2169212962980964</v>
      </c>
      <c r="AF195" s="168">
        <f t="shared" ca="1" si="36"/>
        <v>5.9117901234615902</v>
      </c>
      <c r="AG195" s="168">
        <f t="shared" ca="1" si="37"/>
        <v>5.9117901234615902</v>
      </c>
      <c r="AH195" s="81" t="str" cm="1">
        <f t="array" aca="1" ref="AH195" ca="1">IF((AD195) &lt; (INDEX(ResponseSLA[#All],(MATCH((G195),ResponseSLA[Priority],0))+1,3)),"YES","No")</f>
        <v>YES</v>
      </c>
      <c r="AI195" s="81" t="str">
        <f ca="1">_xlfn.IFNA(IF(AE195 &lt; (INDEX(SLATable[Minimum SLA],MATCH(G195,SLATable[Priority],0))),"YES","NO"),"")</f>
        <v>NO</v>
      </c>
      <c r="AJ195" s="19" t="str">
        <f ca="1">_xlfn.IFNA(IF(AE195 &lt; (INDEX(SLATable[Maximum SLA],MATCH(G195,SLATable[Priority],0))),"YES","NO"),"")</f>
        <v>NO</v>
      </c>
    </row>
    <row r="196" spans="1:36" ht="15" customHeight="1">
      <c r="A196" s="78">
        <v>195</v>
      </c>
      <c r="B196" s="78" t="s">
        <v>26</v>
      </c>
      <c r="C196" s="78" t="s">
        <v>33</v>
      </c>
      <c r="D196" s="78" t="s">
        <v>208</v>
      </c>
      <c r="E196" s="184" t="s">
        <v>790</v>
      </c>
      <c r="F196" s="78" t="s">
        <v>274</v>
      </c>
      <c r="G196" s="78" t="s">
        <v>208</v>
      </c>
      <c r="H196" s="99" t="s">
        <v>791</v>
      </c>
      <c r="I196" s="78" t="s">
        <v>271</v>
      </c>
      <c r="J196" s="86" t="s">
        <v>474</v>
      </c>
      <c r="K196" s="277">
        <v>46204.416666666664</v>
      </c>
      <c r="L196" s="277">
        <v>46204.416666666664</v>
      </c>
      <c r="M196" s="277">
        <v>46204.421527777777</v>
      </c>
      <c r="N196" s="277">
        <v>46204.57708333333</v>
      </c>
      <c r="O196" s="80"/>
      <c r="P196" s="80"/>
      <c r="Q196" s="78" t="s">
        <v>686</v>
      </c>
      <c r="R196" s="198" t="s">
        <v>267</v>
      </c>
      <c r="S196" s="78" t="s">
        <v>139</v>
      </c>
      <c r="T196" s="78"/>
      <c r="U196" s="78" t="s">
        <v>371</v>
      </c>
      <c r="V196" s="78"/>
      <c r="W196" s="78"/>
      <c r="X196" s="78"/>
      <c r="Y196" s="78"/>
      <c r="Z196" s="167">
        <f t="shared" ca="1" si="30"/>
        <v>0.16041666666569654</v>
      </c>
      <c r="AA196" s="168">
        <f t="shared" ca="1" si="32"/>
        <v>0.42777777777519077</v>
      </c>
      <c r="AB196" s="167">
        <f t="shared" ca="1" si="31"/>
        <v>0.16041666666569654</v>
      </c>
      <c r="AC196" s="168">
        <f t="shared" ca="1" si="33"/>
        <v>0.42777777777519077</v>
      </c>
      <c r="AD196" s="191">
        <f t="shared" ca="1" si="34"/>
        <v>4.8611111124046147E-3</v>
      </c>
      <c r="AE196" s="167">
        <f t="shared" ca="1" si="35"/>
        <v>0.16041666666569654</v>
      </c>
      <c r="AF196" s="168">
        <f t="shared" ca="1" si="36"/>
        <v>0.42777777777519077</v>
      </c>
      <c r="AG196" s="168">
        <f t="shared" ca="1" si="37"/>
        <v>0.42777777777519077</v>
      </c>
      <c r="AH196" s="81" t="str" cm="1">
        <f t="array" aca="1" ref="AH196" ca="1">IF((AD196) &lt; (INDEX(ResponseSLA[#All],(MATCH((G196),ResponseSLA[Priority],0))+1,3)),"YES","No")</f>
        <v>YES</v>
      </c>
      <c r="AI196" s="81" t="str">
        <f ca="1">_xlfn.IFNA(IF(AE196 &lt; (INDEX(SLATable[Minimum SLA],MATCH(G196,SLATable[Priority],0))),"YES","NO"),"")</f>
        <v>YES</v>
      </c>
      <c r="AJ196" s="19" t="str">
        <f ca="1">_xlfn.IFNA(IF(AE196 &lt; (INDEX(SLATable[Maximum SLA],MATCH(G196,SLATable[Priority],0))),"YES","NO"),"")</f>
        <v>YES</v>
      </c>
    </row>
    <row r="197" spans="1:36" ht="15" customHeight="1">
      <c r="A197" s="78">
        <v>196</v>
      </c>
      <c r="B197" s="78" t="s">
        <v>26</v>
      </c>
      <c r="C197" s="78" t="s">
        <v>33</v>
      </c>
      <c r="D197" s="78" t="s">
        <v>208</v>
      </c>
      <c r="E197" s="184" t="s">
        <v>792</v>
      </c>
      <c r="F197" s="78" t="s">
        <v>274</v>
      </c>
      <c r="G197" s="78" t="s">
        <v>208</v>
      </c>
      <c r="H197" s="99" t="s">
        <v>793</v>
      </c>
      <c r="I197" s="78" t="s">
        <v>271</v>
      </c>
      <c r="J197" s="86" t="s">
        <v>592</v>
      </c>
      <c r="K197" s="277">
        <v>46210.606249999997</v>
      </c>
      <c r="L197" s="277">
        <v>46210.640972222223</v>
      </c>
      <c r="M197" s="277">
        <v>46210.65347222222</v>
      </c>
      <c r="N197" s="277">
        <v>46211.620138888888</v>
      </c>
      <c r="O197" s="80"/>
      <c r="P197" s="80"/>
      <c r="Q197" s="78"/>
      <c r="R197" s="78" t="s">
        <v>267</v>
      </c>
      <c r="S197" s="78" t="s">
        <v>179</v>
      </c>
      <c r="T197" s="78"/>
      <c r="U197" s="78" t="s">
        <v>371</v>
      </c>
      <c r="V197" s="78"/>
      <c r="W197" s="78"/>
      <c r="X197" s="78"/>
      <c r="Y197" s="78"/>
      <c r="Z197" s="167">
        <f t="shared" ca="1" si="30"/>
        <v>0.38888888889050577</v>
      </c>
      <c r="AA197" s="168">
        <f t="shared" ca="1" si="32"/>
        <v>1.0370370370413486</v>
      </c>
      <c r="AB197" s="167">
        <f t="shared" ca="1" si="31"/>
        <v>0.35416666666424135</v>
      </c>
      <c r="AC197" s="168">
        <f t="shared" ca="1" si="33"/>
        <v>0.94444444443797693</v>
      </c>
      <c r="AD197" s="191">
        <f t="shared" ca="1" si="34"/>
        <v>1.2499999997089617E-2</v>
      </c>
      <c r="AE197" s="167">
        <f t="shared" ca="1" si="35"/>
        <v>0.35416666666424135</v>
      </c>
      <c r="AF197" s="168">
        <f t="shared" ca="1" si="36"/>
        <v>0.94444444443797693</v>
      </c>
      <c r="AG197" s="168">
        <f t="shared" ca="1" si="37"/>
        <v>0.94444444443797693</v>
      </c>
      <c r="AH197" s="81" t="str" cm="1">
        <f t="array" aca="1" ref="AH197" ca="1">IF((AD197) &lt; (INDEX(ResponseSLA[#All],(MATCH((G197),ResponseSLA[Priority],0))+1,3)),"YES","No")</f>
        <v>YES</v>
      </c>
      <c r="AI197" s="81" t="str">
        <f ca="1">_xlfn.IFNA(IF(AE197 &lt; (INDEX(SLATable[Minimum SLA],MATCH(G197,SLATable[Priority],0))),"YES","NO"),"")</f>
        <v>YES</v>
      </c>
      <c r="AJ197" s="19" t="str">
        <f ca="1">_xlfn.IFNA(IF(AE197 &lt; (INDEX(SLATable[Maximum SLA],MATCH(G197,SLATable[Priority],0))),"YES","NO"),"")</f>
        <v>YES</v>
      </c>
    </row>
    <row r="198" spans="1:36" ht="15" customHeight="1">
      <c r="A198" s="78">
        <v>197</v>
      </c>
      <c r="B198" s="78" t="s">
        <v>26</v>
      </c>
      <c r="C198" s="78" t="s">
        <v>33</v>
      </c>
      <c r="D198" s="78" t="s">
        <v>208</v>
      </c>
      <c r="E198" s="184" t="s">
        <v>794</v>
      </c>
      <c r="F198" s="78" t="s">
        <v>274</v>
      </c>
      <c r="G198" s="78" t="s">
        <v>208</v>
      </c>
      <c r="H198" s="86" t="s">
        <v>795</v>
      </c>
      <c r="I198" s="78" t="s">
        <v>271</v>
      </c>
      <c r="J198" s="86" t="s">
        <v>467</v>
      </c>
      <c r="K198" s="277">
        <v>46211.613888888889</v>
      </c>
      <c r="L198" s="277">
        <v>46211.613888888889</v>
      </c>
      <c r="M198" s="277">
        <v>46211.616666666669</v>
      </c>
      <c r="N198" s="277">
        <v>46211.720138888886</v>
      </c>
      <c r="O198" s="80"/>
      <c r="P198" s="80"/>
      <c r="Q198" s="78" t="s">
        <v>796</v>
      </c>
      <c r="R198" s="78" t="s">
        <v>267</v>
      </c>
      <c r="S198" s="78" t="s">
        <v>167</v>
      </c>
      <c r="T198" s="78"/>
      <c r="U198" s="78" t="s">
        <v>371</v>
      </c>
      <c r="V198" s="78"/>
      <c r="W198" s="78"/>
      <c r="X198" s="78"/>
      <c r="Y198" s="78"/>
      <c r="Z198" s="167">
        <f t="shared" ca="1" si="30"/>
        <v>9.4444444444282794E-2</v>
      </c>
      <c r="AA198" s="168">
        <f t="shared" ca="1" si="32"/>
        <v>0.25185185185142078</v>
      </c>
      <c r="AB198" s="167">
        <f t="shared" ca="1" si="31"/>
        <v>9.4444444444282794E-2</v>
      </c>
      <c r="AC198" s="168">
        <f t="shared" ca="1" si="33"/>
        <v>0.25185185185142078</v>
      </c>
      <c r="AD198" s="191">
        <f t="shared" ca="1" si="34"/>
        <v>2.7777777795563452E-3</v>
      </c>
      <c r="AE198" s="167">
        <f t="shared" ca="1" si="35"/>
        <v>9.4444444444282794E-2</v>
      </c>
      <c r="AF198" s="168">
        <f t="shared" ca="1" si="36"/>
        <v>0.25185185185142078</v>
      </c>
      <c r="AG198" s="168">
        <f t="shared" ca="1" si="37"/>
        <v>0.25185185185142078</v>
      </c>
      <c r="AH198" s="81" t="str" cm="1">
        <f t="array" aca="1" ref="AH198" ca="1">IF((AD198) &lt; (INDEX(ResponseSLA[#All],(MATCH((G198),ResponseSLA[Priority],0))+1,3)),"YES","No")</f>
        <v>YES</v>
      </c>
      <c r="AI198" s="81" t="str">
        <f ca="1">_xlfn.IFNA(IF(AE198 &lt; (INDEX(SLATable[Minimum SLA],MATCH(G198,SLATable[Priority],0))),"YES","NO"),"")</f>
        <v>YES</v>
      </c>
      <c r="AJ198" s="19" t="str">
        <f ca="1">_xlfn.IFNA(IF(AE198 &lt; (INDEX(SLATable[Maximum SLA],MATCH(G198,SLATable[Priority],0))),"YES","NO"),"")</f>
        <v>YES</v>
      </c>
    </row>
    <row r="199" spans="1:36" ht="15" customHeight="1">
      <c r="A199" s="78">
        <v>198</v>
      </c>
      <c r="B199" s="78" t="s">
        <v>26</v>
      </c>
      <c r="C199" s="78" t="s">
        <v>33</v>
      </c>
      <c r="D199" s="78" t="s">
        <v>208</v>
      </c>
      <c r="E199" s="184" t="s">
        <v>797</v>
      </c>
      <c r="F199" s="78" t="s">
        <v>274</v>
      </c>
      <c r="G199" s="78" t="s">
        <v>208</v>
      </c>
      <c r="H199" s="86" t="s">
        <v>798</v>
      </c>
      <c r="I199" s="78" t="s">
        <v>271</v>
      </c>
      <c r="J199" s="86" t="s">
        <v>694</v>
      </c>
      <c r="K199" s="277">
        <v>46211.421527777777</v>
      </c>
      <c r="L199" s="277">
        <v>46211.443055555559</v>
      </c>
      <c r="M199" s="277">
        <v>46211.465277777781</v>
      </c>
      <c r="N199" s="277">
        <v>46212.572916666664</v>
      </c>
      <c r="O199" s="80"/>
      <c r="P199" s="80"/>
      <c r="Q199" s="78"/>
      <c r="R199" s="78" t="s">
        <v>267</v>
      </c>
      <c r="S199" s="78" t="s">
        <v>139</v>
      </c>
      <c r="T199" s="78"/>
      <c r="U199" s="78" t="s">
        <v>371</v>
      </c>
      <c r="V199" s="78"/>
      <c r="W199" s="78"/>
      <c r="X199" s="78"/>
      <c r="Y199" s="78"/>
      <c r="Z199" s="167">
        <f t="shared" ca="1" si="30"/>
        <v>0.52638888888759539</v>
      </c>
      <c r="AA199" s="168">
        <f t="shared" ca="1" si="32"/>
        <v>1.4037037037002544</v>
      </c>
      <c r="AB199" s="167">
        <f t="shared" ca="1" si="31"/>
        <v>0.50486111110512866</v>
      </c>
      <c r="AC199" s="168">
        <f t="shared" ca="1" si="33"/>
        <v>1.3462962962803431</v>
      </c>
      <c r="AD199" s="191">
        <f t="shared" ca="1" si="34"/>
        <v>2.2222222221898846E-2</v>
      </c>
      <c r="AE199" s="167">
        <f t="shared" ca="1" si="35"/>
        <v>0.50486111110512866</v>
      </c>
      <c r="AF199" s="168">
        <f t="shared" ca="1" si="36"/>
        <v>1.3462962962803431</v>
      </c>
      <c r="AG199" s="168">
        <f t="shared" ca="1" si="37"/>
        <v>1.3462962962803431</v>
      </c>
      <c r="AH199" s="81" t="str" cm="1">
        <f t="array" aca="1" ref="AH199" ca="1">IF((AD199) &lt; (INDEX(ResponseSLA[#All],(MATCH((G199),ResponseSLA[Priority],0))+1,3)),"YES","No")</f>
        <v>YES</v>
      </c>
      <c r="AI199" s="81" t="str">
        <f ca="1">_xlfn.IFNA(IF(AE199 &lt; (INDEX(SLATable[Minimum SLA],MATCH(G199,SLATable[Priority],0))),"YES","NO"),"")</f>
        <v>YES</v>
      </c>
      <c r="AJ199" s="19" t="str">
        <f ca="1">_xlfn.IFNA(IF(AE199 &lt; (INDEX(SLATable[Maximum SLA],MATCH(G199,SLATable[Priority],0))),"YES","NO"),"")</f>
        <v>YES</v>
      </c>
    </row>
    <row r="200" spans="1:36" ht="15" customHeight="1">
      <c r="A200" s="78">
        <v>199</v>
      </c>
      <c r="B200" s="78" t="s">
        <v>26</v>
      </c>
      <c r="C200" s="78" t="s">
        <v>33</v>
      </c>
      <c r="D200" s="78" t="s">
        <v>208</v>
      </c>
      <c r="E200" s="184" t="s">
        <v>799</v>
      </c>
      <c r="F200" s="78" t="s">
        <v>274</v>
      </c>
      <c r="G200" s="78" t="s">
        <v>208</v>
      </c>
      <c r="H200" s="86" t="s">
        <v>800</v>
      </c>
      <c r="I200" s="78" t="s">
        <v>271</v>
      </c>
      <c r="J200" s="86" t="s">
        <v>467</v>
      </c>
      <c r="K200" s="277">
        <v>46213.459722222222</v>
      </c>
      <c r="L200" s="277">
        <v>46213.461111111108</v>
      </c>
      <c r="M200" s="277">
        <v>46213.47152777778</v>
      </c>
      <c r="N200" s="277">
        <v>46218.494444444441</v>
      </c>
      <c r="O200" s="80"/>
      <c r="P200" s="80"/>
      <c r="Q200" s="78"/>
      <c r="R200" s="78" t="s">
        <v>267</v>
      </c>
      <c r="S200" s="78" t="s">
        <v>139</v>
      </c>
      <c r="T200" s="78"/>
      <c r="U200" s="78" t="s">
        <v>371</v>
      </c>
      <c r="V200" s="78"/>
      <c r="W200" s="78"/>
      <c r="X200" s="78"/>
      <c r="Y200" s="78"/>
      <c r="Z200" s="167">
        <f t="shared" ca="1" si="30"/>
        <v>1.1597222222189887</v>
      </c>
      <c r="AA200" s="168">
        <f t="shared" ca="1" si="32"/>
        <v>3.0925925925839701</v>
      </c>
      <c r="AB200" s="167">
        <f t="shared" ca="1" si="31"/>
        <v>1.1583333333328485</v>
      </c>
      <c r="AC200" s="168">
        <f t="shared" ca="1" si="33"/>
        <v>3.0888888888875963</v>
      </c>
      <c r="AD200" s="191">
        <f t="shared" ca="1" si="34"/>
        <v>1.0416666671517305E-2</v>
      </c>
      <c r="AE200" s="167">
        <f t="shared" ca="1" si="35"/>
        <v>1.1583333333328485</v>
      </c>
      <c r="AF200" s="168">
        <f t="shared" ca="1" si="36"/>
        <v>3.0888888888875963</v>
      </c>
      <c r="AG200" s="168">
        <f t="shared" ca="1" si="37"/>
        <v>3.0888888888875963</v>
      </c>
      <c r="AH200" s="81" t="str" cm="1">
        <f t="array" aca="1" ref="AH200" ca="1">IF((AD200) &lt; (INDEX(ResponseSLA[#All],(MATCH((G200),ResponseSLA[Priority],0))+1,3)),"YES","No")</f>
        <v>YES</v>
      </c>
      <c r="AI200" s="81" t="str">
        <f ca="1">_xlfn.IFNA(IF(AE200 &lt; (INDEX(SLATable[Minimum SLA],MATCH(G200,SLATable[Priority],0))),"YES","NO"),"")</f>
        <v>NO</v>
      </c>
      <c r="AJ200" s="19" t="str">
        <f ca="1">_xlfn.IFNA(IF(AE200 &lt; (INDEX(SLATable[Maximum SLA],MATCH(G200,SLATable[Priority],0))),"YES","NO"),"")</f>
        <v>NO</v>
      </c>
    </row>
    <row r="201" spans="1:36" ht="15" customHeight="1">
      <c r="A201" s="78">
        <v>200</v>
      </c>
      <c r="B201" s="78" t="s">
        <v>26</v>
      </c>
      <c r="C201" s="78" t="s">
        <v>33</v>
      </c>
      <c r="D201" s="78" t="s">
        <v>208</v>
      </c>
      <c r="E201" s="184" t="s">
        <v>801</v>
      </c>
      <c r="F201" s="78" t="s">
        <v>274</v>
      </c>
      <c r="G201" s="78" t="s">
        <v>208</v>
      </c>
      <c r="H201" s="86" t="s">
        <v>800</v>
      </c>
      <c r="I201" s="78" t="s">
        <v>271</v>
      </c>
      <c r="J201" s="86" t="s">
        <v>467</v>
      </c>
      <c r="K201" s="277">
        <v>46213.479166666664</v>
      </c>
      <c r="L201" s="269">
        <v>46213.480949074074</v>
      </c>
      <c r="M201" s="277">
        <v>46213.491666666669</v>
      </c>
      <c r="N201" s="277">
        <v>46216.394444444442</v>
      </c>
      <c r="O201" s="80"/>
      <c r="P201" s="80"/>
      <c r="Q201" s="78"/>
      <c r="R201" s="78" t="s">
        <v>267</v>
      </c>
      <c r="S201" s="78" t="s">
        <v>139</v>
      </c>
      <c r="T201" s="78"/>
      <c r="U201" s="78" t="s">
        <v>371</v>
      </c>
      <c r="V201" s="78"/>
      <c r="W201" s="78"/>
      <c r="X201" s="78"/>
      <c r="Y201" s="78"/>
      <c r="Z201" s="167">
        <f t="shared" ca="1" si="30"/>
        <v>0.29027777777810115</v>
      </c>
      <c r="AA201" s="168">
        <f t="shared" ca="1" si="32"/>
        <v>0.77407407407493645</v>
      </c>
      <c r="AB201" s="167">
        <f t="shared" ca="1" si="31"/>
        <v>0.28849537036876427</v>
      </c>
      <c r="AC201" s="168">
        <f t="shared" ca="1" si="33"/>
        <v>0.76932098765003809</v>
      </c>
      <c r="AD201" s="191">
        <f t="shared" ca="1" si="34"/>
        <v>1.0717592595028691E-2</v>
      </c>
      <c r="AE201" s="167">
        <f t="shared" ca="1" si="35"/>
        <v>0.28849537036876427</v>
      </c>
      <c r="AF201" s="168">
        <f t="shared" ca="1" si="36"/>
        <v>0.76932098765003809</v>
      </c>
      <c r="AG201" s="168">
        <f t="shared" ca="1" si="37"/>
        <v>0.76932098765003809</v>
      </c>
      <c r="AH201" s="81" t="str" cm="1">
        <f t="array" aca="1" ref="AH201" ca="1">IF((AD201) &lt; (INDEX(ResponseSLA[#All],(MATCH((G201),ResponseSLA[Priority],0))+1,3)),"YES","No")</f>
        <v>YES</v>
      </c>
      <c r="AI201" s="81" t="str">
        <f ca="1">_xlfn.IFNA(IF(AE201 &lt; (INDEX(SLATable[Minimum SLA],MATCH(G201,SLATable[Priority],0))),"YES","NO"),"")</f>
        <v>YES</v>
      </c>
      <c r="AJ201" s="19" t="str">
        <f ca="1">_xlfn.IFNA(IF(AE201 &lt; (INDEX(SLATable[Maximum SLA],MATCH(G201,SLATable[Priority],0))),"YES","NO"),"")</f>
        <v>YES</v>
      </c>
    </row>
    <row r="202" spans="1:36" ht="15" customHeight="1">
      <c r="A202" s="78">
        <v>201</v>
      </c>
      <c r="B202" s="78" t="s">
        <v>26</v>
      </c>
      <c r="C202" s="78" t="s">
        <v>33</v>
      </c>
      <c r="D202" s="78" t="s">
        <v>208</v>
      </c>
      <c r="E202" s="184" t="s">
        <v>802</v>
      </c>
      <c r="F202" s="78" t="s">
        <v>274</v>
      </c>
      <c r="G202" s="78" t="s">
        <v>208</v>
      </c>
      <c r="H202" s="86" t="s">
        <v>800</v>
      </c>
      <c r="I202" s="78" t="s">
        <v>271</v>
      </c>
      <c r="J202" s="86" t="s">
        <v>467</v>
      </c>
      <c r="K202" s="277">
        <v>46213.463888888888</v>
      </c>
      <c r="L202" s="277">
        <v>46213.464583333334</v>
      </c>
      <c r="M202" s="277">
        <v>46213.46597222222</v>
      </c>
      <c r="N202" s="277">
        <v>46218.418055555558</v>
      </c>
      <c r="O202" s="80"/>
      <c r="P202" s="80"/>
      <c r="Q202" s="78"/>
      <c r="R202" s="78" t="s">
        <v>267</v>
      </c>
      <c r="S202" s="78" t="s">
        <v>139</v>
      </c>
      <c r="T202" s="78"/>
      <c r="U202" s="78" t="s">
        <v>371</v>
      </c>
      <c r="V202" s="78"/>
      <c r="W202" s="78"/>
      <c r="X202" s="78"/>
      <c r="Y202" s="78"/>
      <c r="Z202" s="167">
        <f t="shared" ca="1" si="30"/>
        <v>1.0791666666700623</v>
      </c>
      <c r="AA202" s="168">
        <f t="shared" ca="1" si="32"/>
        <v>2.8777777777868332</v>
      </c>
      <c r="AB202" s="167">
        <f t="shared" ca="1" si="31"/>
        <v>1.0784722222233543</v>
      </c>
      <c r="AC202" s="168">
        <f t="shared" ca="1" si="33"/>
        <v>2.8759259259289447</v>
      </c>
      <c r="AD202" s="191">
        <f t="shared" ca="1" si="34"/>
        <v>1.3888888861401938E-3</v>
      </c>
      <c r="AE202" s="167">
        <f t="shared" ca="1" si="35"/>
        <v>1.0784722222233543</v>
      </c>
      <c r="AF202" s="168">
        <f t="shared" ca="1" si="36"/>
        <v>2.8759259259289447</v>
      </c>
      <c r="AG202" s="168">
        <f t="shared" ca="1" si="37"/>
        <v>2.8759259259289447</v>
      </c>
      <c r="AH202" s="81" t="str" cm="1">
        <f t="array" aca="1" ref="AH202" ca="1">IF((AD202) &lt; (INDEX(ResponseSLA[#All],(MATCH((G202),ResponseSLA[Priority],0))+1,3)),"YES","No")</f>
        <v>YES</v>
      </c>
      <c r="AI202" s="81" t="str">
        <f ca="1">_xlfn.IFNA(IF(AE202 &lt; (INDEX(SLATable[Minimum SLA],MATCH(G202,SLATable[Priority],0))),"YES","NO"),"")</f>
        <v>NO</v>
      </c>
      <c r="AJ202" s="19" t="str">
        <f ca="1">_xlfn.IFNA(IF(AE202 &lt; (INDEX(SLATable[Maximum SLA],MATCH(G202,SLATable[Priority],0))),"YES","NO"),"")</f>
        <v>NO</v>
      </c>
    </row>
    <row r="203" spans="1:36" ht="15" customHeight="1">
      <c r="A203" s="78">
        <v>202</v>
      </c>
      <c r="B203" s="78" t="s">
        <v>26</v>
      </c>
      <c r="C203" s="78" t="s">
        <v>33</v>
      </c>
      <c r="D203" s="78" t="s">
        <v>208</v>
      </c>
      <c r="E203" s="184" t="s">
        <v>803</v>
      </c>
      <c r="F203" s="78" t="s">
        <v>274</v>
      </c>
      <c r="G203" s="78" t="s">
        <v>208</v>
      </c>
      <c r="H203" s="86" t="s">
        <v>804</v>
      </c>
      <c r="I203" s="78" t="s">
        <v>271</v>
      </c>
      <c r="J203" s="86" t="s">
        <v>467</v>
      </c>
      <c r="K203" s="277">
        <v>46216.230555555558</v>
      </c>
      <c r="L203" s="277">
        <v>46216.231944444444</v>
      </c>
      <c r="M203" s="277">
        <v>46216.239583333336</v>
      </c>
      <c r="N203" s="277">
        <v>46218.415277777778</v>
      </c>
      <c r="O203" s="80"/>
      <c r="P203" s="80"/>
      <c r="Q203" s="78"/>
      <c r="R203" s="78" t="s">
        <v>267</v>
      </c>
      <c r="S203" s="78" t="s">
        <v>139</v>
      </c>
      <c r="T203" s="78"/>
      <c r="U203" s="78" t="s">
        <v>371</v>
      </c>
      <c r="V203" s="78"/>
      <c r="W203" s="78"/>
      <c r="X203" s="78"/>
      <c r="Y203" s="78"/>
      <c r="Z203" s="167">
        <f t="shared" ca="1" si="30"/>
        <v>0.83194444444476789</v>
      </c>
      <c r="AA203" s="168">
        <f t="shared" ca="1" si="32"/>
        <v>2.2185185185193808</v>
      </c>
      <c r="AB203" s="167">
        <f t="shared" ca="1" si="31"/>
        <v>0.83194444444476789</v>
      </c>
      <c r="AC203" s="168">
        <f t="shared" ca="1" si="33"/>
        <v>2.2185185185193808</v>
      </c>
      <c r="AD203" s="191">
        <f t="shared" ca="1" si="34"/>
        <v>0</v>
      </c>
      <c r="AE203" s="167">
        <f t="shared" ca="1" si="35"/>
        <v>0.83194444444476789</v>
      </c>
      <c r="AF203" s="168">
        <f t="shared" ca="1" si="36"/>
        <v>2.2185185185193808</v>
      </c>
      <c r="AG203" s="168">
        <f t="shared" ca="1" si="37"/>
        <v>2.2185185185193808</v>
      </c>
      <c r="AH203" s="81" t="str" cm="1">
        <f t="array" aca="1" ref="AH203" ca="1">IF((AD203) &lt; (INDEX(ResponseSLA[#All],(MATCH((G203),ResponseSLA[Priority],0))+1,3)),"YES","No")</f>
        <v>YES</v>
      </c>
      <c r="AI203" s="81" t="str">
        <f ca="1">_xlfn.IFNA(IF(AE203 &lt; (INDEX(SLATable[Minimum SLA],MATCH(G203,SLATable[Priority],0))),"YES","NO"),"")</f>
        <v>NO</v>
      </c>
      <c r="AJ203" s="19" t="str">
        <f ca="1">_xlfn.IFNA(IF(AE203 &lt; (INDEX(SLATable[Maximum SLA],MATCH(G203,SLATable[Priority],0))),"YES","NO"),"")</f>
        <v>NO</v>
      </c>
    </row>
    <row r="204" spans="1:36" ht="15" customHeight="1">
      <c r="A204" s="78">
        <v>203</v>
      </c>
      <c r="B204" s="78" t="s">
        <v>26</v>
      </c>
      <c r="C204" s="78" t="s">
        <v>33</v>
      </c>
      <c r="D204" s="78" t="s">
        <v>208</v>
      </c>
      <c r="E204" s="184" t="s">
        <v>805</v>
      </c>
      <c r="F204" s="78" t="s">
        <v>274</v>
      </c>
      <c r="G204" s="78" t="s">
        <v>208</v>
      </c>
      <c r="H204" s="99" t="s">
        <v>806</v>
      </c>
      <c r="I204" s="78" t="s">
        <v>271</v>
      </c>
      <c r="J204" s="86" t="s">
        <v>467</v>
      </c>
      <c r="K204" s="277">
        <v>46216.234027777777</v>
      </c>
      <c r="L204" s="277">
        <v>46216.234027777777</v>
      </c>
      <c r="M204" s="277">
        <v>46216.261111111111</v>
      </c>
      <c r="N204" s="277">
        <v>46218.419444444444</v>
      </c>
      <c r="O204" s="80"/>
      <c r="P204" s="80"/>
      <c r="Q204" s="78"/>
      <c r="R204" s="78" t="s">
        <v>267</v>
      </c>
      <c r="S204" s="78" t="s">
        <v>139</v>
      </c>
      <c r="T204" s="78"/>
      <c r="U204" s="78" t="s">
        <v>371</v>
      </c>
      <c r="V204" s="78"/>
      <c r="W204" s="78"/>
      <c r="X204" s="78"/>
      <c r="Y204" s="78"/>
      <c r="Z204" s="167">
        <f t="shared" ca="1" si="30"/>
        <v>0.83611111111046443</v>
      </c>
      <c r="AA204" s="168">
        <f t="shared" ca="1" si="32"/>
        <v>2.229629629627905</v>
      </c>
      <c r="AB204" s="167">
        <f t="shared" ca="1" si="31"/>
        <v>0.83611111111046443</v>
      </c>
      <c r="AC204" s="168">
        <f t="shared" ca="1" si="33"/>
        <v>2.229629629627905</v>
      </c>
      <c r="AD204" s="191">
        <f t="shared" ca="1" si="34"/>
        <v>0</v>
      </c>
      <c r="AE204" s="167">
        <f t="shared" ca="1" si="35"/>
        <v>0.83611111111046443</v>
      </c>
      <c r="AF204" s="168">
        <f t="shared" ca="1" si="36"/>
        <v>2.229629629627905</v>
      </c>
      <c r="AG204" s="168">
        <f t="shared" ca="1" si="37"/>
        <v>2.229629629627905</v>
      </c>
      <c r="AH204" s="81" t="str" cm="1">
        <f t="array" aca="1" ref="AH204" ca="1">IF((AD204) &lt; (INDEX(ResponseSLA[#All],(MATCH((G204),ResponseSLA[Priority],0))+1,3)),"YES","No")</f>
        <v>YES</v>
      </c>
      <c r="AI204" s="81" t="str">
        <f ca="1">_xlfn.IFNA(IF(AE204 &lt; (INDEX(SLATable[Minimum SLA],MATCH(G204,SLATable[Priority],0))),"YES","NO"),"")</f>
        <v>NO</v>
      </c>
      <c r="AJ204" s="19" t="str">
        <f ca="1">_xlfn.IFNA(IF(AE204 &lt; (INDEX(SLATable[Maximum SLA],MATCH(G204,SLATable[Priority],0))),"YES","NO"),"")</f>
        <v>NO</v>
      </c>
    </row>
    <row r="205" spans="1:36" ht="15" customHeight="1">
      <c r="A205" s="78">
        <v>204</v>
      </c>
      <c r="B205" s="78" t="s">
        <v>26</v>
      </c>
      <c r="C205" s="78" t="s">
        <v>33</v>
      </c>
      <c r="D205" s="78" t="s">
        <v>207</v>
      </c>
      <c r="E205" s="184" t="s">
        <v>807</v>
      </c>
      <c r="F205" s="78" t="s">
        <v>274</v>
      </c>
      <c r="G205" s="78">
        <v>3</v>
      </c>
      <c r="H205" s="141" t="s">
        <v>808</v>
      </c>
      <c r="I205" s="78" t="s">
        <v>271</v>
      </c>
      <c r="J205" s="86" t="s">
        <v>694</v>
      </c>
      <c r="K205" s="277">
        <v>46211.846307870372</v>
      </c>
      <c r="L205" s="269">
        <v>46211.847372685188</v>
      </c>
      <c r="M205" s="277">
        <v>46211.849537037036</v>
      </c>
      <c r="N205" s="277">
        <v>46212.564502314817</v>
      </c>
      <c r="O205" s="80"/>
      <c r="P205" s="80"/>
      <c r="Q205" s="78"/>
      <c r="R205" s="78" t="s">
        <v>267</v>
      </c>
      <c r="S205" s="198" t="s">
        <v>193</v>
      </c>
      <c r="T205" s="78"/>
      <c r="U205" s="78" t="s">
        <v>371</v>
      </c>
      <c r="V205" s="78"/>
      <c r="W205" s="78"/>
      <c r="X205" s="78"/>
      <c r="Y205" s="78"/>
      <c r="Z205" s="167">
        <f t="shared" ca="1" si="30"/>
        <v>0.23116898148388521</v>
      </c>
      <c r="AA205" s="168">
        <f t="shared" ca="1" si="32"/>
        <v>0.61645061729036055</v>
      </c>
      <c r="AB205" s="167">
        <f t="shared" ca="1" si="31"/>
        <v>0.23116898148388521</v>
      </c>
      <c r="AC205" s="168">
        <f t="shared" ca="1" si="33"/>
        <v>0.61645061729036055</v>
      </c>
      <c r="AD205" s="191">
        <f t="shared" ca="1" si="34"/>
        <v>0</v>
      </c>
      <c r="AE205" s="167">
        <f t="shared" ca="1" si="35"/>
        <v>0.23116898148388521</v>
      </c>
      <c r="AF205" s="168">
        <f t="shared" ca="1" si="36"/>
        <v>0.61645061729036055</v>
      </c>
      <c r="AG205" s="168">
        <f t="shared" ca="1" si="37"/>
        <v>0.61645061729036055</v>
      </c>
      <c r="AH205" s="81" t="str" cm="1">
        <f t="array" aca="1" ref="AH205" ca="1">IF((AD205) &lt; (INDEX(ResponseSLA[#All],(MATCH((G205),ResponseSLA[Priority],0))+1,3)),"YES","No")</f>
        <v>YES</v>
      </c>
      <c r="AI205" s="81" t="str">
        <f ca="1">_xlfn.IFNA(IF(AE205 &lt; (INDEX(SLATable[Minimum SLA],MATCH(G205,SLATable[Priority],0))),"YES","NO"),"")</f>
        <v>YES</v>
      </c>
      <c r="AJ205" s="19" t="str">
        <f ca="1">_xlfn.IFNA(IF(AE205 &lt; (INDEX(SLATable[Maximum SLA],MATCH(G205,SLATable[Priority],0))),"YES","NO"),"")</f>
        <v>YES</v>
      </c>
    </row>
    <row r="206" spans="1:36" ht="15" customHeight="1">
      <c r="A206" s="78">
        <v>205</v>
      </c>
      <c r="B206" s="78" t="s">
        <v>26</v>
      </c>
      <c r="C206" s="78" t="s">
        <v>33</v>
      </c>
      <c r="D206" s="78" t="s">
        <v>207</v>
      </c>
      <c r="E206" s="184" t="s">
        <v>809</v>
      </c>
      <c r="F206" s="78" t="s">
        <v>274</v>
      </c>
      <c r="G206" s="78">
        <v>3</v>
      </c>
      <c r="H206" s="141" t="s">
        <v>810</v>
      </c>
      <c r="I206" s="78" t="s">
        <v>271</v>
      </c>
      <c r="J206" s="86" t="s">
        <v>474</v>
      </c>
      <c r="K206" s="277">
        <v>46212.364675925928</v>
      </c>
      <c r="L206" s="269">
        <v>46212.366423611114</v>
      </c>
      <c r="M206" s="277">
        <v>46212.374386574076</v>
      </c>
      <c r="N206" s="277">
        <v>46212.392245370371</v>
      </c>
      <c r="O206" s="80"/>
      <c r="P206" s="80"/>
      <c r="Q206" s="78"/>
      <c r="R206" s="78" t="s">
        <v>267</v>
      </c>
      <c r="S206" s="78" t="s">
        <v>193</v>
      </c>
      <c r="T206" s="78"/>
      <c r="U206" s="78" t="s">
        <v>371</v>
      </c>
      <c r="V206" s="78"/>
      <c r="W206" s="78"/>
      <c r="X206" s="78"/>
      <c r="Y206" s="78"/>
      <c r="Z206" s="167">
        <f t="shared" ca="1" si="30"/>
        <v>2.7569444442633539E-2</v>
      </c>
      <c r="AA206" s="168">
        <f t="shared" ca="1" si="32"/>
        <v>7.3518518513689443E-2</v>
      </c>
      <c r="AB206" s="167">
        <f t="shared" ca="1" si="31"/>
        <v>2.5821759256359655E-2</v>
      </c>
      <c r="AC206" s="168">
        <f t="shared" ca="1" si="33"/>
        <v>6.8858024683625743E-2</v>
      </c>
      <c r="AD206" s="191">
        <f t="shared" ca="1" si="34"/>
        <v>7.962962961755693E-3</v>
      </c>
      <c r="AE206" s="167">
        <f t="shared" ca="1" si="35"/>
        <v>2.5821759256359655E-2</v>
      </c>
      <c r="AF206" s="168">
        <f t="shared" ca="1" si="36"/>
        <v>6.8858024683625743E-2</v>
      </c>
      <c r="AG206" s="168">
        <f t="shared" ca="1" si="37"/>
        <v>6.8858024683625743E-2</v>
      </c>
      <c r="AH206" s="81" t="str" cm="1">
        <f t="array" aca="1" ref="AH206" ca="1">IF((AD206) &lt; (INDEX(ResponseSLA[#All],(MATCH((G206),ResponseSLA[Priority],0))+1,3)),"YES","No")</f>
        <v>YES</v>
      </c>
      <c r="AI206" s="81" t="str">
        <f ca="1">_xlfn.IFNA(IF(AE206 &lt; (INDEX(SLATable[Minimum SLA],MATCH(G206,SLATable[Priority],0))),"YES","NO"),"")</f>
        <v>YES</v>
      </c>
      <c r="AJ206" s="19" t="str">
        <f ca="1">_xlfn.IFNA(IF(AE206 &lt; (INDEX(SLATable[Maximum SLA],MATCH(G206,SLATable[Priority],0))),"YES","NO"),"")</f>
        <v>YES</v>
      </c>
    </row>
    <row r="207" spans="1:36" ht="15" customHeight="1">
      <c r="A207" s="78">
        <v>206</v>
      </c>
      <c r="B207" s="78" t="s">
        <v>26</v>
      </c>
      <c r="C207" s="78" t="s">
        <v>33</v>
      </c>
      <c r="D207" s="78" t="s">
        <v>207</v>
      </c>
      <c r="E207" s="184" t="s">
        <v>811</v>
      </c>
      <c r="F207" s="78" t="s">
        <v>274</v>
      </c>
      <c r="G207" s="78">
        <v>3</v>
      </c>
      <c r="H207" s="187" t="s">
        <v>812</v>
      </c>
      <c r="I207" s="78" t="s">
        <v>275</v>
      </c>
      <c r="J207" s="86" t="s">
        <v>467</v>
      </c>
      <c r="K207" s="277">
        <v>46220.328472222223</v>
      </c>
      <c r="L207" s="277">
        <v>46220.609722222223</v>
      </c>
      <c r="M207" s="277">
        <v>46220.611111111109</v>
      </c>
      <c r="N207" s="277">
        <v>46220.629861111112</v>
      </c>
      <c r="O207" s="80"/>
      <c r="P207" s="80"/>
      <c r="Q207" s="78"/>
      <c r="R207" s="78" t="s">
        <v>267</v>
      </c>
      <c r="S207" s="78" t="s">
        <v>193</v>
      </c>
      <c r="T207" s="78"/>
      <c r="U207" s="78" t="s">
        <v>371</v>
      </c>
      <c r="V207" s="78"/>
      <c r="W207" s="78"/>
      <c r="X207" s="78"/>
      <c r="Y207" s="78"/>
      <c r="Z207" s="167">
        <f t="shared" ca="1" si="30"/>
        <v>0.2965277777790713</v>
      </c>
      <c r="AA207" s="168">
        <f t="shared" ca="1" si="32"/>
        <v>0.7907407407441901</v>
      </c>
      <c r="AB207" s="167">
        <f t="shared" ca="1" si="31"/>
        <v>2.0138888889050577E-2</v>
      </c>
      <c r="AC207" s="168">
        <f t="shared" ca="1" si="33"/>
        <v>5.3703703704134874E-2</v>
      </c>
      <c r="AD207" s="191">
        <f t="shared" ca="1" si="34"/>
        <v>1.3888888861401938E-3</v>
      </c>
      <c r="AE207" s="167">
        <f t="shared" ca="1" si="35"/>
        <v>2.0138888889050577E-2</v>
      </c>
      <c r="AF207" s="168">
        <f t="shared" ca="1" si="36"/>
        <v>5.3703703704134874E-2</v>
      </c>
      <c r="AG207" s="168">
        <f t="shared" ca="1" si="37"/>
        <v>5.3703703704134874E-2</v>
      </c>
      <c r="AH207" s="81" t="str" cm="1">
        <f t="array" aca="1" ref="AH207" ca="1">IF((AD207) &lt; (INDEX(ResponseSLA[#All],(MATCH((G207),ResponseSLA[Priority],0))+1,3)),"YES","No")</f>
        <v>YES</v>
      </c>
      <c r="AI207" s="81" t="str">
        <f ca="1">_xlfn.IFNA(IF(AE207 &lt; (INDEX(SLATable[Minimum SLA],MATCH(G207,SLATable[Priority],0))),"YES","NO"),"")</f>
        <v>YES</v>
      </c>
      <c r="AJ207" s="19" t="str">
        <f ca="1">_xlfn.IFNA(IF(AE207 &lt; (INDEX(SLATable[Maximum SLA],MATCH(G207,SLATable[Priority],0))),"YES","NO"),"")</f>
        <v>YES</v>
      </c>
    </row>
    <row r="208" spans="1:36" ht="15" customHeight="1">
      <c r="A208" s="78">
        <v>207</v>
      </c>
      <c r="B208" s="78" t="s">
        <v>26</v>
      </c>
      <c r="C208" s="78" t="s">
        <v>33</v>
      </c>
      <c r="D208" s="78" t="s">
        <v>207</v>
      </c>
      <c r="E208" s="184" t="s">
        <v>813</v>
      </c>
      <c r="F208" s="78" t="s">
        <v>280</v>
      </c>
      <c r="G208" s="78">
        <v>4</v>
      </c>
      <c r="H208" s="86" t="s">
        <v>814</v>
      </c>
      <c r="I208" s="78" t="s">
        <v>275</v>
      </c>
      <c r="J208" s="86" t="s">
        <v>506</v>
      </c>
      <c r="K208" s="277">
        <v>46220.636759259258</v>
      </c>
      <c r="L208" s="277">
        <v>46220.636759259258</v>
      </c>
      <c r="M208" s="277">
        <v>46223.215752314813</v>
      </c>
      <c r="N208" s="277">
        <v>46223.467453703706</v>
      </c>
      <c r="O208" s="80"/>
      <c r="P208" s="80"/>
      <c r="Q208" s="78" t="s">
        <v>514</v>
      </c>
      <c r="R208" s="78" t="s">
        <v>267</v>
      </c>
      <c r="S208" s="78" t="s">
        <v>175</v>
      </c>
      <c r="T208" s="78"/>
      <c r="U208" s="78" t="s">
        <v>371</v>
      </c>
      <c r="V208" s="78"/>
      <c r="W208" s="78"/>
      <c r="X208" s="78"/>
      <c r="Y208" s="78"/>
      <c r="Z208" s="167">
        <f t="shared" ca="1" si="30"/>
        <v>0.20569444444845431</v>
      </c>
      <c r="AA208" s="168">
        <f t="shared" ca="1" si="32"/>
        <v>0.54851851852921152</v>
      </c>
      <c r="AB208" s="167">
        <f t="shared" ca="1" si="31"/>
        <v>0.20569444444845431</v>
      </c>
      <c r="AC208" s="168">
        <f t="shared" ca="1" si="33"/>
        <v>0.54851851852921152</v>
      </c>
      <c r="AD208" s="191">
        <f t="shared" ca="1" si="34"/>
        <v>7.1574074075518523E-2</v>
      </c>
      <c r="AE208" s="167">
        <f t="shared" ca="1" si="35"/>
        <v>0.20569444444845431</v>
      </c>
      <c r="AF208" s="168">
        <f t="shared" ca="1" si="36"/>
        <v>0.54851851852921152</v>
      </c>
      <c r="AG208" s="168">
        <f t="shared" ca="1" si="37"/>
        <v>0.54851851852921152</v>
      </c>
      <c r="AH208" s="81" t="str" cm="1">
        <f t="array" aca="1" ref="AH208" ca="1">IF((AD208) &lt; (INDEX(ResponseSLA[#All],(MATCH((G208),ResponseSLA[Priority],0))+1,3)),"YES","No")</f>
        <v>YES</v>
      </c>
      <c r="AI208" s="81" t="str">
        <f ca="1">_xlfn.IFNA(IF(AE208 &lt; (INDEX(SLATable[Minimum SLA],MATCH(G208,SLATable[Priority],0))),"YES","NO"),"")</f>
        <v>YES</v>
      </c>
      <c r="AJ208" s="19" t="str">
        <f ca="1">_xlfn.IFNA(IF(AE208 &lt; (INDEX(SLATable[Maximum SLA],MATCH(G208,SLATable[Priority],0))),"YES","NO"),"")</f>
        <v>YES</v>
      </c>
    </row>
    <row r="209" spans="1:36" ht="15" customHeight="1">
      <c r="A209" s="78">
        <v>208</v>
      </c>
      <c r="B209" s="78" t="s">
        <v>26</v>
      </c>
      <c r="C209" s="78" t="s">
        <v>33</v>
      </c>
      <c r="D209" s="78" t="s">
        <v>207</v>
      </c>
      <c r="E209" s="184" t="s">
        <v>815</v>
      </c>
      <c r="F209" s="78" t="s">
        <v>274</v>
      </c>
      <c r="G209" s="78">
        <v>3</v>
      </c>
      <c r="H209" s="275" t="s">
        <v>816</v>
      </c>
      <c r="I209" s="78" t="s">
        <v>275</v>
      </c>
      <c r="J209" s="86" t="s">
        <v>467</v>
      </c>
      <c r="K209" s="269">
        <v>46220.30605324074</v>
      </c>
      <c r="L209" s="269">
        <v>46220.644837962966</v>
      </c>
      <c r="M209" s="269">
        <v>46220.651967592596</v>
      </c>
      <c r="N209" s="269">
        <v>46220.689097222225</v>
      </c>
      <c r="O209" s="80"/>
      <c r="P209" s="80"/>
      <c r="Q209" s="78"/>
      <c r="R209" s="78" t="s">
        <v>267</v>
      </c>
      <c r="S209" s="78" t="s">
        <v>193</v>
      </c>
      <c r="T209" s="78"/>
      <c r="U209" s="78" t="s">
        <v>371</v>
      </c>
      <c r="V209" s="78"/>
      <c r="W209" s="78"/>
      <c r="X209" s="78"/>
      <c r="Y209" s="78"/>
      <c r="Z209" s="167">
        <f t="shared" ca="1" si="30"/>
        <v>0.35576388889118488</v>
      </c>
      <c r="AA209" s="168">
        <f t="shared" ca="1" si="32"/>
        <v>0.94870370370982626</v>
      </c>
      <c r="AB209" s="167">
        <f t="shared" ca="1" si="31"/>
        <v>4.4259259258979E-2</v>
      </c>
      <c r="AC209" s="168">
        <f t="shared" ca="1" si="33"/>
        <v>0.11802469135727733</v>
      </c>
      <c r="AD209" s="191">
        <f t="shared" ca="1" si="34"/>
        <v>7.1296296300715767E-3</v>
      </c>
      <c r="AE209" s="167">
        <f t="shared" ca="1" si="35"/>
        <v>4.4259259258979E-2</v>
      </c>
      <c r="AF209" s="168">
        <f t="shared" ca="1" si="36"/>
        <v>0.11802469135727733</v>
      </c>
      <c r="AG209" s="168">
        <f t="shared" ca="1" si="37"/>
        <v>0.11802469135727733</v>
      </c>
      <c r="AH209" s="81" t="str" cm="1">
        <f t="array" aca="1" ref="AH209" ca="1">IF((AD209) &lt; (INDEX(ResponseSLA[#All],(MATCH((G209),ResponseSLA[Priority],0))+1,3)),"YES","No")</f>
        <v>YES</v>
      </c>
      <c r="AI209" s="81" t="str">
        <f ca="1">_xlfn.IFNA(IF(AE209 &lt; (INDEX(SLATable[Minimum SLA],MATCH(G209,SLATable[Priority],0))),"YES","NO"),"")</f>
        <v>YES</v>
      </c>
      <c r="AJ209" s="19" t="str">
        <f ca="1">_xlfn.IFNA(IF(AE209 &lt; (INDEX(SLATable[Maximum SLA],MATCH(G209,SLATable[Priority],0))),"YES","NO"),"")</f>
        <v>YES</v>
      </c>
    </row>
    <row r="210" spans="1:36" ht="15" customHeight="1">
      <c r="A210" s="78">
        <v>209</v>
      </c>
      <c r="B210" s="78" t="s">
        <v>26</v>
      </c>
      <c r="C210" s="78" t="s">
        <v>33</v>
      </c>
      <c r="D210" s="78" t="s">
        <v>207</v>
      </c>
      <c r="E210" s="184" t="s">
        <v>817</v>
      </c>
      <c r="F210" s="78" t="s">
        <v>274</v>
      </c>
      <c r="G210" s="78">
        <v>3</v>
      </c>
      <c r="H210" s="275" t="s">
        <v>818</v>
      </c>
      <c r="I210" s="78" t="s">
        <v>275</v>
      </c>
      <c r="J210" s="86" t="s">
        <v>467</v>
      </c>
      <c r="K210" s="269">
        <v>46220.306064814817</v>
      </c>
      <c r="L210" s="269">
        <v>46220.643449074072</v>
      </c>
      <c r="M210" s="269">
        <v>46220.656805555554</v>
      </c>
      <c r="N210" s="269">
        <v>46220.7</v>
      </c>
      <c r="O210" s="80"/>
      <c r="P210" s="80"/>
      <c r="Q210" s="78"/>
      <c r="R210" s="78" t="s">
        <v>267</v>
      </c>
      <c r="S210" s="78" t="s">
        <v>193</v>
      </c>
      <c r="T210" s="78"/>
      <c r="U210" s="78" t="s">
        <v>371</v>
      </c>
      <c r="V210" s="78"/>
      <c r="W210" s="78"/>
      <c r="X210" s="78"/>
      <c r="Y210" s="78"/>
      <c r="Z210" s="167">
        <f t="shared" ca="1" si="30"/>
        <v>0.3666666666637563</v>
      </c>
      <c r="AA210" s="168">
        <f t="shared" ca="1" si="32"/>
        <v>0.97777777777001673</v>
      </c>
      <c r="AB210" s="167">
        <f t="shared" ca="1" si="31"/>
        <v>5.6550925924966577E-2</v>
      </c>
      <c r="AC210" s="168">
        <f t="shared" ca="1" si="33"/>
        <v>0.15080246913324422</v>
      </c>
      <c r="AD210" s="191">
        <f t="shared" ca="1" si="34"/>
        <v>1.3356481482333038E-2</v>
      </c>
      <c r="AE210" s="167">
        <f t="shared" ca="1" si="35"/>
        <v>5.6550925924966577E-2</v>
      </c>
      <c r="AF210" s="168">
        <f t="shared" ca="1" si="36"/>
        <v>0.15080246913324422</v>
      </c>
      <c r="AG210" s="168">
        <f t="shared" ca="1" si="37"/>
        <v>0.15080246913324422</v>
      </c>
      <c r="AH210" s="81" t="str" cm="1">
        <f t="array" aca="1" ref="AH210" ca="1">IF((AD210) &lt; (INDEX(ResponseSLA[#All],(MATCH((G210),ResponseSLA[Priority],0))+1,3)),"YES","No")</f>
        <v>YES</v>
      </c>
      <c r="AI210" s="81" t="str">
        <f ca="1">_xlfn.IFNA(IF(AE210 &lt; (INDEX(SLATable[Minimum SLA],MATCH(G210,SLATable[Priority],0))),"YES","NO"),"")</f>
        <v>YES</v>
      </c>
      <c r="AJ210" s="19" t="str">
        <f ca="1">_xlfn.IFNA(IF(AE210 &lt; (INDEX(SLATable[Maximum SLA],MATCH(G210,SLATable[Priority],0))),"YES","NO"),"")</f>
        <v>YES</v>
      </c>
    </row>
    <row r="211" spans="1:36" ht="15" customHeight="1">
      <c r="A211" s="78">
        <v>210</v>
      </c>
      <c r="B211" s="78" t="s">
        <v>26</v>
      </c>
      <c r="C211" s="78" t="s">
        <v>33</v>
      </c>
      <c r="D211" s="78" t="s">
        <v>207</v>
      </c>
      <c r="E211" s="184" t="s">
        <v>819</v>
      </c>
      <c r="F211" s="78" t="s">
        <v>274</v>
      </c>
      <c r="G211" s="78">
        <v>3</v>
      </c>
      <c r="H211" s="275" t="s">
        <v>820</v>
      </c>
      <c r="I211" s="78" t="s">
        <v>275</v>
      </c>
      <c r="J211" s="86" t="s">
        <v>467</v>
      </c>
      <c r="K211" s="269">
        <v>46220.306076388886</v>
      </c>
      <c r="L211" s="269">
        <v>46220.645682870374</v>
      </c>
      <c r="M211" s="269">
        <v>46220.70039351852</v>
      </c>
      <c r="N211" s="269">
        <v>46220.700740740744</v>
      </c>
      <c r="O211" s="80"/>
      <c r="P211" s="80"/>
      <c r="Q211" s="78"/>
      <c r="R211" s="78" t="s">
        <v>267</v>
      </c>
      <c r="S211" s="78" t="s">
        <v>193</v>
      </c>
      <c r="T211" s="78"/>
      <c r="U211" s="78" t="s">
        <v>371</v>
      </c>
      <c r="V211" s="78"/>
      <c r="W211" s="78"/>
      <c r="X211" s="78"/>
      <c r="Y211" s="78"/>
      <c r="Z211" s="167">
        <f t="shared" ca="1" si="30"/>
        <v>0.36740740741030703</v>
      </c>
      <c r="AA211" s="168">
        <f t="shared" ca="1" si="32"/>
        <v>0.97975308642748538</v>
      </c>
      <c r="AB211" s="167">
        <f t="shared" ca="1" si="31"/>
        <v>5.5057870369637385E-2</v>
      </c>
      <c r="AC211" s="168">
        <f t="shared" ca="1" si="33"/>
        <v>0.14682098765236637</v>
      </c>
      <c r="AD211" s="191">
        <f t="shared" ca="1" si="34"/>
        <v>5.4710648146283347E-2</v>
      </c>
      <c r="AE211" s="167">
        <f t="shared" ca="1" si="35"/>
        <v>5.5057870369637385E-2</v>
      </c>
      <c r="AF211" s="168">
        <f t="shared" ca="1" si="36"/>
        <v>0.14682098765236637</v>
      </c>
      <c r="AG211" s="168">
        <f t="shared" ca="1" si="37"/>
        <v>0.14682098765236637</v>
      </c>
      <c r="AH211" s="81" t="str" cm="1">
        <f t="array" aca="1" ref="AH211" ca="1">IF((AD211) &lt; (INDEX(ResponseSLA[#All],(MATCH((G211),ResponseSLA[Priority],0))+1,3)),"YES","No")</f>
        <v>YES</v>
      </c>
      <c r="AI211" s="81" t="str">
        <f ca="1">_xlfn.IFNA(IF(AE211 &lt; (INDEX(SLATable[Minimum SLA],MATCH(G211,SLATable[Priority],0))),"YES","NO"),"")</f>
        <v>YES</v>
      </c>
      <c r="AJ211" s="19" t="str">
        <f ca="1">_xlfn.IFNA(IF(AE211 &lt; (INDEX(SLATable[Maximum SLA],MATCH(G211,SLATable[Priority],0))),"YES","NO"),"")</f>
        <v>YES</v>
      </c>
    </row>
    <row r="212" spans="1:36" ht="15" customHeight="1">
      <c r="A212" s="78">
        <v>211</v>
      </c>
      <c r="B212" s="78" t="s">
        <v>26</v>
      </c>
      <c r="C212" s="78" t="s">
        <v>33</v>
      </c>
      <c r="D212" s="78" t="s">
        <v>207</v>
      </c>
      <c r="E212" s="184" t="s">
        <v>821</v>
      </c>
      <c r="F212" s="78" t="s">
        <v>274</v>
      </c>
      <c r="G212" s="78">
        <v>3</v>
      </c>
      <c r="H212" s="275" t="s">
        <v>822</v>
      </c>
      <c r="I212" s="78" t="s">
        <v>275</v>
      </c>
      <c r="J212" s="86" t="s">
        <v>694</v>
      </c>
      <c r="K212" s="269">
        <v>46220.306111111109</v>
      </c>
      <c r="L212" s="269">
        <v>46220.646562499998</v>
      </c>
      <c r="M212" s="269">
        <v>46220.653796296298</v>
      </c>
      <c r="N212" s="269">
        <v>46220.659212962964</v>
      </c>
      <c r="O212" s="80"/>
      <c r="P212" s="80"/>
      <c r="Q212" s="78"/>
      <c r="R212" s="78" t="s">
        <v>267</v>
      </c>
      <c r="S212" s="78" t="s">
        <v>193</v>
      </c>
      <c r="T212" s="78"/>
      <c r="U212" s="78" t="s">
        <v>371</v>
      </c>
      <c r="V212" s="78"/>
      <c r="W212" s="78"/>
      <c r="X212" s="78"/>
      <c r="Y212" s="78"/>
      <c r="Z212" s="167">
        <f t="shared" ca="1" si="30"/>
        <v>0.32587962963104172</v>
      </c>
      <c r="AA212" s="168">
        <f t="shared" ca="1" si="32"/>
        <v>0.86901234568277785</v>
      </c>
      <c r="AB212" s="167">
        <f t="shared" ca="1" si="31"/>
        <v>1.2650462966121268E-2</v>
      </c>
      <c r="AC212" s="168">
        <f t="shared" ca="1" si="33"/>
        <v>3.3734567909656711E-2</v>
      </c>
      <c r="AD212" s="191">
        <f t="shared" ca="1" si="34"/>
        <v>7.2337962992605753E-3</v>
      </c>
      <c r="AE212" s="167">
        <f t="shared" ca="1" si="35"/>
        <v>1.2650462966121268E-2</v>
      </c>
      <c r="AF212" s="168">
        <f t="shared" ca="1" si="36"/>
        <v>3.3734567909656711E-2</v>
      </c>
      <c r="AG212" s="168">
        <f t="shared" ca="1" si="37"/>
        <v>3.3734567909656711E-2</v>
      </c>
      <c r="AH212" s="81" t="str" cm="1">
        <f t="array" aca="1" ref="AH212" ca="1">IF((AD212) &lt; (INDEX(ResponseSLA[#All],(MATCH((G212),ResponseSLA[Priority],0))+1,3)),"YES","No")</f>
        <v>YES</v>
      </c>
      <c r="AI212" s="81" t="str">
        <f ca="1">_xlfn.IFNA(IF(AE212 &lt; (INDEX(SLATable[Minimum SLA],MATCH(G212,SLATable[Priority],0))),"YES","NO"),"")</f>
        <v>YES</v>
      </c>
      <c r="AJ212" s="19" t="str">
        <f ca="1">_xlfn.IFNA(IF(AE212 &lt; (INDEX(SLATable[Maximum SLA],MATCH(G212,SLATable[Priority],0))),"YES","NO"),"")</f>
        <v>YES</v>
      </c>
    </row>
    <row r="213" spans="1:36" ht="15" customHeight="1">
      <c r="A213" s="78">
        <v>212</v>
      </c>
      <c r="B213" s="78" t="s">
        <v>26</v>
      </c>
      <c r="C213" s="78" t="s">
        <v>33</v>
      </c>
      <c r="D213" s="78" t="s">
        <v>207</v>
      </c>
      <c r="E213" s="184" t="s">
        <v>823</v>
      </c>
      <c r="F213" s="78" t="s">
        <v>274</v>
      </c>
      <c r="G213" s="78">
        <v>3</v>
      </c>
      <c r="H213" s="275" t="s">
        <v>693</v>
      </c>
      <c r="I213" s="78" t="s">
        <v>275</v>
      </c>
      <c r="J213" s="86" t="s">
        <v>467</v>
      </c>
      <c r="K213" s="269">
        <v>46221.280150462961</v>
      </c>
      <c r="L213" s="269">
        <v>46223.640196759261</v>
      </c>
      <c r="M213" s="269">
        <v>46223.640821759262</v>
      </c>
      <c r="N213" s="269">
        <v>46223.663831018515</v>
      </c>
      <c r="O213" s="80"/>
      <c r="P213" s="80"/>
      <c r="Q213" s="78"/>
      <c r="R213" s="78" t="s">
        <v>267</v>
      </c>
      <c r="S213" s="78" t="s">
        <v>193</v>
      </c>
      <c r="T213" s="78"/>
      <c r="U213" s="78" t="s">
        <v>371</v>
      </c>
      <c r="V213" s="78"/>
      <c r="W213" s="78"/>
      <c r="X213" s="78"/>
      <c r="Y213" s="78"/>
      <c r="Z213" s="167">
        <f t="shared" ca="1" si="30"/>
        <v>0.33049768518200534</v>
      </c>
      <c r="AA213" s="168">
        <f t="shared" ca="1" si="32"/>
        <v>0.88132716048534754</v>
      </c>
      <c r="AB213" s="167">
        <f t="shared" ca="1" si="31"/>
        <v>2.3634259254322387E-2</v>
      </c>
      <c r="AC213" s="168">
        <f t="shared" ca="1" si="33"/>
        <v>6.3024691344859704E-2</v>
      </c>
      <c r="AD213" s="191">
        <f t="shared" ca="1" si="34"/>
        <v>6.2500000058207661E-4</v>
      </c>
      <c r="AE213" s="167">
        <f t="shared" ca="1" si="35"/>
        <v>2.3634259254322387E-2</v>
      </c>
      <c r="AF213" s="168">
        <f t="shared" ca="1" si="36"/>
        <v>6.3024691344859704E-2</v>
      </c>
      <c r="AG213" s="168">
        <f t="shared" ca="1" si="37"/>
        <v>6.3024691344859704E-2</v>
      </c>
      <c r="AH213" s="81" t="str" cm="1">
        <f t="array" aca="1" ref="AH213" ca="1">IF((AD213) &lt; (INDEX(ResponseSLA[#All],(MATCH((G213),ResponseSLA[Priority],0))+1,3)),"YES","No")</f>
        <v>YES</v>
      </c>
      <c r="AI213" s="81" t="str">
        <f ca="1">_xlfn.IFNA(IF(AE213 &lt; (INDEX(SLATable[Minimum SLA],MATCH(G213,SLATable[Priority],0))),"YES","NO"),"")</f>
        <v>YES</v>
      </c>
      <c r="AJ213" s="19" t="str">
        <f ca="1">_xlfn.IFNA(IF(AE213 &lt; (INDEX(SLATable[Maximum SLA],MATCH(G213,SLATable[Priority],0))),"YES","NO"),"")</f>
        <v>YES</v>
      </c>
    </row>
    <row r="214" spans="1:36" ht="15" customHeight="1">
      <c r="A214" s="78">
        <v>213</v>
      </c>
      <c r="B214" s="78" t="s">
        <v>26</v>
      </c>
      <c r="C214" s="78" t="s">
        <v>33</v>
      </c>
      <c r="D214" s="78" t="s">
        <v>207</v>
      </c>
      <c r="E214" s="184" t="s">
        <v>824</v>
      </c>
      <c r="F214" s="78" t="s">
        <v>274</v>
      </c>
      <c r="G214" s="78">
        <v>3</v>
      </c>
      <c r="H214" s="275" t="s">
        <v>825</v>
      </c>
      <c r="I214" s="78" t="s">
        <v>275</v>
      </c>
      <c r="J214" s="86" t="s">
        <v>467</v>
      </c>
      <c r="K214" s="269">
        <v>46221.306041666663</v>
      </c>
      <c r="L214" s="269">
        <v>46223.639826388891</v>
      </c>
      <c r="M214" s="269">
        <v>46223.666006944448</v>
      </c>
      <c r="N214" s="269">
        <v>46223.668333333335</v>
      </c>
      <c r="O214" s="80"/>
      <c r="P214" s="80"/>
      <c r="Q214" s="78"/>
      <c r="R214" s="78" t="s">
        <v>267</v>
      </c>
      <c r="S214" s="78" t="s">
        <v>193</v>
      </c>
      <c r="T214" s="78"/>
      <c r="U214" s="78" t="s">
        <v>371</v>
      </c>
      <c r="V214" s="78"/>
      <c r="W214" s="78"/>
      <c r="X214" s="78"/>
      <c r="Y214" s="78"/>
      <c r="Z214" s="167">
        <f t="shared" ca="1" si="30"/>
        <v>0.33500000000155222</v>
      </c>
      <c r="AA214" s="168">
        <f t="shared" ca="1" si="32"/>
        <v>0.89333333333747256</v>
      </c>
      <c r="AB214" s="167">
        <f t="shared" ca="1" si="31"/>
        <v>2.8506944443506654E-2</v>
      </c>
      <c r="AC214" s="168">
        <f t="shared" ca="1" si="33"/>
        <v>7.601851851601775E-2</v>
      </c>
      <c r="AD214" s="191">
        <f t="shared" ca="1" si="34"/>
        <v>2.6180555556493346E-2</v>
      </c>
      <c r="AE214" s="167">
        <f t="shared" ca="1" si="35"/>
        <v>2.8506944443506654E-2</v>
      </c>
      <c r="AF214" s="168">
        <f t="shared" ca="1" si="36"/>
        <v>7.601851851601775E-2</v>
      </c>
      <c r="AG214" s="168">
        <f t="shared" ca="1" si="37"/>
        <v>7.601851851601775E-2</v>
      </c>
      <c r="AH214" s="81" t="str" cm="1">
        <f t="array" aca="1" ref="AH214" ca="1">IF((AD214) &lt; (INDEX(ResponseSLA[#All],(MATCH((G214),ResponseSLA[Priority],0))+1,3)),"YES","No")</f>
        <v>YES</v>
      </c>
      <c r="AI214" s="81" t="str">
        <f ca="1">_xlfn.IFNA(IF(AE214 &lt; (INDEX(SLATable[Minimum SLA],MATCH(G214,SLATable[Priority],0))),"YES","NO"),"")</f>
        <v>YES</v>
      </c>
      <c r="AJ214" s="19" t="str">
        <f ca="1">_xlfn.IFNA(IF(AE214 &lt; (INDEX(SLATable[Maximum SLA],MATCH(G214,SLATable[Priority],0))),"YES","NO"),"")</f>
        <v>YES</v>
      </c>
    </row>
    <row r="215" spans="1:36" ht="15" customHeight="1">
      <c r="A215" s="78">
        <v>214</v>
      </c>
      <c r="B215" s="78" t="s">
        <v>26</v>
      </c>
      <c r="C215" s="78" t="s">
        <v>33</v>
      </c>
      <c r="D215" s="78" t="s">
        <v>207</v>
      </c>
      <c r="E215" s="184" t="s">
        <v>826</v>
      </c>
      <c r="F215" s="78" t="s">
        <v>274</v>
      </c>
      <c r="G215" s="78">
        <v>4</v>
      </c>
      <c r="H215" s="99" t="s">
        <v>827</v>
      </c>
      <c r="I215" s="78" t="s">
        <v>271</v>
      </c>
      <c r="J215" s="86" t="s">
        <v>592</v>
      </c>
      <c r="K215" s="277">
        <v>46222.729861111111</v>
      </c>
      <c r="L215" s="277">
        <v>46223.531944444447</v>
      </c>
      <c r="M215" s="277">
        <v>46223.533333333333</v>
      </c>
      <c r="N215" s="277">
        <v>46223.647222222222</v>
      </c>
      <c r="O215" s="80"/>
      <c r="P215" s="80"/>
      <c r="Q215" s="78"/>
      <c r="R215" s="78" t="s">
        <v>267</v>
      </c>
      <c r="S215" s="78" t="s">
        <v>193</v>
      </c>
      <c r="T215" s="78"/>
      <c r="U215" s="78" t="s">
        <v>371</v>
      </c>
      <c r="V215" s="78"/>
      <c r="W215" s="78"/>
      <c r="X215" s="78"/>
      <c r="Y215" s="78"/>
      <c r="Z215" s="167">
        <f t="shared" ca="1" si="30"/>
        <v>0.31388888888856553</v>
      </c>
      <c r="AA215" s="168">
        <f t="shared" ca="1" si="32"/>
        <v>0.83703703703617471</v>
      </c>
      <c r="AB215" s="167">
        <f t="shared" ca="1" si="31"/>
        <v>0.11527777777519077</v>
      </c>
      <c r="AC215" s="168">
        <f t="shared" ca="1" si="33"/>
        <v>0.3074074074005087</v>
      </c>
      <c r="AD215" s="191">
        <f t="shared" ca="1" si="34"/>
        <v>1.3888888861401938E-3</v>
      </c>
      <c r="AE215" s="167">
        <f t="shared" ca="1" si="35"/>
        <v>0.11527777777519077</v>
      </c>
      <c r="AF215" s="168">
        <f t="shared" ca="1" si="36"/>
        <v>0.3074074074005087</v>
      </c>
      <c r="AG215" s="168">
        <f t="shared" ca="1" si="37"/>
        <v>0.3074074074005087</v>
      </c>
      <c r="AH215" s="81" t="str" cm="1">
        <f t="array" aca="1" ref="AH215" ca="1">IF((AD215) &lt; (INDEX(ResponseSLA[#All],(MATCH((G215),ResponseSLA[Priority],0))+1,3)),"YES","No")</f>
        <v>YES</v>
      </c>
      <c r="AI215" s="81" t="str">
        <f ca="1">_xlfn.IFNA(IF(AE215 &lt; (INDEX(SLATable[Minimum SLA],MATCH(G215,SLATable[Priority],0))),"YES","NO"),"")</f>
        <v>YES</v>
      </c>
      <c r="AJ215" s="19" t="str">
        <f ca="1">_xlfn.IFNA(IF(AE215 &lt; (INDEX(SLATable[Maximum SLA],MATCH(G215,SLATable[Priority],0))),"YES","NO"),"")</f>
        <v>YES</v>
      </c>
    </row>
    <row r="216" spans="1:36" ht="15" customHeight="1">
      <c r="A216" s="78">
        <v>215</v>
      </c>
      <c r="B216" s="78" t="s">
        <v>26</v>
      </c>
      <c r="C216" s="78" t="s">
        <v>33</v>
      </c>
      <c r="D216" s="78" t="s">
        <v>208</v>
      </c>
      <c r="E216" s="78" t="s">
        <v>828</v>
      </c>
      <c r="F216" s="78" t="s">
        <v>274</v>
      </c>
      <c r="G216" s="78" t="s">
        <v>208</v>
      </c>
      <c r="H216" s="99" t="s">
        <v>829</v>
      </c>
      <c r="I216" s="78" t="s">
        <v>271</v>
      </c>
      <c r="J216" s="86" t="s">
        <v>467</v>
      </c>
      <c r="K216" s="277">
        <v>46217.910416666666</v>
      </c>
      <c r="L216" s="277">
        <v>46218.587500000001</v>
      </c>
      <c r="M216" s="277">
        <v>46218.693749999999</v>
      </c>
      <c r="N216" s="277">
        <v>46219.515277777777</v>
      </c>
      <c r="O216" s="80"/>
      <c r="P216" s="80"/>
      <c r="Q216" s="78"/>
      <c r="R216" s="78" t="s">
        <v>267</v>
      </c>
      <c r="S216" s="78" t="s">
        <v>139</v>
      </c>
      <c r="T216" s="78"/>
      <c r="U216" s="78" t="s">
        <v>371</v>
      </c>
      <c r="V216" s="78"/>
      <c r="W216" s="78"/>
      <c r="X216" s="78"/>
      <c r="Y216" s="78"/>
      <c r="Z216" s="167">
        <f t="shared" ca="1" si="30"/>
        <v>0.55694444444331259</v>
      </c>
      <c r="AA216" s="168">
        <f t="shared" ca="1" si="32"/>
        <v>1.4851851851821669</v>
      </c>
      <c r="AB216" s="167">
        <f t="shared" ca="1" si="31"/>
        <v>0.30277777777519077</v>
      </c>
      <c r="AC216" s="168">
        <f t="shared" ca="1" si="33"/>
        <v>0.80740740740050876</v>
      </c>
      <c r="AD216" s="191">
        <f t="shared" ca="1" si="34"/>
        <v>0.10624999999708962</v>
      </c>
      <c r="AE216" s="167">
        <f t="shared" ca="1" si="35"/>
        <v>0.30277777777519077</v>
      </c>
      <c r="AF216" s="168">
        <f t="shared" ca="1" si="36"/>
        <v>0.80740740740050876</v>
      </c>
      <c r="AG216" s="168">
        <f t="shared" ca="1" si="37"/>
        <v>0.80740740740050876</v>
      </c>
      <c r="AH216" s="81" t="str" cm="1">
        <f t="array" aca="1" ref="AH216" ca="1">IF((AD216) &lt; (INDEX(ResponseSLA[#All],(MATCH((G216),ResponseSLA[Priority],0))+1,3)),"YES","No")</f>
        <v>YES</v>
      </c>
      <c r="AI216" s="81" t="str">
        <f ca="1">_xlfn.IFNA(IF(AE216 &lt; (INDEX(SLATable[Minimum SLA],MATCH(G216,SLATable[Priority],0))),"YES","NO"),"")</f>
        <v>YES</v>
      </c>
      <c r="AJ216" s="19" t="str">
        <f ca="1">_xlfn.IFNA(IF(AE216 &lt; (INDEX(SLATable[Maximum SLA],MATCH(G216,SLATable[Priority],0))),"YES","NO"),"")</f>
        <v>YES</v>
      </c>
    </row>
    <row r="217" spans="1:36" ht="15" customHeight="1">
      <c r="A217" s="78">
        <v>216</v>
      </c>
      <c r="B217" s="78" t="s">
        <v>26</v>
      </c>
      <c r="C217" s="78" t="s">
        <v>33</v>
      </c>
      <c r="D217" s="78" t="s">
        <v>207</v>
      </c>
      <c r="E217" s="78" t="s">
        <v>830</v>
      </c>
      <c r="F217" s="78" t="s">
        <v>280</v>
      </c>
      <c r="G217" s="78">
        <v>4</v>
      </c>
      <c r="H217" s="86" t="s">
        <v>512</v>
      </c>
      <c r="I217" s="78" t="s">
        <v>271</v>
      </c>
      <c r="J217" s="86" t="s">
        <v>510</v>
      </c>
      <c r="K217" s="277">
        <v>46225.998472222222</v>
      </c>
      <c r="L217" s="277">
        <v>46225.998472222222</v>
      </c>
      <c r="M217" s="277">
        <v>46226.265555555554</v>
      </c>
      <c r="N217" s="277">
        <v>46226.457025462965</v>
      </c>
      <c r="O217" s="80"/>
      <c r="P217" s="80"/>
      <c r="Q217" s="78" t="s">
        <v>514</v>
      </c>
      <c r="R217" s="78" t="s">
        <v>267</v>
      </c>
      <c r="S217" s="78" t="s">
        <v>193</v>
      </c>
      <c r="T217" s="78"/>
      <c r="U217" s="78" t="s">
        <v>371</v>
      </c>
      <c r="V217" s="78"/>
      <c r="W217" s="78"/>
      <c r="X217" s="78"/>
      <c r="Y217" s="78"/>
      <c r="Z217" s="167">
        <f t="shared" ca="1" si="30"/>
        <v>0.12369212963191478</v>
      </c>
      <c r="AA217" s="168">
        <f t="shared" ca="1" si="32"/>
        <v>0.32984567901843942</v>
      </c>
      <c r="AB217" s="167">
        <f t="shared" ca="1" si="31"/>
        <v>0.12369212963191478</v>
      </c>
      <c r="AC217" s="168">
        <f t="shared" ca="1" si="33"/>
        <v>0.32984567901843942</v>
      </c>
      <c r="AD217" s="191">
        <f t="shared" ca="1" si="34"/>
        <v>0</v>
      </c>
      <c r="AE217" s="167">
        <f t="shared" ca="1" si="35"/>
        <v>0.12369212963191478</v>
      </c>
      <c r="AF217" s="168">
        <f t="shared" ca="1" si="36"/>
        <v>0.32984567901843942</v>
      </c>
      <c r="AG217" s="168">
        <f t="shared" ca="1" si="37"/>
        <v>0.32984567901843942</v>
      </c>
      <c r="AH217" s="81" t="str" cm="1">
        <f t="array" aca="1" ref="AH217" ca="1">IF((AD217) &lt; (INDEX(ResponseSLA[#All],(MATCH((G217),ResponseSLA[Priority],0))+1,3)),"YES","No")</f>
        <v>YES</v>
      </c>
      <c r="AI217" s="81" t="str">
        <f ca="1">_xlfn.IFNA(IF(AE217 &lt; (INDEX(SLATable[Minimum SLA],MATCH(G217,SLATable[Priority],0))),"YES","NO"),"")</f>
        <v>YES</v>
      </c>
      <c r="AJ217" s="19" t="str">
        <f ca="1">_xlfn.IFNA(IF(AE217 &lt; (INDEX(SLATable[Maximum SLA],MATCH(G217,SLATable[Priority],0))),"YES","NO"),"")</f>
        <v>YES</v>
      </c>
    </row>
    <row r="218" spans="1:36" ht="15" customHeight="1">
      <c r="A218" s="78">
        <v>217</v>
      </c>
      <c r="B218" s="78" t="s">
        <v>26</v>
      </c>
      <c r="C218" s="78" t="s">
        <v>31</v>
      </c>
      <c r="D218" s="78" t="s">
        <v>208</v>
      </c>
      <c r="E218" s="78" t="s">
        <v>831</v>
      </c>
      <c r="F218" s="78" t="s">
        <v>30</v>
      </c>
      <c r="G218" s="78" t="s">
        <v>208</v>
      </c>
      <c r="H218" s="86" t="s">
        <v>832</v>
      </c>
      <c r="I218" s="78" t="s">
        <v>271</v>
      </c>
      <c r="J218" s="86" t="s">
        <v>389</v>
      </c>
      <c r="K218" s="277">
        <v>46216.569594907407</v>
      </c>
      <c r="L218" s="277">
        <v>46216.569594907407</v>
      </c>
      <c r="M218" s="277">
        <v>46216.574247685188</v>
      </c>
      <c r="N218" s="277">
        <v>46231.574895833335</v>
      </c>
      <c r="O218" s="80">
        <v>46216.574745370373</v>
      </c>
      <c r="P218" s="277">
        <v>46231.574895833335</v>
      </c>
      <c r="Q218" s="78" t="s">
        <v>498</v>
      </c>
      <c r="R218" s="78" t="s">
        <v>267</v>
      </c>
      <c r="S218" s="78" t="s">
        <v>179</v>
      </c>
      <c r="T218" s="78"/>
      <c r="U218" s="78" t="s">
        <v>371</v>
      </c>
      <c r="V218" s="78"/>
      <c r="W218" s="78"/>
      <c r="X218" s="78"/>
      <c r="Y218" s="78"/>
      <c r="Z218" s="167">
        <f t="shared" ca="1" si="30"/>
        <v>5.1504629664123058E-3</v>
      </c>
      <c r="AA218" s="168">
        <f t="shared" ca="1" si="32"/>
        <v>1.3734567910432816E-2</v>
      </c>
      <c r="AB218" s="167">
        <f t="shared" ca="1" si="31"/>
        <v>5.1504629664123058E-3</v>
      </c>
      <c r="AC218" s="168">
        <f t="shared" ca="1" si="33"/>
        <v>1.3734567910432816E-2</v>
      </c>
      <c r="AD218" s="191">
        <f t="shared" ca="1" si="34"/>
        <v>4.652777781302575E-3</v>
      </c>
      <c r="AE218" s="167">
        <f t="shared" ca="1" si="35"/>
        <v>5.1504629664123058E-3</v>
      </c>
      <c r="AF218" s="168">
        <f t="shared" ca="1" si="36"/>
        <v>1.3734567910432816E-2</v>
      </c>
      <c r="AG218" s="168">
        <f t="shared" ca="1" si="37"/>
        <v>1.3734567910432816E-2</v>
      </c>
      <c r="AH218" s="81" t="str" cm="1">
        <f t="array" aca="1" ref="AH218" ca="1">IF((AD218) &lt; (INDEX(ResponseSLA[#All],(MATCH((G218),ResponseSLA[Priority],0))+1,3)),"YES","No")</f>
        <v>YES</v>
      </c>
      <c r="AI218" s="81" t="str">
        <f ca="1">_xlfn.IFNA(IF(AE218 &lt; (INDEX(SLATable[Minimum SLA],MATCH(G218,SLATable[Priority],0))),"YES","NO"),"")</f>
        <v>YES</v>
      </c>
      <c r="AJ218" s="19" t="str">
        <f ca="1">_xlfn.IFNA(IF(AE218 &lt; (INDEX(SLATable[Maximum SLA],MATCH(G218,SLATable[Priority],0))),"YES","NO"),"")</f>
        <v>YES</v>
      </c>
    </row>
    <row r="219" spans="1:36" ht="15" customHeight="1">
      <c r="A219" s="78">
        <v>218</v>
      </c>
      <c r="B219" s="78" t="s">
        <v>26</v>
      </c>
      <c r="C219" s="78" t="s">
        <v>31</v>
      </c>
      <c r="D219" s="78" t="s">
        <v>208</v>
      </c>
      <c r="E219" s="78" t="s">
        <v>833</v>
      </c>
      <c r="F219" s="78" t="s">
        <v>30</v>
      </c>
      <c r="G219" s="78" t="s">
        <v>208</v>
      </c>
      <c r="H219" s="86" t="s">
        <v>834</v>
      </c>
      <c r="I219" s="78" t="s">
        <v>260</v>
      </c>
      <c r="J219" s="86" t="s">
        <v>389</v>
      </c>
      <c r="K219" s="277">
        <v>46217.413194444445</v>
      </c>
      <c r="L219" s="277">
        <v>46217.413194444445</v>
      </c>
      <c r="M219" s="277">
        <v>46218.285497685189</v>
      </c>
      <c r="N219" s="277"/>
      <c r="O219" s="80"/>
      <c r="P219" s="80"/>
      <c r="Q219" s="78"/>
      <c r="R219" s="78" t="s">
        <v>267</v>
      </c>
      <c r="S219" s="78" t="s">
        <v>179</v>
      </c>
      <c r="T219" s="78"/>
      <c r="U219" s="78" t="s">
        <v>371</v>
      </c>
      <c r="V219" s="78"/>
      <c r="W219" s="78"/>
      <c r="X219" s="78"/>
      <c r="Y219" s="78"/>
      <c r="Z219" s="167">
        <f t="shared" ca="1" si="30"/>
        <v>11.470782638891253</v>
      </c>
      <c r="AA219" s="168">
        <f t="shared" ca="1" si="32"/>
        <v>30.588753703710008</v>
      </c>
      <c r="AB219" s="167">
        <f t="shared" ca="1" si="31"/>
        <v>11.470782638891253</v>
      </c>
      <c r="AC219" s="168">
        <f t="shared" ca="1" si="33"/>
        <v>30.588753703710008</v>
      </c>
      <c r="AD219" s="191">
        <f t="shared" ca="1" si="34"/>
        <v>0.29513888888808049</v>
      </c>
      <c r="AE219" s="167">
        <f t="shared" ca="1" si="35"/>
        <v>11.470782638891253</v>
      </c>
      <c r="AF219" s="168">
        <f t="shared" ca="1" si="36"/>
        <v>30.588753703710008</v>
      </c>
      <c r="AG219" s="168">
        <f t="shared" ca="1" si="37"/>
        <v>30.588753703710008</v>
      </c>
      <c r="AH219" s="81" t="str" cm="1">
        <f t="array" aca="1" ref="AH219" ca="1">IF((AD219) &lt; (INDEX(ResponseSLA[#All],(MATCH((G219),ResponseSLA[Priority],0))+1,3)),"YES","No")</f>
        <v>YES</v>
      </c>
      <c r="AI219" s="81" t="str">
        <f ca="1">_xlfn.IFNA(IF(AE219 &lt; (INDEX(SLATable[Minimum SLA],MATCH(G219,SLATable[Priority],0))),"YES","NO"),"")</f>
        <v>NO</v>
      </c>
      <c r="AJ219" s="19" t="str">
        <f ca="1">_xlfn.IFNA(IF(AE219 &lt; (INDEX(SLATable[Maximum SLA],MATCH(G219,SLATable[Priority],0))),"YES","NO"),"")</f>
        <v>NO</v>
      </c>
    </row>
    <row r="220" spans="1:36" ht="15" customHeight="1">
      <c r="A220" s="78">
        <v>219</v>
      </c>
      <c r="B220" s="78" t="s">
        <v>26</v>
      </c>
      <c r="C220" s="78" t="s">
        <v>33</v>
      </c>
      <c r="D220" s="78" t="s">
        <v>207</v>
      </c>
      <c r="E220" s="396" t="s">
        <v>835</v>
      </c>
      <c r="F220" s="78" t="s">
        <v>280</v>
      </c>
      <c r="G220" s="78">
        <v>3</v>
      </c>
      <c r="H220" s="86" t="s">
        <v>836</v>
      </c>
      <c r="I220" s="78" t="s">
        <v>271</v>
      </c>
      <c r="J220" s="86" t="s">
        <v>510</v>
      </c>
      <c r="K220" s="277">
        <v>46226.507777777777</v>
      </c>
      <c r="L220" s="277">
        <v>46226.511192129627</v>
      </c>
      <c r="M220" s="277">
        <v>46226.541134259256</v>
      </c>
      <c r="N220" s="277">
        <v>46230.502754629626</v>
      </c>
      <c r="O220" s="80"/>
      <c r="P220" s="80"/>
      <c r="Q220" s="78" t="s">
        <v>507</v>
      </c>
      <c r="R220" s="78" t="s">
        <v>267</v>
      </c>
      <c r="S220" s="78" t="s">
        <v>157</v>
      </c>
      <c r="T220" s="78"/>
      <c r="U220" s="78" t="s">
        <v>371</v>
      </c>
      <c r="V220" s="78"/>
      <c r="W220" s="78"/>
      <c r="X220" s="78"/>
      <c r="Y220" s="78"/>
      <c r="Z220" s="167">
        <f t="shared" ca="1" si="30"/>
        <v>0.74497685184906004</v>
      </c>
      <c r="AA220" s="168">
        <f t="shared" ca="1" si="32"/>
        <v>1.9866049382641602</v>
      </c>
      <c r="AB220" s="167">
        <f t="shared" ca="1" si="31"/>
        <v>0.74156249999941792</v>
      </c>
      <c r="AC220" s="168">
        <f t="shared" ca="1" si="33"/>
        <v>1.9774999999984477</v>
      </c>
      <c r="AD220" s="191">
        <f t="shared" ca="1" si="34"/>
        <v>2.99421296294895E-2</v>
      </c>
      <c r="AE220" s="167">
        <f t="shared" ca="1" si="35"/>
        <v>0.74156249999941792</v>
      </c>
      <c r="AF220" s="168">
        <f t="shared" ca="1" si="36"/>
        <v>1.9774999999984477</v>
      </c>
      <c r="AG220" s="168">
        <f t="shared" ca="1" si="37"/>
        <v>1.9774999999984477</v>
      </c>
      <c r="AH220" s="81" t="str" cm="1">
        <f t="array" aca="1" ref="AH220" ca="1">IF((AD220) &lt; (INDEX(ResponseSLA[#All],(MATCH((G220),ResponseSLA[Priority],0))+1,3)),"YES","No")</f>
        <v>YES</v>
      </c>
      <c r="AI220" s="81" t="str">
        <f ca="1">_xlfn.IFNA(IF(AE220 &lt; (INDEX(SLATable[Minimum SLA],MATCH(G220,SLATable[Priority],0))),"YES","NO"),"")</f>
        <v>NO</v>
      </c>
      <c r="AJ220" s="19" t="str">
        <f ca="1">_xlfn.IFNA(IF(AE220 &lt; (INDEX(SLATable[Maximum SLA],MATCH(G220,SLATable[Priority],0))),"YES","NO"),"")</f>
        <v>YES</v>
      </c>
    </row>
    <row r="221" spans="1:36" ht="15" customHeight="1">
      <c r="A221" s="78">
        <v>220</v>
      </c>
      <c r="B221" s="78" t="s">
        <v>26</v>
      </c>
      <c r="C221" s="78" t="s">
        <v>33</v>
      </c>
      <c r="D221" s="78" t="s">
        <v>207</v>
      </c>
      <c r="E221" s="396" t="s">
        <v>837</v>
      </c>
      <c r="F221" s="78" t="s">
        <v>280</v>
      </c>
      <c r="G221" s="78">
        <v>4</v>
      </c>
      <c r="H221" s="86" t="s">
        <v>838</v>
      </c>
      <c r="I221" s="78" t="s">
        <v>271</v>
      </c>
      <c r="J221" s="86" t="s">
        <v>510</v>
      </c>
      <c r="K221" s="277">
        <v>46226.509560185186</v>
      </c>
      <c r="L221" s="277">
        <v>46226.512928240743</v>
      </c>
      <c r="M221" s="277">
        <v>46226.541168981479</v>
      </c>
      <c r="N221" s="277">
        <v>46230.502986111111</v>
      </c>
      <c r="O221" s="80"/>
      <c r="P221" s="80"/>
      <c r="Q221" s="78" t="s">
        <v>507</v>
      </c>
      <c r="R221" s="78" t="s">
        <v>267</v>
      </c>
      <c r="S221" s="78" t="s">
        <v>157</v>
      </c>
      <c r="T221" s="78"/>
      <c r="U221" s="78" t="s">
        <v>371</v>
      </c>
      <c r="V221" s="78"/>
      <c r="W221" s="78"/>
      <c r="X221" s="78"/>
      <c r="Y221" s="78"/>
      <c r="Z221" s="167">
        <f t="shared" ca="1" si="30"/>
        <v>0.7434259259243845</v>
      </c>
      <c r="AA221" s="168">
        <f t="shared" ca="1" si="32"/>
        <v>1.9824691357983586</v>
      </c>
      <c r="AB221" s="167">
        <f t="shared" ca="1" si="31"/>
        <v>0.74005787036730908</v>
      </c>
      <c r="AC221" s="168">
        <f t="shared" ca="1" si="33"/>
        <v>1.9734876543128241</v>
      </c>
      <c r="AD221" s="191">
        <f t="shared" ca="1" si="34"/>
        <v>2.824074073578231E-2</v>
      </c>
      <c r="AE221" s="167">
        <f t="shared" ca="1" si="35"/>
        <v>0.74005787036730908</v>
      </c>
      <c r="AF221" s="168">
        <f t="shared" ca="1" si="36"/>
        <v>1.9734876543128241</v>
      </c>
      <c r="AG221" s="168">
        <f t="shared" ca="1" si="37"/>
        <v>1.9734876543128241</v>
      </c>
      <c r="AH221" s="81" t="str" cm="1">
        <f t="array" aca="1" ref="AH221" ca="1">IF((AD221) &lt; (INDEX(ResponseSLA[#All],(MATCH((G221),ResponseSLA[Priority],0))+1,3)),"YES","No")</f>
        <v>YES</v>
      </c>
      <c r="AI221" s="81" t="str">
        <f ca="1">_xlfn.IFNA(IF(AE221 &lt; (INDEX(SLATable[Minimum SLA],MATCH(G221,SLATable[Priority],0))),"YES","NO"),"")</f>
        <v>YES</v>
      </c>
      <c r="AJ221" s="19" t="str">
        <f ca="1">_xlfn.IFNA(IF(AE221 &lt; (INDEX(SLATable[Maximum SLA],MATCH(G221,SLATable[Priority],0))),"YES","NO"),"")</f>
        <v>YES</v>
      </c>
    </row>
    <row r="222" spans="1:36" ht="15" customHeight="1">
      <c r="A222" s="78">
        <v>221</v>
      </c>
      <c r="B222" s="78" t="s">
        <v>26</v>
      </c>
      <c r="C222" s="78" t="s">
        <v>33</v>
      </c>
      <c r="D222" s="78" t="s">
        <v>207</v>
      </c>
      <c r="E222" s="78" t="s">
        <v>839</v>
      </c>
      <c r="F222" s="78" t="s">
        <v>280</v>
      </c>
      <c r="G222" s="78">
        <v>4</v>
      </c>
      <c r="H222" s="86" t="s">
        <v>840</v>
      </c>
      <c r="I222" s="78" t="s">
        <v>275</v>
      </c>
      <c r="J222" s="86" t="s">
        <v>510</v>
      </c>
      <c r="K222" s="277">
        <v>46224.536828703705</v>
      </c>
      <c r="L222" s="277">
        <v>46227.497083333335</v>
      </c>
      <c r="M222" s="277">
        <v>46227.497083333335</v>
      </c>
      <c r="N222" s="277">
        <v>46230.595925925925</v>
      </c>
      <c r="O222" s="80"/>
      <c r="P222" s="80"/>
      <c r="Q222" s="78" t="s">
        <v>514</v>
      </c>
      <c r="R222" s="78" t="s">
        <v>261</v>
      </c>
      <c r="S222" s="78" t="s">
        <v>175</v>
      </c>
      <c r="T222" s="78"/>
      <c r="U222" s="78" t="s">
        <v>371</v>
      </c>
      <c r="V222" s="78"/>
      <c r="W222" s="78"/>
      <c r="X222" s="78"/>
      <c r="Y222" s="78"/>
      <c r="Z222" s="167">
        <f t="shared" ca="1" si="30"/>
        <v>1.5590972222198616</v>
      </c>
      <c r="AA222" s="168">
        <f t="shared" ca="1" si="32"/>
        <v>4.1575925925862975</v>
      </c>
      <c r="AB222" s="167">
        <f t="shared" ca="1" si="31"/>
        <v>0.47384259258979</v>
      </c>
      <c r="AC222" s="168">
        <f t="shared" ca="1" si="33"/>
        <v>1.2635802469061066</v>
      </c>
      <c r="AD222" s="191">
        <f t="shared" ca="1" si="34"/>
        <v>0</v>
      </c>
      <c r="AE222" s="167">
        <f t="shared" ca="1" si="35"/>
        <v>0.47384259258979</v>
      </c>
      <c r="AF222" s="168">
        <f t="shared" ca="1" si="36"/>
        <v>1.2635802469061066</v>
      </c>
      <c r="AG222" s="168">
        <f t="shared" ca="1" si="37"/>
        <v>1.2635802469061066</v>
      </c>
      <c r="AH222" s="81" t="str" cm="1">
        <f t="array" aca="1" ref="AH222" ca="1">IF((AD222) &lt; (INDEX(ResponseSLA[#All],(MATCH((G222),ResponseSLA[Priority],0))+1,3)),"YES","No")</f>
        <v>YES</v>
      </c>
      <c r="AI222" s="81" t="str">
        <f ca="1">_xlfn.IFNA(IF(AE222 &lt; (INDEX(SLATable[Minimum SLA],MATCH(G222,SLATable[Priority],0))),"YES","NO"),"")</f>
        <v>YES</v>
      </c>
      <c r="AJ222" s="19" t="str">
        <f ca="1">_xlfn.IFNA(IF(AE222 &lt; (INDEX(SLATable[Maximum SLA],MATCH(G222,SLATable[Priority],0))),"YES","NO"),"")</f>
        <v>YES</v>
      </c>
    </row>
    <row r="223" spans="1:36" ht="15" customHeight="1">
      <c r="A223" s="78">
        <v>222</v>
      </c>
      <c r="B223" s="78" t="s">
        <v>26</v>
      </c>
      <c r="C223" s="78" t="s">
        <v>33</v>
      </c>
      <c r="D223" s="78" t="s">
        <v>207</v>
      </c>
      <c r="E223" s="78" t="s">
        <v>841</v>
      </c>
      <c r="F223" s="78" t="s">
        <v>280</v>
      </c>
      <c r="G223" s="78">
        <v>4</v>
      </c>
      <c r="H223" s="86" t="s">
        <v>529</v>
      </c>
      <c r="I223" s="78" t="s">
        <v>271</v>
      </c>
      <c r="J223" s="86" t="s">
        <v>510</v>
      </c>
      <c r="K223" s="277">
        <v>46230.104780092595</v>
      </c>
      <c r="L223" s="277">
        <v>46230.104780092595</v>
      </c>
      <c r="M223" s="277">
        <v>46230.248078703706</v>
      </c>
      <c r="N223" s="277">
        <v>46230.509004629632</v>
      </c>
      <c r="O223" s="80"/>
      <c r="P223" s="80"/>
      <c r="Q223" s="78" t="s">
        <v>514</v>
      </c>
      <c r="R223" s="78" t="s">
        <v>267</v>
      </c>
      <c r="S223" s="78" t="s">
        <v>193</v>
      </c>
      <c r="T223" s="78"/>
      <c r="U223" s="78" t="s">
        <v>371</v>
      </c>
      <c r="V223" s="78"/>
      <c r="W223" s="78"/>
      <c r="X223" s="78"/>
      <c r="Y223" s="78"/>
      <c r="Z223" s="167">
        <f t="shared" ca="1" si="30"/>
        <v>0.17567129629848449</v>
      </c>
      <c r="AA223" s="168">
        <f t="shared" ca="1" si="32"/>
        <v>0.46845679012929192</v>
      </c>
      <c r="AB223" s="167">
        <f t="shared" ca="1" si="31"/>
        <v>0.17567129629848449</v>
      </c>
      <c r="AC223" s="168">
        <f t="shared" ca="1" si="33"/>
        <v>0.46845679012929192</v>
      </c>
      <c r="AD223" s="191">
        <f t="shared" ca="1" si="34"/>
        <v>0</v>
      </c>
      <c r="AE223" s="167">
        <f t="shared" ca="1" si="35"/>
        <v>0.17567129629848449</v>
      </c>
      <c r="AF223" s="168">
        <f t="shared" ca="1" si="36"/>
        <v>0.46845679012929192</v>
      </c>
      <c r="AG223" s="168">
        <f t="shared" ca="1" si="37"/>
        <v>0.46845679012929192</v>
      </c>
      <c r="AH223" s="81" t="str" cm="1">
        <f t="array" aca="1" ref="AH223" ca="1">IF((AD223) &lt; (INDEX(ResponseSLA[#All],(MATCH((G223),ResponseSLA[Priority],0))+1,3)),"YES","No")</f>
        <v>YES</v>
      </c>
      <c r="AI223" s="81" t="str">
        <f ca="1">_xlfn.IFNA(IF(AE223 &lt; (INDEX(SLATable[Minimum SLA],MATCH(G223,SLATable[Priority],0))),"YES","NO"),"")</f>
        <v>YES</v>
      </c>
      <c r="AJ223" s="19" t="str">
        <f ca="1">_xlfn.IFNA(IF(AE223 &lt; (INDEX(SLATable[Maximum SLA],MATCH(G223,SLATable[Priority],0))),"YES","NO"),"")</f>
        <v>YES</v>
      </c>
    </row>
    <row r="224" spans="1:36" ht="15" customHeight="1">
      <c r="A224" s="78">
        <v>223</v>
      </c>
      <c r="B224" s="78" t="s">
        <v>26</v>
      </c>
      <c r="C224" s="78" t="s">
        <v>33</v>
      </c>
      <c r="D224" s="78" t="s">
        <v>207</v>
      </c>
      <c r="E224" s="78" t="s">
        <v>842</v>
      </c>
      <c r="F224" s="78" t="s">
        <v>282</v>
      </c>
      <c r="G224" s="78">
        <v>4</v>
      </c>
      <c r="H224" s="86" t="s">
        <v>843</v>
      </c>
      <c r="I224" s="78" t="s">
        <v>271</v>
      </c>
      <c r="J224" s="86" t="s">
        <v>510</v>
      </c>
      <c r="K224" s="277">
        <v>46231.315000000002</v>
      </c>
      <c r="L224" s="277">
        <v>46231.315000000002</v>
      </c>
      <c r="M224" s="277">
        <v>46231.317673611113</v>
      </c>
      <c r="N224" s="277">
        <v>46233.471539351849</v>
      </c>
      <c r="O224" s="80">
        <v>46232.674340277779</v>
      </c>
      <c r="P224" s="80">
        <v>46233.311678240738</v>
      </c>
      <c r="Q224" s="78" t="s">
        <v>507</v>
      </c>
      <c r="R224" s="78" t="s">
        <v>267</v>
      </c>
      <c r="S224" s="78" t="s">
        <v>149</v>
      </c>
      <c r="T224" s="78"/>
      <c r="U224" s="78" t="s">
        <v>371</v>
      </c>
      <c r="V224" s="78"/>
      <c r="W224" s="78"/>
      <c r="X224" s="78"/>
      <c r="Y224" s="78"/>
      <c r="Z224" s="167">
        <f t="shared" ca="1" si="30"/>
        <v>0.85421296296165872</v>
      </c>
      <c r="AA224" s="168">
        <f t="shared" ca="1" si="32"/>
        <v>2.2779012345644229</v>
      </c>
      <c r="AB224" s="167">
        <f t="shared" ca="1" si="31"/>
        <v>0.85421296296165872</v>
      </c>
      <c r="AC224" s="168">
        <f t="shared" ca="1" si="33"/>
        <v>2.2779012345644229</v>
      </c>
      <c r="AD224" s="191">
        <f t="shared" ca="1" si="34"/>
        <v>0</v>
      </c>
      <c r="AE224" s="167">
        <f t="shared" ca="1" si="35"/>
        <v>0.85421296296165872</v>
      </c>
      <c r="AF224" s="168">
        <f t="shared" ca="1" si="36"/>
        <v>2.2779012345644229</v>
      </c>
      <c r="AG224" s="168">
        <f t="shared" ca="1" si="37"/>
        <v>2.2779012345644229</v>
      </c>
      <c r="AH224" s="81" t="str" cm="1">
        <f t="array" aca="1" ref="AH224" ca="1">IF((AD224) &lt; (INDEX(ResponseSLA[#All],(MATCH((G224),ResponseSLA[Priority],0))+1,3)),"YES","No")</f>
        <v>YES</v>
      </c>
      <c r="AI224" s="81" t="str">
        <f ca="1">_xlfn.IFNA(IF(AE224 &lt; (INDEX(SLATable[Minimum SLA],MATCH(G224,SLATable[Priority],0))),"YES","NO"),"")</f>
        <v>YES</v>
      </c>
      <c r="AJ224" s="19" t="str">
        <f ca="1">_xlfn.IFNA(IF(AE224 &lt; (INDEX(SLATable[Maximum SLA],MATCH(G224,SLATable[Priority],0))),"YES","NO"),"")</f>
        <v>YES</v>
      </c>
    </row>
    <row r="225" spans="1:36" ht="15" customHeight="1">
      <c r="A225" s="78">
        <v>224</v>
      </c>
      <c r="B225" s="78" t="s">
        <v>26</v>
      </c>
      <c r="C225" s="78" t="s">
        <v>33</v>
      </c>
      <c r="D225" s="78" t="s">
        <v>207</v>
      </c>
      <c r="E225" s="396" t="s">
        <v>844</v>
      </c>
      <c r="F225" s="78" t="s">
        <v>278</v>
      </c>
      <c r="G225" s="78">
        <v>4</v>
      </c>
      <c r="H225" s="86" t="s">
        <v>845</v>
      </c>
      <c r="I225" s="78" t="s">
        <v>271</v>
      </c>
      <c r="J225" s="86" t="s">
        <v>513</v>
      </c>
      <c r="K225" s="186">
        <v>46231.648773148147</v>
      </c>
      <c r="L225" s="277">
        <v>46231.648773148147</v>
      </c>
      <c r="M225" s="277">
        <v>46232.236898148149</v>
      </c>
      <c r="N225" s="277">
        <v>46232.264710648145</v>
      </c>
      <c r="O225" s="80"/>
      <c r="P225" s="80"/>
      <c r="Q225" s="78" t="s">
        <v>846</v>
      </c>
      <c r="R225" s="78" t="s">
        <v>267</v>
      </c>
      <c r="S225" s="78" t="s">
        <v>157</v>
      </c>
      <c r="T225" s="78"/>
      <c r="U225" s="78" t="s">
        <v>371</v>
      </c>
      <c r="V225" s="78"/>
      <c r="W225" s="78"/>
      <c r="X225" s="78"/>
      <c r="Y225" s="78"/>
      <c r="Z225" s="167">
        <f t="shared" ca="1" si="30"/>
        <v>5.9560185186758985E-2</v>
      </c>
      <c r="AA225" s="168">
        <f t="shared" ca="1" si="32"/>
        <v>0.15882716049802395</v>
      </c>
      <c r="AB225" s="167">
        <f t="shared" ca="1" si="31"/>
        <v>5.9560185186758985E-2</v>
      </c>
      <c r="AC225" s="168">
        <f t="shared" ca="1" si="33"/>
        <v>0.15882716049802395</v>
      </c>
      <c r="AD225" s="191">
        <f t="shared" ca="1" si="34"/>
        <v>5.9560185186758985E-2</v>
      </c>
      <c r="AE225" s="167">
        <f t="shared" ca="1" si="35"/>
        <v>5.9560185186758985E-2</v>
      </c>
      <c r="AF225" s="168">
        <f t="shared" ca="1" si="36"/>
        <v>0.15882716049802395</v>
      </c>
      <c r="AG225" s="168">
        <f t="shared" ca="1" si="37"/>
        <v>0.15882716049802395</v>
      </c>
      <c r="AH225" s="81" t="str" cm="1">
        <f t="array" aca="1" ref="AH225" ca="1">IF((AD225) &lt; (INDEX(ResponseSLA[#All],(MATCH((G225),ResponseSLA[Priority],0))+1,3)),"YES","No")</f>
        <v>YES</v>
      </c>
      <c r="AI225" s="81" t="str">
        <f ca="1">_xlfn.IFNA(IF(AE225 &lt; (INDEX(SLATable[Minimum SLA],MATCH(G225,SLATable[Priority],0))),"YES","NO"),"")</f>
        <v>YES</v>
      </c>
      <c r="AJ225" s="19" t="str">
        <f ca="1">_xlfn.IFNA(IF(AE225 &lt; (INDEX(SLATable[Maximum SLA],MATCH(G225,SLATable[Priority],0))),"YES","NO"),"")</f>
        <v>YES</v>
      </c>
    </row>
    <row r="226" spans="1:36" ht="15" customHeight="1">
      <c r="A226" s="78">
        <v>225</v>
      </c>
      <c r="B226" s="78" t="s">
        <v>26</v>
      </c>
      <c r="C226" s="78" t="s">
        <v>33</v>
      </c>
      <c r="D226" s="78" t="s">
        <v>207</v>
      </c>
      <c r="E226" s="396" t="s">
        <v>847</v>
      </c>
      <c r="F226" s="78" t="s">
        <v>278</v>
      </c>
      <c r="G226" s="78">
        <v>4</v>
      </c>
      <c r="H226" s="86" t="s">
        <v>848</v>
      </c>
      <c r="I226" s="78" t="s">
        <v>271</v>
      </c>
      <c r="J226" s="86" t="s">
        <v>513</v>
      </c>
      <c r="K226" s="277">
        <v>46231.649305555555</v>
      </c>
      <c r="L226" s="277">
        <v>46231.649305555555</v>
      </c>
      <c r="M226" s="277">
        <v>46232.237025462964</v>
      </c>
      <c r="N226" s="277">
        <v>46232.266967592594</v>
      </c>
      <c r="O226" s="80"/>
      <c r="P226" s="80"/>
      <c r="Q226" s="78" t="s">
        <v>846</v>
      </c>
      <c r="R226" s="78" t="s">
        <v>267</v>
      </c>
      <c r="S226" s="78" t="s">
        <v>157</v>
      </c>
      <c r="T226" s="78"/>
      <c r="U226" s="78" t="s">
        <v>371</v>
      </c>
      <c r="V226" s="78"/>
      <c r="W226" s="78"/>
      <c r="X226" s="78"/>
      <c r="Y226" s="78"/>
      <c r="Z226" s="167">
        <f t="shared" ca="1" si="30"/>
        <v>5.9027777778586255E-2</v>
      </c>
      <c r="AA226" s="168">
        <f t="shared" ca="1" si="32"/>
        <v>0.15740740740956335</v>
      </c>
      <c r="AB226" s="167">
        <f t="shared" ca="1" si="31"/>
        <v>5.9027777778586255E-2</v>
      </c>
      <c r="AC226" s="168">
        <f t="shared" ca="1" si="33"/>
        <v>0.15740740740956335</v>
      </c>
      <c r="AD226" s="191">
        <f t="shared" ca="1" si="34"/>
        <v>5.9027777778586255E-2</v>
      </c>
      <c r="AE226" s="167">
        <f t="shared" ca="1" si="35"/>
        <v>5.9027777778586255E-2</v>
      </c>
      <c r="AF226" s="168">
        <f t="shared" ca="1" si="36"/>
        <v>0.15740740740956335</v>
      </c>
      <c r="AG226" s="168">
        <f t="shared" ca="1" si="37"/>
        <v>0.15740740740956335</v>
      </c>
      <c r="AH226" s="81" t="str" cm="1">
        <f t="array" aca="1" ref="AH226" ca="1">IF((AD226) &lt; (INDEX(ResponseSLA[#All],(MATCH((G226),ResponseSLA[Priority],0))+1,3)),"YES","No")</f>
        <v>YES</v>
      </c>
      <c r="AI226" s="81" t="str">
        <f ca="1">_xlfn.IFNA(IF(AE226 &lt; (INDEX(SLATable[Minimum SLA],MATCH(G226,SLATable[Priority],0))),"YES","NO"),"")</f>
        <v>YES</v>
      </c>
      <c r="AJ226" s="19" t="str">
        <f ca="1">_xlfn.IFNA(IF(AE226 &lt; (INDEX(SLATable[Maximum SLA],MATCH(G226,SLATable[Priority],0))),"YES","NO"),"")</f>
        <v>YES</v>
      </c>
    </row>
    <row r="227" spans="1:36" ht="15" customHeight="1">
      <c r="A227" s="78">
        <v>226</v>
      </c>
      <c r="B227" s="78" t="s">
        <v>26</v>
      </c>
      <c r="C227" s="78" t="s">
        <v>33</v>
      </c>
      <c r="D227" s="78" t="s">
        <v>207</v>
      </c>
      <c r="E227" s="396" t="s">
        <v>849</v>
      </c>
      <c r="F227" s="78" t="s">
        <v>282</v>
      </c>
      <c r="G227" s="78">
        <v>3</v>
      </c>
      <c r="H227" s="86" t="s">
        <v>850</v>
      </c>
      <c r="I227" s="78" t="s">
        <v>271</v>
      </c>
      <c r="J227" s="86" t="s">
        <v>510</v>
      </c>
      <c r="K227" s="277">
        <v>46232.455347222225</v>
      </c>
      <c r="L227" s="277">
        <v>46232.455347222225</v>
      </c>
      <c r="M227" s="277">
        <v>46232.471493055556</v>
      </c>
      <c r="N227" s="277">
        <v>46233.439085648148</v>
      </c>
      <c r="O227" s="80">
        <v>46232.674351851849</v>
      </c>
      <c r="P227" s="80">
        <v>46233.439085648148</v>
      </c>
      <c r="Q227" s="78" t="s">
        <v>507</v>
      </c>
      <c r="R227" s="78" t="s">
        <v>267</v>
      </c>
      <c r="S227" s="78" t="s">
        <v>149</v>
      </c>
      <c r="T227" s="78"/>
      <c r="U227" s="78" t="s">
        <v>371</v>
      </c>
      <c r="V227" s="78"/>
      <c r="W227" s="78"/>
      <c r="X227" s="78"/>
      <c r="Y227" s="78"/>
      <c r="Z227" s="167">
        <f t="shared" ca="1" si="30"/>
        <v>0.21900462962366873</v>
      </c>
      <c r="AA227" s="168">
        <f t="shared" ca="1" si="32"/>
        <v>0.58401234566311666</v>
      </c>
      <c r="AB227" s="167">
        <f t="shared" ca="1" si="31"/>
        <v>0.21900462962366873</v>
      </c>
      <c r="AC227" s="168">
        <f t="shared" ca="1" si="33"/>
        <v>0.58401234566311666</v>
      </c>
      <c r="AD227" s="191">
        <f t="shared" ca="1" si="34"/>
        <v>1.6145833331393078E-2</v>
      </c>
      <c r="AE227" s="167">
        <f t="shared" ca="1" si="35"/>
        <v>0.21900462962366873</v>
      </c>
      <c r="AF227" s="168">
        <f t="shared" ca="1" si="36"/>
        <v>0.58401234566311666</v>
      </c>
      <c r="AG227" s="168">
        <f t="shared" ca="1" si="37"/>
        <v>0.58401234566311666</v>
      </c>
      <c r="AH227" s="81" t="str" cm="1">
        <f t="array" aca="1" ref="AH227" ca="1">IF((AD227) &lt; (INDEX(ResponseSLA[#All],(MATCH((G227),ResponseSLA[Priority],0))+1,3)),"YES","No")</f>
        <v>YES</v>
      </c>
      <c r="AI227" s="81" t="str">
        <f ca="1">_xlfn.IFNA(IF(AE227 &lt; (INDEX(SLATable[Minimum SLA],MATCH(G227,SLATable[Priority],0))),"YES","NO"),"")</f>
        <v>YES</v>
      </c>
      <c r="AJ227" s="19" t="str">
        <f ca="1">_xlfn.IFNA(IF(AE227 &lt; (INDEX(SLATable[Maximum SLA],MATCH(G227,SLATable[Priority],0))),"YES","NO"),"")</f>
        <v>YES</v>
      </c>
    </row>
    <row r="228" spans="1:36" ht="15" customHeight="1">
      <c r="A228" s="78">
        <v>227</v>
      </c>
      <c r="B228" s="78" t="s">
        <v>26</v>
      </c>
      <c r="C228" s="78" t="s">
        <v>31</v>
      </c>
      <c r="D228" s="78" t="s">
        <v>208</v>
      </c>
      <c r="E228" s="396" t="s">
        <v>851</v>
      </c>
      <c r="F228" s="78" t="s">
        <v>30</v>
      </c>
      <c r="G228" s="78" t="s">
        <v>208</v>
      </c>
      <c r="H228" s="86" t="s">
        <v>852</v>
      </c>
      <c r="I228" s="78" t="s">
        <v>271</v>
      </c>
      <c r="J228" s="86" t="s">
        <v>389</v>
      </c>
      <c r="K228" s="277">
        <v>46224.469606481478</v>
      </c>
      <c r="L228" s="277">
        <v>46224.469606481478</v>
      </c>
      <c r="M228" s="277">
        <v>46224.55908564815</v>
      </c>
      <c r="N228" s="277">
        <v>46225.27039351852</v>
      </c>
      <c r="O228" s="80">
        <v>46224.572048611109</v>
      </c>
      <c r="P228" s="80">
        <v>46225.27039351852</v>
      </c>
      <c r="Q228" s="78" t="s">
        <v>498</v>
      </c>
      <c r="R228" s="78" t="s">
        <v>267</v>
      </c>
      <c r="S228" s="78" t="s">
        <v>179</v>
      </c>
      <c r="T228" s="78"/>
      <c r="U228" s="78" t="s">
        <v>371</v>
      </c>
      <c r="V228" s="78"/>
      <c r="W228" s="78"/>
      <c r="X228" s="78"/>
      <c r="Y228" s="78"/>
      <c r="Z228" s="167">
        <f t="shared" ca="1" si="30"/>
        <v>0.10244212963152677</v>
      </c>
      <c r="AA228" s="168">
        <f t="shared" ca="1" si="32"/>
        <v>0.27317901235073805</v>
      </c>
      <c r="AB228" s="167">
        <f t="shared" ca="1" si="31"/>
        <v>0.10244212963152677</v>
      </c>
      <c r="AC228" s="168">
        <f t="shared" ca="1" si="33"/>
        <v>0.27317901235073805</v>
      </c>
      <c r="AD228" s="191">
        <f t="shared" ca="1" si="34"/>
        <v>8.947916667239042E-2</v>
      </c>
      <c r="AE228" s="167">
        <f t="shared" ca="1" si="35"/>
        <v>0.10244212963152677</v>
      </c>
      <c r="AF228" s="168">
        <f t="shared" ca="1" si="36"/>
        <v>0.27317901235073805</v>
      </c>
      <c r="AG228" s="168">
        <f t="shared" ca="1" si="37"/>
        <v>0.27317901235073805</v>
      </c>
      <c r="AH228" s="81" t="str" cm="1">
        <f t="array" aca="1" ref="AH228" ca="1">IF((AD228) &lt; (INDEX(ResponseSLA[#All],(MATCH((G228),ResponseSLA[Priority],0))+1,3)),"YES","No")</f>
        <v>YES</v>
      </c>
      <c r="AI228" s="81" t="str">
        <f ca="1">_xlfn.IFNA(IF(AE228 &lt; (INDEX(SLATable[Minimum SLA],MATCH(G228,SLATable[Priority],0))),"YES","NO"),"")</f>
        <v>YES</v>
      </c>
      <c r="AJ228" s="19" t="str">
        <f ca="1">_xlfn.IFNA(IF(AE228 &lt; (INDEX(SLATable[Maximum SLA],MATCH(G228,SLATable[Priority],0))),"YES","NO"),"")</f>
        <v>YES</v>
      </c>
    </row>
    <row r="229" spans="1:36" ht="15" customHeight="1">
      <c r="A229" s="78">
        <v>228</v>
      </c>
      <c r="B229" s="78" t="s">
        <v>26</v>
      </c>
      <c r="C229" s="78" t="s">
        <v>31</v>
      </c>
      <c r="D229" s="78" t="s">
        <v>208</v>
      </c>
      <c r="E229" s="78" t="s">
        <v>853</v>
      </c>
      <c r="F229" s="78" t="s">
        <v>30</v>
      </c>
      <c r="G229" s="78" t="s">
        <v>208</v>
      </c>
      <c r="H229" s="86" t="s">
        <v>854</v>
      </c>
      <c r="I229" s="78" t="s">
        <v>266</v>
      </c>
      <c r="J229" s="86" t="s">
        <v>389</v>
      </c>
      <c r="K229" s="277">
        <v>46233.261770833335</v>
      </c>
      <c r="L229" s="277">
        <v>46233.261770833335</v>
      </c>
      <c r="M229" s="277">
        <v>46233.318252314813</v>
      </c>
      <c r="N229" s="277"/>
      <c r="O229" s="80">
        <v>46233.318715277775</v>
      </c>
      <c r="P229" s="80"/>
      <c r="Q229" s="78" t="s">
        <v>498</v>
      </c>
      <c r="R229" s="78" t="s">
        <v>267</v>
      </c>
      <c r="S229" s="78" t="s">
        <v>179</v>
      </c>
      <c r="T229" s="78"/>
      <c r="U229" s="78" t="s">
        <v>371</v>
      </c>
      <c r="V229" s="78"/>
      <c r="W229" s="78"/>
      <c r="X229" s="78"/>
      <c r="Y229" s="78"/>
      <c r="Z229" s="167">
        <f t="shared" ca="1" si="30"/>
        <v>7.0506437500031716</v>
      </c>
      <c r="AA229" s="168">
        <f t="shared" ca="1" si="32"/>
        <v>18.801716666675123</v>
      </c>
      <c r="AB229" s="167">
        <f t="shared" ca="1" si="31"/>
        <v>0</v>
      </c>
      <c r="AC229" s="168">
        <f t="shared" ca="1" si="33"/>
        <v>0</v>
      </c>
      <c r="AD229" s="191">
        <f t="shared" ca="1" si="34"/>
        <v>0</v>
      </c>
      <c r="AE229" s="167">
        <f t="shared" ca="1" si="35"/>
        <v>0</v>
      </c>
      <c r="AF229" s="168">
        <f t="shared" ca="1" si="36"/>
        <v>0</v>
      </c>
      <c r="AG229" s="168">
        <f t="shared" ca="1" si="37"/>
        <v>0</v>
      </c>
      <c r="AH229" s="81" t="str" cm="1">
        <f t="array" aca="1" ref="AH229" ca="1">IF((AD229) &lt; (INDEX(ResponseSLA[#All],(MATCH((G229),ResponseSLA[Priority],0))+1,3)),"YES","No")</f>
        <v>YES</v>
      </c>
      <c r="AI229" s="81" t="str">
        <f ca="1">_xlfn.IFNA(IF(AE229 &lt; (INDEX(SLATable[Minimum SLA],MATCH(G229,SLATable[Priority],0))),"YES","NO"),"")</f>
        <v>YES</v>
      </c>
      <c r="AJ229" s="19" t="str">
        <f ca="1">_xlfn.IFNA(IF(AE229 &lt; (INDEX(SLATable[Maximum SLA],MATCH(G229,SLATable[Priority],0))),"YES","NO"),"")</f>
        <v>YES</v>
      </c>
    </row>
    <row r="230" spans="1:36" ht="15" customHeight="1">
      <c r="A230" s="78">
        <v>229</v>
      </c>
      <c r="B230" s="78" t="s">
        <v>26</v>
      </c>
      <c r="C230" s="78" t="s">
        <v>31</v>
      </c>
      <c r="D230" s="78" t="s">
        <v>208</v>
      </c>
      <c r="E230" s="78" t="s">
        <v>855</v>
      </c>
      <c r="F230" s="78" t="s">
        <v>30</v>
      </c>
      <c r="G230" s="78" t="s">
        <v>208</v>
      </c>
      <c r="H230" s="86" t="s">
        <v>856</v>
      </c>
      <c r="I230" s="78" t="s">
        <v>266</v>
      </c>
      <c r="J230" s="86" t="s">
        <v>385</v>
      </c>
      <c r="K230" s="277">
        <v>46218.691354166665</v>
      </c>
      <c r="L230" s="277">
        <v>46230.439675925925</v>
      </c>
      <c r="M230" s="277">
        <v>46230.457314814812</v>
      </c>
      <c r="N230" s="277"/>
      <c r="O230" s="80">
        <v>46231.40520833333</v>
      </c>
      <c r="P230" s="80"/>
      <c r="Q230" s="78"/>
      <c r="R230" s="78" t="s">
        <v>267</v>
      </c>
      <c r="S230" s="78" t="s">
        <v>179</v>
      </c>
      <c r="T230" s="78"/>
      <c r="U230" s="78" t="s">
        <v>371</v>
      </c>
      <c r="V230" s="78"/>
      <c r="W230" s="78"/>
      <c r="X230" s="78"/>
      <c r="Y230" s="78"/>
      <c r="Z230" s="167">
        <f t="shared" ca="1" si="30"/>
        <v>10.8176229166711</v>
      </c>
      <c r="AA230" s="168">
        <f t="shared" ca="1" si="32"/>
        <v>28.846994444456268</v>
      </c>
      <c r="AB230" s="167">
        <f t="shared" ca="1" si="31"/>
        <v>0.34053240740468027</v>
      </c>
      <c r="AC230" s="168">
        <f t="shared" ca="1" si="33"/>
        <v>0.90808641974581406</v>
      </c>
      <c r="AD230" s="191">
        <f t="shared" ca="1" si="34"/>
        <v>1.763888888672227E-2</v>
      </c>
      <c r="AE230" s="167">
        <f t="shared" ca="1" si="35"/>
        <v>0.34053240740468027</v>
      </c>
      <c r="AF230" s="168">
        <f t="shared" ca="1" si="36"/>
        <v>0.90808641974581406</v>
      </c>
      <c r="AG230" s="168">
        <f t="shared" ca="1" si="37"/>
        <v>0.90808641974581406</v>
      </c>
      <c r="AH230" s="81" t="str" cm="1">
        <f t="array" aca="1" ref="AH230" ca="1">IF((AD230) &lt; (INDEX(ResponseSLA[#All],(MATCH((G230),ResponseSLA[Priority],0))+1,3)),"YES","No")</f>
        <v>YES</v>
      </c>
      <c r="AI230" s="81" t="str">
        <f ca="1">_xlfn.IFNA(IF(AE230 &lt; (INDEX(SLATable[Minimum SLA],MATCH(G230,SLATable[Priority],0))),"YES","NO"),"")</f>
        <v>YES</v>
      </c>
      <c r="AJ230" s="19" t="str">
        <f ca="1">_xlfn.IFNA(IF(AE230 &lt; (INDEX(SLATable[Maximum SLA],MATCH(G230,SLATable[Priority],0))),"YES","NO"),"")</f>
        <v>YES</v>
      </c>
    </row>
    <row r="231" spans="1:36" ht="15" customHeight="1">
      <c r="A231" s="78">
        <v>230</v>
      </c>
      <c r="B231" s="78" t="s">
        <v>26</v>
      </c>
      <c r="C231" s="78" t="s">
        <v>33</v>
      </c>
      <c r="D231" s="78" t="s">
        <v>208</v>
      </c>
      <c r="E231" s="78" t="s">
        <v>857</v>
      </c>
      <c r="F231" s="78" t="s">
        <v>274</v>
      </c>
      <c r="G231" s="78" t="s">
        <v>208</v>
      </c>
      <c r="H231" s="99" t="s">
        <v>858</v>
      </c>
      <c r="I231" s="78" t="s">
        <v>275</v>
      </c>
      <c r="J231" s="86" t="s">
        <v>859</v>
      </c>
      <c r="K231" s="277">
        <v>45994.564583333333</v>
      </c>
      <c r="L231" s="277">
        <v>46226.507638888892</v>
      </c>
      <c r="M231" s="277">
        <v>46226.511805555558</v>
      </c>
      <c r="N231" s="277">
        <v>46226.702777777777</v>
      </c>
      <c r="O231" s="80"/>
      <c r="P231" s="80"/>
      <c r="Q231" s="78"/>
      <c r="R231" s="78" t="s">
        <v>276</v>
      </c>
      <c r="S231" s="78" t="s">
        <v>183</v>
      </c>
      <c r="T231" s="78"/>
      <c r="U231" s="78"/>
      <c r="V231" s="78"/>
      <c r="W231" s="78"/>
      <c r="X231" s="78"/>
      <c r="Y231" s="78"/>
      <c r="Z231" s="167">
        <f t="shared" ca="1" si="30"/>
        <v>60.138194444443805</v>
      </c>
      <c r="AA231" s="168">
        <f t="shared" ca="1" si="32"/>
        <v>160.36851851851682</v>
      </c>
      <c r="AB231" s="167">
        <f t="shared" ca="1" si="31"/>
        <v>0.195138888884685</v>
      </c>
      <c r="AC231" s="168">
        <f t="shared" ca="1" si="33"/>
        <v>0.52037037035916001</v>
      </c>
      <c r="AD231" s="191">
        <f t="shared" ca="1" si="34"/>
        <v>4.166666665696539E-3</v>
      </c>
      <c r="AE231" s="167">
        <f t="shared" ca="1" si="35"/>
        <v>0.195138888884685</v>
      </c>
      <c r="AF231" s="168">
        <f t="shared" ca="1" si="36"/>
        <v>0.52037037035916001</v>
      </c>
      <c r="AG231" s="168">
        <f t="shared" ca="1" si="37"/>
        <v>0.52037037035916001</v>
      </c>
      <c r="AH231" s="81" t="str" cm="1">
        <f t="array" aca="1" ref="AH231" ca="1">IF((AD231) &lt; (INDEX(ResponseSLA[#All],(MATCH((G231),ResponseSLA[Priority],0))+1,3)),"YES","No")</f>
        <v>YES</v>
      </c>
      <c r="AI231" s="81" t="str">
        <f ca="1">_xlfn.IFNA(IF(AE231 &lt; (INDEX(SLATable[Minimum SLA],MATCH(G231,SLATable[Priority],0))),"YES","NO"),"")</f>
        <v>YES</v>
      </c>
      <c r="AJ231" s="19" t="str">
        <f ca="1">_xlfn.IFNA(IF(AE231 &lt; (INDEX(SLATable[Maximum SLA],MATCH(G231,SLATable[Priority],0))),"YES","NO"),"")</f>
        <v>YES</v>
      </c>
    </row>
    <row r="232" spans="1:36" ht="15" customHeight="1">
      <c r="A232" s="78">
        <v>231</v>
      </c>
      <c r="B232" s="78" t="s">
        <v>26</v>
      </c>
      <c r="C232" s="78" t="s">
        <v>33</v>
      </c>
      <c r="D232" s="78" t="s">
        <v>208</v>
      </c>
      <c r="E232" s="78" t="s">
        <v>860</v>
      </c>
      <c r="F232" s="78" t="s">
        <v>274</v>
      </c>
      <c r="G232" s="78" t="s">
        <v>208</v>
      </c>
      <c r="H232" s="99" t="s">
        <v>861</v>
      </c>
      <c r="I232" s="78" t="s">
        <v>271</v>
      </c>
      <c r="J232" s="86" t="s">
        <v>467</v>
      </c>
      <c r="K232" s="277">
        <v>46232.837500000001</v>
      </c>
      <c r="L232" s="400">
        <v>46232.847916666666</v>
      </c>
      <c r="M232" s="277">
        <v>46233.4375</v>
      </c>
      <c r="N232" s="277">
        <v>46233.508333333331</v>
      </c>
      <c r="O232" s="80"/>
      <c r="P232" s="80"/>
      <c r="Q232" s="78"/>
      <c r="R232" s="78" t="s">
        <v>267</v>
      </c>
      <c r="S232" s="78" t="s">
        <v>179</v>
      </c>
      <c r="T232" s="78"/>
      <c r="U232" s="78"/>
      <c r="V232" s="78"/>
      <c r="W232" s="78"/>
      <c r="X232" s="78"/>
      <c r="Y232" s="78"/>
      <c r="Z232" s="167">
        <f t="shared" ca="1" si="30"/>
        <v>0.17499999999805971</v>
      </c>
      <c r="AA232" s="168">
        <f t="shared" ca="1" si="32"/>
        <v>0.46666666666149254</v>
      </c>
      <c r="AB232" s="167">
        <f t="shared" ca="1" si="31"/>
        <v>0.17499999999805971</v>
      </c>
      <c r="AC232" s="168">
        <f t="shared" ca="1" si="33"/>
        <v>0.46666666666149254</v>
      </c>
      <c r="AD232" s="191">
        <f t="shared" ca="1" si="34"/>
        <v>0.10416666666666669</v>
      </c>
      <c r="AE232" s="167">
        <f t="shared" ca="1" si="35"/>
        <v>0.17499999999805971</v>
      </c>
      <c r="AF232" s="168">
        <f t="shared" ca="1" si="36"/>
        <v>0.46666666666149254</v>
      </c>
      <c r="AG232" s="168">
        <f t="shared" ca="1" si="37"/>
        <v>0.46666666666149254</v>
      </c>
      <c r="AH232" s="81" t="str" cm="1">
        <f t="array" aca="1" ref="AH232" ca="1">IF((AD232) &lt; (INDEX(ResponseSLA[#All],(MATCH((G232),ResponseSLA[Priority],0))+1,3)),"YES","No")</f>
        <v>YES</v>
      </c>
      <c r="AI232" s="81" t="str">
        <f ca="1">_xlfn.IFNA(IF(AE232 &lt; (INDEX(SLATable[Minimum SLA],MATCH(G232,SLATable[Priority],0))),"YES","NO"),"")</f>
        <v>YES</v>
      </c>
      <c r="AJ232" s="19" t="str">
        <f ca="1">_xlfn.IFNA(IF(AE232 &lt; (INDEX(SLATable[Maximum SLA],MATCH(G232,SLATable[Priority],0))),"YES","NO"),"")</f>
        <v>YES</v>
      </c>
    </row>
    <row r="233" spans="1:36" ht="15" customHeight="1">
      <c r="A233" s="78">
        <v>232</v>
      </c>
      <c r="B233" s="78" t="s">
        <v>26</v>
      </c>
      <c r="C233" s="78" t="s">
        <v>33</v>
      </c>
      <c r="D233" s="78" t="s">
        <v>208</v>
      </c>
      <c r="E233" s="85" t="s">
        <v>862</v>
      </c>
      <c r="F233" s="78" t="s">
        <v>274</v>
      </c>
      <c r="G233" s="78" t="s">
        <v>208</v>
      </c>
      <c r="H233" s="86" t="s">
        <v>863</v>
      </c>
      <c r="I233" s="78" t="s">
        <v>271</v>
      </c>
      <c r="J233" s="86" t="s">
        <v>467</v>
      </c>
      <c r="K233" s="277">
        <v>46233.586805555555</v>
      </c>
      <c r="L233" s="400">
        <v>46233.586805555555</v>
      </c>
      <c r="M233" s="277">
        <v>46233.594444444447</v>
      </c>
      <c r="N233" s="277">
        <v>46238.413194444445</v>
      </c>
      <c r="O233" s="80"/>
      <c r="P233" s="80"/>
      <c r="Q233" s="78"/>
      <c r="R233" s="78" t="s">
        <v>267</v>
      </c>
      <c r="S233" s="78" t="s">
        <v>179</v>
      </c>
      <c r="T233" s="78"/>
      <c r="U233" s="78" t="s">
        <v>371</v>
      </c>
      <c r="V233" s="78"/>
      <c r="W233" s="78"/>
      <c r="X233" s="78"/>
      <c r="Y233" s="78"/>
      <c r="Z233" s="167">
        <f t="shared" ca="1" si="30"/>
        <v>0.95138888889050599</v>
      </c>
      <c r="AA233" s="168">
        <f t="shared" ca="1" si="32"/>
        <v>2.5370370370413493</v>
      </c>
      <c r="AB233" s="167">
        <f t="shared" ca="1" si="31"/>
        <v>0.95138888889050599</v>
      </c>
      <c r="AC233" s="168">
        <f t="shared" ca="1" si="33"/>
        <v>2.5370370370413493</v>
      </c>
      <c r="AD233" s="191">
        <f t="shared" ca="1" si="34"/>
        <v>7.6388888919609599E-3</v>
      </c>
      <c r="AE233" s="167">
        <f t="shared" ca="1" si="35"/>
        <v>0.95138888889050599</v>
      </c>
      <c r="AF233" s="168">
        <f t="shared" ca="1" si="36"/>
        <v>2.5370370370413493</v>
      </c>
      <c r="AG233" s="168">
        <f t="shared" ca="1" si="37"/>
        <v>2.5370370370413493</v>
      </c>
      <c r="AH233" s="81" t="str" cm="1">
        <f t="array" aca="1" ref="AH233" ca="1">IF((AD233) &lt; (INDEX(ResponseSLA[#All],(MATCH((G233),ResponseSLA[Priority],0))+1,3)),"YES","No")</f>
        <v>YES</v>
      </c>
      <c r="AI233" s="81" t="str">
        <f ca="1">_xlfn.IFNA(IF(AE233 &lt; (INDEX(SLATable[Minimum SLA],MATCH(G233,SLATable[Priority],0))),"YES","NO"),"")</f>
        <v>NO</v>
      </c>
      <c r="AJ233" s="19" t="str">
        <f ca="1">_xlfn.IFNA(IF(AE233 &lt; (INDEX(SLATable[Maximum SLA],MATCH(G233,SLATable[Priority],0))),"YES","NO"),"")</f>
        <v>NO</v>
      </c>
    </row>
    <row r="234" spans="1:36" ht="15" customHeight="1">
      <c r="A234" s="78">
        <v>233</v>
      </c>
      <c r="B234" s="78" t="s">
        <v>26</v>
      </c>
      <c r="C234" s="78" t="s">
        <v>33</v>
      </c>
      <c r="D234" s="78" t="s">
        <v>207</v>
      </c>
      <c r="E234" s="78" t="s">
        <v>864</v>
      </c>
      <c r="F234" s="78" t="s">
        <v>274</v>
      </c>
      <c r="G234" s="78">
        <v>4</v>
      </c>
      <c r="H234" s="85" t="s">
        <v>700</v>
      </c>
      <c r="I234" s="78" t="s">
        <v>271</v>
      </c>
      <c r="J234" s="85" t="s">
        <v>592</v>
      </c>
      <c r="K234" s="277">
        <v>46230.477083333331</v>
      </c>
      <c r="L234" s="400">
        <v>46230.481249999997</v>
      </c>
      <c r="M234" s="277">
        <v>46230.49722222222</v>
      </c>
      <c r="N234" s="277">
        <v>46230.565972222219</v>
      </c>
      <c r="O234" s="80"/>
      <c r="P234" s="80"/>
      <c r="Q234" s="78"/>
      <c r="R234" s="78" t="s">
        <v>267</v>
      </c>
      <c r="S234" s="78" t="s">
        <v>193</v>
      </c>
      <c r="T234" s="78"/>
      <c r="U234" s="78" t="s">
        <v>371</v>
      </c>
      <c r="V234" s="78"/>
      <c r="W234" s="78"/>
      <c r="X234" s="78"/>
      <c r="Y234" s="78"/>
      <c r="Z234" s="167">
        <f t="shared" ca="1" si="30"/>
        <v>8.8888888887595385E-2</v>
      </c>
      <c r="AA234" s="168">
        <f t="shared" ca="1" si="32"/>
        <v>0.23703703703358769</v>
      </c>
      <c r="AB234" s="167">
        <f t="shared" ca="1" si="31"/>
        <v>8.4722222221898846E-2</v>
      </c>
      <c r="AC234" s="168">
        <f t="shared" ca="1" si="33"/>
        <v>0.22592592592506358</v>
      </c>
      <c r="AD234" s="191">
        <f t="shared" ca="1" si="34"/>
        <v>1.5972222223354038E-2</v>
      </c>
      <c r="AE234" s="167">
        <f t="shared" ca="1" si="35"/>
        <v>8.4722222221898846E-2</v>
      </c>
      <c r="AF234" s="168">
        <f t="shared" ca="1" si="36"/>
        <v>0.22592592592506358</v>
      </c>
      <c r="AG234" s="168">
        <f t="shared" ca="1" si="37"/>
        <v>0.22592592592506358</v>
      </c>
      <c r="AH234" s="81" t="str" cm="1">
        <f t="array" aca="1" ref="AH234" ca="1">IF((AD234) &lt; (INDEX(ResponseSLA[#All],(MATCH((G234),ResponseSLA[Priority],0))+1,3)),"YES","No")</f>
        <v>YES</v>
      </c>
      <c r="AI234" s="81" t="str">
        <f ca="1">_xlfn.IFNA(IF(AE234 &lt; (INDEX(SLATable[Minimum SLA],MATCH(G234,SLATable[Priority],0))),"YES","NO"),"")</f>
        <v>YES</v>
      </c>
      <c r="AJ234" s="19" t="str">
        <f ca="1">_xlfn.IFNA(IF(AE234 &lt; (INDEX(SLATable[Maximum SLA],MATCH(G234,SLATable[Priority],0))),"YES","NO"),"")</f>
        <v>YES</v>
      </c>
    </row>
    <row r="235" spans="1:36" ht="15" customHeight="1">
      <c r="A235" s="78">
        <v>234</v>
      </c>
      <c r="B235" s="78" t="s">
        <v>26</v>
      </c>
      <c r="C235" s="78" t="s">
        <v>33</v>
      </c>
      <c r="D235" s="78" t="s">
        <v>207</v>
      </c>
      <c r="E235" s="85" t="s">
        <v>865</v>
      </c>
      <c r="F235" s="78" t="s">
        <v>274</v>
      </c>
      <c r="G235" s="78">
        <v>4</v>
      </c>
      <c r="H235" s="401" t="s">
        <v>866</v>
      </c>
      <c r="I235" s="78" t="s">
        <v>275</v>
      </c>
      <c r="J235" s="86" t="s">
        <v>694</v>
      </c>
      <c r="K235" s="277">
        <v>46230.417361111111</v>
      </c>
      <c r="L235" s="400">
        <v>46230.417361111111</v>
      </c>
      <c r="M235" s="277">
        <v>46230.423611111109</v>
      </c>
      <c r="N235" s="277">
        <v>46232.563194444447</v>
      </c>
      <c r="O235" s="80"/>
      <c r="P235" s="80"/>
      <c r="Q235" s="78"/>
      <c r="R235" s="78" t="s">
        <v>267</v>
      </c>
      <c r="S235" s="78" t="s">
        <v>193</v>
      </c>
      <c r="T235" s="78"/>
      <c r="U235" s="78" t="s">
        <v>371</v>
      </c>
      <c r="V235" s="78"/>
      <c r="W235" s="78"/>
      <c r="X235" s="78"/>
      <c r="Y235" s="78"/>
      <c r="Z235" s="167">
        <f t="shared" ca="1" si="30"/>
        <v>0.89583333333575865</v>
      </c>
      <c r="AA235" s="168">
        <f t="shared" ca="1" si="32"/>
        <v>2.3888888888953566</v>
      </c>
      <c r="AB235" s="167">
        <f t="shared" ca="1" si="31"/>
        <v>0.89583333333575865</v>
      </c>
      <c r="AC235" s="168">
        <f t="shared" ca="1" si="33"/>
        <v>2.3888888888953566</v>
      </c>
      <c r="AD235" s="191">
        <f t="shared" ca="1" si="34"/>
        <v>6.2499999985448085E-3</v>
      </c>
      <c r="AE235" s="167">
        <f t="shared" ca="1" si="35"/>
        <v>0.89583333333575865</v>
      </c>
      <c r="AF235" s="168">
        <f t="shared" ca="1" si="36"/>
        <v>2.3888888888953566</v>
      </c>
      <c r="AG235" s="168">
        <f t="shared" ca="1" si="37"/>
        <v>2.3888888888953566</v>
      </c>
      <c r="AH235" s="81" t="str" cm="1">
        <f t="array" aca="1" ref="AH235" ca="1">IF((AD235) &lt; (INDEX(ResponseSLA[#All],(MATCH((G235),ResponseSLA[Priority],0))+1,3)),"YES","No")</f>
        <v>YES</v>
      </c>
      <c r="AI235" s="81" t="str">
        <f ca="1">_xlfn.IFNA(IF(AE235 &lt; (INDEX(SLATable[Minimum SLA],MATCH(G235,SLATable[Priority],0))),"YES","NO"),"")</f>
        <v>YES</v>
      </c>
      <c r="AJ235" s="19" t="str">
        <f ca="1">_xlfn.IFNA(IF(AE235 &lt; (INDEX(SLATable[Maximum SLA],MATCH(G235,SLATable[Priority],0))),"YES","NO"),"")</f>
        <v>YES</v>
      </c>
    </row>
    <row r="236" spans="1:36" ht="15" customHeight="1">
      <c r="A236" s="78">
        <v>235</v>
      </c>
      <c r="B236" s="78" t="s">
        <v>26</v>
      </c>
      <c r="C236" s="78" t="s">
        <v>33</v>
      </c>
      <c r="D236" s="78" t="s">
        <v>207</v>
      </c>
      <c r="E236" s="85" t="s">
        <v>867</v>
      </c>
      <c r="F236" s="78" t="s">
        <v>274</v>
      </c>
      <c r="G236" s="78">
        <v>4</v>
      </c>
      <c r="H236" s="85" t="s">
        <v>822</v>
      </c>
      <c r="I236" s="78" t="s">
        <v>275</v>
      </c>
      <c r="J236" s="86" t="s">
        <v>859</v>
      </c>
      <c r="K236" s="277">
        <v>46231.118055555555</v>
      </c>
      <c r="L236" s="400">
        <v>46231.436111111114</v>
      </c>
      <c r="M236" s="277">
        <v>46231.438194444447</v>
      </c>
      <c r="N236" s="277">
        <v>46232.493055555555</v>
      </c>
      <c r="O236" s="80"/>
      <c r="P236" s="80"/>
      <c r="Q236" s="78"/>
      <c r="R236" s="78" t="s">
        <v>267</v>
      </c>
      <c r="S236" s="78" t="s">
        <v>193</v>
      </c>
      <c r="T236" s="78"/>
      <c r="U236" s="78" t="s">
        <v>371</v>
      </c>
      <c r="V236" s="78"/>
      <c r="W236" s="78"/>
      <c r="X236" s="78"/>
      <c r="Y236" s="78"/>
      <c r="Z236" s="167">
        <f t="shared" ca="1" si="30"/>
        <v>0.53472222222141386</v>
      </c>
      <c r="AA236" s="168">
        <f t="shared" ca="1" si="32"/>
        <v>1.4259259259237702</v>
      </c>
      <c r="AB236" s="167">
        <f t="shared" ca="1" si="31"/>
        <v>0.43194444444088731</v>
      </c>
      <c r="AC236" s="168">
        <f t="shared" ca="1" si="33"/>
        <v>1.1518518518423662</v>
      </c>
      <c r="AD236" s="191">
        <f t="shared" ca="1" si="34"/>
        <v>2.0833333328482695E-3</v>
      </c>
      <c r="AE236" s="167">
        <f t="shared" ca="1" si="35"/>
        <v>0.43194444444088731</v>
      </c>
      <c r="AF236" s="168">
        <f t="shared" ca="1" si="36"/>
        <v>1.1518518518423662</v>
      </c>
      <c r="AG236" s="168">
        <f t="shared" ca="1" si="37"/>
        <v>1.1518518518423662</v>
      </c>
      <c r="AH236" s="81" t="str" cm="1">
        <f t="array" aca="1" ref="AH236" ca="1">IF((AD236) &lt; (INDEX(ResponseSLA[#All],(MATCH((G236),ResponseSLA[Priority],0))+1,3)),"YES","No")</f>
        <v>YES</v>
      </c>
      <c r="AI236" s="81" t="str">
        <f ca="1">_xlfn.IFNA(IF(AE236 &lt; (INDEX(SLATable[Minimum SLA],MATCH(G236,SLATable[Priority],0))),"YES","NO"),"")</f>
        <v>YES</v>
      </c>
      <c r="AJ236" s="19" t="str">
        <f ca="1">_xlfn.IFNA(IF(AE236 &lt; (INDEX(SLATable[Maximum SLA],MATCH(G236,SLATable[Priority],0))),"YES","NO"),"")</f>
        <v>YES</v>
      </c>
    </row>
    <row r="237" spans="1:36" ht="15" customHeight="1">
      <c r="A237" s="78">
        <v>236</v>
      </c>
      <c r="B237" s="78" t="s">
        <v>26</v>
      </c>
      <c r="C237" s="78" t="s">
        <v>33</v>
      </c>
      <c r="D237" s="78" t="s">
        <v>208</v>
      </c>
      <c r="E237" s="78" t="s">
        <v>868</v>
      </c>
      <c r="F237" s="78" t="s">
        <v>278</v>
      </c>
      <c r="G237" s="78" t="s">
        <v>208</v>
      </c>
      <c r="H237" s="86" t="s">
        <v>869</v>
      </c>
      <c r="I237" s="78" t="s">
        <v>271</v>
      </c>
      <c r="J237" s="86" t="s">
        <v>510</v>
      </c>
      <c r="K237" s="277">
        <v>46232.378877314812</v>
      </c>
      <c r="L237" s="277">
        <v>46234.416365740741</v>
      </c>
      <c r="M237" s="277">
        <v>46234.580937500003</v>
      </c>
      <c r="N237" s="277">
        <v>46234.581932870373</v>
      </c>
      <c r="O237" s="80"/>
      <c r="P237" s="80"/>
      <c r="Q237" s="78" t="s">
        <v>846</v>
      </c>
      <c r="R237" s="78" t="s">
        <v>267</v>
      </c>
      <c r="S237" s="78" t="s">
        <v>175</v>
      </c>
      <c r="T237" s="78"/>
      <c r="U237" s="78" t="s">
        <v>371</v>
      </c>
      <c r="V237" s="78"/>
      <c r="W237" s="78"/>
      <c r="X237" s="78"/>
      <c r="Y237" s="78"/>
      <c r="Z237" s="167">
        <f t="shared" ca="1" si="30"/>
        <v>0.95305555556114996</v>
      </c>
      <c r="AA237" s="168">
        <f t="shared" ca="1" si="32"/>
        <v>2.5414814814963997</v>
      </c>
      <c r="AB237" s="167">
        <f t="shared" ca="1" si="31"/>
        <v>0.16556712963210884</v>
      </c>
      <c r="AC237" s="168">
        <f t="shared" ca="1" si="33"/>
        <v>0.44151234568562359</v>
      </c>
      <c r="AD237" s="191">
        <f t="shared" ca="1" si="34"/>
        <v>0.16457175926188938</v>
      </c>
      <c r="AE237" s="167">
        <f t="shared" ca="1" si="35"/>
        <v>0.16556712963210884</v>
      </c>
      <c r="AF237" s="168">
        <f t="shared" ca="1" si="36"/>
        <v>0.44151234568562359</v>
      </c>
      <c r="AG237" s="168">
        <f t="shared" ca="1" si="37"/>
        <v>0.44151234568562359</v>
      </c>
      <c r="AH237" s="81" t="str" cm="1">
        <f t="array" aca="1" ref="AH237" ca="1">IF((AD237) &lt; (INDEX(ResponseSLA[#All],(MATCH((G237),ResponseSLA[Priority],0))+1,3)),"YES","No")</f>
        <v>YES</v>
      </c>
      <c r="AI237" s="81" t="str">
        <f ca="1">_xlfn.IFNA(IF(AE237 &lt; (INDEX(SLATable[Minimum SLA],MATCH(G237,SLATable[Priority],0))),"YES","NO"),"")</f>
        <v>YES</v>
      </c>
      <c r="AJ237" s="19" t="str">
        <f ca="1">_xlfn.IFNA(IF(AE237 &lt; (INDEX(SLATable[Maximum SLA],MATCH(G237,SLATable[Priority],0))),"YES","NO"),"")</f>
        <v>YES</v>
      </c>
    </row>
    <row r="238" spans="1:36" ht="15" customHeight="1">
      <c r="A238" s="78">
        <v>237</v>
      </c>
      <c r="B238" s="78" t="s">
        <v>26</v>
      </c>
      <c r="C238" s="78" t="s">
        <v>33</v>
      </c>
      <c r="D238" s="78" t="s">
        <v>207</v>
      </c>
      <c r="E238" s="78" t="s">
        <v>870</v>
      </c>
      <c r="F238" s="78" t="s">
        <v>280</v>
      </c>
      <c r="G238" s="78">
        <v>3</v>
      </c>
      <c r="H238" s="86" t="s">
        <v>871</v>
      </c>
      <c r="I238" s="78" t="s">
        <v>275</v>
      </c>
      <c r="J238" s="86" t="s">
        <v>506</v>
      </c>
      <c r="K238" s="277">
        <v>46234.696157407408</v>
      </c>
      <c r="L238" s="277">
        <v>46234.734571759262</v>
      </c>
      <c r="M238" s="277">
        <v>46237.231944444444</v>
      </c>
      <c r="N238" s="277">
        <v>46252.531435185185</v>
      </c>
      <c r="O238" s="80">
        <v>46237.236643518518</v>
      </c>
      <c r="P238" s="80"/>
      <c r="Q238" s="78" t="s">
        <v>514</v>
      </c>
      <c r="R238" s="78" t="s">
        <v>267</v>
      </c>
      <c r="S238" s="78" t="s">
        <v>175</v>
      </c>
      <c r="T238" s="78"/>
      <c r="U238" s="78" t="s">
        <v>371</v>
      </c>
      <c r="V238" s="78"/>
      <c r="W238" s="78"/>
      <c r="X238" s="78"/>
      <c r="Y238" s="78"/>
      <c r="Z238" s="167">
        <f t="shared" ca="1" si="30"/>
        <v>4.3352777777763558</v>
      </c>
      <c r="AA238" s="168">
        <f t="shared" ca="1" si="32"/>
        <v>11.56074074073695</v>
      </c>
      <c r="AB238" s="167">
        <f t="shared" ca="1" si="31"/>
        <v>4.3231018518514865</v>
      </c>
      <c r="AC238" s="168">
        <f t="shared" ca="1" si="33"/>
        <v>11.528271604937297</v>
      </c>
      <c r="AD238" s="191">
        <f t="shared" ca="1" si="34"/>
        <v>0</v>
      </c>
      <c r="AE238" s="167">
        <f t="shared" ca="1" si="35"/>
        <v>4.3231018518514865</v>
      </c>
      <c r="AF238" s="168">
        <f t="shared" ca="1" si="36"/>
        <v>11.528271604937297</v>
      </c>
      <c r="AG238" s="168">
        <f t="shared" ca="1" si="37"/>
        <v>11.528271604937297</v>
      </c>
      <c r="AH238" s="81" t="str" cm="1">
        <f t="array" aca="1" ref="AH238" ca="1">IF((AD238) &lt; (INDEX(ResponseSLA[#All],(MATCH((G238),ResponseSLA[Priority],0))+1,3)),"YES","No")</f>
        <v>YES</v>
      </c>
      <c r="AI238" s="81" t="str">
        <f ca="1">_xlfn.IFNA(IF(AE238 &lt; (INDEX(SLATable[Minimum SLA],MATCH(G238,SLATable[Priority],0))),"YES","NO"),"")</f>
        <v>NO</v>
      </c>
      <c r="AJ238" s="19" t="str">
        <f ca="1">_xlfn.IFNA(IF(AE238 &lt; (INDEX(SLATable[Maximum SLA],MATCH(G238,SLATable[Priority],0))),"YES","NO"),"")</f>
        <v>NO</v>
      </c>
    </row>
    <row r="239" spans="1:36" ht="15" customHeight="1">
      <c r="A239" s="78">
        <v>238</v>
      </c>
      <c r="B239" s="78" t="s">
        <v>26</v>
      </c>
      <c r="C239" s="78" t="s">
        <v>33</v>
      </c>
      <c r="D239" s="78" t="s">
        <v>207</v>
      </c>
      <c r="E239" s="78" t="s">
        <v>872</v>
      </c>
      <c r="F239" s="78" t="s">
        <v>280</v>
      </c>
      <c r="G239" s="78">
        <v>4</v>
      </c>
      <c r="H239" s="86" t="s">
        <v>512</v>
      </c>
      <c r="I239" s="78" t="s">
        <v>271</v>
      </c>
      <c r="J239" s="86" t="s">
        <v>513</v>
      </c>
      <c r="K239" s="277">
        <v>46237.038194444445</v>
      </c>
      <c r="L239" s="277">
        <v>46237.038194444445</v>
      </c>
      <c r="M239" s="277">
        <v>46237.236111111109</v>
      </c>
      <c r="N239" s="277">
        <v>46237.267233796294</v>
      </c>
      <c r="O239" s="80"/>
      <c r="P239" s="80"/>
      <c r="Q239" s="78" t="s">
        <v>514</v>
      </c>
      <c r="R239" s="78" t="s">
        <v>267</v>
      </c>
      <c r="S239" s="78"/>
      <c r="T239" s="78"/>
      <c r="U239" s="78" t="s">
        <v>371</v>
      </c>
      <c r="V239" s="78"/>
      <c r="W239" s="78"/>
      <c r="X239" s="78"/>
      <c r="Y239" s="78"/>
      <c r="Z239" s="167">
        <f t="shared" ca="1" si="30"/>
        <v>0</v>
      </c>
      <c r="AA239" s="168">
        <f t="shared" ca="1" si="32"/>
        <v>0</v>
      </c>
      <c r="AB239" s="167">
        <f t="shared" ca="1" si="31"/>
        <v>0</v>
      </c>
      <c r="AC239" s="168">
        <f t="shared" ca="1" si="33"/>
        <v>0</v>
      </c>
      <c r="AD239" s="191">
        <f t="shared" ca="1" si="34"/>
        <v>0</v>
      </c>
      <c r="AE239" s="167">
        <f t="shared" ca="1" si="35"/>
        <v>0</v>
      </c>
      <c r="AF239" s="168">
        <f t="shared" ca="1" si="36"/>
        <v>0</v>
      </c>
      <c r="AG239" s="168">
        <f t="shared" ca="1" si="37"/>
        <v>0</v>
      </c>
      <c r="AH239" s="81" t="str" cm="1">
        <f t="array" aca="1" ref="AH239" ca="1">IF((AD239) &lt; (INDEX(ResponseSLA[#All],(MATCH((G239),ResponseSLA[Priority],0))+1,3)),"YES","No")</f>
        <v>YES</v>
      </c>
      <c r="AI239" s="81" t="str">
        <f ca="1">_xlfn.IFNA(IF(AE239 &lt; (INDEX(SLATable[Minimum SLA],MATCH(G239,SLATable[Priority],0))),"YES","NO"),"")</f>
        <v>YES</v>
      </c>
      <c r="AJ239" s="19" t="str">
        <f ca="1">_xlfn.IFNA(IF(AE239 &lt; (INDEX(SLATable[Maximum SLA],MATCH(G239,SLATable[Priority],0))),"YES","NO"),"")</f>
        <v>YES</v>
      </c>
    </row>
    <row r="240" spans="1:36" ht="15" customHeight="1">
      <c r="A240" s="78">
        <v>239</v>
      </c>
      <c r="B240" s="78" t="s">
        <v>26</v>
      </c>
      <c r="C240" s="78" t="s">
        <v>29</v>
      </c>
      <c r="D240" s="78" t="s">
        <v>207</v>
      </c>
      <c r="E240" s="182" t="s">
        <v>873</v>
      </c>
      <c r="F240" s="182" t="s">
        <v>264</v>
      </c>
      <c r="G240" s="78">
        <v>4</v>
      </c>
      <c r="H240" s="182" t="s">
        <v>874</v>
      </c>
      <c r="I240" s="78" t="s">
        <v>271</v>
      </c>
      <c r="J240" s="182" t="s">
        <v>377</v>
      </c>
      <c r="K240" s="183">
        <v>46197.397361111114</v>
      </c>
      <c r="L240" s="277">
        <v>46197.398611111108</v>
      </c>
      <c r="M240" s="277">
        <v>46197.411898148152</v>
      </c>
      <c r="N240" s="183">
        <v>46197.43854166667</v>
      </c>
      <c r="O240" s="80"/>
      <c r="P240" s="80"/>
      <c r="Q240" s="78" t="s">
        <v>370</v>
      </c>
      <c r="R240" s="78"/>
      <c r="S240" s="78"/>
      <c r="T240" s="78"/>
      <c r="U240" s="78" t="s">
        <v>371</v>
      </c>
      <c r="V240" s="78"/>
      <c r="W240" s="78"/>
      <c r="X240" s="78"/>
      <c r="Y240" s="78"/>
      <c r="Z240" s="167">
        <f t="shared" ca="1" si="30"/>
        <v>4.1180555555911269E-2</v>
      </c>
      <c r="AA240" s="168">
        <f t="shared" ca="1" si="32"/>
        <v>0.10981481481576338</v>
      </c>
      <c r="AB240" s="167">
        <f t="shared" ca="1" si="31"/>
        <v>3.9930555562023073E-2</v>
      </c>
      <c r="AC240" s="168">
        <f t="shared" ca="1" si="33"/>
        <v>0.1064814814987282</v>
      </c>
      <c r="AD240" s="191">
        <f t="shared" ca="1" si="34"/>
        <v>1.3287037043482997E-2</v>
      </c>
      <c r="AE240" s="167">
        <f t="shared" ca="1" si="35"/>
        <v>3.9930555562023073E-2</v>
      </c>
      <c r="AF240" s="168">
        <f t="shared" ca="1" si="36"/>
        <v>0.1064814814987282</v>
      </c>
      <c r="AG240" s="168">
        <f t="shared" ca="1" si="37"/>
        <v>0.1064814814987282</v>
      </c>
      <c r="AH240" s="81" t="str" cm="1">
        <f t="array" aca="1" ref="AH240" ca="1">IF((AD240) &lt; (INDEX(ResponseSLA[#All],(MATCH((G240),ResponseSLA[Priority],0))+1,3)),"YES","No")</f>
        <v>YES</v>
      </c>
      <c r="AI240" s="81" t="str">
        <f ca="1">_xlfn.IFNA(IF(AE240 &lt; (INDEX(SLATable[Minimum SLA],MATCH(G240,SLATable[Priority],0))),"YES","NO"),"")</f>
        <v>YES</v>
      </c>
      <c r="AJ240" s="19" t="str">
        <f ca="1">_xlfn.IFNA(IF(AE240 &lt; (INDEX(SLATable[Maximum SLA],MATCH(G240,SLATable[Priority],0))),"YES","NO"),"")</f>
        <v>YES</v>
      </c>
    </row>
    <row r="241" spans="1:36" ht="15" customHeight="1">
      <c r="A241" s="78">
        <v>240</v>
      </c>
      <c r="B241" s="78" t="s">
        <v>26</v>
      </c>
      <c r="C241" s="78" t="s">
        <v>29</v>
      </c>
      <c r="D241" s="78" t="s">
        <v>207</v>
      </c>
      <c r="E241" s="182" t="s">
        <v>875</v>
      </c>
      <c r="F241" s="182" t="s">
        <v>264</v>
      </c>
      <c r="G241" s="323">
        <v>4</v>
      </c>
      <c r="H241" s="182" t="s">
        <v>876</v>
      </c>
      <c r="I241" s="78" t="s">
        <v>271</v>
      </c>
      <c r="J241" s="182" t="s">
        <v>377</v>
      </c>
      <c r="K241" s="183">
        <v>46197.41883101852</v>
      </c>
      <c r="L241" s="324">
        <v>46197.418761574074</v>
      </c>
      <c r="M241" s="324">
        <v>46197.421550925923</v>
      </c>
      <c r="N241" s="183">
        <v>46199.431747685187</v>
      </c>
      <c r="O241" s="325"/>
      <c r="P241" s="325"/>
      <c r="Q241" s="326" t="s">
        <v>370</v>
      </c>
      <c r="R241" s="78"/>
      <c r="S241" s="78"/>
      <c r="T241" s="78"/>
      <c r="U241" s="78" t="s">
        <v>371</v>
      </c>
      <c r="V241" s="78"/>
      <c r="W241" s="78"/>
      <c r="X241" s="78"/>
      <c r="Y241" s="78"/>
      <c r="Z241" s="167">
        <f t="shared" ca="1" si="30"/>
        <v>0.76291666666656965</v>
      </c>
      <c r="AA241" s="168">
        <f t="shared" ca="1" si="32"/>
        <v>2.0344444444441856</v>
      </c>
      <c r="AB241" s="167">
        <f t="shared" ca="1" si="31"/>
        <v>0.76298611111269565</v>
      </c>
      <c r="AC241" s="168">
        <f t="shared" ca="1" si="33"/>
        <v>2.0346296296338551</v>
      </c>
      <c r="AD241" s="191">
        <f t="shared" ca="1" si="34"/>
        <v>2.78935184906004E-3</v>
      </c>
      <c r="AE241" s="167">
        <f t="shared" ca="1" si="35"/>
        <v>0.76298611111269565</v>
      </c>
      <c r="AF241" s="168">
        <f t="shared" ca="1" si="36"/>
        <v>2.0346296296338551</v>
      </c>
      <c r="AG241" s="168">
        <f t="shared" ca="1" si="37"/>
        <v>2.0346296296338551</v>
      </c>
      <c r="AH241" s="81" t="str" cm="1">
        <f t="array" aca="1" ref="AH241" ca="1">IF((AD241) &lt; (INDEX(ResponseSLA[#All],(MATCH((G241),ResponseSLA[Priority],0))+1,3)),"YES","No")</f>
        <v>YES</v>
      </c>
      <c r="AI241" s="81" t="str">
        <f ca="1">_xlfn.IFNA(IF(AE241 &lt; (INDEX(SLATable[Minimum SLA],MATCH(G241,SLATable[Priority],0))),"YES","NO"),"")</f>
        <v>YES</v>
      </c>
      <c r="AJ241" s="19" t="str">
        <f ca="1">_xlfn.IFNA(IF(AE241 &lt; (INDEX(SLATable[Maximum SLA],MATCH(G241,SLATable[Priority],0))),"YES","NO"),"")</f>
        <v>YES</v>
      </c>
    </row>
    <row r="242" spans="1:36" ht="15" customHeight="1">
      <c r="A242" s="78">
        <v>241</v>
      </c>
      <c r="B242" s="78" t="s">
        <v>26</v>
      </c>
      <c r="C242" s="78" t="s">
        <v>29</v>
      </c>
      <c r="D242" s="78" t="s">
        <v>207</v>
      </c>
      <c r="E242" s="182" t="s">
        <v>877</v>
      </c>
      <c r="F242" s="182" t="s">
        <v>264</v>
      </c>
      <c r="G242" s="78">
        <v>4</v>
      </c>
      <c r="H242" s="182" t="s">
        <v>878</v>
      </c>
      <c r="I242" s="78" t="s">
        <v>271</v>
      </c>
      <c r="J242" s="182" t="s">
        <v>374</v>
      </c>
      <c r="K242" s="183">
        <v>46197.631631944445</v>
      </c>
      <c r="L242" s="277">
        <v>46197.633599537039</v>
      </c>
      <c r="M242" s="277">
        <v>46197.63590277778</v>
      </c>
      <c r="N242" s="183">
        <v>46210.750208333331</v>
      </c>
      <c r="O242" s="80"/>
      <c r="P242" s="80"/>
      <c r="Q242" s="78" t="s">
        <v>370</v>
      </c>
      <c r="R242" s="78"/>
      <c r="S242" s="78"/>
      <c r="T242" s="78"/>
      <c r="U242" s="78" t="s">
        <v>371</v>
      </c>
      <c r="V242" s="78"/>
      <c r="W242" s="78"/>
      <c r="X242" s="78"/>
      <c r="Y242" s="78"/>
      <c r="Z242" s="167">
        <f t="shared" ca="1" si="30"/>
        <v>3.4517013888883721</v>
      </c>
      <c r="AA242" s="168">
        <f t="shared" ca="1" si="32"/>
        <v>9.2045370370356583</v>
      </c>
      <c r="AB242" s="167">
        <f t="shared" ca="1" si="31"/>
        <v>3.4497337962942165</v>
      </c>
      <c r="AC242" s="168">
        <f t="shared" ca="1" si="33"/>
        <v>9.1992901234512434</v>
      </c>
      <c r="AD242" s="191">
        <f t="shared" ca="1" si="34"/>
        <v>2.3032407407299615E-3</v>
      </c>
      <c r="AE242" s="167">
        <f t="shared" ca="1" si="35"/>
        <v>3.4497337962942165</v>
      </c>
      <c r="AF242" s="168">
        <f t="shared" ca="1" si="36"/>
        <v>9.1992901234512434</v>
      </c>
      <c r="AG242" s="168">
        <f t="shared" ca="1" si="37"/>
        <v>9.1992901234512434</v>
      </c>
      <c r="AH242" s="81" t="str" cm="1">
        <f t="array" aca="1" ref="AH242" ca="1">IF((AD242) &lt; (INDEX(ResponseSLA[#All],(MATCH((G242),ResponseSLA[Priority],0))+1,3)),"YES","No")</f>
        <v>YES</v>
      </c>
      <c r="AI242" s="81" t="str">
        <f ca="1">_xlfn.IFNA(IF(AE242 &lt; (INDEX(SLATable[Minimum SLA],MATCH(G242,SLATable[Priority],0))),"YES","NO"),"")</f>
        <v>YES</v>
      </c>
      <c r="AJ242" s="19" t="str">
        <f ca="1">_xlfn.IFNA(IF(AE242 &lt; (INDEX(SLATable[Maximum SLA],MATCH(G242,SLATable[Priority],0))),"YES","NO"),"")</f>
        <v>YES</v>
      </c>
    </row>
    <row r="243" spans="1:36" ht="15" customHeight="1">
      <c r="A243" s="78">
        <v>242</v>
      </c>
      <c r="B243" s="78" t="s">
        <v>26</v>
      </c>
      <c r="C243" s="78" t="s">
        <v>29</v>
      </c>
      <c r="D243" s="78" t="s">
        <v>207</v>
      </c>
      <c r="E243" s="182" t="s">
        <v>879</v>
      </c>
      <c r="F243" s="182" t="s">
        <v>269</v>
      </c>
      <c r="G243" s="78">
        <v>4</v>
      </c>
      <c r="H243" s="182" t="s">
        <v>880</v>
      </c>
      <c r="I243" s="78" t="s">
        <v>271</v>
      </c>
      <c r="J243" s="182" t="s">
        <v>377</v>
      </c>
      <c r="K243" s="183">
        <v>46202.877928240741</v>
      </c>
      <c r="L243" s="277">
        <v>46202.878287037034</v>
      </c>
      <c r="M243" s="209">
        <v>46203.224675925929</v>
      </c>
      <c r="N243" s="183">
        <v>46216.287708333337</v>
      </c>
      <c r="O243" s="80"/>
      <c r="P243" s="80"/>
      <c r="Q243" s="78" t="s">
        <v>454</v>
      </c>
      <c r="R243" s="78"/>
      <c r="S243" s="78"/>
      <c r="T243" s="78"/>
      <c r="U243" s="78" t="s">
        <v>371</v>
      </c>
      <c r="V243" s="78"/>
      <c r="W243" s="78"/>
      <c r="X243" s="78"/>
      <c r="Y243" s="78"/>
      <c r="Z243" s="167">
        <f t="shared" ca="1" si="30"/>
        <v>3.3750000000000004</v>
      </c>
      <c r="AA243" s="168">
        <f t="shared" ca="1" si="32"/>
        <v>9.0000000000000018</v>
      </c>
      <c r="AB243" s="167">
        <f t="shared" ca="1" si="31"/>
        <v>3.3750000000000004</v>
      </c>
      <c r="AC243" s="168">
        <f t="shared" ca="1" si="33"/>
        <v>9.0000000000000018</v>
      </c>
      <c r="AD243" s="191">
        <f t="shared" ca="1" si="34"/>
        <v>0</v>
      </c>
      <c r="AE243" s="167">
        <f t="shared" ca="1" si="35"/>
        <v>3.3750000000000004</v>
      </c>
      <c r="AF243" s="168">
        <f t="shared" ca="1" si="36"/>
        <v>9.0000000000000018</v>
      </c>
      <c r="AG243" s="168">
        <f t="shared" ca="1" si="37"/>
        <v>9.0000000000000018</v>
      </c>
      <c r="AH243" s="81" t="str" cm="1">
        <f t="array" aca="1" ref="AH243" ca="1">IF((AD243) &lt; (INDEX(ResponseSLA[#All],(MATCH((G243),ResponseSLA[Priority],0))+1,3)),"YES","No")</f>
        <v>YES</v>
      </c>
      <c r="AI243" s="81" t="str">
        <f ca="1">_xlfn.IFNA(IF(AE243 &lt; (INDEX(SLATable[Minimum SLA],MATCH(G243,SLATable[Priority],0))),"YES","NO"),"")</f>
        <v>YES</v>
      </c>
      <c r="AJ243" s="19" t="str">
        <f ca="1">_xlfn.IFNA(IF(AE243 &lt; (INDEX(SLATable[Maximum SLA],MATCH(G243,SLATable[Priority],0))),"YES","NO"),"")</f>
        <v>YES</v>
      </c>
    </row>
    <row r="244" spans="1:36" ht="15" customHeight="1">
      <c r="A244" s="78">
        <v>243</v>
      </c>
      <c r="B244" s="78" t="s">
        <v>26</v>
      </c>
      <c r="C244" s="78" t="s">
        <v>29</v>
      </c>
      <c r="D244" s="78" t="s">
        <v>207</v>
      </c>
      <c r="E244" s="182" t="s">
        <v>881</v>
      </c>
      <c r="F244" s="182" t="s">
        <v>264</v>
      </c>
      <c r="G244" s="78">
        <v>4</v>
      </c>
      <c r="H244" s="182" t="s">
        <v>882</v>
      </c>
      <c r="I244" s="78" t="s">
        <v>271</v>
      </c>
      <c r="J244" s="182" t="s">
        <v>377</v>
      </c>
      <c r="K244" s="183">
        <v>46203.517500000002</v>
      </c>
      <c r="L244" s="277">
        <v>46203.517523148148</v>
      </c>
      <c r="M244" s="277">
        <v>46203.531666666669</v>
      </c>
      <c r="N244" s="183">
        <v>46206.416076388887</v>
      </c>
      <c r="O244" s="80"/>
      <c r="P244" s="80"/>
      <c r="Q244" s="78" t="s">
        <v>370</v>
      </c>
      <c r="R244" s="78"/>
      <c r="S244" s="78"/>
      <c r="T244" s="78"/>
      <c r="U244" s="78" t="s">
        <v>371</v>
      </c>
      <c r="V244" s="78"/>
      <c r="W244" s="78"/>
      <c r="X244" s="78"/>
      <c r="Y244" s="78"/>
      <c r="Z244" s="167">
        <f t="shared" ca="1" si="30"/>
        <v>1.0235763888849763</v>
      </c>
      <c r="AA244" s="168">
        <f t="shared" ca="1" si="32"/>
        <v>2.7295370370266037</v>
      </c>
      <c r="AB244" s="167">
        <f t="shared" ca="1" si="31"/>
        <v>1.0235532407386929</v>
      </c>
      <c r="AC244" s="168">
        <f t="shared" ca="1" si="33"/>
        <v>2.7294753086365144</v>
      </c>
      <c r="AD244" s="191">
        <f t="shared" ca="1" si="34"/>
        <v>1.414351852145046E-2</v>
      </c>
      <c r="AE244" s="167">
        <f t="shared" ca="1" si="35"/>
        <v>1.0235532407386929</v>
      </c>
      <c r="AF244" s="168">
        <f t="shared" ca="1" si="36"/>
        <v>2.7294753086365144</v>
      </c>
      <c r="AG244" s="168">
        <f t="shared" ca="1" si="37"/>
        <v>2.7294753086365144</v>
      </c>
      <c r="AH244" s="81" t="str" cm="1">
        <f t="array" aca="1" ref="AH244" ca="1">IF((AD244) &lt; (INDEX(ResponseSLA[#All],(MATCH((G244),ResponseSLA[Priority],0))+1,3)),"YES","No")</f>
        <v>YES</v>
      </c>
      <c r="AI244" s="81" t="str">
        <f ca="1">_xlfn.IFNA(IF(AE244 &lt; (INDEX(SLATable[Minimum SLA],MATCH(G244,SLATable[Priority],0))),"YES","NO"),"")</f>
        <v>YES</v>
      </c>
      <c r="AJ244" s="19" t="str">
        <f ca="1">_xlfn.IFNA(IF(AE244 &lt; (INDEX(SLATable[Maximum SLA],MATCH(G244,SLATable[Priority],0))),"YES","NO"),"")</f>
        <v>YES</v>
      </c>
    </row>
    <row r="245" spans="1:36" ht="15" customHeight="1">
      <c r="A245" s="78">
        <v>244</v>
      </c>
      <c r="B245" s="78" t="s">
        <v>26</v>
      </c>
      <c r="C245" s="78" t="s">
        <v>29</v>
      </c>
      <c r="D245" s="78" t="s">
        <v>207</v>
      </c>
      <c r="E245" s="182" t="s">
        <v>883</v>
      </c>
      <c r="F245" s="182" t="s">
        <v>264</v>
      </c>
      <c r="G245" s="78">
        <v>4</v>
      </c>
      <c r="H245" s="182" t="s">
        <v>884</v>
      </c>
      <c r="I245" s="78" t="s">
        <v>271</v>
      </c>
      <c r="J245" s="182" t="s">
        <v>377</v>
      </c>
      <c r="K245" s="183">
        <v>46203.648101851853</v>
      </c>
      <c r="L245" s="277">
        <v>46203.6481712963</v>
      </c>
      <c r="M245" s="277">
        <v>46203.650625000002</v>
      </c>
      <c r="N245" s="183">
        <v>46209.579583333332</v>
      </c>
      <c r="O245" s="80"/>
      <c r="P245" s="80"/>
      <c r="Q245" s="78" t="s">
        <v>370</v>
      </c>
      <c r="R245" s="78"/>
      <c r="S245" s="78"/>
      <c r="T245" s="78"/>
      <c r="U245" s="78" t="s">
        <v>371</v>
      </c>
      <c r="V245" s="78"/>
      <c r="W245" s="78"/>
      <c r="X245" s="78"/>
      <c r="Y245" s="78"/>
      <c r="Z245" s="167">
        <f t="shared" ca="1" si="30"/>
        <v>1.4314814814788406</v>
      </c>
      <c r="AA245" s="168">
        <f t="shared" ca="1" si="32"/>
        <v>3.8172839506102414</v>
      </c>
      <c r="AB245" s="167">
        <f t="shared" ca="1" si="31"/>
        <v>1.4314120370327146</v>
      </c>
      <c r="AC245" s="168">
        <f t="shared" ca="1" si="33"/>
        <v>3.8170987654205724</v>
      </c>
      <c r="AD245" s="191">
        <f t="shared" ca="1" si="34"/>
        <v>2.4537037024856545E-3</v>
      </c>
      <c r="AE245" s="167">
        <f t="shared" ca="1" si="35"/>
        <v>1.4314120370327146</v>
      </c>
      <c r="AF245" s="168">
        <f t="shared" ca="1" si="36"/>
        <v>3.8170987654205724</v>
      </c>
      <c r="AG245" s="168">
        <f t="shared" ca="1" si="37"/>
        <v>3.8170987654205724</v>
      </c>
      <c r="AH245" s="81" t="str" cm="1">
        <f t="array" aca="1" ref="AH245" ca="1">IF((AD245) &lt; (INDEX(ResponseSLA[#All],(MATCH((G245),ResponseSLA[Priority],0))+1,3)),"YES","No")</f>
        <v>YES</v>
      </c>
      <c r="AI245" s="81" t="str">
        <f ca="1">_xlfn.IFNA(IF(AE245 &lt; (INDEX(SLATable[Minimum SLA],MATCH(G245,SLATable[Priority],0))),"YES","NO"),"")</f>
        <v>YES</v>
      </c>
      <c r="AJ245" s="19" t="str">
        <f ca="1">_xlfn.IFNA(IF(AE245 &lt; (INDEX(SLATable[Maximum SLA],MATCH(G245,SLATable[Priority],0))),"YES","NO"),"")</f>
        <v>YES</v>
      </c>
    </row>
    <row r="246" spans="1:36" ht="15" customHeight="1">
      <c r="A246" s="78">
        <v>245</v>
      </c>
      <c r="B246" s="78" t="s">
        <v>26</v>
      </c>
      <c r="C246" s="78" t="s">
        <v>29</v>
      </c>
      <c r="D246" s="78" t="s">
        <v>207</v>
      </c>
      <c r="E246" s="182" t="s">
        <v>885</v>
      </c>
      <c r="F246" s="182" t="s">
        <v>264</v>
      </c>
      <c r="G246" s="78">
        <v>4</v>
      </c>
      <c r="H246" s="182" t="s">
        <v>886</v>
      </c>
      <c r="I246" s="78" t="s">
        <v>271</v>
      </c>
      <c r="J246" s="182" t="s">
        <v>377</v>
      </c>
      <c r="K246" s="183">
        <v>46203.779745370368</v>
      </c>
      <c r="L246" s="277">
        <v>46204.352002314816</v>
      </c>
      <c r="M246" s="277">
        <v>46204.353055555555</v>
      </c>
      <c r="N246" s="183">
        <v>46205.440023148149</v>
      </c>
      <c r="O246" s="80"/>
      <c r="P246" s="80"/>
      <c r="Q246" s="78" t="s">
        <v>370</v>
      </c>
      <c r="R246" s="78"/>
      <c r="S246" s="78"/>
      <c r="T246" s="78"/>
      <c r="U246" s="78" t="s">
        <v>371</v>
      </c>
      <c r="V246" s="78"/>
      <c r="W246" s="78"/>
      <c r="X246" s="78"/>
      <c r="Y246" s="78"/>
      <c r="Z246" s="167">
        <f t="shared" ca="1" si="30"/>
        <v>0.48168981481527828</v>
      </c>
      <c r="AA246" s="168">
        <f t="shared" ca="1" si="32"/>
        <v>1.2845061728407421</v>
      </c>
      <c r="AB246" s="167">
        <f t="shared" ca="1" si="31"/>
        <v>0.46302083333284827</v>
      </c>
      <c r="AC246" s="168">
        <f t="shared" ca="1" si="33"/>
        <v>1.2347222222209286</v>
      </c>
      <c r="AD246" s="191">
        <f t="shared" ca="1" si="34"/>
        <v>1.0532407395658083E-3</v>
      </c>
      <c r="AE246" s="167">
        <f t="shared" ca="1" si="35"/>
        <v>0.46302083333284827</v>
      </c>
      <c r="AF246" s="168">
        <f t="shared" ca="1" si="36"/>
        <v>1.2347222222209286</v>
      </c>
      <c r="AG246" s="168">
        <f t="shared" ca="1" si="37"/>
        <v>1.2347222222209286</v>
      </c>
      <c r="AH246" s="81" t="str" cm="1">
        <f t="array" aca="1" ref="AH246" ca="1">IF((AD246) &lt; (INDEX(ResponseSLA[#All],(MATCH((G246),ResponseSLA[Priority],0))+1,3)),"YES","No")</f>
        <v>YES</v>
      </c>
      <c r="AI246" s="81" t="str">
        <f ca="1">_xlfn.IFNA(IF(AE246 &lt; (INDEX(SLATable[Minimum SLA],MATCH(G246,SLATable[Priority],0))),"YES","NO"),"")</f>
        <v>YES</v>
      </c>
      <c r="AJ246" s="19" t="str">
        <f ca="1">_xlfn.IFNA(IF(AE246 &lt; (INDEX(SLATable[Maximum SLA],MATCH(G246,SLATable[Priority],0))),"YES","NO"),"")</f>
        <v>YES</v>
      </c>
    </row>
    <row r="247" spans="1:36" ht="15" customHeight="1">
      <c r="A247" s="78">
        <v>246</v>
      </c>
      <c r="B247" s="78" t="s">
        <v>26</v>
      </c>
      <c r="C247" s="78" t="s">
        <v>29</v>
      </c>
      <c r="D247" s="78" t="s">
        <v>207</v>
      </c>
      <c r="E247" s="182" t="s">
        <v>887</v>
      </c>
      <c r="F247" s="182" t="s">
        <v>264</v>
      </c>
      <c r="G247" s="78">
        <v>4</v>
      </c>
      <c r="H247" s="182" t="s">
        <v>888</v>
      </c>
      <c r="I247" s="78" t="s">
        <v>271</v>
      </c>
      <c r="J247" s="182" t="s">
        <v>377</v>
      </c>
      <c r="K247" s="183">
        <v>46205.6096875</v>
      </c>
      <c r="L247" s="277">
        <v>46205.610115740739</v>
      </c>
      <c r="M247" s="277">
        <v>46205.613877314812</v>
      </c>
      <c r="N247" s="183">
        <v>46209.568252314813</v>
      </c>
      <c r="O247" s="80"/>
      <c r="P247" s="80"/>
      <c r="Q247" s="78" t="s">
        <v>370</v>
      </c>
      <c r="R247" s="78"/>
      <c r="S247" s="78"/>
      <c r="T247" s="78"/>
      <c r="U247" s="78" t="s">
        <v>371</v>
      </c>
      <c r="V247" s="78"/>
      <c r="W247" s="78"/>
      <c r="X247" s="78"/>
      <c r="Y247" s="78"/>
      <c r="Z247" s="167">
        <f t="shared" ref="Z247:Z310" ca="1" si="38">IF(NOT(OR(G247=1,G247=2)),MAX(0,_xlfn.IFS(AND(K247&lt;&gt;"",N247&lt;&gt;""),((MAX(NETWORKDAYS(K247,N247,UKBankHolidays)-1,0))*(TIME(17,0,0)-TIME(8,0,0))+IF(NETWORKDAYS(N247,N247,UKBankHolidays)&gt;0,MEDIAN(TIME(8,0,0),MOD(N247,1),TIME(17,0,0)),TIME(8,0,0))-IF(NETWORKDAYS(K247,K247,UKBankHolidays)&gt;0,MEDIAN(TIME(8,0,0),MOD(K247,1),TIME(17,0,0)),TIME(8,0,0)))-IF(AND(O247&lt;&gt;"",P247&lt;&gt;""),((MAX(NETWORKDAYS(O247,P247,UKBankHolidays)-1,0))*(TIME(17,0,0)-TIME(8,0,0))+IF(NETWORKDAYS(P247,P247,UKBankHolidays)&gt;0,MEDIAN(TIME(8,0,0),MOD(P247,1),TIME(17,0,0)),TIME(8,0,0))-IF(NETWORKDAYS(O247,O247,UKBankHolidays)&gt;0,MEDIAN(TIME(8,0,0),MOD(O247,1),TIME(17,0,0)),TIME(8,0,0))),0),AND(K247&lt;&gt;"",N247=""),((MAX(NETWORKDAYS(K247,NOW(),UKBankHolidays)-1,0))*(TIME(17,0,0)-TIME(8,0,0))+IF(NETWORKDAYS(NOW(),NOW(),UKBankHolidays)&gt;0,MEDIAN(TIME(8,0,0),MOD(NOW(),1),TIME(17,0,0)),TIME(8,0,0))-IF(NETWORKDAYS(K247,K247,UKBankHolidays)&gt;0,MEDIAN(TIME(8,0,0),MOD(K247,1),TIME(17,0,0)),TIME(8,0,0))))),IF(N247="",NOW()-K247,N247-K247))</f>
        <v>0.70856481481314404</v>
      </c>
      <c r="AA247" s="168">
        <f t="shared" ca="1" si="32"/>
        <v>1.8895061728350508</v>
      </c>
      <c r="AB247" s="167">
        <f t="shared" ref="AB247:AB310" ca="1" si="39">IF(NOT(OR(G247=1,G247=2)),MAX(0,_xlfn.IFS(AND(K247&lt;&gt;"",N247&lt;&gt;""),(((MAX(NETWORKDAYS(L247,N247,UKBankHolidays)-1,0))*(TIME(17,0,0)-TIME(8,0,0)))+IF(NETWORKDAYS(N247,N247,UKBankHolidays)&gt;0,MEDIAN(TIME(8,0,0),MOD(N247,1),TIME(17,0,0)),TIME(8,0,0))-IF(NETWORKDAYS(L247,L247,UKBankHolidays)&gt;0,MEDIAN(TIME(8,0,0),MOD(L247,1),TIME(17,0,0)),TIME(8,0,0)))-IF(AND(O247&lt;&gt;"",P247&lt;&gt;""),(((MAX(NETWORKDAYS(O247,P247,UKBankHolidays)-1,0))*(TIME(17,0,0)-TIME(8,0,0)))+IF(NETWORKDAYS(P247,P247,UKBankHolidays)&gt;0,MEDIAN(TIME(8,0,0),MOD(P247,1),TIME(17,0,0)),TIME(8,0,0))-IF(NETWORKDAYS(O247,O247,UKBankHolidays)&gt;0,MEDIAN(TIME(8,0,0),MOD(O247,1),TIME(17,0,0)),TIME(8,0,0))),0),AND(L247&lt;&gt;"",N247="",O247=""),(((MAX(NETWORKDAYS(L247,NOW(),UKBankHolidays)-1,0))*(TIME(17,0,0)-TIME(8,0,0)))+IF(NETWORKDAYS(NOW(),NOW(),UKBankHolidays)&gt;0,MEDIAN(TIME(8,0,0),MOD(NOW(),1),TIME(17,0,0)),TIME(8,0,0))-IF(NETWORKDAYS(L247,L247,UKBankHolidays)&gt;0,MEDIAN(TIME(8,0,0),MOD(L247,1),TIME(17,0,0)),TIME(8,0,0)))-IF(AND(O247&lt;&gt;"",P247&lt;&gt;""),(((MAX(NETWORKDAYS(O247,P247,UKBankHolidays)-1,0))*(TIME(17,0,0)-TIME(8,0,0)))+IF(NETWORKDAYS(P247,P247,UKBankHolidays)&gt;0,MEDIAN(TIME(8,0,0),MOD(P247,1),TIME(17,0,0)),TIME(8,0,0))-IF(NETWORKDAYS(O247,O247,UKBankHolidays)&gt;0,MEDIAN(TIME(8,0,0),MOD(O247,1),TIME(17,0,0)),TIME(8,0,0))),0),AND(L247&lt;&gt;"",N247="",P247="",O247&lt;&gt;""),(((MAX(NETWORKDAYS(L247,O247,UKBankHolidays)-1,0))*(TIME(17,0,0)-TIME(8,0,0)))+IF(NETWORKDAYS(O247,O247,UKBankHolidays)&gt;0,MEDIAN(TIME(8,0,0),MOD(O247,1),TIME(17,0,0)),TIME(8,0,0))-IF(NETWORKDAYS(L247,L247,UKBankHolidays)&gt;0,MEDIAN(TIME(8,0,0),MOD(L247,1),TIME(17,0,0)),TIME(8,0,0))),ISBLANK(K247),"0")),IF(ISBLANK(N247),NOW()-L247,N247-L247))</f>
        <v>0.70813657407416031</v>
      </c>
      <c r="AC247" s="168">
        <f t="shared" ca="1" si="33"/>
        <v>1.8883641975310941</v>
      </c>
      <c r="AD247" s="191">
        <f t="shared" ca="1" si="34"/>
        <v>3.7615740729961544E-3</v>
      </c>
      <c r="AE247" s="167">
        <f t="shared" ca="1" si="35"/>
        <v>0.70813657407416031</v>
      </c>
      <c r="AF247" s="168">
        <f t="shared" ca="1" si="36"/>
        <v>1.8883641975310941</v>
      </c>
      <c r="AG247" s="168">
        <f t="shared" ca="1" si="37"/>
        <v>1.8883641975310941</v>
      </c>
      <c r="AH247" s="81" t="str" cm="1">
        <f t="array" aca="1" ref="AH247" ca="1">IF((AD247) &lt; (INDEX(ResponseSLA[#All],(MATCH((G247),ResponseSLA[Priority],0))+1,3)),"YES","No")</f>
        <v>YES</v>
      </c>
      <c r="AI247" s="81" t="str">
        <f ca="1">_xlfn.IFNA(IF(AE247 &lt; (INDEX(SLATable[Minimum SLA],MATCH(G247,SLATable[Priority],0))),"YES","NO"),"")</f>
        <v>YES</v>
      </c>
      <c r="AJ247" s="19" t="str">
        <f ca="1">_xlfn.IFNA(IF(AE247 &lt; (INDEX(SLATable[Maximum SLA],MATCH(G247,SLATable[Priority],0))),"YES","NO"),"")</f>
        <v>YES</v>
      </c>
    </row>
    <row r="248" spans="1:36" ht="15" customHeight="1">
      <c r="A248" s="78">
        <v>247</v>
      </c>
      <c r="B248" s="78" t="s">
        <v>26</v>
      </c>
      <c r="C248" s="78" t="s">
        <v>29</v>
      </c>
      <c r="D248" s="78" t="s">
        <v>207</v>
      </c>
      <c r="E248" s="182" t="s">
        <v>889</v>
      </c>
      <c r="F248" s="182" t="s">
        <v>264</v>
      </c>
      <c r="G248" s="78">
        <v>3</v>
      </c>
      <c r="H248" s="182" t="s">
        <v>890</v>
      </c>
      <c r="I248" s="78" t="s">
        <v>271</v>
      </c>
      <c r="J248" s="182" t="s">
        <v>377</v>
      </c>
      <c r="K248" s="183">
        <v>46207.364270833335</v>
      </c>
      <c r="L248" s="277">
        <v>46207.364363425928</v>
      </c>
      <c r="M248" s="277">
        <v>46209.180601851855</v>
      </c>
      <c r="N248" s="183">
        <v>46216.296770833331</v>
      </c>
      <c r="O248" s="209">
        <v>46210.257048611114</v>
      </c>
      <c r="P248" s="80">
        <v>46213.801793981482</v>
      </c>
      <c r="Q248" s="78" t="s">
        <v>370</v>
      </c>
      <c r="R248" s="78"/>
      <c r="S248" s="78"/>
      <c r="T248" s="78"/>
      <c r="U248" s="78" t="s">
        <v>371</v>
      </c>
      <c r="V248" s="78"/>
      <c r="W248" s="78"/>
      <c r="X248" s="78"/>
      <c r="Y248" s="78"/>
      <c r="Z248" s="167">
        <f t="shared" ca="1" si="38"/>
        <v>0.375</v>
      </c>
      <c r="AA248" s="168">
        <f t="shared" ca="1" si="32"/>
        <v>1</v>
      </c>
      <c r="AB248" s="167">
        <f t="shared" ca="1" si="39"/>
        <v>0.375</v>
      </c>
      <c r="AC248" s="168">
        <f t="shared" ca="1" si="33"/>
        <v>1</v>
      </c>
      <c r="AD248" s="191">
        <f t="shared" ca="1" si="34"/>
        <v>0</v>
      </c>
      <c r="AE248" s="167">
        <f t="shared" ca="1" si="35"/>
        <v>0.375</v>
      </c>
      <c r="AF248" s="168">
        <f t="shared" ca="1" si="36"/>
        <v>1</v>
      </c>
      <c r="AG248" s="168">
        <f t="shared" ca="1" si="37"/>
        <v>1</v>
      </c>
      <c r="AH248" s="81" t="str" cm="1">
        <f t="array" aca="1" ref="AH248" ca="1">IF((AD248) &lt; (INDEX(ResponseSLA[#All],(MATCH((G248),ResponseSLA[Priority],0))+1,3)),"YES","No")</f>
        <v>YES</v>
      </c>
      <c r="AI248" s="81" t="str">
        <f ca="1">_xlfn.IFNA(IF(AE248 &lt; (INDEX(SLATable[Minimum SLA],MATCH(G248,SLATable[Priority],0))),"YES","NO"),"")</f>
        <v>NO</v>
      </c>
      <c r="AJ248" s="19" t="str">
        <f ca="1">_xlfn.IFNA(IF(AE248 &lt; (INDEX(SLATable[Maximum SLA],MATCH(G248,SLATable[Priority],0))),"YES","NO"),"")</f>
        <v>YES</v>
      </c>
    </row>
    <row r="249" spans="1:36" ht="15" customHeight="1">
      <c r="A249" s="78">
        <v>248</v>
      </c>
      <c r="B249" s="78" t="s">
        <v>26</v>
      </c>
      <c r="C249" s="78" t="s">
        <v>29</v>
      </c>
      <c r="D249" s="78" t="s">
        <v>207</v>
      </c>
      <c r="E249" s="182" t="s">
        <v>891</v>
      </c>
      <c r="F249" s="182" t="s">
        <v>264</v>
      </c>
      <c r="G249" s="78">
        <v>4</v>
      </c>
      <c r="H249" s="182" t="s">
        <v>892</v>
      </c>
      <c r="I249" s="78" t="s">
        <v>271</v>
      </c>
      <c r="J249" s="182" t="s">
        <v>377</v>
      </c>
      <c r="K249" s="183">
        <v>46209.684687499997</v>
      </c>
      <c r="L249" s="277">
        <v>46209.685231481482</v>
      </c>
      <c r="M249" s="277">
        <v>46209.686122685183</v>
      </c>
      <c r="N249" s="183">
        <v>46213.446099537039</v>
      </c>
      <c r="O249" s="80"/>
      <c r="P249" s="80"/>
      <c r="Q249" s="78" t="s">
        <v>370</v>
      </c>
      <c r="R249" s="78"/>
      <c r="S249" s="78"/>
      <c r="T249" s="78"/>
      <c r="U249" s="78" t="s">
        <v>371</v>
      </c>
      <c r="V249" s="78"/>
      <c r="W249" s="78"/>
      <c r="X249" s="78"/>
      <c r="Y249" s="78"/>
      <c r="Z249" s="167">
        <f t="shared" ca="1" si="38"/>
        <v>1.261412037041737</v>
      </c>
      <c r="AA249" s="168">
        <f t="shared" ca="1" si="32"/>
        <v>3.3637654321112986</v>
      </c>
      <c r="AB249" s="167">
        <f t="shared" ca="1" si="39"/>
        <v>1.2608680555567846</v>
      </c>
      <c r="AC249" s="168">
        <f t="shared" ca="1" si="33"/>
        <v>3.3623148148180926</v>
      </c>
      <c r="AD249" s="191">
        <f t="shared" ca="1" si="34"/>
        <v>8.9120370103046298E-4</v>
      </c>
      <c r="AE249" s="167">
        <f t="shared" ca="1" si="35"/>
        <v>1.2608680555567846</v>
      </c>
      <c r="AF249" s="168">
        <f t="shared" ca="1" si="36"/>
        <v>3.3623148148180926</v>
      </c>
      <c r="AG249" s="168">
        <f t="shared" ca="1" si="37"/>
        <v>3.3623148148180926</v>
      </c>
      <c r="AH249" s="81" t="str" cm="1">
        <f t="array" aca="1" ref="AH249" ca="1">IF((AD249) &lt; (INDEX(ResponseSLA[#All],(MATCH((G249),ResponseSLA[Priority],0))+1,3)),"YES","No")</f>
        <v>YES</v>
      </c>
      <c r="AI249" s="81" t="str">
        <f ca="1">_xlfn.IFNA(IF(AE249 &lt; (INDEX(SLATable[Minimum SLA],MATCH(G249,SLATable[Priority],0))),"YES","NO"),"")</f>
        <v>YES</v>
      </c>
      <c r="AJ249" s="19" t="str">
        <f ca="1">_xlfn.IFNA(IF(AE249 &lt; (INDEX(SLATable[Maximum SLA],MATCH(G249,SLATable[Priority],0))),"YES","NO"),"")</f>
        <v>YES</v>
      </c>
    </row>
    <row r="250" spans="1:36" ht="15" customHeight="1">
      <c r="A250" s="78">
        <v>249</v>
      </c>
      <c r="B250" s="78" t="s">
        <v>26</v>
      </c>
      <c r="C250" s="78" t="s">
        <v>29</v>
      </c>
      <c r="D250" s="78" t="s">
        <v>207</v>
      </c>
      <c r="E250" s="182" t="s">
        <v>893</v>
      </c>
      <c r="F250" s="182" t="s">
        <v>264</v>
      </c>
      <c r="G250" s="78">
        <v>4</v>
      </c>
      <c r="H250" s="182" t="s">
        <v>894</v>
      </c>
      <c r="I250" s="78" t="s">
        <v>271</v>
      </c>
      <c r="J250" s="182" t="s">
        <v>377</v>
      </c>
      <c r="K250" s="183">
        <v>46212.603159722225</v>
      </c>
      <c r="L250" s="277">
        <v>46212.792060185187</v>
      </c>
      <c r="M250" s="277">
        <v>46213.225682870368</v>
      </c>
      <c r="N250" s="183">
        <v>46223.53601851852</v>
      </c>
      <c r="O250" s="80"/>
      <c r="P250" s="80"/>
      <c r="Q250" s="78" t="s">
        <v>399</v>
      </c>
      <c r="R250" s="78"/>
      <c r="S250" s="78"/>
      <c r="T250" s="78"/>
      <c r="U250" s="78" t="s">
        <v>371</v>
      </c>
      <c r="V250" s="78"/>
      <c r="W250" s="78"/>
      <c r="X250" s="78"/>
      <c r="Y250" s="78"/>
      <c r="Z250" s="167">
        <f t="shared" ca="1" si="38"/>
        <v>2.5578587962954775</v>
      </c>
      <c r="AA250" s="168">
        <f t="shared" ca="1" si="32"/>
        <v>6.820956790121274</v>
      </c>
      <c r="AB250" s="167">
        <f t="shared" ca="1" si="39"/>
        <v>2.4526851851866622</v>
      </c>
      <c r="AC250" s="168">
        <f t="shared" ca="1" si="33"/>
        <v>6.5404938271644326</v>
      </c>
      <c r="AD250" s="191">
        <f t="shared" ca="1" si="34"/>
        <v>0</v>
      </c>
      <c r="AE250" s="167">
        <f t="shared" ca="1" si="35"/>
        <v>2.4526851851866622</v>
      </c>
      <c r="AF250" s="168">
        <f t="shared" ca="1" si="36"/>
        <v>6.5404938271644326</v>
      </c>
      <c r="AG250" s="168">
        <f t="shared" ca="1" si="37"/>
        <v>6.5404938271644326</v>
      </c>
      <c r="AH250" s="81" t="str" cm="1">
        <f t="array" aca="1" ref="AH250" ca="1">IF((AD250) &lt; (INDEX(ResponseSLA[#All],(MATCH((G250),ResponseSLA[Priority],0))+1,3)),"YES","No")</f>
        <v>YES</v>
      </c>
      <c r="AI250" s="81" t="str">
        <f ca="1">_xlfn.IFNA(IF(AE250 &lt; (INDEX(SLATable[Minimum SLA],MATCH(G250,SLATable[Priority],0))),"YES","NO"),"")</f>
        <v>YES</v>
      </c>
      <c r="AJ250" s="19" t="str">
        <f ca="1">_xlfn.IFNA(IF(AE250 &lt; (INDEX(SLATable[Maximum SLA],MATCH(G250,SLATable[Priority],0))),"YES","NO"),"")</f>
        <v>YES</v>
      </c>
    </row>
    <row r="251" spans="1:36" ht="15" customHeight="1">
      <c r="A251" s="78">
        <v>250</v>
      </c>
      <c r="B251" s="78" t="s">
        <v>26</v>
      </c>
      <c r="C251" s="78" t="s">
        <v>29</v>
      </c>
      <c r="D251" s="78" t="s">
        <v>207</v>
      </c>
      <c r="E251" s="182" t="s">
        <v>895</v>
      </c>
      <c r="F251" s="182" t="s">
        <v>264</v>
      </c>
      <c r="G251" s="78">
        <v>4</v>
      </c>
      <c r="H251" s="182" t="s">
        <v>896</v>
      </c>
      <c r="I251" s="78" t="s">
        <v>271</v>
      </c>
      <c r="J251" s="182" t="s">
        <v>374</v>
      </c>
      <c r="K251" s="183">
        <v>46213.415659722225</v>
      </c>
      <c r="L251" s="277">
        <v>46213.41609953704</v>
      </c>
      <c r="M251" s="277">
        <v>46213.417094907411</v>
      </c>
      <c r="N251" s="183">
        <v>46213.445219907408</v>
      </c>
      <c r="O251" s="80"/>
      <c r="P251" s="80"/>
      <c r="Q251" s="78" t="s">
        <v>370</v>
      </c>
      <c r="R251" s="78"/>
      <c r="S251" s="78"/>
      <c r="T251" s="78"/>
      <c r="U251" s="78" t="s">
        <v>371</v>
      </c>
      <c r="V251" s="78"/>
      <c r="W251" s="78"/>
      <c r="X251" s="78"/>
      <c r="Y251" s="78"/>
      <c r="Z251" s="167">
        <f t="shared" ca="1" si="38"/>
        <v>2.9560185183072463E-2</v>
      </c>
      <c r="AA251" s="168">
        <f t="shared" ca="1" si="32"/>
        <v>7.8827160488193229E-2</v>
      </c>
      <c r="AB251" s="167">
        <f t="shared" ca="1" si="39"/>
        <v>2.9120370367309079E-2</v>
      </c>
      <c r="AC251" s="168">
        <f t="shared" ca="1" si="33"/>
        <v>7.7654320979490876E-2</v>
      </c>
      <c r="AD251" s="191">
        <f t="shared" ca="1" si="34"/>
        <v>9.9537037021946162E-4</v>
      </c>
      <c r="AE251" s="167">
        <f t="shared" ca="1" si="35"/>
        <v>2.9120370367309079E-2</v>
      </c>
      <c r="AF251" s="168">
        <f t="shared" ca="1" si="36"/>
        <v>7.7654320979490876E-2</v>
      </c>
      <c r="AG251" s="168">
        <f t="shared" ca="1" si="37"/>
        <v>7.7654320979490876E-2</v>
      </c>
      <c r="AH251" s="81" t="str" cm="1">
        <f t="array" aca="1" ref="AH251" ca="1">IF((AD251) &lt; (INDEX(ResponseSLA[#All],(MATCH((G251),ResponseSLA[Priority],0))+1,3)),"YES","No")</f>
        <v>YES</v>
      </c>
      <c r="AI251" s="81" t="str">
        <f ca="1">_xlfn.IFNA(IF(AE251 &lt; (INDEX(SLATable[Minimum SLA],MATCH(G251,SLATable[Priority],0))),"YES","NO"),"")</f>
        <v>YES</v>
      </c>
      <c r="AJ251" s="19" t="str">
        <f ca="1">_xlfn.IFNA(IF(AE251 &lt; (INDEX(SLATable[Maximum SLA],MATCH(G251,SLATable[Priority],0))),"YES","NO"),"")</f>
        <v>YES</v>
      </c>
    </row>
    <row r="252" spans="1:36" ht="15" customHeight="1">
      <c r="A252" s="78">
        <v>251</v>
      </c>
      <c r="B252" s="78" t="s">
        <v>26</v>
      </c>
      <c r="C252" s="78" t="s">
        <v>29</v>
      </c>
      <c r="D252" s="78" t="s">
        <v>207</v>
      </c>
      <c r="E252" s="182" t="s">
        <v>897</v>
      </c>
      <c r="F252" s="182" t="s">
        <v>264</v>
      </c>
      <c r="G252" s="78">
        <v>3</v>
      </c>
      <c r="H252" s="182" t="s">
        <v>898</v>
      </c>
      <c r="I252" s="78" t="s">
        <v>271</v>
      </c>
      <c r="J252" s="182" t="s">
        <v>374</v>
      </c>
      <c r="K252" s="183">
        <v>46213.425358796296</v>
      </c>
      <c r="L252" s="209">
        <v>46213.425393518519</v>
      </c>
      <c r="M252" s="277">
        <v>46213.42633101852</v>
      </c>
      <c r="N252" s="183">
        <v>46224.597951388889</v>
      </c>
      <c r="O252" s="209">
        <v>46216.597731481481</v>
      </c>
      <c r="P252" s="183">
        <v>46224.597951388889</v>
      </c>
      <c r="Q252" s="78" t="s">
        <v>370</v>
      </c>
      <c r="R252" s="78"/>
      <c r="S252" s="78"/>
      <c r="T252" s="78"/>
      <c r="U252" s="78" t="s">
        <v>371</v>
      </c>
      <c r="V252" s="78"/>
      <c r="W252" s="78"/>
      <c r="X252" s="78"/>
      <c r="Y252" s="78"/>
      <c r="Z252" s="167">
        <f t="shared" ca="1" si="38"/>
        <v>0.54737268518510973</v>
      </c>
      <c r="AA252" s="168">
        <f t="shared" ca="1" si="32"/>
        <v>1.4596604938269593</v>
      </c>
      <c r="AB252" s="167">
        <f t="shared" ca="1" si="39"/>
        <v>0.54733796296204673</v>
      </c>
      <c r="AC252" s="168">
        <f t="shared" ca="1" si="33"/>
        <v>1.4595679012321245</v>
      </c>
      <c r="AD252" s="191">
        <f t="shared" ca="1" si="34"/>
        <v>9.3750000087311491E-4</v>
      </c>
      <c r="AE252" s="167">
        <f t="shared" ca="1" si="35"/>
        <v>0.54733796296204673</v>
      </c>
      <c r="AF252" s="168">
        <f t="shared" ca="1" si="36"/>
        <v>1.4595679012321245</v>
      </c>
      <c r="AG252" s="168">
        <f t="shared" ca="1" si="37"/>
        <v>1.4595679012321245</v>
      </c>
      <c r="AH252" s="81" t="str" cm="1">
        <f t="array" aca="1" ref="AH252" ca="1">IF((AD252) &lt; (INDEX(ResponseSLA[#All],(MATCH((G252),ResponseSLA[Priority],0))+1,3)),"YES","No")</f>
        <v>YES</v>
      </c>
      <c r="AI252" s="81" t="str">
        <f ca="1">_xlfn.IFNA(IF(AE252 &lt; (INDEX(SLATable[Minimum SLA],MATCH(G252,SLATable[Priority],0))),"YES","NO"),"")</f>
        <v>NO</v>
      </c>
      <c r="AJ252" s="19" t="str">
        <f ca="1">_xlfn.IFNA(IF(AE252 &lt; (INDEX(SLATable[Maximum SLA],MATCH(G252,SLATable[Priority],0))),"YES","NO"),"")</f>
        <v>YES</v>
      </c>
    </row>
    <row r="253" spans="1:36" ht="15" customHeight="1">
      <c r="A253" s="78">
        <v>252</v>
      </c>
      <c r="B253" s="78" t="s">
        <v>26</v>
      </c>
      <c r="C253" s="78" t="s">
        <v>29</v>
      </c>
      <c r="D253" s="78" t="s">
        <v>207</v>
      </c>
      <c r="E253" s="182" t="s">
        <v>899</v>
      </c>
      <c r="F253" s="182" t="s">
        <v>264</v>
      </c>
      <c r="G253" s="78">
        <v>4</v>
      </c>
      <c r="H253" s="182" t="s">
        <v>900</v>
      </c>
      <c r="I253" s="78" t="s">
        <v>271</v>
      </c>
      <c r="J253" s="182" t="s">
        <v>377</v>
      </c>
      <c r="K253" s="183">
        <v>46225.465104166666</v>
      </c>
      <c r="L253" s="277">
        <v>46225.469571759262</v>
      </c>
      <c r="M253" s="277">
        <v>46225.471226851849</v>
      </c>
      <c r="N253" s="183">
        <v>46225.513564814813</v>
      </c>
      <c r="O253" s="80"/>
      <c r="P253" s="80"/>
      <c r="Q253" s="78" t="s">
        <v>370</v>
      </c>
      <c r="R253" s="78"/>
      <c r="S253" s="78"/>
      <c r="T253" s="78"/>
      <c r="U253" s="78" t="s">
        <v>371</v>
      </c>
      <c r="V253" s="78"/>
      <c r="W253" s="78"/>
      <c r="X253" s="78"/>
      <c r="Y253" s="78"/>
      <c r="Z253" s="167">
        <f t="shared" ca="1" si="38"/>
        <v>4.8460648147738539E-2</v>
      </c>
      <c r="AA253" s="168">
        <f t="shared" ca="1" si="32"/>
        <v>0.1292283950606361</v>
      </c>
      <c r="AB253" s="167">
        <f t="shared" ca="1" si="39"/>
        <v>4.3993055551254656E-2</v>
      </c>
      <c r="AC253" s="168">
        <f t="shared" ca="1" si="33"/>
        <v>0.11731481480334575</v>
      </c>
      <c r="AD253" s="191">
        <f t="shared" ca="1" si="34"/>
        <v>1.6550925865885802E-3</v>
      </c>
      <c r="AE253" s="167">
        <f t="shared" ca="1" si="35"/>
        <v>4.3993055551254656E-2</v>
      </c>
      <c r="AF253" s="168">
        <f t="shared" ca="1" si="36"/>
        <v>0.11731481480334575</v>
      </c>
      <c r="AG253" s="168">
        <f t="shared" ca="1" si="37"/>
        <v>0.11731481480334575</v>
      </c>
      <c r="AH253" s="81" t="str" cm="1">
        <f t="array" aca="1" ref="AH253" ca="1">IF((AD253) &lt; (INDEX(ResponseSLA[#All],(MATCH((G253),ResponseSLA[Priority],0))+1,3)),"YES","No")</f>
        <v>YES</v>
      </c>
      <c r="AI253" s="81" t="str">
        <f ca="1">_xlfn.IFNA(IF(AE253 &lt; (INDEX(SLATable[Minimum SLA],MATCH(G253,SLATable[Priority],0))),"YES","NO"),"")</f>
        <v>YES</v>
      </c>
      <c r="AJ253" s="19" t="str">
        <f ca="1">_xlfn.IFNA(IF(AE253 &lt; (INDEX(SLATable[Maximum SLA],MATCH(G253,SLATable[Priority],0))),"YES","NO"),"")</f>
        <v>YES</v>
      </c>
    </row>
    <row r="254" spans="1:36" ht="15" customHeight="1">
      <c r="A254" s="78">
        <v>253</v>
      </c>
      <c r="B254" s="78" t="s">
        <v>26</v>
      </c>
      <c r="C254" s="78" t="s">
        <v>29</v>
      </c>
      <c r="D254" s="78" t="s">
        <v>207</v>
      </c>
      <c r="E254" s="182" t="s">
        <v>901</v>
      </c>
      <c r="F254" s="182" t="s">
        <v>264</v>
      </c>
      <c r="G254" s="78">
        <v>4</v>
      </c>
      <c r="H254" s="182" t="s">
        <v>902</v>
      </c>
      <c r="I254" s="78" t="s">
        <v>271</v>
      </c>
      <c r="J254" s="182" t="s">
        <v>374</v>
      </c>
      <c r="K254" s="183">
        <v>46230.425752314812</v>
      </c>
      <c r="L254" s="277">
        <v>46230.427210648151</v>
      </c>
      <c r="M254" s="277">
        <v>46230.427766203706</v>
      </c>
      <c r="N254" s="183">
        <v>46231.231689814813</v>
      </c>
      <c r="O254" s="80"/>
      <c r="P254" s="80"/>
      <c r="Q254" s="78" t="s">
        <v>370</v>
      </c>
      <c r="R254" s="78"/>
      <c r="S254" s="78"/>
      <c r="T254" s="78"/>
      <c r="U254" s="78" t="s">
        <v>371</v>
      </c>
      <c r="V254" s="78"/>
      <c r="W254" s="78"/>
      <c r="X254" s="78"/>
      <c r="Y254" s="78"/>
      <c r="Z254" s="167">
        <f t="shared" ca="1" si="38"/>
        <v>0.28258101852164452</v>
      </c>
      <c r="AA254" s="168">
        <f t="shared" ca="1" si="32"/>
        <v>0.75354938272438543</v>
      </c>
      <c r="AB254" s="167">
        <f t="shared" ca="1" si="39"/>
        <v>0.28112268518210237</v>
      </c>
      <c r="AC254" s="168">
        <f t="shared" ca="1" si="33"/>
        <v>0.74966049381893962</v>
      </c>
      <c r="AD254" s="191">
        <f t="shared" ca="1" si="34"/>
        <v>5.5555555445607752E-4</v>
      </c>
      <c r="AE254" s="167">
        <f t="shared" ca="1" si="35"/>
        <v>0.28112268518210237</v>
      </c>
      <c r="AF254" s="168">
        <f t="shared" ca="1" si="36"/>
        <v>0.74966049381893962</v>
      </c>
      <c r="AG254" s="168">
        <f t="shared" ca="1" si="37"/>
        <v>0.74966049381893962</v>
      </c>
      <c r="AH254" s="81" t="str" cm="1">
        <f t="array" aca="1" ref="AH254" ca="1">IF((AD254) &lt; (INDEX(ResponseSLA[#All],(MATCH((G254),ResponseSLA[Priority],0))+1,3)),"YES","No")</f>
        <v>YES</v>
      </c>
      <c r="AI254" s="81" t="str">
        <f ca="1">_xlfn.IFNA(IF(AE254 &lt; (INDEX(SLATable[Minimum SLA],MATCH(G254,SLATable[Priority],0))),"YES","NO"),"")</f>
        <v>YES</v>
      </c>
      <c r="AJ254" s="19" t="str">
        <f ca="1">_xlfn.IFNA(IF(AE254 &lt; (INDEX(SLATable[Maximum SLA],MATCH(G254,SLATable[Priority],0))),"YES","NO"),"")</f>
        <v>YES</v>
      </c>
    </row>
    <row r="255" spans="1:36" ht="15" customHeight="1">
      <c r="A255" s="78">
        <v>254</v>
      </c>
      <c r="B255" s="78" t="s">
        <v>26</v>
      </c>
      <c r="C255" s="78" t="s">
        <v>29</v>
      </c>
      <c r="D255" s="78" t="s">
        <v>207</v>
      </c>
      <c r="E255" s="182" t="s">
        <v>903</v>
      </c>
      <c r="F255" s="182" t="s">
        <v>264</v>
      </c>
      <c r="G255" s="78">
        <v>3</v>
      </c>
      <c r="H255" s="182" t="s">
        <v>904</v>
      </c>
      <c r="I255" s="78" t="s">
        <v>271</v>
      </c>
      <c r="J255" s="182" t="s">
        <v>374</v>
      </c>
      <c r="K255" s="183">
        <v>46231.699074074073</v>
      </c>
      <c r="L255" s="277">
        <v>46231.706388888888</v>
      </c>
      <c r="M255" s="277">
        <v>46231.710335648146</v>
      </c>
      <c r="N255" s="183">
        <v>46232.582511574074</v>
      </c>
      <c r="O255" s="80"/>
      <c r="P255" s="80"/>
      <c r="Q255" s="78" t="s">
        <v>370</v>
      </c>
      <c r="R255" s="78"/>
      <c r="S255" s="78"/>
      <c r="T255" s="78"/>
      <c r="U255" s="78" t="s">
        <v>371</v>
      </c>
      <c r="V255" s="78"/>
      <c r="W255" s="78"/>
      <c r="X255" s="78"/>
      <c r="Y255" s="78"/>
      <c r="Z255" s="167">
        <f t="shared" ca="1" si="38"/>
        <v>0.25843750000058208</v>
      </c>
      <c r="AA255" s="168">
        <f t="shared" ca="1" si="32"/>
        <v>0.68916666666821891</v>
      </c>
      <c r="AB255" s="167">
        <f t="shared" ca="1" si="39"/>
        <v>0.25112268518569181</v>
      </c>
      <c r="AC255" s="168">
        <f t="shared" ca="1" si="33"/>
        <v>0.66966049382851145</v>
      </c>
      <c r="AD255" s="191">
        <f t="shared" ca="1" si="34"/>
        <v>1.9444444454469467E-3</v>
      </c>
      <c r="AE255" s="167">
        <f t="shared" ca="1" si="35"/>
        <v>0.25112268518569181</v>
      </c>
      <c r="AF255" s="168">
        <f t="shared" ca="1" si="36"/>
        <v>0.66966049382851145</v>
      </c>
      <c r="AG255" s="168">
        <f t="shared" ca="1" si="37"/>
        <v>0.66966049382851145</v>
      </c>
      <c r="AH255" s="81" t="str" cm="1">
        <f t="array" aca="1" ref="AH255" ca="1">IF((AD255) &lt; (INDEX(ResponseSLA[#All],(MATCH((G255),ResponseSLA[Priority],0))+1,3)),"YES","No")</f>
        <v>YES</v>
      </c>
      <c r="AI255" s="81" t="str">
        <f ca="1">_xlfn.IFNA(IF(AE255 &lt; (INDEX(SLATable[Minimum SLA],MATCH(G255,SLATable[Priority],0))),"YES","NO"),"")</f>
        <v>YES</v>
      </c>
      <c r="AJ255" s="19" t="str">
        <f ca="1">_xlfn.IFNA(IF(AE255 &lt; (INDEX(SLATable[Maximum SLA],MATCH(G255,SLATable[Priority],0))),"YES","NO"),"")</f>
        <v>YES</v>
      </c>
    </row>
    <row r="256" spans="1:36" ht="15" customHeight="1">
      <c r="A256" s="78">
        <v>255</v>
      </c>
      <c r="B256" s="78" t="s">
        <v>26</v>
      </c>
      <c r="C256" s="78" t="s">
        <v>33</v>
      </c>
      <c r="D256" s="78" t="s">
        <v>207</v>
      </c>
      <c r="E256" s="78" t="s">
        <v>905</v>
      </c>
      <c r="F256" s="78" t="s">
        <v>282</v>
      </c>
      <c r="G256" s="78">
        <v>3</v>
      </c>
      <c r="H256" s="86" t="s">
        <v>906</v>
      </c>
      <c r="I256" s="78" t="s">
        <v>271</v>
      </c>
      <c r="J256" s="86" t="s">
        <v>510</v>
      </c>
      <c r="K256" s="277">
        <v>46212.561805555553</v>
      </c>
      <c r="L256" s="277">
        <v>46212.578472222223</v>
      </c>
      <c r="M256" s="277">
        <v>46212.582638888889</v>
      </c>
      <c r="N256" s="277">
        <v>46212.582638888889</v>
      </c>
      <c r="O256" s="80"/>
      <c r="P256" s="80"/>
      <c r="Q256" s="78" t="s">
        <v>507</v>
      </c>
      <c r="R256" s="78" t="s">
        <v>267</v>
      </c>
      <c r="S256" s="78" t="s">
        <v>157</v>
      </c>
      <c r="T256" s="78"/>
      <c r="U256" s="78" t="s">
        <v>371</v>
      </c>
      <c r="V256" s="78"/>
      <c r="W256" s="78"/>
      <c r="X256" s="78"/>
      <c r="Y256" s="78"/>
      <c r="Z256" s="167">
        <f t="shared" ca="1" si="38"/>
        <v>2.0833333335758653E-2</v>
      </c>
      <c r="AA256" s="168">
        <f t="shared" ca="1" si="32"/>
        <v>5.5555555562023073E-2</v>
      </c>
      <c r="AB256" s="167">
        <f t="shared" ca="1" si="39"/>
        <v>4.166666665696539E-3</v>
      </c>
      <c r="AC256" s="168">
        <f t="shared" ca="1" si="33"/>
        <v>1.1111111108524105E-2</v>
      </c>
      <c r="AD256" s="191">
        <f t="shared" ca="1" si="34"/>
        <v>4.166666665696539E-3</v>
      </c>
      <c r="AE256" s="167">
        <f t="shared" ca="1" si="35"/>
        <v>4.166666665696539E-3</v>
      </c>
      <c r="AF256" s="168">
        <f t="shared" ca="1" si="36"/>
        <v>1.1111111108524105E-2</v>
      </c>
      <c r="AG256" s="168">
        <f t="shared" ca="1" si="37"/>
        <v>1.1111111108524105E-2</v>
      </c>
      <c r="AH256" s="81" t="str" cm="1">
        <f t="array" aca="1" ref="AH256" ca="1">IF((AD256) &lt; (INDEX(ResponseSLA[#All],(MATCH((G256),ResponseSLA[Priority],0))+1,3)),"YES","No")</f>
        <v>YES</v>
      </c>
      <c r="AI256" s="81" t="str">
        <f ca="1">_xlfn.IFNA(IF(AE256 &lt; (INDEX(SLATable[Minimum SLA],MATCH(G256,SLATable[Priority],0))),"YES","NO"),"")</f>
        <v>YES</v>
      </c>
      <c r="AJ256" s="19" t="str">
        <f ca="1">_xlfn.IFNA(IF(AE256 &lt; (INDEX(SLATable[Maximum SLA],MATCH(G256,SLATable[Priority],0))),"YES","NO"),"")</f>
        <v>YES</v>
      </c>
    </row>
    <row r="257" spans="1:36" ht="15" customHeight="1">
      <c r="A257" s="78">
        <v>256</v>
      </c>
      <c r="B257" s="78" t="s">
        <v>26</v>
      </c>
      <c r="C257" s="78" t="s">
        <v>29</v>
      </c>
      <c r="D257" s="78" t="s">
        <v>208</v>
      </c>
      <c r="E257" s="182" t="s">
        <v>907</v>
      </c>
      <c r="F257" s="182" t="s">
        <v>264</v>
      </c>
      <c r="G257" s="78" t="s">
        <v>208</v>
      </c>
      <c r="H257" s="182" t="s">
        <v>908</v>
      </c>
      <c r="I257" s="78" t="s">
        <v>271</v>
      </c>
      <c r="J257" s="182" t="s">
        <v>374</v>
      </c>
      <c r="K257" s="183">
        <v>46175.597256944442</v>
      </c>
      <c r="L257" s="277">
        <v>46175.597615740742</v>
      </c>
      <c r="M257" s="277">
        <v>46175.599027777775</v>
      </c>
      <c r="N257" s="183">
        <v>46190.601238425923</v>
      </c>
      <c r="O257" s="80"/>
      <c r="P257" s="80"/>
      <c r="Q257" s="78"/>
      <c r="R257" s="78"/>
      <c r="S257" s="78"/>
      <c r="T257" s="78"/>
      <c r="U257" s="78" t="s">
        <v>371</v>
      </c>
      <c r="V257" s="78"/>
      <c r="W257" s="78"/>
      <c r="X257" s="78"/>
      <c r="Y257" s="78"/>
      <c r="Z257" s="167">
        <f t="shared" ca="1" si="38"/>
        <v>4.1289814814808787</v>
      </c>
      <c r="AA257" s="168">
        <f t="shared" ca="1" si="32"/>
        <v>11.01061728394901</v>
      </c>
      <c r="AB257" s="167">
        <f t="shared" ca="1" si="39"/>
        <v>4.128622685180745</v>
      </c>
      <c r="AC257" s="168">
        <f t="shared" ca="1" si="33"/>
        <v>11.009660493815321</v>
      </c>
      <c r="AD257" s="191">
        <f t="shared" ca="1" si="34"/>
        <v>1.4120370324235409E-3</v>
      </c>
      <c r="AE257" s="167">
        <f t="shared" ca="1" si="35"/>
        <v>4.128622685180745</v>
      </c>
      <c r="AF257" s="168">
        <f t="shared" ca="1" si="36"/>
        <v>11.009660493815321</v>
      </c>
      <c r="AG257" s="168">
        <f t="shared" ca="1" si="37"/>
        <v>11.009660493815321</v>
      </c>
      <c r="AH257" s="81" t="str" cm="1">
        <f t="array" aca="1" ref="AH257" ca="1">IF((AD257) &lt; (INDEX(ResponseSLA[#All],(MATCH((G257),ResponseSLA[Priority],0))+1,3)),"YES","No")</f>
        <v>YES</v>
      </c>
      <c r="AI257" s="81" t="str">
        <f ca="1">_xlfn.IFNA(IF(AE257 &lt; (INDEX(SLATable[Minimum SLA],MATCH(G257,SLATable[Priority],0))),"YES","NO"),"")</f>
        <v>NO</v>
      </c>
      <c r="AJ257" s="19" t="str">
        <f ca="1">_xlfn.IFNA(IF(AE257 &lt; (INDEX(SLATable[Maximum SLA],MATCH(G257,SLATable[Priority],0))),"YES","NO"),"")</f>
        <v>NO</v>
      </c>
    </row>
    <row r="258" spans="1:36" ht="15" customHeight="1">
      <c r="A258" s="78">
        <v>257</v>
      </c>
      <c r="B258" s="78" t="s">
        <v>26</v>
      </c>
      <c r="C258" s="78" t="s">
        <v>29</v>
      </c>
      <c r="D258" s="78" t="s">
        <v>208</v>
      </c>
      <c r="E258" s="182" t="s">
        <v>909</v>
      </c>
      <c r="F258" s="182" t="s">
        <v>264</v>
      </c>
      <c r="G258" s="78" t="s">
        <v>208</v>
      </c>
      <c r="H258" s="182" t="s">
        <v>910</v>
      </c>
      <c r="I258" s="78" t="s">
        <v>271</v>
      </c>
      <c r="J258" s="182" t="s">
        <v>377</v>
      </c>
      <c r="K258" s="183">
        <v>46179.017962962964</v>
      </c>
      <c r="L258" s="277">
        <v>46179.363993055558</v>
      </c>
      <c r="M258" s="277">
        <v>46181.22457175926</v>
      </c>
      <c r="N258" s="183">
        <v>46195.750405092593</v>
      </c>
      <c r="O258" s="80">
        <v>46182.230717592596</v>
      </c>
      <c r="P258" s="183">
        <v>46195.750405092593</v>
      </c>
      <c r="Q258" s="78"/>
      <c r="R258" s="78"/>
      <c r="S258" s="78"/>
      <c r="T258" s="78"/>
      <c r="U258" s="78" t="s">
        <v>371</v>
      </c>
      <c r="V258" s="78"/>
      <c r="W258" s="78"/>
      <c r="X258" s="78"/>
      <c r="Y258" s="78"/>
      <c r="Z258" s="167">
        <f t="shared" ca="1" si="38"/>
        <v>0.37500000000000044</v>
      </c>
      <c r="AA258" s="168">
        <f t="shared" ref="AA258:AA321" ca="1" si="40">(Z258*24)/9</f>
        <v>1.0000000000000011</v>
      </c>
      <c r="AB258" s="167">
        <f t="shared" ca="1" si="39"/>
        <v>0.37500000000000044</v>
      </c>
      <c r="AC258" s="168">
        <f t="shared" ref="AC258:AC321" ca="1" si="41">(AB258*24)/9</f>
        <v>1.0000000000000011</v>
      </c>
      <c r="AD258" s="191">
        <f t="shared" ref="AD258:AD321" ca="1" si="42">MAX(0,
IF(
OR(G258=1,G258=2),
IF(M258&lt;&gt;"",M258-L258,NOW()-L258),
IF(
M258&lt;&gt;"",
IF(
INT(L258)=INT(M258),
IF(
NETWORKDAYS(L258,L258,UKBankHolidays)=0,
0,
MAX(
0,
MIN(MOD(M258,1),TIME(17,0,0))
-
MAX(MOD(L258,1),TIME(8,0,0))
)
),
MAX(
0,
IF(
NETWORKDAYS(L258,L258,UKBankHolidays)&gt;0,
TIME(17,0,0)-MAX(MOD(L258,1),TIME(8,0,0)),
0
)
)
+
MAX(
0,
NETWORKDAYS(INT(L258)+1,INT(M258)-1,UKBankHolidays)
*(TIME(17,0,0)-TIME(8,0,0))
)
+
MAX(
0,
IF(
NETWORKDAYS(M258,M258,UKBankHolidays)&gt;0,
MIN(MOD(M258,1),TIME(17,0,0))-TIME(8,0,0),
0
)
)
),
IF(M258&lt;&gt;"",M258-L258,NOW()-L258)
)
)
)</f>
        <v>0</v>
      </c>
      <c r="AE258" s="167">
        <f t="shared" ref="AE258:AE321" ca="1" si="43">SUMIFS(AB:AB,E:E,E258)</f>
        <v>0.37500000000000044</v>
      </c>
      <c r="AF258" s="168">
        <f t="shared" ref="AF258:AF321" ca="1" si="44">(AE258*24)/9</f>
        <v>1.0000000000000011</v>
      </c>
      <c r="AG258" s="168">
        <f t="shared" ref="AG258:AG321" ca="1" si="45">AF258</f>
        <v>1.0000000000000011</v>
      </c>
      <c r="AH258" s="81" t="str" cm="1">
        <f t="array" aca="1" ref="AH258" ca="1">IF((AD258) &lt; (INDEX(ResponseSLA[#All],(MATCH((G258),ResponseSLA[Priority],0))+1,3)),"YES","No")</f>
        <v>YES</v>
      </c>
      <c r="AI258" s="81" t="str">
        <f ca="1">_xlfn.IFNA(IF(AE258 &lt; (INDEX(SLATable[Minimum SLA],MATCH(G258,SLATable[Priority],0))),"YES","NO"),"")</f>
        <v>YES</v>
      </c>
      <c r="AJ258" s="19" t="str">
        <f ca="1">_xlfn.IFNA(IF(AE258 &lt; (INDEX(SLATable[Maximum SLA],MATCH(G258,SLATable[Priority],0))),"YES","NO"),"")</f>
        <v>YES</v>
      </c>
    </row>
    <row r="259" spans="1:36" ht="15" customHeight="1">
      <c r="A259" s="78">
        <v>258</v>
      </c>
      <c r="B259" s="78" t="s">
        <v>26</v>
      </c>
      <c r="C259" s="78" t="s">
        <v>29</v>
      </c>
      <c r="D259" s="78" t="s">
        <v>208</v>
      </c>
      <c r="E259" s="182" t="s">
        <v>911</v>
      </c>
      <c r="F259" s="182" t="s">
        <v>264</v>
      </c>
      <c r="G259" s="78" t="s">
        <v>208</v>
      </c>
      <c r="H259" s="182" t="s">
        <v>912</v>
      </c>
      <c r="I259" s="78" t="s">
        <v>271</v>
      </c>
      <c r="J259" s="182" t="s">
        <v>374</v>
      </c>
      <c r="K259" s="183">
        <v>46182.443159722221</v>
      </c>
      <c r="L259" s="277">
        <v>46182.445023148146</v>
      </c>
      <c r="M259" s="277">
        <v>46182.446296296293</v>
      </c>
      <c r="N259" s="183">
        <v>46185.521539351852</v>
      </c>
      <c r="O259" s="80"/>
      <c r="P259" s="80"/>
      <c r="Q259" s="78"/>
      <c r="R259" s="78"/>
      <c r="S259" s="78"/>
      <c r="T259" s="78"/>
      <c r="U259" s="78" t="s">
        <v>371</v>
      </c>
      <c r="V259" s="78"/>
      <c r="W259" s="78"/>
      <c r="X259" s="78"/>
      <c r="Y259" s="78"/>
      <c r="Z259" s="167">
        <f t="shared" ca="1" si="38"/>
        <v>1.2033796296309449</v>
      </c>
      <c r="AA259" s="168">
        <f t="shared" ca="1" si="40"/>
        <v>3.2090123456825199</v>
      </c>
      <c r="AB259" s="167">
        <f t="shared" ca="1" si="39"/>
        <v>1.2015162037059783</v>
      </c>
      <c r="AC259" s="168">
        <f t="shared" ca="1" si="41"/>
        <v>3.204043209882609</v>
      </c>
      <c r="AD259" s="191">
        <f t="shared" ca="1" si="42"/>
        <v>1.2731481474475004E-3</v>
      </c>
      <c r="AE259" s="167">
        <f t="shared" ca="1" si="43"/>
        <v>1.2015162037059783</v>
      </c>
      <c r="AF259" s="168">
        <f t="shared" ca="1" si="44"/>
        <v>3.204043209882609</v>
      </c>
      <c r="AG259" s="168">
        <f t="shared" ca="1" si="45"/>
        <v>3.204043209882609</v>
      </c>
      <c r="AH259" s="81" t="str" cm="1">
        <f t="array" aca="1" ref="AH259" ca="1">IF((AD259) &lt; (INDEX(ResponseSLA[#All],(MATCH((G259),ResponseSLA[Priority],0))+1,3)),"YES","No")</f>
        <v>YES</v>
      </c>
      <c r="AI259" s="81" t="str">
        <f ca="1">_xlfn.IFNA(IF(AE259 &lt; (INDEX(SLATable[Minimum SLA],MATCH(G259,SLATable[Priority],0))),"YES","NO"),"")</f>
        <v>NO</v>
      </c>
      <c r="AJ259" s="19" t="str">
        <f ca="1">_xlfn.IFNA(IF(AE259 &lt; (INDEX(SLATable[Maximum SLA],MATCH(G259,SLATable[Priority],0))),"YES","NO"),"")</f>
        <v>NO</v>
      </c>
    </row>
    <row r="260" spans="1:36" ht="15" customHeight="1">
      <c r="A260" s="78">
        <v>259</v>
      </c>
      <c r="B260" s="78" t="s">
        <v>26</v>
      </c>
      <c r="C260" s="78" t="s">
        <v>29</v>
      </c>
      <c r="D260" s="78" t="s">
        <v>208</v>
      </c>
      <c r="E260" s="182" t="s">
        <v>913</v>
      </c>
      <c r="F260" s="182" t="s">
        <v>264</v>
      </c>
      <c r="G260" s="78" t="s">
        <v>208</v>
      </c>
      <c r="H260" s="182" t="s">
        <v>914</v>
      </c>
      <c r="I260" s="78" t="s">
        <v>271</v>
      </c>
      <c r="J260" s="182" t="s">
        <v>377</v>
      </c>
      <c r="K260" s="183">
        <v>46199.37060185185</v>
      </c>
      <c r="L260" s="277">
        <v>46199.406608796293</v>
      </c>
      <c r="M260" s="277">
        <v>46199.408553240741</v>
      </c>
      <c r="N260" s="183">
        <v>46199.491712962961</v>
      </c>
      <c r="O260" s="80"/>
      <c r="P260" s="80"/>
      <c r="Q260" s="78"/>
      <c r="R260" s="78"/>
      <c r="S260" s="78"/>
      <c r="T260" s="78"/>
      <c r="U260" s="78" t="s">
        <v>371</v>
      </c>
      <c r="V260" s="78"/>
      <c r="W260" s="78"/>
      <c r="X260" s="78"/>
      <c r="Y260" s="78"/>
      <c r="Z260" s="167">
        <f t="shared" ca="1" si="38"/>
        <v>0.1211111111115315</v>
      </c>
      <c r="AA260" s="168">
        <f t="shared" ca="1" si="40"/>
        <v>0.322962962964084</v>
      </c>
      <c r="AB260" s="167">
        <f t="shared" ca="1" si="39"/>
        <v>8.5104166668315884E-2</v>
      </c>
      <c r="AC260" s="168">
        <f t="shared" ca="1" si="41"/>
        <v>0.22694444444884235</v>
      </c>
      <c r="AD260" s="191">
        <f t="shared" ca="1" si="42"/>
        <v>1.9444444478722289E-3</v>
      </c>
      <c r="AE260" s="167">
        <f t="shared" ca="1" si="43"/>
        <v>8.5104166668315884E-2</v>
      </c>
      <c r="AF260" s="168">
        <f t="shared" ca="1" si="44"/>
        <v>0.22694444444884235</v>
      </c>
      <c r="AG260" s="168">
        <f t="shared" ca="1" si="45"/>
        <v>0.22694444444884235</v>
      </c>
      <c r="AH260" s="81" t="str" cm="1">
        <f t="array" aca="1" ref="AH260" ca="1">IF((AD260) &lt; (INDEX(ResponseSLA[#All],(MATCH((G260),ResponseSLA[Priority],0))+1,3)),"YES","No")</f>
        <v>YES</v>
      </c>
      <c r="AI260" s="81" t="str">
        <f ca="1">_xlfn.IFNA(IF(AE260 &lt; (INDEX(SLATable[Minimum SLA],MATCH(G260,SLATable[Priority],0))),"YES","NO"),"")</f>
        <v>YES</v>
      </c>
      <c r="AJ260" s="19" t="str">
        <f ca="1">_xlfn.IFNA(IF(AE260 &lt; (INDEX(SLATable[Maximum SLA],MATCH(G260,SLATable[Priority],0))),"YES","NO"),"")</f>
        <v>YES</v>
      </c>
    </row>
    <row r="261" spans="1:36" ht="15" customHeight="1">
      <c r="A261" s="78">
        <v>260</v>
      </c>
      <c r="B261" s="78" t="s">
        <v>26</v>
      </c>
      <c r="C261" s="78" t="s">
        <v>29</v>
      </c>
      <c r="D261" s="78" t="s">
        <v>208</v>
      </c>
      <c r="E261" s="182" t="s">
        <v>915</v>
      </c>
      <c r="F261" s="182" t="s">
        <v>264</v>
      </c>
      <c r="G261" s="78" t="s">
        <v>208</v>
      </c>
      <c r="H261" s="182" t="s">
        <v>916</v>
      </c>
      <c r="I261" s="78" t="s">
        <v>271</v>
      </c>
      <c r="J261" s="182" t="s">
        <v>377</v>
      </c>
      <c r="K261" s="183">
        <v>46199.64371527778</v>
      </c>
      <c r="L261" s="277">
        <v>46199.643796296295</v>
      </c>
      <c r="M261" s="277">
        <v>46202.22619212963</v>
      </c>
      <c r="N261" s="183">
        <v>46231.750150462962</v>
      </c>
      <c r="O261" s="80">
        <v>46217.301099537035</v>
      </c>
      <c r="P261" s="183">
        <v>46231.750150462962</v>
      </c>
      <c r="Q261" s="78"/>
      <c r="R261" s="78"/>
      <c r="S261" s="78"/>
      <c r="T261" s="78"/>
      <c r="U261" s="78" t="s">
        <v>371</v>
      </c>
      <c r="V261" s="78"/>
      <c r="W261" s="78"/>
      <c r="X261" s="78"/>
      <c r="Y261" s="78"/>
      <c r="Z261" s="167">
        <f t="shared" ca="1" si="38"/>
        <v>4.1896180555534874</v>
      </c>
      <c r="AA261" s="168">
        <f t="shared" ca="1" si="40"/>
        <v>11.172314814809299</v>
      </c>
      <c r="AB261" s="167">
        <f t="shared" ca="1" si="39"/>
        <v>4.1895370370378577</v>
      </c>
      <c r="AC261" s="168">
        <f t="shared" ca="1" si="41"/>
        <v>11.172098765434287</v>
      </c>
      <c r="AD261" s="191">
        <f t="shared" ca="1" si="42"/>
        <v>6.4537037037856293E-2</v>
      </c>
      <c r="AE261" s="167">
        <f t="shared" ca="1" si="43"/>
        <v>4.1895370370378577</v>
      </c>
      <c r="AF261" s="168">
        <f t="shared" ca="1" si="44"/>
        <v>11.172098765434287</v>
      </c>
      <c r="AG261" s="168">
        <f t="shared" ca="1" si="45"/>
        <v>11.172098765434287</v>
      </c>
      <c r="AH261" s="81" t="str" cm="1">
        <f t="array" aca="1" ref="AH261" ca="1">IF((AD261) &lt; (INDEX(ResponseSLA[#All],(MATCH((G261),ResponseSLA[Priority],0))+1,3)),"YES","No")</f>
        <v>YES</v>
      </c>
      <c r="AI261" s="81" t="str">
        <f ca="1">_xlfn.IFNA(IF(AE261 &lt; (INDEX(SLATable[Minimum SLA],MATCH(G261,SLATable[Priority],0))),"YES","NO"),"")</f>
        <v>NO</v>
      </c>
      <c r="AJ261" s="19" t="str">
        <f ca="1">_xlfn.IFNA(IF(AE261 &lt; (INDEX(SLATable[Maximum SLA],MATCH(G261,SLATable[Priority],0))),"YES","NO"),"")</f>
        <v>NO</v>
      </c>
    </row>
    <row r="262" spans="1:36" ht="15" customHeight="1">
      <c r="A262" s="78">
        <v>261</v>
      </c>
      <c r="B262" s="78" t="s">
        <v>26</v>
      </c>
      <c r="C262" s="78" t="s">
        <v>29</v>
      </c>
      <c r="D262" s="78" t="s">
        <v>208</v>
      </c>
      <c r="E262" s="182" t="s">
        <v>917</v>
      </c>
      <c r="F262" s="182" t="s">
        <v>264</v>
      </c>
      <c r="G262" s="78" t="s">
        <v>208</v>
      </c>
      <c r="H262" s="182" t="s">
        <v>918</v>
      </c>
      <c r="I262" s="78" t="s">
        <v>271</v>
      </c>
      <c r="J262" s="182" t="s">
        <v>377</v>
      </c>
      <c r="K262" s="183">
        <v>46205.476736111108</v>
      </c>
      <c r="L262" s="277">
        <v>46205.477939814817</v>
      </c>
      <c r="M262" s="277">
        <v>46205.516886574071</v>
      </c>
      <c r="N262" s="183">
        <v>46206.359212962961</v>
      </c>
      <c r="O262" s="80"/>
      <c r="P262" s="80"/>
      <c r="Q262" s="78"/>
      <c r="R262" s="78"/>
      <c r="S262" s="78"/>
      <c r="T262" s="78"/>
      <c r="U262" s="78" t="s">
        <v>371</v>
      </c>
      <c r="V262" s="78"/>
      <c r="W262" s="78"/>
      <c r="X262" s="78"/>
      <c r="Y262" s="78"/>
      <c r="Z262" s="167">
        <f t="shared" ca="1" si="38"/>
        <v>0.25747685185342561</v>
      </c>
      <c r="AA262" s="168">
        <f t="shared" ca="1" si="40"/>
        <v>0.6866049382758016</v>
      </c>
      <c r="AB262" s="167">
        <f t="shared" ca="1" si="39"/>
        <v>0.25627314814482816</v>
      </c>
      <c r="AC262" s="168">
        <f t="shared" ca="1" si="41"/>
        <v>0.68339506171954179</v>
      </c>
      <c r="AD262" s="191">
        <f t="shared" ca="1" si="42"/>
        <v>3.8946759254031349E-2</v>
      </c>
      <c r="AE262" s="167">
        <f t="shared" ca="1" si="43"/>
        <v>0.25627314814482816</v>
      </c>
      <c r="AF262" s="168">
        <f t="shared" ca="1" si="44"/>
        <v>0.68339506171954179</v>
      </c>
      <c r="AG262" s="168">
        <f t="shared" ca="1" si="45"/>
        <v>0.68339506171954179</v>
      </c>
      <c r="AH262" s="81" t="str" cm="1">
        <f t="array" aca="1" ref="AH262" ca="1">IF((AD262) &lt; (INDEX(ResponseSLA[#All],(MATCH((G262),ResponseSLA[Priority],0))+1,3)),"YES","No")</f>
        <v>YES</v>
      </c>
      <c r="AI262" s="81" t="str">
        <f ca="1">_xlfn.IFNA(IF(AE262 &lt; (INDEX(SLATable[Minimum SLA],MATCH(G262,SLATable[Priority],0))),"YES","NO"),"")</f>
        <v>YES</v>
      </c>
      <c r="AJ262" s="19" t="str">
        <f ca="1">_xlfn.IFNA(IF(AE262 &lt; (INDEX(SLATable[Maximum SLA],MATCH(G262,SLATable[Priority],0))),"YES","NO"),"")</f>
        <v>YES</v>
      </c>
    </row>
    <row r="263" spans="1:36" ht="15" customHeight="1">
      <c r="A263" s="78">
        <v>262</v>
      </c>
      <c r="B263" s="78" t="s">
        <v>26</v>
      </c>
      <c r="C263" s="78" t="s">
        <v>29</v>
      </c>
      <c r="D263" s="78" t="s">
        <v>208</v>
      </c>
      <c r="E263" s="182" t="s">
        <v>919</v>
      </c>
      <c r="F263" s="182" t="s">
        <v>264</v>
      </c>
      <c r="G263" s="78" t="s">
        <v>208</v>
      </c>
      <c r="H263" s="182" t="s">
        <v>920</v>
      </c>
      <c r="I263" s="78" t="s">
        <v>271</v>
      </c>
      <c r="J263" s="182" t="s">
        <v>377</v>
      </c>
      <c r="K263" s="183">
        <v>46205.531446759262</v>
      </c>
      <c r="L263" s="277">
        <v>46205.536354166667</v>
      </c>
      <c r="M263" s="277">
        <v>46205.616574074076</v>
      </c>
      <c r="N263" s="183">
        <v>46209.252245370371</v>
      </c>
      <c r="O263" s="80"/>
      <c r="P263" s="80"/>
      <c r="Q263" s="78"/>
      <c r="R263" s="78"/>
      <c r="S263" s="78"/>
      <c r="T263" s="78"/>
      <c r="U263" s="78" t="s">
        <v>371</v>
      </c>
      <c r="V263" s="78"/>
      <c r="W263" s="78"/>
      <c r="X263" s="78"/>
      <c r="Y263" s="78"/>
      <c r="Z263" s="167">
        <f t="shared" ca="1" si="38"/>
        <v>0.55188657407173514</v>
      </c>
      <c r="AA263" s="168">
        <f t="shared" ca="1" si="40"/>
        <v>1.4716975308579603</v>
      </c>
      <c r="AB263" s="167">
        <f t="shared" ca="1" si="39"/>
        <v>0.54697916666676383</v>
      </c>
      <c r="AC263" s="168">
        <f t="shared" ca="1" si="41"/>
        <v>1.4586111111113702</v>
      </c>
      <c r="AD263" s="191">
        <f t="shared" ca="1" si="42"/>
        <v>8.0219907409627922E-2</v>
      </c>
      <c r="AE263" s="167">
        <f t="shared" ca="1" si="43"/>
        <v>0.54697916666676383</v>
      </c>
      <c r="AF263" s="168">
        <f t="shared" ca="1" si="44"/>
        <v>1.4586111111113702</v>
      </c>
      <c r="AG263" s="168">
        <f t="shared" ca="1" si="45"/>
        <v>1.4586111111113702</v>
      </c>
      <c r="AH263" s="81" t="str" cm="1">
        <f t="array" aca="1" ref="AH263" ca="1">IF((AD263) &lt; (INDEX(ResponseSLA[#All],(MATCH((G263),ResponseSLA[Priority],0))+1,3)),"YES","No")</f>
        <v>YES</v>
      </c>
      <c r="AI263" s="81" t="str">
        <f ca="1">_xlfn.IFNA(IF(AE263 &lt; (INDEX(SLATable[Minimum SLA],MATCH(G263,SLATable[Priority],0))),"YES","NO"),"")</f>
        <v>YES</v>
      </c>
      <c r="AJ263" s="19" t="str">
        <f ca="1">_xlfn.IFNA(IF(AE263 &lt; (INDEX(SLATable[Maximum SLA],MATCH(G263,SLATable[Priority],0))),"YES","NO"),"")</f>
        <v>YES</v>
      </c>
    </row>
    <row r="264" spans="1:36" ht="15" customHeight="1">
      <c r="A264" s="78">
        <v>263</v>
      </c>
      <c r="B264" s="78" t="s">
        <v>26</v>
      </c>
      <c r="C264" s="78" t="s">
        <v>29</v>
      </c>
      <c r="D264" s="78" t="s">
        <v>208</v>
      </c>
      <c r="E264" s="182" t="s">
        <v>921</v>
      </c>
      <c r="F264" s="182" t="s">
        <v>264</v>
      </c>
      <c r="G264" s="78" t="s">
        <v>208</v>
      </c>
      <c r="H264" s="182" t="s">
        <v>922</v>
      </c>
      <c r="I264" s="78" t="s">
        <v>271</v>
      </c>
      <c r="J264" s="182" t="s">
        <v>377</v>
      </c>
      <c r="K264" s="183">
        <v>46210.378067129626</v>
      </c>
      <c r="L264" s="277">
        <v>46210.382071759261</v>
      </c>
      <c r="M264" s="277">
        <v>46210.40347222222</v>
      </c>
      <c r="N264" s="183">
        <v>46224.455995370372</v>
      </c>
      <c r="O264" s="80"/>
      <c r="P264" s="80"/>
      <c r="Q264" s="78"/>
      <c r="R264" s="78"/>
      <c r="S264" s="78"/>
      <c r="T264" s="78"/>
      <c r="U264" s="78" t="s">
        <v>371</v>
      </c>
      <c r="V264" s="78"/>
      <c r="W264" s="78"/>
      <c r="X264" s="78"/>
      <c r="Y264" s="78"/>
      <c r="Z264" s="167">
        <f t="shared" ca="1" si="38"/>
        <v>3.8279282407456776</v>
      </c>
      <c r="AA264" s="168">
        <f t="shared" ca="1" si="40"/>
        <v>10.207808641988473</v>
      </c>
      <c r="AB264" s="167">
        <f t="shared" ca="1" si="39"/>
        <v>3.8239236111112405</v>
      </c>
      <c r="AC264" s="168">
        <f t="shared" ca="1" si="41"/>
        <v>10.197129629629975</v>
      </c>
      <c r="AD264" s="191">
        <f t="shared" ca="1" si="42"/>
        <v>2.1400462959718425E-2</v>
      </c>
      <c r="AE264" s="167">
        <f t="shared" ca="1" si="43"/>
        <v>3.8239236111112405</v>
      </c>
      <c r="AF264" s="168">
        <f t="shared" ca="1" si="44"/>
        <v>10.197129629629975</v>
      </c>
      <c r="AG264" s="168">
        <f t="shared" ca="1" si="45"/>
        <v>10.197129629629975</v>
      </c>
      <c r="AH264" s="81" t="str" cm="1">
        <f t="array" aca="1" ref="AH264" ca="1">IF((AD264) &lt; (INDEX(ResponseSLA[#All],(MATCH((G264),ResponseSLA[Priority],0))+1,3)),"YES","No")</f>
        <v>YES</v>
      </c>
      <c r="AI264" s="81" t="str">
        <f ca="1">_xlfn.IFNA(IF(AE264 &lt; (INDEX(SLATable[Minimum SLA],MATCH(G264,SLATable[Priority],0))),"YES","NO"),"")</f>
        <v>NO</v>
      </c>
      <c r="AJ264" s="19" t="str">
        <f ca="1">_xlfn.IFNA(IF(AE264 &lt; (INDEX(SLATable[Maximum SLA],MATCH(G264,SLATable[Priority],0))),"YES","NO"),"")</f>
        <v>NO</v>
      </c>
    </row>
    <row r="265" spans="1:36" ht="15" customHeight="1">
      <c r="A265" s="78">
        <v>264</v>
      </c>
      <c r="B265" s="78" t="s">
        <v>26</v>
      </c>
      <c r="C265" s="78" t="s">
        <v>29</v>
      </c>
      <c r="D265" s="78" t="s">
        <v>208</v>
      </c>
      <c r="E265" s="182" t="s">
        <v>923</v>
      </c>
      <c r="F265" s="182" t="s">
        <v>264</v>
      </c>
      <c r="G265" s="78" t="s">
        <v>208</v>
      </c>
      <c r="H265" s="182" t="s">
        <v>924</v>
      </c>
      <c r="I265" s="78" t="s">
        <v>271</v>
      </c>
      <c r="J265" s="182" t="s">
        <v>377</v>
      </c>
      <c r="K265" s="183">
        <v>46212.484537037039</v>
      </c>
      <c r="L265" s="277">
        <v>46212.49009259259</v>
      </c>
      <c r="M265" s="277">
        <v>46212.493715277778</v>
      </c>
      <c r="N265" s="183">
        <v>46216.307002314818</v>
      </c>
      <c r="O265" s="80"/>
      <c r="P265" s="80"/>
      <c r="Q265" s="78"/>
      <c r="R265" s="78"/>
      <c r="S265" s="78"/>
      <c r="T265" s="78"/>
      <c r="U265" s="78" t="s">
        <v>371</v>
      </c>
      <c r="V265" s="78"/>
      <c r="W265" s="78"/>
      <c r="X265" s="78"/>
      <c r="Y265" s="78"/>
      <c r="Z265" s="167">
        <f t="shared" ca="1" si="38"/>
        <v>0.59879629629479814</v>
      </c>
      <c r="AA265" s="168">
        <f t="shared" ca="1" si="40"/>
        <v>1.596790123452795</v>
      </c>
      <c r="AB265" s="167">
        <f t="shared" ca="1" si="39"/>
        <v>0.5932407407429614</v>
      </c>
      <c r="AC265" s="168">
        <f t="shared" ca="1" si="41"/>
        <v>1.5819753086478971</v>
      </c>
      <c r="AD265" s="191">
        <f t="shared" ca="1" si="42"/>
        <v>3.6226851880201139E-3</v>
      </c>
      <c r="AE265" s="167">
        <f t="shared" ca="1" si="43"/>
        <v>0.5932407407429614</v>
      </c>
      <c r="AF265" s="168">
        <f t="shared" ca="1" si="44"/>
        <v>1.5819753086478971</v>
      </c>
      <c r="AG265" s="168">
        <f t="shared" ca="1" si="45"/>
        <v>1.5819753086478971</v>
      </c>
      <c r="AH265" s="81" t="str" cm="1">
        <f t="array" aca="1" ref="AH265" ca="1">IF((AD265) &lt; (INDEX(ResponseSLA[#All],(MATCH((G265),ResponseSLA[Priority],0))+1,3)),"YES","No")</f>
        <v>YES</v>
      </c>
      <c r="AI265" s="81" t="str">
        <f ca="1">_xlfn.IFNA(IF(AE265 &lt; (INDEX(SLATable[Minimum SLA],MATCH(G265,SLATable[Priority],0))),"YES","NO"),"")</f>
        <v>YES</v>
      </c>
      <c r="AJ265" s="19" t="str">
        <f ca="1">_xlfn.IFNA(IF(AE265 &lt; (INDEX(SLATable[Maximum SLA],MATCH(G265,SLATable[Priority],0))),"YES","NO"),"")</f>
        <v>YES</v>
      </c>
    </row>
    <row r="266" spans="1:36" ht="15" customHeight="1">
      <c r="A266" s="78">
        <v>265</v>
      </c>
      <c r="B266" s="78" t="s">
        <v>26</v>
      </c>
      <c r="C266" s="78" t="s">
        <v>29</v>
      </c>
      <c r="D266" s="78" t="s">
        <v>208</v>
      </c>
      <c r="E266" s="182" t="s">
        <v>925</v>
      </c>
      <c r="F266" s="182" t="s">
        <v>264</v>
      </c>
      <c r="G266" s="78" t="s">
        <v>208</v>
      </c>
      <c r="H266" s="182" t="s">
        <v>926</v>
      </c>
      <c r="I266" s="78" t="s">
        <v>271</v>
      </c>
      <c r="J266" s="182" t="s">
        <v>377</v>
      </c>
      <c r="K266" s="183">
        <v>46213.40896990741</v>
      </c>
      <c r="L266" s="277">
        <v>46213.410555555558</v>
      </c>
      <c r="M266" s="277">
        <v>46213.413368055553</v>
      </c>
      <c r="N266" s="183">
        <v>46230.466215277775</v>
      </c>
      <c r="O266" s="80"/>
      <c r="P266" s="80"/>
      <c r="Q266" s="78"/>
      <c r="R266" s="78"/>
      <c r="S266" s="78"/>
      <c r="T266" s="78"/>
      <c r="U266" s="78" t="s">
        <v>371</v>
      </c>
      <c r="V266" s="78"/>
      <c r="W266" s="78"/>
      <c r="X266" s="78"/>
      <c r="Y266" s="78"/>
      <c r="Z266" s="167">
        <f t="shared" ca="1" si="38"/>
        <v>4.1822453703643996</v>
      </c>
      <c r="AA266" s="168">
        <f t="shared" ca="1" si="40"/>
        <v>11.152654320971733</v>
      </c>
      <c r="AB266" s="167">
        <f t="shared" ca="1" si="39"/>
        <v>4.180659722216661</v>
      </c>
      <c r="AC266" s="168">
        <f t="shared" ca="1" si="41"/>
        <v>11.148425925911097</v>
      </c>
      <c r="AD266" s="191">
        <f t="shared" ca="1" si="42"/>
        <v>2.8124999953433871E-3</v>
      </c>
      <c r="AE266" s="167">
        <f t="shared" ca="1" si="43"/>
        <v>4.180659722216661</v>
      </c>
      <c r="AF266" s="168">
        <f t="shared" ca="1" si="44"/>
        <v>11.148425925911097</v>
      </c>
      <c r="AG266" s="168">
        <f t="shared" ca="1" si="45"/>
        <v>11.148425925911097</v>
      </c>
      <c r="AH266" s="81" t="str" cm="1">
        <f t="array" aca="1" ref="AH266" ca="1">IF((AD266) &lt; (INDEX(ResponseSLA[#All],(MATCH((G266),ResponseSLA[Priority],0))+1,3)),"YES","No")</f>
        <v>YES</v>
      </c>
      <c r="AI266" s="81" t="str">
        <f ca="1">_xlfn.IFNA(IF(AE266 &lt; (INDEX(SLATable[Minimum SLA],MATCH(G266,SLATable[Priority],0))),"YES","NO"),"")</f>
        <v>NO</v>
      </c>
      <c r="AJ266" s="19" t="str">
        <f ca="1">_xlfn.IFNA(IF(AE266 &lt; (INDEX(SLATable[Maximum SLA],MATCH(G266,SLATable[Priority],0))),"YES","NO"),"")</f>
        <v>NO</v>
      </c>
    </row>
    <row r="267" spans="1:36" ht="15" customHeight="1">
      <c r="A267" s="78">
        <v>266</v>
      </c>
      <c r="B267" s="78" t="s">
        <v>26</v>
      </c>
      <c r="C267" s="78" t="s">
        <v>29</v>
      </c>
      <c r="D267" s="78" t="s">
        <v>208</v>
      </c>
      <c r="E267" s="182" t="s">
        <v>927</v>
      </c>
      <c r="F267" s="182" t="s">
        <v>264</v>
      </c>
      <c r="G267" s="78" t="s">
        <v>208</v>
      </c>
      <c r="H267" s="182" t="s">
        <v>928</v>
      </c>
      <c r="I267" s="78" t="s">
        <v>271</v>
      </c>
      <c r="J267" s="182" t="s">
        <v>377</v>
      </c>
      <c r="K267" s="183">
        <v>46217.524930555555</v>
      </c>
      <c r="L267" s="277">
        <v>46217.525023148148</v>
      </c>
      <c r="M267" s="277">
        <v>46217.556030092594</v>
      </c>
      <c r="N267" s="183">
        <v>46218.352858796294</v>
      </c>
      <c r="O267" s="80"/>
      <c r="P267" s="80"/>
      <c r="Q267" s="78"/>
      <c r="R267" s="78"/>
      <c r="S267" s="78"/>
      <c r="T267" s="78"/>
      <c r="U267" s="78" t="s">
        <v>371</v>
      </c>
      <c r="V267" s="78"/>
      <c r="W267" s="78"/>
      <c r="X267" s="78"/>
      <c r="Y267" s="78"/>
      <c r="Z267" s="167">
        <f t="shared" ca="1" si="38"/>
        <v>0.20292824073840166</v>
      </c>
      <c r="AA267" s="168">
        <f t="shared" ca="1" si="40"/>
        <v>0.54114197530240438</v>
      </c>
      <c r="AB267" s="167">
        <f t="shared" ca="1" si="39"/>
        <v>0.20283564814599231</v>
      </c>
      <c r="AC267" s="168">
        <f t="shared" ca="1" si="41"/>
        <v>0.54089506172264612</v>
      </c>
      <c r="AD267" s="191">
        <f t="shared" ca="1" si="42"/>
        <v>3.1006944445834961E-2</v>
      </c>
      <c r="AE267" s="167">
        <f t="shared" ca="1" si="43"/>
        <v>0.20283564814599231</v>
      </c>
      <c r="AF267" s="168">
        <f t="shared" ca="1" si="44"/>
        <v>0.54089506172264612</v>
      </c>
      <c r="AG267" s="168">
        <f t="shared" ca="1" si="45"/>
        <v>0.54089506172264612</v>
      </c>
      <c r="AH267" s="81" t="str" cm="1">
        <f t="array" aca="1" ref="AH267" ca="1">IF((AD267) &lt; (INDEX(ResponseSLA[#All],(MATCH((G267),ResponseSLA[Priority],0))+1,3)),"YES","No")</f>
        <v>YES</v>
      </c>
      <c r="AI267" s="81" t="str">
        <f ca="1">_xlfn.IFNA(IF(AE267 &lt; (INDEX(SLATable[Minimum SLA],MATCH(G267,SLATable[Priority],0))),"YES","NO"),"")</f>
        <v>YES</v>
      </c>
      <c r="AJ267" s="19" t="str">
        <f ca="1">_xlfn.IFNA(IF(AE267 &lt; (INDEX(SLATable[Maximum SLA],MATCH(G267,SLATable[Priority],0))),"YES","NO"),"")</f>
        <v>YES</v>
      </c>
    </row>
    <row r="268" spans="1:36" ht="15" customHeight="1">
      <c r="A268" s="78">
        <v>267</v>
      </c>
      <c r="B268" s="78" t="s">
        <v>26</v>
      </c>
      <c r="C268" s="78" t="s">
        <v>29</v>
      </c>
      <c r="D268" s="78" t="s">
        <v>208</v>
      </c>
      <c r="E268" s="182" t="s">
        <v>929</v>
      </c>
      <c r="F268" s="182" t="s">
        <v>264</v>
      </c>
      <c r="G268" s="78" t="s">
        <v>208</v>
      </c>
      <c r="H268" s="182" t="s">
        <v>930</v>
      </c>
      <c r="I268" s="78" t="s">
        <v>271</v>
      </c>
      <c r="J268" s="182" t="s">
        <v>377</v>
      </c>
      <c r="K268" s="183">
        <v>46225.453692129631</v>
      </c>
      <c r="L268" s="277">
        <v>46225.454432870371</v>
      </c>
      <c r="M268" s="277">
        <v>46225.45648148148</v>
      </c>
      <c r="N268" s="183">
        <v>46226.225995370369</v>
      </c>
      <c r="O268" s="80"/>
      <c r="P268" s="80"/>
      <c r="Q268" s="78"/>
      <c r="R268" s="78"/>
      <c r="S268" s="78"/>
      <c r="T268" s="78"/>
      <c r="U268" s="78" t="s">
        <v>371</v>
      </c>
      <c r="V268" s="78"/>
      <c r="W268" s="78"/>
      <c r="X268" s="78"/>
      <c r="Y268" s="78"/>
      <c r="Z268" s="167">
        <f t="shared" ca="1" si="38"/>
        <v>0.25464120370209764</v>
      </c>
      <c r="AA268" s="168">
        <f t="shared" ca="1" si="40"/>
        <v>0.67904320987226041</v>
      </c>
      <c r="AB268" s="167">
        <f t="shared" ca="1" si="39"/>
        <v>0.25390046296282287</v>
      </c>
      <c r="AC268" s="168">
        <f t="shared" ca="1" si="41"/>
        <v>0.67706790123419436</v>
      </c>
      <c r="AD268" s="191">
        <f t="shared" ca="1" si="42"/>
        <v>2.0486111097852699E-3</v>
      </c>
      <c r="AE268" s="167">
        <f t="shared" ca="1" si="43"/>
        <v>0.25390046296282287</v>
      </c>
      <c r="AF268" s="168">
        <f t="shared" ca="1" si="44"/>
        <v>0.67706790123419436</v>
      </c>
      <c r="AG268" s="168">
        <f t="shared" ca="1" si="45"/>
        <v>0.67706790123419436</v>
      </c>
      <c r="AH268" s="81" t="str" cm="1">
        <f t="array" aca="1" ref="AH268" ca="1">IF((AD268) &lt; (INDEX(ResponseSLA[#All],(MATCH((G268),ResponseSLA[Priority],0))+1,3)),"YES","No")</f>
        <v>YES</v>
      </c>
      <c r="AI268" s="81" t="str">
        <f ca="1">_xlfn.IFNA(IF(AE268 &lt; (INDEX(SLATable[Minimum SLA],MATCH(G268,SLATable[Priority],0))),"YES","NO"),"")</f>
        <v>YES</v>
      </c>
      <c r="AJ268" s="19" t="str">
        <f ca="1">_xlfn.IFNA(IF(AE268 &lt; (INDEX(SLATable[Maximum SLA],MATCH(G268,SLATable[Priority],0))),"YES","NO"),"")</f>
        <v>YES</v>
      </c>
    </row>
    <row r="269" spans="1:36" ht="15" customHeight="1">
      <c r="A269" s="78">
        <v>268</v>
      </c>
      <c r="B269" s="78" t="s">
        <v>26</v>
      </c>
      <c r="C269" s="78" t="s">
        <v>29</v>
      </c>
      <c r="D269" s="78" t="s">
        <v>208</v>
      </c>
      <c r="E269" s="182" t="s">
        <v>931</v>
      </c>
      <c r="F269" s="182" t="s">
        <v>264</v>
      </c>
      <c r="G269" s="78" t="s">
        <v>208</v>
      </c>
      <c r="H269" s="182" t="s">
        <v>932</v>
      </c>
      <c r="I269" s="78" t="s">
        <v>271</v>
      </c>
      <c r="J269" s="182" t="s">
        <v>374</v>
      </c>
      <c r="K269" s="183">
        <v>46230.443472222221</v>
      </c>
      <c r="L269" s="277">
        <v>46230.45244212963</v>
      </c>
      <c r="M269" s="277">
        <v>46230.453321759262</v>
      </c>
      <c r="N269" s="183">
        <v>46230.534398148149</v>
      </c>
      <c r="O269" s="80"/>
      <c r="P269" s="80"/>
      <c r="Q269" s="78"/>
      <c r="R269" s="78"/>
      <c r="S269" s="78"/>
      <c r="T269" s="78"/>
      <c r="U269" s="78" t="s">
        <v>371</v>
      </c>
      <c r="V269" s="78"/>
      <c r="W269" s="78"/>
      <c r="X269" s="78"/>
      <c r="Y269" s="78"/>
      <c r="Z269" s="167">
        <f t="shared" ca="1" si="38"/>
        <v>9.092592592787696E-2</v>
      </c>
      <c r="AA269" s="168">
        <f t="shared" ca="1" si="40"/>
        <v>0.2424691358076719</v>
      </c>
      <c r="AB269" s="167">
        <f t="shared" ca="1" si="39"/>
        <v>8.1956018519122154E-2</v>
      </c>
      <c r="AC269" s="168">
        <f t="shared" ca="1" si="41"/>
        <v>0.21854938271765909</v>
      </c>
      <c r="AD269" s="191">
        <f t="shared" ca="1" si="42"/>
        <v>8.7962963152676821E-4</v>
      </c>
      <c r="AE269" s="167">
        <f t="shared" ca="1" si="43"/>
        <v>8.1956018519122154E-2</v>
      </c>
      <c r="AF269" s="168">
        <f t="shared" ca="1" si="44"/>
        <v>0.21854938271765909</v>
      </c>
      <c r="AG269" s="168">
        <f t="shared" ca="1" si="45"/>
        <v>0.21854938271765909</v>
      </c>
      <c r="AH269" s="81" t="str" cm="1">
        <f t="array" aca="1" ref="AH269" ca="1">IF((AD269) &lt; (INDEX(ResponseSLA[#All],(MATCH((G269),ResponseSLA[Priority],0))+1,3)),"YES","No")</f>
        <v>YES</v>
      </c>
      <c r="AI269" s="81" t="str">
        <f ca="1">_xlfn.IFNA(IF(AE269 &lt; (INDEX(SLATable[Minimum SLA],MATCH(G269,SLATable[Priority],0))),"YES","NO"),"")</f>
        <v>YES</v>
      </c>
      <c r="AJ269" s="19" t="str">
        <f ca="1">_xlfn.IFNA(IF(AE269 &lt; (INDEX(SLATable[Maximum SLA],MATCH(G269,SLATable[Priority],0))),"YES","NO"),"")</f>
        <v>YES</v>
      </c>
    </row>
    <row r="270" spans="1:36" ht="15" customHeight="1">
      <c r="A270" s="78">
        <v>269</v>
      </c>
      <c r="B270" s="78" t="s">
        <v>26</v>
      </c>
      <c r="C270" s="78" t="s">
        <v>29</v>
      </c>
      <c r="D270" s="78" t="s">
        <v>208</v>
      </c>
      <c r="E270" s="182" t="s">
        <v>933</v>
      </c>
      <c r="F270" s="182" t="s">
        <v>264</v>
      </c>
      <c r="G270" s="78" t="s">
        <v>208</v>
      </c>
      <c r="H270" s="182" t="s">
        <v>934</v>
      </c>
      <c r="I270" s="78" t="s">
        <v>271</v>
      </c>
      <c r="J270" s="182" t="s">
        <v>377</v>
      </c>
      <c r="K270" s="183">
        <v>46231.64230324074</v>
      </c>
      <c r="L270" s="277">
        <v>46231.643877314818</v>
      </c>
      <c r="M270" s="277">
        <v>46231.654004629629</v>
      </c>
      <c r="N270" s="183">
        <v>46238.479745370372</v>
      </c>
      <c r="O270" s="80"/>
      <c r="P270" s="80"/>
      <c r="Q270" s="78"/>
      <c r="R270" s="78"/>
      <c r="S270" s="78"/>
      <c r="T270" s="78"/>
      <c r="U270" s="78" t="s">
        <v>371</v>
      </c>
      <c r="V270" s="78"/>
      <c r="W270" s="78"/>
      <c r="X270" s="78"/>
      <c r="Y270" s="78"/>
      <c r="Z270" s="167">
        <f t="shared" ca="1" si="38"/>
        <v>1.7124421296321088</v>
      </c>
      <c r="AA270" s="168">
        <f t="shared" ca="1" si="40"/>
        <v>4.5665123456856236</v>
      </c>
      <c r="AB270" s="167">
        <f t="shared" ca="1" si="39"/>
        <v>1.710868055553874</v>
      </c>
      <c r="AC270" s="168">
        <f t="shared" ca="1" si="41"/>
        <v>4.562314814810331</v>
      </c>
      <c r="AD270" s="191">
        <f t="shared" ca="1" si="42"/>
        <v>1.0127314810233656E-2</v>
      </c>
      <c r="AE270" s="167">
        <f t="shared" ca="1" si="43"/>
        <v>1.710868055553874</v>
      </c>
      <c r="AF270" s="168">
        <f t="shared" ca="1" si="44"/>
        <v>4.562314814810331</v>
      </c>
      <c r="AG270" s="168">
        <f t="shared" ca="1" si="45"/>
        <v>4.562314814810331</v>
      </c>
      <c r="AH270" s="81" t="str" cm="1">
        <f t="array" aca="1" ref="AH270" ca="1">IF((AD270) &lt; (INDEX(ResponseSLA[#All],(MATCH((G270),ResponseSLA[Priority],0))+1,3)),"YES","No")</f>
        <v>YES</v>
      </c>
      <c r="AI270" s="81" t="str">
        <f ca="1">_xlfn.IFNA(IF(AE270 &lt; (INDEX(SLATable[Minimum SLA],MATCH(G270,SLATable[Priority],0))),"YES","NO"),"")</f>
        <v>NO</v>
      </c>
      <c r="AJ270" s="19" t="str">
        <f ca="1">_xlfn.IFNA(IF(AE270 &lt; (INDEX(SLATable[Maximum SLA],MATCH(G270,SLATable[Priority],0))),"YES","NO"),"")</f>
        <v>NO</v>
      </c>
    </row>
    <row r="271" spans="1:36" ht="15" customHeight="1">
      <c r="A271" s="78">
        <v>270</v>
      </c>
      <c r="B271" s="78" t="s">
        <v>26</v>
      </c>
      <c r="C271" s="78" t="s">
        <v>29</v>
      </c>
      <c r="D271" s="78" t="s">
        <v>208</v>
      </c>
      <c r="E271" s="182" t="s">
        <v>935</v>
      </c>
      <c r="F271" s="182" t="s">
        <v>264</v>
      </c>
      <c r="G271" s="78" t="s">
        <v>208</v>
      </c>
      <c r="H271" s="182" t="s">
        <v>936</v>
      </c>
      <c r="I271" s="78" t="s">
        <v>271</v>
      </c>
      <c r="J271" s="182" t="s">
        <v>374</v>
      </c>
      <c r="K271" s="183">
        <v>46233.289317129631</v>
      </c>
      <c r="L271" s="277">
        <v>46233.289375</v>
      </c>
      <c r="M271" s="277">
        <v>46233.290543981479</v>
      </c>
      <c r="N271" s="183">
        <v>46237.321666666663</v>
      </c>
      <c r="O271" s="80"/>
      <c r="P271" s="80"/>
      <c r="Q271" s="78"/>
      <c r="R271" s="78"/>
      <c r="S271" s="78"/>
      <c r="T271" s="78"/>
      <c r="U271" s="78" t="s">
        <v>371</v>
      </c>
      <c r="V271" s="78"/>
      <c r="W271" s="78"/>
      <c r="X271" s="78"/>
      <c r="Y271" s="78"/>
      <c r="Z271" s="167">
        <f t="shared" ca="1" si="38"/>
        <v>0.75000000000000022</v>
      </c>
      <c r="AA271" s="168">
        <f t="shared" ca="1" si="40"/>
        <v>2.0000000000000009</v>
      </c>
      <c r="AB271" s="167">
        <f t="shared" ca="1" si="39"/>
        <v>0.75000000000000022</v>
      </c>
      <c r="AC271" s="168">
        <f t="shared" ca="1" si="41"/>
        <v>2.0000000000000009</v>
      </c>
      <c r="AD271" s="191">
        <f t="shared" ca="1" si="42"/>
        <v>0</v>
      </c>
      <c r="AE271" s="167">
        <f t="shared" ca="1" si="43"/>
        <v>0.75000000000000022</v>
      </c>
      <c r="AF271" s="168">
        <f t="shared" ca="1" si="44"/>
        <v>2.0000000000000009</v>
      </c>
      <c r="AG271" s="168">
        <f t="shared" ca="1" si="45"/>
        <v>2.0000000000000009</v>
      </c>
      <c r="AH271" s="81" t="str" cm="1">
        <f t="array" aca="1" ref="AH271" ca="1">IF((AD271) &lt; (INDEX(ResponseSLA[#All],(MATCH((G271),ResponseSLA[Priority],0))+1,3)),"YES","No")</f>
        <v>YES</v>
      </c>
      <c r="AI271" s="81" t="str">
        <f ca="1">_xlfn.IFNA(IF(AE271 &lt; (INDEX(SLATable[Minimum SLA],MATCH(G271,SLATable[Priority],0))),"YES","NO"),"")</f>
        <v>NO</v>
      </c>
      <c r="AJ271" s="19" t="str">
        <f ca="1">_xlfn.IFNA(IF(AE271 &lt; (INDEX(SLATable[Maximum SLA],MATCH(G271,SLATable[Priority],0))),"YES","NO"),"")</f>
        <v>NO</v>
      </c>
    </row>
    <row r="272" spans="1:36" ht="15" customHeight="1">
      <c r="A272" s="78">
        <v>271</v>
      </c>
      <c r="B272" s="78" t="s">
        <v>26</v>
      </c>
      <c r="C272" s="78" t="s">
        <v>29</v>
      </c>
      <c r="D272" s="78" t="s">
        <v>208</v>
      </c>
      <c r="E272" s="182" t="s">
        <v>937</v>
      </c>
      <c r="F272" s="182" t="s">
        <v>264</v>
      </c>
      <c r="G272" s="78" t="s">
        <v>208</v>
      </c>
      <c r="H272" s="182" t="s">
        <v>938</v>
      </c>
      <c r="I272" s="78" t="s">
        <v>271</v>
      </c>
      <c r="J272" s="182" t="s">
        <v>374</v>
      </c>
      <c r="K272" s="183">
        <v>46233.289456018516</v>
      </c>
      <c r="L272" s="277">
        <v>46233.289594907408</v>
      </c>
      <c r="M272" s="277">
        <v>46233.290405092594</v>
      </c>
      <c r="N272" s="183">
        <v>46237.321145833332</v>
      </c>
      <c r="O272" s="80"/>
      <c r="P272" s="80"/>
      <c r="Q272" s="78"/>
      <c r="R272" s="78"/>
      <c r="S272" s="78"/>
      <c r="T272" s="78"/>
      <c r="U272" s="78" t="s">
        <v>371</v>
      </c>
      <c r="V272" s="78"/>
      <c r="W272" s="78"/>
      <c r="X272" s="78"/>
      <c r="Y272" s="78"/>
      <c r="Z272" s="167">
        <f t="shared" ca="1" si="38"/>
        <v>0.75000000000000022</v>
      </c>
      <c r="AA272" s="168">
        <f t="shared" ca="1" si="40"/>
        <v>2.0000000000000009</v>
      </c>
      <c r="AB272" s="167">
        <f t="shared" ca="1" si="39"/>
        <v>0.75000000000000022</v>
      </c>
      <c r="AC272" s="168">
        <f t="shared" ca="1" si="41"/>
        <v>2.0000000000000009</v>
      </c>
      <c r="AD272" s="191">
        <f t="shared" ca="1" si="42"/>
        <v>0</v>
      </c>
      <c r="AE272" s="167">
        <f t="shared" ca="1" si="43"/>
        <v>0.75000000000000022</v>
      </c>
      <c r="AF272" s="168">
        <f t="shared" ca="1" si="44"/>
        <v>2.0000000000000009</v>
      </c>
      <c r="AG272" s="168">
        <f t="shared" ca="1" si="45"/>
        <v>2.0000000000000009</v>
      </c>
      <c r="AH272" s="81" t="str" cm="1">
        <f t="array" aca="1" ref="AH272" ca="1">IF((AD272) &lt; (INDEX(ResponseSLA[#All],(MATCH((G272),ResponseSLA[Priority],0))+1,3)),"YES","No")</f>
        <v>YES</v>
      </c>
      <c r="AI272" s="81" t="str">
        <f ca="1">_xlfn.IFNA(IF(AE272 &lt; (INDEX(SLATable[Minimum SLA],MATCH(G272,SLATable[Priority],0))),"YES","NO"),"")</f>
        <v>NO</v>
      </c>
      <c r="AJ272" s="19" t="str">
        <f ca="1">_xlfn.IFNA(IF(AE272 &lt; (INDEX(SLATable[Maximum SLA],MATCH(G272,SLATable[Priority],0))),"YES","NO"),"")</f>
        <v>NO</v>
      </c>
    </row>
    <row r="273" spans="1:36" ht="15" customHeight="1">
      <c r="A273" s="78">
        <v>272</v>
      </c>
      <c r="B273" s="78" t="s">
        <v>26</v>
      </c>
      <c r="C273" s="78" t="s">
        <v>29</v>
      </c>
      <c r="D273" s="78" t="s">
        <v>208</v>
      </c>
      <c r="E273" s="182" t="s">
        <v>939</v>
      </c>
      <c r="F273" s="182" t="s">
        <v>264</v>
      </c>
      <c r="G273" s="78" t="s">
        <v>208</v>
      </c>
      <c r="H273" s="182" t="s">
        <v>940</v>
      </c>
      <c r="I273" s="78" t="s">
        <v>271</v>
      </c>
      <c r="J273" s="182" t="s">
        <v>374</v>
      </c>
      <c r="K273" s="183">
        <v>46233.289895833332</v>
      </c>
      <c r="L273" s="277">
        <v>46233.289942129632</v>
      </c>
      <c r="M273" s="277">
        <v>46233.290243055555</v>
      </c>
      <c r="N273" s="183">
        <v>46237.320509259262</v>
      </c>
      <c r="O273" s="80"/>
      <c r="P273" s="80"/>
      <c r="Q273" s="78"/>
      <c r="R273" s="78"/>
      <c r="S273" s="78"/>
      <c r="T273" s="78"/>
      <c r="U273" s="78" t="s">
        <v>371</v>
      </c>
      <c r="V273" s="78"/>
      <c r="W273" s="78"/>
      <c r="X273" s="78"/>
      <c r="Y273" s="78"/>
      <c r="Z273" s="167">
        <f t="shared" ca="1" si="38"/>
        <v>0.75000000000000022</v>
      </c>
      <c r="AA273" s="168">
        <f t="shared" ca="1" si="40"/>
        <v>2.0000000000000009</v>
      </c>
      <c r="AB273" s="167">
        <f t="shared" ca="1" si="39"/>
        <v>0.75000000000000022</v>
      </c>
      <c r="AC273" s="168">
        <f t="shared" ca="1" si="41"/>
        <v>2.0000000000000009</v>
      </c>
      <c r="AD273" s="191">
        <f t="shared" ca="1" si="42"/>
        <v>0</v>
      </c>
      <c r="AE273" s="167">
        <f t="shared" ca="1" si="43"/>
        <v>0.75000000000000022</v>
      </c>
      <c r="AF273" s="168">
        <f t="shared" ca="1" si="44"/>
        <v>2.0000000000000009</v>
      </c>
      <c r="AG273" s="168">
        <f t="shared" ca="1" si="45"/>
        <v>2.0000000000000009</v>
      </c>
      <c r="AH273" s="81" t="str" cm="1">
        <f t="array" aca="1" ref="AH273" ca="1">IF((AD273) &lt; (INDEX(ResponseSLA[#All],(MATCH((G273),ResponseSLA[Priority],0))+1,3)),"YES","No")</f>
        <v>YES</v>
      </c>
      <c r="AI273" s="81" t="str">
        <f ca="1">_xlfn.IFNA(IF(AE273 &lt; (INDEX(SLATable[Minimum SLA],MATCH(G273,SLATable[Priority],0))),"YES","NO"),"")</f>
        <v>NO</v>
      </c>
      <c r="AJ273" s="19" t="str">
        <f ca="1">_xlfn.IFNA(IF(AE273 &lt; (INDEX(SLATable[Maximum SLA],MATCH(G273,SLATable[Priority],0))),"YES","NO"),"")</f>
        <v>NO</v>
      </c>
    </row>
    <row r="274" spans="1:36" ht="15" customHeight="1">
      <c r="A274" s="78">
        <v>273</v>
      </c>
      <c r="B274" s="78" t="s">
        <v>26</v>
      </c>
      <c r="C274" s="78" t="s">
        <v>29</v>
      </c>
      <c r="D274" s="78" t="s">
        <v>208</v>
      </c>
      <c r="E274" s="182" t="s">
        <v>941</v>
      </c>
      <c r="F274" s="182" t="s">
        <v>264</v>
      </c>
      <c r="G274" s="78" t="s">
        <v>208</v>
      </c>
      <c r="H274" s="182" t="s">
        <v>942</v>
      </c>
      <c r="I274" s="78" t="s">
        <v>271</v>
      </c>
      <c r="J274" s="182" t="s">
        <v>374</v>
      </c>
      <c r="K274" s="183">
        <v>46233.293032407404</v>
      </c>
      <c r="L274" s="277">
        <v>46233.293067129627</v>
      </c>
      <c r="M274" s="277">
        <v>46233.294768518521</v>
      </c>
      <c r="N274" s="183">
        <v>46237.319918981484</v>
      </c>
      <c r="O274" s="80"/>
      <c r="P274" s="80"/>
      <c r="Q274" s="78"/>
      <c r="R274" s="78"/>
      <c r="S274" s="78"/>
      <c r="T274" s="78"/>
      <c r="U274" s="78" t="s">
        <v>371</v>
      </c>
      <c r="V274" s="78"/>
      <c r="W274" s="78"/>
      <c r="X274" s="78"/>
      <c r="Y274" s="78"/>
      <c r="Z274" s="167">
        <f t="shared" ca="1" si="38"/>
        <v>0.75000000000000022</v>
      </c>
      <c r="AA274" s="168">
        <f t="shared" ca="1" si="40"/>
        <v>2.0000000000000009</v>
      </c>
      <c r="AB274" s="167">
        <f t="shared" ca="1" si="39"/>
        <v>0.75000000000000022</v>
      </c>
      <c r="AC274" s="168">
        <f t="shared" ca="1" si="41"/>
        <v>2.0000000000000009</v>
      </c>
      <c r="AD274" s="191">
        <f t="shared" ca="1" si="42"/>
        <v>0</v>
      </c>
      <c r="AE274" s="167">
        <f t="shared" ca="1" si="43"/>
        <v>0.75000000000000022</v>
      </c>
      <c r="AF274" s="168">
        <f t="shared" ca="1" si="44"/>
        <v>2.0000000000000009</v>
      </c>
      <c r="AG274" s="168">
        <f t="shared" ca="1" si="45"/>
        <v>2.0000000000000009</v>
      </c>
      <c r="AH274" s="81" t="str" cm="1">
        <f t="array" aca="1" ref="AH274" ca="1">IF((AD274) &lt; (INDEX(ResponseSLA[#All],(MATCH((G274),ResponseSLA[Priority],0))+1,3)),"YES","No")</f>
        <v>YES</v>
      </c>
      <c r="AI274" s="81" t="str">
        <f ca="1">_xlfn.IFNA(IF(AE274 &lt; (INDEX(SLATable[Minimum SLA],MATCH(G274,SLATable[Priority],0))),"YES","NO"),"")</f>
        <v>NO</v>
      </c>
      <c r="AJ274" s="19" t="str">
        <f ca="1">_xlfn.IFNA(IF(AE274 &lt; (INDEX(SLATable[Maximum SLA],MATCH(G274,SLATable[Priority],0))),"YES","NO"),"")</f>
        <v>NO</v>
      </c>
    </row>
    <row r="275" spans="1:36" ht="15" customHeight="1">
      <c r="A275" s="78">
        <v>274</v>
      </c>
      <c r="B275" s="78" t="s">
        <v>26</v>
      </c>
      <c r="C275" s="78" t="s">
        <v>29</v>
      </c>
      <c r="D275" s="78" t="s">
        <v>208</v>
      </c>
      <c r="E275" s="182" t="s">
        <v>943</v>
      </c>
      <c r="F275" s="182" t="s">
        <v>264</v>
      </c>
      <c r="G275" s="78" t="s">
        <v>208</v>
      </c>
      <c r="H275" s="182" t="s">
        <v>944</v>
      </c>
      <c r="I275" s="78" t="s">
        <v>271</v>
      </c>
      <c r="J275" s="182" t="s">
        <v>374</v>
      </c>
      <c r="K275" s="183">
        <v>46233.293506944443</v>
      </c>
      <c r="L275" s="277">
        <v>46233.293530092589</v>
      </c>
      <c r="M275" s="277">
        <v>46233.294594907406</v>
      </c>
      <c r="N275" s="183">
        <v>46237.317858796298</v>
      </c>
      <c r="O275" s="80"/>
      <c r="P275" s="80"/>
      <c r="Q275" s="78"/>
      <c r="R275" s="78"/>
      <c r="S275" s="78"/>
      <c r="T275" s="78"/>
      <c r="U275" s="78" t="s">
        <v>371</v>
      </c>
      <c r="V275" s="78"/>
      <c r="W275" s="78"/>
      <c r="X275" s="78"/>
      <c r="Y275" s="78"/>
      <c r="Z275" s="167">
        <f t="shared" ca="1" si="38"/>
        <v>0.75000000000000022</v>
      </c>
      <c r="AA275" s="168">
        <f t="shared" ca="1" si="40"/>
        <v>2.0000000000000009</v>
      </c>
      <c r="AB275" s="167">
        <f t="shared" ca="1" si="39"/>
        <v>0.75000000000000022</v>
      </c>
      <c r="AC275" s="168">
        <f t="shared" ca="1" si="41"/>
        <v>2.0000000000000009</v>
      </c>
      <c r="AD275" s="191">
        <f t="shared" ca="1" si="42"/>
        <v>0</v>
      </c>
      <c r="AE275" s="167">
        <f t="shared" ca="1" si="43"/>
        <v>0.75000000000000022</v>
      </c>
      <c r="AF275" s="168">
        <f t="shared" ca="1" si="44"/>
        <v>2.0000000000000009</v>
      </c>
      <c r="AG275" s="168">
        <f t="shared" ca="1" si="45"/>
        <v>2.0000000000000009</v>
      </c>
      <c r="AH275" s="81" t="str" cm="1">
        <f t="array" aca="1" ref="AH275" ca="1">IF((AD275) &lt; (INDEX(ResponseSLA[#All],(MATCH((G275),ResponseSLA[Priority],0))+1,3)),"YES","No")</f>
        <v>YES</v>
      </c>
      <c r="AI275" s="81" t="str">
        <f ca="1">_xlfn.IFNA(IF(AE275 &lt; (INDEX(SLATable[Minimum SLA],MATCH(G275,SLATable[Priority],0))),"YES","NO"),"")</f>
        <v>NO</v>
      </c>
      <c r="AJ275" s="19" t="str">
        <f ca="1">_xlfn.IFNA(IF(AE275 &lt; (INDEX(SLATable[Maximum SLA],MATCH(G275,SLATable[Priority],0))),"YES","NO"),"")</f>
        <v>NO</v>
      </c>
    </row>
    <row r="276" spans="1:36" ht="15" customHeight="1">
      <c r="A276" s="78">
        <v>275</v>
      </c>
      <c r="B276" s="78" t="s">
        <v>26</v>
      </c>
      <c r="C276" s="78" t="s">
        <v>29</v>
      </c>
      <c r="D276" s="78" t="s">
        <v>208</v>
      </c>
      <c r="E276" s="182" t="s">
        <v>945</v>
      </c>
      <c r="F276" s="182" t="s">
        <v>264</v>
      </c>
      <c r="G276" s="78" t="s">
        <v>208</v>
      </c>
      <c r="H276" s="182" t="s">
        <v>946</v>
      </c>
      <c r="I276" s="78" t="s">
        <v>271</v>
      </c>
      <c r="J276" s="182" t="s">
        <v>374</v>
      </c>
      <c r="K276" s="183">
        <v>46233.29383101852</v>
      </c>
      <c r="L276" s="277">
        <v>46233.293877314813</v>
      </c>
      <c r="M276" s="277">
        <v>46233.294479166667</v>
      </c>
      <c r="N276" s="183">
        <v>46237.317037037035</v>
      </c>
      <c r="O276" s="80"/>
      <c r="P276" s="80"/>
      <c r="Q276" s="78"/>
      <c r="R276" s="78"/>
      <c r="S276" s="78"/>
      <c r="T276" s="78"/>
      <c r="U276" s="78" t="s">
        <v>371</v>
      </c>
      <c r="V276" s="78"/>
      <c r="W276" s="78"/>
      <c r="X276" s="78"/>
      <c r="Y276" s="78"/>
      <c r="Z276" s="167">
        <f t="shared" ca="1" si="38"/>
        <v>0.75000000000000022</v>
      </c>
      <c r="AA276" s="168">
        <f t="shared" ca="1" si="40"/>
        <v>2.0000000000000009</v>
      </c>
      <c r="AB276" s="167">
        <f t="shared" ca="1" si="39"/>
        <v>0.75000000000000022</v>
      </c>
      <c r="AC276" s="168">
        <f t="shared" ca="1" si="41"/>
        <v>2.0000000000000009</v>
      </c>
      <c r="AD276" s="191">
        <f t="shared" ca="1" si="42"/>
        <v>0</v>
      </c>
      <c r="AE276" s="167">
        <f t="shared" ca="1" si="43"/>
        <v>0.75000000000000022</v>
      </c>
      <c r="AF276" s="168">
        <f t="shared" ca="1" si="44"/>
        <v>2.0000000000000009</v>
      </c>
      <c r="AG276" s="168">
        <f t="shared" ca="1" si="45"/>
        <v>2.0000000000000009</v>
      </c>
      <c r="AH276" s="81" t="str" cm="1">
        <f t="array" aca="1" ref="AH276" ca="1">IF((AD276) &lt; (INDEX(ResponseSLA[#All],(MATCH((G276),ResponseSLA[Priority],0))+1,3)),"YES","No")</f>
        <v>YES</v>
      </c>
      <c r="AI276" s="81" t="str">
        <f ca="1">_xlfn.IFNA(IF(AE276 &lt; (INDEX(SLATable[Minimum SLA],MATCH(G276,SLATable[Priority],0))),"YES","NO"),"")</f>
        <v>NO</v>
      </c>
      <c r="AJ276" s="19" t="str">
        <f ca="1">_xlfn.IFNA(IF(AE276 &lt; (INDEX(SLATable[Maximum SLA],MATCH(G276,SLATable[Priority],0))),"YES","NO"),"")</f>
        <v>NO</v>
      </c>
    </row>
    <row r="277" spans="1:36" ht="15" customHeight="1">
      <c r="A277" s="78">
        <v>276</v>
      </c>
      <c r="B277" s="78" t="s">
        <v>26</v>
      </c>
      <c r="C277" s="78" t="s">
        <v>33</v>
      </c>
      <c r="D277" s="78" t="s">
        <v>207</v>
      </c>
      <c r="E277" s="78" t="s">
        <v>947</v>
      </c>
      <c r="F277" s="78" t="s">
        <v>282</v>
      </c>
      <c r="G277" s="78">
        <v>3</v>
      </c>
      <c r="H277" s="86" t="s">
        <v>948</v>
      </c>
      <c r="I277" s="78" t="s">
        <v>271</v>
      </c>
      <c r="J277" s="86" t="s">
        <v>510</v>
      </c>
      <c r="K277" s="277">
        <v>46239.563819444447</v>
      </c>
      <c r="L277" s="277">
        <v>46239.567974537036</v>
      </c>
      <c r="M277" s="277">
        <v>46239.572569444441</v>
      </c>
      <c r="N277" s="277">
        <v>46241.265879629631</v>
      </c>
      <c r="O277" s="80"/>
      <c r="P277" s="80"/>
      <c r="Q277" s="78" t="s">
        <v>507</v>
      </c>
      <c r="R277" s="78" t="s">
        <v>267</v>
      </c>
      <c r="S277" s="78" t="s">
        <v>157</v>
      </c>
      <c r="T277" s="78"/>
      <c r="U277" s="78" t="s">
        <v>371</v>
      </c>
      <c r="V277" s="78"/>
      <c r="W277" s="78"/>
      <c r="X277" s="78"/>
      <c r="Y277" s="78"/>
      <c r="Z277" s="167">
        <f t="shared" ca="1" si="38"/>
        <v>0.51951388888604333</v>
      </c>
      <c r="AA277" s="168">
        <f t="shared" ca="1" si="40"/>
        <v>1.3853703703627822</v>
      </c>
      <c r="AB277" s="167">
        <f t="shared" ca="1" si="39"/>
        <v>0.51535879629712644</v>
      </c>
      <c r="AC277" s="168">
        <f t="shared" ca="1" si="41"/>
        <v>1.3742901234590039</v>
      </c>
      <c r="AD277" s="191">
        <f t="shared" ca="1" si="42"/>
        <v>4.5949074046802707E-3</v>
      </c>
      <c r="AE277" s="167">
        <f t="shared" ca="1" si="43"/>
        <v>0.51535879629712644</v>
      </c>
      <c r="AF277" s="168">
        <f t="shared" ca="1" si="44"/>
        <v>1.3742901234590039</v>
      </c>
      <c r="AG277" s="168">
        <f t="shared" ca="1" si="45"/>
        <v>1.3742901234590039</v>
      </c>
      <c r="AH277" s="81" t="str" cm="1">
        <f t="array" aca="1" ref="AH277" ca="1">IF((AD277) &lt; (INDEX(ResponseSLA[#All],(MATCH((G277),ResponseSLA[Priority],0))+1,3)),"YES","No")</f>
        <v>YES</v>
      </c>
      <c r="AI277" s="81" t="str">
        <f ca="1">_xlfn.IFNA(IF(AE277 &lt; (INDEX(SLATable[Minimum SLA],MATCH(G277,SLATable[Priority],0))),"YES","NO"),"")</f>
        <v>NO</v>
      </c>
      <c r="AJ277" s="19" t="str">
        <f ca="1">_xlfn.IFNA(IF(AE277 &lt; (INDEX(SLATable[Maximum SLA],MATCH(G277,SLATable[Priority],0))),"YES","NO"),"")</f>
        <v>YES</v>
      </c>
    </row>
    <row r="278" spans="1:36" ht="15" customHeight="1">
      <c r="A278" s="78">
        <v>277</v>
      </c>
      <c r="B278" s="78" t="s">
        <v>26</v>
      </c>
      <c r="C278" s="78" t="s">
        <v>33</v>
      </c>
      <c r="D278" s="78" t="s">
        <v>207</v>
      </c>
      <c r="E278" s="78" t="s">
        <v>949</v>
      </c>
      <c r="F278" s="78" t="s">
        <v>282</v>
      </c>
      <c r="G278" s="78">
        <v>3</v>
      </c>
      <c r="H278" s="86" t="s">
        <v>950</v>
      </c>
      <c r="I278" s="78" t="s">
        <v>271</v>
      </c>
      <c r="J278" s="86" t="s">
        <v>510</v>
      </c>
      <c r="K278" s="277">
        <v>46245.552777777775</v>
      </c>
      <c r="L278" s="277">
        <v>46245.55972222222</v>
      </c>
      <c r="M278" s="277">
        <v>46245.56527777778</v>
      </c>
      <c r="N278" s="277">
        <v>46245.570833333331</v>
      </c>
      <c r="O278" s="80"/>
      <c r="P278" s="80"/>
      <c r="Q278" s="78" t="s">
        <v>507</v>
      </c>
      <c r="R278" s="78" t="s">
        <v>267</v>
      </c>
      <c r="S278" s="78" t="s">
        <v>157</v>
      </c>
      <c r="T278" s="78"/>
      <c r="U278" s="78" t="s">
        <v>371</v>
      </c>
      <c r="V278" s="78"/>
      <c r="W278" s="78"/>
      <c r="X278" s="78"/>
      <c r="Y278" s="78"/>
      <c r="Z278" s="167">
        <f t="shared" ca="1" si="38"/>
        <v>1.8055555556202307E-2</v>
      </c>
      <c r="AA278" s="168">
        <f t="shared" ca="1" si="40"/>
        <v>4.8148148149872817E-2</v>
      </c>
      <c r="AB278" s="167">
        <f t="shared" ca="1" si="39"/>
        <v>1.1111111110949423E-2</v>
      </c>
      <c r="AC278" s="168">
        <f t="shared" ca="1" si="41"/>
        <v>2.9629629629198462E-2</v>
      </c>
      <c r="AD278" s="191">
        <f t="shared" ca="1" si="42"/>
        <v>5.5555555591126904E-3</v>
      </c>
      <c r="AE278" s="167">
        <f t="shared" ca="1" si="43"/>
        <v>1.1111111110949423E-2</v>
      </c>
      <c r="AF278" s="168">
        <f t="shared" ca="1" si="44"/>
        <v>2.9629629629198462E-2</v>
      </c>
      <c r="AG278" s="168">
        <f t="shared" ca="1" si="45"/>
        <v>2.9629629629198462E-2</v>
      </c>
      <c r="AH278" s="81" t="str" cm="1">
        <f t="array" aca="1" ref="AH278" ca="1">IF((AD278) &lt; (INDEX(ResponseSLA[#All],(MATCH((G278),ResponseSLA[Priority],0))+1,3)),"YES","No")</f>
        <v>YES</v>
      </c>
      <c r="AI278" s="81" t="str">
        <f ca="1">_xlfn.IFNA(IF(AE278 &lt; (INDEX(SLATable[Minimum SLA],MATCH(G278,SLATable[Priority],0))),"YES","NO"),"")</f>
        <v>YES</v>
      </c>
      <c r="AJ278" s="19" t="str">
        <f ca="1">_xlfn.IFNA(IF(AE278 &lt; (INDEX(SLATable[Maximum SLA],MATCH(G278,SLATable[Priority],0))),"YES","NO"),"")</f>
        <v>YES</v>
      </c>
    </row>
    <row r="279" spans="1:36" ht="15" customHeight="1">
      <c r="A279" s="78">
        <v>278</v>
      </c>
      <c r="B279" s="78" t="s">
        <v>26</v>
      </c>
      <c r="C279" s="78" t="s">
        <v>33</v>
      </c>
      <c r="D279" s="78" t="s">
        <v>207</v>
      </c>
      <c r="E279" s="78" t="s">
        <v>951</v>
      </c>
      <c r="F279" s="78" t="s">
        <v>282</v>
      </c>
      <c r="G279" s="78">
        <v>3</v>
      </c>
      <c r="H279" s="86" t="s">
        <v>952</v>
      </c>
      <c r="I279" s="78" t="s">
        <v>271</v>
      </c>
      <c r="J279" s="86" t="s">
        <v>510</v>
      </c>
      <c r="K279" s="277">
        <v>46247.561747685184</v>
      </c>
      <c r="L279" s="277">
        <v>46248.547337962962</v>
      </c>
      <c r="M279" s="277">
        <v>46248.550300925926</v>
      </c>
      <c r="N279" s="277">
        <v>46248.550300925926</v>
      </c>
      <c r="O279" s="80"/>
      <c r="P279" s="80"/>
      <c r="Q279" s="78" t="s">
        <v>507</v>
      </c>
      <c r="R279" s="78" t="s">
        <v>267</v>
      </c>
      <c r="S279" s="78" t="s">
        <v>157</v>
      </c>
      <c r="T279" s="78"/>
      <c r="U279" s="78" t="s">
        <v>371</v>
      </c>
      <c r="V279" s="78"/>
      <c r="W279" s="78"/>
      <c r="X279" s="78"/>
      <c r="Y279" s="78"/>
      <c r="Z279" s="167">
        <f t="shared" ca="1" si="38"/>
        <v>0.36355324074247619</v>
      </c>
      <c r="AA279" s="168">
        <f t="shared" ca="1" si="40"/>
        <v>0.96947530864660314</v>
      </c>
      <c r="AB279" s="167">
        <f t="shared" ca="1" si="39"/>
        <v>2.9629629643750377E-3</v>
      </c>
      <c r="AC279" s="168">
        <f t="shared" ca="1" si="41"/>
        <v>7.9012345716667678E-3</v>
      </c>
      <c r="AD279" s="191">
        <f t="shared" ca="1" si="42"/>
        <v>2.9629629643750377E-3</v>
      </c>
      <c r="AE279" s="167">
        <f t="shared" ca="1" si="43"/>
        <v>2.9629629643750377E-3</v>
      </c>
      <c r="AF279" s="168">
        <f t="shared" ca="1" si="44"/>
        <v>7.9012345716667678E-3</v>
      </c>
      <c r="AG279" s="168">
        <f t="shared" ca="1" si="45"/>
        <v>7.9012345716667678E-3</v>
      </c>
      <c r="AH279" s="81" t="str" cm="1">
        <f t="array" aca="1" ref="AH279" ca="1">IF((AD279) &lt; (INDEX(ResponseSLA[#All],(MATCH((G279),ResponseSLA[Priority],0))+1,3)),"YES","No")</f>
        <v>YES</v>
      </c>
      <c r="AI279" s="81" t="str">
        <f ca="1">_xlfn.IFNA(IF(AE279 &lt; (INDEX(SLATable[Minimum SLA],MATCH(G279,SLATable[Priority],0))),"YES","NO"),"")</f>
        <v>YES</v>
      </c>
      <c r="AJ279" s="19" t="str">
        <f ca="1">_xlfn.IFNA(IF(AE279 &lt; (INDEX(SLATable[Maximum SLA],MATCH(G279,SLATable[Priority],0))),"YES","NO"),"")</f>
        <v>YES</v>
      </c>
    </row>
    <row r="280" spans="1:36" ht="15" customHeight="1">
      <c r="A280" s="78">
        <v>279</v>
      </c>
      <c r="B280" s="78" t="s">
        <v>26</v>
      </c>
      <c r="C280" s="78" t="s">
        <v>33</v>
      </c>
      <c r="D280" s="78" t="s">
        <v>207</v>
      </c>
      <c r="E280" s="78" t="s">
        <v>953</v>
      </c>
      <c r="F280" s="78" t="s">
        <v>284</v>
      </c>
      <c r="G280" s="78">
        <v>3</v>
      </c>
      <c r="H280" s="86" t="s">
        <v>954</v>
      </c>
      <c r="I280" s="78" t="s">
        <v>271</v>
      </c>
      <c r="J280" s="86" t="s">
        <v>955</v>
      </c>
      <c r="K280" s="277">
        <v>46252.968680555554</v>
      </c>
      <c r="L280" s="277">
        <v>46252.968680555554</v>
      </c>
      <c r="M280" s="277">
        <v>46253.225590277776</v>
      </c>
      <c r="N280" s="277">
        <v>46253.262199074074</v>
      </c>
      <c r="O280" s="80"/>
      <c r="P280" s="80"/>
      <c r="Q280" s="78" t="s">
        <v>523</v>
      </c>
      <c r="R280" s="78" t="s">
        <v>267</v>
      </c>
      <c r="S280" s="78" t="s">
        <v>193</v>
      </c>
      <c r="T280" s="78"/>
      <c r="U280" s="78" t="s">
        <v>371</v>
      </c>
      <c r="V280" s="78"/>
      <c r="W280" s="78"/>
      <c r="X280" s="78"/>
      <c r="Y280" s="78"/>
      <c r="Z280" s="167">
        <f t="shared" ca="1" si="38"/>
        <v>0</v>
      </c>
      <c r="AA280" s="168">
        <f t="shared" ca="1" si="40"/>
        <v>0</v>
      </c>
      <c r="AB280" s="167">
        <f t="shared" ca="1" si="39"/>
        <v>0</v>
      </c>
      <c r="AC280" s="168">
        <f t="shared" ca="1" si="41"/>
        <v>0</v>
      </c>
      <c r="AD280" s="191">
        <f t="shared" ca="1" si="42"/>
        <v>0</v>
      </c>
      <c r="AE280" s="167">
        <f t="shared" ca="1" si="43"/>
        <v>0</v>
      </c>
      <c r="AF280" s="168">
        <f t="shared" ca="1" si="44"/>
        <v>0</v>
      </c>
      <c r="AG280" s="168">
        <f t="shared" ca="1" si="45"/>
        <v>0</v>
      </c>
      <c r="AH280" s="81" t="str" cm="1">
        <f t="array" aca="1" ref="AH280" ca="1">IF((AD280) &lt; (INDEX(ResponseSLA[#All],(MATCH((G280),ResponseSLA[Priority],0))+1,3)),"YES","No")</f>
        <v>YES</v>
      </c>
      <c r="AI280" s="81" t="str">
        <f ca="1">_xlfn.IFNA(IF(AE280 &lt; (INDEX(SLATable[Minimum SLA],MATCH(G280,SLATable[Priority],0))),"YES","NO"),"")</f>
        <v>YES</v>
      </c>
      <c r="AJ280" s="19" t="str">
        <f ca="1">_xlfn.IFNA(IF(AE280 &lt; (INDEX(SLATable[Maximum SLA],MATCH(G280,SLATable[Priority],0))),"YES","NO"),"")</f>
        <v>YES</v>
      </c>
    </row>
    <row r="281" spans="1:36" ht="15" customHeight="1">
      <c r="A281" s="78">
        <v>280</v>
      </c>
      <c r="B281" s="78" t="s">
        <v>26</v>
      </c>
      <c r="C281" s="78" t="s">
        <v>29</v>
      </c>
      <c r="D281" s="78" t="s">
        <v>207</v>
      </c>
      <c r="E281" s="78" t="s">
        <v>956</v>
      </c>
      <c r="F281" s="182" t="s">
        <v>264</v>
      </c>
      <c r="G281" s="78">
        <v>3</v>
      </c>
      <c r="H281" s="86" t="s">
        <v>957</v>
      </c>
      <c r="I281" s="78" t="s">
        <v>271</v>
      </c>
      <c r="J281" s="86" t="s">
        <v>377</v>
      </c>
      <c r="K281" s="277">
        <v>46246.570671296293</v>
      </c>
      <c r="L281" s="277">
        <v>46246.57234953704</v>
      </c>
      <c r="M281" s="277">
        <v>46246.573437500003</v>
      </c>
      <c r="N281" s="277">
        <v>46254.621516203704</v>
      </c>
      <c r="O281" s="80">
        <v>46246.621400462966</v>
      </c>
      <c r="P281" s="80">
        <v>46254.621516203704</v>
      </c>
      <c r="Q281" s="78" t="s">
        <v>399</v>
      </c>
      <c r="R281" s="78" t="s">
        <v>267</v>
      </c>
      <c r="S281" s="78" t="s">
        <v>181</v>
      </c>
      <c r="T281" s="78"/>
      <c r="U281" s="78" t="s">
        <v>371</v>
      </c>
      <c r="V281" s="78"/>
      <c r="W281" s="78"/>
      <c r="X281" s="78"/>
      <c r="Y281" s="78"/>
      <c r="Z281" s="167">
        <f t="shared" ca="1" si="38"/>
        <v>5.0729166672681458E-2</v>
      </c>
      <c r="AA281" s="168">
        <f t="shared" ca="1" si="40"/>
        <v>0.13527777779381722</v>
      </c>
      <c r="AB281" s="167">
        <f t="shared" ca="1" si="39"/>
        <v>4.9050925925257616E-2</v>
      </c>
      <c r="AC281" s="168">
        <f t="shared" ca="1" si="41"/>
        <v>0.1308024691340203</v>
      </c>
      <c r="AD281" s="191">
        <f t="shared" ca="1" si="42"/>
        <v>1.0879629626288079E-3</v>
      </c>
      <c r="AE281" s="167">
        <f t="shared" ca="1" si="43"/>
        <v>4.9050925925257616E-2</v>
      </c>
      <c r="AF281" s="168">
        <f t="shared" ca="1" si="44"/>
        <v>0.1308024691340203</v>
      </c>
      <c r="AG281" s="168">
        <f t="shared" ca="1" si="45"/>
        <v>0.1308024691340203</v>
      </c>
      <c r="AH281" s="81" t="str" cm="1">
        <f t="array" aca="1" ref="AH281" ca="1">IF((AD281) &lt; (INDEX(ResponseSLA[#All],(MATCH((G281),ResponseSLA[Priority],0))+1,3)),"YES","No")</f>
        <v>YES</v>
      </c>
      <c r="AI281" s="81" t="str">
        <f ca="1">_xlfn.IFNA(IF(AE281 &lt; (INDEX(SLATable[Minimum SLA],MATCH(G281,SLATable[Priority],0))),"YES","NO"),"")</f>
        <v>YES</v>
      </c>
      <c r="AJ281" s="19" t="str">
        <f ca="1">_xlfn.IFNA(IF(AE281 &lt; (INDEX(SLATable[Maximum SLA],MATCH(G281,SLATable[Priority],0))),"YES","NO"),"")</f>
        <v>YES</v>
      </c>
    </row>
    <row r="282" spans="1:36" ht="15" customHeight="1">
      <c r="A282" s="78">
        <v>281</v>
      </c>
      <c r="B282" s="78" t="s">
        <v>26</v>
      </c>
      <c r="C282" s="78" t="s">
        <v>29</v>
      </c>
      <c r="D282" s="78" t="s">
        <v>207</v>
      </c>
      <c r="E282" s="78" t="s">
        <v>958</v>
      </c>
      <c r="F282" s="182" t="s">
        <v>264</v>
      </c>
      <c r="G282" s="78">
        <v>4</v>
      </c>
      <c r="H282" s="86" t="s">
        <v>959</v>
      </c>
      <c r="I282" s="78" t="s">
        <v>271</v>
      </c>
      <c r="J282" s="86" t="s">
        <v>510</v>
      </c>
      <c r="K282" s="277">
        <v>46244.375879629632</v>
      </c>
      <c r="L282" s="277">
        <v>46244.37740740741</v>
      </c>
      <c r="M282" s="277">
        <v>46244.386597222219</v>
      </c>
      <c r="N282" s="277">
        <v>46244.539895833332</v>
      </c>
      <c r="O282" s="80"/>
      <c r="P282" s="80"/>
      <c r="Q282" s="78" t="s">
        <v>370</v>
      </c>
      <c r="R282" s="78" t="s">
        <v>267</v>
      </c>
      <c r="S282" s="78" t="s">
        <v>181</v>
      </c>
      <c r="T282" s="78"/>
      <c r="U282" s="78" t="s">
        <v>371</v>
      </c>
      <c r="V282" s="78"/>
      <c r="W282" s="78"/>
      <c r="X282" s="78"/>
      <c r="Y282" s="78"/>
      <c r="Z282" s="167">
        <f t="shared" ca="1" si="38"/>
        <v>0.16401620370015735</v>
      </c>
      <c r="AA282" s="168">
        <f t="shared" ca="1" si="40"/>
        <v>0.43737654320041958</v>
      </c>
      <c r="AB282" s="167">
        <f t="shared" ca="1" si="39"/>
        <v>0.16248842592176516</v>
      </c>
      <c r="AC282" s="168">
        <f t="shared" ca="1" si="41"/>
        <v>0.4333024691247071</v>
      </c>
      <c r="AD282" s="191">
        <f t="shared" ca="1" si="42"/>
        <v>9.1898148093605414E-3</v>
      </c>
      <c r="AE282" s="167">
        <f t="shared" ca="1" si="43"/>
        <v>0.16248842592176516</v>
      </c>
      <c r="AF282" s="168">
        <f t="shared" ca="1" si="44"/>
        <v>0.4333024691247071</v>
      </c>
      <c r="AG282" s="168">
        <f t="shared" ca="1" si="45"/>
        <v>0.4333024691247071</v>
      </c>
      <c r="AH282" s="81" t="str" cm="1">
        <f t="array" aca="1" ref="AH282" ca="1">IF((AD282) &lt; (INDEX(ResponseSLA[#All],(MATCH((G282),ResponseSLA[Priority],0))+1,3)),"YES","No")</f>
        <v>YES</v>
      </c>
      <c r="AI282" s="81" t="str">
        <f ca="1">_xlfn.IFNA(IF(AE282 &lt; (INDEX(SLATable[Minimum SLA],MATCH(G282,SLATable[Priority],0))),"YES","NO"),"")</f>
        <v>YES</v>
      </c>
      <c r="AJ282" s="19" t="str">
        <f ca="1">_xlfn.IFNA(IF(AE282 &lt; (INDEX(SLATable[Maximum SLA],MATCH(G282,SLATable[Priority],0))),"YES","NO"),"")</f>
        <v>YES</v>
      </c>
    </row>
    <row r="283" spans="1:36" ht="15" customHeight="1">
      <c r="A283" s="78">
        <v>282</v>
      </c>
      <c r="B283" s="78" t="s">
        <v>26</v>
      </c>
      <c r="C283" s="78" t="s">
        <v>29</v>
      </c>
      <c r="D283" s="78" t="s">
        <v>207</v>
      </c>
      <c r="E283" s="78" t="s">
        <v>960</v>
      </c>
      <c r="F283" s="182" t="s">
        <v>264</v>
      </c>
      <c r="G283" s="78">
        <v>4</v>
      </c>
      <c r="H283" s="86" t="s">
        <v>961</v>
      </c>
      <c r="I283" s="78" t="s">
        <v>271</v>
      </c>
      <c r="J283" s="86" t="s">
        <v>377</v>
      </c>
      <c r="K283" s="277">
        <v>46238.68109953704</v>
      </c>
      <c r="L283" s="277">
        <v>46238.682638888888</v>
      </c>
      <c r="M283" s="277">
        <v>46238.691736111112</v>
      </c>
      <c r="N283" s="277">
        <v>46244.509525462963</v>
      </c>
      <c r="O283" s="80"/>
      <c r="P283" s="80"/>
      <c r="Q283" s="78" t="s">
        <v>370</v>
      </c>
      <c r="R283" s="78" t="s">
        <v>267</v>
      </c>
      <c r="S283" s="78" t="s">
        <v>175</v>
      </c>
      <c r="T283" s="78"/>
      <c r="U283" s="78" t="s">
        <v>371</v>
      </c>
      <c r="V283" s="78"/>
      <c r="W283" s="78"/>
      <c r="X283" s="78"/>
      <c r="Y283" s="78"/>
      <c r="Z283" s="167">
        <f t="shared" ca="1" si="38"/>
        <v>1.3284259259235114</v>
      </c>
      <c r="AA283" s="168">
        <f t="shared" ca="1" si="40"/>
        <v>3.5424691357960305</v>
      </c>
      <c r="AB283" s="167">
        <f t="shared" ca="1" si="39"/>
        <v>1.3268865740756155</v>
      </c>
      <c r="AC283" s="168">
        <f t="shared" ca="1" si="41"/>
        <v>3.5383641975349747</v>
      </c>
      <c r="AD283" s="191">
        <f t="shared" ca="1" si="42"/>
        <v>9.0972222242271528E-3</v>
      </c>
      <c r="AE283" s="167">
        <f t="shared" ca="1" si="43"/>
        <v>1.3268865740756155</v>
      </c>
      <c r="AF283" s="168">
        <f t="shared" ca="1" si="44"/>
        <v>3.5383641975349747</v>
      </c>
      <c r="AG283" s="168">
        <f t="shared" ca="1" si="45"/>
        <v>3.5383641975349747</v>
      </c>
      <c r="AH283" s="81" t="str" cm="1">
        <f t="array" aca="1" ref="AH283" ca="1">IF((AD283) &lt; (INDEX(ResponseSLA[#All],(MATCH((G283),ResponseSLA[Priority],0))+1,3)),"YES","No")</f>
        <v>YES</v>
      </c>
      <c r="AI283" s="81" t="str">
        <f ca="1">_xlfn.IFNA(IF(AE283 &lt; (INDEX(SLATable[Minimum SLA],MATCH(G283,SLATable[Priority],0))),"YES","NO"),"")</f>
        <v>YES</v>
      </c>
      <c r="AJ283" s="19" t="str">
        <f ca="1">_xlfn.IFNA(IF(AE283 &lt; (INDEX(SLATable[Maximum SLA],MATCH(G283,SLATable[Priority],0))),"YES","NO"),"")</f>
        <v>YES</v>
      </c>
    </row>
    <row r="284" spans="1:36" ht="15" customHeight="1">
      <c r="A284" s="78">
        <v>283</v>
      </c>
      <c r="B284" s="78" t="s">
        <v>26</v>
      </c>
      <c r="C284" s="78" t="s">
        <v>29</v>
      </c>
      <c r="D284" s="78" t="s">
        <v>207</v>
      </c>
      <c r="E284" s="78" t="s">
        <v>962</v>
      </c>
      <c r="F284" s="182" t="s">
        <v>264</v>
      </c>
      <c r="G284" s="78">
        <v>4</v>
      </c>
      <c r="H284" s="86" t="s">
        <v>963</v>
      </c>
      <c r="I284" s="78" t="s">
        <v>271</v>
      </c>
      <c r="J284" s="86" t="s">
        <v>374</v>
      </c>
      <c r="K284" s="277">
        <v>46238.538252314815</v>
      </c>
      <c r="L284" s="277">
        <v>46238.541331018518</v>
      </c>
      <c r="M284" s="277">
        <v>46238.547164351854</v>
      </c>
      <c r="N284" s="277">
        <v>46238.607118055559</v>
      </c>
      <c r="O284" s="80"/>
      <c r="P284" s="80"/>
      <c r="Q284" s="78" t="s">
        <v>370</v>
      </c>
      <c r="R284" s="78" t="s">
        <v>267</v>
      </c>
      <c r="S284" s="78" t="s">
        <v>181</v>
      </c>
      <c r="T284" s="78"/>
      <c r="U284" s="78" t="s">
        <v>371</v>
      </c>
      <c r="V284" s="78"/>
      <c r="W284" s="78"/>
      <c r="X284" s="78"/>
      <c r="Y284" s="78"/>
      <c r="Z284" s="167">
        <f t="shared" ca="1" si="38"/>
        <v>6.886574074451346E-2</v>
      </c>
      <c r="AA284" s="168">
        <f t="shared" ca="1" si="40"/>
        <v>0.18364197531870255</v>
      </c>
      <c r="AB284" s="167">
        <f t="shared" ca="1" si="39"/>
        <v>6.5787037041445728E-2</v>
      </c>
      <c r="AC284" s="168">
        <f t="shared" ca="1" si="41"/>
        <v>0.1754320987771886</v>
      </c>
      <c r="AD284" s="191">
        <f t="shared" ca="1" si="42"/>
        <v>5.8333333363407291E-3</v>
      </c>
      <c r="AE284" s="167">
        <f t="shared" ca="1" si="43"/>
        <v>6.5787037041445728E-2</v>
      </c>
      <c r="AF284" s="168">
        <f t="shared" ca="1" si="44"/>
        <v>0.1754320987771886</v>
      </c>
      <c r="AG284" s="168">
        <f t="shared" ca="1" si="45"/>
        <v>0.1754320987771886</v>
      </c>
      <c r="AH284" s="81" t="str" cm="1">
        <f t="array" aca="1" ref="AH284" ca="1">IF((AD284) &lt; (INDEX(ResponseSLA[#All],(MATCH((G284),ResponseSLA[Priority],0))+1,3)),"YES","No")</f>
        <v>YES</v>
      </c>
      <c r="AI284" s="81" t="str">
        <f ca="1">_xlfn.IFNA(IF(AE284 &lt; (INDEX(SLATable[Minimum SLA],MATCH(G284,SLATable[Priority],0))),"YES","NO"),"")</f>
        <v>YES</v>
      </c>
      <c r="AJ284" s="19" t="str">
        <f ca="1">_xlfn.IFNA(IF(AE284 &lt; (INDEX(SLATable[Maximum SLA],MATCH(G284,SLATable[Priority],0))),"YES","NO"),"")</f>
        <v>YES</v>
      </c>
    </row>
    <row r="285" spans="1:36" ht="15" customHeight="1">
      <c r="A285" s="78">
        <v>284</v>
      </c>
      <c r="B285" s="78" t="s">
        <v>26</v>
      </c>
      <c r="C285" s="78" t="s">
        <v>29</v>
      </c>
      <c r="D285" s="78" t="s">
        <v>207</v>
      </c>
      <c r="E285" s="78" t="s">
        <v>964</v>
      </c>
      <c r="F285" s="182" t="s">
        <v>264</v>
      </c>
      <c r="G285" s="78">
        <v>4</v>
      </c>
      <c r="H285" s="86" t="s">
        <v>965</v>
      </c>
      <c r="I285" s="78" t="s">
        <v>271</v>
      </c>
      <c r="J285" s="86" t="s">
        <v>377</v>
      </c>
      <c r="K285" s="277">
        <v>46238.328101851854</v>
      </c>
      <c r="L285" s="277">
        <v>46238.328530092593</v>
      </c>
      <c r="M285" s="277">
        <v>46238.335023148145</v>
      </c>
      <c r="N285" s="277">
        <v>46246.491863425923</v>
      </c>
      <c r="O285" s="80">
        <v>46238.491759259261</v>
      </c>
      <c r="P285" s="80">
        <v>46246.491863425923</v>
      </c>
      <c r="Q285" s="78" t="s">
        <v>399</v>
      </c>
      <c r="R285" s="78" t="s">
        <v>267</v>
      </c>
      <c r="S285" s="78" t="s">
        <v>181</v>
      </c>
      <c r="T285" s="78"/>
      <c r="U285" s="78" t="s">
        <v>371</v>
      </c>
      <c r="V285" s="78"/>
      <c r="W285" s="78"/>
      <c r="X285" s="78"/>
      <c r="Y285" s="78"/>
      <c r="Z285" s="167">
        <f t="shared" ca="1" si="38"/>
        <v>0.15842592592768279</v>
      </c>
      <c r="AA285" s="168">
        <f t="shared" ca="1" si="40"/>
        <v>0.42246913580715412</v>
      </c>
      <c r="AB285" s="167">
        <f t="shared" ca="1" si="39"/>
        <v>0.15842592592768279</v>
      </c>
      <c r="AC285" s="168">
        <f t="shared" ca="1" si="41"/>
        <v>0.42246913580715412</v>
      </c>
      <c r="AD285" s="191">
        <f t="shared" ca="1" si="42"/>
        <v>1.6898148120769174E-3</v>
      </c>
      <c r="AE285" s="167">
        <f t="shared" ca="1" si="43"/>
        <v>0.15842592592768279</v>
      </c>
      <c r="AF285" s="168">
        <f t="shared" ca="1" si="44"/>
        <v>0.42246913580715412</v>
      </c>
      <c r="AG285" s="168">
        <f t="shared" ca="1" si="45"/>
        <v>0.42246913580715412</v>
      </c>
      <c r="AH285" s="81" t="str" cm="1">
        <f t="array" aca="1" ref="AH285" ca="1">IF((AD285) &lt; (INDEX(ResponseSLA[#All],(MATCH((G285),ResponseSLA[Priority],0))+1,3)),"YES","No")</f>
        <v>YES</v>
      </c>
      <c r="AI285" s="81" t="str">
        <f ca="1">_xlfn.IFNA(IF(AE285 &lt; (INDEX(SLATable[Minimum SLA],MATCH(G285,SLATable[Priority],0))),"YES","NO"),"")</f>
        <v>YES</v>
      </c>
      <c r="AJ285" s="19" t="str">
        <f ca="1">_xlfn.IFNA(IF(AE285 &lt; (INDEX(SLATable[Maximum SLA],MATCH(G285,SLATable[Priority],0))),"YES","NO"),"")</f>
        <v>YES</v>
      </c>
    </row>
    <row r="286" spans="1:36" ht="15" customHeight="1">
      <c r="A286" s="78">
        <v>285</v>
      </c>
      <c r="B286" s="78" t="s">
        <v>26</v>
      </c>
      <c r="C286" s="78" t="s">
        <v>29</v>
      </c>
      <c r="D286" s="78" t="s">
        <v>207</v>
      </c>
      <c r="E286" s="78" t="s">
        <v>966</v>
      </c>
      <c r="F286" s="182" t="s">
        <v>264</v>
      </c>
      <c r="G286" s="78">
        <v>4</v>
      </c>
      <c r="H286" s="86" t="s">
        <v>967</v>
      </c>
      <c r="I286" s="78" t="s">
        <v>271</v>
      </c>
      <c r="J286" s="86" t="s">
        <v>377</v>
      </c>
      <c r="K286" s="277">
        <v>46237.679560185185</v>
      </c>
      <c r="L286" s="277">
        <v>46237.6796412037</v>
      </c>
      <c r="M286" s="277">
        <v>46238.261319444442</v>
      </c>
      <c r="N286" s="277">
        <v>46246.445949074077</v>
      </c>
      <c r="O286" s="80">
        <v>46240.234803240739</v>
      </c>
      <c r="P286" s="80">
        <v>46246.445949074077</v>
      </c>
      <c r="Q286" s="78" t="s">
        <v>370</v>
      </c>
      <c r="R286" s="78" t="s">
        <v>267</v>
      </c>
      <c r="S286" s="78" t="s">
        <v>175</v>
      </c>
      <c r="T286" s="78"/>
      <c r="U286" s="78" t="s">
        <v>371</v>
      </c>
      <c r="V286" s="78"/>
      <c r="W286" s="78"/>
      <c r="X286" s="78"/>
      <c r="Y286" s="78"/>
      <c r="Z286" s="167">
        <f t="shared" ca="1" si="38"/>
        <v>0.77877314814880583</v>
      </c>
      <c r="AA286" s="168">
        <f t="shared" ca="1" si="40"/>
        <v>2.0767283950634821</v>
      </c>
      <c r="AB286" s="167">
        <f t="shared" ca="1" si="39"/>
        <v>0.77869212963317613</v>
      </c>
      <c r="AC286" s="168">
        <f t="shared" ca="1" si="41"/>
        <v>2.0765123456884695</v>
      </c>
      <c r="AD286" s="191">
        <f t="shared" ca="1" si="42"/>
        <v>2.8692129633176022E-2</v>
      </c>
      <c r="AE286" s="167">
        <f t="shared" ca="1" si="43"/>
        <v>0.77869212963317613</v>
      </c>
      <c r="AF286" s="168">
        <f t="shared" ca="1" si="44"/>
        <v>2.0765123456884695</v>
      </c>
      <c r="AG286" s="168">
        <f t="shared" ca="1" si="45"/>
        <v>2.0765123456884695</v>
      </c>
      <c r="AH286" s="81" t="str" cm="1">
        <f t="array" aca="1" ref="AH286" ca="1">IF((AD286) &lt; (INDEX(ResponseSLA[#All],(MATCH((G286),ResponseSLA[Priority],0))+1,3)),"YES","No")</f>
        <v>YES</v>
      </c>
      <c r="AI286" s="81" t="str">
        <f ca="1">_xlfn.IFNA(IF(AE286 &lt; (INDEX(SLATable[Minimum SLA],MATCH(G286,SLATable[Priority],0))),"YES","NO"),"")</f>
        <v>YES</v>
      </c>
      <c r="AJ286" s="19" t="str">
        <f ca="1">_xlfn.IFNA(IF(AE286 &lt; (INDEX(SLATable[Maximum SLA],MATCH(G286,SLATable[Priority],0))),"YES","NO"),"")</f>
        <v>YES</v>
      </c>
    </row>
    <row r="287" spans="1:36" ht="15" customHeight="1">
      <c r="A287" s="78">
        <v>286</v>
      </c>
      <c r="B287" s="78" t="s">
        <v>26</v>
      </c>
      <c r="C287" s="78" t="s">
        <v>29</v>
      </c>
      <c r="D287" s="78" t="s">
        <v>207</v>
      </c>
      <c r="E287" s="206" t="s">
        <v>968</v>
      </c>
      <c r="F287" s="182" t="s">
        <v>264</v>
      </c>
      <c r="G287" s="78">
        <v>4</v>
      </c>
      <c r="H287" s="86" t="s">
        <v>969</v>
      </c>
      <c r="I287" s="78" t="s">
        <v>271</v>
      </c>
      <c r="J287" s="86" t="s">
        <v>377</v>
      </c>
      <c r="K287" s="277">
        <v>46237.501435185186</v>
      </c>
      <c r="L287" s="277">
        <v>46237.526469907411</v>
      </c>
      <c r="M287" s="277">
        <v>46237.530462962961</v>
      </c>
      <c r="N287" s="277">
        <v>46241.682210648149</v>
      </c>
      <c r="O287" s="80"/>
      <c r="P287" s="80"/>
      <c r="Q287" s="78" t="s">
        <v>370</v>
      </c>
      <c r="R287" s="78" t="s">
        <v>267</v>
      </c>
      <c r="S287" s="78" t="s">
        <v>175</v>
      </c>
      <c r="T287" s="78"/>
      <c r="U287" s="78" t="s">
        <v>371</v>
      </c>
      <c r="V287" s="78"/>
      <c r="W287" s="78"/>
      <c r="X287" s="78"/>
      <c r="Y287" s="78"/>
      <c r="Z287" s="167">
        <f t="shared" ca="1" si="38"/>
        <v>1.6807754629626288</v>
      </c>
      <c r="AA287" s="168">
        <f t="shared" ca="1" si="40"/>
        <v>4.4820679012336768</v>
      </c>
      <c r="AB287" s="167">
        <f t="shared" ca="1" si="39"/>
        <v>1.6557407407381106</v>
      </c>
      <c r="AC287" s="168">
        <f t="shared" ca="1" si="41"/>
        <v>4.415308641968295</v>
      </c>
      <c r="AD287" s="191">
        <f t="shared" ca="1" si="42"/>
        <v>3.9930555503815413E-3</v>
      </c>
      <c r="AE287" s="167">
        <f t="shared" ca="1" si="43"/>
        <v>1.6557407407381106</v>
      </c>
      <c r="AF287" s="168">
        <f t="shared" ca="1" si="44"/>
        <v>4.415308641968295</v>
      </c>
      <c r="AG287" s="168">
        <f t="shared" ca="1" si="45"/>
        <v>4.415308641968295</v>
      </c>
      <c r="AH287" s="81" t="str" cm="1">
        <f t="array" aca="1" ref="AH287" ca="1">IF((AD287) &lt; (INDEX(ResponseSLA[#All],(MATCH((G287),ResponseSLA[Priority],0))+1,3)),"YES","No")</f>
        <v>YES</v>
      </c>
      <c r="AI287" s="81" t="str">
        <f ca="1">_xlfn.IFNA(IF(AE287 &lt; (INDEX(SLATable[Minimum SLA],MATCH(G287,SLATable[Priority],0))),"YES","NO"),"")</f>
        <v>YES</v>
      </c>
      <c r="AJ287" s="19" t="str">
        <f ca="1">_xlfn.IFNA(IF(AE287 &lt; (INDEX(SLATable[Maximum SLA],MATCH(G287,SLATable[Priority],0))),"YES","NO"),"")</f>
        <v>YES</v>
      </c>
    </row>
    <row r="288" spans="1:36" ht="15" customHeight="1">
      <c r="A288" s="78">
        <v>287</v>
      </c>
      <c r="B288" s="78" t="s">
        <v>26</v>
      </c>
      <c r="C288" s="78" t="s">
        <v>29</v>
      </c>
      <c r="D288" s="78" t="s">
        <v>207</v>
      </c>
      <c r="E288" s="78" t="s">
        <v>970</v>
      </c>
      <c r="F288" s="78" t="s">
        <v>264</v>
      </c>
      <c r="G288" s="78">
        <v>4</v>
      </c>
      <c r="H288" s="86" t="s">
        <v>971</v>
      </c>
      <c r="I288" s="78" t="s">
        <v>271</v>
      </c>
      <c r="J288" s="86" t="s">
        <v>377</v>
      </c>
      <c r="K288" s="277">
        <v>46253.485254629632</v>
      </c>
      <c r="L288" s="277">
        <v>46253.487361111111</v>
      </c>
      <c r="M288" s="277">
        <v>46253.494085648148</v>
      </c>
      <c r="N288" s="277">
        <v>46253.577291666668</v>
      </c>
      <c r="O288" s="80"/>
      <c r="P288" s="80"/>
      <c r="Q288" s="78" t="s">
        <v>370</v>
      </c>
      <c r="R288" s="78" t="s">
        <v>267</v>
      </c>
      <c r="S288" s="78" t="s">
        <v>181</v>
      </c>
      <c r="T288" s="78"/>
      <c r="U288" s="78"/>
      <c r="V288" s="78"/>
      <c r="W288" s="78"/>
      <c r="X288" s="78"/>
      <c r="Y288" s="78"/>
      <c r="Z288" s="167">
        <f t="shared" ca="1" si="38"/>
        <v>9.2037037036789116E-2</v>
      </c>
      <c r="AA288" s="168">
        <f t="shared" ca="1" si="40"/>
        <v>0.24543209876477098</v>
      </c>
      <c r="AB288" s="167">
        <f t="shared" ca="1" si="39"/>
        <v>8.9930555557657499E-2</v>
      </c>
      <c r="AC288" s="168">
        <f t="shared" ca="1" si="41"/>
        <v>0.23981481482042</v>
      </c>
      <c r="AD288" s="191">
        <f t="shared" ca="1" si="42"/>
        <v>6.7245370373711921E-3</v>
      </c>
      <c r="AE288" s="167">
        <f t="shared" ca="1" si="43"/>
        <v>8.9930555557657499E-2</v>
      </c>
      <c r="AF288" s="168">
        <f t="shared" ca="1" si="44"/>
        <v>0.23981481482042</v>
      </c>
      <c r="AG288" s="168">
        <f t="shared" ca="1" si="45"/>
        <v>0.23981481482042</v>
      </c>
      <c r="AH288" s="81" t="str" cm="1">
        <f t="array" aca="1" ref="AH288" ca="1">IF((AD288) &lt; (INDEX(ResponseSLA[#All],(MATCH((G288),ResponseSLA[Priority],0))+1,3)),"YES","No")</f>
        <v>YES</v>
      </c>
      <c r="AI288" s="81" t="str">
        <f ca="1">_xlfn.IFNA(IF(AE288 &lt; (INDEX(SLATable[Minimum SLA],MATCH(G288,SLATable[Priority],0))),"YES","NO"),"")</f>
        <v>YES</v>
      </c>
      <c r="AJ288" s="19" t="str">
        <f ca="1">_xlfn.IFNA(IF(AE288 &lt; (INDEX(SLATable[Maximum SLA],MATCH(G288,SLATable[Priority],0))),"YES","NO"),"")</f>
        <v>YES</v>
      </c>
    </row>
    <row r="289" spans="1:36" ht="15" customHeight="1">
      <c r="A289" s="78">
        <v>288</v>
      </c>
      <c r="B289" s="78" t="s">
        <v>26</v>
      </c>
      <c r="C289" s="78" t="s">
        <v>29</v>
      </c>
      <c r="D289" s="78" t="s">
        <v>207</v>
      </c>
      <c r="E289" s="78" t="s">
        <v>972</v>
      </c>
      <c r="F289" s="78" t="s">
        <v>264</v>
      </c>
      <c r="G289" s="78">
        <v>4</v>
      </c>
      <c r="H289" s="99" t="s">
        <v>973</v>
      </c>
      <c r="I289" s="78" t="s">
        <v>266</v>
      </c>
      <c r="J289" s="86" t="s">
        <v>510</v>
      </c>
      <c r="K289" s="277">
        <v>46255.372696759259</v>
      </c>
      <c r="L289" s="277">
        <v>46255.375949074078</v>
      </c>
      <c r="M289" s="277">
        <v>46255.395879629628</v>
      </c>
      <c r="N289" s="277"/>
      <c r="O289" s="80"/>
      <c r="P289" s="80"/>
      <c r="Q289" s="78" t="s">
        <v>370</v>
      </c>
      <c r="R289" s="78"/>
      <c r="S289" s="78"/>
      <c r="T289" s="78"/>
      <c r="U289" s="78"/>
      <c r="V289" s="78"/>
      <c r="W289" s="78"/>
      <c r="X289" s="78"/>
      <c r="Y289" s="78"/>
      <c r="Z289" s="167">
        <f t="shared" ca="1" si="38"/>
        <v>1.0112803240772337</v>
      </c>
      <c r="AA289" s="168">
        <f t="shared" ca="1" si="40"/>
        <v>2.696747530872623</v>
      </c>
      <c r="AB289" s="167">
        <f t="shared" ca="1" si="39"/>
        <v>1.0080280092588509</v>
      </c>
      <c r="AC289" s="168">
        <f t="shared" ca="1" si="41"/>
        <v>2.688074691356936</v>
      </c>
      <c r="AD289" s="191">
        <f t="shared" ca="1" si="42"/>
        <v>1.993055555067258E-2</v>
      </c>
      <c r="AE289" s="167">
        <f t="shared" ca="1" si="43"/>
        <v>1.0080280092588509</v>
      </c>
      <c r="AF289" s="168">
        <f t="shared" ca="1" si="44"/>
        <v>2.688074691356936</v>
      </c>
      <c r="AG289" s="168">
        <f t="shared" ca="1" si="45"/>
        <v>2.688074691356936</v>
      </c>
      <c r="AH289" s="81" t="str" cm="1">
        <f t="array" aca="1" ref="AH289" ca="1">IF((AD289) &lt; (INDEX(ResponseSLA[#All],(MATCH((G289),ResponseSLA[Priority],0))+1,3)),"YES","No")</f>
        <v>YES</v>
      </c>
      <c r="AI289" s="81" t="str">
        <f ca="1">_xlfn.IFNA(IF(AE289 &lt; (INDEX(SLATable[Minimum SLA],MATCH(G289,SLATable[Priority],0))),"YES","NO"),"")</f>
        <v>YES</v>
      </c>
      <c r="AJ289" s="19" t="str">
        <f ca="1">_xlfn.IFNA(IF(AE289 &lt; (INDEX(SLATable[Maximum SLA],MATCH(G289,SLATable[Priority],0))),"YES","NO"),"")</f>
        <v>YES</v>
      </c>
    </row>
    <row r="290" spans="1:36" ht="15" customHeight="1">
      <c r="A290" s="78">
        <v>289</v>
      </c>
      <c r="B290" s="78" t="s">
        <v>26</v>
      </c>
      <c r="C290" s="78" t="s">
        <v>33</v>
      </c>
      <c r="D290" s="78" t="s">
        <v>207</v>
      </c>
      <c r="E290" s="78" t="s">
        <v>974</v>
      </c>
      <c r="F290" s="78" t="s">
        <v>274</v>
      </c>
      <c r="G290" s="78">
        <v>3</v>
      </c>
      <c r="H290" s="141" t="s">
        <v>975</v>
      </c>
      <c r="I290" s="78" t="s">
        <v>275</v>
      </c>
      <c r="J290" s="86" t="s">
        <v>474</v>
      </c>
      <c r="K290" s="269">
        <v>46238.258819444447</v>
      </c>
      <c r="L290" s="269">
        <v>46238.362708333334</v>
      </c>
      <c r="M290" s="269">
        <v>46238.414861111109</v>
      </c>
      <c r="N290" s="269">
        <v>46238.665868055556</v>
      </c>
      <c r="O290" s="80"/>
      <c r="P290" s="80"/>
      <c r="Q290" s="78"/>
      <c r="R290" s="78" t="s">
        <v>267</v>
      </c>
      <c r="S290" s="78" t="s">
        <v>201</v>
      </c>
      <c r="T290" s="78"/>
      <c r="U290" s="78" t="s">
        <v>371</v>
      </c>
      <c r="V290" s="78"/>
      <c r="W290" s="78"/>
      <c r="X290" s="78"/>
      <c r="Y290" s="78"/>
      <c r="Z290" s="167">
        <f t="shared" ca="1" si="38"/>
        <v>0.33253472222228692</v>
      </c>
      <c r="AA290" s="168">
        <f t="shared" ca="1" si="40"/>
        <v>0.88675925925943178</v>
      </c>
      <c r="AB290" s="167">
        <f t="shared" ca="1" si="39"/>
        <v>0.30315972222160781</v>
      </c>
      <c r="AC290" s="168">
        <f t="shared" ca="1" si="41"/>
        <v>0.80842592592428753</v>
      </c>
      <c r="AD290" s="191">
        <f t="shared" ca="1" si="42"/>
        <v>5.2152777774608694E-2</v>
      </c>
      <c r="AE290" s="167">
        <f t="shared" ca="1" si="43"/>
        <v>0.30315972222160781</v>
      </c>
      <c r="AF290" s="168">
        <f t="shared" ca="1" si="44"/>
        <v>0.80842592592428753</v>
      </c>
      <c r="AG290" s="168">
        <f t="shared" ca="1" si="45"/>
        <v>0.80842592592428753</v>
      </c>
      <c r="AH290" s="81" t="str" cm="1">
        <f t="array" aca="1" ref="AH290" ca="1">IF((AD290) &lt; (INDEX(ResponseSLA[#All],(MATCH((G290),ResponseSLA[Priority],0))+1,3)),"YES","No")</f>
        <v>YES</v>
      </c>
      <c r="AI290" s="81" t="str">
        <f ca="1">_xlfn.IFNA(IF(AE290 &lt; (INDEX(SLATable[Minimum SLA],MATCH(G290,SLATable[Priority],0))),"YES","NO"),"")</f>
        <v>YES</v>
      </c>
      <c r="AJ290" s="19" t="str">
        <f ca="1">_xlfn.IFNA(IF(AE290 &lt; (INDEX(SLATable[Maximum SLA],MATCH(G290,SLATable[Priority],0))),"YES","NO"),"")</f>
        <v>YES</v>
      </c>
    </row>
    <row r="291" spans="1:36" ht="15" customHeight="1">
      <c r="A291" s="78">
        <v>290</v>
      </c>
      <c r="B291" s="78" t="s">
        <v>26</v>
      </c>
      <c r="C291" s="78" t="s">
        <v>33</v>
      </c>
      <c r="D291" s="78" t="s">
        <v>207</v>
      </c>
      <c r="E291" s="78" t="s">
        <v>976</v>
      </c>
      <c r="F291" s="78" t="s">
        <v>274</v>
      </c>
      <c r="G291" s="78">
        <v>4</v>
      </c>
      <c r="H291" s="141" t="s">
        <v>977</v>
      </c>
      <c r="I291" s="78" t="s">
        <v>271</v>
      </c>
      <c r="J291" s="86" t="s">
        <v>592</v>
      </c>
      <c r="K291" s="269">
        <v>46245.18546296296</v>
      </c>
      <c r="L291" s="269">
        <v>46245.665416666663</v>
      </c>
      <c r="M291" s="269">
        <v>46245.667523148149</v>
      </c>
      <c r="N291" s="269">
        <v>46245.723356481481</v>
      </c>
      <c r="O291" s="80"/>
      <c r="P291" s="80"/>
      <c r="Q291" s="78"/>
      <c r="R291" s="78" t="s">
        <v>267</v>
      </c>
      <c r="S291" s="78" t="s">
        <v>193</v>
      </c>
      <c r="T291" s="78"/>
      <c r="U291" s="78" t="s">
        <v>371</v>
      </c>
      <c r="V291" s="78"/>
      <c r="W291" s="78"/>
      <c r="X291" s="78"/>
      <c r="Y291" s="78"/>
      <c r="Z291" s="167">
        <f t="shared" ca="1" si="38"/>
        <v>0.37500000000000006</v>
      </c>
      <c r="AA291" s="168">
        <f t="shared" ca="1" si="40"/>
        <v>1.0000000000000002</v>
      </c>
      <c r="AB291" s="167">
        <f t="shared" ca="1" si="39"/>
        <v>4.2916666670256176E-2</v>
      </c>
      <c r="AC291" s="168">
        <f t="shared" ca="1" si="41"/>
        <v>0.11444444445401647</v>
      </c>
      <c r="AD291" s="191">
        <f t="shared" ca="1" si="42"/>
        <v>2.1064814864075743E-3</v>
      </c>
      <c r="AE291" s="167">
        <f t="shared" ca="1" si="43"/>
        <v>4.2916666670256176E-2</v>
      </c>
      <c r="AF291" s="168">
        <f t="shared" ca="1" si="44"/>
        <v>0.11444444445401647</v>
      </c>
      <c r="AG291" s="168">
        <f t="shared" ca="1" si="45"/>
        <v>0.11444444445401647</v>
      </c>
      <c r="AH291" s="81" t="str" cm="1">
        <f t="array" aca="1" ref="AH291" ca="1">IF((AD291) &lt; (INDEX(ResponseSLA[#All],(MATCH((G291),ResponseSLA[Priority],0))+1,3)),"YES","No")</f>
        <v>YES</v>
      </c>
      <c r="AI291" s="81" t="str">
        <f ca="1">_xlfn.IFNA(IF(AE291 &lt; (INDEX(SLATable[Minimum SLA],MATCH(G291,SLATable[Priority],0))),"YES","NO"),"")</f>
        <v>YES</v>
      </c>
      <c r="AJ291" s="19" t="str">
        <f ca="1">_xlfn.IFNA(IF(AE291 &lt; (INDEX(SLATable[Maximum SLA],MATCH(G291,SLATable[Priority],0))),"YES","NO"),"")</f>
        <v>YES</v>
      </c>
    </row>
    <row r="292" spans="1:36" ht="15" customHeight="1">
      <c r="A292" s="78">
        <v>291</v>
      </c>
      <c r="B292" s="78" t="s">
        <v>26</v>
      </c>
      <c r="C292" s="78" t="s">
        <v>33</v>
      </c>
      <c r="D292" s="78" t="s">
        <v>207</v>
      </c>
      <c r="E292" s="78" t="s">
        <v>978</v>
      </c>
      <c r="F292" s="78" t="s">
        <v>274</v>
      </c>
      <c r="G292" s="78">
        <v>4</v>
      </c>
      <c r="H292" s="141" t="s">
        <v>979</v>
      </c>
      <c r="I292" s="78" t="s">
        <v>275</v>
      </c>
      <c r="J292" s="86" t="s">
        <v>592</v>
      </c>
      <c r="K292" s="269">
        <v>46245.765706018516</v>
      </c>
      <c r="L292" s="269">
        <v>46245.769560185188</v>
      </c>
      <c r="M292" s="269">
        <v>46245.777361111112</v>
      </c>
      <c r="N292" s="269">
        <v>46245.777881944443</v>
      </c>
      <c r="O292" s="80"/>
      <c r="P292" s="80"/>
      <c r="Q292" s="78"/>
      <c r="R292" s="78" t="s">
        <v>267</v>
      </c>
      <c r="S292" s="78" t="s">
        <v>201</v>
      </c>
      <c r="T292" s="78"/>
      <c r="U292" s="78" t="s">
        <v>371</v>
      </c>
      <c r="V292" s="78"/>
      <c r="W292" s="78"/>
      <c r="X292" s="78"/>
      <c r="Y292" s="78"/>
      <c r="Z292" s="167">
        <f t="shared" ca="1" si="38"/>
        <v>0</v>
      </c>
      <c r="AA292" s="168">
        <f t="shared" ca="1" si="40"/>
        <v>0</v>
      </c>
      <c r="AB292" s="167">
        <f t="shared" ca="1" si="39"/>
        <v>0</v>
      </c>
      <c r="AC292" s="168">
        <f t="shared" ca="1" si="41"/>
        <v>0</v>
      </c>
      <c r="AD292" s="191">
        <f t="shared" ca="1" si="42"/>
        <v>0</v>
      </c>
      <c r="AE292" s="167">
        <f t="shared" ca="1" si="43"/>
        <v>0</v>
      </c>
      <c r="AF292" s="168">
        <f t="shared" ca="1" si="44"/>
        <v>0</v>
      </c>
      <c r="AG292" s="168">
        <f t="shared" ca="1" si="45"/>
        <v>0</v>
      </c>
      <c r="AH292" s="81" t="str" cm="1">
        <f t="array" aca="1" ref="AH292" ca="1">IF((AD292) &lt; (INDEX(ResponseSLA[#All],(MATCH((G292),ResponseSLA[Priority],0))+1,3)),"YES","No")</f>
        <v>YES</v>
      </c>
      <c r="AI292" s="81" t="str">
        <f ca="1">_xlfn.IFNA(IF(AE292 &lt; (INDEX(SLATable[Minimum SLA],MATCH(G292,SLATable[Priority],0))),"YES","NO"),"")</f>
        <v>YES</v>
      </c>
      <c r="AJ292" s="19" t="str">
        <f ca="1">_xlfn.IFNA(IF(AE292 &lt; (INDEX(SLATable[Maximum SLA],MATCH(G292,SLATable[Priority],0))),"YES","NO"),"")</f>
        <v>YES</v>
      </c>
    </row>
    <row r="293" spans="1:36" ht="15" customHeight="1">
      <c r="A293" s="78">
        <v>292</v>
      </c>
      <c r="B293" s="78" t="s">
        <v>26</v>
      </c>
      <c r="C293" s="78" t="s">
        <v>33</v>
      </c>
      <c r="D293" s="78" t="s">
        <v>207</v>
      </c>
      <c r="E293" s="78" t="s">
        <v>980</v>
      </c>
      <c r="F293" s="78" t="s">
        <v>274</v>
      </c>
      <c r="G293" s="78">
        <v>4</v>
      </c>
      <c r="H293" s="141" t="s">
        <v>981</v>
      </c>
      <c r="I293" s="78" t="s">
        <v>271</v>
      </c>
      <c r="J293" s="86" t="s">
        <v>467</v>
      </c>
      <c r="K293" s="269">
        <v>46254.295763888891</v>
      </c>
      <c r="L293" s="269">
        <v>46254.709710648145</v>
      </c>
      <c r="M293" s="269">
        <v>46254.728460648148</v>
      </c>
      <c r="N293" s="269">
        <v>46254.736215277779</v>
      </c>
      <c r="O293" s="80"/>
      <c r="P293" s="80"/>
      <c r="Q293" s="78"/>
      <c r="R293" s="78" t="s">
        <v>267</v>
      </c>
      <c r="S293" s="78" t="s">
        <v>193</v>
      </c>
      <c r="T293" s="78"/>
      <c r="U293" s="78" t="s">
        <v>371</v>
      </c>
      <c r="V293" s="78"/>
      <c r="W293" s="78"/>
      <c r="X293" s="78"/>
      <c r="Y293" s="78"/>
      <c r="Z293" s="167">
        <f t="shared" ca="1" si="38"/>
        <v>0.37500000000000006</v>
      </c>
      <c r="AA293" s="168">
        <f t="shared" ca="1" si="40"/>
        <v>1.0000000000000002</v>
      </c>
      <c r="AB293" s="167">
        <f t="shared" ca="1" si="39"/>
        <v>0</v>
      </c>
      <c r="AC293" s="168">
        <f t="shared" ca="1" si="41"/>
        <v>0</v>
      </c>
      <c r="AD293" s="191">
        <f t="shared" ca="1" si="42"/>
        <v>0</v>
      </c>
      <c r="AE293" s="167">
        <f t="shared" ca="1" si="43"/>
        <v>0</v>
      </c>
      <c r="AF293" s="168">
        <f t="shared" ca="1" si="44"/>
        <v>0</v>
      </c>
      <c r="AG293" s="168">
        <f t="shared" ca="1" si="45"/>
        <v>0</v>
      </c>
      <c r="AH293" s="81" t="str" cm="1">
        <f t="array" aca="1" ref="AH293" ca="1">IF((AD293) &lt; (INDEX(ResponseSLA[#All],(MATCH((G293),ResponseSLA[Priority],0))+1,3)),"YES","No")</f>
        <v>YES</v>
      </c>
      <c r="AI293" s="81" t="str">
        <f ca="1">_xlfn.IFNA(IF(AE293 &lt; (INDEX(SLATable[Minimum SLA],MATCH(G293,SLATable[Priority],0))),"YES","NO"),"")</f>
        <v>YES</v>
      </c>
      <c r="AJ293" s="19" t="str">
        <f ca="1">_xlfn.IFNA(IF(AE293 &lt; (INDEX(SLATable[Maximum SLA],MATCH(G293,SLATable[Priority],0))),"YES","NO"),"")</f>
        <v>YES</v>
      </c>
    </row>
    <row r="294" spans="1:36" ht="15" customHeight="1">
      <c r="A294" s="78">
        <v>293</v>
      </c>
      <c r="B294" s="78" t="s">
        <v>26</v>
      </c>
      <c r="C294" s="78" t="s">
        <v>33</v>
      </c>
      <c r="D294" s="78" t="s">
        <v>207</v>
      </c>
      <c r="E294" s="78" t="s">
        <v>982</v>
      </c>
      <c r="F294" s="78" t="s">
        <v>274</v>
      </c>
      <c r="G294" s="78">
        <v>4</v>
      </c>
      <c r="H294" s="141" t="s">
        <v>983</v>
      </c>
      <c r="I294" s="78" t="s">
        <v>271</v>
      </c>
      <c r="J294" s="86" t="s">
        <v>467</v>
      </c>
      <c r="K294" s="269">
        <v>46254.698055555556</v>
      </c>
      <c r="L294" s="269">
        <v>46254.890370370369</v>
      </c>
      <c r="M294" s="269">
        <v>46255.413148148145</v>
      </c>
      <c r="N294" s="269">
        <v>46255.497754629629</v>
      </c>
      <c r="O294" s="80"/>
      <c r="P294" s="80"/>
      <c r="Q294" s="78"/>
      <c r="R294" s="78" t="s">
        <v>267</v>
      </c>
      <c r="S294" s="78" t="s">
        <v>193</v>
      </c>
      <c r="T294" s="78"/>
      <c r="U294" s="78" t="s">
        <v>371</v>
      </c>
      <c r="V294" s="78"/>
      <c r="W294" s="78"/>
      <c r="X294" s="78"/>
      <c r="Y294" s="78"/>
      <c r="Z294" s="167">
        <f t="shared" ca="1" si="38"/>
        <v>0.17469907407212304</v>
      </c>
      <c r="AA294" s="168">
        <f t="shared" ca="1" si="40"/>
        <v>0.46586419752566144</v>
      </c>
      <c r="AB294" s="167">
        <f t="shared" ca="1" si="39"/>
        <v>0.16442129629528301</v>
      </c>
      <c r="AC294" s="168">
        <f t="shared" ca="1" si="41"/>
        <v>0.43845679012075472</v>
      </c>
      <c r="AD294" s="191">
        <f t="shared" ca="1" si="42"/>
        <v>7.9814814812076917E-2</v>
      </c>
      <c r="AE294" s="167">
        <f t="shared" ca="1" si="43"/>
        <v>0.16442129629528301</v>
      </c>
      <c r="AF294" s="168">
        <f t="shared" ca="1" si="44"/>
        <v>0.43845679012075472</v>
      </c>
      <c r="AG294" s="168">
        <f t="shared" ca="1" si="45"/>
        <v>0.43845679012075472</v>
      </c>
      <c r="AH294" s="81" t="str" cm="1">
        <f t="array" aca="1" ref="AH294" ca="1">IF((AD294) &lt; (INDEX(ResponseSLA[#All],(MATCH((G294),ResponseSLA[Priority],0))+1,3)),"YES","No")</f>
        <v>YES</v>
      </c>
      <c r="AI294" s="81" t="str">
        <f ca="1">_xlfn.IFNA(IF(AE294 &lt; (INDEX(SLATable[Minimum SLA],MATCH(G294,SLATable[Priority],0))),"YES","NO"),"")</f>
        <v>YES</v>
      </c>
      <c r="AJ294" s="19" t="str">
        <f ca="1">_xlfn.IFNA(IF(AE294 &lt; (INDEX(SLATable[Maximum SLA],MATCH(G294,SLATable[Priority],0))),"YES","NO"),"")</f>
        <v>YES</v>
      </c>
    </row>
    <row r="295" spans="1:36" ht="15" customHeight="1">
      <c r="A295" s="78">
        <v>294</v>
      </c>
      <c r="B295" s="78" t="s">
        <v>26</v>
      </c>
      <c r="C295" s="78" t="s">
        <v>33</v>
      </c>
      <c r="D295" s="78" t="s">
        <v>207</v>
      </c>
      <c r="E295" s="78" t="s">
        <v>984</v>
      </c>
      <c r="F295" s="78" t="s">
        <v>274</v>
      </c>
      <c r="G295" s="78">
        <v>3</v>
      </c>
      <c r="H295" s="141" t="s">
        <v>985</v>
      </c>
      <c r="I295" s="78" t="s">
        <v>275</v>
      </c>
      <c r="J295" s="86" t="s">
        <v>592</v>
      </c>
      <c r="K295" s="269">
        <v>46255.355405092596</v>
      </c>
      <c r="L295" s="269">
        <v>46255.371701388889</v>
      </c>
      <c r="M295" s="269">
        <v>46255.442314814813</v>
      </c>
      <c r="N295" s="269">
        <v>46255.522175925929</v>
      </c>
      <c r="O295" s="80"/>
      <c r="P295" s="80"/>
      <c r="Q295" s="78"/>
      <c r="R295" s="78" t="s">
        <v>267</v>
      </c>
      <c r="S295" s="78" t="s">
        <v>201</v>
      </c>
      <c r="T295" s="78"/>
      <c r="U295" s="78" t="s">
        <v>371</v>
      </c>
      <c r="V295" s="78"/>
      <c r="W295" s="78"/>
      <c r="X295" s="78"/>
      <c r="Y295" s="78"/>
      <c r="Z295" s="167">
        <f t="shared" ca="1" si="38"/>
        <v>0.16677083333343035</v>
      </c>
      <c r="AA295" s="168">
        <f t="shared" ca="1" si="40"/>
        <v>0.44472222222248092</v>
      </c>
      <c r="AB295" s="167">
        <f t="shared" ca="1" si="39"/>
        <v>0.15047453704028158</v>
      </c>
      <c r="AC295" s="168">
        <f t="shared" ca="1" si="41"/>
        <v>0.40126543210741755</v>
      </c>
      <c r="AD295" s="191">
        <f t="shared" ca="1" si="42"/>
        <v>7.0613425923511386E-2</v>
      </c>
      <c r="AE295" s="167">
        <f t="shared" ca="1" si="43"/>
        <v>0.15047453704028158</v>
      </c>
      <c r="AF295" s="168">
        <f t="shared" ca="1" si="44"/>
        <v>0.40126543210741755</v>
      </c>
      <c r="AG295" s="168">
        <f t="shared" ca="1" si="45"/>
        <v>0.40126543210741755</v>
      </c>
      <c r="AH295" s="81" t="str" cm="1">
        <f t="array" aca="1" ref="AH295" ca="1">IF((AD295) &lt; (INDEX(ResponseSLA[#All],(MATCH((G295),ResponseSLA[Priority],0))+1,3)),"YES","No")</f>
        <v>YES</v>
      </c>
      <c r="AI295" s="81" t="str">
        <f ca="1">_xlfn.IFNA(IF(AE295 &lt; (INDEX(SLATable[Minimum SLA],MATCH(G295,SLATable[Priority],0))),"YES","NO"),"")</f>
        <v>YES</v>
      </c>
      <c r="AJ295" s="19" t="str">
        <f ca="1">_xlfn.IFNA(IF(AE295 &lt; (INDEX(SLATable[Maximum SLA],MATCH(G295,SLATable[Priority],0))),"YES","NO"),"")</f>
        <v>YES</v>
      </c>
    </row>
    <row r="296" spans="1:36" ht="15" customHeight="1">
      <c r="A296" s="78">
        <v>295</v>
      </c>
      <c r="B296" s="78" t="s">
        <v>26</v>
      </c>
      <c r="C296" s="78" t="s">
        <v>33</v>
      </c>
      <c r="D296" s="78" t="s">
        <v>207</v>
      </c>
      <c r="E296" s="78" t="s">
        <v>986</v>
      </c>
      <c r="F296" s="78" t="s">
        <v>274</v>
      </c>
      <c r="G296" s="78">
        <v>4</v>
      </c>
      <c r="H296" s="141" t="s">
        <v>987</v>
      </c>
      <c r="I296" s="78" t="s">
        <v>275</v>
      </c>
      <c r="J296" s="86" t="s">
        <v>467</v>
      </c>
      <c r="K296" s="269">
        <v>46255.688842592594</v>
      </c>
      <c r="L296" s="269">
        <v>46255.68886574074</v>
      </c>
      <c r="M296" s="269">
        <v>46255.712372685186</v>
      </c>
      <c r="N296" s="269">
        <v>46255.716192129628</v>
      </c>
      <c r="O296" s="80"/>
      <c r="P296" s="80"/>
      <c r="Q296" s="78"/>
      <c r="R296" s="78" t="s">
        <v>267</v>
      </c>
      <c r="S296" s="78" t="s">
        <v>201</v>
      </c>
      <c r="T296" s="78"/>
      <c r="U296" s="78" t="s">
        <v>371</v>
      </c>
      <c r="V296" s="78"/>
      <c r="W296" s="78"/>
      <c r="X296" s="78"/>
      <c r="Y296" s="78"/>
      <c r="Z296" s="167">
        <f t="shared" ca="1" si="38"/>
        <v>1.9490740739759871E-2</v>
      </c>
      <c r="AA296" s="168">
        <f t="shared" ca="1" si="40"/>
        <v>5.1975308639359653E-2</v>
      </c>
      <c r="AB296" s="167">
        <f t="shared" ca="1" si="39"/>
        <v>1.9467592593476524E-2</v>
      </c>
      <c r="AC296" s="168">
        <f t="shared" ca="1" si="41"/>
        <v>5.191358024927073E-2</v>
      </c>
      <c r="AD296" s="191">
        <f t="shared" ca="1" si="42"/>
        <v>1.9467592593476524E-2</v>
      </c>
      <c r="AE296" s="167">
        <f t="shared" ca="1" si="43"/>
        <v>1.9467592593476524E-2</v>
      </c>
      <c r="AF296" s="168">
        <f t="shared" ca="1" si="44"/>
        <v>5.191358024927073E-2</v>
      </c>
      <c r="AG296" s="168">
        <f t="shared" ca="1" si="45"/>
        <v>5.191358024927073E-2</v>
      </c>
      <c r="AH296" s="81" t="str" cm="1">
        <f t="array" aca="1" ref="AH296" ca="1">IF((AD296) &lt; (INDEX(ResponseSLA[#All],(MATCH((G296),ResponseSLA[Priority],0))+1,3)),"YES","No")</f>
        <v>YES</v>
      </c>
      <c r="AI296" s="81" t="str">
        <f ca="1">_xlfn.IFNA(IF(AE296 &lt; (INDEX(SLATable[Minimum SLA],MATCH(G296,SLATable[Priority],0))),"YES","NO"),"")</f>
        <v>YES</v>
      </c>
      <c r="AJ296" s="19" t="str">
        <f ca="1">_xlfn.IFNA(IF(AE296 &lt; (INDEX(SLATable[Maximum SLA],MATCH(G296,SLATable[Priority],0))),"YES","NO"),"")</f>
        <v>YES</v>
      </c>
    </row>
    <row r="297" spans="1:36" ht="15" customHeight="1">
      <c r="A297" s="78">
        <v>296</v>
      </c>
      <c r="B297" s="78" t="s">
        <v>26</v>
      </c>
      <c r="C297" s="78" t="s">
        <v>33</v>
      </c>
      <c r="D297" s="78" t="s">
        <v>207</v>
      </c>
      <c r="E297" s="78" t="s">
        <v>988</v>
      </c>
      <c r="F297" s="78" t="s">
        <v>274</v>
      </c>
      <c r="G297" s="78">
        <v>4</v>
      </c>
      <c r="H297" s="141" t="s">
        <v>480</v>
      </c>
      <c r="I297" s="78" t="s">
        <v>271</v>
      </c>
      <c r="J297" s="86" t="s">
        <v>467</v>
      </c>
      <c r="K297" s="269">
        <v>46257.710659722223</v>
      </c>
      <c r="L297" s="269">
        <v>46258.508171296293</v>
      </c>
      <c r="M297" s="269">
        <v>46258.509432870371</v>
      </c>
      <c r="N297" s="269">
        <v>46258.610312500001</v>
      </c>
      <c r="O297" s="80"/>
      <c r="P297" s="80"/>
      <c r="Q297" s="78"/>
      <c r="R297" s="78" t="s">
        <v>267</v>
      </c>
      <c r="S297" s="78" t="s">
        <v>193</v>
      </c>
      <c r="T297" s="78"/>
      <c r="U297" s="78" t="s">
        <v>371</v>
      </c>
      <c r="V297" s="78"/>
      <c r="W297" s="78"/>
      <c r="X297" s="78"/>
      <c r="Y297" s="78"/>
      <c r="Z297" s="167">
        <f t="shared" ca="1" si="38"/>
        <v>0.2769791666675398</v>
      </c>
      <c r="AA297" s="168">
        <f t="shared" ca="1" si="40"/>
        <v>0.73861111111343947</v>
      </c>
      <c r="AB297" s="167">
        <f t="shared" ca="1" si="39"/>
        <v>0.10214120370801538</v>
      </c>
      <c r="AC297" s="168">
        <f t="shared" ca="1" si="41"/>
        <v>0.27237654322137433</v>
      </c>
      <c r="AD297" s="191">
        <f t="shared" ca="1" si="42"/>
        <v>1.2615740779438056E-3</v>
      </c>
      <c r="AE297" s="167">
        <f t="shared" ca="1" si="43"/>
        <v>0.10214120370801538</v>
      </c>
      <c r="AF297" s="168">
        <f t="shared" ca="1" si="44"/>
        <v>0.27237654322137433</v>
      </c>
      <c r="AG297" s="168">
        <f t="shared" ca="1" si="45"/>
        <v>0.27237654322137433</v>
      </c>
      <c r="AH297" s="81" t="str" cm="1">
        <f t="array" aca="1" ref="AH297" ca="1">IF((AD297) &lt; (INDEX(ResponseSLA[#All],(MATCH((G297),ResponseSLA[Priority],0))+1,3)),"YES","No")</f>
        <v>YES</v>
      </c>
      <c r="AI297" s="81" t="str">
        <f ca="1">_xlfn.IFNA(IF(AE297 &lt; (INDEX(SLATable[Minimum SLA],MATCH(G297,SLATable[Priority],0))),"YES","NO"),"")</f>
        <v>YES</v>
      </c>
      <c r="AJ297" s="19" t="str">
        <f ca="1">_xlfn.IFNA(IF(AE297 &lt; (INDEX(SLATable[Maximum SLA],MATCH(G297,SLATable[Priority],0))),"YES","NO"),"")</f>
        <v>YES</v>
      </c>
    </row>
    <row r="298" spans="1:36" ht="15" customHeight="1">
      <c r="A298" s="78">
        <v>297</v>
      </c>
      <c r="B298" s="78" t="s">
        <v>26</v>
      </c>
      <c r="C298" s="78" t="s">
        <v>29</v>
      </c>
      <c r="D298" s="78" t="s">
        <v>208</v>
      </c>
      <c r="E298" s="78" t="s">
        <v>989</v>
      </c>
      <c r="F298" s="78" t="s">
        <v>264</v>
      </c>
      <c r="G298" s="78" t="s">
        <v>208</v>
      </c>
      <c r="H298" s="86" t="s">
        <v>990</v>
      </c>
      <c r="I298" s="78" t="s">
        <v>266</v>
      </c>
      <c r="J298" s="86" t="s">
        <v>377</v>
      </c>
      <c r="K298" s="277">
        <v>46238.585798611108</v>
      </c>
      <c r="L298" s="277">
        <v>46251.393379629626</v>
      </c>
      <c r="M298" s="277">
        <v>46251.416446759256</v>
      </c>
      <c r="N298" s="277"/>
      <c r="O298" s="80"/>
      <c r="P298" s="80"/>
      <c r="Q298" s="78" t="s">
        <v>399</v>
      </c>
      <c r="R298" s="78"/>
      <c r="S298" s="78"/>
      <c r="T298" s="78"/>
      <c r="U298" s="78"/>
      <c r="V298" s="78"/>
      <c r="W298" s="78"/>
      <c r="X298" s="78"/>
      <c r="Y298" s="78"/>
      <c r="Z298" s="167">
        <f t="shared" ca="1" si="38"/>
        <v>5.6731784722287566</v>
      </c>
      <c r="AA298" s="168">
        <f t="shared" ca="1" si="40"/>
        <v>15.128475925943352</v>
      </c>
      <c r="AB298" s="167">
        <f t="shared" ca="1" si="39"/>
        <v>2.4905974537105071</v>
      </c>
      <c r="AC298" s="168">
        <f t="shared" ca="1" si="41"/>
        <v>6.6415932098946859</v>
      </c>
      <c r="AD298" s="191">
        <f t="shared" ca="1" si="42"/>
        <v>2.3067129630362615E-2</v>
      </c>
      <c r="AE298" s="167">
        <f t="shared" ca="1" si="43"/>
        <v>2.4905974537105071</v>
      </c>
      <c r="AF298" s="168">
        <f t="shared" ca="1" si="44"/>
        <v>6.6415932098946859</v>
      </c>
      <c r="AG298" s="168">
        <f t="shared" ca="1" si="45"/>
        <v>6.6415932098946859</v>
      </c>
      <c r="AH298" s="81" t="str" cm="1">
        <f t="array" aca="1" ref="AH298" ca="1">IF((AD298) &lt; (INDEX(ResponseSLA[#All],(MATCH((G298),ResponseSLA[Priority],0))+1,3)),"YES","No")</f>
        <v>YES</v>
      </c>
      <c r="AI298" s="81" t="str">
        <f ca="1">_xlfn.IFNA(IF(AE298 &lt; (INDEX(SLATable[Minimum SLA],MATCH(G298,SLATable[Priority],0))),"YES","NO"),"")</f>
        <v>NO</v>
      </c>
      <c r="AJ298" s="19" t="str">
        <f ca="1">_xlfn.IFNA(IF(AE298 &lt; (INDEX(SLATable[Maximum SLA],MATCH(G298,SLATable[Priority],0))),"YES","NO"),"")</f>
        <v>NO</v>
      </c>
    </row>
    <row r="299" spans="1:36" ht="15" customHeight="1">
      <c r="A299" s="78">
        <v>298</v>
      </c>
      <c r="B299" s="78" t="s">
        <v>26</v>
      </c>
      <c r="C299" s="78" t="s">
        <v>29</v>
      </c>
      <c r="D299" s="78" t="s">
        <v>208</v>
      </c>
      <c r="E299" s="78" t="s">
        <v>991</v>
      </c>
      <c r="F299" s="78" t="s">
        <v>264</v>
      </c>
      <c r="G299" s="78" t="s">
        <v>208</v>
      </c>
      <c r="H299" s="86" t="s">
        <v>992</v>
      </c>
      <c r="I299" s="78" t="s">
        <v>271</v>
      </c>
      <c r="J299" s="86" t="s">
        <v>377</v>
      </c>
      <c r="K299" s="277">
        <v>46238.620706018519</v>
      </c>
      <c r="L299" s="277">
        <v>46238.622719907406</v>
      </c>
      <c r="M299" s="277">
        <v>46238.628310185188</v>
      </c>
      <c r="N299" s="277">
        <v>46254.485023148147</v>
      </c>
      <c r="O299" s="80">
        <v>46239.49759259259</v>
      </c>
      <c r="P299" s="80">
        <v>46254.485023148147</v>
      </c>
      <c r="Q299" s="78" t="s">
        <v>370</v>
      </c>
      <c r="R299" s="78" t="s">
        <v>267</v>
      </c>
      <c r="S299" s="78" t="s">
        <v>175</v>
      </c>
      <c r="T299" s="78"/>
      <c r="U299" s="78"/>
      <c r="V299" s="78"/>
      <c r="W299" s="78"/>
      <c r="X299" s="78"/>
      <c r="Y299" s="78"/>
      <c r="Z299" s="167">
        <f t="shared" ca="1" si="38"/>
        <v>0.25188657407124992</v>
      </c>
      <c r="AA299" s="168">
        <f t="shared" ca="1" si="40"/>
        <v>0.6716975308566665</v>
      </c>
      <c r="AB299" s="167">
        <f t="shared" ca="1" si="39"/>
        <v>0.24987268518452765</v>
      </c>
      <c r="AC299" s="168">
        <f t="shared" ca="1" si="41"/>
        <v>0.66632716049207374</v>
      </c>
      <c r="AD299" s="191">
        <f t="shared" ca="1" si="42"/>
        <v>5.5902777821756899E-3</v>
      </c>
      <c r="AE299" s="167">
        <f t="shared" ca="1" si="43"/>
        <v>0.24987268518452765</v>
      </c>
      <c r="AF299" s="168">
        <f t="shared" ca="1" si="44"/>
        <v>0.66632716049207374</v>
      </c>
      <c r="AG299" s="168">
        <f t="shared" ca="1" si="45"/>
        <v>0.66632716049207374</v>
      </c>
      <c r="AH299" s="81" t="str" cm="1">
        <f t="array" aca="1" ref="AH299" ca="1">IF((AD299) &lt; (INDEX(ResponseSLA[#All],(MATCH((G299),ResponseSLA[Priority],0))+1,3)),"YES","No")</f>
        <v>YES</v>
      </c>
      <c r="AI299" s="81" t="str">
        <f ca="1">_xlfn.IFNA(IF(AE299 &lt; (INDEX(SLATable[Minimum SLA],MATCH(G299,SLATable[Priority],0))),"YES","NO"),"")</f>
        <v>YES</v>
      </c>
      <c r="AJ299" s="19" t="str">
        <f ca="1">_xlfn.IFNA(IF(AE299 &lt; (INDEX(SLATable[Maximum SLA],MATCH(G299,SLATable[Priority],0))),"YES","NO"),"")</f>
        <v>YES</v>
      </c>
    </row>
    <row r="300" spans="1:36" ht="15" customHeight="1">
      <c r="A300" s="78">
        <v>299</v>
      </c>
      <c r="B300" s="78" t="s">
        <v>26</v>
      </c>
      <c r="C300" s="78" t="s">
        <v>29</v>
      </c>
      <c r="D300" s="78" t="s">
        <v>208</v>
      </c>
      <c r="E300" s="78" t="s">
        <v>993</v>
      </c>
      <c r="F300" s="78" t="s">
        <v>264</v>
      </c>
      <c r="G300" s="78" t="s">
        <v>208</v>
      </c>
      <c r="H300" s="86" t="s">
        <v>994</v>
      </c>
      <c r="I300" s="78" t="s">
        <v>271</v>
      </c>
      <c r="J300" s="86" t="s">
        <v>510</v>
      </c>
      <c r="K300" s="277">
        <v>46240.018495370372</v>
      </c>
      <c r="L300" s="277">
        <v>46240.380497685182</v>
      </c>
      <c r="M300" s="277">
        <v>46240.383564814816</v>
      </c>
      <c r="N300" s="277">
        <v>46252.495138888888</v>
      </c>
      <c r="O300" s="80">
        <v>46247.400092592594</v>
      </c>
      <c r="P300" s="80">
        <v>46251.442314814813</v>
      </c>
      <c r="Q300" s="78" t="s">
        <v>370</v>
      </c>
      <c r="R300" s="78" t="s">
        <v>267</v>
      </c>
      <c r="S300" s="78" t="s">
        <v>175</v>
      </c>
      <c r="T300" s="78"/>
      <c r="U300" s="78"/>
      <c r="V300" s="78"/>
      <c r="W300" s="78"/>
      <c r="X300" s="78"/>
      <c r="Y300" s="78"/>
      <c r="Z300" s="167">
        <f t="shared" ca="1" si="38"/>
        <v>2.3695833333355649</v>
      </c>
      <c r="AA300" s="168">
        <f t="shared" ca="1" si="40"/>
        <v>6.3188888888948398</v>
      </c>
      <c r="AB300" s="167">
        <f t="shared" ca="1" si="39"/>
        <v>2.322418981486408</v>
      </c>
      <c r="AC300" s="168">
        <f t="shared" ca="1" si="41"/>
        <v>6.1931172839637547</v>
      </c>
      <c r="AD300" s="191">
        <f t="shared" ca="1" si="42"/>
        <v>3.0671296335640363E-3</v>
      </c>
      <c r="AE300" s="167">
        <f t="shared" ca="1" si="43"/>
        <v>2.322418981486408</v>
      </c>
      <c r="AF300" s="168">
        <f t="shared" ca="1" si="44"/>
        <v>6.1931172839637547</v>
      </c>
      <c r="AG300" s="168">
        <f t="shared" ca="1" si="45"/>
        <v>6.1931172839637547</v>
      </c>
      <c r="AH300" s="81" t="str" cm="1">
        <f t="array" aca="1" ref="AH300" ca="1">IF((AD300) &lt; (INDEX(ResponseSLA[#All],(MATCH((G300),ResponseSLA[Priority],0))+1,3)),"YES","No")</f>
        <v>YES</v>
      </c>
      <c r="AI300" s="81" t="str">
        <f ca="1">_xlfn.IFNA(IF(AE300 &lt; (INDEX(SLATable[Minimum SLA],MATCH(G300,SLATable[Priority],0))),"YES","NO"),"")</f>
        <v>NO</v>
      </c>
      <c r="AJ300" s="19" t="str">
        <f ca="1">_xlfn.IFNA(IF(AE300 &lt; (INDEX(SLATable[Maximum SLA],MATCH(G300,SLATable[Priority],0))),"YES","NO"),"")</f>
        <v>NO</v>
      </c>
    </row>
    <row r="301" spans="1:36" ht="15" customHeight="1">
      <c r="A301" s="78">
        <v>300</v>
      </c>
      <c r="B301" s="78" t="s">
        <v>26</v>
      </c>
      <c r="C301" s="78" t="s">
        <v>29</v>
      </c>
      <c r="D301" s="78" t="s">
        <v>208</v>
      </c>
      <c r="E301" s="78" t="s">
        <v>995</v>
      </c>
      <c r="F301" s="78" t="s">
        <v>264</v>
      </c>
      <c r="G301" s="78" t="s">
        <v>208</v>
      </c>
      <c r="H301" s="86" t="s">
        <v>996</v>
      </c>
      <c r="I301" s="78" t="s">
        <v>271</v>
      </c>
      <c r="J301" s="86" t="s">
        <v>377</v>
      </c>
      <c r="K301" s="277">
        <v>46240.454606481479</v>
      </c>
      <c r="L301" s="277">
        <v>46240.456331018519</v>
      </c>
      <c r="M301" s="277">
        <v>46240.459317129629</v>
      </c>
      <c r="N301" s="277">
        <v>46240.580046296294</v>
      </c>
      <c r="O301" s="80"/>
      <c r="P301" s="80"/>
      <c r="Q301" s="78" t="s">
        <v>370</v>
      </c>
      <c r="R301" s="78" t="s">
        <v>267</v>
      </c>
      <c r="S301" s="78" t="s">
        <v>175</v>
      </c>
      <c r="T301" s="78"/>
      <c r="U301" s="78"/>
      <c r="V301" s="78"/>
      <c r="W301" s="78"/>
      <c r="X301" s="78"/>
      <c r="Y301" s="78"/>
      <c r="Z301" s="167">
        <f t="shared" ca="1" si="38"/>
        <v>0.12543981481576338</v>
      </c>
      <c r="AA301" s="168">
        <f t="shared" ca="1" si="40"/>
        <v>0.33450617284203571</v>
      </c>
      <c r="AB301" s="167">
        <f t="shared" ca="1" si="39"/>
        <v>0.12371527777577285</v>
      </c>
      <c r="AC301" s="168">
        <f t="shared" ca="1" si="41"/>
        <v>0.32990740740206093</v>
      </c>
      <c r="AD301" s="191">
        <f t="shared" ca="1" si="42"/>
        <v>2.9861111106583849E-3</v>
      </c>
      <c r="AE301" s="167">
        <f t="shared" ca="1" si="43"/>
        <v>0.12371527777577285</v>
      </c>
      <c r="AF301" s="168">
        <f t="shared" ca="1" si="44"/>
        <v>0.32990740740206093</v>
      </c>
      <c r="AG301" s="168">
        <f t="shared" ca="1" si="45"/>
        <v>0.32990740740206093</v>
      </c>
      <c r="AH301" s="81" t="str" cm="1">
        <f t="array" aca="1" ref="AH301" ca="1">IF((AD301) &lt; (INDEX(ResponseSLA[#All],(MATCH((G301),ResponseSLA[Priority],0))+1,3)),"YES","No")</f>
        <v>YES</v>
      </c>
      <c r="AI301" s="81" t="str">
        <f ca="1">_xlfn.IFNA(IF(AE301 &lt; (INDEX(SLATable[Minimum SLA],MATCH(G301,SLATable[Priority],0))),"YES","NO"),"")</f>
        <v>YES</v>
      </c>
      <c r="AJ301" s="19" t="str">
        <f ca="1">_xlfn.IFNA(IF(AE301 &lt; (INDEX(SLATable[Maximum SLA],MATCH(G301,SLATable[Priority],0))),"YES","NO"),"")</f>
        <v>YES</v>
      </c>
    </row>
    <row r="302" spans="1:36" ht="15" customHeight="1">
      <c r="A302" s="78">
        <v>301</v>
      </c>
      <c r="B302" s="78" t="s">
        <v>26</v>
      </c>
      <c r="C302" s="78" t="s">
        <v>29</v>
      </c>
      <c r="D302" s="78" t="s">
        <v>208</v>
      </c>
      <c r="E302" s="78" t="s">
        <v>997</v>
      </c>
      <c r="F302" s="78" t="s">
        <v>264</v>
      </c>
      <c r="G302" s="78" t="s">
        <v>208</v>
      </c>
      <c r="H302" s="86" t="s">
        <v>998</v>
      </c>
      <c r="I302" s="78" t="s">
        <v>266</v>
      </c>
      <c r="J302" s="86" t="s">
        <v>377</v>
      </c>
      <c r="K302" s="277">
        <v>46241.573379629626</v>
      </c>
      <c r="L302" s="277">
        <v>46241.575023148151</v>
      </c>
      <c r="M302" s="277">
        <v>46241.582372685189</v>
      </c>
      <c r="N302" s="277"/>
      <c r="O302" s="80"/>
      <c r="P302" s="80"/>
      <c r="Q302" s="78" t="s">
        <v>370</v>
      </c>
      <c r="R302" s="78"/>
      <c r="S302" s="78"/>
      <c r="T302" s="78"/>
      <c r="U302" s="78"/>
      <c r="V302" s="78"/>
      <c r="W302" s="78"/>
      <c r="X302" s="78"/>
      <c r="Y302" s="78"/>
      <c r="Z302" s="167">
        <f t="shared" ca="1" si="38"/>
        <v>4.5605974537102165</v>
      </c>
      <c r="AA302" s="168">
        <f t="shared" ca="1" si="40"/>
        <v>12.161593209893912</v>
      </c>
      <c r="AB302" s="167">
        <f t="shared" ca="1" si="39"/>
        <v>4.5589539351858557</v>
      </c>
      <c r="AC302" s="168">
        <f t="shared" ca="1" si="41"/>
        <v>12.157210493828948</v>
      </c>
      <c r="AD302" s="191">
        <f t="shared" ca="1" si="42"/>
        <v>7.3495370379532687E-3</v>
      </c>
      <c r="AE302" s="167">
        <f t="shared" ca="1" si="43"/>
        <v>4.5589539351858557</v>
      </c>
      <c r="AF302" s="168">
        <f t="shared" ca="1" si="44"/>
        <v>12.157210493828948</v>
      </c>
      <c r="AG302" s="168">
        <f t="shared" ca="1" si="45"/>
        <v>12.157210493828948</v>
      </c>
      <c r="AH302" s="81" t="str" cm="1">
        <f t="array" aca="1" ref="AH302" ca="1">IF((AD302) &lt; (INDEX(ResponseSLA[#All],(MATCH((G302),ResponseSLA[Priority],0))+1,3)),"YES","No")</f>
        <v>YES</v>
      </c>
      <c r="AI302" s="81" t="str">
        <f ca="1">_xlfn.IFNA(IF(AE302 &lt; (INDEX(SLATable[Minimum SLA],MATCH(G302,SLATable[Priority],0))),"YES","NO"),"")</f>
        <v>NO</v>
      </c>
      <c r="AJ302" s="19" t="str">
        <f ca="1">_xlfn.IFNA(IF(AE302 &lt; (INDEX(SLATable[Maximum SLA],MATCH(G302,SLATable[Priority],0))),"YES","NO"),"")</f>
        <v>NO</v>
      </c>
    </row>
    <row r="303" spans="1:36" ht="15" customHeight="1">
      <c r="A303" s="78">
        <v>302</v>
      </c>
      <c r="B303" s="78" t="s">
        <v>26</v>
      </c>
      <c r="C303" s="78" t="s">
        <v>29</v>
      </c>
      <c r="D303" s="78" t="s">
        <v>208</v>
      </c>
      <c r="E303" s="78" t="s">
        <v>999</v>
      </c>
      <c r="F303" s="78" t="s">
        <v>264</v>
      </c>
      <c r="G303" s="78" t="s">
        <v>208</v>
      </c>
      <c r="H303" s="86" t="s">
        <v>1000</v>
      </c>
      <c r="I303" s="78" t="s">
        <v>271</v>
      </c>
      <c r="J303" s="86" t="s">
        <v>377</v>
      </c>
      <c r="K303" s="277">
        <v>46244.390324074076</v>
      </c>
      <c r="L303" s="277">
        <v>46244.391458333332</v>
      </c>
      <c r="M303" s="277">
        <v>46244.39403935185</v>
      </c>
      <c r="N303" s="277">
        <v>46245.226134259261</v>
      </c>
      <c r="O303" s="80"/>
      <c r="P303" s="80"/>
      <c r="Q303" s="78" t="s">
        <v>370</v>
      </c>
      <c r="R303" s="78" t="s">
        <v>267</v>
      </c>
      <c r="S303" s="78" t="s">
        <v>175</v>
      </c>
      <c r="T303" s="78"/>
      <c r="U303" s="78"/>
      <c r="V303" s="78"/>
      <c r="W303" s="78"/>
      <c r="X303" s="78"/>
      <c r="Y303" s="78"/>
      <c r="Z303" s="167">
        <f t="shared" ca="1" si="38"/>
        <v>0.31800925925684476</v>
      </c>
      <c r="AA303" s="168">
        <f t="shared" ca="1" si="40"/>
        <v>0.84802469135158598</v>
      </c>
      <c r="AB303" s="167">
        <f t="shared" ca="1" si="39"/>
        <v>0.31687500000164925</v>
      </c>
      <c r="AC303" s="168">
        <f t="shared" ca="1" si="41"/>
        <v>0.84500000000439801</v>
      </c>
      <c r="AD303" s="191">
        <f t="shared" ca="1" si="42"/>
        <v>2.5810185179580003E-3</v>
      </c>
      <c r="AE303" s="167">
        <f t="shared" ca="1" si="43"/>
        <v>0.31687500000164925</v>
      </c>
      <c r="AF303" s="168">
        <f t="shared" ca="1" si="44"/>
        <v>0.84500000000439801</v>
      </c>
      <c r="AG303" s="168">
        <f t="shared" ca="1" si="45"/>
        <v>0.84500000000439801</v>
      </c>
      <c r="AH303" s="81" t="str" cm="1">
        <f t="array" aca="1" ref="AH303" ca="1">IF((AD303) &lt; (INDEX(ResponseSLA[#All],(MATCH((G303),ResponseSLA[Priority],0))+1,3)),"YES","No")</f>
        <v>YES</v>
      </c>
      <c r="AI303" s="81" t="str">
        <f ca="1">_xlfn.IFNA(IF(AE303 &lt; (INDEX(SLATable[Minimum SLA],MATCH(G303,SLATable[Priority],0))),"YES","NO"),"")</f>
        <v>YES</v>
      </c>
      <c r="AJ303" s="19" t="str">
        <f ca="1">_xlfn.IFNA(IF(AE303 &lt; (INDEX(SLATable[Maximum SLA],MATCH(G303,SLATable[Priority],0))),"YES","NO"),"")</f>
        <v>YES</v>
      </c>
    </row>
    <row r="304" spans="1:36" ht="15" customHeight="1">
      <c r="A304" s="78">
        <v>303</v>
      </c>
      <c r="B304" s="78" t="s">
        <v>26</v>
      </c>
      <c r="C304" s="78" t="s">
        <v>29</v>
      </c>
      <c r="D304" s="78" t="s">
        <v>208</v>
      </c>
      <c r="E304" s="78" t="s">
        <v>1001</v>
      </c>
      <c r="F304" s="78" t="s">
        <v>264</v>
      </c>
      <c r="G304" s="78" t="s">
        <v>208</v>
      </c>
      <c r="H304" s="86" t="s">
        <v>1002</v>
      </c>
      <c r="I304" s="78" t="s">
        <v>271</v>
      </c>
      <c r="J304" s="86" t="s">
        <v>377</v>
      </c>
      <c r="K304" s="277">
        <v>46244.599270833336</v>
      </c>
      <c r="L304" s="277">
        <v>46244.604675925926</v>
      </c>
      <c r="M304" s="277">
        <v>46244.613125000003</v>
      </c>
      <c r="N304" s="277">
        <v>46245.40525462963</v>
      </c>
      <c r="O304" s="80"/>
      <c r="P304" s="80"/>
      <c r="Q304" s="78" t="s">
        <v>370</v>
      </c>
      <c r="R304" s="78" t="s">
        <v>267</v>
      </c>
      <c r="S304" s="78" t="s">
        <v>175</v>
      </c>
      <c r="T304" s="78"/>
      <c r="U304" s="78"/>
      <c r="V304" s="78"/>
      <c r="W304" s="78"/>
      <c r="X304" s="78"/>
      <c r="Y304" s="78"/>
      <c r="Z304" s="167">
        <f t="shared" ca="1" si="38"/>
        <v>0.18098379629373085</v>
      </c>
      <c r="AA304" s="168">
        <f t="shared" ca="1" si="40"/>
        <v>0.48262345678328228</v>
      </c>
      <c r="AB304" s="167">
        <f t="shared" ca="1" si="39"/>
        <v>0.17557870370364981</v>
      </c>
      <c r="AC304" s="168">
        <f t="shared" ca="1" si="41"/>
        <v>0.46820987654306617</v>
      </c>
      <c r="AD304" s="191">
        <f t="shared" ca="1" si="42"/>
        <v>8.449074077361729E-3</v>
      </c>
      <c r="AE304" s="167">
        <f t="shared" ca="1" si="43"/>
        <v>0.17557870370364981</v>
      </c>
      <c r="AF304" s="168">
        <f t="shared" ca="1" si="44"/>
        <v>0.46820987654306617</v>
      </c>
      <c r="AG304" s="168">
        <f t="shared" ca="1" si="45"/>
        <v>0.46820987654306617</v>
      </c>
      <c r="AH304" s="81" t="str" cm="1">
        <f t="array" aca="1" ref="AH304" ca="1">IF((AD304) &lt; (INDEX(ResponseSLA[#All],(MATCH((G304),ResponseSLA[Priority],0))+1,3)),"YES","No")</f>
        <v>YES</v>
      </c>
      <c r="AI304" s="81" t="str">
        <f ca="1">_xlfn.IFNA(IF(AE304 &lt; (INDEX(SLATable[Minimum SLA],MATCH(G304,SLATable[Priority],0))),"YES","NO"),"")</f>
        <v>YES</v>
      </c>
      <c r="AJ304" s="19" t="str">
        <f ca="1">_xlfn.IFNA(IF(AE304 &lt; (INDEX(SLATable[Maximum SLA],MATCH(G304,SLATable[Priority],0))),"YES","NO"),"")</f>
        <v>YES</v>
      </c>
    </row>
    <row r="305" spans="1:36" ht="15" customHeight="1">
      <c r="A305" s="78">
        <v>304</v>
      </c>
      <c r="B305" s="78" t="s">
        <v>26</v>
      </c>
      <c r="C305" s="78" t="s">
        <v>29</v>
      </c>
      <c r="D305" s="78" t="s">
        <v>208</v>
      </c>
      <c r="E305" s="78" t="s">
        <v>1003</v>
      </c>
      <c r="F305" s="78" t="s">
        <v>264</v>
      </c>
      <c r="G305" s="78" t="s">
        <v>208</v>
      </c>
      <c r="H305" s="86" t="s">
        <v>1004</v>
      </c>
      <c r="I305" s="78" t="s">
        <v>266</v>
      </c>
      <c r="J305" s="86" t="s">
        <v>377</v>
      </c>
      <c r="K305" s="277">
        <v>46251.524664351855</v>
      </c>
      <c r="L305" s="277">
        <v>46251.529143518521</v>
      </c>
      <c r="M305" s="277">
        <v>46251.554548611108</v>
      </c>
      <c r="N305" s="277"/>
      <c r="O305" s="80"/>
      <c r="P305" s="80"/>
      <c r="Q305" s="78" t="s">
        <v>399</v>
      </c>
      <c r="R305" s="78"/>
      <c r="S305" s="78"/>
      <c r="T305" s="78"/>
      <c r="U305" s="78"/>
      <c r="V305" s="78"/>
      <c r="W305" s="78"/>
      <c r="X305" s="78"/>
      <c r="Y305" s="78"/>
      <c r="Z305" s="167">
        <f t="shared" ca="1" si="38"/>
        <v>2.3593127314816233</v>
      </c>
      <c r="AA305" s="168">
        <f t="shared" ca="1" si="40"/>
        <v>6.2915006172843295</v>
      </c>
      <c r="AB305" s="167">
        <f t="shared" ca="1" si="39"/>
        <v>2.3548335648156358</v>
      </c>
      <c r="AC305" s="168">
        <f t="shared" ca="1" si="41"/>
        <v>6.279556172841696</v>
      </c>
      <c r="AD305" s="191">
        <f t="shared" ca="1" si="42"/>
        <v>2.5405092586879618E-2</v>
      </c>
      <c r="AE305" s="167">
        <f t="shared" ca="1" si="43"/>
        <v>2.3548335648156358</v>
      </c>
      <c r="AF305" s="168">
        <f t="shared" ca="1" si="44"/>
        <v>6.279556172841696</v>
      </c>
      <c r="AG305" s="168">
        <f t="shared" ca="1" si="45"/>
        <v>6.279556172841696</v>
      </c>
      <c r="AH305" s="81" t="str" cm="1">
        <f t="array" aca="1" ref="AH305" ca="1">IF((AD305) &lt; (INDEX(ResponseSLA[#All],(MATCH((G305),ResponseSLA[Priority],0))+1,3)),"YES","No")</f>
        <v>YES</v>
      </c>
      <c r="AI305" s="81" t="str">
        <f ca="1">_xlfn.IFNA(IF(AE305 &lt; (INDEX(SLATable[Minimum SLA],MATCH(G305,SLATable[Priority],0))),"YES","NO"),"")</f>
        <v>NO</v>
      </c>
      <c r="AJ305" s="19" t="str">
        <f ca="1">_xlfn.IFNA(IF(AE305 &lt; (INDEX(SLATable[Maximum SLA],MATCH(G305,SLATable[Priority],0))),"YES","NO"),"")</f>
        <v>NO</v>
      </c>
    </row>
    <row r="306" spans="1:36" ht="15" customHeight="1">
      <c r="A306" s="78">
        <v>305</v>
      </c>
      <c r="B306" s="78" t="s">
        <v>26</v>
      </c>
      <c r="C306" s="78" t="s">
        <v>29</v>
      </c>
      <c r="D306" s="78" t="s">
        <v>208</v>
      </c>
      <c r="E306" s="78" t="s">
        <v>1005</v>
      </c>
      <c r="F306" s="78" t="s">
        <v>264</v>
      </c>
      <c r="G306" s="78" t="s">
        <v>208</v>
      </c>
      <c r="H306" s="86" t="s">
        <v>1006</v>
      </c>
      <c r="I306" s="78" t="s">
        <v>271</v>
      </c>
      <c r="J306" s="86" t="s">
        <v>377</v>
      </c>
      <c r="K306" s="277">
        <v>46254.395613425928</v>
      </c>
      <c r="L306" s="277">
        <v>46254.398240740738</v>
      </c>
      <c r="M306" s="277">
        <v>46254.402314814812</v>
      </c>
      <c r="N306" s="277">
        <v>46254.480532407404</v>
      </c>
      <c r="O306" s="80"/>
      <c r="P306" s="80"/>
      <c r="Q306" s="78" t="s">
        <v>370</v>
      </c>
      <c r="R306" s="78" t="s">
        <v>267</v>
      </c>
      <c r="S306" s="78" t="s">
        <v>175</v>
      </c>
      <c r="T306" s="78"/>
      <c r="U306" s="78"/>
      <c r="V306" s="78"/>
      <c r="W306" s="78"/>
      <c r="X306" s="78"/>
      <c r="Y306" s="78"/>
      <c r="Z306" s="167">
        <f t="shared" ca="1" si="38"/>
        <v>8.4918981476221234E-2</v>
      </c>
      <c r="AA306" s="168">
        <f t="shared" ca="1" si="40"/>
        <v>0.2264506172699233</v>
      </c>
      <c r="AB306" s="167">
        <f t="shared" ca="1" si="39"/>
        <v>8.2291666665696539E-2</v>
      </c>
      <c r="AC306" s="168">
        <f t="shared" ca="1" si="41"/>
        <v>0.21944444444185743</v>
      </c>
      <c r="AD306" s="191">
        <f t="shared" ca="1" si="42"/>
        <v>4.0740740732871927E-3</v>
      </c>
      <c r="AE306" s="167">
        <f t="shared" ca="1" si="43"/>
        <v>8.2291666665696539E-2</v>
      </c>
      <c r="AF306" s="168">
        <f t="shared" ca="1" si="44"/>
        <v>0.21944444444185743</v>
      </c>
      <c r="AG306" s="168">
        <f t="shared" ca="1" si="45"/>
        <v>0.21944444444185743</v>
      </c>
      <c r="AH306" s="81" t="str" cm="1">
        <f t="array" aca="1" ref="AH306" ca="1">IF((AD306) &lt; (INDEX(ResponseSLA[#All],(MATCH((G306),ResponseSLA[Priority],0))+1,3)),"YES","No")</f>
        <v>YES</v>
      </c>
      <c r="AI306" s="81" t="str">
        <f ca="1">_xlfn.IFNA(IF(AE306 &lt; (INDEX(SLATable[Minimum SLA],MATCH(G306,SLATable[Priority],0))),"YES","NO"),"")</f>
        <v>YES</v>
      </c>
      <c r="AJ306" s="19" t="str">
        <f ca="1">_xlfn.IFNA(IF(AE306 &lt; (INDEX(SLATable[Maximum SLA],MATCH(G306,SLATable[Priority],0))),"YES","NO"),"")</f>
        <v>YES</v>
      </c>
    </row>
    <row r="307" spans="1:36" ht="15" customHeight="1">
      <c r="A307" s="78">
        <v>306</v>
      </c>
      <c r="B307" s="78" t="s">
        <v>26</v>
      </c>
      <c r="C307" s="78" t="s">
        <v>29</v>
      </c>
      <c r="D307" s="78" t="s">
        <v>208</v>
      </c>
      <c r="E307" s="78" t="s">
        <v>1007</v>
      </c>
      <c r="F307" s="78" t="s">
        <v>264</v>
      </c>
      <c r="G307" s="78" t="s">
        <v>208</v>
      </c>
      <c r="H307" s="86" t="s">
        <v>1008</v>
      </c>
      <c r="I307" s="78" t="s">
        <v>271</v>
      </c>
      <c r="J307" s="86" t="s">
        <v>377</v>
      </c>
      <c r="K307" s="277">
        <v>46254.424525462964</v>
      </c>
      <c r="L307" s="277">
        <v>46254.442314814813</v>
      </c>
      <c r="M307" s="277">
        <v>46254.442974537036</v>
      </c>
      <c r="N307" s="277">
        <v>46255.593252314815</v>
      </c>
      <c r="O307" s="80"/>
      <c r="P307" s="80"/>
      <c r="Q307" s="78" t="s">
        <v>29</v>
      </c>
      <c r="R307" s="78" t="s">
        <v>267</v>
      </c>
      <c r="S307" s="78" t="s">
        <v>155</v>
      </c>
      <c r="T307" s="78"/>
      <c r="U307" s="78"/>
      <c r="V307" s="78"/>
      <c r="W307" s="78"/>
      <c r="X307" s="78"/>
      <c r="Y307" s="78"/>
      <c r="Z307" s="167">
        <f t="shared" ca="1" si="38"/>
        <v>0.54372685185080627</v>
      </c>
      <c r="AA307" s="168">
        <f t="shared" ca="1" si="40"/>
        <v>1.4499382716021501</v>
      </c>
      <c r="AB307" s="167">
        <f t="shared" ca="1" si="39"/>
        <v>0.52593750000232831</v>
      </c>
      <c r="AC307" s="168">
        <f t="shared" ca="1" si="41"/>
        <v>1.4025000000062089</v>
      </c>
      <c r="AD307" s="191">
        <f t="shared" ca="1" si="42"/>
        <v>6.5972222364507616E-4</v>
      </c>
      <c r="AE307" s="167">
        <f t="shared" ca="1" si="43"/>
        <v>0.52593750000232831</v>
      </c>
      <c r="AF307" s="168">
        <f t="shared" ca="1" si="44"/>
        <v>1.4025000000062089</v>
      </c>
      <c r="AG307" s="168">
        <f t="shared" ca="1" si="45"/>
        <v>1.4025000000062089</v>
      </c>
      <c r="AH307" s="81" t="str" cm="1">
        <f t="array" aca="1" ref="AH307" ca="1">IF((AD307) &lt; (INDEX(ResponseSLA[#All],(MATCH((G307),ResponseSLA[Priority],0))+1,3)),"YES","No")</f>
        <v>YES</v>
      </c>
      <c r="AI307" s="81" t="str">
        <f ca="1">_xlfn.IFNA(IF(AE307 &lt; (INDEX(SLATable[Minimum SLA],MATCH(G307,SLATable[Priority],0))),"YES","NO"),"")</f>
        <v>YES</v>
      </c>
      <c r="AJ307" s="19" t="str">
        <f ca="1">_xlfn.IFNA(IF(AE307 &lt; (INDEX(SLATable[Maximum SLA],MATCH(G307,SLATable[Priority],0))),"YES","NO"),"")</f>
        <v>YES</v>
      </c>
    </row>
    <row r="308" spans="1:36" ht="15" customHeight="1">
      <c r="A308" s="78"/>
      <c r="B308" s="78"/>
      <c r="C308" s="78"/>
      <c r="D308" s="78"/>
      <c r="E308" s="78"/>
      <c r="F308" s="78"/>
      <c r="G308" s="78"/>
      <c r="H308" s="86"/>
      <c r="I308" s="78"/>
      <c r="J308" s="86"/>
      <c r="K308" s="277"/>
      <c r="L308" s="277"/>
      <c r="M308" s="277"/>
      <c r="N308" s="277"/>
      <c r="O308" s="80"/>
      <c r="P308" s="80"/>
      <c r="Q308" s="78"/>
      <c r="R308" s="78"/>
      <c r="S308" s="78"/>
      <c r="T308" s="78"/>
      <c r="U308" s="78"/>
      <c r="V308" s="78"/>
      <c r="W308" s="78"/>
      <c r="X308" s="78"/>
      <c r="Y308" s="78"/>
      <c r="Z308" s="167" t="e">
        <f t="shared" ca="1" si="38"/>
        <v>#N/A</v>
      </c>
      <c r="AA308" s="168" t="e">
        <f t="shared" ca="1" si="40"/>
        <v>#N/A</v>
      </c>
      <c r="AB308" s="167">
        <f t="shared" ca="1" si="39"/>
        <v>0</v>
      </c>
      <c r="AC308" s="168">
        <f t="shared" ca="1" si="41"/>
        <v>0</v>
      </c>
      <c r="AD308" s="191">
        <f t="shared" ca="1" si="42"/>
        <v>46259.633974537035</v>
      </c>
      <c r="AE308" s="167">
        <f t="shared" si="43"/>
        <v>0</v>
      </c>
      <c r="AF308" s="168">
        <f t="shared" si="44"/>
        <v>0</v>
      </c>
      <c r="AG308" s="168">
        <f t="shared" si="45"/>
        <v>0</v>
      </c>
      <c r="AH308" s="81" t="e" cm="1">
        <f t="array" aca="1" ref="AH308" ca="1">IF((AD308) &lt; (INDEX(ResponseSLA[#All],(MATCH((G308),ResponseSLA[Priority],0))+1,3)),"YES","No")</f>
        <v>#N/A</v>
      </c>
      <c r="AI308" s="81" t="str">
        <f>_xlfn.IFNA(IF(AE308 &lt; (INDEX(SLATable[Minimum SLA],MATCH(G308,SLATable[Priority],0))),"YES","NO"),"")</f>
        <v/>
      </c>
      <c r="AJ308" s="19" t="str">
        <f>_xlfn.IFNA(IF(AE308 &lt; (INDEX(SLATable[Maximum SLA],MATCH(G308,SLATable[Priority],0))),"YES","NO"),"")</f>
        <v/>
      </c>
    </row>
    <row r="309" spans="1:36" ht="15" customHeight="1">
      <c r="A309" s="78"/>
      <c r="B309" s="78"/>
      <c r="C309" s="78"/>
      <c r="D309" s="78"/>
      <c r="E309" s="78"/>
      <c r="F309" s="78"/>
      <c r="G309" s="78"/>
      <c r="H309" s="86"/>
      <c r="I309" s="78"/>
      <c r="J309" s="86"/>
      <c r="K309" s="277"/>
      <c r="L309" s="277"/>
      <c r="M309" s="277"/>
      <c r="N309" s="277"/>
      <c r="O309" s="80"/>
      <c r="P309" s="80"/>
      <c r="Q309" s="78"/>
      <c r="R309" s="78"/>
      <c r="S309" s="78"/>
      <c r="T309" s="78"/>
      <c r="U309" s="78"/>
      <c r="V309" s="78"/>
      <c r="W309" s="78"/>
      <c r="X309" s="78"/>
      <c r="Y309" s="78"/>
      <c r="Z309" s="167" t="e">
        <f t="shared" ca="1" si="38"/>
        <v>#N/A</v>
      </c>
      <c r="AA309" s="168" t="e">
        <f t="shared" ca="1" si="40"/>
        <v>#N/A</v>
      </c>
      <c r="AB309" s="167">
        <f t="shared" ca="1" si="39"/>
        <v>0</v>
      </c>
      <c r="AC309" s="168">
        <f t="shared" ca="1" si="41"/>
        <v>0</v>
      </c>
      <c r="AD309" s="191">
        <f t="shared" ca="1" si="42"/>
        <v>46259.633974421296</v>
      </c>
      <c r="AE309" s="167">
        <f t="shared" si="43"/>
        <v>0</v>
      </c>
      <c r="AF309" s="168">
        <f t="shared" si="44"/>
        <v>0</v>
      </c>
      <c r="AG309" s="168">
        <f t="shared" si="45"/>
        <v>0</v>
      </c>
      <c r="AH309" s="81" t="e" cm="1">
        <f t="array" aca="1" ref="AH309" ca="1">IF((AD309) &lt; (INDEX(ResponseSLA[#All],(MATCH((G309),ResponseSLA[Priority],0))+1,3)),"YES","No")</f>
        <v>#N/A</v>
      </c>
      <c r="AI309" s="81" t="str">
        <f>_xlfn.IFNA(IF(AE309 &lt; (INDEX(SLATable[Minimum SLA],MATCH(G309,SLATable[Priority],0))),"YES","NO"),"")</f>
        <v/>
      </c>
      <c r="AJ309" s="19" t="str">
        <f>_xlfn.IFNA(IF(AE309 &lt; (INDEX(SLATable[Maximum SLA],MATCH(G309,SLATable[Priority],0))),"YES","NO"),"")</f>
        <v/>
      </c>
    </row>
    <row r="310" spans="1:36" ht="15" customHeight="1">
      <c r="A310" s="78"/>
      <c r="B310" s="78"/>
      <c r="C310" s="78"/>
      <c r="D310" s="78"/>
      <c r="E310" s="78"/>
      <c r="F310" s="78"/>
      <c r="G310" s="78"/>
      <c r="H310" s="86"/>
      <c r="I310" s="78"/>
      <c r="J310" s="86"/>
      <c r="K310" s="277"/>
      <c r="L310" s="277"/>
      <c r="M310" s="277"/>
      <c r="N310" s="277"/>
      <c r="O310" s="80"/>
      <c r="P310" s="80"/>
      <c r="Q310" s="78"/>
      <c r="R310" s="78"/>
      <c r="S310" s="78"/>
      <c r="T310" s="78"/>
      <c r="U310" s="78"/>
      <c r="V310" s="78"/>
      <c r="W310" s="78"/>
      <c r="X310" s="78"/>
      <c r="Y310" s="78"/>
      <c r="Z310" s="167" t="e">
        <f t="shared" ca="1" si="38"/>
        <v>#N/A</v>
      </c>
      <c r="AA310" s="168" t="e">
        <f t="shared" ca="1" si="40"/>
        <v>#N/A</v>
      </c>
      <c r="AB310" s="167">
        <f t="shared" ca="1" si="39"/>
        <v>0</v>
      </c>
      <c r="AC310" s="168">
        <f t="shared" ca="1" si="41"/>
        <v>0</v>
      </c>
      <c r="AD310" s="191">
        <f t="shared" ca="1" si="42"/>
        <v>46259.633974421296</v>
      </c>
      <c r="AE310" s="167">
        <f t="shared" si="43"/>
        <v>0</v>
      </c>
      <c r="AF310" s="168">
        <f t="shared" si="44"/>
        <v>0</v>
      </c>
      <c r="AG310" s="168">
        <f t="shared" si="45"/>
        <v>0</v>
      </c>
      <c r="AH310" s="81" t="e" cm="1">
        <f t="array" aca="1" ref="AH310" ca="1">IF((AD310) &lt; (INDEX(ResponseSLA[#All],(MATCH((G310),ResponseSLA[Priority],0))+1,3)),"YES","No")</f>
        <v>#N/A</v>
      </c>
      <c r="AI310" s="81" t="str">
        <f>_xlfn.IFNA(IF(AE310 &lt; (INDEX(SLATable[Minimum SLA],MATCH(G310,SLATable[Priority],0))),"YES","NO"),"")</f>
        <v/>
      </c>
      <c r="AJ310" s="19" t="str">
        <f>_xlfn.IFNA(IF(AE310 &lt; (INDEX(SLATable[Maximum SLA],MATCH(G310,SLATable[Priority],0))),"YES","NO"),"")</f>
        <v/>
      </c>
    </row>
    <row r="311" spans="1:36" ht="15" customHeight="1">
      <c r="A311" s="78"/>
      <c r="B311" s="78"/>
      <c r="C311" s="78"/>
      <c r="D311" s="78"/>
      <c r="E311" s="78"/>
      <c r="F311" s="78"/>
      <c r="G311" s="78"/>
      <c r="H311" s="86"/>
      <c r="I311" s="78"/>
      <c r="J311" s="86"/>
      <c r="K311" s="277"/>
      <c r="L311" s="277"/>
      <c r="M311" s="277"/>
      <c r="N311" s="277"/>
      <c r="O311" s="80"/>
      <c r="P311" s="80"/>
      <c r="Q311" s="78"/>
      <c r="R311" s="78"/>
      <c r="S311" s="78"/>
      <c r="T311" s="78"/>
      <c r="U311" s="78"/>
      <c r="V311" s="78"/>
      <c r="W311" s="78"/>
      <c r="X311" s="78"/>
      <c r="Y311" s="78"/>
      <c r="Z311" s="167" t="e">
        <f t="shared" ref="Z311:Z374" ca="1" si="46">IF(NOT(OR(G311=1,G311=2)),MAX(0,_xlfn.IFS(AND(K311&lt;&gt;"",N311&lt;&gt;""),((MAX(NETWORKDAYS(K311,N311,UKBankHolidays)-1,0))*(TIME(17,0,0)-TIME(8,0,0))+IF(NETWORKDAYS(N311,N311,UKBankHolidays)&gt;0,MEDIAN(TIME(8,0,0),MOD(N311,1),TIME(17,0,0)),TIME(8,0,0))-IF(NETWORKDAYS(K311,K311,UKBankHolidays)&gt;0,MEDIAN(TIME(8,0,0),MOD(K311,1),TIME(17,0,0)),TIME(8,0,0)))-IF(AND(O311&lt;&gt;"",P311&lt;&gt;""),((MAX(NETWORKDAYS(O311,P311,UKBankHolidays)-1,0))*(TIME(17,0,0)-TIME(8,0,0))+IF(NETWORKDAYS(P311,P311,UKBankHolidays)&gt;0,MEDIAN(TIME(8,0,0),MOD(P311,1),TIME(17,0,0)),TIME(8,0,0))-IF(NETWORKDAYS(O311,O311,UKBankHolidays)&gt;0,MEDIAN(TIME(8,0,0),MOD(O311,1),TIME(17,0,0)),TIME(8,0,0))),0),AND(K311&lt;&gt;"",N311=""),((MAX(NETWORKDAYS(K311,NOW(),UKBankHolidays)-1,0))*(TIME(17,0,0)-TIME(8,0,0))+IF(NETWORKDAYS(NOW(),NOW(),UKBankHolidays)&gt;0,MEDIAN(TIME(8,0,0),MOD(NOW(),1),TIME(17,0,0)),TIME(8,0,0))-IF(NETWORKDAYS(K311,K311,UKBankHolidays)&gt;0,MEDIAN(TIME(8,0,0),MOD(K311,1),TIME(17,0,0)),TIME(8,0,0))))),IF(N311="",NOW()-K311,N311-K311))</f>
        <v>#N/A</v>
      </c>
      <c r="AA311" s="168" t="e">
        <f t="shared" ca="1" si="40"/>
        <v>#N/A</v>
      </c>
      <c r="AB311" s="167">
        <f t="shared" ref="AB311:AB374" ca="1" si="47">IF(NOT(OR(G311=1,G311=2)),MAX(0,_xlfn.IFS(AND(K311&lt;&gt;"",N311&lt;&gt;""),(((MAX(NETWORKDAYS(L311,N311,UKBankHolidays)-1,0))*(TIME(17,0,0)-TIME(8,0,0)))+IF(NETWORKDAYS(N311,N311,UKBankHolidays)&gt;0,MEDIAN(TIME(8,0,0),MOD(N311,1),TIME(17,0,0)),TIME(8,0,0))-IF(NETWORKDAYS(L311,L311,UKBankHolidays)&gt;0,MEDIAN(TIME(8,0,0),MOD(L311,1),TIME(17,0,0)),TIME(8,0,0)))-IF(AND(O311&lt;&gt;"",P311&lt;&gt;""),(((MAX(NETWORKDAYS(O311,P311,UKBankHolidays)-1,0))*(TIME(17,0,0)-TIME(8,0,0)))+IF(NETWORKDAYS(P311,P311,UKBankHolidays)&gt;0,MEDIAN(TIME(8,0,0),MOD(P311,1),TIME(17,0,0)),TIME(8,0,0))-IF(NETWORKDAYS(O311,O311,UKBankHolidays)&gt;0,MEDIAN(TIME(8,0,0),MOD(O311,1),TIME(17,0,0)),TIME(8,0,0))),0),AND(L311&lt;&gt;"",N311="",O311=""),(((MAX(NETWORKDAYS(L311,NOW(),UKBankHolidays)-1,0))*(TIME(17,0,0)-TIME(8,0,0)))+IF(NETWORKDAYS(NOW(),NOW(),UKBankHolidays)&gt;0,MEDIAN(TIME(8,0,0),MOD(NOW(),1),TIME(17,0,0)),TIME(8,0,0))-IF(NETWORKDAYS(L311,L311,UKBankHolidays)&gt;0,MEDIAN(TIME(8,0,0),MOD(L311,1),TIME(17,0,0)),TIME(8,0,0)))-IF(AND(O311&lt;&gt;"",P311&lt;&gt;""),(((MAX(NETWORKDAYS(O311,P311,UKBankHolidays)-1,0))*(TIME(17,0,0)-TIME(8,0,0)))+IF(NETWORKDAYS(P311,P311,UKBankHolidays)&gt;0,MEDIAN(TIME(8,0,0),MOD(P311,1),TIME(17,0,0)),TIME(8,0,0))-IF(NETWORKDAYS(O311,O311,UKBankHolidays)&gt;0,MEDIAN(TIME(8,0,0),MOD(O311,1),TIME(17,0,0)),TIME(8,0,0))),0),AND(L311&lt;&gt;"",N311="",P311="",O311&lt;&gt;""),(((MAX(NETWORKDAYS(L311,O311,UKBankHolidays)-1,0))*(TIME(17,0,0)-TIME(8,0,0)))+IF(NETWORKDAYS(O311,O311,UKBankHolidays)&gt;0,MEDIAN(TIME(8,0,0),MOD(O311,1),TIME(17,0,0)),TIME(8,0,0))-IF(NETWORKDAYS(L311,L311,UKBankHolidays)&gt;0,MEDIAN(TIME(8,0,0),MOD(L311,1),TIME(17,0,0)),TIME(8,0,0))),ISBLANK(K311),"0")),IF(ISBLANK(N311),NOW()-L311,N311-L311))</f>
        <v>0</v>
      </c>
      <c r="AC311" s="168">
        <f t="shared" ca="1" si="41"/>
        <v>0</v>
      </c>
      <c r="AD311" s="191">
        <f t="shared" ca="1" si="42"/>
        <v>46259.633974537035</v>
      </c>
      <c r="AE311" s="167">
        <f t="shared" si="43"/>
        <v>0</v>
      </c>
      <c r="AF311" s="168">
        <f t="shared" si="44"/>
        <v>0</v>
      </c>
      <c r="AG311" s="168">
        <f t="shared" si="45"/>
        <v>0</v>
      </c>
      <c r="AH311" s="81" t="e" cm="1">
        <f t="array" aca="1" ref="AH311" ca="1">IF((AD311) &lt; (INDEX(ResponseSLA[#All],(MATCH((G311),ResponseSLA[Priority],0))+1,3)),"YES","No")</f>
        <v>#N/A</v>
      </c>
      <c r="AI311" s="81" t="str">
        <f>_xlfn.IFNA(IF(AE311 &lt; (INDEX(SLATable[Minimum SLA],MATCH(G311,SLATable[Priority],0))),"YES","NO"),"")</f>
        <v/>
      </c>
      <c r="AJ311" s="19" t="str">
        <f>_xlfn.IFNA(IF(AE311 &lt; (INDEX(SLATable[Maximum SLA],MATCH(G311,SLATable[Priority],0))),"YES","NO"),"")</f>
        <v/>
      </c>
    </row>
    <row r="312" spans="1:36" ht="15" customHeight="1">
      <c r="A312" s="78"/>
      <c r="B312" s="78"/>
      <c r="C312" s="78"/>
      <c r="D312" s="78"/>
      <c r="E312" s="78"/>
      <c r="F312" s="78"/>
      <c r="G312" s="78"/>
      <c r="H312" s="86"/>
      <c r="I312" s="78"/>
      <c r="J312" s="86"/>
      <c r="K312" s="277"/>
      <c r="L312" s="277"/>
      <c r="M312" s="277"/>
      <c r="N312" s="277"/>
      <c r="O312" s="80"/>
      <c r="P312" s="80"/>
      <c r="Q312" s="78"/>
      <c r="R312" s="78"/>
      <c r="S312" s="78"/>
      <c r="T312" s="78"/>
      <c r="U312" s="78"/>
      <c r="V312" s="78"/>
      <c r="W312" s="78"/>
      <c r="X312" s="78"/>
      <c r="Y312" s="78"/>
      <c r="Z312" s="167" t="e">
        <f t="shared" ca="1" si="46"/>
        <v>#N/A</v>
      </c>
      <c r="AA312" s="168" t="e">
        <f t="shared" ca="1" si="40"/>
        <v>#N/A</v>
      </c>
      <c r="AB312" s="167">
        <f t="shared" ca="1" si="47"/>
        <v>0</v>
      </c>
      <c r="AC312" s="168">
        <f t="shared" ca="1" si="41"/>
        <v>0</v>
      </c>
      <c r="AD312" s="191">
        <f t="shared" ca="1" si="42"/>
        <v>46259.633974421296</v>
      </c>
      <c r="AE312" s="167">
        <f t="shared" si="43"/>
        <v>0</v>
      </c>
      <c r="AF312" s="168">
        <f t="shared" si="44"/>
        <v>0</v>
      </c>
      <c r="AG312" s="168">
        <f t="shared" si="45"/>
        <v>0</v>
      </c>
      <c r="AH312" s="81" t="e" cm="1">
        <f t="array" aca="1" ref="AH312" ca="1">IF((AD312) &lt; (INDEX(ResponseSLA[#All],(MATCH((G312),ResponseSLA[Priority],0))+1,3)),"YES","No")</f>
        <v>#N/A</v>
      </c>
      <c r="AI312" s="81" t="str">
        <f>_xlfn.IFNA(IF(AE312 &lt; (INDEX(SLATable[Minimum SLA],MATCH(G312,SLATable[Priority],0))),"YES","NO"),"")</f>
        <v/>
      </c>
      <c r="AJ312" s="19" t="str">
        <f>_xlfn.IFNA(IF(AE312 &lt; (INDEX(SLATable[Maximum SLA],MATCH(G312,SLATable[Priority],0))),"YES","NO"),"")</f>
        <v/>
      </c>
    </row>
    <row r="313" spans="1:36" ht="15" customHeight="1">
      <c r="A313" s="78"/>
      <c r="B313" s="78"/>
      <c r="C313" s="78"/>
      <c r="D313" s="78"/>
      <c r="E313" s="78"/>
      <c r="F313" s="78"/>
      <c r="G313" s="78"/>
      <c r="H313" s="86"/>
      <c r="I313" s="78"/>
      <c r="J313" s="86"/>
      <c r="K313" s="277"/>
      <c r="L313" s="277"/>
      <c r="M313" s="277"/>
      <c r="N313" s="277"/>
      <c r="O313" s="80"/>
      <c r="P313" s="80"/>
      <c r="Q313" s="78"/>
      <c r="R313" s="78"/>
      <c r="S313" s="78"/>
      <c r="T313" s="78"/>
      <c r="U313" s="78"/>
      <c r="V313" s="78"/>
      <c r="W313" s="78"/>
      <c r="X313" s="78"/>
      <c r="Y313" s="78"/>
      <c r="Z313" s="167" t="e">
        <f t="shared" ca="1" si="46"/>
        <v>#N/A</v>
      </c>
      <c r="AA313" s="168" t="e">
        <f t="shared" ca="1" si="40"/>
        <v>#N/A</v>
      </c>
      <c r="AB313" s="167">
        <f t="shared" ca="1" si="47"/>
        <v>0</v>
      </c>
      <c r="AC313" s="168">
        <f t="shared" ca="1" si="41"/>
        <v>0</v>
      </c>
      <c r="AD313" s="191">
        <f t="shared" ca="1" si="42"/>
        <v>46259.633974421296</v>
      </c>
      <c r="AE313" s="167">
        <f t="shared" si="43"/>
        <v>0</v>
      </c>
      <c r="AF313" s="168">
        <f t="shared" si="44"/>
        <v>0</v>
      </c>
      <c r="AG313" s="168">
        <f t="shared" si="45"/>
        <v>0</v>
      </c>
      <c r="AH313" s="81" t="e" cm="1">
        <f t="array" aca="1" ref="AH313" ca="1">IF((AD313) &lt; (INDEX(ResponseSLA[#All],(MATCH((G313),ResponseSLA[Priority],0))+1,3)),"YES","No")</f>
        <v>#N/A</v>
      </c>
      <c r="AI313" s="81" t="str">
        <f>_xlfn.IFNA(IF(AE313 &lt; (INDEX(SLATable[Minimum SLA],MATCH(G313,SLATable[Priority],0))),"YES","NO"),"")</f>
        <v/>
      </c>
      <c r="AJ313" s="19" t="str">
        <f>_xlfn.IFNA(IF(AE313 &lt; (INDEX(SLATable[Maximum SLA],MATCH(G313,SLATable[Priority],0))),"YES","NO"),"")</f>
        <v/>
      </c>
    </row>
    <row r="314" spans="1:36" ht="15" customHeight="1">
      <c r="A314" s="78"/>
      <c r="B314" s="78"/>
      <c r="C314" s="78"/>
      <c r="D314" s="78"/>
      <c r="E314" s="78"/>
      <c r="F314" s="78"/>
      <c r="G314" s="78"/>
      <c r="H314" s="86"/>
      <c r="I314" s="78"/>
      <c r="J314" s="86"/>
      <c r="K314" s="277"/>
      <c r="L314" s="277"/>
      <c r="M314" s="277"/>
      <c r="N314" s="277"/>
      <c r="O314" s="80"/>
      <c r="P314" s="80"/>
      <c r="Q314" s="78"/>
      <c r="R314" s="78"/>
      <c r="S314" s="78"/>
      <c r="T314" s="78"/>
      <c r="U314" s="78"/>
      <c r="V314" s="78"/>
      <c r="W314" s="78"/>
      <c r="X314" s="78"/>
      <c r="Y314" s="78"/>
      <c r="Z314" s="167" t="e">
        <f t="shared" ca="1" si="46"/>
        <v>#N/A</v>
      </c>
      <c r="AA314" s="168" t="e">
        <f t="shared" ca="1" si="40"/>
        <v>#N/A</v>
      </c>
      <c r="AB314" s="167">
        <f t="shared" ca="1" si="47"/>
        <v>0</v>
      </c>
      <c r="AC314" s="168">
        <f t="shared" ca="1" si="41"/>
        <v>0</v>
      </c>
      <c r="AD314" s="191">
        <f t="shared" ca="1" si="42"/>
        <v>46259.633974537035</v>
      </c>
      <c r="AE314" s="167">
        <f t="shared" si="43"/>
        <v>0</v>
      </c>
      <c r="AF314" s="168">
        <f t="shared" si="44"/>
        <v>0</v>
      </c>
      <c r="AG314" s="168">
        <f t="shared" si="45"/>
        <v>0</v>
      </c>
      <c r="AH314" s="81" t="e" cm="1">
        <f t="array" aca="1" ref="AH314" ca="1">IF((AD314) &lt; (INDEX(ResponseSLA[#All],(MATCH((G314),ResponseSLA[Priority],0))+1,3)),"YES","No")</f>
        <v>#N/A</v>
      </c>
      <c r="AI314" s="81" t="str">
        <f>_xlfn.IFNA(IF(AE314 &lt; (INDEX(SLATable[Minimum SLA],MATCH(G314,SLATable[Priority],0))),"YES","NO"),"")</f>
        <v/>
      </c>
      <c r="AJ314" s="19" t="str">
        <f>_xlfn.IFNA(IF(AE314 &lt; (INDEX(SLATable[Maximum SLA],MATCH(G314,SLATable[Priority],0))),"YES","NO"),"")</f>
        <v/>
      </c>
    </row>
    <row r="315" spans="1:36" ht="15" customHeight="1">
      <c r="A315" s="78"/>
      <c r="B315" s="78"/>
      <c r="C315" s="78"/>
      <c r="D315" s="78"/>
      <c r="E315" s="78"/>
      <c r="F315" s="78"/>
      <c r="G315" s="78"/>
      <c r="H315" s="86"/>
      <c r="I315" s="78"/>
      <c r="J315" s="86"/>
      <c r="K315" s="277"/>
      <c r="L315" s="277"/>
      <c r="M315" s="277"/>
      <c r="N315" s="277"/>
      <c r="O315" s="80"/>
      <c r="P315" s="80"/>
      <c r="Q315" s="78"/>
      <c r="R315" s="78"/>
      <c r="S315" s="78"/>
      <c r="T315" s="78"/>
      <c r="U315" s="78"/>
      <c r="V315" s="78"/>
      <c r="W315" s="78"/>
      <c r="X315" s="78"/>
      <c r="Y315" s="78"/>
      <c r="Z315" s="167" t="e">
        <f t="shared" ca="1" si="46"/>
        <v>#N/A</v>
      </c>
      <c r="AA315" s="168" t="e">
        <f t="shared" ca="1" si="40"/>
        <v>#N/A</v>
      </c>
      <c r="AB315" s="167">
        <f t="shared" ca="1" si="47"/>
        <v>0</v>
      </c>
      <c r="AC315" s="168">
        <f t="shared" ca="1" si="41"/>
        <v>0</v>
      </c>
      <c r="AD315" s="191">
        <f t="shared" ca="1" si="42"/>
        <v>46259.633974421296</v>
      </c>
      <c r="AE315" s="167">
        <f t="shared" si="43"/>
        <v>0</v>
      </c>
      <c r="AF315" s="168">
        <f t="shared" si="44"/>
        <v>0</v>
      </c>
      <c r="AG315" s="168">
        <f t="shared" si="45"/>
        <v>0</v>
      </c>
      <c r="AH315" s="81" t="e" cm="1">
        <f t="array" aca="1" ref="AH315" ca="1">IF((AD315) &lt; (INDEX(ResponseSLA[#All],(MATCH((G315),ResponseSLA[Priority],0))+1,3)),"YES","No")</f>
        <v>#N/A</v>
      </c>
      <c r="AI315" s="81" t="str">
        <f>_xlfn.IFNA(IF(AE315 &lt; (INDEX(SLATable[Minimum SLA],MATCH(G315,SLATable[Priority],0))),"YES","NO"),"")</f>
        <v/>
      </c>
      <c r="AJ315" s="19" t="str">
        <f>_xlfn.IFNA(IF(AE315 &lt; (INDEX(SLATable[Maximum SLA],MATCH(G315,SLATable[Priority],0))),"YES","NO"),"")</f>
        <v/>
      </c>
    </row>
    <row r="316" spans="1:36" ht="15" customHeight="1">
      <c r="A316" s="78"/>
      <c r="B316" s="78"/>
      <c r="C316" s="78"/>
      <c r="D316" s="78"/>
      <c r="E316" s="78"/>
      <c r="F316" s="78"/>
      <c r="G316" s="78"/>
      <c r="H316" s="86"/>
      <c r="I316" s="78"/>
      <c r="J316" s="86"/>
      <c r="K316" s="277"/>
      <c r="L316" s="277"/>
      <c r="M316" s="277"/>
      <c r="N316" s="277"/>
      <c r="O316" s="80"/>
      <c r="P316" s="80"/>
      <c r="Q316" s="78"/>
      <c r="R316" s="78"/>
      <c r="S316" s="78"/>
      <c r="T316" s="78"/>
      <c r="U316" s="78"/>
      <c r="V316" s="78"/>
      <c r="W316" s="78"/>
      <c r="X316" s="78"/>
      <c r="Y316" s="78"/>
      <c r="Z316" s="167" t="e">
        <f t="shared" ca="1" si="46"/>
        <v>#N/A</v>
      </c>
      <c r="AA316" s="168" t="e">
        <f t="shared" ca="1" si="40"/>
        <v>#N/A</v>
      </c>
      <c r="AB316" s="167">
        <f t="shared" ca="1" si="47"/>
        <v>0</v>
      </c>
      <c r="AC316" s="168">
        <f t="shared" ca="1" si="41"/>
        <v>0</v>
      </c>
      <c r="AD316" s="191">
        <f t="shared" ca="1" si="42"/>
        <v>46259.633974421296</v>
      </c>
      <c r="AE316" s="167">
        <f t="shared" si="43"/>
        <v>0</v>
      </c>
      <c r="AF316" s="168">
        <f t="shared" si="44"/>
        <v>0</v>
      </c>
      <c r="AG316" s="168">
        <f t="shared" si="45"/>
        <v>0</v>
      </c>
      <c r="AH316" s="81" t="e" cm="1">
        <f t="array" aca="1" ref="AH316" ca="1">IF((AD316) &lt; (INDEX(ResponseSLA[#All],(MATCH((G316),ResponseSLA[Priority],0))+1,3)),"YES","No")</f>
        <v>#N/A</v>
      </c>
      <c r="AI316" s="81" t="str">
        <f>_xlfn.IFNA(IF(AE316 &lt; (INDEX(SLATable[Minimum SLA],MATCH(G316,SLATable[Priority],0))),"YES","NO"),"")</f>
        <v/>
      </c>
      <c r="AJ316" s="19" t="str">
        <f>_xlfn.IFNA(IF(AE316 &lt; (INDEX(SLATable[Maximum SLA],MATCH(G316,SLATable[Priority],0))),"YES","NO"),"")</f>
        <v/>
      </c>
    </row>
    <row r="317" spans="1:36" ht="15" customHeight="1">
      <c r="A317" s="78"/>
      <c r="B317" s="78"/>
      <c r="C317" s="78"/>
      <c r="D317" s="78"/>
      <c r="E317" s="78"/>
      <c r="F317" s="78"/>
      <c r="G317" s="78"/>
      <c r="H317" s="86"/>
      <c r="I317" s="78"/>
      <c r="J317" s="86"/>
      <c r="K317" s="277"/>
      <c r="L317" s="277"/>
      <c r="M317" s="277"/>
      <c r="N317" s="277"/>
      <c r="O317" s="80"/>
      <c r="P317" s="80"/>
      <c r="Q317" s="78"/>
      <c r="R317" s="78"/>
      <c r="S317" s="78"/>
      <c r="T317" s="78"/>
      <c r="U317" s="78"/>
      <c r="V317" s="78"/>
      <c r="W317" s="78"/>
      <c r="X317" s="78"/>
      <c r="Y317" s="78"/>
      <c r="Z317" s="167" t="e">
        <f t="shared" ca="1" si="46"/>
        <v>#N/A</v>
      </c>
      <c r="AA317" s="168" t="e">
        <f t="shared" ca="1" si="40"/>
        <v>#N/A</v>
      </c>
      <c r="AB317" s="167">
        <f t="shared" ca="1" si="47"/>
        <v>0</v>
      </c>
      <c r="AC317" s="168">
        <f t="shared" ca="1" si="41"/>
        <v>0</v>
      </c>
      <c r="AD317" s="191">
        <f t="shared" ca="1" si="42"/>
        <v>46259.633974537035</v>
      </c>
      <c r="AE317" s="167">
        <f t="shared" si="43"/>
        <v>0</v>
      </c>
      <c r="AF317" s="168">
        <f t="shared" si="44"/>
        <v>0</v>
      </c>
      <c r="AG317" s="168">
        <f t="shared" si="45"/>
        <v>0</v>
      </c>
      <c r="AH317" s="81" t="e" cm="1">
        <f t="array" aca="1" ref="AH317" ca="1">IF((AD317) &lt; (INDEX(ResponseSLA[#All],(MATCH((G317),ResponseSLA[Priority],0))+1,3)),"YES","No")</f>
        <v>#N/A</v>
      </c>
      <c r="AI317" s="81" t="str">
        <f>_xlfn.IFNA(IF(AE317 &lt; (INDEX(SLATable[Minimum SLA],MATCH(G317,SLATable[Priority],0))),"YES","NO"),"")</f>
        <v/>
      </c>
      <c r="AJ317" s="19" t="str">
        <f>_xlfn.IFNA(IF(AE317 &lt; (INDEX(SLATable[Maximum SLA],MATCH(G317,SLATable[Priority],0))),"YES","NO"),"")</f>
        <v/>
      </c>
    </row>
    <row r="318" spans="1:36" ht="15" customHeight="1">
      <c r="A318" s="78"/>
      <c r="B318" s="78"/>
      <c r="C318" s="78"/>
      <c r="D318" s="78"/>
      <c r="E318" s="78"/>
      <c r="F318" s="78"/>
      <c r="G318" s="78"/>
      <c r="H318" s="86"/>
      <c r="I318" s="78"/>
      <c r="J318" s="86"/>
      <c r="K318" s="277"/>
      <c r="L318" s="277"/>
      <c r="M318" s="277"/>
      <c r="N318" s="277"/>
      <c r="O318" s="80"/>
      <c r="P318" s="80"/>
      <c r="Q318" s="78"/>
      <c r="R318" s="78"/>
      <c r="S318" s="78"/>
      <c r="T318" s="78"/>
      <c r="U318" s="78"/>
      <c r="V318" s="78"/>
      <c r="W318" s="78"/>
      <c r="X318" s="78"/>
      <c r="Y318" s="78"/>
      <c r="Z318" s="167" t="e">
        <f t="shared" ca="1" si="46"/>
        <v>#N/A</v>
      </c>
      <c r="AA318" s="168" t="e">
        <f t="shared" ca="1" si="40"/>
        <v>#N/A</v>
      </c>
      <c r="AB318" s="167">
        <f t="shared" ca="1" si="47"/>
        <v>0</v>
      </c>
      <c r="AC318" s="168">
        <f t="shared" ca="1" si="41"/>
        <v>0</v>
      </c>
      <c r="AD318" s="191">
        <f t="shared" ca="1" si="42"/>
        <v>46259.633974421296</v>
      </c>
      <c r="AE318" s="167">
        <f t="shared" si="43"/>
        <v>0</v>
      </c>
      <c r="AF318" s="168">
        <f t="shared" si="44"/>
        <v>0</v>
      </c>
      <c r="AG318" s="168">
        <f t="shared" si="45"/>
        <v>0</v>
      </c>
      <c r="AH318" s="81" t="e" cm="1">
        <f t="array" aca="1" ref="AH318" ca="1">IF((AD318) &lt; (INDEX(ResponseSLA[#All],(MATCH((G318),ResponseSLA[Priority],0))+1,3)),"YES","No")</f>
        <v>#N/A</v>
      </c>
      <c r="AI318" s="81" t="str">
        <f>_xlfn.IFNA(IF(AE318 &lt; (INDEX(SLATable[Minimum SLA],MATCH(G318,SLATable[Priority],0))),"YES","NO"),"")</f>
        <v/>
      </c>
      <c r="AJ318" s="19" t="str">
        <f>_xlfn.IFNA(IF(AE318 &lt; (INDEX(SLATable[Maximum SLA],MATCH(G318,SLATable[Priority],0))),"YES","NO"),"")</f>
        <v/>
      </c>
    </row>
    <row r="319" spans="1:36" ht="15" customHeight="1">
      <c r="A319" s="78"/>
      <c r="B319" s="78"/>
      <c r="C319" s="78"/>
      <c r="D319" s="78"/>
      <c r="E319" s="78"/>
      <c r="F319" s="78"/>
      <c r="G319" s="78"/>
      <c r="H319" s="86"/>
      <c r="I319" s="78"/>
      <c r="J319" s="86"/>
      <c r="K319" s="277"/>
      <c r="L319" s="277"/>
      <c r="M319" s="277"/>
      <c r="N319" s="277"/>
      <c r="O319" s="80"/>
      <c r="P319" s="80"/>
      <c r="Q319" s="78"/>
      <c r="R319" s="78"/>
      <c r="S319" s="78"/>
      <c r="T319" s="78"/>
      <c r="U319" s="78"/>
      <c r="V319" s="78"/>
      <c r="W319" s="78"/>
      <c r="X319" s="78"/>
      <c r="Y319" s="78"/>
      <c r="Z319" s="167" t="e">
        <f t="shared" ca="1" si="46"/>
        <v>#N/A</v>
      </c>
      <c r="AA319" s="168" t="e">
        <f t="shared" ca="1" si="40"/>
        <v>#N/A</v>
      </c>
      <c r="AB319" s="167">
        <f t="shared" ca="1" si="47"/>
        <v>0</v>
      </c>
      <c r="AC319" s="168">
        <f t="shared" ca="1" si="41"/>
        <v>0</v>
      </c>
      <c r="AD319" s="191">
        <f t="shared" ca="1" si="42"/>
        <v>46259.633974421296</v>
      </c>
      <c r="AE319" s="167">
        <f t="shared" si="43"/>
        <v>0</v>
      </c>
      <c r="AF319" s="168">
        <f t="shared" si="44"/>
        <v>0</v>
      </c>
      <c r="AG319" s="168">
        <f t="shared" si="45"/>
        <v>0</v>
      </c>
      <c r="AH319" s="81" t="e" cm="1">
        <f t="array" aca="1" ref="AH319" ca="1">IF((AD319) &lt; (INDEX(ResponseSLA[#All],(MATCH((G319),ResponseSLA[Priority],0))+1,3)),"YES","No")</f>
        <v>#N/A</v>
      </c>
      <c r="AI319" s="81" t="str">
        <f>_xlfn.IFNA(IF(AE319 &lt; (INDEX(SLATable[Minimum SLA],MATCH(G319,SLATable[Priority],0))),"YES","NO"),"")</f>
        <v/>
      </c>
      <c r="AJ319" s="19" t="str">
        <f>_xlfn.IFNA(IF(AE319 &lt; (INDEX(SLATable[Maximum SLA],MATCH(G319,SLATable[Priority],0))),"YES","NO"),"")</f>
        <v/>
      </c>
    </row>
    <row r="320" spans="1:36" ht="15" customHeight="1">
      <c r="A320" s="78"/>
      <c r="B320" s="78"/>
      <c r="C320" s="78"/>
      <c r="D320" s="78"/>
      <c r="E320" s="78"/>
      <c r="F320" s="78"/>
      <c r="G320" s="78"/>
      <c r="H320" s="86"/>
      <c r="I320" s="78"/>
      <c r="J320" s="86"/>
      <c r="K320" s="277"/>
      <c r="L320" s="277"/>
      <c r="M320" s="277"/>
      <c r="N320" s="277"/>
      <c r="O320" s="80"/>
      <c r="P320" s="80"/>
      <c r="Q320" s="78"/>
      <c r="R320" s="78"/>
      <c r="S320" s="78"/>
      <c r="T320" s="78"/>
      <c r="U320" s="78"/>
      <c r="V320" s="78"/>
      <c r="W320" s="78"/>
      <c r="X320" s="78"/>
      <c r="Y320" s="78"/>
      <c r="Z320" s="167" t="e">
        <f t="shared" ca="1" si="46"/>
        <v>#N/A</v>
      </c>
      <c r="AA320" s="168" t="e">
        <f t="shared" ca="1" si="40"/>
        <v>#N/A</v>
      </c>
      <c r="AB320" s="167">
        <f t="shared" ca="1" si="47"/>
        <v>0</v>
      </c>
      <c r="AC320" s="168">
        <f t="shared" ca="1" si="41"/>
        <v>0</v>
      </c>
      <c r="AD320" s="191">
        <f t="shared" ca="1" si="42"/>
        <v>46259.633974537035</v>
      </c>
      <c r="AE320" s="167">
        <f t="shared" si="43"/>
        <v>0</v>
      </c>
      <c r="AF320" s="168">
        <f t="shared" si="44"/>
        <v>0</v>
      </c>
      <c r="AG320" s="168">
        <f t="shared" si="45"/>
        <v>0</v>
      </c>
      <c r="AH320" s="81" t="e" cm="1">
        <f t="array" aca="1" ref="AH320" ca="1">IF((AD320) &lt; (INDEX(ResponseSLA[#All],(MATCH((G320),ResponseSLA[Priority],0))+1,3)),"YES","No")</f>
        <v>#N/A</v>
      </c>
      <c r="AI320" s="81" t="str">
        <f>_xlfn.IFNA(IF(AE320 &lt; (INDEX(SLATable[Minimum SLA],MATCH(G320,SLATable[Priority],0))),"YES","NO"),"")</f>
        <v/>
      </c>
      <c r="AJ320" s="19" t="str">
        <f>_xlfn.IFNA(IF(AE320 &lt; (INDEX(SLATable[Maximum SLA],MATCH(G320,SLATable[Priority],0))),"YES","NO"),"")</f>
        <v/>
      </c>
    </row>
    <row r="321" spans="1:36" ht="15" customHeight="1">
      <c r="A321" s="78"/>
      <c r="B321" s="78"/>
      <c r="C321" s="78"/>
      <c r="D321" s="78"/>
      <c r="E321" s="78"/>
      <c r="F321" s="78"/>
      <c r="G321" s="78"/>
      <c r="H321" s="86"/>
      <c r="I321" s="78"/>
      <c r="J321" s="86"/>
      <c r="K321" s="277"/>
      <c r="L321" s="277"/>
      <c r="M321" s="277"/>
      <c r="N321" s="277"/>
      <c r="O321" s="80"/>
      <c r="P321" s="80"/>
      <c r="Q321" s="78"/>
      <c r="R321" s="78"/>
      <c r="S321" s="78"/>
      <c r="T321" s="78"/>
      <c r="U321" s="78"/>
      <c r="V321" s="78"/>
      <c r="W321" s="78"/>
      <c r="X321" s="78"/>
      <c r="Y321" s="78"/>
      <c r="Z321" s="167" t="e">
        <f t="shared" ca="1" si="46"/>
        <v>#N/A</v>
      </c>
      <c r="AA321" s="168" t="e">
        <f t="shared" ca="1" si="40"/>
        <v>#N/A</v>
      </c>
      <c r="AB321" s="167">
        <f t="shared" ca="1" si="47"/>
        <v>0</v>
      </c>
      <c r="AC321" s="168">
        <f t="shared" ca="1" si="41"/>
        <v>0</v>
      </c>
      <c r="AD321" s="191">
        <f t="shared" ca="1" si="42"/>
        <v>46259.633974421296</v>
      </c>
      <c r="AE321" s="167">
        <f t="shared" si="43"/>
        <v>0</v>
      </c>
      <c r="AF321" s="168">
        <f t="shared" si="44"/>
        <v>0</v>
      </c>
      <c r="AG321" s="168">
        <f t="shared" si="45"/>
        <v>0</v>
      </c>
      <c r="AH321" s="81" t="e" cm="1">
        <f t="array" aca="1" ref="AH321" ca="1">IF((AD321) &lt; (INDEX(ResponseSLA[#All],(MATCH((G321),ResponseSLA[Priority],0))+1,3)),"YES","No")</f>
        <v>#N/A</v>
      </c>
      <c r="AI321" s="81" t="str">
        <f>_xlfn.IFNA(IF(AE321 &lt; (INDEX(SLATable[Minimum SLA],MATCH(G321,SLATable[Priority],0))),"YES","NO"),"")</f>
        <v/>
      </c>
      <c r="AJ321" s="19" t="str">
        <f>_xlfn.IFNA(IF(AE321 &lt; (INDEX(SLATable[Maximum SLA],MATCH(G321,SLATable[Priority],0))),"YES","NO"),"")</f>
        <v/>
      </c>
    </row>
    <row r="322" spans="1:36" ht="15" customHeight="1">
      <c r="A322" s="78"/>
      <c r="B322" s="78"/>
      <c r="C322" s="78"/>
      <c r="D322" s="78"/>
      <c r="E322" s="78"/>
      <c r="F322" s="78"/>
      <c r="G322" s="78"/>
      <c r="H322" s="86"/>
      <c r="I322" s="78"/>
      <c r="J322" s="86"/>
      <c r="K322" s="277"/>
      <c r="L322" s="277"/>
      <c r="M322" s="277"/>
      <c r="N322" s="277"/>
      <c r="O322" s="80"/>
      <c r="P322" s="80"/>
      <c r="Q322" s="78"/>
      <c r="R322" s="78"/>
      <c r="S322" s="78"/>
      <c r="T322" s="78"/>
      <c r="U322" s="78"/>
      <c r="V322" s="78"/>
      <c r="W322" s="78"/>
      <c r="X322" s="78"/>
      <c r="Y322" s="78"/>
      <c r="Z322" s="167" t="e">
        <f t="shared" ca="1" si="46"/>
        <v>#N/A</v>
      </c>
      <c r="AA322" s="168" t="e">
        <f t="shared" ref="AA322:AA385" ca="1" si="48">(Z322*24)/9</f>
        <v>#N/A</v>
      </c>
      <c r="AB322" s="167">
        <f t="shared" ca="1" si="47"/>
        <v>0</v>
      </c>
      <c r="AC322" s="168">
        <f t="shared" ref="AC322:AC385" ca="1" si="49">(AB322*24)/9</f>
        <v>0</v>
      </c>
      <c r="AD322" s="191">
        <f t="shared" ref="AD322:AD385" ca="1" si="50">MAX(0,
IF(
OR(G322=1,G322=2),
IF(M322&lt;&gt;"",M322-L322,NOW()-L322),
IF(
M322&lt;&gt;"",
IF(
INT(L322)=INT(M322),
IF(
NETWORKDAYS(L322,L322,UKBankHolidays)=0,
0,
MAX(
0,
MIN(MOD(M322,1),TIME(17,0,0))
-
MAX(MOD(L322,1),TIME(8,0,0))
)
),
MAX(
0,
IF(
NETWORKDAYS(L322,L322,UKBankHolidays)&gt;0,
TIME(17,0,0)-MAX(MOD(L322,1),TIME(8,0,0)),
0
)
)
+
MAX(
0,
NETWORKDAYS(INT(L322)+1,INT(M322)-1,UKBankHolidays)
*(TIME(17,0,0)-TIME(8,0,0))
)
+
MAX(
0,
IF(
NETWORKDAYS(M322,M322,UKBankHolidays)&gt;0,
MIN(MOD(M322,1),TIME(17,0,0))-TIME(8,0,0),
0
)
)
),
IF(M322&lt;&gt;"",M322-L322,NOW()-L322)
)
)
)</f>
        <v>46259.633974421296</v>
      </c>
      <c r="AE322" s="167">
        <f t="shared" ref="AE322:AE385" si="51">SUMIFS(AB:AB,E:E,E322)</f>
        <v>0</v>
      </c>
      <c r="AF322" s="168">
        <f t="shared" ref="AF322:AF385" si="52">(AE322*24)/9</f>
        <v>0</v>
      </c>
      <c r="AG322" s="168">
        <f t="shared" ref="AG322:AG385" si="53">AF322</f>
        <v>0</v>
      </c>
      <c r="AH322" s="81" t="e" cm="1">
        <f t="array" aca="1" ref="AH322" ca="1">IF((AD322) &lt; (INDEX(ResponseSLA[#All],(MATCH((G322),ResponseSLA[Priority],0))+1,3)),"YES","No")</f>
        <v>#N/A</v>
      </c>
      <c r="AI322" s="81" t="str">
        <f>_xlfn.IFNA(IF(AE322 &lt; (INDEX(SLATable[Minimum SLA],MATCH(G322,SLATable[Priority],0))),"YES","NO"),"")</f>
        <v/>
      </c>
      <c r="AJ322" s="19" t="str">
        <f>_xlfn.IFNA(IF(AE322 &lt; (INDEX(SLATable[Maximum SLA],MATCH(G322,SLATable[Priority],0))),"YES","NO"),"")</f>
        <v/>
      </c>
    </row>
    <row r="323" spans="1:36" ht="15" customHeight="1">
      <c r="A323" s="78"/>
      <c r="B323" s="78"/>
      <c r="C323" s="78"/>
      <c r="D323" s="78"/>
      <c r="E323" s="78"/>
      <c r="F323" s="78"/>
      <c r="G323" s="78"/>
      <c r="H323" s="86"/>
      <c r="I323" s="78"/>
      <c r="J323" s="86"/>
      <c r="K323" s="277"/>
      <c r="L323" s="277"/>
      <c r="M323" s="277"/>
      <c r="N323" s="277"/>
      <c r="O323" s="80"/>
      <c r="P323" s="80"/>
      <c r="Q323" s="78"/>
      <c r="R323" s="78"/>
      <c r="S323" s="78"/>
      <c r="T323" s="78"/>
      <c r="U323" s="78"/>
      <c r="V323" s="78"/>
      <c r="W323" s="78"/>
      <c r="X323" s="78"/>
      <c r="Y323" s="78"/>
      <c r="Z323" s="167" t="e">
        <f t="shared" ca="1" si="46"/>
        <v>#N/A</v>
      </c>
      <c r="AA323" s="168" t="e">
        <f t="shared" ca="1" si="48"/>
        <v>#N/A</v>
      </c>
      <c r="AB323" s="167">
        <f t="shared" ca="1" si="47"/>
        <v>0</v>
      </c>
      <c r="AC323" s="168">
        <f t="shared" ca="1" si="49"/>
        <v>0</v>
      </c>
      <c r="AD323" s="191">
        <f t="shared" ca="1" si="50"/>
        <v>46259.633974537035</v>
      </c>
      <c r="AE323" s="167">
        <f t="shared" si="51"/>
        <v>0</v>
      </c>
      <c r="AF323" s="168">
        <f t="shared" si="52"/>
        <v>0</v>
      </c>
      <c r="AG323" s="168">
        <f t="shared" si="53"/>
        <v>0</v>
      </c>
      <c r="AH323" s="81" t="e" cm="1">
        <f t="array" aca="1" ref="AH323" ca="1">IF((AD323) &lt; (INDEX(ResponseSLA[#All],(MATCH((G323),ResponseSLA[Priority],0))+1,3)),"YES","No")</f>
        <v>#N/A</v>
      </c>
      <c r="AI323" s="81" t="str">
        <f>_xlfn.IFNA(IF(AE323 &lt; (INDEX(SLATable[Minimum SLA],MATCH(G323,SLATable[Priority],0))),"YES","NO"),"")</f>
        <v/>
      </c>
      <c r="AJ323" s="19" t="str">
        <f>_xlfn.IFNA(IF(AE323 &lt; (INDEX(SLATable[Maximum SLA],MATCH(G323,SLATable[Priority],0))),"YES","NO"),"")</f>
        <v/>
      </c>
    </row>
    <row r="324" spans="1:36" ht="15" customHeight="1">
      <c r="A324" s="78"/>
      <c r="B324" s="78"/>
      <c r="C324" s="78"/>
      <c r="D324" s="78"/>
      <c r="E324" s="78"/>
      <c r="F324" s="78"/>
      <c r="G324" s="78"/>
      <c r="H324" s="86"/>
      <c r="I324" s="78"/>
      <c r="J324" s="86"/>
      <c r="K324" s="277"/>
      <c r="L324" s="277"/>
      <c r="M324" s="277"/>
      <c r="N324" s="277"/>
      <c r="O324" s="80"/>
      <c r="P324" s="80"/>
      <c r="Q324" s="78"/>
      <c r="R324" s="78"/>
      <c r="S324" s="78"/>
      <c r="T324" s="78"/>
      <c r="U324" s="78"/>
      <c r="V324" s="78"/>
      <c r="W324" s="78"/>
      <c r="X324" s="78"/>
      <c r="Y324" s="78"/>
      <c r="Z324" s="167" t="e">
        <f t="shared" ca="1" si="46"/>
        <v>#N/A</v>
      </c>
      <c r="AA324" s="168" t="e">
        <f t="shared" ca="1" si="48"/>
        <v>#N/A</v>
      </c>
      <c r="AB324" s="167">
        <f t="shared" ca="1" si="47"/>
        <v>0</v>
      </c>
      <c r="AC324" s="168">
        <f t="shared" ca="1" si="49"/>
        <v>0</v>
      </c>
      <c r="AD324" s="191">
        <f t="shared" ca="1" si="50"/>
        <v>46259.633974421296</v>
      </c>
      <c r="AE324" s="167">
        <f t="shared" si="51"/>
        <v>0</v>
      </c>
      <c r="AF324" s="168">
        <f t="shared" si="52"/>
        <v>0</v>
      </c>
      <c r="AG324" s="168">
        <f t="shared" si="53"/>
        <v>0</v>
      </c>
      <c r="AH324" s="81" t="e" cm="1">
        <f t="array" aca="1" ref="AH324" ca="1">IF((AD324) &lt; (INDEX(ResponseSLA[#All],(MATCH((G324),ResponseSLA[Priority],0))+1,3)),"YES","No")</f>
        <v>#N/A</v>
      </c>
      <c r="AI324" s="81" t="str">
        <f>_xlfn.IFNA(IF(AE324 &lt; (INDEX(SLATable[Minimum SLA],MATCH(G324,SLATable[Priority],0))),"YES","NO"),"")</f>
        <v/>
      </c>
      <c r="AJ324" s="19" t="str">
        <f>_xlfn.IFNA(IF(AE324 &lt; (INDEX(SLATable[Maximum SLA],MATCH(G324,SLATable[Priority],0))),"YES","NO"),"")</f>
        <v/>
      </c>
    </row>
    <row r="325" spans="1:36" ht="15" customHeight="1">
      <c r="A325" s="78"/>
      <c r="B325" s="78"/>
      <c r="C325" s="78"/>
      <c r="D325" s="78"/>
      <c r="E325" s="78"/>
      <c r="F325" s="78"/>
      <c r="G325" s="78"/>
      <c r="H325" s="86"/>
      <c r="I325" s="78"/>
      <c r="J325" s="86"/>
      <c r="K325" s="277"/>
      <c r="L325" s="277"/>
      <c r="M325" s="277"/>
      <c r="N325" s="277"/>
      <c r="O325" s="80"/>
      <c r="P325" s="80"/>
      <c r="Q325" s="78"/>
      <c r="R325" s="78"/>
      <c r="S325" s="78"/>
      <c r="T325" s="78"/>
      <c r="U325" s="78"/>
      <c r="V325" s="78"/>
      <c r="W325" s="78"/>
      <c r="X325" s="78"/>
      <c r="Y325" s="78"/>
      <c r="Z325" s="167" t="e">
        <f t="shared" ca="1" si="46"/>
        <v>#N/A</v>
      </c>
      <c r="AA325" s="168" t="e">
        <f t="shared" ca="1" si="48"/>
        <v>#N/A</v>
      </c>
      <c r="AB325" s="167">
        <f t="shared" ca="1" si="47"/>
        <v>0</v>
      </c>
      <c r="AC325" s="168">
        <f t="shared" ca="1" si="49"/>
        <v>0</v>
      </c>
      <c r="AD325" s="191">
        <f t="shared" ca="1" si="50"/>
        <v>46259.633974421296</v>
      </c>
      <c r="AE325" s="167">
        <f t="shared" si="51"/>
        <v>0</v>
      </c>
      <c r="AF325" s="168">
        <f t="shared" si="52"/>
        <v>0</v>
      </c>
      <c r="AG325" s="168">
        <f t="shared" si="53"/>
        <v>0</v>
      </c>
      <c r="AH325" s="81" t="e" cm="1">
        <f t="array" aca="1" ref="AH325" ca="1">IF((AD325) &lt; (INDEX(ResponseSLA[#All],(MATCH((G325),ResponseSLA[Priority],0))+1,3)),"YES","No")</f>
        <v>#N/A</v>
      </c>
      <c r="AI325" s="81" t="str">
        <f>_xlfn.IFNA(IF(AE325 &lt; (INDEX(SLATable[Minimum SLA],MATCH(G325,SLATable[Priority],0))),"YES","NO"),"")</f>
        <v/>
      </c>
      <c r="AJ325" s="19" t="str">
        <f>_xlfn.IFNA(IF(AE325 &lt; (INDEX(SLATable[Maximum SLA],MATCH(G325,SLATable[Priority],0))),"YES","NO"),"")</f>
        <v/>
      </c>
    </row>
    <row r="326" spans="1:36" ht="15" customHeight="1">
      <c r="A326" s="78"/>
      <c r="B326" s="78"/>
      <c r="C326" s="78"/>
      <c r="D326" s="78"/>
      <c r="E326" s="78"/>
      <c r="F326" s="78"/>
      <c r="G326" s="78"/>
      <c r="H326" s="86"/>
      <c r="I326" s="78"/>
      <c r="J326" s="86"/>
      <c r="K326" s="277"/>
      <c r="L326" s="277"/>
      <c r="M326" s="277"/>
      <c r="N326" s="277"/>
      <c r="O326" s="80"/>
      <c r="P326" s="80"/>
      <c r="Q326" s="78"/>
      <c r="R326" s="78"/>
      <c r="S326" s="78"/>
      <c r="T326" s="78"/>
      <c r="U326" s="78"/>
      <c r="V326" s="78"/>
      <c r="W326" s="78"/>
      <c r="X326" s="78"/>
      <c r="Y326" s="78"/>
      <c r="Z326" s="167" t="e">
        <f t="shared" ca="1" si="46"/>
        <v>#N/A</v>
      </c>
      <c r="AA326" s="168" t="e">
        <f t="shared" ca="1" si="48"/>
        <v>#N/A</v>
      </c>
      <c r="AB326" s="167">
        <f t="shared" ca="1" si="47"/>
        <v>0</v>
      </c>
      <c r="AC326" s="168">
        <f t="shared" ca="1" si="49"/>
        <v>0</v>
      </c>
      <c r="AD326" s="191">
        <f t="shared" ca="1" si="50"/>
        <v>46259.633974537035</v>
      </c>
      <c r="AE326" s="167">
        <f t="shared" si="51"/>
        <v>0</v>
      </c>
      <c r="AF326" s="168">
        <f t="shared" si="52"/>
        <v>0</v>
      </c>
      <c r="AG326" s="168">
        <f t="shared" si="53"/>
        <v>0</v>
      </c>
      <c r="AH326" s="81" t="e" cm="1">
        <f t="array" aca="1" ref="AH326" ca="1">IF((AD326) &lt; (INDEX(ResponseSLA[#All],(MATCH((G326),ResponseSLA[Priority],0))+1,3)),"YES","No")</f>
        <v>#N/A</v>
      </c>
      <c r="AI326" s="81" t="str">
        <f>_xlfn.IFNA(IF(AE326 &lt; (INDEX(SLATable[Minimum SLA],MATCH(G326,SLATable[Priority],0))),"YES","NO"),"")</f>
        <v/>
      </c>
      <c r="AJ326" s="19" t="str">
        <f>_xlfn.IFNA(IF(AE326 &lt; (INDEX(SLATable[Maximum SLA],MATCH(G326,SLATable[Priority],0))),"YES","NO"),"")</f>
        <v/>
      </c>
    </row>
    <row r="327" spans="1:36" ht="15" customHeight="1">
      <c r="A327" s="78"/>
      <c r="B327" s="78"/>
      <c r="C327" s="78"/>
      <c r="D327" s="78"/>
      <c r="E327" s="78"/>
      <c r="F327" s="78"/>
      <c r="G327" s="78"/>
      <c r="H327" s="86"/>
      <c r="I327" s="78"/>
      <c r="J327" s="86"/>
      <c r="K327" s="277"/>
      <c r="L327" s="277"/>
      <c r="M327" s="277"/>
      <c r="N327" s="277"/>
      <c r="O327" s="80"/>
      <c r="P327" s="80"/>
      <c r="Q327" s="78"/>
      <c r="R327" s="78"/>
      <c r="S327" s="78"/>
      <c r="T327" s="78"/>
      <c r="U327" s="78"/>
      <c r="V327" s="78"/>
      <c r="W327" s="78"/>
      <c r="X327" s="78"/>
      <c r="Y327" s="78"/>
      <c r="Z327" s="167" t="e">
        <f t="shared" ca="1" si="46"/>
        <v>#N/A</v>
      </c>
      <c r="AA327" s="168" t="e">
        <f t="shared" ca="1" si="48"/>
        <v>#N/A</v>
      </c>
      <c r="AB327" s="167">
        <f t="shared" ca="1" si="47"/>
        <v>0</v>
      </c>
      <c r="AC327" s="168">
        <f t="shared" ca="1" si="49"/>
        <v>0</v>
      </c>
      <c r="AD327" s="191">
        <f t="shared" ca="1" si="50"/>
        <v>46259.633974421296</v>
      </c>
      <c r="AE327" s="167">
        <f t="shared" si="51"/>
        <v>0</v>
      </c>
      <c r="AF327" s="168">
        <f t="shared" si="52"/>
        <v>0</v>
      </c>
      <c r="AG327" s="168">
        <f t="shared" si="53"/>
        <v>0</v>
      </c>
      <c r="AH327" s="81" t="e" cm="1">
        <f t="array" aca="1" ref="AH327" ca="1">IF((AD327) &lt; (INDEX(ResponseSLA[#All],(MATCH((G327),ResponseSLA[Priority],0))+1,3)),"YES","No")</f>
        <v>#N/A</v>
      </c>
      <c r="AI327" s="81" t="str">
        <f>_xlfn.IFNA(IF(AE327 &lt; (INDEX(SLATable[Minimum SLA],MATCH(G327,SLATable[Priority],0))),"YES","NO"),"")</f>
        <v/>
      </c>
      <c r="AJ327" s="19" t="str">
        <f>_xlfn.IFNA(IF(AE327 &lt; (INDEX(SLATable[Maximum SLA],MATCH(G327,SLATable[Priority],0))),"YES","NO"),"")</f>
        <v/>
      </c>
    </row>
    <row r="328" spans="1:36" ht="15" customHeight="1">
      <c r="A328" s="78"/>
      <c r="B328" s="78"/>
      <c r="C328" s="78"/>
      <c r="D328" s="78"/>
      <c r="E328" s="78"/>
      <c r="F328" s="78"/>
      <c r="G328" s="78"/>
      <c r="H328" s="86"/>
      <c r="I328" s="78"/>
      <c r="J328" s="86"/>
      <c r="K328" s="277"/>
      <c r="L328" s="277"/>
      <c r="M328" s="277"/>
      <c r="N328" s="277"/>
      <c r="O328" s="80"/>
      <c r="P328" s="80"/>
      <c r="Q328" s="78"/>
      <c r="R328" s="78"/>
      <c r="S328" s="78"/>
      <c r="T328" s="78"/>
      <c r="U328" s="78"/>
      <c r="V328" s="78"/>
      <c r="W328" s="78"/>
      <c r="X328" s="78"/>
      <c r="Y328" s="78"/>
      <c r="Z328" s="167" t="e">
        <f t="shared" ca="1" si="46"/>
        <v>#N/A</v>
      </c>
      <c r="AA328" s="168" t="e">
        <f t="shared" ca="1" si="48"/>
        <v>#N/A</v>
      </c>
      <c r="AB328" s="167">
        <f t="shared" ca="1" si="47"/>
        <v>0</v>
      </c>
      <c r="AC328" s="168">
        <f t="shared" ca="1" si="49"/>
        <v>0</v>
      </c>
      <c r="AD328" s="191">
        <f t="shared" ca="1" si="50"/>
        <v>46259.633974421296</v>
      </c>
      <c r="AE328" s="167">
        <f t="shared" si="51"/>
        <v>0</v>
      </c>
      <c r="AF328" s="168">
        <f t="shared" si="52"/>
        <v>0</v>
      </c>
      <c r="AG328" s="168">
        <f t="shared" si="53"/>
        <v>0</v>
      </c>
      <c r="AH328" s="81" t="e" cm="1">
        <f t="array" aca="1" ref="AH328" ca="1">IF((AD328) &lt; (INDEX(ResponseSLA[#All],(MATCH((G328),ResponseSLA[Priority],0))+1,3)),"YES","No")</f>
        <v>#N/A</v>
      </c>
      <c r="AI328" s="81" t="str">
        <f>_xlfn.IFNA(IF(AE328 &lt; (INDEX(SLATable[Minimum SLA],MATCH(G328,SLATable[Priority],0))),"YES","NO"),"")</f>
        <v/>
      </c>
      <c r="AJ328" s="19" t="str">
        <f>_xlfn.IFNA(IF(AE328 &lt; (INDEX(SLATable[Maximum SLA],MATCH(G328,SLATable[Priority],0))),"YES","NO"),"")</f>
        <v/>
      </c>
    </row>
    <row r="329" spans="1:36" ht="15" customHeight="1">
      <c r="A329" s="78"/>
      <c r="B329" s="78"/>
      <c r="C329" s="78"/>
      <c r="D329" s="78"/>
      <c r="E329" s="78"/>
      <c r="F329" s="78"/>
      <c r="G329" s="78"/>
      <c r="H329" s="86"/>
      <c r="I329" s="78"/>
      <c r="J329" s="86"/>
      <c r="K329" s="277"/>
      <c r="L329" s="277"/>
      <c r="M329" s="277"/>
      <c r="N329" s="277"/>
      <c r="O329" s="80"/>
      <c r="P329" s="80"/>
      <c r="Q329" s="78"/>
      <c r="R329" s="78"/>
      <c r="S329" s="78"/>
      <c r="T329" s="78"/>
      <c r="U329" s="78"/>
      <c r="V329" s="78"/>
      <c r="W329" s="78"/>
      <c r="X329" s="78"/>
      <c r="Y329" s="78"/>
      <c r="Z329" s="167" t="e">
        <f t="shared" ca="1" si="46"/>
        <v>#N/A</v>
      </c>
      <c r="AA329" s="168" t="e">
        <f t="shared" ca="1" si="48"/>
        <v>#N/A</v>
      </c>
      <c r="AB329" s="167">
        <f t="shared" ca="1" si="47"/>
        <v>0</v>
      </c>
      <c r="AC329" s="168">
        <f t="shared" ca="1" si="49"/>
        <v>0</v>
      </c>
      <c r="AD329" s="191">
        <f t="shared" ca="1" si="50"/>
        <v>46259.633974537035</v>
      </c>
      <c r="AE329" s="167">
        <f t="shared" si="51"/>
        <v>0</v>
      </c>
      <c r="AF329" s="168">
        <f t="shared" si="52"/>
        <v>0</v>
      </c>
      <c r="AG329" s="168">
        <f t="shared" si="53"/>
        <v>0</v>
      </c>
      <c r="AH329" s="81" t="e" cm="1">
        <f t="array" aca="1" ref="AH329" ca="1">IF((AD329) &lt; (INDEX(ResponseSLA[#All],(MATCH((G329),ResponseSLA[Priority],0))+1,3)),"YES","No")</f>
        <v>#N/A</v>
      </c>
      <c r="AI329" s="81" t="str">
        <f>_xlfn.IFNA(IF(AE329 &lt; (INDEX(SLATable[Minimum SLA],MATCH(G329,SLATable[Priority],0))),"YES","NO"),"")</f>
        <v/>
      </c>
      <c r="AJ329" s="19" t="str">
        <f>_xlfn.IFNA(IF(AE329 &lt; (INDEX(SLATable[Maximum SLA],MATCH(G329,SLATable[Priority],0))),"YES","NO"),"")</f>
        <v/>
      </c>
    </row>
    <row r="330" spans="1:36" ht="15" customHeight="1">
      <c r="A330" s="78"/>
      <c r="B330" s="78"/>
      <c r="C330" s="78"/>
      <c r="D330" s="78"/>
      <c r="E330" s="78"/>
      <c r="F330" s="78"/>
      <c r="G330" s="78"/>
      <c r="H330" s="86"/>
      <c r="I330" s="78"/>
      <c r="J330" s="86"/>
      <c r="K330" s="277"/>
      <c r="L330" s="277"/>
      <c r="M330" s="277"/>
      <c r="N330" s="277"/>
      <c r="O330" s="80"/>
      <c r="P330" s="80"/>
      <c r="Q330" s="78"/>
      <c r="R330" s="78"/>
      <c r="S330" s="78"/>
      <c r="T330" s="78"/>
      <c r="U330" s="78"/>
      <c r="V330" s="78"/>
      <c r="W330" s="78"/>
      <c r="X330" s="78"/>
      <c r="Y330" s="78"/>
      <c r="Z330" s="167" t="e">
        <f t="shared" ca="1" si="46"/>
        <v>#N/A</v>
      </c>
      <c r="AA330" s="168" t="e">
        <f t="shared" ca="1" si="48"/>
        <v>#N/A</v>
      </c>
      <c r="AB330" s="167">
        <f t="shared" ca="1" si="47"/>
        <v>0</v>
      </c>
      <c r="AC330" s="168">
        <f t="shared" ca="1" si="49"/>
        <v>0</v>
      </c>
      <c r="AD330" s="191">
        <f t="shared" ca="1" si="50"/>
        <v>46259.633974421296</v>
      </c>
      <c r="AE330" s="167">
        <f t="shared" si="51"/>
        <v>0</v>
      </c>
      <c r="AF330" s="168">
        <f t="shared" si="52"/>
        <v>0</v>
      </c>
      <c r="AG330" s="168">
        <f t="shared" si="53"/>
        <v>0</v>
      </c>
      <c r="AH330" s="81" t="e" cm="1">
        <f t="array" aca="1" ref="AH330" ca="1">IF((AD330) &lt; (INDEX(ResponseSLA[#All],(MATCH((G330),ResponseSLA[Priority],0))+1,3)),"YES","No")</f>
        <v>#N/A</v>
      </c>
      <c r="AI330" s="81" t="str">
        <f>_xlfn.IFNA(IF(AE330 &lt; (INDEX(SLATable[Minimum SLA],MATCH(G330,SLATable[Priority],0))),"YES","NO"),"")</f>
        <v/>
      </c>
      <c r="AJ330" s="19" t="str">
        <f>_xlfn.IFNA(IF(AE330 &lt; (INDEX(SLATable[Maximum SLA],MATCH(G330,SLATable[Priority],0))),"YES","NO"),"")</f>
        <v/>
      </c>
    </row>
    <row r="331" spans="1:36" ht="15" customHeight="1">
      <c r="A331" s="78"/>
      <c r="B331" s="78"/>
      <c r="C331" s="78"/>
      <c r="D331" s="78"/>
      <c r="E331" s="78"/>
      <c r="F331" s="78"/>
      <c r="G331" s="78"/>
      <c r="H331" s="86"/>
      <c r="I331" s="78"/>
      <c r="J331" s="86"/>
      <c r="K331" s="277"/>
      <c r="L331" s="277"/>
      <c r="M331" s="277"/>
      <c r="N331" s="277"/>
      <c r="O331" s="80"/>
      <c r="P331" s="80"/>
      <c r="Q331" s="78"/>
      <c r="R331" s="78"/>
      <c r="S331" s="78"/>
      <c r="T331" s="78"/>
      <c r="U331" s="78"/>
      <c r="V331" s="78"/>
      <c r="W331" s="78"/>
      <c r="X331" s="78"/>
      <c r="Y331" s="78"/>
      <c r="Z331" s="167" t="e">
        <f t="shared" ca="1" si="46"/>
        <v>#N/A</v>
      </c>
      <c r="AA331" s="168" t="e">
        <f t="shared" ca="1" si="48"/>
        <v>#N/A</v>
      </c>
      <c r="AB331" s="167">
        <f t="shared" ca="1" si="47"/>
        <v>0</v>
      </c>
      <c r="AC331" s="168">
        <f t="shared" ca="1" si="49"/>
        <v>0</v>
      </c>
      <c r="AD331" s="191">
        <f t="shared" ca="1" si="50"/>
        <v>46259.633974421296</v>
      </c>
      <c r="AE331" s="167">
        <f t="shared" si="51"/>
        <v>0</v>
      </c>
      <c r="AF331" s="168">
        <f t="shared" si="52"/>
        <v>0</v>
      </c>
      <c r="AG331" s="168">
        <f t="shared" si="53"/>
        <v>0</v>
      </c>
      <c r="AH331" s="81" t="e" cm="1">
        <f t="array" aca="1" ref="AH331" ca="1">IF((AD331) &lt; (INDEX(ResponseSLA[#All],(MATCH((G331),ResponseSLA[Priority],0))+1,3)),"YES","No")</f>
        <v>#N/A</v>
      </c>
      <c r="AI331" s="81" t="str">
        <f>_xlfn.IFNA(IF(AE331 &lt; (INDEX(SLATable[Minimum SLA],MATCH(G331,SLATable[Priority],0))),"YES","NO"),"")</f>
        <v/>
      </c>
      <c r="AJ331" s="19" t="str">
        <f>_xlfn.IFNA(IF(AE331 &lt; (INDEX(SLATable[Maximum SLA],MATCH(G331,SLATable[Priority],0))),"YES","NO"),"")</f>
        <v/>
      </c>
    </row>
    <row r="332" spans="1:36" ht="15" customHeight="1">
      <c r="A332" s="78"/>
      <c r="B332" s="78"/>
      <c r="C332" s="78"/>
      <c r="D332" s="78"/>
      <c r="E332" s="78"/>
      <c r="F332" s="78"/>
      <c r="G332" s="78"/>
      <c r="H332" s="86"/>
      <c r="I332" s="78"/>
      <c r="J332" s="86"/>
      <c r="K332" s="277"/>
      <c r="L332" s="277"/>
      <c r="M332" s="277"/>
      <c r="N332" s="277"/>
      <c r="O332" s="80"/>
      <c r="P332" s="80"/>
      <c r="Q332" s="78"/>
      <c r="R332" s="78"/>
      <c r="S332" s="78"/>
      <c r="T332" s="78"/>
      <c r="U332" s="78"/>
      <c r="V332" s="78"/>
      <c r="W332" s="78"/>
      <c r="X332" s="78"/>
      <c r="Y332" s="78"/>
      <c r="Z332" s="167" t="e">
        <f t="shared" ca="1" si="46"/>
        <v>#N/A</v>
      </c>
      <c r="AA332" s="168" t="e">
        <f t="shared" ca="1" si="48"/>
        <v>#N/A</v>
      </c>
      <c r="AB332" s="167">
        <f t="shared" ca="1" si="47"/>
        <v>0</v>
      </c>
      <c r="AC332" s="168">
        <f t="shared" ca="1" si="49"/>
        <v>0</v>
      </c>
      <c r="AD332" s="191">
        <f t="shared" ca="1" si="50"/>
        <v>46259.633974537035</v>
      </c>
      <c r="AE332" s="167">
        <f t="shared" si="51"/>
        <v>0</v>
      </c>
      <c r="AF332" s="168">
        <f t="shared" si="52"/>
        <v>0</v>
      </c>
      <c r="AG332" s="168">
        <f t="shared" si="53"/>
        <v>0</v>
      </c>
      <c r="AH332" s="81" t="e" cm="1">
        <f t="array" aca="1" ref="AH332" ca="1">IF((AD332) &lt; (INDEX(ResponseSLA[#All],(MATCH((G332),ResponseSLA[Priority],0))+1,3)),"YES","No")</f>
        <v>#N/A</v>
      </c>
      <c r="AI332" s="81" t="str">
        <f>_xlfn.IFNA(IF(AE332 &lt; (INDEX(SLATable[Minimum SLA],MATCH(G332,SLATable[Priority],0))),"YES","NO"),"")</f>
        <v/>
      </c>
      <c r="AJ332" s="19" t="str">
        <f>_xlfn.IFNA(IF(AE332 &lt; (INDEX(SLATable[Maximum SLA],MATCH(G332,SLATable[Priority],0))),"YES","NO"),"")</f>
        <v/>
      </c>
    </row>
    <row r="333" spans="1:36" ht="15" customHeight="1">
      <c r="A333" s="78"/>
      <c r="B333" s="78"/>
      <c r="C333" s="78"/>
      <c r="D333" s="78"/>
      <c r="E333" s="78"/>
      <c r="F333" s="78"/>
      <c r="G333" s="78"/>
      <c r="H333" s="86"/>
      <c r="I333" s="78"/>
      <c r="J333" s="86"/>
      <c r="K333" s="277"/>
      <c r="L333" s="277"/>
      <c r="M333" s="277"/>
      <c r="N333" s="277"/>
      <c r="O333" s="80"/>
      <c r="P333" s="80"/>
      <c r="Q333" s="78"/>
      <c r="R333" s="78"/>
      <c r="S333" s="78"/>
      <c r="T333" s="78"/>
      <c r="U333" s="78"/>
      <c r="V333" s="78"/>
      <c r="W333" s="78"/>
      <c r="X333" s="78"/>
      <c r="Y333" s="78"/>
      <c r="Z333" s="167" t="e">
        <f t="shared" ca="1" si="46"/>
        <v>#N/A</v>
      </c>
      <c r="AA333" s="168" t="e">
        <f t="shared" ca="1" si="48"/>
        <v>#N/A</v>
      </c>
      <c r="AB333" s="167">
        <f t="shared" ca="1" si="47"/>
        <v>0</v>
      </c>
      <c r="AC333" s="168">
        <f t="shared" ca="1" si="49"/>
        <v>0</v>
      </c>
      <c r="AD333" s="191">
        <f t="shared" ca="1" si="50"/>
        <v>46259.633974421296</v>
      </c>
      <c r="AE333" s="167">
        <f t="shared" si="51"/>
        <v>0</v>
      </c>
      <c r="AF333" s="168">
        <f t="shared" si="52"/>
        <v>0</v>
      </c>
      <c r="AG333" s="168">
        <f t="shared" si="53"/>
        <v>0</v>
      </c>
      <c r="AH333" s="81" t="e" cm="1">
        <f t="array" aca="1" ref="AH333" ca="1">IF((AD333) &lt; (INDEX(ResponseSLA[#All],(MATCH((G333),ResponseSLA[Priority],0))+1,3)),"YES","No")</f>
        <v>#N/A</v>
      </c>
      <c r="AI333" s="81" t="str">
        <f>_xlfn.IFNA(IF(AE333 &lt; (INDEX(SLATable[Minimum SLA],MATCH(G333,SLATable[Priority],0))),"YES","NO"),"")</f>
        <v/>
      </c>
      <c r="AJ333" s="19" t="str">
        <f>_xlfn.IFNA(IF(AE333 &lt; (INDEX(SLATable[Maximum SLA],MATCH(G333,SLATable[Priority],0))),"YES","NO"),"")</f>
        <v/>
      </c>
    </row>
    <row r="334" spans="1:36" ht="15" customHeight="1">
      <c r="A334" s="78"/>
      <c r="B334" s="78"/>
      <c r="C334" s="78"/>
      <c r="D334" s="78"/>
      <c r="E334" s="78"/>
      <c r="F334" s="78"/>
      <c r="G334" s="78"/>
      <c r="H334" s="86"/>
      <c r="I334" s="78"/>
      <c r="J334" s="86"/>
      <c r="K334" s="277"/>
      <c r="L334" s="277"/>
      <c r="M334" s="277"/>
      <c r="N334" s="277"/>
      <c r="O334" s="80"/>
      <c r="P334" s="80"/>
      <c r="Q334" s="78"/>
      <c r="R334" s="78"/>
      <c r="S334" s="78"/>
      <c r="T334" s="78"/>
      <c r="U334" s="78"/>
      <c r="V334" s="78"/>
      <c r="W334" s="78"/>
      <c r="X334" s="78"/>
      <c r="Y334" s="78"/>
      <c r="Z334" s="167" t="e">
        <f t="shared" ca="1" si="46"/>
        <v>#N/A</v>
      </c>
      <c r="AA334" s="168" t="e">
        <f t="shared" ca="1" si="48"/>
        <v>#N/A</v>
      </c>
      <c r="AB334" s="167">
        <f t="shared" ca="1" si="47"/>
        <v>0</v>
      </c>
      <c r="AC334" s="168">
        <f t="shared" ca="1" si="49"/>
        <v>0</v>
      </c>
      <c r="AD334" s="191">
        <f t="shared" ca="1" si="50"/>
        <v>46259.633974421296</v>
      </c>
      <c r="AE334" s="167">
        <f t="shared" si="51"/>
        <v>0</v>
      </c>
      <c r="AF334" s="168">
        <f t="shared" si="52"/>
        <v>0</v>
      </c>
      <c r="AG334" s="168">
        <f t="shared" si="53"/>
        <v>0</v>
      </c>
      <c r="AH334" s="81" t="e" cm="1">
        <f t="array" aca="1" ref="AH334" ca="1">IF((AD334) &lt; (INDEX(ResponseSLA[#All],(MATCH((G334),ResponseSLA[Priority],0))+1,3)),"YES","No")</f>
        <v>#N/A</v>
      </c>
      <c r="AI334" s="81" t="str">
        <f>_xlfn.IFNA(IF(AE334 &lt; (INDEX(SLATable[Minimum SLA],MATCH(G334,SLATable[Priority],0))),"YES","NO"),"")</f>
        <v/>
      </c>
      <c r="AJ334" s="19" t="str">
        <f>_xlfn.IFNA(IF(AE334 &lt; (INDEX(SLATable[Maximum SLA],MATCH(G334,SLATable[Priority],0))),"YES","NO"),"")</f>
        <v/>
      </c>
    </row>
    <row r="335" spans="1:36" ht="15" customHeight="1">
      <c r="A335" s="78"/>
      <c r="B335" s="78"/>
      <c r="C335" s="78"/>
      <c r="D335" s="78"/>
      <c r="E335" s="78"/>
      <c r="F335" s="78"/>
      <c r="G335" s="78"/>
      <c r="H335" s="86"/>
      <c r="I335" s="78"/>
      <c r="J335" s="86"/>
      <c r="K335" s="277"/>
      <c r="L335" s="277"/>
      <c r="M335" s="277"/>
      <c r="N335" s="277"/>
      <c r="O335" s="80"/>
      <c r="P335" s="80"/>
      <c r="Q335" s="78"/>
      <c r="R335" s="78"/>
      <c r="S335" s="78"/>
      <c r="T335" s="78"/>
      <c r="U335" s="78"/>
      <c r="V335" s="78"/>
      <c r="W335" s="78"/>
      <c r="X335" s="78"/>
      <c r="Y335" s="78"/>
      <c r="Z335" s="167" t="e">
        <f t="shared" ca="1" si="46"/>
        <v>#N/A</v>
      </c>
      <c r="AA335" s="168" t="e">
        <f t="shared" ca="1" si="48"/>
        <v>#N/A</v>
      </c>
      <c r="AB335" s="167">
        <f t="shared" ca="1" si="47"/>
        <v>0</v>
      </c>
      <c r="AC335" s="168">
        <f t="shared" ca="1" si="49"/>
        <v>0</v>
      </c>
      <c r="AD335" s="191">
        <f t="shared" ca="1" si="50"/>
        <v>46259.633974537035</v>
      </c>
      <c r="AE335" s="167">
        <f t="shared" si="51"/>
        <v>0</v>
      </c>
      <c r="AF335" s="168">
        <f t="shared" si="52"/>
        <v>0</v>
      </c>
      <c r="AG335" s="168">
        <f t="shared" si="53"/>
        <v>0</v>
      </c>
      <c r="AH335" s="81" t="e" cm="1">
        <f t="array" aca="1" ref="AH335" ca="1">IF((AD335) &lt; (INDEX(ResponseSLA[#All],(MATCH((G335),ResponseSLA[Priority],0))+1,3)),"YES","No")</f>
        <v>#N/A</v>
      </c>
      <c r="AI335" s="81" t="str">
        <f>_xlfn.IFNA(IF(AE335 &lt; (INDEX(SLATable[Minimum SLA],MATCH(G335,SLATable[Priority],0))),"YES","NO"),"")</f>
        <v/>
      </c>
      <c r="AJ335" s="19" t="str">
        <f>_xlfn.IFNA(IF(AE335 &lt; (INDEX(SLATable[Maximum SLA],MATCH(G335,SLATable[Priority],0))),"YES","NO"),"")</f>
        <v/>
      </c>
    </row>
    <row r="336" spans="1:36" ht="15" customHeight="1">
      <c r="A336" s="78"/>
      <c r="B336" s="78"/>
      <c r="C336" s="78"/>
      <c r="D336" s="78"/>
      <c r="E336" s="78"/>
      <c r="F336" s="78"/>
      <c r="G336" s="78"/>
      <c r="H336" s="86"/>
      <c r="I336" s="78"/>
      <c r="J336" s="86"/>
      <c r="K336" s="277"/>
      <c r="L336" s="277"/>
      <c r="M336" s="277"/>
      <c r="N336" s="277"/>
      <c r="O336" s="80"/>
      <c r="P336" s="80"/>
      <c r="Q336" s="78"/>
      <c r="R336" s="78"/>
      <c r="S336" s="78"/>
      <c r="T336" s="78"/>
      <c r="U336" s="78"/>
      <c r="V336" s="78"/>
      <c r="W336" s="78"/>
      <c r="X336" s="78"/>
      <c r="Y336" s="78"/>
      <c r="Z336" s="167" t="e">
        <f t="shared" ca="1" si="46"/>
        <v>#N/A</v>
      </c>
      <c r="AA336" s="168" t="e">
        <f t="shared" ca="1" si="48"/>
        <v>#N/A</v>
      </c>
      <c r="AB336" s="167">
        <f t="shared" ca="1" si="47"/>
        <v>0</v>
      </c>
      <c r="AC336" s="168">
        <f t="shared" ca="1" si="49"/>
        <v>0</v>
      </c>
      <c r="AD336" s="191">
        <f t="shared" ca="1" si="50"/>
        <v>46259.633974421296</v>
      </c>
      <c r="AE336" s="167">
        <f t="shared" si="51"/>
        <v>0</v>
      </c>
      <c r="AF336" s="168">
        <f t="shared" si="52"/>
        <v>0</v>
      </c>
      <c r="AG336" s="168">
        <f t="shared" si="53"/>
        <v>0</v>
      </c>
      <c r="AH336" s="81" t="e" cm="1">
        <f t="array" aca="1" ref="AH336" ca="1">IF((AD336) &lt; (INDEX(ResponseSLA[#All],(MATCH((G336),ResponseSLA[Priority],0))+1,3)),"YES","No")</f>
        <v>#N/A</v>
      </c>
      <c r="AI336" s="81" t="str">
        <f>_xlfn.IFNA(IF(AE336 &lt; (INDEX(SLATable[Minimum SLA],MATCH(G336,SLATable[Priority],0))),"YES","NO"),"")</f>
        <v/>
      </c>
      <c r="AJ336" s="19" t="str">
        <f>_xlfn.IFNA(IF(AE336 &lt; (INDEX(SLATable[Maximum SLA],MATCH(G336,SLATable[Priority],0))),"YES","NO"),"")</f>
        <v/>
      </c>
    </row>
    <row r="337" spans="1:36" ht="15" customHeight="1">
      <c r="A337" s="78"/>
      <c r="B337" s="78"/>
      <c r="C337" s="78"/>
      <c r="D337" s="78"/>
      <c r="E337" s="78"/>
      <c r="F337" s="78"/>
      <c r="G337" s="78"/>
      <c r="H337" s="86"/>
      <c r="I337" s="78"/>
      <c r="J337" s="86"/>
      <c r="K337" s="277"/>
      <c r="L337" s="277"/>
      <c r="M337" s="277"/>
      <c r="N337" s="277"/>
      <c r="O337" s="80"/>
      <c r="P337" s="80"/>
      <c r="Q337" s="78"/>
      <c r="R337" s="78"/>
      <c r="S337" s="78"/>
      <c r="T337" s="78"/>
      <c r="U337" s="78"/>
      <c r="V337" s="78"/>
      <c r="W337" s="78"/>
      <c r="X337" s="78"/>
      <c r="Y337" s="78"/>
      <c r="Z337" s="167" t="e">
        <f t="shared" ca="1" si="46"/>
        <v>#N/A</v>
      </c>
      <c r="AA337" s="168" t="e">
        <f t="shared" ca="1" si="48"/>
        <v>#N/A</v>
      </c>
      <c r="AB337" s="167">
        <f t="shared" ca="1" si="47"/>
        <v>0</v>
      </c>
      <c r="AC337" s="168">
        <f t="shared" ca="1" si="49"/>
        <v>0</v>
      </c>
      <c r="AD337" s="191">
        <f t="shared" ca="1" si="50"/>
        <v>46259.633974421296</v>
      </c>
      <c r="AE337" s="167">
        <f t="shared" si="51"/>
        <v>0</v>
      </c>
      <c r="AF337" s="168">
        <f t="shared" si="52"/>
        <v>0</v>
      </c>
      <c r="AG337" s="168">
        <f t="shared" si="53"/>
        <v>0</v>
      </c>
      <c r="AH337" s="81" t="e" cm="1">
        <f t="array" aca="1" ref="AH337" ca="1">IF((AD337) &lt; (INDEX(ResponseSLA[#All],(MATCH((G337),ResponseSLA[Priority],0))+1,3)),"YES","No")</f>
        <v>#N/A</v>
      </c>
      <c r="AI337" s="81" t="str">
        <f>_xlfn.IFNA(IF(AE337 &lt; (INDEX(SLATable[Minimum SLA],MATCH(G337,SLATable[Priority],0))),"YES","NO"),"")</f>
        <v/>
      </c>
      <c r="AJ337" s="19" t="str">
        <f>_xlfn.IFNA(IF(AE337 &lt; (INDEX(SLATable[Maximum SLA],MATCH(G337,SLATable[Priority],0))),"YES","NO"),"")</f>
        <v/>
      </c>
    </row>
    <row r="338" spans="1:36" ht="15" customHeight="1">
      <c r="A338" s="78"/>
      <c r="B338" s="78"/>
      <c r="C338" s="78"/>
      <c r="D338" s="78"/>
      <c r="E338" s="78"/>
      <c r="F338" s="78"/>
      <c r="G338" s="78"/>
      <c r="H338" s="86"/>
      <c r="I338" s="78"/>
      <c r="J338" s="86"/>
      <c r="K338" s="277"/>
      <c r="L338" s="277"/>
      <c r="M338" s="277"/>
      <c r="N338" s="277"/>
      <c r="O338" s="80"/>
      <c r="P338" s="80"/>
      <c r="Q338" s="78"/>
      <c r="R338" s="78"/>
      <c r="S338" s="78"/>
      <c r="T338" s="78"/>
      <c r="U338" s="78"/>
      <c r="V338" s="78"/>
      <c r="W338" s="78"/>
      <c r="X338" s="78"/>
      <c r="Y338" s="78"/>
      <c r="Z338" s="167" t="e">
        <f t="shared" ca="1" si="46"/>
        <v>#N/A</v>
      </c>
      <c r="AA338" s="168" t="e">
        <f t="shared" ca="1" si="48"/>
        <v>#N/A</v>
      </c>
      <c r="AB338" s="167">
        <f t="shared" ca="1" si="47"/>
        <v>0</v>
      </c>
      <c r="AC338" s="168">
        <f t="shared" ca="1" si="49"/>
        <v>0</v>
      </c>
      <c r="AD338" s="191">
        <f t="shared" ca="1" si="50"/>
        <v>46259.633974537035</v>
      </c>
      <c r="AE338" s="167">
        <f t="shared" si="51"/>
        <v>0</v>
      </c>
      <c r="AF338" s="168">
        <f t="shared" si="52"/>
        <v>0</v>
      </c>
      <c r="AG338" s="168">
        <f t="shared" si="53"/>
        <v>0</v>
      </c>
      <c r="AH338" s="81" t="e" cm="1">
        <f t="array" aca="1" ref="AH338" ca="1">IF((AD338) &lt; (INDEX(ResponseSLA[#All],(MATCH((G338),ResponseSLA[Priority],0))+1,3)),"YES","No")</f>
        <v>#N/A</v>
      </c>
      <c r="AI338" s="81" t="str">
        <f>_xlfn.IFNA(IF(AE338 &lt; (INDEX(SLATable[Minimum SLA],MATCH(G338,SLATable[Priority],0))),"YES","NO"),"")</f>
        <v/>
      </c>
      <c r="AJ338" s="19" t="str">
        <f>_xlfn.IFNA(IF(AE338 &lt; (INDEX(SLATable[Maximum SLA],MATCH(G338,SLATable[Priority],0))),"YES","NO"),"")</f>
        <v/>
      </c>
    </row>
    <row r="339" spans="1:36" ht="15" customHeight="1">
      <c r="A339" s="78"/>
      <c r="B339" s="78"/>
      <c r="C339" s="78"/>
      <c r="D339" s="78"/>
      <c r="E339" s="78"/>
      <c r="F339" s="78"/>
      <c r="G339" s="78"/>
      <c r="H339" s="86"/>
      <c r="I339" s="78"/>
      <c r="J339" s="86"/>
      <c r="K339" s="277"/>
      <c r="L339" s="277"/>
      <c r="M339" s="277"/>
      <c r="N339" s="277"/>
      <c r="O339" s="80"/>
      <c r="P339" s="80"/>
      <c r="Q339" s="78"/>
      <c r="R339" s="78"/>
      <c r="S339" s="78"/>
      <c r="T339" s="78"/>
      <c r="U339" s="78"/>
      <c r="V339" s="78"/>
      <c r="W339" s="78"/>
      <c r="X339" s="78"/>
      <c r="Y339" s="78"/>
      <c r="Z339" s="167" t="e">
        <f t="shared" ca="1" si="46"/>
        <v>#N/A</v>
      </c>
      <c r="AA339" s="168" t="e">
        <f t="shared" ca="1" si="48"/>
        <v>#N/A</v>
      </c>
      <c r="AB339" s="167">
        <f t="shared" ca="1" si="47"/>
        <v>0</v>
      </c>
      <c r="AC339" s="168">
        <f t="shared" ca="1" si="49"/>
        <v>0</v>
      </c>
      <c r="AD339" s="191">
        <f t="shared" ca="1" si="50"/>
        <v>46259.633974421296</v>
      </c>
      <c r="AE339" s="167">
        <f t="shared" si="51"/>
        <v>0</v>
      </c>
      <c r="AF339" s="168">
        <f t="shared" si="52"/>
        <v>0</v>
      </c>
      <c r="AG339" s="168">
        <f t="shared" si="53"/>
        <v>0</v>
      </c>
      <c r="AH339" s="81" t="e" cm="1">
        <f t="array" aca="1" ref="AH339" ca="1">IF((AD339) &lt; (INDEX(ResponseSLA[#All],(MATCH((G339),ResponseSLA[Priority],0))+1,3)),"YES","No")</f>
        <v>#N/A</v>
      </c>
      <c r="AI339" s="81" t="str">
        <f>_xlfn.IFNA(IF(AE339 &lt; (INDEX(SLATable[Minimum SLA],MATCH(G339,SLATable[Priority],0))),"YES","NO"),"")</f>
        <v/>
      </c>
      <c r="AJ339" s="19" t="str">
        <f>_xlfn.IFNA(IF(AE339 &lt; (INDEX(SLATable[Maximum SLA],MATCH(G339,SLATable[Priority],0))),"YES","NO"),"")</f>
        <v/>
      </c>
    </row>
    <row r="340" spans="1:36" ht="15" customHeight="1">
      <c r="A340" s="78"/>
      <c r="B340" s="78"/>
      <c r="C340" s="78"/>
      <c r="D340" s="78"/>
      <c r="E340" s="78"/>
      <c r="F340" s="78"/>
      <c r="G340" s="78"/>
      <c r="H340" s="86"/>
      <c r="I340" s="78"/>
      <c r="J340" s="86"/>
      <c r="K340" s="277"/>
      <c r="L340" s="277"/>
      <c r="M340" s="277"/>
      <c r="N340" s="277"/>
      <c r="O340" s="80"/>
      <c r="P340" s="80"/>
      <c r="Q340" s="78"/>
      <c r="R340" s="78"/>
      <c r="S340" s="78"/>
      <c r="T340" s="78"/>
      <c r="U340" s="78"/>
      <c r="V340" s="78"/>
      <c r="W340" s="78"/>
      <c r="X340" s="78"/>
      <c r="Y340" s="78"/>
      <c r="Z340" s="167" t="e">
        <f t="shared" ca="1" si="46"/>
        <v>#N/A</v>
      </c>
      <c r="AA340" s="168" t="e">
        <f t="shared" ca="1" si="48"/>
        <v>#N/A</v>
      </c>
      <c r="AB340" s="167">
        <f t="shared" ca="1" si="47"/>
        <v>0</v>
      </c>
      <c r="AC340" s="168">
        <f t="shared" ca="1" si="49"/>
        <v>0</v>
      </c>
      <c r="AD340" s="191">
        <f t="shared" ca="1" si="50"/>
        <v>46259.633974421296</v>
      </c>
      <c r="AE340" s="167">
        <f t="shared" si="51"/>
        <v>0</v>
      </c>
      <c r="AF340" s="168">
        <f t="shared" si="52"/>
        <v>0</v>
      </c>
      <c r="AG340" s="168">
        <f t="shared" si="53"/>
        <v>0</v>
      </c>
      <c r="AH340" s="81" t="e" cm="1">
        <f t="array" aca="1" ref="AH340" ca="1">IF((AD340) &lt; (INDEX(ResponseSLA[#All],(MATCH((G340),ResponseSLA[Priority],0))+1,3)),"YES","No")</f>
        <v>#N/A</v>
      </c>
      <c r="AI340" s="81" t="str">
        <f>_xlfn.IFNA(IF(AE340 &lt; (INDEX(SLATable[Minimum SLA],MATCH(G340,SLATable[Priority],0))),"YES","NO"),"")</f>
        <v/>
      </c>
      <c r="AJ340" s="19" t="str">
        <f>_xlfn.IFNA(IF(AE340 &lt; (INDEX(SLATable[Maximum SLA],MATCH(G340,SLATable[Priority],0))),"YES","NO"),"")</f>
        <v/>
      </c>
    </row>
    <row r="341" spans="1:36" ht="15" customHeight="1">
      <c r="A341" s="78"/>
      <c r="B341" s="78"/>
      <c r="C341" s="78"/>
      <c r="D341" s="78"/>
      <c r="E341" s="78"/>
      <c r="F341" s="78"/>
      <c r="G341" s="78"/>
      <c r="H341" s="86"/>
      <c r="I341" s="78"/>
      <c r="J341" s="86"/>
      <c r="K341" s="277"/>
      <c r="L341" s="277"/>
      <c r="M341" s="277"/>
      <c r="N341" s="277"/>
      <c r="O341" s="80"/>
      <c r="P341" s="80"/>
      <c r="Q341" s="78"/>
      <c r="R341" s="78"/>
      <c r="S341" s="78"/>
      <c r="T341" s="78"/>
      <c r="U341" s="78"/>
      <c r="V341" s="78"/>
      <c r="W341" s="78"/>
      <c r="X341" s="78"/>
      <c r="Y341" s="78"/>
      <c r="Z341" s="167" t="e">
        <f t="shared" ca="1" si="46"/>
        <v>#N/A</v>
      </c>
      <c r="AA341" s="168" t="e">
        <f t="shared" ca="1" si="48"/>
        <v>#N/A</v>
      </c>
      <c r="AB341" s="167">
        <f t="shared" ca="1" si="47"/>
        <v>0</v>
      </c>
      <c r="AC341" s="168">
        <f t="shared" ca="1" si="49"/>
        <v>0</v>
      </c>
      <c r="AD341" s="191">
        <f t="shared" ca="1" si="50"/>
        <v>46259.633974537035</v>
      </c>
      <c r="AE341" s="167">
        <f t="shared" si="51"/>
        <v>0</v>
      </c>
      <c r="AF341" s="168">
        <f t="shared" si="52"/>
        <v>0</v>
      </c>
      <c r="AG341" s="168">
        <f t="shared" si="53"/>
        <v>0</v>
      </c>
      <c r="AH341" s="81" t="e" cm="1">
        <f t="array" aca="1" ref="AH341" ca="1">IF((AD341) &lt; (INDEX(ResponseSLA[#All],(MATCH((G341),ResponseSLA[Priority],0))+1,3)),"YES","No")</f>
        <v>#N/A</v>
      </c>
      <c r="AI341" s="81" t="str">
        <f>_xlfn.IFNA(IF(AE341 &lt; (INDEX(SLATable[Minimum SLA],MATCH(G341,SLATable[Priority],0))),"YES","NO"),"")</f>
        <v/>
      </c>
      <c r="AJ341" s="19" t="str">
        <f>_xlfn.IFNA(IF(AE341 &lt; (INDEX(SLATable[Maximum SLA],MATCH(G341,SLATable[Priority],0))),"YES","NO"),"")</f>
        <v/>
      </c>
    </row>
    <row r="342" spans="1:36" ht="15" customHeight="1">
      <c r="A342" s="78"/>
      <c r="B342" s="78"/>
      <c r="C342" s="78"/>
      <c r="D342" s="78"/>
      <c r="E342" s="78"/>
      <c r="F342" s="78"/>
      <c r="G342" s="78"/>
      <c r="H342" s="86"/>
      <c r="I342" s="78"/>
      <c r="J342" s="86"/>
      <c r="K342" s="277"/>
      <c r="L342" s="277"/>
      <c r="M342" s="277"/>
      <c r="N342" s="277"/>
      <c r="O342" s="80"/>
      <c r="P342" s="80"/>
      <c r="Q342" s="78"/>
      <c r="R342" s="78"/>
      <c r="S342" s="78"/>
      <c r="T342" s="78"/>
      <c r="U342" s="78"/>
      <c r="V342" s="78"/>
      <c r="W342" s="78"/>
      <c r="X342" s="78"/>
      <c r="Y342" s="78"/>
      <c r="Z342" s="167" t="e">
        <f t="shared" ca="1" si="46"/>
        <v>#N/A</v>
      </c>
      <c r="AA342" s="168" t="e">
        <f t="shared" ca="1" si="48"/>
        <v>#N/A</v>
      </c>
      <c r="AB342" s="167">
        <f t="shared" ca="1" si="47"/>
        <v>0</v>
      </c>
      <c r="AC342" s="168">
        <f t="shared" ca="1" si="49"/>
        <v>0</v>
      </c>
      <c r="AD342" s="191">
        <f t="shared" ca="1" si="50"/>
        <v>46259.633974421296</v>
      </c>
      <c r="AE342" s="167">
        <f t="shared" si="51"/>
        <v>0</v>
      </c>
      <c r="AF342" s="168">
        <f t="shared" si="52"/>
        <v>0</v>
      </c>
      <c r="AG342" s="168">
        <f t="shared" si="53"/>
        <v>0</v>
      </c>
      <c r="AH342" s="81" t="e" cm="1">
        <f t="array" aca="1" ref="AH342" ca="1">IF((AD342) &lt; (INDEX(ResponseSLA[#All],(MATCH((G342),ResponseSLA[Priority],0))+1,3)),"YES","No")</f>
        <v>#N/A</v>
      </c>
      <c r="AI342" s="81" t="str">
        <f>_xlfn.IFNA(IF(AE342 &lt; (INDEX(SLATable[Minimum SLA],MATCH(G342,SLATable[Priority],0))),"YES","NO"),"")</f>
        <v/>
      </c>
      <c r="AJ342" s="19" t="str">
        <f>_xlfn.IFNA(IF(AE342 &lt; (INDEX(SLATable[Maximum SLA],MATCH(G342,SLATable[Priority],0))),"YES","NO"),"")</f>
        <v/>
      </c>
    </row>
    <row r="343" spans="1:36" ht="15" customHeight="1">
      <c r="A343" s="78"/>
      <c r="B343" s="78"/>
      <c r="C343" s="78"/>
      <c r="D343" s="78"/>
      <c r="E343" s="78"/>
      <c r="F343" s="78"/>
      <c r="G343" s="78"/>
      <c r="H343" s="86"/>
      <c r="I343" s="78"/>
      <c r="J343" s="86"/>
      <c r="K343" s="277"/>
      <c r="L343" s="277"/>
      <c r="M343" s="277"/>
      <c r="N343" s="277"/>
      <c r="O343" s="80"/>
      <c r="P343" s="80"/>
      <c r="Q343" s="78"/>
      <c r="R343" s="78"/>
      <c r="S343" s="78"/>
      <c r="T343" s="78"/>
      <c r="U343" s="78"/>
      <c r="V343" s="78"/>
      <c r="W343" s="78"/>
      <c r="X343" s="78"/>
      <c r="Y343" s="78"/>
      <c r="Z343" s="167" t="e">
        <f t="shared" ca="1" si="46"/>
        <v>#N/A</v>
      </c>
      <c r="AA343" s="168" t="e">
        <f t="shared" ca="1" si="48"/>
        <v>#N/A</v>
      </c>
      <c r="AB343" s="167">
        <f t="shared" ca="1" si="47"/>
        <v>0</v>
      </c>
      <c r="AC343" s="168">
        <f t="shared" ca="1" si="49"/>
        <v>0</v>
      </c>
      <c r="AD343" s="191">
        <f t="shared" ca="1" si="50"/>
        <v>46259.633974421296</v>
      </c>
      <c r="AE343" s="167">
        <f t="shared" si="51"/>
        <v>0</v>
      </c>
      <c r="AF343" s="168">
        <f t="shared" si="52"/>
        <v>0</v>
      </c>
      <c r="AG343" s="168">
        <f t="shared" si="53"/>
        <v>0</v>
      </c>
      <c r="AH343" s="81" t="e" cm="1">
        <f t="array" aca="1" ref="AH343" ca="1">IF((AD343) &lt; (INDEX(ResponseSLA[#All],(MATCH((G343),ResponseSLA[Priority],0))+1,3)),"YES","No")</f>
        <v>#N/A</v>
      </c>
      <c r="AI343" s="81" t="str">
        <f>_xlfn.IFNA(IF(AE343 &lt; (INDEX(SLATable[Minimum SLA],MATCH(G343,SLATable[Priority],0))),"YES","NO"),"")</f>
        <v/>
      </c>
      <c r="AJ343" s="19" t="str">
        <f>_xlfn.IFNA(IF(AE343 &lt; (INDEX(SLATable[Maximum SLA],MATCH(G343,SLATable[Priority],0))),"YES","NO"),"")</f>
        <v/>
      </c>
    </row>
    <row r="344" spans="1:36" ht="15" customHeight="1">
      <c r="A344" s="78"/>
      <c r="B344" s="78"/>
      <c r="C344" s="78"/>
      <c r="D344" s="78"/>
      <c r="E344" s="78"/>
      <c r="F344" s="78"/>
      <c r="G344" s="78"/>
      <c r="H344" s="86"/>
      <c r="I344" s="78"/>
      <c r="J344" s="86"/>
      <c r="K344" s="277"/>
      <c r="L344" s="277"/>
      <c r="M344" s="277"/>
      <c r="N344" s="277"/>
      <c r="O344" s="80"/>
      <c r="P344" s="80"/>
      <c r="Q344" s="78"/>
      <c r="R344" s="78"/>
      <c r="S344" s="78"/>
      <c r="T344" s="78"/>
      <c r="U344" s="78"/>
      <c r="V344" s="78"/>
      <c r="W344" s="78"/>
      <c r="X344" s="78"/>
      <c r="Y344" s="78"/>
      <c r="Z344" s="167" t="e">
        <f t="shared" ca="1" si="46"/>
        <v>#N/A</v>
      </c>
      <c r="AA344" s="168" t="e">
        <f t="shared" ca="1" si="48"/>
        <v>#N/A</v>
      </c>
      <c r="AB344" s="167">
        <f t="shared" ca="1" si="47"/>
        <v>0</v>
      </c>
      <c r="AC344" s="168">
        <f t="shared" ca="1" si="49"/>
        <v>0</v>
      </c>
      <c r="AD344" s="191">
        <f t="shared" ca="1" si="50"/>
        <v>46259.633974537035</v>
      </c>
      <c r="AE344" s="167">
        <f t="shared" si="51"/>
        <v>0</v>
      </c>
      <c r="AF344" s="168">
        <f t="shared" si="52"/>
        <v>0</v>
      </c>
      <c r="AG344" s="168">
        <f t="shared" si="53"/>
        <v>0</v>
      </c>
      <c r="AH344" s="81" t="e" cm="1">
        <f t="array" aca="1" ref="AH344" ca="1">IF((AD344) &lt; (INDEX(ResponseSLA[#All],(MATCH((G344),ResponseSLA[Priority],0))+1,3)),"YES","No")</f>
        <v>#N/A</v>
      </c>
      <c r="AI344" s="81" t="str">
        <f>_xlfn.IFNA(IF(AE344 &lt; (INDEX(SLATable[Minimum SLA],MATCH(G344,SLATable[Priority],0))),"YES","NO"),"")</f>
        <v/>
      </c>
      <c r="AJ344" s="19" t="str">
        <f>_xlfn.IFNA(IF(AE344 &lt; (INDEX(SLATable[Maximum SLA],MATCH(G344,SLATable[Priority],0))),"YES","NO"),"")</f>
        <v/>
      </c>
    </row>
    <row r="345" spans="1:36" ht="15" customHeight="1">
      <c r="A345" s="78"/>
      <c r="B345" s="78"/>
      <c r="C345" s="78"/>
      <c r="D345" s="78"/>
      <c r="E345" s="78"/>
      <c r="F345" s="78"/>
      <c r="G345" s="78"/>
      <c r="H345" s="86"/>
      <c r="I345" s="78"/>
      <c r="J345" s="86"/>
      <c r="K345" s="277"/>
      <c r="L345" s="277"/>
      <c r="M345" s="277"/>
      <c r="N345" s="277"/>
      <c r="O345" s="80"/>
      <c r="P345" s="80"/>
      <c r="Q345" s="78"/>
      <c r="R345" s="78"/>
      <c r="S345" s="78"/>
      <c r="T345" s="78"/>
      <c r="U345" s="78"/>
      <c r="V345" s="78"/>
      <c r="W345" s="78"/>
      <c r="X345" s="78"/>
      <c r="Y345" s="78"/>
      <c r="Z345" s="167" t="e">
        <f t="shared" ca="1" si="46"/>
        <v>#N/A</v>
      </c>
      <c r="AA345" s="168" t="e">
        <f t="shared" ca="1" si="48"/>
        <v>#N/A</v>
      </c>
      <c r="AB345" s="167">
        <f t="shared" ca="1" si="47"/>
        <v>0</v>
      </c>
      <c r="AC345" s="168">
        <f t="shared" ca="1" si="49"/>
        <v>0</v>
      </c>
      <c r="AD345" s="191">
        <f t="shared" ca="1" si="50"/>
        <v>46259.633974421296</v>
      </c>
      <c r="AE345" s="167">
        <f t="shared" si="51"/>
        <v>0</v>
      </c>
      <c r="AF345" s="168">
        <f t="shared" si="52"/>
        <v>0</v>
      </c>
      <c r="AG345" s="168">
        <f t="shared" si="53"/>
        <v>0</v>
      </c>
      <c r="AH345" s="81" t="e" cm="1">
        <f t="array" aca="1" ref="AH345" ca="1">IF((AD345) &lt; (INDEX(ResponseSLA[#All],(MATCH((G345),ResponseSLA[Priority],0))+1,3)),"YES","No")</f>
        <v>#N/A</v>
      </c>
      <c r="AI345" s="81" t="str">
        <f>_xlfn.IFNA(IF(AE345 &lt; (INDEX(SLATable[Minimum SLA],MATCH(G345,SLATable[Priority],0))),"YES","NO"),"")</f>
        <v/>
      </c>
      <c r="AJ345" s="19" t="str">
        <f>_xlfn.IFNA(IF(AE345 &lt; (INDEX(SLATable[Maximum SLA],MATCH(G345,SLATable[Priority],0))),"YES","NO"),"")</f>
        <v/>
      </c>
    </row>
    <row r="346" spans="1:36" ht="15" customHeight="1">
      <c r="A346" s="78"/>
      <c r="B346" s="78"/>
      <c r="C346" s="78"/>
      <c r="D346" s="78"/>
      <c r="E346" s="78"/>
      <c r="F346" s="78"/>
      <c r="G346" s="78"/>
      <c r="H346" s="86"/>
      <c r="I346" s="78"/>
      <c r="J346" s="86"/>
      <c r="K346" s="277"/>
      <c r="L346" s="277"/>
      <c r="M346" s="277"/>
      <c r="N346" s="277"/>
      <c r="O346" s="80"/>
      <c r="P346" s="80"/>
      <c r="Q346" s="78"/>
      <c r="R346" s="78"/>
      <c r="S346" s="78"/>
      <c r="T346" s="78"/>
      <c r="U346" s="78"/>
      <c r="V346" s="78"/>
      <c r="W346" s="78"/>
      <c r="X346" s="78"/>
      <c r="Y346" s="78"/>
      <c r="Z346" s="167" t="e">
        <f t="shared" ca="1" si="46"/>
        <v>#N/A</v>
      </c>
      <c r="AA346" s="168" t="e">
        <f t="shared" ca="1" si="48"/>
        <v>#N/A</v>
      </c>
      <c r="AB346" s="167">
        <f t="shared" ca="1" si="47"/>
        <v>0</v>
      </c>
      <c r="AC346" s="168">
        <f t="shared" ca="1" si="49"/>
        <v>0</v>
      </c>
      <c r="AD346" s="191">
        <f t="shared" ca="1" si="50"/>
        <v>46259.633974421296</v>
      </c>
      <c r="AE346" s="167">
        <f t="shared" si="51"/>
        <v>0</v>
      </c>
      <c r="AF346" s="168">
        <f t="shared" si="52"/>
        <v>0</v>
      </c>
      <c r="AG346" s="168">
        <f t="shared" si="53"/>
        <v>0</v>
      </c>
      <c r="AH346" s="81" t="e" cm="1">
        <f t="array" aca="1" ref="AH346" ca="1">IF((AD346) &lt; (INDEX(ResponseSLA[#All],(MATCH((G346),ResponseSLA[Priority],0))+1,3)),"YES","No")</f>
        <v>#N/A</v>
      </c>
      <c r="AI346" s="81" t="str">
        <f>_xlfn.IFNA(IF(AE346 &lt; (INDEX(SLATable[Minimum SLA],MATCH(G346,SLATable[Priority],0))),"YES","NO"),"")</f>
        <v/>
      </c>
      <c r="AJ346" s="19" t="str">
        <f>_xlfn.IFNA(IF(AE346 &lt; (INDEX(SLATable[Maximum SLA],MATCH(G346,SLATable[Priority],0))),"YES","NO"),"")</f>
        <v/>
      </c>
    </row>
    <row r="347" spans="1:36" ht="15" customHeight="1">
      <c r="A347" s="78"/>
      <c r="B347" s="78"/>
      <c r="C347" s="78"/>
      <c r="D347" s="78"/>
      <c r="E347" s="78"/>
      <c r="F347" s="78"/>
      <c r="G347" s="78"/>
      <c r="H347" s="86"/>
      <c r="I347" s="78"/>
      <c r="J347" s="86"/>
      <c r="K347" s="277"/>
      <c r="L347" s="277"/>
      <c r="M347" s="277"/>
      <c r="N347" s="277"/>
      <c r="O347" s="80"/>
      <c r="P347" s="80"/>
      <c r="Q347" s="78"/>
      <c r="R347" s="78"/>
      <c r="S347" s="78"/>
      <c r="T347" s="78"/>
      <c r="U347" s="78"/>
      <c r="V347" s="78"/>
      <c r="W347" s="78"/>
      <c r="X347" s="78"/>
      <c r="Y347" s="78"/>
      <c r="Z347" s="167" t="e">
        <f t="shared" ca="1" si="46"/>
        <v>#N/A</v>
      </c>
      <c r="AA347" s="168" t="e">
        <f t="shared" ca="1" si="48"/>
        <v>#N/A</v>
      </c>
      <c r="AB347" s="167">
        <f t="shared" ca="1" si="47"/>
        <v>0</v>
      </c>
      <c r="AC347" s="168">
        <f t="shared" ca="1" si="49"/>
        <v>0</v>
      </c>
      <c r="AD347" s="191">
        <f t="shared" ca="1" si="50"/>
        <v>46259.633974537035</v>
      </c>
      <c r="AE347" s="167">
        <f t="shared" si="51"/>
        <v>0</v>
      </c>
      <c r="AF347" s="168">
        <f t="shared" si="52"/>
        <v>0</v>
      </c>
      <c r="AG347" s="168">
        <f t="shared" si="53"/>
        <v>0</v>
      </c>
      <c r="AH347" s="81" t="e" cm="1">
        <f t="array" aca="1" ref="AH347" ca="1">IF((AD347) &lt; (INDEX(ResponseSLA[#All],(MATCH((G347),ResponseSLA[Priority],0))+1,3)),"YES","No")</f>
        <v>#N/A</v>
      </c>
      <c r="AI347" s="81" t="str">
        <f>_xlfn.IFNA(IF(AE347 &lt; (INDEX(SLATable[Minimum SLA],MATCH(G347,SLATable[Priority],0))),"YES","NO"),"")</f>
        <v/>
      </c>
      <c r="AJ347" s="19" t="str">
        <f>_xlfn.IFNA(IF(AE347 &lt; (INDEX(SLATable[Maximum SLA],MATCH(G347,SLATable[Priority],0))),"YES","NO"),"")</f>
        <v/>
      </c>
    </row>
    <row r="348" spans="1:36" ht="15" customHeight="1">
      <c r="A348" s="78"/>
      <c r="B348" s="78"/>
      <c r="C348" s="78"/>
      <c r="D348" s="78"/>
      <c r="E348" s="78"/>
      <c r="F348" s="78"/>
      <c r="G348" s="78"/>
      <c r="H348" s="86"/>
      <c r="I348" s="78"/>
      <c r="J348" s="86"/>
      <c r="K348" s="277"/>
      <c r="L348" s="277"/>
      <c r="M348" s="277"/>
      <c r="N348" s="277"/>
      <c r="O348" s="80"/>
      <c r="P348" s="80"/>
      <c r="Q348" s="78"/>
      <c r="R348" s="78"/>
      <c r="S348" s="78"/>
      <c r="T348" s="78"/>
      <c r="U348" s="78"/>
      <c r="V348" s="78"/>
      <c r="W348" s="78"/>
      <c r="X348" s="78"/>
      <c r="Y348" s="78"/>
      <c r="Z348" s="167" t="e">
        <f t="shared" ca="1" si="46"/>
        <v>#N/A</v>
      </c>
      <c r="AA348" s="168" t="e">
        <f t="shared" ca="1" si="48"/>
        <v>#N/A</v>
      </c>
      <c r="AB348" s="167">
        <f t="shared" ca="1" si="47"/>
        <v>0</v>
      </c>
      <c r="AC348" s="168">
        <f t="shared" ca="1" si="49"/>
        <v>0</v>
      </c>
      <c r="AD348" s="191">
        <f t="shared" ca="1" si="50"/>
        <v>46259.633974421296</v>
      </c>
      <c r="AE348" s="167">
        <f t="shared" si="51"/>
        <v>0</v>
      </c>
      <c r="AF348" s="168">
        <f t="shared" si="52"/>
        <v>0</v>
      </c>
      <c r="AG348" s="168">
        <f t="shared" si="53"/>
        <v>0</v>
      </c>
      <c r="AH348" s="81" t="e" cm="1">
        <f t="array" aca="1" ref="AH348" ca="1">IF((AD348) &lt; (INDEX(ResponseSLA[#All],(MATCH((G348),ResponseSLA[Priority],0))+1,3)),"YES","No")</f>
        <v>#N/A</v>
      </c>
      <c r="AI348" s="81" t="str">
        <f>_xlfn.IFNA(IF(AE348 &lt; (INDEX(SLATable[Minimum SLA],MATCH(G348,SLATable[Priority],0))),"YES","NO"),"")</f>
        <v/>
      </c>
      <c r="AJ348" s="19" t="str">
        <f>_xlfn.IFNA(IF(AE348 &lt; (INDEX(SLATable[Maximum SLA],MATCH(G348,SLATable[Priority],0))),"YES","NO"),"")</f>
        <v/>
      </c>
    </row>
    <row r="349" spans="1:36" ht="15" customHeight="1">
      <c r="A349" s="78"/>
      <c r="B349" s="78"/>
      <c r="C349" s="78"/>
      <c r="D349" s="78"/>
      <c r="E349" s="78"/>
      <c r="F349" s="78"/>
      <c r="G349" s="78"/>
      <c r="H349" s="86"/>
      <c r="I349" s="78"/>
      <c r="J349" s="86"/>
      <c r="K349" s="277"/>
      <c r="L349" s="277"/>
      <c r="M349" s="277"/>
      <c r="N349" s="277"/>
      <c r="O349" s="80"/>
      <c r="P349" s="80"/>
      <c r="Q349" s="78"/>
      <c r="R349" s="78"/>
      <c r="S349" s="78"/>
      <c r="T349" s="78"/>
      <c r="U349" s="78"/>
      <c r="V349" s="78"/>
      <c r="W349" s="78"/>
      <c r="X349" s="78"/>
      <c r="Y349" s="78"/>
      <c r="Z349" s="167" t="e">
        <f t="shared" ca="1" si="46"/>
        <v>#N/A</v>
      </c>
      <c r="AA349" s="168" t="e">
        <f t="shared" ca="1" si="48"/>
        <v>#N/A</v>
      </c>
      <c r="AB349" s="167">
        <f t="shared" ca="1" si="47"/>
        <v>0</v>
      </c>
      <c r="AC349" s="168">
        <f t="shared" ca="1" si="49"/>
        <v>0</v>
      </c>
      <c r="AD349" s="191">
        <f t="shared" ca="1" si="50"/>
        <v>46259.633974421296</v>
      </c>
      <c r="AE349" s="167">
        <f t="shared" si="51"/>
        <v>0</v>
      </c>
      <c r="AF349" s="168">
        <f t="shared" si="52"/>
        <v>0</v>
      </c>
      <c r="AG349" s="168">
        <f t="shared" si="53"/>
        <v>0</v>
      </c>
      <c r="AH349" s="81" t="e" cm="1">
        <f t="array" aca="1" ref="AH349" ca="1">IF((AD349) &lt; (INDEX(ResponseSLA[#All],(MATCH((G349),ResponseSLA[Priority],0))+1,3)),"YES","No")</f>
        <v>#N/A</v>
      </c>
      <c r="AI349" s="81" t="str">
        <f>_xlfn.IFNA(IF(AE349 &lt; (INDEX(SLATable[Minimum SLA],MATCH(G349,SLATable[Priority],0))),"YES","NO"),"")</f>
        <v/>
      </c>
      <c r="AJ349" s="19" t="str">
        <f>_xlfn.IFNA(IF(AE349 &lt; (INDEX(SLATable[Maximum SLA],MATCH(G349,SLATable[Priority],0))),"YES","NO"),"")</f>
        <v/>
      </c>
    </row>
    <row r="350" spans="1:36" ht="15" customHeight="1">
      <c r="A350" s="78"/>
      <c r="B350" s="78"/>
      <c r="C350" s="78"/>
      <c r="D350" s="78"/>
      <c r="E350" s="78"/>
      <c r="F350" s="78"/>
      <c r="G350" s="78"/>
      <c r="H350" s="86"/>
      <c r="I350" s="78"/>
      <c r="J350" s="86"/>
      <c r="K350" s="277"/>
      <c r="L350" s="277"/>
      <c r="M350" s="277"/>
      <c r="N350" s="277"/>
      <c r="O350" s="80"/>
      <c r="P350" s="80"/>
      <c r="Q350" s="78"/>
      <c r="R350" s="78"/>
      <c r="S350" s="78"/>
      <c r="T350" s="78"/>
      <c r="U350" s="78"/>
      <c r="V350" s="78"/>
      <c r="W350" s="78"/>
      <c r="X350" s="78"/>
      <c r="Y350" s="78"/>
      <c r="Z350" s="167" t="e">
        <f t="shared" ca="1" si="46"/>
        <v>#N/A</v>
      </c>
      <c r="AA350" s="168" t="e">
        <f t="shared" ca="1" si="48"/>
        <v>#N/A</v>
      </c>
      <c r="AB350" s="167">
        <f t="shared" ca="1" si="47"/>
        <v>0</v>
      </c>
      <c r="AC350" s="168">
        <f t="shared" ca="1" si="49"/>
        <v>0</v>
      </c>
      <c r="AD350" s="191">
        <f t="shared" ca="1" si="50"/>
        <v>46259.633974537035</v>
      </c>
      <c r="AE350" s="167">
        <f t="shared" si="51"/>
        <v>0</v>
      </c>
      <c r="AF350" s="168">
        <f t="shared" si="52"/>
        <v>0</v>
      </c>
      <c r="AG350" s="168">
        <f t="shared" si="53"/>
        <v>0</v>
      </c>
      <c r="AH350" s="81" t="e" cm="1">
        <f t="array" aca="1" ref="AH350" ca="1">IF((AD350) &lt; (INDEX(ResponseSLA[#All],(MATCH((G350),ResponseSLA[Priority],0))+1,3)),"YES","No")</f>
        <v>#N/A</v>
      </c>
      <c r="AI350" s="81" t="str">
        <f>_xlfn.IFNA(IF(AE350 &lt; (INDEX(SLATable[Minimum SLA],MATCH(G350,SLATable[Priority],0))),"YES","NO"),"")</f>
        <v/>
      </c>
      <c r="AJ350" s="19" t="str">
        <f>_xlfn.IFNA(IF(AE350 &lt; (INDEX(SLATable[Maximum SLA],MATCH(G350,SLATable[Priority],0))),"YES","NO"),"")</f>
        <v/>
      </c>
    </row>
    <row r="351" spans="1:36" ht="15" customHeight="1">
      <c r="A351" s="78"/>
      <c r="B351" s="78"/>
      <c r="C351" s="78"/>
      <c r="D351" s="78"/>
      <c r="E351" s="78"/>
      <c r="F351" s="78"/>
      <c r="G351" s="78"/>
      <c r="H351" s="86"/>
      <c r="I351" s="78"/>
      <c r="J351" s="86"/>
      <c r="K351" s="277"/>
      <c r="L351" s="277"/>
      <c r="M351" s="277"/>
      <c r="N351" s="277"/>
      <c r="O351" s="80"/>
      <c r="P351" s="80"/>
      <c r="Q351" s="78"/>
      <c r="R351" s="78"/>
      <c r="S351" s="78"/>
      <c r="T351" s="78"/>
      <c r="U351" s="78"/>
      <c r="V351" s="78"/>
      <c r="W351" s="78"/>
      <c r="X351" s="78"/>
      <c r="Y351" s="78"/>
      <c r="Z351" s="167" t="e">
        <f t="shared" ca="1" si="46"/>
        <v>#N/A</v>
      </c>
      <c r="AA351" s="168" t="e">
        <f t="shared" ca="1" si="48"/>
        <v>#N/A</v>
      </c>
      <c r="AB351" s="167">
        <f t="shared" ca="1" si="47"/>
        <v>0</v>
      </c>
      <c r="AC351" s="168">
        <f t="shared" ca="1" si="49"/>
        <v>0</v>
      </c>
      <c r="AD351" s="191">
        <f t="shared" ca="1" si="50"/>
        <v>46259.633974421296</v>
      </c>
      <c r="AE351" s="167">
        <f t="shared" si="51"/>
        <v>0</v>
      </c>
      <c r="AF351" s="168">
        <f t="shared" si="52"/>
        <v>0</v>
      </c>
      <c r="AG351" s="168">
        <f t="shared" si="53"/>
        <v>0</v>
      </c>
      <c r="AH351" s="81" t="e" cm="1">
        <f t="array" aca="1" ref="AH351" ca="1">IF((AD351) &lt; (INDEX(ResponseSLA[#All],(MATCH((G351),ResponseSLA[Priority],0))+1,3)),"YES","No")</f>
        <v>#N/A</v>
      </c>
      <c r="AI351" s="81" t="str">
        <f>_xlfn.IFNA(IF(AE351 &lt; (INDEX(SLATable[Minimum SLA],MATCH(G351,SLATable[Priority],0))),"YES","NO"),"")</f>
        <v/>
      </c>
      <c r="AJ351" s="19" t="str">
        <f>_xlfn.IFNA(IF(AE351 &lt; (INDEX(SLATable[Maximum SLA],MATCH(G351,SLATable[Priority],0))),"YES","NO"),"")</f>
        <v/>
      </c>
    </row>
    <row r="352" spans="1:36" ht="15" customHeight="1">
      <c r="A352" s="78"/>
      <c r="B352" s="78"/>
      <c r="C352" s="78"/>
      <c r="D352" s="78"/>
      <c r="E352" s="78"/>
      <c r="F352" s="78"/>
      <c r="G352" s="78"/>
      <c r="H352" s="86"/>
      <c r="I352" s="78"/>
      <c r="J352" s="86"/>
      <c r="K352" s="277"/>
      <c r="L352" s="277"/>
      <c r="M352" s="277"/>
      <c r="N352" s="277"/>
      <c r="O352" s="80"/>
      <c r="P352" s="80"/>
      <c r="Q352" s="78"/>
      <c r="R352" s="78"/>
      <c r="S352" s="78"/>
      <c r="T352" s="78"/>
      <c r="U352" s="78"/>
      <c r="V352" s="78"/>
      <c r="W352" s="78"/>
      <c r="X352" s="78"/>
      <c r="Y352" s="78"/>
      <c r="Z352" s="167" t="e">
        <f t="shared" ca="1" si="46"/>
        <v>#N/A</v>
      </c>
      <c r="AA352" s="168" t="e">
        <f t="shared" ca="1" si="48"/>
        <v>#N/A</v>
      </c>
      <c r="AB352" s="167">
        <f t="shared" ca="1" si="47"/>
        <v>0</v>
      </c>
      <c r="AC352" s="168">
        <f t="shared" ca="1" si="49"/>
        <v>0</v>
      </c>
      <c r="AD352" s="191">
        <f t="shared" ca="1" si="50"/>
        <v>46259.633974421296</v>
      </c>
      <c r="AE352" s="167">
        <f t="shared" si="51"/>
        <v>0</v>
      </c>
      <c r="AF352" s="168">
        <f t="shared" si="52"/>
        <v>0</v>
      </c>
      <c r="AG352" s="168">
        <f t="shared" si="53"/>
        <v>0</v>
      </c>
      <c r="AH352" s="81" t="e" cm="1">
        <f t="array" aca="1" ref="AH352" ca="1">IF((AD352) &lt; (INDEX(ResponseSLA[#All],(MATCH((G352),ResponseSLA[Priority],0))+1,3)),"YES","No")</f>
        <v>#N/A</v>
      </c>
      <c r="AI352" s="81" t="str">
        <f>_xlfn.IFNA(IF(AE352 &lt; (INDEX(SLATable[Minimum SLA],MATCH(G352,SLATable[Priority],0))),"YES","NO"),"")</f>
        <v/>
      </c>
      <c r="AJ352" s="19" t="str">
        <f>_xlfn.IFNA(IF(AE352 &lt; (INDEX(SLATable[Maximum SLA],MATCH(G352,SLATable[Priority],0))),"YES","NO"),"")</f>
        <v/>
      </c>
    </row>
    <row r="353" spans="1:36" ht="15" customHeight="1">
      <c r="A353" s="78"/>
      <c r="B353" s="78"/>
      <c r="C353" s="78"/>
      <c r="D353" s="78"/>
      <c r="E353" s="78"/>
      <c r="F353" s="78"/>
      <c r="G353" s="78"/>
      <c r="H353" s="86"/>
      <c r="I353" s="78"/>
      <c r="J353" s="86"/>
      <c r="K353" s="277"/>
      <c r="L353" s="277"/>
      <c r="M353" s="277"/>
      <c r="N353" s="277"/>
      <c r="O353" s="80"/>
      <c r="P353" s="80"/>
      <c r="Q353" s="78"/>
      <c r="R353" s="78"/>
      <c r="S353" s="78"/>
      <c r="T353" s="78"/>
      <c r="U353" s="78"/>
      <c r="V353" s="78"/>
      <c r="W353" s="78"/>
      <c r="X353" s="78"/>
      <c r="Y353" s="78"/>
      <c r="Z353" s="167" t="e">
        <f t="shared" ca="1" si="46"/>
        <v>#N/A</v>
      </c>
      <c r="AA353" s="168" t="e">
        <f t="shared" ca="1" si="48"/>
        <v>#N/A</v>
      </c>
      <c r="AB353" s="167">
        <f t="shared" ca="1" si="47"/>
        <v>0</v>
      </c>
      <c r="AC353" s="168">
        <f t="shared" ca="1" si="49"/>
        <v>0</v>
      </c>
      <c r="AD353" s="191">
        <f t="shared" ca="1" si="50"/>
        <v>46259.633974537035</v>
      </c>
      <c r="AE353" s="167">
        <f t="shared" si="51"/>
        <v>0</v>
      </c>
      <c r="AF353" s="168">
        <f t="shared" si="52"/>
        <v>0</v>
      </c>
      <c r="AG353" s="168">
        <f t="shared" si="53"/>
        <v>0</v>
      </c>
      <c r="AH353" s="81" t="e" cm="1">
        <f t="array" aca="1" ref="AH353" ca="1">IF((AD353) &lt; (INDEX(ResponseSLA[#All],(MATCH((G353),ResponseSLA[Priority],0))+1,3)),"YES","No")</f>
        <v>#N/A</v>
      </c>
      <c r="AI353" s="81" t="str">
        <f>_xlfn.IFNA(IF(AE353 &lt; (INDEX(SLATable[Minimum SLA],MATCH(G353,SLATable[Priority],0))),"YES","NO"),"")</f>
        <v/>
      </c>
      <c r="AJ353" s="19" t="str">
        <f>_xlfn.IFNA(IF(AE353 &lt; (INDEX(SLATable[Maximum SLA],MATCH(G353,SLATable[Priority],0))),"YES","NO"),"")</f>
        <v/>
      </c>
    </row>
    <row r="354" spans="1:36" ht="15" customHeight="1">
      <c r="A354" s="78"/>
      <c r="B354" s="78"/>
      <c r="C354" s="78"/>
      <c r="D354" s="78"/>
      <c r="E354" s="78"/>
      <c r="F354" s="78"/>
      <c r="G354" s="78"/>
      <c r="H354" s="86"/>
      <c r="I354" s="78"/>
      <c r="J354" s="86"/>
      <c r="K354" s="277"/>
      <c r="L354" s="277"/>
      <c r="M354" s="277"/>
      <c r="N354" s="277"/>
      <c r="O354" s="80"/>
      <c r="P354" s="80"/>
      <c r="Q354" s="78"/>
      <c r="R354" s="78"/>
      <c r="S354" s="78"/>
      <c r="T354" s="78"/>
      <c r="U354" s="78"/>
      <c r="V354" s="78"/>
      <c r="W354" s="78"/>
      <c r="X354" s="78"/>
      <c r="Y354" s="78"/>
      <c r="Z354" s="167" t="e">
        <f t="shared" ca="1" si="46"/>
        <v>#N/A</v>
      </c>
      <c r="AA354" s="168" t="e">
        <f t="shared" ca="1" si="48"/>
        <v>#N/A</v>
      </c>
      <c r="AB354" s="167">
        <f t="shared" ca="1" si="47"/>
        <v>0</v>
      </c>
      <c r="AC354" s="168">
        <f t="shared" ca="1" si="49"/>
        <v>0</v>
      </c>
      <c r="AD354" s="191">
        <f t="shared" ca="1" si="50"/>
        <v>46259.633974421296</v>
      </c>
      <c r="AE354" s="167">
        <f t="shared" si="51"/>
        <v>0</v>
      </c>
      <c r="AF354" s="168">
        <f t="shared" si="52"/>
        <v>0</v>
      </c>
      <c r="AG354" s="168">
        <f t="shared" si="53"/>
        <v>0</v>
      </c>
      <c r="AH354" s="81" t="e" cm="1">
        <f t="array" aca="1" ref="AH354" ca="1">IF((AD354) &lt; (INDEX(ResponseSLA[#All],(MATCH((G354),ResponseSLA[Priority],0))+1,3)),"YES","No")</f>
        <v>#N/A</v>
      </c>
      <c r="AI354" s="81" t="str">
        <f>_xlfn.IFNA(IF(AE354 &lt; (INDEX(SLATable[Minimum SLA],MATCH(G354,SLATable[Priority],0))),"YES","NO"),"")</f>
        <v/>
      </c>
      <c r="AJ354" s="19" t="str">
        <f>_xlfn.IFNA(IF(AE354 &lt; (INDEX(SLATable[Maximum SLA],MATCH(G354,SLATable[Priority],0))),"YES","NO"),"")</f>
        <v/>
      </c>
    </row>
    <row r="355" spans="1:36" ht="15" customHeight="1">
      <c r="A355" s="78"/>
      <c r="B355" s="78"/>
      <c r="C355" s="78"/>
      <c r="D355" s="78"/>
      <c r="E355" s="78"/>
      <c r="F355" s="78"/>
      <c r="G355" s="78"/>
      <c r="H355" s="86"/>
      <c r="I355" s="78"/>
      <c r="J355" s="86"/>
      <c r="K355" s="277"/>
      <c r="L355" s="277"/>
      <c r="M355" s="277"/>
      <c r="N355" s="277"/>
      <c r="O355" s="80"/>
      <c r="P355" s="80"/>
      <c r="Q355" s="78"/>
      <c r="R355" s="78"/>
      <c r="S355" s="78"/>
      <c r="T355" s="78"/>
      <c r="U355" s="78"/>
      <c r="V355" s="78"/>
      <c r="W355" s="78"/>
      <c r="X355" s="78"/>
      <c r="Y355" s="78"/>
      <c r="Z355" s="167" t="e">
        <f t="shared" ca="1" si="46"/>
        <v>#N/A</v>
      </c>
      <c r="AA355" s="168" t="e">
        <f t="shared" ca="1" si="48"/>
        <v>#N/A</v>
      </c>
      <c r="AB355" s="167">
        <f t="shared" ca="1" si="47"/>
        <v>0</v>
      </c>
      <c r="AC355" s="168">
        <f t="shared" ca="1" si="49"/>
        <v>0</v>
      </c>
      <c r="AD355" s="191">
        <f t="shared" ca="1" si="50"/>
        <v>46259.633974421296</v>
      </c>
      <c r="AE355" s="167">
        <f t="shared" si="51"/>
        <v>0</v>
      </c>
      <c r="AF355" s="168">
        <f t="shared" si="52"/>
        <v>0</v>
      </c>
      <c r="AG355" s="168">
        <f t="shared" si="53"/>
        <v>0</v>
      </c>
      <c r="AH355" s="81" t="e" cm="1">
        <f t="array" aca="1" ref="AH355" ca="1">IF((AD355) &lt; (INDEX(ResponseSLA[#All],(MATCH((G355),ResponseSLA[Priority],0))+1,3)),"YES","No")</f>
        <v>#N/A</v>
      </c>
      <c r="AI355" s="81" t="str">
        <f>_xlfn.IFNA(IF(AE355 &lt; (INDEX(SLATable[Minimum SLA],MATCH(G355,SLATable[Priority],0))),"YES","NO"),"")</f>
        <v/>
      </c>
      <c r="AJ355" s="19" t="str">
        <f>_xlfn.IFNA(IF(AE355 &lt; (INDEX(SLATable[Maximum SLA],MATCH(G355,SLATable[Priority],0))),"YES","NO"),"")</f>
        <v/>
      </c>
    </row>
    <row r="356" spans="1:36" ht="15" customHeight="1">
      <c r="A356" s="78"/>
      <c r="B356" s="78"/>
      <c r="C356" s="78"/>
      <c r="D356" s="78"/>
      <c r="E356" s="78"/>
      <c r="F356" s="78"/>
      <c r="G356" s="78"/>
      <c r="H356" s="86"/>
      <c r="I356" s="78"/>
      <c r="J356" s="86"/>
      <c r="K356" s="277"/>
      <c r="L356" s="277"/>
      <c r="M356" s="277"/>
      <c r="N356" s="277"/>
      <c r="O356" s="80"/>
      <c r="P356" s="80"/>
      <c r="Q356" s="78"/>
      <c r="R356" s="78"/>
      <c r="S356" s="78"/>
      <c r="T356" s="78"/>
      <c r="U356" s="78"/>
      <c r="V356" s="78"/>
      <c r="W356" s="78"/>
      <c r="X356" s="78"/>
      <c r="Y356" s="78"/>
      <c r="Z356" s="167" t="e">
        <f t="shared" ca="1" si="46"/>
        <v>#N/A</v>
      </c>
      <c r="AA356" s="168" t="e">
        <f t="shared" ca="1" si="48"/>
        <v>#N/A</v>
      </c>
      <c r="AB356" s="167">
        <f t="shared" ca="1" si="47"/>
        <v>0</v>
      </c>
      <c r="AC356" s="168">
        <f t="shared" ca="1" si="49"/>
        <v>0</v>
      </c>
      <c r="AD356" s="191">
        <f t="shared" ca="1" si="50"/>
        <v>46259.633974537035</v>
      </c>
      <c r="AE356" s="167">
        <f t="shared" si="51"/>
        <v>0</v>
      </c>
      <c r="AF356" s="168">
        <f t="shared" si="52"/>
        <v>0</v>
      </c>
      <c r="AG356" s="168">
        <f t="shared" si="53"/>
        <v>0</v>
      </c>
      <c r="AH356" s="81" t="e" cm="1">
        <f t="array" aca="1" ref="AH356" ca="1">IF((AD356) &lt; (INDEX(ResponseSLA[#All],(MATCH((G356),ResponseSLA[Priority],0))+1,3)),"YES","No")</f>
        <v>#N/A</v>
      </c>
      <c r="AI356" s="81" t="str">
        <f>_xlfn.IFNA(IF(AE356 &lt; (INDEX(SLATable[Minimum SLA],MATCH(G356,SLATable[Priority],0))),"YES","NO"),"")</f>
        <v/>
      </c>
      <c r="AJ356" s="19" t="str">
        <f>_xlfn.IFNA(IF(AE356 &lt; (INDEX(SLATable[Maximum SLA],MATCH(G356,SLATable[Priority],0))),"YES","NO"),"")</f>
        <v/>
      </c>
    </row>
    <row r="357" spans="1:36" ht="15" customHeight="1">
      <c r="A357" s="78"/>
      <c r="B357" s="78"/>
      <c r="C357" s="78"/>
      <c r="D357" s="78"/>
      <c r="E357" s="78"/>
      <c r="F357" s="78"/>
      <c r="G357" s="78"/>
      <c r="H357" s="86"/>
      <c r="I357" s="78"/>
      <c r="J357" s="86"/>
      <c r="K357" s="277"/>
      <c r="L357" s="277"/>
      <c r="M357" s="277"/>
      <c r="N357" s="277"/>
      <c r="O357" s="80"/>
      <c r="P357" s="80"/>
      <c r="Q357" s="78"/>
      <c r="R357" s="78"/>
      <c r="S357" s="78"/>
      <c r="T357" s="78"/>
      <c r="U357" s="78"/>
      <c r="V357" s="78"/>
      <c r="W357" s="78"/>
      <c r="X357" s="78"/>
      <c r="Y357" s="78"/>
      <c r="Z357" s="167" t="e">
        <f t="shared" ca="1" si="46"/>
        <v>#N/A</v>
      </c>
      <c r="AA357" s="168" t="e">
        <f t="shared" ca="1" si="48"/>
        <v>#N/A</v>
      </c>
      <c r="AB357" s="167">
        <f t="shared" ca="1" si="47"/>
        <v>0</v>
      </c>
      <c r="AC357" s="168">
        <f t="shared" ca="1" si="49"/>
        <v>0</v>
      </c>
      <c r="AD357" s="191">
        <f t="shared" ca="1" si="50"/>
        <v>46259.633974421296</v>
      </c>
      <c r="AE357" s="167">
        <f t="shared" si="51"/>
        <v>0</v>
      </c>
      <c r="AF357" s="168">
        <f t="shared" si="52"/>
        <v>0</v>
      </c>
      <c r="AG357" s="168">
        <f t="shared" si="53"/>
        <v>0</v>
      </c>
      <c r="AH357" s="81" t="e" cm="1">
        <f t="array" aca="1" ref="AH357" ca="1">IF((AD357) &lt; (INDEX(ResponseSLA[#All],(MATCH((G357),ResponseSLA[Priority],0))+1,3)),"YES","No")</f>
        <v>#N/A</v>
      </c>
      <c r="AI357" s="81" t="str">
        <f>_xlfn.IFNA(IF(AE357 &lt; (INDEX(SLATable[Minimum SLA],MATCH(G357,SLATable[Priority],0))),"YES","NO"),"")</f>
        <v/>
      </c>
      <c r="AJ357" s="19" t="str">
        <f>_xlfn.IFNA(IF(AE357 &lt; (INDEX(SLATable[Maximum SLA],MATCH(G357,SLATable[Priority],0))),"YES","NO"),"")</f>
        <v/>
      </c>
    </row>
    <row r="358" spans="1:36" ht="15" customHeight="1">
      <c r="A358" s="78"/>
      <c r="B358" s="78"/>
      <c r="C358" s="78"/>
      <c r="D358" s="78"/>
      <c r="E358" s="78"/>
      <c r="F358" s="78"/>
      <c r="G358" s="78"/>
      <c r="H358" s="86"/>
      <c r="I358" s="78"/>
      <c r="J358" s="86"/>
      <c r="K358" s="277"/>
      <c r="L358" s="277"/>
      <c r="M358" s="277"/>
      <c r="N358" s="277"/>
      <c r="O358" s="80"/>
      <c r="P358" s="80"/>
      <c r="Q358" s="78"/>
      <c r="R358" s="78"/>
      <c r="S358" s="78"/>
      <c r="T358" s="78"/>
      <c r="U358" s="78"/>
      <c r="V358" s="78"/>
      <c r="W358" s="78"/>
      <c r="X358" s="78"/>
      <c r="Y358" s="78"/>
      <c r="Z358" s="167" t="e">
        <f t="shared" ca="1" si="46"/>
        <v>#N/A</v>
      </c>
      <c r="AA358" s="168" t="e">
        <f t="shared" ca="1" si="48"/>
        <v>#N/A</v>
      </c>
      <c r="AB358" s="167">
        <f t="shared" ca="1" si="47"/>
        <v>0</v>
      </c>
      <c r="AC358" s="168">
        <f t="shared" ca="1" si="49"/>
        <v>0</v>
      </c>
      <c r="AD358" s="191">
        <f t="shared" ca="1" si="50"/>
        <v>46259.633974421296</v>
      </c>
      <c r="AE358" s="167">
        <f t="shared" si="51"/>
        <v>0</v>
      </c>
      <c r="AF358" s="168">
        <f t="shared" si="52"/>
        <v>0</v>
      </c>
      <c r="AG358" s="168">
        <f t="shared" si="53"/>
        <v>0</v>
      </c>
      <c r="AH358" s="81" t="e" cm="1">
        <f t="array" aca="1" ref="AH358" ca="1">IF((AD358) &lt; (INDEX(ResponseSLA[#All],(MATCH((G358),ResponseSLA[Priority],0))+1,3)),"YES","No")</f>
        <v>#N/A</v>
      </c>
      <c r="AI358" s="81" t="str">
        <f>_xlfn.IFNA(IF(AE358 &lt; (INDEX(SLATable[Minimum SLA],MATCH(G358,SLATable[Priority],0))),"YES","NO"),"")</f>
        <v/>
      </c>
      <c r="AJ358" s="19" t="str">
        <f>_xlfn.IFNA(IF(AE358 &lt; (INDEX(SLATable[Maximum SLA],MATCH(G358,SLATable[Priority],0))),"YES","NO"),"")</f>
        <v/>
      </c>
    </row>
    <row r="359" spans="1:36" ht="15" customHeight="1">
      <c r="A359" s="78"/>
      <c r="B359" s="78"/>
      <c r="C359" s="78"/>
      <c r="D359" s="78"/>
      <c r="E359" s="78"/>
      <c r="F359" s="78"/>
      <c r="G359" s="78"/>
      <c r="H359" s="86"/>
      <c r="I359" s="78"/>
      <c r="J359" s="86"/>
      <c r="K359" s="277"/>
      <c r="L359" s="277"/>
      <c r="M359" s="277"/>
      <c r="N359" s="277"/>
      <c r="O359" s="80"/>
      <c r="P359" s="80"/>
      <c r="Q359" s="78"/>
      <c r="R359" s="78"/>
      <c r="S359" s="78"/>
      <c r="T359" s="78"/>
      <c r="U359" s="78"/>
      <c r="V359" s="78"/>
      <c r="W359" s="78"/>
      <c r="X359" s="78"/>
      <c r="Y359" s="78"/>
      <c r="Z359" s="167" t="e">
        <f t="shared" ca="1" si="46"/>
        <v>#N/A</v>
      </c>
      <c r="AA359" s="168" t="e">
        <f t="shared" ca="1" si="48"/>
        <v>#N/A</v>
      </c>
      <c r="AB359" s="167">
        <f t="shared" ca="1" si="47"/>
        <v>0</v>
      </c>
      <c r="AC359" s="168">
        <f t="shared" ca="1" si="49"/>
        <v>0</v>
      </c>
      <c r="AD359" s="191">
        <f t="shared" ca="1" si="50"/>
        <v>46259.633974537035</v>
      </c>
      <c r="AE359" s="167">
        <f t="shared" si="51"/>
        <v>0</v>
      </c>
      <c r="AF359" s="168">
        <f t="shared" si="52"/>
        <v>0</v>
      </c>
      <c r="AG359" s="168">
        <f t="shared" si="53"/>
        <v>0</v>
      </c>
      <c r="AH359" s="81" t="e" cm="1">
        <f t="array" aca="1" ref="AH359" ca="1">IF((AD359) &lt; (INDEX(ResponseSLA[#All],(MATCH((G359),ResponseSLA[Priority],0))+1,3)),"YES","No")</f>
        <v>#N/A</v>
      </c>
      <c r="AI359" s="81" t="str">
        <f>_xlfn.IFNA(IF(AE359 &lt; (INDEX(SLATable[Minimum SLA],MATCH(G359,SLATable[Priority],0))),"YES","NO"),"")</f>
        <v/>
      </c>
      <c r="AJ359" s="19" t="str">
        <f>_xlfn.IFNA(IF(AE359 &lt; (INDEX(SLATable[Maximum SLA],MATCH(G359,SLATable[Priority],0))),"YES","NO"),"")</f>
        <v/>
      </c>
    </row>
    <row r="360" spans="1:36" ht="15" customHeight="1">
      <c r="A360" s="78"/>
      <c r="B360" s="78"/>
      <c r="C360" s="78"/>
      <c r="D360" s="78"/>
      <c r="E360" s="78"/>
      <c r="F360" s="78"/>
      <c r="G360" s="78"/>
      <c r="H360" s="86"/>
      <c r="I360" s="78"/>
      <c r="J360" s="86"/>
      <c r="K360" s="277"/>
      <c r="L360" s="277"/>
      <c r="M360" s="277"/>
      <c r="N360" s="277"/>
      <c r="O360" s="80"/>
      <c r="P360" s="80"/>
      <c r="Q360" s="78"/>
      <c r="R360" s="78"/>
      <c r="S360" s="78"/>
      <c r="T360" s="78"/>
      <c r="U360" s="78"/>
      <c r="V360" s="78"/>
      <c r="W360" s="78"/>
      <c r="X360" s="78"/>
      <c r="Y360" s="78"/>
      <c r="Z360" s="167" t="e">
        <f t="shared" ca="1" si="46"/>
        <v>#N/A</v>
      </c>
      <c r="AA360" s="168" t="e">
        <f t="shared" ca="1" si="48"/>
        <v>#N/A</v>
      </c>
      <c r="AB360" s="167">
        <f t="shared" ca="1" si="47"/>
        <v>0</v>
      </c>
      <c r="AC360" s="168">
        <f t="shared" ca="1" si="49"/>
        <v>0</v>
      </c>
      <c r="AD360" s="191">
        <f t="shared" ca="1" si="50"/>
        <v>46259.633974421296</v>
      </c>
      <c r="AE360" s="167">
        <f t="shared" si="51"/>
        <v>0</v>
      </c>
      <c r="AF360" s="168">
        <f t="shared" si="52"/>
        <v>0</v>
      </c>
      <c r="AG360" s="168">
        <f t="shared" si="53"/>
        <v>0</v>
      </c>
      <c r="AH360" s="81" t="e" cm="1">
        <f t="array" aca="1" ref="AH360" ca="1">IF((AD360) &lt; (INDEX(ResponseSLA[#All],(MATCH((G360),ResponseSLA[Priority],0))+1,3)),"YES","No")</f>
        <v>#N/A</v>
      </c>
      <c r="AI360" s="81" t="str">
        <f>_xlfn.IFNA(IF(AE360 &lt; (INDEX(SLATable[Minimum SLA],MATCH(G360,SLATable[Priority],0))),"YES","NO"),"")</f>
        <v/>
      </c>
      <c r="AJ360" s="19" t="str">
        <f>_xlfn.IFNA(IF(AE360 &lt; (INDEX(SLATable[Maximum SLA],MATCH(G360,SLATable[Priority],0))),"YES","NO"),"")</f>
        <v/>
      </c>
    </row>
    <row r="361" spans="1:36" ht="15" customHeight="1">
      <c r="A361" s="78"/>
      <c r="B361" s="78"/>
      <c r="C361" s="78"/>
      <c r="D361" s="78"/>
      <c r="E361" s="78"/>
      <c r="F361" s="78"/>
      <c r="G361" s="78"/>
      <c r="H361" s="86"/>
      <c r="I361" s="78"/>
      <c r="J361" s="86"/>
      <c r="K361" s="277"/>
      <c r="L361" s="277"/>
      <c r="M361" s="277"/>
      <c r="N361" s="277"/>
      <c r="O361" s="80"/>
      <c r="P361" s="80"/>
      <c r="Q361" s="78"/>
      <c r="R361" s="78"/>
      <c r="S361" s="78"/>
      <c r="T361" s="78"/>
      <c r="U361" s="78"/>
      <c r="V361" s="78"/>
      <c r="W361" s="78"/>
      <c r="X361" s="78"/>
      <c r="Y361" s="78"/>
      <c r="Z361" s="167" t="e">
        <f t="shared" ca="1" si="46"/>
        <v>#N/A</v>
      </c>
      <c r="AA361" s="168" t="e">
        <f t="shared" ca="1" si="48"/>
        <v>#N/A</v>
      </c>
      <c r="AB361" s="167">
        <f t="shared" ca="1" si="47"/>
        <v>0</v>
      </c>
      <c r="AC361" s="168">
        <f t="shared" ca="1" si="49"/>
        <v>0</v>
      </c>
      <c r="AD361" s="191">
        <f t="shared" ca="1" si="50"/>
        <v>46259.633974421296</v>
      </c>
      <c r="AE361" s="167">
        <f t="shared" si="51"/>
        <v>0</v>
      </c>
      <c r="AF361" s="168">
        <f t="shared" si="52"/>
        <v>0</v>
      </c>
      <c r="AG361" s="168">
        <f t="shared" si="53"/>
        <v>0</v>
      </c>
      <c r="AH361" s="81" t="e" cm="1">
        <f t="array" aca="1" ref="AH361" ca="1">IF((AD361) &lt; (INDEX(ResponseSLA[#All],(MATCH((G361),ResponseSLA[Priority],0))+1,3)),"YES","No")</f>
        <v>#N/A</v>
      </c>
      <c r="AI361" s="81" t="str">
        <f>_xlfn.IFNA(IF(AE361 &lt; (INDEX(SLATable[Minimum SLA],MATCH(G361,SLATable[Priority],0))),"YES","NO"),"")</f>
        <v/>
      </c>
      <c r="AJ361" s="19" t="str">
        <f>_xlfn.IFNA(IF(AE361 &lt; (INDEX(SLATable[Maximum SLA],MATCH(G361,SLATable[Priority],0))),"YES","NO"),"")</f>
        <v/>
      </c>
    </row>
    <row r="362" spans="1:36" ht="15" customHeight="1">
      <c r="A362" s="78"/>
      <c r="B362" s="78"/>
      <c r="C362" s="78"/>
      <c r="D362" s="78"/>
      <c r="E362" s="78"/>
      <c r="F362" s="78"/>
      <c r="G362" s="78"/>
      <c r="H362" s="86"/>
      <c r="I362" s="78"/>
      <c r="J362" s="86"/>
      <c r="K362" s="277"/>
      <c r="L362" s="277"/>
      <c r="M362" s="277"/>
      <c r="N362" s="277"/>
      <c r="O362" s="80"/>
      <c r="P362" s="80"/>
      <c r="Q362" s="78"/>
      <c r="R362" s="78"/>
      <c r="S362" s="78"/>
      <c r="T362" s="78"/>
      <c r="U362" s="78"/>
      <c r="V362" s="78"/>
      <c r="W362" s="78"/>
      <c r="X362" s="78"/>
      <c r="Y362" s="78"/>
      <c r="Z362" s="167" t="e">
        <f t="shared" ca="1" si="46"/>
        <v>#N/A</v>
      </c>
      <c r="AA362" s="168" t="e">
        <f t="shared" ca="1" si="48"/>
        <v>#N/A</v>
      </c>
      <c r="AB362" s="167">
        <f t="shared" ca="1" si="47"/>
        <v>0</v>
      </c>
      <c r="AC362" s="168">
        <f t="shared" ca="1" si="49"/>
        <v>0</v>
      </c>
      <c r="AD362" s="191">
        <f t="shared" ca="1" si="50"/>
        <v>46259.633974537035</v>
      </c>
      <c r="AE362" s="167">
        <f t="shared" si="51"/>
        <v>0</v>
      </c>
      <c r="AF362" s="168">
        <f t="shared" si="52"/>
        <v>0</v>
      </c>
      <c r="AG362" s="168">
        <f t="shared" si="53"/>
        <v>0</v>
      </c>
      <c r="AH362" s="81" t="e" cm="1">
        <f t="array" aca="1" ref="AH362" ca="1">IF((AD362) &lt; (INDEX(ResponseSLA[#All],(MATCH((G362),ResponseSLA[Priority],0))+1,3)),"YES","No")</f>
        <v>#N/A</v>
      </c>
      <c r="AI362" s="81" t="str">
        <f>_xlfn.IFNA(IF(AE362 &lt; (INDEX(SLATable[Minimum SLA],MATCH(G362,SLATable[Priority],0))),"YES","NO"),"")</f>
        <v/>
      </c>
      <c r="AJ362" s="19" t="str">
        <f>_xlfn.IFNA(IF(AE362 &lt; (INDEX(SLATable[Maximum SLA],MATCH(G362,SLATable[Priority],0))),"YES","NO"),"")</f>
        <v/>
      </c>
    </row>
    <row r="363" spans="1:36" ht="15" customHeight="1">
      <c r="A363" s="78"/>
      <c r="B363" s="78"/>
      <c r="C363" s="78"/>
      <c r="D363" s="78"/>
      <c r="E363" s="78"/>
      <c r="F363" s="78"/>
      <c r="G363" s="78"/>
      <c r="H363" s="86"/>
      <c r="I363" s="78"/>
      <c r="J363" s="86"/>
      <c r="K363" s="277"/>
      <c r="L363" s="277"/>
      <c r="M363" s="277"/>
      <c r="N363" s="277"/>
      <c r="O363" s="80"/>
      <c r="P363" s="80"/>
      <c r="Q363" s="78"/>
      <c r="R363" s="78"/>
      <c r="S363" s="78"/>
      <c r="T363" s="78"/>
      <c r="U363" s="78"/>
      <c r="V363" s="78"/>
      <c r="W363" s="78"/>
      <c r="X363" s="78"/>
      <c r="Y363" s="78"/>
      <c r="Z363" s="167" t="e">
        <f t="shared" ca="1" si="46"/>
        <v>#N/A</v>
      </c>
      <c r="AA363" s="168" t="e">
        <f t="shared" ca="1" si="48"/>
        <v>#N/A</v>
      </c>
      <c r="AB363" s="167">
        <f t="shared" ca="1" si="47"/>
        <v>0</v>
      </c>
      <c r="AC363" s="168">
        <f t="shared" ca="1" si="49"/>
        <v>0</v>
      </c>
      <c r="AD363" s="191">
        <f t="shared" ca="1" si="50"/>
        <v>46259.633974421296</v>
      </c>
      <c r="AE363" s="167">
        <f t="shared" si="51"/>
        <v>0</v>
      </c>
      <c r="AF363" s="168">
        <f t="shared" si="52"/>
        <v>0</v>
      </c>
      <c r="AG363" s="168">
        <f t="shared" si="53"/>
        <v>0</v>
      </c>
      <c r="AH363" s="81" t="e" cm="1">
        <f t="array" aca="1" ref="AH363" ca="1">IF((AD363) &lt; (INDEX(ResponseSLA[#All],(MATCH((G363),ResponseSLA[Priority],0))+1,3)),"YES","No")</f>
        <v>#N/A</v>
      </c>
      <c r="AI363" s="81" t="str">
        <f>_xlfn.IFNA(IF(AE363 &lt; (INDEX(SLATable[Minimum SLA],MATCH(G363,SLATable[Priority],0))),"YES","NO"),"")</f>
        <v/>
      </c>
      <c r="AJ363" s="19" t="str">
        <f>_xlfn.IFNA(IF(AE363 &lt; (INDEX(SLATable[Maximum SLA],MATCH(G363,SLATable[Priority],0))),"YES","NO"),"")</f>
        <v/>
      </c>
    </row>
    <row r="364" spans="1:36" ht="15" customHeight="1">
      <c r="A364" s="78"/>
      <c r="B364" s="78"/>
      <c r="C364" s="78"/>
      <c r="D364" s="78"/>
      <c r="E364" s="78"/>
      <c r="F364" s="78"/>
      <c r="G364" s="78"/>
      <c r="H364" s="86"/>
      <c r="I364" s="78"/>
      <c r="J364" s="86"/>
      <c r="K364" s="277"/>
      <c r="L364" s="277"/>
      <c r="M364" s="277"/>
      <c r="N364" s="277"/>
      <c r="O364" s="80"/>
      <c r="P364" s="80"/>
      <c r="Q364" s="78"/>
      <c r="R364" s="78"/>
      <c r="S364" s="78"/>
      <c r="T364" s="78"/>
      <c r="U364" s="78"/>
      <c r="V364" s="78"/>
      <c r="W364" s="78"/>
      <c r="X364" s="78"/>
      <c r="Y364" s="78"/>
      <c r="Z364" s="167" t="e">
        <f t="shared" ca="1" si="46"/>
        <v>#N/A</v>
      </c>
      <c r="AA364" s="168" t="e">
        <f t="shared" ca="1" si="48"/>
        <v>#N/A</v>
      </c>
      <c r="AB364" s="167">
        <f t="shared" ca="1" si="47"/>
        <v>0</v>
      </c>
      <c r="AC364" s="168">
        <f t="shared" ca="1" si="49"/>
        <v>0</v>
      </c>
      <c r="AD364" s="191">
        <f t="shared" ca="1" si="50"/>
        <v>46259.633974421296</v>
      </c>
      <c r="AE364" s="167">
        <f t="shared" si="51"/>
        <v>0</v>
      </c>
      <c r="AF364" s="168">
        <f t="shared" si="52"/>
        <v>0</v>
      </c>
      <c r="AG364" s="168">
        <f t="shared" si="53"/>
        <v>0</v>
      </c>
      <c r="AH364" s="81" t="e" cm="1">
        <f t="array" aca="1" ref="AH364" ca="1">IF((AD364) &lt; (INDEX(ResponseSLA[#All],(MATCH((G364),ResponseSLA[Priority],0))+1,3)),"YES","No")</f>
        <v>#N/A</v>
      </c>
      <c r="AI364" s="81" t="str">
        <f>_xlfn.IFNA(IF(AE364 &lt; (INDEX(SLATable[Minimum SLA],MATCH(G364,SLATable[Priority],0))),"YES","NO"),"")</f>
        <v/>
      </c>
      <c r="AJ364" s="19" t="str">
        <f>_xlfn.IFNA(IF(AE364 &lt; (INDEX(SLATable[Maximum SLA],MATCH(G364,SLATable[Priority],0))),"YES","NO"),"")</f>
        <v/>
      </c>
    </row>
    <row r="365" spans="1:36" ht="15" customHeight="1">
      <c r="A365" s="78"/>
      <c r="B365" s="78"/>
      <c r="C365" s="78"/>
      <c r="D365" s="78"/>
      <c r="E365" s="78"/>
      <c r="F365" s="78"/>
      <c r="G365" s="78"/>
      <c r="H365" s="86"/>
      <c r="I365" s="78"/>
      <c r="J365" s="86"/>
      <c r="K365" s="277"/>
      <c r="L365" s="277"/>
      <c r="M365" s="277"/>
      <c r="N365" s="277"/>
      <c r="O365" s="80"/>
      <c r="P365" s="80"/>
      <c r="Q365" s="78"/>
      <c r="R365" s="78"/>
      <c r="S365" s="78"/>
      <c r="T365" s="78"/>
      <c r="U365" s="78"/>
      <c r="V365" s="78"/>
      <c r="W365" s="78"/>
      <c r="X365" s="78"/>
      <c r="Y365" s="78"/>
      <c r="Z365" s="167" t="e">
        <f t="shared" ca="1" si="46"/>
        <v>#N/A</v>
      </c>
      <c r="AA365" s="168" t="e">
        <f t="shared" ca="1" si="48"/>
        <v>#N/A</v>
      </c>
      <c r="AB365" s="167">
        <f t="shared" ca="1" si="47"/>
        <v>0</v>
      </c>
      <c r="AC365" s="168">
        <f t="shared" ca="1" si="49"/>
        <v>0</v>
      </c>
      <c r="AD365" s="191">
        <f t="shared" ca="1" si="50"/>
        <v>46259.633974537035</v>
      </c>
      <c r="AE365" s="167">
        <f t="shared" si="51"/>
        <v>0</v>
      </c>
      <c r="AF365" s="168">
        <f t="shared" si="52"/>
        <v>0</v>
      </c>
      <c r="AG365" s="168">
        <f t="shared" si="53"/>
        <v>0</v>
      </c>
      <c r="AH365" s="81" t="e" cm="1">
        <f t="array" aca="1" ref="AH365" ca="1">IF((AD365) &lt; (INDEX(ResponseSLA[#All],(MATCH((G365),ResponseSLA[Priority],0))+1,3)),"YES","No")</f>
        <v>#N/A</v>
      </c>
      <c r="AI365" s="81" t="str">
        <f>_xlfn.IFNA(IF(AE365 &lt; (INDEX(SLATable[Minimum SLA],MATCH(G365,SLATable[Priority],0))),"YES","NO"),"")</f>
        <v/>
      </c>
      <c r="AJ365" s="19" t="str">
        <f>_xlfn.IFNA(IF(AE365 &lt; (INDEX(SLATable[Maximum SLA],MATCH(G365,SLATable[Priority],0))),"YES","NO"),"")</f>
        <v/>
      </c>
    </row>
    <row r="366" spans="1:36" ht="15" customHeight="1">
      <c r="A366" s="78"/>
      <c r="B366" s="78"/>
      <c r="C366" s="78"/>
      <c r="D366" s="78"/>
      <c r="E366" s="78"/>
      <c r="F366" s="78"/>
      <c r="G366" s="78"/>
      <c r="H366" s="86"/>
      <c r="I366" s="78"/>
      <c r="J366" s="86"/>
      <c r="K366" s="277"/>
      <c r="L366" s="277"/>
      <c r="M366" s="277"/>
      <c r="N366" s="277"/>
      <c r="O366" s="80"/>
      <c r="P366" s="80"/>
      <c r="Q366" s="78"/>
      <c r="R366" s="78"/>
      <c r="S366" s="78"/>
      <c r="T366" s="78"/>
      <c r="U366" s="78"/>
      <c r="V366" s="78"/>
      <c r="W366" s="78"/>
      <c r="X366" s="78"/>
      <c r="Y366" s="78"/>
      <c r="Z366" s="167" t="e">
        <f t="shared" ca="1" si="46"/>
        <v>#N/A</v>
      </c>
      <c r="AA366" s="168" t="e">
        <f t="shared" ca="1" si="48"/>
        <v>#N/A</v>
      </c>
      <c r="AB366" s="167">
        <f t="shared" ca="1" si="47"/>
        <v>0</v>
      </c>
      <c r="AC366" s="168">
        <f t="shared" ca="1" si="49"/>
        <v>0</v>
      </c>
      <c r="AD366" s="191">
        <f t="shared" ca="1" si="50"/>
        <v>46259.633974421296</v>
      </c>
      <c r="AE366" s="167">
        <f t="shared" si="51"/>
        <v>0</v>
      </c>
      <c r="AF366" s="168">
        <f t="shared" si="52"/>
        <v>0</v>
      </c>
      <c r="AG366" s="168">
        <f t="shared" si="53"/>
        <v>0</v>
      </c>
      <c r="AH366" s="81" t="e" cm="1">
        <f t="array" aca="1" ref="AH366" ca="1">IF((AD366) &lt; (INDEX(ResponseSLA[#All],(MATCH((G366),ResponseSLA[Priority],0))+1,3)),"YES","No")</f>
        <v>#N/A</v>
      </c>
      <c r="AI366" s="81" t="str">
        <f>_xlfn.IFNA(IF(AE366 &lt; (INDEX(SLATable[Minimum SLA],MATCH(G366,SLATable[Priority],0))),"YES","NO"),"")</f>
        <v/>
      </c>
      <c r="AJ366" s="19" t="str">
        <f>_xlfn.IFNA(IF(AE366 &lt; (INDEX(SLATable[Maximum SLA],MATCH(G366,SLATable[Priority],0))),"YES","NO"),"")</f>
        <v/>
      </c>
    </row>
    <row r="367" spans="1:36" ht="15" customHeight="1">
      <c r="A367" s="78"/>
      <c r="B367" s="78"/>
      <c r="C367" s="78"/>
      <c r="D367" s="78"/>
      <c r="E367" s="78"/>
      <c r="F367" s="78"/>
      <c r="G367" s="78"/>
      <c r="H367" s="86"/>
      <c r="I367" s="78"/>
      <c r="J367" s="86"/>
      <c r="K367" s="277"/>
      <c r="L367" s="277"/>
      <c r="M367" s="277"/>
      <c r="N367" s="277"/>
      <c r="O367" s="80"/>
      <c r="P367" s="80"/>
      <c r="Q367" s="78"/>
      <c r="R367" s="78"/>
      <c r="S367" s="78"/>
      <c r="T367" s="78"/>
      <c r="U367" s="78"/>
      <c r="V367" s="78"/>
      <c r="W367" s="78"/>
      <c r="X367" s="78"/>
      <c r="Y367" s="78"/>
      <c r="Z367" s="167" t="e">
        <f t="shared" ca="1" si="46"/>
        <v>#N/A</v>
      </c>
      <c r="AA367" s="168" t="e">
        <f t="shared" ca="1" si="48"/>
        <v>#N/A</v>
      </c>
      <c r="AB367" s="167">
        <f t="shared" ca="1" si="47"/>
        <v>0</v>
      </c>
      <c r="AC367" s="168">
        <f t="shared" ca="1" si="49"/>
        <v>0</v>
      </c>
      <c r="AD367" s="191">
        <f t="shared" ca="1" si="50"/>
        <v>46259.633974421296</v>
      </c>
      <c r="AE367" s="167">
        <f t="shared" si="51"/>
        <v>0</v>
      </c>
      <c r="AF367" s="168">
        <f t="shared" si="52"/>
        <v>0</v>
      </c>
      <c r="AG367" s="168">
        <f t="shared" si="53"/>
        <v>0</v>
      </c>
      <c r="AH367" s="81" t="e" cm="1">
        <f t="array" aca="1" ref="AH367" ca="1">IF((AD367) &lt; (INDEX(ResponseSLA[#All],(MATCH((G367),ResponseSLA[Priority],0))+1,3)),"YES","No")</f>
        <v>#N/A</v>
      </c>
      <c r="AI367" s="81" t="str">
        <f>_xlfn.IFNA(IF(AE367 &lt; (INDEX(SLATable[Minimum SLA],MATCH(G367,SLATable[Priority],0))),"YES","NO"),"")</f>
        <v/>
      </c>
      <c r="AJ367" s="19" t="str">
        <f>_xlfn.IFNA(IF(AE367 &lt; (INDEX(SLATable[Maximum SLA],MATCH(G367,SLATable[Priority],0))),"YES","NO"),"")</f>
        <v/>
      </c>
    </row>
    <row r="368" spans="1:36" ht="15" customHeight="1">
      <c r="A368" s="78"/>
      <c r="B368" s="78"/>
      <c r="C368" s="78"/>
      <c r="D368" s="78"/>
      <c r="E368" s="78"/>
      <c r="F368" s="78"/>
      <c r="G368" s="78"/>
      <c r="H368" s="86"/>
      <c r="I368" s="78"/>
      <c r="J368" s="86"/>
      <c r="K368" s="277"/>
      <c r="L368" s="277"/>
      <c r="M368" s="277"/>
      <c r="N368" s="277"/>
      <c r="O368" s="80"/>
      <c r="P368" s="80"/>
      <c r="Q368" s="78"/>
      <c r="R368" s="78"/>
      <c r="S368" s="78"/>
      <c r="T368" s="78"/>
      <c r="U368" s="78"/>
      <c r="V368" s="78"/>
      <c r="W368" s="78"/>
      <c r="X368" s="78"/>
      <c r="Y368" s="78"/>
      <c r="Z368" s="167" t="e">
        <f t="shared" ca="1" si="46"/>
        <v>#N/A</v>
      </c>
      <c r="AA368" s="168" t="e">
        <f t="shared" ca="1" si="48"/>
        <v>#N/A</v>
      </c>
      <c r="AB368" s="167">
        <f t="shared" ca="1" si="47"/>
        <v>0</v>
      </c>
      <c r="AC368" s="168">
        <f t="shared" ca="1" si="49"/>
        <v>0</v>
      </c>
      <c r="AD368" s="191">
        <f t="shared" ca="1" si="50"/>
        <v>46259.633974537035</v>
      </c>
      <c r="AE368" s="167">
        <f t="shared" si="51"/>
        <v>0</v>
      </c>
      <c r="AF368" s="168">
        <f t="shared" si="52"/>
        <v>0</v>
      </c>
      <c r="AG368" s="168">
        <f t="shared" si="53"/>
        <v>0</v>
      </c>
      <c r="AH368" s="81" t="e" cm="1">
        <f t="array" aca="1" ref="AH368" ca="1">IF((AD368) &lt; (INDEX(ResponseSLA[#All],(MATCH((G368),ResponseSLA[Priority],0))+1,3)),"YES","No")</f>
        <v>#N/A</v>
      </c>
      <c r="AI368" s="81" t="str">
        <f>_xlfn.IFNA(IF(AE368 &lt; (INDEX(SLATable[Minimum SLA],MATCH(G368,SLATable[Priority],0))),"YES","NO"),"")</f>
        <v/>
      </c>
      <c r="AJ368" s="19" t="str">
        <f>_xlfn.IFNA(IF(AE368 &lt; (INDEX(SLATable[Maximum SLA],MATCH(G368,SLATable[Priority],0))),"YES","NO"),"")</f>
        <v/>
      </c>
    </row>
    <row r="369" spans="1:36" ht="15" customHeight="1">
      <c r="A369" s="78"/>
      <c r="B369" s="78"/>
      <c r="C369" s="78"/>
      <c r="D369" s="78"/>
      <c r="E369" s="78"/>
      <c r="F369" s="78"/>
      <c r="G369" s="78"/>
      <c r="H369" s="86"/>
      <c r="I369" s="78"/>
      <c r="J369" s="86"/>
      <c r="K369" s="277"/>
      <c r="L369" s="277"/>
      <c r="M369" s="277"/>
      <c r="N369" s="277"/>
      <c r="O369" s="80"/>
      <c r="P369" s="80"/>
      <c r="Q369" s="78"/>
      <c r="R369" s="78"/>
      <c r="S369" s="78"/>
      <c r="T369" s="78"/>
      <c r="U369" s="78"/>
      <c r="V369" s="78"/>
      <c r="W369" s="78"/>
      <c r="X369" s="78"/>
      <c r="Y369" s="78"/>
      <c r="Z369" s="167" t="e">
        <f t="shared" ca="1" si="46"/>
        <v>#N/A</v>
      </c>
      <c r="AA369" s="168" t="e">
        <f t="shared" ca="1" si="48"/>
        <v>#N/A</v>
      </c>
      <c r="AB369" s="167">
        <f t="shared" ca="1" si="47"/>
        <v>0</v>
      </c>
      <c r="AC369" s="168">
        <f t="shared" ca="1" si="49"/>
        <v>0</v>
      </c>
      <c r="AD369" s="191">
        <f t="shared" ca="1" si="50"/>
        <v>46259.633974421296</v>
      </c>
      <c r="AE369" s="167">
        <f t="shared" si="51"/>
        <v>0</v>
      </c>
      <c r="AF369" s="168">
        <f t="shared" si="52"/>
        <v>0</v>
      </c>
      <c r="AG369" s="168">
        <f t="shared" si="53"/>
        <v>0</v>
      </c>
      <c r="AH369" s="81" t="e" cm="1">
        <f t="array" aca="1" ref="AH369" ca="1">IF((AD369) &lt; (INDEX(ResponseSLA[#All],(MATCH((G369),ResponseSLA[Priority],0))+1,3)),"YES","No")</f>
        <v>#N/A</v>
      </c>
      <c r="AI369" s="81" t="str">
        <f>_xlfn.IFNA(IF(AE369 &lt; (INDEX(SLATable[Minimum SLA],MATCH(G369,SLATable[Priority],0))),"YES","NO"),"")</f>
        <v/>
      </c>
      <c r="AJ369" s="19" t="str">
        <f>_xlfn.IFNA(IF(AE369 &lt; (INDEX(SLATable[Maximum SLA],MATCH(G369,SLATable[Priority],0))),"YES","NO"),"")</f>
        <v/>
      </c>
    </row>
    <row r="370" spans="1:36" ht="15" customHeight="1">
      <c r="A370" s="78"/>
      <c r="B370" s="78"/>
      <c r="C370" s="78"/>
      <c r="D370" s="78"/>
      <c r="E370" s="78"/>
      <c r="F370" s="78"/>
      <c r="G370" s="78"/>
      <c r="H370" s="86"/>
      <c r="I370" s="78"/>
      <c r="J370" s="86"/>
      <c r="K370" s="277"/>
      <c r="L370" s="277"/>
      <c r="M370" s="277"/>
      <c r="N370" s="277"/>
      <c r="O370" s="80"/>
      <c r="P370" s="80"/>
      <c r="Q370" s="78"/>
      <c r="R370" s="78"/>
      <c r="S370" s="78"/>
      <c r="T370" s="78"/>
      <c r="U370" s="78"/>
      <c r="V370" s="78"/>
      <c r="W370" s="78"/>
      <c r="X370" s="78"/>
      <c r="Y370" s="78"/>
      <c r="Z370" s="167" t="e">
        <f t="shared" ca="1" si="46"/>
        <v>#N/A</v>
      </c>
      <c r="AA370" s="168" t="e">
        <f t="shared" ca="1" si="48"/>
        <v>#N/A</v>
      </c>
      <c r="AB370" s="167">
        <f t="shared" ca="1" si="47"/>
        <v>0</v>
      </c>
      <c r="AC370" s="168">
        <f t="shared" ca="1" si="49"/>
        <v>0</v>
      </c>
      <c r="AD370" s="191">
        <f t="shared" ca="1" si="50"/>
        <v>46259.633974421296</v>
      </c>
      <c r="AE370" s="167">
        <f t="shared" si="51"/>
        <v>0</v>
      </c>
      <c r="AF370" s="168">
        <f t="shared" si="52"/>
        <v>0</v>
      </c>
      <c r="AG370" s="168">
        <f t="shared" si="53"/>
        <v>0</v>
      </c>
      <c r="AH370" s="81" t="e" cm="1">
        <f t="array" aca="1" ref="AH370" ca="1">IF((AD370) &lt; (INDEX(ResponseSLA[#All],(MATCH((G370),ResponseSLA[Priority],0))+1,3)),"YES","No")</f>
        <v>#N/A</v>
      </c>
      <c r="AI370" s="81" t="str">
        <f>_xlfn.IFNA(IF(AE370 &lt; (INDEX(SLATable[Minimum SLA],MATCH(G370,SLATable[Priority],0))),"YES","NO"),"")</f>
        <v/>
      </c>
      <c r="AJ370" s="19" t="str">
        <f>_xlfn.IFNA(IF(AE370 &lt; (INDEX(SLATable[Maximum SLA],MATCH(G370,SLATable[Priority],0))),"YES","NO"),"")</f>
        <v/>
      </c>
    </row>
    <row r="371" spans="1:36" ht="15" customHeight="1">
      <c r="A371" s="78"/>
      <c r="B371" s="78"/>
      <c r="C371" s="78"/>
      <c r="D371" s="78"/>
      <c r="E371" s="78"/>
      <c r="F371" s="78"/>
      <c r="G371" s="78"/>
      <c r="H371" s="86"/>
      <c r="I371" s="78"/>
      <c r="J371" s="86"/>
      <c r="K371" s="277"/>
      <c r="L371" s="277"/>
      <c r="M371" s="277"/>
      <c r="N371" s="277"/>
      <c r="O371" s="80"/>
      <c r="P371" s="80"/>
      <c r="Q371" s="78"/>
      <c r="R371" s="78"/>
      <c r="S371" s="78"/>
      <c r="T371" s="78"/>
      <c r="U371" s="78"/>
      <c r="V371" s="78"/>
      <c r="W371" s="78"/>
      <c r="X371" s="78"/>
      <c r="Y371" s="78"/>
      <c r="Z371" s="167" t="e">
        <f t="shared" ca="1" si="46"/>
        <v>#N/A</v>
      </c>
      <c r="AA371" s="168" t="e">
        <f t="shared" ca="1" si="48"/>
        <v>#N/A</v>
      </c>
      <c r="AB371" s="167">
        <f t="shared" ca="1" si="47"/>
        <v>0</v>
      </c>
      <c r="AC371" s="168">
        <f t="shared" ca="1" si="49"/>
        <v>0</v>
      </c>
      <c r="AD371" s="191">
        <f t="shared" ca="1" si="50"/>
        <v>46259.633974537035</v>
      </c>
      <c r="AE371" s="167">
        <f t="shared" si="51"/>
        <v>0</v>
      </c>
      <c r="AF371" s="168">
        <f t="shared" si="52"/>
        <v>0</v>
      </c>
      <c r="AG371" s="168">
        <f t="shared" si="53"/>
        <v>0</v>
      </c>
      <c r="AH371" s="81" t="e" cm="1">
        <f t="array" aca="1" ref="AH371" ca="1">IF((AD371) &lt; (INDEX(ResponseSLA[#All],(MATCH((G371),ResponseSLA[Priority],0))+1,3)),"YES","No")</f>
        <v>#N/A</v>
      </c>
      <c r="AI371" s="81" t="str">
        <f>_xlfn.IFNA(IF(AE371 &lt; (INDEX(SLATable[Minimum SLA],MATCH(G371,SLATable[Priority],0))),"YES","NO"),"")</f>
        <v/>
      </c>
      <c r="AJ371" s="19" t="str">
        <f>_xlfn.IFNA(IF(AE371 &lt; (INDEX(SLATable[Maximum SLA],MATCH(G371,SLATable[Priority],0))),"YES","NO"),"")</f>
        <v/>
      </c>
    </row>
    <row r="372" spans="1:36" ht="15" customHeight="1">
      <c r="A372" s="78"/>
      <c r="B372" s="78"/>
      <c r="C372" s="78"/>
      <c r="D372" s="78"/>
      <c r="E372" s="78"/>
      <c r="F372" s="78"/>
      <c r="G372" s="78"/>
      <c r="H372" s="86"/>
      <c r="I372" s="78"/>
      <c r="J372" s="86"/>
      <c r="K372" s="277"/>
      <c r="L372" s="277"/>
      <c r="M372" s="277"/>
      <c r="N372" s="277"/>
      <c r="O372" s="80"/>
      <c r="P372" s="80"/>
      <c r="Q372" s="78"/>
      <c r="R372" s="78"/>
      <c r="S372" s="78"/>
      <c r="T372" s="78"/>
      <c r="U372" s="78"/>
      <c r="V372" s="78"/>
      <c r="W372" s="78"/>
      <c r="X372" s="78"/>
      <c r="Y372" s="78"/>
      <c r="Z372" s="167" t="e">
        <f t="shared" ca="1" si="46"/>
        <v>#N/A</v>
      </c>
      <c r="AA372" s="168" t="e">
        <f t="shared" ca="1" si="48"/>
        <v>#N/A</v>
      </c>
      <c r="AB372" s="167">
        <f t="shared" ca="1" si="47"/>
        <v>0</v>
      </c>
      <c r="AC372" s="168">
        <f t="shared" ca="1" si="49"/>
        <v>0</v>
      </c>
      <c r="AD372" s="191">
        <f t="shared" ca="1" si="50"/>
        <v>46259.633974421296</v>
      </c>
      <c r="AE372" s="167">
        <f t="shared" si="51"/>
        <v>0</v>
      </c>
      <c r="AF372" s="168">
        <f t="shared" si="52"/>
        <v>0</v>
      </c>
      <c r="AG372" s="168">
        <f t="shared" si="53"/>
        <v>0</v>
      </c>
      <c r="AH372" s="81" t="e" cm="1">
        <f t="array" aca="1" ref="AH372" ca="1">IF((AD372) &lt; (INDEX(ResponseSLA[#All],(MATCH((G372),ResponseSLA[Priority],0))+1,3)),"YES","No")</f>
        <v>#N/A</v>
      </c>
      <c r="AI372" s="81" t="str">
        <f>_xlfn.IFNA(IF(AE372 &lt; (INDEX(SLATable[Minimum SLA],MATCH(G372,SLATable[Priority],0))),"YES","NO"),"")</f>
        <v/>
      </c>
      <c r="AJ372" s="19" t="str">
        <f>_xlfn.IFNA(IF(AE372 &lt; (INDEX(SLATable[Maximum SLA],MATCH(G372,SLATable[Priority],0))),"YES","NO"),"")</f>
        <v/>
      </c>
    </row>
    <row r="373" spans="1:36" ht="15" customHeight="1">
      <c r="A373" s="78"/>
      <c r="B373" s="78"/>
      <c r="C373" s="78"/>
      <c r="D373" s="78"/>
      <c r="E373" s="78"/>
      <c r="F373" s="78"/>
      <c r="G373" s="78"/>
      <c r="H373" s="86"/>
      <c r="I373" s="78"/>
      <c r="J373" s="86"/>
      <c r="K373" s="277"/>
      <c r="L373" s="277"/>
      <c r="M373" s="277"/>
      <c r="N373" s="277"/>
      <c r="O373" s="80"/>
      <c r="P373" s="80"/>
      <c r="Q373" s="78"/>
      <c r="R373" s="78"/>
      <c r="S373" s="78"/>
      <c r="T373" s="78"/>
      <c r="U373" s="78"/>
      <c r="V373" s="78"/>
      <c r="W373" s="78"/>
      <c r="X373" s="78"/>
      <c r="Y373" s="78"/>
      <c r="Z373" s="167" t="e">
        <f t="shared" ca="1" si="46"/>
        <v>#N/A</v>
      </c>
      <c r="AA373" s="168" t="e">
        <f t="shared" ca="1" si="48"/>
        <v>#N/A</v>
      </c>
      <c r="AB373" s="167">
        <f t="shared" ca="1" si="47"/>
        <v>0</v>
      </c>
      <c r="AC373" s="168">
        <f t="shared" ca="1" si="49"/>
        <v>0</v>
      </c>
      <c r="AD373" s="191">
        <f t="shared" ca="1" si="50"/>
        <v>46259.633974421296</v>
      </c>
      <c r="AE373" s="167">
        <f t="shared" si="51"/>
        <v>0</v>
      </c>
      <c r="AF373" s="168">
        <f t="shared" si="52"/>
        <v>0</v>
      </c>
      <c r="AG373" s="168">
        <f t="shared" si="53"/>
        <v>0</v>
      </c>
      <c r="AH373" s="81" t="e" cm="1">
        <f t="array" aca="1" ref="AH373" ca="1">IF((AD373) &lt; (INDEX(ResponseSLA[#All],(MATCH((G373),ResponseSLA[Priority],0))+1,3)),"YES","No")</f>
        <v>#N/A</v>
      </c>
      <c r="AI373" s="81" t="str">
        <f>_xlfn.IFNA(IF(AE373 &lt; (INDEX(SLATable[Minimum SLA],MATCH(G373,SLATable[Priority],0))),"YES","NO"),"")</f>
        <v/>
      </c>
      <c r="AJ373" s="19" t="str">
        <f>_xlfn.IFNA(IF(AE373 &lt; (INDEX(SLATable[Maximum SLA],MATCH(G373,SLATable[Priority],0))),"YES","NO"),"")</f>
        <v/>
      </c>
    </row>
    <row r="374" spans="1:36" ht="15" customHeight="1">
      <c r="A374" s="78"/>
      <c r="B374" s="78"/>
      <c r="C374" s="78"/>
      <c r="D374" s="78"/>
      <c r="E374" s="78"/>
      <c r="F374" s="78"/>
      <c r="G374" s="78"/>
      <c r="H374" s="86"/>
      <c r="I374" s="78"/>
      <c r="J374" s="86"/>
      <c r="K374" s="277"/>
      <c r="L374" s="277"/>
      <c r="M374" s="277"/>
      <c r="N374" s="277"/>
      <c r="O374" s="80"/>
      <c r="P374" s="80"/>
      <c r="Q374" s="78"/>
      <c r="R374" s="78"/>
      <c r="S374" s="78"/>
      <c r="T374" s="78"/>
      <c r="U374" s="78"/>
      <c r="V374" s="78"/>
      <c r="W374" s="78"/>
      <c r="X374" s="78"/>
      <c r="Y374" s="78"/>
      <c r="Z374" s="167" t="e">
        <f t="shared" ca="1" si="46"/>
        <v>#N/A</v>
      </c>
      <c r="AA374" s="168" t="e">
        <f t="shared" ca="1" si="48"/>
        <v>#N/A</v>
      </c>
      <c r="AB374" s="167">
        <f t="shared" ca="1" si="47"/>
        <v>0</v>
      </c>
      <c r="AC374" s="168">
        <f t="shared" ca="1" si="49"/>
        <v>0</v>
      </c>
      <c r="AD374" s="191">
        <f t="shared" ca="1" si="50"/>
        <v>46259.633974537035</v>
      </c>
      <c r="AE374" s="167">
        <f t="shared" si="51"/>
        <v>0</v>
      </c>
      <c r="AF374" s="168">
        <f t="shared" si="52"/>
        <v>0</v>
      </c>
      <c r="AG374" s="168">
        <f t="shared" si="53"/>
        <v>0</v>
      </c>
      <c r="AH374" s="81" t="e" cm="1">
        <f t="array" aca="1" ref="AH374" ca="1">IF((AD374) &lt; (INDEX(ResponseSLA[#All],(MATCH((G374),ResponseSLA[Priority],0))+1,3)),"YES","No")</f>
        <v>#N/A</v>
      </c>
      <c r="AI374" s="81" t="str">
        <f>_xlfn.IFNA(IF(AE374 &lt; (INDEX(SLATable[Minimum SLA],MATCH(G374,SLATable[Priority],0))),"YES","NO"),"")</f>
        <v/>
      </c>
      <c r="AJ374" s="19" t="str">
        <f>_xlfn.IFNA(IF(AE374 &lt; (INDEX(SLATable[Maximum SLA],MATCH(G374,SLATable[Priority],0))),"YES","NO"),"")</f>
        <v/>
      </c>
    </row>
    <row r="375" spans="1:36" ht="15" customHeight="1">
      <c r="A375" s="78"/>
      <c r="B375" s="78"/>
      <c r="C375" s="78"/>
      <c r="D375" s="78"/>
      <c r="E375" s="78"/>
      <c r="F375" s="78"/>
      <c r="G375" s="78"/>
      <c r="H375" s="86"/>
      <c r="I375" s="78"/>
      <c r="J375" s="86"/>
      <c r="K375" s="277"/>
      <c r="L375" s="277"/>
      <c r="M375" s="277"/>
      <c r="N375" s="277"/>
      <c r="O375" s="80"/>
      <c r="P375" s="80"/>
      <c r="Q375" s="78"/>
      <c r="R375" s="78"/>
      <c r="S375" s="78"/>
      <c r="T375" s="78"/>
      <c r="U375" s="78"/>
      <c r="V375" s="78"/>
      <c r="W375" s="78"/>
      <c r="X375" s="78"/>
      <c r="Y375" s="78"/>
      <c r="Z375" s="167" t="e">
        <f t="shared" ref="Z375:Z402" ca="1" si="54">IF(NOT(OR(G375=1,G375=2)),MAX(0,_xlfn.IFS(AND(K375&lt;&gt;"",N375&lt;&gt;""),((MAX(NETWORKDAYS(K375,N375,UKBankHolidays)-1,0))*(TIME(17,0,0)-TIME(8,0,0))+IF(NETWORKDAYS(N375,N375,UKBankHolidays)&gt;0,MEDIAN(TIME(8,0,0),MOD(N375,1),TIME(17,0,0)),TIME(8,0,0))-IF(NETWORKDAYS(K375,K375,UKBankHolidays)&gt;0,MEDIAN(TIME(8,0,0),MOD(K375,1),TIME(17,0,0)),TIME(8,0,0)))-IF(AND(O375&lt;&gt;"",P375&lt;&gt;""),((MAX(NETWORKDAYS(O375,P375,UKBankHolidays)-1,0))*(TIME(17,0,0)-TIME(8,0,0))+IF(NETWORKDAYS(P375,P375,UKBankHolidays)&gt;0,MEDIAN(TIME(8,0,0),MOD(P375,1),TIME(17,0,0)),TIME(8,0,0))-IF(NETWORKDAYS(O375,O375,UKBankHolidays)&gt;0,MEDIAN(TIME(8,0,0),MOD(O375,1),TIME(17,0,0)),TIME(8,0,0))),0),AND(K375&lt;&gt;"",N375=""),((MAX(NETWORKDAYS(K375,NOW(),UKBankHolidays)-1,0))*(TIME(17,0,0)-TIME(8,0,0))+IF(NETWORKDAYS(NOW(),NOW(),UKBankHolidays)&gt;0,MEDIAN(TIME(8,0,0),MOD(NOW(),1),TIME(17,0,0)),TIME(8,0,0))-IF(NETWORKDAYS(K375,K375,UKBankHolidays)&gt;0,MEDIAN(TIME(8,0,0),MOD(K375,1),TIME(17,0,0)),TIME(8,0,0))))),IF(N375="",NOW()-K375,N375-K375))</f>
        <v>#N/A</v>
      </c>
      <c r="AA375" s="168" t="e">
        <f t="shared" ca="1" si="48"/>
        <v>#N/A</v>
      </c>
      <c r="AB375" s="167">
        <f t="shared" ref="AB375:AB402" ca="1" si="55">IF(NOT(OR(G375=1,G375=2)),MAX(0,_xlfn.IFS(AND(K375&lt;&gt;"",N375&lt;&gt;""),(((MAX(NETWORKDAYS(L375,N375,UKBankHolidays)-1,0))*(TIME(17,0,0)-TIME(8,0,0)))+IF(NETWORKDAYS(N375,N375,UKBankHolidays)&gt;0,MEDIAN(TIME(8,0,0),MOD(N375,1),TIME(17,0,0)),TIME(8,0,0))-IF(NETWORKDAYS(L375,L375,UKBankHolidays)&gt;0,MEDIAN(TIME(8,0,0),MOD(L375,1),TIME(17,0,0)),TIME(8,0,0)))-IF(AND(O375&lt;&gt;"",P375&lt;&gt;""),(((MAX(NETWORKDAYS(O375,P375,UKBankHolidays)-1,0))*(TIME(17,0,0)-TIME(8,0,0)))+IF(NETWORKDAYS(P375,P375,UKBankHolidays)&gt;0,MEDIAN(TIME(8,0,0),MOD(P375,1),TIME(17,0,0)),TIME(8,0,0))-IF(NETWORKDAYS(O375,O375,UKBankHolidays)&gt;0,MEDIAN(TIME(8,0,0),MOD(O375,1),TIME(17,0,0)),TIME(8,0,0))),0),AND(L375&lt;&gt;"",N375="",O375=""),(((MAX(NETWORKDAYS(L375,NOW(),UKBankHolidays)-1,0))*(TIME(17,0,0)-TIME(8,0,0)))+IF(NETWORKDAYS(NOW(),NOW(),UKBankHolidays)&gt;0,MEDIAN(TIME(8,0,0),MOD(NOW(),1),TIME(17,0,0)),TIME(8,0,0))-IF(NETWORKDAYS(L375,L375,UKBankHolidays)&gt;0,MEDIAN(TIME(8,0,0),MOD(L375,1),TIME(17,0,0)),TIME(8,0,0)))-IF(AND(O375&lt;&gt;"",P375&lt;&gt;""),(((MAX(NETWORKDAYS(O375,P375,UKBankHolidays)-1,0))*(TIME(17,0,0)-TIME(8,0,0)))+IF(NETWORKDAYS(P375,P375,UKBankHolidays)&gt;0,MEDIAN(TIME(8,0,0),MOD(P375,1),TIME(17,0,0)),TIME(8,0,0))-IF(NETWORKDAYS(O375,O375,UKBankHolidays)&gt;0,MEDIAN(TIME(8,0,0),MOD(O375,1),TIME(17,0,0)),TIME(8,0,0))),0),AND(L375&lt;&gt;"",N375="",P375="",O375&lt;&gt;""),(((MAX(NETWORKDAYS(L375,O375,UKBankHolidays)-1,0))*(TIME(17,0,0)-TIME(8,0,0)))+IF(NETWORKDAYS(O375,O375,UKBankHolidays)&gt;0,MEDIAN(TIME(8,0,0),MOD(O375,1),TIME(17,0,0)),TIME(8,0,0))-IF(NETWORKDAYS(L375,L375,UKBankHolidays)&gt;0,MEDIAN(TIME(8,0,0),MOD(L375,1),TIME(17,0,0)),TIME(8,0,0))),ISBLANK(K375),"0")),IF(ISBLANK(N375),NOW()-L375,N375-L375))</f>
        <v>0</v>
      </c>
      <c r="AC375" s="168">
        <f t="shared" ca="1" si="49"/>
        <v>0</v>
      </c>
      <c r="AD375" s="191">
        <f t="shared" ca="1" si="50"/>
        <v>46259.633974421296</v>
      </c>
      <c r="AE375" s="167">
        <f t="shared" si="51"/>
        <v>0</v>
      </c>
      <c r="AF375" s="168">
        <f t="shared" si="52"/>
        <v>0</v>
      </c>
      <c r="AG375" s="168">
        <f t="shared" si="53"/>
        <v>0</v>
      </c>
      <c r="AH375" s="81" t="e" cm="1">
        <f t="array" aca="1" ref="AH375" ca="1">IF((AD375) &lt; (INDEX(ResponseSLA[#All],(MATCH((G375),ResponseSLA[Priority],0))+1,3)),"YES","No")</f>
        <v>#N/A</v>
      </c>
      <c r="AI375" s="81" t="str">
        <f>_xlfn.IFNA(IF(AE375 &lt; (INDEX(SLATable[Minimum SLA],MATCH(G375,SLATable[Priority],0))),"YES","NO"),"")</f>
        <v/>
      </c>
      <c r="AJ375" s="19" t="str">
        <f>_xlfn.IFNA(IF(AE375 &lt; (INDEX(SLATable[Maximum SLA],MATCH(G375,SLATable[Priority],0))),"YES","NO"),"")</f>
        <v/>
      </c>
    </row>
    <row r="376" spans="1:36" ht="15" customHeight="1">
      <c r="A376" s="78"/>
      <c r="B376" s="78"/>
      <c r="C376" s="78"/>
      <c r="D376" s="78"/>
      <c r="E376" s="78"/>
      <c r="F376" s="78"/>
      <c r="G376" s="78"/>
      <c r="H376" s="86"/>
      <c r="I376" s="78"/>
      <c r="J376" s="86"/>
      <c r="K376" s="277"/>
      <c r="L376" s="277"/>
      <c r="M376" s="277"/>
      <c r="N376" s="277"/>
      <c r="O376" s="80"/>
      <c r="P376" s="80"/>
      <c r="Q376" s="78"/>
      <c r="R376" s="78"/>
      <c r="S376" s="78"/>
      <c r="T376" s="78"/>
      <c r="U376" s="78"/>
      <c r="V376" s="78"/>
      <c r="W376" s="78"/>
      <c r="X376" s="78"/>
      <c r="Y376" s="78"/>
      <c r="Z376" s="167" t="e">
        <f t="shared" ca="1" si="54"/>
        <v>#N/A</v>
      </c>
      <c r="AA376" s="168" t="e">
        <f t="shared" ca="1" si="48"/>
        <v>#N/A</v>
      </c>
      <c r="AB376" s="167">
        <f t="shared" ca="1" si="55"/>
        <v>0</v>
      </c>
      <c r="AC376" s="168">
        <f t="shared" ca="1" si="49"/>
        <v>0</v>
      </c>
      <c r="AD376" s="191">
        <f t="shared" ca="1" si="50"/>
        <v>46259.633974421296</v>
      </c>
      <c r="AE376" s="167">
        <f t="shared" si="51"/>
        <v>0</v>
      </c>
      <c r="AF376" s="168">
        <f t="shared" si="52"/>
        <v>0</v>
      </c>
      <c r="AG376" s="168">
        <f t="shared" si="53"/>
        <v>0</v>
      </c>
      <c r="AH376" s="81" t="e" cm="1">
        <f t="array" aca="1" ref="AH376" ca="1">IF((AD376) &lt; (INDEX(ResponseSLA[#All],(MATCH((G376),ResponseSLA[Priority],0))+1,3)),"YES","No")</f>
        <v>#N/A</v>
      </c>
      <c r="AI376" s="81" t="str">
        <f>_xlfn.IFNA(IF(AE376 &lt; (INDEX(SLATable[Minimum SLA],MATCH(G376,SLATable[Priority],0))),"YES","NO"),"")</f>
        <v/>
      </c>
      <c r="AJ376" s="19" t="str">
        <f>_xlfn.IFNA(IF(AE376 &lt; (INDEX(SLATable[Maximum SLA],MATCH(G376,SLATable[Priority],0))),"YES","NO"),"")</f>
        <v/>
      </c>
    </row>
    <row r="377" spans="1:36" ht="15" customHeight="1">
      <c r="A377" s="78"/>
      <c r="B377" s="78"/>
      <c r="C377" s="78"/>
      <c r="D377" s="78"/>
      <c r="E377" s="78"/>
      <c r="F377" s="78"/>
      <c r="G377" s="78"/>
      <c r="H377" s="86"/>
      <c r="I377" s="78"/>
      <c r="J377" s="86"/>
      <c r="K377" s="277"/>
      <c r="L377" s="277"/>
      <c r="M377" s="277"/>
      <c r="N377" s="277"/>
      <c r="O377" s="80"/>
      <c r="P377" s="80"/>
      <c r="Q377" s="78"/>
      <c r="R377" s="78"/>
      <c r="S377" s="78"/>
      <c r="T377" s="78"/>
      <c r="U377" s="78"/>
      <c r="V377" s="78"/>
      <c r="W377" s="78"/>
      <c r="X377" s="78"/>
      <c r="Y377" s="78"/>
      <c r="Z377" s="167" t="e">
        <f t="shared" ca="1" si="54"/>
        <v>#N/A</v>
      </c>
      <c r="AA377" s="168" t="e">
        <f t="shared" ca="1" si="48"/>
        <v>#N/A</v>
      </c>
      <c r="AB377" s="167">
        <f t="shared" ca="1" si="55"/>
        <v>0</v>
      </c>
      <c r="AC377" s="168">
        <f t="shared" ca="1" si="49"/>
        <v>0</v>
      </c>
      <c r="AD377" s="191">
        <f t="shared" ca="1" si="50"/>
        <v>46259.633974537035</v>
      </c>
      <c r="AE377" s="167">
        <f t="shared" si="51"/>
        <v>0</v>
      </c>
      <c r="AF377" s="168">
        <f t="shared" si="52"/>
        <v>0</v>
      </c>
      <c r="AG377" s="168">
        <f t="shared" si="53"/>
        <v>0</v>
      </c>
      <c r="AH377" s="81" t="e" cm="1">
        <f t="array" aca="1" ref="AH377" ca="1">IF((AD377) &lt; (INDEX(ResponseSLA[#All],(MATCH((G377),ResponseSLA[Priority],0))+1,3)),"YES","No")</f>
        <v>#N/A</v>
      </c>
      <c r="AI377" s="81" t="str">
        <f>_xlfn.IFNA(IF(AE377 &lt; (INDEX(SLATable[Minimum SLA],MATCH(G377,SLATable[Priority],0))),"YES","NO"),"")</f>
        <v/>
      </c>
      <c r="AJ377" s="19" t="str">
        <f>_xlfn.IFNA(IF(AE377 &lt; (INDEX(SLATable[Maximum SLA],MATCH(G377,SLATable[Priority],0))),"YES","NO"),"")</f>
        <v/>
      </c>
    </row>
    <row r="378" spans="1:36" ht="15" customHeight="1">
      <c r="A378" s="78"/>
      <c r="B378" s="78"/>
      <c r="C378" s="78"/>
      <c r="D378" s="78"/>
      <c r="E378" s="78"/>
      <c r="F378" s="78"/>
      <c r="G378" s="78"/>
      <c r="H378" s="86"/>
      <c r="I378" s="78"/>
      <c r="J378" s="86"/>
      <c r="K378" s="277"/>
      <c r="L378" s="277"/>
      <c r="M378" s="277"/>
      <c r="N378" s="277"/>
      <c r="O378" s="80"/>
      <c r="P378" s="80"/>
      <c r="Q378" s="78"/>
      <c r="R378" s="78"/>
      <c r="S378" s="78"/>
      <c r="T378" s="78"/>
      <c r="U378" s="78"/>
      <c r="V378" s="78"/>
      <c r="W378" s="78"/>
      <c r="X378" s="78"/>
      <c r="Y378" s="78"/>
      <c r="Z378" s="167" t="e">
        <f t="shared" ca="1" si="54"/>
        <v>#N/A</v>
      </c>
      <c r="AA378" s="168" t="e">
        <f t="shared" ca="1" si="48"/>
        <v>#N/A</v>
      </c>
      <c r="AB378" s="167">
        <f t="shared" ca="1" si="55"/>
        <v>0</v>
      </c>
      <c r="AC378" s="168">
        <f t="shared" ca="1" si="49"/>
        <v>0</v>
      </c>
      <c r="AD378" s="191">
        <f t="shared" ca="1" si="50"/>
        <v>46259.633974421296</v>
      </c>
      <c r="AE378" s="167">
        <f t="shared" si="51"/>
        <v>0</v>
      </c>
      <c r="AF378" s="168">
        <f t="shared" si="52"/>
        <v>0</v>
      </c>
      <c r="AG378" s="168">
        <f t="shared" si="53"/>
        <v>0</v>
      </c>
      <c r="AH378" s="81" t="e" cm="1">
        <f t="array" aca="1" ref="AH378" ca="1">IF((AD378) &lt; (INDEX(ResponseSLA[#All],(MATCH((G378),ResponseSLA[Priority],0))+1,3)),"YES","No")</f>
        <v>#N/A</v>
      </c>
      <c r="AI378" s="81" t="str">
        <f>_xlfn.IFNA(IF(AE378 &lt; (INDEX(SLATable[Minimum SLA],MATCH(G378,SLATable[Priority],0))),"YES","NO"),"")</f>
        <v/>
      </c>
      <c r="AJ378" s="19" t="str">
        <f>_xlfn.IFNA(IF(AE378 &lt; (INDEX(SLATable[Maximum SLA],MATCH(G378,SLATable[Priority],0))),"YES","NO"),"")</f>
        <v/>
      </c>
    </row>
    <row r="379" spans="1:36" ht="15" customHeight="1">
      <c r="A379" s="78"/>
      <c r="B379" s="78"/>
      <c r="C379" s="78"/>
      <c r="D379" s="78"/>
      <c r="E379" s="78"/>
      <c r="F379" s="78"/>
      <c r="G379" s="78"/>
      <c r="H379" s="86"/>
      <c r="I379" s="78"/>
      <c r="J379" s="86"/>
      <c r="K379" s="277"/>
      <c r="L379" s="277"/>
      <c r="M379" s="277"/>
      <c r="N379" s="277"/>
      <c r="O379" s="80"/>
      <c r="P379" s="80"/>
      <c r="Q379" s="78"/>
      <c r="R379" s="78"/>
      <c r="S379" s="78"/>
      <c r="T379" s="78"/>
      <c r="U379" s="78"/>
      <c r="V379" s="78"/>
      <c r="W379" s="78"/>
      <c r="X379" s="78"/>
      <c r="Y379" s="78"/>
      <c r="Z379" s="167" t="e">
        <f t="shared" ca="1" si="54"/>
        <v>#N/A</v>
      </c>
      <c r="AA379" s="168" t="e">
        <f t="shared" ca="1" si="48"/>
        <v>#N/A</v>
      </c>
      <c r="AB379" s="167">
        <f t="shared" ca="1" si="55"/>
        <v>0</v>
      </c>
      <c r="AC379" s="168">
        <f t="shared" ca="1" si="49"/>
        <v>0</v>
      </c>
      <c r="AD379" s="191">
        <f t="shared" ca="1" si="50"/>
        <v>46259.633974421296</v>
      </c>
      <c r="AE379" s="167">
        <f t="shared" si="51"/>
        <v>0</v>
      </c>
      <c r="AF379" s="168">
        <f t="shared" si="52"/>
        <v>0</v>
      </c>
      <c r="AG379" s="168">
        <f t="shared" si="53"/>
        <v>0</v>
      </c>
      <c r="AH379" s="81" t="e" cm="1">
        <f t="array" aca="1" ref="AH379" ca="1">IF((AD379) &lt; (INDEX(ResponseSLA[#All],(MATCH((G379),ResponseSLA[Priority],0))+1,3)),"YES","No")</f>
        <v>#N/A</v>
      </c>
      <c r="AI379" s="81" t="str">
        <f>_xlfn.IFNA(IF(AE379 &lt; (INDEX(SLATable[Minimum SLA],MATCH(G379,SLATable[Priority],0))),"YES","NO"),"")</f>
        <v/>
      </c>
      <c r="AJ379" s="19" t="str">
        <f>_xlfn.IFNA(IF(AE379 &lt; (INDEX(SLATable[Maximum SLA],MATCH(G379,SLATable[Priority],0))),"YES","NO"),"")</f>
        <v/>
      </c>
    </row>
    <row r="380" spans="1:36" ht="15" customHeight="1">
      <c r="A380" s="78"/>
      <c r="B380" s="78"/>
      <c r="C380" s="78"/>
      <c r="D380" s="78"/>
      <c r="E380" s="78"/>
      <c r="F380" s="78"/>
      <c r="G380" s="78"/>
      <c r="H380" s="86"/>
      <c r="I380" s="78"/>
      <c r="J380" s="86"/>
      <c r="K380" s="277"/>
      <c r="L380" s="277"/>
      <c r="M380" s="277"/>
      <c r="N380" s="277"/>
      <c r="O380" s="80"/>
      <c r="P380" s="80"/>
      <c r="Q380" s="78"/>
      <c r="R380" s="78"/>
      <c r="S380" s="78"/>
      <c r="T380" s="78"/>
      <c r="U380" s="78"/>
      <c r="V380" s="78"/>
      <c r="W380" s="78"/>
      <c r="X380" s="78"/>
      <c r="Y380" s="78"/>
      <c r="Z380" s="167" t="e">
        <f t="shared" ca="1" si="54"/>
        <v>#N/A</v>
      </c>
      <c r="AA380" s="168" t="e">
        <f t="shared" ca="1" si="48"/>
        <v>#N/A</v>
      </c>
      <c r="AB380" s="167">
        <f t="shared" ca="1" si="55"/>
        <v>0</v>
      </c>
      <c r="AC380" s="168">
        <f t="shared" ca="1" si="49"/>
        <v>0</v>
      </c>
      <c r="AD380" s="191">
        <f t="shared" ca="1" si="50"/>
        <v>46259.633974537035</v>
      </c>
      <c r="AE380" s="167">
        <f t="shared" si="51"/>
        <v>0</v>
      </c>
      <c r="AF380" s="168">
        <f t="shared" si="52"/>
        <v>0</v>
      </c>
      <c r="AG380" s="168">
        <f t="shared" si="53"/>
        <v>0</v>
      </c>
      <c r="AH380" s="81" t="e" cm="1">
        <f t="array" aca="1" ref="AH380" ca="1">IF((AD380) &lt; (INDEX(ResponseSLA[#All],(MATCH((G380),ResponseSLA[Priority],0))+1,3)),"YES","No")</f>
        <v>#N/A</v>
      </c>
      <c r="AI380" s="81" t="str">
        <f>_xlfn.IFNA(IF(AE380 &lt; (INDEX(SLATable[Minimum SLA],MATCH(G380,SLATable[Priority],0))),"YES","NO"),"")</f>
        <v/>
      </c>
      <c r="AJ380" s="19" t="str">
        <f>_xlfn.IFNA(IF(AE380 &lt; (INDEX(SLATable[Maximum SLA],MATCH(G380,SLATable[Priority],0))),"YES","NO"),"")</f>
        <v/>
      </c>
    </row>
    <row r="381" spans="1:36" ht="15" customHeight="1">
      <c r="A381" s="78"/>
      <c r="B381" s="78"/>
      <c r="C381" s="78"/>
      <c r="D381" s="78"/>
      <c r="E381" s="78"/>
      <c r="F381" s="78"/>
      <c r="G381" s="78"/>
      <c r="H381" s="86"/>
      <c r="I381" s="78"/>
      <c r="J381" s="86"/>
      <c r="K381" s="277"/>
      <c r="L381" s="277"/>
      <c r="M381" s="277"/>
      <c r="N381" s="277"/>
      <c r="O381" s="80"/>
      <c r="P381" s="80"/>
      <c r="Q381" s="78"/>
      <c r="R381" s="78"/>
      <c r="S381" s="78"/>
      <c r="T381" s="78"/>
      <c r="U381" s="78"/>
      <c r="V381" s="78"/>
      <c r="W381" s="78"/>
      <c r="X381" s="78"/>
      <c r="Y381" s="78"/>
      <c r="Z381" s="167" t="e">
        <f t="shared" ca="1" si="54"/>
        <v>#N/A</v>
      </c>
      <c r="AA381" s="168" t="e">
        <f t="shared" ca="1" si="48"/>
        <v>#N/A</v>
      </c>
      <c r="AB381" s="167">
        <f t="shared" ca="1" si="55"/>
        <v>0</v>
      </c>
      <c r="AC381" s="168">
        <f t="shared" ca="1" si="49"/>
        <v>0</v>
      </c>
      <c r="AD381" s="191">
        <f t="shared" ca="1" si="50"/>
        <v>46259.633974421296</v>
      </c>
      <c r="AE381" s="167">
        <f t="shared" si="51"/>
        <v>0</v>
      </c>
      <c r="AF381" s="168">
        <f t="shared" si="52"/>
        <v>0</v>
      </c>
      <c r="AG381" s="168">
        <f t="shared" si="53"/>
        <v>0</v>
      </c>
      <c r="AH381" s="81" t="e" cm="1">
        <f t="array" aca="1" ref="AH381" ca="1">IF((AD381) &lt; (INDEX(ResponseSLA[#All],(MATCH((G381),ResponseSLA[Priority],0))+1,3)),"YES","No")</f>
        <v>#N/A</v>
      </c>
      <c r="AI381" s="81" t="str">
        <f>_xlfn.IFNA(IF(AE381 &lt; (INDEX(SLATable[Minimum SLA],MATCH(G381,SLATable[Priority],0))),"YES","NO"),"")</f>
        <v/>
      </c>
      <c r="AJ381" s="19" t="str">
        <f>_xlfn.IFNA(IF(AE381 &lt; (INDEX(SLATable[Maximum SLA],MATCH(G381,SLATable[Priority],0))),"YES","NO"),"")</f>
        <v/>
      </c>
    </row>
    <row r="382" spans="1:36" ht="15" customHeight="1">
      <c r="A382" s="78"/>
      <c r="B382" s="78"/>
      <c r="C382" s="78"/>
      <c r="D382" s="78"/>
      <c r="E382" s="78"/>
      <c r="F382" s="78"/>
      <c r="G382" s="78"/>
      <c r="H382" s="86"/>
      <c r="I382" s="78"/>
      <c r="J382" s="86"/>
      <c r="K382" s="277"/>
      <c r="L382" s="277"/>
      <c r="M382" s="277"/>
      <c r="N382" s="277"/>
      <c r="O382" s="80"/>
      <c r="P382" s="80"/>
      <c r="Q382" s="78"/>
      <c r="R382" s="78"/>
      <c r="S382" s="78"/>
      <c r="T382" s="78"/>
      <c r="U382" s="78"/>
      <c r="V382" s="78"/>
      <c r="W382" s="78"/>
      <c r="X382" s="78"/>
      <c r="Y382" s="78"/>
      <c r="Z382" s="167" t="e">
        <f t="shared" ca="1" si="54"/>
        <v>#N/A</v>
      </c>
      <c r="AA382" s="168" t="e">
        <f t="shared" ca="1" si="48"/>
        <v>#N/A</v>
      </c>
      <c r="AB382" s="167">
        <f t="shared" ca="1" si="55"/>
        <v>0</v>
      </c>
      <c r="AC382" s="168">
        <f t="shared" ca="1" si="49"/>
        <v>0</v>
      </c>
      <c r="AD382" s="191">
        <f t="shared" ca="1" si="50"/>
        <v>46259.633974421296</v>
      </c>
      <c r="AE382" s="167">
        <f t="shared" si="51"/>
        <v>0</v>
      </c>
      <c r="AF382" s="168">
        <f t="shared" si="52"/>
        <v>0</v>
      </c>
      <c r="AG382" s="168">
        <f t="shared" si="53"/>
        <v>0</v>
      </c>
      <c r="AH382" s="81" t="e" cm="1">
        <f t="array" aca="1" ref="AH382" ca="1">IF((AD382) &lt; (INDEX(ResponseSLA[#All],(MATCH((G382),ResponseSLA[Priority],0))+1,3)),"YES","No")</f>
        <v>#N/A</v>
      </c>
      <c r="AI382" s="81" t="str">
        <f>_xlfn.IFNA(IF(AE382 &lt; (INDEX(SLATable[Minimum SLA],MATCH(G382,SLATable[Priority],0))),"YES","NO"),"")</f>
        <v/>
      </c>
      <c r="AJ382" s="19" t="str">
        <f>_xlfn.IFNA(IF(AE382 &lt; (INDEX(SLATable[Maximum SLA],MATCH(G382,SLATable[Priority],0))),"YES","NO"),"")</f>
        <v/>
      </c>
    </row>
    <row r="383" spans="1:36" ht="15" customHeight="1">
      <c r="A383" s="78"/>
      <c r="B383" s="78"/>
      <c r="C383" s="78"/>
      <c r="D383" s="78"/>
      <c r="E383" s="78"/>
      <c r="F383" s="78"/>
      <c r="G383" s="78"/>
      <c r="H383" s="86"/>
      <c r="I383" s="78"/>
      <c r="J383" s="86"/>
      <c r="K383" s="277"/>
      <c r="L383" s="277"/>
      <c r="M383" s="277"/>
      <c r="N383" s="277"/>
      <c r="O383" s="80"/>
      <c r="P383" s="80"/>
      <c r="Q383" s="78"/>
      <c r="R383" s="78"/>
      <c r="S383" s="78"/>
      <c r="T383" s="78"/>
      <c r="U383" s="78"/>
      <c r="V383" s="78"/>
      <c r="W383" s="78"/>
      <c r="X383" s="78"/>
      <c r="Y383" s="78"/>
      <c r="Z383" s="167" t="e">
        <f t="shared" ca="1" si="54"/>
        <v>#N/A</v>
      </c>
      <c r="AA383" s="168" t="e">
        <f t="shared" ca="1" si="48"/>
        <v>#N/A</v>
      </c>
      <c r="AB383" s="167">
        <f t="shared" ca="1" si="55"/>
        <v>0</v>
      </c>
      <c r="AC383" s="168">
        <f t="shared" ca="1" si="49"/>
        <v>0</v>
      </c>
      <c r="AD383" s="191">
        <f t="shared" ca="1" si="50"/>
        <v>46259.633974537035</v>
      </c>
      <c r="AE383" s="167">
        <f t="shared" si="51"/>
        <v>0</v>
      </c>
      <c r="AF383" s="168">
        <f t="shared" si="52"/>
        <v>0</v>
      </c>
      <c r="AG383" s="168">
        <f t="shared" si="53"/>
        <v>0</v>
      </c>
      <c r="AH383" s="81" t="e" cm="1">
        <f t="array" aca="1" ref="AH383" ca="1">IF((AD383) &lt; (INDEX(ResponseSLA[#All],(MATCH((G383),ResponseSLA[Priority],0))+1,3)),"YES","No")</f>
        <v>#N/A</v>
      </c>
      <c r="AI383" s="81" t="str">
        <f>_xlfn.IFNA(IF(AE383 &lt; (INDEX(SLATable[Minimum SLA],MATCH(G383,SLATable[Priority],0))),"YES","NO"),"")</f>
        <v/>
      </c>
      <c r="AJ383" s="19" t="str">
        <f>_xlfn.IFNA(IF(AE383 &lt; (INDEX(SLATable[Maximum SLA],MATCH(G383,SLATable[Priority],0))),"YES","NO"),"")</f>
        <v/>
      </c>
    </row>
    <row r="384" spans="1:36" ht="15" customHeight="1">
      <c r="A384" s="78"/>
      <c r="B384" s="78"/>
      <c r="C384" s="78"/>
      <c r="D384" s="78"/>
      <c r="E384" s="78"/>
      <c r="F384" s="78"/>
      <c r="G384" s="78"/>
      <c r="H384" s="86"/>
      <c r="I384" s="78"/>
      <c r="J384" s="86"/>
      <c r="K384" s="277"/>
      <c r="L384" s="277"/>
      <c r="M384" s="277"/>
      <c r="N384" s="277"/>
      <c r="O384" s="80"/>
      <c r="P384" s="80"/>
      <c r="Q384" s="78"/>
      <c r="R384" s="78"/>
      <c r="S384" s="78"/>
      <c r="T384" s="78"/>
      <c r="U384" s="78"/>
      <c r="V384" s="78"/>
      <c r="W384" s="78"/>
      <c r="X384" s="78"/>
      <c r="Y384" s="78"/>
      <c r="Z384" s="167" t="e">
        <f t="shared" ca="1" si="54"/>
        <v>#N/A</v>
      </c>
      <c r="AA384" s="168" t="e">
        <f t="shared" ca="1" si="48"/>
        <v>#N/A</v>
      </c>
      <c r="AB384" s="167">
        <f t="shared" ca="1" si="55"/>
        <v>0</v>
      </c>
      <c r="AC384" s="168">
        <f t="shared" ca="1" si="49"/>
        <v>0</v>
      </c>
      <c r="AD384" s="191">
        <f t="shared" ca="1" si="50"/>
        <v>46259.633974421296</v>
      </c>
      <c r="AE384" s="167">
        <f t="shared" si="51"/>
        <v>0</v>
      </c>
      <c r="AF384" s="168">
        <f t="shared" si="52"/>
        <v>0</v>
      </c>
      <c r="AG384" s="168">
        <f t="shared" si="53"/>
        <v>0</v>
      </c>
      <c r="AH384" s="81" t="e" cm="1">
        <f t="array" aca="1" ref="AH384" ca="1">IF((AD384) &lt; (INDEX(ResponseSLA[#All],(MATCH((G384),ResponseSLA[Priority],0))+1,3)),"YES","No")</f>
        <v>#N/A</v>
      </c>
      <c r="AI384" s="81" t="str">
        <f>_xlfn.IFNA(IF(AE384 &lt; (INDEX(SLATable[Minimum SLA],MATCH(G384,SLATable[Priority],0))),"YES","NO"),"")</f>
        <v/>
      </c>
      <c r="AJ384" s="19" t="str">
        <f>_xlfn.IFNA(IF(AE384 &lt; (INDEX(SLATable[Maximum SLA],MATCH(G384,SLATable[Priority],0))),"YES","NO"),"")</f>
        <v/>
      </c>
    </row>
    <row r="385" spans="1:36" ht="15" customHeight="1">
      <c r="A385" s="78"/>
      <c r="B385" s="78"/>
      <c r="C385" s="78"/>
      <c r="D385" s="78"/>
      <c r="E385" s="78"/>
      <c r="F385" s="78"/>
      <c r="G385" s="78"/>
      <c r="H385" s="86"/>
      <c r="I385" s="78"/>
      <c r="J385" s="86"/>
      <c r="K385" s="277"/>
      <c r="L385" s="277"/>
      <c r="M385" s="277"/>
      <c r="N385" s="277"/>
      <c r="O385" s="80"/>
      <c r="P385" s="80"/>
      <c r="Q385" s="78"/>
      <c r="R385" s="78"/>
      <c r="S385" s="78"/>
      <c r="T385" s="78"/>
      <c r="U385" s="78"/>
      <c r="V385" s="78"/>
      <c r="W385" s="78"/>
      <c r="X385" s="78"/>
      <c r="Y385" s="78"/>
      <c r="Z385" s="167" t="e">
        <f t="shared" ca="1" si="54"/>
        <v>#N/A</v>
      </c>
      <c r="AA385" s="168" t="e">
        <f t="shared" ca="1" si="48"/>
        <v>#N/A</v>
      </c>
      <c r="AB385" s="167">
        <f t="shared" ca="1" si="55"/>
        <v>0</v>
      </c>
      <c r="AC385" s="168">
        <f t="shared" ca="1" si="49"/>
        <v>0</v>
      </c>
      <c r="AD385" s="191">
        <f t="shared" ca="1" si="50"/>
        <v>46259.633974421296</v>
      </c>
      <c r="AE385" s="167">
        <f t="shared" si="51"/>
        <v>0</v>
      </c>
      <c r="AF385" s="168">
        <f t="shared" si="52"/>
        <v>0</v>
      </c>
      <c r="AG385" s="168">
        <f t="shared" si="53"/>
        <v>0</v>
      </c>
      <c r="AH385" s="81" t="e" cm="1">
        <f t="array" aca="1" ref="AH385" ca="1">IF((AD385) &lt; (INDEX(ResponseSLA[#All],(MATCH((G385),ResponseSLA[Priority],0))+1,3)),"YES","No")</f>
        <v>#N/A</v>
      </c>
      <c r="AI385" s="81" t="str">
        <f>_xlfn.IFNA(IF(AE385 &lt; (INDEX(SLATable[Minimum SLA],MATCH(G385,SLATable[Priority],0))),"YES","NO"),"")</f>
        <v/>
      </c>
      <c r="AJ385" s="19" t="str">
        <f>_xlfn.IFNA(IF(AE385 &lt; (INDEX(SLATable[Maximum SLA],MATCH(G385,SLATable[Priority],0))),"YES","NO"),"")</f>
        <v/>
      </c>
    </row>
    <row r="386" spans="1:36" ht="15" customHeight="1">
      <c r="A386" s="78"/>
      <c r="B386" s="78"/>
      <c r="C386" s="78"/>
      <c r="D386" s="78"/>
      <c r="E386" s="78"/>
      <c r="F386" s="78"/>
      <c r="G386" s="78"/>
      <c r="H386" s="86"/>
      <c r="I386" s="78"/>
      <c r="J386" s="86"/>
      <c r="K386" s="277"/>
      <c r="L386" s="277"/>
      <c r="M386" s="277"/>
      <c r="N386" s="277"/>
      <c r="O386" s="80"/>
      <c r="P386" s="80"/>
      <c r="Q386" s="78"/>
      <c r="R386" s="78"/>
      <c r="S386" s="78"/>
      <c r="T386" s="78"/>
      <c r="U386" s="78"/>
      <c r="V386" s="78"/>
      <c r="W386" s="78"/>
      <c r="X386" s="78"/>
      <c r="Y386" s="78"/>
      <c r="Z386" s="167" t="e">
        <f t="shared" ca="1" si="54"/>
        <v>#N/A</v>
      </c>
      <c r="AA386" s="168" t="e">
        <f t="shared" ref="AA386:AA402" ca="1" si="56">(Z386*24)/9</f>
        <v>#N/A</v>
      </c>
      <c r="AB386" s="167">
        <f t="shared" ca="1" si="55"/>
        <v>0</v>
      </c>
      <c r="AC386" s="168">
        <f t="shared" ref="AC386:AC402" ca="1" si="57">(AB386*24)/9</f>
        <v>0</v>
      </c>
      <c r="AD386" s="191">
        <f t="shared" ref="AD386:AD402" ca="1" si="58">MAX(0,
IF(
OR(G386=1,G386=2),
IF(M386&lt;&gt;"",M386-L386,NOW()-L386),
IF(
M386&lt;&gt;"",
IF(
INT(L386)=INT(M386),
IF(
NETWORKDAYS(L386,L386,UKBankHolidays)=0,
0,
MAX(
0,
MIN(MOD(M386,1),TIME(17,0,0))
-
MAX(MOD(L386,1),TIME(8,0,0))
)
),
MAX(
0,
IF(
NETWORKDAYS(L386,L386,UKBankHolidays)&gt;0,
TIME(17,0,0)-MAX(MOD(L386,1),TIME(8,0,0)),
0
)
)
+
MAX(
0,
NETWORKDAYS(INT(L386)+1,INT(M386)-1,UKBankHolidays)
*(TIME(17,0,0)-TIME(8,0,0))
)
+
MAX(
0,
IF(
NETWORKDAYS(M386,M386,UKBankHolidays)&gt;0,
MIN(MOD(M386,1),TIME(17,0,0))-TIME(8,0,0),
0
)
)
),
IF(M386&lt;&gt;"",M386-L386,NOW()-L386)
)
)
)</f>
        <v>46259.633974537035</v>
      </c>
      <c r="AE386" s="167">
        <f t="shared" ref="AE386:AE402" si="59">SUMIFS(AB:AB,E:E,E386)</f>
        <v>0</v>
      </c>
      <c r="AF386" s="168">
        <f t="shared" ref="AF386:AF402" si="60">(AE386*24)/9</f>
        <v>0</v>
      </c>
      <c r="AG386" s="168">
        <f t="shared" ref="AG386:AG402" si="61">AF386</f>
        <v>0</v>
      </c>
      <c r="AH386" s="81" t="e" cm="1">
        <f t="array" aca="1" ref="AH386" ca="1">IF((AD386) &lt; (INDEX(ResponseSLA[#All],(MATCH((G386),ResponseSLA[Priority],0))+1,3)),"YES","No")</f>
        <v>#N/A</v>
      </c>
      <c r="AI386" s="81" t="str">
        <f>_xlfn.IFNA(IF(AE386 &lt; (INDEX(SLATable[Minimum SLA],MATCH(G386,SLATable[Priority],0))),"YES","NO"),"")</f>
        <v/>
      </c>
      <c r="AJ386" s="19" t="str">
        <f>_xlfn.IFNA(IF(AE386 &lt; (INDEX(SLATable[Maximum SLA],MATCH(G386,SLATable[Priority],0))),"YES","NO"),"")</f>
        <v/>
      </c>
    </row>
    <row r="387" spans="1:36" ht="15" customHeight="1">
      <c r="A387" s="78"/>
      <c r="B387" s="78"/>
      <c r="C387" s="78"/>
      <c r="D387" s="78"/>
      <c r="E387" s="78"/>
      <c r="F387" s="78"/>
      <c r="G387" s="78"/>
      <c r="H387" s="86"/>
      <c r="I387" s="78"/>
      <c r="J387" s="86"/>
      <c r="K387" s="277"/>
      <c r="L387" s="277"/>
      <c r="M387" s="277"/>
      <c r="N387" s="277"/>
      <c r="O387" s="80"/>
      <c r="P387" s="80"/>
      <c r="Q387" s="78"/>
      <c r="R387" s="78"/>
      <c r="S387" s="78"/>
      <c r="T387" s="78"/>
      <c r="U387" s="78"/>
      <c r="V387" s="78"/>
      <c r="W387" s="78"/>
      <c r="X387" s="78"/>
      <c r="Y387" s="78"/>
      <c r="Z387" s="167" t="e">
        <f t="shared" ca="1" si="54"/>
        <v>#N/A</v>
      </c>
      <c r="AA387" s="168" t="e">
        <f t="shared" ca="1" si="56"/>
        <v>#N/A</v>
      </c>
      <c r="AB387" s="167">
        <f t="shared" ca="1" si="55"/>
        <v>0</v>
      </c>
      <c r="AC387" s="168">
        <f t="shared" ca="1" si="57"/>
        <v>0</v>
      </c>
      <c r="AD387" s="191">
        <f t="shared" ca="1" si="58"/>
        <v>46259.633974421296</v>
      </c>
      <c r="AE387" s="167">
        <f t="shared" si="59"/>
        <v>0</v>
      </c>
      <c r="AF387" s="168">
        <f t="shared" si="60"/>
        <v>0</v>
      </c>
      <c r="AG387" s="168">
        <f t="shared" si="61"/>
        <v>0</v>
      </c>
      <c r="AH387" s="81" t="e" cm="1">
        <f t="array" aca="1" ref="AH387" ca="1">IF((AD387) &lt; (INDEX(ResponseSLA[#All],(MATCH((G387),ResponseSLA[Priority],0))+1,3)),"YES","No")</f>
        <v>#N/A</v>
      </c>
      <c r="AI387" s="81" t="str">
        <f>_xlfn.IFNA(IF(AE387 &lt; (INDEX(SLATable[Minimum SLA],MATCH(G387,SLATable[Priority],0))),"YES","NO"),"")</f>
        <v/>
      </c>
      <c r="AJ387" s="19" t="str">
        <f>_xlfn.IFNA(IF(AE387 &lt; (INDEX(SLATable[Maximum SLA],MATCH(G387,SLATable[Priority],0))),"YES","NO"),"")</f>
        <v/>
      </c>
    </row>
    <row r="388" spans="1:36" ht="15" customHeight="1">
      <c r="A388" s="78"/>
      <c r="B388" s="78"/>
      <c r="C388" s="78"/>
      <c r="D388" s="78"/>
      <c r="E388" s="78"/>
      <c r="F388" s="78"/>
      <c r="G388" s="78"/>
      <c r="H388" s="86"/>
      <c r="I388" s="78"/>
      <c r="J388" s="86"/>
      <c r="K388" s="277"/>
      <c r="L388" s="277"/>
      <c r="M388" s="277"/>
      <c r="N388" s="277"/>
      <c r="O388" s="80"/>
      <c r="P388" s="80"/>
      <c r="Q388" s="78"/>
      <c r="R388" s="78"/>
      <c r="S388" s="78"/>
      <c r="T388" s="78"/>
      <c r="U388" s="78"/>
      <c r="V388" s="78"/>
      <c r="W388" s="78"/>
      <c r="X388" s="78"/>
      <c r="Y388" s="78"/>
      <c r="Z388" s="167" t="e">
        <f t="shared" ca="1" si="54"/>
        <v>#N/A</v>
      </c>
      <c r="AA388" s="168" t="e">
        <f t="shared" ca="1" si="56"/>
        <v>#N/A</v>
      </c>
      <c r="AB388" s="167">
        <f t="shared" ca="1" si="55"/>
        <v>0</v>
      </c>
      <c r="AC388" s="168">
        <f t="shared" ca="1" si="57"/>
        <v>0</v>
      </c>
      <c r="AD388" s="191">
        <f t="shared" ca="1" si="58"/>
        <v>46259.633974421296</v>
      </c>
      <c r="AE388" s="167">
        <f t="shared" si="59"/>
        <v>0</v>
      </c>
      <c r="AF388" s="168">
        <f t="shared" si="60"/>
        <v>0</v>
      </c>
      <c r="AG388" s="168">
        <f t="shared" si="61"/>
        <v>0</v>
      </c>
      <c r="AH388" s="81" t="e" cm="1">
        <f t="array" aca="1" ref="AH388" ca="1">IF((AD388) &lt; (INDEX(ResponseSLA[#All],(MATCH((G388),ResponseSLA[Priority],0))+1,3)),"YES","No")</f>
        <v>#N/A</v>
      </c>
      <c r="AI388" s="81" t="str">
        <f>_xlfn.IFNA(IF(AE388 &lt; (INDEX(SLATable[Minimum SLA],MATCH(G388,SLATable[Priority],0))),"YES","NO"),"")</f>
        <v/>
      </c>
      <c r="AJ388" s="19" t="str">
        <f>_xlfn.IFNA(IF(AE388 &lt; (INDEX(SLATable[Maximum SLA],MATCH(G388,SLATable[Priority],0))),"YES","NO"),"")</f>
        <v/>
      </c>
    </row>
    <row r="389" spans="1:36" ht="15" customHeight="1">
      <c r="A389" s="78"/>
      <c r="B389" s="78"/>
      <c r="C389" s="78"/>
      <c r="D389" s="78"/>
      <c r="E389" s="78"/>
      <c r="F389" s="78"/>
      <c r="G389" s="78"/>
      <c r="H389" s="86"/>
      <c r="I389" s="78"/>
      <c r="J389" s="86"/>
      <c r="K389" s="277"/>
      <c r="L389" s="277"/>
      <c r="M389" s="277"/>
      <c r="N389" s="277"/>
      <c r="O389" s="80"/>
      <c r="P389" s="80"/>
      <c r="Q389" s="78"/>
      <c r="R389" s="78"/>
      <c r="S389" s="78"/>
      <c r="T389" s="78"/>
      <c r="U389" s="78"/>
      <c r="V389" s="78"/>
      <c r="W389" s="78"/>
      <c r="X389" s="78"/>
      <c r="Y389" s="78"/>
      <c r="Z389" s="167" t="e">
        <f t="shared" ca="1" si="54"/>
        <v>#N/A</v>
      </c>
      <c r="AA389" s="168" t="e">
        <f t="shared" ca="1" si="56"/>
        <v>#N/A</v>
      </c>
      <c r="AB389" s="167">
        <f t="shared" ca="1" si="55"/>
        <v>0</v>
      </c>
      <c r="AC389" s="168">
        <f t="shared" ca="1" si="57"/>
        <v>0</v>
      </c>
      <c r="AD389" s="191">
        <f t="shared" ca="1" si="58"/>
        <v>46259.633974537035</v>
      </c>
      <c r="AE389" s="167">
        <f t="shared" si="59"/>
        <v>0</v>
      </c>
      <c r="AF389" s="168">
        <f t="shared" si="60"/>
        <v>0</v>
      </c>
      <c r="AG389" s="168">
        <f t="shared" si="61"/>
        <v>0</v>
      </c>
      <c r="AH389" s="81" t="e" cm="1">
        <f t="array" aca="1" ref="AH389" ca="1">IF((AD389) &lt; (INDEX(ResponseSLA[#All],(MATCH((G389),ResponseSLA[Priority],0))+1,3)),"YES","No")</f>
        <v>#N/A</v>
      </c>
      <c r="AI389" s="81" t="str">
        <f>_xlfn.IFNA(IF(AE389 &lt; (INDEX(SLATable[Minimum SLA],MATCH(G389,SLATable[Priority],0))),"YES","NO"),"")</f>
        <v/>
      </c>
      <c r="AJ389" s="19" t="str">
        <f>_xlfn.IFNA(IF(AE389 &lt; (INDEX(SLATable[Maximum SLA],MATCH(G389,SLATable[Priority],0))),"YES","NO"),"")</f>
        <v/>
      </c>
    </row>
    <row r="390" spans="1:36" ht="15" customHeight="1">
      <c r="A390" s="78"/>
      <c r="B390" s="78"/>
      <c r="C390" s="78"/>
      <c r="D390" s="78"/>
      <c r="E390" s="78"/>
      <c r="F390" s="78"/>
      <c r="G390" s="78"/>
      <c r="H390" s="86"/>
      <c r="I390" s="78"/>
      <c r="J390" s="86"/>
      <c r="K390" s="277"/>
      <c r="L390" s="277"/>
      <c r="M390" s="277"/>
      <c r="N390" s="277"/>
      <c r="O390" s="80"/>
      <c r="P390" s="80"/>
      <c r="Q390" s="78"/>
      <c r="R390" s="78"/>
      <c r="S390" s="78"/>
      <c r="T390" s="78"/>
      <c r="U390" s="78"/>
      <c r="V390" s="78"/>
      <c r="W390" s="78"/>
      <c r="X390" s="78"/>
      <c r="Y390" s="78"/>
      <c r="Z390" s="167" t="e">
        <f t="shared" ca="1" si="54"/>
        <v>#N/A</v>
      </c>
      <c r="AA390" s="168" t="e">
        <f t="shared" ca="1" si="56"/>
        <v>#N/A</v>
      </c>
      <c r="AB390" s="167">
        <f t="shared" ca="1" si="55"/>
        <v>0</v>
      </c>
      <c r="AC390" s="168">
        <f t="shared" ca="1" si="57"/>
        <v>0</v>
      </c>
      <c r="AD390" s="191">
        <f t="shared" ca="1" si="58"/>
        <v>46259.633974421296</v>
      </c>
      <c r="AE390" s="167">
        <f t="shared" si="59"/>
        <v>0</v>
      </c>
      <c r="AF390" s="168">
        <f t="shared" si="60"/>
        <v>0</v>
      </c>
      <c r="AG390" s="168">
        <f t="shared" si="61"/>
        <v>0</v>
      </c>
      <c r="AH390" s="81" t="e" cm="1">
        <f t="array" aca="1" ref="AH390" ca="1">IF((AD390) &lt; (INDEX(ResponseSLA[#All],(MATCH((G390),ResponseSLA[Priority],0))+1,3)),"YES","No")</f>
        <v>#N/A</v>
      </c>
      <c r="AI390" s="81" t="str">
        <f>_xlfn.IFNA(IF(AE390 &lt; (INDEX(SLATable[Minimum SLA],MATCH(G390,SLATable[Priority],0))),"YES","NO"),"")</f>
        <v/>
      </c>
      <c r="AJ390" s="19" t="str">
        <f>_xlfn.IFNA(IF(AE390 &lt; (INDEX(SLATable[Maximum SLA],MATCH(G390,SLATable[Priority],0))),"YES","NO"),"")</f>
        <v/>
      </c>
    </row>
    <row r="391" spans="1:36" ht="15" customHeight="1">
      <c r="A391" s="78"/>
      <c r="B391" s="78"/>
      <c r="C391" s="78"/>
      <c r="D391" s="78"/>
      <c r="E391" s="78"/>
      <c r="F391" s="78"/>
      <c r="G391" s="78"/>
      <c r="H391" s="86"/>
      <c r="I391" s="78"/>
      <c r="J391" s="86"/>
      <c r="K391" s="277"/>
      <c r="L391" s="277"/>
      <c r="M391" s="277"/>
      <c r="N391" s="277"/>
      <c r="O391" s="80"/>
      <c r="P391" s="80"/>
      <c r="Q391" s="78"/>
      <c r="R391" s="78"/>
      <c r="S391" s="78"/>
      <c r="T391" s="78"/>
      <c r="U391" s="78"/>
      <c r="V391" s="78"/>
      <c r="W391" s="78"/>
      <c r="X391" s="78"/>
      <c r="Y391" s="78"/>
      <c r="Z391" s="167" t="e">
        <f t="shared" ca="1" si="54"/>
        <v>#N/A</v>
      </c>
      <c r="AA391" s="168" t="e">
        <f t="shared" ca="1" si="56"/>
        <v>#N/A</v>
      </c>
      <c r="AB391" s="167">
        <f t="shared" ca="1" si="55"/>
        <v>0</v>
      </c>
      <c r="AC391" s="168">
        <f t="shared" ca="1" si="57"/>
        <v>0</v>
      </c>
      <c r="AD391" s="191">
        <f t="shared" ca="1" si="58"/>
        <v>46259.633974421296</v>
      </c>
      <c r="AE391" s="167">
        <f t="shared" si="59"/>
        <v>0</v>
      </c>
      <c r="AF391" s="168">
        <f t="shared" si="60"/>
        <v>0</v>
      </c>
      <c r="AG391" s="168">
        <f t="shared" si="61"/>
        <v>0</v>
      </c>
      <c r="AH391" s="81" t="e" cm="1">
        <f t="array" aca="1" ref="AH391" ca="1">IF((AD391) &lt; (INDEX(ResponseSLA[#All],(MATCH((G391),ResponseSLA[Priority],0))+1,3)),"YES","No")</f>
        <v>#N/A</v>
      </c>
      <c r="AI391" s="81" t="str">
        <f>_xlfn.IFNA(IF(AE391 &lt; (INDEX(SLATable[Minimum SLA],MATCH(G391,SLATable[Priority],0))),"YES","NO"),"")</f>
        <v/>
      </c>
      <c r="AJ391" s="19" t="str">
        <f>_xlfn.IFNA(IF(AE391 &lt; (INDEX(SLATable[Maximum SLA],MATCH(G391,SLATable[Priority],0))),"YES","NO"),"")</f>
        <v/>
      </c>
    </row>
    <row r="392" spans="1:36" ht="15" customHeight="1">
      <c r="A392" s="78"/>
      <c r="B392" s="78"/>
      <c r="C392" s="78"/>
      <c r="D392" s="78"/>
      <c r="E392" s="78"/>
      <c r="F392" s="78"/>
      <c r="G392" s="78"/>
      <c r="H392" s="86"/>
      <c r="I392" s="78"/>
      <c r="J392" s="86"/>
      <c r="K392" s="277"/>
      <c r="L392" s="277"/>
      <c r="M392" s="277"/>
      <c r="N392" s="277"/>
      <c r="O392" s="80"/>
      <c r="P392" s="80"/>
      <c r="Q392" s="78"/>
      <c r="R392" s="78"/>
      <c r="S392" s="78"/>
      <c r="T392" s="78"/>
      <c r="U392" s="78"/>
      <c r="V392" s="78"/>
      <c r="W392" s="78"/>
      <c r="X392" s="78"/>
      <c r="Y392" s="78"/>
      <c r="Z392" s="167" t="e">
        <f t="shared" ca="1" si="54"/>
        <v>#N/A</v>
      </c>
      <c r="AA392" s="168" t="e">
        <f t="shared" ca="1" si="56"/>
        <v>#N/A</v>
      </c>
      <c r="AB392" s="167">
        <f t="shared" ca="1" si="55"/>
        <v>0</v>
      </c>
      <c r="AC392" s="168">
        <f t="shared" ca="1" si="57"/>
        <v>0</v>
      </c>
      <c r="AD392" s="191">
        <f t="shared" ca="1" si="58"/>
        <v>46259.633974537035</v>
      </c>
      <c r="AE392" s="167">
        <f t="shared" si="59"/>
        <v>0</v>
      </c>
      <c r="AF392" s="168">
        <f t="shared" si="60"/>
        <v>0</v>
      </c>
      <c r="AG392" s="168">
        <f t="shared" si="61"/>
        <v>0</v>
      </c>
      <c r="AH392" s="81" t="e" cm="1">
        <f t="array" aca="1" ref="AH392" ca="1">IF((AD392) &lt; (INDEX(ResponseSLA[#All],(MATCH((G392),ResponseSLA[Priority],0))+1,3)),"YES","No")</f>
        <v>#N/A</v>
      </c>
      <c r="AI392" s="81" t="str">
        <f>_xlfn.IFNA(IF(AE392 &lt; (INDEX(SLATable[Minimum SLA],MATCH(G392,SLATable[Priority],0))),"YES","NO"),"")</f>
        <v/>
      </c>
      <c r="AJ392" s="19" t="str">
        <f>_xlfn.IFNA(IF(AE392 &lt; (INDEX(SLATable[Maximum SLA],MATCH(G392,SLATable[Priority],0))),"YES","NO"),"")</f>
        <v/>
      </c>
    </row>
    <row r="393" spans="1:36" ht="15" customHeight="1">
      <c r="A393" s="78"/>
      <c r="B393" s="78"/>
      <c r="C393" s="78"/>
      <c r="D393" s="78"/>
      <c r="E393" s="78"/>
      <c r="F393" s="78"/>
      <c r="G393" s="78"/>
      <c r="H393" s="86"/>
      <c r="I393" s="78"/>
      <c r="J393" s="86"/>
      <c r="K393" s="277"/>
      <c r="L393" s="277"/>
      <c r="M393" s="277"/>
      <c r="N393" s="277"/>
      <c r="O393" s="80"/>
      <c r="P393" s="80"/>
      <c r="Q393" s="78"/>
      <c r="R393" s="78"/>
      <c r="S393" s="78"/>
      <c r="T393" s="78"/>
      <c r="U393" s="78"/>
      <c r="V393" s="78"/>
      <c r="W393" s="78"/>
      <c r="X393" s="78"/>
      <c r="Y393" s="78"/>
      <c r="Z393" s="167" t="e">
        <f t="shared" ca="1" si="54"/>
        <v>#N/A</v>
      </c>
      <c r="AA393" s="168" t="e">
        <f t="shared" ca="1" si="56"/>
        <v>#N/A</v>
      </c>
      <c r="AB393" s="167">
        <f t="shared" ca="1" si="55"/>
        <v>0</v>
      </c>
      <c r="AC393" s="168">
        <f t="shared" ca="1" si="57"/>
        <v>0</v>
      </c>
      <c r="AD393" s="191">
        <f t="shared" ca="1" si="58"/>
        <v>46259.633974421296</v>
      </c>
      <c r="AE393" s="167">
        <f t="shared" si="59"/>
        <v>0</v>
      </c>
      <c r="AF393" s="168">
        <f t="shared" si="60"/>
        <v>0</v>
      </c>
      <c r="AG393" s="168">
        <f t="shared" si="61"/>
        <v>0</v>
      </c>
      <c r="AH393" s="81" t="e" cm="1">
        <f t="array" aca="1" ref="AH393" ca="1">IF((AD393) &lt; (INDEX(ResponseSLA[#All],(MATCH((G393),ResponseSLA[Priority],0))+1,3)),"YES","No")</f>
        <v>#N/A</v>
      </c>
      <c r="AI393" s="81" t="str">
        <f>_xlfn.IFNA(IF(AE393 &lt; (INDEX(SLATable[Minimum SLA],MATCH(G393,SLATable[Priority],0))),"YES","NO"),"")</f>
        <v/>
      </c>
      <c r="AJ393" s="19" t="str">
        <f>_xlfn.IFNA(IF(AE393 &lt; (INDEX(SLATable[Maximum SLA],MATCH(G393,SLATable[Priority],0))),"YES","NO"),"")</f>
        <v/>
      </c>
    </row>
    <row r="394" spans="1:36" ht="15" customHeight="1">
      <c r="A394" s="78"/>
      <c r="B394" s="78"/>
      <c r="C394" s="78"/>
      <c r="D394" s="78"/>
      <c r="E394" s="78"/>
      <c r="F394" s="78"/>
      <c r="G394" s="78"/>
      <c r="H394" s="86"/>
      <c r="I394" s="78"/>
      <c r="J394" s="86"/>
      <c r="K394" s="277"/>
      <c r="L394" s="277"/>
      <c r="M394" s="277"/>
      <c r="N394" s="277"/>
      <c r="O394" s="80"/>
      <c r="P394" s="80"/>
      <c r="Q394" s="78"/>
      <c r="R394" s="78"/>
      <c r="S394" s="78"/>
      <c r="T394" s="78"/>
      <c r="U394" s="78"/>
      <c r="V394" s="78"/>
      <c r="W394" s="78"/>
      <c r="X394" s="78"/>
      <c r="Y394" s="78"/>
      <c r="Z394" s="167" t="e">
        <f t="shared" ca="1" si="54"/>
        <v>#N/A</v>
      </c>
      <c r="AA394" s="168" t="e">
        <f t="shared" ca="1" si="56"/>
        <v>#N/A</v>
      </c>
      <c r="AB394" s="167">
        <f t="shared" ca="1" si="55"/>
        <v>0</v>
      </c>
      <c r="AC394" s="168">
        <f t="shared" ca="1" si="57"/>
        <v>0</v>
      </c>
      <c r="AD394" s="191">
        <f t="shared" ca="1" si="58"/>
        <v>46259.633974421296</v>
      </c>
      <c r="AE394" s="167">
        <f t="shared" si="59"/>
        <v>0</v>
      </c>
      <c r="AF394" s="168">
        <f t="shared" si="60"/>
        <v>0</v>
      </c>
      <c r="AG394" s="168">
        <f t="shared" si="61"/>
        <v>0</v>
      </c>
      <c r="AH394" s="81" t="e" cm="1">
        <f t="array" aca="1" ref="AH394" ca="1">IF((AD394) &lt; (INDEX(ResponseSLA[#All],(MATCH((G394),ResponseSLA[Priority],0))+1,3)),"YES","No")</f>
        <v>#N/A</v>
      </c>
      <c r="AI394" s="81" t="str">
        <f>_xlfn.IFNA(IF(AE394 &lt; (INDEX(SLATable[Minimum SLA],MATCH(G394,SLATable[Priority],0))),"YES","NO"),"")</f>
        <v/>
      </c>
      <c r="AJ394" s="19" t="str">
        <f>_xlfn.IFNA(IF(AE394 &lt; (INDEX(SLATable[Maximum SLA],MATCH(G394,SLATable[Priority],0))),"YES","NO"),"")</f>
        <v/>
      </c>
    </row>
    <row r="395" spans="1:36" ht="15" customHeight="1">
      <c r="A395" s="78"/>
      <c r="B395" s="78"/>
      <c r="C395" s="78"/>
      <c r="D395" s="78"/>
      <c r="E395" s="78"/>
      <c r="F395" s="78"/>
      <c r="G395" s="78"/>
      <c r="H395" s="86"/>
      <c r="I395" s="78"/>
      <c r="J395" s="86"/>
      <c r="K395" s="277"/>
      <c r="L395" s="277"/>
      <c r="M395" s="277"/>
      <c r="N395" s="277"/>
      <c r="O395" s="80"/>
      <c r="P395" s="80"/>
      <c r="Q395" s="78"/>
      <c r="R395" s="78"/>
      <c r="S395" s="78"/>
      <c r="T395" s="78"/>
      <c r="U395" s="78"/>
      <c r="V395" s="78"/>
      <c r="W395" s="78"/>
      <c r="X395" s="78"/>
      <c r="Y395" s="78"/>
      <c r="Z395" s="167" t="e">
        <f t="shared" ca="1" si="54"/>
        <v>#N/A</v>
      </c>
      <c r="AA395" s="168" t="e">
        <f t="shared" ca="1" si="56"/>
        <v>#N/A</v>
      </c>
      <c r="AB395" s="167">
        <f t="shared" ca="1" si="55"/>
        <v>0</v>
      </c>
      <c r="AC395" s="168">
        <f t="shared" ca="1" si="57"/>
        <v>0</v>
      </c>
      <c r="AD395" s="191">
        <f t="shared" ca="1" si="58"/>
        <v>46259.633974537035</v>
      </c>
      <c r="AE395" s="167">
        <f t="shared" si="59"/>
        <v>0</v>
      </c>
      <c r="AF395" s="168">
        <f t="shared" si="60"/>
        <v>0</v>
      </c>
      <c r="AG395" s="168">
        <f t="shared" si="61"/>
        <v>0</v>
      </c>
      <c r="AH395" s="81" t="e" cm="1">
        <f t="array" aca="1" ref="AH395" ca="1">IF((AD395) &lt; (INDEX(ResponseSLA[#All],(MATCH((G395),ResponseSLA[Priority],0))+1,3)),"YES","No")</f>
        <v>#N/A</v>
      </c>
      <c r="AI395" s="81" t="str">
        <f>_xlfn.IFNA(IF(AE395 &lt; (INDEX(SLATable[Minimum SLA],MATCH(G395,SLATable[Priority],0))),"YES","NO"),"")</f>
        <v/>
      </c>
      <c r="AJ395" s="19" t="str">
        <f>_xlfn.IFNA(IF(AE395 &lt; (INDEX(SLATable[Maximum SLA],MATCH(G395,SLATable[Priority],0))),"YES","NO"),"")</f>
        <v/>
      </c>
    </row>
    <row r="396" spans="1:36" ht="15" customHeight="1">
      <c r="A396" s="78"/>
      <c r="B396" s="78"/>
      <c r="C396" s="78"/>
      <c r="D396" s="78"/>
      <c r="E396" s="78"/>
      <c r="F396" s="78"/>
      <c r="G396" s="78"/>
      <c r="H396" s="86"/>
      <c r="I396" s="78"/>
      <c r="J396" s="86"/>
      <c r="K396" s="277"/>
      <c r="L396" s="277"/>
      <c r="M396" s="277"/>
      <c r="N396" s="277"/>
      <c r="O396" s="80"/>
      <c r="P396" s="80"/>
      <c r="Q396" s="78"/>
      <c r="R396" s="78"/>
      <c r="S396" s="78"/>
      <c r="T396" s="78"/>
      <c r="U396" s="78"/>
      <c r="V396" s="78"/>
      <c r="W396" s="78"/>
      <c r="X396" s="78"/>
      <c r="Y396" s="78"/>
      <c r="Z396" s="167" t="e">
        <f t="shared" ca="1" si="54"/>
        <v>#N/A</v>
      </c>
      <c r="AA396" s="168" t="e">
        <f t="shared" ca="1" si="56"/>
        <v>#N/A</v>
      </c>
      <c r="AB396" s="167">
        <f t="shared" ca="1" si="55"/>
        <v>0</v>
      </c>
      <c r="AC396" s="168">
        <f t="shared" ca="1" si="57"/>
        <v>0</v>
      </c>
      <c r="AD396" s="191">
        <f t="shared" ca="1" si="58"/>
        <v>46259.633974421296</v>
      </c>
      <c r="AE396" s="167">
        <f t="shared" si="59"/>
        <v>0</v>
      </c>
      <c r="AF396" s="168">
        <f t="shared" si="60"/>
        <v>0</v>
      </c>
      <c r="AG396" s="168">
        <f t="shared" si="61"/>
        <v>0</v>
      </c>
      <c r="AH396" s="81" t="e" cm="1">
        <f t="array" aca="1" ref="AH396" ca="1">IF((AD396) &lt; (INDEX(ResponseSLA[#All],(MATCH((G396),ResponseSLA[Priority],0))+1,3)),"YES","No")</f>
        <v>#N/A</v>
      </c>
      <c r="AI396" s="81" t="str">
        <f>_xlfn.IFNA(IF(AE396 &lt; (INDEX(SLATable[Minimum SLA],MATCH(G396,SLATable[Priority],0))),"YES","NO"),"")</f>
        <v/>
      </c>
      <c r="AJ396" s="19" t="str">
        <f>_xlfn.IFNA(IF(AE396 &lt; (INDEX(SLATable[Maximum SLA],MATCH(G396,SLATable[Priority],0))),"YES","NO"),"")</f>
        <v/>
      </c>
    </row>
    <row r="397" spans="1:36" ht="15" customHeight="1">
      <c r="A397" s="78"/>
      <c r="B397" s="78"/>
      <c r="C397" s="78"/>
      <c r="D397" s="78"/>
      <c r="E397" s="78"/>
      <c r="F397" s="78"/>
      <c r="G397" s="78"/>
      <c r="H397" s="86"/>
      <c r="I397" s="78"/>
      <c r="J397" s="86"/>
      <c r="K397" s="277"/>
      <c r="L397" s="277"/>
      <c r="M397" s="277"/>
      <c r="N397" s="277"/>
      <c r="O397" s="80"/>
      <c r="P397" s="80"/>
      <c r="Q397" s="78"/>
      <c r="R397" s="78"/>
      <c r="S397" s="78"/>
      <c r="T397" s="78"/>
      <c r="U397" s="78"/>
      <c r="V397" s="78"/>
      <c r="W397" s="78"/>
      <c r="X397" s="78"/>
      <c r="Y397" s="78"/>
      <c r="Z397" s="167" t="e">
        <f t="shared" ca="1" si="54"/>
        <v>#N/A</v>
      </c>
      <c r="AA397" s="168" t="e">
        <f t="shared" ca="1" si="56"/>
        <v>#N/A</v>
      </c>
      <c r="AB397" s="167">
        <f t="shared" ca="1" si="55"/>
        <v>0</v>
      </c>
      <c r="AC397" s="168">
        <f t="shared" ca="1" si="57"/>
        <v>0</v>
      </c>
      <c r="AD397" s="191">
        <f t="shared" ca="1" si="58"/>
        <v>46259.633974421296</v>
      </c>
      <c r="AE397" s="167">
        <f t="shared" si="59"/>
        <v>0</v>
      </c>
      <c r="AF397" s="168">
        <f t="shared" si="60"/>
        <v>0</v>
      </c>
      <c r="AG397" s="168">
        <f t="shared" si="61"/>
        <v>0</v>
      </c>
      <c r="AH397" s="81" t="e" cm="1">
        <f t="array" aca="1" ref="AH397" ca="1">IF((AD397) &lt; (INDEX(ResponseSLA[#All],(MATCH((G397),ResponseSLA[Priority],0))+1,3)),"YES","No")</f>
        <v>#N/A</v>
      </c>
      <c r="AI397" s="81" t="str">
        <f>_xlfn.IFNA(IF(AE397 &lt; (INDEX(SLATable[Minimum SLA],MATCH(G397,SLATable[Priority],0))),"YES","NO"),"")</f>
        <v/>
      </c>
      <c r="AJ397" s="19" t="str">
        <f>_xlfn.IFNA(IF(AE397 &lt; (INDEX(SLATable[Maximum SLA],MATCH(G397,SLATable[Priority],0))),"YES","NO"),"")</f>
        <v/>
      </c>
    </row>
    <row r="398" spans="1:36" ht="15" customHeight="1">
      <c r="A398" s="78"/>
      <c r="B398" s="78"/>
      <c r="C398" s="78"/>
      <c r="D398" s="78"/>
      <c r="E398" s="78"/>
      <c r="F398" s="78"/>
      <c r="G398" s="78"/>
      <c r="H398" s="86"/>
      <c r="I398" s="78"/>
      <c r="J398" s="86"/>
      <c r="K398" s="277"/>
      <c r="L398" s="277"/>
      <c r="M398" s="277"/>
      <c r="N398" s="277"/>
      <c r="O398" s="80"/>
      <c r="P398" s="80"/>
      <c r="Q398" s="78"/>
      <c r="R398" s="78"/>
      <c r="S398" s="78"/>
      <c r="T398" s="78"/>
      <c r="U398" s="78"/>
      <c r="V398" s="78"/>
      <c r="W398" s="78"/>
      <c r="X398" s="78"/>
      <c r="Y398" s="78"/>
      <c r="Z398" s="167" t="e">
        <f t="shared" ca="1" si="54"/>
        <v>#N/A</v>
      </c>
      <c r="AA398" s="168" t="e">
        <f t="shared" ca="1" si="56"/>
        <v>#N/A</v>
      </c>
      <c r="AB398" s="167">
        <f t="shared" ca="1" si="55"/>
        <v>0</v>
      </c>
      <c r="AC398" s="168">
        <f t="shared" ca="1" si="57"/>
        <v>0</v>
      </c>
      <c r="AD398" s="191">
        <f t="shared" ca="1" si="58"/>
        <v>46259.633974537035</v>
      </c>
      <c r="AE398" s="167">
        <f t="shared" si="59"/>
        <v>0</v>
      </c>
      <c r="AF398" s="168">
        <f t="shared" si="60"/>
        <v>0</v>
      </c>
      <c r="AG398" s="168">
        <f t="shared" si="61"/>
        <v>0</v>
      </c>
      <c r="AH398" s="81" t="e" cm="1">
        <f t="array" aca="1" ref="AH398" ca="1">IF((AD398) &lt; (INDEX(ResponseSLA[#All],(MATCH((G398),ResponseSLA[Priority],0))+1,3)),"YES","No")</f>
        <v>#N/A</v>
      </c>
      <c r="AI398" s="81" t="str">
        <f>_xlfn.IFNA(IF(AE398 &lt; (INDEX(SLATable[Minimum SLA],MATCH(G398,SLATable[Priority],0))),"YES","NO"),"")</f>
        <v/>
      </c>
      <c r="AJ398" s="19" t="str">
        <f>_xlfn.IFNA(IF(AE398 &lt; (INDEX(SLATable[Maximum SLA],MATCH(G398,SLATable[Priority],0))),"YES","NO"),"")</f>
        <v/>
      </c>
    </row>
    <row r="399" spans="1:36" ht="15" customHeight="1">
      <c r="A399" s="78"/>
      <c r="B399" s="78"/>
      <c r="C399" s="78"/>
      <c r="D399" s="78"/>
      <c r="E399" s="78"/>
      <c r="F399" s="78"/>
      <c r="G399" s="78"/>
      <c r="H399" s="86"/>
      <c r="I399" s="78"/>
      <c r="J399" s="86"/>
      <c r="K399" s="277"/>
      <c r="L399" s="277"/>
      <c r="M399" s="277"/>
      <c r="N399" s="277"/>
      <c r="O399" s="80"/>
      <c r="P399" s="80"/>
      <c r="Q399" s="78"/>
      <c r="R399" s="78"/>
      <c r="S399" s="78"/>
      <c r="T399" s="78"/>
      <c r="U399" s="78"/>
      <c r="V399" s="78"/>
      <c r="W399" s="78"/>
      <c r="X399" s="78"/>
      <c r="Y399" s="78"/>
      <c r="Z399" s="167" t="e">
        <f t="shared" ca="1" si="54"/>
        <v>#N/A</v>
      </c>
      <c r="AA399" s="168" t="e">
        <f t="shared" ca="1" si="56"/>
        <v>#N/A</v>
      </c>
      <c r="AB399" s="167">
        <f t="shared" ca="1" si="55"/>
        <v>0</v>
      </c>
      <c r="AC399" s="168">
        <f t="shared" ca="1" si="57"/>
        <v>0</v>
      </c>
      <c r="AD399" s="191">
        <f t="shared" ca="1" si="58"/>
        <v>46259.633974421296</v>
      </c>
      <c r="AE399" s="167">
        <f t="shared" si="59"/>
        <v>0</v>
      </c>
      <c r="AF399" s="168">
        <f t="shared" si="60"/>
        <v>0</v>
      </c>
      <c r="AG399" s="168">
        <f t="shared" si="61"/>
        <v>0</v>
      </c>
      <c r="AH399" s="81" t="e" cm="1">
        <f t="array" aca="1" ref="AH399" ca="1">IF((AD399) &lt; (INDEX(ResponseSLA[#All],(MATCH((G399),ResponseSLA[Priority],0))+1,3)),"YES","No")</f>
        <v>#N/A</v>
      </c>
      <c r="AI399" s="81" t="str">
        <f>_xlfn.IFNA(IF(AE399 &lt; (INDEX(SLATable[Minimum SLA],MATCH(G399,SLATable[Priority],0))),"YES","NO"),"")</f>
        <v/>
      </c>
      <c r="AJ399" s="19" t="str">
        <f>_xlfn.IFNA(IF(AE399 &lt; (INDEX(SLATable[Maximum SLA],MATCH(G399,SLATable[Priority],0))),"YES","NO"),"")</f>
        <v/>
      </c>
    </row>
    <row r="400" spans="1:36" ht="15" customHeight="1">
      <c r="A400" s="78"/>
      <c r="B400" s="78"/>
      <c r="C400" s="78"/>
      <c r="D400" s="78"/>
      <c r="E400" s="78"/>
      <c r="F400" s="78"/>
      <c r="G400" s="78"/>
      <c r="H400" s="86"/>
      <c r="I400" s="78"/>
      <c r="J400" s="86"/>
      <c r="K400" s="277"/>
      <c r="L400" s="277"/>
      <c r="M400" s="277"/>
      <c r="N400" s="277"/>
      <c r="O400" s="80"/>
      <c r="P400" s="80"/>
      <c r="Q400" s="78"/>
      <c r="R400" s="78"/>
      <c r="S400" s="78"/>
      <c r="T400" s="78"/>
      <c r="U400" s="78"/>
      <c r="V400" s="78"/>
      <c r="W400" s="78"/>
      <c r="X400" s="78"/>
      <c r="Y400" s="78"/>
      <c r="Z400" s="167" t="e">
        <f t="shared" ca="1" si="54"/>
        <v>#N/A</v>
      </c>
      <c r="AA400" s="168" t="e">
        <f t="shared" ca="1" si="56"/>
        <v>#N/A</v>
      </c>
      <c r="AB400" s="167">
        <f t="shared" ca="1" si="55"/>
        <v>0</v>
      </c>
      <c r="AC400" s="168">
        <f t="shared" ca="1" si="57"/>
        <v>0</v>
      </c>
      <c r="AD400" s="191">
        <f t="shared" ca="1" si="58"/>
        <v>46259.633974421296</v>
      </c>
      <c r="AE400" s="167">
        <f t="shared" si="59"/>
        <v>0</v>
      </c>
      <c r="AF400" s="168">
        <f t="shared" si="60"/>
        <v>0</v>
      </c>
      <c r="AG400" s="168">
        <f t="shared" si="61"/>
        <v>0</v>
      </c>
      <c r="AH400" s="81" t="e" cm="1">
        <f t="array" aca="1" ref="AH400" ca="1">IF((AD400) &lt; (INDEX(ResponseSLA[#All],(MATCH((G400),ResponseSLA[Priority],0))+1,3)),"YES","No")</f>
        <v>#N/A</v>
      </c>
      <c r="AI400" s="81" t="str">
        <f>_xlfn.IFNA(IF(AE400 &lt; (INDEX(SLATable[Minimum SLA],MATCH(G400,SLATable[Priority],0))),"YES","NO"),"")</f>
        <v/>
      </c>
      <c r="AJ400" s="19" t="str">
        <f>_xlfn.IFNA(IF(AE400 &lt; (INDEX(SLATable[Maximum SLA],MATCH(G400,SLATable[Priority],0))),"YES","NO"),"")</f>
        <v/>
      </c>
    </row>
    <row r="401" spans="1:36" ht="15" customHeight="1">
      <c r="A401" s="78"/>
      <c r="B401" s="78"/>
      <c r="C401" s="78"/>
      <c r="D401" s="78"/>
      <c r="E401" s="78"/>
      <c r="F401" s="78"/>
      <c r="G401" s="78"/>
      <c r="H401" s="86"/>
      <c r="I401" s="78"/>
      <c r="J401" s="86"/>
      <c r="K401" s="277"/>
      <c r="L401" s="277"/>
      <c r="M401" s="277"/>
      <c r="N401" s="277"/>
      <c r="O401" s="80"/>
      <c r="P401" s="80"/>
      <c r="Q401" s="78"/>
      <c r="R401" s="78"/>
      <c r="S401" s="78"/>
      <c r="T401" s="78"/>
      <c r="U401" s="78"/>
      <c r="V401" s="78"/>
      <c r="W401" s="78"/>
      <c r="X401" s="78"/>
      <c r="Y401" s="78"/>
      <c r="Z401" s="167" t="e">
        <f t="shared" ca="1" si="54"/>
        <v>#N/A</v>
      </c>
      <c r="AA401" s="168" t="e">
        <f t="shared" ca="1" si="56"/>
        <v>#N/A</v>
      </c>
      <c r="AB401" s="167">
        <f t="shared" ca="1" si="55"/>
        <v>0</v>
      </c>
      <c r="AC401" s="168">
        <f t="shared" ca="1" si="57"/>
        <v>0</v>
      </c>
      <c r="AD401" s="191">
        <f t="shared" ca="1" si="58"/>
        <v>46259.633974537035</v>
      </c>
      <c r="AE401" s="167">
        <f t="shared" si="59"/>
        <v>0</v>
      </c>
      <c r="AF401" s="168">
        <f t="shared" si="60"/>
        <v>0</v>
      </c>
      <c r="AG401" s="168">
        <f t="shared" si="61"/>
        <v>0</v>
      </c>
      <c r="AH401" s="81" t="e" cm="1">
        <f t="array" aca="1" ref="AH401" ca="1">IF((AD401) &lt; (INDEX(ResponseSLA[#All],(MATCH((G401),ResponseSLA[Priority],0))+1,3)),"YES","No")</f>
        <v>#N/A</v>
      </c>
      <c r="AI401" s="81" t="str">
        <f>_xlfn.IFNA(IF(AE401 &lt; (INDEX(SLATable[Minimum SLA],MATCH(G401,SLATable[Priority],0))),"YES","NO"),"")</f>
        <v/>
      </c>
      <c r="AJ401" s="19" t="str">
        <f>_xlfn.IFNA(IF(AE401 &lt; (INDEX(SLATable[Maximum SLA],MATCH(G401,SLATable[Priority],0))),"YES","NO"),"")</f>
        <v/>
      </c>
    </row>
    <row r="402" spans="1:36" ht="15" customHeight="1">
      <c r="A402" s="78"/>
      <c r="B402" s="78"/>
      <c r="C402" s="78"/>
      <c r="D402" s="78"/>
      <c r="E402" s="78"/>
      <c r="F402" s="78"/>
      <c r="G402" s="78"/>
      <c r="H402" s="86"/>
      <c r="I402" s="78"/>
      <c r="J402" s="86"/>
      <c r="K402" s="277"/>
      <c r="L402" s="277"/>
      <c r="M402" s="277"/>
      <c r="N402" s="277"/>
      <c r="O402" s="80"/>
      <c r="P402" s="80"/>
      <c r="Q402" s="78"/>
      <c r="R402" s="78"/>
      <c r="S402" s="78"/>
      <c r="T402" s="78"/>
      <c r="U402" s="78"/>
      <c r="V402" s="78"/>
      <c r="W402" s="78"/>
      <c r="X402" s="78"/>
      <c r="Y402" s="78"/>
      <c r="Z402" s="167" t="e">
        <f t="shared" ca="1" si="54"/>
        <v>#N/A</v>
      </c>
      <c r="AA402" s="168" t="e">
        <f t="shared" ca="1" si="56"/>
        <v>#N/A</v>
      </c>
      <c r="AB402" s="167">
        <f t="shared" ca="1" si="55"/>
        <v>0</v>
      </c>
      <c r="AC402" s="168">
        <f t="shared" ca="1" si="57"/>
        <v>0</v>
      </c>
      <c r="AD402" s="191">
        <f t="shared" ca="1" si="58"/>
        <v>46259.633974421296</v>
      </c>
      <c r="AE402" s="167">
        <f t="shared" si="59"/>
        <v>0</v>
      </c>
      <c r="AF402" s="168">
        <f t="shared" si="60"/>
        <v>0</v>
      </c>
      <c r="AG402" s="168">
        <f t="shared" si="61"/>
        <v>0</v>
      </c>
      <c r="AH402" s="81" t="e" cm="1">
        <f t="array" aca="1" ref="AH402" ca="1">IF((AD402) &lt; (INDEX(ResponseSLA[#All],(MATCH((G402),ResponseSLA[Priority],0))+1,3)),"YES","No")</f>
        <v>#N/A</v>
      </c>
      <c r="AI402" s="81" t="str">
        <f>_xlfn.IFNA(IF(AE402 &lt; (INDEX(SLATable[Minimum SLA],MATCH(G402,SLATable[Priority],0))),"YES","NO"),"")</f>
        <v/>
      </c>
      <c r="AJ402" s="19" t="str">
        <f>_xlfn.IFNA(IF(AE402 &lt; (INDEX(SLATable[Maximum SLA],MATCH(G402,SLATable[Priority],0))),"YES","NO"),"")</f>
        <v/>
      </c>
    </row>
    <row r="403" spans="1:36" ht="15" customHeight="1">
      <c r="H403" s="45"/>
      <c r="J403" s="45"/>
      <c r="K403" s="47"/>
      <c r="L403" s="47"/>
      <c r="M403" s="47"/>
      <c r="N403" s="47"/>
    </row>
    <row r="404" spans="1:36" ht="15" customHeight="1">
      <c r="H404" s="45"/>
      <c r="J404" s="45"/>
      <c r="K404" s="47"/>
      <c r="L404" s="47"/>
      <c r="M404" s="47"/>
      <c r="N404" s="47"/>
      <c r="R404" s="59"/>
      <c r="S404" s="59"/>
      <c r="T404" s="59"/>
      <c r="U404" s="59"/>
    </row>
    <row r="405" spans="1:36" ht="15" customHeight="1">
      <c r="H405" s="45"/>
      <c r="J405" s="45"/>
      <c r="K405" s="47"/>
      <c r="L405" s="47"/>
      <c r="M405" s="47"/>
      <c r="N405" s="47"/>
    </row>
    <row r="406" spans="1:36" ht="15" customHeight="1">
      <c r="H406" s="45"/>
      <c r="J406" s="45"/>
      <c r="K406" s="47"/>
      <c r="L406" s="47"/>
      <c r="M406" s="47"/>
      <c r="N406" s="47"/>
    </row>
    <row r="407" spans="1:36" ht="15" customHeight="1">
      <c r="H407" s="45"/>
      <c r="J407" s="45"/>
      <c r="K407" s="47"/>
      <c r="L407" s="47"/>
      <c r="M407" s="47"/>
      <c r="N407" s="47"/>
    </row>
    <row r="408" spans="1:36" ht="15" customHeight="1">
      <c r="H408" s="45"/>
      <c r="J408" s="45"/>
      <c r="K408" s="47"/>
      <c r="L408" s="47"/>
      <c r="M408" s="47"/>
      <c r="N408" s="47"/>
    </row>
    <row r="409" spans="1:36" ht="15" customHeight="1">
      <c r="H409" s="45"/>
      <c r="J409" s="45"/>
      <c r="K409" s="47"/>
      <c r="L409" s="47"/>
      <c r="M409" s="47"/>
      <c r="N409" s="47"/>
    </row>
  </sheetData>
  <protectedRanges>
    <protectedRange algorithmName="SHA-512" hashValue="99OQ+VOyYeTgkyp5V2h7IJuhOY+ByGUUH4Kc0xKuZgn2w66Z/zb6NCagB6+bjIBmhadenmL7/H2PSKzd599e6Q==" saltValue="s8mGfn7WVHJZXEYeB6j8Yw==" spinCount="100000" sqref="U1 AB1:AJ1" name="Formula Cells"/>
  </protectedRanges>
  <autoFilter ref="A1:AJ1" xr:uid="{85F6D3A6-BDB1-42B5-A974-1DBB4292F755}"/>
  <sortState xmlns:xlrd2="http://schemas.microsoft.com/office/spreadsheetml/2017/richdata2" ref="A2:AJ406">
    <sortCondition ref="K2:K406"/>
  </sortState>
  <conditionalFormatting sqref="E1">
    <cfRule type="duplicateValues" dxfId="42" priority="6"/>
  </conditionalFormatting>
  <conditionalFormatting sqref="E234 E1:E128 E134:E232 E237:E239 E256 E419:E1048576 E277:E286 E288:E402">
    <cfRule type="duplicateValues" dxfId="41" priority="1"/>
  </conditionalFormatting>
  <conditionalFormatting sqref="E419:E1048576 E1:E85 E88:E128 E134:E232 E234 E237:E239 E256 E277:E286 E288:E402">
    <cfRule type="duplicateValues" dxfId="40" priority="4"/>
  </conditionalFormatting>
  <conditionalFormatting sqref="L243">
    <cfRule type="duplicateValues" dxfId="39" priority="3"/>
  </conditionalFormatting>
  <conditionalFormatting sqref="L6:N10">
    <cfRule type="duplicateValues" dxfId="38" priority="5"/>
  </conditionalFormatting>
  <dataValidations count="13">
    <dataValidation allowBlank="1" showInputMessage="1" showErrorMessage="1" errorTitle="Assigned to" error="dont type idiot" sqref="J1:J5" xr:uid="{8054C20B-52C9-430A-B33E-2CB3B229CAA3}"/>
    <dataValidation allowBlank="1" showInputMessage="1" showErrorMessage="1" sqref="S1" xr:uid="{C83961B6-5602-4302-9826-719BD46605AE}"/>
    <dataValidation type="date" allowBlank="1" showInputMessage="1" showErrorMessage="1" sqref="O1:P5 N1 K1 L1:M2 L4:M6 K7:K20 N10:N20 K32:K41 L9:L41 M10:M41 N32:N41 L52:M52 L134:L157 K44:N46 P95 P86 L120:L128 N81:N96 N98:N128 L57:M80 K93:K128 L81:L118 N50:N79 M119:M128 M81:M117 K52:K91 P218 P160 P163 P187 P189 N233 N183:N231 K182:M230 L159:L181 P252 M134:N181 K134:K181 M265:M396 K237:K256 K288:K396 N237:N256 L237:L396 M237:M263 K277:K280 N277:N280 N288:N396" xr:uid="{8A02FA37-A6C5-4039-A836-9BDA5FBD9983}">
      <formula1>36526</formula1>
      <formula2>73050</formula2>
    </dataValidation>
    <dataValidation type="list" allowBlank="1" showInputMessage="1" showErrorMessage="1" sqref="U1 T1:T1048479" xr:uid="{1C90D69D-23B6-4F8E-83F3-A1908D5D126D}">
      <formula1>SubCategory</formula1>
    </dataValidation>
    <dataValidation type="list" allowBlank="1" showInputMessage="1" showErrorMessage="1" sqref="F1:F20 F419:F1048479 F32:F256 F277:F402" xr:uid="{784F378F-BD7F-4FA8-9E85-F31BBE516402}">
      <formula1>Queue_List</formula1>
    </dataValidation>
    <dataValidation type="list" allowBlank="1" showInputMessage="1" showErrorMessage="1" sqref="Y127 I1:I124 I419:I1048479 I126:I402" xr:uid="{85C319C9-8C29-4C49-AB76-BF25BF2D0A23}">
      <formula1>Status_List</formula1>
    </dataValidation>
    <dataValidation type="list" allowBlank="1" showInputMessage="1" showErrorMessage="1" sqref="D419:D1048479 D1:D402" xr:uid="{257316A3-6705-4E21-AFEB-BC4BA9CD398D}">
      <formula1>Type_List</formula1>
    </dataValidation>
    <dataValidation type="list" allowBlank="1" showInputMessage="1" showErrorMessage="1" sqref="B419:B1048479 B1:B402" xr:uid="{1AC0712E-7029-4FCD-80BA-535843A545C5}">
      <formula1>OpCo_List</formula1>
    </dataValidation>
    <dataValidation type="list" showInputMessage="1" showErrorMessage="1" errorTitle="Invalid Domain" error="Please select value only from dropdown" sqref="C419:C1048479 C1:C402" xr:uid="{6E786373-C2FE-43C2-A175-9B09C25AA2C1}">
      <formula1>Domain_List</formula1>
    </dataValidation>
    <dataValidation type="list" showInputMessage="1" showErrorMessage="1" errorTitle="Invalid Entry" error="Please select a value in TYPE before entering Priority" sqref="G419:G1048479 G1:G402" xr:uid="{55AF8D57-8016-45DB-A194-254C18A2F060}">
      <formula1>IF(D1="","",INDIRECT(D1&amp;"_PR"))</formula1>
    </dataValidation>
    <dataValidation type="list" allowBlank="1" showInputMessage="1" showErrorMessage="1" sqref="R1:R1048479" xr:uid="{C5E1E8DC-94F5-4989-8D6D-0FA22240F0EC}">
      <formula1>Resolution_List</formula1>
    </dataValidation>
    <dataValidation type="list" allowBlank="1" showInputMessage="1" showErrorMessage="1" sqref="U1:U1048479" xr:uid="{9F3363BB-6FAD-4574-8878-691B679DAF94}">
      <formula1>"Yes,No"</formula1>
    </dataValidation>
    <dataValidation type="list" allowBlank="1" showInputMessage="1" showErrorMessage="1" sqref="S2:S1048479" xr:uid="{3B6F695F-692F-492D-9A82-4AA688894FB4}">
      <formula1>IF(D2="","",INDIRECT(D2))</formula1>
    </dataValidation>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A995B-2A4F-4EF1-BA2C-1A68D653F2FC}">
  <sheetPr codeName="Sheet8"/>
  <dimension ref="A1:AJ500"/>
  <sheetViews>
    <sheetView topLeftCell="Y1" zoomScale="75" zoomScaleNormal="75" workbookViewId="0">
      <pane ySplit="1" topLeftCell="A2" activePane="bottomLeft" state="frozen"/>
      <selection pane="bottomLeft" activeCell="F17" sqref="F17"/>
    </sheetView>
  </sheetViews>
  <sheetFormatPr defaultColWidth="9.140625" defaultRowHeight="15" customHeight="1"/>
  <cols>
    <col min="1" max="1" width="6.42578125" style="45" customWidth="1"/>
    <col min="2" max="2" width="7.85546875" style="45" customWidth="1"/>
    <col min="3" max="3" width="10.42578125" style="45" customWidth="1"/>
    <col min="4" max="4" width="8.28515625" style="45" customWidth="1"/>
    <col min="5" max="5" width="12.140625" style="45" customWidth="1"/>
    <col min="6" max="6" width="18.140625" style="45" customWidth="1"/>
    <col min="7" max="7" width="9" style="45" customWidth="1"/>
    <col min="8" max="8" width="16.85546875" style="45" customWidth="1"/>
    <col min="9" max="9" width="8.140625" style="45" customWidth="1"/>
    <col min="10" max="10" width="12.42578125" style="45" customWidth="1"/>
    <col min="11" max="11" width="20.140625" style="47" customWidth="1"/>
    <col min="12" max="12" width="16.42578125" style="47" customWidth="1"/>
    <col min="13" max="13" width="24.7109375" style="47" customWidth="1"/>
    <col min="14" max="14" width="23.42578125" style="47" customWidth="1"/>
    <col min="15" max="15" width="21.42578125" style="47" customWidth="1"/>
    <col min="16" max="16" width="18.42578125" style="47" customWidth="1"/>
    <col min="17" max="17" width="20.42578125" style="45" customWidth="1"/>
    <col min="18" max="18" width="16.140625" style="45" customWidth="1"/>
    <col min="19" max="20" width="19.42578125" style="45" customWidth="1"/>
    <col min="21" max="21" width="18" style="45" customWidth="1"/>
    <col min="22" max="22" width="17.85546875" style="45" customWidth="1"/>
    <col min="23" max="23" width="15.42578125" style="45" customWidth="1"/>
    <col min="24" max="24" width="25" style="45" customWidth="1"/>
    <col min="25" max="25" width="10.42578125" style="45" customWidth="1"/>
    <col min="26" max="26" width="19.28515625" style="45" customWidth="1"/>
    <col min="27" max="27" width="16.42578125" style="45" customWidth="1"/>
    <col min="28" max="28" width="21.85546875" style="45" customWidth="1"/>
    <col min="29" max="29" width="19.85546875" style="45" customWidth="1"/>
    <col min="30" max="30" width="13.42578125" style="45" customWidth="1"/>
    <col min="31" max="31" width="14" style="45" customWidth="1"/>
    <col min="32" max="32" width="18.85546875" style="45" customWidth="1"/>
    <col min="33" max="33" width="21" style="45" customWidth="1"/>
    <col min="34" max="34" width="17.85546875" style="45" bestFit="1" customWidth="1"/>
    <col min="35" max="35" width="28.28515625" style="45" bestFit="1" customWidth="1"/>
    <col min="36" max="36" width="28.7109375" style="45" bestFit="1" customWidth="1"/>
    <col min="37" max="16384" width="9.140625" style="45"/>
  </cols>
  <sheetData>
    <row r="1" spans="1:36" s="44" customFormat="1" ht="15" customHeight="1">
      <c r="A1" s="43" t="s">
        <v>347</v>
      </c>
      <c r="B1" s="43" t="s">
        <v>2</v>
      </c>
      <c r="C1" s="43" t="s">
        <v>3</v>
      </c>
      <c r="D1" s="43" t="s">
        <v>253</v>
      </c>
      <c r="E1" s="43" t="s">
        <v>348</v>
      </c>
      <c r="F1" s="43" t="s">
        <v>1</v>
      </c>
      <c r="G1" s="43" t="s">
        <v>324</v>
      </c>
      <c r="H1" s="43" t="s">
        <v>349</v>
      </c>
      <c r="I1" s="43" t="s">
        <v>254</v>
      </c>
      <c r="J1" s="43" t="s">
        <v>350</v>
      </c>
      <c r="K1" s="43" t="s">
        <v>351</v>
      </c>
      <c r="L1" s="43" t="s">
        <v>352</v>
      </c>
      <c r="M1" s="43" t="s">
        <v>353</v>
      </c>
      <c r="N1" s="43" t="s">
        <v>354</v>
      </c>
      <c r="O1" s="43" t="s">
        <v>355</v>
      </c>
      <c r="P1" s="43" t="s">
        <v>356</v>
      </c>
      <c r="Q1" s="43" t="s">
        <v>357</v>
      </c>
      <c r="R1" s="43" t="s">
        <v>358</v>
      </c>
      <c r="S1" s="43" t="s">
        <v>359</v>
      </c>
      <c r="T1" s="43" t="s">
        <v>258</v>
      </c>
      <c r="U1" s="43" t="s">
        <v>360</v>
      </c>
      <c r="V1" s="43" t="s">
        <v>361</v>
      </c>
      <c r="W1" s="43" t="s">
        <v>362</v>
      </c>
      <c r="X1" s="43" t="s">
        <v>363</v>
      </c>
      <c r="Y1" s="43" t="s">
        <v>364</v>
      </c>
      <c r="Z1" s="32" t="s">
        <v>82</v>
      </c>
      <c r="AA1" s="32" t="s">
        <v>90</v>
      </c>
      <c r="AB1" s="32" t="s">
        <v>84</v>
      </c>
      <c r="AC1" s="32" t="s">
        <v>92</v>
      </c>
      <c r="AD1" s="32" t="s">
        <v>86</v>
      </c>
      <c r="AE1" s="32" t="s">
        <v>88</v>
      </c>
      <c r="AF1" s="32" t="s">
        <v>365</v>
      </c>
      <c r="AG1" s="32" t="s">
        <v>366</v>
      </c>
      <c r="AH1" s="32" t="s">
        <v>94</v>
      </c>
      <c r="AI1" s="32" t="s">
        <v>96</v>
      </c>
      <c r="AJ1" s="33" t="s">
        <v>98</v>
      </c>
    </row>
    <row r="2" spans="1:36" ht="15" customHeight="1">
      <c r="A2" s="45">
        <v>1</v>
      </c>
      <c r="B2" s="45" t="s">
        <v>51</v>
      </c>
      <c r="C2" s="45" t="s">
        <v>29</v>
      </c>
      <c r="D2" s="45" t="s">
        <v>207</v>
      </c>
      <c r="E2" s="63" t="s">
        <v>1009</v>
      </c>
      <c r="F2" s="53" t="s">
        <v>52</v>
      </c>
      <c r="G2" s="45">
        <v>3</v>
      </c>
      <c r="H2" s="55" t="s">
        <v>1010</v>
      </c>
      <c r="I2" s="45" t="s">
        <v>271</v>
      </c>
      <c r="J2" s="45" t="s">
        <v>374</v>
      </c>
      <c r="K2" s="71">
        <v>46140.42291666667</v>
      </c>
      <c r="L2" s="47">
        <v>46140.42291666667</v>
      </c>
      <c r="M2" s="47">
        <v>46140.470833333333</v>
      </c>
      <c r="N2" s="70">
        <v>46150.334027777775</v>
      </c>
      <c r="O2" s="47">
        <v>46142.51666666667</v>
      </c>
      <c r="P2" s="47">
        <v>46150.334027777775</v>
      </c>
      <c r="U2" s="45" t="s">
        <v>371</v>
      </c>
      <c r="Z2" s="76">
        <f t="shared" ref="Z2" ca="1" si="0">IF(NOT(OR(G2=1,G2=2)),MAX(0,_xlfn.IFS(AND(K2&lt;&gt;"",N2&lt;&gt;""),((MAX(NETWORKDAYS(K2,N2,UKBankHolidays)-1,0))*(TIME(17,0,0)-TIME(8,0,0))+IF(NETWORKDAYS(N2,N2,UKBankHolidays)&gt;0,MEDIAN(TIME(8,0,0),MOD(N2,1),TIME(17,0,0)),TIME(8,0,0))-IF(NETWORKDAYS(K2,K2,UKBankHolidays)&gt;0,MEDIAN(TIME(8,0,0),MOD(K2,1),TIME(17,0,0)),TIME(8,0,0)))-IF(AND(O2&lt;&gt;"",P2&lt;&gt;""),((MAX(NETWORKDAYS(O2,P2,UKBankHolidays)-1,0))*(TIME(17,0,0)-TIME(8,0,0))+IF(NETWORKDAYS(P2,P2,UKBankHolidays)&gt;0,MEDIAN(TIME(8,0,0),MOD(P2,1),TIME(17,0,0)),TIME(8,0,0))-IF(NETWORKDAYS(O2,O2,UKBankHolidays)&gt;0,MEDIAN(TIME(8,0,0),MOD(O2,1),TIME(17,0,0)),TIME(8,0,0))),0),AND(K2&lt;&gt;"",N2=""),((MAX(NETWORKDAYS(K2,NOW(),UKBankHolidays)-1,0))*(TIME(17,0,0)-TIME(8,0,0))+IF(NETWORKDAYS(NOW(),NOW(),UKBankHolidays)&gt;0,MEDIAN(TIME(8,0,0),MOD(NOW(),1),TIME(17,0,0)),TIME(8,0,0))-IF(NETWORKDAYS(K2,K2,UKBankHolidays)&gt;0,MEDIAN(TIME(8,0,0),MOD(K2,1),TIME(17,0,0)),TIME(8,0,0))))),IF(N2="",NOW()-K2,N2-K2))</f>
        <v>0.84375000000000022</v>
      </c>
      <c r="AA2" s="75">
        <f ca="1">(Z2*24)/9</f>
        <v>2.2500000000000009</v>
      </c>
      <c r="AB2" s="76">
        <f t="shared" ref="AB2" ca="1" si="1">IF(NOT(OR(G2=1,G2=2)),MAX(0,_xlfn.IFS(AND(K2&lt;&gt;"",N2&lt;&gt;""),(((MAX(NETWORKDAYS(L2,N2,UKBankHolidays)-1,0))*(TIME(17,0,0)-TIME(8,0,0)))+IF(NETWORKDAYS(N2,N2,UKBankHolidays)&gt;0,MEDIAN(TIME(8,0,0),MOD(N2,1),TIME(17,0,0)),TIME(8,0,0))-IF(NETWORKDAYS(L2,L2,UKBankHolidays)&gt;0,MEDIAN(TIME(8,0,0),MOD(L2,1),TIME(17,0,0)),TIME(8,0,0)))-IF(AND(O2&lt;&gt;"",P2&lt;&gt;""),(((MAX(NETWORKDAYS(O2,P2,UKBankHolidays)-1,0))*(TIME(17,0,0)-TIME(8,0,0)))+IF(NETWORKDAYS(P2,P2,UKBankHolidays)&gt;0,MEDIAN(TIME(8,0,0),MOD(P2,1),TIME(17,0,0)),TIME(8,0,0))-IF(NETWORKDAYS(O2,O2,UKBankHolidays)&gt;0,MEDIAN(TIME(8,0,0),MOD(O2,1),TIME(17,0,0)),TIME(8,0,0))),0),AND(L2&lt;&gt;"",N2="",O2=""),(((MAX(NETWORKDAYS(L2,NOW(),UKBankHolidays)-1,0))*(TIME(17,0,0)-TIME(8,0,0)))+IF(NETWORKDAYS(NOW(),NOW(),UKBankHolidays)&gt;0,MEDIAN(TIME(8,0,0),MOD(NOW(),1),TIME(17,0,0)),TIME(8,0,0))-IF(NETWORKDAYS(L2,L2,UKBankHolidays)&gt;0,MEDIAN(TIME(8,0,0),MOD(L2,1),TIME(17,0,0)),TIME(8,0,0)))-IF(AND(O2&lt;&gt;"",P2&lt;&gt;""),(((MAX(NETWORKDAYS(O2,P2,UKBankHolidays)-1,0))*(TIME(17,0,0)-TIME(8,0,0)))+IF(NETWORKDAYS(P2,P2,UKBankHolidays)&gt;0,MEDIAN(TIME(8,0,0),MOD(P2,1),TIME(17,0,0)),TIME(8,0,0))-IF(NETWORKDAYS(O2,O2,UKBankHolidays)&gt;0,MEDIAN(TIME(8,0,0),MOD(O2,1),TIME(17,0,0)),TIME(8,0,0))),0),AND(L2&lt;&gt;"",N2="",P2="",O2&lt;&gt;""),(((MAX(NETWORKDAYS(L2,O2,UKBankHolidays)-1,0))*(TIME(17,0,0)-TIME(8,0,0)))+IF(NETWORKDAYS(O2,O2,UKBankHolidays)&gt;0,MEDIAN(TIME(8,0,0),MOD(O2,1),TIME(17,0,0)),TIME(8,0,0))-IF(NETWORKDAYS(L2,L2,UKBankHolidays)&gt;0,MEDIAN(TIME(8,0,0),MOD(L2,1),TIME(17,0,0)),TIME(8,0,0))),ISBLANK(K2),"0")),IF(ISBLANK(N2),NOW()-L2,N2-L2))</f>
        <v>0.84375000000000022</v>
      </c>
      <c r="AC2" s="75">
        <f ca="1">(AB2*24)/9</f>
        <v>2.2500000000000009</v>
      </c>
      <c r="AD2" s="76">
        <f t="shared" ref="AD2" ca="1" si="2">MAX(0,IF(NOT(OR(G2=1,G2=2)),IF(M2&lt;&gt;"",((MAX(NETWORKDAYS(L2,M2,UKBankHolidays)-1,0))*(TIME(17,0,0)-TIME(8,0,0))+IF(NETWORKDAYS(M2,M2,UKBankHolidays)&gt;0,MEDIAN(TIME(8,0,0),MOD(M2,1),TIME(17,0,0)),TIME(8,0,0))-MEDIAN(TIME(8,0,0),MOD(L2,1),TIME(17,0,0))),((MAX(NETWORKDAYS(L2,NOW(),UKBankHolidays)-1,0))*(TIME(17,0,0)-TIME(8,0,0))+IF(NETWORKDAYS(NOW(),NOW(),UKBankHolidays)&gt;0,MEDIAN(TIME(8,0,0),MOD(NOW(),1),TIME(17,0,0)),TIME(8,0,0))-MEDIAN(TIME(8,0,0),MOD(L2,1),TIME(17,0,0)))),IF(M2&lt;&gt;"",M2-L2,NOW()-L2)))</f>
        <v>4.7916666662786156E-2</v>
      </c>
      <c r="AE2" s="76">
        <f ca="1">SUMIFS(AB:AB,E:E,E2)</f>
        <v>0.84375000000000022</v>
      </c>
      <c r="AF2" s="75">
        <f ca="1">(AE2*24)/9</f>
        <v>2.2500000000000009</v>
      </c>
      <c r="AG2" s="76">
        <f t="shared" ref="AG2:AG256" ca="1" si="3">AF2</f>
        <v>2.2500000000000009</v>
      </c>
      <c r="AH2" s="31" t="str" cm="1">
        <f t="array" aca="1" ref="AH2" ca="1">IF((AD2) &lt; (INDEX(ResponseSLA[#All],(MATCH((G2),ResponseSLA[Priority],0))+1,3)),"YES","No")</f>
        <v>YES</v>
      </c>
      <c r="AI2" s="31" t="str">
        <f ca="1">_xlfn.IFNA(IF(AE2 &lt; (INDEX(SLATable[Minimum SLA],MATCH(G2,SLATable[Priority],0))),"YES","NO"),"")</f>
        <v>NO</v>
      </c>
      <c r="AJ2" t="str">
        <f ca="1">_xlfn.IFNA(IF(AE2 &lt; (INDEX(SLATable[Maximum SLA],MATCH(G2,SLATable[Priority],0))),"YES","NO"),"")</f>
        <v>YES</v>
      </c>
    </row>
    <row r="3" spans="1:36" ht="15" customHeight="1">
      <c r="A3" s="45">
        <v>2</v>
      </c>
      <c r="B3" s="45" t="s">
        <v>51</v>
      </c>
      <c r="C3" s="45" t="s">
        <v>29</v>
      </c>
      <c r="D3" s="45" t="s">
        <v>207</v>
      </c>
      <c r="E3" s="69" t="s">
        <v>1011</v>
      </c>
      <c r="F3" s="45" t="s">
        <v>52</v>
      </c>
      <c r="G3" s="45">
        <v>4</v>
      </c>
      <c r="H3" s="55" t="s">
        <v>1012</v>
      </c>
      <c r="I3" s="45" t="s">
        <v>275</v>
      </c>
      <c r="J3" s="45" t="s">
        <v>374</v>
      </c>
      <c r="K3" s="70">
        <v>46140.428472222222</v>
      </c>
      <c r="L3" s="47">
        <v>46140.428472222222</v>
      </c>
      <c r="M3" s="47">
        <v>46140.472222222219</v>
      </c>
      <c r="N3" s="70">
        <v>46140.577777777777</v>
      </c>
      <c r="U3" s="45" t="s">
        <v>428</v>
      </c>
      <c r="Z3" s="76">
        <f t="shared" ref="Z3:Z66" ca="1" si="4">IF(NOT(OR(G3=1,G3=2)),MAX(0,_xlfn.IFS(AND(K3&lt;&gt;"",N3&lt;&gt;""),((MAX(NETWORKDAYS(K3,N3,UKBankHolidays)-1,0))*(TIME(17,0,0)-TIME(8,0,0))+IF(NETWORKDAYS(N3,N3,UKBankHolidays)&gt;0,MEDIAN(TIME(8,0,0),MOD(N3,1),TIME(17,0,0)),TIME(8,0,0))-IF(NETWORKDAYS(K3,K3,UKBankHolidays)&gt;0,MEDIAN(TIME(8,0,0),MOD(K3,1),TIME(17,0,0)),TIME(8,0,0)))-IF(AND(O3&lt;&gt;"",P3&lt;&gt;""),((MAX(NETWORKDAYS(O3,P3,UKBankHolidays)-1,0))*(TIME(17,0,0)-TIME(8,0,0))+IF(NETWORKDAYS(P3,P3,UKBankHolidays)&gt;0,MEDIAN(TIME(8,0,0),MOD(P3,1),TIME(17,0,0)),TIME(8,0,0))-IF(NETWORKDAYS(O3,O3,UKBankHolidays)&gt;0,MEDIAN(TIME(8,0,0),MOD(O3,1),TIME(17,0,0)),TIME(8,0,0))),0),AND(K3&lt;&gt;"",N3=""),((MAX(NETWORKDAYS(K3,NOW(),UKBankHolidays)-1,0))*(TIME(17,0,0)-TIME(8,0,0))+IF(NETWORKDAYS(NOW(),NOW(),UKBankHolidays)&gt;0,MEDIAN(TIME(8,0,0),MOD(NOW(),1),TIME(17,0,0)),TIME(8,0,0))-IF(NETWORKDAYS(K3,K3,UKBankHolidays)&gt;0,MEDIAN(TIME(8,0,0),MOD(K3,1),TIME(17,0,0)),TIME(8,0,0))))),IF(N3="",NOW()-K3,N3-K3))</f>
        <v>0.14930555555474712</v>
      </c>
      <c r="AA3" s="75">
        <f t="shared" ref="AA3:AA66" ca="1" si="5">(Z3*24)/9</f>
        <v>0.39814814814599231</v>
      </c>
      <c r="AB3" s="76">
        <f t="shared" ref="AB3:AB66" ca="1" si="6">IF(NOT(OR(G3=1,G3=2)),MAX(0,_xlfn.IFS(AND(K3&lt;&gt;"",N3&lt;&gt;""),(((MAX(NETWORKDAYS(L3,N3,UKBankHolidays)-1,0))*(TIME(17,0,0)-TIME(8,0,0)))+IF(NETWORKDAYS(N3,N3,UKBankHolidays)&gt;0,MEDIAN(TIME(8,0,0),MOD(N3,1),TIME(17,0,0)),TIME(8,0,0))-IF(NETWORKDAYS(L3,L3,UKBankHolidays)&gt;0,MEDIAN(TIME(8,0,0),MOD(L3,1),TIME(17,0,0)),TIME(8,0,0)))-IF(AND(O3&lt;&gt;"",P3&lt;&gt;""),(((MAX(NETWORKDAYS(O3,P3,UKBankHolidays)-1,0))*(TIME(17,0,0)-TIME(8,0,0)))+IF(NETWORKDAYS(P3,P3,UKBankHolidays)&gt;0,MEDIAN(TIME(8,0,0),MOD(P3,1),TIME(17,0,0)),TIME(8,0,0))-IF(NETWORKDAYS(O3,O3,UKBankHolidays)&gt;0,MEDIAN(TIME(8,0,0),MOD(O3,1),TIME(17,0,0)),TIME(8,0,0))),0),AND(L3&lt;&gt;"",N3="",O3=""),(((MAX(NETWORKDAYS(L3,NOW(),UKBankHolidays)-1,0))*(TIME(17,0,0)-TIME(8,0,0)))+IF(NETWORKDAYS(NOW(),NOW(),UKBankHolidays)&gt;0,MEDIAN(TIME(8,0,0),MOD(NOW(),1),TIME(17,0,0)),TIME(8,0,0))-IF(NETWORKDAYS(L3,L3,UKBankHolidays)&gt;0,MEDIAN(TIME(8,0,0),MOD(L3,1),TIME(17,0,0)),TIME(8,0,0)))-IF(AND(O3&lt;&gt;"",P3&lt;&gt;""),(((MAX(NETWORKDAYS(O3,P3,UKBankHolidays)-1,0))*(TIME(17,0,0)-TIME(8,0,0)))+IF(NETWORKDAYS(P3,P3,UKBankHolidays)&gt;0,MEDIAN(TIME(8,0,0),MOD(P3,1),TIME(17,0,0)),TIME(8,0,0))-IF(NETWORKDAYS(O3,O3,UKBankHolidays)&gt;0,MEDIAN(TIME(8,0,0),MOD(O3,1),TIME(17,0,0)),TIME(8,0,0))),0),AND(L3&lt;&gt;"",N3="",P3="",O3&lt;&gt;""),(((MAX(NETWORKDAYS(L3,O3,UKBankHolidays)-1,0))*(TIME(17,0,0)-TIME(8,0,0)))+IF(NETWORKDAYS(O3,O3,UKBankHolidays)&gt;0,MEDIAN(TIME(8,0,0),MOD(O3,1),TIME(17,0,0)),TIME(8,0,0))-IF(NETWORKDAYS(L3,L3,UKBankHolidays)&gt;0,MEDIAN(TIME(8,0,0),MOD(L3,1),TIME(17,0,0)),TIME(8,0,0))),ISBLANK(K3),"0")),IF(ISBLANK(N3),NOW()-L3,N3-L3))</f>
        <v>0.14930555555474712</v>
      </c>
      <c r="AC3" s="75">
        <f t="shared" ref="AC3:AC66" ca="1" si="7">(AB3*24)/9</f>
        <v>0.39814814814599231</v>
      </c>
      <c r="AD3" s="76">
        <f t="shared" ref="AD3:AD66" ca="1" si="8">MAX(0,IF(NOT(OR(G3=1,G3=2)),IF(M3&lt;&gt;"",((MAX(NETWORKDAYS(L3,M3,UKBankHolidays)-1,0))*(TIME(17,0,0)-TIME(8,0,0))+IF(NETWORKDAYS(M3,M3,UKBankHolidays)&gt;0,MEDIAN(TIME(8,0,0),MOD(M3,1),TIME(17,0,0)),TIME(8,0,0))-MEDIAN(TIME(8,0,0),MOD(L3,1),TIME(17,0,0))),((MAX(NETWORKDAYS(L3,NOW(),UKBankHolidays)-1,0))*(TIME(17,0,0)-TIME(8,0,0))+IF(NETWORKDAYS(NOW(),NOW(),UKBankHolidays)&gt;0,MEDIAN(TIME(8,0,0),MOD(NOW(),1),TIME(17,0,0)),TIME(8,0,0))-MEDIAN(TIME(8,0,0),MOD(L3,1),TIME(17,0,0)))),IF(M3&lt;&gt;"",M3-L3,NOW()-L3)))</f>
        <v>4.3749999997089617E-2</v>
      </c>
      <c r="AE3" s="76">
        <f ca="1">SUMIFS(AB:AB,E:E,E3)</f>
        <v>1.6611111111051287</v>
      </c>
      <c r="AF3" s="75">
        <f t="shared" ref="AF3:AF66" ca="1" si="9">(AE3*24)/9</f>
        <v>4.4296296296136761</v>
      </c>
      <c r="AG3" s="76">
        <f t="shared" ca="1" si="3"/>
        <v>4.4296296296136761</v>
      </c>
      <c r="AH3" s="31" t="str" cm="1">
        <f t="array" aca="1" ref="AH3" ca="1">IF((AD3) &lt; (INDEX(ResponseSLA[#All],(MATCH((G3),ResponseSLA[Priority],0))+1,3)),"YES","No")</f>
        <v>YES</v>
      </c>
      <c r="AI3" s="31" t="str">
        <f ca="1">_xlfn.IFNA(IF(AE3 &lt; (INDEX(SLATable[Minimum SLA],MATCH(G3,SLATable[Priority],0))),"YES","NO"),"")</f>
        <v>YES</v>
      </c>
      <c r="AJ3" t="str">
        <f ca="1">_xlfn.IFNA(IF(AE3 &lt; (INDEX(SLATable[Maximum SLA],MATCH(G3,SLATable[Priority],0))),"YES","NO"),"")</f>
        <v>YES</v>
      </c>
    </row>
    <row r="4" spans="1:36" ht="15" customHeight="1">
      <c r="A4" s="45">
        <v>3</v>
      </c>
      <c r="B4" s="45" t="s">
        <v>51</v>
      </c>
      <c r="C4" s="45" t="s">
        <v>29</v>
      </c>
      <c r="D4" s="45" t="s">
        <v>208</v>
      </c>
      <c r="E4" s="69" t="s">
        <v>1013</v>
      </c>
      <c r="F4" s="45" t="s">
        <v>52</v>
      </c>
      <c r="G4" s="45" t="s">
        <v>208</v>
      </c>
      <c r="H4" s="63" t="s">
        <v>1014</v>
      </c>
      <c r="I4" s="45" t="s">
        <v>271</v>
      </c>
      <c r="J4" s="45" t="s">
        <v>374</v>
      </c>
      <c r="K4" s="71">
        <v>46164.635416666664</v>
      </c>
      <c r="L4" s="54">
        <v>46164.648611111108</v>
      </c>
      <c r="M4" s="54">
        <v>46164.659722222219</v>
      </c>
      <c r="N4" s="70">
        <v>46166.511805555558</v>
      </c>
      <c r="U4" s="45" t="s">
        <v>371</v>
      </c>
      <c r="Z4" s="76">
        <f t="shared" ca="1" si="4"/>
        <v>0</v>
      </c>
      <c r="AA4" s="75">
        <f t="shared" ca="1" si="5"/>
        <v>0</v>
      </c>
      <c r="AB4" s="76">
        <f t="shared" ca="1" si="6"/>
        <v>0</v>
      </c>
      <c r="AC4" s="75">
        <f t="shared" ca="1" si="7"/>
        <v>0</v>
      </c>
      <c r="AD4" s="76">
        <f t="shared" ca="1" si="8"/>
        <v>1.1111111110949423E-2</v>
      </c>
      <c r="AE4" s="76">
        <f ca="1">SUMIFS(AB:AB,E:E,E4)</f>
        <v>0</v>
      </c>
      <c r="AF4" s="75">
        <f t="shared" ca="1" si="9"/>
        <v>0</v>
      </c>
      <c r="AG4" s="76">
        <f t="shared" ca="1" si="3"/>
        <v>0</v>
      </c>
      <c r="AH4" s="31" t="str" cm="1">
        <f t="array" aca="1" ref="AH4" ca="1">IF((AD4) &lt; (INDEX(ResponseSLA[#All],(MATCH((G4),ResponseSLA[Priority],0))+1,3)),"YES","No")</f>
        <v>YES</v>
      </c>
      <c r="AI4" s="31" t="str">
        <f ca="1">_xlfn.IFNA(IF(AE4 &lt; (INDEX(SLATable[Minimum SLA],MATCH(G4,SLATable[Priority],0))),"YES","NO"),"")</f>
        <v>YES</v>
      </c>
      <c r="AJ4" t="str">
        <f ca="1">_xlfn.IFNA(IF(AE4 &lt; (INDEX(SLATable[Maximum SLA],MATCH(G4,SLATable[Priority],0))),"YES","NO"),"")</f>
        <v>YES</v>
      </c>
    </row>
    <row r="5" spans="1:36" ht="15.75" customHeight="1">
      <c r="A5" s="45">
        <v>4</v>
      </c>
      <c r="B5" s="45" t="s">
        <v>51</v>
      </c>
      <c r="C5" s="45" t="s">
        <v>29</v>
      </c>
      <c r="D5" s="45" t="s">
        <v>207</v>
      </c>
      <c r="E5" s="69" t="s">
        <v>1011</v>
      </c>
      <c r="F5" s="45" t="s">
        <v>52</v>
      </c>
      <c r="G5" s="45">
        <v>4</v>
      </c>
      <c r="H5" s="63" t="s">
        <v>1012</v>
      </c>
      <c r="I5" s="45" t="s">
        <v>271</v>
      </c>
      <c r="J5" s="45" t="s">
        <v>374</v>
      </c>
      <c r="K5" s="70">
        <v>46140.428472222222</v>
      </c>
      <c r="L5" s="47">
        <v>46141.697222222225</v>
      </c>
      <c r="M5" s="47">
        <v>46142.356944444444</v>
      </c>
      <c r="N5" s="70">
        <v>46150.334027777775</v>
      </c>
      <c r="U5" s="45" t="s">
        <v>371</v>
      </c>
      <c r="Z5" s="76">
        <f t="shared" ca="1" si="4"/>
        <v>2.1555555555532924</v>
      </c>
      <c r="AA5" s="75">
        <f t="shared" ca="1" si="5"/>
        <v>5.7481481481421133</v>
      </c>
      <c r="AB5" s="76">
        <f t="shared" ca="1" si="6"/>
        <v>1.5118055555503815</v>
      </c>
      <c r="AC5" s="75">
        <f t="shared" ca="1" si="7"/>
        <v>4.0314814814676838</v>
      </c>
      <c r="AD5" s="76">
        <f t="shared" ca="1" si="8"/>
        <v>3.4722222218988463E-2</v>
      </c>
      <c r="AE5" s="76">
        <f ca="1">SUMIFS(AB:AB,E:E,E5)</f>
        <v>1.6611111111051287</v>
      </c>
      <c r="AF5" s="75">
        <f t="shared" ca="1" si="9"/>
        <v>4.4296296296136761</v>
      </c>
      <c r="AG5" s="76">
        <f t="shared" ca="1" si="3"/>
        <v>4.4296296296136761</v>
      </c>
      <c r="AH5" s="31" t="str" cm="1">
        <f t="array" aca="1" ref="AH5" ca="1">IF((AD5) &lt; (INDEX(ResponseSLA[#All],(MATCH((G5),ResponseSLA[Priority],0))+1,3)),"YES","No")</f>
        <v>YES</v>
      </c>
      <c r="AI5" s="31" t="str">
        <f ca="1">_xlfn.IFNA(IF(AE5 &lt; (INDEX(SLATable[Minimum SLA],MATCH(G5,SLATable[Priority],0))),"YES","NO"),"")</f>
        <v>YES</v>
      </c>
      <c r="AJ5" t="str">
        <f ca="1">_xlfn.IFNA(IF(AE5 &lt; (INDEX(SLATable[Maximum SLA],MATCH(G5,SLATable[Priority],0))),"YES","NO"),"")</f>
        <v>YES</v>
      </c>
    </row>
    <row r="6" spans="1:36" ht="15" customHeight="1">
      <c r="A6" s="45">
        <v>5</v>
      </c>
      <c r="B6" s="45" t="s">
        <v>51</v>
      </c>
      <c r="C6" s="45" t="s">
        <v>29</v>
      </c>
      <c r="D6" s="45" t="s">
        <v>208</v>
      </c>
      <c r="E6" s="67" t="s">
        <v>1015</v>
      </c>
      <c r="F6" s="45" t="s">
        <v>52</v>
      </c>
      <c r="G6" s="45" t="s">
        <v>208</v>
      </c>
      <c r="H6" s="67" t="s">
        <v>1016</v>
      </c>
      <c r="I6" s="45" t="s">
        <v>271</v>
      </c>
      <c r="J6" s="67" t="s">
        <v>369</v>
      </c>
      <c r="K6" s="68">
        <v>46189.393750000003</v>
      </c>
      <c r="L6" s="68">
        <v>46189.40347222222</v>
      </c>
      <c r="M6" s="68">
        <v>46189.442361111112</v>
      </c>
      <c r="N6" s="68">
        <v>46196.227083333331</v>
      </c>
      <c r="O6" s="68">
        <v>46193.334027777775</v>
      </c>
      <c r="P6" s="68">
        <v>46195.192361111112</v>
      </c>
      <c r="Z6" s="76">
        <f t="shared" ca="1" si="4"/>
        <v>1.8145833333304231</v>
      </c>
      <c r="AA6" s="75">
        <f t="shared" ca="1" si="5"/>
        <v>4.8388888888811277</v>
      </c>
      <c r="AB6" s="76">
        <f t="shared" ca="1" si="6"/>
        <v>1.8048611111128898</v>
      </c>
      <c r="AC6" s="75">
        <f t="shared" ca="1" si="7"/>
        <v>4.8129629629677062</v>
      </c>
      <c r="AD6" s="76">
        <f t="shared" ca="1" si="8"/>
        <v>3.888888889196096E-2</v>
      </c>
      <c r="AE6" s="76">
        <f ca="1">SUMIFS(AB:AB,E:E,E6)</f>
        <v>1.8048611111128898</v>
      </c>
      <c r="AF6" s="75">
        <f t="shared" ca="1" si="9"/>
        <v>4.8129629629677062</v>
      </c>
      <c r="AG6" s="76">
        <f t="shared" ca="1" si="3"/>
        <v>4.8129629629677062</v>
      </c>
      <c r="AH6" s="31" t="str" cm="1">
        <f t="array" aca="1" ref="AH6" ca="1">IF((AD6) &lt; (INDEX(ResponseSLA[#All],(MATCH((G6),ResponseSLA[Priority],0))+1,3)),"YES","No")</f>
        <v>YES</v>
      </c>
      <c r="AI6" s="31" t="str">
        <f ca="1">_xlfn.IFNA(IF(AE6 &lt; (INDEX(SLATable[Minimum SLA],MATCH(G6,SLATable[Priority],0))),"YES","NO"),"")</f>
        <v>NO</v>
      </c>
      <c r="AJ6" t="str">
        <f ca="1">_xlfn.IFNA(IF(AE6 &lt; (INDEX(SLATable[Maximum SLA],MATCH(G6,SLATable[Priority],0))),"YES","NO"),"")</f>
        <v>NO</v>
      </c>
    </row>
    <row r="7" spans="1:36" ht="15" customHeight="1">
      <c r="A7" s="45">
        <v>6</v>
      </c>
      <c r="B7" s="45" t="s">
        <v>51</v>
      </c>
      <c r="C7" s="45" t="s">
        <v>29</v>
      </c>
      <c r="D7" s="45" t="s">
        <v>208</v>
      </c>
      <c r="E7" s="67" t="s">
        <v>1017</v>
      </c>
      <c r="F7" s="45" t="s">
        <v>52</v>
      </c>
      <c r="G7" s="45" t="s">
        <v>208</v>
      </c>
      <c r="H7" s="67" t="s">
        <v>1018</v>
      </c>
      <c r="I7" s="45" t="s">
        <v>271</v>
      </c>
      <c r="J7" s="67" t="s">
        <v>369</v>
      </c>
      <c r="K7" s="68">
        <v>46202.541666666664</v>
      </c>
      <c r="L7" s="68">
        <v>46202.55972222222</v>
      </c>
      <c r="M7" s="68">
        <v>46203.28402777778</v>
      </c>
      <c r="N7" s="68">
        <v>46204.401388888888</v>
      </c>
      <c r="Z7" s="76">
        <f t="shared" ca="1" si="4"/>
        <v>0.60972222222335404</v>
      </c>
      <c r="AA7" s="75">
        <f t="shared" ca="1" si="5"/>
        <v>1.625925925928944</v>
      </c>
      <c r="AB7" s="76">
        <f t="shared" ca="1" si="6"/>
        <v>0.59166666666715173</v>
      </c>
      <c r="AC7" s="75">
        <f t="shared" ca="1" si="7"/>
        <v>1.5777777777790714</v>
      </c>
      <c r="AD7" s="76">
        <f t="shared" ca="1" si="8"/>
        <v>0.14861111111288972</v>
      </c>
      <c r="AE7" s="76">
        <f ca="1">SUMIFS(AB:AB,E:E,E7)</f>
        <v>0.59166666666715173</v>
      </c>
      <c r="AF7" s="75">
        <f t="shared" ca="1" si="9"/>
        <v>1.5777777777790714</v>
      </c>
      <c r="AG7" s="76">
        <f t="shared" ca="1" si="3"/>
        <v>1.5777777777790714</v>
      </c>
      <c r="AH7" s="31" t="str" cm="1">
        <f t="array" aca="1" ref="AH7" ca="1">IF((AD7) &lt; (INDEX(ResponseSLA[#All],(MATCH((G7),ResponseSLA[Priority],0))+1,3)),"YES","No")</f>
        <v>YES</v>
      </c>
      <c r="AI7" s="31" t="str">
        <f ca="1">_xlfn.IFNA(IF(AE7 &lt; (INDEX(SLATable[Minimum SLA],MATCH(G7,SLATable[Priority],0))),"YES","NO"),"")</f>
        <v>YES</v>
      </c>
      <c r="AJ7" t="str">
        <f ca="1">_xlfn.IFNA(IF(AE7 &lt; (INDEX(SLATable[Maximum SLA],MATCH(G7,SLATable[Priority],0))),"YES","NO"),"")</f>
        <v>YES</v>
      </c>
    </row>
    <row r="8" spans="1:36" ht="15" customHeight="1">
      <c r="A8" s="45">
        <v>7</v>
      </c>
      <c r="B8" s="45" t="s">
        <v>51</v>
      </c>
      <c r="C8" s="45" t="s">
        <v>29</v>
      </c>
      <c r="D8" s="45" t="s">
        <v>208</v>
      </c>
      <c r="E8" s="67" t="s">
        <v>1019</v>
      </c>
      <c r="F8" s="45" t="s">
        <v>52</v>
      </c>
      <c r="G8" s="45" t="s">
        <v>208</v>
      </c>
      <c r="H8" s="67" t="s">
        <v>1020</v>
      </c>
      <c r="I8" s="45" t="s">
        <v>271</v>
      </c>
      <c r="J8" s="67" t="s">
        <v>369</v>
      </c>
      <c r="K8" s="68">
        <v>46212.497916666667</v>
      </c>
      <c r="L8" s="47">
        <v>46213.149305555555</v>
      </c>
      <c r="M8" s="47">
        <v>46216.225694444445</v>
      </c>
      <c r="N8" s="68">
        <v>46234.336111111108</v>
      </c>
      <c r="O8" s="47">
        <v>46216.42083333333</v>
      </c>
      <c r="P8" s="47">
        <v>46234.336111111108</v>
      </c>
      <c r="Z8" s="76">
        <f t="shared" ca="1" si="4"/>
        <v>0.67291666666278616</v>
      </c>
      <c r="AA8" s="75">
        <f t="shared" ca="1" si="5"/>
        <v>1.7944444444340963</v>
      </c>
      <c r="AB8" s="76">
        <f t="shared" ca="1" si="6"/>
        <v>0.46249999999660485</v>
      </c>
      <c r="AC8" s="75">
        <f t="shared" ca="1" si="7"/>
        <v>1.2333333333242795</v>
      </c>
      <c r="AD8" s="76">
        <f t="shared" ca="1" si="8"/>
        <v>0.37500000000000006</v>
      </c>
      <c r="AE8" s="76">
        <f ca="1">SUMIFS(AB:AB,E:E,E8)</f>
        <v>0.46249999999660485</v>
      </c>
      <c r="AF8" s="75">
        <f t="shared" ca="1" si="9"/>
        <v>1.2333333333242795</v>
      </c>
      <c r="AG8" s="76">
        <f t="shared" ca="1" si="3"/>
        <v>1.2333333333242795</v>
      </c>
      <c r="AH8" s="31" t="str" cm="1">
        <f t="array" aca="1" ref="AH8" ca="1">IF((AD8) &lt; (INDEX(ResponseSLA[#All],(MATCH((G8),ResponseSLA[Priority],0))+1,3)),"YES","No")</f>
        <v>No</v>
      </c>
      <c r="AI8" s="31" t="str">
        <f ca="1">_xlfn.IFNA(IF(AE8 &lt; (INDEX(SLATable[Minimum SLA],MATCH(G8,SLATable[Priority],0))),"YES","NO"),"")</f>
        <v>YES</v>
      </c>
      <c r="AJ8" t="str">
        <f ca="1">_xlfn.IFNA(IF(AE8 &lt; (INDEX(SLATable[Maximum SLA],MATCH(G8,SLATable[Priority],0))),"YES","NO"),"")</f>
        <v>YES</v>
      </c>
    </row>
    <row r="9" spans="1:36" ht="15" customHeight="1">
      <c r="A9" s="45">
        <v>8</v>
      </c>
      <c r="B9" s="45" t="s">
        <v>51</v>
      </c>
      <c r="C9" s="45" t="s">
        <v>29</v>
      </c>
      <c r="D9" s="45" t="s">
        <v>208</v>
      </c>
      <c r="E9" s="67" t="s">
        <v>1021</v>
      </c>
      <c r="F9" s="45" t="s">
        <v>52</v>
      </c>
      <c r="G9" s="45" t="s">
        <v>208</v>
      </c>
      <c r="H9" s="67" t="s">
        <v>1022</v>
      </c>
      <c r="I9" s="45" t="s">
        <v>271</v>
      </c>
      <c r="J9" s="67" t="s">
        <v>374</v>
      </c>
      <c r="K9" s="47">
        <v>46230.540972222225</v>
      </c>
      <c r="L9" s="47">
        <v>46230.045138888891</v>
      </c>
      <c r="M9" s="47">
        <v>46230.136111111111</v>
      </c>
      <c r="N9" s="47">
        <v>46230.636805555558</v>
      </c>
      <c r="Z9" s="76">
        <f t="shared" ca="1" si="4"/>
        <v>9.5833333332848269E-2</v>
      </c>
      <c r="AA9" s="75">
        <f t="shared" ca="1" si="5"/>
        <v>0.25555555555426207</v>
      </c>
      <c r="AB9" s="76">
        <f t="shared" ca="1" si="6"/>
        <v>0.30347222222432418</v>
      </c>
      <c r="AC9" s="75">
        <f t="shared" ca="1" si="7"/>
        <v>0.80925925926486442</v>
      </c>
      <c r="AD9" s="76">
        <f t="shared" ca="1" si="8"/>
        <v>0</v>
      </c>
      <c r="AE9" s="76">
        <f ca="1">SUMIFS(AB:AB,E:E,E9)</f>
        <v>0.30347222222432418</v>
      </c>
      <c r="AF9" s="75">
        <f t="shared" ca="1" si="9"/>
        <v>0.80925925926486442</v>
      </c>
      <c r="AG9" s="76">
        <f t="shared" ca="1" si="3"/>
        <v>0.80925925926486442</v>
      </c>
      <c r="AH9" s="31" t="str" cm="1">
        <f t="array" aca="1" ref="AH9" ca="1">IF((AD9) &lt; (INDEX(ResponseSLA[#All],(MATCH((G9),ResponseSLA[Priority],0))+1,3)),"YES","No")</f>
        <v>YES</v>
      </c>
      <c r="AI9" s="31" t="str">
        <f ca="1">_xlfn.IFNA(IF(AE9 &lt; (INDEX(SLATable[Minimum SLA],MATCH(G9,SLATable[Priority],0))),"YES","NO"),"")</f>
        <v>YES</v>
      </c>
      <c r="AJ9" t="str">
        <f ca="1">_xlfn.IFNA(IF(AE9 &lt; (INDEX(SLATable[Maximum SLA],MATCH(G9,SLATable[Priority],0))),"YES","NO"),"")</f>
        <v>YES</v>
      </c>
    </row>
    <row r="10" spans="1:36" ht="15" customHeight="1">
      <c r="A10" s="45">
        <v>9</v>
      </c>
      <c r="B10" s="45" t="s">
        <v>51</v>
      </c>
      <c r="C10" s="45" t="s">
        <v>29</v>
      </c>
      <c r="D10" s="45" t="s">
        <v>208</v>
      </c>
      <c r="E10" s="67" t="s">
        <v>1023</v>
      </c>
      <c r="F10" s="45" t="s">
        <v>52</v>
      </c>
      <c r="G10" s="45" t="s">
        <v>208</v>
      </c>
      <c r="H10" s="67" t="s">
        <v>1024</v>
      </c>
      <c r="I10" s="45" t="s">
        <v>271</v>
      </c>
      <c r="J10" s="67" t="s">
        <v>374</v>
      </c>
      <c r="K10" s="68">
        <v>46232.505555555559</v>
      </c>
      <c r="L10" s="68">
        <v>46233.127083333333</v>
      </c>
      <c r="M10" s="68">
        <v>46233.299305555556</v>
      </c>
      <c r="N10" s="68">
        <v>46244.336805555555</v>
      </c>
      <c r="O10" s="68">
        <v>46233.511111111111</v>
      </c>
      <c r="P10" s="68">
        <v>46244.336805555555</v>
      </c>
      <c r="Z10" s="76">
        <f t="shared" ca="1" si="4"/>
        <v>0.38055555555183673</v>
      </c>
      <c r="AA10" s="75">
        <f t="shared" ca="1" si="5"/>
        <v>1.0148148148048979</v>
      </c>
      <c r="AB10" s="76">
        <f t="shared" ca="1" si="6"/>
        <v>0.17777777777761594</v>
      </c>
      <c r="AC10" s="75">
        <f t="shared" ca="1" si="7"/>
        <v>0.47407407407364249</v>
      </c>
      <c r="AD10" s="76">
        <f t="shared" ca="1" si="8"/>
        <v>0</v>
      </c>
      <c r="AE10" s="76">
        <f ca="1">SUMIFS(AB:AB,E:E,E10)</f>
        <v>0.17777777777761594</v>
      </c>
      <c r="AF10" s="75">
        <f t="shared" ca="1" si="9"/>
        <v>0.47407407407364249</v>
      </c>
      <c r="AG10" s="76">
        <f t="shared" ca="1" si="3"/>
        <v>0.47407407407364249</v>
      </c>
      <c r="AH10" s="31" t="str" cm="1">
        <f t="array" aca="1" ref="AH10" ca="1">IF((AD10) &lt; (INDEX(ResponseSLA[#All],(MATCH((G10),ResponseSLA[Priority],0))+1,3)),"YES","No")</f>
        <v>YES</v>
      </c>
      <c r="AI10" s="31" t="str">
        <f ca="1">_xlfn.IFNA(IF(AE10 &lt; (INDEX(SLATable[Minimum SLA],MATCH(G10,SLATable[Priority],0))),"YES","NO"),"")</f>
        <v>YES</v>
      </c>
      <c r="AJ10" t="str">
        <f ca="1">_xlfn.IFNA(IF(AE10 &lt; (INDEX(SLATable[Maximum SLA],MATCH(G10,SLATable[Priority],0))),"YES","NO"),"")</f>
        <v>YES</v>
      </c>
    </row>
    <row r="11" spans="1:36" ht="15" customHeight="1">
      <c r="A11" s="45">
        <v>10</v>
      </c>
      <c r="B11" s="45" t="s">
        <v>51</v>
      </c>
      <c r="C11" s="45" t="s">
        <v>29</v>
      </c>
      <c r="D11" s="45" t="s">
        <v>207</v>
      </c>
      <c r="E11" s="67" t="s">
        <v>1025</v>
      </c>
      <c r="F11" s="45" t="s">
        <v>52</v>
      </c>
      <c r="G11" s="45">
        <v>3</v>
      </c>
      <c r="H11" s="67" t="s">
        <v>1026</v>
      </c>
      <c r="I11" s="45" t="s">
        <v>271</v>
      </c>
      <c r="J11" s="67" t="s">
        <v>374</v>
      </c>
      <c r="K11" s="68">
        <v>46232.586805555555</v>
      </c>
      <c r="L11" s="47">
        <v>46239.53125</v>
      </c>
      <c r="M11" s="47">
        <v>46239.53125</v>
      </c>
      <c r="N11" s="68">
        <v>46252.424305555556</v>
      </c>
      <c r="O11" s="47">
        <v>46246.242361111108</v>
      </c>
      <c r="P11" s="47">
        <v>46252.424305555556</v>
      </c>
      <c r="Z11" s="76">
        <f t="shared" ca="1" si="4"/>
        <v>3.4965277777785868</v>
      </c>
      <c r="AA11" s="75">
        <f t="shared" ca="1" si="5"/>
        <v>9.3240740740762309</v>
      </c>
      <c r="AB11" s="76">
        <f t="shared" ca="1" si="6"/>
        <v>1.6770833333333335</v>
      </c>
      <c r="AC11" s="75">
        <f t="shared" ca="1" si="7"/>
        <v>4.4722222222222223</v>
      </c>
      <c r="AD11" s="76">
        <f t="shared" ca="1" si="8"/>
        <v>0</v>
      </c>
      <c r="AE11" s="76">
        <f ca="1">SUMIFS(AB:AB,E:E,E11)</f>
        <v>1.6770833333333335</v>
      </c>
      <c r="AF11" s="75">
        <f t="shared" ca="1" si="9"/>
        <v>4.4722222222222223</v>
      </c>
      <c r="AG11" s="76">
        <f t="shared" ca="1" si="3"/>
        <v>4.4722222222222223</v>
      </c>
      <c r="AH11" s="31" t="str" cm="1">
        <f t="array" aca="1" ref="AH11" ca="1">IF((AD11) &lt; (INDEX(ResponseSLA[#All],(MATCH((G11),ResponseSLA[Priority],0))+1,3)),"YES","No")</f>
        <v>YES</v>
      </c>
      <c r="AI11" s="31" t="str">
        <f ca="1">_xlfn.IFNA(IF(AE11 &lt; (INDEX(SLATable[Minimum SLA],MATCH(G11,SLATable[Priority],0))),"YES","NO"),"")</f>
        <v>NO</v>
      </c>
      <c r="AJ11" t="str">
        <f ca="1">_xlfn.IFNA(IF(AE11 &lt; (INDEX(SLATable[Maximum SLA],MATCH(G11,SLATable[Priority],0))),"YES","NO"),"")</f>
        <v>YES</v>
      </c>
    </row>
    <row r="12" spans="1:36" ht="15" customHeight="1">
      <c r="A12" s="45">
        <v>11</v>
      </c>
      <c r="B12" s="45" t="s">
        <v>51</v>
      </c>
      <c r="C12" s="45" t="s">
        <v>29</v>
      </c>
      <c r="D12" s="45" t="s">
        <v>207</v>
      </c>
      <c r="E12" s="67" t="s">
        <v>1027</v>
      </c>
      <c r="F12" s="45" t="s">
        <v>52</v>
      </c>
      <c r="G12" s="45">
        <v>3</v>
      </c>
      <c r="H12" s="67" t="s">
        <v>1028</v>
      </c>
      <c r="I12" s="45" t="s">
        <v>271</v>
      </c>
      <c r="J12" s="67" t="s">
        <v>374</v>
      </c>
      <c r="K12" s="68">
        <v>46232.700694444444</v>
      </c>
      <c r="L12" s="68">
        <v>46232.700694444444</v>
      </c>
      <c r="M12" s="68">
        <v>46233.298611111109</v>
      </c>
      <c r="N12" s="68">
        <v>46239.546527777777</v>
      </c>
      <c r="O12" s="68"/>
      <c r="P12" s="68"/>
      <c r="Z12" s="76">
        <f t="shared" ca="1" si="4"/>
        <v>1.7208333333328483</v>
      </c>
      <c r="AA12" s="75">
        <f t="shared" ca="1" si="5"/>
        <v>4.5888888888875954</v>
      </c>
      <c r="AB12" s="76">
        <f t="shared" ca="1" si="6"/>
        <v>1.7208333333328483</v>
      </c>
      <c r="AC12" s="75">
        <f t="shared" ca="1" si="7"/>
        <v>4.5888888888875954</v>
      </c>
      <c r="AD12" s="76">
        <f t="shared" ca="1" si="8"/>
        <v>7.6388888895356777E-3</v>
      </c>
      <c r="AE12" s="76">
        <f ca="1">SUMIFS(AB:AB,E:E,E12)</f>
        <v>1.7208333333328483</v>
      </c>
      <c r="AF12" s="75">
        <f t="shared" ca="1" si="9"/>
        <v>4.5888888888875954</v>
      </c>
      <c r="AG12" s="76">
        <f t="shared" ca="1" si="3"/>
        <v>4.5888888888875954</v>
      </c>
      <c r="AH12" s="31" t="str" cm="1">
        <f t="array" aca="1" ref="AH12" ca="1">IF((AD12) &lt; (INDEX(ResponseSLA[#All],(MATCH((G12),ResponseSLA[Priority],0))+1,3)),"YES","No")</f>
        <v>YES</v>
      </c>
      <c r="AI12" s="31" t="str">
        <f ca="1">_xlfn.IFNA(IF(AE12 &lt; (INDEX(SLATable[Minimum SLA],MATCH(G12,SLATable[Priority],0))),"YES","NO"),"")</f>
        <v>NO</v>
      </c>
      <c r="AJ12" t="str">
        <f ca="1">_xlfn.IFNA(IF(AE12 &lt; (INDEX(SLATable[Maximum SLA],MATCH(G12,SLATable[Priority],0))),"YES","NO"),"")</f>
        <v>YES</v>
      </c>
    </row>
    <row r="13" spans="1:36" ht="15" customHeight="1">
      <c r="A13" s="45">
        <v>12</v>
      </c>
      <c r="B13" s="45" t="s">
        <v>51</v>
      </c>
      <c r="C13" s="45" t="s">
        <v>29</v>
      </c>
      <c r="D13" s="45" t="s">
        <v>207</v>
      </c>
      <c r="E13" s="67" t="s">
        <v>1029</v>
      </c>
      <c r="F13" s="45" t="s">
        <v>52</v>
      </c>
      <c r="G13" s="45">
        <v>4</v>
      </c>
      <c r="H13" s="67" t="s">
        <v>1030</v>
      </c>
      <c r="I13" s="45" t="s">
        <v>271</v>
      </c>
      <c r="J13" s="67" t="s">
        <v>374</v>
      </c>
      <c r="K13" s="68">
        <v>46232.71597222222</v>
      </c>
      <c r="L13" s="68">
        <v>46232.71597222222</v>
      </c>
      <c r="M13" s="68">
        <v>46233.296527777777</v>
      </c>
      <c r="N13" s="68">
        <v>46243.334027777775</v>
      </c>
      <c r="O13" s="68"/>
      <c r="P13" s="68"/>
      <c r="Z13" s="76">
        <f t="shared" ca="1" si="4"/>
        <v>2.2500000000000004</v>
      </c>
      <c r="AA13" s="75">
        <f t="shared" ca="1" si="5"/>
        <v>6.0000000000000018</v>
      </c>
      <c r="AB13" s="76">
        <f t="shared" ca="1" si="6"/>
        <v>2.2500000000000004</v>
      </c>
      <c r="AC13" s="75">
        <f t="shared" ca="1" si="7"/>
        <v>6.0000000000000018</v>
      </c>
      <c r="AD13" s="76">
        <f t="shared" ca="1" si="8"/>
        <v>0</v>
      </c>
      <c r="AE13" s="76">
        <f ca="1">SUMIFS(AB:AB,E:E,E13)</f>
        <v>2.2500000000000004</v>
      </c>
      <c r="AF13" s="75">
        <f t="shared" ca="1" si="9"/>
        <v>6.0000000000000018</v>
      </c>
      <c r="AG13" s="76">
        <f t="shared" ca="1" si="3"/>
        <v>6.0000000000000018</v>
      </c>
      <c r="AH13" s="31" t="str" cm="1">
        <f t="array" aca="1" ref="AH13" ca="1">IF((AD13) &lt; (INDEX(ResponseSLA[#All],(MATCH((G13),ResponseSLA[Priority],0))+1,3)),"YES","No")</f>
        <v>YES</v>
      </c>
      <c r="AI13" s="31" t="str">
        <f ca="1">_xlfn.IFNA(IF(AE13 &lt; (INDEX(SLATable[Minimum SLA],MATCH(G13,SLATable[Priority],0))),"YES","NO"),"")</f>
        <v>YES</v>
      </c>
      <c r="AJ13" t="str">
        <f ca="1">_xlfn.IFNA(IF(AE13 &lt; (INDEX(SLATable[Maximum SLA],MATCH(G13,SLATable[Priority],0))),"YES","NO"),"")</f>
        <v>YES</v>
      </c>
    </row>
    <row r="14" spans="1:36" ht="15" customHeight="1">
      <c r="Z14" s="76" t="e">
        <f t="shared" ca="1" si="4"/>
        <v>#N/A</v>
      </c>
      <c r="AA14" s="75" t="e">
        <f t="shared" ca="1" si="5"/>
        <v>#N/A</v>
      </c>
      <c r="AB14" s="76">
        <f t="shared" ca="1" si="6"/>
        <v>0</v>
      </c>
      <c r="AC14" s="75">
        <f t="shared" ca="1" si="7"/>
        <v>0</v>
      </c>
      <c r="AD14" s="76">
        <f t="shared" ca="1" si="8"/>
        <v>12388.425643402781</v>
      </c>
      <c r="AE14" s="76">
        <f>SUMIFS(AB:AB,E:E,E14)</f>
        <v>0</v>
      </c>
      <c r="AF14" s="75">
        <f t="shared" si="9"/>
        <v>0</v>
      </c>
      <c r="AG14" s="76">
        <f t="shared" si="3"/>
        <v>0</v>
      </c>
      <c r="AH14" s="31" t="e" cm="1">
        <f t="array" aca="1" ref="AH14" ca="1">IF((AD14) &lt; (INDEX(ResponseSLA[#All],(MATCH((G14),ResponseSLA[Priority],0))+1,3)),"YES","No")</f>
        <v>#N/A</v>
      </c>
      <c r="AI14" s="31" t="str">
        <f>_xlfn.IFNA(IF(AE14 &lt; (INDEX(SLATable[Minimum SLA],MATCH(G14,SLATable[Priority],0))),"YES","NO"),"")</f>
        <v/>
      </c>
      <c r="AJ14" t="str">
        <f>_xlfn.IFNA(IF(AE14 &lt; (INDEX(SLATable[Maximum SLA],MATCH(G14,SLATable[Priority],0))),"YES","NO"),"")</f>
        <v/>
      </c>
    </row>
    <row r="15" spans="1:36" ht="15" customHeight="1">
      <c r="Z15" s="76" t="e">
        <f t="shared" ca="1" si="4"/>
        <v>#N/A</v>
      </c>
      <c r="AA15" s="75" t="e">
        <f t="shared" ca="1" si="5"/>
        <v>#N/A</v>
      </c>
      <c r="AB15" s="76">
        <f t="shared" ca="1" si="6"/>
        <v>0</v>
      </c>
      <c r="AC15" s="75">
        <f t="shared" ca="1" si="7"/>
        <v>0</v>
      </c>
      <c r="AD15" s="76">
        <f t="shared" ca="1" si="8"/>
        <v>12388.425643634258</v>
      </c>
      <c r="AE15" s="76">
        <f>SUMIFS(AB:AB,E:E,E15)</f>
        <v>0</v>
      </c>
      <c r="AF15" s="75">
        <f t="shared" si="9"/>
        <v>0</v>
      </c>
      <c r="AG15" s="76">
        <f t="shared" si="3"/>
        <v>0</v>
      </c>
      <c r="AH15" s="31" t="e" cm="1">
        <f t="array" aca="1" ref="AH15" ca="1">IF((AD15) &lt; (INDEX(ResponseSLA[#All],(MATCH((G15),ResponseSLA[Priority],0))+1,3)),"YES","No")</f>
        <v>#N/A</v>
      </c>
      <c r="AI15" s="31" t="str">
        <f>_xlfn.IFNA(IF(AE15 &lt; (INDEX(SLATable[Minimum SLA],MATCH(G15,SLATable[Priority],0))),"YES","NO"),"")</f>
        <v/>
      </c>
      <c r="AJ15" t="str">
        <f>_xlfn.IFNA(IF(AE15 &lt; (INDEX(SLATable[Maximum SLA],MATCH(G15,SLATable[Priority],0))),"YES","NO"),"")</f>
        <v/>
      </c>
    </row>
    <row r="16" spans="1:36" ht="15" customHeight="1">
      <c r="H16" s="46"/>
      <c r="Z16" s="76" t="e">
        <f t="shared" ca="1" si="4"/>
        <v>#N/A</v>
      </c>
      <c r="AA16" s="75" t="e">
        <f t="shared" ca="1" si="5"/>
        <v>#N/A</v>
      </c>
      <c r="AB16" s="76">
        <f t="shared" ca="1" si="6"/>
        <v>0</v>
      </c>
      <c r="AC16" s="75">
        <f t="shared" ca="1" si="7"/>
        <v>0</v>
      </c>
      <c r="AD16" s="76">
        <f t="shared" ca="1" si="8"/>
        <v>12388.425643634258</v>
      </c>
      <c r="AE16" s="76">
        <f>SUMIFS(AB:AB,E:E,E16)</f>
        <v>0</v>
      </c>
      <c r="AF16" s="75">
        <f t="shared" si="9"/>
        <v>0</v>
      </c>
      <c r="AG16" s="76">
        <f t="shared" si="3"/>
        <v>0</v>
      </c>
      <c r="AH16" s="31" t="e" cm="1">
        <f t="array" aca="1" ref="AH16" ca="1">IF((AD16) &lt; (INDEX(ResponseSLA[#All],(MATCH((G16),ResponseSLA[Priority],0))+1,3)),"YES","No")</f>
        <v>#N/A</v>
      </c>
      <c r="AI16" s="31" t="str">
        <f>_xlfn.IFNA(IF(AE16 &lt; (INDEX(SLATable[Minimum SLA],MATCH(G16,SLATable[Priority],0))),"YES","NO"),"")</f>
        <v/>
      </c>
      <c r="AJ16" t="str">
        <f>_xlfn.IFNA(IF(AE16 &lt; (INDEX(SLATable[Maximum SLA],MATCH(G16,SLATable[Priority],0))),"YES","NO"),"")</f>
        <v/>
      </c>
    </row>
    <row r="17" spans="26:36" ht="15" customHeight="1">
      <c r="Z17" s="76" t="e">
        <f t="shared" ca="1" si="4"/>
        <v>#N/A</v>
      </c>
      <c r="AA17" s="75" t="e">
        <f t="shared" ca="1" si="5"/>
        <v>#N/A</v>
      </c>
      <c r="AB17" s="76">
        <f t="shared" ca="1" si="6"/>
        <v>0</v>
      </c>
      <c r="AC17" s="75">
        <f t="shared" ca="1" si="7"/>
        <v>0</v>
      </c>
      <c r="AD17" s="76">
        <f t="shared" ca="1" si="8"/>
        <v>12388.425643402781</v>
      </c>
      <c r="AE17" s="76">
        <f>SUMIFS(AB:AB,E:E,E17)</f>
        <v>0</v>
      </c>
      <c r="AF17" s="75">
        <f t="shared" si="9"/>
        <v>0</v>
      </c>
      <c r="AG17" s="76">
        <f t="shared" si="3"/>
        <v>0</v>
      </c>
      <c r="AH17" s="31" t="e" cm="1">
        <f t="array" aca="1" ref="AH17" ca="1">IF((AD17) &lt; (INDEX(ResponseSLA[#All],(MATCH((G17),ResponseSLA[Priority],0))+1,3)),"YES","No")</f>
        <v>#N/A</v>
      </c>
      <c r="AI17" s="31" t="str">
        <f>_xlfn.IFNA(IF(AE17 &lt; (INDEX(SLATable[Minimum SLA],MATCH(G17,SLATable[Priority],0))),"YES","NO"),"")</f>
        <v/>
      </c>
      <c r="AJ17" t="str">
        <f>_xlfn.IFNA(IF(AE17 &lt; (INDEX(SLATable[Maximum SLA],MATCH(G17,SLATable[Priority],0))),"YES","NO"),"")</f>
        <v/>
      </c>
    </row>
    <row r="18" spans="26:36" ht="15" customHeight="1">
      <c r="Z18" s="76" t="e">
        <f t="shared" ca="1" si="4"/>
        <v>#N/A</v>
      </c>
      <c r="AA18" s="75" t="e">
        <f t="shared" ca="1" si="5"/>
        <v>#N/A</v>
      </c>
      <c r="AB18" s="76">
        <f t="shared" ca="1" si="6"/>
        <v>0</v>
      </c>
      <c r="AC18" s="75">
        <f t="shared" ca="1" si="7"/>
        <v>0</v>
      </c>
      <c r="AD18" s="76">
        <f t="shared" ca="1" si="8"/>
        <v>12388.425643402781</v>
      </c>
      <c r="AE18" s="76">
        <f>SUMIFS(AB:AB,E:E,E18)</f>
        <v>0</v>
      </c>
      <c r="AF18" s="75">
        <f t="shared" si="9"/>
        <v>0</v>
      </c>
      <c r="AG18" s="76">
        <f t="shared" si="3"/>
        <v>0</v>
      </c>
      <c r="AH18" s="31" t="e" cm="1">
        <f t="array" aca="1" ref="AH18" ca="1">IF((AD18) &lt; (INDEX(ResponseSLA[#All],(MATCH((G18),ResponseSLA[Priority],0))+1,3)),"YES","No")</f>
        <v>#N/A</v>
      </c>
      <c r="AI18" s="31" t="str">
        <f>_xlfn.IFNA(IF(AE18 &lt; (INDEX(SLATable[Minimum SLA],MATCH(G18,SLATable[Priority],0))),"YES","NO"),"")</f>
        <v/>
      </c>
      <c r="AJ18" t="str">
        <f>_xlfn.IFNA(IF(AE18 &lt; (INDEX(SLATable[Maximum SLA],MATCH(G18,SLATable[Priority],0))),"YES","NO"),"")</f>
        <v/>
      </c>
    </row>
    <row r="19" spans="26:36" ht="15" customHeight="1">
      <c r="Z19" s="76" t="e">
        <f t="shared" ca="1" si="4"/>
        <v>#N/A</v>
      </c>
      <c r="AA19" s="75" t="e">
        <f t="shared" ca="1" si="5"/>
        <v>#N/A</v>
      </c>
      <c r="AB19" s="76">
        <f t="shared" ca="1" si="6"/>
        <v>0</v>
      </c>
      <c r="AC19" s="75">
        <f t="shared" ca="1" si="7"/>
        <v>0</v>
      </c>
      <c r="AD19" s="76">
        <f t="shared" ca="1" si="8"/>
        <v>12388.425643634258</v>
      </c>
      <c r="AE19" s="76">
        <f>SUMIFS(AB:AB,E:E,E19)</f>
        <v>0</v>
      </c>
      <c r="AF19" s="75">
        <f t="shared" si="9"/>
        <v>0</v>
      </c>
      <c r="AG19" s="76">
        <f t="shared" si="3"/>
        <v>0</v>
      </c>
      <c r="AH19" s="31" t="e" cm="1">
        <f t="array" aca="1" ref="AH19" ca="1">IF((AD19) &lt; (INDEX(ResponseSLA[#All],(MATCH((G19),ResponseSLA[Priority],0))+1,3)),"YES","No")</f>
        <v>#N/A</v>
      </c>
      <c r="AI19" s="31" t="str">
        <f>_xlfn.IFNA(IF(AE19 &lt; (INDEX(SLATable[Minimum SLA],MATCH(G19,SLATable[Priority],0))),"YES","NO"),"")</f>
        <v/>
      </c>
      <c r="AJ19" t="str">
        <f>_xlfn.IFNA(IF(AE19 &lt; (INDEX(SLATable[Maximum SLA],MATCH(G19,SLATable[Priority],0))),"YES","NO"),"")</f>
        <v/>
      </c>
    </row>
    <row r="20" spans="26:36" ht="15" customHeight="1">
      <c r="Z20" s="76" t="e">
        <f t="shared" ca="1" si="4"/>
        <v>#N/A</v>
      </c>
      <c r="AA20" s="75" t="e">
        <f t="shared" ca="1" si="5"/>
        <v>#N/A</v>
      </c>
      <c r="AB20" s="76">
        <f t="shared" ca="1" si="6"/>
        <v>0</v>
      </c>
      <c r="AC20" s="75">
        <f t="shared" ca="1" si="7"/>
        <v>0</v>
      </c>
      <c r="AD20" s="76">
        <f t="shared" ca="1" si="8"/>
        <v>12388.425643634258</v>
      </c>
      <c r="AE20" s="76">
        <f>SUMIFS(AB:AB,E:E,E20)</f>
        <v>0</v>
      </c>
      <c r="AF20" s="75">
        <f t="shared" si="9"/>
        <v>0</v>
      </c>
      <c r="AG20" s="76">
        <f t="shared" si="3"/>
        <v>0</v>
      </c>
      <c r="AH20" s="31" t="e" cm="1">
        <f t="array" aca="1" ref="AH20" ca="1">IF((AD20) &lt; (INDEX(ResponseSLA[#All],(MATCH((G20),ResponseSLA[Priority],0))+1,3)),"YES","No")</f>
        <v>#N/A</v>
      </c>
      <c r="AI20" s="31" t="str">
        <f>_xlfn.IFNA(IF(AE20 &lt; (INDEX(SLATable[Minimum SLA],MATCH(G20,SLATable[Priority],0))),"YES","NO"),"")</f>
        <v/>
      </c>
      <c r="AJ20" t="str">
        <f>_xlfn.IFNA(IF(AE20 &lt; (INDEX(SLATable[Maximum SLA],MATCH(G20,SLATable[Priority],0))),"YES","NO"),"")</f>
        <v/>
      </c>
    </row>
    <row r="21" spans="26:36" ht="15" customHeight="1">
      <c r="Z21" s="76" t="e">
        <f t="shared" ca="1" si="4"/>
        <v>#N/A</v>
      </c>
      <c r="AA21" s="75" t="e">
        <f t="shared" ca="1" si="5"/>
        <v>#N/A</v>
      </c>
      <c r="AB21" s="76">
        <f t="shared" ca="1" si="6"/>
        <v>0</v>
      </c>
      <c r="AC21" s="75">
        <f t="shared" ca="1" si="7"/>
        <v>0</v>
      </c>
      <c r="AD21" s="76">
        <f t="shared" ca="1" si="8"/>
        <v>12388.425643402781</v>
      </c>
      <c r="AE21" s="76">
        <f>SUMIFS(AB:AB,E:E,E21)</f>
        <v>0</v>
      </c>
      <c r="AF21" s="75">
        <f t="shared" si="9"/>
        <v>0</v>
      </c>
      <c r="AG21" s="76">
        <f t="shared" si="3"/>
        <v>0</v>
      </c>
      <c r="AH21" s="31" t="e" cm="1">
        <f t="array" aca="1" ref="AH21" ca="1">IF((AD21) &lt; (INDEX(ResponseSLA[#All],(MATCH((G21),ResponseSLA[Priority],0))+1,3)),"YES","No")</f>
        <v>#N/A</v>
      </c>
      <c r="AI21" s="31" t="str">
        <f>_xlfn.IFNA(IF(AE21 &lt; (INDEX(SLATable[Minimum SLA],MATCH(G21,SLATable[Priority],0))),"YES","NO"),"")</f>
        <v/>
      </c>
      <c r="AJ21" t="str">
        <f>_xlfn.IFNA(IF(AE21 &lt; (INDEX(SLATable[Maximum SLA],MATCH(G21,SLATable[Priority],0))),"YES","NO"),"")</f>
        <v/>
      </c>
    </row>
    <row r="22" spans="26:36" ht="15" customHeight="1">
      <c r="Z22" s="76" t="e">
        <f t="shared" ca="1" si="4"/>
        <v>#N/A</v>
      </c>
      <c r="AA22" s="75" t="e">
        <f t="shared" ca="1" si="5"/>
        <v>#N/A</v>
      </c>
      <c r="AB22" s="76">
        <f t="shared" ca="1" si="6"/>
        <v>0</v>
      </c>
      <c r="AC22" s="75">
        <f t="shared" ca="1" si="7"/>
        <v>0</v>
      </c>
      <c r="AD22" s="76">
        <f t="shared" ca="1" si="8"/>
        <v>12388.425643402781</v>
      </c>
      <c r="AE22" s="76">
        <f>SUMIFS(AB:AB,E:E,E22)</f>
        <v>0</v>
      </c>
      <c r="AF22" s="75">
        <f t="shared" si="9"/>
        <v>0</v>
      </c>
      <c r="AG22" s="76">
        <f t="shared" si="3"/>
        <v>0</v>
      </c>
      <c r="AH22" s="31" t="e" cm="1">
        <f t="array" aca="1" ref="AH22" ca="1">IF((AD22) &lt; (INDEX(ResponseSLA[#All],(MATCH((G22),ResponseSLA[Priority],0))+1,3)),"YES","No")</f>
        <v>#N/A</v>
      </c>
      <c r="AI22" s="31" t="str">
        <f>_xlfn.IFNA(IF(AE22 &lt; (INDEX(SLATable[Minimum SLA],MATCH(G22,SLATable[Priority],0))),"YES","NO"),"")</f>
        <v/>
      </c>
      <c r="AJ22" t="str">
        <f>_xlfn.IFNA(IF(AE22 &lt; (INDEX(SLATable[Maximum SLA],MATCH(G22,SLATable[Priority],0))),"YES","NO"),"")</f>
        <v/>
      </c>
    </row>
    <row r="23" spans="26:36" ht="15" customHeight="1">
      <c r="Z23" s="76" t="e">
        <f t="shared" ca="1" si="4"/>
        <v>#N/A</v>
      </c>
      <c r="AA23" s="75" t="e">
        <f t="shared" ca="1" si="5"/>
        <v>#N/A</v>
      </c>
      <c r="AB23" s="76">
        <f t="shared" ca="1" si="6"/>
        <v>0</v>
      </c>
      <c r="AC23" s="75">
        <f t="shared" ca="1" si="7"/>
        <v>0</v>
      </c>
      <c r="AD23" s="76">
        <f t="shared" ca="1" si="8"/>
        <v>12388.425643634258</v>
      </c>
      <c r="AE23" s="76">
        <f>SUMIFS(AB:AB,E:E,E23)</f>
        <v>0</v>
      </c>
      <c r="AF23" s="75">
        <f t="shared" si="9"/>
        <v>0</v>
      </c>
      <c r="AG23" s="76">
        <f t="shared" si="3"/>
        <v>0</v>
      </c>
      <c r="AH23" s="31" t="e" cm="1">
        <f t="array" aca="1" ref="AH23" ca="1">IF((AD23) &lt; (INDEX(ResponseSLA[#All],(MATCH((G23),ResponseSLA[Priority],0))+1,3)),"YES","No")</f>
        <v>#N/A</v>
      </c>
      <c r="AI23" s="31" t="str">
        <f>_xlfn.IFNA(IF(AE23 &lt; (INDEX(SLATable[Minimum SLA],MATCH(G23,SLATable[Priority],0))),"YES","NO"),"")</f>
        <v/>
      </c>
      <c r="AJ23" t="str">
        <f>_xlfn.IFNA(IF(AE23 &lt; (INDEX(SLATable[Maximum SLA],MATCH(G23,SLATable[Priority],0))),"YES","NO"),"")</f>
        <v/>
      </c>
    </row>
    <row r="24" spans="26:36" ht="15" customHeight="1">
      <c r="Z24" s="76" t="e">
        <f t="shared" ca="1" si="4"/>
        <v>#N/A</v>
      </c>
      <c r="AA24" s="75" t="e">
        <f t="shared" ca="1" si="5"/>
        <v>#N/A</v>
      </c>
      <c r="AB24" s="76">
        <f t="shared" ca="1" si="6"/>
        <v>0</v>
      </c>
      <c r="AC24" s="75">
        <f t="shared" ca="1" si="7"/>
        <v>0</v>
      </c>
      <c r="AD24" s="76">
        <f t="shared" ca="1" si="8"/>
        <v>12388.425643634258</v>
      </c>
      <c r="AE24" s="76">
        <f>SUMIFS(AB:AB,E:E,E24)</f>
        <v>0</v>
      </c>
      <c r="AF24" s="75">
        <f t="shared" si="9"/>
        <v>0</v>
      </c>
      <c r="AG24" s="76">
        <f t="shared" si="3"/>
        <v>0</v>
      </c>
      <c r="AH24" s="31" t="e" cm="1">
        <f t="array" aca="1" ref="AH24" ca="1">IF((AD24) &lt; (INDEX(ResponseSLA[#All],(MATCH((G24),ResponseSLA[Priority],0))+1,3)),"YES","No")</f>
        <v>#N/A</v>
      </c>
      <c r="AI24" s="31" t="str">
        <f>_xlfn.IFNA(IF(AE24 &lt; (INDEX(SLATable[Minimum SLA],MATCH(G24,SLATable[Priority],0))),"YES","NO"),"")</f>
        <v/>
      </c>
      <c r="AJ24" t="str">
        <f>_xlfn.IFNA(IF(AE24 &lt; (INDEX(SLATable[Maximum SLA],MATCH(G24,SLATable[Priority],0))),"YES","NO"),"")</f>
        <v/>
      </c>
    </row>
    <row r="25" spans="26:36" ht="15" customHeight="1">
      <c r="Z25" s="76" t="e">
        <f t="shared" ca="1" si="4"/>
        <v>#N/A</v>
      </c>
      <c r="AA25" s="75" t="e">
        <f t="shared" ca="1" si="5"/>
        <v>#N/A</v>
      </c>
      <c r="AB25" s="76">
        <f t="shared" ca="1" si="6"/>
        <v>0</v>
      </c>
      <c r="AC25" s="75">
        <f t="shared" ca="1" si="7"/>
        <v>0</v>
      </c>
      <c r="AD25" s="76">
        <f t="shared" ca="1" si="8"/>
        <v>12388.425643634258</v>
      </c>
      <c r="AE25" s="76">
        <f>SUMIFS(AB:AB,E:E,E25)</f>
        <v>0</v>
      </c>
      <c r="AF25" s="75">
        <f t="shared" si="9"/>
        <v>0</v>
      </c>
      <c r="AG25" s="76">
        <f t="shared" si="3"/>
        <v>0</v>
      </c>
      <c r="AH25" s="31" t="e" cm="1">
        <f t="array" aca="1" ref="AH25" ca="1">IF((AD25) &lt; (INDEX(ResponseSLA[#All],(MATCH((G25),ResponseSLA[Priority],0))+1,3)),"YES","No")</f>
        <v>#N/A</v>
      </c>
      <c r="AI25" s="31" t="str">
        <f>_xlfn.IFNA(IF(AE25 &lt; (INDEX(SLATable[Minimum SLA],MATCH(G25,SLATable[Priority],0))),"YES","NO"),"")</f>
        <v/>
      </c>
      <c r="AJ25" t="str">
        <f>_xlfn.IFNA(IF(AE25 &lt; (INDEX(SLATable[Maximum SLA],MATCH(G25,SLATable[Priority],0))),"YES","NO"),"")</f>
        <v/>
      </c>
    </row>
    <row r="26" spans="26:36" ht="15" customHeight="1">
      <c r="Z26" s="76" t="e">
        <f t="shared" ca="1" si="4"/>
        <v>#N/A</v>
      </c>
      <c r="AA26" s="75" t="e">
        <f t="shared" ca="1" si="5"/>
        <v>#N/A</v>
      </c>
      <c r="AB26" s="76">
        <f t="shared" ca="1" si="6"/>
        <v>0</v>
      </c>
      <c r="AC26" s="75">
        <f t="shared" ca="1" si="7"/>
        <v>0</v>
      </c>
      <c r="AD26" s="76">
        <f t="shared" ca="1" si="8"/>
        <v>12388.425643402781</v>
      </c>
      <c r="AE26" s="76">
        <f>SUMIFS(AB:AB,E:E,E26)</f>
        <v>0</v>
      </c>
      <c r="AF26" s="75">
        <f t="shared" si="9"/>
        <v>0</v>
      </c>
      <c r="AG26" s="76">
        <f t="shared" si="3"/>
        <v>0</v>
      </c>
      <c r="AH26" s="31" t="e" cm="1">
        <f t="array" aca="1" ref="AH26" ca="1">IF((AD26) &lt; (INDEX(ResponseSLA[#All],(MATCH((G26),ResponseSLA[Priority],0))+1,3)),"YES","No")</f>
        <v>#N/A</v>
      </c>
      <c r="AI26" s="31" t="str">
        <f>_xlfn.IFNA(IF(AE26 &lt; (INDEX(SLATable[Minimum SLA],MATCH(G26,SLATable[Priority],0))),"YES","NO"),"")</f>
        <v/>
      </c>
      <c r="AJ26" t="str">
        <f>_xlfn.IFNA(IF(AE26 &lt; (INDEX(SLATable[Maximum SLA],MATCH(G26,SLATable[Priority],0))),"YES","NO"),"")</f>
        <v/>
      </c>
    </row>
    <row r="27" spans="26:36" ht="15" customHeight="1">
      <c r="Z27" s="76" t="e">
        <f t="shared" ca="1" si="4"/>
        <v>#N/A</v>
      </c>
      <c r="AA27" s="75" t="e">
        <f t="shared" ca="1" si="5"/>
        <v>#N/A</v>
      </c>
      <c r="AB27" s="76">
        <f t="shared" ca="1" si="6"/>
        <v>0</v>
      </c>
      <c r="AC27" s="75">
        <f t="shared" ca="1" si="7"/>
        <v>0</v>
      </c>
      <c r="AD27" s="76">
        <f t="shared" ca="1" si="8"/>
        <v>12388.425643634258</v>
      </c>
      <c r="AE27" s="76">
        <f>SUMIFS(AB:AB,E:E,E27)</f>
        <v>0</v>
      </c>
      <c r="AF27" s="75">
        <f t="shared" si="9"/>
        <v>0</v>
      </c>
      <c r="AG27" s="76">
        <f t="shared" si="3"/>
        <v>0</v>
      </c>
      <c r="AH27" s="31" t="e" cm="1">
        <f t="array" aca="1" ref="AH27" ca="1">IF((AD27) &lt; (INDEX(ResponseSLA[#All],(MATCH((G27),ResponseSLA[Priority],0))+1,3)),"YES","No")</f>
        <v>#N/A</v>
      </c>
      <c r="AI27" s="31" t="str">
        <f>_xlfn.IFNA(IF(AE27 &lt; (INDEX(SLATable[Minimum SLA],MATCH(G27,SLATable[Priority],0))),"YES","NO"),"")</f>
        <v/>
      </c>
      <c r="AJ27" t="str">
        <f>_xlfn.IFNA(IF(AE27 &lt; (INDEX(SLATable[Maximum SLA],MATCH(G27,SLATable[Priority],0))),"YES","NO"),"")</f>
        <v/>
      </c>
    </row>
    <row r="28" spans="26:36" ht="15" customHeight="1">
      <c r="Z28" s="76" t="e">
        <f t="shared" ca="1" si="4"/>
        <v>#N/A</v>
      </c>
      <c r="AA28" s="75" t="e">
        <f t="shared" ca="1" si="5"/>
        <v>#N/A</v>
      </c>
      <c r="AB28" s="76">
        <f t="shared" ca="1" si="6"/>
        <v>0</v>
      </c>
      <c r="AC28" s="75">
        <f t="shared" ca="1" si="7"/>
        <v>0</v>
      </c>
      <c r="AD28" s="76">
        <f t="shared" ca="1" si="8"/>
        <v>12388.425643634258</v>
      </c>
      <c r="AE28" s="76">
        <f>SUMIFS(AB:AB,E:E,E28)</f>
        <v>0</v>
      </c>
      <c r="AF28" s="75">
        <f t="shared" si="9"/>
        <v>0</v>
      </c>
      <c r="AG28" s="76">
        <f t="shared" si="3"/>
        <v>0</v>
      </c>
      <c r="AH28" s="31" t="e" cm="1">
        <f t="array" aca="1" ref="AH28" ca="1">IF((AD28) &lt; (INDEX(ResponseSLA[#All],(MATCH((G28),ResponseSLA[Priority],0))+1,3)),"YES","No")</f>
        <v>#N/A</v>
      </c>
      <c r="AI28" s="31" t="str">
        <f>_xlfn.IFNA(IF(AE28 &lt; (INDEX(SLATable[Minimum SLA],MATCH(G28,SLATable[Priority],0))),"YES","NO"),"")</f>
        <v/>
      </c>
      <c r="AJ28" t="str">
        <f>_xlfn.IFNA(IF(AE28 &lt; (INDEX(SLATable[Maximum SLA],MATCH(G28,SLATable[Priority],0))),"YES","NO"),"")</f>
        <v/>
      </c>
    </row>
    <row r="29" spans="26:36" ht="15" customHeight="1">
      <c r="Z29" s="76" t="e">
        <f t="shared" ca="1" si="4"/>
        <v>#N/A</v>
      </c>
      <c r="AA29" s="75" t="e">
        <f t="shared" ca="1" si="5"/>
        <v>#N/A</v>
      </c>
      <c r="AB29" s="76">
        <f t="shared" ca="1" si="6"/>
        <v>0</v>
      </c>
      <c r="AC29" s="75">
        <f t="shared" ca="1" si="7"/>
        <v>0</v>
      </c>
      <c r="AD29" s="76">
        <f t="shared" ca="1" si="8"/>
        <v>12388.425643402781</v>
      </c>
      <c r="AE29" s="76">
        <f>SUMIFS(AB:AB,E:E,E29)</f>
        <v>0</v>
      </c>
      <c r="AF29" s="75">
        <f t="shared" si="9"/>
        <v>0</v>
      </c>
      <c r="AG29" s="76">
        <f t="shared" si="3"/>
        <v>0</v>
      </c>
      <c r="AH29" s="31" t="e" cm="1">
        <f t="array" aca="1" ref="AH29" ca="1">IF((AD29) &lt; (INDEX(ResponseSLA[#All],(MATCH((G29),ResponseSLA[Priority],0))+1,3)),"YES","No")</f>
        <v>#N/A</v>
      </c>
      <c r="AI29" s="31" t="str">
        <f>_xlfn.IFNA(IF(AE29 &lt; (INDEX(SLATable[Minimum SLA],MATCH(G29,SLATable[Priority],0))),"YES","NO"),"")</f>
        <v/>
      </c>
      <c r="AJ29" t="str">
        <f>_xlfn.IFNA(IF(AE29 &lt; (INDEX(SLATable[Maximum SLA],MATCH(G29,SLATable[Priority],0))),"YES","NO"),"")</f>
        <v/>
      </c>
    </row>
    <row r="30" spans="26:36" ht="15" customHeight="1">
      <c r="Z30" s="76" t="e">
        <f t="shared" ca="1" si="4"/>
        <v>#N/A</v>
      </c>
      <c r="AA30" s="75" t="e">
        <f t="shared" ca="1" si="5"/>
        <v>#N/A</v>
      </c>
      <c r="AB30" s="76">
        <f t="shared" ca="1" si="6"/>
        <v>0</v>
      </c>
      <c r="AC30" s="75">
        <f t="shared" ca="1" si="7"/>
        <v>0</v>
      </c>
      <c r="AD30" s="76">
        <f t="shared" ca="1" si="8"/>
        <v>12388.425643402781</v>
      </c>
      <c r="AE30" s="76">
        <f>SUMIFS(AB:AB,E:E,E30)</f>
        <v>0</v>
      </c>
      <c r="AF30" s="75">
        <f t="shared" si="9"/>
        <v>0</v>
      </c>
      <c r="AG30" s="76">
        <f t="shared" si="3"/>
        <v>0</v>
      </c>
      <c r="AH30" s="31" t="e" cm="1">
        <f t="array" aca="1" ref="AH30" ca="1">IF((AD30) &lt; (INDEX(ResponseSLA[#All],(MATCH((G30),ResponseSLA[Priority],0))+1,3)),"YES","No")</f>
        <v>#N/A</v>
      </c>
      <c r="AI30" s="31" t="str">
        <f>_xlfn.IFNA(IF(AE30 &lt; (INDEX(SLATable[Minimum SLA],MATCH(G30,SLATable[Priority],0))),"YES","NO"),"")</f>
        <v/>
      </c>
      <c r="AJ30" t="str">
        <f>_xlfn.IFNA(IF(AE30 &lt; (INDEX(SLATable[Maximum SLA],MATCH(G30,SLATable[Priority],0))),"YES","NO"),"")</f>
        <v/>
      </c>
    </row>
    <row r="31" spans="26:36" ht="15" customHeight="1">
      <c r="Z31" s="76" t="e">
        <f t="shared" ca="1" si="4"/>
        <v>#N/A</v>
      </c>
      <c r="AA31" s="75" t="e">
        <f t="shared" ca="1" si="5"/>
        <v>#N/A</v>
      </c>
      <c r="AB31" s="76">
        <f t="shared" ca="1" si="6"/>
        <v>0</v>
      </c>
      <c r="AC31" s="75">
        <f t="shared" ca="1" si="7"/>
        <v>0</v>
      </c>
      <c r="AD31" s="76">
        <f t="shared" ca="1" si="8"/>
        <v>12388.425643634258</v>
      </c>
      <c r="AE31" s="76">
        <f>SUMIFS(AB:AB,E:E,E31)</f>
        <v>0</v>
      </c>
      <c r="AF31" s="75">
        <f t="shared" si="9"/>
        <v>0</v>
      </c>
      <c r="AG31" s="76">
        <f t="shared" si="3"/>
        <v>0</v>
      </c>
      <c r="AH31" s="31" t="e" cm="1">
        <f t="array" aca="1" ref="AH31" ca="1">IF((AD31) &lt; (INDEX(ResponseSLA[#All],(MATCH((G31),ResponseSLA[Priority],0))+1,3)),"YES","No")</f>
        <v>#N/A</v>
      </c>
      <c r="AI31" s="31" t="str">
        <f>_xlfn.IFNA(IF(AE31 &lt; (INDEX(SLATable[Minimum SLA],MATCH(G31,SLATable[Priority],0))),"YES","NO"),"")</f>
        <v/>
      </c>
      <c r="AJ31" t="str">
        <f>_xlfn.IFNA(IF(AE31 &lt; (INDEX(SLATable[Maximum SLA],MATCH(G31,SLATable[Priority],0))),"YES","NO"),"")</f>
        <v/>
      </c>
    </row>
    <row r="32" spans="26:36" ht="15" customHeight="1">
      <c r="Z32" s="76" t="e">
        <f t="shared" ca="1" si="4"/>
        <v>#N/A</v>
      </c>
      <c r="AA32" s="75" t="e">
        <f t="shared" ca="1" si="5"/>
        <v>#N/A</v>
      </c>
      <c r="AB32" s="76">
        <f t="shared" ca="1" si="6"/>
        <v>0</v>
      </c>
      <c r="AC32" s="75">
        <f t="shared" ca="1" si="7"/>
        <v>0</v>
      </c>
      <c r="AD32" s="76">
        <f t="shared" ca="1" si="8"/>
        <v>12388.425643634258</v>
      </c>
      <c r="AE32" s="76">
        <f>SUMIFS(AB:AB,E:E,E32)</f>
        <v>0</v>
      </c>
      <c r="AF32" s="75">
        <f t="shared" si="9"/>
        <v>0</v>
      </c>
      <c r="AG32" s="76">
        <f t="shared" si="3"/>
        <v>0</v>
      </c>
      <c r="AH32" s="31" t="e" cm="1">
        <f t="array" aca="1" ref="AH32" ca="1">IF((AD32) &lt; (INDEX(ResponseSLA[#All],(MATCH((G32),ResponseSLA[Priority],0))+1,3)),"YES","No")</f>
        <v>#N/A</v>
      </c>
      <c r="AI32" s="31" t="str">
        <f>_xlfn.IFNA(IF(AE32 &lt; (INDEX(SLATable[Minimum SLA],MATCH(G32,SLATable[Priority],0))),"YES","NO"),"")</f>
        <v/>
      </c>
      <c r="AJ32" t="str">
        <f>_xlfn.IFNA(IF(AE32 &lt; (INDEX(SLATable[Maximum SLA],MATCH(G32,SLATable[Priority],0))),"YES","NO"),"")</f>
        <v/>
      </c>
    </row>
    <row r="33" spans="26:36" ht="15" customHeight="1">
      <c r="Z33" s="76" t="e">
        <f t="shared" ca="1" si="4"/>
        <v>#N/A</v>
      </c>
      <c r="AA33" s="75" t="e">
        <f t="shared" ca="1" si="5"/>
        <v>#N/A</v>
      </c>
      <c r="AB33" s="76">
        <f t="shared" ca="1" si="6"/>
        <v>0</v>
      </c>
      <c r="AC33" s="75">
        <f t="shared" ca="1" si="7"/>
        <v>0</v>
      </c>
      <c r="AD33" s="76">
        <f t="shared" ca="1" si="8"/>
        <v>12388.425643634258</v>
      </c>
      <c r="AE33" s="76">
        <f>SUMIFS(AB:AB,E:E,E33)</f>
        <v>0</v>
      </c>
      <c r="AF33" s="75">
        <f t="shared" si="9"/>
        <v>0</v>
      </c>
      <c r="AG33" s="76">
        <f t="shared" si="3"/>
        <v>0</v>
      </c>
      <c r="AH33" s="31" t="e" cm="1">
        <f t="array" aca="1" ref="AH33" ca="1">IF((AD33) &lt; (INDEX(ResponseSLA[#All],(MATCH((G33),ResponseSLA[Priority],0))+1,3)),"YES","No")</f>
        <v>#N/A</v>
      </c>
      <c r="AI33" s="31" t="str">
        <f>_xlfn.IFNA(IF(AE33 &lt; (INDEX(SLATable[Minimum SLA],MATCH(G33,SLATable[Priority],0))),"YES","NO"),"")</f>
        <v/>
      </c>
      <c r="AJ33" t="str">
        <f>_xlfn.IFNA(IF(AE33 &lt; (INDEX(SLATable[Maximum SLA],MATCH(G33,SLATable[Priority],0))),"YES","NO"),"")</f>
        <v/>
      </c>
    </row>
    <row r="34" spans="26:36" ht="15" customHeight="1">
      <c r="Z34" s="76" t="e">
        <f t="shared" ca="1" si="4"/>
        <v>#N/A</v>
      </c>
      <c r="AA34" s="75" t="e">
        <f t="shared" ca="1" si="5"/>
        <v>#N/A</v>
      </c>
      <c r="AB34" s="76">
        <f t="shared" ca="1" si="6"/>
        <v>0</v>
      </c>
      <c r="AC34" s="75">
        <f t="shared" ca="1" si="7"/>
        <v>0</v>
      </c>
      <c r="AD34" s="76">
        <f t="shared" ca="1" si="8"/>
        <v>12388.425643634258</v>
      </c>
      <c r="AE34" s="76">
        <f>SUMIFS(AB:AB,E:E,E34)</f>
        <v>0</v>
      </c>
      <c r="AF34" s="75">
        <f t="shared" si="9"/>
        <v>0</v>
      </c>
      <c r="AG34" s="76">
        <f t="shared" si="3"/>
        <v>0</v>
      </c>
      <c r="AH34" s="31" t="e" cm="1">
        <f t="array" aca="1" ref="AH34" ca="1">IF((AD34) &lt; (INDEX(ResponseSLA[#All],(MATCH((G34),ResponseSLA[Priority],0))+1,3)),"YES","No")</f>
        <v>#N/A</v>
      </c>
      <c r="AI34" s="31" t="str">
        <f>_xlfn.IFNA(IF(AE34 &lt; (INDEX(SLATable[Minimum SLA],MATCH(G34,SLATable[Priority],0))),"YES","NO"),"")</f>
        <v/>
      </c>
      <c r="AJ34" t="str">
        <f>_xlfn.IFNA(IF(AE34 &lt; (INDEX(SLATable[Maximum SLA],MATCH(G34,SLATable[Priority],0))),"YES","NO"),"")</f>
        <v/>
      </c>
    </row>
    <row r="35" spans="26:36" ht="15" customHeight="1">
      <c r="Z35" s="76" t="e">
        <f t="shared" ca="1" si="4"/>
        <v>#N/A</v>
      </c>
      <c r="AA35" s="75" t="e">
        <f t="shared" ca="1" si="5"/>
        <v>#N/A</v>
      </c>
      <c r="AB35" s="76">
        <f t="shared" ca="1" si="6"/>
        <v>0</v>
      </c>
      <c r="AC35" s="75">
        <f t="shared" ca="1" si="7"/>
        <v>0</v>
      </c>
      <c r="AD35" s="76">
        <f t="shared" ca="1" si="8"/>
        <v>12388.425643402781</v>
      </c>
      <c r="AE35" s="76">
        <f>SUMIFS(AB:AB,E:E,E35)</f>
        <v>0</v>
      </c>
      <c r="AF35" s="75">
        <f t="shared" si="9"/>
        <v>0</v>
      </c>
      <c r="AG35" s="76">
        <f t="shared" si="3"/>
        <v>0</v>
      </c>
      <c r="AH35" s="31" t="e" cm="1">
        <f t="array" aca="1" ref="AH35" ca="1">IF((AD35) &lt; (INDEX(ResponseSLA[#All],(MATCH((G35),ResponseSLA[Priority],0))+1,3)),"YES","No")</f>
        <v>#N/A</v>
      </c>
      <c r="AI35" s="31" t="str">
        <f>_xlfn.IFNA(IF(AE35 &lt; (INDEX(SLATable[Minimum SLA],MATCH(G35,SLATable[Priority],0))),"YES","NO"),"")</f>
        <v/>
      </c>
      <c r="AJ35" t="str">
        <f>_xlfn.IFNA(IF(AE35 &lt; (INDEX(SLATable[Maximum SLA],MATCH(G35,SLATable[Priority],0))),"YES","NO"),"")</f>
        <v/>
      </c>
    </row>
    <row r="36" spans="26:36" ht="15" customHeight="1">
      <c r="Z36" s="76" t="e">
        <f t="shared" ca="1" si="4"/>
        <v>#N/A</v>
      </c>
      <c r="AA36" s="75" t="e">
        <f t="shared" ca="1" si="5"/>
        <v>#N/A</v>
      </c>
      <c r="AB36" s="76">
        <f t="shared" ca="1" si="6"/>
        <v>0</v>
      </c>
      <c r="AC36" s="75">
        <f t="shared" ca="1" si="7"/>
        <v>0</v>
      </c>
      <c r="AD36" s="76">
        <f t="shared" ca="1" si="8"/>
        <v>12388.425643634258</v>
      </c>
      <c r="AE36" s="76">
        <f>SUMIFS(AB:AB,E:E,E36)</f>
        <v>0</v>
      </c>
      <c r="AF36" s="75">
        <f t="shared" si="9"/>
        <v>0</v>
      </c>
      <c r="AG36" s="76">
        <f t="shared" si="3"/>
        <v>0</v>
      </c>
      <c r="AH36" s="31" t="e" cm="1">
        <f t="array" aca="1" ref="AH36" ca="1">IF((AD36) &lt; (INDEX(ResponseSLA[#All],(MATCH((G36),ResponseSLA[Priority],0))+1,3)),"YES","No")</f>
        <v>#N/A</v>
      </c>
      <c r="AI36" s="31" t="str">
        <f>_xlfn.IFNA(IF(AE36 &lt; (INDEX(SLATable[Minimum SLA],MATCH(G36,SLATable[Priority],0))),"YES","NO"),"")</f>
        <v/>
      </c>
      <c r="AJ36" t="str">
        <f>_xlfn.IFNA(IF(AE36 &lt; (INDEX(SLATable[Maximum SLA],MATCH(G36,SLATable[Priority],0))),"YES","NO"),"")</f>
        <v/>
      </c>
    </row>
    <row r="37" spans="26:36" ht="15" customHeight="1">
      <c r="Z37" s="76" t="e">
        <f t="shared" ca="1" si="4"/>
        <v>#N/A</v>
      </c>
      <c r="AA37" s="75" t="e">
        <f t="shared" ca="1" si="5"/>
        <v>#N/A</v>
      </c>
      <c r="AB37" s="76">
        <f t="shared" ca="1" si="6"/>
        <v>0</v>
      </c>
      <c r="AC37" s="75">
        <f t="shared" ca="1" si="7"/>
        <v>0</v>
      </c>
      <c r="AD37" s="76">
        <f t="shared" ca="1" si="8"/>
        <v>12388.425643634258</v>
      </c>
      <c r="AE37" s="76">
        <f>SUMIFS(AB:AB,E:E,E37)</f>
        <v>0</v>
      </c>
      <c r="AF37" s="75">
        <f t="shared" si="9"/>
        <v>0</v>
      </c>
      <c r="AG37" s="76">
        <f t="shared" si="3"/>
        <v>0</v>
      </c>
      <c r="AH37" s="31" t="e" cm="1">
        <f t="array" aca="1" ref="AH37" ca="1">IF((AD37) &lt; (INDEX(ResponseSLA[#All],(MATCH((G37),ResponseSLA[Priority],0))+1,3)),"YES","No")</f>
        <v>#N/A</v>
      </c>
      <c r="AI37" s="31" t="str">
        <f>_xlfn.IFNA(IF(AE37 &lt; (INDEX(SLATable[Minimum SLA],MATCH(G37,SLATable[Priority],0))),"YES","NO"),"")</f>
        <v/>
      </c>
      <c r="AJ37" t="str">
        <f>_xlfn.IFNA(IF(AE37 &lt; (INDEX(SLATable[Maximum SLA],MATCH(G37,SLATable[Priority],0))),"YES","NO"),"")</f>
        <v/>
      </c>
    </row>
    <row r="38" spans="26:36" ht="15" customHeight="1">
      <c r="Z38" s="76" t="e">
        <f t="shared" ca="1" si="4"/>
        <v>#N/A</v>
      </c>
      <c r="AA38" s="75" t="e">
        <f t="shared" ca="1" si="5"/>
        <v>#N/A</v>
      </c>
      <c r="AB38" s="76">
        <f t="shared" ca="1" si="6"/>
        <v>0</v>
      </c>
      <c r="AC38" s="75">
        <f t="shared" ca="1" si="7"/>
        <v>0</v>
      </c>
      <c r="AD38" s="76">
        <f t="shared" ca="1" si="8"/>
        <v>12388.425643634258</v>
      </c>
      <c r="AE38" s="76">
        <f>SUMIFS(AB:AB,E:E,E38)</f>
        <v>0</v>
      </c>
      <c r="AF38" s="75">
        <f t="shared" si="9"/>
        <v>0</v>
      </c>
      <c r="AG38" s="76">
        <f t="shared" si="3"/>
        <v>0</v>
      </c>
      <c r="AH38" s="31" t="e" cm="1">
        <f t="array" aca="1" ref="AH38" ca="1">IF((AD38) &lt; (INDEX(ResponseSLA[#All],(MATCH((G38),ResponseSLA[Priority],0))+1,3)),"YES","No")</f>
        <v>#N/A</v>
      </c>
      <c r="AI38" s="31" t="str">
        <f>_xlfn.IFNA(IF(AE38 &lt; (INDEX(SLATable[Minimum SLA],MATCH(G38,SLATable[Priority],0))),"YES","NO"),"")</f>
        <v/>
      </c>
      <c r="AJ38" t="str">
        <f>_xlfn.IFNA(IF(AE38 &lt; (INDEX(SLATable[Maximum SLA],MATCH(G38,SLATable[Priority],0))),"YES","NO"),"")</f>
        <v/>
      </c>
    </row>
    <row r="39" spans="26:36" ht="15" customHeight="1">
      <c r="Z39" s="76" t="e">
        <f t="shared" ca="1" si="4"/>
        <v>#N/A</v>
      </c>
      <c r="AA39" s="75" t="e">
        <f t="shared" ca="1" si="5"/>
        <v>#N/A</v>
      </c>
      <c r="AB39" s="76">
        <f t="shared" ca="1" si="6"/>
        <v>0</v>
      </c>
      <c r="AC39" s="75">
        <f t="shared" ca="1" si="7"/>
        <v>0</v>
      </c>
      <c r="AD39" s="76">
        <f t="shared" ca="1" si="8"/>
        <v>12388.425643402781</v>
      </c>
      <c r="AE39" s="76">
        <f>SUMIFS(AB:AB,E:E,E39)</f>
        <v>0</v>
      </c>
      <c r="AF39" s="75">
        <f t="shared" si="9"/>
        <v>0</v>
      </c>
      <c r="AG39" s="76">
        <f t="shared" si="3"/>
        <v>0</v>
      </c>
      <c r="AH39" s="31" t="e" cm="1">
        <f t="array" aca="1" ref="AH39" ca="1">IF((AD39) &lt; (INDEX(ResponseSLA[#All],(MATCH((G39),ResponseSLA[Priority],0))+1,3)),"YES","No")</f>
        <v>#N/A</v>
      </c>
      <c r="AI39" s="31" t="str">
        <f>_xlfn.IFNA(IF(AE39 &lt; (INDEX(SLATable[Minimum SLA],MATCH(G39,SLATable[Priority],0))),"YES","NO"),"")</f>
        <v/>
      </c>
      <c r="AJ39" t="str">
        <f>_xlfn.IFNA(IF(AE39 &lt; (INDEX(SLATable[Maximum SLA],MATCH(G39,SLATable[Priority],0))),"YES","NO"),"")</f>
        <v/>
      </c>
    </row>
    <row r="40" spans="26:36" ht="15" customHeight="1">
      <c r="Z40" s="76" t="e">
        <f t="shared" ca="1" si="4"/>
        <v>#N/A</v>
      </c>
      <c r="AA40" s="75" t="e">
        <f t="shared" ca="1" si="5"/>
        <v>#N/A</v>
      </c>
      <c r="AB40" s="76">
        <f t="shared" ca="1" si="6"/>
        <v>0</v>
      </c>
      <c r="AC40" s="75">
        <f t="shared" ca="1" si="7"/>
        <v>0</v>
      </c>
      <c r="AD40" s="76">
        <f t="shared" ca="1" si="8"/>
        <v>12388.425643634258</v>
      </c>
      <c r="AE40" s="76">
        <f>SUMIFS(AB:AB,E:E,E40)</f>
        <v>0</v>
      </c>
      <c r="AF40" s="75">
        <f t="shared" si="9"/>
        <v>0</v>
      </c>
      <c r="AG40" s="76">
        <f t="shared" si="3"/>
        <v>0</v>
      </c>
      <c r="AH40" s="31" t="e" cm="1">
        <f t="array" aca="1" ref="AH40" ca="1">IF((AD40) &lt; (INDEX(ResponseSLA[#All],(MATCH((G40),ResponseSLA[Priority],0))+1,3)),"YES","No")</f>
        <v>#N/A</v>
      </c>
      <c r="AI40" s="31" t="str">
        <f>_xlfn.IFNA(IF(AE40 &lt; (INDEX(SLATable[Minimum SLA],MATCH(G40,SLATable[Priority],0))),"YES","NO"),"")</f>
        <v/>
      </c>
      <c r="AJ40" t="str">
        <f>_xlfn.IFNA(IF(AE40 &lt; (INDEX(SLATable[Maximum SLA],MATCH(G40,SLATable[Priority],0))),"YES","NO"),"")</f>
        <v/>
      </c>
    </row>
    <row r="41" spans="26:36" ht="15" customHeight="1">
      <c r="Z41" s="76" t="e">
        <f t="shared" ca="1" si="4"/>
        <v>#N/A</v>
      </c>
      <c r="AA41" s="75" t="e">
        <f t="shared" ca="1" si="5"/>
        <v>#N/A</v>
      </c>
      <c r="AB41" s="76">
        <f t="shared" ca="1" si="6"/>
        <v>0</v>
      </c>
      <c r="AC41" s="75">
        <f t="shared" ca="1" si="7"/>
        <v>0</v>
      </c>
      <c r="AD41" s="76">
        <f t="shared" ca="1" si="8"/>
        <v>12388.425643634258</v>
      </c>
      <c r="AE41" s="76">
        <f>SUMIFS(AB:AB,E:E,E41)</f>
        <v>0</v>
      </c>
      <c r="AF41" s="75">
        <f t="shared" si="9"/>
        <v>0</v>
      </c>
      <c r="AG41" s="76">
        <f t="shared" si="3"/>
        <v>0</v>
      </c>
      <c r="AH41" s="31" t="e" cm="1">
        <f t="array" aca="1" ref="AH41" ca="1">IF((AD41) &lt; (INDEX(ResponseSLA[#All],(MATCH((G41),ResponseSLA[Priority],0))+1,3)),"YES","No")</f>
        <v>#N/A</v>
      </c>
      <c r="AI41" s="31" t="str">
        <f>_xlfn.IFNA(IF(AE41 &lt; (INDEX(SLATable[Minimum SLA],MATCH(G41,SLATable[Priority],0))),"YES","NO"),"")</f>
        <v/>
      </c>
      <c r="AJ41" t="str">
        <f>_xlfn.IFNA(IF(AE41 &lt; (INDEX(SLATable[Maximum SLA],MATCH(G41,SLATable[Priority],0))),"YES","NO"),"")</f>
        <v/>
      </c>
    </row>
    <row r="42" spans="26:36" ht="15" customHeight="1">
      <c r="Z42" s="76" t="e">
        <f t="shared" ca="1" si="4"/>
        <v>#N/A</v>
      </c>
      <c r="AA42" s="75" t="e">
        <f t="shared" ca="1" si="5"/>
        <v>#N/A</v>
      </c>
      <c r="AB42" s="76">
        <f t="shared" ca="1" si="6"/>
        <v>0</v>
      </c>
      <c r="AC42" s="75">
        <f t="shared" ca="1" si="7"/>
        <v>0</v>
      </c>
      <c r="AD42" s="76">
        <f t="shared" ca="1" si="8"/>
        <v>12388.425643634258</v>
      </c>
      <c r="AE42" s="76">
        <f>SUMIFS(AB:AB,E:E,E42)</f>
        <v>0</v>
      </c>
      <c r="AF42" s="75">
        <f t="shared" si="9"/>
        <v>0</v>
      </c>
      <c r="AG42" s="76">
        <f t="shared" si="3"/>
        <v>0</v>
      </c>
      <c r="AH42" s="31" t="e" cm="1">
        <f t="array" aca="1" ref="AH42" ca="1">IF((AD42) &lt; (INDEX(ResponseSLA[#All],(MATCH((G42),ResponseSLA[Priority],0))+1,3)),"YES","No")</f>
        <v>#N/A</v>
      </c>
      <c r="AI42" s="31" t="str">
        <f>_xlfn.IFNA(IF(AE42 &lt; (INDEX(SLATable[Minimum SLA],MATCH(G42,SLATable[Priority],0))),"YES","NO"),"")</f>
        <v/>
      </c>
      <c r="AJ42" t="str">
        <f>_xlfn.IFNA(IF(AE42 &lt; (INDEX(SLATable[Maximum SLA],MATCH(G42,SLATable[Priority],0))),"YES","NO"),"")</f>
        <v/>
      </c>
    </row>
    <row r="43" spans="26:36" ht="15" customHeight="1">
      <c r="Z43" s="76" t="e">
        <f t="shared" ca="1" si="4"/>
        <v>#N/A</v>
      </c>
      <c r="AA43" s="75" t="e">
        <f t="shared" ca="1" si="5"/>
        <v>#N/A</v>
      </c>
      <c r="AB43" s="76">
        <f t="shared" ca="1" si="6"/>
        <v>0</v>
      </c>
      <c r="AC43" s="75">
        <f t="shared" ca="1" si="7"/>
        <v>0</v>
      </c>
      <c r="AD43" s="76">
        <f t="shared" ca="1" si="8"/>
        <v>12388.425643634258</v>
      </c>
      <c r="AE43" s="76">
        <f>SUMIFS(AB:AB,E:E,E43)</f>
        <v>0</v>
      </c>
      <c r="AF43" s="75">
        <f t="shared" si="9"/>
        <v>0</v>
      </c>
      <c r="AG43" s="76">
        <f t="shared" si="3"/>
        <v>0</v>
      </c>
      <c r="AH43" s="31" t="e" cm="1">
        <f t="array" aca="1" ref="AH43" ca="1">IF((AD43) &lt; (INDEX(ResponseSLA[#All],(MATCH((G43),ResponseSLA[Priority],0))+1,3)),"YES","No")</f>
        <v>#N/A</v>
      </c>
      <c r="AI43" s="31" t="str">
        <f>_xlfn.IFNA(IF(AE43 &lt; (INDEX(SLATable[Minimum SLA],MATCH(G43,SLATable[Priority],0))),"YES","NO"),"")</f>
        <v/>
      </c>
      <c r="AJ43" t="str">
        <f>_xlfn.IFNA(IF(AE43 &lt; (INDEX(SLATable[Maximum SLA],MATCH(G43,SLATable[Priority],0))),"YES","NO"),"")</f>
        <v/>
      </c>
    </row>
    <row r="44" spans="26:36" ht="15" customHeight="1">
      <c r="Z44" s="76" t="e">
        <f t="shared" ca="1" si="4"/>
        <v>#N/A</v>
      </c>
      <c r="AA44" s="75" t="e">
        <f t="shared" ca="1" si="5"/>
        <v>#N/A</v>
      </c>
      <c r="AB44" s="76">
        <f t="shared" ca="1" si="6"/>
        <v>0</v>
      </c>
      <c r="AC44" s="75">
        <f t="shared" ca="1" si="7"/>
        <v>0</v>
      </c>
      <c r="AD44" s="76">
        <f t="shared" ca="1" si="8"/>
        <v>12388.425643402781</v>
      </c>
      <c r="AE44" s="76">
        <f>SUMIFS(AB:AB,E:E,E44)</f>
        <v>0</v>
      </c>
      <c r="AF44" s="75">
        <f t="shared" si="9"/>
        <v>0</v>
      </c>
      <c r="AG44" s="76">
        <f t="shared" si="3"/>
        <v>0</v>
      </c>
      <c r="AH44" s="31" t="e" cm="1">
        <f t="array" aca="1" ref="AH44" ca="1">IF((AD44) &lt; (INDEX(ResponseSLA[#All],(MATCH((G44),ResponseSLA[Priority],0))+1,3)),"YES","No")</f>
        <v>#N/A</v>
      </c>
      <c r="AI44" s="31" t="str">
        <f>_xlfn.IFNA(IF(AE44 &lt; (INDEX(SLATable[Minimum SLA],MATCH(G44,SLATable[Priority],0))),"YES","NO"),"")</f>
        <v/>
      </c>
      <c r="AJ44" t="str">
        <f>_xlfn.IFNA(IF(AE44 &lt; (INDEX(SLATable[Maximum SLA],MATCH(G44,SLATable[Priority],0))),"YES","NO"),"")</f>
        <v/>
      </c>
    </row>
    <row r="45" spans="26:36" ht="15" customHeight="1">
      <c r="Z45" s="76" t="e">
        <f t="shared" ca="1" si="4"/>
        <v>#N/A</v>
      </c>
      <c r="AA45" s="75" t="e">
        <f t="shared" ca="1" si="5"/>
        <v>#N/A</v>
      </c>
      <c r="AB45" s="76">
        <f t="shared" ca="1" si="6"/>
        <v>0</v>
      </c>
      <c r="AC45" s="75">
        <f t="shared" ca="1" si="7"/>
        <v>0</v>
      </c>
      <c r="AD45" s="76">
        <f t="shared" ca="1" si="8"/>
        <v>12388.425643402781</v>
      </c>
      <c r="AE45" s="76">
        <f>SUMIFS(AB:AB,E:E,E45)</f>
        <v>0</v>
      </c>
      <c r="AF45" s="75">
        <f t="shared" si="9"/>
        <v>0</v>
      </c>
      <c r="AG45" s="76">
        <f t="shared" si="3"/>
        <v>0</v>
      </c>
      <c r="AH45" s="31" t="e" cm="1">
        <f t="array" aca="1" ref="AH45" ca="1">IF((AD45) &lt; (INDEX(ResponseSLA[#All],(MATCH((G45),ResponseSLA[Priority],0))+1,3)),"YES","No")</f>
        <v>#N/A</v>
      </c>
      <c r="AI45" s="31" t="str">
        <f>_xlfn.IFNA(IF(AE45 &lt; (INDEX(SLATable[Minimum SLA],MATCH(G45,SLATable[Priority],0))),"YES","NO"),"")</f>
        <v/>
      </c>
      <c r="AJ45" t="str">
        <f>_xlfn.IFNA(IF(AE45 &lt; (INDEX(SLATable[Maximum SLA],MATCH(G45,SLATable[Priority],0))),"YES","NO"),"")</f>
        <v/>
      </c>
    </row>
    <row r="46" spans="26:36" ht="15" customHeight="1">
      <c r="Z46" s="76" t="e">
        <f t="shared" ca="1" si="4"/>
        <v>#N/A</v>
      </c>
      <c r="AA46" s="75" t="e">
        <f t="shared" ca="1" si="5"/>
        <v>#N/A</v>
      </c>
      <c r="AB46" s="76">
        <f t="shared" ca="1" si="6"/>
        <v>0</v>
      </c>
      <c r="AC46" s="75">
        <f t="shared" ca="1" si="7"/>
        <v>0</v>
      </c>
      <c r="AD46" s="76">
        <f t="shared" ca="1" si="8"/>
        <v>12388.425643402781</v>
      </c>
      <c r="AE46" s="76">
        <f>SUMIFS(AB:AB,E:E,E46)</f>
        <v>0</v>
      </c>
      <c r="AF46" s="75">
        <f t="shared" si="9"/>
        <v>0</v>
      </c>
      <c r="AG46" s="76">
        <f t="shared" si="3"/>
        <v>0</v>
      </c>
      <c r="AH46" s="31" t="e" cm="1">
        <f t="array" aca="1" ref="AH46" ca="1">IF((AD46) &lt; (INDEX(ResponseSLA[#All],(MATCH((G46),ResponseSLA[Priority],0))+1,3)),"YES","No")</f>
        <v>#N/A</v>
      </c>
      <c r="AI46" s="31" t="str">
        <f>_xlfn.IFNA(IF(AE46 &lt; (INDEX(SLATable[Minimum SLA],MATCH(G46,SLATable[Priority],0))),"YES","NO"),"")</f>
        <v/>
      </c>
      <c r="AJ46" t="str">
        <f>_xlfn.IFNA(IF(AE46 &lt; (INDEX(SLATable[Maximum SLA],MATCH(G46,SLATable[Priority],0))),"YES","NO"),"")</f>
        <v/>
      </c>
    </row>
    <row r="47" spans="26:36" ht="15" customHeight="1">
      <c r="Z47" s="76" t="e">
        <f t="shared" ca="1" si="4"/>
        <v>#N/A</v>
      </c>
      <c r="AA47" s="75" t="e">
        <f t="shared" ca="1" si="5"/>
        <v>#N/A</v>
      </c>
      <c r="AB47" s="76">
        <f t="shared" ca="1" si="6"/>
        <v>0</v>
      </c>
      <c r="AC47" s="75">
        <f t="shared" ca="1" si="7"/>
        <v>0</v>
      </c>
      <c r="AD47" s="76">
        <f t="shared" ca="1" si="8"/>
        <v>12388.425643402781</v>
      </c>
      <c r="AE47" s="76">
        <f>SUMIFS(AB:AB,E:E,E47)</f>
        <v>0</v>
      </c>
      <c r="AF47" s="75">
        <f t="shared" si="9"/>
        <v>0</v>
      </c>
      <c r="AG47" s="76">
        <f t="shared" si="3"/>
        <v>0</v>
      </c>
      <c r="AH47" s="31" t="e" cm="1">
        <f t="array" aca="1" ref="AH47" ca="1">IF((AD47) &lt; (INDEX(ResponseSLA[#All],(MATCH((G47),ResponseSLA[Priority],0))+1,3)),"YES","No")</f>
        <v>#N/A</v>
      </c>
      <c r="AI47" s="31" t="str">
        <f>_xlfn.IFNA(IF(AE47 &lt; (INDEX(SLATable[Minimum SLA],MATCH(G47,SLATable[Priority],0))),"YES","NO"),"")</f>
        <v/>
      </c>
      <c r="AJ47" t="str">
        <f>_xlfn.IFNA(IF(AE47 &lt; (INDEX(SLATable[Maximum SLA],MATCH(G47,SLATable[Priority],0))),"YES","NO"),"")</f>
        <v/>
      </c>
    </row>
    <row r="48" spans="26:36" ht="15" customHeight="1">
      <c r="Z48" s="76" t="e">
        <f t="shared" ca="1" si="4"/>
        <v>#N/A</v>
      </c>
      <c r="AA48" s="75" t="e">
        <f t="shared" ca="1" si="5"/>
        <v>#N/A</v>
      </c>
      <c r="AB48" s="76">
        <f t="shared" ca="1" si="6"/>
        <v>0</v>
      </c>
      <c r="AC48" s="75">
        <f t="shared" ca="1" si="7"/>
        <v>0</v>
      </c>
      <c r="AD48" s="76">
        <f t="shared" ca="1" si="8"/>
        <v>12388.425643634258</v>
      </c>
      <c r="AE48" s="76">
        <f>SUMIFS(AB:AB,E:E,E48)</f>
        <v>0</v>
      </c>
      <c r="AF48" s="75">
        <f t="shared" si="9"/>
        <v>0</v>
      </c>
      <c r="AG48" s="76">
        <f t="shared" si="3"/>
        <v>0</v>
      </c>
      <c r="AH48" s="31" t="e" cm="1">
        <f t="array" aca="1" ref="AH48" ca="1">IF((AD48) &lt; (INDEX(ResponseSLA[#All],(MATCH((G48),ResponseSLA[Priority],0))+1,3)),"YES","No")</f>
        <v>#N/A</v>
      </c>
      <c r="AI48" s="31" t="str">
        <f>_xlfn.IFNA(IF(AE48 &lt; (INDEX(SLATable[Minimum SLA],MATCH(G48,SLATable[Priority],0))),"YES","NO"),"")</f>
        <v/>
      </c>
      <c r="AJ48" t="str">
        <f>_xlfn.IFNA(IF(AE48 &lt; (INDEX(SLATable[Maximum SLA],MATCH(G48,SLATable[Priority],0))),"YES","NO"),"")</f>
        <v/>
      </c>
    </row>
    <row r="49" spans="26:36" ht="15" customHeight="1">
      <c r="Z49" s="76" t="e">
        <f t="shared" ca="1" si="4"/>
        <v>#N/A</v>
      </c>
      <c r="AA49" s="75" t="e">
        <f t="shared" ca="1" si="5"/>
        <v>#N/A</v>
      </c>
      <c r="AB49" s="76">
        <f t="shared" ca="1" si="6"/>
        <v>0</v>
      </c>
      <c r="AC49" s="75">
        <f t="shared" ca="1" si="7"/>
        <v>0</v>
      </c>
      <c r="AD49" s="76">
        <f t="shared" ca="1" si="8"/>
        <v>12388.425643634258</v>
      </c>
      <c r="AE49" s="76">
        <f>SUMIFS(AB:AB,E:E,E49)</f>
        <v>0</v>
      </c>
      <c r="AF49" s="75">
        <f t="shared" si="9"/>
        <v>0</v>
      </c>
      <c r="AG49" s="76">
        <f t="shared" si="3"/>
        <v>0</v>
      </c>
      <c r="AH49" s="31" t="e" cm="1">
        <f t="array" aca="1" ref="AH49" ca="1">IF((AD49) &lt; (INDEX(ResponseSLA[#All],(MATCH((G49),ResponseSLA[Priority],0))+1,3)),"YES","No")</f>
        <v>#N/A</v>
      </c>
      <c r="AI49" s="31" t="str">
        <f>_xlfn.IFNA(IF(AE49 &lt; (INDEX(SLATable[Minimum SLA],MATCH(G49,SLATable[Priority],0))),"YES","NO"),"")</f>
        <v/>
      </c>
      <c r="AJ49" t="str">
        <f>_xlfn.IFNA(IF(AE49 &lt; (INDEX(SLATable[Maximum SLA],MATCH(G49,SLATable[Priority],0))),"YES","NO"),"")</f>
        <v/>
      </c>
    </row>
    <row r="50" spans="26:36" ht="15" customHeight="1">
      <c r="Z50" s="76" t="e">
        <f t="shared" ca="1" si="4"/>
        <v>#N/A</v>
      </c>
      <c r="AA50" s="75" t="e">
        <f t="shared" ca="1" si="5"/>
        <v>#N/A</v>
      </c>
      <c r="AB50" s="76">
        <f t="shared" ca="1" si="6"/>
        <v>0</v>
      </c>
      <c r="AC50" s="75">
        <f t="shared" ca="1" si="7"/>
        <v>0</v>
      </c>
      <c r="AD50" s="76">
        <f t="shared" ca="1" si="8"/>
        <v>12388.425643402781</v>
      </c>
      <c r="AE50" s="76">
        <f>SUMIFS(AB:AB,E:E,E50)</f>
        <v>0</v>
      </c>
      <c r="AF50" s="75">
        <f t="shared" si="9"/>
        <v>0</v>
      </c>
      <c r="AG50" s="76">
        <f t="shared" si="3"/>
        <v>0</v>
      </c>
      <c r="AH50" s="31" t="e" cm="1">
        <f t="array" aca="1" ref="AH50" ca="1">IF((AD50) &lt; (INDEX(ResponseSLA[#All],(MATCH((G50),ResponseSLA[Priority],0))+1,3)),"YES","No")</f>
        <v>#N/A</v>
      </c>
      <c r="AI50" s="31" t="str">
        <f>_xlfn.IFNA(IF(AE50 &lt; (INDEX(SLATable[Minimum SLA],MATCH(G50,SLATable[Priority],0))),"YES","NO"),"")</f>
        <v/>
      </c>
      <c r="AJ50" t="str">
        <f>_xlfn.IFNA(IF(AE50 &lt; (INDEX(SLATable[Maximum SLA],MATCH(G50,SLATable[Priority],0))),"YES","NO"),"")</f>
        <v/>
      </c>
    </row>
    <row r="51" spans="26:36" ht="15" customHeight="1">
      <c r="Z51" s="76" t="e">
        <f t="shared" ca="1" si="4"/>
        <v>#N/A</v>
      </c>
      <c r="AA51" s="75" t="e">
        <f t="shared" ca="1" si="5"/>
        <v>#N/A</v>
      </c>
      <c r="AB51" s="76">
        <f t="shared" ca="1" si="6"/>
        <v>0</v>
      </c>
      <c r="AC51" s="75">
        <f t="shared" ca="1" si="7"/>
        <v>0</v>
      </c>
      <c r="AD51" s="76">
        <f t="shared" ca="1" si="8"/>
        <v>12388.425643634258</v>
      </c>
      <c r="AE51" s="76">
        <f>SUMIFS(AB:AB,E:E,E51)</f>
        <v>0</v>
      </c>
      <c r="AF51" s="75">
        <f t="shared" si="9"/>
        <v>0</v>
      </c>
      <c r="AG51" s="76">
        <f t="shared" si="3"/>
        <v>0</v>
      </c>
      <c r="AH51" s="31" t="e" cm="1">
        <f t="array" aca="1" ref="AH51" ca="1">IF((AD51) &lt; (INDEX(ResponseSLA[#All],(MATCH((G51),ResponseSLA[Priority],0))+1,3)),"YES","No")</f>
        <v>#N/A</v>
      </c>
      <c r="AI51" s="31" t="str">
        <f>_xlfn.IFNA(IF(AE51 &lt; (INDEX(SLATable[Minimum SLA],MATCH(G51,SLATable[Priority],0))),"YES","NO"),"")</f>
        <v/>
      </c>
      <c r="AJ51" t="str">
        <f>_xlfn.IFNA(IF(AE51 &lt; (INDEX(SLATable[Maximum SLA],MATCH(G51,SLATable[Priority],0))),"YES","NO"),"")</f>
        <v/>
      </c>
    </row>
    <row r="52" spans="26:36" ht="15" customHeight="1">
      <c r="Z52" s="76" t="e">
        <f t="shared" ca="1" si="4"/>
        <v>#N/A</v>
      </c>
      <c r="AA52" s="75" t="e">
        <f t="shared" ca="1" si="5"/>
        <v>#N/A</v>
      </c>
      <c r="AB52" s="76">
        <f t="shared" ca="1" si="6"/>
        <v>0</v>
      </c>
      <c r="AC52" s="75">
        <f t="shared" ca="1" si="7"/>
        <v>0</v>
      </c>
      <c r="AD52" s="76">
        <f t="shared" ca="1" si="8"/>
        <v>12388.425643634258</v>
      </c>
      <c r="AE52" s="76">
        <f>SUMIFS(AB:AB,E:E,E52)</f>
        <v>0</v>
      </c>
      <c r="AF52" s="75">
        <f t="shared" si="9"/>
        <v>0</v>
      </c>
      <c r="AG52" s="76">
        <f t="shared" si="3"/>
        <v>0</v>
      </c>
      <c r="AH52" s="31" t="e" cm="1">
        <f t="array" aca="1" ref="AH52" ca="1">IF((AD52) &lt; (INDEX(ResponseSLA[#All],(MATCH((G52),ResponseSLA[Priority],0))+1,3)),"YES","No")</f>
        <v>#N/A</v>
      </c>
      <c r="AI52" s="31" t="str">
        <f>_xlfn.IFNA(IF(AE52 &lt; (INDEX(SLATable[Minimum SLA],MATCH(G52,SLATable[Priority],0))),"YES","NO"),"")</f>
        <v/>
      </c>
      <c r="AJ52" t="str">
        <f>_xlfn.IFNA(IF(AE52 &lt; (INDEX(SLATable[Maximum SLA],MATCH(G52,SLATable[Priority],0))),"YES","NO"),"")</f>
        <v/>
      </c>
    </row>
    <row r="53" spans="26:36" ht="15" customHeight="1">
      <c r="Z53" s="76" t="e">
        <f t="shared" ca="1" si="4"/>
        <v>#N/A</v>
      </c>
      <c r="AA53" s="75" t="e">
        <f t="shared" ca="1" si="5"/>
        <v>#N/A</v>
      </c>
      <c r="AB53" s="76">
        <f t="shared" ca="1" si="6"/>
        <v>0</v>
      </c>
      <c r="AC53" s="75">
        <f t="shared" ca="1" si="7"/>
        <v>0</v>
      </c>
      <c r="AD53" s="76">
        <f t="shared" ca="1" si="8"/>
        <v>12388.425643402781</v>
      </c>
      <c r="AE53" s="76">
        <f>SUMIFS(AB:AB,E:E,E53)</f>
        <v>0</v>
      </c>
      <c r="AF53" s="75">
        <f t="shared" si="9"/>
        <v>0</v>
      </c>
      <c r="AG53" s="76">
        <f t="shared" si="3"/>
        <v>0</v>
      </c>
      <c r="AH53" s="31" t="e" cm="1">
        <f t="array" aca="1" ref="AH53" ca="1">IF((AD53) &lt; (INDEX(ResponseSLA[#All],(MATCH((G53),ResponseSLA[Priority],0))+1,3)),"YES","No")</f>
        <v>#N/A</v>
      </c>
      <c r="AI53" s="31" t="str">
        <f>_xlfn.IFNA(IF(AE53 &lt; (INDEX(SLATable[Minimum SLA],MATCH(G53,SLATable[Priority],0))),"YES","NO"),"")</f>
        <v/>
      </c>
      <c r="AJ53" t="str">
        <f>_xlfn.IFNA(IF(AE53 &lt; (INDEX(SLATable[Maximum SLA],MATCH(G53,SLATable[Priority],0))),"YES","NO"),"")</f>
        <v/>
      </c>
    </row>
    <row r="54" spans="26:36" ht="15" customHeight="1">
      <c r="Z54" s="76" t="e">
        <f t="shared" ca="1" si="4"/>
        <v>#N/A</v>
      </c>
      <c r="AA54" s="75" t="e">
        <f t="shared" ca="1" si="5"/>
        <v>#N/A</v>
      </c>
      <c r="AB54" s="76">
        <f t="shared" ca="1" si="6"/>
        <v>0</v>
      </c>
      <c r="AC54" s="75">
        <f t="shared" ca="1" si="7"/>
        <v>0</v>
      </c>
      <c r="AD54" s="76">
        <f t="shared" ca="1" si="8"/>
        <v>12388.425643634258</v>
      </c>
      <c r="AE54" s="76">
        <f>SUMIFS(AB:AB,E:E,E54)</f>
        <v>0</v>
      </c>
      <c r="AF54" s="75">
        <f t="shared" si="9"/>
        <v>0</v>
      </c>
      <c r="AG54" s="76">
        <f t="shared" si="3"/>
        <v>0</v>
      </c>
      <c r="AH54" s="31" t="e" cm="1">
        <f t="array" aca="1" ref="AH54" ca="1">IF((AD54) &lt; (INDEX(ResponseSLA[#All],(MATCH((G54),ResponseSLA[Priority],0))+1,3)),"YES","No")</f>
        <v>#N/A</v>
      </c>
      <c r="AI54" s="31" t="str">
        <f>_xlfn.IFNA(IF(AE54 &lt; (INDEX(SLATable[Minimum SLA],MATCH(G54,SLATable[Priority],0))),"YES","NO"),"")</f>
        <v/>
      </c>
      <c r="AJ54" t="str">
        <f>_xlfn.IFNA(IF(AE54 &lt; (INDEX(SLATable[Maximum SLA],MATCH(G54,SLATable[Priority],0))),"YES","NO"),"")</f>
        <v/>
      </c>
    </row>
    <row r="55" spans="26:36" ht="15" customHeight="1">
      <c r="Z55" s="76" t="e">
        <f t="shared" ca="1" si="4"/>
        <v>#N/A</v>
      </c>
      <c r="AA55" s="75" t="e">
        <f t="shared" ca="1" si="5"/>
        <v>#N/A</v>
      </c>
      <c r="AB55" s="76">
        <f t="shared" ca="1" si="6"/>
        <v>0</v>
      </c>
      <c r="AC55" s="75">
        <f t="shared" ca="1" si="7"/>
        <v>0</v>
      </c>
      <c r="AD55" s="76">
        <f t="shared" ca="1" si="8"/>
        <v>12388.425643634258</v>
      </c>
      <c r="AE55" s="76">
        <f>SUMIFS(AB:AB,E:E,E55)</f>
        <v>0</v>
      </c>
      <c r="AF55" s="75">
        <f t="shared" si="9"/>
        <v>0</v>
      </c>
      <c r="AG55" s="76">
        <f t="shared" si="3"/>
        <v>0</v>
      </c>
      <c r="AH55" s="31" t="e" cm="1">
        <f t="array" aca="1" ref="AH55" ca="1">IF((AD55) &lt; (INDEX(ResponseSLA[#All],(MATCH((G55),ResponseSLA[Priority],0))+1,3)),"YES","No")</f>
        <v>#N/A</v>
      </c>
      <c r="AI55" s="31" t="str">
        <f>_xlfn.IFNA(IF(AE55 &lt; (INDEX(SLATable[Minimum SLA],MATCH(G55,SLATable[Priority],0))),"YES","NO"),"")</f>
        <v/>
      </c>
      <c r="AJ55" t="str">
        <f>_xlfn.IFNA(IF(AE55 &lt; (INDEX(SLATable[Maximum SLA],MATCH(G55,SLATable[Priority],0))),"YES","NO"),"")</f>
        <v/>
      </c>
    </row>
    <row r="56" spans="26:36" ht="15" customHeight="1">
      <c r="Z56" s="76" t="e">
        <f t="shared" ca="1" si="4"/>
        <v>#N/A</v>
      </c>
      <c r="AA56" s="75" t="e">
        <f t="shared" ca="1" si="5"/>
        <v>#N/A</v>
      </c>
      <c r="AB56" s="76">
        <f t="shared" ca="1" si="6"/>
        <v>0</v>
      </c>
      <c r="AC56" s="75">
        <f t="shared" ca="1" si="7"/>
        <v>0</v>
      </c>
      <c r="AD56" s="76">
        <f t="shared" ca="1" si="8"/>
        <v>12388.425643402781</v>
      </c>
      <c r="AE56" s="76">
        <f>SUMIFS(AB:AB,E:E,E56)</f>
        <v>0</v>
      </c>
      <c r="AF56" s="75">
        <f t="shared" si="9"/>
        <v>0</v>
      </c>
      <c r="AG56" s="76">
        <f t="shared" si="3"/>
        <v>0</v>
      </c>
      <c r="AH56" s="31" t="e" cm="1">
        <f t="array" aca="1" ref="AH56" ca="1">IF((AD56) &lt; (INDEX(ResponseSLA[#All],(MATCH((G56),ResponseSLA[Priority],0))+1,3)),"YES","No")</f>
        <v>#N/A</v>
      </c>
      <c r="AI56" s="31" t="str">
        <f>_xlfn.IFNA(IF(AE56 &lt; (INDEX(SLATable[Minimum SLA],MATCH(G56,SLATable[Priority],0))),"YES","NO"),"")</f>
        <v/>
      </c>
      <c r="AJ56" t="str">
        <f>_xlfn.IFNA(IF(AE56 &lt; (INDEX(SLATable[Maximum SLA],MATCH(G56,SLATable[Priority],0))),"YES","NO"),"")</f>
        <v/>
      </c>
    </row>
    <row r="57" spans="26:36" ht="15" customHeight="1">
      <c r="Z57" s="76" t="e">
        <f t="shared" ca="1" si="4"/>
        <v>#N/A</v>
      </c>
      <c r="AA57" s="75" t="e">
        <f t="shared" ca="1" si="5"/>
        <v>#N/A</v>
      </c>
      <c r="AB57" s="76">
        <f t="shared" ca="1" si="6"/>
        <v>0</v>
      </c>
      <c r="AC57" s="75">
        <f t="shared" ca="1" si="7"/>
        <v>0</v>
      </c>
      <c r="AD57" s="76">
        <f t="shared" ca="1" si="8"/>
        <v>12388.425643634258</v>
      </c>
      <c r="AE57" s="76">
        <f>SUMIFS(AB:AB,E:E,E57)</f>
        <v>0</v>
      </c>
      <c r="AF57" s="75">
        <f t="shared" si="9"/>
        <v>0</v>
      </c>
      <c r="AG57" s="76">
        <f t="shared" si="3"/>
        <v>0</v>
      </c>
      <c r="AH57" s="31" t="e" cm="1">
        <f t="array" aca="1" ref="AH57" ca="1">IF((AD57) &lt; (INDEX(ResponseSLA[#All],(MATCH((G57),ResponseSLA[Priority],0))+1,3)),"YES","No")</f>
        <v>#N/A</v>
      </c>
      <c r="AI57" s="31" t="str">
        <f>_xlfn.IFNA(IF(AE57 &lt; (INDEX(SLATable[Minimum SLA],MATCH(G57,SLATable[Priority],0))),"YES","NO"),"")</f>
        <v/>
      </c>
      <c r="AJ57" t="str">
        <f>_xlfn.IFNA(IF(AE57 &lt; (INDEX(SLATable[Maximum SLA],MATCH(G57,SLATable[Priority],0))),"YES","NO"),"")</f>
        <v/>
      </c>
    </row>
    <row r="58" spans="26:36" ht="15" customHeight="1">
      <c r="Z58" s="76" t="e">
        <f t="shared" ca="1" si="4"/>
        <v>#N/A</v>
      </c>
      <c r="AA58" s="75" t="e">
        <f t="shared" ca="1" si="5"/>
        <v>#N/A</v>
      </c>
      <c r="AB58" s="76">
        <f t="shared" ca="1" si="6"/>
        <v>0</v>
      </c>
      <c r="AC58" s="75">
        <f t="shared" ca="1" si="7"/>
        <v>0</v>
      </c>
      <c r="AD58" s="76">
        <f t="shared" ca="1" si="8"/>
        <v>12388.425643634258</v>
      </c>
      <c r="AE58" s="76">
        <f>SUMIFS(AB:AB,E:E,E58)</f>
        <v>0</v>
      </c>
      <c r="AF58" s="75">
        <f t="shared" si="9"/>
        <v>0</v>
      </c>
      <c r="AG58" s="76">
        <f t="shared" si="3"/>
        <v>0</v>
      </c>
      <c r="AH58" s="31" t="e" cm="1">
        <f t="array" aca="1" ref="AH58" ca="1">IF((AD58) &lt; (INDEX(ResponseSLA[#All],(MATCH((G58),ResponseSLA[Priority],0))+1,3)),"YES","No")</f>
        <v>#N/A</v>
      </c>
      <c r="AI58" s="31" t="str">
        <f>_xlfn.IFNA(IF(AE58 &lt; (INDEX(SLATable[Minimum SLA],MATCH(G58,SLATable[Priority],0))),"YES","NO"),"")</f>
        <v/>
      </c>
      <c r="AJ58" t="str">
        <f>_xlfn.IFNA(IF(AE58 &lt; (INDEX(SLATable[Maximum SLA],MATCH(G58,SLATable[Priority],0))),"YES","NO"),"")</f>
        <v/>
      </c>
    </row>
    <row r="59" spans="26:36" ht="15" customHeight="1">
      <c r="Z59" s="76" t="e">
        <f t="shared" ca="1" si="4"/>
        <v>#N/A</v>
      </c>
      <c r="AA59" s="75" t="e">
        <f t="shared" ca="1" si="5"/>
        <v>#N/A</v>
      </c>
      <c r="AB59" s="76">
        <f t="shared" ca="1" si="6"/>
        <v>0</v>
      </c>
      <c r="AC59" s="75">
        <f t="shared" ca="1" si="7"/>
        <v>0</v>
      </c>
      <c r="AD59" s="76">
        <f t="shared" ca="1" si="8"/>
        <v>12388.425643634258</v>
      </c>
      <c r="AE59" s="76">
        <f>SUMIFS(AB:AB,E:E,E59)</f>
        <v>0</v>
      </c>
      <c r="AF59" s="75">
        <f t="shared" si="9"/>
        <v>0</v>
      </c>
      <c r="AG59" s="76">
        <f t="shared" si="3"/>
        <v>0</v>
      </c>
      <c r="AH59" s="31" t="e" cm="1">
        <f t="array" aca="1" ref="AH59" ca="1">IF((AD59) &lt; (INDEX(ResponseSLA[#All],(MATCH((G59),ResponseSLA[Priority],0))+1,3)),"YES","No")</f>
        <v>#N/A</v>
      </c>
      <c r="AI59" s="31" t="str">
        <f>_xlfn.IFNA(IF(AE59 &lt; (INDEX(SLATable[Minimum SLA],MATCH(G59,SLATable[Priority],0))),"YES","NO"),"")</f>
        <v/>
      </c>
      <c r="AJ59" t="str">
        <f>_xlfn.IFNA(IF(AE59 &lt; (INDEX(SLATable[Maximum SLA],MATCH(G59,SLATable[Priority],0))),"YES","NO"),"")</f>
        <v/>
      </c>
    </row>
    <row r="60" spans="26:36" ht="15" customHeight="1">
      <c r="Z60" s="76" t="e">
        <f t="shared" ca="1" si="4"/>
        <v>#N/A</v>
      </c>
      <c r="AA60" s="75" t="e">
        <f t="shared" ca="1" si="5"/>
        <v>#N/A</v>
      </c>
      <c r="AB60" s="76">
        <f t="shared" ca="1" si="6"/>
        <v>0</v>
      </c>
      <c r="AC60" s="75">
        <f t="shared" ca="1" si="7"/>
        <v>0</v>
      </c>
      <c r="AD60" s="76">
        <f t="shared" ca="1" si="8"/>
        <v>12388.425643402781</v>
      </c>
      <c r="AE60" s="76">
        <f>SUMIFS(AB:AB,E:E,E60)</f>
        <v>0</v>
      </c>
      <c r="AF60" s="75">
        <f t="shared" si="9"/>
        <v>0</v>
      </c>
      <c r="AG60" s="76">
        <f t="shared" si="3"/>
        <v>0</v>
      </c>
      <c r="AH60" s="31" t="e" cm="1">
        <f t="array" aca="1" ref="AH60" ca="1">IF((AD60) &lt; (INDEX(ResponseSLA[#All],(MATCH((G60),ResponseSLA[Priority],0))+1,3)),"YES","No")</f>
        <v>#N/A</v>
      </c>
      <c r="AI60" s="31" t="str">
        <f>_xlfn.IFNA(IF(AE60 &lt; (INDEX(SLATable[Minimum SLA],MATCH(G60,SLATable[Priority],0))),"YES","NO"),"")</f>
        <v/>
      </c>
      <c r="AJ60" t="str">
        <f>_xlfn.IFNA(IF(AE60 &lt; (INDEX(SLATable[Maximum SLA],MATCH(G60,SLATable[Priority],0))),"YES","NO"),"")</f>
        <v/>
      </c>
    </row>
    <row r="61" spans="26:36" ht="15" customHeight="1">
      <c r="Z61" s="76" t="e">
        <f t="shared" ca="1" si="4"/>
        <v>#N/A</v>
      </c>
      <c r="AA61" s="75" t="e">
        <f t="shared" ca="1" si="5"/>
        <v>#N/A</v>
      </c>
      <c r="AB61" s="76">
        <f t="shared" ca="1" si="6"/>
        <v>0</v>
      </c>
      <c r="AC61" s="75">
        <f t="shared" ca="1" si="7"/>
        <v>0</v>
      </c>
      <c r="AD61" s="76">
        <f t="shared" ca="1" si="8"/>
        <v>12388.425643634258</v>
      </c>
      <c r="AE61" s="76">
        <f>SUMIFS(AB:AB,E:E,E61)</f>
        <v>0</v>
      </c>
      <c r="AF61" s="75">
        <f t="shared" si="9"/>
        <v>0</v>
      </c>
      <c r="AG61" s="76">
        <f t="shared" si="3"/>
        <v>0</v>
      </c>
      <c r="AH61" s="31" t="e" cm="1">
        <f t="array" aca="1" ref="AH61" ca="1">IF((AD61) &lt; (INDEX(ResponseSLA[#All],(MATCH((G61),ResponseSLA[Priority],0))+1,3)),"YES","No")</f>
        <v>#N/A</v>
      </c>
      <c r="AI61" s="31" t="str">
        <f>_xlfn.IFNA(IF(AE61 &lt; (INDEX(SLATable[Minimum SLA],MATCH(G61,SLATable[Priority],0))),"YES","NO"),"")</f>
        <v/>
      </c>
      <c r="AJ61" t="str">
        <f>_xlfn.IFNA(IF(AE61 &lt; (INDEX(SLATable[Maximum SLA],MATCH(G61,SLATable[Priority],0))),"YES","NO"),"")</f>
        <v/>
      </c>
    </row>
    <row r="62" spans="26:36" ht="15" customHeight="1">
      <c r="Z62" s="76" t="e">
        <f t="shared" ca="1" si="4"/>
        <v>#N/A</v>
      </c>
      <c r="AA62" s="75" t="e">
        <f t="shared" ca="1" si="5"/>
        <v>#N/A</v>
      </c>
      <c r="AB62" s="76">
        <f t="shared" ca="1" si="6"/>
        <v>0</v>
      </c>
      <c r="AC62" s="75">
        <f t="shared" ca="1" si="7"/>
        <v>0</v>
      </c>
      <c r="AD62" s="76">
        <f t="shared" ca="1" si="8"/>
        <v>12388.425643634258</v>
      </c>
      <c r="AE62" s="76">
        <f>SUMIFS(AB:AB,E:E,E62)</f>
        <v>0</v>
      </c>
      <c r="AF62" s="75">
        <f t="shared" si="9"/>
        <v>0</v>
      </c>
      <c r="AG62" s="76">
        <f t="shared" si="3"/>
        <v>0</v>
      </c>
      <c r="AH62" s="31" t="e" cm="1">
        <f t="array" aca="1" ref="AH62" ca="1">IF((AD62) &lt; (INDEX(ResponseSLA[#All],(MATCH((G62),ResponseSLA[Priority],0))+1,3)),"YES","No")</f>
        <v>#N/A</v>
      </c>
      <c r="AI62" s="31" t="str">
        <f>_xlfn.IFNA(IF(AE62 &lt; (INDEX(SLATable[Minimum SLA],MATCH(G62,SLATable[Priority],0))),"YES","NO"),"")</f>
        <v/>
      </c>
      <c r="AJ62" t="str">
        <f>_xlfn.IFNA(IF(AE62 &lt; (INDEX(SLATable[Maximum SLA],MATCH(G62,SLATable[Priority],0))),"YES","NO"),"")</f>
        <v/>
      </c>
    </row>
    <row r="63" spans="26:36" ht="15" customHeight="1">
      <c r="Z63" s="76" t="e">
        <f t="shared" ca="1" si="4"/>
        <v>#N/A</v>
      </c>
      <c r="AA63" s="75" t="e">
        <f t="shared" ca="1" si="5"/>
        <v>#N/A</v>
      </c>
      <c r="AB63" s="76">
        <f t="shared" ca="1" si="6"/>
        <v>0</v>
      </c>
      <c r="AC63" s="75">
        <f t="shared" ca="1" si="7"/>
        <v>0</v>
      </c>
      <c r="AD63" s="76">
        <f t="shared" ca="1" si="8"/>
        <v>12388.425643634258</v>
      </c>
      <c r="AE63" s="76">
        <f>SUMIFS(AB:AB,E:E,E63)</f>
        <v>0</v>
      </c>
      <c r="AF63" s="75">
        <f t="shared" si="9"/>
        <v>0</v>
      </c>
      <c r="AG63" s="76">
        <f t="shared" si="3"/>
        <v>0</v>
      </c>
      <c r="AH63" s="31" t="e" cm="1">
        <f t="array" aca="1" ref="AH63" ca="1">IF((AD63) &lt; (INDEX(ResponseSLA[#All],(MATCH((G63),ResponseSLA[Priority],0))+1,3)),"YES","No")</f>
        <v>#N/A</v>
      </c>
      <c r="AI63" s="31" t="str">
        <f>_xlfn.IFNA(IF(AE63 &lt; (INDEX(SLATable[Minimum SLA],MATCH(G63,SLATable[Priority],0))),"YES","NO"),"")</f>
        <v/>
      </c>
      <c r="AJ63" t="str">
        <f>_xlfn.IFNA(IF(AE63 &lt; (INDEX(SLATable[Maximum SLA],MATCH(G63,SLATable[Priority],0))),"YES","NO"),"")</f>
        <v/>
      </c>
    </row>
    <row r="64" spans="26:36" ht="15" customHeight="1">
      <c r="Z64" s="76" t="e">
        <f t="shared" ca="1" si="4"/>
        <v>#N/A</v>
      </c>
      <c r="AA64" s="75" t="e">
        <f t="shared" ca="1" si="5"/>
        <v>#N/A</v>
      </c>
      <c r="AB64" s="76">
        <f t="shared" ca="1" si="6"/>
        <v>0</v>
      </c>
      <c r="AC64" s="75">
        <f t="shared" ca="1" si="7"/>
        <v>0</v>
      </c>
      <c r="AD64" s="76">
        <f t="shared" ca="1" si="8"/>
        <v>12388.425643634258</v>
      </c>
      <c r="AE64" s="76">
        <f>SUMIFS(AB:AB,E:E,E64)</f>
        <v>0</v>
      </c>
      <c r="AF64" s="75">
        <f t="shared" si="9"/>
        <v>0</v>
      </c>
      <c r="AG64" s="76">
        <f t="shared" si="3"/>
        <v>0</v>
      </c>
      <c r="AH64" s="31" t="e" cm="1">
        <f t="array" aca="1" ref="AH64" ca="1">IF((AD64) &lt; (INDEX(ResponseSLA[#All],(MATCH((G64),ResponseSLA[Priority],0))+1,3)),"YES","No")</f>
        <v>#N/A</v>
      </c>
      <c r="AI64" s="31" t="str">
        <f>_xlfn.IFNA(IF(AE64 &lt; (INDEX(SLATable[Minimum SLA],MATCH(G64,SLATable[Priority],0))),"YES","NO"),"")</f>
        <v/>
      </c>
      <c r="AJ64" t="str">
        <f>_xlfn.IFNA(IF(AE64 &lt; (INDEX(SLATable[Maximum SLA],MATCH(G64,SLATable[Priority],0))),"YES","NO"),"")</f>
        <v/>
      </c>
    </row>
    <row r="65" spans="26:36" ht="15" customHeight="1">
      <c r="Z65" s="76" t="e">
        <f t="shared" ca="1" si="4"/>
        <v>#N/A</v>
      </c>
      <c r="AA65" s="75" t="e">
        <f t="shared" ca="1" si="5"/>
        <v>#N/A</v>
      </c>
      <c r="AB65" s="76">
        <f t="shared" ca="1" si="6"/>
        <v>0</v>
      </c>
      <c r="AC65" s="75">
        <f t="shared" ca="1" si="7"/>
        <v>0</v>
      </c>
      <c r="AD65" s="76">
        <f t="shared" ca="1" si="8"/>
        <v>12388.425643634258</v>
      </c>
      <c r="AE65" s="76">
        <f>SUMIFS(AB:AB,E:E,E65)</f>
        <v>0</v>
      </c>
      <c r="AF65" s="75">
        <f t="shared" si="9"/>
        <v>0</v>
      </c>
      <c r="AG65" s="76">
        <f t="shared" si="3"/>
        <v>0</v>
      </c>
      <c r="AH65" s="31" t="e" cm="1">
        <f t="array" aca="1" ref="AH65" ca="1">IF((AD65) &lt; (INDEX(ResponseSLA[#All],(MATCH((G65),ResponseSLA[Priority],0))+1,3)),"YES","No")</f>
        <v>#N/A</v>
      </c>
      <c r="AI65" s="31" t="str">
        <f>_xlfn.IFNA(IF(AE65 &lt; (INDEX(SLATable[Minimum SLA],MATCH(G65,SLATable[Priority],0))),"YES","NO"),"")</f>
        <v/>
      </c>
      <c r="AJ65" t="str">
        <f>_xlfn.IFNA(IF(AE65 &lt; (INDEX(SLATable[Maximum SLA],MATCH(G65,SLATable[Priority],0))),"YES","NO"),"")</f>
        <v/>
      </c>
    </row>
    <row r="66" spans="26:36" ht="15" customHeight="1">
      <c r="Z66" s="76" t="e">
        <f t="shared" ca="1" si="4"/>
        <v>#N/A</v>
      </c>
      <c r="AA66" s="75" t="e">
        <f t="shared" ca="1" si="5"/>
        <v>#N/A</v>
      </c>
      <c r="AB66" s="76">
        <f t="shared" ca="1" si="6"/>
        <v>0</v>
      </c>
      <c r="AC66" s="75">
        <f t="shared" ca="1" si="7"/>
        <v>0</v>
      </c>
      <c r="AD66" s="76">
        <f t="shared" ca="1" si="8"/>
        <v>12388.425643634258</v>
      </c>
      <c r="AE66" s="76">
        <f>SUMIFS(AB:AB,E:E,E66)</f>
        <v>0</v>
      </c>
      <c r="AF66" s="75">
        <f t="shared" si="9"/>
        <v>0</v>
      </c>
      <c r="AG66" s="76">
        <f t="shared" si="3"/>
        <v>0</v>
      </c>
      <c r="AH66" s="31" t="e" cm="1">
        <f t="array" aca="1" ref="AH66" ca="1">IF((AD66) &lt; (INDEX(ResponseSLA[#All],(MATCH((G66),ResponseSLA[Priority],0))+1,3)),"YES","No")</f>
        <v>#N/A</v>
      </c>
      <c r="AI66" s="31" t="str">
        <f>_xlfn.IFNA(IF(AE66 &lt; (INDEX(SLATable[Minimum SLA],MATCH(G66,SLATable[Priority],0))),"YES","NO"),"")</f>
        <v/>
      </c>
      <c r="AJ66" t="str">
        <f>_xlfn.IFNA(IF(AE66 &lt; (INDEX(SLATable[Maximum SLA],MATCH(G66,SLATable[Priority],0))),"YES","NO"),"")</f>
        <v/>
      </c>
    </row>
    <row r="67" spans="26:36" ht="15" customHeight="1">
      <c r="Z67" s="76" t="e">
        <f t="shared" ref="Z67:Z130" ca="1" si="10">IF(NOT(OR(G67=1,G67=2)),MAX(0,_xlfn.IFS(AND(K67&lt;&gt;"",N67&lt;&gt;""),((MAX(NETWORKDAYS(K67,N67,UKBankHolidays)-1,0))*(TIME(17,0,0)-TIME(8,0,0))+IF(NETWORKDAYS(N67,N67,UKBankHolidays)&gt;0,MEDIAN(TIME(8,0,0),MOD(N67,1),TIME(17,0,0)),TIME(8,0,0))-IF(NETWORKDAYS(K67,K67,UKBankHolidays)&gt;0,MEDIAN(TIME(8,0,0),MOD(K67,1),TIME(17,0,0)),TIME(8,0,0)))-IF(AND(O67&lt;&gt;"",P67&lt;&gt;""),((MAX(NETWORKDAYS(O67,P67,UKBankHolidays)-1,0))*(TIME(17,0,0)-TIME(8,0,0))+IF(NETWORKDAYS(P67,P67,UKBankHolidays)&gt;0,MEDIAN(TIME(8,0,0),MOD(P67,1),TIME(17,0,0)),TIME(8,0,0))-IF(NETWORKDAYS(O67,O67,UKBankHolidays)&gt;0,MEDIAN(TIME(8,0,0),MOD(O67,1),TIME(17,0,0)),TIME(8,0,0))),0),AND(K67&lt;&gt;"",N67=""),((MAX(NETWORKDAYS(K67,NOW(),UKBankHolidays)-1,0))*(TIME(17,0,0)-TIME(8,0,0))+IF(NETWORKDAYS(NOW(),NOW(),UKBankHolidays)&gt;0,MEDIAN(TIME(8,0,0),MOD(NOW(),1),TIME(17,0,0)),TIME(8,0,0))-IF(NETWORKDAYS(K67,K67,UKBankHolidays)&gt;0,MEDIAN(TIME(8,0,0),MOD(K67,1),TIME(17,0,0)),TIME(8,0,0))))),IF(N67="",NOW()-K67,N67-K67))</f>
        <v>#N/A</v>
      </c>
      <c r="AA67" s="75" t="e">
        <f t="shared" ref="AA67:AA130" ca="1" si="11">(Z67*24)/9</f>
        <v>#N/A</v>
      </c>
      <c r="AB67" s="76">
        <f t="shared" ref="AB67:AB130" ca="1" si="12">IF(NOT(OR(G67=1,G67=2)),MAX(0,_xlfn.IFS(AND(K67&lt;&gt;"",N67&lt;&gt;""),(((MAX(NETWORKDAYS(L67,N67,UKBankHolidays)-1,0))*(TIME(17,0,0)-TIME(8,0,0)))+IF(NETWORKDAYS(N67,N67,UKBankHolidays)&gt;0,MEDIAN(TIME(8,0,0),MOD(N67,1),TIME(17,0,0)),TIME(8,0,0))-IF(NETWORKDAYS(L67,L67,UKBankHolidays)&gt;0,MEDIAN(TIME(8,0,0),MOD(L67,1),TIME(17,0,0)),TIME(8,0,0)))-IF(AND(O67&lt;&gt;"",P67&lt;&gt;""),(((MAX(NETWORKDAYS(O67,P67,UKBankHolidays)-1,0))*(TIME(17,0,0)-TIME(8,0,0)))+IF(NETWORKDAYS(P67,P67,UKBankHolidays)&gt;0,MEDIAN(TIME(8,0,0),MOD(P67,1),TIME(17,0,0)),TIME(8,0,0))-IF(NETWORKDAYS(O67,O67,UKBankHolidays)&gt;0,MEDIAN(TIME(8,0,0),MOD(O67,1),TIME(17,0,0)),TIME(8,0,0))),0),AND(L67&lt;&gt;"",N67="",O67=""),(((MAX(NETWORKDAYS(L67,NOW(),UKBankHolidays)-1,0))*(TIME(17,0,0)-TIME(8,0,0)))+IF(NETWORKDAYS(NOW(),NOW(),UKBankHolidays)&gt;0,MEDIAN(TIME(8,0,0),MOD(NOW(),1),TIME(17,0,0)),TIME(8,0,0))-IF(NETWORKDAYS(L67,L67,UKBankHolidays)&gt;0,MEDIAN(TIME(8,0,0),MOD(L67,1),TIME(17,0,0)),TIME(8,0,0)))-IF(AND(O67&lt;&gt;"",P67&lt;&gt;""),(((MAX(NETWORKDAYS(O67,P67,UKBankHolidays)-1,0))*(TIME(17,0,0)-TIME(8,0,0)))+IF(NETWORKDAYS(P67,P67,UKBankHolidays)&gt;0,MEDIAN(TIME(8,0,0),MOD(P67,1),TIME(17,0,0)),TIME(8,0,0))-IF(NETWORKDAYS(O67,O67,UKBankHolidays)&gt;0,MEDIAN(TIME(8,0,0),MOD(O67,1),TIME(17,0,0)),TIME(8,0,0))),0),AND(L67&lt;&gt;"",N67="",P67="",O67&lt;&gt;""),(((MAX(NETWORKDAYS(L67,O67,UKBankHolidays)-1,0))*(TIME(17,0,0)-TIME(8,0,0)))+IF(NETWORKDAYS(O67,O67,UKBankHolidays)&gt;0,MEDIAN(TIME(8,0,0),MOD(O67,1),TIME(17,0,0)),TIME(8,0,0))-IF(NETWORKDAYS(L67,L67,UKBankHolidays)&gt;0,MEDIAN(TIME(8,0,0),MOD(L67,1),TIME(17,0,0)),TIME(8,0,0))),ISBLANK(K67),"0")),IF(ISBLANK(N67),NOW()-L67,N67-L67))</f>
        <v>0</v>
      </c>
      <c r="AC67" s="75">
        <f t="shared" ref="AC67:AC130" ca="1" si="13">(AB67*24)/9</f>
        <v>0</v>
      </c>
      <c r="AD67" s="76">
        <f t="shared" ref="AD67:AD130" ca="1" si="14">MAX(0,IF(NOT(OR(G67=1,G67=2)),IF(M67&lt;&gt;"",((MAX(NETWORKDAYS(L67,M67,UKBankHolidays)-1,0))*(TIME(17,0,0)-TIME(8,0,0))+IF(NETWORKDAYS(M67,M67,UKBankHolidays)&gt;0,MEDIAN(TIME(8,0,0),MOD(M67,1),TIME(17,0,0)),TIME(8,0,0))-MEDIAN(TIME(8,0,0),MOD(L67,1),TIME(17,0,0))),((MAX(NETWORKDAYS(L67,NOW(),UKBankHolidays)-1,0))*(TIME(17,0,0)-TIME(8,0,0))+IF(NETWORKDAYS(NOW(),NOW(),UKBankHolidays)&gt;0,MEDIAN(TIME(8,0,0),MOD(NOW(),1),TIME(17,0,0)),TIME(8,0,0))-MEDIAN(TIME(8,0,0),MOD(L67,1),TIME(17,0,0)))),IF(M67&lt;&gt;"",M67-L67,NOW()-L67)))</f>
        <v>12388.425643634258</v>
      </c>
      <c r="AE67" s="76">
        <f>SUMIFS(AB:AB,E:E,E67)</f>
        <v>0</v>
      </c>
      <c r="AF67" s="75">
        <f t="shared" ref="AF67:AF130" si="15">(AE67*24)/9</f>
        <v>0</v>
      </c>
      <c r="AG67" s="76">
        <f t="shared" si="3"/>
        <v>0</v>
      </c>
      <c r="AH67" s="31" t="e" cm="1">
        <f t="array" aca="1" ref="AH67" ca="1">IF((AD67) &lt; (INDEX(ResponseSLA[#All],(MATCH((G67),ResponseSLA[Priority],0))+1,3)),"YES","No")</f>
        <v>#N/A</v>
      </c>
      <c r="AI67" s="31" t="str">
        <f>_xlfn.IFNA(IF(AE67 &lt; (INDEX(SLATable[Minimum SLA],MATCH(G67,SLATable[Priority],0))),"YES","NO"),"")</f>
        <v/>
      </c>
      <c r="AJ67" t="str">
        <f>_xlfn.IFNA(IF(AE67 &lt; (INDEX(SLATable[Maximum SLA],MATCH(G67,SLATable[Priority],0))),"YES","NO"),"")</f>
        <v/>
      </c>
    </row>
    <row r="68" spans="26:36" ht="15" customHeight="1">
      <c r="Z68" s="76" t="e">
        <f t="shared" ca="1" si="10"/>
        <v>#N/A</v>
      </c>
      <c r="AA68" s="75" t="e">
        <f t="shared" ca="1" si="11"/>
        <v>#N/A</v>
      </c>
      <c r="AB68" s="76">
        <f t="shared" ca="1" si="12"/>
        <v>0</v>
      </c>
      <c r="AC68" s="75">
        <f t="shared" ca="1" si="13"/>
        <v>0</v>
      </c>
      <c r="AD68" s="76">
        <f t="shared" ca="1" si="14"/>
        <v>12388.425643634258</v>
      </c>
      <c r="AE68" s="76">
        <f>SUMIFS(AB:AB,E:E,E68)</f>
        <v>0</v>
      </c>
      <c r="AF68" s="75">
        <f t="shared" si="15"/>
        <v>0</v>
      </c>
      <c r="AG68" s="76">
        <f t="shared" si="3"/>
        <v>0</v>
      </c>
      <c r="AH68" s="31" t="e" cm="1">
        <f t="array" aca="1" ref="AH68" ca="1">IF((AD68) &lt; (INDEX(ResponseSLA[#All],(MATCH((G68),ResponseSLA[Priority],0))+1,3)),"YES","No")</f>
        <v>#N/A</v>
      </c>
      <c r="AI68" s="31" t="str">
        <f>_xlfn.IFNA(IF(AE68 &lt; (INDEX(SLATable[Minimum SLA],MATCH(G68,SLATable[Priority],0))),"YES","NO"),"")</f>
        <v/>
      </c>
      <c r="AJ68" t="str">
        <f>_xlfn.IFNA(IF(AE68 &lt; (INDEX(SLATable[Maximum SLA],MATCH(G68,SLATable[Priority],0))),"YES","NO"),"")</f>
        <v/>
      </c>
    </row>
    <row r="69" spans="26:36" ht="15" customHeight="1">
      <c r="Z69" s="76" t="e">
        <f t="shared" ca="1" si="10"/>
        <v>#N/A</v>
      </c>
      <c r="AA69" s="75" t="e">
        <f t="shared" ca="1" si="11"/>
        <v>#N/A</v>
      </c>
      <c r="AB69" s="76">
        <f t="shared" ca="1" si="12"/>
        <v>0</v>
      </c>
      <c r="AC69" s="75">
        <f t="shared" ca="1" si="13"/>
        <v>0</v>
      </c>
      <c r="AD69" s="76">
        <f t="shared" ca="1" si="14"/>
        <v>12388.425643634258</v>
      </c>
      <c r="AE69" s="76">
        <f>SUMIFS(AB:AB,E:E,E69)</f>
        <v>0</v>
      </c>
      <c r="AF69" s="75">
        <f t="shared" si="15"/>
        <v>0</v>
      </c>
      <c r="AG69" s="76">
        <f t="shared" si="3"/>
        <v>0</v>
      </c>
      <c r="AH69" s="31" t="e" cm="1">
        <f t="array" aca="1" ref="AH69" ca="1">IF((AD69) &lt; (INDEX(ResponseSLA[#All],(MATCH((G69),ResponseSLA[Priority],0))+1,3)),"YES","No")</f>
        <v>#N/A</v>
      </c>
      <c r="AI69" s="31" t="str">
        <f>_xlfn.IFNA(IF(AE69 &lt; (INDEX(SLATable[Minimum SLA],MATCH(G69,SLATable[Priority],0))),"YES","NO"),"")</f>
        <v/>
      </c>
      <c r="AJ69" t="str">
        <f>_xlfn.IFNA(IF(AE69 &lt; (INDEX(SLATable[Maximum SLA],MATCH(G69,SLATable[Priority],0))),"YES","NO"),"")</f>
        <v/>
      </c>
    </row>
    <row r="70" spans="26:36" ht="15" customHeight="1">
      <c r="Z70" s="76" t="e">
        <f t="shared" ca="1" si="10"/>
        <v>#N/A</v>
      </c>
      <c r="AA70" s="75" t="e">
        <f t="shared" ca="1" si="11"/>
        <v>#N/A</v>
      </c>
      <c r="AB70" s="76">
        <f t="shared" ca="1" si="12"/>
        <v>0</v>
      </c>
      <c r="AC70" s="75">
        <f t="shared" ca="1" si="13"/>
        <v>0</v>
      </c>
      <c r="AD70" s="76">
        <f t="shared" ca="1" si="14"/>
        <v>12388.425643634258</v>
      </c>
      <c r="AE70" s="76">
        <f>SUMIFS(AB:AB,E:E,E70)</f>
        <v>0</v>
      </c>
      <c r="AF70" s="75">
        <f t="shared" si="15"/>
        <v>0</v>
      </c>
      <c r="AG70" s="76">
        <f t="shared" si="3"/>
        <v>0</v>
      </c>
      <c r="AH70" s="31" t="e" cm="1">
        <f t="array" aca="1" ref="AH70" ca="1">IF((AD70) &lt; (INDEX(ResponseSLA[#All],(MATCH((G70),ResponseSLA[Priority],0))+1,3)),"YES","No")</f>
        <v>#N/A</v>
      </c>
      <c r="AI70" s="31" t="str">
        <f>_xlfn.IFNA(IF(AE70 &lt; (INDEX(SLATable[Minimum SLA],MATCH(G70,SLATable[Priority],0))),"YES","NO"),"")</f>
        <v/>
      </c>
      <c r="AJ70" t="str">
        <f>_xlfn.IFNA(IF(AE70 &lt; (INDEX(SLATable[Maximum SLA],MATCH(G70,SLATable[Priority],0))),"YES","NO"),"")</f>
        <v/>
      </c>
    </row>
    <row r="71" spans="26:36" ht="15" customHeight="1">
      <c r="Z71" s="76" t="e">
        <f t="shared" ca="1" si="10"/>
        <v>#N/A</v>
      </c>
      <c r="AA71" s="75" t="e">
        <f t="shared" ca="1" si="11"/>
        <v>#N/A</v>
      </c>
      <c r="AB71" s="76">
        <f t="shared" ca="1" si="12"/>
        <v>0</v>
      </c>
      <c r="AC71" s="75">
        <f t="shared" ca="1" si="13"/>
        <v>0</v>
      </c>
      <c r="AD71" s="76">
        <f t="shared" ca="1" si="14"/>
        <v>12388.425643634258</v>
      </c>
      <c r="AE71" s="76">
        <f>SUMIFS(AB:AB,E:E,E71)</f>
        <v>0</v>
      </c>
      <c r="AF71" s="75">
        <f t="shared" si="15"/>
        <v>0</v>
      </c>
      <c r="AG71" s="76">
        <f t="shared" si="3"/>
        <v>0</v>
      </c>
      <c r="AH71" s="31" t="e" cm="1">
        <f t="array" aca="1" ref="AH71" ca="1">IF((AD71) &lt; (INDEX(ResponseSLA[#All],(MATCH((G71),ResponseSLA[Priority],0))+1,3)),"YES","No")</f>
        <v>#N/A</v>
      </c>
      <c r="AI71" s="31" t="str">
        <f>_xlfn.IFNA(IF(AE71 &lt; (INDEX(SLATable[Minimum SLA],MATCH(G71,SLATable[Priority],0))),"YES","NO"),"")</f>
        <v/>
      </c>
      <c r="AJ71" t="str">
        <f>_xlfn.IFNA(IF(AE71 &lt; (INDEX(SLATable[Maximum SLA],MATCH(G71,SLATable[Priority],0))),"YES","NO"),"")</f>
        <v/>
      </c>
    </row>
    <row r="72" spans="26:36" ht="15" customHeight="1">
      <c r="Z72" s="76" t="e">
        <f t="shared" ca="1" si="10"/>
        <v>#N/A</v>
      </c>
      <c r="AA72" s="75" t="e">
        <f t="shared" ca="1" si="11"/>
        <v>#N/A</v>
      </c>
      <c r="AB72" s="76">
        <f t="shared" ca="1" si="12"/>
        <v>0</v>
      </c>
      <c r="AC72" s="75">
        <f t="shared" ca="1" si="13"/>
        <v>0</v>
      </c>
      <c r="AD72" s="76">
        <f t="shared" ca="1" si="14"/>
        <v>12388.425643634258</v>
      </c>
      <c r="AE72" s="76">
        <f>SUMIFS(AB:AB,E:E,E72)</f>
        <v>0</v>
      </c>
      <c r="AF72" s="75">
        <f t="shared" si="15"/>
        <v>0</v>
      </c>
      <c r="AG72" s="76">
        <f t="shared" si="3"/>
        <v>0</v>
      </c>
      <c r="AH72" s="31" t="e" cm="1">
        <f t="array" aca="1" ref="AH72" ca="1">IF((AD72) &lt; (INDEX(ResponseSLA[#All],(MATCH((G72),ResponseSLA[Priority],0))+1,3)),"YES","No")</f>
        <v>#N/A</v>
      </c>
      <c r="AI72" s="31" t="str">
        <f>_xlfn.IFNA(IF(AE72 &lt; (INDEX(SLATable[Minimum SLA],MATCH(G72,SLATable[Priority],0))),"YES","NO"),"")</f>
        <v/>
      </c>
      <c r="AJ72" t="str">
        <f>_xlfn.IFNA(IF(AE72 &lt; (INDEX(SLATable[Maximum SLA],MATCH(G72,SLATable[Priority],0))),"YES","NO"),"")</f>
        <v/>
      </c>
    </row>
    <row r="73" spans="26:36" ht="15" customHeight="1">
      <c r="Z73" s="76" t="e">
        <f t="shared" ca="1" si="10"/>
        <v>#N/A</v>
      </c>
      <c r="AA73" s="75" t="e">
        <f t="shared" ca="1" si="11"/>
        <v>#N/A</v>
      </c>
      <c r="AB73" s="76">
        <f t="shared" ca="1" si="12"/>
        <v>0</v>
      </c>
      <c r="AC73" s="75">
        <f t="shared" ca="1" si="13"/>
        <v>0</v>
      </c>
      <c r="AD73" s="76">
        <f t="shared" ca="1" si="14"/>
        <v>12388.425643634258</v>
      </c>
      <c r="AE73" s="76">
        <f>SUMIFS(AB:AB,E:E,E73)</f>
        <v>0</v>
      </c>
      <c r="AF73" s="75">
        <f t="shared" si="15"/>
        <v>0</v>
      </c>
      <c r="AG73" s="76">
        <f t="shared" si="3"/>
        <v>0</v>
      </c>
      <c r="AH73" s="31" t="e" cm="1">
        <f t="array" aca="1" ref="AH73" ca="1">IF((AD73) &lt; (INDEX(ResponseSLA[#All],(MATCH((G73),ResponseSLA[Priority],0))+1,3)),"YES","No")</f>
        <v>#N/A</v>
      </c>
      <c r="AI73" s="31" t="str">
        <f>_xlfn.IFNA(IF(AE73 &lt; (INDEX(SLATable[Minimum SLA],MATCH(G73,SLATable[Priority],0))),"YES","NO"),"")</f>
        <v/>
      </c>
      <c r="AJ73" t="str">
        <f>_xlfn.IFNA(IF(AE73 &lt; (INDEX(SLATable[Maximum SLA],MATCH(G73,SLATable[Priority],0))),"YES","NO"),"")</f>
        <v/>
      </c>
    </row>
    <row r="74" spans="26:36" ht="15" customHeight="1">
      <c r="Z74" s="76" t="e">
        <f t="shared" ca="1" si="10"/>
        <v>#N/A</v>
      </c>
      <c r="AA74" s="75" t="e">
        <f t="shared" ca="1" si="11"/>
        <v>#N/A</v>
      </c>
      <c r="AB74" s="76">
        <f t="shared" ca="1" si="12"/>
        <v>0</v>
      </c>
      <c r="AC74" s="75">
        <f t="shared" ca="1" si="13"/>
        <v>0</v>
      </c>
      <c r="AD74" s="76">
        <f t="shared" ca="1" si="14"/>
        <v>12388.425643634258</v>
      </c>
      <c r="AE74" s="76">
        <f>SUMIFS(AB:AB,E:E,E74)</f>
        <v>0</v>
      </c>
      <c r="AF74" s="75">
        <f t="shared" si="15"/>
        <v>0</v>
      </c>
      <c r="AG74" s="76">
        <f t="shared" si="3"/>
        <v>0</v>
      </c>
      <c r="AH74" s="31" t="e" cm="1">
        <f t="array" aca="1" ref="AH74" ca="1">IF((AD74) &lt; (INDEX(ResponseSLA[#All],(MATCH((G74),ResponseSLA[Priority],0))+1,3)),"YES","No")</f>
        <v>#N/A</v>
      </c>
      <c r="AI74" s="31" t="str">
        <f>_xlfn.IFNA(IF(AE74 &lt; (INDEX(SLATable[Minimum SLA],MATCH(G74,SLATable[Priority],0))),"YES","NO"),"")</f>
        <v/>
      </c>
      <c r="AJ74" t="str">
        <f>_xlfn.IFNA(IF(AE74 &lt; (INDEX(SLATable[Maximum SLA],MATCH(G74,SLATable[Priority],0))),"YES","NO"),"")</f>
        <v/>
      </c>
    </row>
    <row r="75" spans="26:36" ht="15" customHeight="1">
      <c r="Z75" s="76" t="e">
        <f t="shared" ca="1" si="10"/>
        <v>#N/A</v>
      </c>
      <c r="AA75" s="75" t="e">
        <f t="shared" ca="1" si="11"/>
        <v>#N/A</v>
      </c>
      <c r="AB75" s="76">
        <f t="shared" ca="1" si="12"/>
        <v>0</v>
      </c>
      <c r="AC75" s="75">
        <f t="shared" ca="1" si="13"/>
        <v>0</v>
      </c>
      <c r="AD75" s="76">
        <f t="shared" ca="1" si="14"/>
        <v>12388.425643634258</v>
      </c>
      <c r="AE75" s="76">
        <f>SUMIFS(AB:AB,E:E,E75)</f>
        <v>0</v>
      </c>
      <c r="AF75" s="75">
        <f t="shared" si="15"/>
        <v>0</v>
      </c>
      <c r="AG75" s="76">
        <f t="shared" si="3"/>
        <v>0</v>
      </c>
      <c r="AH75" s="31" t="e" cm="1">
        <f t="array" aca="1" ref="AH75" ca="1">IF((AD75) &lt; (INDEX(ResponseSLA[#All],(MATCH((G75),ResponseSLA[Priority],0))+1,3)),"YES","No")</f>
        <v>#N/A</v>
      </c>
      <c r="AI75" s="31" t="str">
        <f>_xlfn.IFNA(IF(AE75 &lt; (INDEX(SLATable[Minimum SLA],MATCH(G75,SLATable[Priority],0))),"YES","NO"),"")</f>
        <v/>
      </c>
      <c r="AJ75" t="str">
        <f>_xlfn.IFNA(IF(AE75 &lt; (INDEX(SLATable[Maximum SLA],MATCH(G75,SLATable[Priority],0))),"YES","NO"),"")</f>
        <v/>
      </c>
    </row>
    <row r="76" spans="26:36" ht="15" customHeight="1">
      <c r="Z76" s="76" t="e">
        <f t="shared" ca="1" si="10"/>
        <v>#N/A</v>
      </c>
      <c r="AA76" s="75" t="e">
        <f t="shared" ca="1" si="11"/>
        <v>#N/A</v>
      </c>
      <c r="AB76" s="76">
        <f t="shared" ca="1" si="12"/>
        <v>0</v>
      </c>
      <c r="AC76" s="75">
        <f t="shared" ca="1" si="13"/>
        <v>0</v>
      </c>
      <c r="AD76" s="76">
        <f t="shared" ca="1" si="14"/>
        <v>12388.425643634258</v>
      </c>
      <c r="AE76" s="76">
        <f>SUMIFS(AB:AB,E:E,E76)</f>
        <v>0</v>
      </c>
      <c r="AF76" s="75">
        <f t="shared" si="15"/>
        <v>0</v>
      </c>
      <c r="AG76" s="76">
        <f t="shared" si="3"/>
        <v>0</v>
      </c>
      <c r="AH76" s="31" t="e" cm="1">
        <f t="array" aca="1" ref="AH76" ca="1">IF((AD76) &lt; (INDEX(ResponseSLA[#All],(MATCH((G76),ResponseSLA[Priority],0))+1,3)),"YES","No")</f>
        <v>#N/A</v>
      </c>
      <c r="AI76" s="31" t="str">
        <f>_xlfn.IFNA(IF(AE76 &lt; (INDEX(SLATable[Minimum SLA],MATCH(G76,SLATable[Priority],0))),"YES","NO"),"")</f>
        <v/>
      </c>
      <c r="AJ76" t="str">
        <f>_xlfn.IFNA(IF(AE76 &lt; (INDEX(SLATable[Maximum SLA],MATCH(G76,SLATable[Priority],0))),"YES","NO"),"")</f>
        <v/>
      </c>
    </row>
    <row r="77" spans="26:36" ht="15" customHeight="1">
      <c r="Z77" s="76" t="e">
        <f t="shared" ca="1" si="10"/>
        <v>#N/A</v>
      </c>
      <c r="AA77" s="75" t="e">
        <f t="shared" ca="1" si="11"/>
        <v>#N/A</v>
      </c>
      <c r="AB77" s="76">
        <f t="shared" ca="1" si="12"/>
        <v>0</v>
      </c>
      <c r="AC77" s="75">
        <f t="shared" ca="1" si="13"/>
        <v>0</v>
      </c>
      <c r="AD77" s="76">
        <f t="shared" ca="1" si="14"/>
        <v>12388.425643634258</v>
      </c>
      <c r="AE77" s="76">
        <f>SUMIFS(AB:AB,E:E,E77)</f>
        <v>0</v>
      </c>
      <c r="AF77" s="75">
        <f t="shared" si="15"/>
        <v>0</v>
      </c>
      <c r="AG77" s="76">
        <f t="shared" si="3"/>
        <v>0</v>
      </c>
      <c r="AH77" s="31" t="e" cm="1">
        <f t="array" aca="1" ref="AH77" ca="1">IF((AD77) &lt; (INDEX(ResponseSLA[#All],(MATCH((G77),ResponseSLA[Priority],0))+1,3)),"YES","No")</f>
        <v>#N/A</v>
      </c>
      <c r="AI77" s="31" t="str">
        <f>_xlfn.IFNA(IF(AE77 &lt; (INDEX(SLATable[Minimum SLA],MATCH(G77,SLATable[Priority],0))),"YES","NO"),"")</f>
        <v/>
      </c>
      <c r="AJ77" t="str">
        <f>_xlfn.IFNA(IF(AE77 &lt; (INDEX(SLATable[Maximum SLA],MATCH(G77,SLATable[Priority],0))),"YES","NO"),"")</f>
        <v/>
      </c>
    </row>
    <row r="78" spans="26:36" ht="15" customHeight="1">
      <c r="Z78" s="76" t="e">
        <f t="shared" ca="1" si="10"/>
        <v>#N/A</v>
      </c>
      <c r="AA78" s="75" t="e">
        <f t="shared" ca="1" si="11"/>
        <v>#N/A</v>
      </c>
      <c r="AB78" s="76">
        <f t="shared" ca="1" si="12"/>
        <v>0</v>
      </c>
      <c r="AC78" s="75">
        <f t="shared" ca="1" si="13"/>
        <v>0</v>
      </c>
      <c r="AD78" s="76">
        <f t="shared" ca="1" si="14"/>
        <v>12388.425643634258</v>
      </c>
      <c r="AE78" s="76">
        <f>SUMIFS(AB:AB,E:E,E78)</f>
        <v>0</v>
      </c>
      <c r="AF78" s="75">
        <f t="shared" si="15"/>
        <v>0</v>
      </c>
      <c r="AG78" s="76">
        <f t="shared" si="3"/>
        <v>0</v>
      </c>
      <c r="AH78" s="31" t="e" cm="1">
        <f t="array" aca="1" ref="AH78" ca="1">IF((AD78) &lt; (INDEX(ResponseSLA[#All],(MATCH((G78),ResponseSLA[Priority],0))+1,3)),"YES","No")</f>
        <v>#N/A</v>
      </c>
      <c r="AI78" s="31" t="str">
        <f>_xlfn.IFNA(IF(AE78 &lt; (INDEX(SLATable[Minimum SLA],MATCH(G78,SLATable[Priority],0))),"YES","NO"),"")</f>
        <v/>
      </c>
      <c r="AJ78" t="str">
        <f>_xlfn.IFNA(IF(AE78 &lt; (INDEX(SLATable[Maximum SLA],MATCH(G78,SLATable[Priority],0))),"YES","NO"),"")</f>
        <v/>
      </c>
    </row>
    <row r="79" spans="26:36" ht="15" customHeight="1">
      <c r="Z79" s="76" t="e">
        <f t="shared" ca="1" si="10"/>
        <v>#N/A</v>
      </c>
      <c r="AA79" s="75" t="e">
        <f t="shared" ca="1" si="11"/>
        <v>#N/A</v>
      </c>
      <c r="AB79" s="76">
        <f t="shared" ca="1" si="12"/>
        <v>0</v>
      </c>
      <c r="AC79" s="75">
        <f t="shared" ca="1" si="13"/>
        <v>0</v>
      </c>
      <c r="AD79" s="76">
        <f t="shared" ca="1" si="14"/>
        <v>12388.425643634258</v>
      </c>
      <c r="AE79" s="76">
        <f>SUMIFS(AB:AB,E:E,E79)</f>
        <v>0</v>
      </c>
      <c r="AF79" s="75">
        <f t="shared" si="15"/>
        <v>0</v>
      </c>
      <c r="AG79" s="76">
        <f t="shared" si="3"/>
        <v>0</v>
      </c>
      <c r="AH79" s="31" t="e" cm="1">
        <f t="array" aca="1" ref="AH79" ca="1">IF((AD79) &lt; (INDEX(ResponseSLA[#All],(MATCH((G79),ResponseSLA[Priority],0))+1,3)),"YES","No")</f>
        <v>#N/A</v>
      </c>
      <c r="AI79" s="31" t="str">
        <f>_xlfn.IFNA(IF(AE79 &lt; (INDEX(SLATable[Minimum SLA],MATCH(G79,SLATable[Priority],0))),"YES","NO"),"")</f>
        <v/>
      </c>
      <c r="AJ79" t="str">
        <f>_xlfn.IFNA(IF(AE79 &lt; (INDEX(SLATable[Maximum SLA],MATCH(G79,SLATable[Priority],0))),"YES","NO"),"")</f>
        <v/>
      </c>
    </row>
    <row r="80" spans="26:36" ht="15" customHeight="1">
      <c r="Z80" s="76" t="e">
        <f t="shared" ca="1" si="10"/>
        <v>#N/A</v>
      </c>
      <c r="AA80" s="75" t="e">
        <f t="shared" ca="1" si="11"/>
        <v>#N/A</v>
      </c>
      <c r="AB80" s="76">
        <f t="shared" ca="1" si="12"/>
        <v>0</v>
      </c>
      <c r="AC80" s="75">
        <f t="shared" ca="1" si="13"/>
        <v>0</v>
      </c>
      <c r="AD80" s="76">
        <f t="shared" ca="1" si="14"/>
        <v>12388.425643634258</v>
      </c>
      <c r="AE80" s="76">
        <f>SUMIFS(AB:AB,E:E,E80)</f>
        <v>0</v>
      </c>
      <c r="AF80" s="75">
        <f t="shared" si="15"/>
        <v>0</v>
      </c>
      <c r="AG80" s="76">
        <f t="shared" si="3"/>
        <v>0</v>
      </c>
      <c r="AH80" s="31" t="e" cm="1">
        <f t="array" aca="1" ref="AH80" ca="1">IF((AD80) &lt; (INDEX(ResponseSLA[#All],(MATCH((G80),ResponseSLA[Priority],0))+1,3)),"YES","No")</f>
        <v>#N/A</v>
      </c>
      <c r="AI80" s="31" t="str">
        <f>_xlfn.IFNA(IF(AE80 &lt; (INDEX(SLATable[Minimum SLA],MATCH(G80,SLATable[Priority],0))),"YES","NO"),"")</f>
        <v/>
      </c>
      <c r="AJ80" t="str">
        <f>_xlfn.IFNA(IF(AE80 &lt; (INDEX(SLATable[Maximum SLA],MATCH(G80,SLATable[Priority],0))),"YES","NO"),"")</f>
        <v/>
      </c>
    </row>
    <row r="81" spans="26:36" ht="15" customHeight="1">
      <c r="Z81" s="76" t="e">
        <f t="shared" ca="1" si="10"/>
        <v>#N/A</v>
      </c>
      <c r="AA81" s="75" t="e">
        <f t="shared" ca="1" si="11"/>
        <v>#N/A</v>
      </c>
      <c r="AB81" s="76">
        <f t="shared" ca="1" si="12"/>
        <v>0</v>
      </c>
      <c r="AC81" s="75">
        <f t="shared" ca="1" si="13"/>
        <v>0</v>
      </c>
      <c r="AD81" s="76">
        <f t="shared" ca="1" si="14"/>
        <v>12388.425643634258</v>
      </c>
      <c r="AE81" s="76">
        <f>SUMIFS(AB:AB,E:E,E81)</f>
        <v>0</v>
      </c>
      <c r="AF81" s="75">
        <f t="shared" si="15"/>
        <v>0</v>
      </c>
      <c r="AG81" s="76">
        <f t="shared" si="3"/>
        <v>0</v>
      </c>
      <c r="AH81" s="31" t="e" cm="1">
        <f t="array" aca="1" ref="AH81" ca="1">IF((AD81) &lt; (INDEX(ResponseSLA[#All],(MATCH((G81),ResponseSLA[Priority],0))+1,3)),"YES","No")</f>
        <v>#N/A</v>
      </c>
      <c r="AI81" s="31" t="str">
        <f>_xlfn.IFNA(IF(AE81 &lt; (INDEX(SLATable[Minimum SLA],MATCH(G81,SLATable[Priority],0))),"YES","NO"),"")</f>
        <v/>
      </c>
      <c r="AJ81" t="str">
        <f>_xlfn.IFNA(IF(AE81 &lt; (INDEX(SLATable[Maximum SLA],MATCH(G81,SLATable[Priority],0))),"YES","NO"),"")</f>
        <v/>
      </c>
    </row>
    <row r="82" spans="26:36" ht="15" customHeight="1">
      <c r="Z82" s="76" t="e">
        <f t="shared" ca="1" si="10"/>
        <v>#N/A</v>
      </c>
      <c r="AA82" s="75" t="e">
        <f t="shared" ca="1" si="11"/>
        <v>#N/A</v>
      </c>
      <c r="AB82" s="76">
        <f t="shared" ca="1" si="12"/>
        <v>0</v>
      </c>
      <c r="AC82" s="75">
        <f t="shared" ca="1" si="13"/>
        <v>0</v>
      </c>
      <c r="AD82" s="76">
        <f t="shared" ca="1" si="14"/>
        <v>12388.425643634258</v>
      </c>
      <c r="AE82" s="76">
        <f>SUMIFS(AB:AB,E:E,E82)</f>
        <v>0</v>
      </c>
      <c r="AF82" s="75">
        <f t="shared" si="15"/>
        <v>0</v>
      </c>
      <c r="AG82" s="76">
        <f t="shared" si="3"/>
        <v>0</v>
      </c>
      <c r="AH82" s="31" t="e" cm="1">
        <f t="array" aca="1" ref="AH82" ca="1">IF((AD82) &lt; (INDEX(ResponseSLA[#All],(MATCH((G82),ResponseSLA[Priority],0))+1,3)),"YES","No")</f>
        <v>#N/A</v>
      </c>
      <c r="AI82" s="31" t="str">
        <f>_xlfn.IFNA(IF(AE82 &lt; (INDEX(SLATable[Minimum SLA],MATCH(G82,SLATable[Priority],0))),"YES","NO"),"")</f>
        <v/>
      </c>
      <c r="AJ82" t="str">
        <f>_xlfn.IFNA(IF(AE82 &lt; (INDEX(SLATable[Maximum SLA],MATCH(G82,SLATable[Priority],0))),"YES","NO"),"")</f>
        <v/>
      </c>
    </row>
    <row r="83" spans="26:36" ht="15" customHeight="1">
      <c r="Z83" s="76" t="e">
        <f t="shared" ca="1" si="10"/>
        <v>#N/A</v>
      </c>
      <c r="AA83" s="75" t="e">
        <f t="shared" ca="1" si="11"/>
        <v>#N/A</v>
      </c>
      <c r="AB83" s="76">
        <f t="shared" ca="1" si="12"/>
        <v>0</v>
      </c>
      <c r="AC83" s="75">
        <f t="shared" ca="1" si="13"/>
        <v>0</v>
      </c>
      <c r="AD83" s="76">
        <f t="shared" ca="1" si="14"/>
        <v>12388.425643634258</v>
      </c>
      <c r="AE83" s="76">
        <f>SUMIFS(AB:AB,E:E,E83)</f>
        <v>0</v>
      </c>
      <c r="AF83" s="75">
        <f t="shared" si="15"/>
        <v>0</v>
      </c>
      <c r="AG83" s="76">
        <f t="shared" si="3"/>
        <v>0</v>
      </c>
      <c r="AH83" s="31" t="e" cm="1">
        <f t="array" aca="1" ref="AH83" ca="1">IF((AD83) &lt; (INDEX(ResponseSLA[#All],(MATCH((G83),ResponseSLA[Priority],0))+1,3)),"YES","No")</f>
        <v>#N/A</v>
      </c>
      <c r="AI83" s="31" t="str">
        <f>_xlfn.IFNA(IF(AE83 &lt; (INDEX(SLATable[Minimum SLA],MATCH(G83,SLATable[Priority],0))),"YES","NO"),"")</f>
        <v/>
      </c>
      <c r="AJ83" t="str">
        <f>_xlfn.IFNA(IF(AE83 &lt; (INDEX(SLATable[Maximum SLA],MATCH(G83,SLATable[Priority],0))),"YES","NO"),"")</f>
        <v/>
      </c>
    </row>
    <row r="84" spans="26:36" ht="15" customHeight="1">
      <c r="Z84" s="76" t="e">
        <f t="shared" ca="1" si="10"/>
        <v>#N/A</v>
      </c>
      <c r="AA84" s="75" t="e">
        <f t="shared" ca="1" si="11"/>
        <v>#N/A</v>
      </c>
      <c r="AB84" s="76">
        <f t="shared" ca="1" si="12"/>
        <v>0</v>
      </c>
      <c r="AC84" s="75">
        <f t="shared" ca="1" si="13"/>
        <v>0</v>
      </c>
      <c r="AD84" s="76">
        <f t="shared" ca="1" si="14"/>
        <v>12388.425643634258</v>
      </c>
      <c r="AE84" s="76">
        <f>SUMIFS(AB:AB,E:E,E84)</f>
        <v>0</v>
      </c>
      <c r="AF84" s="75">
        <f t="shared" si="15"/>
        <v>0</v>
      </c>
      <c r="AG84" s="76">
        <f t="shared" si="3"/>
        <v>0</v>
      </c>
      <c r="AH84" s="31" t="e" cm="1">
        <f t="array" aca="1" ref="AH84" ca="1">IF((AD84) &lt; (INDEX(ResponseSLA[#All],(MATCH((G84),ResponseSLA[Priority],0))+1,3)),"YES","No")</f>
        <v>#N/A</v>
      </c>
      <c r="AI84" s="31" t="str">
        <f>_xlfn.IFNA(IF(AE84 &lt; (INDEX(SLATable[Minimum SLA],MATCH(G84,SLATable[Priority],0))),"YES","NO"),"")</f>
        <v/>
      </c>
      <c r="AJ84" t="str">
        <f>_xlfn.IFNA(IF(AE84 &lt; (INDEX(SLATable[Maximum SLA],MATCH(G84,SLATable[Priority],0))),"YES","NO"),"")</f>
        <v/>
      </c>
    </row>
    <row r="85" spans="26:36" ht="15" customHeight="1">
      <c r="Z85" s="76" t="e">
        <f t="shared" ca="1" si="10"/>
        <v>#N/A</v>
      </c>
      <c r="AA85" s="75" t="e">
        <f t="shared" ca="1" si="11"/>
        <v>#N/A</v>
      </c>
      <c r="AB85" s="76">
        <f t="shared" ca="1" si="12"/>
        <v>0</v>
      </c>
      <c r="AC85" s="75">
        <f t="shared" ca="1" si="13"/>
        <v>0</v>
      </c>
      <c r="AD85" s="76">
        <f t="shared" ca="1" si="14"/>
        <v>12388.425643634258</v>
      </c>
      <c r="AE85" s="76">
        <f>SUMIFS(AB:AB,E:E,E85)</f>
        <v>0</v>
      </c>
      <c r="AF85" s="75">
        <f t="shared" si="15"/>
        <v>0</v>
      </c>
      <c r="AG85" s="76">
        <f t="shared" si="3"/>
        <v>0</v>
      </c>
      <c r="AH85" s="31" t="e" cm="1">
        <f t="array" aca="1" ref="AH85" ca="1">IF((AD85) &lt; (INDEX(ResponseSLA[#All],(MATCH((G85),ResponseSLA[Priority],0))+1,3)),"YES","No")</f>
        <v>#N/A</v>
      </c>
      <c r="AI85" s="31" t="str">
        <f>_xlfn.IFNA(IF(AE85 &lt; (INDEX(SLATable[Minimum SLA],MATCH(G85,SLATable[Priority],0))),"YES","NO"),"")</f>
        <v/>
      </c>
      <c r="AJ85" t="str">
        <f>_xlfn.IFNA(IF(AE85 &lt; (INDEX(SLATable[Maximum SLA],MATCH(G85,SLATable[Priority],0))),"YES","NO"),"")</f>
        <v/>
      </c>
    </row>
    <row r="86" spans="26:36" ht="15" customHeight="1">
      <c r="Z86" s="76" t="e">
        <f t="shared" ca="1" si="10"/>
        <v>#N/A</v>
      </c>
      <c r="AA86" s="75" t="e">
        <f t="shared" ca="1" si="11"/>
        <v>#N/A</v>
      </c>
      <c r="AB86" s="76">
        <f t="shared" ca="1" si="12"/>
        <v>0</v>
      </c>
      <c r="AC86" s="75">
        <f t="shared" ca="1" si="13"/>
        <v>0</v>
      </c>
      <c r="AD86" s="76">
        <f t="shared" ca="1" si="14"/>
        <v>12388.425643634258</v>
      </c>
      <c r="AE86" s="76">
        <f>SUMIFS(AB:AB,E:E,E86)</f>
        <v>0</v>
      </c>
      <c r="AF86" s="75">
        <f t="shared" si="15"/>
        <v>0</v>
      </c>
      <c r="AG86" s="76">
        <f t="shared" si="3"/>
        <v>0</v>
      </c>
      <c r="AH86" s="31" t="e" cm="1">
        <f t="array" aca="1" ref="AH86" ca="1">IF((AD86) &lt; (INDEX(ResponseSLA[#All],(MATCH((G86),ResponseSLA[Priority],0))+1,3)),"YES","No")</f>
        <v>#N/A</v>
      </c>
      <c r="AI86" s="31" t="str">
        <f>_xlfn.IFNA(IF(AE86 &lt; (INDEX(SLATable[Minimum SLA],MATCH(G86,SLATable[Priority],0))),"YES","NO"),"")</f>
        <v/>
      </c>
      <c r="AJ86" t="str">
        <f>_xlfn.IFNA(IF(AE86 &lt; (INDEX(SLATable[Maximum SLA],MATCH(G86,SLATable[Priority],0))),"YES","NO"),"")</f>
        <v/>
      </c>
    </row>
    <row r="87" spans="26:36" ht="15" customHeight="1">
      <c r="Z87" s="76" t="e">
        <f t="shared" ca="1" si="10"/>
        <v>#N/A</v>
      </c>
      <c r="AA87" s="75" t="e">
        <f t="shared" ca="1" si="11"/>
        <v>#N/A</v>
      </c>
      <c r="AB87" s="76">
        <f t="shared" ca="1" si="12"/>
        <v>0</v>
      </c>
      <c r="AC87" s="75">
        <f t="shared" ca="1" si="13"/>
        <v>0</v>
      </c>
      <c r="AD87" s="76">
        <f t="shared" ca="1" si="14"/>
        <v>12388.425643634258</v>
      </c>
      <c r="AE87" s="76">
        <f>SUMIFS(AB:AB,E:E,E87)</f>
        <v>0</v>
      </c>
      <c r="AF87" s="75">
        <f t="shared" si="15"/>
        <v>0</v>
      </c>
      <c r="AG87" s="76">
        <f t="shared" si="3"/>
        <v>0</v>
      </c>
      <c r="AH87" s="31" t="e" cm="1">
        <f t="array" aca="1" ref="AH87" ca="1">IF((AD87) &lt; (INDEX(ResponseSLA[#All],(MATCH((G87),ResponseSLA[Priority],0))+1,3)),"YES","No")</f>
        <v>#N/A</v>
      </c>
      <c r="AI87" s="31" t="str">
        <f>_xlfn.IFNA(IF(AE87 &lt; (INDEX(SLATable[Minimum SLA],MATCH(G87,SLATable[Priority],0))),"YES","NO"),"")</f>
        <v/>
      </c>
      <c r="AJ87" t="str">
        <f>_xlfn.IFNA(IF(AE87 &lt; (INDEX(SLATable[Maximum SLA],MATCH(G87,SLATable[Priority],0))),"YES","NO"),"")</f>
        <v/>
      </c>
    </row>
    <row r="88" spans="26:36" ht="15" customHeight="1">
      <c r="Z88" s="76" t="e">
        <f t="shared" ca="1" si="10"/>
        <v>#N/A</v>
      </c>
      <c r="AA88" s="75" t="e">
        <f t="shared" ca="1" si="11"/>
        <v>#N/A</v>
      </c>
      <c r="AB88" s="76">
        <f t="shared" ca="1" si="12"/>
        <v>0</v>
      </c>
      <c r="AC88" s="75">
        <f t="shared" ca="1" si="13"/>
        <v>0</v>
      </c>
      <c r="AD88" s="76">
        <f t="shared" ca="1" si="14"/>
        <v>12388.425643634258</v>
      </c>
      <c r="AE88" s="76">
        <f>SUMIFS(AB:AB,E:E,E88)</f>
        <v>0</v>
      </c>
      <c r="AF88" s="75">
        <f t="shared" si="15"/>
        <v>0</v>
      </c>
      <c r="AG88" s="76">
        <f t="shared" si="3"/>
        <v>0</v>
      </c>
      <c r="AH88" s="31" t="e" cm="1">
        <f t="array" aca="1" ref="AH88" ca="1">IF((AD88) &lt; (INDEX(ResponseSLA[#All],(MATCH((G88),ResponseSLA[Priority],0))+1,3)),"YES","No")</f>
        <v>#N/A</v>
      </c>
      <c r="AI88" s="31" t="str">
        <f>_xlfn.IFNA(IF(AE88 &lt; (INDEX(SLATable[Minimum SLA],MATCH(G88,SLATable[Priority],0))),"YES","NO"),"")</f>
        <v/>
      </c>
      <c r="AJ88" t="str">
        <f>_xlfn.IFNA(IF(AE88 &lt; (INDEX(SLATable[Maximum SLA],MATCH(G88,SLATable[Priority],0))),"YES","NO"),"")</f>
        <v/>
      </c>
    </row>
    <row r="89" spans="26:36" ht="15" customHeight="1">
      <c r="Z89" s="76" t="e">
        <f t="shared" ca="1" si="10"/>
        <v>#N/A</v>
      </c>
      <c r="AA89" s="75" t="e">
        <f t="shared" ca="1" si="11"/>
        <v>#N/A</v>
      </c>
      <c r="AB89" s="76">
        <f t="shared" ca="1" si="12"/>
        <v>0</v>
      </c>
      <c r="AC89" s="75">
        <f t="shared" ca="1" si="13"/>
        <v>0</v>
      </c>
      <c r="AD89" s="76">
        <f t="shared" ca="1" si="14"/>
        <v>12388.425643634258</v>
      </c>
      <c r="AE89" s="76">
        <f>SUMIFS(AB:AB,E:E,E89)</f>
        <v>0</v>
      </c>
      <c r="AF89" s="75">
        <f t="shared" si="15"/>
        <v>0</v>
      </c>
      <c r="AG89" s="76">
        <f t="shared" si="3"/>
        <v>0</v>
      </c>
      <c r="AH89" s="31" t="e" cm="1">
        <f t="array" aca="1" ref="AH89" ca="1">IF((AD89) &lt; (INDEX(ResponseSLA[#All],(MATCH((G89),ResponseSLA[Priority],0))+1,3)),"YES","No")</f>
        <v>#N/A</v>
      </c>
      <c r="AI89" s="31" t="str">
        <f>_xlfn.IFNA(IF(AE89 &lt; (INDEX(SLATable[Minimum SLA],MATCH(G89,SLATable[Priority],0))),"YES","NO"),"")</f>
        <v/>
      </c>
      <c r="AJ89" t="str">
        <f>_xlfn.IFNA(IF(AE89 &lt; (INDEX(SLATable[Maximum SLA],MATCH(G89,SLATable[Priority],0))),"YES","NO"),"")</f>
        <v/>
      </c>
    </row>
    <row r="90" spans="26:36" ht="15" customHeight="1">
      <c r="Z90" s="76" t="e">
        <f t="shared" ca="1" si="10"/>
        <v>#N/A</v>
      </c>
      <c r="AA90" s="75" t="e">
        <f t="shared" ca="1" si="11"/>
        <v>#N/A</v>
      </c>
      <c r="AB90" s="76">
        <f t="shared" ca="1" si="12"/>
        <v>0</v>
      </c>
      <c r="AC90" s="75">
        <f t="shared" ca="1" si="13"/>
        <v>0</v>
      </c>
      <c r="AD90" s="76">
        <f t="shared" ca="1" si="14"/>
        <v>12388.425643634258</v>
      </c>
      <c r="AE90" s="76">
        <f>SUMIFS(AB:AB,E:E,E90)</f>
        <v>0</v>
      </c>
      <c r="AF90" s="75">
        <f t="shared" si="15"/>
        <v>0</v>
      </c>
      <c r="AG90" s="76">
        <f t="shared" si="3"/>
        <v>0</v>
      </c>
      <c r="AH90" s="31" t="e" cm="1">
        <f t="array" aca="1" ref="AH90" ca="1">IF((AD90) &lt; (INDEX(ResponseSLA[#All],(MATCH((G90),ResponseSLA[Priority],0))+1,3)),"YES","No")</f>
        <v>#N/A</v>
      </c>
      <c r="AI90" s="31" t="str">
        <f>_xlfn.IFNA(IF(AE90 &lt; (INDEX(SLATable[Minimum SLA],MATCH(G90,SLATable[Priority],0))),"YES","NO"),"")</f>
        <v/>
      </c>
      <c r="AJ90" t="str">
        <f>_xlfn.IFNA(IF(AE90 &lt; (INDEX(SLATable[Maximum SLA],MATCH(G90,SLATable[Priority],0))),"YES","NO"),"")</f>
        <v/>
      </c>
    </row>
    <row r="91" spans="26:36" ht="15" customHeight="1">
      <c r="Z91" s="76" t="e">
        <f t="shared" ca="1" si="10"/>
        <v>#N/A</v>
      </c>
      <c r="AA91" s="75" t="e">
        <f t="shared" ca="1" si="11"/>
        <v>#N/A</v>
      </c>
      <c r="AB91" s="76">
        <f t="shared" ca="1" si="12"/>
        <v>0</v>
      </c>
      <c r="AC91" s="75">
        <f t="shared" ca="1" si="13"/>
        <v>0</v>
      </c>
      <c r="AD91" s="76">
        <f t="shared" ca="1" si="14"/>
        <v>12388.425643634258</v>
      </c>
      <c r="AE91" s="76">
        <f>SUMIFS(AB:AB,E:E,E91)</f>
        <v>0</v>
      </c>
      <c r="AF91" s="75">
        <f t="shared" si="15"/>
        <v>0</v>
      </c>
      <c r="AG91" s="76">
        <f t="shared" si="3"/>
        <v>0</v>
      </c>
      <c r="AH91" s="31" t="e" cm="1">
        <f t="array" aca="1" ref="AH91" ca="1">IF((AD91) &lt; (INDEX(ResponseSLA[#All],(MATCH((G91),ResponseSLA[Priority],0))+1,3)),"YES","No")</f>
        <v>#N/A</v>
      </c>
      <c r="AI91" s="31" t="str">
        <f>_xlfn.IFNA(IF(AE91 &lt; (INDEX(SLATable[Minimum SLA],MATCH(G91,SLATable[Priority],0))),"YES","NO"),"")</f>
        <v/>
      </c>
      <c r="AJ91" t="str">
        <f>_xlfn.IFNA(IF(AE91 &lt; (INDEX(SLATable[Maximum SLA],MATCH(G91,SLATable[Priority],0))),"YES","NO"),"")</f>
        <v/>
      </c>
    </row>
    <row r="92" spans="26:36" ht="15" customHeight="1">
      <c r="Z92" s="76" t="e">
        <f t="shared" ca="1" si="10"/>
        <v>#N/A</v>
      </c>
      <c r="AA92" s="75" t="e">
        <f t="shared" ca="1" si="11"/>
        <v>#N/A</v>
      </c>
      <c r="AB92" s="76">
        <f t="shared" ca="1" si="12"/>
        <v>0</v>
      </c>
      <c r="AC92" s="75">
        <f t="shared" ca="1" si="13"/>
        <v>0</v>
      </c>
      <c r="AD92" s="76">
        <f t="shared" ca="1" si="14"/>
        <v>12388.425643634258</v>
      </c>
      <c r="AE92" s="76">
        <f>SUMIFS(AB:AB,E:E,E92)</f>
        <v>0</v>
      </c>
      <c r="AF92" s="75">
        <f t="shared" si="15"/>
        <v>0</v>
      </c>
      <c r="AG92" s="76">
        <f t="shared" si="3"/>
        <v>0</v>
      </c>
      <c r="AH92" s="31" t="e" cm="1">
        <f t="array" aca="1" ref="AH92" ca="1">IF((AD92) &lt; (INDEX(ResponseSLA[#All],(MATCH((G92),ResponseSLA[Priority],0))+1,3)),"YES","No")</f>
        <v>#N/A</v>
      </c>
      <c r="AI92" s="31" t="str">
        <f>_xlfn.IFNA(IF(AE92 &lt; (INDEX(SLATable[Minimum SLA],MATCH(G92,SLATable[Priority],0))),"YES","NO"),"")</f>
        <v/>
      </c>
      <c r="AJ92" t="str">
        <f>_xlfn.IFNA(IF(AE92 &lt; (INDEX(SLATable[Maximum SLA],MATCH(G92,SLATable[Priority],0))),"YES","NO"),"")</f>
        <v/>
      </c>
    </row>
    <row r="93" spans="26:36" ht="15" customHeight="1">
      <c r="Z93" s="76" t="e">
        <f t="shared" ca="1" si="10"/>
        <v>#N/A</v>
      </c>
      <c r="AA93" s="75" t="e">
        <f t="shared" ca="1" si="11"/>
        <v>#N/A</v>
      </c>
      <c r="AB93" s="76">
        <f t="shared" ca="1" si="12"/>
        <v>0</v>
      </c>
      <c r="AC93" s="75">
        <f t="shared" ca="1" si="13"/>
        <v>0</v>
      </c>
      <c r="AD93" s="76">
        <f t="shared" ca="1" si="14"/>
        <v>12388.425643634258</v>
      </c>
      <c r="AE93" s="76">
        <f>SUMIFS(AB:AB,E:E,E93)</f>
        <v>0</v>
      </c>
      <c r="AF93" s="75">
        <f t="shared" si="15"/>
        <v>0</v>
      </c>
      <c r="AG93" s="76">
        <f t="shared" si="3"/>
        <v>0</v>
      </c>
      <c r="AH93" s="31" t="e" cm="1">
        <f t="array" aca="1" ref="AH93" ca="1">IF((AD93) &lt; (INDEX(ResponseSLA[#All],(MATCH((G93),ResponseSLA[Priority],0))+1,3)),"YES","No")</f>
        <v>#N/A</v>
      </c>
      <c r="AI93" s="31" t="str">
        <f>_xlfn.IFNA(IF(AE93 &lt; (INDEX(SLATable[Minimum SLA],MATCH(G93,SLATable[Priority],0))),"YES","NO"),"")</f>
        <v/>
      </c>
      <c r="AJ93" t="str">
        <f>_xlfn.IFNA(IF(AE93 &lt; (INDEX(SLATable[Maximum SLA],MATCH(G93,SLATable[Priority],0))),"YES","NO"),"")</f>
        <v/>
      </c>
    </row>
    <row r="94" spans="26:36" ht="15" customHeight="1">
      <c r="Z94" s="76" t="e">
        <f t="shared" ca="1" si="10"/>
        <v>#N/A</v>
      </c>
      <c r="AA94" s="75" t="e">
        <f t="shared" ca="1" si="11"/>
        <v>#N/A</v>
      </c>
      <c r="AB94" s="76">
        <f t="shared" ca="1" si="12"/>
        <v>0</v>
      </c>
      <c r="AC94" s="75">
        <f t="shared" ca="1" si="13"/>
        <v>0</v>
      </c>
      <c r="AD94" s="76">
        <f t="shared" ca="1" si="14"/>
        <v>12388.425643634258</v>
      </c>
      <c r="AE94" s="76">
        <f>SUMIFS(AB:AB,E:E,E94)</f>
        <v>0</v>
      </c>
      <c r="AF94" s="75">
        <f t="shared" si="15"/>
        <v>0</v>
      </c>
      <c r="AG94" s="76">
        <f t="shared" si="3"/>
        <v>0</v>
      </c>
      <c r="AH94" s="31" t="e" cm="1">
        <f t="array" aca="1" ref="AH94" ca="1">IF((AD94) &lt; (INDEX(ResponseSLA[#All],(MATCH((G94),ResponseSLA[Priority],0))+1,3)),"YES","No")</f>
        <v>#N/A</v>
      </c>
      <c r="AI94" s="31" t="str">
        <f>_xlfn.IFNA(IF(AE94 &lt; (INDEX(SLATable[Minimum SLA],MATCH(G94,SLATable[Priority],0))),"YES","NO"),"")</f>
        <v/>
      </c>
      <c r="AJ94" t="str">
        <f>_xlfn.IFNA(IF(AE94 &lt; (INDEX(SLATable[Maximum SLA],MATCH(G94,SLATable[Priority],0))),"YES","NO"),"")</f>
        <v/>
      </c>
    </row>
    <row r="95" spans="26:36" ht="15" customHeight="1">
      <c r="Z95" s="76" t="e">
        <f t="shared" ca="1" si="10"/>
        <v>#N/A</v>
      </c>
      <c r="AA95" s="75" t="e">
        <f t="shared" ca="1" si="11"/>
        <v>#N/A</v>
      </c>
      <c r="AB95" s="76">
        <f t="shared" ca="1" si="12"/>
        <v>0</v>
      </c>
      <c r="AC95" s="75">
        <f t="shared" ca="1" si="13"/>
        <v>0</v>
      </c>
      <c r="AD95" s="76">
        <f t="shared" ca="1" si="14"/>
        <v>12388.425643634258</v>
      </c>
      <c r="AE95" s="76">
        <f>SUMIFS(AB:AB,E:E,E95)</f>
        <v>0</v>
      </c>
      <c r="AF95" s="75">
        <f t="shared" si="15"/>
        <v>0</v>
      </c>
      <c r="AG95" s="76">
        <f t="shared" si="3"/>
        <v>0</v>
      </c>
      <c r="AH95" s="31" t="e" cm="1">
        <f t="array" aca="1" ref="AH95" ca="1">IF((AD95) &lt; (INDEX(ResponseSLA[#All],(MATCH((G95),ResponseSLA[Priority],0))+1,3)),"YES","No")</f>
        <v>#N/A</v>
      </c>
      <c r="AI95" s="31" t="str">
        <f>_xlfn.IFNA(IF(AE95 &lt; (INDEX(SLATable[Minimum SLA],MATCH(G95,SLATable[Priority],0))),"YES","NO"),"")</f>
        <v/>
      </c>
      <c r="AJ95" t="str">
        <f>_xlfn.IFNA(IF(AE95 &lt; (INDEX(SLATable[Maximum SLA],MATCH(G95,SLATable[Priority],0))),"YES","NO"),"")</f>
        <v/>
      </c>
    </row>
    <row r="96" spans="26:36" ht="15" customHeight="1">
      <c r="Z96" s="76" t="e">
        <f t="shared" ca="1" si="10"/>
        <v>#N/A</v>
      </c>
      <c r="AA96" s="75" t="e">
        <f t="shared" ca="1" si="11"/>
        <v>#N/A</v>
      </c>
      <c r="AB96" s="76">
        <f t="shared" ca="1" si="12"/>
        <v>0</v>
      </c>
      <c r="AC96" s="75">
        <f t="shared" ca="1" si="13"/>
        <v>0</v>
      </c>
      <c r="AD96" s="76">
        <f t="shared" ca="1" si="14"/>
        <v>12388.425643634258</v>
      </c>
      <c r="AE96" s="76">
        <f>SUMIFS(AB:AB,E:E,E96)</f>
        <v>0</v>
      </c>
      <c r="AF96" s="75">
        <f t="shared" si="15"/>
        <v>0</v>
      </c>
      <c r="AG96" s="76">
        <f t="shared" si="3"/>
        <v>0</v>
      </c>
      <c r="AH96" s="31" t="e" cm="1">
        <f t="array" aca="1" ref="AH96" ca="1">IF((AD96) &lt; (INDEX(ResponseSLA[#All],(MATCH((G96),ResponseSLA[Priority],0))+1,3)),"YES","No")</f>
        <v>#N/A</v>
      </c>
      <c r="AI96" s="31" t="str">
        <f>_xlfn.IFNA(IF(AE96 &lt; (INDEX(SLATable[Minimum SLA],MATCH(G96,SLATable[Priority],0))),"YES","NO"),"")</f>
        <v/>
      </c>
      <c r="AJ96" t="str">
        <f>_xlfn.IFNA(IF(AE96 &lt; (INDEX(SLATable[Maximum SLA],MATCH(G96,SLATable[Priority],0))),"YES","NO"),"")</f>
        <v/>
      </c>
    </row>
    <row r="97" spans="26:36" ht="15" customHeight="1">
      <c r="Z97" s="76" t="e">
        <f t="shared" ca="1" si="10"/>
        <v>#N/A</v>
      </c>
      <c r="AA97" s="75" t="e">
        <f t="shared" ca="1" si="11"/>
        <v>#N/A</v>
      </c>
      <c r="AB97" s="76">
        <f t="shared" ca="1" si="12"/>
        <v>0</v>
      </c>
      <c r="AC97" s="75">
        <f t="shared" ca="1" si="13"/>
        <v>0</v>
      </c>
      <c r="AD97" s="76">
        <f t="shared" ca="1" si="14"/>
        <v>12388.425643634258</v>
      </c>
      <c r="AE97" s="76">
        <f>SUMIFS(AB:AB,E:E,E97)</f>
        <v>0</v>
      </c>
      <c r="AF97" s="75">
        <f t="shared" si="15"/>
        <v>0</v>
      </c>
      <c r="AG97" s="76">
        <f t="shared" si="3"/>
        <v>0</v>
      </c>
      <c r="AH97" s="31" t="e" cm="1">
        <f t="array" aca="1" ref="AH97" ca="1">IF((AD97) &lt; (INDEX(ResponseSLA[#All],(MATCH((G97),ResponseSLA[Priority],0))+1,3)),"YES","No")</f>
        <v>#N/A</v>
      </c>
      <c r="AI97" s="31" t="str">
        <f>_xlfn.IFNA(IF(AE97 &lt; (INDEX(SLATable[Minimum SLA],MATCH(G97,SLATable[Priority],0))),"YES","NO"),"")</f>
        <v/>
      </c>
      <c r="AJ97" t="str">
        <f>_xlfn.IFNA(IF(AE97 &lt; (INDEX(SLATable[Maximum SLA],MATCH(G97,SLATable[Priority],0))),"YES","NO"),"")</f>
        <v/>
      </c>
    </row>
    <row r="98" spans="26:36" ht="15" customHeight="1">
      <c r="Z98" s="76" t="e">
        <f t="shared" ca="1" si="10"/>
        <v>#N/A</v>
      </c>
      <c r="AA98" s="75" t="e">
        <f t="shared" ca="1" si="11"/>
        <v>#N/A</v>
      </c>
      <c r="AB98" s="76">
        <f t="shared" ca="1" si="12"/>
        <v>0</v>
      </c>
      <c r="AC98" s="75">
        <f t="shared" ca="1" si="13"/>
        <v>0</v>
      </c>
      <c r="AD98" s="76">
        <f t="shared" ca="1" si="14"/>
        <v>12388.425643634258</v>
      </c>
      <c r="AE98" s="76">
        <f>SUMIFS(AB:AB,E:E,E98)</f>
        <v>0</v>
      </c>
      <c r="AF98" s="75">
        <f t="shared" si="15"/>
        <v>0</v>
      </c>
      <c r="AG98" s="76">
        <f t="shared" si="3"/>
        <v>0</v>
      </c>
      <c r="AH98" s="31" t="e" cm="1">
        <f t="array" aca="1" ref="AH98" ca="1">IF((AD98) &lt; (INDEX(ResponseSLA[#All],(MATCH((G98),ResponseSLA[Priority],0))+1,3)),"YES","No")</f>
        <v>#N/A</v>
      </c>
      <c r="AI98" s="31" t="str">
        <f>_xlfn.IFNA(IF(AE98 &lt; (INDEX(SLATable[Minimum SLA],MATCH(G98,SLATable[Priority],0))),"YES","NO"),"")</f>
        <v/>
      </c>
      <c r="AJ98" t="str">
        <f>_xlfn.IFNA(IF(AE98 &lt; (INDEX(SLATable[Maximum SLA],MATCH(G98,SLATable[Priority],0))),"YES","NO"),"")</f>
        <v/>
      </c>
    </row>
    <row r="99" spans="26:36" ht="15" customHeight="1">
      <c r="Z99" s="76" t="e">
        <f t="shared" ca="1" si="10"/>
        <v>#N/A</v>
      </c>
      <c r="AA99" s="75" t="e">
        <f t="shared" ca="1" si="11"/>
        <v>#N/A</v>
      </c>
      <c r="AB99" s="76">
        <f t="shared" ca="1" si="12"/>
        <v>0</v>
      </c>
      <c r="AC99" s="75">
        <f t="shared" ca="1" si="13"/>
        <v>0</v>
      </c>
      <c r="AD99" s="76">
        <f t="shared" ca="1" si="14"/>
        <v>12388.425643634258</v>
      </c>
      <c r="AE99" s="76">
        <f>SUMIFS(AB:AB,E:E,E99)</f>
        <v>0</v>
      </c>
      <c r="AF99" s="75">
        <f t="shared" si="15"/>
        <v>0</v>
      </c>
      <c r="AG99" s="76">
        <f t="shared" si="3"/>
        <v>0</v>
      </c>
      <c r="AH99" s="31" t="e" cm="1">
        <f t="array" aca="1" ref="AH99" ca="1">IF((AD99) &lt; (INDEX(ResponseSLA[#All],(MATCH((G99),ResponseSLA[Priority],0))+1,3)),"YES","No")</f>
        <v>#N/A</v>
      </c>
      <c r="AI99" s="31" t="str">
        <f>_xlfn.IFNA(IF(AE99 &lt; (INDEX(SLATable[Minimum SLA],MATCH(G99,SLATable[Priority],0))),"YES","NO"),"")</f>
        <v/>
      </c>
      <c r="AJ99" t="str">
        <f>_xlfn.IFNA(IF(AE99 &lt; (INDEX(SLATable[Maximum SLA],MATCH(G99,SLATable[Priority],0))),"YES","NO"),"")</f>
        <v/>
      </c>
    </row>
    <row r="100" spans="26:36" ht="15" customHeight="1">
      <c r="Z100" s="76" t="e">
        <f t="shared" ca="1" si="10"/>
        <v>#N/A</v>
      </c>
      <c r="AA100" s="75" t="e">
        <f t="shared" ca="1" si="11"/>
        <v>#N/A</v>
      </c>
      <c r="AB100" s="76">
        <f t="shared" ca="1" si="12"/>
        <v>0</v>
      </c>
      <c r="AC100" s="75">
        <f t="shared" ca="1" si="13"/>
        <v>0</v>
      </c>
      <c r="AD100" s="76">
        <f t="shared" ca="1" si="14"/>
        <v>12388.425643634258</v>
      </c>
      <c r="AE100" s="76">
        <f>SUMIFS(AB:AB,E:E,E100)</f>
        <v>0</v>
      </c>
      <c r="AF100" s="75">
        <f t="shared" si="15"/>
        <v>0</v>
      </c>
      <c r="AG100" s="76">
        <f t="shared" si="3"/>
        <v>0</v>
      </c>
      <c r="AH100" s="31" t="e" cm="1">
        <f t="array" aca="1" ref="AH100" ca="1">IF((AD100) &lt; (INDEX(ResponseSLA[#All],(MATCH((G100),ResponseSLA[Priority],0))+1,3)),"YES","No")</f>
        <v>#N/A</v>
      </c>
      <c r="AI100" s="31" t="str">
        <f>_xlfn.IFNA(IF(AE100 &lt; (INDEX(SLATable[Minimum SLA],MATCH(G100,SLATable[Priority],0))),"YES","NO"),"")</f>
        <v/>
      </c>
      <c r="AJ100" t="str">
        <f>_xlfn.IFNA(IF(AE100 &lt; (INDEX(SLATable[Maximum SLA],MATCH(G100,SLATable[Priority],0))),"YES","NO"),"")</f>
        <v/>
      </c>
    </row>
    <row r="101" spans="26:36" ht="15" customHeight="1">
      <c r="Z101" s="76" t="e">
        <f t="shared" ca="1" si="10"/>
        <v>#N/A</v>
      </c>
      <c r="AA101" s="75" t="e">
        <f t="shared" ca="1" si="11"/>
        <v>#N/A</v>
      </c>
      <c r="AB101" s="76">
        <f t="shared" ca="1" si="12"/>
        <v>0</v>
      </c>
      <c r="AC101" s="75">
        <f t="shared" ca="1" si="13"/>
        <v>0</v>
      </c>
      <c r="AD101" s="76">
        <f t="shared" ca="1" si="14"/>
        <v>12388.425643634258</v>
      </c>
      <c r="AE101" s="76">
        <f>SUMIFS(AB:AB,E:E,E101)</f>
        <v>0</v>
      </c>
      <c r="AF101" s="75">
        <f t="shared" si="15"/>
        <v>0</v>
      </c>
      <c r="AG101" s="76">
        <f t="shared" si="3"/>
        <v>0</v>
      </c>
      <c r="AH101" s="31" t="e" cm="1">
        <f t="array" aca="1" ref="AH101" ca="1">IF((AD101) &lt; (INDEX(ResponseSLA[#All],(MATCH((G101),ResponseSLA[Priority],0))+1,3)),"YES","No")</f>
        <v>#N/A</v>
      </c>
      <c r="AI101" s="31" t="str">
        <f>_xlfn.IFNA(IF(AE101 &lt; (INDEX(SLATable[Minimum SLA],MATCH(G101,SLATable[Priority],0))),"YES","NO"),"")</f>
        <v/>
      </c>
      <c r="AJ101" t="str">
        <f>_xlfn.IFNA(IF(AE101 &lt; (INDEX(SLATable[Maximum SLA],MATCH(G101,SLATable[Priority],0))),"YES","NO"),"")</f>
        <v/>
      </c>
    </row>
    <row r="102" spans="26:36" ht="15" customHeight="1">
      <c r="Z102" s="76" t="e">
        <f t="shared" ca="1" si="10"/>
        <v>#N/A</v>
      </c>
      <c r="AA102" s="75" t="e">
        <f t="shared" ca="1" si="11"/>
        <v>#N/A</v>
      </c>
      <c r="AB102" s="76">
        <f t="shared" ca="1" si="12"/>
        <v>0</v>
      </c>
      <c r="AC102" s="75">
        <f t="shared" ca="1" si="13"/>
        <v>0</v>
      </c>
      <c r="AD102" s="76">
        <f t="shared" ca="1" si="14"/>
        <v>12388.425643634258</v>
      </c>
      <c r="AE102" s="76">
        <f>SUMIFS(AB:AB,E:E,E102)</f>
        <v>0</v>
      </c>
      <c r="AF102" s="75">
        <f t="shared" si="15"/>
        <v>0</v>
      </c>
      <c r="AG102" s="76">
        <f t="shared" si="3"/>
        <v>0</v>
      </c>
      <c r="AH102" s="31" t="e" cm="1">
        <f t="array" aca="1" ref="AH102" ca="1">IF((AD102) &lt; (INDEX(ResponseSLA[#All],(MATCH((G102),ResponseSLA[Priority],0))+1,3)),"YES","No")</f>
        <v>#N/A</v>
      </c>
      <c r="AI102" s="31" t="str">
        <f>_xlfn.IFNA(IF(AE102 &lt; (INDEX(SLATable[Minimum SLA],MATCH(G102,SLATable[Priority],0))),"YES","NO"),"")</f>
        <v/>
      </c>
      <c r="AJ102" t="str">
        <f>_xlfn.IFNA(IF(AE102 &lt; (INDEX(SLATable[Maximum SLA],MATCH(G102,SLATable[Priority],0))),"YES","NO"),"")</f>
        <v/>
      </c>
    </row>
    <row r="103" spans="26:36" ht="15" customHeight="1">
      <c r="Z103" s="76" t="e">
        <f t="shared" ca="1" si="10"/>
        <v>#N/A</v>
      </c>
      <c r="AA103" s="75" t="e">
        <f t="shared" ca="1" si="11"/>
        <v>#N/A</v>
      </c>
      <c r="AB103" s="76">
        <f t="shared" ca="1" si="12"/>
        <v>0</v>
      </c>
      <c r="AC103" s="75">
        <f t="shared" ca="1" si="13"/>
        <v>0</v>
      </c>
      <c r="AD103" s="76">
        <f t="shared" ca="1" si="14"/>
        <v>12388.425643634258</v>
      </c>
      <c r="AE103" s="76">
        <f>SUMIFS(AB:AB,E:E,E103)</f>
        <v>0</v>
      </c>
      <c r="AF103" s="75">
        <f t="shared" si="15"/>
        <v>0</v>
      </c>
      <c r="AG103" s="76">
        <f t="shared" si="3"/>
        <v>0</v>
      </c>
      <c r="AH103" s="31" t="e" cm="1">
        <f t="array" aca="1" ref="AH103" ca="1">IF((AD103) &lt; (INDEX(ResponseSLA[#All],(MATCH((G103),ResponseSLA[Priority],0))+1,3)),"YES","No")</f>
        <v>#N/A</v>
      </c>
      <c r="AI103" s="31" t="str">
        <f>_xlfn.IFNA(IF(AE103 &lt; (INDEX(SLATable[Minimum SLA],MATCH(G103,SLATable[Priority],0))),"YES","NO"),"")</f>
        <v/>
      </c>
      <c r="AJ103" t="str">
        <f>_xlfn.IFNA(IF(AE103 &lt; (INDEX(SLATable[Maximum SLA],MATCH(G103,SLATable[Priority],0))),"YES","NO"),"")</f>
        <v/>
      </c>
    </row>
    <row r="104" spans="26:36" ht="15" customHeight="1">
      <c r="Z104" s="76" t="e">
        <f t="shared" ca="1" si="10"/>
        <v>#N/A</v>
      </c>
      <c r="AA104" s="75" t="e">
        <f t="shared" ca="1" si="11"/>
        <v>#N/A</v>
      </c>
      <c r="AB104" s="76">
        <f t="shared" ca="1" si="12"/>
        <v>0</v>
      </c>
      <c r="AC104" s="75">
        <f t="shared" ca="1" si="13"/>
        <v>0</v>
      </c>
      <c r="AD104" s="76">
        <f t="shared" ca="1" si="14"/>
        <v>12388.425643634258</v>
      </c>
      <c r="AE104" s="76">
        <f>SUMIFS(AB:AB,E:E,E104)</f>
        <v>0</v>
      </c>
      <c r="AF104" s="75">
        <f t="shared" si="15"/>
        <v>0</v>
      </c>
      <c r="AG104" s="76">
        <f t="shared" si="3"/>
        <v>0</v>
      </c>
      <c r="AH104" s="31" t="e" cm="1">
        <f t="array" aca="1" ref="AH104" ca="1">IF((AD104) &lt; (INDEX(ResponseSLA[#All],(MATCH((G104),ResponseSLA[Priority],0))+1,3)),"YES","No")</f>
        <v>#N/A</v>
      </c>
      <c r="AI104" s="31" t="str">
        <f>_xlfn.IFNA(IF(AE104 &lt; (INDEX(SLATable[Minimum SLA],MATCH(G104,SLATable[Priority],0))),"YES","NO"),"")</f>
        <v/>
      </c>
      <c r="AJ104" t="str">
        <f>_xlfn.IFNA(IF(AE104 &lt; (INDEX(SLATable[Maximum SLA],MATCH(G104,SLATable[Priority],0))),"YES","NO"),"")</f>
        <v/>
      </c>
    </row>
    <row r="105" spans="26:36" ht="15" customHeight="1">
      <c r="Z105" s="76" t="e">
        <f t="shared" ca="1" si="10"/>
        <v>#N/A</v>
      </c>
      <c r="AA105" s="75" t="e">
        <f t="shared" ca="1" si="11"/>
        <v>#N/A</v>
      </c>
      <c r="AB105" s="76">
        <f t="shared" ca="1" si="12"/>
        <v>0</v>
      </c>
      <c r="AC105" s="75">
        <f t="shared" ca="1" si="13"/>
        <v>0</v>
      </c>
      <c r="AD105" s="76">
        <f t="shared" ca="1" si="14"/>
        <v>12388.425643634258</v>
      </c>
      <c r="AE105" s="76">
        <f>SUMIFS(AB:AB,E:E,E105)</f>
        <v>0</v>
      </c>
      <c r="AF105" s="75">
        <f t="shared" si="15"/>
        <v>0</v>
      </c>
      <c r="AG105" s="76">
        <f t="shared" si="3"/>
        <v>0</v>
      </c>
      <c r="AH105" s="31" t="e" cm="1">
        <f t="array" aca="1" ref="AH105" ca="1">IF((AD105) &lt; (INDEX(ResponseSLA[#All],(MATCH((G105),ResponseSLA[Priority],0))+1,3)),"YES","No")</f>
        <v>#N/A</v>
      </c>
      <c r="AI105" s="31" t="str">
        <f>_xlfn.IFNA(IF(AE105 &lt; (INDEX(SLATable[Minimum SLA],MATCH(G105,SLATable[Priority],0))),"YES","NO"),"")</f>
        <v/>
      </c>
      <c r="AJ105" t="str">
        <f>_xlfn.IFNA(IF(AE105 &lt; (INDEX(SLATable[Maximum SLA],MATCH(G105,SLATable[Priority],0))),"YES","NO"),"")</f>
        <v/>
      </c>
    </row>
    <row r="106" spans="26:36" ht="15" customHeight="1">
      <c r="Z106" s="76" t="e">
        <f t="shared" ca="1" si="10"/>
        <v>#N/A</v>
      </c>
      <c r="AA106" s="75" t="e">
        <f t="shared" ca="1" si="11"/>
        <v>#N/A</v>
      </c>
      <c r="AB106" s="76">
        <f t="shared" ca="1" si="12"/>
        <v>0</v>
      </c>
      <c r="AC106" s="75">
        <f t="shared" ca="1" si="13"/>
        <v>0</v>
      </c>
      <c r="AD106" s="76">
        <f t="shared" ca="1" si="14"/>
        <v>12388.425643634258</v>
      </c>
      <c r="AE106" s="76">
        <f>SUMIFS(AB:AB,E:E,E106)</f>
        <v>0</v>
      </c>
      <c r="AF106" s="75">
        <f t="shared" si="15"/>
        <v>0</v>
      </c>
      <c r="AG106" s="76">
        <f t="shared" si="3"/>
        <v>0</v>
      </c>
      <c r="AH106" s="31" t="e" cm="1">
        <f t="array" aca="1" ref="AH106" ca="1">IF((AD106) &lt; (INDEX(ResponseSLA[#All],(MATCH((G106),ResponseSLA[Priority],0))+1,3)),"YES","No")</f>
        <v>#N/A</v>
      </c>
      <c r="AI106" s="31" t="str">
        <f>_xlfn.IFNA(IF(AE106 &lt; (INDEX(SLATable[Minimum SLA],MATCH(G106,SLATable[Priority],0))),"YES","NO"),"")</f>
        <v/>
      </c>
      <c r="AJ106" t="str">
        <f>_xlfn.IFNA(IF(AE106 &lt; (INDEX(SLATable[Maximum SLA],MATCH(G106,SLATable[Priority],0))),"YES","NO"),"")</f>
        <v/>
      </c>
    </row>
    <row r="107" spans="26:36" ht="15" customHeight="1">
      <c r="Z107" s="76" t="e">
        <f t="shared" ca="1" si="10"/>
        <v>#N/A</v>
      </c>
      <c r="AA107" s="75" t="e">
        <f t="shared" ca="1" si="11"/>
        <v>#N/A</v>
      </c>
      <c r="AB107" s="76">
        <f t="shared" ca="1" si="12"/>
        <v>0</v>
      </c>
      <c r="AC107" s="75">
        <f t="shared" ca="1" si="13"/>
        <v>0</v>
      </c>
      <c r="AD107" s="76">
        <f t="shared" ca="1" si="14"/>
        <v>12388.425643634258</v>
      </c>
      <c r="AE107" s="76">
        <f>SUMIFS(AB:AB,E:E,E107)</f>
        <v>0</v>
      </c>
      <c r="AF107" s="75">
        <f t="shared" si="15"/>
        <v>0</v>
      </c>
      <c r="AG107" s="76">
        <f t="shared" si="3"/>
        <v>0</v>
      </c>
      <c r="AH107" s="31" t="e" cm="1">
        <f t="array" aca="1" ref="AH107" ca="1">IF((AD107) &lt; (INDEX(ResponseSLA[#All],(MATCH((G107),ResponseSLA[Priority],0))+1,3)),"YES","No")</f>
        <v>#N/A</v>
      </c>
      <c r="AI107" s="31" t="str">
        <f>_xlfn.IFNA(IF(AE107 &lt; (INDEX(SLATable[Minimum SLA],MATCH(G107,SLATable[Priority],0))),"YES","NO"),"")</f>
        <v/>
      </c>
      <c r="AJ107" t="str">
        <f>_xlfn.IFNA(IF(AE107 &lt; (INDEX(SLATable[Maximum SLA],MATCH(G107,SLATable[Priority],0))),"YES","NO"),"")</f>
        <v/>
      </c>
    </row>
    <row r="108" spans="26:36" ht="15" customHeight="1">
      <c r="Z108" s="76" t="e">
        <f t="shared" ca="1" si="10"/>
        <v>#N/A</v>
      </c>
      <c r="AA108" s="75" t="e">
        <f t="shared" ca="1" si="11"/>
        <v>#N/A</v>
      </c>
      <c r="AB108" s="76">
        <f t="shared" ca="1" si="12"/>
        <v>0</v>
      </c>
      <c r="AC108" s="75">
        <f t="shared" ca="1" si="13"/>
        <v>0</v>
      </c>
      <c r="AD108" s="76">
        <f t="shared" ca="1" si="14"/>
        <v>12388.425643634258</v>
      </c>
      <c r="AE108" s="76">
        <f>SUMIFS(AB:AB,E:E,E108)</f>
        <v>0</v>
      </c>
      <c r="AF108" s="75">
        <f t="shared" si="15"/>
        <v>0</v>
      </c>
      <c r="AG108" s="76">
        <f t="shared" si="3"/>
        <v>0</v>
      </c>
      <c r="AH108" s="31" t="e" cm="1">
        <f t="array" aca="1" ref="AH108" ca="1">IF((AD108) &lt; (INDEX(ResponseSLA[#All],(MATCH((G108),ResponseSLA[Priority],0))+1,3)),"YES","No")</f>
        <v>#N/A</v>
      </c>
      <c r="AI108" s="31" t="str">
        <f>_xlfn.IFNA(IF(AE108 &lt; (INDEX(SLATable[Minimum SLA],MATCH(G108,SLATable[Priority],0))),"YES","NO"),"")</f>
        <v/>
      </c>
      <c r="AJ108" t="str">
        <f>_xlfn.IFNA(IF(AE108 &lt; (INDEX(SLATable[Maximum SLA],MATCH(G108,SLATable[Priority],0))),"YES","NO"),"")</f>
        <v/>
      </c>
    </row>
    <row r="109" spans="26:36" ht="15" customHeight="1">
      <c r="Z109" s="76" t="e">
        <f t="shared" ca="1" si="10"/>
        <v>#N/A</v>
      </c>
      <c r="AA109" s="75" t="e">
        <f t="shared" ca="1" si="11"/>
        <v>#N/A</v>
      </c>
      <c r="AB109" s="76">
        <f t="shared" ca="1" si="12"/>
        <v>0</v>
      </c>
      <c r="AC109" s="75">
        <f t="shared" ca="1" si="13"/>
        <v>0</v>
      </c>
      <c r="AD109" s="76">
        <f t="shared" ca="1" si="14"/>
        <v>12388.425643634258</v>
      </c>
      <c r="AE109" s="76">
        <f>SUMIFS(AB:AB,E:E,E109)</f>
        <v>0</v>
      </c>
      <c r="AF109" s="75">
        <f t="shared" si="15"/>
        <v>0</v>
      </c>
      <c r="AG109" s="76">
        <f t="shared" si="3"/>
        <v>0</v>
      </c>
      <c r="AH109" s="31" t="e" cm="1">
        <f t="array" aca="1" ref="AH109" ca="1">IF((AD109) &lt; (INDEX(ResponseSLA[#All],(MATCH((G109),ResponseSLA[Priority],0))+1,3)),"YES","No")</f>
        <v>#N/A</v>
      </c>
      <c r="AI109" s="31" t="str">
        <f>_xlfn.IFNA(IF(AE109 &lt; (INDEX(SLATable[Minimum SLA],MATCH(G109,SLATable[Priority],0))),"YES","NO"),"")</f>
        <v/>
      </c>
      <c r="AJ109" t="str">
        <f>_xlfn.IFNA(IF(AE109 &lt; (INDEX(SLATable[Maximum SLA],MATCH(G109,SLATable[Priority],0))),"YES","NO"),"")</f>
        <v/>
      </c>
    </row>
    <row r="110" spans="26:36" ht="15" customHeight="1">
      <c r="Z110" s="76" t="e">
        <f t="shared" ca="1" si="10"/>
        <v>#N/A</v>
      </c>
      <c r="AA110" s="75" t="e">
        <f t="shared" ca="1" si="11"/>
        <v>#N/A</v>
      </c>
      <c r="AB110" s="76">
        <f t="shared" ca="1" si="12"/>
        <v>0</v>
      </c>
      <c r="AC110" s="75">
        <f t="shared" ca="1" si="13"/>
        <v>0</v>
      </c>
      <c r="AD110" s="76">
        <f t="shared" ca="1" si="14"/>
        <v>12388.425643634258</v>
      </c>
      <c r="AE110" s="76">
        <f>SUMIFS(AB:AB,E:E,E110)</f>
        <v>0</v>
      </c>
      <c r="AF110" s="75">
        <f t="shared" si="15"/>
        <v>0</v>
      </c>
      <c r="AG110" s="76">
        <f t="shared" si="3"/>
        <v>0</v>
      </c>
      <c r="AH110" s="31" t="e" cm="1">
        <f t="array" aca="1" ref="AH110" ca="1">IF((AD110) &lt; (INDEX(ResponseSLA[#All],(MATCH((G110),ResponseSLA[Priority],0))+1,3)),"YES","No")</f>
        <v>#N/A</v>
      </c>
      <c r="AI110" s="31" t="str">
        <f>_xlfn.IFNA(IF(AE110 &lt; (INDEX(SLATable[Minimum SLA],MATCH(G110,SLATable[Priority],0))),"YES","NO"),"")</f>
        <v/>
      </c>
      <c r="AJ110" t="str">
        <f>_xlfn.IFNA(IF(AE110 &lt; (INDEX(SLATable[Maximum SLA],MATCH(G110,SLATable[Priority],0))),"YES","NO"),"")</f>
        <v/>
      </c>
    </row>
    <row r="111" spans="26:36" ht="15" customHeight="1">
      <c r="Z111" s="76" t="e">
        <f t="shared" ca="1" si="10"/>
        <v>#N/A</v>
      </c>
      <c r="AA111" s="75" t="e">
        <f t="shared" ca="1" si="11"/>
        <v>#N/A</v>
      </c>
      <c r="AB111" s="76">
        <f t="shared" ca="1" si="12"/>
        <v>0</v>
      </c>
      <c r="AC111" s="75">
        <f t="shared" ca="1" si="13"/>
        <v>0</v>
      </c>
      <c r="AD111" s="76">
        <f t="shared" ca="1" si="14"/>
        <v>12388.425643634258</v>
      </c>
      <c r="AE111" s="76">
        <f>SUMIFS(AB:AB,E:E,E111)</f>
        <v>0</v>
      </c>
      <c r="AF111" s="75">
        <f t="shared" si="15"/>
        <v>0</v>
      </c>
      <c r="AG111" s="76">
        <f t="shared" si="3"/>
        <v>0</v>
      </c>
      <c r="AH111" s="31" t="e" cm="1">
        <f t="array" aca="1" ref="AH111" ca="1">IF((AD111) &lt; (INDEX(ResponseSLA[#All],(MATCH((G111),ResponseSLA[Priority],0))+1,3)),"YES","No")</f>
        <v>#N/A</v>
      </c>
      <c r="AI111" s="31" t="str">
        <f>_xlfn.IFNA(IF(AE111 &lt; (INDEX(SLATable[Minimum SLA],MATCH(G111,SLATable[Priority],0))),"YES","NO"),"")</f>
        <v/>
      </c>
      <c r="AJ111" t="str">
        <f>_xlfn.IFNA(IF(AE111 &lt; (INDEX(SLATable[Maximum SLA],MATCH(G111,SLATable[Priority],0))),"YES","NO"),"")</f>
        <v/>
      </c>
    </row>
    <row r="112" spans="26:36" ht="15" customHeight="1">
      <c r="Z112" s="76" t="e">
        <f t="shared" ca="1" si="10"/>
        <v>#N/A</v>
      </c>
      <c r="AA112" s="75" t="e">
        <f t="shared" ca="1" si="11"/>
        <v>#N/A</v>
      </c>
      <c r="AB112" s="76">
        <f t="shared" ca="1" si="12"/>
        <v>0</v>
      </c>
      <c r="AC112" s="75">
        <f t="shared" ca="1" si="13"/>
        <v>0</v>
      </c>
      <c r="AD112" s="76">
        <f t="shared" ca="1" si="14"/>
        <v>12388.425643634258</v>
      </c>
      <c r="AE112" s="76">
        <f>SUMIFS(AB:AB,E:E,E112)</f>
        <v>0</v>
      </c>
      <c r="AF112" s="75">
        <f t="shared" si="15"/>
        <v>0</v>
      </c>
      <c r="AG112" s="76">
        <f t="shared" si="3"/>
        <v>0</v>
      </c>
      <c r="AH112" s="31" t="e" cm="1">
        <f t="array" aca="1" ref="AH112" ca="1">IF((AD112) &lt; (INDEX(ResponseSLA[#All],(MATCH((G112),ResponseSLA[Priority],0))+1,3)),"YES","No")</f>
        <v>#N/A</v>
      </c>
      <c r="AI112" s="31" t="str">
        <f>_xlfn.IFNA(IF(AE112 &lt; (INDEX(SLATable[Minimum SLA],MATCH(G112,SLATable[Priority],0))),"YES","NO"),"")</f>
        <v/>
      </c>
      <c r="AJ112" t="str">
        <f>_xlfn.IFNA(IF(AE112 &lt; (INDEX(SLATable[Maximum SLA],MATCH(G112,SLATable[Priority],0))),"YES","NO"),"")</f>
        <v/>
      </c>
    </row>
    <row r="113" spans="26:36" ht="15" customHeight="1">
      <c r="Z113" s="76" t="e">
        <f t="shared" ca="1" si="10"/>
        <v>#N/A</v>
      </c>
      <c r="AA113" s="75" t="e">
        <f t="shared" ca="1" si="11"/>
        <v>#N/A</v>
      </c>
      <c r="AB113" s="76">
        <f t="shared" ca="1" si="12"/>
        <v>0</v>
      </c>
      <c r="AC113" s="75">
        <f t="shared" ca="1" si="13"/>
        <v>0</v>
      </c>
      <c r="AD113" s="76">
        <f t="shared" ca="1" si="14"/>
        <v>12388.425643634258</v>
      </c>
      <c r="AE113" s="76">
        <f>SUMIFS(AB:AB,E:E,E113)</f>
        <v>0</v>
      </c>
      <c r="AF113" s="75">
        <f t="shared" si="15"/>
        <v>0</v>
      </c>
      <c r="AG113" s="76">
        <f t="shared" si="3"/>
        <v>0</v>
      </c>
      <c r="AH113" s="31" t="e" cm="1">
        <f t="array" aca="1" ref="AH113" ca="1">IF((AD113) &lt; (INDEX(ResponseSLA[#All],(MATCH((G113),ResponseSLA[Priority],0))+1,3)),"YES","No")</f>
        <v>#N/A</v>
      </c>
      <c r="AI113" s="31" t="str">
        <f>_xlfn.IFNA(IF(AE113 &lt; (INDEX(SLATable[Minimum SLA],MATCH(G113,SLATable[Priority],0))),"YES","NO"),"")</f>
        <v/>
      </c>
      <c r="AJ113" t="str">
        <f>_xlfn.IFNA(IF(AE113 &lt; (INDEX(SLATable[Maximum SLA],MATCH(G113,SLATable[Priority],0))),"YES","NO"),"")</f>
        <v/>
      </c>
    </row>
    <row r="114" spans="26:36" ht="15" customHeight="1">
      <c r="Z114" s="76" t="e">
        <f t="shared" ca="1" si="10"/>
        <v>#N/A</v>
      </c>
      <c r="AA114" s="75" t="e">
        <f t="shared" ca="1" si="11"/>
        <v>#N/A</v>
      </c>
      <c r="AB114" s="76">
        <f t="shared" ca="1" si="12"/>
        <v>0</v>
      </c>
      <c r="AC114" s="75">
        <f t="shared" ca="1" si="13"/>
        <v>0</v>
      </c>
      <c r="AD114" s="76">
        <f t="shared" ca="1" si="14"/>
        <v>12388.425643634258</v>
      </c>
      <c r="AE114" s="76">
        <f>SUMIFS(AB:AB,E:E,E114)</f>
        <v>0</v>
      </c>
      <c r="AF114" s="75">
        <f t="shared" si="15"/>
        <v>0</v>
      </c>
      <c r="AG114" s="76">
        <f t="shared" si="3"/>
        <v>0</v>
      </c>
      <c r="AH114" s="31" t="e" cm="1">
        <f t="array" aca="1" ref="AH114" ca="1">IF((AD114) &lt; (INDEX(ResponseSLA[#All],(MATCH((G114),ResponseSLA[Priority],0))+1,3)),"YES","No")</f>
        <v>#N/A</v>
      </c>
      <c r="AI114" s="31" t="str">
        <f>_xlfn.IFNA(IF(AE114 &lt; (INDEX(SLATable[Minimum SLA],MATCH(G114,SLATable[Priority],0))),"YES","NO"),"")</f>
        <v/>
      </c>
      <c r="AJ114" t="str">
        <f>_xlfn.IFNA(IF(AE114 &lt; (INDEX(SLATable[Maximum SLA],MATCH(G114,SLATable[Priority],0))),"YES","NO"),"")</f>
        <v/>
      </c>
    </row>
    <row r="115" spans="26:36" ht="15" customHeight="1">
      <c r="Z115" s="76" t="e">
        <f t="shared" ca="1" si="10"/>
        <v>#N/A</v>
      </c>
      <c r="AA115" s="75" t="e">
        <f t="shared" ca="1" si="11"/>
        <v>#N/A</v>
      </c>
      <c r="AB115" s="76">
        <f t="shared" ca="1" si="12"/>
        <v>0</v>
      </c>
      <c r="AC115" s="75">
        <f t="shared" ca="1" si="13"/>
        <v>0</v>
      </c>
      <c r="AD115" s="76">
        <f t="shared" ca="1" si="14"/>
        <v>12388.425643634258</v>
      </c>
      <c r="AE115" s="76">
        <f>SUMIFS(AB:AB,E:E,E115)</f>
        <v>0</v>
      </c>
      <c r="AF115" s="75">
        <f t="shared" si="15"/>
        <v>0</v>
      </c>
      <c r="AG115" s="76">
        <f t="shared" si="3"/>
        <v>0</v>
      </c>
      <c r="AH115" s="31" t="e" cm="1">
        <f t="array" aca="1" ref="AH115" ca="1">IF((AD115) &lt; (INDEX(ResponseSLA[#All],(MATCH((G115),ResponseSLA[Priority],0))+1,3)),"YES","No")</f>
        <v>#N/A</v>
      </c>
      <c r="AI115" s="31" t="str">
        <f>_xlfn.IFNA(IF(AE115 &lt; (INDEX(SLATable[Minimum SLA],MATCH(G115,SLATable[Priority],0))),"YES","NO"),"")</f>
        <v/>
      </c>
      <c r="AJ115" t="str">
        <f>_xlfn.IFNA(IF(AE115 &lt; (INDEX(SLATable[Maximum SLA],MATCH(G115,SLATable[Priority],0))),"YES","NO"),"")</f>
        <v/>
      </c>
    </row>
    <row r="116" spans="26:36" ht="15" customHeight="1">
      <c r="Z116" s="76" t="e">
        <f t="shared" ca="1" si="10"/>
        <v>#N/A</v>
      </c>
      <c r="AA116" s="75" t="e">
        <f t="shared" ca="1" si="11"/>
        <v>#N/A</v>
      </c>
      <c r="AB116" s="76">
        <f t="shared" ca="1" si="12"/>
        <v>0</v>
      </c>
      <c r="AC116" s="75">
        <f t="shared" ca="1" si="13"/>
        <v>0</v>
      </c>
      <c r="AD116" s="76">
        <f t="shared" ca="1" si="14"/>
        <v>12388.425643634258</v>
      </c>
      <c r="AE116" s="76">
        <f>SUMIFS(AB:AB,E:E,E116)</f>
        <v>0</v>
      </c>
      <c r="AF116" s="75">
        <f t="shared" si="15"/>
        <v>0</v>
      </c>
      <c r="AG116" s="76">
        <f t="shared" si="3"/>
        <v>0</v>
      </c>
      <c r="AH116" s="31" t="e" cm="1">
        <f t="array" aca="1" ref="AH116" ca="1">IF((AD116) &lt; (INDEX(ResponseSLA[#All],(MATCH((G116),ResponseSLA[Priority],0))+1,3)),"YES","No")</f>
        <v>#N/A</v>
      </c>
      <c r="AI116" s="31" t="str">
        <f>_xlfn.IFNA(IF(AE116 &lt; (INDEX(SLATable[Minimum SLA],MATCH(G116,SLATable[Priority],0))),"YES","NO"),"")</f>
        <v/>
      </c>
      <c r="AJ116" t="str">
        <f>_xlfn.IFNA(IF(AE116 &lt; (INDEX(SLATable[Maximum SLA],MATCH(G116,SLATable[Priority],0))),"YES","NO"),"")</f>
        <v/>
      </c>
    </row>
    <row r="117" spans="26:36" ht="15" customHeight="1">
      <c r="Z117" s="76" t="e">
        <f t="shared" ca="1" si="10"/>
        <v>#N/A</v>
      </c>
      <c r="AA117" s="75" t="e">
        <f t="shared" ca="1" si="11"/>
        <v>#N/A</v>
      </c>
      <c r="AB117" s="76">
        <f t="shared" ca="1" si="12"/>
        <v>0</v>
      </c>
      <c r="AC117" s="75">
        <f t="shared" ca="1" si="13"/>
        <v>0</v>
      </c>
      <c r="AD117" s="76">
        <f t="shared" ca="1" si="14"/>
        <v>12388.425643634258</v>
      </c>
      <c r="AE117" s="76">
        <f>SUMIFS(AB:AB,E:E,E117)</f>
        <v>0</v>
      </c>
      <c r="AF117" s="75">
        <f t="shared" si="15"/>
        <v>0</v>
      </c>
      <c r="AG117" s="76">
        <f t="shared" si="3"/>
        <v>0</v>
      </c>
      <c r="AH117" s="31" t="e" cm="1">
        <f t="array" aca="1" ref="AH117" ca="1">IF((AD117) &lt; (INDEX(ResponseSLA[#All],(MATCH((G117),ResponseSLA[Priority],0))+1,3)),"YES","No")</f>
        <v>#N/A</v>
      </c>
      <c r="AI117" s="31" t="str">
        <f>_xlfn.IFNA(IF(AE117 &lt; (INDEX(SLATable[Minimum SLA],MATCH(G117,SLATable[Priority],0))),"YES","NO"),"")</f>
        <v/>
      </c>
      <c r="AJ117" t="str">
        <f>_xlfn.IFNA(IF(AE117 &lt; (INDEX(SLATable[Maximum SLA],MATCH(G117,SLATable[Priority],0))),"YES","NO"),"")</f>
        <v/>
      </c>
    </row>
    <row r="118" spans="26:36" ht="15" customHeight="1">
      <c r="Z118" s="76" t="e">
        <f t="shared" ca="1" si="10"/>
        <v>#N/A</v>
      </c>
      <c r="AA118" s="75" t="e">
        <f t="shared" ca="1" si="11"/>
        <v>#N/A</v>
      </c>
      <c r="AB118" s="76">
        <f t="shared" ca="1" si="12"/>
        <v>0</v>
      </c>
      <c r="AC118" s="75">
        <f t="shared" ca="1" si="13"/>
        <v>0</v>
      </c>
      <c r="AD118" s="76">
        <f t="shared" ca="1" si="14"/>
        <v>12388.425643634258</v>
      </c>
      <c r="AE118" s="76">
        <f>SUMIFS(AB:AB,E:E,E118)</f>
        <v>0</v>
      </c>
      <c r="AF118" s="75">
        <f t="shared" si="15"/>
        <v>0</v>
      </c>
      <c r="AG118" s="76">
        <f t="shared" si="3"/>
        <v>0</v>
      </c>
      <c r="AH118" s="31" t="e" cm="1">
        <f t="array" aca="1" ref="AH118" ca="1">IF((AD118) &lt; (INDEX(ResponseSLA[#All],(MATCH((G118),ResponseSLA[Priority],0))+1,3)),"YES","No")</f>
        <v>#N/A</v>
      </c>
      <c r="AI118" s="31" t="str">
        <f>_xlfn.IFNA(IF(AE118 &lt; (INDEX(SLATable[Minimum SLA],MATCH(G118,SLATable[Priority],0))),"YES","NO"),"")</f>
        <v/>
      </c>
      <c r="AJ118" t="str">
        <f>_xlfn.IFNA(IF(AE118 &lt; (INDEX(SLATable[Maximum SLA],MATCH(G118,SLATable[Priority],0))),"YES","NO"),"")</f>
        <v/>
      </c>
    </row>
    <row r="119" spans="26:36" ht="15" customHeight="1">
      <c r="Z119" s="76" t="e">
        <f t="shared" ca="1" si="10"/>
        <v>#N/A</v>
      </c>
      <c r="AA119" s="75" t="e">
        <f t="shared" ca="1" si="11"/>
        <v>#N/A</v>
      </c>
      <c r="AB119" s="76">
        <f t="shared" ca="1" si="12"/>
        <v>0</v>
      </c>
      <c r="AC119" s="75">
        <f t="shared" ca="1" si="13"/>
        <v>0</v>
      </c>
      <c r="AD119" s="76">
        <f t="shared" ca="1" si="14"/>
        <v>12388.425643634258</v>
      </c>
      <c r="AE119" s="76">
        <f>SUMIFS(AB:AB,E:E,E119)</f>
        <v>0</v>
      </c>
      <c r="AF119" s="75">
        <f t="shared" si="15"/>
        <v>0</v>
      </c>
      <c r="AG119" s="76">
        <f t="shared" si="3"/>
        <v>0</v>
      </c>
      <c r="AH119" s="31" t="e" cm="1">
        <f t="array" aca="1" ref="AH119" ca="1">IF((AD119) &lt; (INDEX(ResponseSLA[#All],(MATCH((G119),ResponseSLA[Priority],0))+1,3)),"YES","No")</f>
        <v>#N/A</v>
      </c>
      <c r="AI119" s="31" t="str">
        <f>_xlfn.IFNA(IF(AE119 &lt; (INDEX(SLATable[Minimum SLA],MATCH(G119,SLATable[Priority],0))),"YES","NO"),"")</f>
        <v/>
      </c>
      <c r="AJ119" t="str">
        <f>_xlfn.IFNA(IF(AE119 &lt; (INDEX(SLATable[Maximum SLA],MATCH(G119,SLATable[Priority],0))),"YES","NO"),"")</f>
        <v/>
      </c>
    </row>
    <row r="120" spans="26:36" ht="15" customHeight="1">
      <c r="Z120" s="76" t="e">
        <f t="shared" ca="1" si="10"/>
        <v>#N/A</v>
      </c>
      <c r="AA120" s="75" t="e">
        <f t="shared" ca="1" si="11"/>
        <v>#N/A</v>
      </c>
      <c r="AB120" s="76">
        <f t="shared" ca="1" si="12"/>
        <v>0</v>
      </c>
      <c r="AC120" s="75">
        <f t="shared" ca="1" si="13"/>
        <v>0</v>
      </c>
      <c r="AD120" s="76">
        <f t="shared" ca="1" si="14"/>
        <v>12388.425643634258</v>
      </c>
      <c r="AE120" s="76">
        <f>SUMIFS(AB:AB,E:E,E120)</f>
        <v>0</v>
      </c>
      <c r="AF120" s="75">
        <f t="shared" si="15"/>
        <v>0</v>
      </c>
      <c r="AG120" s="76">
        <f t="shared" si="3"/>
        <v>0</v>
      </c>
      <c r="AH120" s="31" t="e" cm="1">
        <f t="array" aca="1" ref="AH120" ca="1">IF((AD120) &lt; (INDEX(ResponseSLA[#All],(MATCH((G120),ResponseSLA[Priority],0))+1,3)),"YES","No")</f>
        <v>#N/A</v>
      </c>
      <c r="AI120" s="31" t="str">
        <f>_xlfn.IFNA(IF(AE120 &lt; (INDEX(SLATable[Minimum SLA],MATCH(G120,SLATable[Priority],0))),"YES","NO"),"")</f>
        <v/>
      </c>
      <c r="AJ120" t="str">
        <f>_xlfn.IFNA(IF(AE120 &lt; (INDEX(SLATable[Maximum SLA],MATCH(G120,SLATable[Priority],0))),"YES","NO"),"")</f>
        <v/>
      </c>
    </row>
    <row r="121" spans="26:36" ht="15" customHeight="1">
      <c r="Z121" s="76" t="e">
        <f t="shared" ca="1" si="10"/>
        <v>#N/A</v>
      </c>
      <c r="AA121" s="75" t="e">
        <f t="shared" ca="1" si="11"/>
        <v>#N/A</v>
      </c>
      <c r="AB121" s="76">
        <f t="shared" ca="1" si="12"/>
        <v>0</v>
      </c>
      <c r="AC121" s="75">
        <f t="shared" ca="1" si="13"/>
        <v>0</v>
      </c>
      <c r="AD121" s="76">
        <f t="shared" ca="1" si="14"/>
        <v>12388.425643634258</v>
      </c>
      <c r="AE121" s="76">
        <f>SUMIFS(AB:AB,E:E,E121)</f>
        <v>0</v>
      </c>
      <c r="AF121" s="75">
        <f t="shared" si="15"/>
        <v>0</v>
      </c>
      <c r="AG121" s="76">
        <f t="shared" si="3"/>
        <v>0</v>
      </c>
      <c r="AH121" s="31" t="e" cm="1">
        <f t="array" aca="1" ref="AH121" ca="1">IF((AD121) &lt; (INDEX(ResponseSLA[#All],(MATCH((G121),ResponseSLA[Priority],0))+1,3)),"YES","No")</f>
        <v>#N/A</v>
      </c>
      <c r="AI121" s="31" t="str">
        <f>_xlfn.IFNA(IF(AE121 &lt; (INDEX(SLATable[Minimum SLA],MATCH(G121,SLATable[Priority],0))),"YES","NO"),"")</f>
        <v/>
      </c>
      <c r="AJ121" t="str">
        <f>_xlfn.IFNA(IF(AE121 &lt; (INDEX(SLATable[Maximum SLA],MATCH(G121,SLATable[Priority],0))),"YES","NO"),"")</f>
        <v/>
      </c>
    </row>
    <row r="122" spans="26:36" ht="15" customHeight="1">
      <c r="Z122" s="76" t="e">
        <f t="shared" ca="1" si="10"/>
        <v>#N/A</v>
      </c>
      <c r="AA122" s="75" t="e">
        <f t="shared" ca="1" si="11"/>
        <v>#N/A</v>
      </c>
      <c r="AB122" s="76">
        <f t="shared" ca="1" si="12"/>
        <v>0</v>
      </c>
      <c r="AC122" s="75">
        <f t="shared" ca="1" si="13"/>
        <v>0</v>
      </c>
      <c r="AD122" s="76">
        <f t="shared" ca="1" si="14"/>
        <v>12388.425643634258</v>
      </c>
      <c r="AE122" s="76">
        <f>SUMIFS(AB:AB,E:E,E122)</f>
        <v>0</v>
      </c>
      <c r="AF122" s="75">
        <f t="shared" si="15"/>
        <v>0</v>
      </c>
      <c r="AG122" s="76">
        <f t="shared" si="3"/>
        <v>0</v>
      </c>
      <c r="AH122" s="31" t="e" cm="1">
        <f t="array" aca="1" ref="AH122" ca="1">IF((AD122) &lt; (INDEX(ResponseSLA[#All],(MATCH((G122),ResponseSLA[Priority],0))+1,3)),"YES","No")</f>
        <v>#N/A</v>
      </c>
      <c r="AI122" s="31" t="str">
        <f>_xlfn.IFNA(IF(AE122 &lt; (INDEX(SLATable[Minimum SLA],MATCH(G122,SLATable[Priority],0))),"YES","NO"),"")</f>
        <v/>
      </c>
      <c r="AJ122" t="str">
        <f>_xlfn.IFNA(IF(AE122 &lt; (INDEX(SLATable[Maximum SLA],MATCH(G122,SLATable[Priority],0))),"YES","NO"),"")</f>
        <v/>
      </c>
    </row>
    <row r="123" spans="26:36" ht="15" customHeight="1">
      <c r="Z123" s="76" t="e">
        <f t="shared" ca="1" si="10"/>
        <v>#N/A</v>
      </c>
      <c r="AA123" s="75" t="e">
        <f t="shared" ca="1" si="11"/>
        <v>#N/A</v>
      </c>
      <c r="AB123" s="76">
        <f t="shared" ca="1" si="12"/>
        <v>0</v>
      </c>
      <c r="AC123" s="75">
        <f t="shared" ca="1" si="13"/>
        <v>0</v>
      </c>
      <c r="AD123" s="76">
        <f t="shared" ca="1" si="14"/>
        <v>12388.425643634258</v>
      </c>
      <c r="AE123" s="76">
        <f>SUMIFS(AB:AB,E:E,E123)</f>
        <v>0</v>
      </c>
      <c r="AF123" s="75">
        <f t="shared" si="15"/>
        <v>0</v>
      </c>
      <c r="AG123" s="76">
        <f t="shared" si="3"/>
        <v>0</v>
      </c>
      <c r="AH123" s="31" t="e" cm="1">
        <f t="array" aca="1" ref="AH123" ca="1">IF((AD123) &lt; (INDEX(ResponseSLA[#All],(MATCH((G123),ResponseSLA[Priority],0))+1,3)),"YES","No")</f>
        <v>#N/A</v>
      </c>
      <c r="AI123" s="31" t="str">
        <f>_xlfn.IFNA(IF(AE123 &lt; (INDEX(SLATable[Minimum SLA],MATCH(G123,SLATable[Priority],0))),"YES","NO"),"")</f>
        <v/>
      </c>
      <c r="AJ123" t="str">
        <f>_xlfn.IFNA(IF(AE123 &lt; (INDEX(SLATable[Maximum SLA],MATCH(G123,SLATable[Priority],0))),"YES","NO"),"")</f>
        <v/>
      </c>
    </row>
    <row r="124" spans="26:36" ht="15" customHeight="1">
      <c r="Z124" s="76" t="e">
        <f t="shared" ca="1" si="10"/>
        <v>#N/A</v>
      </c>
      <c r="AA124" s="75" t="e">
        <f t="shared" ca="1" si="11"/>
        <v>#N/A</v>
      </c>
      <c r="AB124" s="76">
        <f t="shared" ca="1" si="12"/>
        <v>0</v>
      </c>
      <c r="AC124" s="75">
        <f t="shared" ca="1" si="13"/>
        <v>0</v>
      </c>
      <c r="AD124" s="76">
        <f t="shared" ca="1" si="14"/>
        <v>12388.425643634258</v>
      </c>
      <c r="AE124" s="76">
        <f>SUMIFS(AB:AB,E:E,E124)</f>
        <v>0</v>
      </c>
      <c r="AF124" s="75">
        <f t="shared" si="15"/>
        <v>0</v>
      </c>
      <c r="AG124" s="76">
        <f t="shared" si="3"/>
        <v>0</v>
      </c>
      <c r="AH124" s="31" t="e" cm="1">
        <f t="array" aca="1" ref="AH124" ca="1">IF((AD124) &lt; (INDEX(ResponseSLA[#All],(MATCH((G124),ResponseSLA[Priority],0))+1,3)),"YES","No")</f>
        <v>#N/A</v>
      </c>
      <c r="AI124" s="31" t="str">
        <f>_xlfn.IFNA(IF(AE124 &lt; (INDEX(SLATable[Minimum SLA],MATCH(G124,SLATable[Priority],0))),"YES","NO"),"")</f>
        <v/>
      </c>
      <c r="AJ124" t="str">
        <f>_xlfn.IFNA(IF(AE124 &lt; (INDEX(SLATable[Maximum SLA],MATCH(G124,SLATable[Priority],0))),"YES","NO"),"")</f>
        <v/>
      </c>
    </row>
    <row r="125" spans="26:36" ht="15" customHeight="1">
      <c r="Z125" s="76" t="e">
        <f t="shared" ca="1" si="10"/>
        <v>#N/A</v>
      </c>
      <c r="AA125" s="75" t="e">
        <f t="shared" ca="1" si="11"/>
        <v>#N/A</v>
      </c>
      <c r="AB125" s="76">
        <f t="shared" ca="1" si="12"/>
        <v>0</v>
      </c>
      <c r="AC125" s="75">
        <f t="shared" ca="1" si="13"/>
        <v>0</v>
      </c>
      <c r="AD125" s="76">
        <f t="shared" ca="1" si="14"/>
        <v>12388.425643634258</v>
      </c>
      <c r="AE125" s="76">
        <f>SUMIFS(AB:AB,E:E,E125)</f>
        <v>0</v>
      </c>
      <c r="AF125" s="75">
        <f t="shared" si="15"/>
        <v>0</v>
      </c>
      <c r="AG125" s="76">
        <f t="shared" si="3"/>
        <v>0</v>
      </c>
      <c r="AH125" s="31" t="e" cm="1">
        <f t="array" aca="1" ref="AH125" ca="1">IF((AD125) &lt; (INDEX(ResponseSLA[#All],(MATCH((G125),ResponseSLA[Priority],0))+1,3)),"YES","No")</f>
        <v>#N/A</v>
      </c>
      <c r="AI125" s="31" t="str">
        <f>_xlfn.IFNA(IF(AE125 &lt; (INDEX(SLATable[Minimum SLA],MATCH(G125,SLATable[Priority],0))),"YES","NO"),"")</f>
        <v/>
      </c>
      <c r="AJ125" t="str">
        <f>_xlfn.IFNA(IF(AE125 &lt; (INDEX(SLATable[Maximum SLA],MATCH(G125,SLATable[Priority],0))),"YES","NO"),"")</f>
        <v/>
      </c>
    </row>
    <row r="126" spans="26:36" ht="15" customHeight="1">
      <c r="Z126" s="76" t="e">
        <f t="shared" ca="1" si="10"/>
        <v>#N/A</v>
      </c>
      <c r="AA126" s="75" t="e">
        <f t="shared" ca="1" si="11"/>
        <v>#N/A</v>
      </c>
      <c r="AB126" s="76">
        <f t="shared" ca="1" si="12"/>
        <v>0</v>
      </c>
      <c r="AC126" s="75">
        <f t="shared" ca="1" si="13"/>
        <v>0</v>
      </c>
      <c r="AD126" s="76">
        <f t="shared" ca="1" si="14"/>
        <v>12388.425643634258</v>
      </c>
      <c r="AE126" s="76">
        <f>SUMIFS(AB:AB,E:E,E126)</f>
        <v>0</v>
      </c>
      <c r="AF126" s="75">
        <f t="shared" si="15"/>
        <v>0</v>
      </c>
      <c r="AG126" s="76">
        <f t="shared" si="3"/>
        <v>0</v>
      </c>
      <c r="AH126" s="31" t="e" cm="1">
        <f t="array" aca="1" ref="AH126" ca="1">IF((AD126) &lt; (INDEX(ResponseSLA[#All],(MATCH((G126),ResponseSLA[Priority],0))+1,3)),"YES","No")</f>
        <v>#N/A</v>
      </c>
      <c r="AI126" s="31" t="str">
        <f>_xlfn.IFNA(IF(AE126 &lt; (INDEX(SLATable[Minimum SLA],MATCH(G126,SLATable[Priority],0))),"YES","NO"),"")</f>
        <v/>
      </c>
      <c r="AJ126" t="str">
        <f>_xlfn.IFNA(IF(AE126 &lt; (INDEX(SLATable[Maximum SLA],MATCH(G126,SLATable[Priority],0))),"YES","NO"),"")</f>
        <v/>
      </c>
    </row>
    <row r="127" spans="26:36" ht="15" customHeight="1">
      <c r="Z127" s="76" t="e">
        <f t="shared" ca="1" si="10"/>
        <v>#N/A</v>
      </c>
      <c r="AA127" s="75" t="e">
        <f t="shared" ca="1" si="11"/>
        <v>#N/A</v>
      </c>
      <c r="AB127" s="76">
        <f t="shared" ca="1" si="12"/>
        <v>0</v>
      </c>
      <c r="AC127" s="75">
        <f t="shared" ca="1" si="13"/>
        <v>0</v>
      </c>
      <c r="AD127" s="76">
        <f t="shared" ca="1" si="14"/>
        <v>12388.425643634258</v>
      </c>
      <c r="AE127" s="76">
        <f>SUMIFS(AB:AB,E:E,E127)</f>
        <v>0</v>
      </c>
      <c r="AF127" s="75">
        <f t="shared" si="15"/>
        <v>0</v>
      </c>
      <c r="AG127" s="76">
        <f t="shared" si="3"/>
        <v>0</v>
      </c>
      <c r="AH127" s="31" t="e" cm="1">
        <f t="array" aca="1" ref="AH127" ca="1">IF((AD127) &lt; (INDEX(ResponseSLA[#All],(MATCH((G127),ResponseSLA[Priority],0))+1,3)),"YES","No")</f>
        <v>#N/A</v>
      </c>
      <c r="AI127" s="31" t="str">
        <f>_xlfn.IFNA(IF(AE127 &lt; (INDEX(SLATable[Minimum SLA],MATCH(G127,SLATable[Priority],0))),"YES","NO"),"")</f>
        <v/>
      </c>
      <c r="AJ127" t="str">
        <f>_xlfn.IFNA(IF(AE127 &lt; (INDEX(SLATable[Maximum SLA],MATCH(G127,SLATable[Priority],0))),"YES","NO"),"")</f>
        <v/>
      </c>
    </row>
    <row r="128" spans="26:36" ht="15" customHeight="1">
      <c r="Z128" s="76" t="e">
        <f t="shared" ca="1" si="10"/>
        <v>#N/A</v>
      </c>
      <c r="AA128" s="75" t="e">
        <f t="shared" ca="1" si="11"/>
        <v>#N/A</v>
      </c>
      <c r="AB128" s="76">
        <f t="shared" ca="1" si="12"/>
        <v>0</v>
      </c>
      <c r="AC128" s="75">
        <f t="shared" ca="1" si="13"/>
        <v>0</v>
      </c>
      <c r="AD128" s="76">
        <f t="shared" ca="1" si="14"/>
        <v>12388.425643634258</v>
      </c>
      <c r="AE128" s="76">
        <f>SUMIFS(AB:AB,E:E,E128)</f>
        <v>0</v>
      </c>
      <c r="AF128" s="75">
        <f t="shared" si="15"/>
        <v>0</v>
      </c>
      <c r="AG128" s="76">
        <f t="shared" si="3"/>
        <v>0</v>
      </c>
      <c r="AH128" s="31" t="e" cm="1">
        <f t="array" aca="1" ref="AH128" ca="1">IF((AD128) &lt; (INDEX(ResponseSLA[#All],(MATCH((G128),ResponseSLA[Priority],0))+1,3)),"YES","No")</f>
        <v>#N/A</v>
      </c>
      <c r="AI128" s="31" t="str">
        <f>_xlfn.IFNA(IF(AE128 &lt; (INDEX(SLATable[Minimum SLA],MATCH(G128,SLATable[Priority],0))),"YES","NO"),"")</f>
        <v/>
      </c>
      <c r="AJ128" t="str">
        <f>_xlfn.IFNA(IF(AE128 &lt; (INDEX(SLATable[Maximum SLA],MATCH(G128,SLATable[Priority],0))),"YES","NO"),"")</f>
        <v/>
      </c>
    </row>
    <row r="129" spans="26:36" ht="15" customHeight="1">
      <c r="Z129" s="76" t="e">
        <f t="shared" ca="1" si="10"/>
        <v>#N/A</v>
      </c>
      <c r="AA129" s="75" t="e">
        <f t="shared" ca="1" si="11"/>
        <v>#N/A</v>
      </c>
      <c r="AB129" s="76">
        <f t="shared" ca="1" si="12"/>
        <v>0</v>
      </c>
      <c r="AC129" s="75">
        <f t="shared" ca="1" si="13"/>
        <v>0</v>
      </c>
      <c r="AD129" s="76">
        <f t="shared" ca="1" si="14"/>
        <v>12388.425643634258</v>
      </c>
      <c r="AE129" s="76">
        <f>SUMIFS(AB:AB,E:E,E129)</f>
        <v>0</v>
      </c>
      <c r="AF129" s="75">
        <f t="shared" si="15"/>
        <v>0</v>
      </c>
      <c r="AG129" s="76">
        <f t="shared" si="3"/>
        <v>0</v>
      </c>
      <c r="AH129" s="31" t="e" cm="1">
        <f t="array" aca="1" ref="AH129" ca="1">IF((AD129) &lt; (INDEX(ResponseSLA[#All],(MATCH((G129),ResponseSLA[Priority],0))+1,3)),"YES","No")</f>
        <v>#N/A</v>
      </c>
      <c r="AI129" s="31" t="str">
        <f>_xlfn.IFNA(IF(AE129 &lt; (INDEX(SLATable[Minimum SLA],MATCH(G129,SLATable[Priority],0))),"YES","NO"),"")</f>
        <v/>
      </c>
      <c r="AJ129" t="str">
        <f>_xlfn.IFNA(IF(AE129 &lt; (INDEX(SLATable[Maximum SLA],MATCH(G129,SLATable[Priority],0))),"YES","NO"),"")</f>
        <v/>
      </c>
    </row>
    <row r="130" spans="26:36" ht="15" customHeight="1">
      <c r="Z130" s="76" t="e">
        <f t="shared" ca="1" si="10"/>
        <v>#N/A</v>
      </c>
      <c r="AA130" s="75" t="e">
        <f t="shared" ca="1" si="11"/>
        <v>#N/A</v>
      </c>
      <c r="AB130" s="76">
        <f t="shared" ca="1" si="12"/>
        <v>0</v>
      </c>
      <c r="AC130" s="75">
        <f t="shared" ca="1" si="13"/>
        <v>0</v>
      </c>
      <c r="AD130" s="76">
        <f t="shared" ca="1" si="14"/>
        <v>12388.425643634258</v>
      </c>
      <c r="AE130" s="76">
        <f>SUMIFS(AB:AB,E:E,E130)</f>
        <v>0</v>
      </c>
      <c r="AF130" s="75">
        <f t="shared" si="15"/>
        <v>0</v>
      </c>
      <c r="AG130" s="76">
        <f t="shared" si="3"/>
        <v>0</v>
      </c>
      <c r="AH130" s="31" t="e" cm="1">
        <f t="array" aca="1" ref="AH130" ca="1">IF((AD130) &lt; (INDEX(ResponseSLA[#All],(MATCH((G130),ResponseSLA[Priority],0))+1,3)),"YES","No")</f>
        <v>#N/A</v>
      </c>
      <c r="AI130" s="31" t="str">
        <f>_xlfn.IFNA(IF(AE130 &lt; (INDEX(SLATable[Minimum SLA],MATCH(G130,SLATable[Priority],0))),"YES","NO"),"")</f>
        <v/>
      </c>
      <c r="AJ130" t="str">
        <f>_xlfn.IFNA(IF(AE130 &lt; (INDEX(SLATable[Maximum SLA],MATCH(G130,SLATable[Priority],0))),"YES","NO"),"")</f>
        <v/>
      </c>
    </row>
    <row r="131" spans="26:36" ht="15" customHeight="1">
      <c r="Z131" s="76" t="e">
        <f t="shared" ref="Z131:Z194" ca="1" si="16">IF(NOT(OR(G131=1,G131=2)),MAX(0,_xlfn.IFS(AND(K131&lt;&gt;"",N131&lt;&gt;""),((MAX(NETWORKDAYS(K131,N131,UKBankHolidays)-1,0))*(TIME(17,0,0)-TIME(8,0,0))+IF(NETWORKDAYS(N131,N131,UKBankHolidays)&gt;0,MEDIAN(TIME(8,0,0),MOD(N131,1),TIME(17,0,0)),TIME(8,0,0))-IF(NETWORKDAYS(K131,K131,UKBankHolidays)&gt;0,MEDIAN(TIME(8,0,0),MOD(K131,1),TIME(17,0,0)),TIME(8,0,0)))-IF(AND(O131&lt;&gt;"",P131&lt;&gt;""),((MAX(NETWORKDAYS(O131,P131,UKBankHolidays)-1,0))*(TIME(17,0,0)-TIME(8,0,0))+IF(NETWORKDAYS(P131,P131,UKBankHolidays)&gt;0,MEDIAN(TIME(8,0,0),MOD(P131,1),TIME(17,0,0)),TIME(8,0,0))-IF(NETWORKDAYS(O131,O131,UKBankHolidays)&gt;0,MEDIAN(TIME(8,0,0),MOD(O131,1),TIME(17,0,0)),TIME(8,0,0))),0),AND(K131&lt;&gt;"",N131=""),((MAX(NETWORKDAYS(K131,NOW(),UKBankHolidays)-1,0))*(TIME(17,0,0)-TIME(8,0,0))+IF(NETWORKDAYS(NOW(),NOW(),UKBankHolidays)&gt;0,MEDIAN(TIME(8,0,0),MOD(NOW(),1),TIME(17,0,0)),TIME(8,0,0))-IF(NETWORKDAYS(K131,K131,UKBankHolidays)&gt;0,MEDIAN(TIME(8,0,0),MOD(K131,1),TIME(17,0,0)),TIME(8,0,0))))),IF(N131="",NOW()-K131,N131-K131))</f>
        <v>#N/A</v>
      </c>
      <c r="AA131" s="75" t="e">
        <f t="shared" ref="AA131:AA194" ca="1" si="17">(Z131*24)/9</f>
        <v>#N/A</v>
      </c>
      <c r="AB131" s="76">
        <f t="shared" ref="AB131:AB194" ca="1" si="18">IF(NOT(OR(G131=1,G131=2)),MAX(0,_xlfn.IFS(AND(K131&lt;&gt;"",N131&lt;&gt;""),(((MAX(NETWORKDAYS(L131,N131,UKBankHolidays)-1,0))*(TIME(17,0,0)-TIME(8,0,0)))+IF(NETWORKDAYS(N131,N131,UKBankHolidays)&gt;0,MEDIAN(TIME(8,0,0),MOD(N131,1),TIME(17,0,0)),TIME(8,0,0))-IF(NETWORKDAYS(L131,L131,UKBankHolidays)&gt;0,MEDIAN(TIME(8,0,0),MOD(L131,1),TIME(17,0,0)),TIME(8,0,0)))-IF(AND(O131&lt;&gt;"",P131&lt;&gt;""),(((MAX(NETWORKDAYS(O131,P131,UKBankHolidays)-1,0))*(TIME(17,0,0)-TIME(8,0,0)))+IF(NETWORKDAYS(P131,P131,UKBankHolidays)&gt;0,MEDIAN(TIME(8,0,0),MOD(P131,1),TIME(17,0,0)),TIME(8,0,0))-IF(NETWORKDAYS(O131,O131,UKBankHolidays)&gt;0,MEDIAN(TIME(8,0,0),MOD(O131,1),TIME(17,0,0)),TIME(8,0,0))),0),AND(L131&lt;&gt;"",N131="",O131=""),(((MAX(NETWORKDAYS(L131,NOW(),UKBankHolidays)-1,0))*(TIME(17,0,0)-TIME(8,0,0)))+IF(NETWORKDAYS(NOW(),NOW(),UKBankHolidays)&gt;0,MEDIAN(TIME(8,0,0),MOD(NOW(),1),TIME(17,0,0)),TIME(8,0,0))-IF(NETWORKDAYS(L131,L131,UKBankHolidays)&gt;0,MEDIAN(TIME(8,0,0),MOD(L131,1),TIME(17,0,0)),TIME(8,0,0)))-IF(AND(O131&lt;&gt;"",P131&lt;&gt;""),(((MAX(NETWORKDAYS(O131,P131,UKBankHolidays)-1,0))*(TIME(17,0,0)-TIME(8,0,0)))+IF(NETWORKDAYS(P131,P131,UKBankHolidays)&gt;0,MEDIAN(TIME(8,0,0),MOD(P131,1),TIME(17,0,0)),TIME(8,0,0))-IF(NETWORKDAYS(O131,O131,UKBankHolidays)&gt;0,MEDIAN(TIME(8,0,0),MOD(O131,1),TIME(17,0,0)),TIME(8,0,0))),0),AND(L131&lt;&gt;"",N131="",P131="",O131&lt;&gt;""),(((MAX(NETWORKDAYS(L131,O131,UKBankHolidays)-1,0))*(TIME(17,0,0)-TIME(8,0,0)))+IF(NETWORKDAYS(O131,O131,UKBankHolidays)&gt;0,MEDIAN(TIME(8,0,0),MOD(O131,1),TIME(17,0,0)),TIME(8,0,0))-IF(NETWORKDAYS(L131,L131,UKBankHolidays)&gt;0,MEDIAN(TIME(8,0,0),MOD(L131,1),TIME(17,0,0)),TIME(8,0,0))),ISBLANK(K131),"0")),IF(ISBLANK(N131),NOW()-L131,N131-L131))</f>
        <v>0</v>
      </c>
      <c r="AC131" s="75">
        <f t="shared" ref="AC131:AC194" ca="1" si="19">(AB131*24)/9</f>
        <v>0</v>
      </c>
      <c r="AD131" s="76">
        <f t="shared" ref="AD131:AD194" ca="1" si="20">MAX(0,IF(NOT(OR(G131=1,G131=2)),IF(M131&lt;&gt;"",((MAX(NETWORKDAYS(L131,M131,UKBankHolidays)-1,0))*(TIME(17,0,0)-TIME(8,0,0))+IF(NETWORKDAYS(M131,M131,UKBankHolidays)&gt;0,MEDIAN(TIME(8,0,0),MOD(M131,1),TIME(17,0,0)),TIME(8,0,0))-MEDIAN(TIME(8,0,0),MOD(L131,1),TIME(17,0,0))),((MAX(NETWORKDAYS(L131,NOW(),UKBankHolidays)-1,0))*(TIME(17,0,0)-TIME(8,0,0))+IF(NETWORKDAYS(NOW(),NOW(),UKBankHolidays)&gt;0,MEDIAN(TIME(8,0,0),MOD(NOW(),1),TIME(17,0,0)),TIME(8,0,0))-MEDIAN(TIME(8,0,0),MOD(L131,1),TIME(17,0,0)))),IF(M131&lt;&gt;"",M131-L131,NOW()-L131)))</f>
        <v>12388.425643634258</v>
      </c>
      <c r="AE131" s="76">
        <f>SUMIFS(AB:AB,E:E,E131)</f>
        <v>0</v>
      </c>
      <c r="AF131" s="75">
        <f t="shared" ref="AF131:AF194" si="21">(AE131*24)/9</f>
        <v>0</v>
      </c>
      <c r="AG131" s="76">
        <f t="shared" si="3"/>
        <v>0</v>
      </c>
      <c r="AH131" s="31" t="e" cm="1">
        <f t="array" aca="1" ref="AH131" ca="1">IF((AD131) &lt; (INDEX(ResponseSLA[#All],(MATCH((G131),ResponseSLA[Priority],0))+1,3)),"YES","No")</f>
        <v>#N/A</v>
      </c>
      <c r="AI131" s="31" t="str">
        <f>_xlfn.IFNA(IF(AE131 &lt; (INDEX(SLATable[Minimum SLA],MATCH(G131,SLATable[Priority],0))),"YES","NO"),"")</f>
        <v/>
      </c>
      <c r="AJ131" t="str">
        <f>_xlfn.IFNA(IF(AE131 &lt; (INDEX(SLATable[Maximum SLA],MATCH(G131,SLATable[Priority],0))),"YES","NO"),"")</f>
        <v/>
      </c>
    </row>
    <row r="132" spans="26:36" ht="15" customHeight="1">
      <c r="Z132" s="76" t="e">
        <f t="shared" ca="1" si="16"/>
        <v>#N/A</v>
      </c>
      <c r="AA132" s="75" t="e">
        <f t="shared" ca="1" si="17"/>
        <v>#N/A</v>
      </c>
      <c r="AB132" s="76">
        <f t="shared" ca="1" si="18"/>
        <v>0</v>
      </c>
      <c r="AC132" s="75">
        <f t="shared" ca="1" si="19"/>
        <v>0</v>
      </c>
      <c r="AD132" s="76">
        <f t="shared" ca="1" si="20"/>
        <v>12388.425643634258</v>
      </c>
      <c r="AE132" s="76">
        <f>SUMIFS(AB:AB,E:E,E132)</f>
        <v>0</v>
      </c>
      <c r="AF132" s="75">
        <f t="shared" si="21"/>
        <v>0</v>
      </c>
      <c r="AG132" s="76">
        <f t="shared" si="3"/>
        <v>0</v>
      </c>
      <c r="AH132" s="31" t="e" cm="1">
        <f t="array" aca="1" ref="AH132" ca="1">IF((AD132) &lt; (INDEX(ResponseSLA[#All],(MATCH((G132),ResponseSLA[Priority],0))+1,3)),"YES","No")</f>
        <v>#N/A</v>
      </c>
      <c r="AI132" s="31" t="str">
        <f>_xlfn.IFNA(IF(AE132 &lt; (INDEX(SLATable[Minimum SLA],MATCH(G132,SLATable[Priority],0))),"YES","NO"),"")</f>
        <v/>
      </c>
      <c r="AJ132" t="str">
        <f>_xlfn.IFNA(IF(AE132 &lt; (INDEX(SLATable[Maximum SLA],MATCH(G132,SLATable[Priority],0))),"YES","NO"),"")</f>
        <v/>
      </c>
    </row>
    <row r="133" spans="26:36" ht="15" customHeight="1">
      <c r="Z133" s="76" t="e">
        <f t="shared" ca="1" si="16"/>
        <v>#N/A</v>
      </c>
      <c r="AA133" s="75" t="e">
        <f t="shared" ca="1" si="17"/>
        <v>#N/A</v>
      </c>
      <c r="AB133" s="76">
        <f t="shared" ca="1" si="18"/>
        <v>0</v>
      </c>
      <c r="AC133" s="75">
        <f t="shared" ca="1" si="19"/>
        <v>0</v>
      </c>
      <c r="AD133" s="76">
        <f t="shared" ca="1" si="20"/>
        <v>12388.425643634258</v>
      </c>
      <c r="AE133" s="76">
        <f>SUMIFS(AB:AB,E:E,E133)</f>
        <v>0</v>
      </c>
      <c r="AF133" s="75">
        <f t="shared" si="21"/>
        <v>0</v>
      </c>
      <c r="AG133" s="76">
        <f t="shared" si="3"/>
        <v>0</v>
      </c>
      <c r="AH133" s="31" t="e" cm="1">
        <f t="array" aca="1" ref="AH133" ca="1">IF((AD133) &lt; (INDEX(ResponseSLA[#All],(MATCH((G133),ResponseSLA[Priority],0))+1,3)),"YES","No")</f>
        <v>#N/A</v>
      </c>
      <c r="AI133" s="31" t="str">
        <f>_xlfn.IFNA(IF(AE133 &lt; (INDEX(SLATable[Minimum SLA],MATCH(G133,SLATable[Priority],0))),"YES","NO"),"")</f>
        <v/>
      </c>
      <c r="AJ133" t="str">
        <f>_xlfn.IFNA(IF(AE133 &lt; (INDEX(SLATable[Maximum SLA],MATCH(G133,SLATable[Priority],0))),"YES","NO"),"")</f>
        <v/>
      </c>
    </row>
    <row r="134" spans="26:36" ht="15" customHeight="1">
      <c r="Z134" s="76" t="e">
        <f t="shared" ca="1" si="16"/>
        <v>#N/A</v>
      </c>
      <c r="AA134" s="75" t="e">
        <f t="shared" ca="1" si="17"/>
        <v>#N/A</v>
      </c>
      <c r="AB134" s="76">
        <f t="shared" ca="1" si="18"/>
        <v>0</v>
      </c>
      <c r="AC134" s="75">
        <f t="shared" ca="1" si="19"/>
        <v>0</v>
      </c>
      <c r="AD134" s="76">
        <f t="shared" ca="1" si="20"/>
        <v>12388.425643634258</v>
      </c>
      <c r="AE134" s="76">
        <f>SUMIFS(AB:AB,E:E,E134)</f>
        <v>0</v>
      </c>
      <c r="AF134" s="75">
        <f t="shared" si="21"/>
        <v>0</v>
      </c>
      <c r="AG134" s="76">
        <f t="shared" si="3"/>
        <v>0</v>
      </c>
      <c r="AH134" s="31" t="e" cm="1">
        <f t="array" aca="1" ref="AH134" ca="1">IF((AD134) &lt; (INDEX(ResponseSLA[#All],(MATCH((G134),ResponseSLA[Priority],0))+1,3)),"YES","No")</f>
        <v>#N/A</v>
      </c>
      <c r="AI134" s="31" t="str">
        <f>_xlfn.IFNA(IF(AE134 &lt; (INDEX(SLATable[Minimum SLA],MATCH(G134,SLATable[Priority],0))),"YES","NO"),"")</f>
        <v/>
      </c>
      <c r="AJ134" t="str">
        <f>_xlfn.IFNA(IF(AE134 &lt; (INDEX(SLATable[Maximum SLA],MATCH(G134,SLATable[Priority],0))),"YES","NO"),"")</f>
        <v/>
      </c>
    </row>
    <row r="135" spans="26:36" ht="15" customHeight="1">
      <c r="Z135" s="76" t="e">
        <f t="shared" ca="1" si="16"/>
        <v>#N/A</v>
      </c>
      <c r="AA135" s="75" t="e">
        <f t="shared" ca="1" si="17"/>
        <v>#N/A</v>
      </c>
      <c r="AB135" s="76">
        <f t="shared" ca="1" si="18"/>
        <v>0</v>
      </c>
      <c r="AC135" s="75">
        <f t="shared" ca="1" si="19"/>
        <v>0</v>
      </c>
      <c r="AD135" s="76">
        <f t="shared" ca="1" si="20"/>
        <v>12388.425643634258</v>
      </c>
      <c r="AE135" s="76">
        <f>SUMIFS(AB:AB,E:E,E135)</f>
        <v>0</v>
      </c>
      <c r="AF135" s="75">
        <f t="shared" si="21"/>
        <v>0</v>
      </c>
      <c r="AG135" s="76">
        <f t="shared" si="3"/>
        <v>0</v>
      </c>
      <c r="AH135" s="31" t="e" cm="1">
        <f t="array" aca="1" ref="AH135" ca="1">IF((AD135) &lt; (INDEX(ResponseSLA[#All],(MATCH((G135),ResponseSLA[Priority],0))+1,3)),"YES","No")</f>
        <v>#N/A</v>
      </c>
      <c r="AI135" s="31" t="str">
        <f>_xlfn.IFNA(IF(AE135 &lt; (INDEX(SLATable[Minimum SLA],MATCH(G135,SLATable[Priority],0))),"YES","NO"),"")</f>
        <v/>
      </c>
      <c r="AJ135" t="str">
        <f>_xlfn.IFNA(IF(AE135 &lt; (INDEX(SLATable[Maximum SLA],MATCH(G135,SLATable[Priority],0))),"YES","NO"),"")</f>
        <v/>
      </c>
    </row>
    <row r="136" spans="26:36" ht="15" customHeight="1">
      <c r="Z136" s="76" t="e">
        <f t="shared" ca="1" si="16"/>
        <v>#N/A</v>
      </c>
      <c r="AA136" s="75" t="e">
        <f t="shared" ca="1" si="17"/>
        <v>#N/A</v>
      </c>
      <c r="AB136" s="76">
        <f t="shared" ca="1" si="18"/>
        <v>0</v>
      </c>
      <c r="AC136" s="75">
        <f t="shared" ca="1" si="19"/>
        <v>0</v>
      </c>
      <c r="AD136" s="76">
        <f t="shared" ca="1" si="20"/>
        <v>12388.425643634258</v>
      </c>
      <c r="AE136" s="76">
        <f>SUMIFS(AB:AB,E:E,E136)</f>
        <v>0</v>
      </c>
      <c r="AF136" s="75">
        <f t="shared" si="21"/>
        <v>0</v>
      </c>
      <c r="AG136" s="76">
        <f t="shared" si="3"/>
        <v>0</v>
      </c>
      <c r="AH136" s="31" t="e" cm="1">
        <f t="array" aca="1" ref="AH136" ca="1">IF((AD136) &lt; (INDEX(ResponseSLA[#All],(MATCH((G136),ResponseSLA[Priority],0))+1,3)),"YES","No")</f>
        <v>#N/A</v>
      </c>
      <c r="AI136" s="31" t="str">
        <f>_xlfn.IFNA(IF(AE136 &lt; (INDEX(SLATable[Minimum SLA],MATCH(G136,SLATable[Priority],0))),"YES","NO"),"")</f>
        <v/>
      </c>
      <c r="AJ136" t="str">
        <f>_xlfn.IFNA(IF(AE136 &lt; (INDEX(SLATable[Maximum SLA],MATCH(G136,SLATable[Priority],0))),"YES","NO"),"")</f>
        <v/>
      </c>
    </row>
    <row r="137" spans="26:36" ht="15" customHeight="1">
      <c r="Z137" s="76" t="e">
        <f t="shared" ca="1" si="16"/>
        <v>#N/A</v>
      </c>
      <c r="AA137" s="75" t="e">
        <f t="shared" ca="1" si="17"/>
        <v>#N/A</v>
      </c>
      <c r="AB137" s="76">
        <f t="shared" ca="1" si="18"/>
        <v>0</v>
      </c>
      <c r="AC137" s="75">
        <f t="shared" ca="1" si="19"/>
        <v>0</v>
      </c>
      <c r="AD137" s="76">
        <f t="shared" ca="1" si="20"/>
        <v>12388.425643634258</v>
      </c>
      <c r="AE137" s="76">
        <f>SUMIFS(AB:AB,E:E,E137)</f>
        <v>0</v>
      </c>
      <c r="AF137" s="75">
        <f t="shared" si="21"/>
        <v>0</v>
      </c>
      <c r="AG137" s="76">
        <f t="shared" si="3"/>
        <v>0</v>
      </c>
      <c r="AH137" s="31" t="e" cm="1">
        <f t="array" aca="1" ref="AH137" ca="1">IF((AD137) &lt; (INDEX(ResponseSLA[#All],(MATCH((G137),ResponseSLA[Priority],0))+1,3)),"YES","No")</f>
        <v>#N/A</v>
      </c>
      <c r="AI137" s="31" t="str">
        <f>_xlfn.IFNA(IF(AE137 &lt; (INDEX(SLATable[Minimum SLA],MATCH(G137,SLATable[Priority],0))),"YES","NO"),"")</f>
        <v/>
      </c>
      <c r="AJ137" t="str">
        <f>_xlfn.IFNA(IF(AE137 &lt; (INDEX(SLATable[Maximum SLA],MATCH(G137,SLATable[Priority],0))),"YES","NO"),"")</f>
        <v/>
      </c>
    </row>
    <row r="138" spans="26:36" ht="15" customHeight="1">
      <c r="Z138" s="76" t="e">
        <f t="shared" ca="1" si="16"/>
        <v>#N/A</v>
      </c>
      <c r="AA138" s="75" t="e">
        <f t="shared" ca="1" si="17"/>
        <v>#N/A</v>
      </c>
      <c r="AB138" s="76">
        <f t="shared" ca="1" si="18"/>
        <v>0</v>
      </c>
      <c r="AC138" s="75">
        <f t="shared" ca="1" si="19"/>
        <v>0</v>
      </c>
      <c r="AD138" s="76">
        <f t="shared" ca="1" si="20"/>
        <v>12388.425643634258</v>
      </c>
      <c r="AE138" s="76">
        <f>SUMIFS(AB:AB,E:E,E138)</f>
        <v>0</v>
      </c>
      <c r="AF138" s="75">
        <f t="shared" si="21"/>
        <v>0</v>
      </c>
      <c r="AG138" s="76">
        <f t="shared" si="3"/>
        <v>0</v>
      </c>
      <c r="AH138" s="31" t="e" cm="1">
        <f t="array" aca="1" ref="AH138" ca="1">IF((AD138) &lt; (INDEX(ResponseSLA[#All],(MATCH((G138),ResponseSLA[Priority],0))+1,3)),"YES","No")</f>
        <v>#N/A</v>
      </c>
      <c r="AI138" s="31" t="str">
        <f>_xlfn.IFNA(IF(AE138 &lt; (INDEX(SLATable[Minimum SLA],MATCH(G138,SLATable[Priority],0))),"YES","NO"),"")</f>
        <v/>
      </c>
      <c r="AJ138" t="str">
        <f>_xlfn.IFNA(IF(AE138 &lt; (INDEX(SLATable[Maximum SLA],MATCH(G138,SLATable[Priority],0))),"YES","NO"),"")</f>
        <v/>
      </c>
    </row>
    <row r="139" spans="26:36" ht="15" customHeight="1">
      <c r="Z139" s="76" t="e">
        <f t="shared" ca="1" si="16"/>
        <v>#N/A</v>
      </c>
      <c r="AA139" s="75" t="e">
        <f t="shared" ca="1" si="17"/>
        <v>#N/A</v>
      </c>
      <c r="AB139" s="76">
        <f t="shared" ca="1" si="18"/>
        <v>0</v>
      </c>
      <c r="AC139" s="75">
        <f t="shared" ca="1" si="19"/>
        <v>0</v>
      </c>
      <c r="AD139" s="76">
        <f t="shared" ca="1" si="20"/>
        <v>12388.425643634258</v>
      </c>
      <c r="AE139" s="76">
        <f>SUMIFS(AB:AB,E:E,E139)</f>
        <v>0</v>
      </c>
      <c r="AF139" s="75">
        <f t="shared" si="21"/>
        <v>0</v>
      </c>
      <c r="AG139" s="76">
        <f t="shared" si="3"/>
        <v>0</v>
      </c>
      <c r="AH139" s="31" t="e" cm="1">
        <f t="array" aca="1" ref="AH139" ca="1">IF((AD139) &lt; (INDEX(ResponseSLA[#All],(MATCH((G139),ResponseSLA[Priority],0))+1,3)),"YES","No")</f>
        <v>#N/A</v>
      </c>
      <c r="AI139" s="31" t="str">
        <f>_xlfn.IFNA(IF(AE139 &lt; (INDEX(SLATable[Minimum SLA],MATCH(G139,SLATable[Priority],0))),"YES","NO"),"")</f>
        <v/>
      </c>
      <c r="AJ139" t="str">
        <f>_xlfn.IFNA(IF(AE139 &lt; (INDEX(SLATable[Maximum SLA],MATCH(G139,SLATable[Priority],0))),"YES","NO"),"")</f>
        <v/>
      </c>
    </row>
    <row r="140" spans="26:36" ht="15" customHeight="1">
      <c r="Z140" s="76" t="e">
        <f t="shared" ca="1" si="16"/>
        <v>#N/A</v>
      </c>
      <c r="AA140" s="75" t="e">
        <f t="shared" ca="1" si="17"/>
        <v>#N/A</v>
      </c>
      <c r="AB140" s="76">
        <f t="shared" ca="1" si="18"/>
        <v>0</v>
      </c>
      <c r="AC140" s="75">
        <f t="shared" ca="1" si="19"/>
        <v>0</v>
      </c>
      <c r="AD140" s="76">
        <f t="shared" ca="1" si="20"/>
        <v>12388.425643634258</v>
      </c>
      <c r="AE140" s="76">
        <f>SUMIFS(AB:AB,E:E,E140)</f>
        <v>0</v>
      </c>
      <c r="AF140" s="75">
        <f t="shared" si="21"/>
        <v>0</v>
      </c>
      <c r="AG140" s="76">
        <f t="shared" si="3"/>
        <v>0</v>
      </c>
      <c r="AH140" s="31" t="e" cm="1">
        <f t="array" aca="1" ref="AH140" ca="1">IF((AD140) &lt; (INDEX(ResponseSLA[#All],(MATCH((G140),ResponseSLA[Priority],0))+1,3)),"YES","No")</f>
        <v>#N/A</v>
      </c>
      <c r="AI140" s="31" t="str">
        <f>_xlfn.IFNA(IF(AE140 &lt; (INDEX(SLATable[Minimum SLA],MATCH(G140,SLATable[Priority],0))),"YES","NO"),"")</f>
        <v/>
      </c>
      <c r="AJ140" t="str">
        <f>_xlfn.IFNA(IF(AE140 &lt; (INDEX(SLATable[Maximum SLA],MATCH(G140,SLATable[Priority],0))),"YES","NO"),"")</f>
        <v/>
      </c>
    </row>
    <row r="141" spans="26:36" ht="15" customHeight="1">
      <c r="Z141" s="76" t="e">
        <f t="shared" ca="1" si="16"/>
        <v>#N/A</v>
      </c>
      <c r="AA141" s="75" t="e">
        <f t="shared" ca="1" si="17"/>
        <v>#N/A</v>
      </c>
      <c r="AB141" s="76">
        <f t="shared" ca="1" si="18"/>
        <v>0</v>
      </c>
      <c r="AC141" s="75">
        <f t="shared" ca="1" si="19"/>
        <v>0</v>
      </c>
      <c r="AD141" s="76">
        <f t="shared" ca="1" si="20"/>
        <v>12388.425643634258</v>
      </c>
      <c r="AE141" s="76">
        <f>SUMIFS(AB:AB,E:E,E141)</f>
        <v>0</v>
      </c>
      <c r="AF141" s="75">
        <f t="shared" si="21"/>
        <v>0</v>
      </c>
      <c r="AG141" s="76">
        <f t="shared" si="3"/>
        <v>0</v>
      </c>
      <c r="AH141" s="31" t="e" cm="1">
        <f t="array" aca="1" ref="AH141" ca="1">IF((AD141) &lt; (INDEX(ResponseSLA[#All],(MATCH((G141),ResponseSLA[Priority],0))+1,3)),"YES","No")</f>
        <v>#N/A</v>
      </c>
      <c r="AI141" s="31" t="str">
        <f>_xlfn.IFNA(IF(AE141 &lt; (INDEX(SLATable[Minimum SLA],MATCH(G141,SLATable[Priority],0))),"YES","NO"),"")</f>
        <v/>
      </c>
      <c r="AJ141" t="str">
        <f>_xlfn.IFNA(IF(AE141 &lt; (INDEX(SLATable[Maximum SLA],MATCH(G141,SLATable[Priority],0))),"YES","NO"),"")</f>
        <v/>
      </c>
    </row>
    <row r="142" spans="26:36" ht="15" customHeight="1">
      <c r="Z142" s="76" t="e">
        <f t="shared" ca="1" si="16"/>
        <v>#N/A</v>
      </c>
      <c r="AA142" s="75" t="e">
        <f t="shared" ca="1" si="17"/>
        <v>#N/A</v>
      </c>
      <c r="AB142" s="76">
        <f t="shared" ca="1" si="18"/>
        <v>0</v>
      </c>
      <c r="AC142" s="75">
        <f t="shared" ca="1" si="19"/>
        <v>0</v>
      </c>
      <c r="AD142" s="76">
        <f t="shared" ca="1" si="20"/>
        <v>12388.425643634258</v>
      </c>
      <c r="AE142" s="76">
        <f>SUMIFS(AB:AB,E:E,E142)</f>
        <v>0</v>
      </c>
      <c r="AF142" s="75">
        <f t="shared" si="21"/>
        <v>0</v>
      </c>
      <c r="AG142" s="76">
        <f t="shared" si="3"/>
        <v>0</v>
      </c>
      <c r="AH142" s="31" t="e" cm="1">
        <f t="array" aca="1" ref="AH142" ca="1">IF((AD142) &lt; (INDEX(ResponseSLA[#All],(MATCH((G142),ResponseSLA[Priority],0))+1,3)),"YES","No")</f>
        <v>#N/A</v>
      </c>
      <c r="AI142" s="31" t="str">
        <f>_xlfn.IFNA(IF(AE142 &lt; (INDEX(SLATable[Minimum SLA],MATCH(G142,SLATable[Priority],0))),"YES","NO"),"")</f>
        <v/>
      </c>
      <c r="AJ142" t="str">
        <f>_xlfn.IFNA(IF(AE142 &lt; (INDEX(SLATable[Maximum SLA],MATCH(G142,SLATable[Priority],0))),"YES","NO"),"")</f>
        <v/>
      </c>
    </row>
    <row r="143" spans="26:36" ht="15" customHeight="1">
      <c r="Z143" s="76" t="e">
        <f t="shared" ca="1" si="16"/>
        <v>#N/A</v>
      </c>
      <c r="AA143" s="75" t="e">
        <f t="shared" ca="1" si="17"/>
        <v>#N/A</v>
      </c>
      <c r="AB143" s="76">
        <f t="shared" ca="1" si="18"/>
        <v>0</v>
      </c>
      <c r="AC143" s="75">
        <f t="shared" ca="1" si="19"/>
        <v>0</v>
      </c>
      <c r="AD143" s="76">
        <f t="shared" ca="1" si="20"/>
        <v>12388.425643634258</v>
      </c>
      <c r="AE143" s="76">
        <f>SUMIFS(AB:AB,E:E,E143)</f>
        <v>0</v>
      </c>
      <c r="AF143" s="75">
        <f t="shared" si="21"/>
        <v>0</v>
      </c>
      <c r="AG143" s="76">
        <f t="shared" si="3"/>
        <v>0</v>
      </c>
      <c r="AH143" s="31" t="e" cm="1">
        <f t="array" aca="1" ref="AH143" ca="1">IF((AD143) &lt; (INDEX(ResponseSLA[#All],(MATCH((G143),ResponseSLA[Priority],0))+1,3)),"YES","No")</f>
        <v>#N/A</v>
      </c>
      <c r="AI143" s="31" t="str">
        <f>_xlfn.IFNA(IF(AE143 &lt; (INDEX(SLATable[Minimum SLA],MATCH(G143,SLATable[Priority],0))),"YES","NO"),"")</f>
        <v/>
      </c>
      <c r="AJ143" t="str">
        <f>_xlfn.IFNA(IF(AE143 &lt; (INDEX(SLATable[Maximum SLA],MATCH(G143,SLATable[Priority],0))),"YES","NO"),"")</f>
        <v/>
      </c>
    </row>
    <row r="144" spans="26:36" ht="15" customHeight="1">
      <c r="Z144" s="76" t="e">
        <f t="shared" ca="1" si="16"/>
        <v>#N/A</v>
      </c>
      <c r="AA144" s="75" t="e">
        <f t="shared" ca="1" si="17"/>
        <v>#N/A</v>
      </c>
      <c r="AB144" s="76">
        <f t="shared" ca="1" si="18"/>
        <v>0</v>
      </c>
      <c r="AC144" s="75">
        <f t="shared" ca="1" si="19"/>
        <v>0</v>
      </c>
      <c r="AD144" s="76">
        <f t="shared" ca="1" si="20"/>
        <v>12388.425643634258</v>
      </c>
      <c r="AE144" s="76">
        <f>SUMIFS(AB:AB,E:E,E144)</f>
        <v>0</v>
      </c>
      <c r="AF144" s="75">
        <f t="shared" si="21"/>
        <v>0</v>
      </c>
      <c r="AG144" s="76">
        <f t="shared" si="3"/>
        <v>0</v>
      </c>
      <c r="AH144" s="31" t="e" cm="1">
        <f t="array" aca="1" ref="AH144" ca="1">IF((AD144) &lt; (INDEX(ResponseSLA[#All],(MATCH((G144),ResponseSLA[Priority],0))+1,3)),"YES","No")</f>
        <v>#N/A</v>
      </c>
      <c r="AI144" s="31" t="str">
        <f>_xlfn.IFNA(IF(AE144 &lt; (INDEX(SLATable[Minimum SLA],MATCH(G144,SLATable[Priority],0))),"YES","NO"),"")</f>
        <v/>
      </c>
      <c r="AJ144" t="str">
        <f>_xlfn.IFNA(IF(AE144 &lt; (INDEX(SLATable[Maximum SLA],MATCH(G144,SLATable[Priority],0))),"YES","NO"),"")</f>
        <v/>
      </c>
    </row>
    <row r="145" spans="26:36" ht="15" customHeight="1">
      <c r="Z145" s="76" t="e">
        <f t="shared" ca="1" si="16"/>
        <v>#N/A</v>
      </c>
      <c r="AA145" s="75" t="e">
        <f t="shared" ca="1" si="17"/>
        <v>#N/A</v>
      </c>
      <c r="AB145" s="76">
        <f t="shared" ca="1" si="18"/>
        <v>0</v>
      </c>
      <c r="AC145" s="75">
        <f t="shared" ca="1" si="19"/>
        <v>0</v>
      </c>
      <c r="AD145" s="76">
        <f t="shared" ca="1" si="20"/>
        <v>12388.425643634258</v>
      </c>
      <c r="AE145" s="76">
        <f>SUMIFS(AB:AB,E:E,E145)</f>
        <v>0</v>
      </c>
      <c r="AF145" s="75">
        <f t="shared" si="21"/>
        <v>0</v>
      </c>
      <c r="AG145" s="76">
        <f t="shared" si="3"/>
        <v>0</v>
      </c>
      <c r="AH145" s="31" t="e" cm="1">
        <f t="array" aca="1" ref="AH145" ca="1">IF((AD145) &lt; (INDEX(ResponseSLA[#All],(MATCH((G145),ResponseSLA[Priority],0))+1,3)),"YES","No")</f>
        <v>#N/A</v>
      </c>
      <c r="AI145" s="31" t="str">
        <f>_xlfn.IFNA(IF(AE145 &lt; (INDEX(SLATable[Minimum SLA],MATCH(G145,SLATable[Priority],0))),"YES","NO"),"")</f>
        <v/>
      </c>
      <c r="AJ145" t="str">
        <f>_xlfn.IFNA(IF(AE145 &lt; (INDEX(SLATable[Maximum SLA],MATCH(G145,SLATable[Priority],0))),"YES","NO"),"")</f>
        <v/>
      </c>
    </row>
    <row r="146" spans="26:36" ht="15" customHeight="1">
      <c r="Z146" s="76" t="e">
        <f t="shared" ca="1" si="16"/>
        <v>#N/A</v>
      </c>
      <c r="AA146" s="75" t="e">
        <f t="shared" ca="1" si="17"/>
        <v>#N/A</v>
      </c>
      <c r="AB146" s="76">
        <f t="shared" ca="1" si="18"/>
        <v>0</v>
      </c>
      <c r="AC146" s="75">
        <f t="shared" ca="1" si="19"/>
        <v>0</v>
      </c>
      <c r="AD146" s="76">
        <f t="shared" ca="1" si="20"/>
        <v>12388.425643634258</v>
      </c>
      <c r="AE146" s="76">
        <f>SUMIFS(AB:AB,E:E,E146)</f>
        <v>0</v>
      </c>
      <c r="AF146" s="75">
        <f t="shared" si="21"/>
        <v>0</v>
      </c>
      <c r="AG146" s="76">
        <f t="shared" si="3"/>
        <v>0</v>
      </c>
      <c r="AH146" s="31" t="e" cm="1">
        <f t="array" aca="1" ref="AH146" ca="1">IF((AD146) &lt; (INDEX(ResponseSLA[#All],(MATCH((G146),ResponseSLA[Priority],0))+1,3)),"YES","No")</f>
        <v>#N/A</v>
      </c>
      <c r="AI146" s="31" t="str">
        <f>_xlfn.IFNA(IF(AE146 &lt; (INDEX(SLATable[Minimum SLA],MATCH(G146,SLATable[Priority],0))),"YES","NO"),"")</f>
        <v/>
      </c>
      <c r="AJ146" t="str">
        <f>_xlfn.IFNA(IF(AE146 &lt; (INDEX(SLATable[Maximum SLA],MATCH(G146,SLATable[Priority],0))),"YES","NO"),"")</f>
        <v/>
      </c>
    </row>
    <row r="147" spans="26:36" ht="15" customHeight="1">
      <c r="Z147" s="76" t="e">
        <f t="shared" ca="1" si="16"/>
        <v>#N/A</v>
      </c>
      <c r="AA147" s="75" t="e">
        <f t="shared" ca="1" si="17"/>
        <v>#N/A</v>
      </c>
      <c r="AB147" s="76">
        <f t="shared" ca="1" si="18"/>
        <v>0</v>
      </c>
      <c r="AC147" s="75">
        <f t="shared" ca="1" si="19"/>
        <v>0</v>
      </c>
      <c r="AD147" s="76">
        <f t="shared" ca="1" si="20"/>
        <v>12388.425643634258</v>
      </c>
      <c r="AE147" s="76">
        <f>SUMIFS(AB:AB,E:E,E147)</f>
        <v>0</v>
      </c>
      <c r="AF147" s="75">
        <f t="shared" si="21"/>
        <v>0</v>
      </c>
      <c r="AG147" s="76">
        <f t="shared" si="3"/>
        <v>0</v>
      </c>
      <c r="AH147" s="31" t="e" cm="1">
        <f t="array" aca="1" ref="AH147" ca="1">IF((AD147) &lt; (INDEX(ResponseSLA[#All],(MATCH((G147),ResponseSLA[Priority],0))+1,3)),"YES","No")</f>
        <v>#N/A</v>
      </c>
      <c r="AI147" s="31" t="str">
        <f>_xlfn.IFNA(IF(AE147 &lt; (INDEX(SLATable[Minimum SLA],MATCH(G147,SLATable[Priority],0))),"YES","NO"),"")</f>
        <v/>
      </c>
      <c r="AJ147" t="str">
        <f>_xlfn.IFNA(IF(AE147 &lt; (INDEX(SLATable[Maximum SLA],MATCH(G147,SLATable[Priority],0))),"YES","NO"),"")</f>
        <v/>
      </c>
    </row>
    <row r="148" spans="26:36" ht="15" customHeight="1">
      <c r="Z148" s="76" t="e">
        <f t="shared" ca="1" si="16"/>
        <v>#N/A</v>
      </c>
      <c r="AA148" s="75" t="e">
        <f t="shared" ca="1" si="17"/>
        <v>#N/A</v>
      </c>
      <c r="AB148" s="76">
        <f t="shared" ca="1" si="18"/>
        <v>0</v>
      </c>
      <c r="AC148" s="75">
        <f t="shared" ca="1" si="19"/>
        <v>0</v>
      </c>
      <c r="AD148" s="76">
        <f t="shared" ca="1" si="20"/>
        <v>12388.425643634258</v>
      </c>
      <c r="AE148" s="76">
        <f>SUMIFS(AB:AB,E:E,E148)</f>
        <v>0</v>
      </c>
      <c r="AF148" s="75">
        <f t="shared" si="21"/>
        <v>0</v>
      </c>
      <c r="AG148" s="76">
        <f t="shared" si="3"/>
        <v>0</v>
      </c>
      <c r="AH148" s="31" t="e" cm="1">
        <f t="array" aca="1" ref="AH148" ca="1">IF((AD148) &lt; (INDEX(ResponseSLA[#All],(MATCH((G148),ResponseSLA[Priority],0))+1,3)),"YES","No")</f>
        <v>#N/A</v>
      </c>
      <c r="AI148" s="31" t="str">
        <f>_xlfn.IFNA(IF(AE148 &lt; (INDEX(SLATable[Minimum SLA],MATCH(G148,SLATable[Priority],0))),"YES","NO"),"")</f>
        <v/>
      </c>
      <c r="AJ148" t="str">
        <f>_xlfn.IFNA(IF(AE148 &lt; (INDEX(SLATable[Maximum SLA],MATCH(G148,SLATable[Priority],0))),"YES","NO"),"")</f>
        <v/>
      </c>
    </row>
    <row r="149" spans="26:36" ht="15" customHeight="1">
      <c r="Z149" s="76" t="e">
        <f t="shared" ca="1" si="16"/>
        <v>#N/A</v>
      </c>
      <c r="AA149" s="75" t="e">
        <f t="shared" ca="1" si="17"/>
        <v>#N/A</v>
      </c>
      <c r="AB149" s="76">
        <f t="shared" ca="1" si="18"/>
        <v>0</v>
      </c>
      <c r="AC149" s="75">
        <f t="shared" ca="1" si="19"/>
        <v>0</v>
      </c>
      <c r="AD149" s="76">
        <f t="shared" ca="1" si="20"/>
        <v>12388.425643634258</v>
      </c>
      <c r="AE149" s="76">
        <f>SUMIFS(AB:AB,E:E,E149)</f>
        <v>0</v>
      </c>
      <c r="AF149" s="75">
        <f t="shared" si="21"/>
        <v>0</v>
      </c>
      <c r="AG149" s="76">
        <f t="shared" si="3"/>
        <v>0</v>
      </c>
      <c r="AH149" s="31" t="e" cm="1">
        <f t="array" aca="1" ref="AH149" ca="1">IF((AD149) &lt; (INDEX(ResponseSLA[#All],(MATCH((G149),ResponseSLA[Priority],0))+1,3)),"YES","No")</f>
        <v>#N/A</v>
      </c>
      <c r="AI149" s="31" t="str">
        <f>_xlfn.IFNA(IF(AE149 &lt; (INDEX(SLATable[Minimum SLA],MATCH(G149,SLATable[Priority],0))),"YES","NO"),"")</f>
        <v/>
      </c>
      <c r="AJ149" t="str">
        <f>_xlfn.IFNA(IF(AE149 &lt; (INDEX(SLATable[Maximum SLA],MATCH(G149,SLATable[Priority],0))),"YES","NO"),"")</f>
        <v/>
      </c>
    </row>
    <row r="150" spans="26:36" ht="15" customHeight="1">
      <c r="Z150" s="76" t="e">
        <f t="shared" ca="1" si="16"/>
        <v>#N/A</v>
      </c>
      <c r="AA150" s="75" t="e">
        <f t="shared" ca="1" si="17"/>
        <v>#N/A</v>
      </c>
      <c r="AB150" s="76">
        <f t="shared" ca="1" si="18"/>
        <v>0</v>
      </c>
      <c r="AC150" s="75">
        <f t="shared" ca="1" si="19"/>
        <v>0</v>
      </c>
      <c r="AD150" s="76">
        <f t="shared" ca="1" si="20"/>
        <v>12388.425643634258</v>
      </c>
      <c r="AE150" s="76">
        <f>SUMIFS(AB:AB,E:E,E150)</f>
        <v>0</v>
      </c>
      <c r="AF150" s="75">
        <f t="shared" si="21"/>
        <v>0</v>
      </c>
      <c r="AG150" s="76">
        <f t="shared" si="3"/>
        <v>0</v>
      </c>
      <c r="AH150" s="31" t="e" cm="1">
        <f t="array" aca="1" ref="AH150" ca="1">IF((AD150) &lt; (INDEX(ResponseSLA[#All],(MATCH((G150),ResponseSLA[Priority],0))+1,3)),"YES","No")</f>
        <v>#N/A</v>
      </c>
      <c r="AI150" s="31" t="str">
        <f>_xlfn.IFNA(IF(AE150 &lt; (INDEX(SLATable[Minimum SLA],MATCH(G150,SLATable[Priority],0))),"YES","NO"),"")</f>
        <v/>
      </c>
      <c r="AJ150" t="str">
        <f>_xlfn.IFNA(IF(AE150 &lt; (INDEX(SLATable[Maximum SLA],MATCH(G150,SLATable[Priority],0))),"YES","NO"),"")</f>
        <v/>
      </c>
    </row>
    <row r="151" spans="26:36" ht="15" customHeight="1">
      <c r="Z151" s="76" t="e">
        <f t="shared" ca="1" si="16"/>
        <v>#N/A</v>
      </c>
      <c r="AA151" s="75" t="e">
        <f t="shared" ca="1" si="17"/>
        <v>#N/A</v>
      </c>
      <c r="AB151" s="76">
        <f t="shared" ca="1" si="18"/>
        <v>0</v>
      </c>
      <c r="AC151" s="75">
        <f t="shared" ca="1" si="19"/>
        <v>0</v>
      </c>
      <c r="AD151" s="76">
        <f t="shared" ca="1" si="20"/>
        <v>12388.425643634258</v>
      </c>
      <c r="AE151" s="76">
        <f>SUMIFS(AB:AB,E:E,E151)</f>
        <v>0</v>
      </c>
      <c r="AF151" s="75">
        <f t="shared" si="21"/>
        <v>0</v>
      </c>
      <c r="AG151" s="76">
        <f t="shared" si="3"/>
        <v>0</v>
      </c>
      <c r="AH151" s="31" t="e" cm="1">
        <f t="array" aca="1" ref="AH151" ca="1">IF((AD151) &lt; (INDEX(ResponseSLA[#All],(MATCH((G151),ResponseSLA[Priority],0))+1,3)),"YES","No")</f>
        <v>#N/A</v>
      </c>
      <c r="AI151" s="31" t="str">
        <f>_xlfn.IFNA(IF(AE151 &lt; (INDEX(SLATable[Minimum SLA],MATCH(G151,SLATable[Priority],0))),"YES","NO"),"")</f>
        <v/>
      </c>
      <c r="AJ151" t="str">
        <f>_xlfn.IFNA(IF(AE151 &lt; (INDEX(SLATable[Maximum SLA],MATCH(G151,SLATable[Priority],0))),"YES","NO"),"")</f>
        <v/>
      </c>
    </row>
    <row r="152" spans="26:36" ht="15" customHeight="1">
      <c r="Z152" s="76" t="e">
        <f t="shared" ca="1" si="16"/>
        <v>#N/A</v>
      </c>
      <c r="AA152" s="75" t="e">
        <f t="shared" ca="1" si="17"/>
        <v>#N/A</v>
      </c>
      <c r="AB152" s="76">
        <f t="shared" ca="1" si="18"/>
        <v>0</v>
      </c>
      <c r="AC152" s="75">
        <f t="shared" ca="1" si="19"/>
        <v>0</v>
      </c>
      <c r="AD152" s="76">
        <f t="shared" ca="1" si="20"/>
        <v>12388.425643634258</v>
      </c>
      <c r="AE152" s="76">
        <f>SUMIFS(AB:AB,E:E,E152)</f>
        <v>0</v>
      </c>
      <c r="AF152" s="75">
        <f t="shared" si="21"/>
        <v>0</v>
      </c>
      <c r="AG152" s="76">
        <f t="shared" si="3"/>
        <v>0</v>
      </c>
      <c r="AH152" s="31" t="e" cm="1">
        <f t="array" aca="1" ref="AH152" ca="1">IF((AD152) &lt; (INDEX(ResponseSLA[#All],(MATCH((G152),ResponseSLA[Priority],0))+1,3)),"YES","No")</f>
        <v>#N/A</v>
      </c>
      <c r="AI152" s="31" t="str">
        <f>_xlfn.IFNA(IF(AE152 &lt; (INDEX(SLATable[Minimum SLA],MATCH(G152,SLATable[Priority],0))),"YES","NO"),"")</f>
        <v/>
      </c>
      <c r="AJ152" t="str">
        <f>_xlfn.IFNA(IF(AE152 &lt; (INDEX(SLATable[Maximum SLA],MATCH(G152,SLATable[Priority],0))),"YES","NO"),"")</f>
        <v/>
      </c>
    </row>
    <row r="153" spans="26:36" ht="15" customHeight="1">
      <c r="Z153" s="76" t="e">
        <f t="shared" ca="1" si="16"/>
        <v>#N/A</v>
      </c>
      <c r="AA153" s="75" t="e">
        <f t="shared" ca="1" si="17"/>
        <v>#N/A</v>
      </c>
      <c r="AB153" s="76">
        <f t="shared" ca="1" si="18"/>
        <v>0</v>
      </c>
      <c r="AC153" s="75">
        <f t="shared" ca="1" si="19"/>
        <v>0</v>
      </c>
      <c r="AD153" s="76">
        <f t="shared" ca="1" si="20"/>
        <v>12388.425643634258</v>
      </c>
      <c r="AE153" s="76">
        <f>SUMIFS(AB:AB,E:E,E153)</f>
        <v>0</v>
      </c>
      <c r="AF153" s="75">
        <f t="shared" si="21"/>
        <v>0</v>
      </c>
      <c r="AG153" s="76">
        <f t="shared" si="3"/>
        <v>0</v>
      </c>
      <c r="AH153" s="31" t="e" cm="1">
        <f t="array" aca="1" ref="AH153" ca="1">IF((AD153) &lt; (INDEX(ResponseSLA[#All],(MATCH((G153),ResponseSLA[Priority],0))+1,3)),"YES","No")</f>
        <v>#N/A</v>
      </c>
      <c r="AI153" s="31" t="str">
        <f>_xlfn.IFNA(IF(AE153 &lt; (INDEX(SLATable[Minimum SLA],MATCH(G153,SLATable[Priority],0))),"YES","NO"),"")</f>
        <v/>
      </c>
      <c r="AJ153" t="str">
        <f>_xlfn.IFNA(IF(AE153 &lt; (INDEX(SLATable[Maximum SLA],MATCH(G153,SLATable[Priority],0))),"YES","NO"),"")</f>
        <v/>
      </c>
    </row>
    <row r="154" spans="26:36" ht="15" customHeight="1">
      <c r="Z154" s="76" t="e">
        <f t="shared" ca="1" si="16"/>
        <v>#N/A</v>
      </c>
      <c r="AA154" s="75" t="e">
        <f t="shared" ca="1" si="17"/>
        <v>#N/A</v>
      </c>
      <c r="AB154" s="76">
        <f t="shared" ca="1" si="18"/>
        <v>0</v>
      </c>
      <c r="AC154" s="75">
        <f t="shared" ca="1" si="19"/>
        <v>0</v>
      </c>
      <c r="AD154" s="76">
        <f t="shared" ca="1" si="20"/>
        <v>12388.425643634258</v>
      </c>
      <c r="AE154" s="76">
        <f>SUMIFS(AB:AB,E:E,E154)</f>
        <v>0</v>
      </c>
      <c r="AF154" s="75">
        <f t="shared" si="21"/>
        <v>0</v>
      </c>
      <c r="AG154" s="76">
        <f t="shared" si="3"/>
        <v>0</v>
      </c>
      <c r="AH154" s="31" t="e" cm="1">
        <f t="array" aca="1" ref="AH154" ca="1">IF((AD154) &lt; (INDEX(ResponseSLA[#All],(MATCH((G154),ResponseSLA[Priority],0))+1,3)),"YES","No")</f>
        <v>#N/A</v>
      </c>
      <c r="AI154" s="31" t="str">
        <f>_xlfn.IFNA(IF(AE154 &lt; (INDEX(SLATable[Minimum SLA],MATCH(G154,SLATable[Priority],0))),"YES","NO"),"")</f>
        <v/>
      </c>
      <c r="AJ154" t="str">
        <f>_xlfn.IFNA(IF(AE154 &lt; (INDEX(SLATable[Maximum SLA],MATCH(G154,SLATable[Priority],0))),"YES","NO"),"")</f>
        <v/>
      </c>
    </row>
    <row r="155" spans="26:36" ht="15" customHeight="1">
      <c r="Z155" s="76" t="e">
        <f t="shared" ca="1" si="16"/>
        <v>#N/A</v>
      </c>
      <c r="AA155" s="75" t="e">
        <f t="shared" ca="1" si="17"/>
        <v>#N/A</v>
      </c>
      <c r="AB155" s="76">
        <f t="shared" ca="1" si="18"/>
        <v>0</v>
      </c>
      <c r="AC155" s="75">
        <f t="shared" ca="1" si="19"/>
        <v>0</v>
      </c>
      <c r="AD155" s="76">
        <f t="shared" ca="1" si="20"/>
        <v>12388.425643634258</v>
      </c>
      <c r="AE155" s="76">
        <f>SUMIFS(AB:AB,E:E,E155)</f>
        <v>0</v>
      </c>
      <c r="AF155" s="75">
        <f t="shared" si="21"/>
        <v>0</v>
      </c>
      <c r="AG155" s="76">
        <f t="shared" si="3"/>
        <v>0</v>
      </c>
      <c r="AH155" s="31" t="e" cm="1">
        <f t="array" aca="1" ref="AH155" ca="1">IF((AD155) &lt; (INDEX(ResponseSLA[#All],(MATCH((G155),ResponseSLA[Priority],0))+1,3)),"YES","No")</f>
        <v>#N/A</v>
      </c>
      <c r="AI155" s="31" t="str">
        <f>_xlfn.IFNA(IF(AE155 &lt; (INDEX(SLATable[Minimum SLA],MATCH(G155,SLATable[Priority],0))),"YES","NO"),"")</f>
        <v/>
      </c>
      <c r="AJ155" t="str">
        <f>_xlfn.IFNA(IF(AE155 &lt; (INDEX(SLATable[Maximum SLA],MATCH(G155,SLATable[Priority],0))),"YES","NO"),"")</f>
        <v/>
      </c>
    </row>
    <row r="156" spans="26:36" ht="15" customHeight="1">
      <c r="Z156" s="76" t="e">
        <f t="shared" ca="1" si="16"/>
        <v>#N/A</v>
      </c>
      <c r="AA156" s="75" t="e">
        <f t="shared" ca="1" si="17"/>
        <v>#N/A</v>
      </c>
      <c r="AB156" s="76">
        <f t="shared" ca="1" si="18"/>
        <v>0</v>
      </c>
      <c r="AC156" s="75">
        <f t="shared" ca="1" si="19"/>
        <v>0</v>
      </c>
      <c r="AD156" s="76">
        <f t="shared" ca="1" si="20"/>
        <v>12388.425643634258</v>
      </c>
      <c r="AE156" s="76">
        <f>SUMIFS(AB:AB,E:E,E156)</f>
        <v>0</v>
      </c>
      <c r="AF156" s="75">
        <f t="shared" si="21"/>
        <v>0</v>
      </c>
      <c r="AG156" s="76">
        <f t="shared" si="3"/>
        <v>0</v>
      </c>
      <c r="AH156" s="31" t="e" cm="1">
        <f t="array" aca="1" ref="AH156" ca="1">IF((AD156) &lt; (INDEX(ResponseSLA[#All],(MATCH((G156),ResponseSLA[Priority],0))+1,3)),"YES","No")</f>
        <v>#N/A</v>
      </c>
      <c r="AI156" s="31" t="str">
        <f>_xlfn.IFNA(IF(AE156 &lt; (INDEX(SLATable[Minimum SLA],MATCH(G156,SLATable[Priority],0))),"YES","NO"),"")</f>
        <v/>
      </c>
      <c r="AJ156" t="str">
        <f>_xlfn.IFNA(IF(AE156 &lt; (INDEX(SLATable[Maximum SLA],MATCH(G156,SLATable[Priority],0))),"YES","NO"),"")</f>
        <v/>
      </c>
    </row>
    <row r="157" spans="26:36" ht="15" customHeight="1">
      <c r="Z157" s="76" t="e">
        <f t="shared" ca="1" si="16"/>
        <v>#N/A</v>
      </c>
      <c r="AA157" s="75" t="e">
        <f t="shared" ca="1" si="17"/>
        <v>#N/A</v>
      </c>
      <c r="AB157" s="76">
        <f t="shared" ca="1" si="18"/>
        <v>0</v>
      </c>
      <c r="AC157" s="75">
        <f t="shared" ca="1" si="19"/>
        <v>0</v>
      </c>
      <c r="AD157" s="76">
        <f t="shared" ca="1" si="20"/>
        <v>12388.425643634258</v>
      </c>
      <c r="AE157" s="76">
        <f>SUMIFS(AB:AB,E:E,E157)</f>
        <v>0</v>
      </c>
      <c r="AF157" s="75">
        <f t="shared" si="21"/>
        <v>0</v>
      </c>
      <c r="AG157" s="76">
        <f t="shared" si="3"/>
        <v>0</v>
      </c>
      <c r="AH157" s="31" t="e" cm="1">
        <f t="array" aca="1" ref="AH157" ca="1">IF((AD157) &lt; (INDEX(ResponseSLA[#All],(MATCH((G157),ResponseSLA[Priority],0))+1,3)),"YES","No")</f>
        <v>#N/A</v>
      </c>
      <c r="AI157" s="31" t="str">
        <f>_xlfn.IFNA(IF(AE157 &lt; (INDEX(SLATable[Minimum SLA],MATCH(G157,SLATable[Priority],0))),"YES","NO"),"")</f>
        <v/>
      </c>
      <c r="AJ157" t="str">
        <f>_xlfn.IFNA(IF(AE157 &lt; (INDEX(SLATable[Maximum SLA],MATCH(G157,SLATable[Priority],0))),"YES","NO"),"")</f>
        <v/>
      </c>
    </row>
    <row r="158" spans="26:36" ht="15" customHeight="1">
      <c r="Z158" s="76" t="e">
        <f t="shared" ca="1" si="16"/>
        <v>#N/A</v>
      </c>
      <c r="AA158" s="75" t="e">
        <f t="shared" ca="1" si="17"/>
        <v>#N/A</v>
      </c>
      <c r="AB158" s="76">
        <f t="shared" ca="1" si="18"/>
        <v>0</v>
      </c>
      <c r="AC158" s="75">
        <f t="shared" ca="1" si="19"/>
        <v>0</v>
      </c>
      <c r="AD158" s="76">
        <f t="shared" ca="1" si="20"/>
        <v>12388.425643634258</v>
      </c>
      <c r="AE158" s="76">
        <f>SUMIFS(AB:AB,E:E,E158)</f>
        <v>0</v>
      </c>
      <c r="AF158" s="75">
        <f t="shared" si="21"/>
        <v>0</v>
      </c>
      <c r="AG158" s="76">
        <f t="shared" si="3"/>
        <v>0</v>
      </c>
      <c r="AH158" s="31" t="e" cm="1">
        <f t="array" aca="1" ref="AH158" ca="1">IF((AD158) &lt; (INDEX(ResponseSLA[#All],(MATCH((G158),ResponseSLA[Priority],0))+1,3)),"YES","No")</f>
        <v>#N/A</v>
      </c>
      <c r="AI158" s="31" t="str">
        <f>_xlfn.IFNA(IF(AE158 &lt; (INDEX(SLATable[Minimum SLA],MATCH(G158,SLATable[Priority],0))),"YES","NO"),"")</f>
        <v/>
      </c>
      <c r="AJ158" t="str">
        <f>_xlfn.IFNA(IF(AE158 &lt; (INDEX(SLATable[Maximum SLA],MATCH(G158,SLATable[Priority],0))),"YES","NO"),"")</f>
        <v/>
      </c>
    </row>
    <row r="159" spans="26:36" ht="15" customHeight="1">
      <c r="Z159" s="76" t="e">
        <f t="shared" ca="1" si="16"/>
        <v>#N/A</v>
      </c>
      <c r="AA159" s="75" t="e">
        <f t="shared" ca="1" si="17"/>
        <v>#N/A</v>
      </c>
      <c r="AB159" s="76">
        <f t="shared" ca="1" si="18"/>
        <v>0</v>
      </c>
      <c r="AC159" s="75">
        <f t="shared" ca="1" si="19"/>
        <v>0</v>
      </c>
      <c r="AD159" s="76">
        <f t="shared" ca="1" si="20"/>
        <v>12388.425643634258</v>
      </c>
      <c r="AE159" s="76">
        <f>SUMIFS(AB:AB,E:E,E159)</f>
        <v>0</v>
      </c>
      <c r="AF159" s="75">
        <f t="shared" si="21"/>
        <v>0</v>
      </c>
      <c r="AG159" s="76">
        <f t="shared" si="3"/>
        <v>0</v>
      </c>
      <c r="AH159" s="31" t="e" cm="1">
        <f t="array" aca="1" ref="AH159" ca="1">IF((AD159) &lt; (INDEX(ResponseSLA[#All],(MATCH((G159),ResponseSLA[Priority],0))+1,3)),"YES","No")</f>
        <v>#N/A</v>
      </c>
      <c r="AI159" s="31" t="str">
        <f>_xlfn.IFNA(IF(AE159 &lt; (INDEX(SLATable[Minimum SLA],MATCH(G159,SLATable[Priority],0))),"YES","NO"),"")</f>
        <v/>
      </c>
      <c r="AJ159" t="str">
        <f>_xlfn.IFNA(IF(AE159 &lt; (INDEX(SLATable[Maximum SLA],MATCH(G159,SLATable[Priority],0))),"YES","NO"),"")</f>
        <v/>
      </c>
    </row>
    <row r="160" spans="26:36" ht="15" customHeight="1">
      <c r="Z160" s="76" t="e">
        <f t="shared" ca="1" si="16"/>
        <v>#N/A</v>
      </c>
      <c r="AA160" s="75" t="e">
        <f t="shared" ca="1" si="17"/>
        <v>#N/A</v>
      </c>
      <c r="AB160" s="76">
        <f t="shared" ca="1" si="18"/>
        <v>0</v>
      </c>
      <c r="AC160" s="75">
        <f t="shared" ca="1" si="19"/>
        <v>0</v>
      </c>
      <c r="AD160" s="76">
        <f t="shared" ca="1" si="20"/>
        <v>12388.425643634258</v>
      </c>
      <c r="AE160" s="76">
        <f>SUMIFS(AB:AB,E:E,E160)</f>
        <v>0</v>
      </c>
      <c r="AF160" s="75">
        <f t="shared" si="21"/>
        <v>0</v>
      </c>
      <c r="AG160" s="76">
        <f t="shared" si="3"/>
        <v>0</v>
      </c>
      <c r="AH160" s="31" t="e" cm="1">
        <f t="array" aca="1" ref="AH160" ca="1">IF((AD160) &lt; (INDEX(ResponseSLA[#All],(MATCH((G160),ResponseSLA[Priority],0))+1,3)),"YES","No")</f>
        <v>#N/A</v>
      </c>
      <c r="AI160" s="31" t="str">
        <f>_xlfn.IFNA(IF(AE160 &lt; (INDEX(SLATable[Minimum SLA],MATCH(G160,SLATable[Priority],0))),"YES","NO"),"")</f>
        <v/>
      </c>
      <c r="AJ160" t="str">
        <f>_xlfn.IFNA(IF(AE160 &lt; (INDEX(SLATable[Maximum SLA],MATCH(G160,SLATable[Priority],0))),"YES","NO"),"")</f>
        <v/>
      </c>
    </row>
    <row r="161" spans="26:36" ht="15" customHeight="1">
      <c r="Z161" s="76" t="e">
        <f t="shared" ca="1" si="16"/>
        <v>#N/A</v>
      </c>
      <c r="AA161" s="75" t="e">
        <f t="shared" ca="1" si="17"/>
        <v>#N/A</v>
      </c>
      <c r="AB161" s="76">
        <f t="shared" ca="1" si="18"/>
        <v>0</v>
      </c>
      <c r="AC161" s="75">
        <f t="shared" ca="1" si="19"/>
        <v>0</v>
      </c>
      <c r="AD161" s="76">
        <f t="shared" ca="1" si="20"/>
        <v>12388.425643634258</v>
      </c>
      <c r="AE161" s="76">
        <f>SUMIFS(AB:AB,E:E,E161)</f>
        <v>0</v>
      </c>
      <c r="AF161" s="75">
        <f t="shared" si="21"/>
        <v>0</v>
      </c>
      <c r="AG161" s="76">
        <f t="shared" si="3"/>
        <v>0</v>
      </c>
      <c r="AH161" s="31" t="e" cm="1">
        <f t="array" aca="1" ref="AH161" ca="1">IF((AD161) &lt; (INDEX(ResponseSLA[#All],(MATCH((G161),ResponseSLA[Priority],0))+1,3)),"YES","No")</f>
        <v>#N/A</v>
      </c>
      <c r="AI161" s="31" t="str">
        <f>_xlfn.IFNA(IF(AE161 &lt; (INDEX(SLATable[Minimum SLA],MATCH(G161,SLATable[Priority],0))),"YES","NO"),"")</f>
        <v/>
      </c>
      <c r="AJ161" t="str">
        <f>_xlfn.IFNA(IF(AE161 &lt; (INDEX(SLATable[Maximum SLA],MATCH(G161,SLATable[Priority],0))),"YES","NO"),"")</f>
        <v/>
      </c>
    </row>
    <row r="162" spans="26:36" ht="15" customHeight="1">
      <c r="Z162" s="76" t="e">
        <f t="shared" ca="1" si="16"/>
        <v>#N/A</v>
      </c>
      <c r="AA162" s="75" t="e">
        <f t="shared" ca="1" si="17"/>
        <v>#N/A</v>
      </c>
      <c r="AB162" s="76">
        <f t="shared" ca="1" si="18"/>
        <v>0</v>
      </c>
      <c r="AC162" s="75">
        <f t="shared" ca="1" si="19"/>
        <v>0</v>
      </c>
      <c r="AD162" s="76">
        <f t="shared" ca="1" si="20"/>
        <v>12388.425643634258</v>
      </c>
      <c r="AE162" s="76">
        <f>SUMIFS(AB:AB,E:E,E162)</f>
        <v>0</v>
      </c>
      <c r="AF162" s="75">
        <f t="shared" si="21"/>
        <v>0</v>
      </c>
      <c r="AG162" s="76">
        <f t="shared" si="3"/>
        <v>0</v>
      </c>
      <c r="AH162" s="31" t="e" cm="1">
        <f t="array" aca="1" ref="AH162" ca="1">IF((AD162) &lt; (INDEX(ResponseSLA[#All],(MATCH((G162),ResponseSLA[Priority],0))+1,3)),"YES","No")</f>
        <v>#N/A</v>
      </c>
      <c r="AI162" s="31" t="str">
        <f>_xlfn.IFNA(IF(AE162 &lt; (INDEX(SLATable[Minimum SLA],MATCH(G162,SLATable[Priority],0))),"YES","NO"),"")</f>
        <v/>
      </c>
      <c r="AJ162" t="str">
        <f>_xlfn.IFNA(IF(AE162 &lt; (INDEX(SLATable[Maximum SLA],MATCH(G162,SLATable[Priority],0))),"YES","NO"),"")</f>
        <v/>
      </c>
    </row>
    <row r="163" spans="26:36" ht="15" customHeight="1">
      <c r="Z163" s="76" t="e">
        <f t="shared" ca="1" si="16"/>
        <v>#N/A</v>
      </c>
      <c r="AA163" s="75" t="e">
        <f t="shared" ca="1" si="17"/>
        <v>#N/A</v>
      </c>
      <c r="AB163" s="76">
        <f t="shared" ca="1" si="18"/>
        <v>0</v>
      </c>
      <c r="AC163" s="75">
        <f t="shared" ca="1" si="19"/>
        <v>0</v>
      </c>
      <c r="AD163" s="76">
        <f t="shared" ca="1" si="20"/>
        <v>12388.425643634258</v>
      </c>
      <c r="AE163" s="76">
        <f>SUMIFS(AB:AB,E:E,E163)</f>
        <v>0</v>
      </c>
      <c r="AF163" s="75">
        <f t="shared" si="21"/>
        <v>0</v>
      </c>
      <c r="AG163" s="76">
        <f t="shared" si="3"/>
        <v>0</v>
      </c>
      <c r="AH163" s="31" t="e" cm="1">
        <f t="array" aca="1" ref="AH163" ca="1">IF((AD163) &lt; (INDEX(ResponseSLA[#All],(MATCH((G163),ResponseSLA[Priority],0))+1,3)),"YES","No")</f>
        <v>#N/A</v>
      </c>
      <c r="AI163" s="31" t="str">
        <f>_xlfn.IFNA(IF(AE163 &lt; (INDEX(SLATable[Minimum SLA],MATCH(G163,SLATable[Priority],0))),"YES","NO"),"")</f>
        <v/>
      </c>
      <c r="AJ163" t="str">
        <f>_xlfn.IFNA(IF(AE163 &lt; (INDEX(SLATable[Maximum SLA],MATCH(G163,SLATable[Priority],0))),"YES","NO"),"")</f>
        <v/>
      </c>
    </row>
    <row r="164" spans="26:36" ht="15" customHeight="1">
      <c r="Z164" s="76" t="e">
        <f t="shared" ca="1" si="16"/>
        <v>#N/A</v>
      </c>
      <c r="AA164" s="75" t="e">
        <f t="shared" ca="1" si="17"/>
        <v>#N/A</v>
      </c>
      <c r="AB164" s="76">
        <f t="shared" ca="1" si="18"/>
        <v>0</v>
      </c>
      <c r="AC164" s="75">
        <f t="shared" ca="1" si="19"/>
        <v>0</v>
      </c>
      <c r="AD164" s="76">
        <f t="shared" ca="1" si="20"/>
        <v>12388.425643634258</v>
      </c>
      <c r="AE164" s="76">
        <f>SUMIFS(AB:AB,E:E,E164)</f>
        <v>0</v>
      </c>
      <c r="AF164" s="75">
        <f t="shared" si="21"/>
        <v>0</v>
      </c>
      <c r="AG164" s="76">
        <f t="shared" si="3"/>
        <v>0</v>
      </c>
      <c r="AH164" s="31" t="e" cm="1">
        <f t="array" aca="1" ref="AH164" ca="1">IF((AD164) &lt; (INDEX(ResponseSLA[#All],(MATCH((G164),ResponseSLA[Priority],0))+1,3)),"YES","No")</f>
        <v>#N/A</v>
      </c>
      <c r="AI164" s="31" t="str">
        <f>_xlfn.IFNA(IF(AE164 &lt; (INDEX(SLATable[Minimum SLA],MATCH(G164,SLATable[Priority],0))),"YES","NO"),"")</f>
        <v/>
      </c>
      <c r="AJ164" t="str">
        <f>_xlfn.IFNA(IF(AE164 &lt; (INDEX(SLATable[Maximum SLA],MATCH(G164,SLATable[Priority],0))),"YES","NO"),"")</f>
        <v/>
      </c>
    </row>
    <row r="165" spans="26:36" ht="15" customHeight="1">
      <c r="Z165" s="76" t="e">
        <f t="shared" ca="1" si="16"/>
        <v>#N/A</v>
      </c>
      <c r="AA165" s="75" t="e">
        <f t="shared" ca="1" si="17"/>
        <v>#N/A</v>
      </c>
      <c r="AB165" s="76">
        <f t="shared" ca="1" si="18"/>
        <v>0</v>
      </c>
      <c r="AC165" s="75">
        <f t="shared" ca="1" si="19"/>
        <v>0</v>
      </c>
      <c r="AD165" s="76">
        <f t="shared" ca="1" si="20"/>
        <v>12388.425643634258</v>
      </c>
      <c r="AE165" s="76">
        <f>SUMIFS(AB:AB,E:E,E165)</f>
        <v>0</v>
      </c>
      <c r="AF165" s="75">
        <f t="shared" si="21"/>
        <v>0</v>
      </c>
      <c r="AG165" s="76">
        <f t="shared" si="3"/>
        <v>0</v>
      </c>
      <c r="AH165" s="31" t="e" cm="1">
        <f t="array" aca="1" ref="AH165" ca="1">IF((AD165) &lt; (INDEX(ResponseSLA[#All],(MATCH((G165),ResponseSLA[Priority],0))+1,3)),"YES","No")</f>
        <v>#N/A</v>
      </c>
      <c r="AI165" s="31" t="str">
        <f>_xlfn.IFNA(IF(AE165 &lt; (INDEX(SLATable[Minimum SLA],MATCH(G165,SLATable[Priority],0))),"YES","NO"),"")</f>
        <v/>
      </c>
      <c r="AJ165" t="str">
        <f>_xlfn.IFNA(IF(AE165 &lt; (INDEX(SLATable[Maximum SLA],MATCH(G165,SLATable[Priority],0))),"YES","NO"),"")</f>
        <v/>
      </c>
    </row>
    <row r="166" spans="26:36" ht="15" customHeight="1">
      <c r="Z166" s="76" t="e">
        <f t="shared" ca="1" si="16"/>
        <v>#N/A</v>
      </c>
      <c r="AA166" s="75" t="e">
        <f t="shared" ca="1" si="17"/>
        <v>#N/A</v>
      </c>
      <c r="AB166" s="76">
        <f t="shared" ca="1" si="18"/>
        <v>0</v>
      </c>
      <c r="AC166" s="75">
        <f t="shared" ca="1" si="19"/>
        <v>0</v>
      </c>
      <c r="AD166" s="76">
        <f t="shared" ca="1" si="20"/>
        <v>12388.425643634258</v>
      </c>
      <c r="AE166" s="76">
        <f>SUMIFS(AB:AB,E:E,E166)</f>
        <v>0</v>
      </c>
      <c r="AF166" s="75">
        <f t="shared" si="21"/>
        <v>0</v>
      </c>
      <c r="AG166" s="76">
        <f t="shared" si="3"/>
        <v>0</v>
      </c>
      <c r="AH166" s="31" t="e" cm="1">
        <f t="array" aca="1" ref="AH166" ca="1">IF((AD166) &lt; (INDEX(ResponseSLA[#All],(MATCH((G166),ResponseSLA[Priority],0))+1,3)),"YES","No")</f>
        <v>#N/A</v>
      </c>
      <c r="AI166" s="31" t="str">
        <f>_xlfn.IFNA(IF(AE166 &lt; (INDEX(SLATable[Minimum SLA],MATCH(G166,SLATable[Priority],0))),"YES","NO"),"")</f>
        <v/>
      </c>
      <c r="AJ166" t="str">
        <f>_xlfn.IFNA(IF(AE166 &lt; (INDEX(SLATable[Maximum SLA],MATCH(G166,SLATable[Priority],0))),"YES","NO"),"")</f>
        <v/>
      </c>
    </row>
    <row r="167" spans="26:36" ht="15" customHeight="1">
      <c r="Z167" s="76" t="e">
        <f t="shared" ca="1" si="16"/>
        <v>#N/A</v>
      </c>
      <c r="AA167" s="75" t="e">
        <f t="shared" ca="1" si="17"/>
        <v>#N/A</v>
      </c>
      <c r="AB167" s="76">
        <f t="shared" ca="1" si="18"/>
        <v>0</v>
      </c>
      <c r="AC167" s="75">
        <f t="shared" ca="1" si="19"/>
        <v>0</v>
      </c>
      <c r="AD167" s="76">
        <f t="shared" ca="1" si="20"/>
        <v>12388.425643634258</v>
      </c>
      <c r="AE167" s="76">
        <f>SUMIFS(AB:AB,E:E,E167)</f>
        <v>0</v>
      </c>
      <c r="AF167" s="75">
        <f t="shared" si="21"/>
        <v>0</v>
      </c>
      <c r="AG167" s="76">
        <f t="shared" si="3"/>
        <v>0</v>
      </c>
      <c r="AH167" s="31" t="e" cm="1">
        <f t="array" aca="1" ref="AH167" ca="1">IF((AD167) &lt; (INDEX(ResponseSLA[#All],(MATCH((G167),ResponseSLA[Priority],0))+1,3)),"YES","No")</f>
        <v>#N/A</v>
      </c>
      <c r="AI167" s="31" t="str">
        <f>_xlfn.IFNA(IF(AE167 &lt; (INDEX(SLATable[Minimum SLA],MATCH(G167,SLATable[Priority],0))),"YES","NO"),"")</f>
        <v/>
      </c>
      <c r="AJ167" t="str">
        <f>_xlfn.IFNA(IF(AE167 &lt; (INDEX(SLATable[Maximum SLA],MATCH(G167,SLATable[Priority],0))),"YES","NO"),"")</f>
        <v/>
      </c>
    </row>
    <row r="168" spans="26:36" ht="15" customHeight="1">
      <c r="Z168" s="76" t="e">
        <f t="shared" ca="1" si="16"/>
        <v>#N/A</v>
      </c>
      <c r="AA168" s="75" t="e">
        <f t="shared" ca="1" si="17"/>
        <v>#N/A</v>
      </c>
      <c r="AB168" s="76">
        <f t="shared" ca="1" si="18"/>
        <v>0</v>
      </c>
      <c r="AC168" s="75">
        <f t="shared" ca="1" si="19"/>
        <v>0</v>
      </c>
      <c r="AD168" s="76">
        <f t="shared" ca="1" si="20"/>
        <v>12388.425643634258</v>
      </c>
      <c r="AE168" s="76">
        <f>SUMIFS(AB:AB,E:E,E168)</f>
        <v>0</v>
      </c>
      <c r="AF168" s="75">
        <f t="shared" si="21"/>
        <v>0</v>
      </c>
      <c r="AG168" s="76">
        <f t="shared" si="3"/>
        <v>0</v>
      </c>
      <c r="AH168" s="31" t="e" cm="1">
        <f t="array" aca="1" ref="AH168" ca="1">IF((AD168) &lt; (INDEX(ResponseSLA[#All],(MATCH((G168),ResponseSLA[Priority],0))+1,3)),"YES","No")</f>
        <v>#N/A</v>
      </c>
      <c r="AI168" s="31" t="str">
        <f>_xlfn.IFNA(IF(AE168 &lt; (INDEX(SLATable[Minimum SLA],MATCH(G168,SLATable[Priority],0))),"YES","NO"),"")</f>
        <v/>
      </c>
      <c r="AJ168" t="str">
        <f>_xlfn.IFNA(IF(AE168 &lt; (INDEX(SLATable[Maximum SLA],MATCH(G168,SLATable[Priority],0))),"YES","NO"),"")</f>
        <v/>
      </c>
    </row>
    <row r="169" spans="26:36" ht="15" customHeight="1">
      <c r="Z169" s="76" t="e">
        <f t="shared" ca="1" si="16"/>
        <v>#N/A</v>
      </c>
      <c r="AA169" s="75" t="e">
        <f t="shared" ca="1" si="17"/>
        <v>#N/A</v>
      </c>
      <c r="AB169" s="76">
        <f t="shared" ca="1" si="18"/>
        <v>0</v>
      </c>
      <c r="AC169" s="75">
        <f t="shared" ca="1" si="19"/>
        <v>0</v>
      </c>
      <c r="AD169" s="76">
        <f t="shared" ca="1" si="20"/>
        <v>12388.425643634258</v>
      </c>
      <c r="AE169" s="76">
        <f>SUMIFS(AB:AB,E:E,E169)</f>
        <v>0</v>
      </c>
      <c r="AF169" s="75">
        <f t="shared" si="21"/>
        <v>0</v>
      </c>
      <c r="AG169" s="76">
        <f t="shared" si="3"/>
        <v>0</v>
      </c>
      <c r="AH169" s="31" t="e" cm="1">
        <f t="array" aca="1" ref="AH169" ca="1">IF((AD169) &lt; (INDEX(ResponseSLA[#All],(MATCH((G169),ResponseSLA[Priority],0))+1,3)),"YES","No")</f>
        <v>#N/A</v>
      </c>
      <c r="AI169" s="31" t="str">
        <f>_xlfn.IFNA(IF(AE169 &lt; (INDEX(SLATable[Minimum SLA],MATCH(G169,SLATable[Priority],0))),"YES","NO"),"")</f>
        <v/>
      </c>
      <c r="AJ169" t="str">
        <f>_xlfn.IFNA(IF(AE169 &lt; (INDEX(SLATable[Maximum SLA],MATCH(G169,SLATable[Priority],0))),"YES","NO"),"")</f>
        <v/>
      </c>
    </row>
    <row r="170" spans="26:36" ht="15" customHeight="1">
      <c r="Z170" s="76" t="e">
        <f t="shared" ca="1" si="16"/>
        <v>#N/A</v>
      </c>
      <c r="AA170" s="75" t="e">
        <f t="shared" ca="1" si="17"/>
        <v>#N/A</v>
      </c>
      <c r="AB170" s="76">
        <f t="shared" ca="1" si="18"/>
        <v>0</v>
      </c>
      <c r="AC170" s="75">
        <f t="shared" ca="1" si="19"/>
        <v>0</v>
      </c>
      <c r="AD170" s="76">
        <f t="shared" ca="1" si="20"/>
        <v>12388.425643634258</v>
      </c>
      <c r="AE170" s="76">
        <f>SUMIFS(AB:AB,E:E,E170)</f>
        <v>0</v>
      </c>
      <c r="AF170" s="75">
        <f t="shared" si="21"/>
        <v>0</v>
      </c>
      <c r="AG170" s="76">
        <f t="shared" si="3"/>
        <v>0</v>
      </c>
      <c r="AH170" s="31" t="e" cm="1">
        <f t="array" aca="1" ref="AH170" ca="1">IF((AD170) &lt; (INDEX(ResponseSLA[#All],(MATCH((G170),ResponseSLA[Priority],0))+1,3)),"YES","No")</f>
        <v>#N/A</v>
      </c>
      <c r="AI170" s="31" t="str">
        <f>_xlfn.IFNA(IF(AE170 &lt; (INDEX(SLATable[Minimum SLA],MATCH(G170,SLATable[Priority],0))),"YES","NO"),"")</f>
        <v/>
      </c>
      <c r="AJ170" t="str">
        <f>_xlfn.IFNA(IF(AE170 &lt; (INDEX(SLATable[Maximum SLA],MATCH(G170,SLATable[Priority],0))),"YES","NO"),"")</f>
        <v/>
      </c>
    </row>
    <row r="171" spans="26:36" ht="15" customHeight="1">
      <c r="Z171" s="76" t="e">
        <f t="shared" ca="1" si="16"/>
        <v>#N/A</v>
      </c>
      <c r="AA171" s="75" t="e">
        <f t="shared" ca="1" si="17"/>
        <v>#N/A</v>
      </c>
      <c r="AB171" s="76">
        <f t="shared" ca="1" si="18"/>
        <v>0</v>
      </c>
      <c r="AC171" s="75">
        <f t="shared" ca="1" si="19"/>
        <v>0</v>
      </c>
      <c r="AD171" s="76">
        <f t="shared" ca="1" si="20"/>
        <v>12388.425643634258</v>
      </c>
      <c r="AE171" s="76">
        <f>SUMIFS(AB:AB,E:E,E171)</f>
        <v>0</v>
      </c>
      <c r="AF171" s="75">
        <f t="shared" si="21"/>
        <v>0</v>
      </c>
      <c r="AG171" s="76">
        <f t="shared" si="3"/>
        <v>0</v>
      </c>
      <c r="AH171" s="31" t="e" cm="1">
        <f t="array" aca="1" ref="AH171" ca="1">IF((AD171) &lt; (INDEX(ResponseSLA[#All],(MATCH((G171),ResponseSLA[Priority],0))+1,3)),"YES","No")</f>
        <v>#N/A</v>
      </c>
      <c r="AI171" s="31" t="str">
        <f>_xlfn.IFNA(IF(AE171 &lt; (INDEX(SLATable[Minimum SLA],MATCH(G171,SLATable[Priority],0))),"YES","NO"),"")</f>
        <v/>
      </c>
      <c r="AJ171" t="str">
        <f>_xlfn.IFNA(IF(AE171 &lt; (INDEX(SLATable[Maximum SLA],MATCH(G171,SLATable[Priority],0))),"YES","NO"),"")</f>
        <v/>
      </c>
    </row>
    <row r="172" spans="26:36" ht="15" customHeight="1">
      <c r="Z172" s="76" t="e">
        <f t="shared" ca="1" si="16"/>
        <v>#N/A</v>
      </c>
      <c r="AA172" s="75" t="e">
        <f t="shared" ca="1" si="17"/>
        <v>#N/A</v>
      </c>
      <c r="AB172" s="76">
        <f t="shared" ca="1" si="18"/>
        <v>0</v>
      </c>
      <c r="AC172" s="75">
        <f t="shared" ca="1" si="19"/>
        <v>0</v>
      </c>
      <c r="AD172" s="76">
        <f t="shared" ca="1" si="20"/>
        <v>12388.425643634258</v>
      </c>
      <c r="AE172" s="76">
        <f>SUMIFS(AB:AB,E:E,E172)</f>
        <v>0</v>
      </c>
      <c r="AF172" s="75">
        <f t="shared" si="21"/>
        <v>0</v>
      </c>
      <c r="AG172" s="76">
        <f t="shared" si="3"/>
        <v>0</v>
      </c>
      <c r="AH172" s="31" t="e" cm="1">
        <f t="array" aca="1" ref="AH172" ca="1">IF((AD172) &lt; (INDEX(ResponseSLA[#All],(MATCH((G172),ResponseSLA[Priority],0))+1,3)),"YES","No")</f>
        <v>#N/A</v>
      </c>
      <c r="AI172" s="31" t="str">
        <f>_xlfn.IFNA(IF(AE172 &lt; (INDEX(SLATable[Minimum SLA],MATCH(G172,SLATable[Priority],0))),"YES","NO"),"")</f>
        <v/>
      </c>
      <c r="AJ172" t="str">
        <f>_xlfn.IFNA(IF(AE172 &lt; (INDEX(SLATable[Maximum SLA],MATCH(G172,SLATable[Priority],0))),"YES","NO"),"")</f>
        <v/>
      </c>
    </row>
    <row r="173" spans="26:36" ht="15" customHeight="1">
      <c r="Z173" s="76" t="e">
        <f t="shared" ca="1" si="16"/>
        <v>#N/A</v>
      </c>
      <c r="AA173" s="75" t="e">
        <f t="shared" ca="1" si="17"/>
        <v>#N/A</v>
      </c>
      <c r="AB173" s="76">
        <f t="shared" ca="1" si="18"/>
        <v>0</v>
      </c>
      <c r="AC173" s="75">
        <f t="shared" ca="1" si="19"/>
        <v>0</v>
      </c>
      <c r="AD173" s="76">
        <f t="shared" ca="1" si="20"/>
        <v>12388.425643634258</v>
      </c>
      <c r="AE173" s="76">
        <f>SUMIFS(AB:AB,E:E,E173)</f>
        <v>0</v>
      </c>
      <c r="AF173" s="75">
        <f t="shared" si="21"/>
        <v>0</v>
      </c>
      <c r="AG173" s="76">
        <f t="shared" si="3"/>
        <v>0</v>
      </c>
      <c r="AH173" s="31" t="e" cm="1">
        <f t="array" aca="1" ref="AH173" ca="1">IF((AD173) &lt; (INDEX(ResponseSLA[#All],(MATCH((G173),ResponseSLA[Priority],0))+1,3)),"YES","No")</f>
        <v>#N/A</v>
      </c>
      <c r="AI173" s="31" t="str">
        <f>_xlfn.IFNA(IF(AE173 &lt; (INDEX(SLATable[Minimum SLA],MATCH(G173,SLATable[Priority],0))),"YES","NO"),"")</f>
        <v/>
      </c>
      <c r="AJ173" t="str">
        <f>_xlfn.IFNA(IF(AE173 &lt; (INDEX(SLATable[Maximum SLA],MATCH(G173,SLATable[Priority],0))),"YES","NO"),"")</f>
        <v/>
      </c>
    </row>
    <row r="174" spans="26:36" ht="15" customHeight="1">
      <c r="Z174" s="76" t="e">
        <f t="shared" ca="1" si="16"/>
        <v>#N/A</v>
      </c>
      <c r="AA174" s="75" t="e">
        <f t="shared" ca="1" si="17"/>
        <v>#N/A</v>
      </c>
      <c r="AB174" s="76">
        <f t="shared" ca="1" si="18"/>
        <v>0</v>
      </c>
      <c r="AC174" s="75">
        <f t="shared" ca="1" si="19"/>
        <v>0</v>
      </c>
      <c r="AD174" s="76">
        <f t="shared" ca="1" si="20"/>
        <v>12388.425643634258</v>
      </c>
      <c r="AE174" s="76">
        <f>SUMIFS(AB:AB,E:E,E174)</f>
        <v>0</v>
      </c>
      <c r="AF174" s="75">
        <f t="shared" si="21"/>
        <v>0</v>
      </c>
      <c r="AG174" s="76">
        <f t="shared" si="3"/>
        <v>0</v>
      </c>
      <c r="AH174" s="31" t="e" cm="1">
        <f t="array" aca="1" ref="AH174" ca="1">IF((AD174) &lt; (INDEX(ResponseSLA[#All],(MATCH((G174),ResponseSLA[Priority],0))+1,3)),"YES","No")</f>
        <v>#N/A</v>
      </c>
      <c r="AI174" s="31" t="str">
        <f>_xlfn.IFNA(IF(AE174 &lt; (INDEX(SLATable[Minimum SLA],MATCH(G174,SLATable[Priority],0))),"YES","NO"),"")</f>
        <v/>
      </c>
      <c r="AJ174" t="str">
        <f>_xlfn.IFNA(IF(AE174 &lt; (INDEX(SLATable[Maximum SLA],MATCH(G174,SLATable[Priority],0))),"YES","NO"),"")</f>
        <v/>
      </c>
    </row>
    <row r="175" spans="26:36" ht="15" customHeight="1">
      <c r="Z175" s="76" t="e">
        <f t="shared" ca="1" si="16"/>
        <v>#N/A</v>
      </c>
      <c r="AA175" s="75" t="e">
        <f t="shared" ca="1" si="17"/>
        <v>#N/A</v>
      </c>
      <c r="AB175" s="76">
        <f t="shared" ca="1" si="18"/>
        <v>0</v>
      </c>
      <c r="AC175" s="75">
        <f t="shared" ca="1" si="19"/>
        <v>0</v>
      </c>
      <c r="AD175" s="76">
        <f t="shared" ca="1" si="20"/>
        <v>12388.425643634258</v>
      </c>
      <c r="AE175" s="76">
        <f>SUMIFS(AB:AB,E:E,E175)</f>
        <v>0</v>
      </c>
      <c r="AF175" s="75">
        <f t="shared" si="21"/>
        <v>0</v>
      </c>
      <c r="AG175" s="76">
        <f t="shared" si="3"/>
        <v>0</v>
      </c>
      <c r="AH175" s="31" t="e" cm="1">
        <f t="array" aca="1" ref="AH175" ca="1">IF((AD175) &lt; (INDEX(ResponseSLA[#All],(MATCH((G175),ResponseSLA[Priority],0))+1,3)),"YES","No")</f>
        <v>#N/A</v>
      </c>
      <c r="AI175" s="31" t="str">
        <f>_xlfn.IFNA(IF(AE175 &lt; (INDEX(SLATable[Minimum SLA],MATCH(G175,SLATable[Priority],0))),"YES","NO"),"")</f>
        <v/>
      </c>
      <c r="AJ175" t="str">
        <f>_xlfn.IFNA(IF(AE175 &lt; (INDEX(SLATable[Maximum SLA],MATCH(G175,SLATable[Priority],0))),"YES","NO"),"")</f>
        <v/>
      </c>
    </row>
    <row r="176" spans="26:36" ht="15" customHeight="1">
      <c r="Z176" s="76" t="e">
        <f t="shared" ca="1" si="16"/>
        <v>#N/A</v>
      </c>
      <c r="AA176" s="75" t="e">
        <f t="shared" ca="1" si="17"/>
        <v>#N/A</v>
      </c>
      <c r="AB176" s="76">
        <f t="shared" ca="1" si="18"/>
        <v>0</v>
      </c>
      <c r="AC176" s="75">
        <f t="shared" ca="1" si="19"/>
        <v>0</v>
      </c>
      <c r="AD176" s="76">
        <f t="shared" ca="1" si="20"/>
        <v>12388.425643634258</v>
      </c>
      <c r="AE176" s="76">
        <f>SUMIFS(AB:AB,E:E,E176)</f>
        <v>0</v>
      </c>
      <c r="AF176" s="75">
        <f t="shared" si="21"/>
        <v>0</v>
      </c>
      <c r="AG176" s="76">
        <f t="shared" si="3"/>
        <v>0</v>
      </c>
      <c r="AH176" s="31" t="e" cm="1">
        <f t="array" aca="1" ref="AH176" ca="1">IF((AD176) &lt; (INDEX(ResponseSLA[#All],(MATCH((G176),ResponseSLA[Priority],0))+1,3)),"YES","No")</f>
        <v>#N/A</v>
      </c>
      <c r="AI176" s="31" t="str">
        <f>_xlfn.IFNA(IF(AE176 &lt; (INDEX(SLATable[Minimum SLA],MATCH(G176,SLATable[Priority],0))),"YES","NO"),"")</f>
        <v/>
      </c>
      <c r="AJ176" t="str">
        <f>_xlfn.IFNA(IF(AE176 &lt; (INDEX(SLATable[Maximum SLA],MATCH(G176,SLATable[Priority],0))),"YES","NO"),"")</f>
        <v/>
      </c>
    </row>
    <row r="177" spans="26:36" ht="15" customHeight="1">
      <c r="Z177" s="76" t="e">
        <f t="shared" ca="1" si="16"/>
        <v>#N/A</v>
      </c>
      <c r="AA177" s="75" t="e">
        <f t="shared" ca="1" si="17"/>
        <v>#N/A</v>
      </c>
      <c r="AB177" s="76">
        <f t="shared" ca="1" si="18"/>
        <v>0</v>
      </c>
      <c r="AC177" s="75">
        <f t="shared" ca="1" si="19"/>
        <v>0</v>
      </c>
      <c r="AD177" s="76">
        <f t="shared" ca="1" si="20"/>
        <v>12388.425643634258</v>
      </c>
      <c r="AE177" s="76">
        <f>SUMIFS(AB:AB,E:E,E177)</f>
        <v>0</v>
      </c>
      <c r="AF177" s="75">
        <f t="shared" si="21"/>
        <v>0</v>
      </c>
      <c r="AG177" s="76">
        <f t="shared" si="3"/>
        <v>0</v>
      </c>
      <c r="AH177" s="31" t="e" cm="1">
        <f t="array" aca="1" ref="AH177" ca="1">IF((AD177) &lt; (INDEX(ResponseSLA[#All],(MATCH((G177),ResponseSLA[Priority],0))+1,3)),"YES","No")</f>
        <v>#N/A</v>
      </c>
      <c r="AI177" s="31" t="str">
        <f>_xlfn.IFNA(IF(AE177 &lt; (INDEX(SLATable[Minimum SLA],MATCH(G177,SLATable[Priority],0))),"YES","NO"),"")</f>
        <v/>
      </c>
      <c r="AJ177" t="str">
        <f>_xlfn.IFNA(IF(AE177 &lt; (INDEX(SLATable[Maximum SLA],MATCH(G177,SLATable[Priority],0))),"YES","NO"),"")</f>
        <v/>
      </c>
    </row>
    <row r="178" spans="26:36" ht="15" customHeight="1">
      <c r="Z178" s="76" t="e">
        <f t="shared" ca="1" si="16"/>
        <v>#N/A</v>
      </c>
      <c r="AA178" s="75" t="e">
        <f t="shared" ca="1" si="17"/>
        <v>#N/A</v>
      </c>
      <c r="AB178" s="76">
        <f t="shared" ca="1" si="18"/>
        <v>0</v>
      </c>
      <c r="AC178" s="75">
        <f t="shared" ca="1" si="19"/>
        <v>0</v>
      </c>
      <c r="AD178" s="76">
        <f t="shared" ca="1" si="20"/>
        <v>12388.425643634258</v>
      </c>
      <c r="AE178" s="76">
        <f>SUMIFS(AB:AB,E:E,E178)</f>
        <v>0</v>
      </c>
      <c r="AF178" s="75">
        <f t="shared" si="21"/>
        <v>0</v>
      </c>
      <c r="AG178" s="76">
        <f t="shared" si="3"/>
        <v>0</v>
      </c>
      <c r="AH178" s="31" t="e" cm="1">
        <f t="array" aca="1" ref="AH178" ca="1">IF((AD178) &lt; (INDEX(ResponseSLA[#All],(MATCH((G178),ResponseSLA[Priority],0))+1,3)),"YES","No")</f>
        <v>#N/A</v>
      </c>
      <c r="AI178" s="31" t="str">
        <f>_xlfn.IFNA(IF(AE178 &lt; (INDEX(SLATable[Minimum SLA],MATCH(G178,SLATable[Priority],0))),"YES","NO"),"")</f>
        <v/>
      </c>
      <c r="AJ178" t="str">
        <f>_xlfn.IFNA(IF(AE178 &lt; (INDEX(SLATable[Maximum SLA],MATCH(G178,SLATable[Priority],0))),"YES","NO"),"")</f>
        <v/>
      </c>
    </row>
    <row r="179" spans="26:36" ht="15" customHeight="1">
      <c r="Z179" s="76" t="e">
        <f t="shared" ca="1" si="16"/>
        <v>#N/A</v>
      </c>
      <c r="AA179" s="75" t="e">
        <f t="shared" ca="1" si="17"/>
        <v>#N/A</v>
      </c>
      <c r="AB179" s="76">
        <f t="shared" ca="1" si="18"/>
        <v>0</v>
      </c>
      <c r="AC179" s="75">
        <f t="shared" ca="1" si="19"/>
        <v>0</v>
      </c>
      <c r="AD179" s="76">
        <f t="shared" ca="1" si="20"/>
        <v>12388.425643634258</v>
      </c>
      <c r="AE179" s="76">
        <f>SUMIFS(AB:AB,E:E,E179)</f>
        <v>0</v>
      </c>
      <c r="AF179" s="75">
        <f t="shared" si="21"/>
        <v>0</v>
      </c>
      <c r="AG179" s="76">
        <f t="shared" si="3"/>
        <v>0</v>
      </c>
      <c r="AH179" s="31" t="e" cm="1">
        <f t="array" aca="1" ref="AH179" ca="1">IF((AD179) &lt; (INDEX(ResponseSLA[#All],(MATCH((G179),ResponseSLA[Priority],0))+1,3)),"YES","No")</f>
        <v>#N/A</v>
      </c>
      <c r="AI179" s="31" t="str">
        <f>_xlfn.IFNA(IF(AE179 &lt; (INDEX(SLATable[Minimum SLA],MATCH(G179,SLATable[Priority],0))),"YES","NO"),"")</f>
        <v/>
      </c>
      <c r="AJ179" t="str">
        <f>_xlfn.IFNA(IF(AE179 &lt; (INDEX(SLATable[Maximum SLA],MATCH(G179,SLATable[Priority],0))),"YES","NO"),"")</f>
        <v/>
      </c>
    </row>
    <row r="180" spans="26:36" ht="15" customHeight="1">
      <c r="Z180" s="76" t="e">
        <f t="shared" ca="1" si="16"/>
        <v>#N/A</v>
      </c>
      <c r="AA180" s="75" t="e">
        <f t="shared" ca="1" si="17"/>
        <v>#N/A</v>
      </c>
      <c r="AB180" s="76">
        <f t="shared" ca="1" si="18"/>
        <v>0</v>
      </c>
      <c r="AC180" s="75">
        <f t="shared" ca="1" si="19"/>
        <v>0</v>
      </c>
      <c r="AD180" s="76">
        <f t="shared" ca="1" si="20"/>
        <v>12388.425643634258</v>
      </c>
      <c r="AE180" s="76">
        <f>SUMIFS(AB:AB,E:E,E180)</f>
        <v>0</v>
      </c>
      <c r="AF180" s="75">
        <f t="shared" si="21"/>
        <v>0</v>
      </c>
      <c r="AG180" s="76">
        <f t="shared" si="3"/>
        <v>0</v>
      </c>
      <c r="AH180" s="31" t="e" cm="1">
        <f t="array" aca="1" ref="AH180" ca="1">IF((AD180) &lt; (INDEX(ResponseSLA[#All],(MATCH((G180),ResponseSLA[Priority],0))+1,3)),"YES","No")</f>
        <v>#N/A</v>
      </c>
      <c r="AI180" s="31" t="str">
        <f>_xlfn.IFNA(IF(AE180 &lt; (INDEX(SLATable[Minimum SLA],MATCH(G180,SLATable[Priority],0))),"YES","NO"),"")</f>
        <v/>
      </c>
      <c r="AJ180" t="str">
        <f>_xlfn.IFNA(IF(AE180 &lt; (INDEX(SLATable[Maximum SLA],MATCH(G180,SLATable[Priority],0))),"YES","NO"),"")</f>
        <v/>
      </c>
    </row>
    <row r="181" spans="26:36" ht="15" customHeight="1">
      <c r="Z181" s="76" t="e">
        <f t="shared" ca="1" si="16"/>
        <v>#N/A</v>
      </c>
      <c r="AA181" s="75" t="e">
        <f t="shared" ca="1" si="17"/>
        <v>#N/A</v>
      </c>
      <c r="AB181" s="76">
        <f t="shared" ca="1" si="18"/>
        <v>0</v>
      </c>
      <c r="AC181" s="75">
        <f t="shared" ca="1" si="19"/>
        <v>0</v>
      </c>
      <c r="AD181" s="76">
        <f t="shared" ca="1" si="20"/>
        <v>12388.425643634258</v>
      </c>
      <c r="AE181" s="76">
        <f>SUMIFS(AB:AB,E:E,E181)</f>
        <v>0</v>
      </c>
      <c r="AF181" s="75">
        <f t="shared" si="21"/>
        <v>0</v>
      </c>
      <c r="AG181" s="76">
        <f t="shared" si="3"/>
        <v>0</v>
      </c>
      <c r="AH181" s="31" t="e" cm="1">
        <f t="array" aca="1" ref="AH181" ca="1">IF((AD181) &lt; (INDEX(ResponseSLA[#All],(MATCH((G181),ResponseSLA[Priority],0))+1,3)),"YES","No")</f>
        <v>#N/A</v>
      </c>
      <c r="AI181" s="31" t="str">
        <f>_xlfn.IFNA(IF(AE181 &lt; (INDEX(SLATable[Minimum SLA],MATCH(G181,SLATable[Priority],0))),"YES","NO"),"")</f>
        <v/>
      </c>
      <c r="AJ181" t="str">
        <f>_xlfn.IFNA(IF(AE181 &lt; (INDEX(SLATable[Maximum SLA],MATCH(G181,SLATable[Priority],0))),"YES","NO"),"")</f>
        <v/>
      </c>
    </row>
    <row r="182" spans="26:36" ht="15" customHeight="1">
      <c r="Z182" s="76" t="e">
        <f t="shared" ca="1" si="16"/>
        <v>#N/A</v>
      </c>
      <c r="AA182" s="75" t="e">
        <f t="shared" ca="1" si="17"/>
        <v>#N/A</v>
      </c>
      <c r="AB182" s="76">
        <f t="shared" ca="1" si="18"/>
        <v>0</v>
      </c>
      <c r="AC182" s="75">
        <f t="shared" ca="1" si="19"/>
        <v>0</v>
      </c>
      <c r="AD182" s="76">
        <f t="shared" ca="1" si="20"/>
        <v>12388.425643634258</v>
      </c>
      <c r="AE182" s="76">
        <f>SUMIFS(AB:AB,E:E,E182)</f>
        <v>0</v>
      </c>
      <c r="AF182" s="75">
        <f t="shared" si="21"/>
        <v>0</v>
      </c>
      <c r="AG182" s="76">
        <f t="shared" si="3"/>
        <v>0</v>
      </c>
      <c r="AH182" s="31" t="e" cm="1">
        <f t="array" aca="1" ref="AH182" ca="1">IF((AD182) &lt; (INDEX(ResponseSLA[#All],(MATCH((G182),ResponseSLA[Priority],0))+1,3)),"YES","No")</f>
        <v>#N/A</v>
      </c>
      <c r="AI182" s="31" t="str">
        <f>_xlfn.IFNA(IF(AE182 &lt; (INDEX(SLATable[Minimum SLA],MATCH(G182,SLATable[Priority],0))),"YES","NO"),"")</f>
        <v/>
      </c>
      <c r="AJ182" t="str">
        <f>_xlfn.IFNA(IF(AE182 &lt; (INDEX(SLATable[Maximum SLA],MATCH(G182,SLATable[Priority],0))),"YES","NO"),"")</f>
        <v/>
      </c>
    </row>
    <row r="183" spans="26:36" ht="15" customHeight="1">
      <c r="Z183" s="76" t="e">
        <f t="shared" ca="1" si="16"/>
        <v>#N/A</v>
      </c>
      <c r="AA183" s="75" t="e">
        <f t="shared" ca="1" si="17"/>
        <v>#N/A</v>
      </c>
      <c r="AB183" s="76">
        <f t="shared" ca="1" si="18"/>
        <v>0</v>
      </c>
      <c r="AC183" s="75">
        <f t="shared" ca="1" si="19"/>
        <v>0</v>
      </c>
      <c r="AD183" s="76">
        <f t="shared" ca="1" si="20"/>
        <v>12388.425643634258</v>
      </c>
      <c r="AE183" s="76">
        <f>SUMIFS(AB:AB,E:E,E183)</f>
        <v>0</v>
      </c>
      <c r="AF183" s="75">
        <f t="shared" si="21"/>
        <v>0</v>
      </c>
      <c r="AG183" s="76">
        <f t="shared" si="3"/>
        <v>0</v>
      </c>
      <c r="AH183" s="31" t="e" cm="1">
        <f t="array" aca="1" ref="AH183" ca="1">IF((AD183) &lt; (INDEX(ResponseSLA[#All],(MATCH((G183),ResponseSLA[Priority],0))+1,3)),"YES","No")</f>
        <v>#N/A</v>
      </c>
      <c r="AI183" s="31" t="str">
        <f>_xlfn.IFNA(IF(AE183 &lt; (INDEX(SLATable[Minimum SLA],MATCH(G183,SLATable[Priority],0))),"YES","NO"),"")</f>
        <v/>
      </c>
      <c r="AJ183" t="str">
        <f>_xlfn.IFNA(IF(AE183 &lt; (INDEX(SLATable[Maximum SLA],MATCH(G183,SLATable[Priority],0))),"YES","NO"),"")</f>
        <v/>
      </c>
    </row>
    <row r="184" spans="26:36" ht="15" customHeight="1">
      <c r="Z184" s="76" t="e">
        <f t="shared" ca="1" si="16"/>
        <v>#N/A</v>
      </c>
      <c r="AA184" s="75" t="e">
        <f t="shared" ca="1" si="17"/>
        <v>#N/A</v>
      </c>
      <c r="AB184" s="76">
        <f t="shared" ca="1" si="18"/>
        <v>0</v>
      </c>
      <c r="AC184" s="75">
        <f t="shared" ca="1" si="19"/>
        <v>0</v>
      </c>
      <c r="AD184" s="76">
        <f t="shared" ca="1" si="20"/>
        <v>12388.425643634258</v>
      </c>
      <c r="AE184" s="76">
        <f>SUMIFS(AB:AB,E:E,E184)</f>
        <v>0</v>
      </c>
      <c r="AF184" s="75">
        <f t="shared" si="21"/>
        <v>0</v>
      </c>
      <c r="AG184" s="76">
        <f t="shared" si="3"/>
        <v>0</v>
      </c>
      <c r="AH184" s="31" t="e" cm="1">
        <f t="array" aca="1" ref="AH184" ca="1">IF((AD184) &lt; (INDEX(ResponseSLA[#All],(MATCH((G184),ResponseSLA[Priority],0))+1,3)),"YES","No")</f>
        <v>#N/A</v>
      </c>
      <c r="AI184" s="31" t="str">
        <f>_xlfn.IFNA(IF(AE184 &lt; (INDEX(SLATable[Minimum SLA],MATCH(G184,SLATable[Priority],0))),"YES","NO"),"")</f>
        <v/>
      </c>
      <c r="AJ184" t="str">
        <f>_xlfn.IFNA(IF(AE184 &lt; (INDEX(SLATable[Maximum SLA],MATCH(G184,SLATable[Priority],0))),"YES","NO"),"")</f>
        <v/>
      </c>
    </row>
    <row r="185" spans="26:36" ht="15" customHeight="1">
      <c r="Z185" s="76" t="e">
        <f t="shared" ca="1" si="16"/>
        <v>#N/A</v>
      </c>
      <c r="AA185" s="75" t="e">
        <f t="shared" ca="1" si="17"/>
        <v>#N/A</v>
      </c>
      <c r="AB185" s="76">
        <f t="shared" ca="1" si="18"/>
        <v>0</v>
      </c>
      <c r="AC185" s="75">
        <f t="shared" ca="1" si="19"/>
        <v>0</v>
      </c>
      <c r="AD185" s="76">
        <f t="shared" ca="1" si="20"/>
        <v>12388.425643634258</v>
      </c>
      <c r="AE185" s="76">
        <f>SUMIFS(AB:AB,E:E,E185)</f>
        <v>0</v>
      </c>
      <c r="AF185" s="75">
        <f t="shared" si="21"/>
        <v>0</v>
      </c>
      <c r="AG185" s="76">
        <f t="shared" si="3"/>
        <v>0</v>
      </c>
      <c r="AH185" s="31" t="e" cm="1">
        <f t="array" aca="1" ref="AH185" ca="1">IF((AD185) &lt; (INDEX(ResponseSLA[#All],(MATCH((G185),ResponseSLA[Priority],0))+1,3)),"YES","No")</f>
        <v>#N/A</v>
      </c>
      <c r="AI185" s="31" t="str">
        <f>_xlfn.IFNA(IF(AE185 &lt; (INDEX(SLATable[Minimum SLA],MATCH(G185,SLATable[Priority],0))),"YES","NO"),"")</f>
        <v/>
      </c>
      <c r="AJ185" t="str">
        <f>_xlfn.IFNA(IF(AE185 &lt; (INDEX(SLATable[Maximum SLA],MATCH(G185,SLATable[Priority],0))),"YES","NO"),"")</f>
        <v/>
      </c>
    </row>
    <row r="186" spans="26:36" ht="15" customHeight="1">
      <c r="Z186" s="76" t="e">
        <f t="shared" ca="1" si="16"/>
        <v>#N/A</v>
      </c>
      <c r="AA186" s="75" t="e">
        <f t="shared" ca="1" si="17"/>
        <v>#N/A</v>
      </c>
      <c r="AB186" s="76">
        <f t="shared" ca="1" si="18"/>
        <v>0</v>
      </c>
      <c r="AC186" s="75">
        <f t="shared" ca="1" si="19"/>
        <v>0</v>
      </c>
      <c r="AD186" s="76">
        <f t="shared" ca="1" si="20"/>
        <v>12388.425643634258</v>
      </c>
      <c r="AE186" s="76">
        <f>SUMIFS(AB:AB,E:E,E186)</f>
        <v>0</v>
      </c>
      <c r="AF186" s="75">
        <f t="shared" si="21"/>
        <v>0</v>
      </c>
      <c r="AG186" s="76">
        <f t="shared" si="3"/>
        <v>0</v>
      </c>
      <c r="AH186" s="31" t="e" cm="1">
        <f t="array" aca="1" ref="AH186" ca="1">IF((AD186) &lt; (INDEX(ResponseSLA[#All],(MATCH((G186),ResponseSLA[Priority],0))+1,3)),"YES","No")</f>
        <v>#N/A</v>
      </c>
      <c r="AI186" s="31" t="str">
        <f>_xlfn.IFNA(IF(AE186 &lt; (INDEX(SLATable[Minimum SLA],MATCH(G186,SLATable[Priority],0))),"YES","NO"),"")</f>
        <v/>
      </c>
      <c r="AJ186" t="str">
        <f>_xlfn.IFNA(IF(AE186 &lt; (INDEX(SLATable[Maximum SLA],MATCH(G186,SLATable[Priority],0))),"YES","NO"),"")</f>
        <v/>
      </c>
    </row>
    <row r="187" spans="26:36" ht="15" customHeight="1">
      <c r="Z187" s="76" t="e">
        <f t="shared" ca="1" si="16"/>
        <v>#N/A</v>
      </c>
      <c r="AA187" s="75" t="e">
        <f t="shared" ca="1" si="17"/>
        <v>#N/A</v>
      </c>
      <c r="AB187" s="76">
        <f t="shared" ca="1" si="18"/>
        <v>0</v>
      </c>
      <c r="AC187" s="75">
        <f t="shared" ca="1" si="19"/>
        <v>0</v>
      </c>
      <c r="AD187" s="76">
        <f t="shared" ca="1" si="20"/>
        <v>12388.425643634258</v>
      </c>
      <c r="AE187" s="76">
        <f>SUMIFS(AB:AB,E:E,E187)</f>
        <v>0</v>
      </c>
      <c r="AF187" s="75">
        <f t="shared" si="21"/>
        <v>0</v>
      </c>
      <c r="AG187" s="76">
        <f t="shared" si="3"/>
        <v>0</v>
      </c>
      <c r="AH187" s="31" t="e" cm="1">
        <f t="array" aca="1" ref="AH187" ca="1">IF((AD187) &lt; (INDEX(ResponseSLA[#All],(MATCH((G187),ResponseSLA[Priority],0))+1,3)),"YES","No")</f>
        <v>#N/A</v>
      </c>
      <c r="AI187" s="31" t="str">
        <f>_xlfn.IFNA(IF(AE187 &lt; (INDEX(SLATable[Minimum SLA],MATCH(G187,SLATable[Priority],0))),"YES","NO"),"")</f>
        <v/>
      </c>
      <c r="AJ187" t="str">
        <f>_xlfn.IFNA(IF(AE187 &lt; (INDEX(SLATable[Maximum SLA],MATCH(G187,SLATable[Priority],0))),"YES","NO"),"")</f>
        <v/>
      </c>
    </row>
    <row r="188" spans="26:36" ht="15" customHeight="1">
      <c r="Z188" s="76" t="e">
        <f t="shared" ca="1" si="16"/>
        <v>#N/A</v>
      </c>
      <c r="AA188" s="75" t="e">
        <f t="shared" ca="1" si="17"/>
        <v>#N/A</v>
      </c>
      <c r="AB188" s="76">
        <f t="shared" ca="1" si="18"/>
        <v>0</v>
      </c>
      <c r="AC188" s="75">
        <f t="shared" ca="1" si="19"/>
        <v>0</v>
      </c>
      <c r="AD188" s="76">
        <f t="shared" ca="1" si="20"/>
        <v>12388.425643634258</v>
      </c>
      <c r="AE188" s="76">
        <f>SUMIFS(AB:AB,E:E,E188)</f>
        <v>0</v>
      </c>
      <c r="AF188" s="75">
        <f t="shared" si="21"/>
        <v>0</v>
      </c>
      <c r="AG188" s="76">
        <f t="shared" si="3"/>
        <v>0</v>
      </c>
      <c r="AH188" s="31" t="e" cm="1">
        <f t="array" aca="1" ref="AH188" ca="1">IF((AD188) &lt; (INDEX(ResponseSLA[#All],(MATCH((G188),ResponseSLA[Priority],0))+1,3)),"YES","No")</f>
        <v>#N/A</v>
      </c>
      <c r="AI188" s="31" t="str">
        <f>_xlfn.IFNA(IF(AE188 &lt; (INDEX(SLATable[Minimum SLA],MATCH(G188,SLATable[Priority],0))),"YES","NO"),"")</f>
        <v/>
      </c>
      <c r="AJ188" t="str">
        <f>_xlfn.IFNA(IF(AE188 &lt; (INDEX(SLATable[Maximum SLA],MATCH(G188,SLATable[Priority],0))),"YES","NO"),"")</f>
        <v/>
      </c>
    </row>
    <row r="189" spans="26:36" ht="15" customHeight="1">
      <c r="Z189" s="76" t="e">
        <f t="shared" ca="1" si="16"/>
        <v>#N/A</v>
      </c>
      <c r="AA189" s="75" t="e">
        <f t="shared" ca="1" si="17"/>
        <v>#N/A</v>
      </c>
      <c r="AB189" s="76">
        <f t="shared" ca="1" si="18"/>
        <v>0</v>
      </c>
      <c r="AC189" s="75">
        <f t="shared" ca="1" si="19"/>
        <v>0</v>
      </c>
      <c r="AD189" s="76">
        <f t="shared" ca="1" si="20"/>
        <v>12388.425643634258</v>
      </c>
      <c r="AE189" s="76">
        <f>SUMIFS(AB:AB,E:E,E189)</f>
        <v>0</v>
      </c>
      <c r="AF189" s="75">
        <f t="shared" si="21"/>
        <v>0</v>
      </c>
      <c r="AG189" s="76">
        <f t="shared" si="3"/>
        <v>0</v>
      </c>
      <c r="AH189" s="31" t="e" cm="1">
        <f t="array" aca="1" ref="AH189" ca="1">IF((AD189) &lt; (INDEX(ResponseSLA[#All],(MATCH((G189),ResponseSLA[Priority],0))+1,3)),"YES","No")</f>
        <v>#N/A</v>
      </c>
      <c r="AI189" s="31" t="str">
        <f>_xlfn.IFNA(IF(AE189 &lt; (INDEX(SLATable[Minimum SLA],MATCH(G189,SLATable[Priority],0))),"YES","NO"),"")</f>
        <v/>
      </c>
      <c r="AJ189" t="str">
        <f>_xlfn.IFNA(IF(AE189 &lt; (INDEX(SLATable[Maximum SLA],MATCH(G189,SLATable[Priority],0))),"YES","NO"),"")</f>
        <v/>
      </c>
    </row>
    <row r="190" spans="26:36" ht="15" customHeight="1">
      <c r="Z190" s="76" t="e">
        <f t="shared" ca="1" si="16"/>
        <v>#N/A</v>
      </c>
      <c r="AA190" s="75" t="e">
        <f t="shared" ca="1" si="17"/>
        <v>#N/A</v>
      </c>
      <c r="AB190" s="76">
        <f t="shared" ca="1" si="18"/>
        <v>0</v>
      </c>
      <c r="AC190" s="75">
        <f t="shared" ca="1" si="19"/>
        <v>0</v>
      </c>
      <c r="AD190" s="76">
        <f t="shared" ca="1" si="20"/>
        <v>12388.425643634258</v>
      </c>
      <c r="AE190" s="76">
        <f>SUMIFS(AB:AB,E:E,E190)</f>
        <v>0</v>
      </c>
      <c r="AF190" s="75">
        <f t="shared" si="21"/>
        <v>0</v>
      </c>
      <c r="AG190" s="76">
        <f t="shared" si="3"/>
        <v>0</v>
      </c>
      <c r="AH190" s="31" t="e" cm="1">
        <f t="array" aca="1" ref="AH190" ca="1">IF((AD190) &lt; (INDEX(ResponseSLA[#All],(MATCH((G190),ResponseSLA[Priority],0))+1,3)),"YES","No")</f>
        <v>#N/A</v>
      </c>
      <c r="AI190" s="31" t="str">
        <f>_xlfn.IFNA(IF(AE190 &lt; (INDEX(SLATable[Minimum SLA],MATCH(G190,SLATable[Priority],0))),"YES","NO"),"")</f>
        <v/>
      </c>
      <c r="AJ190" t="str">
        <f>_xlfn.IFNA(IF(AE190 &lt; (INDEX(SLATable[Maximum SLA],MATCH(G190,SLATable[Priority],0))),"YES","NO"),"")</f>
        <v/>
      </c>
    </row>
    <row r="191" spans="26:36" ht="15" customHeight="1">
      <c r="Z191" s="76" t="e">
        <f t="shared" ca="1" si="16"/>
        <v>#N/A</v>
      </c>
      <c r="AA191" s="75" t="e">
        <f t="shared" ca="1" si="17"/>
        <v>#N/A</v>
      </c>
      <c r="AB191" s="76">
        <f t="shared" ca="1" si="18"/>
        <v>0</v>
      </c>
      <c r="AC191" s="75">
        <f t="shared" ca="1" si="19"/>
        <v>0</v>
      </c>
      <c r="AD191" s="76">
        <f t="shared" ca="1" si="20"/>
        <v>12388.425643634258</v>
      </c>
      <c r="AE191" s="76">
        <f>SUMIFS(AB:AB,E:E,E191)</f>
        <v>0</v>
      </c>
      <c r="AF191" s="75">
        <f t="shared" si="21"/>
        <v>0</v>
      </c>
      <c r="AG191" s="76">
        <f t="shared" si="3"/>
        <v>0</v>
      </c>
      <c r="AH191" s="31" t="e" cm="1">
        <f t="array" aca="1" ref="AH191" ca="1">IF((AD191) &lt; (INDEX(ResponseSLA[#All],(MATCH((G191),ResponseSLA[Priority],0))+1,3)),"YES","No")</f>
        <v>#N/A</v>
      </c>
      <c r="AI191" s="31" t="str">
        <f>_xlfn.IFNA(IF(AE191 &lt; (INDEX(SLATable[Minimum SLA],MATCH(G191,SLATable[Priority],0))),"YES","NO"),"")</f>
        <v/>
      </c>
      <c r="AJ191" t="str">
        <f>_xlfn.IFNA(IF(AE191 &lt; (INDEX(SLATable[Maximum SLA],MATCH(G191,SLATable[Priority],0))),"YES","NO"),"")</f>
        <v/>
      </c>
    </row>
    <row r="192" spans="26:36" ht="15" customHeight="1">
      <c r="Z192" s="76" t="e">
        <f t="shared" ca="1" si="16"/>
        <v>#N/A</v>
      </c>
      <c r="AA192" s="75" t="e">
        <f t="shared" ca="1" si="17"/>
        <v>#N/A</v>
      </c>
      <c r="AB192" s="76">
        <f t="shared" ca="1" si="18"/>
        <v>0</v>
      </c>
      <c r="AC192" s="75">
        <f t="shared" ca="1" si="19"/>
        <v>0</v>
      </c>
      <c r="AD192" s="76">
        <f t="shared" ca="1" si="20"/>
        <v>12388.425643634258</v>
      </c>
      <c r="AE192" s="76">
        <f>SUMIFS(AB:AB,E:E,E192)</f>
        <v>0</v>
      </c>
      <c r="AF192" s="75">
        <f t="shared" si="21"/>
        <v>0</v>
      </c>
      <c r="AG192" s="76">
        <f t="shared" si="3"/>
        <v>0</v>
      </c>
      <c r="AH192" s="31" t="e" cm="1">
        <f t="array" aca="1" ref="AH192" ca="1">IF((AD192) &lt; (INDEX(ResponseSLA[#All],(MATCH((G192),ResponseSLA[Priority],0))+1,3)),"YES","No")</f>
        <v>#N/A</v>
      </c>
      <c r="AI192" s="31" t="str">
        <f>_xlfn.IFNA(IF(AE192 &lt; (INDEX(SLATable[Minimum SLA],MATCH(G192,SLATable[Priority],0))),"YES","NO"),"")</f>
        <v/>
      </c>
      <c r="AJ192" t="str">
        <f>_xlfn.IFNA(IF(AE192 &lt; (INDEX(SLATable[Maximum SLA],MATCH(G192,SLATable[Priority],0))),"YES","NO"),"")</f>
        <v/>
      </c>
    </row>
    <row r="193" spans="26:36" ht="15" customHeight="1">
      <c r="Z193" s="76" t="e">
        <f t="shared" ca="1" si="16"/>
        <v>#N/A</v>
      </c>
      <c r="AA193" s="75" t="e">
        <f t="shared" ca="1" si="17"/>
        <v>#N/A</v>
      </c>
      <c r="AB193" s="76">
        <f t="shared" ca="1" si="18"/>
        <v>0</v>
      </c>
      <c r="AC193" s="75">
        <f t="shared" ca="1" si="19"/>
        <v>0</v>
      </c>
      <c r="AD193" s="76">
        <f t="shared" ca="1" si="20"/>
        <v>12388.425643634258</v>
      </c>
      <c r="AE193" s="76">
        <f>SUMIFS(AB:AB,E:E,E193)</f>
        <v>0</v>
      </c>
      <c r="AF193" s="75">
        <f t="shared" si="21"/>
        <v>0</v>
      </c>
      <c r="AG193" s="76">
        <f t="shared" si="3"/>
        <v>0</v>
      </c>
      <c r="AH193" s="31" t="e" cm="1">
        <f t="array" aca="1" ref="AH193" ca="1">IF((AD193) &lt; (INDEX(ResponseSLA[#All],(MATCH((G193),ResponseSLA[Priority],0))+1,3)),"YES","No")</f>
        <v>#N/A</v>
      </c>
      <c r="AI193" s="31" t="str">
        <f>_xlfn.IFNA(IF(AE193 &lt; (INDEX(SLATable[Minimum SLA],MATCH(G193,SLATable[Priority],0))),"YES","NO"),"")</f>
        <v/>
      </c>
      <c r="AJ193" t="str">
        <f>_xlfn.IFNA(IF(AE193 &lt; (INDEX(SLATable[Maximum SLA],MATCH(G193,SLATable[Priority],0))),"YES","NO"),"")</f>
        <v/>
      </c>
    </row>
    <row r="194" spans="26:36" ht="15" customHeight="1">
      <c r="Z194" s="76" t="e">
        <f t="shared" ca="1" si="16"/>
        <v>#N/A</v>
      </c>
      <c r="AA194" s="75" t="e">
        <f t="shared" ca="1" si="17"/>
        <v>#N/A</v>
      </c>
      <c r="AB194" s="76">
        <f t="shared" ca="1" si="18"/>
        <v>0</v>
      </c>
      <c r="AC194" s="75">
        <f t="shared" ca="1" si="19"/>
        <v>0</v>
      </c>
      <c r="AD194" s="76">
        <f t="shared" ca="1" si="20"/>
        <v>12388.425643634258</v>
      </c>
      <c r="AE194" s="76">
        <f>SUMIFS(AB:AB,E:E,E194)</f>
        <v>0</v>
      </c>
      <c r="AF194" s="75">
        <f t="shared" si="21"/>
        <v>0</v>
      </c>
      <c r="AG194" s="76">
        <f t="shared" si="3"/>
        <v>0</v>
      </c>
      <c r="AH194" s="31" t="e" cm="1">
        <f t="array" aca="1" ref="AH194" ca="1">IF((AD194) &lt; (INDEX(ResponseSLA[#All],(MATCH((G194),ResponseSLA[Priority],0))+1,3)),"YES","No")</f>
        <v>#N/A</v>
      </c>
      <c r="AI194" s="31" t="str">
        <f>_xlfn.IFNA(IF(AE194 &lt; (INDEX(SLATable[Minimum SLA],MATCH(G194,SLATable[Priority],0))),"YES","NO"),"")</f>
        <v/>
      </c>
      <c r="AJ194" t="str">
        <f>_xlfn.IFNA(IF(AE194 &lt; (INDEX(SLATable[Maximum SLA],MATCH(G194,SLATable[Priority],0))),"YES","NO"),"")</f>
        <v/>
      </c>
    </row>
    <row r="195" spans="26:36" ht="15" customHeight="1">
      <c r="Z195" s="76" t="e">
        <f t="shared" ref="Z195:Z258" ca="1" si="22">IF(NOT(OR(G195=1,G195=2)),MAX(0,_xlfn.IFS(AND(K195&lt;&gt;"",N195&lt;&gt;""),((MAX(NETWORKDAYS(K195,N195,UKBankHolidays)-1,0))*(TIME(17,0,0)-TIME(8,0,0))+IF(NETWORKDAYS(N195,N195,UKBankHolidays)&gt;0,MEDIAN(TIME(8,0,0),MOD(N195,1),TIME(17,0,0)),TIME(8,0,0))-IF(NETWORKDAYS(K195,K195,UKBankHolidays)&gt;0,MEDIAN(TIME(8,0,0),MOD(K195,1),TIME(17,0,0)),TIME(8,0,0)))-IF(AND(O195&lt;&gt;"",P195&lt;&gt;""),((MAX(NETWORKDAYS(O195,P195,UKBankHolidays)-1,0))*(TIME(17,0,0)-TIME(8,0,0))+IF(NETWORKDAYS(P195,P195,UKBankHolidays)&gt;0,MEDIAN(TIME(8,0,0),MOD(P195,1),TIME(17,0,0)),TIME(8,0,0))-IF(NETWORKDAYS(O195,O195,UKBankHolidays)&gt;0,MEDIAN(TIME(8,0,0),MOD(O195,1),TIME(17,0,0)),TIME(8,0,0))),0),AND(K195&lt;&gt;"",N195=""),((MAX(NETWORKDAYS(K195,NOW(),UKBankHolidays)-1,0))*(TIME(17,0,0)-TIME(8,0,0))+IF(NETWORKDAYS(NOW(),NOW(),UKBankHolidays)&gt;0,MEDIAN(TIME(8,0,0),MOD(NOW(),1),TIME(17,0,0)),TIME(8,0,0))-IF(NETWORKDAYS(K195,K195,UKBankHolidays)&gt;0,MEDIAN(TIME(8,0,0),MOD(K195,1),TIME(17,0,0)),TIME(8,0,0))))),IF(N195="",NOW()-K195,N195-K195))</f>
        <v>#N/A</v>
      </c>
      <c r="AA195" s="75" t="e">
        <f t="shared" ref="AA195:AA258" ca="1" si="23">(Z195*24)/9</f>
        <v>#N/A</v>
      </c>
      <c r="AB195" s="76">
        <f t="shared" ref="AB195:AB258" ca="1" si="24">IF(NOT(OR(G195=1,G195=2)),MAX(0,_xlfn.IFS(AND(K195&lt;&gt;"",N195&lt;&gt;""),(((MAX(NETWORKDAYS(L195,N195,UKBankHolidays)-1,0))*(TIME(17,0,0)-TIME(8,0,0)))+IF(NETWORKDAYS(N195,N195,UKBankHolidays)&gt;0,MEDIAN(TIME(8,0,0),MOD(N195,1),TIME(17,0,0)),TIME(8,0,0))-IF(NETWORKDAYS(L195,L195,UKBankHolidays)&gt;0,MEDIAN(TIME(8,0,0),MOD(L195,1),TIME(17,0,0)),TIME(8,0,0)))-IF(AND(O195&lt;&gt;"",P195&lt;&gt;""),(((MAX(NETWORKDAYS(O195,P195,UKBankHolidays)-1,0))*(TIME(17,0,0)-TIME(8,0,0)))+IF(NETWORKDAYS(P195,P195,UKBankHolidays)&gt;0,MEDIAN(TIME(8,0,0),MOD(P195,1),TIME(17,0,0)),TIME(8,0,0))-IF(NETWORKDAYS(O195,O195,UKBankHolidays)&gt;0,MEDIAN(TIME(8,0,0),MOD(O195,1),TIME(17,0,0)),TIME(8,0,0))),0),AND(L195&lt;&gt;"",N195="",O195=""),(((MAX(NETWORKDAYS(L195,NOW(),UKBankHolidays)-1,0))*(TIME(17,0,0)-TIME(8,0,0)))+IF(NETWORKDAYS(NOW(),NOW(),UKBankHolidays)&gt;0,MEDIAN(TIME(8,0,0),MOD(NOW(),1),TIME(17,0,0)),TIME(8,0,0))-IF(NETWORKDAYS(L195,L195,UKBankHolidays)&gt;0,MEDIAN(TIME(8,0,0),MOD(L195,1),TIME(17,0,0)),TIME(8,0,0)))-IF(AND(O195&lt;&gt;"",P195&lt;&gt;""),(((MAX(NETWORKDAYS(O195,P195,UKBankHolidays)-1,0))*(TIME(17,0,0)-TIME(8,0,0)))+IF(NETWORKDAYS(P195,P195,UKBankHolidays)&gt;0,MEDIAN(TIME(8,0,0),MOD(P195,1),TIME(17,0,0)),TIME(8,0,0))-IF(NETWORKDAYS(O195,O195,UKBankHolidays)&gt;0,MEDIAN(TIME(8,0,0),MOD(O195,1),TIME(17,0,0)),TIME(8,0,0))),0),AND(L195&lt;&gt;"",N195="",P195="",O195&lt;&gt;""),(((MAX(NETWORKDAYS(L195,O195,UKBankHolidays)-1,0))*(TIME(17,0,0)-TIME(8,0,0)))+IF(NETWORKDAYS(O195,O195,UKBankHolidays)&gt;0,MEDIAN(TIME(8,0,0),MOD(O195,1),TIME(17,0,0)),TIME(8,0,0))-IF(NETWORKDAYS(L195,L195,UKBankHolidays)&gt;0,MEDIAN(TIME(8,0,0),MOD(L195,1),TIME(17,0,0)),TIME(8,0,0))),ISBLANK(K195),"0")),IF(ISBLANK(N195),NOW()-L195,N195-L195))</f>
        <v>0</v>
      </c>
      <c r="AC195" s="75">
        <f t="shared" ref="AC195:AC258" ca="1" si="25">(AB195*24)/9</f>
        <v>0</v>
      </c>
      <c r="AD195" s="76">
        <f t="shared" ref="AD195:AD258" ca="1" si="26">MAX(0,IF(NOT(OR(G195=1,G195=2)),IF(M195&lt;&gt;"",((MAX(NETWORKDAYS(L195,M195,UKBankHolidays)-1,0))*(TIME(17,0,0)-TIME(8,0,0))+IF(NETWORKDAYS(M195,M195,UKBankHolidays)&gt;0,MEDIAN(TIME(8,0,0),MOD(M195,1),TIME(17,0,0)),TIME(8,0,0))-MEDIAN(TIME(8,0,0),MOD(L195,1),TIME(17,0,0))),((MAX(NETWORKDAYS(L195,NOW(),UKBankHolidays)-1,0))*(TIME(17,0,0)-TIME(8,0,0))+IF(NETWORKDAYS(NOW(),NOW(),UKBankHolidays)&gt;0,MEDIAN(TIME(8,0,0),MOD(NOW(),1),TIME(17,0,0)),TIME(8,0,0))-MEDIAN(TIME(8,0,0),MOD(L195,1),TIME(17,0,0)))),IF(M195&lt;&gt;"",M195-L195,NOW()-L195)))</f>
        <v>12388.425643634258</v>
      </c>
      <c r="AE195" s="76">
        <f>SUMIFS(AB:AB,E:E,E195)</f>
        <v>0</v>
      </c>
      <c r="AF195" s="75">
        <f t="shared" ref="AF195:AF258" si="27">(AE195*24)/9</f>
        <v>0</v>
      </c>
      <c r="AG195" s="76">
        <f t="shared" si="3"/>
        <v>0</v>
      </c>
      <c r="AH195" s="31" t="e" cm="1">
        <f t="array" aca="1" ref="AH195" ca="1">IF((AD195) &lt; (INDEX(ResponseSLA[#All],(MATCH((G195),ResponseSLA[Priority],0))+1,3)),"YES","No")</f>
        <v>#N/A</v>
      </c>
      <c r="AI195" s="31" t="str">
        <f>_xlfn.IFNA(IF(AE195 &lt; (INDEX(SLATable[Minimum SLA],MATCH(G195,SLATable[Priority],0))),"YES","NO"),"")</f>
        <v/>
      </c>
      <c r="AJ195" t="str">
        <f>_xlfn.IFNA(IF(AE195 &lt; (INDEX(SLATable[Maximum SLA],MATCH(G195,SLATable[Priority],0))),"YES","NO"),"")</f>
        <v/>
      </c>
    </row>
    <row r="196" spans="26:36" ht="15" customHeight="1">
      <c r="Z196" s="76" t="e">
        <f t="shared" ca="1" si="22"/>
        <v>#N/A</v>
      </c>
      <c r="AA196" s="75" t="e">
        <f t="shared" ca="1" si="23"/>
        <v>#N/A</v>
      </c>
      <c r="AB196" s="76">
        <f t="shared" ca="1" si="24"/>
        <v>0</v>
      </c>
      <c r="AC196" s="75">
        <f t="shared" ca="1" si="25"/>
        <v>0</v>
      </c>
      <c r="AD196" s="76">
        <f t="shared" ca="1" si="26"/>
        <v>12388.425643634258</v>
      </c>
      <c r="AE196" s="76">
        <f>SUMIFS(AB:AB,E:E,E196)</f>
        <v>0</v>
      </c>
      <c r="AF196" s="75">
        <f t="shared" si="27"/>
        <v>0</v>
      </c>
      <c r="AG196" s="76">
        <f t="shared" si="3"/>
        <v>0</v>
      </c>
      <c r="AH196" s="31" t="e" cm="1">
        <f t="array" aca="1" ref="AH196" ca="1">IF((AD196) &lt; (INDEX(ResponseSLA[#All],(MATCH((G196),ResponseSLA[Priority],0))+1,3)),"YES","No")</f>
        <v>#N/A</v>
      </c>
      <c r="AI196" s="31" t="str">
        <f>_xlfn.IFNA(IF(AE196 &lt; (INDEX(SLATable[Minimum SLA],MATCH(G196,SLATable[Priority],0))),"YES","NO"),"")</f>
        <v/>
      </c>
      <c r="AJ196" t="str">
        <f>_xlfn.IFNA(IF(AE196 &lt; (INDEX(SLATable[Maximum SLA],MATCH(G196,SLATable[Priority],0))),"YES","NO"),"")</f>
        <v/>
      </c>
    </row>
    <row r="197" spans="26:36" ht="15" customHeight="1">
      <c r="Z197" s="76" t="e">
        <f t="shared" ca="1" si="22"/>
        <v>#N/A</v>
      </c>
      <c r="AA197" s="75" t="e">
        <f t="shared" ca="1" si="23"/>
        <v>#N/A</v>
      </c>
      <c r="AB197" s="76">
        <f t="shared" ca="1" si="24"/>
        <v>0</v>
      </c>
      <c r="AC197" s="75">
        <f t="shared" ca="1" si="25"/>
        <v>0</v>
      </c>
      <c r="AD197" s="76">
        <f t="shared" ca="1" si="26"/>
        <v>12388.425643634258</v>
      </c>
      <c r="AE197" s="76">
        <f>SUMIFS(AB:AB,E:E,E197)</f>
        <v>0</v>
      </c>
      <c r="AF197" s="75">
        <f t="shared" si="27"/>
        <v>0</v>
      </c>
      <c r="AG197" s="76">
        <f t="shared" si="3"/>
        <v>0</v>
      </c>
      <c r="AH197" s="31" t="e" cm="1">
        <f t="array" aca="1" ref="AH197" ca="1">IF((AD197) &lt; (INDEX(ResponseSLA[#All],(MATCH((G197),ResponseSLA[Priority],0))+1,3)),"YES","No")</f>
        <v>#N/A</v>
      </c>
      <c r="AI197" s="31" t="str">
        <f>_xlfn.IFNA(IF(AE197 &lt; (INDEX(SLATable[Minimum SLA],MATCH(G197,SLATable[Priority],0))),"YES","NO"),"")</f>
        <v/>
      </c>
      <c r="AJ197" t="str">
        <f>_xlfn.IFNA(IF(AE197 &lt; (INDEX(SLATable[Maximum SLA],MATCH(G197,SLATable[Priority],0))),"YES","NO"),"")</f>
        <v/>
      </c>
    </row>
    <row r="198" spans="26:36" ht="15" customHeight="1">
      <c r="Z198" s="76" t="e">
        <f t="shared" ca="1" si="22"/>
        <v>#N/A</v>
      </c>
      <c r="AA198" s="75" t="e">
        <f t="shared" ca="1" si="23"/>
        <v>#N/A</v>
      </c>
      <c r="AB198" s="76">
        <f t="shared" ca="1" si="24"/>
        <v>0</v>
      </c>
      <c r="AC198" s="75">
        <f t="shared" ca="1" si="25"/>
        <v>0</v>
      </c>
      <c r="AD198" s="76">
        <f t="shared" ca="1" si="26"/>
        <v>12388.425643634258</v>
      </c>
      <c r="AE198" s="76">
        <f>SUMIFS(AB:AB,E:E,E198)</f>
        <v>0</v>
      </c>
      <c r="AF198" s="75">
        <f t="shared" si="27"/>
        <v>0</v>
      </c>
      <c r="AG198" s="76">
        <f t="shared" si="3"/>
        <v>0</v>
      </c>
      <c r="AH198" s="31" t="e" cm="1">
        <f t="array" aca="1" ref="AH198" ca="1">IF((AD198) &lt; (INDEX(ResponseSLA[#All],(MATCH((G198),ResponseSLA[Priority],0))+1,3)),"YES","No")</f>
        <v>#N/A</v>
      </c>
      <c r="AI198" s="31" t="str">
        <f>_xlfn.IFNA(IF(AE198 &lt; (INDEX(SLATable[Minimum SLA],MATCH(G198,SLATable[Priority],0))),"YES","NO"),"")</f>
        <v/>
      </c>
      <c r="AJ198" t="str">
        <f>_xlfn.IFNA(IF(AE198 &lt; (INDEX(SLATable[Maximum SLA],MATCH(G198,SLATable[Priority],0))),"YES","NO"),"")</f>
        <v/>
      </c>
    </row>
    <row r="199" spans="26:36" ht="15" customHeight="1">
      <c r="Z199" s="76" t="e">
        <f t="shared" ca="1" si="22"/>
        <v>#N/A</v>
      </c>
      <c r="AA199" s="75" t="e">
        <f t="shared" ca="1" si="23"/>
        <v>#N/A</v>
      </c>
      <c r="AB199" s="76">
        <f t="shared" ca="1" si="24"/>
        <v>0</v>
      </c>
      <c r="AC199" s="75">
        <f t="shared" ca="1" si="25"/>
        <v>0</v>
      </c>
      <c r="AD199" s="76">
        <f t="shared" ca="1" si="26"/>
        <v>12388.425643634258</v>
      </c>
      <c r="AE199" s="76">
        <f>SUMIFS(AB:AB,E:E,E199)</f>
        <v>0</v>
      </c>
      <c r="AF199" s="75">
        <f t="shared" si="27"/>
        <v>0</v>
      </c>
      <c r="AG199" s="76">
        <f t="shared" si="3"/>
        <v>0</v>
      </c>
      <c r="AH199" s="31" t="e" cm="1">
        <f t="array" aca="1" ref="AH199" ca="1">IF((AD199) &lt; (INDEX(ResponseSLA[#All],(MATCH((G199),ResponseSLA[Priority],0))+1,3)),"YES","No")</f>
        <v>#N/A</v>
      </c>
      <c r="AI199" s="31" t="str">
        <f>_xlfn.IFNA(IF(AE199 &lt; (INDEX(SLATable[Minimum SLA],MATCH(G199,SLATable[Priority],0))),"YES","NO"),"")</f>
        <v/>
      </c>
      <c r="AJ199" t="str">
        <f>_xlfn.IFNA(IF(AE199 &lt; (INDEX(SLATable[Maximum SLA],MATCH(G199,SLATable[Priority],0))),"YES","NO"),"")</f>
        <v/>
      </c>
    </row>
    <row r="200" spans="26:36" ht="15" customHeight="1">
      <c r="Z200" s="76" t="e">
        <f t="shared" ca="1" si="22"/>
        <v>#N/A</v>
      </c>
      <c r="AA200" s="75" t="e">
        <f t="shared" ca="1" si="23"/>
        <v>#N/A</v>
      </c>
      <c r="AB200" s="76">
        <f t="shared" ca="1" si="24"/>
        <v>0</v>
      </c>
      <c r="AC200" s="75">
        <f t="shared" ca="1" si="25"/>
        <v>0</v>
      </c>
      <c r="AD200" s="76">
        <f t="shared" ca="1" si="26"/>
        <v>12388.425643634258</v>
      </c>
      <c r="AE200" s="76">
        <f>SUMIFS(AB:AB,E:E,E200)</f>
        <v>0</v>
      </c>
      <c r="AF200" s="75">
        <f t="shared" si="27"/>
        <v>0</v>
      </c>
      <c r="AG200" s="76">
        <f t="shared" si="3"/>
        <v>0</v>
      </c>
      <c r="AH200" s="31" t="e" cm="1">
        <f t="array" aca="1" ref="AH200" ca="1">IF((AD200) &lt; (INDEX(ResponseSLA[#All],(MATCH((G200),ResponseSLA[Priority],0))+1,3)),"YES","No")</f>
        <v>#N/A</v>
      </c>
      <c r="AI200" s="31" t="str">
        <f>_xlfn.IFNA(IF(AE200 &lt; (INDEX(SLATable[Minimum SLA],MATCH(G200,SLATable[Priority],0))),"YES","NO"),"")</f>
        <v/>
      </c>
      <c r="AJ200" t="str">
        <f>_xlfn.IFNA(IF(AE200 &lt; (INDEX(SLATable[Maximum SLA],MATCH(G200,SLATable[Priority],0))),"YES","NO"),"")</f>
        <v/>
      </c>
    </row>
    <row r="201" spans="26:36" ht="15" customHeight="1">
      <c r="Z201" s="76" t="e">
        <f t="shared" ca="1" si="22"/>
        <v>#N/A</v>
      </c>
      <c r="AA201" s="75" t="e">
        <f t="shared" ca="1" si="23"/>
        <v>#N/A</v>
      </c>
      <c r="AB201" s="76">
        <f t="shared" ca="1" si="24"/>
        <v>0</v>
      </c>
      <c r="AC201" s="75">
        <f t="shared" ca="1" si="25"/>
        <v>0</v>
      </c>
      <c r="AD201" s="76">
        <f t="shared" ca="1" si="26"/>
        <v>12388.425643634258</v>
      </c>
      <c r="AE201" s="76">
        <f>SUMIFS(AB:AB,E:E,E201)</f>
        <v>0</v>
      </c>
      <c r="AF201" s="75">
        <f t="shared" si="27"/>
        <v>0</v>
      </c>
      <c r="AG201" s="76">
        <f t="shared" si="3"/>
        <v>0</v>
      </c>
      <c r="AH201" s="31" t="e" cm="1">
        <f t="array" aca="1" ref="AH201" ca="1">IF((AD201) &lt; (INDEX(ResponseSLA[#All],(MATCH((G201),ResponseSLA[Priority],0))+1,3)),"YES","No")</f>
        <v>#N/A</v>
      </c>
      <c r="AI201" s="31" t="str">
        <f>_xlfn.IFNA(IF(AE201 &lt; (INDEX(SLATable[Minimum SLA],MATCH(G201,SLATable[Priority],0))),"YES","NO"),"")</f>
        <v/>
      </c>
      <c r="AJ201" t="str">
        <f>_xlfn.IFNA(IF(AE201 &lt; (INDEX(SLATable[Maximum SLA],MATCH(G201,SLATable[Priority],0))),"YES","NO"),"")</f>
        <v/>
      </c>
    </row>
    <row r="202" spans="26:36" ht="15" customHeight="1">
      <c r="Z202" s="76" t="e">
        <f t="shared" ca="1" si="22"/>
        <v>#N/A</v>
      </c>
      <c r="AA202" s="75" t="e">
        <f t="shared" ca="1" si="23"/>
        <v>#N/A</v>
      </c>
      <c r="AB202" s="76">
        <f t="shared" ca="1" si="24"/>
        <v>0</v>
      </c>
      <c r="AC202" s="75">
        <f t="shared" ca="1" si="25"/>
        <v>0</v>
      </c>
      <c r="AD202" s="76">
        <f t="shared" ca="1" si="26"/>
        <v>12388.425643634258</v>
      </c>
      <c r="AE202" s="76">
        <f>SUMIFS(AB:AB,E:E,E202)</f>
        <v>0</v>
      </c>
      <c r="AF202" s="75">
        <f t="shared" si="27"/>
        <v>0</v>
      </c>
      <c r="AG202" s="76">
        <f t="shared" si="3"/>
        <v>0</v>
      </c>
      <c r="AH202" s="31" t="e" cm="1">
        <f t="array" aca="1" ref="AH202" ca="1">IF((AD202) &lt; (INDEX(ResponseSLA[#All],(MATCH((G202),ResponseSLA[Priority],0))+1,3)),"YES","No")</f>
        <v>#N/A</v>
      </c>
      <c r="AI202" s="31" t="str">
        <f>_xlfn.IFNA(IF(AE202 &lt; (INDEX(SLATable[Minimum SLA],MATCH(G202,SLATable[Priority],0))),"YES","NO"),"")</f>
        <v/>
      </c>
      <c r="AJ202" t="str">
        <f>_xlfn.IFNA(IF(AE202 &lt; (INDEX(SLATable[Maximum SLA],MATCH(G202,SLATable[Priority],0))),"YES","NO"),"")</f>
        <v/>
      </c>
    </row>
    <row r="203" spans="26:36" ht="15" customHeight="1">
      <c r="Z203" s="76" t="e">
        <f t="shared" ca="1" si="22"/>
        <v>#N/A</v>
      </c>
      <c r="AA203" s="75" t="e">
        <f t="shared" ca="1" si="23"/>
        <v>#N/A</v>
      </c>
      <c r="AB203" s="76">
        <f t="shared" ca="1" si="24"/>
        <v>0</v>
      </c>
      <c r="AC203" s="75">
        <f t="shared" ca="1" si="25"/>
        <v>0</v>
      </c>
      <c r="AD203" s="76">
        <f t="shared" ca="1" si="26"/>
        <v>12388.425643634258</v>
      </c>
      <c r="AE203" s="76">
        <f>SUMIFS(AB:AB,E:E,E203)</f>
        <v>0</v>
      </c>
      <c r="AF203" s="75">
        <f t="shared" si="27"/>
        <v>0</v>
      </c>
      <c r="AG203" s="76">
        <f t="shared" si="3"/>
        <v>0</v>
      </c>
      <c r="AH203" s="31" t="e" cm="1">
        <f t="array" aca="1" ref="AH203" ca="1">IF((AD203) &lt; (INDEX(ResponseSLA[#All],(MATCH((G203),ResponseSLA[Priority],0))+1,3)),"YES","No")</f>
        <v>#N/A</v>
      </c>
      <c r="AI203" s="31" t="str">
        <f>_xlfn.IFNA(IF(AE203 &lt; (INDEX(SLATable[Minimum SLA],MATCH(G203,SLATable[Priority],0))),"YES","NO"),"")</f>
        <v/>
      </c>
      <c r="AJ203" t="str">
        <f>_xlfn.IFNA(IF(AE203 &lt; (INDEX(SLATable[Maximum SLA],MATCH(G203,SLATable[Priority],0))),"YES","NO"),"")</f>
        <v/>
      </c>
    </row>
    <row r="204" spans="26:36" ht="15" customHeight="1">
      <c r="Z204" s="76" t="e">
        <f t="shared" ca="1" si="22"/>
        <v>#N/A</v>
      </c>
      <c r="AA204" s="75" t="e">
        <f t="shared" ca="1" si="23"/>
        <v>#N/A</v>
      </c>
      <c r="AB204" s="76">
        <f t="shared" ca="1" si="24"/>
        <v>0</v>
      </c>
      <c r="AC204" s="75">
        <f t="shared" ca="1" si="25"/>
        <v>0</v>
      </c>
      <c r="AD204" s="76">
        <f t="shared" ca="1" si="26"/>
        <v>12388.425643634258</v>
      </c>
      <c r="AE204" s="76">
        <f>SUMIFS(AB:AB,E:E,E204)</f>
        <v>0</v>
      </c>
      <c r="AF204" s="75">
        <f t="shared" si="27"/>
        <v>0</v>
      </c>
      <c r="AG204" s="76">
        <f t="shared" si="3"/>
        <v>0</v>
      </c>
      <c r="AH204" s="31" t="e" cm="1">
        <f t="array" aca="1" ref="AH204" ca="1">IF((AD204) &lt; (INDEX(ResponseSLA[#All],(MATCH((G204),ResponseSLA[Priority],0))+1,3)),"YES","No")</f>
        <v>#N/A</v>
      </c>
      <c r="AI204" s="31" t="str">
        <f>_xlfn.IFNA(IF(AE204 &lt; (INDEX(SLATable[Minimum SLA],MATCH(G204,SLATable[Priority],0))),"YES","NO"),"")</f>
        <v/>
      </c>
      <c r="AJ204" t="str">
        <f>_xlfn.IFNA(IF(AE204 &lt; (INDEX(SLATable[Maximum SLA],MATCH(G204,SLATable[Priority],0))),"YES","NO"),"")</f>
        <v/>
      </c>
    </row>
    <row r="205" spans="26:36" ht="15" customHeight="1">
      <c r="Z205" s="76" t="e">
        <f t="shared" ca="1" si="22"/>
        <v>#N/A</v>
      </c>
      <c r="AA205" s="75" t="e">
        <f t="shared" ca="1" si="23"/>
        <v>#N/A</v>
      </c>
      <c r="AB205" s="76">
        <f t="shared" ca="1" si="24"/>
        <v>0</v>
      </c>
      <c r="AC205" s="75">
        <f t="shared" ca="1" si="25"/>
        <v>0</v>
      </c>
      <c r="AD205" s="76">
        <f t="shared" ca="1" si="26"/>
        <v>12388.425643634258</v>
      </c>
      <c r="AE205" s="76">
        <f>SUMIFS(AB:AB,E:E,E205)</f>
        <v>0</v>
      </c>
      <c r="AF205" s="75">
        <f t="shared" si="27"/>
        <v>0</v>
      </c>
      <c r="AG205" s="76">
        <f t="shared" si="3"/>
        <v>0</v>
      </c>
      <c r="AH205" s="31" t="e" cm="1">
        <f t="array" aca="1" ref="AH205" ca="1">IF((AD205) &lt; (INDEX(ResponseSLA[#All],(MATCH((G205),ResponseSLA[Priority],0))+1,3)),"YES","No")</f>
        <v>#N/A</v>
      </c>
      <c r="AI205" s="31" t="str">
        <f>_xlfn.IFNA(IF(AE205 &lt; (INDEX(SLATable[Minimum SLA],MATCH(G205,SLATable[Priority],0))),"YES","NO"),"")</f>
        <v/>
      </c>
      <c r="AJ205" t="str">
        <f>_xlfn.IFNA(IF(AE205 &lt; (INDEX(SLATable[Maximum SLA],MATCH(G205,SLATable[Priority],0))),"YES","NO"),"")</f>
        <v/>
      </c>
    </row>
    <row r="206" spans="26:36" ht="15" customHeight="1">
      <c r="Z206" s="76" t="e">
        <f t="shared" ca="1" si="22"/>
        <v>#N/A</v>
      </c>
      <c r="AA206" s="75" t="e">
        <f t="shared" ca="1" si="23"/>
        <v>#N/A</v>
      </c>
      <c r="AB206" s="76">
        <f t="shared" ca="1" si="24"/>
        <v>0</v>
      </c>
      <c r="AC206" s="75">
        <f t="shared" ca="1" si="25"/>
        <v>0</v>
      </c>
      <c r="AD206" s="76">
        <f t="shared" ca="1" si="26"/>
        <v>12388.425643634258</v>
      </c>
      <c r="AE206" s="76">
        <f>SUMIFS(AB:AB,E:E,E206)</f>
        <v>0</v>
      </c>
      <c r="AF206" s="75">
        <f t="shared" si="27"/>
        <v>0</v>
      </c>
      <c r="AG206" s="76">
        <f t="shared" si="3"/>
        <v>0</v>
      </c>
      <c r="AH206" s="31" t="e" cm="1">
        <f t="array" aca="1" ref="AH206" ca="1">IF((AD206) &lt; (INDEX(ResponseSLA[#All],(MATCH((G206),ResponseSLA[Priority],0))+1,3)),"YES","No")</f>
        <v>#N/A</v>
      </c>
      <c r="AI206" s="31" t="str">
        <f>_xlfn.IFNA(IF(AE206 &lt; (INDEX(SLATable[Minimum SLA],MATCH(G206,SLATable[Priority],0))),"YES","NO"),"")</f>
        <v/>
      </c>
      <c r="AJ206" t="str">
        <f>_xlfn.IFNA(IF(AE206 &lt; (INDEX(SLATable[Maximum SLA],MATCH(G206,SLATable[Priority],0))),"YES","NO"),"")</f>
        <v/>
      </c>
    </row>
    <row r="207" spans="26:36" ht="15" customHeight="1">
      <c r="Z207" s="76" t="e">
        <f t="shared" ca="1" si="22"/>
        <v>#N/A</v>
      </c>
      <c r="AA207" s="75" t="e">
        <f t="shared" ca="1" si="23"/>
        <v>#N/A</v>
      </c>
      <c r="AB207" s="76">
        <f t="shared" ca="1" si="24"/>
        <v>0</v>
      </c>
      <c r="AC207" s="75">
        <f t="shared" ca="1" si="25"/>
        <v>0</v>
      </c>
      <c r="AD207" s="76">
        <f t="shared" ca="1" si="26"/>
        <v>12388.425643634258</v>
      </c>
      <c r="AE207" s="76">
        <f>SUMIFS(AB:AB,E:E,E207)</f>
        <v>0</v>
      </c>
      <c r="AF207" s="75">
        <f t="shared" si="27"/>
        <v>0</v>
      </c>
      <c r="AG207" s="76">
        <f t="shared" si="3"/>
        <v>0</v>
      </c>
      <c r="AH207" s="31" t="e" cm="1">
        <f t="array" aca="1" ref="AH207" ca="1">IF((AD207) &lt; (INDEX(ResponseSLA[#All],(MATCH((G207),ResponseSLA[Priority],0))+1,3)),"YES","No")</f>
        <v>#N/A</v>
      </c>
      <c r="AI207" s="31" t="str">
        <f>_xlfn.IFNA(IF(AE207 &lt; (INDEX(SLATable[Minimum SLA],MATCH(G207,SLATable[Priority],0))),"YES","NO"),"")</f>
        <v/>
      </c>
      <c r="AJ207" t="str">
        <f>_xlfn.IFNA(IF(AE207 &lt; (INDEX(SLATable[Maximum SLA],MATCH(G207,SLATable[Priority],0))),"YES","NO"),"")</f>
        <v/>
      </c>
    </row>
    <row r="208" spans="26:36" ht="15" customHeight="1">
      <c r="Z208" s="76" t="e">
        <f t="shared" ca="1" si="22"/>
        <v>#N/A</v>
      </c>
      <c r="AA208" s="75" t="e">
        <f t="shared" ca="1" si="23"/>
        <v>#N/A</v>
      </c>
      <c r="AB208" s="76">
        <f t="shared" ca="1" si="24"/>
        <v>0</v>
      </c>
      <c r="AC208" s="75">
        <f t="shared" ca="1" si="25"/>
        <v>0</v>
      </c>
      <c r="AD208" s="76">
        <f t="shared" ca="1" si="26"/>
        <v>12388.425643634258</v>
      </c>
      <c r="AE208" s="76">
        <f>SUMIFS(AB:AB,E:E,E208)</f>
        <v>0</v>
      </c>
      <c r="AF208" s="75">
        <f t="shared" si="27"/>
        <v>0</v>
      </c>
      <c r="AG208" s="76">
        <f t="shared" si="3"/>
        <v>0</v>
      </c>
      <c r="AH208" s="31" t="e" cm="1">
        <f t="array" aca="1" ref="AH208" ca="1">IF((AD208) &lt; (INDEX(ResponseSLA[#All],(MATCH((G208),ResponseSLA[Priority],0))+1,3)),"YES","No")</f>
        <v>#N/A</v>
      </c>
      <c r="AI208" s="31" t="str">
        <f>_xlfn.IFNA(IF(AE208 &lt; (INDEX(SLATable[Minimum SLA],MATCH(G208,SLATable[Priority],0))),"YES","NO"),"")</f>
        <v/>
      </c>
      <c r="AJ208" t="str">
        <f>_xlfn.IFNA(IF(AE208 &lt; (INDEX(SLATable[Maximum SLA],MATCH(G208,SLATable[Priority],0))),"YES","NO"),"")</f>
        <v/>
      </c>
    </row>
    <row r="209" spans="26:36" ht="15" customHeight="1">
      <c r="Z209" s="76" t="e">
        <f t="shared" ca="1" si="22"/>
        <v>#N/A</v>
      </c>
      <c r="AA209" s="75" t="e">
        <f t="shared" ca="1" si="23"/>
        <v>#N/A</v>
      </c>
      <c r="AB209" s="76">
        <f t="shared" ca="1" si="24"/>
        <v>0</v>
      </c>
      <c r="AC209" s="75">
        <f t="shared" ca="1" si="25"/>
        <v>0</v>
      </c>
      <c r="AD209" s="76">
        <f t="shared" ca="1" si="26"/>
        <v>12388.425643634258</v>
      </c>
      <c r="AE209" s="76">
        <f>SUMIFS(AB:AB,E:E,E209)</f>
        <v>0</v>
      </c>
      <c r="AF209" s="75">
        <f t="shared" si="27"/>
        <v>0</v>
      </c>
      <c r="AG209" s="76">
        <f t="shared" si="3"/>
        <v>0</v>
      </c>
      <c r="AH209" s="31" t="e" cm="1">
        <f t="array" aca="1" ref="AH209" ca="1">IF((AD209) &lt; (INDEX(ResponseSLA[#All],(MATCH((G209),ResponseSLA[Priority],0))+1,3)),"YES","No")</f>
        <v>#N/A</v>
      </c>
      <c r="AI209" s="31" t="str">
        <f>_xlfn.IFNA(IF(AE209 &lt; (INDEX(SLATable[Minimum SLA],MATCH(G209,SLATable[Priority],0))),"YES","NO"),"")</f>
        <v/>
      </c>
      <c r="AJ209" t="str">
        <f>_xlfn.IFNA(IF(AE209 &lt; (INDEX(SLATable[Maximum SLA],MATCH(G209,SLATable[Priority],0))),"YES","NO"),"")</f>
        <v/>
      </c>
    </row>
    <row r="210" spans="26:36" ht="15" customHeight="1">
      <c r="Z210" s="76" t="e">
        <f t="shared" ca="1" si="22"/>
        <v>#N/A</v>
      </c>
      <c r="AA210" s="75" t="e">
        <f t="shared" ca="1" si="23"/>
        <v>#N/A</v>
      </c>
      <c r="AB210" s="76">
        <f t="shared" ca="1" si="24"/>
        <v>0</v>
      </c>
      <c r="AC210" s="75">
        <f t="shared" ca="1" si="25"/>
        <v>0</v>
      </c>
      <c r="AD210" s="76">
        <f t="shared" ca="1" si="26"/>
        <v>12388.425643634258</v>
      </c>
      <c r="AE210" s="76">
        <f>SUMIFS(AB:AB,E:E,E210)</f>
        <v>0</v>
      </c>
      <c r="AF210" s="75">
        <f t="shared" si="27"/>
        <v>0</v>
      </c>
      <c r="AG210" s="76">
        <f t="shared" si="3"/>
        <v>0</v>
      </c>
      <c r="AH210" s="31" t="e" cm="1">
        <f t="array" aca="1" ref="AH210" ca="1">IF((AD210) &lt; (INDEX(ResponseSLA[#All],(MATCH((G210),ResponseSLA[Priority],0))+1,3)),"YES","No")</f>
        <v>#N/A</v>
      </c>
      <c r="AI210" s="31" t="str">
        <f>_xlfn.IFNA(IF(AE210 &lt; (INDEX(SLATable[Minimum SLA],MATCH(G210,SLATable[Priority],0))),"YES","NO"),"")</f>
        <v/>
      </c>
      <c r="AJ210" t="str">
        <f>_xlfn.IFNA(IF(AE210 &lt; (INDEX(SLATable[Maximum SLA],MATCH(G210,SLATable[Priority],0))),"YES","NO"),"")</f>
        <v/>
      </c>
    </row>
    <row r="211" spans="26:36" ht="15" customHeight="1">
      <c r="Z211" s="76" t="e">
        <f t="shared" ca="1" si="22"/>
        <v>#N/A</v>
      </c>
      <c r="AA211" s="75" t="e">
        <f t="shared" ca="1" si="23"/>
        <v>#N/A</v>
      </c>
      <c r="AB211" s="76">
        <f t="shared" ca="1" si="24"/>
        <v>0</v>
      </c>
      <c r="AC211" s="75">
        <f t="shared" ca="1" si="25"/>
        <v>0</v>
      </c>
      <c r="AD211" s="76">
        <f t="shared" ca="1" si="26"/>
        <v>12388.425643634258</v>
      </c>
      <c r="AE211" s="76">
        <f>SUMIFS(AB:AB,E:E,E211)</f>
        <v>0</v>
      </c>
      <c r="AF211" s="75">
        <f t="shared" si="27"/>
        <v>0</v>
      </c>
      <c r="AG211" s="76">
        <f t="shared" si="3"/>
        <v>0</v>
      </c>
      <c r="AH211" s="31" t="e" cm="1">
        <f t="array" aca="1" ref="AH211" ca="1">IF((AD211) &lt; (INDEX(ResponseSLA[#All],(MATCH((G211),ResponseSLA[Priority],0))+1,3)),"YES","No")</f>
        <v>#N/A</v>
      </c>
      <c r="AI211" s="31" t="str">
        <f>_xlfn.IFNA(IF(AE211 &lt; (INDEX(SLATable[Minimum SLA],MATCH(G211,SLATable[Priority],0))),"YES","NO"),"")</f>
        <v/>
      </c>
      <c r="AJ211" t="str">
        <f>_xlfn.IFNA(IF(AE211 &lt; (INDEX(SLATable[Maximum SLA],MATCH(G211,SLATable[Priority],0))),"YES","NO"),"")</f>
        <v/>
      </c>
    </row>
    <row r="212" spans="26:36" ht="15" customHeight="1">
      <c r="Z212" s="76" t="e">
        <f t="shared" ca="1" si="22"/>
        <v>#N/A</v>
      </c>
      <c r="AA212" s="75" t="e">
        <f t="shared" ca="1" si="23"/>
        <v>#N/A</v>
      </c>
      <c r="AB212" s="76">
        <f t="shared" ca="1" si="24"/>
        <v>0</v>
      </c>
      <c r="AC212" s="75">
        <f t="shared" ca="1" si="25"/>
        <v>0</v>
      </c>
      <c r="AD212" s="76">
        <f t="shared" ca="1" si="26"/>
        <v>12388.425643634258</v>
      </c>
      <c r="AE212" s="76">
        <f>SUMIFS(AB:AB,E:E,E212)</f>
        <v>0</v>
      </c>
      <c r="AF212" s="75">
        <f t="shared" si="27"/>
        <v>0</v>
      </c>
      <c r="AG212" s="76">
        <f t="shared" si="3"/>
        <v>0</v>
      </c>
      <c r="AH212" s="31" t="e" cm="1">
        <f t="array" aca="1" ref="AH212" ca="1">IF((AD212) &lt; (INDEX(ResponseSLA[#All],(MATCH((G212),ResponseSLA[Priority],0))+1,3)),"YES","No")</f>
        <v>#N/A</v>
      </c>
      <c r="AI212" s="31" t="str">
        <f>_xlfn.IFNA(IF(AE212 &lt; (INDEX(SLATable[Minimum SLA],MATCH(G212,SLATable[Priority],0))),"YES","NO"),"")</f>
        <v/>
      </c>
      <c r="AJ212" t="str">
        <f>_xlfn.IFNA(IF(AE212 &lt; (INDEX(SLATable[Maximum SLA],MATCH(G212,SLATable[Priority],0))),"YES","NO"),"")</f>
        <v/>
      </c>
    </row>
    <row r="213" spans="26:36" ht="15" customHeight="1">
      <c r="Z213" s="76" t="e">
        <f t="shared" ca="1" si="22"/>
        <v>#N/A</v>
      </c>
      <c r="AA213" s="75" t="e">
        <f t="shared" ca="1" si="23"/>
        <v>#N/A</v>
      </c>
      <c r="AB213" s="76">
        <f t="shared" ca="1" si="24"/>
        <v>0</v>
      </c>
      <c r="AC213" s="75">
        <f t="shared" ca="1" si="25"/>
        <v>0</v>
      </c>
      <c r="AD213" s="76">
        <f t="shared" ca="1" si="26"/>
        <v>12388.425643634258</v>
      </c>
      <c r="AE213" s="76">
        <f>SUMIFS(AB:AB,E:E,E213)</f>
        <v>0</v>
      </c>
      <c r="AF213" s="75">
        <f t="shared" si="27"/>
        <v>0</v>
      </c>
      <c r="AG213" s="76">
        <f t="shared" si="3"/>
        <v>0</v>
      </c>
      <c r="AH213" s="31" t="e" cm="1">
        <f t="array" aca="1" ref="AH213" ca="1">IF((AD213) &lt; (INDEX(ResponseSLA[#All],(MATCH((G213),ResponseSLA[Priority],0))+1,3)),"YES","No")</f>
        <v>#N/A</v>
      </c>
      <c r="AI213" s="31" t="str">
        <f>_xlfn.IFNA(IF(AE213 &lt; (INDEX(SLATable[Minimum SLA],MATCH(G213,SLATable[Priority],0))),"YES","NO"),"")</f>
        <v/>
      </c>
      <c r="AJ213" t="str">
        <f>_xlfn.IFNA(IF(AE213 &lt; (INDEX(SLATable[Maximum SLA],MATCH(G213,SLATable[Priority],0))),"YES","NO"),"")</f>
        <v/>
      </c>
    </row>
    <row r="214" spans="26:36" ht="15" customHeight="1">
      <c r="Z214" s="76" t="e">
        <f t="shared" ca="1" si="22"/>
        <v>#N/A</v>
      </c>
      <c r="AA214" s="75" t="e">
        <f t="shared" ca="1" si="23"/>
        <v>#N/A</v>
      </c>
      <c r="AB214" s="76">
        <f t="shared" ca="1" si="24"/>
        <v>0</v>
      </c>
      <c r="AC214" s="75">
        <f t="shared" ca="1" si="25"/>
        <v>0</v>
      </c>
      <c r="AD214" s="76">
        <f t="shared" ca="1" si="26"/>
        <v>12388.425643634258</v>
      </c>
      <c r="AE214" s="76">
        <f>SUMIFS(AB:AB,E:E,E214)</f>
        <v>0</v>
      </c>
      <c r="AF214" s="75">
        <f t="shared" si="27"/>
        <v>0</v>
      </c>
      <c r="AG214" s="76">
        <f t="shared" si="3"/>
        <v>0</v>
      </c>
      <c r="AH214" s="31" t="e" cm="1">
        <f t="array" aca="1" ref="AH214" ca="1">IF((AD214) &lt; (INDEX(ResponseSLA[#All],(MATCH((G214),ResponseSLA[Priority],0))+1,3)),"YES","No")</f>
        <v>#N/A</v>
      </c>
      <c r="AI214" s="31" t="str">
        <f>_xlfn.IFNA(IF(AE214 &lt; (INDEX(SLATable[Minimum SLA],MATCH(G214,SLATable[Priority],0))),"YES","NO"),"")</f>
        <v/>
      </c>
      <c r="AJ214" t="str">
        <f>_xlfn.IFNA(IF(AE214 &lt; (INDEX(SLATable[Maximum SLA],MATCH(G214,SLATable[Priority],0))),"YES","NO"),"")</f>
        <v/>
      </c>
    </row>
    <row r="215" spans="26:36" ht="15" customHeight="1">
      <c r="Z215" s="76" t="e">
        <f t="shared" ca="1" si="22"/>
        <v>#N/A</v>
      </c>
      <c r="AA215" s="75" t="e">
        <f t="shared" ca="1" si="23"/>
        <v>#N/A</v>
      </c>
      <c r="AB215" s="76">
        <f t="shared" ca="1" si="24"/>
        <v>0</v>
      </c>
      <c r="AC215" s="75">
        <f t="shared" ca="1" si="25"/>
        <v>0</v>
      </c>
      <c r="AD215" s="76">
        <f t="shared" ca="1" si="26"/>
        <v>12388.425643634258</v>
      </c>
      <c r="AE215" s="76">
        <f>SUMIFS(AB:AB,E:E,E215)</f>
        <v>0</v>
      </c>
      <c r="AF215" s="75">
        <f t="shared" si="27"/>
        <v>0</v>
      </c>
      <c r="AG215" s="76">
        <f t="shared" si="3"/>
        <v>0</v>
      </c>
      <c r="AH215" s="31" t="e" cm="1">
        <f t="array" aca="1" ref="AH215" ca="1">IF((AD215) &lt; (INDEX(ResponseSLA[#All],(MATCH((G215),ResponseSLA[Priority],0))+1,3)),"YES","No")</f>
        <v>#N/A</v>
      </c>
      <c r="AI215" s="31" t="str">
        <f>_xlfn.IFNA(IF(AE215 &lt; (INDEX(SLATable[Minimum SLA],MATCH(G215,SLATable[Priority],0))),"YES","NO"),"")</f>
        <v/>
      </c>
      <c r="AJ215" t="str">
        <f>_xlfn.IFNA(IF(AE215 &lt; (INDEX(SLATable[Maximum SLA],MATCH(G215,SLATable[Priority],0))),"YES","NO"),"")</f>
        <v/>
      </c>
    </row>
    <row r="216" spans="26:36" ht="15" customHeight="1">
      <c r="Z216" s="76" t="e">
        <f t="shared" ca="1" si="22"/>
        <v>#N/A</v>
      </c>
      <c r="AA216" s="75" t="e">
        <f t="shared" ca="1" si="23"/>
        <v>#N/A</v>
      </c>
      <c r="AB216" s="76">
        <f t="shared" ca="1" si="24"/>
        <v>0</v>
      </c>
      <c r="AC216" s="75">
        <f t="shared" ca="1" si="25"/>
        <v>0</v>
      </c>
      <c r="AD216" s="76">
        <f t="shared" ca="1" si="26"/>
        <v>12388.425643634258</v>
      </c>
      <c r="AE216" s="76">
        <f>SUMIFS(AB:AB,E:E,E216)</f>
        <v>0</v>
      </c>
      <c r="AF216" s="75">
        <f t="shared" si="27"/>
        <v>0</v>
      </c>
      <c r="AG216" s="76">
        <f t="shared" si="3"/>
        <v>0</v>
      </c>
      <c r="AH216" s="31" t="e" cm="1">
        <f t="array" aca="1" ref="AH216" ca="1">IF((AD216) &lt; (INDEX(ResponseSLA[#All],(MATCH((G216),ResponseSLA[Priority],0))+1,3)),"YES","No")</f>
        <v>#N/A</v>
      </c>
      <c r="AI216" s="31" t="str">
        <f>_xlfn.IFNA(IF(AE216 &lt; (INDEX(SLATable[Minimum SLA],MATCH(G216,SLATable[Priority],0))),"YES","NO"),"")</f>
        <v/>
      </c>
      <c r="AJ216" t="str">
        <f>_xlfn.IFNA(IF(AE216 &lt; (INDEX(SLATable[Maximum SLA],MATCH(G216,SLATable[Priority],0))),"YES","NO"),"")</f>
        <v/>
      </c>
    </row>
    <row r="217" spans="26:36" ht="15" customHeight="1">
      <c r="Z217" s="76" t="e">
        <f t="shared" ca="1" si="22"/>
        <v>#N/A</v>
      </c>
      <c r="AA217" s="75" t="e">
        <f t="shared" ca="1" si="23"/>
        <v>#N/A</v>
      </c>
      <c r="AB217" s="76">
        <f t="shared" ca="1" si="24"/>
        <v>0</v>
      </c>
      <c r="AC217" s="75">
        <f t="shared" ca="1" si="25"/>
        <v>0</v>
      </c>
      <c r="AD217" s="76">
        <f t="shared" ca="1" si="26"/>
        <v>12388.425643634258</v>
      </c>
      <c r="AE217" s="76">
        <f>SUMIFS(AB:AB,E:E,E217)</f>
        <v>0</v>
      </c>
      <c r="AF217" s="75">
        <f t="shared" si="27"/>
        <v>0</v>
      </c>
      <c r="AG217" s="76">
        <f t="shared" si="3"/>
        <v>0</v>
      </c>
      <c r="AH217" s="31" t="e" cm="1">
        <f t="array" aca="1" ref="AH217" ca="1">IF((AD217) &lt; (INDEX(ResponseSLA[#All],(MATCH((G217),ResponseSLA[Priority],0))+1,3)),"YES","No")</f>
        <v>#N/A</v>
      </c>
      <c r="AI217" s="31" t="str">
        <f>_xlfn.IFNA(IF(AE217 &lt; (INDEX(SLATable[Minimum SLA],MATCH(G217,SLATable[Priority],0))),"YES","NO"),"")</f>
        <v/>
      </c>
      <c r="AJ217" t="str">
        <f>_xlfn.IFNA(IF(AE217 &lt; (INDEX(SLATable[Maximum SLA],MATCH(G217,SLATable[Priority],0))),"YES","NO"),"")</f>
        <v/>
      </c>
    </row>
    <row r="218" spans="26:36" ht="15" customHeight="1">
      <c r="Z218" s="76" t="e">
        <f t="shared" ca="1" si="22"/>
        <v>#N/A</v>
      </c>
      <c r="AA218" s="75" t="e">
        <f t="shared" ca="1" si="23"/>
        <v>#N/A</v>
      </c>
      <c r="AB218" s="76">
        <f t="shared" ca="1" si="24"/>
        <v>0</v>
      </c>
      <c r="AC218" s="75">
        <f t="shared" ca="1" si="25"/>
        <v>0</v>
      </c>
      <c r="AD218" s="76">
        <f t="shared" ca="1" si="26"/>
        <v>12388.425643634258</v>
      </c>
      <c r="AE218" s="76">
        <f>SUMIFS(AB:AB,E:E,E218)</f>
        <v>0</v>
      </c>
      <c r="AF218" s="75">
        <f t="shared" si="27"/>
        <v>0</v>
      </c>
      <c r="AG218" s="76">
        <f t="shared" si="3"/>
        <v>0</v>
      </c>
      <c r="AH218" s="31" t="e" cm="1">
        <f t="array" aca="1" ref="AH218" ca="1">IF((AD218) &lt; (INDEX(ResponseSLA[#All],(MATCH((G218),ResponseSLA[Priority],0))+1,3)),"YES","No")</f>
        <v>#N/A</v>
      </c>
      <c r="AI218" s="31" t="str">
        <f>_xlfn.IFNA(IF(AE218 &lt; (INDEX(SLATable[Minimum SLA],MATCH(G218,SLATable[Priority],0))),"YES","NO"),"")</f>
        <v/>
      </c>
      <c r="AJ218" t="str">
        <f>_xlfn.IFNA(IF(AE218 &lt; (INDEX(SLATable[Maximum SLA],MATCH(G218,SLATable[Priority],0))),"YES","NO"),"")</f>
        <v/>
      </c>
    </row>
    <row r="219" spans="26:36" ht="15" customHeight="1">
      <c r="Z219" s="76" t="e">
        <f t="shared" ca="1" si="22"/>
        <v>#N/A</v>
      </c>
      <c r="AA219" s="75" t="e">
        <f t="shared" ca="1" si="23"/>
        <v>#N/A</v>
      </c>
      <c r="AB219" s="76">
        <f t="shared" ca="1" si="24"/>
        <v>0</v>
      </c>
      <c r="AC219" s="75">
        <f t="shared" ca="1" si="25"/>
        <v>0</v>
      </c>
      <c r="AD219" s="76">
        <f t="shared" ca="1" si="26"/>
        <v>12388.425643634258</v>
      </c>
      <c r="AE219" s="76">
        <f>SUMIFS(AB:AB,E:E,E219)</f>
        <v>0</v>
      </c>
      <c r="AF219" s="75">
        <f t="shared" si="27"/>
        <v>0</v>
      </c>
      <c r="AG219" s="76">
        <f t="shared" si="3"/>
        <v>0</v>
      </c>
      <c r="AH219" s="31" t="e" cm="1">
        <f t="array" aca="1" ref="AH219" ca="1">IF((AD219) &lt; (INDEX(ResponseSLA[#All],(MATCH((G219),ResponseSLA[Priority],0))+1,3)),"YES","No")</f>
        <v>#N/A</v>
      </c>
      <c r="AI219" s="31" t="str">
        <f>_xlfn.IFNA(IF(AE219 &lt; (INDEX(SLATable[Minimum SLA],MATCH(G219,SLATable[Priority],0))),"YES","NO"),"")</f>
        <v/>
      </c>
      <c r="AJ219" t="str">
        <f>_xlfn.IFNA(IF(AE219 &lt; (INDEX(SLATable[Maximum SLA],MATCH(G219,SLATable[Priority],0))),"YES","NO"),"")</f>
        <v/>
      </c>
    </row>
    <row r="220" spans="26:36" ht="15" customHeight="1">
      <c r="Z220" s="76" t="e">
        <f t="shared" ca="1" si="22"/>
        <v>#N/A</v>
      </c>
      <c r="AA220" s="75" t="e">
        <f t="shared" ca="1" si="23"/>
        <v>#N/A</v>
      </c>
      <c r="AB220" s="76">
        <f t="shared" ca="1" si="24"/>
        <v>0</v>
      </c>
      <c r="AC220" s="75">
        <f t="shared" ca="1" si="25"/>
        <v>0</v>
      </c>
      <c r="AD220" s="76">
        <f t="shared" ca="1" si="26"/>
        <v>12388.425643634258</v>
      </c>
      <c r="AE220" s="76">
        <f>SUMIFS(AB:AB,E:E,E220)</f>
        <v>0</v>
      </c>
      <c r="AF220" s="75">
        <f t="shared" si="27"/>
        <v>0</v>
      </c>
      <c r="AG220" s="76">
        <f t="shared" si="3"/>
        <v>0</v>
      </c>
      <c r="AH220" s="31" t="e" cm="1">
        <f t="array" aca="1" ref="AH220" ca="1">IF((AD220) &lt; (INDEX(ResponseSLA[#All],(MATCH((G220),ResponseSLA[Priority],0))+1,3)),"YES","No")</f>
        <v>#N/A</v>
      </c>
      <c r="AI220" s="31" t="str">
        <f>_xlfn.IFNA(IF(AE220 &lt; (INDEX(SLATable[Minimum SLA],MATCH(G220,SLATable[Priority],0))),"YES","NO"),"")</f>
        <v/>
      </c>
      <c r="AJ220" t="str">
        <f>_xlfn.IFNA(IF(AE220 &lt; (INDEX(SLATable[Maximum SLA],MATCH(G220,SLATable[Priority],0))),"YES","NO"),"")</f>
        <v/>
      </c>
    </row>
    <row r="221" spans="26:36" ht="15" customHeight="1">
      <c r="Z221" s="76" t="e">
        <f t="shared" ca="1" si="22"/>
        <v>#N/A</v>
      </c>
      <c r="AA221" s="75" t="e">
        <f t="shared" ca="1" si="23"/>
        <v>#N/A</v>
      </c>
      <c r="AB221" s="76">
        <f t="shared" ca="1" si="24"/>
        <v>0</v>
      </c>
      <c r="AC221" s="75">
        <f t="shared" ca="1" si="25"/>
        <v>0</v>
      </c>
      <c r="AD221" s="76">
        <f t="shared" ca="1" si="26"/>
        <v>12388.425643634258</v>
      </c>
      <c r="AE221" s="76">
        <f>SUMIFS(AB:AB,E:E,E221)</f>
        <v>0</v>
      </c>
      <c r="AF221" s="75">
        <f t="shared" si="27"/>
        <v>0</v>
      </c>
      <c r="AG221" s="76">
        <f t="shared" si="3"/>
        <v>0</v>
      </c>
      <c r="AH221" s="31" t="e" cm="1">
        <f t="array" aca="1" ref="AH221" ca="1">IF((AD221) &lt; (INDEX(ResponseSLA[#All],(MATCH((G221),ResponseSLA[Priority],0))+1,3)),"YES","No")</f>
        <v>#N/A</v>
      </c>
      <c r="AI221" s="31" t="str">
        <f>_xlfn.IFNA(IF(AE221 &lt; (INDEX(SLATable[Minimum SLA],MATCH(G221,SLATable[Priority],0))),"YES","NO"),"")</f>
        <v/>
      </c>
      <c r="AJ221" t="str">
        <f>_xlfn.IFNA(IF(AE221 &lt; (INDEX(SLATable[Maximum SLA],MATCH(G221,SLATable[Priority],0))),"YES","NO"),"")</f>
        <v/>
      </c>
    </row>
    <row r="222" spans="26:36" ht="15" customHeight="1">
      <c r="Z222" s="76" t="e">
        <f t="shared" ca="1" si="22"/>
        <v>#N/A</v>
      </c>
      <c r="AA222" s="75" t="e">
        <f t="shared" ca="1" si="23"/>
        <v>#N/A</v>
      </c>
      <c r="AB222" s="76">
        <f t="shared" ca="1" si="24"/>
        <v>0</v>
      </c>
      <c r="AC222" s="75">
        <f t="shared" ca="1" si="25"/>
        <v>0</v>
      </c>
      <c r="AD222" s="76">
        <f t="shared" ca="1" si="26"/>
        <v>12388.425643634258</v>
      </c>
      <c r="AE222" s="76">
        <f>SUMIFS(AB:AB,E:E,E222)</f>
        <v>0</v>
      </c>
      <c r="AF222" s="75">
        <f t="shared" si="27"/>
        <v>0</v>
      </c>
      <c r="AG222" s="76">
        <f t="shared" si="3"/>
        <v>0</v>
      </c>
      <c r="AH222" s="31" t="e" cm="1">
        <f t="array" aca="1" ref="AH222" ca="1">IF((AD222) &lt; (INDEX(ResponseSLA[#All],(MATCH((G222),ResponseSLA[Priority],0))+1,3)),"YES","No")</f>
        <v>#N/A</v>
      </c>
      <c r="AI222" s="31" t="str">
        <f>_xlfn.IFNA(IF(AE222 &lt; (INDEX(SLATable[Minimum SLA],MATCH(G222,SLATable[Priority],0))),"YES","NO"),"")</f>
        <v/>
      </c>
      <c r="AJ222" t="str">
        <f>_xlfn.IFNA(IF(AE222 &lt; (INDEX(SLATable[Maximum SLA],MATCH(G222,SLATable[Priority],0))),"YES","NO"),"")</f>
        <v/>
      </c>
    </row>
    <row r="223" spans="26:36" ht="15" customHeight="1">
      <c r="Z223" s="76" t="e">
        <f t="shared" ca="1" si="22"/>
        <v>#N/A</v>
      </c>
      <c r="AA223" s="75" t="e">
        <f t="shared" ca="1" si="23"/>
        <v>#N/A</v>
      </c>
      <c r="AB223" s="76">
        <f t="shared" ca="1" si="24"/>
        <v>0</v>
      </c>
      <c r="AC223" s="75">
        <f t="shared" ca="1" si="25"/>
        <v>0</v>
      </c>
      <c r="AD223" s="76">
        <f t="shared" ca="1" si="26"/>
        <v>12388.425643634258</v>
      </c>
      <c r="AE223" s="76">
        <f>SUMIFS(AB:AB,E:E,E223)</f>
        <v>0</v>
      </c>
      <c r="AF223" s="75">
        <f t="shared" si="27"/>
        <v>0</v>
      </c>
      <c r="AG223" s="76">
        <f t="shared" si="3"/>
        <v>0</v>
      </c>
      <c r="AH223" s="31" t="e" cm="1">
        <f t="array" aca="1" ref="AH223" ca="1">IF((AD223) &lt; (INDEX(ResponseSLA[#All],(MATCH((G223),ResponseSLA[Priority],0))+1,3)),"YES","No")</f>
        <v>#N/A</v>
      </c>
      <c r="AI223" s="31" t="str">
        <f>_xlfn.IFNA(IF(AE223 &lt; (INDEX(SLATable[Minimum SLA],MATCH(G223,SLATable[Priority],0))),"YES","NO"),"")</f>
        <v/>
      </c>
      <c r="AJ223" t="str">
        <f>_xlfn.IFNA(IF(AE223 &lt; (INDEX(SLATable[Maximum SLA],MATCH(G223,SLATable[Priority],0))),"YES","NO"),"")</f>
        <v/>
      </c>
    </row>
    <row r="224" spans="26:36" ht="15" customHeight="1">
      <c r="Z224" s="76" t="e">
        <f t="shared" ca="1" si="22"/>
        <v>#N/A</v>
      </c>
      <c r="AA224" s="75" t="e">
        <f t="shared" ca="1" si="23"/>
        <v>#N/A</v>
      </c>
      <c r="AB224" s="76">
        <f t="shared" ca="1" si="24"/>
        <v>0</v>
      </c>
      <c r="AC224" s="75">
        <f t="shared" ca="1" si="25"/>
        <v>0</v>
      </c>
      <c r="AD224" s="76">
        <f t="shared" ca="1" si="26"/>
        <v>12388.425643634258</v>
      </c>
      <c r="AE224" s="76">
        <f>SUMIFS(AB:AB,E:E,E224)</f>
        <v>0</v>
      </c>
      <c r="AF224" s="75">
        <f t="shared" si="27"/>
        <v>0</v>
      </c>
      <c r="AG224" s="76">
        <f t="shared" si="3"/>
        <v>0</v>
      </c>
      <c r="AH224" s="31" t="e" cm="1">
        <f t="array" aca="1" ref="AH224" ca="1">IF((AD224) &lt; (INDEX(ResponseSLA[#All],(MATCH((G224),ResponseSLA[Priority],0))+1,3)),"YES","No")</f>
        <v>#N/A</v>
      </c>
      <c r="AI224" s="31" t="str">
        <f>_xlfn.IFNA(IF(AE224 &lt; (INDEX(SLATable[Minimum SLA],MATCH(G224,SLATable[Priority],0))),"YES","NO"),"")</f>
        <v/>
      </c>
      <c r="AJ224" t="str">
        <f>_xlfn.IFNA(IF(AE224 &lt; (INDEX(SLATable[Maximum SLA],MATCH(G224,SLATable[Priority],0))),"YES","NO"),"")</f>
        <v/>
      </c>
    </row>
    <row r="225" spans="26:36" ht="15" customHeight="1">
      <c r="Z225" s="76" t="e">
        <f t="shared" ca="1" si="22"/>
        <v>#N/A</v>
      </c>
      <c r="AA225" s="75" t="e">
        <f t="shared" ca="1" si="23"/>
        <v>#N/A</v>
      </c>
      <c r="AB225" s="76">
        <f t="shared" ca="1" si="24"/>
        <v>0</v>
      </c>
      <c r="AC225" s="75">
        <f t="shared" ca="1" si="25"/>
        <v>0</v>
      </c>
      <c r="AD225" s="76">
        <f t="shared" ca="1" si="26"/>
        <v>12388.425643634258</v>
      </c>
      <c r="AE225" s="76">
        <f>SUMIFS(AB:AB,E:E,E225)</f>
        <v>0</v>
      </c>
      <c r="AF225" s="75">
        <f t="shared" si="27"/>
        <v>0</v>
      </c>
      <c r="AG225" s="76">
        <f t="shared" si="3"/>
        <v>0</v>
      </c>
      <c r="AH225" s="31" t="e" cm="1">
        <f t="array" aca="1" ref="AH225" ca="1">IF((AD225) &lt; (INDEX(ResponseSLA[#All],(MATCH((G225),ResponseSLA[Priority],0))+1,3)),"YES","No")</f>
        <v>#N/A</v>
      </c>
      <c r="AI225" s="31" t="str">
        <f>_xlfn.IFNA(IF(AE225 &lt; (INDEX(SLATable[Minimum SLA],MATCH(G225,SLATable[Priority],0))),"YES","NO"),"")</f>
        <v/>
      </c>
      <c r="AJ225" t="str">
        <f>_xlfn.IFNA(IF(AE225 &lt; (INDEX(SLATable[Maximum SLA],MATCH(G225,SLATable[Priority],0))),"YES","NO"),"")</f>
        <v/>
      </c>
    </row>
    <row r="226" spans="26:36" ht="15" customHeight="1">
      <c r="Z226" s="76" t="e">
        <f t="shared" ca="1" si="22"/>
        <v>#N/A</v>
      </c>
      <c r="AA226" s="75" t="e">
        <f t="shared" ca="1" si="23"/>
        <v>#N/A</v>
      </c>
      <c r="AB226" s="76">
        <f t="shared" ca="1" si="24"/>
        <v>0</v>
      </c>
      <c r="AC226" s="75">
        <f t="shared" ca="1" si="25"/>
        <v>0</v>
      </c>
      <c r="AD226" s="76">
        <f t="shared" ca="1" si="26"/>
        <v>12388.425643634258</v>
      </c>
      <c r="AE226" s="76">
        <f>SUMIFS(AB:AB,E:E,E226)</f>
        <v>0</v>
      </c>
      <c r="AF226" s="75">
        <f t="shared" si="27"/>
        <v>0</v>
      </c>
      <c r="AG226" s="76">
        <f t="shared" si="3"/>
        <v>0</v>
      </c>
      <c r="AH226" s="31" t="e" cm="1">
        <f t="array" aca="1" ref="AH226" ca="1">IF((AD226) &lt; (INDEX(ResponseSLA[#All],(MATCH((G226),ResponseSLA[Priority],0))+1,3)),"YES","No")</f>
        <v>#N/A</v>
      </c>
      <c r="AI226" s="31" t="str">
        <f>_xlfn.IFNA(IF(AE226 &lt; (INDEX(SLATable[Minimum SLA],MATCH(G226,SLATable[Priority],0))),"YES","NO"),"")</f>
        <v/>
      </c>
      <c r="AJ226" t="str">
        <f>_xlfn.IFNA(IF(AE226 &lt; (INDEX(SLATable[Maximum SLA],MATCH(G226,SLATable[Priority],0))),"YES","NO"),"")</f>
        <v/>
      </c>
    </row>
    <row r="227" spans="26:36" ht="15" customHeight="1">
      <c r="Z227" s="76" t="e">
        <f t="shared" ca="1" si="22"/>
        <v>#N/A</v>
      </c>
      <c r="AA227" s="75" t="e">
        <f t="shared" ca="1" si="23"/>
        <v>#N/A</v>
      </c>
      <c r="AB227" s="76">
        <f t="shared" ca="1" si="24"/>
        <v>0</v>
      </c>
      <c r="AC227" s="75">
        <f t="shared" ca="1" si="25"/>
        <v>0</v>
      </c>
      <c r="AD227" s="76">
        <f t="shared" ca="1" si="26"/>
        <v>12388.425643634258</v>
      </c>
      <c r="AE227" s="76">
        <f>SUMIFS(AB:AB,E:E,E227)</f>
        <v>0</v>
      </c>
      <c r="AF227" s="75">
        <f t="shared" si="27"/>
        <v>0</v>
      </c>
      <c r="AG227" s="76">
        <f t="shared" si="3"/>
        <v>0</v>
      </c>
      <c r="AH227" s="31" t="e" cm="1">
        <f t="array" aca="1" ref="AH227" ca="1">IF((AD227) &lt; (INDEX(ResponseSLA[#All],(MATCH((G227),ResponseSLA[Priority],0))+1,3)),"YES","No")</f>
        <v>#N/A</v>
      </c>
      <c r="AI227" s="31" t="str">
        <f>_xlfn.IFNA(IF(AE227 &lt; (INDEX(SLATable[Minimum SLA],MATCH(G227,SLATable[Priority],0))),"YES","NO"),"")</f>
        <v/>
      </c>
      <c r="AJ227" t="str">
        <f>_xlfn.IFNA(IF(AE227 &lt; (INDEX(SLATable[Maximum SLA],MATCH(G227,SLATable[Priority],0))),"YES","NO"),"")</f>
        <v/>
      </c>
    </row>
    <row r="228" spans="26:36" ht="15" customHeight="1">
      <c r="Z228" s="76" t="e">
        <f t="shared" ca="1" si="22"/>
        <v>#N/A</v>
      </c>
      <c r="AA228" s="75" t="e">
        <f t="shared" ca="1" si="23"/>
        <v>#N/A</v>
      </c>
      <c r="AB228" s="76">
        <f t="shared" ca="1" si="24"/>
        <v>0</v>
      </c>
      <c r="AC228" s="75">
        <f t="shared" ca="1" si="25"/>
        <v>0</v>
      </c>
      <c r="AD228" s="76">
        <f t="shared" ca="1" si="26"/>
        <v>12388.425643634258</v>
      </c>
      <c r="AE228" s="76">
        <f>SUMIFS(AB:AB,E:E,E228)</f>
        <v>0</v>
      </c>
      <c r="AF228" s="75">
        <f t="shared" si="27"/>
        <v>0</v>
      </c>
      <c r="AG228" s="76">
        <f t="shared" si="3"/>
        <v>0</v>
      </c>
      <c r="AH228" s="31" t="e" cm="1">
        <f t="array" aca="1" ref="AH228" ca="1">IF((AD228) &lt; (INDEX(ResponseSLA[#All],(MATCH((G228),ResponseSLA[Priority],0))+1,3)),"YES","No")</f>
        <v>#N/A</v>
      </c>
      <c r="AI228" s="31" t="str">
        <f>_xlfn.IFNA(IF(AE228 &lt; (INDEX(SLATable[Minimum SLA],MATCH(G228,SLATable[Priority],0))),"YES","NO"),"")</f>
        <v/>
      </c>
      <c r="AJ228" t="str">
        <f>_xlfn.IFNA(IF(AE228 &lt; (INDEX(SLATable[Maximum SLA],MATCH(G228,SLATable[Priority],0))),"YES","NO"),"")</f>
        <v/>
      </c>
    </row>
    <row r="229" spans="26:36" ht="15" customHeight="1">
      <c r="Z229" s="76" t="e">
        <f t="shared" ca="1" si="22"/>
        <v>#N/A</v>
      </c>
      <c r="AA229" s="75" t="e">
        <f t="shared" ca="1" si="23"/>
        <v>#N/A</v>
      </c>
      <c r="AB229" s="76">
        <f t="shared" ca="1" si="24"/>
        <v>0</v>
      </c>
      <c r="AC229" s="75">
        <f t="shared" ca="1" si="25"/>
        <v>0</v>
      </c>
      <c r="AD229" s="76">
        <f t="shared" ca="1" si="26"/>
        <v>12388.425643634258</v>
      </c>
      <c r="AE229" s="76">
        <f>SUMIFS(AB:AB,E:E,E229)</f>
        <v>0</v>
      </c>
      <c r="AF229" s="75">
        <f t="shared" si="27"/>
        <v>0</v>
      </c>
      <c r="AG229" s="76">
        <f t="shared" si="3"/>
        <v>0</v>
      </c>
      <c r="AH229" s="31" t="e" cm="1">
        <f t="array" aca="1" ref="AH229" ca="1">IF((AD229) &lt; (INDEX(ResponseSLA[#All],(MATCH((G229),ResponseSLA[Priority],0))+1,3)),"YES","No")</f>
        <v>#N/A</v>
      </c>
      <c r="AI229" s="31" t="str">
        <f>_xlfn.IFNA(IF(AE229 &lt; (INDEX(SLATable[Minimum SLA],MATCH(G229,SLATable[Priority],0))),"YES","NO"),"")</f>
        <v/>
      </c>
      <c r="AJ229" t="str">
        <f>_xlfn.IFNA(IF(AE229 &lt; (INDEX(SLATable[Maximum SLA],MATCH(G229,SLATable[Priority],0))),"YES","NO"),"")</f>
        <v/>
      </c>
    </row>
    <row r="230" spans="26:36" ht="15" customHeight="1">
      <c r="Z230" s="76" t="e">
        <f t="shared" ca="1" si="22"/>
        <v>#N/A</v>
      </c>
      <c r="AA230" s="75" t="e">
        <f t="shared" ca="1" si="23"/>
        <v>#N/A</v>
      </c>
      <c r="AB230" s="76">
        <f t="shared" ca="1" si="24"/>
        <v>0</v>
      </c>
      <c r="AC230" s="75">
        <f t="shared" ca="1" si="25"/>
        <v>0</v>
      </c>
      <c r="AD230" s="76">
        <f t="shared" ca="1" si="26"/>
        <v>12388.425643634258</v>
      </c>
      <c r="AE230" s="76">
        <f>SUMIFS(AB:AB,E:E,E230)</f>
        <v>0</v>
      </c>
      <c r="AF230" s="75">
        <f t="shared" si="27"/>
        <v>0</v>
      </c>
      <c r="AG230" s="76">
        <f t="shared" si="3"/>
        <v>0</v>
      </c>
      <c r="AH230" s="31" t="e" cm="1">
        <f t="array" aca="1" ref="AH230" ca="1">IF((AD230) &lt; (INDEX(ResponseSLA[#All],(MATCH((G230),ResponseSLA[Priority],0))+1,3)),"YES","No")</f>
        <v>#N/A</v>
      </c>
      <c r="AI230" s="31" t="str">
        <f>_xlfn.IFNA(IF(AE230 &lt; (INDEX(SLATable[Minimum SLA],MATCH(G230,SLATable[Priority],0))),"YES","NO"),"")</f>
        <v/>
      </c>
      <c r="AJ230" t="str">
        <f>_xlfn.IFNA(IF(AE230 &lt; (INDEX(SLATable[Maximum SLA],MATCH(G230,SLATable[Priority],0))),"YES","NO"),"")</f>
        <v/>
      </c>
    </row>
    <row r="231" spans="26:36" ht="15" customHeight="1">
      <c r="Z231" s="76" t="e">
        <f t="shared" ca="1" si="22"/>
        <v>#N/A</v>
      </c>
      <c r="AA231" s="75" t="e">
        <f t="shared" ca="1" si="23"/>
        <v>#N/A</v>
      </c>
      <c r="AB231" s="76">
        <f t="shared" ca="1" si="24"/>
        <v>0</v>
      </c>
      <c r="AC231" s="75">
        <f t="shared" ca="1" si="25"/>
        <v>0</v>
      </c>
      <c r="AD231" s="76">
        <f t="shared" ca="1" si="26"/>
        <v>12388.425643634258</v>
      </c>
      <c r="AE231" s="76">
        <f>SUMIFS(AB:AB,E:E,E231)</f>
        <v>0</v>
      </c>
      <c r="AF231" s="75">
        <f t="shared" si="27"/>
        <v>0</v>
      </c>
      <c r="AG231" s="76">
        <f t="shared" si="3"/>
        <v>0</v>
      </c>
      <c r="AH231" s="31" t="e" cm="1">
        <f t="array" aca="1" ref="AH231" ca="1">IF((AD231) &lt; (INDEX(ResponseSLA[#All],(MATCH((G231),ResponseSLA[Priority],0))+1,3)),"YES","No")</f>
        <v>#N/A</v>
      </c>
      <c r="AI231" s="31" t="str">
        <f>_xlfn.IFNA(IF(AE231 &lt; (INDEX(SLATable[Minimum SLA],MATCH(G231,SLATable[Priority],0))),"YES","NO"),"")</f>
        <v/>
      </c>
      <c r="AJ231" t="str">
        <f>_xlfn.IFNA(IF(AE231 &lt; (INDEX(SLATable[Maximum SLA],MATCH(G231,SLATable[Priority],0))),"YES","NO"),"")</f>
        <v/>
      </c>
    </row>
    <row r="232" spans="26:36" ht="15" customHeight="1">
      <c r="Z232" s="76" t="e">
        <f t="shared" ca="1" si="22"/>
        <v>#N/A</v>
      </c>
      <c r="AA232" s="75" t="e">
        <f t="shared" ca="1" si="23"/>
        <v>#N/A</v>
      </c>
      <c r="AB232" s="76">
        <f t="shared" ca="1" si="24"/>
        <v>0</v>
      </c>
      <c r="AC232" s="75">
        <f t="shared" ca="1" si="25"/>
        <v>0</v>
      </c>
      <c r="AD232" s="76">
        <f t="shared" ca="1" si="26"/>
        <v>12388.425643634258</v>
      </c>
      <c r="AE232" s="76">
        <f>SUMIFS(AB:AB,E:E,E232)</f>
        <v>0</v>
      </c>
      <c r="AF232" s="75">
        <f t="shared" si="27"/>
        <v>0</v>
      </c>
      <c r="AG232" s="76">
        <f t="shared" si="3"/>
        <v>0</v>
      </c>
      <c r="AH232" s="31" t="e" cm="1">
        <f t="array" aca="1" ref="AH232" ca="1">IF((AD232) &lt; (INDEX(ResponseSLA[#All],(MATCH((G232),ResponseSLA[Priority],0))+1,3)),"YES","No")</f>
        <v>#N/A</v>
      </c>
      <c r="AI232" s="31" t="str">
        <f>_xlfn.IFNA(IF(AE232 &lt; (INDEX(SLATable[Minimum SLA],MATCH(G232,SLATable[Priority],0))),"YES","NO"),"")</f>
        <v/>
      </c>
      <c r="AJ232" t="str">
        <f>_xlfn.IFNA(IF(AE232 &lt; (INDEX(SLATable[Maximum SLA],MATCH(G232,SLATable[Priority],0))),"YES","NO"),"")</f>
        <v/>
      </c>
    </row>
    <row r="233" spans="26:36" ht="15" customHeight="1">
      <c r="Z233" s="76" t="e">
        <f t="shared" ca="1" si="22"/>
        <v>#N/A</v>
      </c>
      <c r="AA233" s="75" t="e">
        <f t="shared" ca="1" si="23"/>
        <v>#N/A</v>
      </c>
      <c r="AB233" s="76">
        <f t="shared" ca="1" si="24"/>
        <v>0</v>
      </c>
      <c r="AC233" s="75">
        <f t="shared" ca="1" si="25"/>
        <v>0</v>
      </c>
      <c r="AD233" s="76">
        <f t="shared" ca="1" si="26"/>
        <v>12388.425643634258</v>
      </c>
      <c r="AE233" s="76">
        <f>SUMIFS(AB:AB,E:E,E233)</f>
        <v>0</v>
      </c>
      <c r="AF233" s="75">
        <f t="shared" si="27"/>
        <v>0</v>
      </c>
      <c r="AG233" s="76">
        <f t="shared" si="3"/>
        <v>0</v>
      </c>
      <c r="AH233" s="31" t="e" cm="1">
        <f t="array" aca="1" ref="AH233" ca="1">IF((AD233) &lt; (INDEX(ResponseSLA[#All],(MATCH((G233),ResponseSLA[Priority],0))+1,3)),"YES","No")</f>
        <v>#N/A</v>
      </c>
      <c r="AI233" s="31" t="str">
        <f>_xlfn.IFNA(IF(AE233 &lt; (INDEX(SLATable[Minimum SLA],MATCH(G233,SLATable[Priority],0))),"YES","NO"),"")</f>
        <v/>
      </c>
      <c r="AJ233" t="str">
        <f>_xlfn.IFNA(IF(AE233 &lt; (INDEX(SLATable[Maximum SLA],MATCH(G233,SLATable[Priority],0))),"YES","NO"),"")</f>
        <v/>
      </c>
    </row>
    <row r="234" spans="26:36" ht="15" customHeight="1">
      <c r="Z234" s="76" t="e">
        <f t="shared" ca="1" si="22"/>
        <v>#N/A</v>
      </c>
      <c r="AA234" s="75" t="e">
        <f t="shared" ca="1" si="23"/>
        <v>#N/A</v>
      </c>
      <c r="AB234" s="76">
        <f t="shared" ca="1" si="24"/>
        <v>0</v>
      </c>
      <c r="AC234" s="75">
        <f t="shared" ca="1" si="25"/>
        <v>0</v>
      </c>
      <c r="AD234" s="76">
        <f t="shared" ca="1" si="26"/>
        <v>12388.425643634258</v>
      </c>
      <c r="AE234" s="76">
        <f>SUMIFS(AB:AB,E:E,E234)</f>
        <v>0</v>
      </c>
      <c r="AF234" s="75">
        <f t="shared" si="27"/>
        <v>0</v>
      </c>
      <c r="AG234" s="76">
        <f t="shared" si="3"/>
        <v>0</v>
      </c>
      <c r="AH234" s="31" t="e" cm="1">
        <f t="array" aca="1" ref="AH234" ca="1">IF((AD234) &lt; (INDEX(ResponseSLA[#All],(MATCH((G234),ResponseSLA[Priority],0))+1,3)),"YES","No")</f>
        <v>#N/A</v>
      </c>
      <c r="AI234" s="31" t="str">
        <f>_xlfn.IFNA(IF(AE234 &lt; (INDEX(SLATable[Minimum SLA],MATCH(G234,SLATable[Priority],0))),"YES","NO"),"")</f>
        <v/>
      </c>
      <c r="AJ234" t="str">
        <f>_xlfn.IFNA(IF(AE234 &lt; (INDEX(SLATable[Maximum SLA],MATCH(G234,SLATable[Priority],0))),"YES","NO"),"")</f>
        <v/>
      </c>
    </row>
    <row r="235" spans="26:36" ht="15" customHeight="1">
      <c r="Z235" s="76" t="e">
        <f t="shared" ca="1" si="22"/>
        <v>#N/A</v>
      </c>
      <c r="AA235" s="75" t="e">
        <f t="shared" ca="1" si="23"/>
        <v>#N/A</v>
      </c>
      <c r="AB235" s="76">
        <f t="shared" ca="1" si="24"/>
        <v>0</v>
      </c>
      <c r="AC235" s="75">
        <f t="shared" ca="1" si="25"/>
        <v>0</v>
      </c>
      <c r="AD235" s="76">
        <f t="shared" ca="1" si="26"/>
        <v>12388.425643634258</v>
      </c>
      <c r="AE235" s="76">
        <f>SUMIFS(AB:AB,E:E,E235)</f>
        <v>0</v>
      </c>
      <c r="AF235" s="75">
        <f t="shared" si="27"/>
        <v>0</v>
      </c>
      <c r="AG235" s="76">
        <f t="shared" si="3"/>
        <v>0</v>
      </c>
      <c r="AH235" s="31" t="e" cm="1">
        <f t="array" aca="1" ref="AH235" ca="1">IF((AD235) &lt; (INDEX(ResponseSLA[#All],(MATCH((G235),ResponseSLA[Priority],0))+1,3)),"YES","No")</f>
        <v>#N/A</v>
      </c>
      <c r="AI235" s="31" t="str">
        <f>_xlfn.IFNA(IF(AE235 &lt; (INDEX(SLATable[Minimum SLA],MATCH(G235,SLATable[Priority],0))),"YES","NO"),"")</f>
        <v/>
      </c>
      <c r="AJ235" t="str">
        <f>_xlfn.IFNA(IF(AE235 &lt; (INDEX(SLATable[Maximum SLA],MATCH(G235,SLATable[Priority],0))),"YES","NO"),"")</f>
        <v/>
      </c>
    </row>
    <row r="236" spans="26:36" ht="15" customHeight="1">
      <c r="Z236" s="76" t="e">
        <f t="shared" ca="1" si="22"/>
        <v>#N/A</v>
      </c>
      <c r="AA236" s="75" t="e">
        <f t="shared" ca="1" si="23"/>
        <v>#N/A</v>
      </c>
      <c r="AB236" s="76">
        <f t="shared" ca="1" si="24"/>
        <v>0</v>
      </c>
      <c r="AC236" s="75">
        <f t="shared" ca="1" si="25"/>
        <v>0</v>
      </c>
      <c r="AD236" s="76">
        <f t="shared" ca="1" si="26"/>
        <v>12388.425643634258</v>
      </c>
      <c r="AE236" s="76">
        <f>SUMIFS(AB:AB,E:E,E236)</f>
        <v>0</v>
      </c>
      <c r="AF236" s="75">
        <f t="shared" si="27"/>
        <v>0</v>
      </c>
      <c r="AG236" s="76">
        <f t="shared" si="3"/>
        <v>0</v>
      </c>
      <c r="AH236" s="31" t="e" cm="1">
        <f t="array" aca="1" ref="AH236" ca="1">IF((AD236) &lt; (INDEX(ResponseSLA[#All],(MATCH((G236),ResponseSLA[Priority],0))+1,3)),"YES","No")</f>
        <v>#N/A</v>
      </c>
      <c r="AI236" s="31" t="str">
        <f>_xlfn.IFNA(IF(AE236 &lt; (INDEX(SLATable[Minimum SLA],MATCH(G236,SLATable[Priority],0))),"YES","NO"),"")</f>
        <v/>
      </c>
      <c r="AJ236" t="str">
        <f>_xlfn.IFNA(IF(AE236 &lt; (INDEX(SLATable[Maximum SLA],MATCH(G236,SLATable[Priority],0))),"YES","NO"),"")</f>
        <v/>
      </c>
    </row>
    <row r="237" spans="26:36" ht="15" customHeight="1">
      <c r="Z237" s="76" t="e">
        <f t="shared" ca="1" si="22"/>
        <v>#N/A</v>
      </c>
      <c r="AA237" s="75" t="e">
        <f t="shared" ca="1" si="23"/>
        <v>#N/A</v>
      </c>
      <c r="AB237" s="76">
        <f t="shared" ca="1" si="24"/>
        <v>0</v>
      </c>
      <c r="AC237" s="75">
        <f t="shared" ca="1" si="25"/>
        <v>0</v>
      </c>
      <c r="AD237" s="76">
        <f t="shared" ca="1" si="26"/>
        <v>12388.425643634258</v>
      </c>
      <c r="AE237" s="76">
        <f>SUMIFS(AB:AB,E:E,E237)</f>
        <v>0</v>
      </c>
      <c r="AF237" s="75">
        <f t="shared" si="27"/>
        <v>0</v>
      </c>
      <c r="AG237" s="76">
        <f t="shared" si="3"/>
        <v>0</v>
      </c>
      <c r="AH237" s="31" t="e" cm="1">
        <f t="array" aca="1" ref="AH237" ca="1">IF((AD237) &lt; (INDEX(ResponseSLA[#All],(MATCH((G237),ResponseSLA[Priority],0))+1,3)),"YES","No")</f>
        <v>#N/A</v>
      </c>
      <c r="AI237" s="31" t="str">
        <f>_xlfn.IFNA(IF(AE237 &lt; (INDEX(SLATable[Minimum SLA],MATCH(G237,SLATable[Priority],0))),"YES","NO"),"")</f>
        <v/>
      </c>
      <c r="AJ237" t="str">
        <f>_xlfn.IFNA(IF(AE237 &lt; (INDEX(SLATable[Maximum SLA],MATCH(G237,SLATable[Priority],0))),"YES","NO"),"")</f>
        <v/>
      </c>
    </row>
    <row r="238" spans="26:36" ht="15" customHeight="1">
      <c r="Z238" s="76" t="e">
        <f t="shared" ca="1" si="22"/>
        <v>#N/A</v>
      </c>
      <c r="AA238" s="75" t="e">
        <f t="shared" ca="1" si="23"/>
        <v>#N/A</v>
      </c>
      <c r="AB238" s="76">
        <f t="shared" ca="1" si="24"/>
        <v>0</v>
      </c>
      <c r="AC238" s="75">
        <f t="shared" ca="1" si="25"/>
        <v>0</v>
      </c>
      <c r="AD238" s="76">
        <f t="shared" ca="1" si="26"/>
        <v>12388.425643634258</v>
      </c>
      <c r="AE238" s="76">
        <f>SUMIFS(AB:AB,E:E,E238)</f>
        <v>0</v>
      </c>
      <c r="AF238" s="75">
        <f t="shared" si="27"/>
        <v>0</v>
      </c>
      <c r="AG238" s="76">
        <f t="shared" si="3"/>
        <v>0</v>
      </c>
      <c r="AH238" s="31" t="e" cm="1">
        <f t="array" aca="1" ref="AH238" ca="1">IF((AD238) &lt; (INDEX(ResponseSLA[#All],(MATCH((G238),ResponseSLA[Priority],0))+1,3)),"YES","No")</f>
        <v>#N/A</v>
      </c>
      <c r="AI238" s="31" t="str">
        <f>_xlfn.IFNA(IF(AE238 &lt; (INDEX(SLATable[Minimum SLA],MATCH(G238,SLATable[Priority],0))),"YES","NO"),"")</f>
        <v/>
      </c>
      <c r="AJ238" t="str">
        <f>_xlfn.IFNA(IF(AE238 &lt; (INDEX(SLATable[Maximum SLA],MATCH(G238,SLATable[Priority],0))),"YES","NO"),"")</f>
        <v/>
      </c>
    </row>
    <row r="239" spans="26:36" ht="15" customHeight="1">
      <c r="Z239" s="76" t="e">
        <f t="shared" ca="1" si="22"/>
        <v>#N/A</v>
      </c>
      <c r="AA239" s="75" t="e">
        <f t="shared" ca="1" si="23"/>
        <v>#N/A</v>
      </c>
      <c r="AB239" s="76">
        <f t="shared" ca="1" si="24"/>
        <v>0</v>
      </c>
      <c r="AC239" s="75">
        <f t="shared" ca="1" si="25"/>
        <v>0</v>
      </c>
      <c r="AD239" s="76">
        <f t="shared" ca="1" si="26"/>
        <v>12388.425643634258</v>
      </c>
      <c r="AE239" s="76">
        <f>SUMIFS(AB:AB,E:E,E239)</f>
        <v>0</v>
      </c>
      <c r="AF239" s="75">
        <f t="shared" si="27"/>
        <v>0</v>
      </c>
      <c r="AG239" s="76">
        <f t="shared" si="3"/>
        <v>0</v>
      </c>
      <c r="AH239" s="31" t="e" cm="1">
        <f t="array" aca="1" ref="AH239" ca="1">IF((AD239) &lt; (INDEX(ResponseSLA[#All],(MATCH((G239),ResponseSLA[Priority],0))+1,3)),"YES","No")</f>
        <v>#N/A</v>
      </c>
      <c r="AI239" s="31" t="str">
        <f>_xlfn.IFNA(IF(AE239 &lt; (INDEX(SLATable[Minimum SLA],MATCH(G239,SLATable[Priority],0))),"YES","NO"),"")</f>
        <v/>
      </c>
      <c r="AJ239" t="str">
        <f>_xlfn.IFNA(IF(AE239 &lt; (INDEX(SLATable[Maximum SLA],MATCH(G239,SLATable[Priority],0))),"YES","NO"),"")</f>
        <v/>
      </c>
    </row>
    <row r="240" spans="26:36" ht="15" customHeight="1">
      <c r="Z240" s="76" t="e">
        <f t="shared" ca="1" si="22"/>
        <v>#N/A</v>
      </c>
      <c r="AA240" s="75" t="e">
        <f t="shared" ca="1" si="23"/>
        <v>#N/A</v>
      </c>
      <c r="AB240" s="76">
        <f t="shared" ca="1" si="24"/>
        <v>0</v>
      </c>
      <c r="AC240" s="75">
        <f t="shared" ca="1" si="25"/>
        <v>0</v>
      </c>
      <c r="AD240" s="76">
        <f t="shared" ca="1" si="26"/>
        <v>12388.425643634258</v>
      </c>
      <c r="AE240" s="76">
        <f>SUMIFS(AB:AB,E:E,E240)</f>
        <v>0</v>
      </c>
      <c r="AF240" s="75">
        <f t="shared" si="27"/>
        <v>0</v>
      </c>
      <c r="AG240" s="76">
        <f t="shared" si="3"/>
        <v>0</v>
      </c>
      <c r="AH240" s="31" t="e" cm="1">
        <f t="array" aca="1" ref="AH240" ca="1">IF((AD240) &lt; (INDEX(ResponseSLA[#All],(MATCH((G240),ResponseSLA[Priority],0))+1,3)),"YES","No")</f>
        <v>#N/A</v>
      </c>
      <c r="AI240" s="31" t="str">
        <f>_xlfn.IFNA(IF(AE240 &lt; (INDEX(SLATable[Minimum SLA],MATCH(G240,SLATable[Priority],0))),"YES","NO"),"")</f>
        <v/>
      </c>
      <c r="AJ240" t="str">
        <f>_xlfn.IFNA(IF(AE240 &lt; (INDEX(SLATable[Maximum SLA],MATCH(G240,SLATable[Priority],0))),"YES","NO"),"")</f>
        <v/>
      </c>
    </row>
    <row r="241" spans="26:36" ht="15" customHeight="1">
      <c r="Z241" s="76" t="e">
        <f t="shared" ca="1" si="22"/>
        <v>#N/A</v>
      </c>
      <c r="AA241" s="75" t="e">
        <f t="shared" ca="1" si="23"/>
        <v>#N/A</v>
      </c>
      <c r="AB241" s="76">
        <f t="shared" ca="1" si="24"/>
        <v>0</v>
      </c>
      <c r="AC241" s="75">
        <f t="shared" ca="1" si="25"/>
        <v>0</v>
      </c>
      <c r="AD241" s="76">
        <f t="shared" ca="1" si="26"/>
        <v>12388.425643634258</v>
      </c>
      <c r="AE241" s="76">
        <f>SUMIFS(AB:AB,E:E,E241)</f>
        <v>0</v>
      </c>
      <c r="AF241" s="75">
        <f t="shared" si="27"/>
        <v>0</v>
      </c>
      <c r="AG241" s="76">
        <f t="shared" si="3"/>
        <v>0</v>
      </c>
      <c r="AH241" s="31" t="e" cm="1">
        <f t="array" aca="1" ref="AH241" ca="1">IF((AD241) &lt; (INDEX(ResponseSLA[#All],(MATCH((G241),ResponseSLA[Priority],0))+1,3)),"YES","No")</f>
        <v>#N/A</v>
      </c>
      <c r="AI241" s="31" t="str">
        <f>_xlfn.IFNA(IF(AE241 &lt; (INDEX(SLATable[Minimum SLA],MATCH(G241,SLATable[Priority],0))),"YES","NO"),"")</f>
        <v/>
      </c>
      <c r="AJ241" t="str">
        <f>_xlfn.IFNA(IF(AE241 &lt; (INDEX(SLATable[Maximum SLA],MATCH(G241,SLATable[Priority],0))),"YES","NO"),"")</f>
        <v/>
      </c>
    </row>
    <row r="242" spans="26:36" ht="15" customHeight="1">
      <c r="Z242" s="76" t="e">
        <f t="shared" ca="1" si="22"/>
        <v>#N/A</v>
      </c>
      <c r="AA242" s="75" t="e">
        <f t="shared" ca="1" si="23"/>
        <v>#N/A</v>
      </c>
      <c r="AB242" s="76">
        <f t="shared" ca="1" si="24"/>
        <v>0</v>
      </c>
      <c r="AC242" s="75">
        <f t="shared" ca="1" si="25"/>
        <v>0</v>
      </c>
      <c r="AD242" s="76">
        <f t="shared" ca="1" si="26"/>
        <v>12388.425643634258</v>
      </c>
      <c r="AE242" s="76">
        <f>SUMIFS(AB:AB,E:E,E242)</f>
        <v>0</v>
      </c>
      <c r="AF242" s="75">
        <f t="shared" si="27"/>
        <v>0</v>
      </c>
      <c r="AG242" s="76">
        <f t="shared" si="3"/>
        <v>0</v>
      </c>
      <c r="AH242" s="31" t="e" cm="1">
        <f t="array" aca="1" ref="AH242" ca="1">IF((AD242) &lt; (INDEX(ResponseSLA[#All],(MATCH((G242),ResponseSLA[Priority],0))+1,3)),"YES","No")</f>
        <v>#N/A</v>
      </c>
      <c r="AI242" s="31" t="str">
        <f>_xlfn.IFNA(IF(AE242 &lt; (INDEX(SLATable[Minimum SLA],MATCH(G242,SLATable[Priority],0))),"YES","NO"),"")</f>
        <v/>
      </c>
      <c r="AJ242" t="str">
        <f>_xlfn.IFNA(IF(AE242 &lt; (INDEX(SLATable[Maximum SLA],MATCH(G242,SLATable[Priority],0))),"YES","NO"),"")</f>
        <v/>
      </c>
    </row>
    <row r="243" spans="26:36" ht="15" customHeight="1">
      <c r="Z243" s="76" t="e">
        <f t="shared" ca="1" si="22"/>
        <v>#N/A</v>
      </c>
      <c r="AA243" s="75" t="e">
        <f t="shared" ca="1" si="23"/>
        <v>#N/A</v>
      </c>
      <c r="AB243" s="76">
        <f t="shared" ca="1" si="24"/>
        <v>0</v>
      </c>
      <c r="AC243" s="75">
        <f t="shared" ca="1" si="25"/>
        <v>0</v>
      </c>
      <c r="AD243" s="76">
        <f t="shared" ca="1" si="26"/>
        <v>12388.425643634258</v>
      </c>
      <c r="AE243" s="76">
        <f>SUMIFS(AB:AB,E:E,E243)</f>
        <v>0</v>
      </c>
      <c r="AF243" s="75">
        <f t="shared" si="27"/>
        <v>0</v>
      </c>
      <c r="AG243" s="76">
        <f t="shared" si="3"/>
        <v>0</v>
      </c>
      <c r="AH243" s="31" t="e" cm="1">
        <f t="array" aca="1" ref="AH243" ca="1">IF((AD243) &lt; (INDEX(ResponseSLA[#All],(MATCH((G243),ResponseSLA[Priority],0))+1,3)),"YES","No")</f>
        <v>#N/A</v>
      </c>
      <c r="AI243" s="31" t="str">
        <f>_xlfn.IFNA(IF(AE243 &lt; (INDEX(SLATable[Minimum SLA],MATCH(G243,SLATable[Priority],0))),"YES","NO"),"")</f>
        <v/>
      </c>
      <c r="AJ243" t="str">
        <f>_xlfn.IFNA(IF(AE243 &lt; (INDEX(SLATable[Maximum SLA],MATCH(G243,SLATable[Priority],0))),"YES","NO"),"")</f>
        <v/>
      </c>
    </row>
    <row r="244" spans="26:36" ht="15" customHeight="1">
      <c r="Z244" s="76" t="e">
        <f t="shared" ca="1" si="22"/>
        <v>#N/A</v>
      </c>
      <c r="AA244" s="75" t="e">
        <f t="shared" ca="1" si="23"/>
        <v>#N/A</v>
      </c>
      <c r="AB244" s="76">
        <f t="shared" ca="1" si="24"/>
        <v>0</v>
      </c>
      <c r="AC244" s="75">
        <f t="shared" ca="1" si="25"/>
        <v>0</v>
      </c>
      <c r="AD244" s="76">
        <f t="shared" ca="1" si="26"/>
        <v>12388.425643634258</v>
      </c>
      <c r="AE244" s="76">
        <f>SUMIFS(AB:AB,E:E,E244)</f>
        <v>0</v>
      </c>
      <c r="AF244" s="75">
        <f t="shared" si="27"/>
        <v>0</v>
      </c>
      <c r="AG244" s="76">
        <f t="shared" si="3"/>
        <v>0</v>
      </c>
      <c r="AH244" s="31" t="e" cm="1">
        <f t="array" aca="1" ref="AH244" ca="1">IF((AD244) &lt; (INDEX(ResponseSLA[#All],(MATCH((G244),ResponseSLA[Priority],0))+1,3)),"YES","No")</f>
        <v>#N/A</v>
      </c>
      <c r="AI244" s="31" t="str">
        <f>_xlfn.IFNA(IF(AE244 &lt; (INDEX(SLATable[Minimum SLA],MATCH(G244,SLATable[Priority],0))),"YES","NO"),"")</f>
        <v/>
      </c>
      <c r="AJ244" t="str">
        <f>_xlfn.IFNA(IF(AE244 &lt; (INDEX(SLATable[Maximum SLA],MATCH(G244,SLATable[Priority],0))),"YES","NO"),"")</f>
        <v/>
      </c>
    </row>
    <row r="245" spans="26:36" ht="15" customHeight="1">
      <c r="Z245" s="76" t="e">
        <f t="shared" ca="1" si="22"/>
        <v>#N/A</v>
      </c>
      <c r="AA245" s="75" t="e">
        <f t="shared" ca="1" si="23"/>
        <v>#N/A</v>
      </c>
      <c r="AB245" s="76">
        <f t="shared" ca="1" si="24"/>
        <v>0</v>
      </c>
      <c r="AC245" s="75">
        <f t="shared" ca="1" si="25"/>
        <v>0</v>
      </c>
      <c r="AD245" s="76">
        <f t="shared" ca="1" si="26"/>
        <v>12388.425643634258</v>
      </c>
      <c r="AE245" s="76">
        <f>SUMIFS(AB:AB,E:E,E245)</f>
        <v>0</v>
      </c>
      <c r="AF245" s="75">
        <f t="shared" si="27"/>
        <v>0</v>
      </c>
      <c r="AG245" s="76">
        <f t="shared" si="3"/>
        <v>0</v>
      </c>
      <c r="AH245" s="31" t="e" cm="1">
        <f t="array" aca="1" ref="AH245" ca="1">IF((AD245) &lt; (INDEX(ResponseSLA[#All],(MATCH((G245),ResponseSLA[Priority],0))+1,3)),"YES","No")</f>
        <v>#N/A</v>
      </c>
      <c r="AI245" s="31" t="str">
        <f>_xlfn.IFNA(IF(AE245 &lt; (INDEX(SLATable[Minimum SLA],MATCH(G245,SLATable[Priority],0))),"YES","NO"),"")</f>
        <v/>
      </c>
      <c r="AJ245" t="str">
        <f>_xlfn.IFNA(IF(AE245 &lt; (INDEX(SLATable[Maximum SLA],MATCH(G245,SLATable[Priority],0))),"YES","NO"),"")</f>
        <v/>
      </c>
    </row>
    <row r="246" spans="26:36" ht="15" customHeight="1">
      <c r="Z246" s="76" t="e">
        <f t="shared" ca="1" si="22"/>
        <v>#N/A</v>
      </c>
      <c r="AA246" s="75" t="e">
        <f t="shared" ca="1" si="23"/>
        <v>#N/A</v>
      </c>
      <c r="AB246" s="76">
        <f t="shared" ca="1" si="24"/>
        <v>0</v>
      </c>
      <c r="AC246" s="75">
        <f t="shared" ca="1" si="25"/>
        <v>0</v>
      </c>
      <c r="AD246" s="76">
        <f t="shared" ca="1" si="26"/>
        <v>12388.425643634258</v>
      </c>
      <c r="AE246" s="76">
        <f>SUMIFS(AB:AB,E:E,E246)</f>
        <v>0</v>
      </c>
      <c r="AF246" s="75">
        <f t="shared" si="27"/>
        <v>0</v>
      </c>
      <c r="AG246" s="76">
        <f t="shared" si="3"/>
        <v>0</v>
      </c>
      <c r="AH246" s="31" t="e" cm="1">
        <f t="array" aca="1" ref="AH246" ca="1">IF((AD246) &lt; (INDEX(ResponseSLA[#All],(MATCH((G246),ResponseSLA[Priority],0))+1,3)),"YES","No")</f>
        <v>#N/A</v>
      </c>
      <c r="AI246" s="31" t="str">
        <f>_xlfn.IFNA(IF(AE246 &lt; (INDEX(SLATable[Minimum SLA],MATCH(G246,SLATable[Priority],0))),"YES","NO"),"")</f>
        <v/>
      </c>
      <c r="AJ246" t="str">
        <f>_xlfn.IFNA(IF(AE246 &lt; (INDEX(SLATable[Maximum SLA],MATCH(G246,SLATable[Priority],0))),"YES","NO"),"")</f>
        <v/>
      </c>
    </row>
    <row r="247" spans="26:36" ht="15" customHeight="1">
      <c r="Z247" s="76" t="e">
        <f t="shared" ca="1" si="22"/>
        <v>#N/A</v>
      </c>
      <c r="AA247" s="75" t="e">
        <f t="shared" ca="1" si="23"/>
        <v>#N/A</v>
      </c>
      <c r="AB247" s="76">
        <f t="shared" ca="1" si="24"/>
        <v>0</v>
      </c>
      <c r="AC247" s="75">
        <f t="shared" ca="1" si="25"/>
        <v>0</v>
      </c>
      <c r="AD247" s="76">
        <f t="shared" ca="1" si="26"/>
        <v>12388.425643634258</v>
      </c>
      <c r="AE247" s="76">
        <f>SUMIFS(AB:AB,E:E,E247)</f>
        <v>0</v>
      </c>
      <c r="AF247" s="75">
        <f t="shared" si="27"/>
        <v>0</v>
      </c>
      <c r="AG247" s="76">
        <f t="shared" si="3"/>
        <v>0</v>
      </c>
      <c r="AH247" s="31" t="e" cm="1">
        <f t="array" aca="1" ref="AH247" ca="1">IF((AD247) &lt; (INDEX(ResponseSLA[#All],(MATCH((G247),ResponseSLA[Priority],0))+1,3)),"YES","No")</f>
        <v>#N/A</v>
      </c>
      <c r="AI247" s="31" t="str">
        <f>_xlfn.IFNA(IF(AE247 &lt; (INDEX(SLATable[Minimum SLA],MATCH(G247,SLATable[Priority],0))),"YES","NO"),"")</f>
        <v/>
      </c>
      <c r="AJ247" t="str">
        <f>_xlfn.IFNA(IF(AE247 &lt; (INDEX(SLATable[Maximum SLA],MATCH(G247,SLATable[Priority],0))),"YES","NO"),"")</f>
        <v/>
      </c>
    </row>
    <row r="248" spans="26:36" ht="15" customHeight="1">
      <c r="Z248" s="76" t="e">
        <f t="shared" ca="1" si="22"/>
        <v>#N/A</v>
      </c>
      <c r="AA248" s="75" t="e">
        <f t="shared" ca="1" si="23"/>
        <v>#N/A</v>
      </c>
      <c r="AB248" s="76">
        <f t="shared" ca="1" si="24"/>
        <v>0</v>
      </c>
      <c r="AC248" s="75">
        <f t="shared" ca="1" si="25"/>
        <v>0</v>
      </c>
      <c r="AD248" s="76">
        <f t="shared" ca="1" si="26"/>
        <v>12388.425643634258</v>
      </c>
      <c r="AE248" s="76">
        <f>SUMIFS(AB:AB,E:E,E248)</f>
        <v>0</v>
      </c>
      <c r="AF248" s="75">
        <f t="shared" si="27"/>
        <v>0</v>
      </c>
      <c r="AG248" s="76">
        <f t="shared" si="3"/>
        <v>0</v>
      </c>
      <c r="AH248" s="31" t="e" cm="1">
        <f t="array" aca="1" ref="AH248" ca="1">IF((AD248) &lt; (INDEX(ResponseSLA[#All],(MATCH((G248),ResponseSLA[Priority],0))+1,3)),"YES","No")</f>
        <v>#N/A</v>
      </c>
      <c r="AI248" s="31" t="str">
        <f>_xlfn.IFNA(IF(AE248 &lt; (INDEX(SLATable[Minimum SLA],MATCH(G248,SLATable[Priority],0))),"YES","NO"),"")</f>
        <v/>
      </c>
      <c r="AJ248" t="str">
        <f>_xlfn.IFNA(IF(AE248 &lt; (INDEX(SLATable[Maximum SLA],MATCH(G248,SLATable[Priority],0))),"YES","NO"),"")</f>
        <v/>
      </c>
    </row>
    <row r="249" spans="26:36" ht="15" customHeight="1">
      <c r="Z249" s="76" t="e">
        <f t="shared" ca="1" si="22"/>
        <v>#N/A</v>
      </c>
      <c r="AA249" s="75" t="e">
        <f t="shared" ca="1" si="23"/>
        <v>#N/A</v>
      </c>
      <c r="AB249" s="76">
        <f t="shared" ca="1" si="24"/>
        <v>0</v>
      </c>
      <c r="AC249" s="75">
        <f t="shared" ca="1" si="25"/>
        <v>0</v>
      </c>
      <c r="AD249" s="76">
        <f t="shared" ca="1" si="26"/>
        <v>12388.425643634258</v>
      </c>
      <c r="AE249" s="76">
        <f>SUMIFS(AB:AB,E:E,E249)</f>
        <v>0</v>
      </c>
      <c r="AF249" s="75">
        <f t="shared" si="27"/>
        <v>0</v>
      </c>
      <c r="AG249" s="76">
        <f t="shared" si="3"/>
        <v>0</v>
      </c>
      <c r="AH249" s="31" t="e" cm="1">
        <f t="array" aca="1" ref="AH249" ca="1">IF((AD249) &lt; (INDEX(ResponseSLA[#All],(MATCH((G249),ResponseSLA[Priority],0))+1,3)),"YES","No")</f>
        <v>#N/A</v>
      </c>
      <c r="AI249" s="31" t="str">
        <f>_xlfn.IFNA(IF(AE249 &lt; (INDEX(SLATable[Minimum SLA],MATCH(G249,SLATable[Priority],0))),"YES","NO"),"")</f>
        <v/>
      </c>
      <c r="AJ249" t="str">
        <f>_xlfn.IFNA(IF(AE249 &lt; (INDEX(SLATable[Maximum SLA],MATCH(G249,SLATable[Priority],0))),"YES","NO"),"")</f>
        <v/>
      </c>
    </row>
    <row r="250" spans="26:36" ht="15" customHeight="1">
      <c r="Z250" s="76" t="e">
        <f t="shared" ca="1" si="22"/>
        <v>#N/A</v>
      </c>
      <c r="AA250" s="75" t="e">
        <f t="shared" ca="1" si="23"/>
        <v>#N/A</v>
      </c>
      <c r="AB250" s="76">
        <f t="shared" ca="1" si="24"/>
        <v>0</v>
      </c>
      <c r="AC250" s="75">
        <f t="shared" ca="1" si="25"/>
        <v>0</v>
      </c>
      <c r="AD250" s="76">
        <f t="shared" ca="1" si="26"/>
        <v>12388.425643634258</v>
      </c>
      <c r="AE250" s="76">
        <f>SUMIFS(AB:AB,E:E,E250)</f>
        <v>0</v>
      </c>
      <c r="AF250" s="75">
        <f t="shared" si="27"/>
        <v>0</v>
      </c>
      <c r="AG250" s="76">
        <f t="shared" si="3"/>
        <v>0</v>
      </c>
      <c r="AH250" s="31" t="e" cm="1">
        <f t="array" aca="1" ref="AH250" ca="1">IF((AD250) &lt; (INDEX(ResponseSLA[#All],(MATCH((G250),ResponseSLA[Priority],0))+1,3)),"YES","No")</f>
        <v>#N/A</v>
      </c>
      <c r="AI250" s="31" t="str">
        <f>_xlfn.IFNA(IF(AE250 &lt; (INDEX(SLATable[Minimum SLA],MATCH(G250,SLATable[Priority],0))),"YES","NO"),"")</f>
        <v/>
      </c>
      <c r="AJ250" t="str">
        <f>_xlfn.IFNA(IF(AE250 &lt; (INDEX(SLATable[Maximum SLA],MATCH(G250,SLATable[Priority],0))),"YES","NO"),"")</f>
        <v/>
      </c>
    </row>
    <row r="251" spans="26:36" ht="15" customHeight="1">
      <c r="Z251" s="76" t="e">
        <f t="shared" ca="1" si="22"/>
        <v>#N/A</v>
      </c>
      <c r="AA251" s="75" t="e">
        <f t="shared" ca="1" si="23"/>
        <v>#N/A</v>
      </c>
      <c r="AB251" s="76">
        <f t="shared" ca="1" si="24"/>
        <v>0</v>
      </c>
      <c r="AC251" s="75">
        <f t="shared" ca="1" si="25"/>
        <v>0</v>
      </c>
      <c r="AD251" s="76">
        <f t="shared" ca="1" si="26"/>
        <v>12388.425643634258</v>
      </c>
      <c r="AE251" s="76">
        <f>SUMIFS(AB:AB,E:E,E251)</f>
        <v>0</v>
      </c>
      <c r="AF251" s="75">
        <f t="shared" si="27"/>
        <v>0</v>
      </c>
      <c r="AG251" s="76">
        <f t="shared" si="3"/>
        <v>0</v>
      </c>
      <c r="AH251" s="31" t="e" cm="1">
        <f t="array" aca="1" ref="AH251" ca="1">IF((AD251) &lt; (INDEX(ResponseSLA[#All],(MATCH((G251),ResponseSLA[Priority],0))+1,3)),"YES","No")</f>
        <v>#N/A</v>
      </c>
      <c r="AI251" s="31" t="str">
        <f>_xlfn.IFNA(IF(AE251 &lt; (INDEX(SLATable[Minimum SLA],MATCH(G251,SLATable[Priority],0))),"YES","NO"),"")</f>
        <v/>
      </c>
      <c r="AJ251" t="str">
        <f>_xlfn.IFNA(IF(AE251 &lt; (INDEX(SLATable[Maximum SLA],MATCH(G251,SLATable[Priority],0))),"YES","NO"),"")</f>
        <v/>
      </c>
    </row>
    <row r="252" spans="26:36" ht="15" customHeight="1">
      <c r="Z252" s="76" t="e">
        <f t="shared" ca="1" si="22"/>
        <v>#N/A</v>
      </c>
      <c r="AA252" s="75" t="e">
        <f t="shared" ca="1" si="23"/>
        <v>#N/A</v>
      </c>
      <c r="AB252" s="76">
        <f t="shared" ca="1" si="24"/>
        <v>0</v>
      </c>
      <c r="AC252" s="75">
        <f t="shared" ca="1" si="25"/>
        <v>0</v>
      </c>
      <c r="AD252" s="76">
        <f t="shared" ca="1" si="26"/>
        <v>12388.425643634258</v>
      </c>
      <c r="AE252" s="76">
        <f>SUMIFS(AB:AB,E:E,E252)</f>
        <v>0</v>
      </c>
      <c r="AF252" s="75">
        <f t="shared" si="27"/>
        <v>0</v>
      </c>
      <c r="AG252" s="76">
        <f t="shared" si="3"/>
        <v>0</v>
      </c>
      <c r="AH252" s="31" t="e" cm="1">
        <f t="array" aca="1" ref="AH252" ca="1">IF((AD252) &lt; (INDEX(ResponseSLA[#All],(MATCH((G252),ResponseSLA[Priority],0))+1,3)),"YES","No")</f>
        <v>#N/A</v>
      </c>
      <c r="AI252" s="31" t="str">
        <f>_xlfn.IFNA(IF(AE252 &lt; (INDEX(SLATable[Minimum SLA],MATCH(G252,SLATable[Priority],0))),"YES","NO"),"")</f>
        <v/>
      </c>
      <c r="AJ252" t="str">
        <f>_xlfn.IFNA(IF(AE252 &lt; (INDEX(SLATable[Maximum SLA],MATCH(G252,SLATable[Priority],0))),"YES","NO"),"")</f>
        <v/>
      </c>
    </row>
    <row r="253" spans="26:36" ht="15" customHeight="1">
      <c r="Z253" s="76" t="e">
        <f t="shared" ca="1" si="22"/>
        <v>#N/A</v>
      </c>
      <c r="AA253" s="75" t="e">
        <f t="shared" ca="1" si="23"/>
        <v>#N/A</v>
      </c>
      <c r="AB253" s="76">
        <f t="shared" ca="1" si="24"/>
        <v>0</v>
      </c>
      <c r="AC253" s="75">
        <f t="shared" ca="1" si="25"/>
        <v>0</v>
      </c>
      <c r="AD253" s="76">
        <f t="shared" ca="1" si="26"/>
        <v>12388.425643634258</v>
      </c>
      <c r="AE253" s="76">
        <f>SUMIFS(AB:AB,E:E,E253)</f>
        <v>0</v>
      </c>
      <c r="AF253" s="75">
        <f t="shared" si="27"/>
        <v>0</v>
      </c>
      <c r="AG253" s="76">
        <f t="shared" si="3"/>
        <v>0</v>
      </c>
      <c r="AH253" s="31" t="e" cm="1">
        <f t="array" aca="1" ref="AH253" ca="1">IF((AD253) &lt; (INDEX(ResponseSLA[#All],(MATCH((G253),ResponseSLA[Priority],0))+1,3)),"YES","No")</f>
        <v>#N/A</v>
      </c>
      <c r="AI253" s="31" t="str">
        <f>_xlfn.IFNA(IF(AE253 &lt; (INDEX(SLATable[Minimum SLA],MATCH(G253,SLATable[Priority],0))),"YES","NO"),"")</f>
        <v/>
      </c>
      <c r="AJ253" t="str">
        <f>_xlfn.IFNA(IF(AE253 &lt; (INDEX(SLATable[Maximum SLA],MATCH(G253,SLATable[Priority],0))),"YES","NO"),"")</f>
        <v/>
      </c>
    </row>
    <row r="254" spans="26:36" ht="15" customHeight="1">
      <c r="Z254" s="76" t="e">
        <f t="shared" ca="1" si="22"/>
        <v>#N/A</v>
      </c>
      <c r="AA254" s="75" t="e">
        <f t="shared" ca="1" si="23"/>
        <v>#N/A</v>
      </c>
      <c r="AB254" s="76">
        <f t="shared" ca="1" si="24"/>
        <v>0</v>
      </c>
      <c r="AC254" s="75">
        <f t="shared" ca="1" si="25"/>
        <v>0</v>
      </c>
      <c r="AD254" s="76">
        <f t="shared" ca="1" si="26"/>
        <v>12388.425643634258</v>
      </c>
      <c r="AE254" s="76">
        <f>SUMIFS(AB:AB,E:E,E254)</f>
        <v>0</v>
      </c>
      <c r="AF254" s="75">
        <f t="shared" si="27"/>
        <v>0</v>
      </c>
      <c r="AG254" s="76">
        <f t="shared" si="3"/>
        <v>0</v>
      </c>
      <c r="AH254" s="31" t="e" cm="1">
        <f t="array" aca="1" ref="AH254" ca="1">IF((AD254) &lt; (INDEX(ResponseSLA[#All],(MATCH((G254),ResponseSLA[Priority],0))+1,3)),"YES","No")</f>
        <v>#N/A</v>
      </c>
      <c r="AI254" s="31" t="str">
        <f>_xlfn.IFNA(IF(AE254 &lt; (INDEX(SLATable[Minimum SLA],MATCH(G254,SLATable[Priority],0))),"YES","NO"),"")</f>
        <v/>
      </c>
      <c r="AJ254" t="str">
        <f>_xlfn.IFNA(IF(AE254 &lt; (INDEX(SLATable[Maximum SLA],MATCH(G254,SLATable[Priority],0))),"YES","NO"),"")</f>
        <v/>
      </c>
    </row>
    <row r="255" spans="26:36" ht="15" customHeight="1">
      <c r="Z255" s="76" t="e">
        <f t="shared" ca="1" si="22"/>
        <v>#N/A</v>
      </c>
      <c r="AA255" s="75" t="e">
        <f t="shared" ca="1" si="23"/>
        <v>#N/A</v>
      </c>
      <c r="AB255" s="76">
        <f t="shared" ca="1" si="24"/>
        <v>0</v>
      </c>
      <c r="AC255" s="75">
        <f t="shared" ca="1" si="25"/>
        <v>0</v>
      </c>
      <c r="AD255" s="76">
        <f t="shared" ca="1" si="26"/>
        <v>12388.425643634258</v>
      </c>
      <c r="AE255" s="76">
        <f>SUMIFS(AB:AB,E:E,E255)</f>
        <v>0</v>
      </c>
      <c r="AF255" s="75">
        <f t="shared" si="27"/>
        <v>0</v>
      </c>
      <c r="AG255" s="76">
        <f t="shared" si="3"/>
        <v>0</v>
      </c>
      <c r="AH255" s="31" t="e" cm="1">
        <f t="array" aca="1" ref="AH255" ca="1">IF((AD255) &lt; (INDEX(ResponseSLA[#All],(MATCH((G255),ResponseSLA[Priority],0))+1,3)),"YES","No")</f>
        <v>#N/A</v>
      </c>
      <c r="AI255" s="31" t="str">
        <f>_xlfn.IFNA(IF(AE255 &lt; (INDEX(SLATable[Minimum SLA],MATCH(G255,SLATable[Priority],0))),"YES","NO"),"")</f>
        <v/>
      </c>
      <c r="AJ255" t="str">
        <f>_xlfn.IFNA(IF(AE255 &lt; (INDEX(SLATable[Maximum SLA],MATCH(G255,SLATable[Priority],0))),"YES","NO"),"")</f>
        <v/>
      </c>
    </row>
    <row r="256" spans="26:36" ht="15" customHeight="1">
      <c r="Z256" s="76" t="e">
        <f t="shared" ca="1" si="22"/>
        <v>#N/A</v>
      </c>
      <c r="AA256" s="75" t="e">
        <f t="shared" ca="1" si="23"/>
        <v>#N/A</v>
      </c>
      <c r="AB256" s="76">
        <f t="shared" ca="1" si="24"/>
        <v>0</v>
      </c>
      <c r="AC256" s="75">
        <f t="shared" ca="1" si="25"/>
        <v>0</v>
      </c>
      <c r="AD256" s="76">
        <f t="shared" ca="1" si="26"/>
        <v>12388.425643634258</v>
      </c>
      <c r="AE256" s="76">
        <f>SUMIFS(AB:AB,E:E,E256)</f>
        <v>0</v>
      </c>
      <c r="AF256" s="75">
        <f t="shared" si="27"/>
        <v>0</v>
      </c>
      <c r="AG256" s="76">
        <f t="shared" si="3"/>
        <v>0</v>
      </c>
      <c r="AH256" s="31" t="e" cm="1">
        <f t="array" aca="1" ref="AH256" ca="1">IF((AD256) &lt; (INDEX(ResponseSLA[#All],(MATCH((G256),ResponseSLA[Priority],0))+1,3)),"YES","No")</f>
        <v>#N/A</v>
      </c>
      <c r="AI256" s="31" t="str">
        <f>_xlfn.IFNA(IF(AE256 &lt; (INDEX(SLATable[Minimum SLA],MATCH(G256,SLATable[Priority],0))),"YES","NO"),"")</f>
        <v/>
      </c>
      <c r="AJ256" t="str">
        <f>_xlfn.IFNA(IF(AE256 &lt; (INDEX(SLATable[Maximum SLA],MATCH(G256,SLATable[Priority],0))),"YES","NO"),"")</f>
        <v/>
      </c>
    </row>
    <row r="257" spans="26:36" ht="15" customHeight="1">
      <c r="Z257" s="76" t="e">
        <f t="shared" ca="1" si="22"/>
        <v>#N/A</v>
      </c>
      <c r="AA257" s="75" t="e">
        <f t="shared" ca="1" si="23"/>
        <v>#N/A</v>
      </c>
      <c r="AB257" s="76">
        <f t="shared" ca="1" si="24"/>
        <v>0</v>
      </c>
      <c r="AC257" s="75">
        <f t="shared" ca="1" si="25"/>
        <v>0</v>
      </c>
      <c r="AD257" s="76">
        <f t="shared" ca="1" si="26"/>
        <v>12388.425643634258</v>
      </c>
      <c r="AE257" s="76">
        <f>SUMIFS(AB:AB,E:E,E257)</f>
        <v>0</v>
      </c>
      <c r="AF257" s="75">
        <f t="shared" si="27"/>
        <v>0</v>
      </c>
      <c r="AG257" s="76">
        <f t="shared" ref="AG257:AG320" si="28">AF257</f>
        <v>0</v>
      </c>
      <c r="AH257" s="31" t="e" cm="1">
        <f t="array" aca="1" ref="AH257" ca="1">IF((AD257) &lt; (INDEX(ResponseSLA[#All],(MATCH((G257),ResponseSLA[Priority],0))+1,3)),"YES","No")</f>
        <v>#N/A</v>
      </c>
      <c r="AI257" s="31" t="str">
        <f>_xlfn.IFNA(IF(AE257 &lt; (INDEX(SLATable[Minimum SLA],MATCH(G257,SLATable[Priority],0))),"YES","NO"),"")</f>
        <v/>
      </c>
      <c r="AJ257" t="str">
        <f>_xlfn.IFNA(IF(AE257 &lt; (INDEX(SLATable[Maximum SLA],MATCH(G257,SLATable[Priority],0))),"YES","NO"),"")</f>
        <v/>
      </c>
    </row>
    <row r="258" spans="26:36" ht="15" customHeight="1">
      <c r="Z258" s="76" t="e">
        <f t="shared" ca="1" si="22"/>
        <v>#N/A</v>
      </c>
      <c r="AA258" s="75" t="e">
        <f t="shared" ca="1" si="23"/>
        <v>#N/A</v>
      </c>
      <c r="AB258" s="76">
        <f t="shared" ca="1" si="24"/>
        <v>0</v>
      </c>
      <c r="AC258" s="75">
        <f t="shared" ca="1" si="25"/>
        <v>0</v>
      </c>
      <c r="AD258" s="76">
        <f t="shared" ca="1" si="26"/>
        <v>12388.425643634258</v>
      </c>
      <c r="AE258" s="76">
        <f>SUMIFS(AB:AB,E:E,E258)</f>
        <v>0</v>
      </c>
      <c r="AF258" s="75">
        <f t="shared" si="27"/>
        <v>0</v>
      </c>
      <c r="AG258" s="76">
        <f t="shared" si="28"/>
        <v>0</v>
      </c>
      <c r="AH258" s="31" t="e" cm="1">
        <f t="array" aca="1" ref="AH258" ca="1">IF((AD258) &lt; (INDEX(ResponseSLA[#All],(MATCH((G258),ResponseSLA[Priority],0))+1,3)),"YES","No")</f>
        <v>#N/A</v>
      </c>
      <c r="AI258" s="31" t="str">
        <f>_xlfn.IFNA(IF(AE258 &lt; (INDEX(SLATable[Minimum SLA],MATCH(G258,SLATable[Priority],0))),"YES","NO"),"")</f>
        <v/>
      </c>
      <c r="AJ258" t="str">
        <f>_xlfn.IFNA(IF(AE258 &lt; (INDEX(SLATable[Maximum SLA],MATCH(G258,SLATable[Priority],0))),"YES","NO"),"")</f>
        <v/>
      </c>
    </row>
    <row r="259" spans="26:36" ht="15" customHeight="1">
      <c r="Z259" s="76" t="e">
        <f t="shared" ref="Z259:Z322" ca="1" si="29">IF(NOT(OR(G259=1,G259=2)),MAX(0,_xlfn.IFS(AND(K259&lt;&gt;"",N259&lt;&gt;""),((MAX(NETWORKDAYS(K259,N259,UKBankHolidays)-1,0))*(TIME(17,0,0)-TIME(8,0,0))+IF(NETWORKDAYS(N259,N259,UKBankHolidays)&gt;0,MEDIAN(TIME(8,0,0),MOD(N259,1),TIME(17,0,0)),TIME(8,0,0))-IF(NETWORKDAYS(K259,K259,UKBankHolidays)&gt;0,MEDIAN(TIME(8,0,0),MOD(K259,1),TIME(17,0,0)),TIME(8,0,0)))-IF(AND(O259&lt;&gt;"",P259&lt;&gt;""),((MAX(NETWORKDAYS(O259,P259,UKBankHolidays)-1,0))*(TIME(17,0,0)-TIME(8,0,0))+IF(NETWORKDAYS(P259,P259,UKBankHolidays)&gt;0,MEDIAN(TIME(8,0,0),MOD(P259,1),TIME(17,0,0)),TIME(8,0,0))-IF(NETWORKDAYS(O259,O259,UKBankHolidays)&gt;0,MEDIAN(TIME(8,0,0),MOD(O259,1),TIME(17,0,0)),TIME(8,0,0))),0),AND(K259&lt;&gt;"",N259=""),((MAX(NETWORKDAYS(K259,NOW(),UKBankHolidays)-1,0))*(TIME(17,0,0)-TIME(8,0,0))+IF(NETWORKDAYS(NOW(),NOW(),UKBankHolidays)&gt;0,MEDIAN(TIME(8,0,0),MOD(NOW(),1),TIME(17,0,0)),TIME(8,0,0))-IF(NETWORKDAYS(K259,K259,UKBankHolidays)&gt;0,MEDIAN(TIME(8,0,0),MOD(K259,1),TIME(17,0,0)),TIME(8,0,0))))),IF(N259="",NOW()-K259,N259-K259))</f>
        <v>#N/A</v>
      </c>
      <c r="AA259" s="75" t="e">
        <f t="shared" ref="AA259:AA322" ca="1" si="30">(Z259*24)/9</f>
        <v>#N/A</v>
      </c>
      <c r="AB259" s="76">
        <f t="shared" ref="AB259:AB322" ca="1" si="31">IF(NOT(OR(G259=1,G259=2)),MAX(0,_xlfn.IFS(AND(K259&lt;&gt;"",N259&lt;&gt;""),(((MAX(NETWORKDAYS(L259,N259,UKBankHolidays)-1,0))*(TIME(17,0,0)-TIME(8,0,0)))+IF(NETWORKDAYS(N259,N259,UKBankHolidays)&gt;0,MEDIAN(TIME(8,0,0),MOD(N259,1),TIME(17,0,0)),TIME(8,0,0))-IF(NETWORKDAYS(L259,L259,UKBankHolidays)&gt;0,MEDIAN(TIME(8,0,0),MOD(L259,1),TIME(17,0,0)),TIME(8,0,0)))-IF(AND(O259&lt;&gt;"",P259&lt;&gt;""),(((MAX(NETWORKDAYS(O259,P259,UKBankHolidays)-1,0))*(TIME(17,0,0)-TIME(8,0,0)))+IF(NETWORKDAYS(P259,P259,UKBankHolidays)&gt;0,MEDIAN(TIME(8,0,0),MOD(P259,1),TIME(17,0,0)),TIME(8,0,0))-IF(NETWORKDAYS(O259,O259,UKBankHolidays)&gt;0,MEDIAN(TIME(8,0,0),MOD(O259,1),TIME(17,0,0)),TIME(8,0,0))),0),AND(L259&lt;&gt;"",N259="",O259=""),(((MAX(NETWORKDAYS(L259,NOW(),UKBankHolidays)-1,0))*(TIME(17,0,0)-TIME(8,0,0)))+IF(NETWORKDAYS(NOW(),NOW(),UKBankHolidays)&gt;0,MEDIAN(TIME(8,0,0),MOD(NOW(),1),TIME(17,0,0)),TIME(8,0,0))-IF(NETWORKDAYS(L259,L259,UKBankHolidays)&gt;0,MEDIAN(TIME(8,0,0),MOD(L259,1),TIME(17,0,0)),TIME(8,0,0)))-IF(AND(O259&lt;&gt;"",P259&lt;&gt;""),(((MAX(NETWORKDAYS(O259,P259,UKBankHolidays)-1,0))*(TIME(17,0,0)-TIME(8,0,0)))+IF(NETWORKDAYS(P259,P259,UKBankHolidays)&gt;0,MEDIAN(TIME(8,0,0),MOD(P259,1),TIME(17,0,0)),TIME(8,0,0))-IF(NETWORKDAYS(O259,O259,UKBankHolidays)&gt;0,MEDIAN(TIME(8,0,0),MOD(O259,1),TIME(17,0,0)),TIME(8,0,0))),0),AND(L259&lt;&gt;"",N259="",P259="",O259&lt;&gt;""),(((MAX(NETWORKDAYS(L259,O259,UKBankHolidays)-1,0))*(TIME(17,0,0)-TIME(8,0,0)))+IF(NETWORKDAYS(O259,O259,UKBankHolidays)&gt;0,MEDIAN(TIME(8,0,0),MOD(O259,1),TIME(17,0,0)),TIME(8,0,0))-IF(NETWORKDAYS(L259,L259,UKBankHolidays)&gt;0,MEDIAN(TIME(8,0,0),MOD(L259,1),TIME(17,0,0)),TIME(8,0,0))),ISBLANK(K259),"0")),IF(ISBLANK(N259),NOW()-L259,N259-L259))</f>
        <v>0</v>
      </c>
      <c r="AC259" s="75">
        <f t="shared" ref="AC259:AC322" ca="1" si="32">(AB259*24)/9</f>
        <v>0</v>
      </c>
      <c r="AD259" s="76">
        <f t="shared" ref="AD259:AD322" ca="1" si="33">MAX(0,IF(NOT(OR(G259=1,G259=2)),IF(M259&lt;&gt;"",((MAX(NETWORKDAYS(L259,M259,UKBankHolidays)-1,0))*(TIME(17,0,0)-TIME(8,0,0))+IF(NETWORKDAYS(M259,M259,UKBankHolidays)&gt;0,MEDIAN(TIME(8,0,0),MOD(M259,1),TIME(17,0,0)),TIME(8,0,0))-MEDIAN(TIME(8,0,0),MOD(L259,1),TIME(17,0,0))),((MAX(NETWORKDAYS(L259,NOW(),UKBankHolidays)-1,0))*(TIME(17,0,0)-TIME(8,0,0))+IF(NETWORKDAYS(NOW(),NOW(),UKBankHolidays)&gt;0,MEDIAN(TIME(8,0,0),MOD(NOW(),1),TIME(17,0,0)),TIME(8,0,0))-MEDIAN(TIME(8,0,0),MOD(L259,1),TIME(17,0,0)))),IF(M259&lt;&gt;"",M259-L259,NOW()-L259)))</f>
        <v>12388.425643634258</v>
      </c>
      <c r="AE259" s="76">
        <f>SUMIFS(AB:AB,E:E,E259)</f>
        <v>0</v>
      </c>
      <c r="AF259" s="75">
        <f t="shared" ref="AF259:AF322" si="34">(AE259*24)/9</f>
        <v>0</v>
      </c>
      <c r="AG259" s="76">
        <f t="shared" si="28"/>
        <v>0</v>
      </c>
      <c r="AH259" s="31" t="e" cm="1">
        <f t="array" aca="1" ref="AH259" ca="1">IF((AD259) &lt; (INDEX(ResponseSLA[#All],(MATCH((G259),ResponseSLA[Priority],0))+1,3)),"YES","No")</f>
        <v>#N/A</v>
      </c>
      <c r="AI259" s="31" t="str">
        <f>_xlfn.IFNA(IF(AE259 &lt; (INDEX(SLATable[Minimum SLA],MATCH(G259,SLATable[Priority],0))),"YES","NO"),"")</f>
        <v/>
      </c>
      <c r="AJ259" t="str">
        <f>_xlfn.IFNA(IF(AE259 &lt; (INDEX(SLATable[Maximum SLA],MATCH(G259,SLATable[Priority],0))),"YES","NO"),"")</f>
        <v/>
      </c>
    </row>
    <row r="260" spans="26:36" ht="15" customHeight="1">
      <c r="Z260" s="76" t="e">
        <f t="shared" ca="1" si="29"/>
        <v>#N/A</v>
      </c>
      <c r="AA260" s="75" t="e">
        <f t="shared" ca="1" si="30"/>
        <v>#N/A</v>
      </c>
      <c r="AB260" s="76">
        <f t="shared" ca="1" si="31"/>
        <v>0</v>
      </c>
      <c r="AC260" s="75">
        <f t="shared" ca="1" si="32"/>
        <v>0</v>
      </c>
      <c r="AD260" s="76">
        <f t="shared" ca="1" si="33"/>
        <v>12388.425643634258</v>
      </c>
      <c r="AE260" s="76">
        <f>SUMIFS(AB:AB,E:E,E260)</f>
        <v>0</v>
      </c>
      <c r="AF260" s="75">
        <f t="shared" si="34"/>
        <v>0</v>
      </c>
      <c r="AG260" s="76">
        <f t="shared" si="28"/>
        <v>0</v>
      </c>
      <c r="AH260" s="31" t="e" cm="1">
        <f t="array" aca="1" ref="AH260" ca="1">IF((AD260) &lt; (INDEX(ResponseSLA[#All],(MATCH((G260),ResponseSLA[Priority],0))+1,3)),"YES","No")</f>
        <v>#N/A</v>
      </c>
      <c r="AI260" s="31" t="str">
        <f>_xlfn.IFNA(IF(AE260 &lt; (INDEX(SLATable[Minimum SLA],MATCH(G260,SLATable[Priority],0))),"YES","NO"),"")</f>
        <v/>
      </c>
      <c r="AJ260" t="str">
        <f>_xlfn.IFNA(IF(AE260 &lt; (INDEX(SLATable[Maximum SLA],MATCH(G260,SLATable[Priority],0))),"YES","NO"),"")</f>
        <v/>
      </c>
    </row>
    <row r="261" spans="26:36" ht="15" customHeight="1">
      <c r="Z261" s="76" t="e">
        <f t="shared" ca="1" si="29"/>
        <v>#N/A</v>
      </c>
      <c r="AA261" s="75" t="e">
        <f t="shared" ca="1" si="30"/>
        <v>#N/A</v>
      </c>
      <c r="AB261" s="76">
        <f t="shared" ca="1" si="31"/>
        <v>0</v>
      </c>
      <c r="AC261" s="75">
        <f t="shared" ca="1" si="32"/>
        <v>0</v>
      </c>
      <c r="AD261" s="76">
        <f t="shared" ca="1" si="33"/>
        <v>12388.425643634258</v>
      </c>
      <c r="AE261" s="76">
        <f>SUMIFS(AB:AB,E:E,E261)</f>
        <v>0</v>
      </c>
      <c r="AF261" s="75">
        <f t="shared" si="34"/>
        <v>0</v>
      </c>
      <c r="AG261" s="76">
        <f t="shared" si="28"/>
        <v>0</v>
      </c>
      <c r="AH261" s="31" t="e" cm="1">
        <f t="array" aca="1" ref="AH261" ca="1">IF((AD261) &lt; (INDEX(ResponseSLA[#All],(MATCH((G261),ResponseSLA[Priority],0))+1,3)),"YES","No")</f>
        <v>#N/A</v>
      </c>
      <c r="AI261" s="31" t="str">
        <f>_xlfn.IFNA(IF(AE261 &lt; (INDEX(SLATable[Minimum SLA],MATCH(G261,SLATable[Priority],0))),"YES","NO"),"")</f>
        <v/>
      </c>
      <c r="AJ261" t="str">
        <f>_xlfn.IFNA(IF(AE261 &lt; (INDEX(SLATable[Maximum SLA],MATCH(G261,SLATable[Priority],0))),"YES","NO"),"")</f>
        <v/>
      </c>
    </row>
    <row r="262" spans="26:36" ht="15" customHeight="1">
      <c r="Z262" s="76" t="e">
        <f t="shared" ca="1" si="29"/>
        <v>#N/A</v>
      </c>
      <c r="AA262" s="75" t="e">
        <f t="shared" ca="1" si="30"/>
        <v>#N/A</v>
      </c>
      <c r="AB262" s="76">
        <f t="shared" ca="1" si="31"/>
        <v>0</v>
      </c>
      <c r="AC262" s="75">
        <f t="shared" ca="1" si="32"/>
        <v>0</v>
      </c>
      <c r="AD262" s="76">
        <f t="shared" ca="1" si="33"/>
        <v>12388.425643634258</v>
      </c>
      <c r="AE262" s="76">
        <f>SUMIFS(AB:AB,E:E,E262)</f>
        <v>0</v>
      </c>
      <c r="AF262" s="75">
        <f t="shared" si="34"/>
        <v>0</v>
      </c>
      <c r="AG262" s="76">
        <f t="shared" si="28"/>
        <v>0</v>
      </c>
      <c r="AH262" s="31" t="e" cm="1">
        <f t="array" aca="1" ref="AH262" ca="1">IF((AD262) &lt; (INDEX(ResponseSLA[#All],(MATCH((G262),ResponseSLA[Priority],0))+1,3)),"YES","No")</f>
        <v>#N/A</v>
      </c>
      <c r="AI262" s="31" t="str">
        <f>_xlfn.IFNA(IF(AE262 &lt; (INDEX(SLATable[Minimum SLA],MATCH(G262,SLATable[Priority],0))),"YES","NO"),"")</f>
        <v/>
      </c>
      <c r="AJ262" t="str">
        <f>_xlfn.IFNA(IF(AE262 &lt; (INDEX(SLATable[Maximum SLA],MATCH(G262,SLATable[Priority],0))),"YES","NO"),"")</f>
        <v/>
      </c>
    </row>
    <row r="263" spans="26:36" ht="15" customHeight="1">
      <c r="Z263" s="76" t="e">
        <f t="shared" ca="1" si="29"/>
        <v>#N/A</v>
      </c>
      <c r="AA263" s="75" t="e">
        <f t="shared" ca="1" si="30"/>
        <v>#N/A</v>
      </c>
      <c r="AB263" s="76">
        <f t="shared" ca="1" si="31"/>
        <v>0</v>
      </c>
      <c r="AC263" s="75">
        <f t="shared" ca="1" si="32"/>
        <v>0</v>
      </c>
      <c r="AD263" s="76">
        <f t="shared" ca="1" si="33"/>
        <v>12388.425643634258</v>
      </c>
      <c r="AE263" s="76">
        <f>SUMIFS(AB:AB,E:E,E263)</f>
        <v>0</v>
      </c>
      <c r="AF263" s="75">
        <f t="shared" si="34"/>
        <v>0</v>
      </c>
      <c r="AG263" s="76">
        <f t="shared" si="28"/>
        <v>0</v>
      </c>
      <c r="AH263" s="31" t="e" cm="1">
        <f t="array" aca="1" ref="AH263" ca="1">IF((AD263) &lt; (INDEX(ResponseSLA[#All],(MATCH((G263),ResponseSLA[Priority],0))+1,3)),"YES","No")</f>
        <v>#N/A</v>
      </c>
      <c r="AI263" s="31" t="str">
        <f>_xlfn.IFNA(IF(AE263 &lt; (INDEX(SLATable[Minimum SLA],MATCH(G263,SLATable[Priority],0))),"YES","NO"),"")</f>
        <v/>
      </c>
      <c r="AJ263" t="str">
        <f>_xlfn.IFNA(IF(AE263 &lt; (INDEX(SLATable[Maximum SLA],MATCH(G263,SLATable[Priority],0))),"YES","NO"),"")</f>
        <v/>
      </c>
    </row>
    <row r="264" spans="26:36" ht="15" customHeight="1">
      <c r="Z264" s="76" t="e">
        <f t="shared" ca="1" si="29"/>
        <v>#N/A</v>
      </c>
      <c r="AA264" s="75" t="e">
        <f t="shared" ca="1" si="30"/>
        <v>#N/A</v>
      </c>
      <c r="AB264" s="76">
        <f t="shared" ca="1" si="31"/>
        <v>0</v>
      </c>
      <c r="AC264" s="75">
        <f t="shared" ca="1" si="32"/>
        <v>0</v>
      </c>
      <c r="AD264" s="76">
        <f t="shared" ca="1" si="33"/>
        <v>12388.425643634258</v>
      </c>
      <c r="AE264" s="76">
        <f>SUMIFS(AB:AB,E:E,E264)</f>
        <v>0</v>
      </c>
      <c r="AF264" s="75">
        <f t="shared" si="34"/>
        <v>0</v>
      </c>
      <c r="AG264" s="76">
        <f t="shared" si="28"/>
        <v>0</v>
      </c>
      <c r="AH264" s="31" t="e" cm="1">
        <f t="array" aca="1" ref="AH264" ca="1">IF((AD264) &lt; (INDEX(ResponseSLA[#All],(MATCH((G264),ResponseSLA[Priority],0))+1,3)),"YES","No")</f>
        <v>#N/A</v>
      </c>
      <c r="AI264" s="31" t="str">
        <f>_xlfn.IFNA(IF(AE264 &lt; (INDEX(SLATable[Minimum SLA],MATCH(G264,SLATable[Priority],0))),"YES","NO"),"")</f>
        <v/>
      </c>
      <c r="AJ264" t="str">
        <f>_xlfn.IFNA(IF(AE264 &lt; (INDEX(SLATable[Maximum SLA],MATCH(G264,SLATable[Priority],0))),"YES","NO"),"")</f>
        <v/>
      </c>
    </row>
    <row r="265" spans="26:36" ht="15" customHeight="1">
      <c r="Z265" s="76" t="e">
        <f t="shared" ca="1" si="29"/>
        <v>#N/A</v>
      </c>
      <c r="AA265" s="75" t="e">
        <f t="shared" ca="1" si="30"/>
        <v>#N/A</v>
      </c>
      <c r="AB265" s="76">
        <f t="shared" ca="1" si="31"/>
        <v>0</v>
      </c>
      <c r="AC265" s="75">
        <f t="shared" ca="1" si="32"/>
        <v>0</v>
      </c>
      <c r="AD265" s="76">
        <f t="shared" ca="1" si="33"/>
        <v>12388.425643634258</v>
      </c>
      <c r="AE265" s="76">
        <f>SUMIFS(AB:AB,E:E,E265)</f>
        <v>0</v>
      </c>
      <c r="AF265" s="75">
        <f t="shared" si="34"/>
        <v>0</v>
      </c>
      <c r="AG265" s="76">
        <f t="shared" si="28"/>
        <v>0</v>
      </c>
      <c r="AH265" s="31" t="e" cm="1">
        <f t="array" aca="1" ref="AH265" ca="1">IF((AD265) &lt; (INDEX(ResponseSLA[#All],(MATCH((G265),ResponseSLA[Priority],0))+1,3)),"YES","No")</f>
        <v>#N/A</v>
      </c>
      <c r="AI265" s="31" t="str">
        <f>_xlfn.IFNA(IF(AE265 &lt; (INDEX(SLATable[Minimum SLA],MATCH(G265,SLATable[Priority],0))),"YES","NO"),"")</f>
        <v/>
      </c>
      <c r="AJ265" t="str">
        <f>_xlfn.IFNA(IF(AE265 &lt; (INDEX(SLATable[Maximum SLA],MATCH(G265,SLATable[Priority],0))),"YES","NO"),"")</f>
        <v/>
      </c>
    </row>
    <row r="266" spans="26:36" ht="15" customHeight="1">
      <c r="Z266" s="76" t="e">
        <f t="shared" ca="1" si="29"/>
        <v>#N/A</v>
      </c>
      <c r="AA266" s="75" t="e">
        <f t="shared" ca="1" si="30"/>
        <v>#N/A</v>
      </c>
      <c r="AB266" s="76">
        <f t="shared" ca="1" si="31"/>
        <v>0</v>
      </c>
      <c r="AC266" s="75">
        <f t="shared" ca="1" si="32"/>
        <v>0</v>
      </c>
      <c r="AD266" s="76">
        <f t="shared" ca="1" si="33"/>
        <v>12388.425643634258</v>
      </c>
      <c r="AE266" s="76">
        <f>SUMIFS(AB:AB,E:E,E266)</f>
        <v>0</v>
      </c>
      <c r="AF266" s="75">
        <f t="shared" si="34"/>
        <v>0</v>
      </c>
      <c r="AG266" s="76">
        <f t="shared" si="28"/>
        <v>0</v>
      </c>
      <c r="AH266" s="31" t="e" cm="1">
        <f t="array" aca="1" ref="AH266" ca="1">IF((AD266) &lt; (INDEX(ResponseSLA[#All],(MATCH((G266),ResponseSLA[Priority],0))+1,3)),"YES","No")</f>
        <v>#N/A</v>
      </c>
      <c r="AI266" s="31" t="str">
        <f>_xlfn.IFNA(IF(AE266 &lt; (INDEX(SLATable[Minimum SLA],MATCH(G266,SLATable[Priority],0))),"YES","NO"),"")</f>
        <v/>
      </c>
      <c r="AJ266" t="str">
        <f>_xlfn.IFNA(IF(AE266 &lt; (INDEX(SLATable[Maximum SLA],MATCH(G266,SLATable[Priority],0))),"YES","NO"),"")</f>
        <v/>
      </c>
    </row>
    <row r="267" spans="26:36" ht="15" customHeight="1">
      <c r="Z267" s="76" t="e">
        <f t="shared" ca="1" si="29"/>
        <v>#N/A</v>
      </c>
      <c r="AA267" s="75" t="e">
        <f t="shared" ca="1" si="30"/>
        <v>#N/A</v>
      </c>
      <c r="AB267" s="76">
        <f t="shared" ca="1" si="31"/>
        <v>0</v>
      </c>
      <c r="AC267" s="75">
        <f t="shared" ca="1" si="32"/>
        <v>0</v>
      </c>
      <c r="AD267" s="76">
        <f t="shared" ca="1" si="33"/>
        <v>12388.425643634258</v>
      </c>
      <c r="AE267" s="76">
        <f>SUMIFS(AB:AB,E:E,E267)</f>
        <v>0</v>
      </c>
      <c r="AF267" s="75">
        <f t="shared" si="34"/>
        <v>0</v>
      </c>
      <c r="AG267" s="76">
        <f t="shared" si="28"/>
        <v>0</v>
      </c>
      <c r="AH267" s="31" t="e" cm="1">
        <f t="array" aca="1" ref="AH267" ca="1">IF((AD267) &lt; (INDEX(ResponseSLA[#All],(MATCH((G267),ResponseSLA[Priority],0))+1,3)),"YES","No")</f>
        <v>#N/A</v>
      </c>
      <c r="AI267" s="31" t="str">
        <f>_xlfn.IFNA(IF(AE267 &lt; (INDEX(SLATable[Minimum SLA],MATCH(G267,SLATable[Priority],0))),"YES","NO"),"")</f>
        <v/>
      </c>
      <c r="AJ267" t="str">
        <f>_xlfn.IFNA(IF(AE267 &lt; (INDEX(SLATable[Maximum SLA],MATCH(G267,SLATable[Priority],0))),"YES","NO"),"")</f>
        <v/>
      </c>
    </row>
    <row r="268" spans="26:36" ht="15" customHeight="1">
      <c r="Z268" s="76" t="e">
        <f t="shared" ca="1" si="29"/>
        <v>#N/A</v>
      </c>
      <c r="AA268" s="75" t="e">
        <f t="shared" ca="1" si="30"/>
        <v>#N/A</v>
      </c>
      <c r="AB268" s="76">
        <f t="shared" ca="1" si="31"/>
        <v>0</v>
      </c>
      <c r="AC268" s="75">
        <f t="shared" ca="1" si="32"/>
        <v>0</v>
      </c>
      <c r="AD268" s="76">
        <f t="shared" ca="1" si="33"/>
        <v>12388.425643634258</v>
      </c>
      <c r="AE268" s="76">
        <f>SUMIFS(AB:AB,E:E,E268)</f>
        <v>0</v>
      </c>
      <c r="AF268" s="75">
        <f t="shared" si="34"/>
        <v>0</v>
      </c>
      <c r="AG268" s="76">
        <f t="shared" si="28"/>
        <v>0</v>
      </c>
      <c r="AH268" s="31" t="e" cm="1">
        <f t="array" aca="1" ref="AH268" ca="1">IF((AD268) &lt; (INDEX(ResponseSLA[#All],(MATCH((G268),ResponseSLA[Priority],0))+1,3)),"YES","No")</f>
        <v>#N/A</v>
      </c>
      <c r="AI268" s="31" t="str">
        <f>_xlfn.IFNA(IF(AE268 &lt; (INDEX(SLATable[Minimum SLA],MATCH(G268,SLATable[Priority],0))),"YES","NO"),"")</f>
        <v/>
      </c>
      <c r="AJ268" t="str">
        <f>_xlfn.IFNA(IF(AE268 &lt; (INDEX(SLATable[Maximum SLA],MATCH(G268,SLATable[Priority],0))),"YES","NO"),"")</f>
        <v/>
      </c>
    </row>
    <row r="269" spans="26:36" ht="15" customHeight="1">
      <c r="Z269" s="76" t="e">
        <f t="shared" ca="1" si="29"/>
        <v>#N/A</v>
      </c>
      <c r="AA269" s="75" t="e">
        <f t="shared" ca="1" si="30"/>
        <v>#N/A</v>
      </c>
      <c r="AB269" s="76">
        <f t="shared" ca="1" si="31"/>
        <v>0</v>
      </c>
      <c r="AC269" s="75">
        <f t="shared" ca="1" si="32"/>
        <v>0</v>
      </c>
      <c r="AD269" s="76">
        <f t="shared" ca="1" si="33"/>
        <v>12388.425643634258</v>
      </c>
      <c r="AE269" s="76">
        <f>SUMIFS(AB:AB,E:E,E269)</f>
        <v>0</v>
      </c>
      <c r="AF269" s="75">
        <f t="shared" si="34"/>
        <v>0</v>
      </c>
      <c r="AG269" s="76">
        <f t="shared" si="28"/>
        <v>0</v>
      </c>
      <c r="AH269" s="31" t="e" cm="1">
        <f t="array" aca="1" ref="AH269" ca="1">IF((AD269) &lt; (INDEX(ResponseSLA[#All],(MATCH((G269),ResponseSLA[Priority],0))+1,3)),"YES","No")</f>
        <v>#N/A</v>
      </c>
      <c r="AI269" s="31" t="str">
        <f>_xlfn.IFNA(IF(AE269 &lt; (INDEX(SLATable[Minimum SLA],MATCH(G269,SLATable[Priority],0))),"YES","NO"),"")</f>
        <v/>
      </c>
      <c r="AJ269" t="str">
        <f>_xlfn.IFNA(IF(AE269 &lt; (INDEX(SLATable[Maximum SLA],MATCH(G269,SLATable[Priority],0))),"YES","NO"),"")</f>
        <v/>
      </c>
    </row>
    <row r="270" spans="26:36" ht="15" customHeight="1">
      <c r="Z270" s="76" t="e">
        <f t="shared" ca="1" si="29"/>
        <v>#N/A</v>
      </c>
      <c r="AA270" s="75" t="e">
        <f t="shared" ca="1" si="30"/>
        <v>#N/A</v>
      </c>
      <c r="AB270" s="76">
        <f t="shared" ca="1" si="31"/>
        <v>0</v>
      </c>
      <c r="AC270" s="75">
        <f t="shared" ca="1" si="32"/>
        <v>0</v>
      </c>
      <c r="AD270" s="76">
        <f t="shared" ca="1" si="33"/>
        <v>12388.425643634258</v>
      </c>
      <c r="AE270" s="76">
        <f>SUMIFS(AB:AB,E:E,E270)</f>
        <v>0</v>
      </c>
      <c r="AF270" s="75">
        <f t="shared" si="34"/>
        <v>0</v>
      </c>
      <c r="AG270" s="76">
        <f t="shared" si="28"/>
        <v>0</v>
      </c>
      <c r="AH270" s="31" t="e" cm="1">
        <f t="array" aca="1" ref="AH270" ca="1">IF((AD270) &lt; (INDEX(ResponseSLA[#All],(MATCH((G270),ResponseSLA[Priority],0))+1,3)),"YES","No")</f>
        <v>#N/A</v>
      </c>
      <c r="AI270" s="31" t="str">
        <f>_xlfn.IFNA(IF(AE270 &lt; (INDEX(SLATable[Minimum SLA],MATCH(G270,SLATable[Priority],0))),"YES","NO"),"")</f>
        <v/>
      </c>
      <c r="AJ270" t="str">
        <f>_xlfn.IFNA(IF(AE270 &lt; (INDEX(SLATable[Maximum SLA],MATCH(G270,SLATable[Priority],0))),"YES","NO"),"")</f>
        <v/>
      </c>
    </row>
    <row r="271" spans="26:36" ht="15" customHeight="1">
      <c r="Z271" s="76" t="e">
        <f t="shared" ca="1" si="29"/>
        <v>#N/A</v>
      </c>
      <c r="AA271" s="75" t="e">
        <f t="shared" ca="1" si="30"/>
        <v>#N/A</v>
      </c>
      <c r="AB271" s="76">
        <f t="shared" ca="1" si="31"/>
        <v>0</v>
      </c>
      <c r="AC271" s="75">
        <f t="shared" ca="1" si="32"/>
        <v>0</v>
      </c>
      <c r="AD271" s="76">
        <f t="shared" ca="1" si="33"/>
        <v>12388.425643634258</v>
      </c>
      <c r="AE271" s="76">
        <f>SUMIFS(AB:AB,E:E,E271)</f>
        <v>0</v>
      </c>
      <c r="AF271" s="75">
        <f t="shared" si="34"/>
        <v>0</v>
      </c>
      <c r="AG271" s="76">
        <f t="shared" si="28"/>
        <v>0</v>
      </c>
      <c r="AH271" s="31" t="e" cm="1">
        <f t="array" aca="1" ref="AH271" ca="1">IF((AD271) &lt; (INDEX(ResponseSLA[#All],(MATCH((G271),ResponseSLA[Priority],0))+1,3)),"YES","No")</f>
        <v>#N/A</v>
      </c>
      <c r="AI271" s="31" t="str">
        <f>_xlfn.IFNA(IF(AE271 &lt; (INDEX(SLATable[Minimum SLA],MATCH(G271,SLATable[Priority],0))),"YES","NO"),"")</f>
        <v/>
      </c>
      <c r="AJ271" t="str">
        <f>_xlfn.IFNA(IF(AE271 &lt; (INDEX(SLATable[Maximum SLA],MATCH(G271,SLATable[Priority],0))),"YES","NO"),"")</f>
        <v/>
      </c>
    </row>
    <row r="272" spans="26:36" ht="15" customHeight="1">
      <c r="Z272" s="76" t="e">
        <f t="shared" ca="1" si="29"/>
        <v>#N/A</v>
      </c>
      <c r="AA272" s="75" t="e">
        <f t="shared" ca="1" si="30"/>
        <v>#N/A</v>
      </c>
      <c r="AB272" s="76">
        <f t="shared" ca="1" si="31"/>
        <v>0</v>
      </c>
      <c r="AC272" s="75">
        <f t="shared" ca="1" si="32"/>
        <v>0</v>
      </c>
      <c r="AD272" s="76">
        <f t="shared" ca="1" si="33"/>
        <v>12388.425643634258</v>
      </c>
      <c r="AE272" s="76">
        <f>SUMIFS(AB:AB,E:E,E272)</f>
        <v>0</v>
      </c>
      <c r="AF272" s="75">
        <f t="shared" si="34"/>
        <v>0</v>
      </c>
      <c r="AG272" s="76">
        <f t="shared" si="28"/>
        <v>0</v>
      </c>
      <c r="AH272" s="31" t="e" cm="1">
        <f t="array" aca="1" ref="AH272" ca="1">IF((AD272) &lt; (INDEX(ResponseSLA[#All],(MATCH((G272),ResponseSLA[Priority],0))+1,3)),"YES","No")</f>
        <v>#N/A</v>
      </c>
      <c r="AI272" s="31" t="str">
        <f>_xlfn.IFNA(IF(AE272 &lt; (INDEX(SLATable[Minimum SLA],MATCH(G272,SLATable[Priority],0))),"YES","NO"),"")</f>
        <v/>
      </c>
      <c r="AJ272" t="str">
        <f>_xlfn.IFNA(IF(AE272 &lt; (INDEX(SLATable[Maximum SLA],MATCH(G272,SLATable[Priority],0))),"YES","NO"),"")</f>
        <v/>
      </c>
    </row>
    <row r="273" spans="26:36" ht="15" customHeight="1">
      <c r="Z273" s="76" t="e">
        <f t="shared" ca="1" si="29"/>
        <v>#N/A</v>
      </c>
      <c r="AA273" s="75" t="e">
        <f t="shared" ca="1" si="30"/>
        <v>#N/A</v>
      </c>
      <c r="AB273" s="76">
        <f t="shared" ca="1" si="31"/>
        <v>0</v>
      </c>
      <c r="AC273" s="75">
        <f t="shared" ca="1" si="32"/>
        <v>0</v>
      </c>
      <c r="AD273" s="76">
        <f t="shared" ca="1" si="33"/>
        <v>12388.425643634258</v>
      </c>
      <c r="AE273" s="76">
        <f>SUMIFS(AB:AB,E:E,E273)</f>
        <v>0</v>
      </c>
      <c r="AF273" s="75">
        <f t="shared" si="34"/>
        <v>0</v>
      </c>
      <c r="AG273" s="76">
        <f t="shared" si="28"/>
        <v>0</v>
      </c>
      <c r="AH273" s="31" t="e" cm="1">
        <f t="array" aca="1" ref="AH273" ca="1">IF((AD273) &lt; (INDEX(ResponseSLA[#All],(MATCH((G273),ResponseSLA[Priority],0))+1,3)),"YES","No")</f>
        <v>#N/A</v>
      </c>
      <c r="AI273" s="31" t="str">
        <f>_xlfn.IFNA(IF(AE273 &lt; (INDEX(SLATable[Minimum SLA],MATCH(G273,SLATable[Priority],0))),"YES","NO"),"")</f>
        <v/>
      </c>
      <c r="AJ273" t="str">
        <f>_xlfn.IFNA(IF(AE273 &lt; (INDEX(SLATable[Maximum SLA],MATCH(G273,SLATable[Priority],0))),"YES","NO"),"")</f>
        <v/>
      </c>
    </row>
    <row r="274" spans="26:36" ht="15" customHeight="1">
      <c r="Z274" s="76" t="e">
        <f t="shared" ca="1" si="29"/>
        <v>#N/A</v>
      </c>
      <c r="AA274" s="75" t="e">
        <f t="shared" ca="1" si="30"/>
        <v>#N/A</v>
      </c>
      <c r="AB274" s="76">
        <f t="shared" ca="1" si="31"/>
        <v>0</v>
      </c>
      <c r="AC274" s="75">
        <f t="shared" ca="1" si="32"/>
        <v>0</v>
      </c>
      <c r="AD274" s="76">
        <f t="shared" ca="1" si="33"/>
        <v>12388.425643634258</v>
      </c>
      <c r="AE274" s="76">
        <f>SUMIFS(AB:AB,E:E,E274)</f>
        <v>0</v>
      </c>
      <c r="AF274" s="75">
        <f t="shared" si="34"/>
        <v>0</v>
      </c>
      <c r="AG274" s="76">
        <f t="shared" si="28"/>
        <v>0</v>
      </c>
      <c r="AH274" s="31" t="e" cm="1">
        <f t="array" aca="1" ref="AH274" ca="1">IF((AD274) &lt; (INDEX(ResponseSLA[#All],(MATCH((G274),ResponseSLA[Priority],0))+1,3)),"YES","No")</f>
        <v>#N/A</v>
      </c>
      <c r="AI274" s="31" t="str">
        <f>_xlfn.IFNA(IF(AE274 &lt; (INDEX(SLATable[Minimum SLA],MATCH(G274,SLATable[Priority],0))),"YES","NO"),"")</f>
        <v/>
      </c>
      <c r="AJ274" t="str">
        <f>_xlfn.IFNA(IF(AE274 &lt; (INDEX(SLATable[Maximum SLA],MATCH(G274,SLATable[Priority],0))),"YES","NO"),"")</f>
        <v/>
      </c>
    </row>
    <row r="275" spans="26:36" ht="15" customHeight="1">
      <c r="Z275" s="76" t="e">
        <f t="shared" ca="1" si="29"/>
        <v>#N/A</v>
      </c>
      <c r="AA275" s="75" t="e">
        <f t="shared" ca="1" si="30"/>
        <v>#N/A</v>
      </c>
      <c r="AB275" s="76">
        <f t="shared" ca="1" si="31"/>
        <v>0</v>
      </c>
      <c r="AC275" s="75">
        <f t="shared" ca="1" si="32"/>
        <v>0</v>
      </c>
      <c r="AD275" s="76">
        <f t="shared" ca="1" si="33"/>
        <v>12388.425643634258</v>
      </c>
      <c r="AE275" s="76">
        <f>SUMIFS(AB:AB,E:E,E275)</f>
        <v>0</v>
      </c>
      <c r="AF275" s="75">
        <f t="shared" si="34"/>
        <v>0</v>
      </c>
      <c r="AG275" s="76">
        <f t="shared" si="28"/>
        <v>0</v>
      </c>
      <c r="AH275" s="31" t="e" cm="1">
        <f t="array" aca="1" ref="AH275" ca="1">IF((AD275) &lt; (INDEX(ResponseSLA[#All],(MATCH((G275),ResponseSLA[Priority],0))+1,3)),"YES","No")</f>
        <v>#N/A</v>
      </c>
      <c r="AI275" s="31" t="str">
        <f>_xlfn.IFNA(IF(AE275 &lt; (INDEX(SLATable[Minimum SLA],MATCH(G275,SLATable[Priority],0))),"YES","NO"),"")</f>
        <v/>
      </c>
      <c r="AJ275" t="str">
        <f>_xlfn.IFNA(IF(AE275 &lt; (INDEX(SLATable[Maximum SLA],MATCH(G275,SLATable[Priority],0))),"YES","NO"),"")</f>
        <v/>
      </c>
    </row>
    <row r="276" spans="26:36" ht="15" customHeight="1">
      <c r="Z276" s="76" t="e">
        <f t="shared" ca="1" si="29"/>
        <v>#N/A</v>
      </c>
      <c r="AA276" s="75" t="e">
        <f t="shared" ca="1" si="30"/>
        <v>#N/A</v>
      </c>
      <c r="AB276" s="76">
        <f t="shared" ca="1" si="31"/>
        <v>0</v>
      </c>
      <c r="AC276" s="75">
        <f t="shared" ca="1" si="32"/>
        <v>0</v>
      </c>
      <c r="AD276" s="76">
        <f t="shared" ca="1" si="33"/>
        <v>12388.425643634258</v>
      </c>
      <c r="AE276" s="76">
        <f>SUMIFS(AB:AB,E:E,E276)</f>
        <v>0</v>
      </c>
      <c r="AF276" s="75">
        <f t="shared" si="34"/>
        <v>0</v>
      </c>
      <c r="AG276" s="76">
        <f t="shared" si="28"/>
        <v>0</v>
      </c>
      <c r="AH276" s="31" t="e" cm="1">
        <f t="array" aca="1" ref="AH276" ca="1">IF((AD276) &lt; (INDEX(ResponseSLA[#All],(MATCH((G276),ResponseSLA[Priority],0))+1,3)),"YES","No")</f>
        <v>#N/A</v>
      </c>
      <c r="AI276" s="31" t="str">
        <f>_xlfn.IFNA(IF(AE276 &lt; (INDEX(SLATable[Minimum SLA],MATCH(G276,SLATable[Priority],0))),"YES","NO"),"")</f>
        <v/>
      </c>
      <c r="AJ276" t="str">
        <f>_xlfn.IFNA(IF(AE276 &lt; (INDEX(SLATable[Maximum SLA],MATCH(G276,SLATable[Priority],0))),"YES","NO"),"")</f>
        <v/>
      </c>
    </row>
    <row r="277" spans="26:36" ht="15" customHeight="1">
      <c r="Z277" s="76" t="e">
        <f t="shared" ca="1" si="29"/>
        <v>#N/A</v>
      </c>
      <c r="AA277" s="75" t="e">
        <f t="shared" ca="1" si="30"/>
        <v>#N/A</v>
      </c>
      <c r="AB277" s="76">
        <f t="shared" ca="1" si="31"/>
        <v>0</v>
      </c>
      <c r="AC277" s="75">
        <f t="shared" ca="1" si="32"/>
        <v>0</v>
      </c>
      <c r="AD277" s="76">
        <f t="shared" ca="1" si="33"/>
        <v>12388.425643634258</v>
      </c>
      <c r="AE277" s="76">
        <f>SUMIFS(AB:AB,E:E,E277)</f>
        <v>0</v>
      </c>
      <c r="AF277" s="75">
        <f t="shared" si="34"/>
        <v>0</v>
      </c>
      <c r="AG277" s="76">
        <f t="shared" si="28"/>
        <v>0</v>
      </c>
      <c r="AH277" s="31" t="e" cm="1">
        <f t="array" aca="1" ref="AH277" ca="1">IF((AD277) &lt; (INDEX(ResponseSLA[#All],(MATCH((G277),ResponseSLA[Priority],0))+1,3)),"YES","No")</f>
        <v>#N/A</v>
      </c>
      <c r="AI277" s="31" t="str">
        <f>_xlfn.IFNA(IF(AE277 &lt; (INDEX(SLATable[Minimum SLA],MATCH(G277,SLATable[Priority],0))),"YES","NO"),"")</f>
        <v/>
      </c>
      <c r="AJ277" t="str">
        <f>_xlfn.IFNA(IF(AE277 &lt; (INDEX(SLATable[Maximum SLA],MATCH(G277,SLATable[Priority],0))),"YES","NO"),"")</f>
        <v/>
      </c>
    </row>
    <row r="278" spans="26:36" ht="15" customHeight="1">
      <c r="Z278" s="76" t="e">
        <f t="shared" ca="1" si="29"/>
        <v>#N/A</v>
      </c>
      <c r="AA278" s="75" t="e">
        <f t="shared" ca="1" si="30"/>
        <v>#N/A</v>
      </c>
      <c r="AB278" s="76">
        <f t="shared" ca="1" si="31"/>
        <v>0</v>
      </c>
      <c r="AC278" s="75">
        <f t="shared" ca="1" si="32"/>
        <v>0</v>
      </c>
      <c r="AD278" s="76">
        <f t="shared" ca="1" si="33"/>
        <v>12388.425643634258</v>
      </c>
      <c r="AE278" s="76">
        <f>SUMIFS(AB:AB,E:E,E278)</f>
        <v>0</v>
      </c>
      <c r="AF278" s="75">
        <f t="shared" si="34"/>
        <v>0</v>
      </c>
      <c r="AG278" s="76">
        <f t="shared" si="28"/>
        <v>0</v>
      </c>
      <c r="AH278" s="31" t="e" cm="1">
        <f t="array" aca="1" ref="AH278" ca="1">IF((AD278) &lt; (INDEX(ResponseSLA[#All],(MATCH((G278),ResponseSLA[Priority],0))+1,3)),"YES","No")</f>
        <v>#N/A</v>
      </c>
      <c r="AI278" s="31" t="str">
        <f>_xlfn.IFNA(IF(AE278 &lt; (INDEX(SLATable[Minimum SLA],MATCH(G278,SLATable[Priority],0))),"YES","NO"),"")</f>
        <v/>
      </c>
      <c r="AJ278" t="str">
        <f>_xlfn.IFNA(IF(AE278 &lt; (INDEX(SLATable[Maximum SLA],MATCH(G278,SLATable[Priority],0))),"YES","NO"),"")</f>
        <v/>
      </c>
    </row>
    <row r="279" spans="26:36" ht="15" customHeight="1">
      <c r="Z279" s="76" t="e">
        <f t="shared" ca="1" si="29"/>
        <v>#N/A</v>
      </c>
      <c r="AA279" s="75" t="e">
        <f t="shared" ca="1" si="30"/>
        <v>#N/A</v>
      </c>
      <c r="AB279" s="76">
        <f t="shared" ca="1" si="31"/>
        <v>0</v>
      </c>
      <c r="AC279" s="75">
        <f t="shared" ca="1" si="32"/>
        <v>0</v>
      </c>
      <c r="AD279" s="76">
        <f t="shared" ca="1" si="33"/>
        <v>12388.425643634258</v>
      </c>
      <c r="AE279" s="76">
        <f>SUMIFS(AB:AB,E:E,E279)</f>
        <v>0</v>
      </c>
      <c r="AF279" s="75">
        <f t="shared" si="34"/>
        <v>0</v>
      </c>
      <c r="AG279" s="76">
        <f t="shared" si="28"/>
        <v>0</v>
      </c>
      <c r="AH279" s="31" t="e" cm="1">
        <f t="array" aca="1" ref="AH279" ca="1">IF((AD279) &lt; (INDEX(ResponseSLA[#All],(MATCH((G279),ResponseSLA[Priority],0))+1,3)),"YES","No")</f>
        <v>#N/A</v>
      </c>
      <c r="AI279" s="31" t="str">
        <f>_xlfn.IFNA(IF(AE279 &lt; (INDEX(SLATable[Minimum SLA],MATCH(G279,SLATable[Priority],0))),"YES","NO"),"")</f>
        <v/>
      </c>
      <c r="AJ279" t="str">
        <f>_xlfn.IFNA(IF(AE279 &lt; (INDEX(SLATable[Maximum SLA],MATCH(G279,SLATable[Priority],0))),"YES","NO"),"")</f>
        <v/>
      </c>
    </row>
    <row r="280" spans="26:36" ht="15" customHeight="1">
      <c r="Z280" s="76" t="e">
        <f t="shared" ca="1" si="29"/>
        <v>#N/A</v>
      </c>
      <c r="AA280" s="75" t="e">
        <f t="shared" ca="1" si="30"/>
        <v>#N/A</v>
      </c>
      <c r="AB280" s="76">
        <f t="shared" ca="1" si="31"/>
        <v>0</v>
      </c>
      <c r="AC280" s="75">
        <f t="shared" ca="1" si="32"/>
        <v>0</v>
      </c>
      <c r="AD280" s="76">
        <f t="shared" ca="1" si="33"/>
        <v>12388.425643634258</v>
      </c>
      <c r="AE280" s="76">
        <f>SUMIFS(AB:AB,E:E,E280)</f>
        <v>0</v>
      </c>
      <c r="AF280" s="75">
        <f t="shared" si="34"/>
        <v>0</v>
      </c>
      <c r="AG280" s="76">
        <f t="shared" si="28"/>
        <v>0</v>
      </c>
      <c r="AH280" s="31" t="e" cm="1">
        <f t="array" aca="1" ref="AH280" ca="1">IF((AD280) &lt; (INDEX(ResponseSLA[#All],(MATCH((G280),ResponseSLA[Priority],0))+1,3)),"YES","No")</f>
        <v>#N/A</v>
      </c>
      <c r="AI280" s="31" t="str">
        <f>_xlfn.IFNA(IF(AE280 &lt; (INDEX(SLATable[Minimum SLA],MATCH(G280,SLATable[Priority],0))),"YES","NO"),"")</f>
        <v/>
      </c>
      <c r="AJ280" t="str">
        <f>_xlfn.IFNA(IF(AE280 &lt; (INDEX(SLATable[Maximum SLA],MATCH(G280,SLATable[Priority],0))),"YES","NO"),"")</f>
        <v/>
      </c>
    </row>
    <row r="281" spans="26:36" ht="15" customHeight="1">
      <c r="Z281" s="76" t="e">
        <f t="shared" ca="1" si="29"/>
        <v>#N/A</v>
      </c>
      <c r="AA281" s="75" t="e">
        <f t="shared" ca="1" si="30"/>
        <v>#N/A</v>
      </c>
      <c r="AB281" s="76">
        <f t="shared" ca="1" si="31"/>
        <v>0</v>
      </c>
      <c r="AC281" s="75">
        <f t="shared" ca="1" si="32"/>
        <v>0</v>
      </c>
      <c r="AD281" s="76">
        <f t="shared" ca="1" si="33"/>
        <v>12388.425643634258</v>
      </c>
      <c r="AE281" s="76">
        <f>SUMIFS(AB:AB,E:E,E281)</f>
        <v>0</v>
      </c>
      <c r="AF281" s="75">
        <f t="shared" si="34"/>
        <v>0</v>
      </c>
      <c r="AG281" s="76">
        <f t="shared" si="28"/>
        <v>0</v>
      </c>
      <c r="AH281" s="31" t="e" cm="1">
        <f t="array" aca="1" ref="AH281" ca="1">IF((AD281) &lt; (INDEX(ResponseSLA[#All],(MATCH((G281),ResponseSLA[Priority],0))+1,3)),"YES","No")</f>
        <v>#N/A</v>
      </c>
      <c r="AI281" s="31" t="str">
        <f>_xlfn.IFNA(IF(AE281 &lt; (INDEX(SLATable[Minimum SLA],MATCH(G281,SLATable[Priority],0))),"YES","NO"),"")</f>
        <v/>
      </c>
      <c r="AJ281" t="str">
        <f>_xlfn.IFNA(IF(AE281 &lt; (INDEX(SLATable[Maximum SLA],MATCH(G281,SLATable[Priority],0))),"YES","NO"),"")</f>
        <v/>
      </c>
    </row>
    <row r="282" spans="26:36" ht="15" customHeight="1">
      <c r="Z282" s="76" t="e">
        <f t="shared" ca="1" si="29"/>
        <v>#N/A</v>
      </c>
      <c r="AA282" s="75" t="e">
        <f t="shared" ca="1" si="30"/>
        <v>#N/A</v>
      </c>
      <c r="AB282" s="76">
        <f t="shared" ca="1" si="31"/>
        <v>0</v>
      </c>
      <c r="AC282" s="75">
        <f t="shared" ca="1" si="32"/>
        <v>0</v>
      </c>
      <c r="AD282" s="76">
        <f t="shared" ca="1" si="33"/>
        <v>12388.425643634258</v>
      </c>
      <c r="AE282" s="76">
        <f>SUMIFS(AB:AB,E:E,E282)</f>
        <v>0</v>
      </c>
      <c r="AF282" s="75">
        <f t="shared" si="34"/>
        <v>0</v>
      </c>
      <c r="AG282" s="76">
        <f t="shared" si="28"/>
        <v>0</v>
      </c>
      <c r="AH282" s="31" t="e" cm="1">
        <f t="array" aca="1" ref="AH282" ca="1">IF((AD282) &lt; (INDEX(ResponseSLA[#All],(MATCH((G282),ResponseSLA[Priority],0))+1,3)),"YES","No")</f>
        <v>#N/A</v>
      </c>
      <c r="AI282" s="31" t="str">
        <f>_xlfn.IFNA(IF(AE282 &lt; (INDEX(SLATable[Minimum SLA],MATCH(G282,SLATable[Priority],0))),"YES","NO"),"")</f>
        <v/>
      </c>
      <c r="AJ282" t="str">
        <f>_xlfn.IFNA(IF(AE282 &lt; (INDEX(SLATable[Maximum SLA],MATCH(G282,SLATable[Priority],0))),"YES","NO"),"")</f>
        <v/>
      </c>
    </row>
    <row r="283" spans="26:36" ht="15" customHeight="1">
      <c r="Z283" s="76" t="e">
        <f t="shared" ca="1" si="29"/>
        <v>#N/A</v>
      </c>
      <c r="AA283" s="75" t="e">
        <f t="shared" ca="1" si="30"/>
        <v>#N/A</v>
      </c>
      <c r="AB283" s="76">
        <f t="shared" ca="1" si="31"/>
        <v>0</v>
      </c>
      <c r="AC283" s="75">
        <f t="shared" ca="1" si="32"/>
        <v>0</v>
      </c>
      <c r="AD283" s="76">
        <f t="shared" ca="1" si="33"/>
        <v>12388.425643634258</v>
      </c>
      <c r="AE283" s="76">
        <f>SUMIFS(AB:AB,E:E,E283)</f>
        <v>0</v>
      </c>
      <c r="AF283" s="75">
        <f t="shared" si="34"/>
        <v>0</v>
      </c>
      <c r="AG283" s="76">
        <f t="shared" si="28"/>
        <v>0</v>
      </c>
      <c r="AH283" s="31" t="e" cm="1">
        <f t="array" aca="1" ref="AH283" ca="1">IF((AD283) &lt; (INDEX(ResponseSLA[#All],(MATCH((G283),ResponseSLA[Priority],0))+1,3)),"YES","No")</f>
        <v>#N/A</v>
      </c>
      <c r="AI283" s="31" t="str">
        <f>_xlfn.IFNA(IF(AE283 &lt; (INDEX(SLATable[Minimum SLA],MATCH(G283,SLATable[Priority],0))),"YES","NO"),"")</f>
        <v/>
      </c>
      <c r="AJ283" t="str">
        <f>_xlfn.IFNA(IF(AE283 &lt; (INDEX(SLATable[Maximum SLA],MATCH(G283,SLATable[Priority],0))),"YES","NO"),"")</f>
        <v/>
      </c>
    </row>
    <row r="284" spans="26:36" ht="15" customHeight="1">
      <c r="Z284" s="76" t="e">
        <f t="shared" ca="1" si="29"/>
        <v>#N/A</v>
      </c>
      <c r="AA284" s="75" t="e">
        <f t="shared" ca="1" si="30"/>
        <v>#N/A</v>
      </c>
      <c r="AB284" s="76">
        <f t="shared" ca="1" si="31"/>
        <v>0</v>
      </c>
      <c r="AC284" s="75">
        <f t="shared" ca="1" si="32"/>
        <v>0</v>
      </c>
      <c r="AD284" s="76">
        <f t="shared" ca="1" si="33"/>
        <v>12388.425643634258</v>
      </c>
      <c r="AE284" s="76">
        <f>SUMIFS(AB:AB,E:E,E284)</f>
        <v>0</v>
      </c>
      <c r="AF284" s="75">
        <f t="shared" si="34"/>
        <v>0</v>
      </c>
      <c r="AG284" s="76">
        <f t="shared" si="28"/>
        <v>0</v>
      </c>
      <c r="AH284" s="31" t="e" cm="1">
        <f t="array" aca="1" ref="AH284" ca="1">IF((AD284) &lt; (INDEX(ResponseSLA[#All],(MATCH((G284),ResponseSLA[Priority],0))+1,3)),"YES","No")</f>
        <v>#N/A</v>
      </c>
      <c r="AI284" s="31" t="str">
        <f>_xlfn.IFNA(IF(AE284 &lt; (INDEX(SLATable[Minimum SLA],MATCH(G284,SLATable[Priority],0))),"YES","NO"),"")</f>
        <v/>
      </c>
      <c r="AJ284" t="str">
        <f>_xlfn.IFNA(IF(AE284 &lt; (INDEX(SLATable[Maximum SLA],MATCH(G284,SLATable[Priority],0))),"YES","NO"),"")</f>
        <v/>
      </c>
    </row>
    <row r="285" spans="26:36" ht="15" customHeight="1">
      <c r="Z285" s="76" t="e">
        <f t="shared" ca="1" si="29"/>
        <v>#N/A</v>
      </c>
      <c r="AA285" s="75" t="e">
        <f t="shared" ca="1" si="30"/>
        <v>#N/A</v>
      </c>
      <c r="AB285" s="76">
        <f t="shared" ca="1" si="31"/>
        <v>0</v>
      </c>
      <c r="AC285" s="75">
        <f t="shared" ca="1" si="32"/>
        <v>0</v>
      </c>
      <c r="AD285" s="76">
        <f t="shared" ca="1" si="33"/>
        <v>12388.425643634258</v>
      </c>
      <c r="AE285" s="76">
        <f>SUMIFS(AB:AB,E:E,E285)</f>
        <v>0</v>
      </c>
      <c r="AF285" s="75">
        <f t="shared" si="34"/>
        <v>0</v>
      </c>
      <c r="AG285" s="76">
        <f t="shared" si="28"/>
        <v>0</v>
      </c>
      <c r="AH285" s="31" t="e" cm="1">
        <f t="array" aca="1" ref="AH285" ca="1">IF((AD285) &lt; (INDEX(ResponseSLA[#All],(MATCH((G285),ResponseSLA[Priority],0))+1,3)),"YES","No")</f>
        <v>#N/A</v>
      </c>
      <c r="AI285" s="31" t="str">
        <f>_xlfn.IFNA(IF(AE285 &lt; (INDEX(SLATable[Minimum SLA],MATCH(G285,SLATable[Priority],0))),"YES","NO"),"")</f>
        <v/>
      </c>
      <c r="AJ285" t="str">
        <f>_xlfn.IFNA(IF(AE285 &lt; (INDEX(SLATable[Maximum SLA],MATCH(G285,SLATable[Priority],0))),"YES","NO"),"")</f>
        <v/>
      </c>
    </row>
    <row r="286" spans="26:36" ht="15" customHeight="1">
      <c r="Z286" s="76" t="e">
        <f t="shared" ca="1" si="29"/>
        <v>#N/A</v>
      </c>
      <c r="AA286" s="75" t="e">
        <f t="shared" ca="1" si="30"/>
        <v>#N/A</v>
      </c>
      <c r="AB286" s="76">
        <f t="shared" ca="1" si="31"/>
        <v>0</v>
      </c>
      <c r="AC286" s="75">
        <f t="shared" ca="1" si="32"/>
        <v>0</v>
      </c>
      <c r="AD286" s="76">
        <f t="shared" ca="1" si="33"/>
        <v>12388.425643634258</v>
      </c>
      <c r="AE286" s="76">
        <f>SUMIFS(AB:AB,E:E,E286)</f>
        <v>0</v>
      </c>
      <c r="AF286" s="75">
        <f t="shared" si="34"/>
        <v>0</v>
      </c>
      <c r="AG286" s="76">
        <f t="shared" si="28"/>
        <v>0</v>
      </c>
      <c r="AH286" s="31" t="e" cm="1">
        <f t="array" aca="1" ref="AH286" ca="1">IF((AD286) &lt; (INDEX(ResponseSLA[#All],(MATCH((G286),ResponseSLA[Priority],0))+1,3)),"YES","No")</f>
        <v>#N/A</v>
      </c>
      <c r="AI286" s="31" t="str">
        <f>_xlfn.IFNA(IF(AE286 &lt; (INDEX(SLATable[Minimum SLA],MATCH(G286,SLATable[Priority],0))),"YES","NO"),"")</f>
        <v/>
      </c>
      <c r="AJ286" t="str">
        <f>_xlfn.IFNA(IF(AE286 &lt; (INDEX(SLATable[Maximum SLA],MATCH(G286,SLATable[Priority],0))),"YES","NO"),"")</f>
        <v/>
      </c>
    </row>
    <row r="287" spans="26:36" ht="15" customHeight="1">
      <c r="Z287" s="76" t="e">
        <f t="shared" ca="1" si="29"/>
        <v>#N/A</v>
      </c>
      <c r="AA287" s="75" t="e">
        <f t="shared" ca="1" si="30"/>
        <v>#N/A</v>
      </c>
      <c r="AB287" s="76">
        <f t="shared" ca="1" si="31"/>
        <v>0</v>
      </c>
      <c r="AC287" s="75">
        <f t="shared" ca="1" si="32"/>
        <v>0</v>
      </c>
      <c r="AD287" s="76">
        <f t="shared" ca="1" si="33"/>
        <v>12388.425643634258</v>
      </c>
      <c r="AE287" s="76">
        <f>SUMIFS(AB:AB,E:E,E287)</f>
        <v>0</v>
      </c>
      <c r="AF287" s="75">
        <f t="shared" si="34"/>
        <v>0</v>
      </c>
      <c r="AG287" s="76">
        <f t="shared" si="28"/>
        <v>0</v>
      </c>
      <c r="AH287" s="31" t="e" cm="1">
        <f t="array" aca="1" ref="AH287" ca="1">IF((AD287) &lt; (INDEX(ResponseSLA[#All],(MATCH((G287),ResponseSLA[Priority],0))+1,3)),"YES","No")</f>
        <v>#N/A</v>
      </c>
      <c r="AI287" s="31" t="str">
        <f>_xlfn.IFNA(IF(AE287 &lt; (INDEX(SLATable[Minimum SLA],MATCH(G287,SLATable[Priority],0))),"YES","NO"),"")</f>
        <v/>
      </c>
      <c r="AJ287" t="str">
        <f>_xlfn.IFNA(IF(AE287 &lt; (INDEX(SLATable[Maximum SLA],MATCH(G287,SLATable[Priority],0))),"YES","NO"),"")</f>
        <v/>
      </c>
    </row>
    <row r="288" spans="26:36" ht="15" customHeight="1">
      <c r="Z288" s="76" t="e">
        <f t="shared" ca="1" si="29"/>
        <v>#N/A</v>
      </c>
      <c r="AA288" s="75" t="e">
        <f t="shared" ca="1" si="30"/>
        <v>#N/A</v>
      </c>
      <c r="AB288" s="76">
        <f t="shared" ca="1" si="31"/>
        <v>0</v>
      </c>
      <c r="AC288" s="75">
        <f t="shared" ca="1" si="32"/>
        <v>0</v>
      </c>
      <c r="AD288" s="76">
        <f t="shared" ca="1" si="33"/>
        <v>12388.425643634258</v>
      </c>
      <c r="AE288" s="76">
        <f>SUMIFS(AB:AB,E:E,E288)</f>
        <v>0</v>
      </c>
      <c r="AF288" s="75">
        <f t="shared" si="34"/>
        <v>0</v>
      </c>
      <c r="AG288" s="76">
        <f t="shared" si="28"/>
        <v>0</v>
      </c>
      <c r="AH288" s="31" t="e" cm="1">
        <f t="array" aca="1" ref="AH288" ca="1">IF((AD288) &lt; (INDEX(ResponseSLA[#All],(MATCH((G288),ResponseSLA[Priority],0))+1,3)),"YES","No")</f>
        <v>#N/A</v>
      </c>
      <c r="AI288" s="31" t="str">
        <f>_xlfn.IFNA(IF(AE288 &lt; (INDEX(SLATable[Minimum SLA],MATCH(G288,SLATable[Priority],0))),"YES","NO"),"")</f>
        <v/>
      </c>
      <c r="AJ288" t="str">
        <f>_xlfn.IFNA(IF(AE288 &lt; (INDEX(SLATable[Maximum SLA],MATCH(G288,SLATable[Priority],0))),"YES","NO"),"")</f>
        <v/>
      </c>
    </row>
    <row r="289" spans="26:36" ht="15" customHeight="1">
      <c r="Z289" s="76" t="e">
        <f t="shared" ca="1" si="29"/>
        <v>#N/A</v>
      </c>
      <c r="AA289" s="75" t="e">
        <f t="shared" ca="1" si="30"/>
        <v>#N/A</v>
      </c>
      <c r="AB289" s="76">
        <f t="shared" ca="1" si="31"/>
        <v>0</v>
      </c>
      <c r="AC289" s="75">
        <f t="shared" ca="1" si="32"/>
        <v>0</v>
      </c>
      <c r="AD289" s="76">
        <f t="shared" ca="1" si="33"/>
        <v>12388.425643634258</v>
      </c>
      <c r="AE289" s="76">
        <f>SUMIFS(AB:AB,E:E,E289)</f>
        <v>0</v>
      </c>
      <c r="AF289" s="75">
        <f t="shared" si="34"/>
        <v>0</v>
      </c>
      <c r="AG289" s="76">
        <f t="shared" si="28"/>
        <v>0</v>
      </c>
      <c r="AH289" s="31" t="e" cm="1">
        <f t="array" aca="1" ref="AH289" ca="1">IF((AD289) &lt; (INDEX(ResponseSLA[#All],(MATCH((G289),ResponseSLA[Priority],0))+1,3)),"YES","No")</f>
        <v>#N/A</v>
      </c>
      <c r="AI289" s="31" t="str">
        <f>_xlfn.IFNA(IF(AE289 &lt; (INDEX(SLATable[Minimum SLA],MATCH(G289,SLATable[Priority],0))),"YES","NO"),"")</f>
        <v/>
      </c>
      <c r="AJ289" t="str">
        <f>_xlfn.IFNA(IF(AE289 &lt; (INDEX(SLATable[Maximum SLA],MATCH(G289,SLATable[Priority],0))),"YES","NO"),"")</f>
        <v/>
      </c>
    </row>
    <row r="290" spans="26:36" ht="15" customHeight="1">
      <c r="Z290" s="76" t="e">
        <f t="shared" ca="1" si="29"/>
        <v>#N/A</v>
      </c>
      <c r="AA290" s="75" t="e">
        <f t="shared" ca="1" si="30"/>
        <v>#N/A</v>
      </c>
      <c r="AB290" s="76">
        <f t="shared" ca="1" si="31"/>
        <v>0</v>
      </c>
      <c r="AC290" s="75">
        <f t="shared" ca="1" si="32"/>
        <v>0</v>
      </c>
      <c r="AD290" s="76">
        <f t="shared" ca="1" si="33"/>
        <v>12388.425643634258</v>
      </c>
      <c r="AE290" s="76">
        <f>SUMIFS(AB:AB,E:E,E290)</f>
        <v>0</v>
      </c>
      <c r="AF290" s="75">
        <f t="shared" si="34"/>
        <v>0</v>
      </c>
      <c r="AG290" s="76">
        <f t="shared" si="28"/>
        <v>0</v>
      </c>
      <c r="AH290" s="31" t="e" cm="1">
        <f t="array" aca="1" ref="AH290" ca="1">IF((AD290) &lt; (INDEX(ResponseSLA[#All],(MATCH((G290),ResponseSLA[Priority],0))+1,3)),"YES","No")</f>
        <v>#N/A</v>
      </c>
      <c r="AI290" s="31" t="str">
        <f>_xlfn.IFNA(IF(AE290 &lt; (INDEX(SLATable[Minimum SLA],MATCH(G290,SLATable[Priority],0))),"YES","NO"),"")</f>
        <v/>
      </c>
      <c r="AJ290" t="str">
        <f>_xlfn.IFNA(IF(AE290 &lt; (INDEX(SLATable[Maximum SLA],MATCH(G290,SLATable[Priority],0))),"YES","NO"),"")</f>
        <v/>
      </c>
    </row>
    <row r="291" spans="26:36" ht="15" customHeight="1">
      <c r="Z291" s="76" t="e">
        <f t="shared" ca="1" si="29"/>
        <v>#N/A</v>
      </c>
      <c r="AA291" s="75" t="e">
        <f t="shared" ca="1" si="30"/>
        <v>#N/A</v>
      </c>
      <c r="AB291" s="76">
        <f t="shared" ca="1" si="31"/>
        <v>0</v>
      </c>
      <c r="AC291" s="75">
        <f t="shared" ca="1" si="32"/>
        <v>0</v>
      </c>
      <c r="AD291" s="76">
        <f t="shared" ca="1" si="33"/>
        <v>12388.425643634258</v>
      </c>
      <c r="AE291" s="76">
        <f>SUMIFS(AB:AB,E:E,E291)</f>
        <v>0</v>
      </c>
      <c r="AF291" s="75">
        <f t="shared" si="34"/>
        <v>0</v>
      </c>
      <c r="AG291" s="76">
        <f t="shared" si="28"/>
        <v>0</v>
      </c>
      <c r="AH291" s="31" t="e" cm="1">
        <f t="array" aca="1" ref="AH291" ca="1">IF((AD291) &lt; (INDEX(ResponseSLA[#All],(MATCH((G291),ResponseSLA[Priority],0))+1,3)),"YES","No")</f>
        <v>#N/A</v>
      </c>
      <c r="AI291" s="31" t="str">
        <f>_xlfn.IFNA(IF(AE291 &lt; (INDEX(SLATable[Minimum SLA],MATCH(G291,SLATable[Priority],0))),"YES","NO"),"")</f>
        <v/>
      </c>
      <c r="AJ291" t="str">
        <f>_xlfn.IFNA(IF(AE291 &lt; (INDEX(SLATable[Maximum SLA],MATCH(G291,SLATable[Priority],0))),"YES","NO"),"")</f>
        <v/>
      </c>
    </row>
    <row r="292" spans="26:36" ht="15" customHeight="1">
      <c r="Z292" s="76" t="e">
        <f t="shared" ca="1" si="29"/>
        <v>#N/A</v>
      </c>
      <c r="AA292" s="75" t="e">
        <f t="shared" ca="1" si="30"/>
        <v>#N/A</v>
      </c>
      <c r="AB292" s="76">
        <f t="shared" ca="1" si="31"/>
        <v>0</v>
      </c>
      <c r="AC292" s="75">
        <f t="shared" ca="1" si="32"/>
        <v>0</v>
      </c>
      <c r="AD292" s="76">
        <f t="shared" ca="1" si="33"/>
        <v>12388.425643634258</v>
      </c>
      <c r="AE292" s="76">
        <f>SUMIFS(AB:AB,E:E,E292)</f>
        <v>0</v>
      </c>
      <c r="AF292" s="75">
        <f t="shared" si="34"/>
        <v>0</v>
      </c>
      <c r="AG292" s="76">
        <f t="shared" si="28"/>
        <v>0</v>
      </c>
      <c r="AH292" s="31" t="e" cm="1">
        <f t="array" aca="1" ref="AH292" ca="1">IF((AD292) &lt; (INDEX(ResponseSLA[#All],(MATCH((G292),ResponseSLA[Priority],0))+1,3)),"YES","No")</f>
        <v>#N/A</v>
      </c>
      <c r="AI292" s="31" t="str">
        <f>_xlfn.IFNA(IF(AE292 &lt; (INDEX(SLATable[Minimum SLA],MATCH(G292,SLATable[Priority],0))),"YES","NO"),"")</f>
        <v/>
      </c>
      <c r="AJ292" t="str">
        <f>_xlfn.IFNA(IF(AE292 &lt; (INDEX(SLATable[Maximum SLA],MATCH(G292,SLATable[Priority],0))),"YES","NO"),"")</f>
        <v/>
      </c>
    </row>
    <row r="293" spans="26:36" ht="15" customHeight="1">
      <c r="Z293" s="76" t="e">
        <f t="shared" ca="1" si="29"/>
        <v>#N/A</v>
      </c>
      <c r="AA293" s="75" t="e">
        <f t="shared" ca="1" si="30"/>
        <v>#N/A</v>
      </c>
      <c r="AB293" s="76">
        <f t="shared" ca="1" si="31"/>
        <v>0</v>
      </c>
      <c r="AC293" s="75">
        <f t="shared" ca="1" si="32"/>
        <v>0</v>
      </c>
      <c r="AD293" s="76">
        <f t="shared" ca="1" si="33"/>
        <v>12388.425643634258</v>
      </c>
      <c r="AE293" s="76">
        <f>SUMIFS(AB:AB,E:E,E293)</f>
        <v>0</v>
      </c>
      <c r="AF293" s="75">
        <f t="shared" si="34"/>
        <v>0</v>
      </c>
      <c r="AG293" s="76">
        <f t="shared" si="28"/>
        <v>0</v>
      </c>
      <c r="AH293" s="31" t="e" cm="1">
        <f t="array" aca="1" ref="AH293" ca="1">IF((AD293) &lt; (INDEX(ResponseSLA[#All],(MATCH((G293),ResponseSLA[Priority],0))+1,3)),"YES","No")</f>
        <v>#N/A</v>
      </c>
      <c r="AI293" s="31" t="str">
        <f>_xlfn.IFNA(IF(AE293 &lt; (INDEX(SLATable[Minimum SLA],MATCH(G293,SLATable[Priority],0))),"YES","NO"),"")</f>
        <v/>
      </c>
      <c r="AJ293" t="str">
        <f>_xlfn.IFNA(IF(AE293 &lt; (INDEX(SLATable[Maximum SLA],MATCH(G293,SLATable[Priority],0))),"YES","NO"),"")</f>
        <v/>
      </c>
    </row>
    <row r="294" spans="26:36" ht="15" customHeight="1">
      <c r="Z294" s="76" t="e">
        <f t="shared" ca="1" si="29"/>
        <v>#N/A</v>
      </c>
      <c r="AA294" s="75" t="e">
        <f t="shared" ca="1" si="30"/>
        <v>#N/A</v>
      </c>
      <c r="AB294" s="76">
        <f t="shared" ca="1" si="31"/>
        <v>0</v>
      </c>
      <c r="AC294" s="75">
        <f t="shared" ca="1" si="32"/>
        <v>0</v>
      </c>
      <c r="AD294" s="76">
        <f t="shared" ca="1" si="33"/>
        <v>12388.425643634258</v>
      </c>
      <c r="AE294" s="76">
        <f>SUMIFS(AB:AB,E:E,E294)</f>
        <v>0</v>
      </c>
      <c r="AF294" s="75">
        <f t="shared" si="34"/>
        <v>0</v>
      </c>
      <c r="AG294" s="76">
        <f t="shared" si="28"/>
        <v>0</v>
      </c>
      <c r="AH294" s="31" t="e" cm="1">
        <f t="array" aca="1" ref="AH294" ca="1">IF((AD294) &lt; (INDEX(ResponseSLA[#All],(MATCH((G294),ResponseSLA[Priority],0))+1,3)),"YES","No")</f>
        <v>#N/A</v>
      </c>
      <c r="AI294" s="31" t="str">
        <f>_xlfn.IFNA(IF(AE294 &lt; (INDEX(SLATable[Minimum SLA],MATCH(G294,SLATable[Priority],0))),"YES","NO"),"")</f>
        <v/>
      </c>
      <c r="AJ294" t="str">
        <f>_xlfn.IFNA(IF(AE294 &lt; (INDEX(SLATable[Maximum SLA],MATCH(G294,SLATable[Priority],0))),"YES","NO"),"")</f>
        <v/>
      </c>
    </row>
    <row r="295" spans="26:36" ht="15" customHeight="1">
      <c r="Z295" s="76" t="e">
        <f t="shared" ca="1" si="29"/>
        <v>#N/A</v>
      </c>
      <c r="AA295" s="75" t="e">
        <f t="shared" ca="1" si="30"/>
        <v>#N/A</v>
      </c>
      <c r="AB295" s="76">
        <f t="shared" ca="1" si="31"/>
        <v>0</v>
      </c>
      <c r="AC295" s="75">
        <f t="shared" ca="1" si="32"/>
        <v>0</v>
      </c>
      <c r="AD295" s="76">
        <f t="shared" ca="1" si="33"/>
        <v>12388.425643634258</v>
      </c>
      <c r="AE295" s="76">
        <f>SUMIFS(AB:AB,E:E,E295)</f>
        <v>0</v>
      </c>
      <c r="AF295" s="75">
        <f t="shared" si="34"/>
        <v>0</v>
      </c>
      <c r="AG295" s="76">
        <f t="shared" si="28"/>
        <v>0</v>
      </c>
      <c r="AH295" s="31" t="e" cm="1">
        <f t="array" aca="1" ref="AH295" ca="1">IF((AD295) &lt; (INDEX(ResponseSLA[#All],(MATCH((G295),ResponseSLA[Priority],0))+1,3)),"YES","No")</f>
        <v>#N/A</v>
      </c>
      <c r="AI295" s="31" t="str">
        <f>_xlfn.IFNA(IF(AE295 &lt; (INDEX(SLATable[Minimum SLA],MATCH(G295,SLATable[Priority],0))),"YES","NO"),"")</f>
        <v/>
      </c>
      <c r="AJ295" t="str">
        <f>_xlfn.IFNA(IF(AE295 &lt; (INDEX(SLATable[Maximum SLA],MATCH(G295,SLATable[Priority],0))),"YES","NO"),"")</f>
        <v/>
      </c>
    </row>
    <row r="296" spans="26:36" ht="15" customHeight="1">
      <c r="Z296" s="76" t="e">
        <f t="shared" ca="1" si="29"/>
        <v>#N/A</v>
      </c>
      <c r="AA296" s="75" t="e">
        <f t="shared" ca="1" si="30"/>
        <v>#N/A</v>
      </c>
      <c r="AB296" s="76">
        <f t="shared" ca="1" si="31"/>
        <v>0</v>
      </c>
      <c r="AC296" s="75">
        <f t="shared" ca="1" si="32"/>
        <v>0</v>
      </c>
      <c r="AD296" s="76">
        <f t="shared" ca="1" si="33"/>
        <v>12388.425643634258</v>
      </c>
      <c r="AE296" s="76">
        <f>SUMIFS(AB:AB,E:E,E296)</f>
        <v>0</v>
      </c>
      <c r="AF296" s="75">
        <f t="shared" si="34"/>
        <v>0</v>
      </c>
      <c r="AG296" s="76">
        <f t="shared" si="28"/>
        <v>0</v>
      </c>
      <c r="AH296" s="31" t="e" cm="1">
        <f t="array" aca="1" ref="AH296" ca="1">IF((AD296) &lt; (INDEX(ResponseSLA[#All],(MATCH((G296),ResponseSLA[Priority],0))+1,3)),"YES","No")</f>
        <v>#N/A</v>
      </c>
      <c r="AI296" s="31" t="str">
        <f>_xlfn.IFNA(IF(AE296 &lt; (INDEX(SLATable[Minimum SLA],MATCH(G296,SLATable[Priority],0))),"YES","NO"),"")</f>
        <v/>
      </c>
      <c r="AJ296" t="str">
        <f>_xlfn.IFNA(IF(AE296 &lt; (INDEX(SLATable[Maximum SLA],MATCH(G296,SLATable[Priority],0))),"YES","NO"),"")</f>
        <v/>
      </c>
    </row>
    <row r="297" spans="26:36" ht="15" customHeight="1">
      <c r="Z297" s="76" t="e">
        <f t="shared" ca="1" si="29"/>
        <v>#N/A</v>
      </c>
      <c r="AA297" s="75" t="e">
        <f t="shared" ca="1" si="30"/>
        <v>#N/A</v>
      </c>
      <c r="AB297" s="76">
        <f t="shared" ca="1" si="31"/>
        <v>0</v>
      </c>
      <c r="AC297" s="75">
        <f t="shared" ca="1" si="32"/>
        <v>0</v>
      </c>
      <c r="AD297" s="76">
        <f t="shared" ca="1" si="33"/>
        <v>12388.425643634258</v>
      </c>
      <c r="AE297" s="76">
        <f>SUMIFS(AB:AB,E:E,E297)</f>
        <v>0</v>
      </c>
      <c r="AF297" s="75">
        <f t="shared" si="34"/>
        <v>0</v>
      </c>
      <c r="AG297" s="76">
        <f t="shared" si="28"/>
        <v>0</v>
      </c>
      <c r="AH297" s="31" t="e" cm="1">
        <f t="array" aca="1" ref="AH297" ca="1">IF((AD297) &lt; (INDEX(ResponseSLA[#All],(MATCH((G297),ResponseSLA[Priority],0))+1,3)),"YES","No")</f>
        <v>#N/A</v>
      </c>
      <c r="AI297" s="31" t="str">
        <f>_xlfn.IFNA(IF(AE297 &lt; (INDEX(SLATable[Minimum SLA],MATCH(G297,SLATable[Priority],0))),"YES","NO"),"")</f>
        <v/>
      </c>
      <c r="AJ297" t="str">
        <f>_xlfn.IFNA(IF(AE297 &lt; (INDEX(SLATable[Maximum SLA],MATCH(G297,SLATable[Priority],0))),"YES","NO"),"")</f>
        <v/>
      </c>
    </row>
    <row r="298" spans="26:36" ht="15" customHeight="1">
      <c r="Z298" s="76" t="e">
        <f t="shared" ca="1" si="29"/>
        <v>#N/A</v>
      </c>
      <c r="AA298" s="75" t="e">
        <f t="shared" ca="1" si="30"/>
        <v>#N/A</v>
      </c>
      <c r="AB298" s="76">
        <f t="shared" ca="1" si="31"/>
        <v>0</v>
      </c>
      <c r="AC298" s="75">
        <f t="shared" ca="1" si="32"/>
        <v>0</v>
      </c>
      <c r="AD298" s="76">
        <f t="shared" ca="1" si="33"/>
        <v>12388.425643634258</v>
      </c>
      <c r="AE298" s="76">
        <f>SUMIFS(AB:AB,E:E,E298)</f>
        <v>0</v>
      </c>
      <c r="AF298" s="75">
        <f t="shared" si="34"/>
        <v>0</v>
      </c>
      <c r="AG298" s="76">
        <f t="shared" si="28"/>
        <v>0</v>
      </c>
      <c r="AH298" s="31" t="e" cm="1">
        <f t="array" aca="1" ref="AH298" ca="1">IF((AD298) &lt; (INDEX(ResponseSLA[#All],(MATCH((G298),ResponseSLA[Priority],0))+1,3)),"YES","No")</f>
        <v>#N/A</v>
      </c>
      <c r="AI298" s="31" t="str">
        <f>_xlfn.IFNA(IF(AE298 &lt; (INDEX(SLATable[Minimum SLA],MATCH(G298,SLATable[Priority],0))),"YES","NO"),"")</f>
        <v/>
      </c>
      <c r="AJ298" t="str">
        <f>_xlfn.IFNA(IF(AE298 &lt; (INDEX(SLATable[Maximum SLA],MATCH(G298,SLATable[Priority],0))),"YES","NO"),"")</f>
        <v/>
      </c>
    </row>
    <row r="299" spans="26:36" ht="15" customHeight="1">
      <c r="Z299" s="76" t="e">
        <f t="shared" ca="1" si="29"/>
        <v>#N/A</v>
      </c>
      <c r="AA299" s="75" t="e">
        <f t="shared" ca="1" si="30"/>
        <v>#N/A</v>
      </c>
      <c r="AB299" s="76">
        <f t="shared" ca="1" si="31"/>
        <v>0</v>
      </c>
      <c r="AC299" s="75">
        <f t="shared" ca="1" si="32"/>
        <v>0</v>
      </c>
      <c r="AD299" s="76">
        <f t="shared" ca="1" si="33"/>
        <v>12388.425643634258</v>
      </c>
      <c r="AE299" s="76">
        <f>SUMIFS(AB:AB,E:E,E299)</f>
        <v>0</v>
      </c>
      <c r="AF299" s="75">
        <f t="shared" si="34"/>
        <v>0</v>
      </c>
      <c r="AG299" s="76">
        <f t="shared" si="28"/>
        <v>0</v>
      </c>
      <c r="AH299" s="31" t="e" cm="1">
        <f t="array" aca="1" ref="AH299" ca="1">IF((AD299) &lt; (INDEX(ResponseSLA[#All],(MATCH((G299),ResponseSLA[Priority],0))+1,3)),"YES","No")</f>
        <v>#N/A</v>
      </c>
      <c r="AI299" s="31" t="str">
        <f>_xlfn.IFNA(IF(AE299 &lt; (INDEX(SLATable[Minimum SLA],MATCH(G299,SLATable[Priority],0))),"YES","NO"),"")</f>
        <v/>
      </c>
      <c r="AJ299" t="str">
        <f>_xlfn.IFNA(IF(AE299 &lt; (INDEX(SLATable[Maximum SLA],MATCH(G299,SLATable[Priority],0))),"YES","NO"),"")</f>
        <v/>
      </c>
    </row>
    <row r="300" spans="26:36" ht="15" customHeight="1">
      <c r="Z300" s="76" t="e">
        <f t="shared" ca="1" si="29"/>
        <v>#N/A</v>
      </c>
      <c r="AA300" s="75" t="e">
        <f t="shared" ca="1" si="30"/>
        <v>#N/A</v>
      </c>
      <c r="AB300" s="76">
        <f t="shared" ca="1" si="31"/>
        <v>0</v>
      </c>
      <c r="AC300" s="75">
        <f t="shared" ca="1" si="32"/>
        <v>0</v>
      </c>
      <c r="AD300" s="76">
        <f t="shared" ca="1" si="33"/>
        <v>12388.425643634258</v>
      </c>
      <c r="AE300" s="76">
        <f>SUMIFS(AB:AB,E:E,E300)</f>
        <v>0</v>
      </c>
      <c r="AF300" s="75">
        <f t="shared" si="34"/>
        <v>0</v>
      </c>
      <c r="AG300" s="76">
        <f t="shared" si="28"/>
        <v>0</v>
      </c>
      <c r="AH300" s="31" t="e" cm="1">
        <f t="array" aca="1" ref="AH300" ca="1">IF((AD300) &lt; (INDEX(ResponseSLA[#All],(MATCH((G300),ResponseSLA[Priority],0))+1,3)),"YES","No")</f>
        <v>#N/A</v>
      </c>
      <c r="AI300" s="31" t="str">
        <f>_xlfn.IFNA(IF(AE300 &lt; (INDEX(SLATable[Minimum SLA],MATCH(G300,SLATable[Priority],0))),"YES","NO"),"")</f>
        <v/>
      </c>
      <c r="AJ300" t="str">
        <f>_xlfn.IFNA(IF(AE300 &lt; (INDEX(SLATable[Maximum SLA],MATCH(G300,SLATable[Priority],0))),"YES","NO"),"")</f>
        <v/>
      </c>
    </row>
    <row r="301" spans="26:36" ht="15" customHeight="1">
      <c r="Z301" s="76" t="e">
        <f t="shared" ca="1" si="29"/>
        <v>#N/A</v>
      </c>
      <c r="AA301" s="75" t="e">
        <f t="shared" ca="1" si="30"/>
        <v>#N/A</v>
      </c>
      <c r="AB301" s="76">
        <f t="shared" ca="1" si="31"/>
        <v>0</v>
      </c>
      <c r="AC301" s="75">
        <f t="shared" ca="1" si="32"/>
        <v>0</v>
      </c>
      <c r="AD301" s="76">
        <f t="shared" ca="1" si="33"/>
        <v>12388.425643634258</v>
      </c>
      <c r="AE301" s="76">
        <f>SUMIFS(AB:AB,E:E,E301)</f>
        <v>0</v>
      </c>
      <c r="AF301" s="75">
        <f t="shared" si="34"/>
        <v>0</v>
      </c>
      <c r="AG301" s="76">
        <f t="shared" si="28"/>
        <v>0</v>
      </c>
      <c r="AH301" s="31" t="e" cm="1">
        <f t="array" aca="1" ref="AH301" ca="1">IF((AD301) &lt; (INDEX(ResponseSLA[#All],(MATCH((G301),ResponseSLA[Priority],0))+1,3)),"YES","No")</f>
        <v>#N/A</v>
      </c>
      <c r="AI301" s="31" t="str">
        <f>_xlfn.IFNA(IF(AE301 &lt; (INDEX(SLATable[Minimum SLA],MATCH(G301,SLATable[Priority],0))),"YES","NO"),"")</f>
        <v/>
      </c>
      <c r="AJ301" t="str">
        <f>_xlfn.IFNA(IF(AE301 &lt; (INDEX(SLATable[Maximum SLA],MATCH(G301,SLATable[Priority],0))),"YES","NO"),"")</f>
        <v/>
      </c>
    </row>
    <row r="302" spans="26:36" ht="15" customHeight="1">
      <c r="Z302" s="76" t="e">
        <f t="shared" ca="1" si="29"/>
        <v>#N/A</v>
      </c>
      <c r="AA302" s="75" t="e">
        <f t="shared" ca="1" si="30"/>
        <v>#N/A</v>
      </c>
      <c r="AB302" s="76">
        <f t="shared" ca="1" si="31"/>
        <v>0</v>
      </c>
      <c r="AC302" s="75">
        <f t="shared" ca="1" si="32"/>
        <v>0</v>
      </c>
      <c r="AD302" s="76">
        <f t="shared" ca="1" si="33"/>
        <v>12388.425643634258</v>
      </c>
      <c r="AE302" s="76">
        <f>SUMIFS(AB:AB,E:E,E302)</f>
        <v>0</v>
      </c>
      <c r="AF302" s="75">
        <f t="shared" si="34"/>
        <v>0</v>
      </c>
      <c r="AG302" s="76">
        <f t="shared" si="28"/>
        <v>0</v>
      </c>
      <c r="AH302" s="31" t="e" cm="1">
        <f t="array" aca="1" ref="AH302" ca="1">IF((AD302) &lt; (INDEX(ResponseSLA[#All],(MATCH((G302),ResponseSLA[Priority],0))+1,3)),"YES","No")</f>
        <v>#N/A</v>
      </c>
      <c r="AI302" s="31" t="str">
        <f>_xlfn.IFNA(IF(AE302 &lt; (INDEX(SLATable[Minimum SLA],MATCH(G302,SLATable[Priority],0))),"YES","NO"),"")</f>
        <v/>
      </c>
      <c r="AJ302" t="str">
        <f>_xlfn.IFNA(IF(AE302 &lt; (INDEX(SLATable[Maximum SLA],MATCH(G302,SLATable[Priority],0))),"YES","NO"),"")</f>
        <v/>
      </c>
    </row>
    <row r="303" spans="26:36" ht="15" customHeight="1">
      <c r="Z303" s="76" t="e">
        <f t="shared" ca="1" si="29"/>
        <v>#N/A</v>
      </c>
      <c r="AA303" s="75" t="e">
        <f t="shared" ca="1" si="30"/>
        <v>#N/A</v>
      </c>
      <c r="AB303" s="76">
        <f t="shared" ca="1" si="31"/>
        <v>0</v>
      </c>
      <c r="AC303" s="75">
        <f t="shared" ca="1" si="32"/>
        <v>0</v>
      </c>
      <c r="AD303" s="76">
        <f t="shared" ca="1" si="33"/>
        <v>12388.425643634258</v>
      </c>
      <c r="AE303" s="76">
        <f>SUMIFS(AB:AB,E:E,E303)</f>
        <v>0</v>
      </c>
      <c r="AF303" s="75">
        <f t="shared" si="34"/>
        <v>0</v>
      </c>
      <c r="AG303" s="76">
        <f t="shared" si="28"/>
        <v>0</v>
      </c>
      <c r="AH303" s="31" t="e" cm="1">
        <f t="array" aca="1" ref="AH303" ca="1">IF((AD303) &lt; (INDEX(ResponseSLA[#All],(MATCH((G303),ResponseSLA[Priority],0))+1,3)),"YES","No")</f>
        <v>#N/A</v>
      </c>
      <c r="AI303" s="31" t="str">
        <f>_xlfn.IFNA(IF(AE303 &lt; (INDEX(SLATable[Minimum SLA],MATCH(G303,SLATable[Priority],0))),"YES","NO"),"")</f>
        <v/>
      </c>
      <c r="AJ303" t="str">
        <f>_xlfn.IFNA(IF(AE303 &lt; (INDEX(SLATable[Maximum SLA],MATCH(G303,SLATable[Priority],0))),"YES","NO"),"")</f>
        <v/>
      </c>
    </row>
    <row r="304" spans="26:36" ht="15" customHeight="1">
      <c r="Z304" s="76" t="e">
        <f t="shared" ca="1" si="29"/>
        <v>#N/A</v>
      </c>
      <c r="AA304" s="75" t="e">
        <f t="shared" ca="1" si="30"/>
        <v>#N/A</v>
      </c>
      <c r="AB304" s="76">
        <f t="shared" ca="1" si="31"/>
        <v>0</v>
      </c>
      <c r="AC304" s="75">
        <f t="shared" ca="1" si="32"/>
        <v>0</v>
      </c>
      <c r="AD304" s="76">
        <f t="shared" ca="1" si="33"/>
        <v>12388.425643634258</v>
      </c>
      <c r="AE304" s="76">
        <f>SUMIFS(AB:AB,E:E,E304)</f>
        <v>0</v>
      </c>
      <c r="AF304" s="75">
        <f t="shared" si="34"/>
        <v>0</v>
      </c>
      <c r="AG304" s="76">
        <f t="shared" si="28"/>
        <v>0</v>
      </c>
      <c r="AH304" s="31" t="e" cm="1">
        <f t="array" aca="1" ref="AH304" ca="1">IF((AD304) &lt; (INDEX(ResponseSLA[#All],(MATCH((G304),ResponseSLA[Priority],0))+1,3)),"YES","No")</f>
        <v>#N/A</v>
      </c>
      <c r="AI304" s="31" t="str">
        <f>_xlfn.IFNA(IF(AE304 &lt; (INDEX(SLATable[Minimum SLA],MATCH(G304,SLATable[Priority],0))),"YES","NO"),"")</f>
        <v/>
      </c>
      <c r="AJ304" t="str">
        <f>_xlfn.IFNA(IF(AE304 &lt; (INDEX(SLATable[Maximum SLA],MATCH(G304,SLATable[Priority],0))),"YES","NO"),"")</f>
        <v/>
      </c>
    </row>
    <row r="305" spans="26:36" ht="15" customHeight="1">
      <c r="Z305" s="76" t="e">
        <f t="shared" ca="1" si="29"/>
        <v>#N/A</v>
      </c>
      <c r="AA305" s="75" t="e">
        <f t="shared" ca="1" si="30"/>
        <v>#N/A</v>
      </c>
      <c r="AB305" s="76">
        <f t="shared" ca="1" si="31"/>
        <v>0</v>
      </c>
      <c r="AC305" s="75">
        <f t="shared" ca="1" si="32"/>
        <v>0</v>
      </c>
      <c r="AD305" s="76">
        <f t="shared" ca="1" si="33"/>
        <v>12388.425643634258</v>
      </c>
      <c r="AE305" s="76">
        <f>SUMIFS(AB:AB,E:E,E305)</f>
        <v>0</v>
      </c>
      <c r="AF305" s="75">
        <f t="shared" si="34"/>
        <v>0</v>
      </c>
      <c r="AG305" s="76">
        <f t="shared" si="28"/>
        <v>0</v>
      </c>
      <c r="AH305" s="31" t="e" cm="1">
        <f t="array" aca="1" ref="AH305" ca="1">IF((AD305) &lt; (INDEX(ResponseSLA[#All],(MATCH((G305),ResponseSLA[Priority],0))+1,3)),"YES","No")</f>
        <v>#N/A</v>
      </c>
      <c r="AI305" s="31" t="str">
        <f>_xlfn.IFNA(IF(AE305 &lt; (INDEX(SLATable[Minimum SLA],MATCH(G305,SLATable[Priority],0))),"YES","NO"),"")</f>
        <v/>
      </c>
      <c r="AJ305" t="str">
        <f>_xlfn.IFNA(IF(AE305 &lt; (INDEX(SLATable[Maximum SLA],MATCH(G305,SLATable[Priority],0))),"YES","NO"),"")</f>
        <v/>
      </c>
    </row>
    <row r="306" spans="26:36" ht="15" customHeight="1">
      <c r="Z306" s="76" t="e">
        <f t="shared" ca="1" si="29"/>
        <v>#N/A</v>
      </c>
      <c r="AA306" s="75" t="e">
        <f t="shared" ca="1" si="30"/>
        <v>#N/A</v>
      </c>
      <c r="AB306" s="76">
        <f t="shared" ca="1" si="31"/>
        <v>0</v>
      </c>
      <c r="AC306" s="75">
        <f t="shared" ca="1" si="32"/>
        <v>0</v>
      </c>
      <c r="AD306" s="76">
        <f t="shared" ca="1" si="33"/>
        <v>12388.425643634258</v>
      </c>
      <c r="AE306" s="76">
        <f>SUMIFS(AB:AB,E:E,E306)</f>
        <v>0</v>
      </c>
      <c r="AF306" s="75">
        <f t="shared" si="34"/>
        <v>0</v>
      </c>
      <c r="AG306" s="76">
        <f t="shared" si="28"/>
        <v>0</v>
      </c>
      <c r="AH306" s="31" t="e" cm="1">
        <f t="array" aca="1" ref="AH306" ca="1">IF((AD306) &lt; (INDEX(ResponseSLA[#All],(MATCH((G306),ResponseSLA[Priority],0))+1,3)),"YES","No")</f>
        <v>#N/A</v>
      </c>
      <c r="AI306" s="31" t="str">
        <f>_xlfn.IFNA(IF(AE306 &lt; (INDEX(SLATable[Minimum SLA],MATCH(G306,SLATable[Priority],0))),"YES","NO"),"")</f>
        <v/>
      </c>
      <c r="AJ306" t="str">
        <f>_xlfn.IFNA(IF(AE306 &lt; (INDEX(SLATable[Maximum SLA],MATCH(G306,SLATable[Priority],0))),"YES","NO"),"")</f>
        <v/>
      </c>
    </row>
    <row r="307" spans="26:36" ht="15" customHeight="1">
      <c r="Z307" s="76" t="e">
        <f t="shared" ca="1" si="29"/>
        <v>#N/A</v>
      </c>
      <c r="AA307" s="75" t="e">
        <f t="shared" ca="1" si="30"/>
        <v>#N/A</v>
      </c>
      <c r="AB307" s="76">
        <f t="shared" ca="1" si="31"/>
        <v>0</v>
      </c>
      <c r="AC307" s="75">
        <f t="shared" ca="1" si="32"/>
        <v>0</v>
      </c>
      <c r="AD307" s="76">
        <f t="shared" ca="1" si="33"/>
        <v>12388.425643634258</v>
      </c>
      <c r="AE307" s="76">
        <f>SUMIFS(AB:AB,E:E,E307)</f>
        <v>0</v>
      </c>
      <c r="AF307" s="75">
        <f t="shared" si="34"/>
        <v>0</v>
      </c>
      <c r="AG307" s="76">
        <f t="shared" si="28"/>
        <v>0</v>
      </c>
      <c r="AH307" s="31" t="e" cm="1">
        <f t="array" aca="1" ref="AH307" ca="1">IF((AD307) &lt; (INDEX(ResponseSLA[#All],(MATCH((G307),ResponseSLA[Priority],0))+1,3)),"YES","No")</f>
        <v>#N/A</v>
      </c>
      <c r="AI307" s="31" t="str">
        <f>_xlfn.IFNA(IF(AE307 &lt; (INDEX(SLATable[Minimum SLA],MATCH(G307,SLATable[Priority],0))),"YES","NO"),"")</f>
        <v/>
      </c>
      <c r="AJ307" t="str">
        <f>_xlfn.IFNA(IF(AE307 &lt; (INDEX(SLATable[Maximum SLA],MATCH(G307,SLATable[Priority],0))),"YES","NO"),"")</f>
        <v/>
      </c>
    </row>
    <row r="308" spans="26:36" ht="15" customHeight="1">
      <c r="Z308" s="76" t="e">
        <f t="shared" ca="1" si="29"/>
        <v>#N/A</v>
      </c>
      <c r="AA308" s="75" t="e">
        <f t="shared" ca="1" si="30"/>
        <v>#N/A</v>
      </c>
      <c r="AB308" s="76">
        <f t="shared" ca="1" si="31"/>
        <v>0</v>
      </c>
      <c r="AC308" s="75">
        <f t="shared" ca="1" si="32"/>
        <v>0</v>
      </c>
      <c r="AD308" s="76">
        <f t="shared" ca="1" si="33"/>
        <v>12388.425643634258</v>
      </c>
      <c r="AE308" s="76">
        <f>SUMIFS(AB:AB,E:E,E308)</f>
        <v>0</v>
      </c>
      <c r="AF308" s="75">
        <f t="shared" si="34"/>
        <v>0</v>
      </c>
      <c r="AG308" s="76">
        <f t="shared" si="28"/>
        <v>0</v>
      </c>
      <c r="AH308" s="31" t="e" cm="1">
        <f t="array" aca="1" ref="AH308" ca="1">IF((AD308) &lt; (INDEX(ResponseSLA[#All],(MATCH((G308),ResponseSLA[Priority],0))+1,3)),"YES","No")</f>
        <v>#N/A</v>
      </c>
      <c r="AI308" s="31" t="str">
        <f>_xlfn.IFNA(IF(AE308 &lt; (INDEX(SLATable[Minimum SLA],MATCH(G308,SLATable[Priority],0))),"YES","NO"),"")</f>
        <v/>
      </c>
      <c r="AJ308" t="str">
        <f>_xlfn.IFNA(IF(AE308 &lt; (INDEX(SLATable[Maximum SLA],MATCH(G308,SLATable[Priority],0))),"YES","NO"),"")</f>
        <v/>
      </c>
    </row>
    <row r="309" spans="26:36" ht="15" customHeight="1">
      <c r="Z309" s="76" t="e">
        <f t="shared" ca="1" si="29"/>
        <v>#N/A</v>
      </c>
      <c r="AA309" s="75" t="e">
        <f t="shared" ca="1" si="30"/>
        <v>#N/A</v>
      </c>
      <c r="AB309" s="76">
        <f t="shared" ca="1" si="31"/>
        <v>0</v>
      </c>
      <c r="AC309" s="75">
        <f t="shared" ca="1" si="32"/>
        <v>0</v>
      </c>
      <c r="AD309" s="76">
        <f t="shared" ca="1" si="33"/>
        <v>12388.425643634258</v>
      </c>
      <c r="AE309" s="76">
        <f>SUMIFS(AB:AB,E:E,E309)</f>
        <v>0</v>
      </c>
      <c r="AF309" s="75">
        <f t="shared" si="34"/>
        <v>0</v>
      </c>
      <c r="AG309" s="76">
        <f t="shared" si="28"/>
        <v>0</v>
      </c>
      <c r="AH309" s="31" t="e" cm="1">
        <f t="array" aca="1" ref="AH309" ca="1">IF((AD309) &lt; (INDEX(ResponseSLA[#All],(MATCH((G309),ResponseSLA[Priority],0))+1,3)),"YES","No")</f>
        <v>#N/A</v>
      </c>
      <c r="AI309" s="31" t="str">
        <f>_xlfn.IFNA(IF(AE309 &lt; (INDEX(SLATable[Minimum SLA],MATCH(G309,SLATable[Priority],0))),"YES","NO"),"")</f>
        <v/>
      </c>
      <c r="AJ309" t="str">
        <f>_xlfn.IFNA(IF(AE309 &lt; (INDEX(SLATable[Maximum SLA],MATCH(G309,SLATable[Priority],0))),"YES","NO"),"")</f>
        <v/>
      </c>
    </row>
    <row r="310" spans="26:36" ht="15" customHeight="1">
      <c r="Z310" s="76" t="e">
        <f t="shared" ca="1" si="29"/>
        <v>#N/A</v>
      </c>
      <c r="AA310" s="75" t="e">
        <f t="shared" ca="1" si="30"/>
        <v>#N/A</v>
      </c>
      <c r="AB310" s="76">
        <f t="shared" ca="1" si="31"/>
        <v>0</v>
      </c>
      <c r="AC310" s="75">
        <f t="shared" ca="1" si="32"/>
        <v>0</v>
      </c>
      <c r="AD310" s="76">
        <f t="shared" ca="1" si="33"/>
        <v>12388.425643634258</v>
      </c>
      <c r="AE310" s="76">
        <f>SUMIFS(AB:AB,E:E,E310)</f>
        <v>0</v>
      </c>
      <c r="AF310" s="75">
        <f t="shared" si="34"/>
        <v>0</v>
      </c>
      <c r="AG310" s="76">
        <f t="shared" si="28"/>
        <v>0</v>
      </c>
      <c r="AH310" s="31" t="e" cm="1">
        <f t="array" aca="1" ref="AH310" ca="1">IF((AD310) &lt; (INDEX(ResponseSLA[#All],(MATCH((G310),ResponseSLA[Priority],0))+1,3)),"YES","No")</f>
        <v>#N/A</v>
      </c>
      <c r="AI310" s="31" t="str">
        <f>_xlfn.IFNA(IF(AE310 &lt; (INDEX(SLATable[Minimum SLA],MATCH(G310,SLATable[Priority],0))),"YES","NO"),"")</f>
        <v/>
      </c>
      <c r="AJ310" t="str">
        <f>_xlfn.IFNA(IF(AE310 &lt; (INDEX(SLATable[Maximum SLA],MATCH(G310,SLATable[Priority],0))),"YES","NO"),"")</f>
        <v/>
      </c>
    </row>
    <row r="311" spans="26:36" ht="15" customHeight="1">
      <c r="Z311" s="76" t="e">
        <f t="shared" ca="1" si="29"/>
        <v>#N/A</v>
      </c>
      <c r="AA311" s="75" t="e">
        <f t="shared" ca="1" si="30"/>
        <v>#N/A</v>
      </c>
      <c r="AB311" s="76">
        <f t="shared" ca="1" si="31"/>
        <v>0</v>
      </c>
      <c r="AC311" s="75">
        <f t="shared" ca="1" si="32"/>
        <v>0</v>
      </c>
      <c r="AD311" s="76">
        <f t="shared" ca="1" si="33"/>
        <v>12388.425643634258</v>
      </c>
      <c r="AE311" s="76">
        <f>SUMIFS(AB:AB,E:E,E311)</f>
        <v>0</v>
      </c>
      <c r="AF311" s="75">
        <f t="shared" si="34"/>
        <v>0</v>
      </c>
      <c r="AG311" s="76">
        <f t="shared" si="28"/>
        <v>0</v>
      </c>
      <c r="AH311" s="31" t="e" cm="1">
        <f t="array" aca="1" ref="AH311" ca="1">IF((AD311) &lt; (INDEX(ResponseSLA[#All],(MATCH((G311),ResponseSLA[Priority],0))+1,3)),"YES","No")</f>
        <v>#N/A</v>
      </c>
      <c r="AI311" s="31" t="str">
        <f>_xlfn.IFNA(IF(AE311 &lt; (INDEX(SLATable[Minimum SLA],MATCH(G311,SLATable[Priority],0))),"YES","NO"),"")</f>
        <v/>
      </c>
      <c r="AJ311" t="str">
        <f>_xlfn.IFNA(IF(AE311 &lt; (INDEX(SLATable[Maximum SLA],MATCH(G311,SLATable[Priority],0))),"YES","NO"),"")</f>
        <v/>
      </c>
    </row>
    <row r="312" spans="26:36" ht="15" customHeight="1">
      <c r="Z312" s="76" t="e">
        <f t="shared" ca="1" si="29"/>
        <v>#N/A</v>
      </c>
      <c r="AA312" s="75" t="e">
        <f t="shared" ca="1" si="30"/>
        <v>#N/A</v>
      </c>
      <c r="AB312" s="76">
        <f t="shared" ca="1" si="31"/>
        <v>0</v>
      </c>
      <c r="AC312" s="75">
        <f t="shared" ca="1" si="32"/>
        <v>0</v>
      </c>
      <c r="AD312" s="76">
        <f t="shared" ca="1" si="33"/>
        <v>12388.425643634258</v>
      </c>
      <c r="AE312" s="76">
        <f>SUMIFS(AB:AB,E:E,E312)</f>
        <v>0</v>
      </c>
      <c r="AF312" s="75">
        <f t="shared" si="34"/>
        <v>0</v>
      </c>
      <c r="AG312" s="76">
        <f t="shared" si="28"/>
        <v>0</v>
      </c>
      <c r="AH312" s="31" t="e" cm="1">
        <f t="array" aca="1" ref="AH312" ca="1">IF((AD312) &lt; (INDEX(ResponseSLA[#All],(MATCH((G312),ResponseSLA[Priority],0))+1,3)),"YES","No")</f>
        <v>#N/A</v>
      </c>
      <c r="AI312" s="31" t="str">
        <f>_xlfn.IFNA(IF(AE312 &lt; (INDEX(SLATable[Minimum SLA],MATCH(G312,SLATable[Priority],0))),"YES","NO"),"")</f>
        <v/>
      </c>
      <c r="AJ312" t="str">
        <f>_xlfn.IFNA(IF(AE312 &lt; (INDEX(SLATable[Maximum SLA],MATCH(G312,SLATable[Priority],0))),"YES","NO"),"")</f>
        <v/>
      </c>
    </row>
    <row r="313" spans="26:36" ht="15" customHeight="1">
      <c r="Z313" s="76" t="e">
        <f t="shared" ca="1" si="29"/>
        <v>#N/A</v>
      </c>
      <c r="AA313" s="75" t="e">
        <f t="shared" ca="1" si="30"/>
        <v>#N/A</v>
      </c>
      <c r="AB313" s="76">
        <f t="shared" ca="1" si="31"/>
        <v>0</v>
      </c>
      <c r="AC313" s="75">
        <f t="shared" ca="1" si="32"/>
        <v>0</v>
      </c>
      <c r="AD313" s="76">
        <f t="shared" ca="1" si="33"/>
        <v>12388.425643634258</v>
      </c>
      <c r="AE313" s="76">
        <f>SUMIFS(AB:AB,E:E,E313)</f>
        <v>0</v>
      </c>
      <c r="AF313" s="75">
        <f t="shared" si="34"/>
        <v>0</v>
      </c>
      <c r="AG313" s="76">
        <f t="shared" si="28"/>
        <v>0</v>
      </c>
      <c r="AH313" s="31" t="e" cm="1">
        <f t="array" aca="1" ref="AH313" ca="1">IF((AD313) &lt; (INDEX(ResponseSLA[#All],(MATCH((G313),ResponseSLA[Priority],0))+1,3)),"YES","No")</f>
        <v>#N/A</v>
      </c>
      <c r="AI313" s="31" t="str">
        <f>_xlfn.IFNA(IF(AE313 &lt; (INDEX(SLATable[Minimum SLA],MATCH(G313,SLATable[Priority],0))),"YES","NO"),"")</f>
        <v/>
      </c>
      <c r="AJ313" t="str">
        <f>_xlfn.IFNA(IF(AE313 &lt; (INDEX(SLATable[Maximum SLA],MATCH(G313,SLATable[Priority],0))),"YES","NO"),"")</f>
        <v/>
      </c>
    </row>
    <row r="314" spans="26:36" ht="15" customHeight="1">
      <c r="Z314" s="76" t="e">
        <f t="shared" ca="1" si="29"/>
        <v>#N/A</v>
      </c>
      <c r="AA314" s="75" t="e">
        <f t="shared" ca="1" si="30"/>
        <v>#N/A</v>
      </c>
      <c r="AB314" s="76">
        <f t="shared" ca="1" si="31"/>
        <v>0</v>
      </c>
      <c r="AC314" s="75">
        <f t="shared" ca="1" si="32"/>
        <v>0</v>
      </c>
      <c r="AD314" s="76">
        <f t="shared" ca="1" si="33"/>
        <v>12388.425643634258</v>
      </c>
      <c r="AE314" s="76">
        <f>SUMIFS(AB:AB,E:E,E314)</f>
        <v>0</v>
      </c>
      <c r="AF314" s="75">
        <f t="shared" si="34"/>
        <v>0</v>
      </c>
      <c r="AG314" s="76">
        <f t="shared" si="28"/>
        <v>0</v>
      </c>
      <c r="AH314" s="31" t="e" cm="1">
        <f t="array" aca="1" ref="AH314" ca="1">IF((AD314) &lt; (INDEX(ResponseSLA[#All],(MATCH((G314),ResponseSLA[Priority],0))+1,3)),"YES","No")</f>
        <v>#N/A</v>
      </c>
      <c r="AI314" s="31" t="str">
        <f>_xlfn.IFNA(IF(AE314 &lt; (INDEX(SLATable[Minimum SLA],MATCH(G314,SLATable[Priority],0))),"YES","NO"),"")</f>
        <v/>
      </c>
      <c r="AJ314" t="str">
        <f>_xlfn.IFNA(IF(AE314 &lt; (INDEX(SLATable[Maximum SLA],MATCH(G314,SLATable[Priority],0))),"YES","NO"),"")</f>
        <v/>
      </c>
    </row>
    <row r="315" spans="26:36" ht="15" customHeight="1">
      <c r="Z315" s="76" t="e">
        <f t="shared" ca="1" si="29"/>
        <v>#N/A</v>
      </c>
      <c r="AA315" s="75" t="e">
        <f t="shared" ca="1" si="30"/>
        <v>#N/A</v>
      </c>
      <c r="AB315" s="76">
        <f t="shared" ca="1" si="31"/>
        <v>0</v>
      </c>
      <c r="AC315" s="75">
        <f t="shared" ca="1" si="32"/>
        <v>0</v>
      </c>
      <c r="AD315" s="76">
        <f t="shared" ca="1" si="33"/>
        <v>12388.425643634258</v>
      </c>
      <c r="AE315" s="76">
        <f>SUMIFS(AB:AB,E:E,E315)</f>
        <v>0</v>
      </c>
      <c r="AF315" s="75">
        <f t="shared" si="34"/>
        <v>0</v>
      </c>
      <c r="AG315" s="76">
        <f t="shared" si="28"/>
        <v>0</v>
      </c>
      <c r="AH315" s="31" t="e" cm="1">
        <f t="array" aca="1" ref="AH315" ca="1">IF((AD315) &lt; (INDEX(ResponseSLA[#All],(MATCH((G315),ResponseSLA[Priority],0))+1,3)),"YES","No")</f>
        <v>#N/A</v>
      </c>
      <c r="AI315" s="31" t="str">
        <f>_xlfn.IFNA(IF(AE315 &lt; (INDEX(SLATable[Minimum SLA],MATCH(G315,SLATable[Priority],0))),"YES","NO"),"")</f>
        <v/>
      </c>
      <c r="AJ315" t="str">
        <f>_xlfn.IFNA(IF(AE315 &lt; (INDEX(SLATable[Maximum SLA],MATCH(G315,SLATable[Priority],0))),"YES","NO"),"")</f>
        <v/>
      </c>
    </row>
    <row r="316" spans="26:36" ht="15" customHeight="1">
      <c r="Z316" s="76" t="e">
        <f t="shared" ca="1" si="29"/>
        <v>#N/A</v>
      </c>
      <c r="AA316" s="75" t="e">
        <f t="shared" ca="1" si="30"/>
        <v>#N/A</v>
      </c>
      <c r="AB316" s="76">
        <f t="shared" ca="1" si="31"/>
        <v>0</v>
      </c>
      <c r="AC316" s="75">
        <f t="shared" ca="1" si="32"/>
        <v>0</v>
      </c>
      <c r="AD316" s="76">
        <f t="shared" ca="1" si="33"/>
        <v>12388.425643634258</v>
      </c>
      <c r="AE316" s="76">
        <f>SUMIFS(AB:AB,E:E,E316)</f>
        <v>0</v>
      </c>
      <c r="AF316" s="75">
        <f t="shared" si="34"/>
        <v>0</v>
      </c>
      <c r="AG316" s="76">
        <f t="shared" si="28"/>
        <v>0</v>
      </c>
      <c r="AH316" s="31" t="e" cm="1">
        <f t="array" aca="1" ref="AH316" ca="1">IF((AD316) &lt; (INDEX(ResponseSLA[#All],(MATCH((G316),ResponseSLA[Priority],0))+1,3)),"YES","No")</f>
        <v>#N/A</v>
      </c>
      <c r="AI316" s="31" t="str">
        <f>_xlfn.IFNA(IF(AE316 &lt; (INDEX(SLATable[Minimum SLA],MATCH(G316,SLATable[Priority],0))),"YES","NO"),"")</f>
        <v/>
      </c>
      <c r="AJ316" t="str">
        <f>_xlfn.IFNA(IF(AE316 &lt; (INDEX(SLATable[Maximum SLA],MATCH(G316,SLATable[Priority],0))),"YES","NO"),"")</f>
        <v/>
      </c>
    </row>
    <row r="317" spans="26:36" ht="15" customHeight="1">
      <c r="Z317" s="76" t="e">
        <f t="shared" ca="1" si="29"/>
        <v>#N/A</v>
      </c>
      <c r="AA317" s="75" t="e">
        <f t="shared" ca="1" si="30"/>
        <v>#N/A</v>
      </c>
      <c r="AB317" s="76">
        <f t="shared" ca="1" si="31"/>
        <v>0</v>
      </c>
      <c r="AC317" s="75">
        <f t="shared" ca="1" si="32"/>
        <v>0</v>
      </c>
      <c r="AD317" s="76">
        <f t="shared" ca="1" si="33"/>
        <v>12388.425643634258</v>
      </c>
      <c r="AE317" s="76">
        <f>SUMIFS(AB:AB,E:E,E317)</f>
        <v>0</v>
      </c>
      <c r="AF317" s="75">
        <f t="shared" si="34"/>
        <v>0</v>
      </c>
      <c r="AG317" s="76">
        <f t="shared" si="28"/>
        <v>0</v>
      </c>
      <c r="AH317" s="31" t="e" cm="1">
        <f t="array" aca="1" ref="AH317" ca="1">IF((AD317) &lt; (INDEX(ResponseSLA[#All],(MATCH((G317),ResponseSLA[Priority],0))+1,3)),"YES","No")</f>
        <v>#N/A</v>
      </c>
      <c r="AI317" s="31" t="str">
        <f>_xlfn.IFNA(IF(AE317 &lt; (INDEX(SLATable[Minimum SLA],MATCH(G317,SLATable[Priority],0))),"YES","NO"),"")</f>
        <v/>
      </c>
      <c r="AJ317" t="str">
        <f>_xlfn.IFNA(IF(AE317 &lt; (INDEX(SLATable[Maximum SLA],MATCH(G317,SLATable[Priority],0))),"YES","NO"),"")</f>
        <v/>
      </c>
    </row>
    <row r="318" spans="26:36" ht="15" customHeight="1">
      <c r="Z318" s="76" t="e">
        <f t="shared" ca="1" si="29"/>
        <v>#N/A</v>
      </c>
      <c r="AA318" s="75" t="e">
        <f t="shared" ca="1" si="30"/>
        <v>#N/A</v>
      </c>
      <c r="AB318" s="76">
        <f t="shared" ca="1" si="31"/>
        <v>0</v>
      </c>
      <c r="AC318" s="75">
        <f t="shared" ca="1" si="32"/>
        <v>0</v>
      </c>
      <c r="AD318" s="76">
        <f t="shared" ca="1" si="33"/>
        <v>12388.425643634258</v>
      </c>
      <c r="AE318" s="76">
        <f>SUMIFS(AB:AB,E:E,E318)</f>
        <v>0</v>
      </c>
      <c r="AF318" s="75">
        <f t="shared" si="34"/>
        <v>0</v>
      </c>
      <c r="AG318" s="76">
        <f t="shared" si="28"/>
        <v>0</v>
      </c>
      <c r="AH318" s="31" t="e" cm="1">
        <f t="array" aca="1" ref="AH318" ca="1">IF((AD318) &lt; (INDEX(ResponseSLA[#All],(MATCH((G318),ResponseSLA[Priority],0))+1,3)),"YES","No")</f>
        <v>#N/A</v>
      </c>
      <c r="AI318" s="31" t="str">
        <f>_xlfn.IFNA(IF(AE318 &lt; (INDEX(SLATable[Minimum SLA],MATCH(G318,SLATable[Priority],0))),"YES","NO"),"")</f>
        <v/>
      </c>
      <c r="AJ318" t="str">
        <f>_xlfn.IFNA(IF(AE318 &lt; (INDEX(SLATable[Maximum SLA],MATCH(G318,SLATable[Priority],0))),"YES","NO"),"")</f>
        <v/>
      </c>
    </row>
    <row r="319" spans="26:36" ht="15" customHeight="1">
      <c r="Z319" s="76" t="e">
        <f t="shared" ca="1" si="29"/>
        <v>#N/A</v>
      </c>
      <c r="AA319" s="75" t="e">
        <f t="shared" ca="1" si="30"/>
        <v>#N/A</v>
      </c>
      <c r="AB319" s="76">
        <f t="shared" ca="1" si="31"/>
        <v>0</v>
      </c>
      <c r="AC319" s="75">
        <f t="shared" ca="1" si="32"/>
        <v>0</v>
      </c>
      <c r="AD319" s="76">
        <f t="shared" ca="1" si="33"/>
        <v>12388.425643634258</v>
      </c>
      <c r="AE319" s="76">
        <f>SUMIFS(AB:AB,E:E,E319)</f>
        <v>0</v>
      </c>
      <c r="AF319" s="75">
        <f t="shared" si="34"/>
        <v>0</v>
      </c>
      <c r="AG319" s="76">
        <f t="shared" si="28"/>
        <v>0</v>
      </c>
      <c r="AH319" s="31" t="e" cm="1">
        <f t="array" aca="1" ref="AH319" ca="1">IF((AD319) &lt; (INDEX(ResponseSLA[#All],(MATCH((G319),ResponseSLA[Priority],0))+1,3)),"YES","No")</f>
        <v>#N/A</v>
      </c>
      <c r="AI319" s="31" t="str">
        <f>_xlfn.IFNA(IF(AE319 &lt; (INDEX(SLATable[Minimum SLA],MATCH(G319,SLATable[Priority],0))),"YES","NO"),"")</f>
        <v/>
      </c>
      <c r="AJ319" t="str">
        <f>_xlfn.IFNA(IF(AE319 &lt; (INDEX(SLATable[Maximum SLA],MATCH(G319,SLATable[Priority],0))),"YES","NO"),"")</f>
        <v/>
      </c>
    </row>
    <row r="320" spans="26:36" ht="15" customHeight="1">
      <c r="Z320" s="76" t="e">
        <f t="shared" ca="1" si="29"/>
        <v>#N/A</v>
      </c>
      <c r="AA320" s="75" t="e">
        <f t="shared" ca="1" si="30"/>
        <v>#N/A</v>
      </c>
      <c r="AB320" s="76">
        <f t="shared" ca="1" si="31"/>
        <v>0</v>
      </c>
      <c r="AC320" s="75">
        <f t="shared" ca="1" si="32"/>
        <v>0</v>
      </c>
      <c r="AD320" s="76">
        <f t="shared" ca="1" si="33"/>
        <v>12388.425643634258</v>
      </c>
      <c r="AE320" s="76">
        <f>SUMIFS(AB:AB,E:E,E320)</f>
        <v>0</v>
      </c>
      <c r="AF320" s="75">
        <f t="shared" si="34"/>
        <v>0</v>
      </c>
      <c r="AG320" s="76">
        <f t="shared" si="28"/>
        <v>0</v>
      </c>
      <c r="AH320" s="31" t="e" cm="1">
        <f t="array" aca="1" ref="AH320" ca="1">IF((AD320) &lt; (INDEX(ResponseSLA[#All],(MATCH((G320),ResponseSLA[Priority],0))+1,3)),"YES","No")</f>
        <v>#N/A</v>
      </c>
      <c r="AI320" s="31" t="str">
        <f>_xlfn.IFNA(IF(AE320 &lt; (INDEX(SLATable[Minimum SLA],MATCH(G320,SLATable[Priority],0))),"YES","NO"),"")</f>
        <v/>
      </c>
      <c r="AJ320" t="str">
        <f>_xlfn.IFNA(IF(AE320 &lt; (INDEX(SLATable[Maximum SLA],MATCH(G320,SLATable[Priority],0))),"YES","NO"),"")</f>
        <v/>
      </c>
    </row>
    <row r="321" spans="26:36" ht="15" customHeight="1">
      <c r="Z321" s="76" t="e">
        <f t="shared" ca="1" si="29"/>
        <v>#N/A</v>
      </c>
      <c r="AA321" s="75" t="e">
        <f t="shared" ca="1" si="30"/>
        <v>#N/A</v>
      </c>
      <c r="AB321" s="76">
        <f t="shared" ca="1" si="31"/>
        <v>0</v>
      </c>
      <c r="AC321" s="75">
        <f t="shared" ca="1" si="32"/>
        <v>0</v>
      </c>
      <c r="AD321" s="76">
        <f t="shared" ca="1" si="33"/>
        <v>12388.425643634258</v>
      </c>
      <c r="AE321" s="76">
        <f>SUMIFS(AB:AB,E:E,E321)</f>
        <v>0</v>
      </c>
      <c r="AF321" s="75">
        <f t="shared" si="34"/>
        <v>0</v>
      </c>
      <c r="AG321" s="76">
        <f t="shared" ref="AG321:AG384" si="35">AF321</f>
        <v>0</v>
      </c>
      <c r="AH321" s="31" t="e" cm="1">
        <f t="array" aca="1" ref="AH321" ca="1">IF((AD321) &lt; (INDEX(ResponseSLA[#All],(MATCH((G321),ResponseSLA[Priority],0))+1,3)),"YES","No")</f>
        <v>#N/A</v>
      </c>
      <c r="AI321" s="31" t="str">
        <f>_xlfn.IFNA(IF(AE321 &lt; (INDEX(SLATable[Minimum SLA],MATCH(G321,SLATable[Priority],0))),"YES","NO"),"")</f>
        <v/>
      </c>
      <c r="AJ321" t="str">
        <f>_xlfn.IFNA(IF(AE321 &lt; (INDEX(SLATable[Maximum SLA],MATCH(G321,SLATable[Priority],0))),"YES","NO"),"")</f>
        <v/>
      </c>
    </row>
    <row r="322" spans="26:36" ht="15" customHeight="1">
      <c r="Z322" s="76" t="e">
        <f t="shared" ca="1" si="29"/>
        <v>#N/A</v>
      </c>
      <c r="AA322" s="75" t="e">
        <f t="shared" ca="1" si="30"/>
        <v>#N/A</v>
      </c>
      <c r="AB322" s="76">
        <f t="shared" ca="1" si="31"/>
        <v>0</v>
      </c>
      <c r="AC322" s="75">
        <f t="shared" ca="1" si="32"/>
        <v>0</v>
      </c>
      <c r="AD322" s="76">
        <f t="shared" ca="1" si="33"/>
        <v>12388.425643634258</v>
      </c>
      <c r="AE322" s="76">
        <f>SUMIFS(AB:AB,E:E,E322)</f>
        <v>0</v>
      </c>
      <c r="AF322" s="75">
        <f t="shared" si="34"/>
        <v>0</v>
      </c>
      <c r="AG322" s="76">
        <f t="shared" si="35"/>
        <v>0</v>
      </c>
      <c r="AH322" s="31" t="e" cm="1">
        <f t="array" aca="1" ref="AH322" ca="1">IF((AD322) &lt; (INDEX(ResponseSLA[#All],(MATCH((G322),ResponseSLA[Priority],0))+1,3)),"YES","No")</f>
        <v>#N/A</v>
      </c>
      <c r="AI322" s="31" t="str">
        <f>_xlfn.IFNA(IF(AE322 &lt; (INDEX(SLATable[Minimum SLA],MATCH(G322,SLATable[Priority],0))),"YES","NO"),"")</f>
        <v/>
      </c>
      <c r="AJ322" t="str">
        <f>_xlfn.IFNA(IF(AE322 &lt; (INDEX(SLATable[Maximum SLA],MATCH(G322,SLATable[Priority],0))),"YES","NO"),"")</f>
        <v/>
      </c>
    </row>
    <row r="323" spans="26:36" ht="15" customHeight="1">
      <c r="Z323" s="76" t="e">
        <f t="shared" ref="Z323:Z386" ca="1" si="36">IF(NOT(OR(G323=1,G323=2)),MAX(0,_xlfn.IFS(AND(K323&lt;&gt;"",N323&lt;&gt;""),((MAX(NETWORKDAYS(K323,N323,UKBankHolidays)-1,0))*(TIME(17,0,0)-TIME(8,0,0))+IF(NETWORKDAYS(N323,N323,UKBankHolidays)&gt;0,MEDIAN(TIME(8,0,0),MOD(N323,1),TIME(17,0,0)),TIME(8,0,0))-IF(NETWORKDAYS(K323,K323,UKBankHolidays)&gt;0,MEDIAN(TIME(8,0,0),MOD(K323,1),TIME(17,0,0)),TIME(8,0,0)))-IF(AND(O323&lt;&gt;"",P323&lt;&gt;""),((MAX(NETWORKDAYS(O323,P323,UKBankHolidays)-1,0))*(TIME(17,0,0)-TIME(8,0,0))+IF(NETWORKDAYS(P323,P323,UKBankHolidays)&gt;0,MEDIAN(TIME(8,0,0),MOD(P323,1),TIME(17,0,0)),TIME(8,0,0))-IF(NETWORKDAYS(O323,O323,UKBankHolidays)&gt;0,MEDIAN(TIME(8,0,0),MOD(O323,1),TIME(17,0,0)),TIME(8,0,0))),0),AND(K323&lt;&gt;"",N323=""),((MAX(NETWORKDAYS(K323,NOW(),UKBankHolidays)-1,0))*(TIME(17,0,0)-TIME(8,0,0))+IF(NETWORKDAYS(NOW(),NOW(),UKBankHolidays)&gt;0,MEDIAN(TIME(8,0,0),MOD(NOW(),1),TIME(17,0,0)),TIME(8,0,0))-IF(NETWORKDAYS(K323,K323,UKBankHolidays)&gt;0,MEDIAN(TIME(8,0,0),MOD(K323,1),TIME(17,0,0)),TIME(8,0,0))))),IF(N323="",NOW()-K323,N323-K323))</f>
        <v>#N/A</v>
      </c>
      <c r="AA323" s="75" t="e">
        <f t="shared" ref="AA323:AA386" ca="1" si="37">(Z323*24)/9</f>
        <v>#N/A</v>
      </c>
      <c r="AB323" s="76">
        <f t="shared" ref="AB323:AB386" ca="1" si="38">IF(NOT(OR(G323=1,G323=2)),MAX(0,_xlfn.IFS(AND(K323&lt;&gt;"",N323&lt;&gt;""),(((MAX(NETWORKDAYS(L323,N323,UKBankHolidays)-1,0))*(TIME(17,0,0)-TIME(8,0,0)))+IF(NETWORKDAYS(N323,N323,UKBankHolidays)&gt;0,MEDIAN(TIME(8,0,0),MOD(N323,1),TIME(17,0,0)),TIME(8,0,0))-IF(NETWORKDAYS(L323,L323,UKBankHolidays)&gt;0,MEDIAN(TIME(8,0,0),MOD(L323,1),TIME(17,0,0)),TIME(8,0,0)))-IF(AND(O323&lt;&gt;"",P323&lt;&gt;""),(((MAX(NETWORKDAYS(O323,P323,UKBankHolidays)-1,0))*(TIME(17,0,0)-TIME(8,0,0)))+IF(NETWORKDAYS(P323,P323,UKBankHolidays)&gt;0,MEDIAN(TIME(8,0,0),MOD(P323,1),TIME(17,0,0)),TIME(8,0,0))-IF(NETWORKDAYS(O323,O323,UKBankHolidays)&gt;0,MEDIAN(TIME(8,0,0),MOD(O323,1),TIME(17,0,0)),TIME(8,0,0))),0),AND(L323&lt;&gt;"",N323="",O323=""),(((MAX(NETWORKDAYS(L323,NOW(),UKBankHolidays)-1,0))*(TIME(17,0,0)-TIME(8,0,0)))+IF(NETWORKDAYS(NOW(),NOW(),UKBankHolidays)&gt;0,MEDIAN(TIME(8,0,0),MOD(NOW(),1),TIME(17,0,0)),TIME(8,0,0))-IF(NETWORKDAYS(L323,L323,UKBankHolidays)&gt;0,MEDIAN(TIME(8,0,0),MOD(L323,1),TIME(17,0,0)),TIME(8,0,0)))-IF(AND(O323&lt;&gt;"",P323&lt;&gt;""),(((MAX(NETWORKDAYS(O323,P323,UKBankHolidays)-1,0))*(TIME(17,0,0)-TIME(8,0,0)))+IF(NETWORKDAYS(P323,P323,UKBankHolidays)&gt;0,MEDIAN(TIME(8,0,0),MOD(P323,1),TIME(17,0,0)),TIME(8,0,0))-IF(NETWORKDAYS(O323,O323,UKBankHolidays)&gt;0,MEDIAN(TIME(8,0,0),MOD(O323,1),TIME(17,0,0)),TIME(8,0,0))),0),AND(L323&lt;&gt;"",N323="",P323="",O323&lt;&gt;""),(((MAX(NETWORKDAYS(L323,O323,UKBankHolidays)-1,0))*(TIME(17,0,0)-TIME(8,0,0)))+IF(NETWORKDAYS(O323,O323,UKBankHolidays)&gt;0,MEDIAN(TIME(8,0,0),MOD(O323,1),TIME(17,0,0)),TIME(8,0,0))-IF(NETWORKDAYS(L323,L323,UKBankHolidays)&gt;0,MEDIAN(TIME(8,0,0),MOD(L323,1),TIME(17,0,0)),TIME(8,0,0))),ISBLANK(K323),"0")),IF(ISBLANK(N323),NOW()-L323,N323-L323))</f>
        <v>0</v>
      </c>
      <c r="AC323" s="75">
        <f t="shared" ref="AC323:AC386" ca="1" si="39">(AB323*24)/9</f>
        <v>0</v>
      </c>
      <c r="AD323" s="76">
        <f t="shared" ref="AD323:AD386" ca="1" si="40">MAX(0,IF(NOT(OR(G323=1,G323=2)),IF(M323&lt;&gt;"",((MAX(NETWORKDAYS(L323,M323,UKBankHolidays)-1,0))*(TIME(17,0,0)-TIME(8,0,0))+IF(NETWORKDAYS(M323,M323,UKBankHolidays)&gt;0,MEDIAN(TIME(8,0,0),MOD(M323,1),TIME(17,0,0)),TIME(8,0,0))-MEDIAN(TIME(8,0,0),MOD(L323,1),TIME(17,0,0))),((MAX(NETWORKDAYS(L323,NOW(),UKBankHolidays)-1,0))*(TIME(17,0,0)-TIME(8,0,0))+IF(NETWORKDAYS(NOW(),NOW(),UKBankHolidays)&gt;0,MEDIAN(TIME(8,0,0),MOD(NOW(),1),TIME(17,0,0)),TIME(8,0,0))-MEDIAN(TIME(8,0,0),MOD(L323,1),TIME(17,0,0)))),IF(M323&lt;&gt;"",M323-L323,NOW()-L323)))</f>
        <v>12388.425643634258</v>
      </c>
      <c r="AE323" s="76">
        <f>SUMIFS(AB:AB,E:E,E323)</f>
        <v>0</v>
      </c>
      <c r="AF323" s="75">
        <f t="shared" ref="AF323:AF386" si="41">(AE323*24)/9</f>
        <v>0</v>
      </c>
      <c r="AG323" s="76">
        <f t="shared" si="35"/>
        <v>0</v>
      </c>
      <c r="AH323" s="31" t="e" cm="1">
        <f t="array" aca="1" ref="AH323" ca="1">IF((AD323) &lt; (INDEX(ResponseSLA[#All],(MATCH((G323),ResponseSLA[Priority],0))+1,3)),"YES","No")</f>
        <v>#N/A</v>
      </c>
      <c r="AI323" s="31" t="str">
        <f>_xlfn.IFNA(IF(AE323 &lt; (INDEX(SLATable[Minimum SLA],MATCH(G323,SLATable[Priority],0))),"YES","NO"),"")</f>
        <v/>
      </c>
      <c r="AJ323" t="str">
        <f>_xlfn.IFNA(IF(AE323 &lt; (INDEX(SLATable[Maximum SLA],MATCH(G323,SLATable[Priority],0))),"YES","NO"),"")</f>
        <v/>
      </c>
    </row>
    <row r="324" spans="26:36" ht="15" customHeight="1">
      <c r="Z324" s="76" t="e">
        <f t="shared" ca="1" si="36"/>
        <v>#N/A</v>
      </c>
      <c r="AA324" s="75" t="e">
        <f t="shared" ca="1" si="37"/>
        <v>#N/A</v>
      </c>
      <c r="AB324" s="76">
        <f t="shared" ca="1" si="38"/>
        <v>0</v>
      </c>
      <c r="AC324" s="75">
        <f t="shared" ca="1" si="39"/>
        <v>0</v>
      </c>
      <c r="AD324" s="76">
        <f t="shared" ca="1" si="40"/>
        <v>12388.425643634258</v>
      </c>
      <c r="AE324" s="76">
        <f>SUMIFS(AB:AB,E:E,E324)</f>
        <v>0</v>
      </c>
      <c r="AF324" s="75">
        <f t="shared" si="41"/>
        <v>0</v>
      </c>
      <c r="AG324" s="76">
        <f t="shared" si="35"/>
        <v>0</v>
      </c>
      <c r="AH324" s="31" t="e" cm="1">
        <f t="array" aca="1" ref="AH324" ca="1">IF((AD324) &lt; (INDEX(ResponseSLA[#All],(MATCH((G324),ResponseSLA[Priority],0))+1,3)),"YES","No")</f>
        <v>#N/A</v>
      </c>
      <c r="AI324" s="31" t="str">
        <f>_xlfn.IFNA(IF(AE324 &lt; (INDEX(SLATable[Minimum SLA],MATCH(G324,SLATable[Priority],0))),"YES","NO"),"")</f>
        <v/>
      </c>
      <c r="AJ324" t="str">
        <f>_xlfn.IFNA(IF(AE324 &lt; (INDEX(SLATable[Maximum SLA],MATCH(G324,SLATable[Priority],0))),"YES","NO"),"")</f>
        <v/>
      </c>
    </row>
    <row r="325" spans="26:36" ht="15" customHeight="1">
      <c r="Z325" s="76" t="e">
        <f t="shared" ca="1" si="36"/>
        <v>#N/A</v>
      </c>
      <c r="AA325" s="75" t="e">
        <f t="shared" ca="1" si="37"/>
        <v>#N/A</v>
      </c>
      <c r="AB325" s="76">
        <f t="shared" ca="1" si="38"/>
        <v>0</v>
      </c>
      <c r="AC325" s="75">
        <f t="shared" ca="1" si="39"/>
        <v>0</v>
      </c>
      <c r="AD325" s="76">
        <f t="shared" ca="1" si="40"/>
        <v>12388.425643634258</v>
      </c>
      <c r="AE325" s="76">
        <f>SUMIFS(AB:AB,E:E,E325)</f>
        <v>0</v>
      </c>
      <c r="AF325" s="75">
        <f t="shared" si="41"/>
        <v>0</v>
      </c>
      <c r="AG325" s="76">
        <f t="shared" si="35"/>
        <v>0</v>
      </c>
      <c r="AH325" s="31" t="e" cm="1">
        <f t="array" aca="1" ref="AH325" ca="1">IF((AD325) &lt; (INDEX(ResponseSLA[#All],(MATCH((G325),ResponseSLA[Priority],0))+1,3)),"YES","No")</f>
        <v>#N/A</v>
      </c>
      <c r="AI325" s="31" t="str">
        <f>_xlfn.IFNA(IF(AE325 &lt; (INDEX(SLATable[Minimum SLA],MATCH(G325,SLATable[Priority],0))),"YES","NO"),"")</f>
        <v/>
      </c>
      <c r="AJ325" t="str">
        <f>_xlfn.IFNA(IF(AE325 &lt; (INDEX(SLATable[Maximum SLA],MATCH(G325,SLATable[Priority],0))),"YES","NO"),"")</f>
        <v/>
      </c>
    </row>
    <row r="326" spans="26:36" ht="15" customHeight="1">
      <c r="Z326" s="76" t="e">
        <f t="shared" ca="1" si="36"/>
        <v>#N/A</v>
      </c>
      <c r="AA326" s="75" t="e">
        <f t="shared" ca="1" si="37"/>
        <v>#N/A</v>
      </c>
      <c r="AB326" s="76">
        <f t="shared" ca="1" si="38"/>
        <v>0</v>
      </c>
      <c r="AC326" s="75">
        <f t="shared" ca="1" si="39"/>
        <v>0</v>
      </c>
      <c r="AD326" s="76">
        <f t="shared" ca="1" si="40"/>
        <v>12388.425643634258</v>
      </c>
      <c r="AE326" s="76">
        <f>SUMIFS(AB:AB,E:E,E326)</f>
        <v>0</v>
      </c>
      <c r="AF326" s="75">
        <f t="shared" si="41"/>
        <v>0</v>
      </c>
      <c r="AG326" s="76">
        <f t="shared" si="35"/>
        <v>0</v>
      </c>
      <c r="AH326" s="31" t="e" cm="1">
        <f t="array" aca="1" ref="AH326" ca="1">IF((AD326) &lt; (INDEX(ResponseSLA[#All],(MATCH((G326),ResponseSLA[Priority],0))+1,3)),"YES","No")</f>
        <v>#N/A</v>
      </c>
      <c r="AI326" s="31" t="str">
        <f>_xlfn.IFNA(IF(AE326 &lt; (INDEX(SLATable[Minimum SLA],MATCH(G326,SLATable[Priority],0))),"YES","NO"),"")</f>
        <v/>
      </c>
      <c r="AJ326" t="str">
        <f>_xlfn.IFNA(IF(AE326 &lt; (INDEX(SLATable[Maximum SLA],MATCH(G326,SLATable[Priority],0))),"YES","NO"),"")</f>
        <v/>
      </c>
    </row>
    <row r="327" spans="26:36" ht="15" customHeight="1">
      <c r="Z327" s="76" t="e">
        <f t="shared" ca="1" si="36"/>
        <v>#N/A</v>
      </c>
      <c r="AA327" s="75" t="e">
        <f t="shared" ca="1" si="37"/>
        <v>#N/A</v>
      </c>
      <c r="AB327" s="76">
        <f t="shared" ca="1" si="38"/>
        <v>0</v>
      </c>
      <c r="AC327" s="75">
        <f t="shared" ca="1" si="39"/>
        <v>0</v>
      </c>
      <c r="AD327" s="76">
        <f t="shared" ca="1" si="40"/>
        <v>12388.425643634258</v>
      </c>
      <c r="AE327" s="76">
        <f>SUMIFS(AB:AB,E:E,E327)</f>
        <v>0</v>
      </c>
      <c r="AF327" s="75">
        <f t="shared" si="41"/>
        <v>0</v>
      </c>
      <c r="AG327" s="76">
        <f t="shared" si="35"/>
        <v>0</v>
      </c>
      <c r="AH327" s="31" t="e" cm="1">
        <f t="array" aca="1" ref="AH327" ca="1">IF((AD327) &lt; (INDEX(ResponseSLA[#All],(MATCH((G327),ResponseSLA[Priority],0))+1,3)),"YES","No")</f>
        <v>#N/A</v>
      </c>
      <c r="AI327" s="31" t="str">
        <f>_xlfn.IFNA(IF(AE327 &lt; (INDEX(SLATable[Minimum SLA],MATCH(G327,SLATable[Priority],0))),"YES","NO"),"")</f>
        <v/>
      </c>
      <c r="AJ327" t="str">
        <f>_xlfn.IFNA(IF(AE327 &lt; (INDEX(SLATable[Maximum SLA],MATCH(G327,SLATable[Priority],0))),"YES","NO"),"")</f>
        <v/>
      </c>
    </row>
    <row r="328" spans="26:36" ht="15" customHeight="1">
      <c r="Z328" s="76" t="e">
        <f t="shared" ca="1" si="36"/>
        <v>#N/A</v>
      </c>
      <c r="AA328" s="75" t="e">
        <f t="shared" ca="1" si="37"/>
        <v>#N/A</v>
      </c>
      <c r="AB328" s="76">
        <f t="shared" ca="1" si="38"/>
        <v>0</v>
      </c>
      <c r="AC328" s="75">
        <f t="shared" ca="1" si="39"/>
        <v>0</v>
      </c>
      <c r="AD328" s="76">
        <f t="shared" ca="1" si="40"/>
        <v>12388.425643634258</v>
      </c>
      <c r="AE328" s="76">
        <f>SUMIFS(AB:AB,E:E,E328)</f>
        <v>0</v>
      </c>
      <c r="AF328" s="75">
        <f t="shared" si="41"/>
        <v>0</v>
      </c>
      <c r="AG328" s="76">
        <f t="shared" si="35"/>
        <v>0</v>
      </c>
      <c r="AH328" s="31" t="e" cm="1">
        <f t="array" aca="1" ref="AH328" ca="1">IF((AD328) &lt; (INDEX(ResponseSLA[#All],(MATCH((G328),ResponseSLA[Priority],0))+1,3)),"YES","No")</f>
        <v>#N/A</v>
      </c>
      <c r="AI328" s="31" t="str">
        <f>_xlfn.IFNA(IF(AE328 &lt; (INDEX(SLATable[Minimum SLA],MATCH(G328,SLATable[Priority],0))),"YES","NO"),"")</f>
        <v/>
      </c>
      <c r="AJ328" t="str">
        <f>_xlfn.IFNA(IF(AE328 &lt; (INDEX(SLATable[Maximum SLA],MATCH(G328,SLATable[Priority],0))),"YES","NO"),"")</f>
        <v/>
      </c>
    </row>
    <row r="329" spans="26:36" ht="15" customHeight="1">
      <c r="Z329" s="76" t="e">
        <f t="shared" ca="1" si="36"/>
        <v>#N/A</v>
      </c>
      <c r="AA329" s="75" t="e">
        <f t="shared" ca="1" si="37"/>
        <v>#N/A</v>
      </c>
      <c r="AB329" s="76">
        <f t="shared" ca="1" si="38"/>
        <v>0</v>
      </c>
      <c r="AC329" s="75">
        <f t="shared" ca="1" si="39"/>
        <v>0</v>
      </c>
      <c r="AD329" s="76">
        <f t="shared" ca="1" si="40"/>
        <v>12388.425643634258</v>
      </c>
      <c r="AE329" s="76">
        <f>SUMIFS(AB:AB,E:E,E329)</f>
        <v>0</v>
      </c>
      <c r="AF329" s="75">
        <f t="shared" si="41"/>
        <v>0</v>
      </c>
      <c r="AG329" s="76">
        <f t="shared" si="35"/>
        <v>0</v>
      </c>
      <c r="AH329" s="31" t="e" cm="1">
        <f t="array" aca="1" ref="AH329" ca="1">IF((AD329) &lt; (INDEX(ResponseSLA[#All],(MATCH((G329),ResponseSLA[Priority],0))+1,3)),"YES","No")</f>
        <v>#N/A</v>
      </c>
      <c r="AI329" s="31" t="str">
        <f>_xlfn.IFNA(IF(AE329 &lt; (INDEX(SLATable[Minimum SLA],MATCH(G329,SLATable[Priority],0))),"YES","NO"),"")</f>
        <v/>
      </c>
      <c r="AJ329" t="str">
        <f>_xlfn.IFNA(IF(AE329 &lt; (INDEX(SLATable[Maximum SLA],MATCH(G329,SLATable[Priority],0))),"YES","NO"),"")</f>
        <v/>
      </c>
    </row>
    <row r="330" spans="26:36" ht="15" customHeight="1">
      <c r="Z330" s="76" t="e">
        <f t="shared" ca="1" si="36"/>
        <v>#N/A</v>
      </c>
      <c r="AA330" s="75" t="e">
        <f t="shared" ca="1" si="37"/>
        <v>#N/A</v>
      </c>
      <c r="AB330" s="76">
        <f t="shared" ca="1" si="38"/>
        <v>0</v>
      </c>
      <c r="AC330" s="75">
        <f t="shared" ca="1" si="39"/>
        <v>0</v>
      </c>
      <c r="AD330" s="76">
        <f t="shared" ca="1" si="40"/>
        <v>12388.425643634258</v>
      </c>
      <c r="AE330" s="76">
        <f>SUMIFS(AB:AB,E:E,E330)</f>
        <v>0</v>
      </c>
      <c r="AF330" s="75">
        <f t="shared" si="41"/>
        <v>0</v>
      </c>
      <c r="AG330" s="76">
        <f t="shared" si="35"/>
        <v>0</v>
      </c>
      <c r="AH330" s="31" t="e" cm="1">
        <f t="array" aca="1" ref="AH330" ca="1">IF((AD330) &lt; (INDEX(ResponseSLA[#All],(MATCH((G330),ResponseSLA[Priority],0))+1,3)),"YES","No")</f>
        <v>#N/A</v>
      </c>
      <c r="AI330" s="31" t="str">
        <f>_xlfn.IFNA(IF(AE330 &lt; (INDEX(SLATable[Minimum SLA],MATCH(G330,SLATable[Priority],0))),"YES","NO"),"")</f>
        <v/>
      </c>
      <c r="AJ330" t="str">
        <f>_xlfn.IFNA(IF(AE330 &lt; (INDEX(SLATable[Maximum SLA],MATCH(G330,SLATable[Priority],0))),"YES","NO"),"")</f>
        <v/>
      </c>
    </row>
    <row r="331" spans="26:36" ht="15" customHeight="1">
      <c r="Z331" s="76" t="e">
        <f t="shared" ca="1" si="36"/>
        <v>#N/A</v>
      </c>
      <c r="AA331" s="75" t="e">
        <f t="shared" ca="1" si="37"/>
        <v>#N/A</v>
      </c>
      <c r="AB331" s="76">
        <f t="shared" ca="1" si="38"/>
        <v>0</v>
      </c>
      <c r="AC331" s="75">
        <f t="shared" ca="1" si="39"/>
        <v>0</v>
      </c>
      <c r="AD331" s="76">
        <f t="shared" ca="1" si="40"/>
        <v>12388.425643634258</v>
      </c>
      <c r="AE331" s="76">
        <f>SUMIFS(AB:AB,E:E,E331)</f>
        <v>0</v>
      </c>
      <c r="AF331" s="75">
        <f t="shared" si="41"/>
        <v>0</v>
      </c>
      <c r="AG331" s="76">
        <f t="shared" si="35"/>
        <v>0</v>
      </c>
      <c r="AH331" s="31" t="e" cm="1">
        <f t="array" aca="1" ref="AH331" ca="1">IF((AD331) &lt; (INDEX(ResponseSLA[#All],(MATCH((G331),ResponseSLA[Priority],0))+1,3)),"YES","No")</f>
        <v>#N/A</v>
      </c>
      <c r="AI331" s="31" t="str">
        <f>_xlfn.IFNA(IF(AE331 &lt; (INDEX(SLATable[Minimum SLA],MATCH(G331,SLATable[Priority],0))),"YES","NO"),"")</f>
        <v/>
      </c>
      <c r="AJ331" t="str">
        <f>_xlfn.IFNA(IF(AE331 &lt; (INDEX(SLATable[Maximum SLA],MATCH(G331,SLATable[Priority],0))),"YES","NO"),"")</f>
        <v/>
      </c>
    </row>
    <row r="332" spans="26:36" ht="15" customHeight="1">
      <c r="Z332" s="76" t="e">
        <f t="shared" ca="1" si="36"/>
        <v>#N/A</v>
      </c>
      <c r="AA332" s="75" t="e">
        <f t="shared" ca="1" si="37"/>
        <v>#N/A</v>
      </c>
      <c r="AB332" s="76">
        <f t="shared" ca="1" si="38"/>
        <v>0</v>
      </c>
      <c r="AC332" s="75">
        <f t="shared" ca="1" si="39"/>
        <v>0</v>
      </c>
      <c r="AD332" s="76">
        <f t="shared" ca="1" si="40"/>
        <v>12388.425643634258</v>
      </c>
      <c r="AE332" s="76">
        <f>SUMIFS(AB:AB,E:E,E332)</f>
        <v>0</v>
      </c>
      <c r="AF332" s="75">
        <f t="shared" si="41"/>
        <v>0</v>
      </c>
      <c r="AG332" s="76">
        <f t="shared" si="35"/>
        <v>0</v>
      </c>
      <c r="AH332" s="31" t="e" cm="1">
        <f t="array" aca="1" ref="AH332" ca="1">IF((AD332) &lt; (INDEX(ResponseSLA[#All],(MATCH((G332),ResponseSLA[Priority],0))+1,3)),"YES","No")</f>
        <v>#N/A</v>
      </c>
      <c r="AI332" s="31" t="str">
        <f>_xlfn.IFNA(IF(AE332 &lt; (INDEX(SLATable[Minimum SLA],MATCH(G332,SLATable[Priority],0))),"YES","NO"),"")</f>
        <v/>
      </c>
      <c r="AJ332" t="str">
        <f>_xlfn.IFNA(IF(AE332 &lt; (INDEX(SLATable[Maximum SLA],MATCH(G332,SLATable[Priority],0))),"YES","NO"),"")</f>
        <v/>
      </c>
    </row>
    <row r="333" spans="26:36" ht="15" customHeight="1">
      <c r="Z333" s="76" t="e">
        <f t="shared" ca="1" si="36"/>
        <v>#N/A</v>
      </c>
      <c r="AA333" s="75" t="e">
        <f t="shared" ca="1" si="37"/>
        <v>#N/A</v>
      </c>
      <c r="AB333" s="76">
        <f t="shared" ca="1" si="38"/>
        <v>0</v>
      </c>
      <c r="AC333" s="75">
        <f t="shared" ca="1" si="39"/>
        <v>0</v>
      </c>
      <c r="AD333" s="76">
        <f t="shared" ca="1" si="40"/>
        <v>12388.425643634258</v>
      </c>
      <c r="AE333" s="76">
        <f>SUMIFS(AB:AB,E:E,E333)</f>
        <v>0</v>
      </c>
      <c r="AF333" s="75">
        <f t="shared" si="41"/>
        <v>0</v>
      </c>
      <c r="AG333" s="76">
        <f t="shared" si="35"/>
        <v>0</v>
      </c>
      <c r="AH333" s="31" t="e" cm="1">
        <f t="array" aca="1" ref="AH333" ca="1">IF((AD333) &lt; (INDEX(ResponseSLA[#All],(MATCH((G333),ResponseSLA[Priority],0))+1,3)),"YES","No")</f>
        <v>#N/A</v>
      </c>
      <c r="AI333" s="31" t="str">
        <f>_xlfn.IFNA(IF(AE333 &lt; (INDEX(SLATable[Minimum SLA],MATCH(G333,SLATable[Priority],0))),"YES","NO"),"")</f>
        <v/>
      </c>
      <c r="AJ333" t="str">
        <f>_xlfn.IFNA(IF(AE333 &lt; (INDEX(SLATable[Maximum SLA],MATCH(G333,SLATable[Priority],0))),"YES","NO"),"")</f>
        <v/>
      </c>
    </row>
    <row r="334" spans="26:36" ht="15" customHeight="1">
      <c r="Z334" s="76" t="e">
        <f t="shared" ca="1" si="36"/>
        <v>#N/A</v>
      </c>
      <c r="AA334" s="75" t="e">
        <f t="shared" ca="1" si="37"/>
        <v>#N/A</v>
      </c>
      <c r="AB334" s="76">
        <f t="shared" ca="1" si="38"/>
        <v>0</v>
      </c>
      <c r="AC334" s="75">
        <f t="shared" ca="1" si="39"/>
        <v>0</v>
      </c>
      <c r="AD334" s="76">
        <f t="shared" ca="1" si="40"/>
        <v>12388.425643634258</v>
      </c>
      <c r="AE334" s="76">
        <f>SUMIFS(AB:AB,E:E,E334)</f>
        <v>0</v>
      </c>
      <c r="AF334" s="75">
        <f t="shared" si="41"/>
        <v>0</v>
      </c>
      <c r="AG334" s="76">
        <f t="shared" si="35"/>
        <v>0</v>
      </c>
      <c r="AH334" s="31" t="e" cm="1">
        <f t="array" aca="1" ref="AH334" ca="1">IF((AD334) &lt; (INDEX(ResponseSLA[#All],(MATCH((G334),ResponseSLA[Priority],0))+1,3)),"YES","No")</f>
        <v>#N/A</v>
      </c>
      <c r="AI334" s="31" t="str">
        <f>_xlfn.IFNA(IF(AE334 &lt; (INDEX(SLATable[Minimum SLA],MATCH(G334,SLATable[Priority],0))),"YES","NO"),"")</f>
        <v/>
      </c>
      <c r="AJ334" t="str">
        <f>_xlfn.IFNA(IF(AE334 &lt; (INDEX(SLATable[Maximum SLA],MATCH(G334,SLATable[Priority],0))),"YES","NO"),"")</f>
        <v/>
      </c>
    </row>
    <row r="335" spans="26:36" ht="15" customHeight="1">
      <c r="Z335" s="76" t="e">
        <f t="shared" ca="1" si="36"/>
        <v>#N/A</v>
      </c>
      <c r="AA335" s="75" t="e">
        <f t="shared" ca="1" si="37"/>
        <v>#N/A</v>
      </c>
      <c r="AB335" s="76">
        <f t="shared" ca="1" si="38"/>
        <v>0</v>
      </c>
      <c r="AC335" s="75">
        <f t="shared" ca="1" si="39"/>
        <v>0</v>
      </c>
      <c r="AD335" s="76">
        <f t="shared" ca="1" si="40"/>
        <v>12388.425643634258</v>
      </c>
      <c r="AE335" s="76">
        <f>SUMIFS(AB:AB,E:E,E335)</f>
        <v>0</v>
      </c>
      <c r="AF335" s="75">
        <f t="shared" si="41"/>
        <v>0</v>
      </c>
      <c r="AG335" s="76">
        <f t="shared" si="35"/>
        <v>0</v>
      </c>
      <c r="AH335" s="31" t="e" cm="1">
        <f t="array" aca="1" ref="AH335" ca="1">IF((AD335) &lt; (INDEX(ResponseSLA[#All],(MATCH((G335),ResponseSLA[Priority],0))+1,3)),"YES","No")</f>
        <v>#N/A</v>
      </c>
      <c r="AI335" s="31" t="str">
        <f>_xlfn.IFNA(IF(AE335 &lt; (INDEX(SLATable[Minimum SLA],MATCH(G335,SLATable[Priority],0))),"YES","NO"),"")</f>
        <v/>
      </c>
      <c r="AJ335" t="str">
        <f>_xlfn.IFNA(IF(AE335 &lt; (INDEX(SLATable[Maximum SLA],MATCH(G335,SLATable[Priority],0))),"YES","NO"),"")</f>
        <v/>
      </c>
    </row>
    <row r="336" spans="26:36" ht="15" customHeight="1">
      <c r="Z336" s="76" t="e">
        <f t="shared" ca="1" si="36"/>
        <v>#N/A</v>
      </c>
      <c r="AA336" s="75" t="e">
        <f t="shared" ca="1" si="37"/>
        <v>#N/A</v>
      </c>
      <c r="AB336" s="76">
        <f t="shared" ca="1" si="38"/>
        <v>0</v>
      </c>
      <c r="AC336" s="75">
        <f t="shared" ca="1" si="39"/>
        <v>0</v>
      </c>
      <c r="AD336" s="76">
        <f t="shared" ca="1" si="40"/>
        <v>12388.425643634258</v>
      </c>
      <c r="AE336" s="76">
        <f>SUMIFS(AB:AB,E:E,E336)</f>
        <v>0</v>
      </c>
      <c r="AF336" s="75">
        <f t="shared" si="41"/>
        <v>0</v>
      </c>
      <c r="AG336" s="76">
        <f t="shared" si="35"/>
        <v>0</v>
      </c>
      <c r="AH336" s="31" t="e" cm="1">
        <f t="array" aca="1" ref="AH336" ca="1">IF((AD336) &lt; (INDEX(ResponseSLA[#All],(MATCH((G336),ResponseSLA[Priority],0))+1,3)),"YES","No")</f>
        <v>#N/A</v>
      </c>
      <c r="AI336" s="31" t="str">
        <f>_xlfn.IFNA(IF(AE336 &lt; (INDEX(SLATable[Minimum SLA],MATCH(G336,SLATable[Priority],0))),"YES","NO"),"")</f>
        <v/>
      </c>
      <c r="AJ336" t="str">
        <f>_xlfn.IFNA(IF(AE336 &lt; (INDEX(SLATable[Maximum SLA],MATCH(G336,SLATable[Priority],0))),"YES","NO"),"")</f>
        <v/>
      </c>
    </row>
    <row r="337" spans="26:36" ht="15" customHeight="1">
      <c r="Z337" s="76" t="e">
        <f t="shared" ca="1" si="36"/>
        <v>#N/A</v>
      </c>
      <c r="AA337" s="75" t="e">
        <f t="shared" ca="1" si="37"/>
        <v>#N/A</v>
      </c>
      <c r="AB337" s="76">
        <f t="shared" ca="1" si="38"/>
        <v>0</v>
      </c>
      <c r="AC337" s="75">
        <f t="shared" ca="1" si="39"/>
        <v>0</v>
      </c>
      <c r="AD337" s="76">
        <f t="shared" ca="1" si="40"/>
        <v>12388.425643634258</v>
      </c>
      <c r="AE337" s="76">
        <f>SUMIFS(AB:AB,E:E,E337)</f>
        <v>0</v>
      </c>
      <c r="AF337" s="75">
        <f t="shared" si="41"/>
        <v>0</v>
      </c>
      <c r="AG337" s="76">
        <f t="shared" si="35"/>
        <v>0</v>
      </c>
      <c r="AH337" s="31" t="e" cm="1">
        <f t="array" aca="1" ref="AH337" ca="1">IF((AD337) &lt; (INDEX(ResponseSLA[#All],(MATCH((G337),ResponseSLA[Priority],0))+1,3)),"YES","No")</f>
        <v>#N/A</v>
      </c>
      <c r="AI337" s="31" t="str">
        <f>_xlfn.IFNA(IF(AE337 &lt; (INDEX(SLATable[Minimum SLA],MATCH(G337,SLATable[Priority],0))),"YES","NO"),"")</f>
        <v/>
      </c>
      <c r="AJ337" t="str">
        <f>_xlfn.IFNA(IF(AE337 &lt; (INDEX(SLATable[Maximum SLA],MATCH(G337,SLATable[Priority],0))),"YES","NO"),"")</f>
        <v/>
      </c>
    </row>
    <row r="338" spans="26:36" ht="15" customHeight="1">
      <c r="Z338" s="76" t="e">
        <f t="shared" ca="1" si="36"/>
        <v>#N/A</v>
      </c>
      <c r="AA338" s="75" t="e">
        <f t="shared" ca="1" si="37"/>
        <v>#N/A</v>
      </c>
      <c r="AB338" s="76">
        <f t="shared" ca="1" si="38"/>
        <v>0</v>
      </c>
      <c r="AC338" s="75">
        <f t="shared" ca="1" si="39"/>
        <v>0</v>
      </c>
      <c r="AD338" s="76">
        <f t="shared" ca="1" si="40"/>
        <v>12388.425643634258</v>
      </c>
      <c r="AE338" s="76">
        <f>SUMIFS(AB:AB,E:E,E338)</f>
        <v>0</v>
      </c>
      <c r="AF338" s="75">
        <f t="shared" si="41"/>
        <v>0</v>
      </c>
      <c r="AG338" s="76">
        <f t="shared" si="35"/>
        <v>0</v>
      </c>
      <c r="AH338" s="31" t="e" cm="1">
        <f t="array" aca="1" ref="AH338" ca="1">IF((AD338) &lt; (INDEX(ResponseSLA[#All],(MATCH((G338),ResponseSLA[Priority],0))+1,3)),"YES","No")</f>
        <v>#N/A</v>
      </c>
      <c r="AI338" s="31" t="str">
        <f>_xlfn.IFNA(IF(AE338 &lt; (INDEX(SLATable[Minimum SLA],MATCH(G338,SLATable[Priority],0))),"YES","NO"),"")</f>
        <v/>
      </c>
      <c r="AJ338" t="str">
        <f>_xlfn.IFNA(IF(AE338 &lt; (INDEX(SLATable[Maximum SLA],MATCH(G338,SLATable[Priority],0))),"YES","NO"),"")</f>
        <v/>
      </c>
    </row>
    <row r="339" spans="26:36" ht="15" customHeight="1">
      <c r="Z339" s="76" t="e">
        <f t="shared" ca="1" si="36"/>
        <v>#N/A</v>
      </c>
      <c r="AA339" s="75" t="e">
        <f t="shared" ca="1" si="37"/>
        <v>#N/A</v>
      </c>
      <c r="AB339" s="76">
        <f t="shared" ca="1" si="38"/>
        <v>0</v>
      </c>
      <c r="AC339" s="75">
        <f t="shared" ca="1" si="39"/>
        <v>0</v>
      </c>
      <c r="AD339" s="76">
        <f t="shared" ca="1" si="40"/>
        <v>12388.425643634258</v>
      </c>
      <c r="AE339" s="76">
        <f>SUMIFS(AB:AB,E:E,E339)</f>
        <v>0</v>
      </c>
      <c r="AF339" s="75">
        <f t="shared" si="41"/>
        <v>0</v>
      </c>
      <c r="AG339" s="76">
        <f t="shared" si="35"/>
        <v>0</v>
      </c>
      <c r="AH339" s="31" t="e" cm="1">
        <f t="array" aca="1" ref="AH339" ca="1">IF((AD339) &lt; (INDEX(ResponseSLA[#All],(MATCH((G339),ResponseSLA[Priority],0))+1,3)),"YES","No")</f>
        <v>#N/A</v>
      </c>
      <c r="AI339" s="31" t="str">
        <f>_xlfn.IFNA(IF(AE339 &lt; (INDEX(SLATable[Minimum SLA],MATCH(G339,SLATable[Priority],0))),"YES","NO"),"")</f>
        <v/>
      </c>
      <c r="AJ339" t="str">
        <f>_xlfn.IFNA(IF(AE339 &lt; (INDEX(SLATable[Maximum SLA],MATCH(G339,SLATable[Priority],0))),"YES","NO"),"")</f>
        <v/>
      </c>
    </row>
    <row r="340" spans="26:36" ht="15" customHeight="1">
      <c r="Z340" s="76" t="e">
        <f t="shared" ca="1" si="36"/>
        <v>#N/A</v>
      </c>
      <c r="AA340" s="75" t="e">
        <f t="shared" ca="1" si="37"/>
        <v>#N/A</v>
      </c>
      <c r="AB340" s="76">
        <f t="shared" ca="1" si="38"/>
        <v>0</v>
      </c>
      <c r="AC340" s="75">
        <f t="shared" ca="1" si="39"/>
        <v>0</v>
      </c>
      <c r="AD340" s="76">
        <f t="shared" ca="1" si="40"/>
        <v>12388.425643634258</v>
      </c>
      <c r="AE340" s="76">
        <f>SUMIFS(AB:AB,E:E,E340)</f>
        <v>0</v>
      </c>
      <c r="AF340" s="75">
        <f t="shared" si="41"/>
        <v>0</v>
      </c>
      <c r="AG340" s="76">
        <f t="shared" si="35"/>
        <v>0</v>
      </c>
      <c r="AH340" s="31" t="e" cm="1">
        <f t="array" aca="1" ref="AH340" ca="1">IF((AD340) &lt; (INDEX(ResponseSLA[#All],(MATCH((G340),ResponseSLA[Priority],0))+1,3)),"YES","No")</f>
        <v>#N/A</v>
      </c>
      <c r="AI340" s="31" t="str">
        <f>_xlfn.IFNA(IF(AE340 &lt; (INDEX(SLATable[Minimum SLA],MATCH(G340,SLATable[Priority],0))),"YES","NO"),"")</f>
        <v/>
      </c>
      <c r="AJ340" t="str">
        <f>_xlfn.IFNA(IF(AE340 &lt; (INDEX(SLATable[Maximum SLA],MATCH(G340,SLATable[Priority],0))),"YES","NO"),"")</f>
        <v/>
      </c>
    </row>
    <row r="341" spans="26:36" ht="15" customHeight="1">
      <c r="Z341" s="76" t="e">
        <f t="shared" ca="1" si="36"/>
        <v>#N/A</v>
      </c>
      <c r="AA341" s="75" t="e">
        <f t="shared" ca="1" si="37"/>
        <v>#N/A</v>
      </c>
      <c r="AB341" s="76">
        <f t="shared" ca="1" si="38"/>
        <v>0</v>
      </c>
      <c r="AC341" s="75">
        <f t="shared" ca="1" si="39"/>
        <v>0</v>
      </c>
      <c r="AD341" s="76">
        <f t="shared" ca="1" si="40"/>
        <v>12388.425643634258</v>
      </c>
      <c r="AE341" s="76">
        <f>SUMIFS(AB:AB,E:E,E341)</f>
        <v>0</v>
      </c>
      <c r="AF341" s="75">
        <f t="shared" si="41"/>
        <v>0</v>
      </c>
      <c r="AG341" s="76">
        <f t="shared" si="35"/>
        <v>0</v>
      </c>
      <c r="AH341" s="31" t="e" cm="1">
        <f t="array" aca="1" ref="AH341" ca="1">IF((AD341) &lt; (INDEX(ResponseSLA[#All],(MATCH((G341),ResponseSLA[Priority],0))+1,3)),"YES","No")</f>
        <v>#N/A</v>
      </c>
      <c r="AI341" s="31" t="str">
        <f>_xlfn.IFNA(IF(AE341 &lt; (INDEX(SLATable[Minimum SLA],MATCH(G341,SLATable[Priority],0))),"YES","NO"),"")</f>
        <v/>
      </c>
      <c r="AJ341" t="str">
        <f>_xlfn.IFNA(IF(AE341 &lt; (INDEX(SLATable[Maximum SLA],MATCH(G341,SLATable[Priority],0))),"YES","NO"),"")</f>
        <v/>
      </c>
    </row>
    <row r="342" spans="26:36" ht="15" customHeight="1">
      <c r="Z342" s="76" t="e">
        <f t="shared" ca="1" si="36"/>
        <v>#N/A</v>
      </c>
      <c r="AA342" s="75" t="e">
        <f t="shared" ca="1" si="37"/>
        <v>#N/A</v>
      </c>
      <c r="AB342" s="76">
        <f t="shared" ca="1" si="38"/>
        <v>0</v>
      </c>
      <c r="AC342" s="75">
        <f t="shared" ca="1" si="39"/>
        <v>0</v>
      </c>
      <c r="AD342" s="76">
        <f t="shared" ca="1" si="40"/>
        <v>12388.425643634258</v>
      </c>
      <c r="AE342" s="76">
        <f>SUMIFS(AB:AB,E:E,E342)</f>
        <v>0</v>
      </c>
      <c r="AF342" s="75">
        <f t="shared" si="41"/>
        <v>0</v>
      </c>
      <c r="AG342" s="76">
        <f t="shared" si="35"/>
        <v>0</v>
      </c>
      <c r="AH342" s="31" t="e" cm="1">
        <f t="array" aca="1" ref="AH342" ca="1">IF((AD342) &lt; (INDEX(ResponseSLA[#All],(MATCH((G342),ResponseSLA[Priority],0))+1,3)),"YES","No")</f>
        <v>#N/A</v>
      </c>
      <c r="AI342" s="31" t="str">
        <f>_xlfn.IFNA(IF(AE342 &lt; (INDEX(SLATable[Minimum SLA],MATCH(G342,SLATable[Priority],0))),"YES","NO"),"")</f>
        <v/>
      </c>
      <c r="AJ342" t="str">
        <f>_xlfn.IFNA(IF(AE342 &lt; (INDEX(SLATable[Maximum SLA],MATCH(G342,SLATable[Priority],0))),"YES","NO"),"")</f>
        <v/>
      </c>
    </row>
    <row r="343" spans="26:36" ht="15" customHeight="1">
      <c r="Z343" s="76" t="e">
        <f t="shared" ca="1" si="36"/>
        <v>#N/A</v>
      </c>
      <c r="AA343" s="75" t="e">
        <f t="shared" ca="1" si="37"/>
        <v>#N/A</v>
      </c>
      <c r="AB343" s="76">
        <f t="shared" ca="1" si="38"/>
        <v>0</v>
      </c>
      <c r="AC343" s="75">
        <f t="shared" ca="1" si="39"/>
        <v>0</v>
      </c>
      <c r="AD343" s="76">
        <f t="shared" ca="1" si="40"/>
        <v>12388.425643634258</v>
      </c>
      <c r="AE343" s="76">
        <f>SUMIFS(AB:AB,E:E,E343)</f>
        <v>0</v>
      </c>
      <c r="AF343" s="75">
        <f t="shared" si="41"/>
        <v>0</v>
      </c>
      <c r="AG343" s="76">
        <f t="shared" si="35"/>
        <v>0</v>
      </c>
      <c r="AH343" s="31" t="e" cm="1">
        <f t="array" aca="1" ref="AH343" ca="1">IF((AD343) &lt; (INDEX(ResponseSLA[#All],(MATCH((G343),ResponseSLA[Priority],0))+1,3)),"YES","No")</f>
        <v>#N/A</v>
      </c>
      <c r="AI343" s="31" t="str">
        <f>_xlfn.IFNA(IF(AE343 &lt; (INDEX(SLATable[Minimum SLA],MATCH(G343,SLATable[Priority],0))),"YES","NO"),"")</f>
        <v/>
      </c>
      <c r="AJ343" t="str">
        <f>_xlfn.IFNA(IF(AE343 &lt; (INDEX(SLATable[Maximum SLA],MATCH(G343,SLATable[Priority],0))),"YES","NO"),"")</f>
        <v/>
      </c>
    </row>
    <row r="344" spans="26:36" ht="15" customHeight="1">
      <c r="Z344" s="76" t="e">
        <f t="shared" ca="1" si="36"/>
        <v>#N/A</v>
      </c>
      <c r="AA344" s="75" t="e">
        <f t="shared" ca="1" si="37"/>
        <v>#N/A</v>
      </c>
      <c r="AB344" s="76">
        <f t="shared" ca="1" si="38"/>
        <v>0</v>
      </c>
      <c r="AC344" s="75">
        <f t="shared" ca="1" si="39"/>
        <v>0</v>
      </c>
      <c r="AD344" s="76">
        <f t="shared" ca="1" si="40"/>
        <v>12388.425643634258</v>
      </c>
      <c r="AE344" s="76">
        <f>SUMIFS(AB:AB,E:E,E344)</f>
        <v>0</v>
      </c>
      <c r="AF344" s="75">
        <f t="shared" si="41"/>
        <v>0</v>
      </c>
      <c r="AG344" s="76">
        <f t="shared" si="35"/>
        <v>0</v>
      </c>
      <c r="AH344" s="31" t="e" cm="1">
        <f t="array" aca="1" ref="AH344" ca="1">IF((AD344) &lt; (INDEX(ResponseSLA[#All],(MATCH((G344),ResponseSLA[Priority],0))+1,3)),"YES","No")</f>
        <v>#N/A</v>
      </c>
      <c r="AI344" s="31" t="str">
        <f>_xlfn.IFNA(IF(AE344 &lt; (INDEX(SLATable[Minimum SLA],MATCH(G344,SLATable[Priority],0))),"YES","NO"),"")</f>
        <v/>
      </c>
      <c r="AJ344" t="str">
        <f>_xlfn.IFNA(IF(AE344 &lt; (INDEX(SLATable[Maximum SLA],MATCH(G344,SLATable[Priority],0))),"YES","NO"),"")</f>
        <v/>
      </c>
    </row>
    <row r="345" spans="26:36" ht="15" customHeight="1">
      <c r="Z345" s="76" t="e">
        <f t="shared" ca="1" si="36"/>
        <v>#N/A</v>
      </c>
      <c r="AA345" s="75" t="e">
        <f t="shared" ca="1" si="37"/>
        <v>#N/A</v>
      </c>
      <c r="AB345" s="76">
        <f t="shared" ca="1" si="38"/>
        <v>0</v>
      </c>
      <c r="AC345" s="75">
        <f t="shared" ca="1" si="39"/>
        <v>0</v>
      </c>
      <c r="AD345" s="76">
        <f t="shared" ca="1" si="40"/>
        <v>12388.425643634258</v>
      </c>
      <c r="AE345" s="76">
        <f>SUMIFS(AB:AB,E:E,E345)</f>
        <v>0</v>
      </c>
      <c r="AF345" s="75">
        <f t="shared" si="41"/>
        <v>0</v>
      </c>
      <c r="AG345" s="76">
        <f t="shared" si="35"/>
        <v>0</v>
      </c>
      <c r="AH345" s="31" t="e" cm="1">
        <f t="array" aca="1" ref="AH345" ca="1">IF((AD345) &lt; (INDEX(ResponseSLA[#All],(MATCH((G345),ResponseSLA[Priority],0))+1,3)),"YES","No")</f>
        <v>#N/A</v>
      </c>
      <c r="AI345" s="31" t="str">
        <f>_xlfn.IFNA(IF(AE345 &lt; (INDEX(SLATable[Minimum SLA],MATCH(G345,SLATable[Priority],0))),"YES","NO"),"")</f>
        <v/>
      </c>
      <c r="AJ345" t="str">
        <f>_xlfn.IFNA(IF(AE345 &lt; (INDEX(SLATable[Maximum SLA],MATCH(G345,SLATable[Priority],0))),"YES","NO"),"")</f>
        <v/>
      </c>
    </row>
    <row r="346" spans="26:36" ht="15" customHeight="1">
      <c r="Z346" s="76" t="e">
        <f t="shared" ca="1" si="36"/>
        <v>#N/A</v>
      </c>
      <c r="AA346" s="75" t="e">
        <f t="shared" ca="1" si="37"/>
        <v>#N/A</v>
      </c>
      <c r="AB346" s="76">
        <f t="shared" ca="1" si="38"/>
        <v>0</v>
      </c>
      <c r="AC346" s="75">
        <f t="shared" ca="1" si="39"/>
        <v>0</v>
      </c>
      <c r="AD346" s="76">
        <f t="shared" ca="1" si="40"/>
        <v>12388.425643634258</v>
      </c>
      <c r="AE346" s="76">
        <f>SUMIFS(AB:AB,E:E,E346)</f>
        <v>0</v>
      </c>
      <c r="AF346" s="75">
        <f t="shared" si="41"/>
        <v>0</v>
      </c>
      <c r="AG346" s="76">
        <f t="shared" si="35"/>
        <v>0</v>
      </c>
      <c r="AH346" s="31" t="e" cm="1">
        <f t="array" aca="1" ref="AH346" ca="1">IF((AD346) &lt; (INDEX(ResponseSLA[#All],(MATCH((G346),ResponseSLA[Priority],0))+1,3)),"YES","No")</f>
        <v>#N/A</v>
      </c>
      <c r="AI346" s="31" t="str">
        <f>_xlfn.IFNA(IF(AE346 &lt; (INDEX(SLATable[Minimum SLA],MATCH(G346,SLATable[Priority],0))),"YES","NO"),"")</f>
        <v/>
      </c>
      <c r="AJ346" t="str">
        <f>_xlfn.IFNA(IF(AE346 &lt; (INDEX(SLATable[Maximum SLA],MATCH(G346,SLATable[Priority],0))),"YES","NO"),"")</f>
        <v/>
      </c>
    </row>
    <row r="347" spans="26:36" ht="15" customHeight="1">
      <c r="Z347" s="76" t="e">
        <f t="shared" ca="1" si="36"/>
        <v>#N/A</v>
      </c>
      <c r="AA347" s="75" t="e">
        <f t="shared" ca="1" si="37"/>
        <v>#N/A</v>
      </c>
      <c r="AB347" s="76">
        <f t="shared" ca="1" si="38"/>
        <v>0</v>
      </c>
      <c r="AC347" s="75">
        <f t="shared" ca="1" si="39"/>
        <v>0</v>
      </c>
      <c r="AD347" s="76">
        <f t="shared" ca="1" si="40"/>
        <v>12388.425643634258</v>
      </c>
      <c r="AE347" s="76">
        <f>SUMIFS(AB:AB,E:E,E347)</f>
        <v>0</v>
      </c>
      <c r="AF347" s="75">
        <f t="shared" si="41"/>
        <v>0</v>
      </c>
      <c r="AG347" s="76">
        <f t="shared" si="35"/>
        <v>0</v>
      </c>
      <c r="AH347" s="31" t="e" cm="1">
        <f t="array" aca="1" ref="AH347" ca="1">IF((AD347) &lt; (INDEX(ResponseSLA[#All],(MATCH((G347),ResponseSLA[Priority],0))+1,3)),"YES","No")</f>
        <v>#N/A</v>
      </c>
      <c r="AI347" s="31" t="str">
        <f>_xlfn.IFNA(IF(AE347 &lt; (INDEX(SLATable[Minimum SLA],MATCH(G347,SLATable[Priority],0))),"YES","NO"),"")</f>
        <v/>
      </c>
      <c r="AJ347" t="str">
        <f>_xlfn.IFNA(IF(AE347 &lt; (INDEX(SLATable[Maximum SLA],MATCH(G347,SLATable[Priority],0))),"YES","NO"),"")</f>
        <v/>
      </c>
    </row>
    <row r="348" spans="26:36" ht="15" customHeight="1">
      <c r="Z348" s="76" t="e">
        <f t="shared" ca="1" si="36"/>
        <v>#N/A</v>
      </c>
      <c r="AA348" s="75" t="e">
        <f t="shared" ca="1" si="37"/>
        <v>#N/A</v>
      </c>
      <c r="AB348" s="76">
        <f t="shared" ca="1" si="38"/>
        <v>0</v>
      </c>
      <c r="AC348" s="75">
        <f t="shared" ca="1" si="39"/>
        <v>0</v>
      </c>
      <c r="AD348" s="76">
        <f t="shared" ca="1" si="40"/>
        <v>12388.425643634258</v>
      </c>
      <c r="AE348" s="76">
        <f>SUMIFS(AB:AB,E:E,E348)</f>
        <v>0</v>
      </c>
      <c r="AF348" s="75">
        <f t="shared" si="41"/>
        <v>0</v>
      </c>
      <c r="AG348" s="76">
        <f t="shared" si="35"/>
        <v>0</v>
      </c>
      <c r="AH348" s="31" t="e" cm="1">
        <f t="array" aca="1" ref="AH348" ca="1">IF((AD348) &lt; (INDEX(ResponseSLA[#All],(MATCH((G348),ResponseSLA[Priority],0))+1,3)),"YES","No")</f>
        <v>#N/A</v>
      </c>
      <c r="AI348" s="31" t="str">
        <f>_xlfn.IFNA(IF(AE348 &lt; (INDEX(SLATable[Minimum SLA],MATCH(G348,SLATable[Priority],0))),"YES","NO"),"")</f>
        <v/>
      </c>
      <c r="AJ348" t="str">
        <f>_xlfn.IFNA(IF(AE348 &lt; (INDEX(SLATable[Maximum SLA],MATCH(G348,SLATable[Priority],0))),"YES","NO"),"")</f>
        <v/>
      </c>
    </row>
    <row r="349" spans="26:36" ht="15" customHeight="1">
      <c r="Z349" s="76" t="e">
        <f t="shared" ca="1" si="36"/>
        <v>#N/A</v>
      </c>
      <c r="AA349" s="75" t="e">
        <f t="shared" ca="1" si="37"/>
        <v>#N/A</v>
      </c>
      <c r="AB349" s="76">
        <f t="shared" ca="1" si="38"/>
        <v>0</v>
      </c>
      <c r="AC349" s="75">
        <f t="shared" ca="1" si="39"/>
        <v>0</v>
      </c>
      <c r="AD349" s="76">
        <f t="shared" ca="1" si="40"/>
        <v>12388.425643634258</v>
      </c>
      <c r="AE349" s="76">
        <f>SUMIFS(AB:AB,E:E,E349)</f>
        <v>0</v>
      </c>
      <c r="AF349" s="75">
        <f t="shared" si="41"/>
        <v>0</v>
      </c>
      <c r="AG349" s="76">
        <f t="shared" si="35"/>
        <v>0</v>
      </c>
      <c r="AH349" s="31" t="e" cm="1">
        <f t="array" aca="1" ref="AH349" ca="1">IF((AD349) &lt; (INDEX(ResponseSLA[#All],(MATCH((G349),ResponseSLA[Priority],0))+1,3)),"YES","No")</f>
        <v>#N/A</v>
      </c>
      <c r="AI349" s="31" t="str">
        <f>_xlfn.IFNA(IF(AE349 &lt; (INDEX(SLATable[Minimum SLA],MATCH(G349,SLATable[Priority],0))),"YES","NO"),"")</f>
        <v/>
      </c>
      <c r="AJ349" t="str">
        <f>_xlfn.IFNA(IF(AE349 &lt; (INDEX(SLATable[Maximum SLA],MATCH(G349,SLATable[Priority],0))),"YES","NO"),"")</f>
        <v/>
      </c>
    </row>
    <row r="350" spans="26:36" ht="15" customHeight="1">
      <c r="Z350" s="76" t="e">
        <f t="shared" ca="1" si="36"/>
        <v>#N/A</v>
      </c>
      <c r="AA350" s="75" t="e">
        <f t="shared" ca="1" si="37"/>
        <v>#N/A</v>
      </c>
      <c r="AB350" s="76">
        <f t="shared" ca="1" si="38"/>
        <v>0</v>
      </c>
      <c r="AC350" s="75">
        <f t="shared" ca="1" si="39"/>
        <v>0</v>
      </c>
      <c r="AD350" s="76">
        <f t="shared" ca="1" si="40"/>
        <v>12388.425643634258</v>
      </c>
      <c r="AE350" s="76">
        <f>SUMIFS(AB:AB,E:E,E350)</f>
        <v>0</v>
      </c>
      <c r="AF350" s="75">
        <f t="shared" si="41"/>
        <v>0</v>
      </c>
      <c r="AG350" s="76">
        <f t="shared" si="35"/>
        <v>0</v>
      </c>
      <c r="AH350" s="31" t="e" cm="1">
        <f t="array" aca="1" ref="AH350" ca="1">IF((AD350) &lt; (INDEX(ResponseSLA[#All],(MATCH((G350),ResponseSLA[Priority],0))+1,3)),"YES","No")</f>
        <v>#N/A</v>
      </c>
      <c r="AI350" s="31" t="str">
        <f>_xlfn.IFNA(IF(AE350 &lt; (INDEX(SLATable[Minimum SLA],MATCH(G350,SLATable[Priority],0))),"YES","NO"),"")</f>
        <v/>
      </c>
      <c r="AJ350" t="str">
        <f>_xlfn.IFNA(IF(AE350 &lt; (INDEX(SLATable[Maximum SLA],MATCH(G350,SLATable[Priority],0))),"YES","NO"),"")</f>
        <v/>
      </c>
    </row>
    <row r="351" spans="26:36" ht="15" customHeight="1">
      <c r="Z351" s="76" t="e">
        <f t="shared" ca="1" si="36"/>
        <v>#N/A</v>
      </c>
      <c r="AA351" s="75" t="e">
        <f t="shared" ca="1" si="37"/>
        <v>#N/A</v>
      </c>
      <c r="AB351" s="76">
        <f t="shared" ca="1" si="38"/>
        <v>0</v>
      </c>
      <c r="AC351" s="75">
        <f t="shared" ca="1" si="39"/>
        <v>0</v>
      </c>
      <c r="AD351" s="76">
        <f t="shared" ca="1" si="40"/>
        <v>12388.425643634258</v>
      </c>
      <c r="AE351" s="76">
        <f>SUMIFS(AB:AB,E:E,E351)</f>
        <v>0</v>
      </c>
      <c r="AF351" s="75">
        <f t="shared" si="41"/>
        <v>0</v>
      </c>
      <c r="AG351" s="76">
        <f t="shared" si="35"/>
        <v>0</v>
      </c>
      <c r="AH351" s="31" t="e" cm="1">
        <f t="array" aca="1" ref="AH351" ca="1">IF((AD351) &lt; (INDEX(ResponseSLA[#All],(MATCH((G351),ResponseSLA[Priority],0))+1,3)),"YES","No")</f>
        <v>#N/A</v>
      </c>
      <c r="AI351" s="31" t="str">
        <f>_xlfn.IFNA(IF(AE351 &lt; (INDEX(SLATable[Minimum SLA],MATCH(G351,SLATable[Priority],0))),"YES","NO"),"")</f>
        <v/>
      </c>
      <c r="AJ351" t="str">
        <f>_xlfn.IFNA(IF(AE351 &lt; (INDEX(SLATable[Maximum SLA],MATCH(G351,SLATable[Priority],0))),"YES","NO"),"")</f>
        <v/>
      </c>
    </row>
    <row r="352" spans="26:36" ht="15" customHeight="1">
      <c r="Z352" s="76" t="e">
        <f t="shared" ca="1" si="36"/>
        <v>#N/A</v>
      </c>
      <c r="AA352" s="75" t="e">
        <f t="shared" ca="1" si="37"/>
        <v>#N/A</v>
      </c>
      <c r="AB352" s="76">
        <f t="shared" ca="1" si="38"/>
        <v>0</v>
      </c>
      <c r="AC352" s="75">
        <f t="shared" ca="1" si="39"/>
        <v>0</v>
      </c>
      <c r="AD352" s="76">
        <f t="shared" ca="1" si="40"/>
        <v>12388.425643634258</v>
      </c>
      <c r="AE352" s="76">
        <f>SUMIFS(AB:AB,E:E,E352)</f>
        <v>0</v>
      </c>
      <c r="AF352" s="75">
        <f t="shared" si="41"/>
        <v>0</v>
      </c>
      <c r="AG352" s="76">
        <f t="shared" si="35"/>
        <v>0</v>
      </c>
      <c r="AH352" s="31" t="e" cm="1">
        <f t="array" aca="1" ref="AH352" ca="1">IF((AD352) &lt; (INDEX(ResponseSLA[#All],(MATCH((G352),ResponseSLA[Priority],0))+1,3)),"YES","No")</f>
        <v>#N/A</v>
      </c>
      <c r="AI352" s="31" t="str">
        <f>_xlfn.IFNA(IF(AE352 &lt; (INDEX(SLATable[Minimum SLA],MATCH(G352,SLATable[Priority],0))),"YES","NO"),"")</f>
        <v/>
      </c>
      <c r="AJ352" t="str">
        <f>_xlfn.IFNA(IF(AE352 &lt; (INDEX(SLATable[Maximum SLA],MATCH(G352,SLATable[Priority],0))),"YES","NO"),"")</f>
        <v/>
      </c>
    </row>
    <row r="353" spans="26:36" ht="15" customHeight="1">
      <c r="Z353" s="76" t="e">
        <f t="shared" ca="1" si="36"/>
        <v>#N/A</v>
      </c>
      <c r="AA353" s="75" t="e">
        <f t="shared" ca="1" si="37"/>
        <v>#N/A</v>
      </c>
      <c r="AB353" s="76">
        <f t="shared" ca="1" si="38"/>
        <v>0</v>
      </c>
      <c r="AC353" s="75">
        <f t="shared" ca="1" si="39"/>
        <v>0</v>
      </c>
      <c r="AD353" s="76">
        <f t="shared" ca="1" si="40"/>
        <v>12388.425643634258</v>
      </c>
      <c r="AE353" s="76">
        <f>SUMIFS(AB:AB,E:E,E353)</f>
        <v>0</v>
      </c>
      <c r="AF353" s="75">
        <f t="shared" si="41"/>
        <v>0</v>
      </c>
      <c r="AG353" s="76">
        <f t="shared" si="35"/>
        <v>0</v>
      </c>
      <c r="AH353" s="31" t="e" cm="1">
        <f t="array" aca="1" ref="AH353" ca="1">IF((AD353) &lt; (INDEX(ResponseSLA[#All],(MATCH((G353),ResponseSLA[Priority],0))+1,3)),"YES","No")</f>
        <v>#N/A</v>
      </c>
      <c r="AI353" s="31" t="str">
        <f>_xlfn.IFNA(IF(AE353 &lt; (INDEX(SLATable[Minimum SLA],MATCH(G353,SLATable[Priority],0))),"YES","NO"),"")</f>
        <v/>
      </c>
      <c r="AJ353" t="str">
        <f>_xlfn.IFNA(IF(AE353 &lt; (INDEX(SLATable[Maximum SLA],MATCH(G353,SLATable[Priority],0))),"YES","NO"),"")</f>
        <v/>
      </c>
    </row>
    <row r="354" spans="26:36" ht="15" customHeight="1">
      <c r="Z354" s="76" t="e">
        <f t="shared" ca="1" si="36"/>
        <v>#N/A</v>
      </c>
      <c r="AA354" s="75" t="e">
        <f t="shared" ca="1" si="37"/>
        <v>#N/A</v>
      </c>
      <c r="AB354" s="76">
        <f t="shared" ca="1" si="38"/>
        <v>0</v>
      </c>
      <c r="AC354" s="75">
        <f t="shared" ca="1" si="39"/>
        <v>0</v>
      </c>
      <c r="AD354" s="76">
        <f t="shared" ca="1" si="40"/>
        <v>12388.425643634258</v>
      </c>
      <c r="AE354" s="76">
        <f>SUMIFS(AB:AB,E:E,E354)</f>
        <v>0</v>
      </c>
      <c r="AF354" s="75">
        <f t="shared" si="41"/>
        <v>0</v>
      </c>
      <c r="AG354" s="76">
        <f t="shared" si="35"/>
        <v>0</v>
      </c>
      <c r="AH354" s="31" t="e" cm="1">
        <f t="array" aca="1" ref="AH354" ca="1">IF((AD354) &lt; (INDEX(ResponseSLA[#All],(MATCH((G354),ResponseSLA[Priority],0))+1,3)),"YES","No")</f>
        <v>#N/A</v>
      </c>
      <c r="AI354" s="31" t="str">
        <f>_xlfn.IFNA(IF(AE354 &lt; (INDEX(SLATable[Minimum SLA],MATCH(G354,SLATable[Priority],0))),"YES","NO"),"")</f>
        <v/>
      </c>
      <c r="AJ354" t="str">
        <f>_xlfn.IFNA(IF(AE354 &lt; (INDEX(SLATable[Maximum SLA],MATCH(G354,SLATable[Priority],0))),"YES","NO"),"")</f>
        <v/>
      </c>
    </row>
    <row r="355" spans="26:36" ht="15" customHeight="1">
      <c r="Z355" s="76" t="e">
        <f t="shared" ca="1" si="36"/>
        <v>#N/A</v>
      </c>
      <c r="AA355" s="75" t="e">
        <f t="shared" ca="1" si="37"/>
        <v>#N/A</v>
      </c>
      <c r="AB355" s="76">
        <f t="shared" ca="1" si="38"/>
        <v>0</v>
      </c>
      <c r="AC355" s="75">
        <f t="shared" ca="1" si="39"/>
        <v>0</v>
      </c>
      <c r="AD355" s="76">
        <f t="shared" ca="1" si="40"/>
        <v>12388.425643634258</v>
      </c>
      <c r="AE355" s="76">
        <f>SUMIFS(AB:AB,E:E,E355)</f>
        <v>0</v>
      </c>
      <c r="AF355" s="75">
        <f t="shared" si="41"/>
        <v>0</v>
      </c>
      <c r="AG355" s="76">
        <f t="shared" si="35"/>
        <v>0</v>
      </c>
      <c r="AH355" s="31" t="e" cm="1">
        <f t="array" aca="1" ref="AH355" ca="1">IF((AD355) &lt; (INDEX(ResponseSLA[#All],(MATCH((G355),ResponseSLA[Priority],0))+1,3)),"YES","No")</f>
        <v>#N/A</v>
      </c>
      <c r="AI355" s="31" t="str">
        <f>_xlfn.IFNA(IF(AE355 &lt; (INDEX(SLATable[Minimum SLA],MATCH(G355,SLATable[Priority],0))),"YES","NO"),"")</f>
        <v/>
      </c>
      <c r="AJ355" t="str">
        <f>_xlfn.IFNA(IF(AE355 &lt; (INDEX(SLATable[Maximum SLA],MATCH(G355,SLATable[Priority],0))),"YES","NO"),"")</f>
        <v/>
      </c>
    </row>
    <row r="356" spans="26:36" ht="15" customHeight="1">
      <c r="Z356" s="76" t="e">
        <f t="shared" ca="1" si="36"/>
        <v>#N/A</v>
      </c>
      <c r="AA356" s="75" t="e">
        <f t="shared" ca="1" si="37"/>
        <v>#N/A</v>
      </c>
      <c r="AB356" s="76">
        <f t="shared" ca="1" si="38"/>
        <v>0</v>
      </c>
      <c r="AC356" s="75">
        <f t="shared" ca="1" si="39"/>
        <v>0</v>
      </c>
      <c r="AD356" s="76">
        <f t="shared" ca="1" si="40"/>
        <v>12388.425643634258</v>
      </c>
      <c r="AE356" s="76">
        <f>SUMIFS(AB:AB,E:E,E356)</f>
        <v>0</v>
      </c>
      <c r="AF356" s="75">
        <f t="shared" si="41"/>
        <v>0</v>
      </c>
      <c r="AG356" s="76">
        <f t="shared" si="35"/>
        <v>0</v>
      </c>
      <c r="AH356" s="31" t="e" cm="1">
        <f t="array" aca="1" ref="AH356" ca="1">IF((AD356) &lt; (INDEX(ResponseSLA[#All],(MATCH((G356),ResponseSLA[Priority],0))+1,3)),"YES","No")</f>
        <v>#N/A</v>
      </c>
      <c r="AI356" s="31" t="str">
        <f>_xlfn.IFNA(IF(AE356 &lt; (INDEX(SLATable[Minimum SLA],MATCH(G356,SLATable[Priority],0))),"YES","NO"),"")</f>
        <v/>
      </c>
      <c r="AJ356" t="str">
        <f>_xlfn.IFNA(IF(AE356 &lt; (INDEX(SLATable[Maximum SLA],MATCH(G356,SLATable[Priority],0))),"YES","NO"),"")</f>
        <v/>
      </c>
    </row>
    <row r="357" spans="26:36" ht="15" customHeight="1">
      <c r="Z357" s="76" t="e">
        <f t="shared" ca="1" si="36"/>
        <v>#N/A</v>
      </c>
      <c r="AA357" s="75" t="e">
        <f t="shared" ca="1" si="37"/>
        <v>#N/A</v>
      </c>
      <c r="AB357" s="76">
        <f t="shared" ca="1" si="38"/>
        <v>0</v>
      </c>
      <c r="AC357" s="75">
        <f t="shared" ca="1" si="39"/>
        <v>0</v>
      </c>
      <c r="AD357" s="76">
        <f t="shared" ca="1" si="40"/>
        <v>12388.425643634258</v>
      </c>
      <c r="AE357" s="76">
        <f>SUMIFS(AB:AB,E:E,E357)</f>
        <v>0</v>
      </c>
      <c r="AF357" s="75">
        <f t="shared" si="41"/>
        <v>0</v>
      </c>
      <c r="AG357" s="76">
        <f t="shared" si="35"/>
        <v>0</v>
      </c>
      <c r="AH357" s="31" t="e" cm="1">
        <f t="array" aca="1" ref="AH357" ca="1">IF((AD357) &lt; (INDEX(ResponseSLA[#All],(MATCH((G357),ResponseSLA[Priority],0))+1,3)),"YES","No")</f>
        <v>#N/A</v>
      </c>
      <c r="AI357" s="31" t="str">
        <f>_xlfn.IFNA(IF(AE357 &lt; (INDEX(SLATable[Minimum SLA],MATCH(G357,SLATable[Priority],0))),"YES","NO"),"")</f>
        <v/>
      </c>
      <c r="AJ357" t="str">
        <f>_xlfn.IFNA(IF(AE357 &lt; (INDEX(SLATable[Maximum SLA],MATCH(G357,SLATable[Priority],0))),"YES","NO"),"")</f>
        <v/>
      </c>
    </row>
    <row r="358" spans="26:36" ht="15" customHeight="1">
      <c r="Z358" s="76" t="e">
        <f t="shared" ca="1" si="36"/>
        <v>#N/A</v>
      </c>
      <c r="AA358" s="75" t="e">
        <f t="shared" ca="1" si="37"/>
        <v>#N/A</v>
      </c>
      <c r="AB358" s="76">
        <f t="shared" ca="1" si="38"/>
        <v>0</v>
      </c>
      <c r="AC358" s="75">
        <f t="shared" ca="1" si="39"/>
        <v>0</v>
      </c>
      <c r="AD358" s="76">
        <f t="shared" ca="1" si="40"/>
        <v>12388.425643634258</v>
      </c>
      <c r="AE358" s="76">
        <f>SUMIFS(AB:AB,E:E,E358)</f>
        <v>0</v>
      </c>
      <c r="AF358" s="75">
        <f t="shared" si="41"/>
        <v>0</v>
      </c>
      <c r="AG358" s="76">
        <f t="shared" si="35"/>
        <v>0</v>
      </c>
      <c r="AH358" s="31" t="e" cm="1">
        <f t="array" aca="1" ref="AH358" ca="1">IF((AD358) &lt; (INDEX(ResponseSLA[#All],(MATCH((G358),ResponseSLA[Priority],0))+1,3)),"YES","No")</f>
        <v>#N/A</v>
      </c>
      <c r="AI358" s="31" t="str">
        <f>_xlfn.IFNA(IF(AE358 &lt; (INDEX(SLATable[Minimum SLA],MATCH(G358,SLATable[Priority],0))),"YES","NO"),"")</f>
        <v/>
      </c>
      <c r="AJ358" t="str">
        <f>_xlfn.IFNA(IF(AE358 &lt; (INDEX(SLATable[Maximum SLA],MATCH(G358,SLATable[Priority],0))),"YES","NO"),"")</f>
        <v/>
      </c>
    </row>
    <row r="359" spans="26:36" ht="15" customHeight="1">
      <c r="Z359" s="76" t="e">
        <f t="shared" ca="1" si="36"/>
        <v>#N/A</v>
      </c>
      <c r="AA359" s="75" t="e">
        <f t="shared" ca="1" si="37"/>
        <v>#N/A</v>
      </c>
      <c r="AB359" s="76">
        <f t="shared" ca="1" si="38"/>
        <v>0</v>
      </c>
      <c r="AC359" s="75">
        <f t="shared" ca="1" si="39"/>
        <v>0</v>
      </c>
      <c r="AD359" s="76">
        <f t="shared" ca="1" si="40"/>
        <v>12388.425643634258</v>
      </c>
      <c r="AE359" s="76">
        <f>SUMIFS(AB:AB,E:E,E359)</f>
        <v>0</v>
      </c>
      <c r="AF359" s="75">
        <f t="shared" si="41"/>
        <v>0</v>
      </c>
      <c r="AG359" s="76">
        <f t="shared" si="35"/>
        <v>0</v>
      </c>
      <c r="AH359" s="31" t="e" cm="1">
        <f t="array" aca="1" ref="AH359" ca="1">IF((AD359) &lt; (INDEX(ResponseSLA[#All],(MATCH((G359),ResponseSLA[Priority],0))+1,3)),"YES","No")</f>
        <v>#N/A</v>
      </c>
      <c r="AI359" s="31" t="str">
        <f>_xlfn.IFNA(IF(AE359 &lt; (INDEX(SLATable[Minimum SLA],MATCH(G359,SLATable[Priority],0))),"YES","NO"),"")</f>
        <v/>
      </c>
      <c r="AJ359" t="str">
        <f>_xlfn.IFNA(IF(AE359 &lt; (INDEX(SLATable[Maximum SLA],MATCH(G359,SLATable[Priority],0))),"YES","NO"),"")</f>
        <v/>
      </c>
    </row>
    <row r="360" spans="26:36" ht="15" customHeight="1">
      <c r="Z360" s="76" t="e">
        <f t="shared" ca="1" si="36"/>
        <v>#N/A</v>
      </c>
      <c r="AA360" s="75" t="e">
        <f t="shared" ca="1" si="37"/>
        <v>#N/A</v>
      </c>
      <c r="AB360" s="76">
        <f t="shared" ca="1" si="38"/>
        <v>0</v>
      </c>
      <c r="AC360" s="75">
        <f t="shared" ca="1" si="39"/>
        <v>0</v>
      </c>
      <c r="AD360" s="76">
        <f t="shared" ca="1" si="40"/>
        <v>12388.425643634258</v>
      </c>
      <c r="AE360" s="76">
        <f>SUMIFS(AB:AB,E:E,E360)</f>
        <v>0</v>
      </c>
      <c r="AF360" s="75">
        <f t="shared" si="41"/>
        <v>0</v>
      </c>
      <c r="AG360" s="76">
        <f t="shared" si="35"/>
        <v>0</v>
      </c>
      <c r="AH360" s="31" t="e" cm="1">
        <f t="array" aca="1" ref="AH360" ca="1">IF((AD360) &lt; (INDEX(ResponseSLA[#All],(MATCH((G360),ResponseSLA[Priority],0))+1,3)),"YES","No")</f>
        <v>#N/A</v>
      </c>
      <c r="AI360" s="31" t="str">
        <f>_xlfn.IFNA(IF(AE360 &lt; (INDEX(SLATable[Minimum SLA],MATCH(G360,SLATable[Priority],0))),"YES","NO"),"")</f>
        <v/>
      </c>
      <c r="AJ360" t="str">
        <f>_xlfn.IFNA(IF(AE360 &lt; (INDEX(SLATable[Maximum SLA],MATCH(G360,SLATable[Priority],0))),"YES","NO"),"")</f>
        <v/>
      </c>
    </row>
    <row r="361" spans="26:36" ht="15" customHeight="1">
      <c r="Z361" s="76" t="e">
        <f t="shared" ca="1" si="36"/>
        <v>#N/A</v>
      </c>
      <c r="AA361" s="75" t="e">
        <f t="shared" ca="1" si="37"/>
        <v>#N/A</v>
      </c>
      <c r="AB361" s="76">
        <f t="shared" ca="1" si="38"/>
        <v>0</v>
      </c>
      <c r="AC361" s="75">
        <f t="shared" ca="1" si="39"/>
        <v>0</v>
      </c>
      <c r="AD361" s="76">
        <f t="shared" ca="1" si="40"/>
        <v>12388.425643634258</v>
      </c>
      <c r="AE361" s="76">
        <f>SUMIFS(AB:AB,E:E,E361)</f>
        <v>0</v>
      </c>
      <c r="AF361" s="75">
        <f t="shared" si="41"/>
        <v>0</v>
      </c>
      <c r="AG361" s="76">
        <f t="shared" si="35"/>
        <v>0</v>
      </c>
      <c r="AH361" s="31" t="e" cm="1">
        <f t="array" aca="1" ref="AH361" ca="1">IF((AD361) &lt; (INDEX(ResponseSLA[#All],(MATCH((G361),ResponseSLA[Priority],0))+1,3)),"YES","No")</f>
        <v>#N/A</v>
      </c>
      <c r="AI361" s="31" t="str">
        <f>_xlfn.IFNA(IF(AE361 &lt; (INDEX(SLATable[Minimum SLA],MATCH(G361,SLATable[Priority],0))),"YES","NO"),"")</f>
        <v/>
      </c>
      <c r="AJ361" t="str">
        <f>_xlfn.IFNA(IF(AE361 &lt; (INDEX(SLATable[Maximum SLA],MATCH(G361,SLATable[Priority],0))),"YES","NO"),"")</f>
        <v/>
      </c>
    </row>
    <row r="362" spans="26:36" ht="15" customHeight="1">
      <c r="Z362" s="76" t="e">
        <f t="shared" ca="1" si="36"/>
        <v>#N/A</v>
      </c>
      <c r="AA362" s="75" t="e">
        <f t="shared" ca="1" si="37"/>
        <v>#N/A</v>
      </c>
      <c r="AB362" s="76">
        <f t="shared" ca="1" si="38"/>
        <v>0</v>
      </c>
      <c r="AC362" s="75">
        <f t="shared" ca="1" si="39"/>
        <v>0</v>
      </c>
      <c r="AD362" s="76">
        <f t="shared" ca="1" si="40"/>
        <v>12388.425643634258</v>
      </c>
      <c r="AE362" s="76">
        <f>SUMIFS(AB:AB,E:E,E362)</f>
        <v>0</v>
      </c>
      <c r="AF362" s="75">
        <f t="shared" si="41"/>
        <v>0</v>
      </c>
      <c r="AG362" s="76">
        <f t="shared" si="35"/>
        <v>0</v>
      </c>
      <c r="AH362" s="31" t="e" cm="1">
        <f t="array" aca="1" ref="AH362" ca="1">IF((AD362) &lt; (INDEX(ResponseSLA[#All],(MATCH((G362),ResponseSLA[Priority],0))+1,3)),"YES","No")</f>
        <v>#N/A</v>
      </c>
      <c r="AI362" s="31" t="str">
        <f>_xlfn.IFNA(IF(AE362 &lt; (INDEX(SLATable[Minimum SLA],MATCH(G362,SLATable[Priority],0))),"YES","NO"),"")</f>
        <v/>
      </c>
      <c r="AJ362" t="str">
        <f>_xlfn.IFNA(IF(AE362 &lt; (INDEX(SLATable[Maximum SLA],MATCH(G362,SLATable[Priority],0))),"YES","NO"),"")</f>
        <v/>
      </c>
    </row>
    <row r="363" spans="26:36" ht="15" customHeight="1">
      <c r="Z363" s="76" t="e">
        <f t="shared" ca="1" si="36"/>
        <v>#N/A</v>
      </c>
      <c r="AA363" s="75" t="e">
        <f t="shared" ca="1" si="37"/>
        <v>#N/A</v>
      </c>
      <c r="AB363" s="76">
        <f t="shared" ca="1" si="38"/>
        <v>0</v>
      </c>
      <c r="AC363" s="75">
        <f t="shared" ca="1" si="39"/>
        <v>0</v>
      </c>
      <c r="AD363" s="76">
        <f t="shared" ca="1" si="40"/>
        <v>12388.425643634258</v>
      </c>
      <c r="AE363" s="76">
        <f>SUMIFS(AB:AB,E:E,E363)</f>
        <v>0</v>
      </c>
      <c r="AF363" s="75">
        <f t="shared" si="41"/>
        <v>0</v>
      </c>
      <c r="AG363" s="76">
        <f t="shared" si="35"/>
        <v>0</v>
      </c>
      <c r="AH363" s="31" t="e" cm="1">
        <f t="array" aca="1" ref="AH363" ca="1">IF((AD363) &lt; (INDEX(ResponseSLA[#All],(MATCH((G363),ResponseSLA[Priority],0))+1,3)),"YES","No")</f>
        <v>#N/A</v>
      </c>
      <c r="AI363" s="31" t="str">
        <f>_xlfn.IFNA(IF(AE363 &lt; (INDEX(SLATable[Minimum SLA],MATCH(G363,SLATable[Priority],0))),"YES","NO"),"")</f>
        <v/>
      </c>
      <c r="AJ363" t="str">
        <f>_xlfn.IFNA(IF(AE363 &lt; (INDEX(SLATable[Maximum SLA],MATCH(G363,SLATable[Priority],0))),"YES","NO"),"")</f>
        <v/>
      </c>
    </row>
    <row r="364" spans="26:36" ht="15" customHeight="1">
      <c r="Z364" s="76" t="e">
        <f t="shared" ca="1" si="36"/>
        <v>#N/A</v>
      </c>
      <c r="AA364" s="75" t="e">
        <f t="shared" ca="1" si="37"/>
        <v>#N/A</v>
      </c>
      <c r="AB364" s="76">
        <f t="shared" ca="1" si="38"/>
        <v>0</v>
      </c>
      <c r="AC364" s="75">
        <f t="shared" ca="1" si="39"/>
        <v>0</v>
      </c>
      <c r="AD364" s="76">
        <f t="shared" ca="1" si="40"/>
        <v>12388.425643634258</v>
      </c>
      <c r="AE364" s="76">
        <f>SUMIFS(AB:AB,E:E,E364)</f>
        <v>0</v>
      </c>
      <c r="AF364" s="75">
        <f t="shared" si="41"/>
        <v>0</v>
      </c>
      <c r="AG364" s="76">
        <f t="shared" si="35"/>
        <v>0</v>
      </c>
      <c r="AH364" s="31" t="e" cm="1">
        <f t="array" aca="1" ref="AH364" ca="1">IF((AD364) &lt; (INDEX(ResponseSLA[#All],(MATCH((G364),ResponseSLA[Priority],0))+1,3)),"YES","No")</f>
        <v>#N/A</v>
      </c>
      <c r="AI364" s="31" t="str">
        <f>_xlfn.IFNA(IF(AE364 &lt; (INDEX(SLATable[Minimum SLA],MATCH(G364,SLATable[Priority],0))),"YES","NO"),"")</f>
        <v/>
      </c>
      <c r="AJ364" t="str">
        <f>_xlfn.IFNA(IF(AE364 &lt; (INDEX(SLATable[Maximum SLA],MATCH(G364,SLATable[Priority],0))),"YES","NO"),"")</f>
        <v/>
      </c>
    </row>
    <row r="365" spans="26:36" ht="15" customHeight="1">
      <c r="Z365" s="76" t="e">
        <f t="shared" ca="1" si="36"/>
        <v>#N/A</v>
      </c>
      <c r="AA365" s="75" t="e">
        <f t="shared" ca="1" si="37"/>
        <v>#N/A</v>
      </c>
      <c r="AB365" s="76">
        <f t="shared" ca="1" si="38"/>
        <v>0</v>
      </c>
      <c r="AC365" s="75">
        <f t="shared" ca="1" si="39"/>
        <v>0</v>
      </c>
      <c r="AD365" s="76">
        <f t="shared" ca="1" si="40"/>
        <v>12388.425643634258</v>
      </c>
      <c r="AE365" s="76">
        <f>SUMIFS(AB:AB,E:E,E365)</f>
        <v>0</v>
      </c>
      <c r="AF365" s="75">
        <f t="shared" si="41"/>
        <v>0</v>
      </c>
      <c r="AG365" s="76">
        <f t="shared" si="35"/>
        <v>0</v>
      </c>
      <c r="AH365" s="31" t="e" cm="1">
        <f t="array" aca="1" ref="AH365" ca="1">IF((AD365) &lt; (INDEX(ResponseSLA[#All],(MATCH((G365),ResponseSLA[Priority],0))+1,3)),"YES","No")</f>
        <v>#N/A</v>
      </c>
      <c r="AI365" s="31" t="str">
        <f>_xlfn.IFNA(IF(AE365 &lt; (INDEX(SLATable[Minimum SLA],MATCH(G365,SLATable[Priority],0))),"YES","NO"),"")</f>
        <v/>
      </c>
      <c r="AJ365" t="str">
        <f>_xlfn.IFNA(IF(AE365 &lt; (INDEX(SLATable[Maximum SLA],MATCH(G365,SLATable[Priority],0))),"YES","NO"),"")</f>
        <v/>
      </c>
    </row>
    <row r="366" spans="26:36" ht="15" customHeight="1">
      <c r="Z366" s="76" t="e">
        <f t="shared" ca="1" si="36"/>
        <v>#N/A</v>
      </c>
      <c r="AA366" s="75" t="e">
        <f t="shared" ca="1" si="37"/>
        <v>#N/A</v>
      </c>
      <c r="AB366" s="76">
        <f t="shared" ca="1" si="38"/>
        <v>0</v>
      </c>
      <c r="AC366" s="75">
        <f t="shared" ca="1" si="39"/>
        <v>0</v>
      </c>
      <c r="AD366" s="76">
        <f t="shared" ca="1" si="40"/>
        <v>12388.425643634258</v>
      </c>
      <c r="AE366" s="76">
        <f>SUMIFS(AB:AB,E:E,E366)</f>
        <v>0</v>
      </c>
      <c r="AF366" s="75">
        <f t="shared" si="41"/>
        <v>0</v>
      </c>
      <c r="AG366" s="76">
        <f t="shared" si="35"/>
        <v>0</v>
      </c>
      <c r="AH366" s="31" t="e" cm="1">
        <f t="array" aca="1" ref="AH366" ca="1">IF((AD366) &lt; (INDEX(ResponseSLA[#All],(MATCH((G366),ResponseSLA[Priority],0))+1,3)),"YES","No")</f>
        <v>#N/A</v>
      </c>
      <c r="AI366" s="31" t="str">
        <f>_xlfn.IFNA(IF(AE366 &lt; (INDEX(SLATable[Minimum SLA],MATCH(G366,SLATable[Priority],0))),"YES","NO"),"")</f>
        <v/>
      </c>
      <c r="AJ366" t="str">
        <f>_xlfn.IFNA(IF(AE366 &lt; (INDEX(SLATable[Maximum SLA],MATCH(G366,SLATable[Priority],0))),"YES","NO"),"")</f>
        <v/>
      </c>
    </row>
    <row r="367" spans="26:36" ht="15" customHeight="1">
      <c r="Z367" s="76" t="e">
        <f t="shared" ca="1" si="36"/>
        <v>#N/A</v>
      </c>
      <c r="AA367" s="75" t="e">
        <f t="shared" ca="1" si="37"/>
        <v>#N/A</v>
      </c>
      <c r="AB367" s="76">
        <f t="shared" ca="1" si="38"/>
        <v>0</v>
      </c>
      <c r="AC367" s="75">
        <f t="shared" ca="1" si="39"/>
        <v>0</v>
      </c>
      <c r="AD367" s="76">
        <f t="shared" ca="1" si="40"/>
        <v>12388.425643634258</v>
      </c>
      <c r="AE367" s="76">
        <f>SUMIFS(AB:AB,E:E,E367)</f>
        <v>0</v>
      </c>
      <c r="AF367" s="75">
        <f t="shared" si="41"/>
        <v>0</v>
      </c>
      <c r="AG367" s="76">
        <f t="shared" si="35"/>
        <v>0</v>
      </c>
      <c r="AH367" s="31" t="e" cm="1">
        <f t="array" aca="1" ref="AH367" ca="1">IF((AD367) &lt; (INDEX(ResponseSLA[#All],(MATCH((G367),ResponseSLA[Priority],0))+1,3)),"YES","No")</f>
        <v>#N/A</v>
      </c>
      <c r="AI367" s="31" t="str">
        <f>_xlfn.IFNA(IF(AE367 &lt; (INDEX(SLATable[Minimum SLA],MATCH(G367,SLATable[Priority],0))),"YES","NO"),"")</f>
        <v/>
      </c>
      <c r="AJ367" t="str">
        <f>_xlfn.IFNA(IF(AE367 &lt; (INDEX(SLATable[Maximum SLA],MATCH(G367,SLATable[Priority],0))),"YES","NO"),"")</f>
        <v/>
      </c>
    </row>
    <row r="368" spans="26:36" ht="15" customHeight="1">
      <c r="Z368" s="76" t="e">
        <f t="shared" ca="1" si="36"/>
        <v>#N/A</v>
      </c>
      <c r="AA368" s="75" t="e">
        <f t="shared" ca="1" si="37"/>
        <v>#N/A</v>
      </c>
      <c r="AB368" s="76">
        <f t="shared" ca="1" si="38"/>
        <v>0</v>
      </c>
      <c r="AC368" s="75">
        <f t="shared" ca="1" si="39"/>
        <v>0</v>
      </c>
      <c r="AD368" s="76">
        <f t="shared" ca="1" si="40"/>
        <v>12388.425643634258</v>
      </c>
      <c r="AE368" s="76">
        <f>SUMIFS(AB:AB,E:E,E368)</f>
        <v>0</v>
      </c>
      <c r="AF368" s="75">
        <f t="shared" si="41"/>
        <v>0</v>
      </c>
      <c r="AG368" s="76">
        <f t="shared" si="35"/>
        <v>0</v>
      </c>
      <c r="AH368" s="31" t="e" cm="1">
        <f t="array" aca="1" ref="AH368" ca="1">IF((AD368) &lt; (INDEX(ResponseSLA[#All],(MATCH((G368),ResponseSLA[Priority],0))+1,3)),"YES","No")</f>
        <v>#N/A</v>
      </c>
      <c r="AI368" s="31" t="str">
        <f>_xlfn.IFNA(IF(AE368 &lt; (INDEX(SLATable[Minimum SLA],MATCH(G368,SLATable[Priority],0))),"YES","NO"),"")</f>
        <v/>
      </c>
      <c r="AJ368" t="str">
        <f>_xlfn.IFNA(IF(AE368 &lt; (INDEX(SLATable[Maximum SLA],MATCH(G368,SLATable[Priority],0))),"YES","NO"),"")</f>
        <v/>
      </c>
    </row>
    <row r="369" spans="26:36" ht="15" customHeight="1">
      <c r="Z369" s="76" t="e">
        <f t="shared" ca="1" si="36"/>
        <v>#N/A</v>
      </c>
      <c r="AA369" s="75" t="e">
        <f t="shared" ca="1" si="37"/>
        <v>#N/A</v>
      </c>
      <c r="AB369" s="76">
        <f t="shared" ca="1" si="38"/>
        <v>0</v>
      </c>
      <c r="AC369" s="75">
        <f t="shared" ca="1" si="39"/>
        <v>0</v>
      </c>
      <c r="AD369" s="76">
        <f t="shared" ca="1" si="40"/>
        <v>12388.425643634258</v>
      </c>
      <c r="AE369" s="76">
        <f>SUMIFS(AB:AB,E:E,E369)</f>
        <v>0</v>
      </c>
      <c r="AF369" s="75">
        <f t="shared" si="41"/>
        <v>0</v>
      </c>
      <c r="AG369" s="76">
        <f t="shared" si="35"/>
        <v>0</v>
      </c>
      <c r="AH369" s="31" t="e" cm="1">
        <f t="array" aca="1" ref="AH369" ca="1">IF((AD369) &lt; (INDEX(ResponseSLA[#All],(MATCH((G369),ResponseSLA[Priority],0))+1,3)),"YES","No")</f>
        <v>#N/A</v>
      </c>
      <c r="AI369" s="31" t="str">
        <f>_xlfn.IFNA(IF(AE369 &lt; (INDEX(SLATable[Minimum SLA],MATCH(G369,SLATable[Priority],0))),"YES","NO"),"")</f>
        <v/>
      </c>
      <c r="AJ369" t="str">
        <f>_xlfn.IFNA(IF(AE369 &lt; (INDEX(SLATable[Maximum SLA],MATCH(G369,SLATable[Priority],0))),"YES","NO"),"")</f>
        <v/>
      </c>
    </row>
    <row r="370" spans="26:36" ht="15" customHeight="1">
      <c r="Z370" s="76" t="e">
        <f t="shared" ca="1" si="36"/>
        <v>#N/A</v>
      </c>
      <c r="AA370" s="75" t="e">
        <f t="shared" ca="1" si="37"/>
        <v>#N/A</v>
      </c>
      <c r="AB370" s="76">
        <f t="shared" ca="1" si="38"/>
        <v>0</v>
      </c>
      <c r="AC370" s="75">
        <f t="shared" ca="1" si="39"/>
        <v>0</v>
      </c>
      <c r="AD370" s="76">
        <f t="shared" ca="1" si="40"/>
        <v>12388.425643634258</v>
      </c>
      <c r="AE370" s="76">
        <f>SUMIFS(AB:AB,E:E,E370)</f>
        <v>0</v>
      </c>
      <c r="AF370" s="75">
        <f t="shared" si="41"/>
        <v>0</v>
      </c>
      <c r="AG370" s="76">
        <f t="shared" si="35"/>
        <v>0</v>
      </c>
      <c r="AH370" s="31" t="e" cm="1">
        <f t="array" aca="1" ref="AH370" ca="1">IF((AD370) &lt; (INDEX(ResponseSLA[#All],(MATCH((G370),ResponseSLA[Priority],0))+1,3)),"YES","No")</f>
        <v>#N/A</v>
      </c>
      <c r="AI370" s="31" t="str">
        <f>_xlfn.IFNA(IF(AE370 &lt; (INDEX(SLATable[Minimum SLA],MATCH(G370,SLATable[Priority],0))),"YES","NO"),"")</f>
        <v/>
      </c>
      <c r="AJ370" t="str">
        <f>_xlfn.IFNA(IF(AE370 &lt; (INDEX(SLATable[Maximum SLA],MATCH(G370,SLATable[Priority],0))),"YES","NO"),"")</f>
        <v/>
      </c>
    </row>
    <row r="371" spans="26:36" ht="15" customHeight="1">
      <c r="Z371" s="76" t="e">
        <f t="shared" ca="1" si="36"/>
        <v>#N/A</v>
      </c>
      <c r="AA371" s="75" t="e">
        <f t="shared" ca="1" si="37"/>
        <v>#N/A</v>
      </c>
      <c r="AB371" s="76">
        <f t="shared" ca="1" si="38"/>
        <v>0</v>
      </c>
      <c r="AC371" s="75">
        <f t="shared" ca="1" si="39"/>
        <v>0</v>
      </c>
      <c r="AD371" s="76">
        <f t="shared" ca="1" si="40"/>
        <v>12388.425643634258</v>
      </c>
      <c r="AE371" s="76">
        <f>SUMIFS(AB:AB,E:E,E371)</f>
        <v>0</v>
      </c>
      <c r="AF371" s="75">
        <f t="shared" si="41"/>
        <v>0</v>
      </c>
      <c r="AG371" s="76">
        <f t="shared" si="35"/>
        <v>0</v>
      </c>
      <c r="AH371" s="31" t="e" cm="1">
        <f t="array" aca="1" ref="AH371" ca="1">IF((AD371) &lt; (INDEX(ResponseSLA[#All],(MATCH((G371),ResponseSLA[Priority],0))+1,3)),"YES","No")</f>
        <v>#N/A</v>
      </c>
      <c r="AI371" s="31" t="str">
        <f>_xlfn.IFNA(IF(AE371 &lt; (INDEX(SLATable[Minimum SLA],MATCH(G371,SLATable[Priority],0))),"YES","NO"),"")</f>
        <v/>
      </c>
      <c r="AJ371" t="str">
        <f>_xlfn.IFNA(IF(AE371 &lt; (INDEX(SLATable[Maximum SLA],MATCH(G371,SLATable[Priority],0))),"YES","NO"),"")</f>
        <v/>
      </c>
    </row>
    <row r="372" spans="26:36" ht="15" customHeight="1">
      <c r="Z372" s="76" t="e">
        <f t="shared" ca="1" si="36"/>
        <v>#N/A</v>
      </c>
      <c r="AA372" s="75" t="e">
        <f t="shared" ca="1" si="37"/>
        <v>#N/A</v>
      </c>
      <c r="AB372" s="76">
        <f t="shared" ca="1" si="38"/>
        <v>0</v>
      </c>
      <c r="AC372" s="75">
        <f t="shared" ca="1" si="39"/>
        <v>0</v>
      </c>
      <c r="AD372" s="76">
        <f t="shared" ca="1" si="40"/>
        <v>12388.425643634258</v>
      </c>
      <c r="AE372" s="76">
        <f>SUMIFS(AB:AB,E:E,E372)</f>
        <v>0</v>
      </c>
      <c r="AF372" s="75">
        <f t="shared" si="41"/>
        <v>0</v>
      </c>
      <c r="AG372" s="76">
        <f t="shared" si="35"/>
        <v>0</v>
      </c>
      <c r="AH372" s="31" t="e" cm="1">
        <f t="array" aca="1" ref="AH372" ca="1">IF((AD372) &lt; (INDEX(ResponseSLA[#All],(MATCH((G372),ResponseSLA[Priority],0))+1,3)),"YES","No")</f>
        <v>#N/A</v>
      </c>
      <c r="AI372" s="31" t="str">
        <f>_xlfn.IFNA(IF(AE372 &lt; (INDEX(SLATable[Minimum SLA],MATCH(G372,SLATable[Priority],0))),"YES","NO"),"")</f>
        <v/>
      </c>
      <c r="AJ372" t="str">
        <f>_xlfn.IFNA(IF(AE372 &lt; (INDEX(SLATable[Maximum SLA],MATCH(G372,SLATable[Priority],0))),"YES","NO"),"")</f>
        <v/>
      </c>
    </row>
    <row r="373" spans="26:36" ht="15" customHeight="1">
      <c r="Z373" s="76" t="e">
        <f t="shared" ca="1" si="36"/>
        <v>#N/A</v>
      </c>
      <c r="AA373" s="75" t="e">
        <f t="shared" ca="1" si="37"/>
        <v>#N/A</v>
      </c>
      <c r="AB373" s="76">
        <f t="shared" ca="1" si="38"/>
        <v>0</v>
      </c>
      <c r="AC373" s="75">
        <f t="shared" ca="1" si="39"/>
        <v>0</v>
      </c>
      <c r="AD373" s="76">
        <f t="shared" ca="1" si="40"/>
        <v>12388.425643634258</v>
      </c>
      <c r="AE373" s="76">
        <f>SUMIFS(AB:AB,E:E,E373)</f>
        <v>0</v>
      </c>
      <c r="AF373" s="75">
        <f t="shared" si="41"/>
        <v>0</v>
      </c>
      <c r="AG373" s="76">
        <f t="shared" si="35"/>
        <v>0</v>
      </c>
      <c r="AH373" s="31" t="e" cm="1">
        <f t="array" aca="1" ref="AH373" ca="1">IF((AD373) &lt; (INDEX(ResponseSLA[#All],(MATCH((G373),ResponseSLA[Priority],0))+1,3)),"YES","No")</f>
        <v>#N/A</v>
      </c>
      <c r="AI373" s="31" t="str">
        <f>_xlfn.IFNA(IF(AE373 &lt; (INDEX(SLATable[Minimum SLA],MATCH(G373,SLATable[Priority],0))),"YES","NO"),"")</f>
        <v/>
      </c>
      <c r="AJ373" t="str">
        <f>_xlfn.IFNA(IF(AE373 &lt; (INDEX(SLATable[Maximum SLA],MATCH(G373,SLATable[Priority],0))),"YES","NO"),"")</f>
        <v/>
      </c>
    </row>
    <row r="374" spans="26:36" ht="15" customHeight="1">
      <c r="Z374" s="76" t="e">
        <f t="shared" ca="1" si="36"/>
        <v>#N/A</v>
      </c>
      <c r="AA374" s="75" t="e">
        <f t="shared" ca="1" si="37"/>
        <v>#N/A</v>
      </c>
      <c r="AB374" s="76">
        <f t="shared" ca="1" si="38"/>
        <v>0</v>
      </c>
      <c r="AC374" s="75">
        <f t="shared" ca="1" si="39"/>
        <v>0</v>
      </c>
      <c r="AD374" s="76">
        <f t="shared" ca="1" si="40"/>
        <v>12388.425643634258</v>
      </c>
      <c r="AE374" s="76">
        <f>SUMIFS(AB:AB,E:E,E374)</f>
        <v>0</v>
      </c>
      <c r="AF374" s="75">
        <f t="shared" si="41"/>
        <v>0</v>
      </c>
      <c r="AG374" s="76">
        <f t="shared" si="35"/>
        <v>0</v>
      </c>
      <c r="AH374" s="31" t="e" cm="1">
        <f t="array" aca="1" ref="AH374" ca="1">IF((AD374) &lt; (INDEX(ResponseSLA[#All],(MATCH((G374),ResponseSLA[Priority],0))+1,3)),"YES","No")</f>
        <v>#N/A</v>
      </c>
      <c r="AI374" s="31" t="str">
        <f>_xlfn.IFNA(IF(AE374 &lt; (INDEX(SLATable[Minimum SLA],MATCH(G374,SLATable[Priority],0))),"YES","NO"),"")</f>
        <v/>
      </c>
      <c r="AJ374" t="str">
        <f>_xlfn.IFNA(IF(AE374 &lt; (INDEX(SLATable[Maximum SLA],MATCH(G374,SLATable[Priority],0))),"YES","NO"),"")</f>
        <v/>
      </c>
    </row>
    <row r="375" spans="26:36" ht="15" customHeight="1">
      <c r="Z375" s="76" t="e">
        <f t="shared" ca="1" si="36"/>
        <v>#N/A</v>
      </c>
      <c r="AA375" s="75" t="e">
        <f t="shared" ca="1" si="37"/>
        <v>#N/A</v>
      </c>
      <c r="AB375" s="76">
        <f t="shared" ca="1" si="38"/>
        <v>0</v>
      </c>
      <c r="AC375" s="75">
        <f t="shared" ca="1" si="39"/>
        <v>0</v>
      </c>
      <c r="AD375" s="76">
        <f t="shared" ca="1" si="40"/>
        <v>12388.425643634258</v>
      </c>
      <c r="AE375" s="76">
        <f>SUMIFS(AB:AB,E:E,E375)</f>
        <v>0</v>
      </c>
      <c r="AF375" s="75">
        <f t="shared" si="41"/>
        <v>0</v>
      </c>
      <c r="AG375" s="76">
        <f t="shared" si="35"/>
        <v>0</v>
      </c>
      <c r="AH375" s="31" t="e" cm="1">
        <f t="array" aca="1" ref="AH375" ca="1">IF((AD375) &lt; (INDEX(ResponseSLA[#All],(MATCH((G375),ResponseSLA[Priority],0))+1,3)),"YES","No")</f>
        <v>#N/A</v>
      </c>
      <c r="AI375" s="31" t="str">
        <f>_xlfn.IFNA(IF(AE375 &lt; (INDEX(SLATable[Minimum SLA],MATCH(G375,SLATable[Priority],0))),"YES","NO"),"")</f>
        <v/>
      </c>
      <c r="AJ375" t="str">
        <f>_xlfn.IFNA(IF(AE375 &lt; (INDEX(SLATable[Maximum SLA],MATCH(G375,SLATable[Priority],0))),"YES","NO"),"")</f>
        <v/>
      </c>
    </row>
    <row r="376" spans="26:36" ht="15" customHeight="1">
      <c r="Z376" s="76" t="e">
        <f t="shared" ca="1" si="36"/>
        <v>#N/A</v>
      </c>
      <c r="AA376" s="75" t="e">
        <f t="shared" ca="1" si="37"/>
        <v>#N/A</v>
      </c>
      <c r="AB376" s="76">
        <f t="shared" ca="1" si="38"/>
        <v>0</v>
      </c>
      <c r="AC376" s="75">
        <f t="shared" ca="1" si="39"/>
        <v>0</v>
      </c>
      <c r="AD376" s="76">
        <f t="shared" ca="1" si="40"/>
        <v>12388.425643634258</v>
      </c>
      <c r="AE376" s="76">
        <f>SUMIFS(AB:AB,E:E,E376)</f>
        <v>0</v>
      </c>
      <c r="AF376" s="75">
        <f t="shared" si="41"/>
        <v>0</v>
      </c>
      <c r="AG376" s="76">
        <f t="shared" si="35"/>
        <v>0</v>
      </c>
      <c r="AH376" s="31" t="e" cm="1">
        <f t="array" aca="1" ref="AH376" ca="1">IF((AD376) &lt; (INDEX(ResponseSLA[#All],(MATCH((G376),ResponseSLA[Priority],0))+1,3)),"YES","No")</f>
        <v>#N/A</v>
      </c>
      <c r="AI376" s="31" t="str">
        <f>_xlfn.IFNA(IF(AE376 &lt; (INDEX(SLATable[Minimum SLA],MATCH(G376,SLATable[Priority],0))),"YES","NO"),"")</f>
        <v/>
      </c>
      <c r="AJ376" t="str">
        <f>_xlfn.IFNA(IF(AE376 &lt; (INDEX(SLATable[Maximum SLA],MATCH(G376,SLATable[Priority],0))),"YES","NO"),"")</f>
        <v/>
      </c>
    </row>
    <row r="377" spans="26:36" ht="15" customHeight="1">
      <c r="Z377" s="76" t="e">
        <f t="shared" ca="1" si="36"/>
        <v>#N/A</v>
      </c>
      <c r="AA377" s="75" t="e">
        <f t="shared" ca="1" si="37"/>
        <v>#N/A</v>
      </c>
      <c r="AB377" s="76">
        <f t="shared" ca="1" si="38"/>
        <v>0</v>
      </c>
      <c r="AC377" s="75">
        <f t="shared" ca="1" si="39"/>
        <v>0</v>
      </c>
      <c r="AD377" s="76">
        <f t="shared" ca="1" si="40"/>
        <v>12388.425643634258</v>
      </c>
      <c r="AE377" s="76">
        <f>SUMIFS(AB:AB,E:E,E377)</f>
        <v>0</v>
      </c>
      <c r="AF377" s="75">
        <f t="shared" si="41"/>
        <v>0</v>
      </c>
      <c r="AG377" s="76">
        <f t="shared" si="35"/>
        <v>0</v>
      </c>
      <c r="AH377" s="31" t="e" cm="1">
        <f t="array" aca="1" ref="AH377" ca="1">IF((AD377) &lt; (INDEX(ResponseSLA[#All],(MATCH((G377),ResponseSLA[Priority],0))+1,3)),"YES","No")</f>
        <v>#N/A</v>
      </c>
      <c r="AI377" s="31" t="str">
        <f>_xlfn.IFNA(IF(AE377 &lt; (INDEX(SLATable[Minimum SLA],MATCH(G377,SLATable[Priority],0))),"YES","NO"),"")</f>
        <v/>
      </c>
      <c r="AJ377" t="str">
        <f>_xlfn.IFNA(IF(AE377 &lt; (INDEX(SLATable[Maximum SLA],MATCH(G377,SLATable[Priority],0))),"YES","NO"),"")</f>
        <v/>
      </c>
    </row>
    <row r="378" spans="26:36" ht="15" customHeight="1">
      <c r="Z378" s="76" t="e">
        <f t="shared" ca="1" si="36"/>
        <v>#N/A</v>
      </c>
      <c r="AA378" s="75" t="e">
        <f t="shared" ca="1" si="37"/>
        <v>#N/A</v>
      </c>
      <c r="AB378" s="76">
        <f t="shared" ca="1" si="38"/>
        <v>0</v>
      </c>
      <c r="AC378" s="75">
        <f t="shared" ca="1" si="39"/>
        <v>0</v>
      </c>
      <c r="AD378" s="76">
        <f t="shared" ca="1" si="40"/>
        <v>12388.425643634258</v>
      </c>
      <c r="AE378" s="76">
        <f>SUMIFS(AB:AB,E:E,E378)</f>
        <v>0</v>
      </c>
      <c r="AF378" s="75">
        <f t="shared" si="41"/>
        <v>0</v>
      </c>
      <c r="AG378" s="76">
        <f t="shared" si="35"/>
        <v>0</v>
      </c>
      <c r="AH378" s="31" t="e" cm="1">
        <f t="array" aca="1" ref="AH378" ca="1">IF((AD378) &lt; (INDEX(ResponseSLA[#All],(MATCH((G378),ResponseSLA[Priority],0))+1,3)),"YES","No")</f>
        <v>#N/A</v>
      </c>
      <c r="AI378" s="31" t="str">
        <f>_xlfn.IFNA(IF(AE378 &lt; (INDEX(SLATable[Minimum SLA],MATCH(G378,SLATable[Priority],0))),"YES","NO"),"")</f>
        <v/>
      </c>
      <c r="AJ378" t="str">
        <f>_xlfn.IFNA(IF(AE378 &lt; (INDEX(SLATable[Maximum SLA],MATCH(G378,SLATable[Priority],0))),"YES","NO"),"")</f>
        <v/>
      </c>
    </row>
    <row r="379" spans="26:36" ht="15" customHeight="1">
      <c r="Z379" s="76" t="e">
        <f t="shared" ca="1" si="36"/>
        <v>#N/A</v>
      </c>
      <c r="AA379" s="75" t="e">
        <f t="shared" ca="1" si="37"/>
        <v>#N/A</v>
      </c>
      <c r="AB379" s="76">
        <f t="shared" ca="1" si="38"/>
        <v>0</v>
      </c>
      <c r="AC379" s="75">
        <f t="shared" ca="1" si="39"/>
        <v>0</v>
      </c>
      <c r="AD379" s="76">
        <f t="shared" ca="1" si="40"/>
        <v>12388.425643634258</v>
      </c>
      <c r="AE379" s="76">
        <f>SUMIFS(AB:AB,E:E,E379)</f>
        <v>0</v>
      </c>
      <c r="AF379" s="75">
        <f t="shared" si="41"/>
        <v>0</v>
      </c>
      <c r="AG379" s="76">
        <f t="shared" si="35"/>
        <v>0</v>
      </c>
      <c r="AH379" s="31" t="e" cm="1">
        <f t="array" aca="1" ref="AH379" ca="1">IF((AD379) &lt; (INDEX(ResponseSLA[#All],(MATCH((G379),ResponseSLA[Priority],0))+1,3)),"YES","No")</f>
        <v>#N/A</v>
      </c>
      <c r="AI379" s="31" t="str">
        <f>_xlfn.IFNA(IF(AE379 &lt; (INDEX(SLATable[Minimum SLA],MATCH(G379,SLATable[Priority],0))),"YES","NO"),"")</f>
        <v/>
      </c>
      <c r="AJ379" t="str">
        <f>_xlfn.IFNA(IF(AE379 &lt; (INDEX(SLATable[Maximum SLA],MATCH(G379,SLATable[Priority],0))),"YES","NO"),"")</f>
        <v/>
      </c>
    </row>
    <row r="380" spans="26:36" ht="15" customHeight="1">
      <c r="Z380" s="76" t="e">
        <f t="shared" ca="1" si="36"/>
        <v>#N/A</v>
      </c>
      <c r="AA380" s="75" t="e">
        <f t="shared" ca="1" si="37"/>
        <v>#N/A</v>
      </c>
      <c r="AB380" s="76">
        <f t="shared" ca="1" si="38"/>
        <v>0</v>
      </c>
      <c r="AC380" s="75">
        <f t="shared" ca="1" si="39"/>
        <v>0</v>
      </c>
      <c r="AD380" s="76">
        <f t="shared" ca="1" si="40"/>
        <v>12388.425643634258</v>
      </c>
      <c r="AE380" s="76">
        <f>SUMIFS(AB:AB,E:E,E380)</f>
        <v>0</v>
      </c>
      <c r="AF380" s="75">
        <f t="shared" si="41"/>
        <v>0</v>
      </c>
      <c r="AG380" s="76">
        <f t="shared" si="35"/>
        <v>0</v>
      </c>
      <c r="AH380" s="31" t="e" cm="1">
        <f t="array" aca="1" ref="AH380" ca="1">IF((AD380) &lt; (INDEX(ResponseSLA[#All],(MATCH((G380),ResponseSLA[Priority],0))+1,3)),"YES","No")</f>
        <v>#N/A</v>
      </c>
      <c r="AI380" s="31" t="str">
        <f>_xlfn.IFNA(IF(AE380 &lt; (INDEX(SLATable[Minimum SLA],MATCH(G380,SLATable[Priority],0))),"YES","NO"),"")</f>
        <v/>
      </c>
      <c r="AJ380" t="str">
        <f>_xlfn.IFNA(IF(AE380 &lt; (INDEX(SLATable[Maximum SLA],MATCH(G380,SLATable[Priority],0))),"YES","NO"),"")</f>
        <v/>
      </c>
    </row>
    <row r="381" spans="26:36" ht="15" customHeight="1">
      <c r="Z381" s="76" t="e">
        <f t="shared" ca="1" si="36"/>
        <v>#N/A</v>
      </c>
      <c r="AA381" s="75" t="e">
        <f t="shared" ca="1" si="37"/>
        <v>#N/A</v>
      </c>
      <c r="AB381" s="76">
        <f t="shared" ca="1" si="38"/>
        <v>0</v>
      </c>
      <c r="AC381" s="75">
        <f t="shared" ca="1" si="39"/>
        <v>0</v>
      </c>
      <c r="AD381" s="76">
        <f t="shared" ca="1" si="40"/>
        <v>12388.425643634258</v>
      </c>
      <c r="AE381" s="76">
        <f>SUMIFS(AB:AB,E:E,E381)</f>
        <v>0</v>
      </c>
      <c r="AF381" s="75">
        <f t="shared" si="41"/>
        <v>0</v>
      </c>
      <c r="AG381" s="76">
        <f t="shared" si="35"/>
        <v>0</v>
      </c>
      <c r="AH381" s="31" t="e" cm="1">
        <f t="array" aca="1" ref="AH381" ca="1">IF((AD381) &lt; (INDEX(ResponseSLA[#All],(MATCH((G381),ResponseSLA[Priority],0))+1,3)),"YES","No")</f>
        <v>#N/A</v>
      </c>
      <c r="AI381" s="31" t="str">
        <f>_xlfn.IFNA(IF(AE381 &lt; (INDEX(SLATable[Minimum SLA],MATCH(G381,SLATable[Priority],0))),"YES","NO"),"")</f>
        <v/>
      </c>
      <c r="AJ381" t="str">
        <f>_xlfn.IFNA(IF(AE381 &lt; (INDEX(SLATable[Maximum SLA],MATCH(G381,SLATable[Priority],0))),"YES","NO"),"")</f>
        <v/>
      </c>
    </row>
    <row r="382" spans="26:36" ht="15" customHeight="1">
      <c r="Z382" s="76" t="e">
        <f t="shared" ca="1" si="36"/>
        <v>#N/A</v>
      </c>
      <c r="AA382" s="75" t="e">
        <f t="shared" ca="1" si="37"/>
        <v>#N/A</v>
      </c>
      <c r="AB382" s="76">
        <f t="shared" ca="1" si="38"/>
        <v>0</v>
      </c>
      <c r="AC382" s="75">
        <f t="shared" ca="1" si="39"/>
        <v>0</v>
      </c>
      <c r="AD382" s="76">
        <f t="shared" ca="1" si="40"/>
        <v>12388.425643634258</v>
      </c>
      <c r="AE382" s="76">
        <f>SUMIFS(AB:AB,E:E,E382)</f>
        <v>0</v>
      </c>
      <c r="AF382" s="75">
        <f t="shared" si="41"/>
        <v>0</v>
      </c>
      <c r="AG382" s="76">
        <f t="shared" si="35"/>
        <v>0</v>
      </c>
      <c r="AH382" s="31" t="e" cm="1">
        <f t="array" aca="1" ref="AH382" ca="1">IF((AD382) &lt; (INDEX(ResponseSLA[#All],(MATCH((G382),ResponseSLA[Priority],0))+1,3)),"YES","No")</f>
        <v>#N/A</v>
      </c>
      <c r="AI382" s="31" t="str">
        <f>_xlfn.IFNA(IF(AE382 &lt; (INDEX(SLATable[Minimum SLA],MATCH(G382,SLATable[Priority],0))),"YES","NO"),"")</f>
        <v/>
      </c>
      <c r="AJ382" t="str">
        <f>_xlfn.IFNA(IF(AE382 &lt; (INDEX(SLATable[Maximum SLA],MATCH(G382,SLATable[Priority],0))),"YES","NO"),"")</f>
        <v/>
      </c>
    </row>
    <row r="383" spans="26:36" ht="15" customHeight="1">
      <c r="Z383" s="76" t="e">
        <f t="shared" ca="1" si="36"/>
        <v>#N/A</v>
      </c>
      <c r="AA383" s="75" t="e">
        <f t="shared" ca="1" si="37"/>
        <v>#N/A</v>
      </c>
      <c r="AB383" s="76">
        <f t="shared" ca="1" si="38"/>
        <v>0</v>
      </c>
      <c r="AC383" s="75">
        <f t="shared" ca="1" si="39"/>
        <v>0</v>
      </c>
      <c r="AD383" s="76">
        <f t="shared" ca="1" si="40"/>
        <v>12388.425643634258</v>
      </c>
      <c r="AE383" s="76">
        <f>SUMIFS(AB:AB,E:E,E383)</f>
        <v>0</v>
      </c>
      <c r="AF383" s="75">
        <f t="shared" si="41"/>
        <v>0</v>
      </c>
      <c r="AG383" s="76">
        <f t="shared" si="35"/>
        <v>0</v>
      </c>
      <c r="AH383" s="31" t="e" cm="1">
        <f t="array" aca="1" ref="AH383" ca="1">IF((AD383) &lt; (INDEX(ResponseSLA[#All],(MATCH((G383),ResponseSLA[Priority],0))+1,3)),"YES","No")</f>
        <v>#N/A</v>
      </c>
      <c r="AI383" s="31" t="str">
        <f>_xlfn.IFNA(IF(AE383 &lt; (INDEX(SLATable[Minimum SLA],MATCH(G383,SLATable[Priority],0))),"YES","NO"),"")</f>
        <v/>
      </c>
      <c r="AJ383" t="str">
        <f>_xlfn.IFNA(IF(AE383 &lt; (INDEX(SLATable[Maximum SLA],MATCH(G383,SLATable[Priority],0))),"YES","NO"),"")</f>
        <v/>
      </c>
    </row>
    <row r="384" spans="26:36" ht="15" customHeight="1">
      <c r="Z384" s="76" t="e">
        <f t="shared" ca="1" si="36"/>
        <v>#N/A</v>
      </c>
      <c r="AA384" s="75" t="e">
        <f t="shared" ca="1" si="37"/>
        <v>#N/A</v>
      </c>
      <c r="AB384" s="76">
        <f t="shared" ca="1" si="38"/>
        <v>0</v>
      </c>
      <c r="AC384" s="75">
        <f t="shared" ca="1" si="39"/>
        <v>0</v>
      </c>
      <c r="AD384" s="76">
        <f t="shared" ca="1" si="40"/>
        <v>12388.425643634258</v>
      </c>
      <c r="AE384" s="76">
        <f>SUMIFS(AB:AB,E:E,E384)</f>
        <v>0</v>
      </c>
      <c r="AF384" s="75">
        <f t="shared" si="41"/>
        <v>0</v>
      </c>
      <c r="AG384" s="76">
        <f t="shared" si="35"/>
        <v>0</v>
      </c>
      <c r="AH384" s="31" t="e" cm="1">
        <f t="array" aca="1" ref="AH384" ca="1">IF((AD384) &lt; (INDEX(ResponseSLA[#All],(MATCH((G384),ResponseSLA[Priority],0))+1,3)),"YES","No")</f>
        <v>#N/A</v>
      </c>
      <c r="AI384" s="31" t="str">
        <f>_xlfn.IFNA(IF(AE384 &lt; (INDEX(SLATable[Minimum SLA],MATCH(G384,SLATable[Priority],0))),"YES","NO"),"")</f>
        <v/>
      </c>
      <c r="AJ384" t="str">
        <f>_xlfn.IFNA(IF(AE384 &lt; (INDEX(SLATable[Maximum SLA],MATCH(G384,SLATable[Priority],0))),"YES","NO"),"")</f>
        <v/>
      </c>
    </row>
    <row r="385" spans="26:36" ht="15" customHeight="1">
      <c r="Z385" s="76" t="e">
        <f t="shared" ca="1" si="36"/>
        <v>#N/A</v>
      </c>
      <c r="AA385" s="75" t="e">
        <f t="shared" ca="1" si="37"/>
        <v>#N/A</v>
      </c>
      <c r="AB385" s="76">
        <f t="shared" ca="1" si="38"/>
        <v>0</v>
      </c>
      <c r="AC385" s="75">
        <f t="shared" ca="1" si="39"/>
        <v>0</v>
      </c>
      <c r="AD385" s="76">
        <f t="shared" ca="1" si="40"/>
        <v>12388.425643634258</v>
      </c>
      <c r="AE385" s="76">
        <f>SUMIFS(AB:AB,E:E,E385)</f>
        <v>0</v>
      </c>
      <c r="AF385" s="75">
        <f t="shared" si="41"/>
        <v>0</v>
      </c>
      <c r="AG385" s="76">
        <f t="shared" ref="AG385:AG448" si="42">AF385</f>
        <v>0</v>
      </c>
      <c r="AH385" s="31" t="e" cm="1">
        <f t="array" aca="1" ref="AH385" ca="1">IF((AD385) &lt; (INDEX(ResponseSLA[#All],(MATCH((G385),ResponseSLA[Priority],0))+1,3)),"YES","No")</f>
        <v>#N/A</v>
      </c>
      <c r="AI385" s="31" t="str">
        <f>_xlfn.IFNA(IF(AE385 &lt; (INDEX(SLATable[Minimum SLA],MATCH(G385,SLATable[Priority],0))),"YES","NO"),"")</f>
        <v/>
      </c>
      <c r="AJ385" t="str">
        <f>_xlfn.IFNA(IF(AE385 &lt; (INDEX(SLATable[Maximum SLA],MATCH(G385,SLATable[Priority],0))),"YES","NO"),"")</f>
        <v/>
      </c>
    </row>
    <row r="386" spans="26:36" ht="15" customHeight="1">
      <c r="Z386" s="76" t="e">
        <f t="shared" ca="1" si="36"/>
        <v>#N/A</v>
      </c>
      <c r="AA386" s="75" t="e">
        <f t="shared" ca="1" si="37"/>
        <v>#N/A</v>
      </c>
      <c r="AB386" s="76">
        <f t="shared" ca="1" si="38"/>
        <v>0</v>
      </c>
      <c r="AC386" s="75">
        <f t="shared" ca="1" si="39"/>
        <v>0</v>
      </c>
      <c r="AD386" s="76">
        <f t="shared" ca="1" si="40"/>
        <v>12388.425643634258</v>
      </c>
      <c r="AE386" s="76">
        <f>SUMIFS(AB:AB,E:E,E386)</f>
        <v>0</v>
      </c>
      <c r="AF386" s="75">
        <f t="shared" si="41"/>
        <v>0</v>
      </c>
      <c r="AG386" s="76">
        <f t="shared" si="42"/>
        <v>0</v>
      </c>
      <c r="AH386" s="31" t="e" cm="1">
        <f t="array" aca="1" ref="AH386" ca="1">IF((AD386) &lt; (INDEX(ResponseSLA[#All],(MATCH((G386),ResponseSLA[Priority],0))+1,3)),"YES","No")</f>
        <v>#N/A</v>
      </c>
      <c r="AI386" s="31" t="str">
        <f>_xlfn.IFNA(IF(AE386 &lt; (INDEX(SLATable[Minimum SLA],MATCH(G386,SLATable[Priority],0))),"YES","NO"),"")</f>
        <v/>
      </c>
      <c r="AJ386" t="str">
        <f>_xlfn.IFNA(IF(AE386 &lt; (INDEX(SLATable[Maximum SLA],MATCH(G386,SLATable[Priority],0))),"YES","NO"),"")</f>
        <v/>
      </c>
    </row>
    <row r="387" spans="26:36" ht="15" customHeight="1">
      <c r="Z387" s="76" t="e">
        <f t="shared" ref="Z387:Z450" ca="1" si="43">IF(NOT(OR(G387=1,G387=2)),MAX(0,_xlfn.IFS(AND(K387&lt;&gt;"",N387&lt;&gt;""),((MAX(NETWORKDAYS(K387,N387,UKBankHolidays)-1,0))*(TIME(17,0,0)-TIME(8,0,0))+IF(NETWORKDAYS(N387,N387,UKBankHolidays)&gt;0,MEDIAN(TIME(8,0,0),MOD(N387,1),TIME(17,0,0)),TIME(8,0,0))-IF(NETWORKDAYS(K387,K387,UKBankHolidays)&gt;0,MEDIAN(TIME(8,0,0),MOD(K387,1),TIME(17,0,0)),TIME(8,0,0)))-IF(AND(O387&lt;&gt;"",P387&lt;&gt;""),((MAX(NETWORKDAYS(O387,P387,UKBankHolidays)-1,0))*(TIME(17,0,0)-TIME(8,0,0))+IF(NETWORKDAYS(P387,P387,UKBankHolidays)&gt;0,MEDIAN(TIME(8,0,0),MOD(P387,1),TIME(17,0,0)),TIME(8,0,0))-IF(NETWORKDAYS(O387,O387,UKBankHolidays)&gt;0,MEDIAN(TIME(8,0,0),MOD(O387,1),TIME(17,0,0)),TIME(8,0,0))),0),AND(K387&lt;&gt;"",N387=""),((MAX(NETWORKDAYS(K387,NOW(),UKBankHolidays)-1,0))*(TIME(17,0,0)-TIME(8,0,0))+IF(NETWORKDAYS(NOW(),NOW(),UKBankHolidays)&gt;0,MEDIAN(TIME(8,0,0),MOD(NOW(),1),TIME(17,0,0)),TIME(8,0,0))-IF(NETWORKDAYS(K387,K387,UKBankHolidays)&gt;0,MEDIAN(TIME(8,0,0),MOD(K387,1),TIME(17,0,0)),TIME(8,0,0))))),IF(N387="",NOW()-K387,N387-K387))</f>
        <v>#N/A</v>
      </c>
      <c r="AA387" s="75" t="e">
        <f t="shared" ref="AA387:AA450" ca="1" si="44">(Z387*24)/9</f>
        <v>#N/A</v>
      </c>
      <c r="AB387" s="76">
        <f t="shared" ref="AB387:AB450" ca="1" si="45">IF(NOT(OR(G387=1,G387=2)),MAX(0,_xlfn.IFS(AND(K387&lt;&gt;"",N387&lt;&gt;""),(((MAX(NETWORKDAYS(L387,N387,UKBankHolidays)-1,0))*(TIME(17,0,0)-TIME(8,0,0)))+IF(NETWORKDAYS(N387,N387,UKBankHolidays)&gt;0,MEDIAN(TIME(8,0,0),MOD(N387,1),TIME(17,0,0)),TIME(8,0,0))-IF(NETWORKDAYS(L387,L387,UKBankHolidays)&gt;0,MEDIAN(TIME(8,0,0),MOD(L387,1),TIME(17,0,0)),TIME(8,0,0)))-IF(AND(O387&lt;&gt;"",P387&lt;&gt;""),(((MAX(NETWORKDAYS(O387,P387,UKBankHolidays)-1,0))*(TIME(17,0,0)-TIME(8,0,0)))+IF(NETWORKDAYS(P387,P387,UKBankHolidays)&gt;0,MEDIAN(TIME(8,0,0),MOD(P387,1),TIME(17,0,0)),TIME(8,0,0))-IF(NETWORKDAYS(O387,O387,UKBankHolidays)&gt;0,MEDIAN(TIME(8,0,0),MOD(O387,1),TIME(17,0,0)),TIME(8,0,0))),0),AND(L387&lt;&gt;"",N387="",O387=""),(((MAX(NETWORKDAYS(L387,NOW(),UKBankHolidays)-1,0))*(TIME(17,0,0)-TIME(8,0,0)))+IF(NETWORKDAYS(NOW(),NOW(),UKBankHolidays)&gt;0,MEDIAN(TIME(8,0,0),MOD(NOW(),1),TIME(17,0,0)),TIME(8,0,0))-IF(NETWORKDAYS(L387,L387,UKBankHolidays)&gt;0,MEDIAN(TIME(8,0,0),MOD(L387,1),TIME(17,0,0)),TIME(8,0,0)))-IF(AND(O387&lt;&gt;"",P387&lt;&gt;""),(((MAX(NETWORKDAYS(O387,P387,UKBankHolidays)-1,0))*(TIME(17,0,0)-TIME(8,0,0)))+IF(NETWORKDAYS(P387,P387,UKBankHolidays)&gt;0,MEDIAN(TIME(8,0,0),MOD(P387,1),TIME(17,0,0)),TIME(8,0,0))-IF(NETWORKDAYS(O387,O387,UKBankHolidays)&gt;0,MEDIAN(TIME(8,0,0),MOD(O387,1),TIME(17,0,0)),TIME(8,0,0))),0),AND(L387&lt;&gt;"",N387="",P387="",O387&lt;&gt;""),(((MAX(NETWORKDAYS(L387,O387,UKBankHolidays)-1,0))*(TIME(17,0,0)-TIME(8,0,0)))+IF(NETWORKDAYS(O387,O387,UKBankHolidays)&gt;0,MEDIAN(TIME(8,0,0),MOD(O387,1),TIME(17,0,0)),TIME(8,0,0))-IF(NETWORKDAYS(L387,L387,UKBankHolidays)&gt;0,MEDIAN(TIME(8,0,0),MOD(L387,1),TIME(17,0,0)),TIME(8,0,0))),ISBLANK(K387),"0")),IF(ISBLANK(N387),NOW()-L387,N387-L387))</f>
        <v>0</v>
      </c>
      <c r="AC387" s="75">
        <f t="shared" ref="AC387:AC450" ca="1" si="46">(AB387*24)/9</f>
        <v>0</v>
      </c>
      <c r="AD387" s="76">
        <f t="shared" ref="AD387:AD450" ca="1" si="47">MAX(0,IF(NOT(OR(G387=1,G387=2)),IF(M387&lt;&gt;"",((MAX(NETWORKDAYS(L387,M387,UKBankHolidays)-1,0))*(TIME(17,0,0)-TIME(8,0,0))+IF(NETWORKDAYS(M387,M387,UKBankHolidays)&gt;0,MEDIAN(TIME(8,0,0),MOD(M387,1),TIME(17,0,0)),TIME(8,0,0))-MEDIAN(TIME(8,0,0),MOD(L387,1),TIME(17,0,0))),((MAX(NETWORKDAYS(L387,NOW(),UKBankHolidays)-1,0))*(TIME(17,0,0)-TIME(8,0,0))+IF(NETWORKDAYS(NOW(),NOW(),UKBankHolidays)&gt;0,MEDIAN(TIME(8,0,0),MOD(NOW(),1),TIME(17,0,0)),TIME(8,0,0))-MEDIAN(TIME(8,0,0),MOD(L387,1),TIME(17,0,0)))),IF(M387&lt;&gt;"",M387-L387,NOW()-L387)))</f>
        <v>12388.425643634258</v>
      </c>
      <c r="AE387" s="76">
        <f>SUMIFS(AB:AB,E:E,E387)</f>
        <v>0</v>
      </c>
      <c r="AF387" s="75">
        <f t="shared" ref="AF387:AF450" si="48">(AE387*24)/9</f>
        <v>0</v>
      </c>
      <c r="AG387" s="76">
        <f t="shared" si="42"/>
        <v>0</v>
      </c>
      <c r="AH387" s="31" t="e" cm="1">
        <f t="array" aca="1" ref="AH387" ca="1">IF((AD387) &lt; (INDEX(ResponseSLA[#All],(MATCH((G387),ResponseSLA[Priority],0))+1,3)),"YES","No")</f>
        <v>#N/A</v>
      </c>
      <c r="AI387" s="31" t="str">
        <f>_xlfn.IFNA(IF(AE387 &lt; (INDEX(SLATable[Minimum SLA],MATCH(G387,SLATable[Priority],0))),"YES","NO"),"")</f>
        <v/>
      </c>
      <c r="AJ387" t="str">
        <f>_xlfn.IFNA(IF(AE387 &lt; (INDEX(SLATable[Maximum SLA],MATCH(G387,SLATable[Priority],0))),"YES","NO"),"")</f>
        <v/>
      </c>
    </row>
    <row r="388" spans="26:36" ht="15" customHeight="1">
      <c r="Z388" s="76" t="e">
        <f t="shared" ca="1" si="43"/>
        <v>#N/A</v>
      </c>
      <c r="AA388" s="75" t="e">
        <f t="shared" ca="1" si="44"/>
        <v>#N/A</v>
      </c>
      <c r="AB388" s="76">
        <f t="shared" ca="1" si="45"/>
        <v>0</v>
      </c>
      <c r="AC388" s="75">
        <f t="shared" ca="1" si="46"/>
        <v>0</v>
      </c>
      <c r="AD388" s="76">
        <f t="shared" ca="1" si="47"/>
        <v>12388.425643634258</v>
      </c>
      <c r="AE388" s="76">
        <f>SUMIFS(AB:AB,E:E,E388)</f>
        <v>0</v>
      </c>
      <c r="AF388" s="75">
        <f t="shared" si="48"/>
        <v>0</v>
      </c>
      <c r="AG388" s="76">
        <f t="shared" si="42"/>
        <v>0</v>
      </c>
      <c r="AH388" s="31" t="e" cm="1">
        <f t="array" aca="1" ref="AH388" ca="1">IF((AD388) &lt; (INDEX(ResponseSLA[#All],(MATCH((G388),ResponseSLA[Priority],0))+1,3)),"YES","No")</f>
        <v>#N/A</v>
      </c>
      <c r="AI388" s="31" t="str">
        <f>_xlfn.IFNA(IF(AE388 &lt; (INDEX(SLATable[Minimum SLA],MATCH(G388,SLATable[Priority],0))),"YES","NO"),"")</f>
        <v/>
      </c>
      <c r="AJ388" t="str">
        <f>_xlfn.IFNA(IF(AE388 &lt; (INDEX(SLATable[Maximum SLA],MATCH(G388,SLATable[Priority],0))),"YES","NO"),"")</f>
        <v/>
      </c>
    </row>
    <row r="389" spans="26:36" ht="15" customHeight="1">
      <c r="Z389" s="76" t="e">
        <f t="shared" ca="1" si="43"/>
        <v>#N/A</v>
      </c>
      <c r="AA389" s="75" t="e">
        <f t="shared" ca="1" si="44"/>
        <v>#N/A</v>
      </c>
      <c r="AB389" s="76">
        <f t="shared" ca="1" si="45"/>
        <v>0</v>
      </c>
      <c r="AC389" s="75">
        <f t="shared" ca="1" si="46"/>
        <v>0</v>
      </c>
      <c r="AD389" s="76">
        <f t="shared" ca="1" si="47"/>
        <v>12388.425643634258</v>
      </c>
      <c r="AE389" s="76">
        <f>SUMIFS(AB:AB,E:E,E389)</f>
        <v>0</v>
      </c>
      <c r="AF389" s="75">
        <f t="shared" si="48"/>
        <v>0</v>
      </c>
      <c r="AG389" s="76">
        <f t="shared" si="42"/>
        <v>0</v>
      </c>
      <c r="AH389" s="31" t="e" cm="1">
        <f t="array" aca="1" ref="AH389" ca="1">IF((AD389) &lt; (INDEX(ResponseSLA[#All],(MATCH((G389),ResponseSLA[Priority],0))+1,3)),"YES","No")</f>
        <v>#N/A</v>
      </c>
      <c r="AI389" s="31" t="str">
        <f>_xlfn.IFNA(IF(AE389 &lt; (INDEX(SLATable[Minimum SLA],MATCH(G389,SLATable[Priority],0))),"YES","NO"),"")</f>
        <v/>
      </c>
      <c r="AJ389" t="str">
        <f>_xlfn.IFNA(IF(AE389 &lt; (INDEX(SLATable[Maximum SLA],MATCH(G389,SLATable[Priority],0))),"YES","NO"),"")</f>
        <v/>
      </c>
    </row>
    <row r="390" spans="26:36" ht="15" customHeight="1">
      <c r="Z390" s="76" t="e">
        <f t="shared" ca="1" si="43"/>
        <v>#N/A</v>
      </c>
      <c r="AA390" s="75" t="e">
        <f t="shared" ca="1" si="44"/>
        <v>#N/A</v>
      </c>
      <c r="AB390" s="76">
        <f t="shared" ca="1" si="45"/>
        <v>0</v>
      </c>
      <c r="AC390" s="75">
        <f t="shared" ca="1" si="46"/>
        <v>0</v>
      </c>
      <c r="AD390" s="76">
        <f t="shared" ca="1" si="47"/>
        <v>12388.425643634258</v>
      </c>
      <c r="AE390" s="76">
        <f>SUMIFS(AB:AB,E:E,E390)</f>
        <v>0</v>
      </c>
      <c r="AF390" s="75">
        <f t="shared" si="48"/>
        <v>0</v>
      </c>
      <c r="AG390" s="76">
        <f t="shared" si="42"/>
        <v>0</v>
      </c>
      <c r="AH390" s="31" t="e" cm="1">
        <f t="array" aca="1" ref="AH390" ca="1">IF((AD390) &lt; (INDEX(ResponseSLA[#All],(MATCH((G390),ResponseSLA[Priority],0))+1,3)),"YES","No")</f>
        <v>#N/A</v>
      </c>
      <c r="AI390" s="31" t="str">
        <f>_xlfn.IFNA(IF(AE390 &lt; (INDEX(SLATable[Minimum SLA],MATCH(G390,SLATable[Priority],0))),"YES","NO"),"")</f>
        <v/>
      </c>
      <c r="AJ390" t="str">
        <f>_xlfn.IFNA(IF(AE390 &lt; (INDEX(SLATable[Maximum SLA],MATCH(G390,SLATable[Priority],0))),"YES","NO"),"")</f>
        <v/>
      </c>
    </row>
    <row r="391" spans="26:36" ht="15" customHeight="1">
      <c r="Z391" s="76" t="e">
        <f t="shared" ca="1" si="43"/>
        <v>#N/A</v>
      </c>
      <c r="AA391" s="75" t="e">
        <f t="shared" ca="1" si="44"/>
        <v>#N/A</v>
      </c>
      <c r="AB391" s="76">
        <f t="shared" ca="1" si="45"/>
        <v>0</v>
      </c>
      <c r="AC391" s="75">
        <f t="shared" ca="1" si="46"/>
        <v>0</v>
      </c>
      <c r="AD391" s="76">
        <f t="shared" ca="1" si="47"/>
        <v>12388.425643634258</v>
      </c>
      <c r="AE391" s="76">
        <f>SUMIFS(AB:AB,E:E,E391)</f>
        <v>0</v>
      </c>
      <c r="AF391" s="75">
        <f t="shared" si="48"/>
        <v>0</v>
      </c>
      <c r="AG391" s="76">
        <f t="shared" si="42"/>
        <v>0</v>
      </c>
      <c r="AH391" s="31" t="e" cm="1">
        <f t="array" aca="1" ref="AH391" ca="1">IF((AD391) &lt; (INDEX(ResponseSLA[#All],(MATCH((G391),ResponseSLA[Priority],0))+1,3)),"YES","No")</f>
        <v>#N/A</v>
      </c>
      <c r="AI391" s="31" t="str">
        <f>_xlfn.IFNA(IF(AE391 &lt; (INDEX(SLATable[Minimum SLA],MATCH(G391,SLATable[Priority],0))),"YES","NO"),"")</f>
        <v/>
      </c>
      <c r="AJ391" t="str">
        <f>_xlfn.IFNA(IF(AE391 &lt; (INDEX(SLATable[Maximum SLA],MATCH(G391,SLATable[Priority],0))),"YES","NO"),"")</f>
        <v/>
      </c>
    </row>
    <row r="392" spans="26:36" ht="15" customHeight="1">
      <c r="Z392" s="76" t="e">
        <f t="shared" ca="1" si="43"/>
        <v>#N/A</v>
      </c>
      <c r="AA392" s="75" t="e">
        <f t="shared" ca="1" si="44"/>
        <v>#N/A</v>
      </c>
      <c r="AB392" s="76">
        <f t="shared" ca="1" si="45"/>
        <v>0</v>
      </c>
      <c r="AC392" s="75">
        <f t="shared" ca="1" si="46"/>
        <v>0</v>
      </c>
      <c r="AD392" s="76">
        <f t="shared" ca="1" si="47"/>
        <v>12388.425643634258</v>
      </c>
      <c r="AE392" s="76">
        <f>SUMIFS(AB:AB,E:E,E392)</f>
        <v>0</v>
      </c>
      <c r="AF392" s="75">
        <f t="shared" si="48"/>
        <v>0</v>
      </c>
      <c r="AG392" s="76">
        <f t="shared" si="42"/>
        <v>0</v>
      </c>
      <c r="AH392" s="31" t="e" cm="1">
        <f t="array" aca="1" ref="AH392" ca="1">IF((AD392) &lt; (INDEX(ResponseSLA[#All],(MATCH((G392),ResponseSLA[Priority],0))+1,3)),"YES","No")</f>
        <v>#N/A</v>
      </c>
      <c r="AI392" s="31" t="str">
        <f>_xlfn.IFNA(IF(AE392 &lt; (INDEX(SLATable[Minimum SLA],MATCH(G392,SLATable[Priority],0))),"YES","NO"),"")</f>
        <v/>
      </c>
      <c r="AJ392" t="str">
        <f>_xlfn.IFNA(IF(AE392 &lt; (INDEX(SLATable[Maximum SLA],MATCH(G392,SLATable[Priority],0))),"YES","NO"),"")</f>
        <v/>
      </c>
    </row>
    <row r="393" spans="26:36" ht="15" customHeight="1">
      <c r="Z393" s="76" t="e">
        <f t="shared" ca="1" si="43"/>
        <v>#N/A</v>
      </c>
      <c r="AA393" s="75" t="e">
        <f t="shared" ca="1" si="44"/>
        <v>#N/A</v>
      </c>
      <c r="AB393" s="76">
        <f t="shared" ca="1" si="45"/>
        <v>0</v>
      </c>
      <c r="AC393" s="75">
        <f t="shared" ca="1" si="46"/>
        <v>0</v>
      </c>
      <c r="AD393" s="76">
        <f t="shared" ca="1" si="47"/>
        <v>12388.425643634258</v>
      </c>
      <c r="AE393" s="76">
        <f>SUMIFS(AB:AB,E:E,E393)</f>
        <v>0</v>
      </c>
      <c r="AF393" s="75">
        <f t="shared" si="48"/>
        <v>0</v>
      </c>
      <c r="AG393" s="76">
        <f t="shared" si="42"/>
        <v>0</v>
      </c>
      <c r="AH393" s="31" t="e" cm="1">
        <f t="array" aca="1" ref="AH393" ca="1">IF((AD393) &lt; (INDEX(ResponseSLA[#All],(MATCH((G393),ResponseSLA[Priority],0))+1,3)),"YES","No")</f>
        <v>#N/A</v>
      </c>
      <c r="AI393" s="31" t="str">
        <f>_xlfn.IFNA(IF(AE393 &lt; (INDEX(SLATable[Minimum SLA],MATCH(G393,SLATable[Priority],0))),"YES","NO"),"")</f>
        <v/>
      </c>
      <c r="AJ393" t="str">
        <f>_xlfn.IFNA(IF(AE393 &lt; (INDEX(SLATable[Maximum SLA],MATCH(G393,SLATable[Priority],0))),"YES","NO"),"")</f>
        <v/>
      </c>
    </row>
    <row r="394" spans="26:36" ht="15" customHeight="1">
      <c r="Z394" s="76" t="e">
        <f t="shared" ca="1" si="43"/>
        <v>#N/A</v>
      </c>
      <c r="AA394" s="75" t="e">
        <f t="shared" ca="1" si="44"/>
        <v>#N/A</v>
      </c>
      <c r="AB394" s="76">
        <f t="shared" ca="1" si="45"/>
        <v>0</v>
      </c>
      <c r="AC394" s="75">
        <f t="shared" ca="1" si="46"/>
        <v>0</v>
      </c>
      <c r="AD394" s="76">
        <f t="shared" ca="1" si="47"/>
        <v>12388.425643634258</v>
      </c>
      <c r="AE394" s="76">
        <f>SUMIFS(AB:AB,E:E,E394)</f>
        <v>0</v>
      </c>
      <c r="AF394" s="75">
        <f t="shared" si="48"/>
        <v>0</v>
      </c>
      <c r="AG394" s="76">
        <f t="shared" si="42"/>
        <v>0</v>
      </c>
      <c r="AH394" s="31" t="e" cm="1">
        <f t="array" aca="1" ref="AH394" ca="1">IF((AD394) &lt; (INDEX(ResponseSLA[#All],(MATCH((G394),ResponseSLA[Priority],0))+1,3)),"YES","No")</f>
        <v>#N/A</v>
      </c>
      <c r="AI394" s="31" t="str">
        <f>_xlfn.IFNA(IF(AE394 &lt; (INDEX(SLATable[Minimum SLA],MATCH(G394,SLATable[Priority],0))),"YES","NO"),"")</f>
        <v/>
      </c>
      <c r="AJ394" t="str">
        <f>_xlfn.IFNA(IF(AE394 &lt; (INDEX(SLATable[Maximum SLA],MATCH(G394,SLATable[Priority],0))),"YES","NO"),"")</f>
        <v/>
      </c>
    </row>
    <row r="395" spans="26:36" ht="15" customHeight="1">
      <c r="Z395" s="76" t="e">
        <f t="shared" ca="1" si="43"/>
        <v>#N/A</v>
      </c>
      <c r="AA395" s="75" t="e">
        <f t="shared" ca="1" si="44"/>
        <v>#N/A</v>
      </c>
      <c r="AB395" s="76">
        <f t="shared" ca="1" si="45"/>
        <v>0</v>
      </c>
      <c r="AC395" s="75">
        <f t="shared" ca="1" si="46"/>
        <v>0</v>
      </c>
      <c r="AD395" s="76">
        <f t="shared" ca="1" si="47"/>
        <v>12388.425643634258</v>
      </c>
      <c r="AE395" s="76">
        <f>SUMIFS(AB:AB,E:E,E395)</f>
        <v>0</v>
      </c>
      <c r="AF395" s="75">
        <f t="shared" si="48"/>
        <v>0</v>
      </c>
      <c r="AG395" s="76">
        <f t="shared" si="42"/>
        <v>0</v>
      </c>
      <c r="AH395" s="31" t="e" cm="1">
        <f t="array" aca="1" ref="AH395" ca="1">IF((AD395) &lt; (INDEX(ResponseSLA[#All],(MATCH((G395),ResponseSLA[Priority],0))+1,3)),"YES","No")</f>
        <v>#N/A</v>
      </c>
      <c r="AI395" s="31" t="str">
        <f>_xlfn.IFNA(IF(AE395 &lt; (INDEX(SLATable[Minimum SLA],MATCH(G395,SLATable[Priority],0))),"YES","NO"),"")</f>
        <v/>
      </c>
      <c r="AJ395" t="str">
        <f>_xlfn.IFNA(IF(AE395 &lt; (INDEX(SLATable[Maximum SLA],MATCH(G395,SLATable[Priority],0))),"YES","NO"),"")</f>
        <v/>
      </c>
    </row>
    <row r="396" spans="26:36" ht="15" customHeight="1">
      <c r="Z396" s="76" t="e">
        <f t="shared" ca="1" si="43"/>
        <v>#N/A</v>
      </c>
      <c r="AA396" s="75" t="e">
        <f t="shared" ca="1" si="44"/>
        <v>#N/A</v>
      </c>
      <c r="AB396" s="76">
        <f t="shared" ca="1" si="45"/>
        <v>0</v>
      </c>
      <c r="AC396" s="75">
        <f t="shared" ca="1" si="46"/>
        <v>0</v>
      </c>
      <c r="AD396" s="76">
        <f t="shared" ca="1" si="47"/>
        <v>12388.425643634258</v>
      </c>
      <c r="AE396" s="76">
        <f>SUMIFS(AB:AB,E:E,E396)</f>
        <v>0</v>
      </c>
      <c r="AF396" s="75">
        <f t="shared" si="48"/>
        <v>0</v>
      </c>
      <c r="AG396" s="76">
        <f t="shared" si="42"/>
        <v>0</v>
      </c>
      <c r="AH396" s="31" t="e" cm="1">
        <f t="array" aca="1" ref="AH396" ca="1">IF((AD396) &lt; (INDEX(ResponseSLA[#All],(MATCH((G396),ResponseSLA[Priority],0))+1,3)),"YES","No")</f>
        <v>#N/A</v>
      </c>
      <c r="AI396" s="31" t="str">
        <f>_xlfn.IFNA(IF(AE396 &lt; (INDEX(SLATable[Minimum SLA],MATCH(G396,SLATable[Priority],0))),"YES","NO"),"")</f>
        <v/>
      </c>
      <c r="AJ396" t="str">
        <f>_xlfn.IFNA(IF(AE396 &lt; (INDEX(SLATable[Maximum SLA],MATCH(G396,SLATable[Priority],0))),"YES","NO"),"")</f>
        <v/>
      </c>
    </row>
    <row r="397" spans="26:36" ht="15" customHeight="1">
      <c r="Z397" s="76" t="e">
        <f t="shared" ca="1" si="43"/>
        <v>#N/A</v>
      </c>
      <c r="AA397" s="75" t="e">
        <f t="shared" ca="1" si="44"/>
        <v>#N/A</v>
      </c>
      <c r="AB397" s="76">
        <f t="shared" ca="1" si="45"/>
        <v>0</v>
      </c>
      <c r="AC397" s="75">
        <f t="shared" ca="1" si="46"/>
        <v>0</v>
      </c>
      <c r="AD397" s="76">
        <f t="shared" ca="1" si="47"/>
        <v>12388.425643634258</v>
      </c>
      <c r="AE397" s="76">
        <f>SUMIFS(AB:AB,E:E,E397)</f>
        <v>0</v>
      </c>
      <c r="AF397" s="75">
        <f t="shared" si="48"/>
        <v>0</v>
      </c>
      <c r="AG397" s="76">
        <f t="shared" si="42"/>
        <v>0</v>
      </c>
      <c r="AH397" s="31" t="e" cm="1">
        <f t="array" aca="1" ref="AH397" ca="1">IF((AD397) &lt; (INDEX(ResponseSLA[#All],(MATCH((G397),ResponseSLA[Priority],0))+1,3)),"YES","No")</f>
        <v>#N/A</v>
      </c>
      <c r="AI397" s="31" t="str">
        <f>_xlfn.IFNA(IF(AE397 &lt; (INDEX(SLATable[Minimum SLA],MATCH(G397,SLATable[Priority],0))),"YES","NO"),"")</f>
        <v/>
      </c>
      <c r="AJ397" t="str">
        <f>_xlfn.IFNA(IF(AE397 &lt; (INDEX(SLATable[Maximum SLA],MATCH(G397,SLATable[Priority],0))),"YES","NO"),"")</f>
        <v/>
      </c>
    </row>
    <row r="398" spans="26:36" ht="15" customHeight="1">
      <c r="Z398" s="76" t="e">
        <f t="shared" ca="1" si="43"/>
        <v>#N/A</v>
      </c>
      <c r="AA398" s="75" t="e">
        <f t="shared" ca="1" si="44"/>
        <v>#N/A</v>
      </c>
      <c r="AB398" s="76">
        <f t="shared" ca="1" si="45"/>
        <v>0</v>
      </c>
      <c r="AC398" s="75">
        <f t="shared" ca="1" si="46"/>
        <v>0</v>
      </c>
      <c r="AD398" s="76">
        <f t="shared" ca="1" si="47"/>
        <v>12388.425643634258</v>
      </c>
      <c r="AE398" s="76">
        <f>SUMIFS(AB:AB,E:E,E398)</f>
        <v>0</v>
      </c>
      <c r="AF398" s="75">
        <f t="shared" si="48"/>
        <v>0</v>
      </c>
      <c r="AG398" s="76">
        <f t="shared" si="42"/>
        <v>0</v>
      </c>
      <c r="AH398" s="31" t="e" cm="1">
        <f t="array" aca="1" ref="AH398" ca="1">IF((AD398) &lt; (INDEX(ResponseSLA[#All],(MATCH((G398),ResponseSLA[Priority],0))+1,3)),"YES","No")</f>
        <v>#N/A</v>
      </c>
      <c r="AI398" s="31" t="str">
        <f>_xlfn.IFNA(IF(AE398 &lt; (INDEX(SLATable[Minimum SLA],MATCH(G398,SLATable[Priority],0))),"YES","NO"),"")</f>
        <v/>
      </c>
      <c r="AJ398" t="str">
        <f>_xlfn.IFNA(IF(AE398 &lt; (INDEX(SLATable[Maximum SLA],MATCH(G398,SLATable[Priority],0))),"YES","NO"),"")</f>
        <v/>
      </c>
    </row>
    <row r="399" spans="26:36" ht="15" customHeight="1">
      <c r="Z399" s="76" t="e">
        <f t="shared" ca="1" si="43"/>
        <v>#N/A</v>
      </c>
      <c r="AA399" s="75" t="e">
        <f t="shared" ca="1" si="44"/>
        <v>#N/A</v>
      </c>
      <c r="AB399" s="76">
        <f t="shared" ca="1" si="45"/>
        <v>0</v>
      </c>
      <c r="AC399" s="75">
        <f t="shared" ca="1" si="46"/>
        <v>0</v>
      </c>
      <c r="AD399" s="76">
        <f t="shared" ca="1" si="47"/>
        <v>12388.425643634258</v>
      </c>
      <c r="AE399" s="76">
        <f>SUMIFS(AB:AB,E:E,E399)</f>
        <v>0</v>
      </c>
      <c r="AF399" s="75">
        <f t="shared" si="48"/>
        <v>0</v>
      </c>
      <c r="AG399" s="76">
        <f t="shared" si="42"/>
        <v>0</v>
      </c>
      <c r="AH399" s="31" t="e" cm="1">
        <f t="array" aca="1" ref="AH399" ca="1">IF((AD399) &lt; (INDEX(ResponseSLA[#All],(MATCH((G399),ResponseSLA[Priority],0))+1,3)),"YES","No")</f>
        <v>#N/A</v>
      </c>
      <c r="AI399" s="31" t="str">
        <f>_xlfn.IFNA(IF(AE399 &lt; (INDEX(SLATable[Minimum SLA],MATCH(G399,SLATable[Priority],0))),"YES","NO"),"")</f>
        <v/>
      </c>
      <c r="AJ399" t="str">
        <f>_xlfn.IFNA(IF(AE399 &lt; (INDEX(SLATable[Maximum SLA],MATCH(G399,SLATable[Priority],0))),"YES","NO"),"")</f>
        <v/>
      </c>
    </row>
    <row r="400" spans="26:36" ht="15" customHeight="1">
      <c r="Z400" s="76" t="e">
        <f t="shared" ca="1" si="43"/>
        <v>#N/A</v>
      </c>
      <c r="AA400" s="75" t="e">
        <f t="shared" ca="1" si="44"/>
        <v>#N/A</v>
      </c>
      <c r="AB400" s="76">
        <f t="shared" ca="1" si="45"/>
        <v>0</v>
      </c>
      <c r="AC400" s="75">
        <f t="shared" ca="1" si="46"/>
        <v>0</v>
      </c>
      <c r="AD400" s="76">
        <f t="shared" ca="1" si="47"/>
        <v>12388.425643634258</v>
      </c>
      <c r="AE400" s="76">
        <f>SUMIFS(AB:AB,E:E,E400)</f>
        <v>0</v>
      </c>
      <c r="AF400" s="75">
        <f t="shared" si="48"/>
        <v>0</v>
      </c>
      <c r="AG400" s="76">
        <f t="shared" si="42"/>
        <v>0</v>
      </c>
      <c r="AH400" s="31" t="e" cm="1">
        <f t="array" aca="1" ref="AH400" ca="1">IF((AD400) &lt; (INDEX(ResponseSLA[#All],(MATCH((G400),ResponseSLA[Priority],0))+1,3)),"YES","No")</f>
        <v>#N/A</v>
      </c>
      <c r="AI400" s="31" t="str">
        <f>_xlfn.IFNA(IF(AE400 &lt; (INDEX(SLATable[Minimum SLA],MATCH(G400,SLATable[Priority],0))),"YES","NO"),"")</f>
        <v/>
      </c>
      <c r="AJ400" t="str">
        <f>_xlfn.IFNA(IF(AE400 &lt; (INDEX(SLATable[Maximum SLA],MATCH(G400,SLATable[Priority],0))),"YES","NO"),"")</f>
        <v/>
      </c>
    </row>
    <row r="401" spans="26:36" ht="15" customHeight="1">
      <c r="Z401" s="76" t="e">
        <f t="shared" ca="1" si="43"/>
        <v>#N/A</v>
      </c>
      <c r="AA401" s="75" t="e">
        <f t="shared" ca="1" si="44"/>
        <v>#N/A</v>
      </c>
      <c r="AB401" s="76">
        <f t="shared" ca="1" si="45"/>
        <v>0</v>
      </c>
      <c r="AC401" s="75">
        <f t="shared" ca="1" si="46"/>
        <v>0</v>
      </c>
      <c r="AD401" s="76">
        <f t="shared" ca="1" si="47"/>
        <v>12388.425643634258</v>
      </c>
      <c r="AE401" s="76">
        <f>SUMIFS(AB:AB,E:E,E401)</f>
        <v>0</v>
      </c>
      <c r="AF401" s="75">
        <f t="shared" si="48"/>
        <v>0</v>
      </c>
      <c r="AG401" s="76">
        <f t="shared" si="42"/>
        <v>0</v>
      </c>
      <c r="AH401" s="31" t="e" cm="1">
        <f t="array" aca="1" ref="AH401" ca="1">IF((AD401) &lt; (INDEX(ResponseSLA[#All],(MATCH((G401),ResponseSLA[Priority],0))+1,3)),"YES","No")</f>
        <v>#N/A</v>
      </c>
      <c r="AI401" s="31" t="str">
        <f>_xlfn.IFNA(IF(AE401 &lt; (INDEX(SLATable[Minimum SLA],MATCH(G401,SLATable[Priority],0))),"YES","NO"),"")</f>
        <v/>
      </c>
      <c r="AJ401" t="str">
        <f>_xlfn.IFNA(IF(AE401 &lt; (INDEX(SLATable[Maximum SLA],MATCH(G401,SLATable[Priority],0))),"YES","NO"),"")</f>
        <v/>
      </c>
    </row>
    <row r="402" spans="26:36" ht="15" customHeight="1">
      <c r="Z402" s="76" t="e">
        <f t="shared" ca="1" si="43"/>
        <v>#N/A</v>
      </c>
      <c r="AA402" s="75" t="e">
        <f t="shared" ca="1" si="44"/>
        <v>#N/A</v>
      </c>
      <c r="AB402" s="76">
        <f t="shared" ca="1" si="45"/>
        <v>0</v>
      </c>
      <c r="AC402" s="75">
        <f t="shared" ca="1" si="46"/>
        <v>0</v>
      </c>
      <c r="AD402" s="76">
        <f t="shared" ca="1" si="47"/>
        <v>12388.425643634258</v>
      </c>
      <c r="AE402" s="76">
        <f>SUMIFS(AB:AB,E:E,E402)</f>
        <v>0</v>
      </c>
      <c r="AF402" s="75">
        <f t="shared" si="48"/>
        <v>0</v>
      </c>
      <c r="AG402" s="76">
        <f t="shared" si="42"/>
        <v>0</v>
      </c>
      <c r="AH402" s="31" t="e" cm="1">
        <f t="array" aca="1" ref="AH402" ca="1">IF((AD402) &lt; (INDEX(ResponseSLA[#All],(MATCH((G402),ResponseSLA[Priority],0))+1,3)),"YES","No")</f>
        <v>#N/A</v>
      </c>
      <c r="AI402" s="31" t="str">
        <f>_xlfn.IFNA(IF(AE402 &lt; (INDEX(SLATable[Minimum SLA],MATCH(G402,SLATable[Priority],0))),"YES","NO"),"")</f>
        <v/>
      </c>
      <c r="AJ402" t="str">
        <f>_xlfn.IFNA(IF(AE402 &lt; (INDEX(SLATable[Maximum SLA],MATCH(G402,SLATable[Priority],0))),"YES","NO"),"")</f>
        <v/>
      </c>
    </row>
    <row r="403" spans="26:36" ht="15" customHeight="1">
      <c r="Z403" s="76" t="e">
        <f t="shared" ca="1" si="43"/>
        <v>#N/A</v>
      </c>
      <c r="AA403" s="75" t="e">
        <f t="shared" ca="1" si="44"/>
        <v>#N/A</v>
      </c>
      <c r="AB403" s="76">
        <f t="shared" ca="1" si="45"/>
        <v>0</v>
      </c>
      <c r="AC403" s="75">
        <f t="shared" ca="1" si="46"/>
        <v>0</v>
      </c>
      <c r="AD403" s="76">
        <f t="shared" ca="1" si="47"/>
        <v>12388.425643634258</v>
      </c>
      <c r="AE403" s="76">
        <f>SUMIFS(AB:AB,E:E,E403)</f>
        <v>0</v>
      </c>
      <c r="AF403" s="75">
        <f t="shared" si="48"/>
        <v>0</v>
      </c>
      <c r="AG403" s="76">
        <f t="shared" si="42"/>
        <v>0</v>
      </c>
      <c r="AH403" s="31" t="e" cm="1">
        <f t="array" aca="1" ref="AH403" ca="1">IF((AD403) &lt; (INDEX(ResponseSLA[#All],(MATCH((G403),ResponseSLA[Priority],0))+1,3)),"YES","No")</f>
        <v>#N/A</v>
      </c>
      <c r="AI403" s="31" t="str">
        <f>_xlfn.IFNA(IF(AE403 &lt; (INDEX(SLATable[Minimum SLA],MATCH(G403,SLATable[Priority],0))),"YES","NO"),"")</f>
        <v/>
      </c>
      <c r="AJ403" t="str">
        <f>_xlfn.IFNA(IF(AE403 &lt; (INDEX(SLATable[Maximum SLA],MATCH(G403,SLATable[Priority],0))),"YES","NO"),"")</f>
        <v/>
      </c>
    </row>
    <row r="404" spans="26:36" ht="15" customHeight="1">
      <c r="Z404" s="76" t="e">
        <f t="shared" ca="1" si="43"/>
        <v>#N/A</v>
      </c>
      <c r="AA404" s="75" t="e">
        <f t="shared" ca="1" si="44"/>
        <v>#N/A</v>
      </c>
      <c r="AB404" s="76">
        <f t="shared" ca="1" si="45"/>
        <v>0</v>
      </c>
      <c r="AC404" s="75">
        <f t="shared" ca="1" si="46"/>
        <v>0</v>
      </c>
      <c r="AD404" s="76">
        <f t="shared" ca="1" si="47"/>
        <v>12388.425643634258</v>
      </c>
      <c r="AE404" s="76">
        <f>SUMIFS(AB:AB,E:E,E404)</f>
        <v>0</v>
      </c>
      <c r="AF404" s="75">
        <f t="shared" si="48"/>
        <v>0</v>
      </c>
      <c r="AG404" s="76">
        <f t="shared" si="42"/>
        <v>0</v>
      </c>
      <c r="AH404" s="31" t="e" cm="1">
        <f t="array" aca="1" ref="AH404" ca="1">IF((AD404) &lt; (INDEX(ResponseSLA[#All],(MATCH((G404),ResponseSLA[Priority],0))+1,3)),"YES","No")</f>
        <v>#N/A</v>
      </c>
      <c r="AI404" s="31" t="str">
        <f>_xlfn.IFNA(IF(AE404 &lt; (INDEX(SLATable[Minimum SLA],MATCH(G404,SLATable[Priority],0))),"YES","NO"),"")</f>
        <v/>
      </c>
      <c r="AJ404" t="str">
        <f>_xlfn.IFNA(IF(AE404 &lt; (INDEX(SLATable[Maximum SLA],MATCH(G404,SLATable[Priority],0))),"YES","NO"),"")</f>
        <v/>
      </c>
    </row>
    <row r="405" spans="26:36" ht="15" customHeight="1">
      <c r="Z405" s="76" t="e">
        <f t="shared" ca="1" si="43"/>
        <v>#N/A</v>
      </c>
      <c r="AA405" s="75" t="e">
        <f t="shared" ca="1" si="44"/>
        <v>#N/A</v>
      </c>
      <c r="AB405" s="76">
        <f t="shared" ca="1" si="45"/>
        <v>0</v>
      </c>
      <c r="AC405" s="75">
        <f t="shared" ca="1" si="46"/>
        <v>0</v>
      </c>
      <c r="AD405" s="76">
        <f t="shared" ca="1" si="47"/>
        <v>12388.425643634258</v>
      </c>
      <c r="AE405" s="76">
        <f>SUMIFS(AB:AB,E:E,E405)</f>
        <v>0</v>
      </c>
      <c r="AF405" s="75">
        <f t="shared" si="48"/>
        <v>0</v>
      </c>
      <c r="AG405" s="76">
        <f t="shared" si="42"/>
        <v>0</v>
      </c>
      <c r="AH405" s="31" t="e" cm="1">
        <f t="array" aca="1" ref="AH405" ca="1">IF((AD405) &lt; (INDEX(ResponseSLA[#All],(MATCH((G405),ResponseSLA[Priority],0))+1,3)),"YES","No")</f>
        <v>#N/A</v>
      </c>
      <c r="AI405" s="31" t="str">
        <f>_xlfn.IFNA(IF(AE405 &lt; (INDEX(SLATable[Minimum SLA],MATCH(G405,SLATable[Priority],0))),"YES","NO"),"")</f>
        <v/>
      </c>
      <c r="AJ405" t="str">
        <f>_xlfn.IFNA(IF(AE405 &lt; (INDEX(SLATable[Maximum SLA],MATCH(G405,SLATable[Priority],0))),"YES","NO"),"")</f>
        <v/>
      </c>
    </row>
    <row r="406" spans="26:36" ht="15" customHeight="1">
      <c r="Z406" s="76" t="e">
        <f t="shared" ca="1" si="43"/>
        <v>#N/A</v>
      </c>
      <c r="AA406" s="75" t="e">
        <f t="shared" ca="1" si="44"/>
        <v>#N/A</v>
      </c>
      <c r="AB406" s="76">
        <f t="shared" ca="1" si="45"/>
        <v>0</v>
      </c>
      <c r="AC406" s="75">
        <f t="shared" ca="1" si="46"/>
        <v>0</v>
      </c>
      <c r="AD406" s="76">
        <f t="shared" ca="1" si="47"/>
        <v>12388.425643634258</v>
      </c>
      <c r="AE406" s="76">
        <f>SUMIFS(AB:AB,E:E,E406)</f>
        <v>0</v>
      </c>
      <c r="AF406" s="75">
        <f t="shared" si="48"/>
        <v>0</v>
      </c>
      <c r="AG406" s="76">
        <f t="shared" si="42"/>
        <v>0</v>
      </c>
      <c r="AH406" s="31" t="e" cm="1">
        <f t="array" aca="1" ref="AH406" ca="1">IF((AD406) &lt; (INDEX(ResponseSLA[#All],(MATCH((G406),ResponseSLA[Priority],0))+1,3)),"YES","No")</f>
        <v>#N/A</v>
      </c>
      <c r="AI406" s="31" t="str">
        <f>_xlfn.IFNA(IF(AE406 &lt; (INDEX(SLATable[Minimum SLA],MATCH(G406,SLATable[Priority],0))),"YES","NO"),"")</f>
        <v/>
      </c>
      <c r="AJ406" t="str">
        <f>_xlfn.IFNA(IF(AE406 &lt; (INDEX(SLATable[Maximum SLA],MATCH(G406,SLATable[Priority],0))),"YES","NO"),"")</f>
        <v/>
      </c>
    </row>
    <row r="407" spans="26:36" ht="15" customHeight="1">
      <c r="Z407" s="76" t="e">
        <f t="shared" ca="1" si="43"/>
        <v>#N/A</v>
      </c>
      <c r="AA407" s="75" t="e">
        <f t="shared" ca="1" si="44"/>
        <v>#N/A</v>
      </c>
      <c r="AB407" s="76">
        <f t="shared" ca="1" si="45"/>
        <v>0</v>
      </c>
      <c r="AC407" s="75">
        <f t="shared" ca="1" si="46"/>
        <v>0</v>
      </c>
      <c r="AD407" s="76">
        <f t="shared" ca="1" si="47"/>
        <v>12388.425643634258</v>
      </c>
      <c r="AE407" s="76">
        <f>SUMIFS(AB:AB,E:E,E407)</f>
        <v>0</v>
      </c>
      <c r="AF407" s="75">
        <f t="shared" si="48"/>
        <v>0</v>
      </c>
      <c r="AG407" s="76">
        <f t="shared" si="42"/>
        <v>0</v>
      </c>
      <c r="AH407" s="31" t="e" cm="1">
        <f t="array" aca="1" ref="AH407" ca="1">IF((AD407) &lt; (INDEX(ResponseSLA[#All],(MATCH((G407),ResponseSLA[Priority],0))+1,3)),"YES","No")</f>
        <v>#N/A</v>
      </c>
      <c r="AI407" s="31" t="str">
        <f>_xlfn.IFNA(IF(AE407 &lt; (INDEX(SLATable[Minimum SLA],MATCH(G407,SLATable[Priority],0))),"YES","NO"),"")</f>
        <v/>
      </c>
      <c r="AJ407" t="str">
        <f>_xlfn.IFNA(IF(AE407 &lt; (INDEX(SLATable[Maximum SLA],MATCH(G407,SLATable[Priority],0))),"YES","NO"),"")</f>
        <v/>
      </c>
    </row>
    <row r="408" spans="26:36" ht="15" customHeight="1">
      <c r="Z408" s="76" t="e">
        <f t="shared" ca="1" si="43"/>
        <v>#N/A</v>
      </c>
      <c r="AA408" s="75" t="e">
        <f t="shared" ca="1" si="44"/>
        <v>#N/A</v>
      </c>
      <c r="AB408" s="76">
        <f t="shared" ca="1" si="45"/>
        <v>0</v>
      </c>
      <c r="AC408" s="75">
        <f t="shared" ca="1" si="46"/>
        <v>0</v>
      </c>
      <c r="AD408" s="76">
        <f t="shared" ca="1" si="47"/>
        <v>12388.425643634258</v>
      </c>
      <c r="AE408" s="76">
        <f>SUMIFS(AB:AB,E:E,E408)</f>
        <v>0</v>
      </c>
      <c r="AF408" s="75">
        <f t="shared" si="48"/>
        <v>0</v>
      </c>
      <c r="AG408" s="76">
        <f t="shared" si="42"/>
        <v>0</v>
      </c>
      <c r="AH408" s="31" t="e" cm="1">
        <f t="array" aca="1" ref="AH408" ca="1">IF((AD408) &lt; (INDEX(ResponseSLA[#All],(MATCH((G408),ResponseSLA[Priority],0))+1,3)),"YES","No")</f>
        <v>#N/A</v>
      </c>
      <c r="AI408" s="31" t="str">
        <f>_xlfn.IFNA(IF(AE408 &lt; (INDEX(SLATable[Minimum SLA],MATCH(G408,SLATable[Priority],0))),"YES","NO"),"")</f>
        <v/>
      </c>
      <c r="AJ408" t="str">
        <f>_xlfn.IFNA(IF(AE408 &lt; (INDEX(SLATable[Maximum SLA],MATCH(G408,SLATable[Priority],0))),"YES","NO"),"")</f>
        <v/>
      </c>
    </row>
    <row r="409" spans="26:36" ht="15" customHeight="1">
      <c r="Z409" s="76" t="e">
        <f t="shared" ca="1" si="43"/>
        <v>#N/A</v>
      </c>
      <c r="AA409" s="75" t="e">
        <f t="shared" ca="1" si="44"/>
        <v>#N/A</v>
      </c>
      <c r="AB409" s="76">
        <f t="shared" ca="1" si="45"/>
        <v>0</v>
      </c>
      <c r="AC409" s="75">
        <f t="shared" ca="1" si="46"/>
        <v>0</v>
      </c>
      <c r="AD409" s="76">
        <f t="shared" ca="1" si="47"/>
        <v>12388.425643634258</v>
      </c>
      <c r="AE409" s="76">
        <f>SUMIFS(AB:AB,E:E,E409)</f>
        <v>0</v>
      </c>
      <c r="AF409" s="75">
        <f t="shared" si="48"/>
        <v>0</v>
      </c>
      <c r="AG409" s="76">
        <f t="shared" si="42"/>
        <v>0</v>
      </c>
      <c r="AH409" s="31" t="e" cm="1">
        <f t="array" aca="1" ref="AH409" ca="1">IF((AD409) &lt; (INDEX(ResponseSLA[#All],(MATCH((G409),ResponseSLA[Priority],0))+1,3)),"YES","No")</f>
        <v>#N/A</v>
      </c>
      <c r="AI409" s="31" t="str">
        <f>_xlfn.IFNA(IF(AE409 &lt; (INDEX(SLATable[Minimum SLA],MATCH(G409,SLATable[Priority],0))),"YES","NO"),"")</f>
        <v/>
      </c>
      <c r="AJ409" t="str">
        <f>_xlfn.IFNA(IF(AE409 &lt; (INDEX(SLATable[Maximum SLA],MATCH(G409,SLATable[Priority],0))),"YES","NO"),"")</f>
        <v/>
      </c>
    </row>
    <row r="410" spans="26:36" ht="15" customHeight="1">
      <c r="Z410" s="76" t="e">
        <f t="shared" ca="1" si="43"/>
        <v>#N/A</v>
      </c>
      <c r="AA410" s="75" t="e">
        <f t="shared" ca="1" si="44"/>
        <v>#N/A</v>
      </c>
      <c r="AB410" s="76">
        <f t="shared" ca="1" si="45"/>
        <v>0</v>
      </c>
      <c r="AC410" s="75">
        <f t="shared" ca="1" si="46"/>
        <v>0</v>
      </c>
      <c r="AD410" s="76">
        <f t="shared" ca="1" si="47"/>
        <v>12388.425643750004</v>
      </c>
      <c r="AE410" s="76">
        <f>SUMIFS(AB:AB,E:E,E410)</f>
        <v>0</v>
      </c>
      <c r="AF410" s="75">
        <f t="shared" si="48"/>
        <v>0</v>
      </c>
      <c r="AG410" s="76">
        <f t="shared" si="42"/>
        <v>0</v>
      </c>
      <c r="AH410" s="31" t="e" cm="1">
        <f t="array" aca="1" ref="AH410" ca="1">IF((AD410) &lt; (INDEX(ResponseSLA[#All],(MATCH((G410),ResponseSLA[Priority],0))+1,3)),"YES","No")</f>
        <v>#N/A</v>
      </c>
      <c r="AI410" s="31" t="str">
        <f>_xlfn.IFNA(IF(AE410 &lt; (INDEX(SLATable[Minimum SLA],MATCH(G410,SLATable[Priority],0))),"YES","NO"),"")</f>
        <v/>
      </c>
      <c r="AJ410" t="str">
        <f>_xlfn.IFNA(IF(AE410 &lt; (INDEX(SLATable[Maximum SLA],MATCH(G410,SLATable[Priority],0))),"YES","NO"),"")</f>
        <v/>
      </c>
    </row>
    <row r="411" spans="26:36" ht="15" customHeight="1">
      <c r="Z411" s="76" t="e">
        <f t="shared" ca="1" si="43"/>
        <v>#N/A</v>
      </c>
      <c r="AA411" s="75" t="e">
        <f t="shared" ca="1" si="44"/>
        <v>#N/A</v>
      </c>
      <c r="AB411" s="76">
        <f t="shared" ca="1" si="45"/>
        <v>0</v>
      </c>
      <c r="AC411" s="75">
        <f t="shared" ca="1" si="46"/>
        <v>0</v>
      </c>
      <c r="AD411" s="76">
        <f t="shared" ca="1" si="47"/>
        <v>12388.425643634258</v>
      </c>
      <c r="AE411" s="76">
        <f>SUMIFS(AB:AB,E:E,E411)</f>
        <v>0</v>
      </c>
      <c r="AF411" s="75">
        <f t="shared" si="48"/>
        <v>0</v>
      </c>
      <c r="AG411" s="76">
        <f t="shared" si="42"/>
        <v>0</v>
      </c>
      <c r="AH411" s="31" t="e" cm="1">
        <f t="array" aca="1" ref="AH411" ca="1">IF((AD411) &lt; (INDEX(ResponseSLA[#All],(MATCH((G411),ResponseSLA[Priority],0))+1,3)),"YES","No")</f>
        <v>#N/A</v>
      </c>
      <c r="AI411" s="31" t="str">
        <f>_xlfn.IFNA(IF(AE411 &lt; (INDEX(SLATable[Minimum SLA],MATCH(G411,SLATable[Priority],0))),"YES","NO"),"")</f>
        <v/>
      </c>
      <c r="AJ411" t="str">
        <f>_xlfn.IFNA(IF(AE411 &lt; (INDEX(SLATable[Maximum SLA],MATCH(G411,SLATable[Priority],0))),"YES","NO"),"")</f>
        <v/>
      </c>
    </row>
    <row r="412" spans="26:36" ht="15" customHeight="1">
      <c r="Z412" s="76" t="e">
        <f t="shared" ca="1" si="43"/>
        <v>#N/A</v>
      </c>
      <c r="AA412" s="75" t="e">
        <f t="shared" ca="1" si="44"/>
        <v>#N/A</v>
      </c>
      <c r="AB412" s="76">
        <f t="shared" ca="1" si="45"/>
        <v>0</v>
      </c>
      <c r="AC412" s="75">
        <f t="shared" ca="1" si="46"/>
        <v>0</v>
      </c>
      <c r="AD412" s="76">
        <f t="shared" ca="1" si="47"/>
        <v>12388.425643634258</v>
      </c>
      <c r="AE412" s="76">
        <f>SUMIFS(AB:AB,E:E,E412)</f>
        <v>0</v>
      </c>
      <c r="AF412" s="75">
        <f t="shared" si="48"/>
        <v>0</v>
      </c>
      <c r="AG412" s="76">
        <f t="shared" si="42"/>
        <v>0</v>
      </c>
      <c r="AH412" s="31" t="e" cm="1">
        <f t="array" aca="1" ref="AH412" ca="1">IF((AD412) &lt; (INDEX(ResponseSLA[#All],(MATCH((G412),ResponseSLA[Priority],0))+1,3)),"YES","No")</f>
        <v>#N/A</v>
      </c>
      <c r="AI412" s="31" t="str">
        <f>_xlfn.IFNA(IF(AE412 &lt; (INDEX(SLATable[Minimum SLA],MATCH(G412,SLATable[Priority],0))),"YES","NO"),"")</f>
        <v/>
      </c>
      <c r="AJ412" t="str">
        <f>_xlfn.IFNA(IF(AE412 &lt; (INDEX(SLATable[Maximum SLA],MATCH(G412,SLATable[Priority],0))),"YES","NO"),"")</f>
        <v/>
      </c>
    </row>
    <row r="413" spans="26:36" ht="15" customHeight="1">
      <c r="Z413" s="76" t="e">
        <f t="shared" ca="1" si="43"/>
        <v>#N/A</v>
      </c>
      <c r="AA413" s="75" t="e">
        <f t="shared" ca="1" si="44"/>
        <v>#N/A</v>
      </c>
      <c r="AB413" s="76">
        <f t="shared" ca="1" si="45"/>
        <v>0</v>
      </c>
      <c r="AC413" s="75">
        <f t="shared" ca="1" si="46"/>
        <v>0</v>
      </c>
      <c r="AD413" s="76">
        <f t="shared" ca="1" si="47"/>
        <v>12388.425643750004</v>
      </c>
      <c r="AE413" s="76">
        <f>SUMIFS(AB:AB,E:E,E413)</f>
        <v>0</v>
      </c>
      <c r="AF413" s="75">
        <f t="shared" si="48"/>
        <v>0</v>
      </c>
      <c r="AG413" s="76">
        <f t="shared" si="42"/>
        <v>0</v>
      </c>
      <c r="AH413" s="31" t="e" cm="1">
        <f t="array" aca="1" ref="AH413" ca="1">IF((AD413) &lt; (INDEX(ResponseSLA[#All],(MATCH((G413),ResponseSLA[Priority],0))+1,3)),"YES","No")</f>
        <v>#N/A</v>
      </c>
      <c r="AI413" s="31" t="str">
        <f>_xlfn.IFNA(IF(AE413 &lt; (INDEX(SLATable[Minimum SLA],MATCH(G413,SLATable[Priority],0))),"YES","NO"),"")</f>
        <v/>
      </c>
      <c r="AJ413" t="str">
        <f>_xlfn.IFNA(IF(AE413 &lt; (INDEX(SLATable[Maximum SLA],MATCH(G413,SLATable[Priority],0))),"YES","NO"),"")</f>
        <v/>
      </c>
    </row>
    <row r="414" spans="26:36" ht="15" customHeight="1">
      <c r="Z414" s="76" t="e">
        <f t="shared" ca="1" si="43"/>
        <v>#N/A</v>
      </c>
      <c r="AA414" s="75" t="e">
        <f t="shared" ca="1" si="44"/>
        <v>#N/A</v>
      </c>
      <c r="AB414" s="76">
        <f t="shared" ca="1" si="45"/>
        <v>0</v>
      </c>
      <c r="AC414" s="75">
        <f t="shared" ca="1" si="46"/>
        <v>0</v>
      </c>
      <c r="AD414" s="76">
        <f t="shared" ca="1" si="47"/>
        <v>12388.425643634258</v>
      </c>
      <c r="AE414" s="76">
        <f>SUMIFS(AB:AB,E:E,E414)</f>
        <v>0</v>
      </c>
      <c r="AF414" s="75">
        <f t="shared" si="48"/>
        <v>0</v>
      </c>
      <c r="AG414" s="76">
        <f t="shared" si="42"/>
        <v>0</v>
      </c>
      <c r="AH414" s="31" t="e" cm="1">
        <f t="array" aca="1" ref="AH414" ca="1">IF((AD414) &lt; (INDEX(ResponseSLA[#All],(MATCH((G414),ResponseSLA[Priority],0))+1,3)),"YES","No")</f>
        <v>#N/A</v>
      </c>
      <c r="AI414" s="31" t="str">
        <f>_xlfn.IFNA(IF(AE414 &lt; (INDEX(SLATable[Minimum SLA],MATCH(G414,SLATable[Priority],0))),"YES","NO"),"")</f>
        <v/>
      </c>
      <c r="AJ414" t="str">
        <f>_xlfn.IFNA(IF(AE414 &lt; (INDEX(SLATable[Maximum SLA],MATCH(G414,SLATable[Priority],0))),"YES","NO"),"")</f>
        <v/>
      </c>
    </row>
    <row r="415" spans="26:36" ht="15" customHeight="1">
      <c r="Z415" s="76" t="e">
        <f t="shared" ca="1" si="43"/>
        <v>#N/A</v>
      </c>
      <c r="AA415" s="75" t="e">
        <f t="shared" ca="1" si="44"/>
        <v>#N/A</v>
      </c>
      <c r="AB415" s="76">
        <f t="shared" ca="1" si="45"/>
        <v>0</v>
      </c>
      <c r="AC415" s="75">
        <f t="shared" ca="1" si="46"/>
        <v>0</v>
      </c>
      <c r="AD415" s="76">
        <f t="shared" ca="1" si="47"/>
        <v>12388.425643634258</v>
      </c>
      <c r="AE415" s="76">
        <f>SUMIFS(AB:AB,E:E,E415)</f>
        <v>0</v>
      </c>
      <c r="AF415" s="75">
        <f t="shared" si="48"/>
        <v>0</v>
      </c>
      <c r="AG415" s="76">
        <f t="shared" si="42"/>
        <v>0</v>
      </c>
      <c r="AH415" s="31" t="e" cm="1">
        <f t="array" aca="1" ref="AH415" ca="1">IF((AD415) &lt; (INDEX(ResponseSLA[#All],(MATCH((G415),ResponseSLA[Priority],0))+1,3)),"YES","No")</f>
        <v>#N/A</v>
      </c>
      <c r="AI415" s="31" t="str">
        <f>_xlfn.IFNA(IF(AE415 &lt; (INDEX(SLATable[Minimum SLA],MATCH(G415,SLATable[Priority],0))),"YES","NO"),"")</f>
        <v/>
      </c>
      <c r="AJ415" t="str">
        <f>_xlfn.IFNA(IF(AE415 &lt; (INDEX(SLATable[Maximum SLA],MATCH(G415,SLATable[Priority],0))),"YES","NO"),"")</f>
        <v/>
      </c>
    </row>
    <row r="416" spans="26:36" ht="15" customHeight="1">
      <c r="Z416" s="76" t="e">
        <f t="shared" ca="1" si="43"/>
        <v>#N/A</v>
      </c>
      <c r="AA416" s="75" t="e">
        <f t="shared" ca="1" si="44"/>
        <v>#N/A</v>
      </c>
      <c r="AB416" s="76">
        <f t="shared" ca="1" si="45"/>
        <v>0</v>
      </c>
      <c r="AC416" s="75">
        <f t="shared" ca="1" si="46"/>
        <v>0</v>
      </c>
      <c r="AD416" s="76">
        <f t="shared" ca="1" si="47"/>
        <v>12388.425643750004</v>
      </c>
      <c r="AE416" s="76">
        <f>SUMIFS(AB:AB,E:E,E416)</f>
        <v>0</v>
      </c>
      <c r="AF416" s="75">
        <f t="shared" si="48"/>
        <v>0</v>
      </c>
      <c r="AG416" s="76">
        <f t="shared" si="42"/>
        <v>0</v>
      </c>
      <c r="AH416" s="31" t="e" cm="1">
        <f t="array" aca="1" ref="AH416" ca="1">IF((AD416) &lt; (INDEX(ResponseSLA[#All],(MATCH((G416),ResponseSLA[Priority],0))+1,3)),"YES","No")</f>
        <v>#N/A</v>
      </c>
      <c r="AI416" s="31" t="str">
        <f>_xlfn.IFNA(IF(AE416 &lt; (INDEX(SLATable[Minimum SLA],MATCH(G416,SLATable[Priority],0))),"YES","NO"),"")</f>
        <v/>
      </c>
      <c r="AJ416" t="str">
        <f>_xlfn.IFNA(IF(AE416 &lt; (INDEX(SLATable[Maximum SLA],MATCH(G416,SLATable[Priority],0))),"YES","NO"),"")</f>
        <v/>
      </c>
    </row>
    <row r="417" spans="26:36" ht="15" customHeight="1">
      <c r="Z417" s="76" t="e">
        <f t="shared" ca="1" si="43"/>
        <v>#N/A</v>
      </c>
      <c r="AA417" s="75" t="e">
        <f t="shared" ca="1" si="44"/>
        <v>#N/A</v>
      </c>
      <c r="AB417" s="76">
        <f t="shared" ca="1" si="45"/>
        <v>0</v>
      </c>
      <c r="AC417" s="75">
        <f t="shared" ca="1" si="46"/>
        <v>0</v>
      </c>
      <c r="AD417" s="76">
        <f t="shared" ca="1" si="47"/>
        <v>12388.425643634258</v>
      </c>
      <c r="AE417" s="76">
        <f>SUMIFS(AB:AB,E:E,E417)</f>
        <v>0</v>
      </c>
      <c r="AF417" s="75">
        <f t="shared" si="48"/>
        <v>0</v>
      </c>
      <c r="AG417" s="76">
        <f t="shared" si="42"/>
        <v>0</v>
      </c>
      <c r="AH417" s="31" t="e" cm="1">
        <f t="array" aca="1" ref="AH417" ca="1">IF((AD417) &lt; (INDEX(ResponseSLA[#All],(MATCH((G417),ResponseSLA[Priority],0))+1,3)),"YES","No")</f>
        <v>#N/A</v>
      </c>
      <c r="AI417" s="31" t="str">
        <f>_xlfn.IFNA(IF(AE417 &lt; (INDEX(SLATable[Minimum SLA],MATCH(G417,SLATable[Priority],0))),"YES","NO"),"")</f>
        <v/>
      </c>
      <c r="AJ417" t="str">
        <f>_xlfn.IFNA(IF(AE417 &lt; (INDEX(SLATable[Maximum SLA],MATCH(G417,SLATable[Priority],0))),"YES","NO"),"")</f>
        <v/>
      </c>
    </row>
    <row r="418" spans="26:36" ht="15" customHeight="1">
      <c r="Z418" s="76" t="e">
        <f t="shared" ca="1" si="43"/>
        <v>#N/A</v>
      </c>
      <c r="AA418" s="75" t="e">
        <f t="shared" ca="1" si="44"/>
        <v>#N/A</v>
      </c>
      <c r="AB418" s="76">
        <f t="shared" ca="1" si="45"/>
        <v>0</v>
      </c>
      <c r="AC418" s="75">
        <f t="shared" ca="1" si="46"/>
        <v>0</v>
      </c>
      <c r="AD418" s="76">
        <f t="shared" ca="1" si="47"/>
        <v>12388.425643634258</v>
      </c>
      <c r="AE418" s="76">
        <f>SUMIFS(AB:AB,E:E,E418)</f>
        <v>0</v>
      </c>
      <c r="AF418" s="75">
        <f t="shared" si="48"/>
        <v>0</v>
      </c>
      <c r="AG418" s="76">
        <f t="shared" si="42"/>
        <v>0</v>
      </c>
      <c r="AH418" s="31" t="e" cm="1">
        <f t="array" aca="1" ref="AH418" ca="1">IF((AD418) &lt; (INDEX(ResponseSLA[#All],(MATCH((G418),ResponseSLA[Priority],0))+1,3)),"YES","No")</f>
        <v>#N/A</v>
      </c>
      <c r="AI418" s="31" t="str">
        <f>_xlfn.IFNA(IF(AE418 &lt; (INDEX(SLATable[Minimum SLA],MATCH(G418,SLATable[Priority],0))),"YES","NO"),"")</f>
        <v/>
      </c>
      <c r="AJ418" t="str">
        <f>_xlfn.IFNA(IF(AE418 &lt; (INDEX(SLATable[Maximum SLA],MATCH(G418,SLATable[Priority],0))),"YES","NO"),"")</f>
        <v/>
      </c>
    </row>
    <row r="419" spans="26:36" ht="15" customHeight="1">
      <c r="Z419" s="76" t="e">
        <f t="shared" ca="1" si="43"/>
        <v>#N/A</v>
      </c>
      <c r="AA419" s="75" t="e">
        <f t="shared" ca="1" si="44"/>
        <v>#N/A</v>
      </c>
      <c r="AB419" s="76">
        <f t="shared" ca="1" si="45"/>
        <v>0</v>
      </c>
      <c r="AC419" s="75">
        <f t="shared" ca="1" si="46"/>
        <v>0</v>
      </c>
      <c r="AD419" s="76">
        <f t="shared" ca="1" si="47"/>
        <v>12388.425643750004</v>
      </c>
      <c r="AE419" s="76">
        <f>SUMIFS(AB:AB,E:E,E419)</f>
        <v>0</v>
      </c>
      <c r="AF419" s="75">
        <f t="shared" si="48"/>
        <v>0</v>
      </c>
      <c r="AG419" s="76">
        <f t="shared" si="42"/>
        <v>0</v>
      </c>
      <c r="AH419" s="31" t="e" cm="1">
        <f t="array" aca="1" ref="AH419" ca="1">IF((AD419) &lt; (INDEX(ResponseSLA[#All],(MATCH((G419),ResponseSLA[Priority],0))+1,3)),"YES","No")</f>
        <v>#N/A</v>
      </c>
      <c r="AI419" s="31" t="str">
        <f>_xlfn.IFNA(IF(AE419 &lt; (INDEX(SLATable[Minimum SLA],MATCH(G419,SLATable[Priority],0))),"YES","NO"),"")</f>
        <v/>
      </c>
      <c r="AJ419" t="str">
        <f>_xlfn.IFNA(IF(AE419 &lt; (INDEX(SLATable[Maximum SLA],MATCH(G419,SLATable[Priority],0))),"YES","NO"),"")</f>
        <v/>
      </c>
    </row>
    <row r="420" spans="26:36" ht="15" customHeight="1">
      <c r="Z420" s="76" t="e">
        <f t="shared" ca="1" si="43"/>
        <v>#N/A</v>
      </c>
      <c r="AA420" s="75" t="e">
        <f t="shared" ca="1" si="44"/>
        <v>#N/A</v>
      </c>
      <c r="AB420" s="76">
        <f t="shared" ca="1" si="45"/>
        <v>0</v>
      </c>
      <c r="AC420" s="75">
        <f t="shared" ca="1" si="46"/>
        <v>0</v>
      </c>
      <c r="AD420" s="76">
        <f t="shared" ca="1" si="47"/>
        <v>12388.425643634258</v>
      </c>
      <c r="AE420" s="76">
        <f>SUMIFS(AB:AB,E:E,E420)</f>
        <v>0</v>
      </c>
      <c r="AF420" s="75">
        <f t="shared" si="48"/>
        <v>0</v>
      </c>
      <c r="AG420" s="76">
        <f t="shared" si="42"/>
        <v>0</v>
      </c>
      <c r="AH420" s="31" t="e" cm="1">
        <f t="array" aca="1" ref="AH420" ca="1">IF((AD420) &lt; (INDEX(ResponseSLA[#All],(MATCH((G420),ResponseSLA[Priority],0))+1,3)),"YES","No")</f>
        <v>#N/A</v>
      </c>
      <c r="AI420" s="31" t="str">
        <f>_xlfn.IFNA(IF(AE420 &lt; (INDEX(SLATable[Minimum SLA],MATCH(G420,SLATable[Priority],0))),"YES","NO"),"")</f>
        <v/>
      </c>
      <c r="AJ420" t="str">
        <f>_xlfn.IFNA(IF(AE420 &lt; (INDEX(SLATable[Maximum SLA],MATCH(G420,SLATable[Priority],0))),"YES","NO"),"")</f>
        <v/>
      </c>
    </row>
    <row r="421" spans="26:36" ht="15" customHeight="1">
      <c r="Z421" s="76" t="e">
        <f t="shared" ca="1" si="43"/>
        <v>#N/A</v>
      </c>
      <c r="AA421" s="75" t="e">
        <f t="shared" ca="1" si="44"/>
        <v>#N/A</v>
      </c>
      <c r="AB421" s="76">
        <f t="shared" ca="1" si="45"/>
        <v>0</v>
      </c>
      <c r="AC421" s="75">
        <f t="shared" ca="1" si="46"/>
        <v>0</v>
      </c>
      <c r="AD421" s="76">
        <f t="shared" ca="1" si="47"/>
        <v>12388.425643634258</v>
      </c>
      <c r="AE421" s="76">
        <f>SUMIFS(AB:AB,E:E,E421)</f>
        <v>0</v>
      </c>
      <c r="AF421" s="75">
        <f t="shared" si="48"/>
        <v>0</v>
      </c>
      <c r="AG421" s="76">
        <f t="shared" si="42"/>
        <v>0</v>
      </c>
      <c r="AH421" s="31" t="e" cm="1">
        <f t="array" aca="1" ref="AH421" ca="1">IF((AD421) &lt; (INDEX(ResponseSLA[#All],(MATCH((G421),ResponseSLA[Priority],0))+1,3)),"YES","No")</f>
        <v>#N/A</v>
      </c>
      <c r="AI421" s="31" t="str">
        <f>_xlfn.IFNA(IF(AE421 &lt; (INDEX(SLATable[Minimum SLA],MATCH(G421,SLATable[Priority],0))),"YES","NO"),"")</f>
        <v/>
      </c>
      <c r="AJ421" t="str">
        <f>_xlfn.IFNA(IF(AE421 &lt; (INDEX(SLATable[Maximum SLA],MATCH(G421,SLATable[Priority],0))),"YES","NO"),"")</f>
        <v/>
      </c>
    </row>
    <row r="422" spans="26:36" ht="15" customHeight="1">
      <c r="Z422" s="76" t="e">
        <f t="shared" ca="1" si="43"/>
        <v>#N/A</v>
      </c>
      <c r="AA422" s="75" t="e">
        <f t="shared" ca="1" si="44"/>
        <v>#N/A</v>
      </c>
      <c r="AB422" s="76">
        <f t="shared" ca="1" si="45"/>
        <v>0</v>
      </c>
      <c r="AC422" s="75">
        <f t="shared" ca="1" si="46"/>
        <v>0</v>
      </c>
      <c r="AD422" s="76">
        <f t="shared" ca="1" si="47"/>
        <v>12388.425643634258</v>
      </c>
      <c r="AE422" s="76">
        <f>SUMIFS(AB:AB,E:E,E422)</f>
        <v>0</v>
      </c>
      <c r="AF422" s="75">
        <f t="shared" si="48"/>
        <v>0</v>
      </c>
      <c r="AG422" s="76">
        <f t="shared" si="42"/>
        <v>0</v>
      </c>
      <c r="AH422" s="31" t="e" cm="1">
        <f t="array" aca="1" ref="AH422" ca="1">IF((AD422) &lt; (INDEX(ResponseSLA[#All],(MATCH((G422),ResponseSLA[Priority],0))+1,3)),"YES","No")</f>
        <v>#N/A</v>
      </c>
      <c r="AI422" s="31" t="str">
        <f>_xlfn.IFNA(IF(AE422 &lt; (INDEX(SLATable[Minimum SLA],MATCH(G422,SLATable[Priority],0))),"YES","NO"),"")</f>
        <v/>
      </c>
      <c r="AJ422" t="str">
        <f>_xlfn.IFNA(IF(AE422 &lt; (INDEX(SLATable[Maximum SLA],MATCH(G422,SLATable[Priority],0))),"YES","NO"),"")</f>
        <v/>
      </c>
    </row>
    <row r="423" spans="26:36" ht="15" customHeight="1">
      <c r="Z423" s="76" t="e">
        <f t="shared" ca="1" si="43"/>
        <v>#N/A</v>
      </c>
      <c r="AA423" s="75" t="e">
        <f t="shared" ca="1" si="44"/>
        <v>#N/A</v>
      </c>
      <c r="AB423" s="76">
        <f t="shared" ca="1" si="45"/>
        <v>0</v>
      </c>
      <c r="AC423" s="75">
        <f t="shared" ca="1" si="46"/>
        <v>0</v>
      </c>
      <c r="AD423" s="76">
        <f t="shared" ca="1" si="47"/>
        <v>12388.425643750004</v>
      </c>
      <c r="AE423" s="76">
        <f>SUMIFS(AB:AB,E:E,E423)</f>
        <v>0</v>
      </c>
      <c r="AF423" s="75">
        <f t="shared" si="48"/>
        <v>0</v>
      </c>
      <c r="AG423" s="76">
        <f t="shared" si="42"/>
        <v>0</v>
      </c>
      <c r="AH423" s="31" t="e" cm="1">
        <f t="array" aca="1" ref="AH423" ca="1">IF((AD423) &lt; (INDEX(ResponseSLA[#All],(MATCH((G423),ResponseSLA[Priority],0))+1,3)),"YES","No")</f>
        <v>#N/A</v>
      </c>
      <c r="AI423" s="31" t="str">
        <f>_xlfn.IFNA(IF(AE423 &lt; (INDEX(SLATable[Minimum SLA],MATCH(G423,SLATable[Priority],0))),"YES","NO"),"")</f>
        <v/>
      </c>
      <c r="AJ423" t="str">
        <f>_xlfn.IFNA(IF(AE423 &lt; (INDEX(SLATable[Maximum SLA],MATCH(G423,SLATable[Priority],0))),"YES","NO"),"")</f>
        <v/>
      </c>
    </row>
    <row r="424" spans="26:36" ht="15" customHeight="1">
      <c r="Z424" s="76" t="e">
        <f t="shared" ca="1" si="43"/>
        <v>#N/A</v>
      </c>
      <c r="AA424" s="75" t="e">
        <f t="shared" ca="1" si="44"/>
        <v>#N/A</v>
      </c>
      <c r="AB424" s="76">
        <f t="shared" ca="1" si="45"/>
        <v>0</v>
      </c>
      <c r="AC424" s="75">
        <f t="shared" ca="1" si="46"/>
        <v>0</v>
      </c>
      <c r="AD424" s="76">
        <f t="shared" ca="1" si="47"/>
        <v>12388.425643634258</v>
      </c>
      <c r="AE424" s="76">
        <f>SUMIFS(AB:AB,E:E,E424)</f>
        <v>0</v>
      </c>
      <c r="AF424" s="75">
        <f t="shared" si="48"/>
        <v>0</v>
      </c>
      <c r="AG424" s="76">
        <f t="shared" si="42"/>
        <v>0</v>
      </c>
      <c r="AH424" s="31" t="e" cm="1">
        <f t="array" aca="1" ref="AH424" ca="1">IF((AD424) &lt; (INDEX(ResponseSLA[#All],(MATCH((G424),ResponseSLA[Priority],0))+1,3)),"YES","No")</f>
        <v>#N/A</v>
      </c>
      <c r="AI424" s="31" t="str">
        <f>_xlfn.IFNA(IF(AE424 &lt; (INDEX(SLATable[Minimum SLA],MATCH(G424,SLATable[Priority],0))),"YES","NO"),"")</f>
        <v/>
      </c>
      <c r="AJ424" t="str">
        <f>_xlfn.IFNA(IF(AE424 &lt; (INDEX(SLATable[Maximum SLA],MATCH(G424,SLATable[Priority],0))),"YES","NO"),"")</f>
        <v/>
      </c>
    </row>
    <row r="425" spans="26:36" ht="15" customHeight="1">
      <c r="Z425" s="76" t="e">
        <f t="shared" ca="1" si="43"/>
        <v>#N/A</v>
      </c>
      <c r="AA425" s="75" t="e">
        <f t="shared" ca="1" si="44"/>
        <v>#N/A</v>
      </c>
      <c r="AB425" s="76">
        <f t="shared" ca="1" si="45"/>
        <v>0</v>
      </c>
      <c r="AC425" s="75">
        <f t="shared" ca="1" si="46"/>
        <v>0</v>
      </c>
      <c r="AD425" s="76">
        <f t="shared" ca="1" si="47"/>
        <v>12388.425643634258</v>
      </c>
      <c r="AE425" s="76">
        <f>SUMIFS(AB:AB,E:E,E425)</f>
        <v>0</v>
      </c>
      <c r="AF425" s="75">
        <f t="shared" si="48"/>
        <v>0</v>
      </c>
      <c r="AG425" s="76">
        <f t="shared" si="42"/>
        <v>0</v>
      </c>
      <c r="AH425" s="31" t="e" cm="1">
        <f t="array" aca="1" ref="AH425" ca="1">IF((AD425) &lt; (INDEX(ResponseSLA[#All],(MATCH((G425),ResponseSLA[Priority],0))+1,3)),"YES","No")</f>
        <v>#N/A</v>
      </c>
      <c r="AI425" s="31" t="str">
        <f>_xlfn.IFNA(IF(AE425 &lt; (INDEX(SLATable[Minimum SLA],MATCH(G425,SLATable[Priority],0))),"YES","NO"),"")</f>
        <v/>
      </c>
      <c r="AJ425" t="str">
        <f>_xlfn.IFNA(IF(AE425 &lt; (INDEX(SLATable[Maximum SLA],MATCH(G425,SLATable[Priority],0))),"YES","NO"),"")</f>
        <v/>
      </c>
    </row>
    <row r="426" spans="26:36" ht="15" customHeight="1">
      <c r="Z426" s="76" t="e">
        <f t="shared" ca="1" si="43"/>
        <v>#N/A</v>
      </c>
      <c r="AA426" s="75" t="e">
        <f t="shared" ca="1" si="44"/>
        <v>#N/A</v>
      </c>
      <c r="AB426" s="76">
        <f t="shared" ca="1" si="45"/>
        <v>0</v>
      </c>
      <c r="AC426" s="75">
        <f t="shared" ca="1" si="46"/>
        <v>0</v>
      </c>
      <c r="AD426" s="76">
        <f t="shared" ca="1" si="47"/>
        <v>12388.425643634258</v>
      </c>
      <c r="AE426" s="76">
        <f>SUMIFS(AB:AB,E:E,E426)</f>
        <v>0</v>
      </c>
      <c r="AF426" s="75">
        <f t="shared" si="48"/>
        <v>0</v>
      </c>
      <c r="AG426" s="76">
        <f t="shared" si="42"/>
        <v>0</v>
      </c>
      <c r="AH426" s="31" t="e" cm="1">
        <f t="array" aca="1" ref="AH426" ca="1">IF((AD426) &lt; (INDEX(ResponseSLA[#All],(MATCH((G426),ResponseSLA[Priority],0))+1,3)),"YES","No")</f>
        <v>#N/A</v>
      </c>
      <c r="AI426" s="31" t="str">
        <f>_xlfn.IFNA(IF(AE426 &lt; (INDEX(SLATable[Minimum SLA],MATCH(G426,SLATable[Priority],0))),"YES","NO"),"")</f>
        <v/>
      </c>
      <c r="AJ426" t="str">
        <f>_xlfn.IFNA(IF(AE426 &lt; (INDEX(SLATable[Maximum SLA],MATCH(G426,SLATable[Priority],0))),"YES","NO"),"")</f>
        <v/>
      </c>
    </row>
    <row r="427" spans="26:36" ht="15" customHeight="1">
      <c r="Z427" s="76" t="e">
        <f t="shared" ca="1" si="43"/>
        <v>#N/A</v>
      </c>
      <c r="AA427" s="75" t="e">
        <f t="shared" ca="1" si="44"/>
        <v>#N/A</v>
      </c>
      <c r="AB427" s="76">
        <f t="shared" ca="1" si="45"/>
        <v>0</v>
      </c>
      <c r="AC427" s="75">
        <f t="shared" ca="1" si="46"/>
        <v>0</v>
      </c>
      <c r="AD427" s="76">
        <f t="shared" ca="1" si="47"/>
        <v>12388.425643750004</v>
      </c>
      <c r="AE427" s="76">
        <f>SUMIFS(AB:AB,E:E,E427)</f>
        <v>0</v>
      </c>
      <c r="AF427" s="75">
        <f t="shared" si="48"/>
        <v>0</v>
      </c>
      <c r="AG427" s="76">
        <f t="shared" si="42"/>
        <v>0</v>
      </c>
      <c r="AH427" s="31" t="e" cm="1">
        <f t="array" aca="1" ref="AH427" ca="1">IF((AD427) &lt; (INDEX(ResponseSLA[#All],(MATCH((G427),ResponseSLA[Priority],0))+1,3)),"YES","No")</f>
        <v>#N/A</v>
      </c>
      <c r="AI427" s="31" t="str">
        <f>_xlfn.IFNA(IF(AE427 &lt; (INDEX(SLATable[Minimum SLA],MATCH(G427,SLATable[Priority],0))),"YES","NO"),"")</f>
        <v/>
      </c>
      <c r="AJ427" t="str">
        <f>_xlfn.IFNA(IF(AE427 &lt; (INDEX(SLATable[Maximum SLA],MATCH(G427,SLATable[Priority],0))),"YES","NO"),"")</f>
        <v/>
      </c>
    </row>
    <row r="428" spans="26:36" ht="15" customHeight="1">
      <c r="Z428" s="76" t="e">
        <f t="shared" ca="1" si="43"/>
        <v>#N/A</v>
      </c>
      <c r="AA428" s="75" t="e">
        <f t="shared" ca="1" si="44"/>
        <v>#N/A</v>
      </c>
      <c r="AB428" s="76">
        <f t="shared" ca="1" si="45"/>
        <v>0</v>
      </c>
      <c r="AC428" s="75">
        <f t="shared" ca="1" si="46"/>
        <v>0</v>
      </c>
      <c r="AD428" s="76">
        <f t="shared" ca="1" si="47"/>
        <v>12388.425643634258</v>
      </c>
      <c r="AE428" s="76">
        <f>SUMIFS(AB:AB,E:E,E428)</f>
        <v>0</v>
      </c>
      <c r="AF428" s="75">
        <f t="shared" si="48"/>
        <v>0</v>
      </c>
      <c r="AG428" s="76">
        <f t="shared" si="42"/>
        <v>0</v>
      </c>
      <c r="AH428" s="31" t="e" cm="1">
        <f t="array" aca="1" ref="AH428" ca="1">IF((AD428) &lt; (INDEX(ResponseSLA[#All],(MATCH((G428),ResponseSLA[Priority],0))+1,3)),"YES","No")</f>
        <v>#N/A</v>
      </c>
      <c r="AI428" s="31" t="str">
        <f>_xlfn.IFNA(IF(AE428 &lt; (INDEX(SLATable[Minimum SLA],MATCH(G428,SLATable[Priority],0))),"YES","NO"),"")</f>
        <v/>
      </c>
      <c r="AJ428" t="str">
        <f>_xlfn.IFNA(IF(AE428 &lt; (INDEX(SLATable[Maximum SLA],MATCH(G428,SLATable[Priority],0))),"YES","NO"),"")</f>
        <v/>
      </c>
    </row>
    <row r="429" spans="26:36" ht="15" customHeight="1">
      <c r="Z429" s="76" t="e">
        <f t="shared" ca="1" si="43"/>
        <v>#N/A</v>
      </c>
      <c r="AA429" s="75" t="e">
        <f t="shared" ca="1" si="44"/>
        <v>#N/A</v>
      </c>
      <c r="AB429" s="76">
        <f t="shared" ca="1" si="45"/>
        <v>0</v>
      </c>
      <c r="AC429" s="75">
        <f t="shared" ca="1" si="46"/>
        <v>0</v>
      </c>
      <c r="AD429" s="76">
        <f t="shared" ca="1" si="47"/>
        <v>12388.425643634258</v>
      </c>
      <c r="AE429" s="76">
        <f>SUMIFS(AB:AB,E:E,E429)</f>
        <v>0</v>
      </c>
      <c r="AF429" s="75">
        <f t="shared" si="48"/>
        <v>0</v>
      </c>
      <c r="AG429" s="76">
        <f t="shared" si="42"/>
        <v>0</v>
      </c>
      <c r="AH429" s="31" t="e" cm="1">
        <f t="array" aca="1" ref="AH429" ca="1">IF((AD429) &lt; (INDEX(ResponseSLA[#All],(MATCH((G429),ResponseSLA[Priority],0))+1,3)),"YES","No")</f>
        <v>#N/A</v>
      </c>
      <c r="AI429" s="31" t="str">
        <f>_xlfn.IFNA(IF(AE429 &lt; (INDEX(SLATable[Minimum SLA],MATCH(G429,SLATable[Priority],0))),"YES","NO"),"")</f>
        <v/>
      </c>
      <c r="AJ429" t="str">
        <f>_xlfn.IFNA(IF(AE429 &lt; (INDEX(SLATable[Maximum SLA],MATCH(G429,SLATable[Priority],0))),"YES","NO"),"")</f>
        <v/>
      </c>
    </row>
    <row r="430" spans="26:36" ht="15" customHeight="1">
      <c r="Z430" s="76" t="e">
        <f t="shared" ca="1" si="43"/>
        <v>#N/A</v>
      </c>
      <c r="AA430" s="75" t="e">
        <f t="shared" ca="1" si="44"/>
        <v>#N/A</v>
      </c>
      <c r="AB430" s="76">
        <f t="shared" ca="1" si="45"/>
        <v>0</v>
      </c>
      <c r="AC430" s="75">
        <f t="shared" ca="1" si="46"/>
        <v>0</v>
      </c>
      <c r="AD430" s="76">
        <f t="shared" ca="1" si="47"/>
        <v>12388.425643750004</v>
      </c>
      <c r="AE430" s="76">
        <f>SUMIFS(AB:AB,E:E,E430)</f>
        <v>0</v>
      </c>
      <c r="AF430" s="75">
        <f t="shared" si="48"/>
        <v>0</v>
      </c>
      <c r="AG430" s="76">
        <f t="shared" si="42"/>
        <v>0</v>
      </c>
      <c r="AH430" s="31" t="e" cm="1">
        <f t="array" aca="1" ref="AH430" ca="1">IF((AD430) &lt; (INDEX(ResponseSLA[#All],(MATCH((G430),ResponseSLA[Priority],0))+1,3)),"YES","No")</f>
        <v>#N/A</v>
      </c>
      <c r="AI430" s="31" t="str">
        <f>_xlfn.IFNA(IF(AE430 &lt; (INDEX(SLATable[Minimum SLA],MATCH(G430,SLATable[Priority],0))),"YES","NO"),"")</f>
        <v/>
      </c>
      <c r="AJ430" t="str">
        <f>_xlfn.IFNA(IF(AE430 &lt; (INDEX(SLATable[Maximum SLA],MATCH(G430,SLATable[Priority],0))),"YES","NO"),"")</f>
        <v/>
      </c>
    </row>
    <row r="431" spans="26:36" ht="15" customHeight="1">
      <c r="Z431" s="76" t="e">
        <f t="shared" ca="1" si="43"/>
        <v>#N/A</v>
      </c>
      <c r="AA431" s="75" t="e">
        <f t="shared" ca="1" si="44"/>
        <v>#N/A</v>
      </c>
      <c r="AB431" s="76">
        <f t="shared" ca="1" si="45"/>
        <v>0</v>
      </c>
      <c r="AC431" s="75">
        <f t="shared" ca="1" si="46"/>
        <v>0</v>
      </c>
      <c r="AD431" s="76">
        <f t="shared" ca="1" si="47"/>
        <v>12388.425643634258</v>
      </c>
      <c r="AE431" s="76">
        <f>SUMIFS(AB:AB,E:E,E431)</f>
        <v>0</v>
      </c>
      <c r="AF431" s="75">
        <f t="shared" si="48"/>
        <v>0</v>
      </c>
      <c r="AG431" s="76">
        <f t="shared" si="42"/>
        <v>0</v>
      </c>
      <c r="AH431" s="31" t="e" cm="1">
        <f t="array" aca="1" ref="AH431" ca="1">IF((AD431) &lt; (INDEX(ResponseSLA[#All],(MATCH((G431),ResponseSLA[Priority],0))+1,3)),"YES","No")</f>
        <v>#N/A</v>
      </c>
      <c r="AI431" s="31" t="str">
        <f>_xlfn.IFNA(IF(AE431 &lt; (INDEX(SLATable[Minimum SLA],MATCH(G431,SLATable[Priority],0))),"YES","NO"),"")</f>
        <v/>
      </c>
      <c r="AJ431" t="str">
        <f>_xlfn.IFNA(IF(AE431 &lt; (INDEX(SLATable[Maximum SLA],MATCH(G431,SLATable[Priority],0))),"YES","NO"),"")</f>
        <v/>
      </c>
    </row>
    <row r="432" spans="26:36" ht="15" customHeight="1">
      <c r="Z432" s="76" t="e">
        <f t="shared" ca="1" si="43"/>
        <v>#N/A</v>
      </c>
      <c r="AA432" s="75" t="e">
        <f t="shared" ca="1" si="44"/>
        <v>#N/A</v>
      </c>
      <c r="AB432" s="76">
        <f t="shared" ca="1" si="45"/>
        <v>0</v>
      </c>
      <c r="AC432" s="75">
        <f t="shared" ca="1" si="46"/>
        <v>0</v>
      </c>
      <c r="AD432" s="76">
        <f t="shared" ca="1" si="47"/>
        <v>12388.425643634258</v>
      </c>
      <c r="AE432" s="76">
        <f>SUMIFS(AB:AB,E:E,E432)</f>
        <v>0</v>
      </c>
      <c r="AF432" s="75">
        <f t="shared" si="48"/>
        <v>0</v>
      </c>
      <c r="AG432" s="76">
        <f t="shared" si="42"/>
        <v>0</v>
      </c>
      <c r="AH432" s="31" t="e" cm="1">
        <f t="array" aca="1" ref="AH432" ca="1">IF((AD432) &lt; (INDEX(ResponseSLA[#All],(MATCH((G432),ResponseSLA[Priority],0))+1,3)),"YES","No")</f>
        <v>#N/A</v>
      </c>
      <c r="AI432" s="31" t="str">
        <f>_xlfn.IFNA(IF(AE432 &lt; (INDEX(SLATable[Minimum SLA],MATCH(G432,SLATable[Priority],0))),"YES","NO"),"")</f>
        <v/>
      </c>
      <c r="AJ432" t="str">
        <f>_xlfn.IFNA(IF(AE432 &lt; (INDEX(SLATable[Maximum SLA],MATCH(G432,SLATable[Priority],0))),"YES","NO"),"")</f>
        <v/>
      </c>
    </row>
    <row r="433" spans="26:36" ht="15" customHeight="1">
      <c r="Z433" s="76" t="e">
        <f t="shared" ca="1" si="43"/>
        <v>#N/A</v>
      </c>
      <c r="AA433" s="75" t="e">
        <f t="shared" ca="1" si="44"/>
        <v>#N/A</v>
      </c>
      <c r="AB433" s="76">
        <f t="shared" ca="1" si="45"/>
        <v>0</v>
      </c>
      <c r="AC433" s="75">
        <f t="shared" ca="1" si="46"/>
        <v>0</v>
      </c>
      <c r="AD433" s="76">
        <f t="shared" ca="1" si="47"/>
        <v>12388.425643750004</v>
      </c>
      <c r="AE433" s="76">
        <f>SUMIFS(AB:AB,E:E,E433)</f>
        <v>0</v>
      </c>
      <c r="AF433" s="75">
        <f t="shared" si="48"/>
        <v>0</v>
      </c>
      <c r="AG433" s="76">
        <f t="shared" si="42"/>
        <v>0</v>
      </c>
      <c r="AH433" s="31" t="e" cm="1">
        <f t="array" aca="1" ref="AH433" ca="1">IF((AD433) &lt; (INDEX(ResponseSLA[#All],(MATCH((G433),ResponseSLA[Priority],0))+1,3)),"YES","No")</f>
        <v>#N/A</v>
      </c>
      <c r="AI433" s="31" t="str">
        <f>_xlfn.IFNA(IF(AE433 &lt; (INDEX(SLATable[Minimum SLA],MATCH(G433,SLATable[Priority],0))),"YES","NO"),"")</f>
        <v/>
      </c>
      <c r="AJ433" t="str">
        <f>_xlfn.IFNA(IF(AE433 &lt; (INDEX(SLATable[Maximum SLA],MATCH(G433,SLATable[Priority],0))),"YES","NO"),"")</f>
        <v/>
      </c>
    </row>
    <row r="434" spans="26:36" ht="15" customHeight="1">
      <c r="Z434" s="76" t="e">
        <f t="shared" ca="1" si="43"/>
        <v>#N/A</v>
      </c>
      <c r="AA434" s="75" t="e">
        <f t="shared" ca="1" si="44"/>
        <v>#N/A</v>
      </c>
      <c r="AB434" s="76">
        <f t="shared" ca="1" si="45"/>
        <v>0</v>
      </c>
      <c r="AC434" s="75">
        <f t="shared" ca="1" si="46"/>
        <v>0</v>
      </c>
      <c r="AD434" s="76">
        <f t="shared" ca="1" si="47"/>
        <v>12388.425643634258</v>
      </c>
      <c r="AE434" s="76">
        <f>SUMIFS(AB:AB,E:E,E434)</f>
        <v>0</v>
      </c>
      <c r="AF434" s="75">
        <f t="shared" si="48"/>
        <v>0</v>
      </c>
      <c r="AG434" s="76">
        <f t="shared" si="42"/>
        <v>0</v>
      </c>
      <c r="AH434" s="31" t="e" cm="1">
        <f t="array" aca="1" ref="AH434" ca="1">IF((AD434) &lt; (INDEX(ResponseSLA[#All],(MATCH((G434),ResponseSLA[Priority],0))+1,3)),"YES","No")</f>
        <v>#N/A</v>
      </c>
      <c r="AI434" s="31" t="str">
        <f>_xlfn.IFNA(IF(AE434 &lt; (INDEX(SLATable[Minimum SLA],MATCH(G434,SLATable[Priority],0))),"YES","NO"),"")</f>
        <v/>
      </c>
      <c r="AJ434" t="str">
        <f>_xlfn.IFNA(IF(AE434 &lt; (INDEX(SLATable[Maximum SLA],MATCH(G434,SLATable[Priority],0))),"YES","NO"),"")</f>
        <v/>
      </c>
    </row>
    <row r="435" spans="26:36" ht="15" customHeight="1">
      <c r="Z435" s="76" t="e">
        <f t="shared" ca="1" si="43"/>
        <v>#N/A</v>
      </c>
      <c r="AA435" s="75" t="e">
        <f t="shared" ca="1" si="44"/>
        <v>#N/A</v>
      </c>
      <c r="AB435" s="76">
        <f t="shared" ca="1" si="45"/>
        <v>0</v>
      </c>
      <c r="AC435" s="75">
        <f t="shared" ca="1" si="46"/>
        <v>0</v>
      </c>
      <c r="AD435" s="76">
        <f t="shared" ca="1" si="47"/>
        <v>12388.425643634258</v>
      </c>
      <c r="AE435" s="76">
        <f>SUMIFS(AB:AB,E:E,E435)</f>
        <v>0</v>
      </c>
      <c r="AF435" s="75">
        <f t="shared" si="48"/>
        <v>0</v>
      </c>
      <c r="AG435" s="76">
        <f t="shared" si="42"/>
        <v>0</v>
      </c>
      <c r="AH435" s="31" t="e" cm="1">
        <f t="array" aca="1" ref="AH435" ca="1">IF((AD435) &lt; (INDEX(ResponseSLA[#All],(MATCH((G435),ResponseSLA[Priority],0))+1,3)),"YES","No")</f>
        <v>#N/A</v>
      </c>
      <c r="AI435" s="31" t="str">
        <f>_xlfn.IFNA(IF(AE435 &lt; (INDEX(SLATable[Minimum SLA],MATCH(G435,SLATable[Priority],0))),"YES","NO"),"")</f>
        <v/>
      </c>
      <c r="AJ435" t="str">
        <f>_xlfn.IFNA(IF(AE435 &lt; (INDEX(SLATable[Maximum SLA],MATCH(G435,SLATable[Priority],0))),"YES","NO"),"")</f>
        <v/>
      </c>
    </row>
    <row r="436" spans="26:36" ht="15" customHeight="1">
      <c r="Z436" s="76" t="e">
        <f t="shared" ca="1" si="43"/>
        <v>#N/A</v>
      </c>
      <c r="AA436" s="75" t="e">
        <f t="shared" ca="1" si="44"/>
        <v>#N/A</v>
      </c>
      <c r="AB436" s="76">
        <f t="shared" ca="1" si="45"/>
        <v>0</v>
      </c>
      <c r="AC436" s="75">
        <f t="shared" ca="1" si="46"/>
        <v>0</v>
      </c>
      <c r="AD436" s="76">
        <f t="shared" ca="1" si="47"/>
        <v>12388.425643750004</v>
      </c>
      <c r="AE436" s="76">
        <f>SUMIFS(AB:AB,E:E,E436)</f>
        <v>0</v>
      </c>
      <c r="AF436" s="75">
        <f t="shared" si="48"/>
        <v>0</v>
      </c>
      <c r="AG436" s="76">
        <f t="shared" si="42"/>
        <v>0</v>
      </c>
      <c r="AH436" s="31" t="e" cm="1">
        <f t="array" aca="1" ref="AH436" ca="1">IF((AD436) &lt; (INDEX(ResponseSLA[#All],(MATCH((G436),ResponseSLA[Priority],0))+1,3)),"YES","No")</f>
        <v>#N/A</v>
      </c>
      <c r="AI436" s="31" t="str">
        <f>_xlfn.IFNA(IF(AE436 &lt; (INDEX(SLATable[Minimum SLA],MATCH(G436,SLATable[Priority],0))),"YES","NO"),"")</f>
        <v/>
      </c>
      <c r="AJ436" t="str">
        <f>_xlfn.IFNA(IF(AE436 &lt; (INDEX(SLATable[Maximum SLA],MATCH(G436,SLATable[Priority],0))),"YES","NO"),"")</f>
        <v/>
      </c>
    </row>
    <row r="437" spans="26:36" ht="15" customHeight="1">
      <c r="Z437" s="76" t="e">
        <f t="shared" ca="1" si="43"/>
        <v>#N/A</v>
      </c>
      <c r="AA437" s="75" t="e">
        <f t="shared" ca="1" si="44"/>
        <v>#N/A</v>
      </c>
      <c r="AB437" s="76">
        <f t="shared" ca="1" si="45"/>
        <v>0</v>
      </c>
      <c r="AC437" s="75">
        <f t="shared" ca="1" si="46"/>
        <v>0</v>
      </c>
      <c r="AD437" s="76">
        <f t="shared" ca="1" si="47"/>
        <v>12388.425643634258</v>
      </c>
      <c r="AE437" s="76">
        <f>SUMIFS(AB:AB,E:E,E437)</f>
        <v>0</v>
      </c>
      <c r="AF437" s="75">
        <f t="shared" si="48"/>
        <v>0</v>
      </c>
      <c r="AG437" s="76">
        <f t="shared" si="42"/>
        <v>0</v>
      </c>
      <c r="AH437" s="31" t="e" cm="1">
        <f t="array" aca="1" ref="AH437" ca="1">IF((AD437) &lt; (INDEX(ResponseSLA[#All],(MATCH((G437),ResponseSLA[Priority],0))+1,3)),"YES","No")</f>
        <v>#N/A</v>
      </c>
      <c r="AI437" s="31" t="str">
        <f>_xlfn.IFNA(IF(AE437 &lt; (INDEX(SLATable[Minimum SLA],MATCH(G437,SLATable[Priority],0))),"YES","NO"),"")</f>
        <v/>
      </c>
      <c r="AJ437" t="str">
        <f>_xlfn.IFNA(IF(AE437 &lt; (INDEX(SLATable[Maximum SLA],MATCH(G437,SLATable[Priority],0))),"YES","NO"),"")</f>
        <v/>
      </c>
    </row>
    <row r="438" spans="26:36" ht="15" customHeight="1">
      <c r="Z438" s="76" t="e">
        <f t="shared" ca="1" si="43"/>
        <v>#N/A</v>
      </c>
      <c r="AA438" s="75" t="e">
        <f t="shared" ca="1" si="44"/>
        <v>#N/A</v>
      </c>
      <c r="AB438" s="76">
        <f t="shared" ca="1" si="45"/>
        <v>0</v>
      </c>
      <c r="AC438" s="75">
        <f t="shared" ca="1" si="46"/>
        <v>0</v>
      </c>
      <c r="AD438" s="76">
        <f t="shared" ca="1" si="47"/>
        <v>12388.425643634258</v>
      </c>
      <c r="AE438" s="76">
        <f>SUMIFS(AB:AB,E:E,E438)</f>
        <v>0</v>
      </c>
      <c r="AF438" s="75">
        <f t="shared" si="48"/>
        <v>0</v>
      </c>
      <c r="AG438" s="76">
        <f t="shared" si="42"/>
        <v>0</v>
      </c>
      <c r="AH438" s="31" t="e" cm="1">
        <f t="array" aca="1" ref="AH438" ca="1">IF((AD438) &lt; (INDEX(ResponseSLA[#All],(MATCH((G438),ResponseSLA[Priority],0))+1,3)),"YES","No")</f>
        <v>#N/A</v>
      </c>
      <c r="AI438" s="31" t="str">
        <f>_xlfn.IFNA(IF(AE438 &lt; (INDEX(SLATable[Minimum SLA],MATCH(G438,SLATable[Priority],0))),"YES","NO"),"")</f>
        <v/>
      </c>
      <c r="AJ438" t="str">
        <f>_xlfn.IFNA(IF(AE438 &lt; (INDEX(SLATable[Maximum SLA],MATCH(G438,SLATable[Priority],0))),"YES","NO"),"")</f>
        <v/>
      </c>
    </row>
    <row r="439" spans="26:36" ht="15" customHeight="1">
      <c r="Z439" s="76" t="e">
        <f t="shared" ca="1" si="43"/>
        <v>#N/A</v>
      </c>
      <c r="AA439" s="75" t="e">
        <f t="shared" ca="1" si="44"/>
        <v>#N/A</v>
      </c>
      <c r="AB439" s="76">
        <f t="shared" ca="1" si="45"/>
        <v>0</v>
      </c>
      <c r="AC439" s="75">
        <f t="shared" ca="1" si="46"/>
        <v>0</v>
      </c>
      <c r="AD439" s="76">
        <f t="shared" ca="1" si="47"/>
        <v>12388.425643750004</v>
      </c>
      <c r="AE439" s="76">
        <f>SUMIFS(AB:AB,E:E,E439)</f>
        <v>0</v>
      </c>
      <c r="AF439" s="75">
        <f t="shared" si="48"/>
        <v>0</v>
      </c>
      <c r="AG439" s="76">
        <f t="shared" si="42"/>
        <v>0</v>
      </c>
      <c r="AH439" s="31" t="e" cm="1">
        <f t="array" aca="1" ref="AH439" ca="1">IF((AD439) &lt; (INDEX(ResponseSLA[#All],(MATCH((G439),ResponseSLA[Priority],0))+1,3)),"YES","No")</f>
        <v>#N/A</v>
      </c>
      <c r="AI439" s="31" t="str">
        <f>_xlfn.IFNA(IF(AE439 &lt; (INDEX(SLATable[Minimum SLA],MATCH(G439,SLATable[Priority],0))),"YES","NO"),"")</f>
        <v/>
      </c>
      <c r="AJ439" t="str">
        <f>_xlfn.IFNA(IF(AE439 &lt; (INDEX(SLATable[Maximum SLA],MATCH(G439,SLATable[Priority],0))),"YES","NO"),"")</f>
        <v/>
      </c>
    </row>
    <row r="440" spans="26:36" ht="15" customHeight="1">
      <c r="Z440" s="76" t="e">
        <f t="shared" ca="1" si="43"/>
        <v>#N/A</v>
      </c>
      <c r="AA440" s="75" t="e">
        <f t="shared" ca="1" si="44"/>
        <v>#N/A</v>
      </c>
      <c r="AB440" s="76">
        <f t="shared" ca="1" si="45"/>
        <v>0</v>
      </c>
      <c r="AC440" s="75">
        <f t="shared" ca="1" si="46"/>
        <v>0</v>
      </c>
      <c r="AD440" s="76">
        <f t="shared" ca="1" si="47"/>
        <v>12388.425643634258</v>
      </c>
      <c r="AE440" s="76">
        <f>SUMIFS(AB:AB,E:E,E440)</f>
        <v>0</v>
      </c>
      <c r="AF440" s="75">
        <f t="shared" si="48"/>
        <v>0</v>
      </c>
      <c r="AG440" s="76">
        <f t="shared" si="42"/>
        <v>0</v>
      </c>
      <c r="AH440" s="31" t="e" cm="1">
        <f t="array" aca="1" ref="AH440" ca="1">IF((AD440) &lt; (INDEX(ResponseSLA[#All],(MATCH((G440),ResponseSLA[Priority],0))+1,3)),"YES","No")</f>
        <v>#N/A</v>
      </c>
      <c r="AI440" s="31" t="str">
        <f>_xlfn.IFNA(IF(AE440 &lt; (INDEX(SLATable[Minimum SLA],MATCH(G440,SLATable[Priority],0))),"YES","NO"),"")</f>
        <v/>
      </c>
      <c r="AJ440" t="str">
        <f>_xlfn.IFNA(IF(AE440 &lt; (INDEX(SLATable[Maximum SLA],MATCH(G440,SLATable[Priority],0))),"YES","NO"),"")</f>
        <v/>
      </c>
    </row>
    <row r="441" spans="26:36" ht="15" customHeight="1">
      <c r="Z441" s="76" t="e">
        <f t="shared" ca="1" si="43"/>
        <v>#N/A</v>
      </c>
      <c r="AA441" s="75" t="e">
        <f t="shared" ca="1" si="44"/>
        <v>#N/A</v>
      </c>
      <c r="AB441" s="76">
        <f t="shared" ca="1" si="45"/>
        <v>0</v>
      </c>
      <c r="AC441" s="75">
        <f t="shared" ca="1" si="46"/>
        <v>0</v>
      </c>
      <c r="AD441" s="76">
        <f t="shared" ca="1" si="47"/>
        <v>12388.425643634258</v>
      </c>
      <c r="AE441" s="76">
        <f>SUMIFS(AB:AB,E:E,E441)</f>
        <v>0</v>
      </c>
      <c r="AF441" s="75">
        <f t="shared" si="48"/>
        <v>0</v>
      </c>
      <c r="AG441" s="76">
        <f t="shared" si="42"/>
        <v>0</v>
      </c>
      <c r="AH441" s="31" t="e" cm="1">
        <f t="array" aca="1" ref="AH441" ca="1">IF((AD441) &lt; (INDEX(ResponseSLA[#All],(MATCH((G441),ResponseSLA[Priority],0))+1,3)),"YES","No")</f>
        <v>#N/A</v>
      </c>
      <c r="AI441" s="31" t="str">
        <f>_xlfn.IFNA(IF(AE441 &lt; (INDEX(SLATable[Minimum SLA],MATCH(G441,SLATable[Priority],0))),"YES","NO"),"")</f>
        <v/>
      </c>
      <c r="AJ441" t="str">
        <f>_xlfn.IFNA(IF(AE441 &lt; (INDEX(SLATable[Maximum SLA],MATCH(G441,SLATable[Priority],0))),"YES","NO"),"")</f>
        <v/>
      </c>
    </row>
    <row r="442" spans="26:36" ht="15" customHeight="1">
      <c r="Z442" s="76" t="e">
        <f t="shared" ca="1" si="43"/>
        <v>#N/A</v>
      </c>
      <c r="AA442" s="75" t="e">
        <f t="shared" ca="1" si="44"/>
        <v>#N/A</v>
      </c>
      <c r="AB442" s="76">
        <f t="shared" ca="1" si="45"/>
        <v>0</v>
      </c>
      <c r="AC442" s="75">
        <f t="shared" ca="1" si="46"/>
        <v>0</v>
      </c>
      <c r="AD442" s="76">
        <f t="shared" ca="1" si="47"/>
        <v>12388.425643750004</v>
      </c>
      <c r="AE442" s="76">
        <f>SUMIFS(AB:AB,E:E,E442)</f>
        <v>0</v>
      </c>
      <c r="AF442" s="75">
        <f t="shared" si="48"/>
        <v>0</v>
      </c>
      <c r="AG442" s="76">
        <f t="shared" si="42"/>
        <v>0</v>
      </c>
      <c r="AH442" s="31" t="e" cm="1">
        <f t="array" aca="1" ref="AH442" ca="1">IF((AD442) &lt; (INDEX(ResponseSLA[#All],(MATCH((G442),ResponseSLA[Priority],0))+1,3)),"YES","No")</f>
        <v>#N/A</v>
      </c>
      <c r="AI442" s="31" t="str">
        <f>_xlfn.IFNA(IF(AE442 &lt; (INDEX(SLATable[Minimum SLA],MATCH(G442,SLATable[Priority],0))),"YES","NO"),"")</f>
        <v/>
      </c>
      <c r="AJ442" t="str">
        <f>_xlfn.IFNA(IF(AE442 &lt; (INDEX(SLATable[Maximum SLA],MATCH(G442,SLATable[Priority],0))),"YES","NO"),"")</f>
        <v/>
      </c>
    </row>
    <row r="443" spans="26:36" ht="15" customHeight="1">
      <c r="Z443" s="76" t="e">
        <f t="shared" ca="1" si="43"/>
        <v>#N/A</v>
      </c>
      <c r="AA443" s="75" t="e">
        <f t="shared" ca="1" si="44"/>
        <v>#N/A</v>
      </c>
      <c r="AB443" s="76">
        <f t="shared" ca="1" si="45"/>
        <v>0</v>
      </c>
      <c r="AC443" s="75">
        <f t="shared" ca="1" si="46"/>
        <v>0</v>
      </c>
      <c r="AD443" s="76">
        <f t="shared" ca="1" si="47"/>
        <v>12388.425643634258</v>
      </c>
      <c r="AE443" s="76">
        <f>SUMIFS(AB:AB,E:E,E443)</f>
        <v>0</v>
      </c>
      <c r="AF443" s="75">
        <f t="shared" si="48"/>
        <v>0</v>
      </c>
      <c r="AG443" s="76">
        <f t="shared" si="42"/>
        <v>0</v>
      </c>
      <c r="AH443" s="31" t="e" cm="1">
        <f t="array" aca="1" ref="AH443" ca="1">IF((AD443) &lt; (INDEX(ResponseSLA[#All],(MATCH((G443),ResponseSLA[Priority],0))+1,3)),"YES","No")</f>
        <v>#N/A</v>
      </c>
      <c r="AI443" s="31" t="str">
        <f>_xlfn.IFNA(IF(AE443 &lt; (INDEX(SLATable[Minimum SLA],MATCH(G443,SLATable[Priority],0))),"YES","NO"),"")</f>
        <v/>
      </c>
      <c r="AJ443" t="str">
        <f>_xlfn.IFNA(IF(AE443 &lt; (INDEX(SLATable[Maximum SLA],MATCH(G443,SLATable[Priority],0))),"YES","NO"),"")</f>
        <v/>
      </c>
    </row>
    <row r="444" spans="26:36" ht="15" customHeight="1">
      <c r="Z444" s="76" t="e">
        <f t="shared" ca="1" si="43"/>
        <v>#N/A</v>
      </c>
      <c r="AA444" s="75" t="e">
        <f t="shared" ca="1" si="44"/>
        <v>#N/A</v>
      </c>
      <c r="AB444" s="76">
        <f t="shared" ca="1" si="45"/>
        <v>0</v>
      </c>
      <c r="AC444" s="75">
        <f t="shared" ca="1" si="46"/>
        <v>0</v>
      </c>
      <c r="AD444" s="76">
        <f t="shared" ca="1" si="47"/>
        <v>12388.425643634258</v>
      </c>
      <c r="AE444" s="76">
        <f>SUMIFS(AB:AB,E:E,E444)</f>
        <v>0</v>
      </c>
      <c r="AF444" s="75">
        <f t="shared" si="48"/>
        <v>0</v>
      </c>
      <c r="AG444" s="76">
        <f t="shared" si="42"/>
        <v>0</v>
      </c>
      <c r="AH444" s="31" t="e" cm="1">
        <f t="array" aca="1" ref="AH444" ca="1">IF((AD444) &lt; (INDEX(ResponseSLA[#All],(MATCH((G444),ResponseSLA[Priority],0))+1,3)),"YES","No")</f>
        <v>#N/A</v>
      </c>
      <c r="AI444" s="31" t="str">
        <f>_xlfn.IFNA(IF(AE444 &lt; (INDEX(SLATable[Minimum SLA],MATCH(G444,SLATable[Priority],0))),"YES","NO"),"")</f>
        <v/>
      </c>
      <c r="AJ444" t="str">
        <f>_xlfn.IFNA(IF(AE444 &lt; (INDEX(SLATable[Maximum SLA],MATCH(G444,SLATable[Priority],0))),"YES","NO"),"")</f>
        <v/>
      </c>
    </row>
    <row r="445" spans="26:36" ht="15" customHeight="1">
      <c r="Z445" s="76" t="e">
        <f t="shared" ca="1" si="43"/>
        <v>#N/A</v>
      </c>
      <c r="AA445" s="75" t="e">
        <f t="shared" ca="1" si="44"/>
        <v>#N/A</v>
      </c>
      <c r="AB445" s="76">
        <f t="shared" ca="1" si="45"/>
        <v>0</v>
      </c>
      <c r="AC445" s="75">
        <f t="shared" ca="1" si="46"/>
        <v>0</v>
      </c>
      <c r="AD445" s="76">
        <f t="shared" ca="1" si="47"/>
        <v>12388.425643750004</v>
      </c>
      <c r="AE445" s="76">
        <f>SUMIFS(AB:AB,E:E,E445)</f>
        <v>0</v>
      </c>
      <c r="AF445" s="75">
        <f t="shared" si="48"/>
        <v>0</v>
      </c>
      <c r="AG445" s="76">
        <f t="shared" si="42"/>
        <v>0</v>
      </c>
      <c r="AH445" s="31" t="e" cm="1">
        <f t="array" aca="1" ref="AH445" ca="1">IF((AD445) &lt; (INDEX(ResponseSLA[#All],(MATCH((G445),ResponseSLA[Priority],0))+1,3)),"YES","No")</f>
        <v>#N/A</v>
      </c>
      <c r="AI445" s="31" t="str">
        <f>_xlfn.IFNA(IF(AE445 &lt; (INDEX(SLATable[Minimum SLA],MATCH(G445,SLATable[Priority],0))),"YES","NO"),"")</f>
        <v/>
      </c>
      <c r="AJ445" t="str">
        <f>_xlfn.IFNA(IF(AE445 &lt; (INDEX(SLATable[Maximum SLA],MATCH(G445,SLATable[Priority],0))),"YES","NO"),"")</f>
        <v/>
      </c>
    </row>
    <row r="446" spans="26:36" ht="15" customHeight="1">
      <c r="Z446" s="76" t="e">
        <f t="shared" ca="1" si="43"/>
        <v>#N/A</v>
      </c>
      <c r="AA446" s="75" t="e">
        <f t="shared" ca="1" si="44"/>
        <v>#N/A</v>
      </c>
      <c r="AB446" s="76">
        <f t="shared" ca="1" si="45"/>
        <v>0</v>
      </c>
      <c r="AC446" s="75">
        <f t="shared" ca="1" si="46"/>
        <v>0</v>
      </c>
      <c r="AD446" s="76">
        <f t="shared" ca="1" si="47"/>
        <v>12388.425643634258</v>
      </c>
      <c r="AE446" s="76">
        <f>SUMIFS(AB:AB,E:E,E446)</f>
        <v>0</v>
      </c>
      <c r="AF446" s="75">
        <f t="shared" si="48"/>
        <v>0</v>
      </c>
      <c r="AG446" s="76">
        <f t="shared" si="42"/>
        <v>0</v>
      </c>
      <c r="AH446" s="31" t="e" cm="1">
        <f t="array" aca="1" ref="AH446" ca="1">IF((AD446) &lt; (INDEX(ResponseSLA[#All],(MATCH((G446),ResponseSLA[Priority],0))+1,3)),"YES","No")</f>
        <v>#N/A</v>
      </c>
      <c r="AI446" s="31" t="str">
        <f>_xlfn.IFNA(IF(AE446 &lt; (INDEX(SLATable[Minimum SLA],MATCH(G446,SLATable[Priority],0))),"YES","NO"),"")</f>
        <v/>
      </c>
      <c r="AJ446" t="str">
        <f>_xlfn.IFNA(IF(AE446 &lt; (INDEX(SLATable[Maximum SLA],MATCH(G446,SLATable[Priority],0))),"YES","NO"),"")</f>
        <v/>
      </c>
    </row>
    <row r="447" spans="26:36" ht="15" customHeight="1">
      <c r="Z447" s="76" t="e">
        <f t="shared" ca="1" si="43"/>
        <v>#N/A</v>
      </c>
      <c r="AA447" s="75" t="e">
        <f t="shared" ca="1" si="44"/>
        <v>#N/A</v>
      </c>
      <c r="AB447" s="76">
        <f t="shared" ca="1" si="45"/>
        <v>0</v>
      </c>
      <c r="AC447" s="75">
        <f t="shared" ca="1" si="46"/>
        <v>0</v>
      </c>
      <c r="AD447" s="76">
        <f t="shared" ca="1" si="47"/>
        <v>12388.425643634258</v>
      </c>
      <c r="AE447" s="76">
        <f>SUMIFS(AB:AB,E:E,E447)</f>
        <v>0</v>
      </c>
      <c r="AF447" s="75">
        <f t="shared" si="48"/>
        <v>0</v>
      </c>
      <c r="AG447" s="76">
        <f t="shared" si="42"/>
        <v>0</v>
      </c>
      <c r="AH447" s="31" t="e" cm="1">
        <f t="array" aca="1" ref="AH447" ca="1">IF((AD447) &lt; (INDEX(ResponseSLA[#All],(MATCH((G447),ResponseSLA[Priority],0))+1,3)),"YES","No")</f>
        <v>#N/A</v>
      </c>
      <c r="AI447" s="31" t="str">
        <f>_xlfn.IFNA(IF(AE447 &lt; (INDEX(SLATable[Minimum SLA],MATCH(G447,SLATable[Priority],0))),"YES","NO"),"")</f>
        <v/>
      </c>
      <c r="AJ447" t="str">
        <f>_xlfn.IFNA(IF(AE447 &lt; (INDEX(SLATable[Maximum SLA],MATCH(G447,SLATable[Priority],0))),"YES","NO"),"")</f>
        <v/>
      </c>
    </row>
    <row r="448" spans="26:36" ht="15" customHeight="1">
      <c r="Z448" s="76" t="e">
        <f t="shared" ca="1" si="43"/>
        <v>#N/A</v>
      </c>
      <c r="AA448" s="75" t="e">
        <f t="shared" ca="1" si="44"/>
        <v>#N/A</v>
      </c>
      <c r="AB448" s="76">
        <f t="shared" ca="1" si="45"/>
        <v>0</v>
      </c>
      <c r="AC448" s="75">
        <f t="shared" ca="1" si="46"/>
        <v>0</v>
      </c>
      <c r="AD448" s="76">
        <f t="shared" ca="1" si="47"/>
        <v>12388.425643750004</v>
      </c>
      <c r="AE448" s="76">
        <f>SUMIFS(AB:AB,E:E,E448)</f>
        <v>0</v>
      </c>
      <c r="AF448" s="75">
        <f t="shared" si="48"/>
        <v>0</v>
      </c>
      <c r="AG448" s="76">
        <f t="shared" si="42"/>
        <v>0</v>
      </c>
      <c r="AH448" s="31" t="e" cm="1">
        <f t="array" aca="1" ref="AH448" ca="1">IF((AD448) &lt; (INDEX(ResponseSLA[#All],(MATCH((G448),ResponseSLA[Priority],0))+1,3)),"YES","No")</f>
        <v>#N/A</v>
      </c>
      <c r="AI448" s="31" t="str">
        <f>_xlfn.IFNA(IF(AE448 &lt; (INDEX(SLATable[Minimum SLA],MATCH(G448,SLATable[Priority],0))),"YES","NO"),"")</f>
        <v/>
      </c>
      <c r="AJ448" t="str">
        <f>_xlfn.IFNA(IF(AE448 &lt; (INDEX(SLATable[Maximum SLA],MATCH(G448,SLATable[Priority],0))),"YES","NO"),"")</f>
        <v/>
      </c>
    </row>
    <row r="449" spans="26:36" ht="15" customHeight="1">
      <c r="Z449" s="76" t="e">
        <f t="shared" ca="1" si="43"/>
        <v>#N/A</v>
      </c>
      <c r="AA449" s="75" t="e">
        <f t="shared" ca="1" si="44"/>
        <v>#N/A</v>
      </c>
      <c r="AB449" s="76">
        <f t="shared" ca="1" si="45"/>
        <v>0</v>
      </c>
      <c r="AC449" s="75">
        <f t="shared" ca="1" si="46"/>
        <v>0</v>
      </c>
      <c r="AD449" s="76">
        <f t="shared" ca="1" si="47"/>
        <v>12388.425643634258</v>
      </c>
      <c r="AE449" s="76">
        <f>SUMIFS(AB:AB,E:E,E449)</f>
        <v>0</v>
      </c>
      <c r="AF449" s="75">
        <f t="shared" si="48"/>
        <v>0</v>
      </c>
      <c r="AG449" s="76">
        <f t="shared" ref="AG449:AG500" si="49">AF449</f>
        <v>0</v>
      </c>
      <c r="AH449" s="31" t="e" cm="1">
        <f t="array" aca="1" ref="AH449" ca="1">IF((AD449) &lt; (INDEX(ResponseSLA[#All],(MATCH((G449),ResponseSLA[Priority],0))+1,3)),"YES","No")</f>
        <v>#N/A</v>
      </c>
      <c r="AI449" s="31" t="str">
        <f>_xlfn.IFNA(IF(AE449 &lt; (INDEX(SLATable[Minimum SLA],MATCH(G449,SLATable[Priority],0))),"YES","NO"),"")</f>
        <v/>
      </c>
      <c r="AJ449" t="str">
        <f>_xlfn.IFNA(IF(AE449 &lt; (INDEX(SLATable[Maximum SLA],MATCH(G449,SLATable[Priority],0))),"YES","NO"),"")</f>
        <v/>
      </c>
    </row>
    <row r="450" spans="26:36" ht="15" customHeight="1">
      <c r="Z450" s="76" t="e">
        <f t="shared" ca="1" si="43"/>
        <v>#N/A</v>
      </c>
      <c r="AA450" s="75" t="e">
        <f t="shared" ca="1" si="44"/>
        <v>#N/A</v>
      </c>
      <c r="AB450" s="76">
        <f t="shared" ca="1" si="45"/>
        <v>0</v>
      </c>
      <c r="AC450" s="75">
        <f t="shared" ca="1" si="46"/>
        <v>0</v>
      </c>
      <c r="AD450" s="76">
        <f t="shared" ca="1" si="47"/>
        <v>12388.425643634258</v>
      </c>
      <c r="AE450" s="76">
        <f>SUMIFS(AB:AB,E:E,E450)</f>
        <v>0</v>
      </c>
      <c r="AF450" s="75">
        <f t="shared" si="48"/>
        <v>0</v>
      </c>
      <c r="AG450" s="76">
        <f t="shared" si="49"/>
        <v>0</v>
      </c>
      <c r="AH450" s="31" t="e" cm="1">
        <f t="array" aca="1" ref="AH450" ca="1">IF((AD450) &lt; (INDEX(ResponseSLA[#All],(MATCH((G450),ResponseSLA[Priority],0))+1,3)),"YES","No")</f>
        <v>#N/A</v>
      </c>
      <c r="AI450" s="31" t="str">
        <f>_xlfn.IFNA(IF(AE450 &lt; (INDEX(SLATable[Minimum SLA],MATCH(G450,SLATable[Priority],0))),"YES","NO"),"")</f>
        <v/>
      </c>
      <c r="AJ450" t="str">
        <f>_xlfn.IFNA(IF(AE450 &lt; (INDEX(SLATable[Maximum SLA],MATCH(G450,SLATable[Priority],0))),"YES","NO"),"")</f>
        <v/>
      </c>
    </row>
    <row r="451" spans="26:36" ht="15" customHeight="1">
      <c r="Z451" s="76" t="e">
        <f t="shared" ref="Z451:Z500" ca="1" si="50">IF(NOT(OR(G451=1,G451=2)),MAX(0,_xlfn.IFS(AND(K451&lt;&gt;"",N451&lt;&gt;""),((MAX(NETWORKDAYS(K451,N451,UKBankHolidays)-1,0))*(TIME(17,0,0)-TIME(8,0,0))+IF(NETWORKDAYS(N451,N451,UKBankHolidays)&gt;0,MEDIAN(TIME(8,0,0),MOD(N451,1),TIME(17,0,0)),TIME(8,0,0))-IF(NETWORKDAYS(K451,K451,UKBankHolidays)&gt;0,MEDIAN(TIME(8,0,0),MOD(K451,1),TIME(17,0,0)),TIME(8,0,0)))-IF(AND(O451&lt;&gt;"",P451&lt;&gt;""),((MAX(NETWORKDAYS(O451,P451,UKBankHolidays)-1,0))*(TIME(17,0,0)-TIME(8,0,0))+IF(NETWORKDAYS(P451,P451,UKBankHolidays)&gt;0,MEDIAN(TIME(8,0,0),MOD(P451,1),TIME(17,0,0)),TIME(8,0,0))-IF(NETWORKDAYS(O451,O451,UKBankHolidays)&gt;0,MEDIAN(TIME(8,0,0),MOD(O451,1),TIME(17,0,0)),TIME(8,0,0))),0),AND(K451&lt;&gt;"",N451=""),((MAX(NETWORKDAYS(K451,NOW(),UKBankHolidays)-1,0))*(TIME(17,0,0)-TIME(8,0,0))+IF(NETWORKDAYS(NOW(),NOW(),UKBankHolidays)&gt;0,MEDIAN(TIME(8,0,0),MOD(NOW(),1),TIME(17,0,0)),TIME(8,0,0))-IF(NETWORKDAYS(K451,K451,UKBankHolidays)&gt;0,MEDIAN(TIME(8,0,0),MOD(K451,1),TIME(17,0,0)),TIME(8,0,0))))),IF(N451="",NOW()-K451,N451-K451))</f>
        <v>#N/A</v>
      </c>
      <c r="AA451" s="75" t="e">
        <f t="shared" ref="AA451:AA500" ca="1" si="51">(Z451*24)/9</f>
        <v>#N/A</v>
      </c>
      <c r="AB451" s="76">
        <f t="shared" ref="AB451:AB500" ca="1" si="52">IF(NOT(OR(G451=1,G451=2)),MAX(0,_xlfn.IFS(AND(K451&lt;&gt;"",N451&lt;&gt;""),(((MAX(NETWORKDAYS(L451,N451,UKBankHolidays)-1,0))*(TIME(17,0,0)-TIME(8,0,0)))+IF(NETWORKDAYS(N451,N451,UKBankHolidays)&gt;0,MEDIAN(TIME(8,0,0),MOD(N451,1),TIME(17,0,0)),TIME(8,0,0))-IF(NETWORKDAYS(L451,L451,UKBankHolidays)&gt;0,MEDIAN(TIME(8,0,0),MOD(L451,1),TIME(17,0,0)),TIME(8,0,0)))-IF(AND(O451&lt;&gt;"",P451&lt;&gt;""),(((MAX(NETWORKDAYS(O451,P451,UKBankHolidays)-1,0))*(TIME(17,0,0)-TIME(8,0,0)))+IF(NETWORKDAYS(P451,P451,UKBankHolidays)&gt;0,MEDIAN(TIME(8,0,0),MOD(P451,1),TIME(17,0,0)),TIME(8,0,0))-IF(NETWORKDAYS(O451,O451,UKBankHolidays)&gt;0,MEDIAN(TIME(8,0,0),MOD(O451,1),TIME(17,0,0)),TIME(8,0,0))),0),AND(L451&lt;&gt;"",N451="",O451=""),(((MAX(NETWORKDAYS(L451,NOW(),UKBankHolidays)-1,0))*(TIME(17,0,0)-TIME(8,0,0)))+IF(NETWORKDAYS(NOW(),NOW(),UKBankHolidays)&gt;0,MEDIAN(TIME(8,0,0),MOD(NOW(),1),TIME(17,0,0)),TIME(8,0,0))-IF(NETWORKDAYS(L451,L451,UKBankHolidays)&gt;0,MEDIAN(TIME(8,0,0),MOD(L451,1),TIME(17,0,0)),TIME(8,0,0)))-IF(AND(O451&lt;&gt;"",P451&lt;&gt;""),(((MAX(NETWORKDAYS(O451,P451,UKBankHolidays)-1,0))*(TIME(17,0,0)-TIME(8,0,0)))+IF(NETWORKDAYS(P451,P451,UKBankHolidays)&gt;0,MEDIAN(TIME(8,0,0),MOD(P451,1),TIME(17,0,0)),TIME(8,0,0))-IF(NETWORKDAYS(O451,O451,UKBankHolidays)&gt;0,MEDIAN(TIME(8,0,0),MOD(O451,1),TIME(17,0,0)),TIME(8,0,0))),0),AND(L451&lt;&gt;"",N451="",P451="",O451&lt;&gt;""),(((MAX(NETWORKDAYS(L451,O451,UKBankHolidays)-1,0))*(TIME(17,0,0)-TIME(8,0,0)))+IF(NETWORKDAYS(O451,O451,UKBankHolidays)&gt;0,MEDIAN(TIME(8,0,0),MOD(O451,1),TIME(17,0,0)),TIME(8,0,0))-IF(NETWORKDAYS(L451,L451,UKBankHolidays)&gt;0,MEDIAN(TIME(8,0,0),MOD(L451,1),TIME(17,0,0)),TIME(8,0,0))),ISBLANK(K451),"0")),IF(ISBLANK(N451),NOW()-L451,N451-L451))</f>
        <v>0</v>
      </c>
      <c r="AC451" s="75">
        <f t="shared" ref="AC451:AC500" ca="1" si="53">(AB451*24)/9</f>
        <v>0</v>
      </c>
      <c r="AD451" s="76">
        <f t="shared" ref="AD451:AD500" ca="1" si="54">MAX(0,IF(NOT(OR(G451=1,G451=2)),IF(M451&lt;&gt;"",((MAX(NETWORKDAYS(L451,M451,UKBankHolidays)-1,0))*(TIME(17,0,0)-TIME(8,0,0))+IF(NETWORKDAYS(M451,M451,UKBankHolidays)&gt;0,MEDIAN(TIME(8,0,0),MOD(M451,1),TIME(17,0,0)),TIME(8,0,0))-MEDIAN(TIME(8,0,0),MOD(L451,1),TIME(17,0,0))),((MAX(NETWORKDAYS(L451,NOW(),UKBankHolidays)-1,0))*(TIME(17,0,0)-TIME(8,0,0))+IF(NETWORKDAYS(NOW(),NOW(),UKBankHolidays)&gt;0,MEDIAN(TIME(8,0,0),MOD(NOW(),1),TIME(17,0,0)),TIME(8,0,0))-MEDIAN(TIME(8,0,0),MOD(L451,1),TIME(17,0,0)))),IF(M451&lt;&gt;"",M451-L451,NOW()-L451)))</f>
        <v>12388.425643750004</v>
      </c>
      <c r="AE451" s="76">
        <f>SUMIFS(AB:AB,E:E,E451)</f>
        <v>0</v>
      </c>
      <c r="AF451" s="75">
        <f t="shared" ref="AF451:AF500" si="55">(AE451*24)/9</f>
        <v>0</v>
      </c>
      <c r="AG451" s="76">
        <f t="shared" si="49"/>
        <v>0</v>
      </c>
      <c r="AH451" s="31" t="e" cm="1">
        <f t="array" aca="1" ref="AH451" ca="1">IF((AD451) &lt; (INDEX(ResponseSLA[#All],(MATCH((G451),ResponseSLA[Priority],0))+1,3)),"YES","No")</f>
        <v>#N/A</v>
      </c>
      <c r="AI451" s="31" t="str">
        <f>_xlfn.IFNA(IF(AE451 &lt; (INDEX(SLATable[Minimum SLA],MATCH(G451,SLATable[Priority],0))),"YES","NO"),"")</f>
        <v/>
      </c>
      <c r="AJ451" t="str">
        <f>_xlfn.IFNA(IF(AE451 &lt; (INDEX(SLATable[Maximum SLA],MATCH(G451,SLATable[Priority],0))),"YES","NO"),"")</f>
        <v/>
      </c>
    </row>
    <row r="452" spans="26:36" ht="15" customHeight="1">
      <c r="Z452" s="76" t="e">
        <f t="shared" ca="1" si="50"/>
        <v>#N/A</v>
      </c>
      <c r="AA452" s="75" t="e">
        <f t="shared" ca="1" si="51"/>
        <v>#N/A</v>
      </c>
      <c r="AB452" s="76">
        <f t="shared" ca="1" si="52"/>
        <v>0</v>
      </c>
      <c r="AC452" s="75">
        <f t="shared" ca="1" si="53"/>
        <v>0</v>
      </c>
      <c r="AD452" s="76">
        <f t="shared" ca="1" si="54"/>
        <v>12388.425643634258</v>
      </c>
      <c r="AE452" s="76">
        <f>SUMIFS(AB:AB,E:E,E452)</f>
        <v>0</v>
      </c>
      <c r="AF452" s="75">
        <f t="shared" si="55"/>
        <v>0</v>
      </c>
      <c r="AG452" s="76">
        <f t="shared" si="49"/>
        <v>0</v>
      </c>
      <c r="AH452" s="31" t="e" cm="1">
        <f t="array" aca="1" ref="AH452" ca="1">IF((AD452) &lt; (INDEX(ResponseSLA[#All],(MATCH((G452),ResponseSLA[Priority],0))+1,3)),"YES","No")</f>
        <v>#N/A</v>
      </c>
      <c r="AI452" s="31" t="str">
        <f>_xlfn.IFNA(IF(AE452 &lt; (INDEX(SLATable[Minimum SLA],MATCH(G452,SLATable[Priority],0))),"YES","NO"),"")</f>
        <v/>
      </c>
      <c r="AJ452" t="str">
        <f>_xlfn.IFNA(IF(AE452 &lt; (INDEX(SLATable[Maximum SLA],MATCH(G452,SLATable[Priority],0))),"YES","NO"),"")</f>
        <v/>
      </c>
    </row>
    <row r="453" spans="26:36" ht="15" customHeight="1">
      <c r="Z453" s="76" t="e">
        <f t="shared" ca="1" si="50"/>
        <v>#N/A</v>
      </c>
      <c r="AA453" s="75" t="e">
        <f t="shared" ca="1" si="51"/>
        <v>#N/A</v>
      </c>
      <c r="AB453" s="76">
        <f t="shared" ca="1" si="52"/>
        <v>0</v>
      </c>
      <c r="AC453" s="75">
        <f t="shared" ca="1" si="53"/>
        <v>0</v>
      </c>
      <c r="AD453" s="76">
        <f t="shared" ca="1" si="54"/>
        <v>12388.425643634258</v>
      </c>
      <c r="AE453" s="76">
        <f>SUMIFS(AB:AB,E:E,E453)</f>
        <v>0</v>
      </c>
      <c r="AF453" s="75">
        <f t="shared" si="55"/>
        <v>0</v>
      </c>
      <c r="AG453" s="76">
        <f t="shared" si="49"/>
        <v>0</v>
      </c>
      <c r="AH453" s="31" t="e" cm="1">
        <f t="array" aca="1" ref="AH453" ca="1">IF((AD453) &lt; (INDEX(ResponseSLA[#All],(MATCH((G453),ResponseSLA[Priority],0))+1,3)),"YES","No")</f>
        <v>#N/A</v>
      </c>
      <c r="AI453" s="31" t="str">
        <f>_xlfn.IFNA(IF(AE453 &lt; (INDEX(SLATable[Minimum SLA],MATCH(G453,SLATable[Priority],0))),"YES","NO"),"")</f>
        <v/>
      </c>
      <c r="AJ453" t="str">
        <f>_xlfn.IFNA(IF(AE453 &lt; (INDEX(SLATable[Maximum SLA],MATCH(G453,SLATable[Priority],0))),"YES","NO"),"")</f>
        <v/>
      </c>
    </row>
    <row r="454" spans="26:36" ht="15" customHeight="1">
      <c r="Z454" s="76" t="e">
        <f t="shared" ca="1" si="50"/>
        <v>#N/A</v>
      </c>
      <c r="AA454" s="75" t="e">
        <f t="shared" ca="1" si="51"/>
        <v>#N/A</v>
      </c>
      <c r="AB454" s="76">
        <f t="shared" ca="1" si="52"/>
        <v>0</v>
      </c>
      <c r="AC454" s="75">
        <f t="shared" ca="1" si="53"/>
        <v>0</v>
      </c>
      <c r="AD454" s="76">
        <f t="shared" ca="1" si="54"/>
        <v>12388.425643750004</v>
      </c>
      <c r="AE454" s="76">
        <f>SUMIFS(AB:AB,E:E,E454)</f>
        <v>0</v>
      </c>
      <c r="AF454" s="75">
        <f t="shared" si="55"/>
        <v>0</v>
      </c>
      <c r="AG454" s="76">
        <f t="shared" si="49"/>
        <v>0</v>
      </c>
      <c r="AH454" s="31" t="e" cm="1">
        <f t="array" aca="1" ref="AH454" ca="1">IF((AD454) &lt; (INDEX(ResponseSLA[#All],(MATCH((G454),ResponseSLA[Priority],0))+1,3)),"YES","No")</f>
        <v>#N/A</v>
      </c>
      <c r="AI454" s="31" t="str">
        <f>_xlfn.IFNA(IF(AE454 &lt; (INDEX(SLATable[Minimum SLA],MATCH(G454,SLATable[Priority],0))),"YES","NO"),"")</f>
        <v/>
      </c>
      <c r="AJ454" t="str">
        <f>_xlfn.IFNA(IF(AE454 &lt; (INDEX(SLATable[Maximum SLA],MATCH(G454,SLATable[Priority],0))),"YES","NO"),"")</f>
        <v/>
      </c>
    </row>
    <row r="455" spans="26:36" ht="15" customHeight="1">
      <c r="Z455" s="76" t="e">
        <f t="shared" ca="1" si="50"/>
        <v>#N/A</v>
      </c>
      <c r="AA455" s="75" t="e">
        <f t="shared" ca="1" si="51"/>
        <v>#N/A</v>
      </c>
      <c r="AB455" s="76">
        <f t="shared" ca="1" si="52"/>
        <v>0</v>
      </c>
      <c r="AC455" s="75">
        <f t="shared" ca="1" si="53"/>
        <v>0</v>
      </c>
      <c r="AD455" s="76">
        <f t="shared" ca="1" si="54"/>
        <v>12388.425643634258</v>
      </c>
      <c r="AE455" s="76">
        <f>SUMIFS(AB:AB,E:E,E455)</f>
        <v>0</v>
      </c>
      <c r="AF455" s="75">
        <f t="shared" si="55"/>
        <v>0</v>
      </c>
      <c r="AG455" s="76">
        <f t="shared" si="49"/>
        <v>0</v>
      </c>
      <c r="AH455" s="31" t="e" cm="1">
        <f t="array" aca="1" ref="AH455" ca="1">IF((AD455) &lt; (INDEX(ResponseSLA[#All],(MATCH((G455),ResponseSLA[Priority],0))+1,3)),"YES","No")</f>
        <v>#N/A</v>
      </c>
      <c r="AI455" s="31" t="str">
        <f>_xlfn.IFNA(IF(AE455 &lt; (INDEX(SLATable[Minimum SLA],MATCH(G455,SLATable[Priority],0))),"YES","NO"),"")</f>
        <v/>
      </c>
      <c r="AJ455" t="str">
        <f>_xlfn.IFNA(IF(AE455 &lt; (INDEX(SLATable[Maximum SLA],MATCH(G455,SLATable[Priority],0))),"YES","NO"),"")</f>
        <v/>
      </c>
    </row>
    <row r="456" spans="26:36" ht="15" customHeight="1">
      <c r="Z456" s="76" t="e">
        <f t="shared" ca="1" si="50"/>
        <v>#N/A</v>
      </c>
      <c r="AA456" s="75" t="e">
        <f t="shared" ca="1" si="51"/>
        <v>#N/A</v>
      </c>
      <c r="AB456" s="76">
        <f t="shared" ca="1" si="52"/>
        <v>0</v>
      </c>
      <c r="AC456" s="75">
        <f t="shared" ca="1" si="53"/>
        <v>0</v>
      </c>
      <c r="AD456" s="76">
        <f t="shared" ca="1" si="54"/>
        <v>12388.425643634258</v>
      </c>
      <c r="AE456" s="76">
        <f>SUMIFS(AB:AB,E:E,E456)</f>
        <v>0</v>
      </c>
      <c r="AF456" s="75">
        <f t="shared" si="55"/>
        <v>0</v>
      </c>
      <c r="AG456" s="76">
        <f t="shared" si="49"/>
        <v>0</v>
      </c>
      <c r="AH456" s="31" t="e" cm="1">
        <f t="array" aca="1" ref="AH456" ca="1">IF((AD456) &lt; (INDEX(ResponseSLA[#All],(MATCH((G456),ResponseSLA[Priority],0))+1,3)),"YES","No")</f>
        <v>#N/A</v>
      </c>
      <c r="AI456" s="31" t="str">
        <f>_xlfn.IFNA(IF(AE456 &lt; (INDEX(SLATable[Minimum SLA],MATCH(G456,SLATable[Priority],0))),"YES","NO"),"")</f>
        <v/>
      </c>
      <c r="AJ456" t="str">
        <f>_xlfn.IFNA(IF(AE456 &lt; (INDEX(SLATable[Maximum SLA],MATCH(G456,SLATable[Priority],0))),"YES","NO"),"")</f>
        <v/>
      </c>
    </row>
    <row r="457" spans="26:36" ht="15" customHeight="1">
      <c r="Z457" s="76" t="e">
        <f t="shared" ca="1" si="50"/>
        <v>#N/A</v>
      </c>
      <c r="AA457" s="75" t="e">
        <f t="shared" ca="1" si="51"/>
        <v>#N/A</v>
      </c>
      <c r="AB457" s="76">
        <f t="shared" ca="1" si="52"/>
        <v>0</v>
      </c>
      <c r="AC457" s="75">
        <f t="shared" ca="1" si="53"/>
        <v>0</v>
      </c>
      <c r="AD457" s="76">
        <f t="shared" ca="1" si="54"/>
        <v>12388.425643750004</v>
      </c>
      <c r="AE457" s="76">
        <f>SUMIFS(AB:AB,E:E,E457)</f>
        <v>0</v>
      </c>
      <c r="AF457" s="75">
        <f t="shared" si="55"/>
        <v>0</v>
      </c>
      <c r="AG457" s="76">
        <f t="shared" si="49"/>
        <v>0</v>
      </c>
      <c r="AH457" s="31" t="e" cm="1">
        <f t="array" aca="1" ref="AH457" ca="1">IF((AD457) &lt; (INDEX(ResponseSLA[#All],(MATCH((G457),ResponseSLA[Priority],0))+1,3)),"YES","No")</f>
        <v>#N/A</v>
      </c>
      <c r="AI457" s="31" t="str">
        <f>_xlfn.IFNA(IF(AE457 &lt; (INDEX(SLATable[Minimum SLA],MATCH(G457,SLATable[Priority],0))),"YES","NO"),"")</f>
        <v/>
      </c>
      <c r="AJ457" t="str">
        <f>_xlfn.IFNA(IF(AE457 &lt; (INDEX(SLATable[Maximum SLA],MATCH(G457,SLATable[Priority],0))),"YES","NO"),"")</f>
        <v/>
      </c>
    </row>
    <row r="458" spans="26:36" ht="15" customHeight="1">
      <c r="Z458" s="76" t="e">
        <f t="shared" ca="1" si="50"/>
        <v>#N/A</v>
      </c>
      <c r="AA458" s="75" t="e">
        <f t="shared" ca="1" si="51"/>
        <v>#N/A</v>
      </c>
      <c r="AB458" s="76">
        <f t="shared" ca="1" si="52"/>
        <v>0</v>
      </c>
      <c r="AC458" s="75">
        <f t="shared" ca="1" si="53"/>
        <v>0</v>
      </c>
      <c r="AD458" s="76">
        <f t="shared" ca="1" si="54"/>
        <v>12388.425643634258</v>
      </c>
      <c r="AE458" s="76">
        <f>SUMIFS(AB:AB,E:E,E458)</f>
        <v>0</v>
      </c>
      <c r="AF458" s="75">
        <f t="shared" si="55"/>
        <v>0</v>
      </c>
      <c r="AG458" s="76">
        <f t="shared" si="49"/>
        <v>0</v>
      </c>
      <c r="AH458" s="31" t="e" cm="1">
        <f t="array" aca="1" ref="AH458" ca="1">IF((AD458) &lt; (INDEX(ResponseSLA[#All],(MATCH((G458),ResponseSLA[Priority],0))+1,3)),"YES","No")</f>
        <v>#N/A</v>
      </c>
      <c r="AI458" s="31" t="str">
        <f>_xlfn.IFNA(IF(AE458 &lt; (INDEX(SLATable[Minimum SLA],MATCH(G458,SLATable[Priority],0))),"YES","NO"),"")</f>
        <v/>
      </c>
      <c r="AJ458" t="str">
        <f>_xlfn.IFNA(IF(AE458 &lt; (INDEX(SLATable[Maximum SLA],MATCH(G458,SLATable[Priority],0))),"YES","NO"),"")</f>
        <v/>
      </c>
    </row>
    <row r="459" spans="26:36" ht="15" customHeight="1">
      <c r="Z459" s="76" t="e">
        <f t="shared" ca="1" si="50"/>
        <v>#N/A</v>
      </c>
      <c r="AA459" s="75" t="e">
        <f t="shared" ca="1" si="51"/>
        <v>#N/A</v>
      </c>
      <c r="AB459" s="76">
        <f t="shared" ca="1" si="52"/>
        <v>0</v>
      </c>
      <c r="AC459" s="75">
        <f t="shared" ca="1" si="53"/>
        <v>0</v>
      </c>
      <c r="AD459" s="76">
        <f t="shared" ca="1" si="54"/>
        <v>12388.425643634258</v>
      </c>
      <c r="AE459" s="76">
        <f>SUMIFS(AB:AB,E:E,E459)</f>
        <v>0</v>
      </c>
      <c r="AF459" s="75">
        <f t="shared" si="55"/>
        <v>0</v>
      </c>
      <c r="AG459" s="76">
        <f t="shared" si="49"/>
        <v>0</v>
      </c>
      <c r="AH459" s="31" t="e" cm="1">
        <f t="array" aca="1" ref="AH459" ca="1">IF((AD459) &lt; (INDEX(ResponseSLA[#All],(MATCH((G459),ResponseSLA[Priority],0))+1,3)),"YES","No")</f>
        <v>#N/A</v>
      </c>
      <c r="AI459" s="31" t="str">
        <f>_xlfn.IFNA(IF(AE459 &lt; (INDEX(SLATable[Minimum SLA],MATCH(G459,SLATable[Priority],0))),"YES","NO"),"")</f>
        <v/>
      </c>
      <c r="AJ459" t="str">
        <f>_xlfn.IFNA(IF(AE459 &lt; (INDEX(SLATable[Maximum SLA],MATCH(G459,SLATable[Priority],0))),"YES","NO"),"")</f>
        <v/>
      </c>
    </row>
    <row r="460" spans="26:36" ht="15" customHeight="1">
      <c r="Z460" s="76" t="e">
        <f t="shared" ca="1" si="50"/>
        <v>#N/A</v>
      </c>
      <c r="AA460" s="75" t="e">
        <f t="shared" ca="1" si="51"/>
        <v>#N/A</v>
      </c>
      <c r="AB460" s="76">
        <f t="shared" ca="1" si="52"/>
        <v>0</v>
      </c>
      <c r="AC460" s="75">
        <f t="shared" ca="1" si="53"/>
        <v>0</v>
      </c>
      <c r="AD460" s="76">
        <f t="shared" ca="1" si="54"/>
        <v>12388.425643750004</v>
      </c>
      <c r="AE460" s="76">
        <f>SUMIFS(AB:AB,E:E,E460)</f>
        <v>0</v>
      </c>
      <c r="AF460" s="75">
        <f t="shared" si="55"/>
        <v>0</v>
      </c>
      <c r="AG460" s="76">
        <f t="shared" si="49"/>
        <v>0</v>
      </c>
      <c r="AH460" s="31" t="e" cm="1">
        <f t="array" aca="1" ref="AH460" ca="1">IF((AD460) &lt; (INDEX(ResponseSLA[#All],(MATCH((G460),ResponseSLA[Priority],0))+1,3)),"YES","No")</f>
        <v>#N/A</v>
      </c>
      <c r="AI460" s="31" t="str">
        <f>_xlfn.IFNA(IF(AE460 &lt; (INDEX(SLATable[Minimum SLA],MATCH(G460,SLATable[Priority],0))),"YES","NO"),"")</f>
        <v/>
      </c>
      <c r="AJ460" t="str">
        <f>_xlfn.IFNA(IF(AE460 &lt; (INDEX(SLATable[Maximum SLA],MATCH(G460,SLATable[Priority],0))),"YES","NO"),"")</f>
        <v/>
      </c>
    </row>
    <row r="461" spans="26:36" ht="15" customHeight="1">
      <c r="Z461" s="76" t="e">
        <f t="shared" ca="1" si="50"/>
        <v>#N/A</v>
      </c>
      <c r="AA461" s="75" t="e">
        <f t="shared" ca="1" si="51"/>
        <v>#N/A</v>
      </c>
      <c r="AB461" s="76">
        <f t="shared" ca="1" si="52"/>
        <v>0</v>
      </c>
      <c r="AC461" s="75">
        <f t="shared" ca="1" si="53"/>
        <v>0</v>
      </c>
      <c r="AD461" s="76">
        <f t="shared" ca="1" si="54"/>
        <v>12388.425643634258</v>
      </c>
      <c r="AE461" s="76">
        <f>SUMIFS(AB:AB,E:E,E461)</f>
        <v>0</v>
      </c>
      <c r="AF461" s="75">
        <f t="shared" si="55"/>
        <v>0</v>
      </c>
      <c r="AG461" s="76">
        <f t="shared" si="49"/>
        <v>0</v>
      </c>
      <c r="AH461" s="31" t="e" cm="1">
        <f t="array" aca="1" ref="AH461" ca="1">IF((AD461) &lt; (INDEX(ResponseSLA[#All],(MATCH((G461),ResponseSLA[Priority],0))+1,3)),"YES","No")</f>
        <v>#N/A</v>
      </c>
      <c r="AI461" s="31" t="str">
        <f>_xlfn.IFNA(IF(AE461 &lt; (INDEX(SLATable[Minimum SLA],MATCH(G461,SLATable[Priority],0))),"YES","NO"),"")</f>
        <v/>
      </c>
      <c r="AJ461" t="str">
        <f>_xlfn.IFNA(IF(AE461 &lt; (INDEX(SLATable[Maximum SLA],MATCH(G461,SLATable[Priority],0))),"YES","NO"),"")</f>
        <v/>
      </c>
    </row>
    <row r="462" spans="26:36" ht="15" customHeight="1">
      <c r="Z462" s="76" t="e">
        <f t="shared" ca="1" si="50"/>
        <v>#N/A</v>
      </c>
      <c r="AA462" s="75" t="e">
        <f t="shared" ca="1" si="51"/>
        <v>#N/A</v>
      </c>
      <c r="AB462" s="76">
        <f t="shared" ca="1" si="52"/>
        <v>0</v>
      </c>
      <c r="AC462" s="75">
        <f t="shared" ca="1" si="53"/>
        <v>0</v>
      </c>
      <c r="AD462" s="76">
        <f t="shared" ca="1" si="54"/>
        <v>12388.425643634258</v>
      </c>
      <c r="AE462" s="76">
        <f>SUMIFS(AB:AB,E:E,E462)</f>
        <v>0</v>
      </c>
      <c r="AF462" s="75">
        <f t="shared" si="55"/>
        <v>0</v>
      </c>
      <c r="AG462" s="76">
        <f t="shared" si="49"/>
        <v>0</v>
      </c>
      <c r="AH462" s="31" t="e" cm="1">
        <f t="array" aca="1" ref="AH462" ca="1">IF((AD462) &lt; (INDEX(ResponseSLA[#All],(MATCH((G462),ResponseSLA[Priority],0))+1,3)),"YES","No")</f>
        <v>#N/A</v>
      </c>
      <c r="AI462" s="31" t="str">
        <f>_xlfn.IFNA(IF(AE462 &lt; (INDEX(SLATable[Minimum SLA],MATCH(G462,SLATable[Priority],0))),"YES","NO"),"")</f>
        <v/>
      </c>
      <c r="AJ462" t="str">
        <f>_xlfn.IFNA(IF(AE462 &lt; (INDEX(SLATable[Maximum SLA],MATCH(G462,SLATable[Priority],0))),"YES","NO"),"")</f>
        <v/>
      </c>
    </row>
    <row r="463" spans="26:36" ht="15" customHeight="1">
      <c r="Z463" s="76" t="e">
        <f t="shared" ca="1" si="50"/>
        <v>#N/A</v>
      </c>
      <c r="AA463" s="75" t="e">
        <f t="shared" ca="1" si="51"/>
        <v>#N/A</v>
      </c>
      <c r="AB463" s="76">
        <f t="shared" ca="1" si="52"/>
        <v>0</v>
      </c>
      <c r="AC463" s="75">
        <f t="shared" ca="1" si="53"/>
        <v>0</v>
      </c>
      <c r="AD463" s="76">
        <f t="shared" ca="1" si="54"/>
        <v>12388.425643750004</v>
      </c>
      <c r="AE463" s="76">
        <f>SUMIFS(AB:AB,E:E,E463)</f>
        <v>0</v>
      </c>
      <c r="AF463" s="75">
        <f t="shared" si="55"/>
        <v>0</v>
      </c>
      <c r="AG463" s="76">
        <f t="shared" si="49"/>
        <v>0</v>
      </c>
      <c r="AH463" s="31" t="e" cm="1">
        <f t="array" aca="1" ref="AH463" ca="1">IF((AD463) &lt; (INDEX(ResponseSLA[#All],(MATCH((G463),ResponseSLA[Priority],0))+1,3)),"YES","No")</f>
        <v>#N/A</v>
      </c>
      <c r="AI463" s="31" t="str">
        <f>_xlfn.IFNA(IF(AE463 &lt; (INDEX(SLATable[Minimum SLA],MATCH(G463,SLATable[Priority],0))),"YES","NO"),"")</f>
        <v/>
      </c>
      <c r="AJ463" t="str">
        <f>_xlfn.IFNA(IF(AE463 &lt; (INDEX(SLATable[Maximum SLA],MATCH(G463,SLATable[Priority],0))),"YES","NO"),"")</f>
        <v/>
      </c>
    </row>
    <row r="464" spans="26:36" ht="15" customHeight="1">
      <c r="Z464" s="76" t="e">
        <f t="shared" ca="1" si="50"/>
        <v>#N/A</v>
      </c>
      <c r="AA464" s="75" t="e">
        <f t="shared" ca="1" si="51"/>
        <v>#N/A</v>
      </c>
      <c r="AB464" s="76">
        <f t="shared" ca="1" si="52"/>
        <v>0</v>
      </c>
      <c r="AC464" s="75">
        <f t="shared" ca="1" si="53"/>
        <v>0</v>
      </c>
      <c r="AD464" s="76">
        <f t="shared" ca="1" si="54"/>
        <v>12388.425643634258</v>
      </c>
      <c r="AE464" s="76">
        <f>SUMIFS(AB:AB,E:E,E464)</f>
        <v>0</v>
      </c>
      <c r="AF464" s="75">
        <f t="shared" si="55"/>
        <v>0</v>
      </c>
      <c r="AG464" s="76">
        <f t="shared" si="49"/>
        <v>0</v>
      </c>
      <c r="AH464" s="31" t="e" cm="1">
        <f t="array" aca="1" ref="AH464" ca="1">IF((AD464) &lt; (INDEX(ResponseSLA[#All],(MATCH((G464),ResponseSLA[Priority],0))+1,3)),"YES","No")</f>
        <v>#N/A</v>
      </c>
      <c r="AI464" s="31" t="str">
        <f>_xlfn.IFNA(IF(AE464 &lt; (INDEX(SLATable[Minimum SLA],MATCH(G464,SLATable[Priority],0))),"YES","NO"),"")</f>
        <v/>
      </c>
      <c r="AJ464" t="str">
        <f>_xlfn.IFNA(IF(AE464 &lt; (INDEX(SLATable[Maximum SLA],MATCH(G464,SLATable[Priority],0))),"YES","NO"),"")</f>
        <v/>
      </c>
    </row>
    <row r="465" spans="26:36" ht="15" customHeight="1">
      <c r="Z465" s="76" t="e">
        <f t="shared" ca="1" si="50"/>
        <v>#N/A</v>
      </c>
      <c r="AA465" s="75" t="e">
        <f t="shared" ca="1" si="51"/>
        <v>#N/A</v>
      </c>
      <c r="AB465" s="76">
        <f t="shared" ca="1" si="52"/>
        <v>0</v>
      </c>
      <c r="AC465" s="75">
        <f t="shared" ca="1" si="53"/>
        <v>0</v>
      </c>
      <c r="AD465" s="76">
        <f t="shared" ca="1" si="54"/>
        <v>12388.425643634258</v>
      </c>
      <c r="AE465" s="76">
        <f>SUMIFS(AB:AB,E:E,E465)</f>
        <v>0</v>
      </c>
      <c r="AF465" s="75">
        <f t="shared" si="55"/>
        <v>0</v>
      </c>
      <c r="AG465" s="76">
        <f t="shared" si="49"/>
        <v>0</v>
      </c>
      <c r="AH465" s="31" t="e" cm="1">
        <f t="array" aca="1" ref="AH465" ca="1">IF((AD465) &lt; (INDEX(ResponseSLA[#All],(MATCH((G465),ResponseSLA[Priority],0))+1,3)),"YES","No")</f>
        <v>#N/A</v>
      </c>
      <c r="AI465" s="31" t="str">
        <f>_xlfn.IFNA(IF(AE465 &lt; (INDEX(SLATable[Minimum SLA],MATCH(G465,SLATable[Priority],0))),"YES","NO"),"")</f>
        <v/>
      </c>
      <c r="AJ465" t="str">
        <f>_xlfn.IFNA(IF(AE465 &lt; (INDEX(SLATable[Maximum SLA],MATCH(G465,SLATable[Priority],0))),"YES","NO"),"")</f>
        <v/>
      </c>
    </row>
    <row r="466" spans="26:36" ht="15" customHeight="1">
      <c r="Z466" s="76" t="e">
        <f t="shared" ca="1" si="50"/>
        <v>#N/A</v>
      </c>
      <c r="AA466" s="75" t="e">
        <f t="shared" ca="1" si="51"/>
        <v>#N/A</v>
      </c>
      <c r="AB466" s="76">
        <f t="shared" ca="1" si="52"/>
        <v>0</v>
      </c>
      <c r="AC466" s="75">
        <f t="shared" ca="1" si="53"/>
        <v>0</v>
      </c>
      <c r="AD466" s="76">
        <f t="shared" ca="1" si="54"/>
        <v>12388.425643750004</v>
      </c>
      <c r="AE466" s="76">
        <f>SUMIFS(AB:AB,E:E,E466)</f>
        <v>0</v>
      </c>
      <c r="AF466" s="75">
        <f t="shared" si="55"/>
        <v>0</v>
      </c>
      <c r="AG466" s="76">
        <f t="shared" si="49"/>
        <v>0</v>
      </c>
      <c r="AH466" s="31" t="e" cm="1">
        <f t="array" aca="1" ref="AH466" ca="1">IF((AD466) &lt; (INDEX(ResponseSLA[#All],(MATCH((G466),ResponseSLA[Priority],0))+1,3)),"YES","No")</f>
        <v>#N/A</v>
      </c>
      <c r="AI466" s="31" t="str">
        <f>_xlfn.IFNA(IF(AE466 &lt; (INDEX(SLATable[Minimum SLA],MATCH(G466,SLATable[Priority],0))),"YES","NO"),"")</f>
        <v/>
      </c>
      <c r="AJ466" t="str">
        <f>_xlfn.IFNA(IF(AE466 &lt; (INDEX(SLATable[Maximum SLA],MATCH(G466,SLATable[Priority],0))),"YES","NO"),"")</f>
        <v/>
      </c>
    </row>
    <row r="467" spans="26:36" ht="15" customHeight="1">
      <c r="Z467" s="76" t="e">
        <f t="shared" ca="1" si="50"/>
        <v>#N/A</v>
      </c>
      <c r="AA467" s="75" t="e">
        <f t="shared" ca="1" si="51"/>
        <v>#N/A</v>
      </c>
      <c r="AB467" s="76">
        <f t="shared" ca="1" si="52"/>
        <v>0</v>
      </c>
      <c r="AC467" s="75">
        <f t="shared" ca="1" si="53"/>
        <v>0</v>
      </c>
      <c r="AD467" s="76">
        <f t="shared" ca="1" si="54"/>
        <v>12388.425643634258</v>
      </c>
      <c r="AE467" s="76">
        <f>SUMIFS(AB:AB,E:E,E467)</f>
        <v>0</v>
      </c>
      <c r="AF467" s="75">
        <f t="shared" si="55"/>
        <v>0</v>
      </c>
      <c r="AG467" s="76">
        <f t="shared" si="49"/>
        <v>0</v>
      </c>
      <c r="AH467" s="31" t="e" cm="1">
        <f t="array" aca="1" ref="AH467" ca="1">IF((AD467) &lt; (INDEX(ResponseSLA[#All],(MATCH((G467),ResponseSLA[Priority],0))+1,3)),"YES","No")</f>
        <v>#N/A</v>
      </c>
      <c r="AI467" s="31" t="str">
        <f>_xlfn.IFNA(IF(AE467 &lt; (INDEX(SLATable[Minimum SLA],MATCH(G467,SLATable[Priority],0))),"YES","NO"),"")</f>
        <v/>
      </c>
      <c r="AJ467" t="str">
        <f>_xlfn.IFNA(IF(AE467 &lt; (INDEX(SLATable[Maximum SLA],MATCH(G467,SLATable[Priority],0))),"YES","NO"),"")</f>
        <v/>
      </c>
    </row>
    <row r="468" spans="26:36" ht="15" customHeight="1">
      <c r="Z468" s="76" t="e">
        <f t="shared" ca="1" si="50"/>
        <v>#N/A</v>
      </c>
      <c r="AA468" s="75" t="e">
        <f t="shared" ca="1" si="51"/>
        <v>#N/A</v>
      </c>
      <c r="AB468" s="76">
        <f t="shared" ca="1" si="52"/>
        <v>0</v>
      </c>
      <c r="AC468" s="75">
        <f t="shared" ca="1" si="53"/>
        <v>0</v>
      </c>
      <c r="AD468" s="76">
        <f t="shared" ca="1" si="54"/>
        <v>12388.425643634258</v>
      </c>
      <c r="AE468" s="76">
        <f>SUMIFS(AB:AB,E:E,E468)</f>
        <v>0</v>
      </c>
      <c r="AF468" s="75">
        <f t="shared" si="55"/>
        <v>0</v>
      </c>
      <c r="AG468" s="76">
        <f t="shared" si="49"/>
        <v>0</v>
      </c>
      <c r="AH468" s="31" t="e" cm="1">
        <f t="array" aca="1" ref="AH468" ca="1">IF((AD468) &lt; (INDEX(ResponseSLA[#All],(MATCH((G468),ResponseSLA[Priority],0))+1,3)),"YES","No")</f>
        <v>#N/A</v>
      </c>
      <c r="AI468" s="31" t="str">
        <f>_xlfn.IFNA(IF(AE468 &lt; (INDEX(SLATable[Minimum SLA],MATCH(G468,SLATable[Priority],0))),"YES","NO"),"")</f>
        <v/>
      </c>
      <c r="AJ468" t="str">
        <f>_xlfn.IFNA(IF(AE468 &lt; (INDEX(SLATable[Maximum SLA],MATCH(G468,SLATable[Priority],0))),"YES","NO"),"")</f>
        <v/>
      </c>
    </row>
    <row r="469" spans="26:36" ht="15" customHeight="1">
      <c r="Z469" s="76" t="e">
        <f t="shared" ca="1" si="50"/>
        <v>#N/A</v>
      </c>
      <c r="AA469" s="75" t="e">
        <f t="shared" ca="1" si="51"/>
        <v>#N/A</v>
      </c>
      <c r="AB469" s="76">
        <f t="shared" ca="1" si="52"/>
        <v>0</v>
      </c>
      <c r="AC469" s="75">
        <f t="shared" ca="1" si="53"/>
        <v>0</v>
      </c>
      <c r="AD469" s="76">
        <f t="shared" ca="1" si="54"/>
        <v>12388.425643750004</v>
      </c>
      <c r="AE469" s="76">
        <f>SUMIFS(AB:AB,E:E,E469)</f>
        <v>0</v>
      </c>
      <c r="AF469" s="75">
        <f t="shared" si="55"/>
        <v>0</v>
      </c>
      <c r="AG469" s="76">
        <f t="shared" si="49"/>
        <v>0</v>
      </c>
      <c r="AH469" s="31" t="e" cm="1">
        <f t="array" aca="1" ref="AH469" ca="1">IF((AD469) &lt; (INDEX(ResponseSLA[#All],(MATCH((G469),ResponseSLA[Priority],0))+1,3)),"YES","No")</f>
        <v>#N/A</v>
      </c>
      <c r="AI469" s="31" t="str">
        <f>_xlfn.IFNA(IF(AE469 &lt; (INDEX(SLATable[Minimum SLA],MATCH(G469,SLATable[Priority],0))),"YES","NO"),"")</f>
        <v/>
      </c>
      <c r="AJ469" t="str">
        <f>_xlfn.IFNA(IF(AE469 &lt; (INDEX(SLATable[Maximum SLA],MATCH(G469,SLATable[Priority],0))),"YES","NO"),"")</f>
        <v/>
      </c>
    </row>
    <row r="470" spans="26:36" ht="15" customHeight="1">
      <c r="Z470" s="76" t="e">
        <f t="shared" ca="1" si="50"/>
        <v>#N/A</v>
      </c>
      <c r="AA470" s="75" t="e">
        <f t="shared" ca="1" si="51"/>
        <v>#N/A</v>
      </c>
      <c r="AB470" s="76">
        <f t="shared" ca="1" si="52"/>
        <v>0</v>
      </c>
      <c r="AC470" s="75">
        <f t="shared" ca="1" si="53"/>
        <v>0</v>
      </c>
      <c r="AD470" s="76">
        <f t="shared" ca="1" si="54"/>
        <v>12388.425643634258</v>
      </c>
      <c r="AE470" s="76">
        <f>SUMIFS(AB:AB,E:E,E470)</f>
        <v>0</v>
      </c>
      <c r="AF470" s="75">
        <f t="shared" si="55"/>
        <v>0</v>
      </c>
      <c r="AG470" s="76">
        <f t="shared" si="49"/>
        <v>0</v>
      </c>
      <c r="AH470" s="31" t="e" cm="1">
        <f t="array" aca="1" ref="AH470" ca="1">IF((AD470) &lt; (INDEX(ResponseSLA[#All],(MATCH((G470),ResponseSLA[Priority],0))+1,3)),"YES","No")</f>
        <v>#N/A</v>
      </c>
      <c r="AI470" s="31" t="str">
        <f>_xlfn.IFNA(IF(AE470 &lt; (INDEX(SLATable[Minimum SLA],MATCH(G470,SLATable[Priority],0))),"YES","NO"),"")</f>
        <v/>
      </c>
      <c r="AJ470" t="str">
        <f>_xlfn.IFNA(IF(AE470 &lt; (INDEX(SLATable[Maximum SLA],MATCH(G470,SLATable[Priority],0))),"YES","NO"),"")</f>
        <v/>
      </c>
    </row>
    <row r="471" spans="26:36" ht="15" customHeight="1">
      <c r="Z471" s="76" t="e">
        <f t="shared" ca="1" si="50"/>
        <v>#N/A</v>
      </c>
      <c r="AA471" s="75" t="e">
        <f t="shared" ca="1" si="51"/>
        <v>#N/A</v>
      </c>
      <c r="AB471" s="76">
        <f t="shared" ca="1" si="52"/>
        <v>0</v>
      </c>
      <c r="AC471" s="75">
        <f t="shared" ca="1" si="53"/>
        <v>0</v>
      </c>
      <c r="AD471" s="76">
        <f t="shared" ca="1" si="54"/>
        <v>12388.425643634258</v>
      </c>
      <c r="AE471" s="76">
        <f>SUMIFS(AB:AB,E:E,E471)</f>
        <v>0</v>
      </c>
      <c r="AF471" s="75">
        <f t="shared" si="55"/>
        <v>0</v>
      </c>
      <c r="AG471" s="76">
        <f t="shared" si="49"/>
        <v>0</v>
      </c>
      <c r="AH471" s="31" t="e" cm="1">
        <f t="array" aca="1" ref="AH471" ca="1">IF((AD471) &lt; (INDEX(ResponseSLA[#All],(MATCH((G471),ResponseSLA[Priority],0))+1,3)),"YES","No")</f>
        <v>#N/A</v>
      </c>
      <c r="AI471" s="31" t="str">
        <f>_xlfn.IFNA(IF(AE471 &lt; (INDEX(SLATable[Minimum SLA],MATCH(G471,SLATable[Priority],0))),"YES","NO"),"")</f>
        <v/>
      </c>
      <c r="AJ471" t="str">
        <f>_xlfn.IFNA(IF(AE471 &lt; (INDEX(SLATable[Maximum SLA],MATCH(G471,SLATable[Priority],0))),"YES","NO"),"")</f>
        <v/>
      </c>
    </row>
    <row r="472" spans="26:36" ht="15" customHeight="1">
      <c r="Z472" s="76" t="e">
        <f t="shared" ca="1" si="50"/>
        <v>#N/A</v>
      </c>
      <c r="AA472" s="75" t="e">
        <f t="shared" ca="1" si="51"/>
        <v>#N/A</v>
      </c>
      <c r="AB472" s="76">
        <f t="shared" ca="1" si="52"/>
        <v>0</v>
      </c>
      <c r="AC472" s="75">
        <f t="shared" ca="1" si="53"/>
        <v>0</v>
      </c>
      <c r="AD472" s="76">
        <f t="shared" ca="1" si="54"/>
        <v>12388.425643750004</v>
      </c>
      <c r="AE472" s="76">
        <f>SUMIFS(AB:AB,E:E,E472)</f>
        <v>0</v>
      </c>
      <c r="AF472" s="75">
        <f t="shared" si="55"/>
        <v>0</v>
      </c>
      <c r="AG472" s="76">
        <f t="shared" si="49"/>
        <v>0</v>
      </c>
      <c r="AH472" s="31" t="e" cm="1">
        <f t="array" aca="1" ref="AH472" ca="1">IF((AD472) &lt; (INDEX(ResponseSLA[#All],(MATCH((G472),ResponseSLA[Priority],0))+1,3)),"YES","No")</f>
        <v>#N/A</v>
      </c>
      <c r="AI472" s="31" t="str">
        <f>_xlfn.IFNA(IF(AE472 &lt; (INDEX(SLATable[Minimum SLA],MATCH(G472,SLATable[Priority],0))),"YES","NO"),"")</f>
        <v/>
      </c>
      <c r="AJ472" t="str">
        <f>_xlfn.IFNA(IF(AE472 &lt; (INDEX(SLATable[Maximum SLA],MATCH(G472,SLATable[Priority],0))),"YES","NO"),"")</f>
        <v/>
      </c>
    </row>
    <row r="473" spans="26:36" ht="15" customHeight="1">
      <c r="Z473" s="76" t="e">
        <f t="shared" ca="1" si="50"/>
        <v>#N/A</v>
      </c>
      <c r="AA473" s="75" t="e">
        <f t="shared" ca="1" si="51"/>
        <v>#N/A</v>
      </c>
      <c r="AB473" s="76">
        <f t="shared" ca="1" si="52"/>
        <v>0</v>
      </c>
      <c r="AC473" s="75">
        <f t="shared" ca="1" si="53"/>
        <v>0</v>
      </c>
      <c r="AD473" s="76">
        <f t="shared" ca="1" si="54"/>
        <v>12388.425643634258</v>
      </c>
      <c r="AE473" s="76">
        <f>SUMIFS(AB:AB,E:E,E473)</f>
        <v>0</v>
      </c>
      <c r="AF473" s="75">
        <f t="shared" si="55"/>
        <v>0</v>
      </c>
      <c r="AG473" s="76">
        <f t="shared" si="49"/>
        <v>0</v>
      </c>
      <c r="AH473" s="31" t="e" cm="1">
        <f t="array" aca="1" ref="AH473" ca="1">IF((AD473) &lt; (INDEX(ResponseSLA[#All],(MATCH((G473),ResponseSLA[Priority],0))+1,3)),"YES","No")</f>
        <v>#N/A</v>
      </c>
      <c r="AI473" s="31" t="str">
        <f>_xlfn.IFNA(IF(AE473 &lt; (INDEX(SLATable[Minimum SLA],MATCH(G473,SLATable[Priority],0))),"YES","NO"),"")</f>
        <v/>
      </c>
      <c r="AJ473" t="str">
        <f>_xlfn.IFNA(IF(AE473 &lt; (INDEX(SLATable[Maximum SLA],MATCH(G473,SLATable[Priority],0))),"YES","NO"),"")</f>
        <v/>
      </c>
    </row>
    <row r="474" spans="26:36" ht="15" customHeight="1">
      <c r="Z474" s="76" t="e">
        <f t="shared" ca="1" si="50"/>
        <v>#N/A</v>
      </c>
      <c r="AA474" s="75" t="e">
        <f t="shared" ca="1" si="51"/>
        <v>#N/A</v>
      </c>
      <c r="AB474" s="76">
        <f t="shared" ca="1" si="52"/>
        <v>0</v>
      </c>
      <c r="AC474" s="75">
        <f t="shared" ca="1" si="53"/>
        <v>0</v>
      </c>
      <c r="AD474" s="76">
        <f t="shared" ca="1" si="54"/>
        <v>12388.425643634258</v>
      </c>
      <c r="AE474" s="76">
        <f>SUMIFS(AB:AB,E:E,E474)</f>
        <v>0</v>
      </c>
      <c r="AF474" s="75">
        <f t="shared" si="55"/>
        <v>0</v>
      </c>
      <c r="AG474" s="76">
        <f t="shared" si="49"/>
        <v>0</v>
      </c>
      <c r="AH474" s="31" t="e" cm="1">
        <f t="array" aca="1" ref="AH474" ca="1">IF((AD474) &lt; (INDEX(ResponseSLA[#All],(MATCH((G474),ResponseSLA[Priority],0))+1,3)),"YES","No")</f>
        <v>#N/A</v>
      </c>
      <c r="AI474" s="31" t="str">
        <f>_xlfn.IFNA(IF(AE474 &lt; (INDEX(SLATable[Minimum SLA],MATCH(G474,SLATable[Priority],0))),"YES","NO"),"")</f>
        <v/>
      </c>
      <c r="AJ474" t="str">
        <f>_xlfn.IFNA(IF(AE474 &lt; (INDEX(SLATable[Maximum SLA],MATCH(G474,SLATable[Priority],0))),"YES","NO"),"")</f>
        <v/>
      </c>
    </row>
    <row r="475" spans="26:36" ht="15" customHeight="1">
      <c r="Z475" s="76" t="e">
        <f t="shared" ca="1" si="50"/>
        <v>#N/A</v>
      </c>
      <c r="AA475" s="75" t="e">
        <f t="shared" ca="1" si="51"/>
        <v>#N/A</v>
      </c>
      <c r="AB475" s="76">
        <f t="shared" ca="1" si="52"/>
        <v>0</v>
      </c>
      <c r="AC475" s="75">
        <f t="shared" ca="1" si="53"/>
        <v>0</v>
      </c>
      <c r="AD475" s="76">
        <f t="shared" ca="1" si="54"/>
        <v>12388.425643750004</v>
      </c>
      <c r="AE475" s="76">
        <f>SUMIFS(AB:AB,E:E,E475)</f>
        <v>0</v>
      </c>
      <c r="AF475" s="75">
        <f t="shared" si="55"/>
        <v>0</v>
      </c>
      <c r="AG475" s="76">
        <f t="shared" si="49"/>
        <v>0</v>
      </c>
      <c r="AH475" s="31" t="e" cm="1">
        <f t="array" aca="1" ref="AH475" ca="1">IF((AD475) &lt; (INDEX(ResponseSLA[#All],(MATCH((G475),ResponseSLA[Priority],0))+1,3)),"YES","No")</f>
        <v>#N/A</v>
      </c>
      <c r="AI475" s="31" t="str">
        <f>_xlfn.IFNA(IF(AE475 &lt; (INDEX(SLATable[Minimum SLA],MATCH(G475,SLATable[Priority],0))),"YES","NO"),"")</f>
        <v/>
      </c>
      <c r="AJ475" t="str">
        <f>_xlfn.IFNA(IF(AE475 &lt; (INDEX(SLATable[Maximum SLA],MATCH(G475,SLATable[Priority],0))),"YES","NO"),"")</f>
        <v/>
      </c>
    </row>
    <row r="476" spans="26:36" ht="15" customHeight="1">
      <c r="Z476" s="76" t="e">
        <f t="shared" ca="1" si="50"/>
        <v>#N/A</v>
      </c>
      <c r="AA476" s="75" t="e">
        <f t="shared" ca="1" si="51"/>
        <v>#N/A</v>
      </c>
      <c r="AB476" s="76">
        <f t="shared" ca="1" si="52"/>
        <v>0</v>
      </c>
      <c r="AC476" s="75">
        <f t="shared" ca="1" si="53"/>
        <v>0</v>
      </c>
      <c r="AD476" s="76">
        <f t="shared" ca="1" si="54"/>
        <v>12388.425643634258</v>
      </c>
      <c r="AE476" s="76">
        <f>SUMIFS(AB:AB,E:E,E476)</f>
        <v>0</v>
      </c>
      <c r="AF476" s="75">
        <f t="shared" si="55"/>
        <v>0</v>
      </c>
      <c r="AG476" s="76">
        <f t="shared" si="49"/>
        <v>0</v>
      </c>
      <c r="AH476" s="31" t="e" cm="1">
        <f t="array" aca="1" ref="AH476" ca="1">IF((AD476) &lt; (INDEX(ResponseSLA[#All],(MATCH((G476),ResponseSLA[Priority],0))+1,3)),"YES","No")</f>
        <v>#N/A</v>
      </c>
      <c r="AI476" s="31" t="str">
        <f>_xlfn.IFNA(IF(AE476 &lt; (INDEX(SLATable[Minimum SLA],MATCH(G476,SLATable[Priority],0))),"YES","NO"),"")</f>
        <v/>
      </c>
      <c r="AJ476" t="str">
        <f>_xlfn.IFNA(IF(AE476 &lt; (INDEX(SLATable[Maximum SLA],MATCH(G476,SLATable[Priority],0))),"YES","NO"),"")</f>
        <v/>
      </c>
    </row>
    <row r="477" spans="26:36" ht="15" customHeight="1">
      <c r="Z477" s="76" t="e">
        <f t="shared" ca="1" si="50"/>
        <v>#N/A</v>
      </c>
      <c r="AA477" s="75" t="e">
        <f t="shared" ca="1" si="51"/>
        <v>#N/A</v>
      </c>
      <c r="AB477" s="76">
        <f t="shared" ca="1" si="52"/>
        <v>0</v>
      </c>
      <c r="AC477" s="75">
        <f t="shared" ca="1" si="53"/>
        <v>0</v>
      </c>
      <c r="AD477" s="76">
        <f t="shared" ca="1" si="54"/>
        <v>12388.425643634258</v>
      </c>
      <c r="AE477" s="76">
        <f>SUMIFS(AB:AB,E:E,E477)</f>
        <v>0</v>
      </c>
      <c r="AF477" s="75">
        <f t="shared" si="55"/>
        <v>0</v>
      </c>
      <c r="AG477" s="76">
        <f t="shared" si="49"/>
        <v>0</v>
      </c>
      <c r="AH477" s="31" t="e" cm="1">
        <f t="array" aca="1" ref="AH477" ca="1">IF((AD477) &lt; (INDEX(ResponseSLA[#All],(MATCH((G477),ResponseSLA[Priority],0))+1,3)),"YES","No")</f>
        <v>#N/A</v>
      </c>
      <c r="AI477" s="31" t="str">
        <f>_xlfn.IFNA(IF(AE477 &lt; (INDEX(SLATable[Minimum SLA],MATCH(G477,SLATable[Priority],0))),"YES","NO"),"")</f>
        <v/>
      </c>
      <c r="AJ477" t="str">
        <f>_xlfn.IFNA(IF(AE477 &lt; (INDEX(SLATable[Maximum SLA],MATCH(G477,SLATable[Priority],0))),"YES","NO"),"")</f>
        <v/>
      </c>
    </row>
    <row r="478" spans="26:36" ht="15" customHeight="1">
      <c r="Z478" s="76" t="e">
        <f t="shared" ca="1" si="50"/>
        <v>#N/A</v>
      </c>
      <c r="AA478" s="75" t="e">
        <f t="shared" ca="1" si="51"/>
        <v>#N/A</v>
      </c>
      <c r="AB478" s="76">
        <f t="shared" ca="1" si="52"/>
        <v>0</v>
      </c>
      <c r="AC478" s="75">
        <f t="shared" ca="1" si="53"/>
        <v>0</v>
      </c>
      <c r="AD478" s="76">
        <f t="shared" ca="1" si="54"/>
        <v>12388.425643750004</v>
      </c>
      <c r="AE478" s="76">
        <f>SUMIFS(AB:AB,E:E,E478)</f>
        <v>0</v>
      </c>
      <c r="AF478" s="75">
        <f t="shared" si="55"/>
        <v>0</v>
      </c>
      <c r="AG478" s="76">
        <f t="shared" si="49"/>
        <v>0</v>
      </c>
      <c r="AH478" s="31" t="e" cm="1">
        <f t="array" aca="1" ref="AH478" ca="1">IF((AD478) &lt; (INDEX(ResponseSLA[#All],(MATCH((G478),ResponseSLA[Priority],0))+1,3)),"YES","No")</f>
        <v>#N/A</v>
      </c>
      <c r="AI478" s="31" t="str">
        <f>_xlfn.IFNA(IF(AE478 &lt; (INDEX(SLATable[Minimum SLA],MATCH(G478,SLATable[Priority],0))),"YES","NO"),"")</f>
        <v/>
      </c>
      <c r="AJ478" t="str">
        <f>_xlfn.IFNA(IF(AE478 &lt; (INDEX(SLATable[Maximum SLA],MATCH(G478,SLATable[Priority],0))),"YES","NO"),"")</f>
        <v/>
      </c>
    </row>
    <row r="479" spans="26:36" ht="15" customHeight="1">
      <c r="Z479" s="76" t="e">
        <f t="shared" ca="1" si="50"/>
        <v>#N/A</v>
      </c>
      <c r="AA479" s="75" t="e">
        <f t="shared" ca="1" si="51"/>
        <v>#N/A</v>
      </c>
      <c r="AB479" s="76">
        <f t="shared" ca="1" si="52"/>
        <v>0</v>
      </c>
      <c r="AC479" s="75">
        <f t="shared" ca="1" si="53"/>
        <v>0</v>
      </c>
      <c r="AD479" s="76">
        <f t="shared" ca="1" si="54"/>
        <v>12388.425643634258</v>
      </c>
      <c r="AE479" s="76">
        <f>SUMIFS(AB:AB,E:E,E479)</f>
        <v>0</v>
      </c>
      <c r="AF479" s="75">
        <f t="shared" si="55"/>
        <v>0</v>
      </c>
      <c r="AG479" s="76">
        <f t="shared" si="49"/>
        <v>0</v>
      </c>
      <c r="AH479" s="31" t="e" cm="1">
        <f t="array" aca="1" ref="AH479" ca="1">IF((AD479) &lt; (INDEX(ResponseSLA[#All],(MATCH((G479),ResponseSLA[Priority],0))+1,3)),"YES","No")</f>
        <v>#N/A</v>
      </c>
      <c r="AI479" s="31" t="str">
        <f>_xlfn.IFNA(IF(AE479 &lt; (INDEX(SLATable[Minimum SLA],MATCH(G479,SLATable[Priority],0))),"YES","NO"),"")</f>
        <v/>
      </c>
      <c r="AJ479" t="str">
        <f>_xlfn.IFNA(IF(AE479 &lt; (INDEX(SLATable[Maximum SLA],MATCH(G479,SLATable[Priority],0))),"YES","NO"),"")</f>
        <v/>
      </c>
    </row>
    <row r="480" spans="26:36" ht="15" customHeight="1">
      <c r="Z480" s="76" t="e">
        <f t="shared" ca="1" si="50"/>
        <v>#N/A</v>
      </c>
      <c r="AA480" s="75" t="e">
        <f t="shared" ca="1" si="51"/>
        <v>#N/A</v>
      </c>
      <c r="AB480" s="76">
        <f t="shared" ca="1" si="52"/>
        <v>0</v>
      </c>
      <c r="AC480" s="75">
        <f t="shared" ca="1" si="53"/>
        <v>0</v>
      </c>
      <c r="AD480" s="76">
        <f t="shared" ca="1" si="54"/>
        <v>12388.425643634258</v>
      </c>
      <c r="AE480" s="76">
        <f>SUMIFS(AB:AB,E:E,E480)</f>
        <v>0</v>
      </c>
      <c r="AF480" s="75">
        <f t="shared" si="55"/>
        <v>0</v>
      </c>
      <c r="AG480" s="76">
        <f t="shared" si="49"/>
        <v>0</v>
      </c>
      <c r="AH480" s="31" t="e" cm="1">
        <f t="array" aca="1" ref="AH480" ca="1">IF((AD480) &lt; (INDEX(ResponseSLA[#All],(MATCH((G480),ResponseSLA[Priority],0))+1,3)),"YES","No")</f>
        <v>#N/A</v>
      </c>
      <c r="AI480" s="31" t="str">
        <f>_xlfn.IFNA(IF(AE480 &lt; (INDEX(SLATable[Minimum SLA],MATCH(G480,SLATable[Priority],0))),"YES","NO"),"")</f>
        <v/>
      </c>
      <c r="AJ480" t="str">
        <f>_xlfn.IFNA(IF(AE480 &lt; (INDEX(SLATable[Maximum SLA],MATCH(G480,SLATable[Priority],0))),"YES","NO"),"")</f>
        <v/>
      </c>
    </row>
    <row r="481" spans="26:36" ht="15" customHeight="1">
      <c r="Z481" s="76" t="e">
        <f t="shared" ca="1" si="50"/>
        <v>#N/A</v>
      </c>
      <c r="AA481" s="75" t="e">
        <f t="shared" ca="1" si="51"/>
        <v>#N/A</v>
      </c>
      <c r="AB481" s="76">
        <f t="shared" ca="1" si="52"/>
        <v>0</v>
      </c>
      <c r="AC481" s="75">
        <f t="shared" ca="1" si="53"/>
        <v>0</v>
      </c>
      <c r="AD481" s="76">
        <f t="shared" ca="1" si="54"/>
        <v>12388.425643750004</v>
      </c>
      <c r="AE481" s="76">
        <f>SUMIFS(AB:AB,E:E,E481)</f>
        <v>0</v>
      </c>
      <c r="AF481" s="75">
        <f t="shared" si="55"/>
        <v>0</v>
      </c>
      <c r="AG481" s="76">
        <f t="shared" si="49"/>
        <v>0</v>
      </c>
      <c r="AH481" s="31" t="e" cm="1">
        <f t="array" aca="1" ref="AH481" ca="1">IF((AD481) &lt; (INDEX(ResponseSLA[#All],(MATCH((G481),ResponseSLA[Priority],0))+1,3)),"YES","No")</f>
        <v>#N/A</v>
      </c>
      <c r="AI481" s="31" t="str">
        <f>_xlfn.IFNA(IF(AE481 &lt; (INDEX(SLATable[Minimum SLA],MATCH(G481,SLATable[Priority],0))),"YES","NO"),"")</f>
        <v/>
      </c>
      <c r="AJ481" t="str">
        <f>_xlfn.IFNA(IF(AE481 &lt; (INDEX(SLATable[Maximum SLA],MATCH(G481,SLATable[Priority],0))),"YES","NO"),"")</f>
        <v/>
      </c>
    </row>
    <row r="482" spans="26:36" ht="15" customHeight="1">
      <c r="Z482" s="76" t="e">
        <f t="shared" ca="1" si="50"/>
        <v>#N/A</v>
      </c>
      <c r="AA482" s="75" t="e">
        <f t="shared" ca="1" si="51"/>
        <v>#N/A</v>
      </c>
      <c r="AB482" s="76">
        <f t="shared" ca="1" si="52"/>
        <v>0</v>
      </c>
      <c r="AC482" s="75">
        <f t="shared" ca="1" si="53"/>
        <v>0</v>
      </c>
      <c r="AD482" s="76">
        <f t="shared" ca="1" si="54"/>
        <v>12388.425643634258</v>
      </c>
      <c r="AE482" s="76">
        <f>SUMIFS(AB:AB,E:E,E482)</f>
        <v>0</v>
      </c>
      <c r="AF482" s="75">
        <f t="shared" si="55"/>
        <v>0</v>
      </c>
      <c r="AG482" s="76">
        <f t="shared" si="49"/>
        <v>0</v>
      </c>
      <c r="AH482" s="31" t="e" cm="1">
        <f t="array" aca="1" ref="AH482" ca="1">IF((AD482) &lt; (INDEX(ResponseSLA[#All],(MATCH((G482),ResponseSLA[Priority],0))+1,3)),"YES","No")</f>
        <v>#N/A</v>
      </c>
      <c r="AI482" s="31" t="str">
        <f>_xlfn.IFNA(IF(AE482 &lt; (INDEX(SLATable[Minimum SLA],MATCH(G482,SLATable[Priority],0))),"YES","NO"),"")</f>
        <v/>
      </c>
      <c r="AJ482" t="str">
        <f>_xlfn.IFNA(IF(AE482 &lt; (INDEX(SLATable[Maximum SLA],MATCH(G482,SLATable[Priority],0))),"YES","NO"),"")</f>
        <v/>
      </c>
    </row>
    <row r="483" spans="26:36" ht="15" customHeight="1">
      <c r="Z483" s="76" t="e">
        <f t="shared" ca="1" si="50"/>
        <v>#N/A</v>
      </c>
      <c r="AA483" s="75" t="e">
        <f t="shared" ca="1" si="51"/>
        <v>#N/A</v>
      </c>
      <c r="AB483" s="76">
        <f t="shared" ca="1" si="52"/>
        <v>0</v>
      </c>
      <c r="AC483" s="75">
        <f t="shared" ca="1" si="53"/>
        <v>0</v>
      </c>
      <c r="AD483" s="76">
        <f t="shared" ca="1" si="54"/>
        <v>12388.425643634258</v>
      </c>
      <c r="AE483" s="76">
        <f>SUMIFS(AB:AB,E:E,E483)</f>
        <v>0</v>
      </c>
      <c r="AF483" s="75">
        <f t="shared" si="55"/>
        <v>0</v>
      </c>
      <c r="AG483" s="76">
        <f t="shared" si="49"/>
        <v>0</v>
      </c>
      <c r="AH483" s="31" t="e" cm="1">
        <f t="array" aca="1" ref="AH483" ca="1">IF((AD483) &lt; (INDEX(ResponseSLA[#All],(MATCH((G483),ResponseSLA[Priority],0))+1,3)),"YES","No")</f>
        <v>#N/A</v>
      </c>
      <c r="AI483" s="31" t="str">
        <f>_xlfn.IFNA(IF(AE483 &lt; (INDEX(SLATable[Minimum SLA],MATCH(G483,SLATable[Priority],0))),"YES","NO"),"")</f>
        <v/>
      </c>
      <c r="AJ483" t="str">
        <f>_xlfn.IFNA(IF(AE483 &lt; (INDEX(SLATable[Maximum SLA],MATCH(G483,SLATable[Priority],0))),"YES","NO"),"")</f>
        <v/>
      </c>
    </row>
    <row r="484" spans="26:36" ht="15" customHeight="1">
      <c r="Z484" s="76" t="e">
        <f t="shared" ca="1" si="50"/>
        <v>#N/A</v>
      </c>
      <c r="AA484" s="75" t="e">
        <f t="shared" ca="1" si="51"/>
        <v>#N/A</v>
      </c>
      <c r="AB484" s="76">
        <f t="shared" ca="1" si="52"/>
        <v>0</v>
      </c>
      <c r="AC484" s="75">
        <f t="shared" ca="1" si="53"/>
        <v>0</v>
      </c>
      <c r="AD484" s="76">
        <f t="shared" ca="1" si="54"/>
        <v>12388.425643750004</v>
      </c>
      <c r="AE484" s="76">
        <f>SUMIFS(AB:AB,E:E,E484)</f>
        <v>0</v>
      </c>
      <c r="AF484" s="75">
        <f t="shared" si="55"/>
        <v>0</v>
      </c>
      <c r="AG484" s="76">
        <f t="shared" si="49"/>
        <v>0</v>
      </c>
      <c r="AH484" s="31" t="e" cm="1">
        <f t="array" aca="1" ref="AH484" ca="1">IF((AD484) &lt; (INDEX(ResponseSLA[#All],(MATCH((G484),ResponseSLA[Priority],0))+1,3)),"YES","No")</f>
        <v>#N/A</v>
      </c>
      <c r="AI484" s="31" t="str">
        <f>_xlfn.IFNA(IF(AE484 &lt; (INDEX(SLATable[Minimum SLA],MATCH(G484,SLATable[Priority],0))),"YES","NO"),"")</f>
        <v/>
      </c>
      <c r="AJ484" t="str">
        <f>_xlfn.IFNA(IF(AE484 &lt; (INDEX(SLATable[Maximum SLA],MATCH(G484,SLATable[Priority],0))),"YES","NO"),"")</f>
        <v/>
      </c>
    </row>
    <row r="485" spans="26:36" ht="15" customHeight="1">
      <c r="Z485" s="76" t="e">
        <f t="shared" ca="1" si="50"/>
        <v>#N/A</v>
      </c>
      <c r="AA485" s="75" t="e">
        <f t="shared" ca="1" si="51"/>
        <v>#N/A</v>
      </c>
      <c r="AB485" s="76">
        <f t="shared" ca="1" si="52"/>
        <v>0</v>
      </c>
      <c r="AC485" s="75">
        <f t="shared" ca="1" si="53"/>
        <v>0</v>
      </c>
      <c r="AD485" s="76">
        <f t="shared" ca="1" si="54"/>
        <v>12388.425643634258</v>
      </c>
      <c r="AE485" s="76">
        <f>SUMIFS(AB:AB,E:E,E485)</f>
        <v>0</v>
      </c>
      <c r="AF485" s="75">
        <f t="shared" si="55"/>
        <v>0</v>
      </c>
      <c r="AG485" s="76">
        <f t="shared" si="49"/>
        <v>0</v>
      </c>
      <c r="AH485" s="31" t="e" cm="1">
        <f t="array" aca="1" ref="AH485" ca="1">IF((AD485) &lt; (INDEX(ResponseSLA[#All],(MATCH((G485),ResponseSLA[Priority],0))+1,3)),"YES","No")</f>
        <v>#N/A</v>
      </c>
      <c r="AI485" s="31" t="str">
        <f>_xlfn.IFNA(IF(AE485 &lt; (INDEX(SLATable[Minimum SLA],MATCH(G485,SLATable[Priority],0))),"YES","NO"),"")</f>
        <v/>
      </c>
      <c r="AJ485" t="str">
        <f>_xlfn.IFNA(IF(AE485 &lt; (INDEX(SLATable[Maximum SLA],MATCH(G485,SLATable[Priority],0))),"YES","NO"),"")</f>
        <v/>
      </c>
    </row>
    <row r="486" spans="26:36" ht="15" customHeight="1">
      <c r="Z486" s="76" t="e">
        <f t="shared" ca="1" si="50"/>
        <v>#N/A</v>
      </c>
      <c r="AA486" s="75" t="e">
        <f t="shared" ca="1" si="51"/>
        <v>#N/A</v>
      </c>
      <c r="AB486" s="76">
        <f t="shared" ca="1" si="52"/>
        <v>0</v>
      </c>
      <c r="AC486" s="75">
        <f t="shared" ca="1" si="53"/>
        <v>0</v>
      </c>
      <c r="AD486" s="76">
        <f t="shared" ca="1" si="54"/>
        <v>12388.425643634258</v>
      </c>
      <c r="AE486" s="76">
        <f>SUMIFS(AB:AB,E:E,E486)</f>
        <v>0</v>
      </c>
      <c r="AF486" s="75">
        <f t="shared" si="55"/>
        <v>0</v>
      </c>
      <c r="AG486" s="76">
        <f t="shared" si="49"/>
        <v>0</v>
      </c>
      <c r="AH486" s="31" t="e" cm="1">
        <f t="array" aca="1" ref="AH486" ca="1">IF((AD486) &lt; (INDEX(ResponseSLA[#All],(MATCH((G486),ResponseSLA[Priority],0))+1,3)),"YES","No")</f>
        <v>#N/A</v>
      </c>
      <c r="AI486" s="31" t="str">
        <f>_xlfn.IFNA(IF(AE486 &lt; (INDEX(SLATable[Minimum SLA],MATCH(G486,SLATable[Priority],0))),"YES","NO"),"")</f>
        <v/>
      </c>
      <c r="AJ486" t="str">
        <f>_xlfn.IFNA(IF(AE486 &lt; (INDEX(SLATable[Maximum SLA],MATCH(G486,SLATable[Priority],0))),"YES","NO"),"")</f>
        <v/>
      </c>
    </row>
    <row r="487" spans="26:36" ht="15" customHeight="1">
      <c r="Z487" s="76" t="e">
        <f t="shared" ca="1" si="50"/>
        <v>#N/A</v>
      </c>
      <c r="AA487" s="75" t="e">
        <f t="shared" ca="1" si="51"/>
        <v>#N/A</v>
      </c>
      <c r="AB487" s="76">
        <f t="shared" ca="1" si="52"/>
        <v>0</v>
      </c>
      <c r="AC487" s="75">
        <f t="shared" ca="1" si="53"/>
        <v>0</v>
      </c>
      <c r="AD487" s="76">
        <f t="shared" ca="1" si="54"/>
        <v>12388.425643750004</v>
      </c>
      <c r="AE487" s="76">
        <f>SUMIFS(AB:AB,E:E,E487)</f>
        <v>0</v>
      </c>
      <c r="AF487" s="75">
        <f t="shared" si="55"/>
        <v>0</v>
      </c>
      <c r="AG487" s="76">
        <f t="shared" si="49"/>
        <v>0</v>
      </c>
      <c r="AH487" s="31" t="e" cm="1">
        <f t="array" aca="1" ref="AH487" ca="1">IF((AD487) &lt; (INDEX(ResponseSLA[#All],(MATCH((G487),ResponseSLA[Priority],0))+1,3)),"YES","No")</f>
        <v>#N/A</v>
      </c>
      <c r="AI487" s="31" t="str">
        <f>_xlfn.IFNA(IF(AE487 &lt; (INDEX(SLATable[Minimum SLA],MATCH(G487,SLATable[Priority],0))),"YES","NO"),"")</f>
        <v/>
      </c>
      <c r="AJ487" t="str">
        <f>_xlfn.IFNA(IF(AE487 &lt; (INDEX(SLATable[Maximum SLA],MATCH(G487,SLATable[Priority],0))),"YES","NO"),"")</f>
        <v/>
      </c>
    </row>
    <row r="488" spans="26:36" ht="15" customHeight="1">
      <c r="Z488" s="76" t="e">
        <f t="shared" ca="1" si="50"/>
        <v>#N/A</v>
      </c>
      <c r="AA488" s="75" t="e">
        <f t="shared" ca="1" si="51"/>
        <v>#N/A</v>
      </c>
      <c r="AB488" s="76">
        <f t="shared" ca="1" si="52"/>
        <v>0</v>
      </c>
      <c r="AC488" s="75">
        <f t="shared" ca="1" si="53"/>
        <v>0</v>
      </c>
      <c r="AD488" s="76">
        <f t="shared" ca="1" si="54"/>
        <v>12388.425643634258</v>
      </c>
      <c r="AE488" s="76">
        <f>SUMIFS(AB:AB,E:E,E488)</f>
        <v>0</v>
      </c>
      <c r="AF488" s="75">
        <f t="shared" si="55"/>
        <v>0</v>
      </c>
      <c r="AG488" s="76">
        <f t="shared" si="49"/>
        <v>0</v>
      </c>
      <c r="AH488" s="31" t="e" cm="1">
        <f t="array" aca="1" ref="AH488" ca="1">IF((AD488) &lt; (INDEX(ResponseSLA[#All],(MATCH((G488),ResponseSLA[Priority],0))+1,3)),"YES","No")</f>
        <v>#N/A</v>
      </c>
      <c r="AI488" s="31" t="str">
        <f>_xlfn.IFNA(IF(AE488 &lt; (INDEX(SLATable[Minimum SLA],MATCH(G488,SLATable[Priority],0))),"YES","NO"),"")</f>
        <v/>
      </c>
      <c r="AJ488" t="str">
        <f>_xlfn.IFNA(IF(AE488 &lt; (INDEX(SLATable[Maximum SLA],MATCH(G488,SLATable[Priority],0))),"YES","NO"),"")</f>
        <v/>
      </c>
    </row>
    <row r="489" spans="26:36" ht="15" customHeight="1">
      <c r="Z489" s="76" t="e">
        <f t="shared" ca="1" si="50"/>
        <v>#N/A</v>
      </c>
      <c r="AA489" s="75" t="e">
        <f t="shared" ca="1" si="51"/>
        <v>#N/A</v>
      </c>
      <c r="AB489" s="76">
        <f t="shared" ca="1" si="52"/>
        <v>0</v>
      </c>
      <c r="AC489" s="75">
        <f t="shared" ca="1" si="53"/>
        <v>0</v>
      </c>
      <c r="AD489" s="76">
        <f t="shared" ca="1" si="54"/>
        <v>12388.425643634258</v>
      </c>
      <c r="AE489" s="76">
        <f>SUMIFS(AB:AB,E:E,E489)</f>
        <v>0</v>
      </c>
      <c r="AF489" s="75">
        <f t="shared" si="55"/>
        <v>0</v>
      </c>
      <c r="AG489" s="76">
        <f t="shared" si="49"/>
        <v>0</v>
      </c>
      <c r="AH489" s="31" t="e" cm="1">
        <f t="array" aca="1" ref="AH489" ca="1">IF((AD489) &lt; (INDEX(ResponseSLA[#All],(MATCH((G489),ResponseSLA[Priority],0))+1,3)),"YES","No")</f>
        <v>#N/A</v>
      </c>
      <c r="AI489" s="31" t="str">
        <f>_xlfn.IFNA(IF(AE489 &lt; (INDEX(SLATable[Minimum SLA],MATCH(G489,SLATable[Priority],0))),"YES","NO"),"")</f>
        <v/>
      </c>
      <c r="AJ489" t="str">
        <f>_xlfn.IFNA(IF(AE489 &lt; (INDEX(SLATable[Maximum SLA],MATCH(G489,SLATable[Priority],0))),"YES","NO"),"")</f>
        <v/>
      </c>
    </row>
    <row r="490" spans="26:36" ht="15" customHeight="1">
      <c r="Z490" s="76" t="e">
        <f t="shared" ca="1" si="50"/>
        <v>#N/A</v>
      </c>
      <c r="AA490" s="75" t="e">
        <f t="shared" ca="1" si="51"/>
        <v>#N/A</v>
      </c>
      <c r="AB490" s="76">
        <f t="shared" ca="1" si="52"/>
        <v>0</v>
      </c>
      <c r="AC490" s="75">
        <f t="shared" ca="1" si="53"/>
        <v>0</v>
      </c>
      <c r="AD490" s="76">
        <f t="shared" ca="1" si="54"/>
        <v>12388.425643750004</v>
      </c>
      <c r="AE490" s="76">
        <f>SUMIFS(AB:AB,E:E,E490)</f>
        <v>0</v>
      </c>
      <c r="AF490" s="75">
        <f t="shared" si="55"/>
        <v>0</v>
      </c>
      <c r="AG490" s="76">
        <f t="shared" si="49"/>
        <v>0</v>
      </c>
      <c r="AH490" s="31" t="e" cm="1">
        <f t="array" aca="1" ref="AH490" ca="1">IF((AD490) &lt; (INDEX(ResponseSLA[#All],(MATCH((G490),ResponseSLA[Priority],0))+1,3)),"YES","No")</f>
        <v>#N/A</v>
      </c>
      <c r="AI490" s="31" t="str">
        <f>_xlfn.IFNA(IF(AE490 &lt; (INDEX(SLATable[Minimum SLA],MATCH(G490,SLATable[Priority],0))),"YES","NO"),"")</f>
        <v/>
      </c>
      <c r="AJ490" t="str">
        <f>_xlfn.IFNA(IF(AE490 &lt; (INDEX(SLATable[Maximum SLA],MATCH(G490,SLATable[Priority],0))),"YES","NO"),"")</f>
        <v/>
      </c>
    </row>
    <row r="491" spans="26:36" ht="15" customHeight="1">
      <c r="Z491" s="76" t="e">
        <f t="shared" ca="1" si="50"/>
        <v>#N/A</v>
      </c>
      <c r="AA491" s="75" t="e">
        <f t="shared" ca="1" si="51"/>
        <v>#N/A</v>
      </c>
      <c r="AB491" s="76">
        <f t="shared" ca="1" si="52"/>
        <v>0</v>
      </c>
      <c r="AC491" s="75">
        <f t="shared" ca="1" si="53"/>
        <v>0</v>
      </c>
      <c r="AD491" s="76">
        <f t="shared" ca="1" si="54"/>
        <v>12388.425643634258</v>
      </c>
      <c r="AE491" s="76">
        <f>SUMIFS(AB:AB,E:E,E491)</f>
        <v>0</v>
      </c>
      <c r="AF491" s="75">
        <f t="shared" si="55"/>
        <v>0</v>
      </c>
      <c r="AG491" s="76">
        <f t="shared" si="49"/>
        <v>0</v>
      </c>
      <c r="AH491" s="31" t="e" cm="1">
        <f t="array" aca="1" ref="AH491" ca="1">IF((AD491) &lt; (INDEX(ResponseSLA[#All],(MATCH((G491),ResponseSLA[Priority],0))+1,3)),"YES","No")</f>
        <v>#N/A</v>
      </c>
      <c r="AI491" s="31" t="str">
        <f>_xlfn.IFNA(IF(AE491 &lt; (INDEX(SLATable[Minimum SLA],MATCH(G491,SLATable[Priority],0))),"YES","NO"),"")</f>
        <v/>
      </c>
      <c r="AJ491" t="str">
        <f>_xlfn.IFNA(IF(AE491 &lt; (INDEX(SLATable[Maximum SLA],MATCH(G491,SLATable[Priority],0))),"YES","NO"),"")</f>
        <v/>
      </c>
    </row>
    <row r="492" spans="26:36" ht="15" customHeight="1">
      <c r="Z492" s="76" t="e">
        <f t="shared" ca="1" si="50"/>
        <v>#N/A</v>
      </c>
      <c r="AA492" s="75" t="e">
        <f t="shared" ca="1" si="51"/>
        <v>#N/A</v>
      </c>
      <c r="AB492" s="76">
        <f t="shared" ca="1" si="52"/>
        <v>0</v>
      </c>
      <c r="AC492" s="75">
        <f t="shared" ca="1" si="53"/>
        <v>0</v>
      </c>
      <c r="AD492" s="76">
        <f t="shared" ca="1" si="54"/>
        <v>12388.425643634258</v>
      </c>
      <c r="AE492" s="76">
        <f>SUMIFS(AB:AB,E:E,E492)</f>
        <v>0</v>
      </c>
      <c r="AF492" s="75">
        <f t="shared" si="55"/>
        <v>0</v>
      </c>
      <c r="AG492" s="76">
        <f t="shared" si="49"/>
        <v>0</v>
      </c>
      <c r="AH492" s="31" t="e" cm="1">
        <f t="array" aca="1" ref="AH492" ca="1">IF((AD492) &lt; (INDEX(ResponseSLA[#All],(MATCH((G492),ResponseSLA[Priority],0))+1,3)),"YES","No")</f>
        <v>#N/A</v>
      </c>
      <c r="AI492" s="31" t="str">
        <f>_xlfn.IFNA(IF(AE492 &lt; (INDEX(SLATable[Minimum SLA],MATCH(G492,SLATable[Priority],0))),"YES","NO"),"")</f>
        <v/>
      </c>
      <c r="AJ492" t="str">
        <f>_xlfn.IFNA(IF(AE492 &lt; (INDEX(SLATable[Maximum SLA],MATCH(G492,SLATable[Priority],0))),"YES","NO"),"")</f>
        <v/>
      </c>
    </row>
    <row r="493" spans="26:36" ht="15" customHeight="1">
      <c r="Z493" s="76" t="e">
        <f t="shared" ca="1" si="50"/>
        <v>#N/A</v>
      </c>
      <c r="AA493" s="75" t="e">
        <f t="shared" ca="1" si="51"/>
        <v>#N/A</v>
      </c>
      <c r="AB493" s="76">
        <f t="shared" ca="1" si="52"/>
        <v>0</v>
      </c>
      <c r="AC493" s="75">
        <f t="shared" ca="1" si="53"/>
        <v>0</v>
      </c>
      <c r="AD493" s="76">
        <f t="shared" ca="1" si="54"/>
        <v>12388.425643750004</v>
      </c>
      <c r="AE493" s="76">
        <f>SUMIFS(AB:AB,E:E,E493)</f>
        <v>0</v>
      </c>
      <c r="AF493" s="75">
        <f t="shared" si="55"/>
        <v>0</v>
      </c>
      <c r="AG493" s="76">
        <f t="shared" si="49"/>
        <v>0</v>
      </c>
      <c r="AH493" s="31" t="e" cm="1">
        <f t="array" aca="1" ref="AH493" ca="1">IF((AD493) &lt; (INDEX(ResponseSLA[#All],(MATCH((G493),ResponseSLA[Priority],0))+1,3)),"YES","No")</f>
        <v>#N/A</v>
      </c>
      <c r="AI493" s="31" t="str">
        <f>_xlfn.IFNA(IF(AE493 &lt; (INDEX(SLATable[Minimum SLA],MATCH(G493,SLATable[Priority],0))),"YES","NO"),"")</f>
        <v/>
      </c>
      <c r="AJ493" t="str">
        <f>_xlfn.IFNA(IF(AE493 &lt; (INDEX(SLATable[Maximum SLA],MATCH(G493,SLATable[Priority],0))),"YES","NO"),"")</f>
        <v/>
      </c>
    </row>
    <row r="494" spans="26:36" ht="15" customHeight="1">
      <c r="Z494" s="76" t="e">
        <f t="shared" ca="1" si="50"/>
        <v>#N/A</v>
      </c>
      <c r="AA494" s="75" t="e">
        <f t="shared" ca="1" si="51"/>
        <v>#N/A</v>
      </c>
      <c r="AB494" s="76">
        <f t="shared" ca="1" si="52"/>
        <v>0</v>
      </c>
      <c r="AC494" s="75">
        <f t="shared" ca="1" si="53"/>
        <v>0</v>
      </c>
      <c r="AD494" s="76">
        <f t="shared" ca="1" si="54"/>
        <v>12388.425643634258</v>
      </c>
      <c r="AE494" s="76">
        <f>SUMIFS(AB:AB,E:E,E494)</f>
        <v>0</v>
      </c>
      <c r="AF494" s="75">
        <f t="shared" si="55"/>
        <v>0</v>
      </c>
      <c r="AG494" s="76">
        <f t="shared" si="49"/>
        <v>0</v>
      </c>
      <c r="AH494" s="31" t="e" cm="1">
        <f t="array" aca="1" ref="AH494" ca="1">IF((AD494) &lt; (INDEX(ResponseSLA[#All],(MATCH((G494),ResponseSLA[Priority],0))+1,3)),"YES","No")</f>
        <v>#N/A</v>
      </c>
      <c r="AI494" s="31" t="str">
        <f>_xlfn.IFNA(IF(AE494 &lt; (INDEX(SLATable[Minimum SLA],MATCH(G494,SLATable[Priority],0))),"YES","NO"),"")</f>
        <v/>
      </c>
      <c r="AJ494" t="str">
        <f>_xlfn.IFNA(IF(AE494 &lt; (INDEX(SLATable[Maximum SLA],MATCH(G494,SLATable[Priority],0))),"YES","NO"),"")</f>
        <v/>
      </c>
    </row>
    <row r="495" spans="26:36" ht="15" customHeight="1">
      <c r="Z495" s="76" t="e">
        <f t="shared" ca="1" si="50"/>
        <v>#N/A</v>
      </c>
      <c r="AA495" s="75" t="e">
        <f t="shared" ca="1" si="51"/>
        <v>#N/A</v>
      </c>
      <c r="AB495" s="76">
        <f t="shared" ca="1" si="52"/>
        <v>0</v>
      </c>
      <c r="AC495" s="75">
        <f t="shared" ca="1" si="53"/>
        <v>0</v>
      </c>
      <c r="AD495" s="76">
        <f t="shared" ca="1" si="54"/>
        <v>12388.425643634258</v>
      </c>
      <c r="AE495" s="76">
        <f>SUMIFS(AB:AB,E:E,E495)</f>
        <v>0</v>
      </c>
      <c r="AF495" s="75">
        <f t="shared" si="55"/>
        <v>0</v>
      </c>
      <c r="AG495" s="76">
        <f t="shared" si="49"/>
        <v>0</v>
      </c>
      <c r="AH495" s="31" t="e" cm="1">
        <f t="array" aca="1" ref="AH495" ca="1">IF((AD495) &lt; (INDEX(ResponseSLA[#All],(MATCH((G495),ResponseSLA[Priority],0))+1,3)),"YES","No")</f>
        <v>#N/A</v>
      </c>
      <c r="AI495" s="31" t="str">
        <f>_xlfn.IFNA(IF(AE495 &lt; (INDEX(SLATable[Minimum SLA],MATCH(G495,SLATable[Priority],0))),"YES","NO"),"")</f>
        <v/>
      </c>
      <c r="AJ495" t="str">
        <f>_xlfn.IFNA(IF(AE495 &lt; (INDEX(SLATable[Maximum SLA],MATCH(G495,SLATable[Priority],0))),"YES","NO"),"")</f>
        <v/>
      </c>
    </row>
    <row r="496" spans="26:36" ht="15" customHeight="1">
      <c r="Z496" s="76" t="e">
        <f t="shared" ca="1" si="50"/>
        <v>#N/A</v>
      </c>
      <c r="AA496" s="75" t="e">
        <f t="shared" ca="1" si="51"/>
        <v>#N/A</v>
      </c>
      <c r="AB496" s="76">
        <f t="shared" ca="1" si="52"/>
        <v>0</v>
      </c>
      <c r="AC496" s="75">
        <f t="shared" ca="1" si="53"/>
        <v>0</v>
      </c>
      <c r="AD496" s="76">
        <f t="shared" ca="1" si="54"/>
        <v>12388.425643750004</v>
      </c>
      <c r="AE496" s="76">
        <f>SUMIFS(AB:AB,E:E,E496)</f>
        <v>0</v>
      </c>
      <c r="AF496" s="75">
        <f t="shared" si="55"/>
        <v>0</v>
      </c>
      <c r="AG496" s="76">
        <f t="shared" si="49"/>
        <v>0</v>
      </c>
      <c r="AH496" s="31" t="e" cm="1">
        <f t="array" aca="1" ref="AH496" ca="1">IF((AD496) &lt; (INDEX(ResponseSLA[#All],(MATCH((G496),ResponseSLA[Priority],0))+1,3)),"YES","No")</f>
        <v>#N/A</v>
      </c>
      <c r="AI496" s="31" t="str">
        <f>_xlfn.IFNA(IF(AE496 &lt; (INDEX(SLATable[Minimum SLA],MATCH(G496,SLATable[Priority],0))),"YES","NO"),"")</f>
        <v/>
      </c>
      <c r="AJ496" t="str">
        <f>_xlfn.IFNA(IF(AE496 &lt; (INDEX(SLATable[Maximum SLA],MATCH(G496,SLATable[Priority],0))),"YES","NO"),"")</f>
        <v/>
      </c>
    </row>
    <row r="497" spans="26:36" ht="15" customHeight="1">
      <c r="Z497" s="76" t="e">
        <f t="shared" ca="1" si="50"/>
        <v>#N/A</v>
      </c>
      <c r="AA497" s="75" t="e">
        <f t="shared" ca="1" si="51"/>
        <v>#N/A</v>
      </c>
      <c r="AB497" s="76">
        <f t="shared" ca="1" si="52"/>
        <v>0</v>
      </c>
      <c r="AC497" s="75">
        <f t="shared" ca="1" si="53"/>
        <v>0</v>
      </c>
      <c r="AD497" s="76">
        <f t="shared" ca="1" si="54"/>
        <v>12388.425643634258</v>
      </c>
      <c r="AE497" s="76">
        <f>SUMIFS(AB:AB,E:E,E497)</f>
        <v>0</v>
      </c>
      <c r="AF497" s="75">
        <f t="shared" si="55"/>
        <v>0</v>
      </c>
      <c r="AG497" s="76">
        <f t="shared" si="49"/>
        <v>0</v>
      </c>
      <c r="AH497" s="31" t="e" cm="1">
        <f t="array" aca="1" ref="AH497" ca="1">IF((AD497) &lt; (INDEX(ResponseSLA[#All],(MATCH((G497),ResponseSLA[Priority],0))+1,3)),"YES","No")</f>
        <v>#N/A</v>
      </c>
      <c r="AI497" s="31" t="str">
        <f>_xlfn.IFNA(IF(AE497 &lt; (INDEX(SLATable[Minimum SLA],MATCH(G497,SLATable[Priority],0))),"YES","NO"),"")</f>
        <v/>
      </c>
      <c r="AJ497" t="str">
        <f>_xlfn.IFNA(IF(AE497 &lt; (INDEX(SLATable[Maximum SLA],MATCH(G497,SLATable[Priority],0))),"YES","NO"),"")</f>
        <v/>
      </c>
    </row>
    <row r="498" spans="26:36" ht="15" customHeight="1">
      <c r="Z498" s="76" t="e">
        <f t="shared" ca="1" si="50"/>
        <v>#N/A</v>
      </c>
      <c r="AA498" s="75" t="e">
        <f t="shared" ca="1" si="51"/>
        <v>#N/A</v>
      </c>
      <c r="AB498" s="76">
        <f t="shared" ca="1" si="52"/>
        <v>0</v>
      </c>
      <c r="AC498" s="75">
        <f t="shared" ca="1" si="53"/>
        <v>0</v>
      </c>
      <c r="AD498" s="76">
        <f t="shared" ca="1" si="54"/>
        <v>12388.425643634258</v>
      </c>
      <c r="AE498" s="76">
        <f>SUMIFS(AB:AB,E:E,E498)</f>
        <v>0</v>
      </c>
      <c r="AF498" s="75">
        <f t="shared" si="55"/>
        <v>0</v>
      </c>
      <c r="AG498" s="76">
        <f t="shared" si="49"/>
        <v>0</v>
      </c>
      <c r="AH498" s="31" t="e" cm="1">
        <f t="array" aca="1" ref="AH498" ca="1">IF((AD498) &lt; (INDEX(ResponseSLA[#All],(MATCH((G498),ResponseSLA[Priority],0))+1,3)),"YES","No")</f>
        <v>#N/A</v>
      </c>
      <c r="AI498" s="31" t="str">
        <f>_xlfn.IFNA(IF(AE498 &lt; (INDEX(SLATable[Minimum SLA],MATCH(G498,SLATable[Priority],0))),"YES","NO"),"")</f>
        <v/>
      </c>
      <c r="AJ498" t="str">
        <f>_xlfn.IFNA(IF(AE498 &lt; (INDEX(SLATable[Maximum SLA],MATCH(G498,SLATable[Priority],0))),"YES","NO"),"")</f>
        <v/>
      </c>
    </row>
    <row r="499" spans="26:36" ht="15" customHeight="1">
      <c r="Z499" s="76" t="e">
        <f t="shared" ca="1" si="50"/>
        <v>#N/A</v>
      </c>
      <c r="AA499" s="75" t="e">
        <f t="shared" ca="1" si="51"/>
        <v>#N/A</v>
      </c>
      <c r="AB499" s="76">
        <f t="shared" ca="1" si="52"/>
        <v>0</v>
      </c>
      <c r="AC499" s="75">
        <f t="shared" ca="1" si="53"/>
        <v>0</v>
      </c>
      <c r="AD499" s="76">
        <f t="shared" ca="1" si="54"/>
        <v>12388.425643750004</v>
      </c>
      <c r="AE499" s="76">
        <f>SUMIFS(AB:AB,E:E,E499)</f>
        <v>0</v>
      </c>
      <c r="AF499" s="75">
        <f t="shared" si="55"/>
        <v>0</v>
      </c>
      <c r="AG499" s="76">
        <f t="shared" si="49"/>
        <v>0</v>
      </c>
      <c r="AH499" s="31" t="e" cm="1">
        <f t="array" aca="1" ref="AH499" ca="1">IF((AD499) &lt; (INDEX(ResponseSLA[#All],(MATCH((G499),ResponseSLA[Priority],0))+1,3)),"YES","No")</f>
        <v>#N/A</v>
      </c>
      <c r="AI499" s="31" t="str">
        <f>_xlfn.IFNA(IF(AE499 &lt; (INDEX(SLATable[Minimum SLA],MATCH(G499,SLATable[Priority],0))),"YES","NO"),"")</f>
        <v/>
      </c>
      <c r="AJ499" t="str">
        <f>_xlfn.IFNA(IF(AE499 &lt; (INDEX(SLATable[Maximum SLA],MATCH(G499,SLATable[Priority],0))),"YES","NO"),"")</f>
        <v/>
      </c>
    </row>
    <row r="500" spans="26:36" ht="15" customHeight="1">
      <c r="Z500" s="76" t="e">
        <f t="shared" ca="1" si="50"/>
        <v>#N/A</v>
      </c>
      <c r="AA500" s="75" t="e">
        <f t="shared" ca="1" si="51"/>
        <v>#N/A</v>
      </c>
      <c r="AB500" s="76">
        <f t="shared" ca="1" si="52"/>
        <v>0</v>
      </c>
      <c r="AC500" s="75">
        <f t="shared" ca="1" si="53"/>
        <v>0</v>
      </c>
      <c r="AD500" s="76">
        <f t="shared" ca="1" si="54"/>
        <v>12388.425643634258</v>
      </c>
      <c r="AE500" s="76">
        <f>SUMIFS(AB:AB,E:E,E500)</f>
        <v>0</v>
      </c>
      <c r="AF500" s="75">
        <f t="shared" si="55"/>
        <v>0</v>
      </c>
      <c r="AG500" s="76">
        <f t="shared" si="49"/>
        <v>0</v>
      </c>
      <c r="AH500" s="31" t="e" cm="1">
        <f t="array" aca="1" ref="AH500" ca="1">IF((AD500) &lt; (INDEX(ResponseSLA[#All],(MATCH((G500),ResponseSLA[Priority],0))+1,3)),"YES","No")</f>
        <v>#N/A</v>
      </c>
      <c r="AI500" s="31" t="str">
        <f>_xlfn.IFNA(IF(AE500 &lt; (INDEX(SLATable[Minimum SLA],MATCH(G500,SLATable[Priority],0))),"YES","NO"),"")</f>
        <v/>
      </c>
      <c r="AJ500" t="str">
        <f>_xlfn.IFNA(IF(AE500 &lt; (INDEX(SLATable[Maximum SLA],MATCH(G500,SLATable[Priority],0))),"YES","NO"),"")</f>
        <v/>
      </c>
    </row>
  </sheetData>
  <sheetProtection autoFilter="0"/>
  <protectedRanges>
    <protectedRange algorithmName="SHA-512" hashValue="99OQ+VOyYeTgkyp5V2h7IJuhOY+ByGUUH4Kc0xKuZgn2w66Z/zb6NCagB6+bjIBmhadenmL7/H2PSKzd599e6Q==" saltValue="s8mGfn7WVHJZXEYeB6j8Yw==" spinCount="100000" sqref="U1 AB1:AJ1" name="Formula Cells"/>
  </protectedRanges>
  <conditionalFormatting sqref="E1:E5 E14:E1048576">
    <cfRule type="duplicateValues" dxfId="37" priority="1"/>
  </conditionalFormatting>
  <dataValidations count="13">
    <dataValidation type="list" showInputMessage="1" showErrorMessage="1" errorTitle="Invalid Entry" error="Please select a value in TYPE before entering Priority" sqref="G1:G1048576" xr:uid="{522B80F6-F758-4542-BA93-FEBDDA4FA489}">
      <formula1>IF(D1="","",INDIRECT(D1&amp;"_PR"))</formula1>
    </dataValidation>
    <dataValidation type="list" allowBlank="1" showInputMessage="1" showErrorMessage="1" sqref="U1" xr:uid="{A7191D45-C207-405E-9EDC-70027DA5B8C1}">
      <formula1>SubCategory</formula1>
    </dataValidation>
    <dataValidation type="date" allowBlank="1" showInputMessage="1" showErrorMessage="1" sqref="O1:P5 N1 K1 L1:M2 L8:M8 K14:K494 L5:M6 L11:M494 N14:N494 O8" xr:uid="{A4AEA76E-4F7D-458D-8AED-C4F11E2AE780}">
      <formula1>36526</formula1>
      <formula2>73050</formula2>
    </dataValidation>
    <dataValidation allowBlank="1" showInputMessage="1" showErrorMessage="1" sqref="S1:T1" xr:uid="{02084427-1A23-4BBD-9398-C5D78A73D8D4}"/>
    <dataValidation type="list" allowBlank="1" showInputMessage="1" showErrorMessage="1" sqref="S2:S1048576" xr:uid="{EEFB4BE6-030C-4B6A-B507-2CC46F44921D}">
      <formula1>IF(D2="","",INDIRECT(D2))</formula1>
    </dataValidation>
    <dataValidation allowBlank="1" showInputMessage="1" showErrorMessage="1" errorTitle="Assigned to" error="dont type idiot" sqref="J1:J5" xr:uid="{372F4828-39F7-4AF5-BF7E-E4C1CD9382C5}"/>
    <dataValidation type="list" allowBlank="1" showInputMessage="1" showErrorMessage="1" sqref="U1:U1048576" xr:uid="{AB3C69C9-6F93-4DF3-9145-805D6185E5E9}">
      <formula1>"Yes,No"</formula1>
    </dataValidation>
    <dataValidation type="list" allowBlank="1" showInputMessage="1" showErrorMessage="1" sqref="R1:R1048576" xr:uid="{819247A1-9C8C-4EB5-A8FD-FF9AD4C86D48}">
      <formula1>Resolution_List</formula1>
    </dataValidation>
    <dataValidation type="list" allowBlank="1" showInputMessage="1" showErrorMessage="1" sqref="F1 F3:F1048576" xr:uid="{C89348D1-A6C4-4CDC-847B-2B993DD26237}">
      <formula1>Queue_List</formula1>
    </dataValidation>
    <dataValidation type="list" allowBlank="1" showInputMessage="1" showErrorMessage="1" sqref="D1:D1048576" xr:uid="{3080758C-FCAC-4ADA-9FDC-3148DFE83D07}">
      <formula1>Type_List</formula1>
    </dataValidation>
    <dataValidation type="list" showInputMessage="1" showErrorMessage="1" errorTitle="Invalid Domain" error="Please select value only from dropdown" sqref="C1:C1048576" xr:uid="{81AB9F43-C9EB-4795-9A8E-59CB61D987C7}">
      <formula1>Domain_List</formula1>
    </dataValidation>
    <dataValidation type="list" allowBlank="1" showInputMessage="1" showErrorMessage="1" sqref="B1:B1048576" xr:uid="{5411AA40-6CF8-4A71-9C5F-D3DF2B1E47B4}">
      <formula1>OpCo_List</formula1>
    </dataValidation>
    <dataValidation type="list" allowBlank="1" showInputMessage="1" showErrorMessage="1" sqref="I1:I5 I14:I1048576" xr:uid="{105F1B24-3281-493C-B21D-09A07EB81A90}">
      <formula1>Status_List</formula1>
    </dataValidation>
  </dataValidations>
  <pageMargins left="0.7" right="0.7" top="0.75" bottom="0.75" header="0.3" footer="0.3"/>
  <pageSetup paperSize="9"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B4D1434C-AE88-4380-9BCE-48416DDA13B5}">
          <x14:formula1>
            <xm:f>Variables!$Y$2:$Y$34</xm:f>
          </x14:formula1>
          <xm:sqref>T2:T1048576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26E55-4B85-44D6-909D-3E457DE8D04E}">
  <sheetPr codeName="Sheet9"/>
  <dimension ref="A1:AJ1436"/>
  <sheetViews>
    <sheetView zoomScale="70" zoomScaleNormal="70" workbookViewId="0">
      <pane ySplit="1" topLeftCell="AB885" activePane="bottomLeft" state="frozen"/>
      <selection pane="bottomLeft" activeCell="R864" sqref="R864"/>
    </sheetView>
  </sheetViews>
  <sheetFormatPr defaultColWidth="9.140625" defaultRowHeight="15" customHeight="1"/>
  <cols>
    <col min="1" max="1" width="6.42578125" style="45" customWidth="1"/>
    <col min="2" max="2" width="7.85546875" style="45" customWidth="1"/>
    <col min="3" max="3" width="10.42578125" style="45" customWidth="1"/>
    <col min="4" max="4" width="8.28515625" style="45" customWidth="1"/>
    <col min="5" max="5" width="24.7109375" style="45" customWidth="1"/>
    <col min="6" max="6" width="33.7109375" style="45" customWidth="1"/>
    <col min="7" max="7" width="17.28515625" style="58" customWidth="1"/>
    <col min="8" max="8" width="70.42578125" style="241" customWidth="1"/>
    <col min="9" max="9" width="15.28515625" style="45" customWidth="1"/>
    <col min="10" max="10" width="15.140625" style="127" customWidth="1"/>
    <col min="11" max="11" width="20.140625" style="47" customWidth="1"/>
    <col min="12" max="12" width="19.42578125" style="47" customWidth="1"/>
    <col min="13" max="13" width="24.7109375" style="47" customWidth="1"/>
    <col min="14" max="14" width="23.42578125" style="47" customWidth="1"/>
    <col min="15" max="15" width="21.42578125" style="47" customWidth="1"/>
    <col min="16" max="16" width="18.42578125" style="47" customWidth="1"/>
    <col min="17" max="17" width="33.42578125" style="45" customWidth="1"/>
    <col min="18" max="18" width="18.140625" style="45" customWidth="1"/>
    <col min="19" max="19" width="26.42578125" style="45" customWidth="1"/>
    <col min="20" max="20" width="13.85546875" style="45" customWidth="1"/>
    <col min="21" max="21" width="18" style="45" customWidth="1"/>
    <col min="22" max="22" width="17.85546875" style="45" customWidth="1"/>
    <col min="23" max="23" width="15.42578125" style="45" customWidth="1"/>
    <col min="24" max="24" width="25" style="45" customWidth="1"/>
    <col min="25" max="25" width="10.42578125" style="45" customWidth="1"/>
    <col min="26" max="26" width="19.28515625" style="172" customWidth="1"/>
    <col min="27" max="27" width="16.42578125" style="45" customWidth="1"/>
    <col min="28" max="28" width="21.85546875" style="172" customWidth="1"/>
    <col min="29" max="29" width="19.85546875" style="45" customWidth="1"/>
    <col min="30" max="30" width="13.42578125" style="45" customWidth="1"/>
    <col min="31" max="31" width="14" style="172" customWidth="1"/>
    <col min="32" max="32" width="18.85546875" style="45" customWidth="1"/>
    <col min="33" max="33" width="21" style="174" customWidth="1"/>
    <col min="34" max="34" width="17.85546875" style="45" bestFit="1" customWidth="1"/>
    <col min="35" max="35" width="28.28515625" style="45" bestFit="1" customWidth="1"/>
    <col min="36" max="36" width="28.7109375" style="45" bestFit="1" customWidth="1"/>
    <col min="37" max="16384" width="9.140625" style="45"/>
  </cols>
  <sheetData>
    <row r="1" spans="1:36" s="44" customFormat="1" ht="15" customHeight="1">
      <c r="A1" s="43" t="s">
        <v>347</v>
      </c>
      <c r="B1" s="43" t="s">
        <v>2</v>
      </c>
      <c r="C1" s="43" t="s">
        <v>3</v>
      </c>
      <c r="D1" s="43" t="s">
        <v>253</v>
      </c>
      <c r="E1" s="43" t="s">
        <v>348</v>
      </c>
      <c r="F1" s="43" t="s">
        <v>1</v>
      </c>
      <c r="G1" s="237" t="s">
        <v>324</v>
      </c>
      <c r="H1" s="240" t="s">
        <v>349</v>
      </c>
      <c r="I1" s="43" t="s">
        <v>254</v>
      </c>
      <c r="J1" s="242" t="s">
        <v>350</v>
      </c>
      <c r="K1" s="204" t="s">
        <v>351</v>
      </c>
      <c r="L1" s="204" t="s">
        <v>352</v>
      </c>
      <c r="M1" s="204" t="s">
        <v>353</v>
      </c>
      <c r="N1" s="204" t="s">
        <v>354</v>
      </c>
      <c r="O1" s="204" t="s">
        <v>355</v>
      </c>
      <c r="P1" s="204" t="s">
        <v>356</v>
      </c>
      <c r="Q1" s="43" t="s">
        <v>357</v>
      </c>
      <c r="R1" s="43" t="s">
        <v>358</v>
      </c>
      <c r="S1" s="43" t="s">
        <v>359</v>
      </c>
      <c r="T1" s="43" t="s">
        <v>258</v>
      </c>
      <c r="U1" s="43" t="s">
        <v>360</v>
      </c>
      <c r="V1" s="43" t="s">
        <v>361</v>
      </c>
      <c r="W1" s="43" t="s">
        <v>362</v>
      </c>
      <c r="X1" s="43" t="s">
        <v>363</v>
      </c>
      <c r="Y1" s="43" t="s">
        <v>364</v>
      </c>
      <c r="Z1" s="171" t="s">
        <v>82</v>
      </c>
      <c r="AA1" s="32" t="s">
        <v>90</v>
      </c>
      <c r="AB1" s="171" t="s">
        <v>84</v>
      </c>
      <c r="AC1" s="32" t="s">
        <v>92</v>
      </c>
      <c r="AD1" s="32" t="s">
        <v>86</v>
      </c>
      <c r="AE1" s="171" t="s">
        <v>88</v>
      </c>
      <c r="AF1" s="32" t="s">
        <v>365</v>
      </c>
      <c r="AG1" s="173" t="s">
        <v>366</v>
      </c>
      <c r="AH1" s="32" t="s">
        <v>94</v>
      </c>
      <c r="AI1" s="32" t="s">
        <v>96</v>
      </c>
      <c r="AJ1" s="33" t="s">
        <v>98</v>
      </c>
    </row>
    <row r="2" spans="1:36" ht="15" customHeight="1">
      <c r="B2" s="127" t="s">
        <v>26</v>
      </c>
      <c r="C2" s="127" t="s">
        <v>35</v>
      </c>
      <c r="D2" s="127" t="s">
        <v>207</v>
      </c>
      <c r="E2" s="130" t="s">
        <v>1031</v>
      </c>
      <c r="F2" s="128" t="s">
        <v>292</v>
      </c>
      <c r="G2" s="127">
        <v>3</v>
      </c>
      <c r="H2" s="127" t="s">
        <v>1032</v>
      </c>
      <c r="I2" s="127" t="s">
        <v>271</v>
      </c>
      <c r="J2" s="127" t="s">
        <v>1033</v>
      </c>
      <c r="K2" s="129">
        <v>46126.35633101852</v>
      </c>
      <c r="L2" s="129">
        <v>46126.35633101852</v>
      </c>
      <c r="M2" s="129">
        <v>46126.380659722221</v>
      </c>
      <c r="N2" s="129">
        <v>46129.456319444442</v>
      </c>
      <c r="O2" s="129">
        <v>46129.412314814814</v>
      </c>
      <c r="P2" s="129">
        <v>46129.456319444442</v>
      </c>
      <c r="Q2" s="127" t="s">
        <v>1034</v>
      </c>
      <c r="R2" s="127" t="s">
        <v>267</v>
      </c>
      <c r="S2" s="127" t="s">
        <v>203</v>
      </c>
      <c r="T2" s="127"/>
      <c r="U2" s="127" t="s">
        <v>371</v>
      </c>
      <c r="V2" s="127"/>
      <c r="W2" s="127"/>
      <c r="X2" s="127"/>
      <c r="Y2" s="127"/>
      <c r="Z2" s="169">
        <f ca="1">IF(NOT(OR(G2=1,G2=2)),MAX(0,_xlfn.IFS(AND(K2&lt;&gt;"",N2&lt;&gt;""),((MAX(NETWORKDAYS(K2,N2,UKBankHolidays)-1,0))*(TIME(17,0,0)-TIME(8,0,0))+IF(NETWORKDAYS(N2,N2,UKBankHolidays)&gt;0,MEDIAN(TIME(8,0,0),MOD(N2,1),TIME(17,0,0)),TIME(8,0,0))-IF(NETWORKDAYS(K2,K2,UKBankHolidays)&gt;0,MEDIAN(TIME(8,0,0),MOD(K2,1),TIME(17,0,0)),TIME(8,0,0)))-IF(AND(O2&lt;&gt;"",P2&lt;&gt;""),((MAX(NETWORKDAYS(O2,P2,UKBankHolidays)-1,0))*(TIME(17,0,0)-TIME(8,0,0))+IF(NETWORKDAYS(P2,P2,UKBankHolidays)&gt;0,MEDIAN(TIME(8,0,0),MOD(P2,1),TIME(17,0,0)),TIME(8,0,0))-IF(NETWORKDAYS(O2,O2,UKBankHolidays)&gt;0,MEDIAN(TIME(8,0,0),MOD(O2,1),TIME(17,0,0)),TIME(8,0,0))),0),AND(K2&lt;&gt;"",N2=""),((MAX(NETWORKDAYS(K2,NOW(),UKBankHolidays)-1,0))*(TIME(17,0,0)-TIME(8,0,0))+IF(NETWORKDAYS(NOW(),NOW(),UKBankHolidays)&gt;0,MEDIAN(TIME(8,0,0),MOD(NOW(),1),TIME(17,0,0)),TIME(8,0,0))-IF(NETWORKDAYS(K2,K2,UKBankHolidays)&gt;0,MEDIAN(TIME(8,0,0),MOD(K2,1),TIME(17,0,0)),TIME(8,0,0))))),IF(N2="",NOW()-K2,N2-K2))</f>
        <v>1.1809837962937311</v>
      </c>
      <c r="AA2" s="170">
        <f ca="1">(Z2*24)/9</f>
        <v>3.1492901234499495</v>
      </c>
      <c r="AB2" s="169">
        <f ca="1">IF(NOT(OR(G2=1,G2=2)),MAX(0,_xlfn.IFS(AND(K2&lt;&gt;"",N2&lt;&gt;""),(((MAX(NETWORKDAYS(L2,N2,UKBankHolidays)-1,0))*(TIME(17,0,0)-TIME(8,0,0)))+IF(NETWORKDAYS(N2,N2,UKBankHolidays)&gt;0,MEDIAN(TIME(8,0,0),MOD(N2,1),TIME(17,0,0)),TIME(8,0,0))-IF(NETWORKDAYS(L2,L2,UKBankHolidays)&gt;0,MEDIAN(TIME(8,0,0),MOD(L2,1),TIME(17,0,0)),TIME(8,0,0)))-IF(AND(O2&lt;&gt;"",P2&lt;&gt;""),(((MAX(NETWORKDAYS(O2,P2,UKBankHolidays)-1,0))*(TIME(17,0,0)-TIME(8,0,0)))+IF(NETWORKDAYS(P2,P2,UKBankHolidays)&gt;0,MEDIAN(TIME(8,0,0),MOD(P2,1),TIME(17,0,0)),TIME(8,0,0))-IF(NETWORKDAYS(O2,O2,UKBankHolidays)&gt;0,MEDIAN(TIME(8,0,0),MOD(O2,1),TIME(17,0,0)),TIME(8,0,0))),0),AND(L2&lt;&gt;"",N2="",O2=""),(((MAX(NETWORKDAYS(L2,NOW(),UKBankHolidays)-1,0))*(TIME(17,0,0)-TIME(8,0,0)))+IF(NETWORKDAYS(NOW(),NOW(),UKBankHolidays)&gt;0,MEDIAN(TIME(8,0,0),MOD(NOW(),1),TIME(17,0,0)),TIME(8,0,0))-IF(NETWORKDAYS(L2,L2,UKBankHolidays)&gt;0,MEDIAN(TIME(8,0,0),MOD(L2,1),TIME(17,0,0)),TIME(8,0,0)))-IF(AND(O2&lt;&gt;"",P2&lt;&gt;""),(((MAX(NETWORKDAYS(O2,P2,UKBankHolidays)-1,0))*(TIME(17,0,0)-TIME(8,0,0)))+IF(NETWORKDAYS(P2,P2,UKBankHolidays)&gt;0,MEDIAN(TIME(8,0,0),MOD(P2,1),TIME(17,0,0)),TIME(8,0,0))-IF(NETWORKDAYS(O2,O2,UKBankHolidays)&gt;0,MEDIAN(TIME(8,0,0),MOD(O2,1),TIME(17,0,0)),TIME(8,0,0))),0),AND(L2&lt;&gt;"",N2="",P2="",O2&lt;&gt;""),(((MAX(NETWORKDAYS(L2,O2,UKBankHolidays)-1,0))*(TIME(17,0,0)-TIME(8,0,0)))+IF(NETWORKDAYS(O2,O2,UKBankHolidays)&gt;0,MEDIAN(TIME(8,0,0),MOD(O2,1),TIME(17,0,0)),TIME(8,0,0))-IF(NETWORKDAYS(L2,L2,UKBankHolidays)&gt;0,MEDIAN(TIME(8,0,0),MOD(L2,1),TIME(17,0,0)),TIME(8,0,0))),ISBLANK(K2),"0")),IF(ISBLANK(N2),NOW()-L2,N2-L2))</f>
        <v>1.1809837962937311</v>
      </c>
      <c r="AC2" s="170">
        <f ca="1">(AB2*24)/9</f>
        <v>3.1492901234499495</v>
      </c>
      <c r="AD2" s="169">
        <f ca="1">MAX(0,IF(NOT(OR(G2=1,G2=2)),IF(M2&lt;&gt;"",((MAX(NETWORKDAYS(L2,M2,UKBankHolidays)-1,0))*(TIME(17,0,0)-TIME(8,0,0))+IF(NETWORKDAYS(M2,M2,UKBankHolidays)&gt;0,MEDIAN(TIME(8,0,0),MOD(M2,1),TIME(17,0,0)),TIME(8,0,0))-MEDIAN(TIME(8,0,0),MOD(L2,1),TIME(17,0,0))),((MAX(NETWORKDAYS(L2,NOW(),UKBankHolidays)-1,0))*(TIME(17,0,0)-TIME(8,0,0))+IF(NETWORKDAYS(NOW(),NOW(),UKBankHolidays)&gt;0,MEDIAN(TIME(8,0,0),MOD(NOW(),1),TIME(17,0,0)),TIME(8,0,0))-MEDIAN(TIME(8,0,0),MOD(L2,1),TIME(17,0,0)))),IF(M2&lt;&gt;"",M2-L2,NOW()-L2)))</f>
        <v>2.4328703701030463E-2</v>
      </c>
      <c r="AE2" s="169">
        <f t="shared" ref="AE2:AE65" ca="1" si="0">SUMIFS(AB:AB,E:E,E2)</f>
        <v>1.1809837962937311</v>
      </c>
      <c r="AF2" s="170">
        <f ca="1">(AE2*24)/9</f>
        <v>3.1492901234499495</v>
      </c>
      <c r="AG2" s="170">
        <f ca="1">AF2</f>
        <v>3.1492901234499495</v>
      </c>
      <c r="AH2" s="28" t="str" cm="1">
        <f t="array" aca="1" ref="AH2" ca="1">IF((AD2) &lt; (INDEX(ResponseSLA[#All],(MATCH((G2),ResponseSLA[Priority],0))+1,3)),"YES","No")</f>
        <v>YES</v>
      </c>
      <c r="AI2" s="28" t="str">
        <f ca="1">_xlfn.IFNA(IF(AE2 &lt; (INDEX(SLATable[Minimum SLA],MATCH(G2,SLATable[Priority],0))),"YES","NO"),"")</f>
        <v>NO</v>
      </c>
      <c r="AJ2" s="28" t="str">
        <f ca="1">_xlfn.IFNA(IF(AE2 &lt; (INDEX(SLATable[Maximum SLA],MATCH(G2,SLATable[Priority],0))),"YES","NO"),"")</f>
        <v>YES</v>
      </c>
    </row>
    <row r="3" spans="1:36" ht="15" customHeight="1">
      <c r="B3" s="127" t="s">
        <v>26</v>
      </c>
      <c r="C3" s="127" t="s">
        <v>35</v>
      </c>
      <c r="D3" s="127" t="s">
        <v>207</v>
      </c>
      <c r="E3" s="130" t="s">
        <v>1035</v>
      </c>
      <c r="F3" s="127" t="s">
        <v>292</v>
      </c>
      <c r="G3" s="127">
        <v>4</v>
      </c>
      <c r="H3" s="127" t="s">
        <v>1036</v>
      </c>
      <c r="I3" s="127" t="s">
        <v>271</v>
      </c>
      <c r="J3" s="127" t="s">
        <v>1033</v>
      </c>
      <c r="K3" s="129">
        <v>46119.326307870368</v>
      </c>
      <c r="L3" s="129">
        <v>46119.326307870368</v>
      </c>
      <c r="M3" s="129">
        <v>46119.359884259262</v>
      </c>
      <c r="N3" s="129">
        <v>46133.450706018521</v>
      </c>
      <c r="O3" s="129">
        <v>46120.487800925926</v>
      </c>
      <c r="P3" s="129">
        <v>46122.822638888887</v>
      </c>
      <c r="Q3" s="127" t="s">
        <v>1034</v>
      </c>
      <c r="R3" s="127" t="s">
        <v>267</v>
      </c>
      <c r="S3" s="127" t="s">
        <v>203</v>
      </c>
      <c r="T3" s="127"/>
      <c r="U3" s="127" t="s">
        <v>371</v>
      </c>
      <c r="V3" s="127"/>
      <c r="W3" s="127"/>
      <c r="X3" s="127"/>
      <c r="Y3" s="127"/>
      <c r="Z3" s="169">
        <f t="shared" ref="Z3:Z66" ca="1" si="1">IF(NOT(OR(G3=1,G3=2)),MAX(0,_xlfn.IFS(AND(K3&lt;&gt;"",N3&lt;&gt;""),((MAX(NETWORKDAYS(K3,N3,UKBankHolidays)-1,0))*(TIME(17,0,0)-TIME(8,0,0))+IF(NETWORKDAYS(N3,N3,UKBankHolidays)&gt;0,MEDIAN(TIME(8,0,0),MOD(N3,1),TIME(17,0,0)),TIME(8,0,0))-IF(NETWORKDAYS(K3,K3,UKBankHolidays)&gt;0,MEDIAN(TIME(8,0,0),MOD(K3,1),TIME(17,0,0)),TIME(8,0,0)))-IF(AND(O3&lt;&gt;"",P3&lt;&gt;""),((MAX(NETWORKDAYS(O3,P3,UKBankHolidays)-1,0))*(TIME(17,0,0)-TIME(8,0,0))+IF(NETWORKDAYS(P3,P3,UKBankHolidays)&gt;0,MEDIAN(TIME(8,0,0),MOD(P3,1),TIME(17,0,0)),TIME(8,0,0))-IF(NETWORKDAYS(O3,O3,UKBankHolidays)&gt;0,MEDIAN(TIME(8,0,0),MOD(O3,1),TIME(17,0,0)),TIME(8,0,0))),0),AND(K3&lt;&gt;"",N3=""),((MAX(NETWORKDAYS(K3,NOW(),UKBankHolidays)-1,0))*(TIME(17,0,0)-TIME(8,0,0))+IF(NETWORKDAYS(NOW(),NOW(),UKBankHolidays)&gt;0,MEDIAN(TIME(8,0,0),MOD(NOW(),1),TIME(17,0,0)),TIME(8,0,0))-IF(NETWORKDAYS(K3,K3,UKBankHolidays)&gt;0,MEDIAN(TIME(8,0,0),MOD(K3,1),TIME(17,0,0)),TIME(8,0,0))))),IF(N3="",NOW()-K3,N3-K3))</f>
        <v>2.8968402777803322</v>
      </c>
      <c r="AA3" s="170">
        <f t="shared" ref="AA3:AA66" ca="1" si="2">(Z3*24)/9</f>
        <v>7.7249074074142197</v>
      </c>
      <c r="AB3" s="169">
        <f t="shared" ref="AB3:AB66" ca="1" si="3">IF(NOT(OR(G3=1,G3=2)),MAX(0,_xlfn.IFS(AND(K3&lt;&gt;"",N3&lt;&gt;""),(((MAX(NETWORKDAYS(L3,N3,UKBankHolidays)-1,0))*(TIME(17,0,0)-TIME(8,0,0)))+IF(NETWORKDAYS(N3,N3,UKBankHolidays)&gt;0,MEDIAN(TIME(8,0,0),MOD(N3,1),TIME(17,0,0)),TIME(8,0,0))-IF(NETWORKDAYS(L3,L3,UKBankHolidays)&gt;0,MEDIAN(TIME(8,0,0),MOD(L3,1),TIME(17,0,0)),TIME(8,0,0)))-IF(AND(O3&lt;&gt;"",P3&lt;&gt;""),(((MAX(NETWORKDAYS(O3,P3,UKBankHolidays)-1,0))*(TIME(17,0,0)-TIME(8,0,0)))+IF(NETWORKDAYS(P3,P3,UKBankHolidays)&gt;0,MEDIAN(TIME(8,0,0),MOD(P3,1),TIME(17,0,0)),TIME(8,0,0))-IF(NETWORKDAYS(O3,O3,UKBankHolidays)&gt;0,MEDIAN(TIME(8,0,0),MOD(O3,1),TIME(17,0,0)),TIME(8,0,0))),0),AND(L3&lt;&gt;"",N3="",O3=""),(((MAX(NETWORKDAYS(L3,NOW(),UKBankHolidays)-1,0))*(TIME(17,0,0)-TIME(8,0,0)))+IF(NETWORKDAYS(NOW(),NOW(),UKBankHolidays)&gt;0,MEDIAN(TIME(8,0,0),MOD(NOW(),1),TIME(17,0,0)),TIME(8,0,0))-IF(NETWORKDAYS(L3,L3,UKBankHolidays)&gt;0,MEDIAN(TIME(8,0,0),MOD(L3,1),TIME(17,0,0)),TIME(8,0,0)))-IF(AND(O3&lt;&gt;"",P3&lt;&gt;""),(((MAX(NETWORKDAYS(O3,P3,UKBankHolidays)-1,0))*(TIME(17,0,0)-TIME(8,0,0)))+IF(NETWORKDAYS(P3,P3,UKBankHolidays)&gt;0,MEDIAN(TIME(8,0,0),MOD(P3,1),TIME(17,0,0)),TIME(8,0,0))-IF(NETWORKDAYS(O3,O3,UKBankHolidays)&gt;0,MEDIAN(TIME(8,0,0),MOD(O3,1),TIME(17,0,0)),TIME(8,0,0))),0),AND(L3&lt;&gt;"",N3="",P3="",O3&lt;&gt;""),(((MAX(NETWORKDAYS(L3,O3,UKBankHolidays)-1,0))*(TIME(17,0,0)-TIME(8,0,0)))+IF(NETWORKDAYS(O3,O3,UKBankHolidays)&gt;0,MEDIAN(TIME(8,0,0),MOD(O3,1),TIME(17,0,0)),TIME(8,0,0))-IF(NETWORKDAYS(L3,L3,UKBankHolidays)&gt;0,MEDIAN(TIME(8,0,0),MOD(L3,1),TIME(17,0,0)),TIME(8,0,0))),ISBLANK(K3),"0")),IF(ISBLANK(N3),NOW()-L3,N3-L3))</f>
        <v>2.8968402777803322</v>
      </c>
      <c r="AC3" s="170">
        <f t="shared" ref="AC3:AC66" ca="1" si="4">(AB3*24)/9</f>
        <v>7.7249074074142197</v>
      </c>
      <c r="AD3" s="169">
        <f t="shared" ref="AD3:AD66" ca="1" si="5">MAX(0,IF(NOT(OR(G3=1,G3=2)),IF(M3&lt;&gt;"",((MAX(NETWORKDAYS(L3,M3,UKBankHolidays)-1,0))*(TIME(17,0,0)-TIME(8,0,0))+IF(NETWORKDAYS(M3,M3,UKBankHolidays)&gt;0,MEDIAN(TIME(8,0,0),MOD(M3,1),TIME(17,0,0)),TIME(8,0,0))-MEDIAN(TIME(8,0,0),MOD(L3,1),TIME(17,0,0))),((MAX(NETWORKDAYS(L3,NOW(),UKBankHolidays)-1,0))*(TIME(17,0,0)-TIME(8,0,0))+IF(NETWORKDAYS(NOW(),NOW(),UKBankHolidays)&gt;0,MEDIAN(TIME(8,0,0),MOD(NOW(),1),TIME(17,0,0)),TIME(8,0,0))-MEDIAN(TIME(8,0,0),MOD(L3,1),TIME(17,0,0)))),IF(M3&lt;&gt;"",M3-L3,NOW()-L3)))</f>
        <v>2.6550925928556068E-2</v>
      </c>
      <c r="AE3" s="169">
        <f t="shared" ca="1" si="0"/>
        <v>2.8968402777803322</v>
      </c>
      <c r="AF3" s="170">
        <f t="shared" ref="AF3:AF66" ca="1" si="6">(AE3*24)/9</f>
        <v>7.7249074074142197</v>
      </c>
      <c r="AG3" s="170">
        <f t="shared" ref="AG3:AG66" ca="1" si="7">AF3</f>
        <v>7.7249074074142197</v>
      </c>
      <c r="AH3" s="28" t="str" cm="1">
        <f t="array" aca="1" ref="AH3" ca="1">IF((AD3) &lt; (INDEX(ResponseSLA[#All],(MATCH((G3),ResponseSLA[Priority],0))+1,3)),"YES","No")</f>
        <v>YES</v>
      </c>
      <c r="AI3" s="28" t="str">
        <f ca="1">_xlfn.IFNA(IF(AE3 &lt; (INDEX(SLATable[Minimum SLA],MATCH(G3,SLATable[Priority],0))),"YES","NO"),"")</f>
        <v>YES</v>
      </c>
      <c r="AJ3" s="28" t="str">
        <f ca="1">_xlfn.IFNA(IF(AE3 &lt; (INDEX(SLATable[Maximum SLA],MATCH(G3,SLATable[Priority],0))),"YES","NO"),"")</f>
        <v>YES</v>
      </c>
    </row>
    <row r="4" spans="1:36" ht="15" customHeight="1">
      <c r="B4" s="127" t="s">
        <v>26</v>
      </c>
      <c r="C4" s="127" t="s">
        <v>35</v>
      </c>
      <c r="D4" s="127" t="s">
        <v>207</v>
      </c>
      <c r="E4" s="130" t="s">
        <v>1037</v>
      </c>
      <c r="F4" s="127" t="s">
        <v>292</v>
      </c>
      <c r="G4" s="127">
        <v>4</v>
      </c>
      <c r="H4" s="127" t="s">
        <v>1038</v>
      </c>
      <c r="I4" s="127" t="s">
        <v>271</v>
      </c>
      <c r="J4" s="127" t="s">
        <v>1033</v>
      </c>
      <c r="K4" s="129">
        <v>46111.747476851851</v>
      </c>
      <c r="L4" s="129">
        <v>46112.434050925927</v>
      </c>
      <c r="M4" s="129">
        <v>46114.635775462964</v>
      </c>
      <c r="N4" s="129">
        <v>46133.455509259256</v>
      </c>
      <c r="O4" s="129"/>
      <c r="P4" s="129"/>
      <c r="Q4" s="127" t="s">
        <v>1034</v>
      </c>
      <c r="R4" s="127" t="s">
        <v>267</v>
      </c>
      <c r="S4" s="127" t="s">
        <v>169</v>
      </c>
      <c r="T4" s="127"/>
      <c r="U4" s="127" t="s">
        <v>371</v>
      </c>
      <c r="V4" s="127"/>
      <c r="W4" s="127"/>
      <c r="X4" s="127"/>
      <c r="Y4" s="127"/>
      <c r="Z4" s="169">
        <f t="shared" ca="1" si="1"/>
        <v>4.9971759259230275</v>
      </c>
      <c r="AA4" s="170">
        <f t="shared" ca="1" si="2"/>
        <v>13.325802469128073</v>
      </c>
      <c r="AB4" s="169">
        <f t="shared" ca="1" si="3"/>
        <v>4.8964583333290657</v>
      </c>
      <c r="AC4" s="170">
        <f t="shared" ca="1" si="4"/>
        <v>13.057222222210843</v>
      </c>
      <c r="AD4" s="169">
        <f t="shared" ca="1" si="5"/>
        <v>0.95172453703708015</v>
      </c>
      <c r="AE4" s="169">
        <f t="shared" ca="1" si="0"/>
        <v>4.8964583333290657</v>
      </c>
      <c r="AF4" s="170">
        <f t="shared" ca="1" si="6"/>
        <v>13.057222222210843</v>
      </c>
      <c r="AG4" s="170">
        <f t="shared" ca="1" si="7"/>
        <v>13.057222222210843</v>
      </c>
      <c r="AH4" s="28" t="str" cm="1">
        <f t="array" aca="1" ref="AH4" ca="1">IF((AD4) &lt; (INDEX(ResponseSLA[#All],(MATCH((G4),ResponseSLA[Priority],0))+1,3)),"YES","No")</f>
        <v>No</v>
      </c>
      <c r="AI4" s="28" t="str">
        <f ca="1">_xlfn.IFNA(IF(AE4 &lt; (INDEX(SLATable[Minimum SLA],MATCH(G4,SLATable[Priority],0))),"YES","NO"),"")</f>
        <v>NO</v>
      </c>
      <c r="AJ4" s="28" t="str">
        <f ca="1">_xlfn.IFNA(IF(AE4 &lt; (INDEX(SLATable[Maximum SLA],MATCH(G4,SLATable[Priority],0))),"YES","NO"),"")</f>
        <v>YES</v>
      </c>
    </row>
    <row r="5" spans="1:36" ht="15" customHeight="1">
      <c r="B5" s="127" t="s">
        <v>26</v>
      </c>
      <c r="C5" s="127" t="s">
        <v>35</v>
      </c>
      <c r="D5" s="127" t="s">
        <v>207</v>
      </c>
      <c r="E5" s="130" t="s">
        <v>1039</v>
      </c>
      <c r="F5" s="127" t="s">
        <v>292</v>
      </c>
      <c r="G5" s="127">
        <v>4</v>
      </c>
      <c r="H5" s="127" t="s">
        <v>1040</v>
      </c>
      <c r="I5" s="127" t="s">
        <v>271</v>
      </c>
      <c r="J5" s="127" t="s">
        <v>1033</v>
      </c>
      <c r="K5" s="129">
        <v>46127.377488425926</v>
      </c>
      <c r="L5" s="129">
        <v>46127.377488425926</v>
      </c>
      <c r="M5" s="129">
        <v>46127.415081018517</v>
      </c>
      <c r="N5" s="129">
        <v>46139.413715277777</v>
      </c>
      <c r="O5" s="129">
        <v>46129.413263888891</v>
      </c>
      <c r="P5" s="129">
        <v>46139.413715277777</v>
      </c>
      <c r="Q5" s="127" t="s">
        <v>1034</v>
      </c>
      <c r="R5" s="127" t="s">
        <v>267</v>
      </c>
      <c r="S5" s="127" t="s">
        <v>201</v>
      </c>
      <c r="T5" s="127"/>
      <c r="U5" s="127" t="s">
        <v>371</v>
      </c>
      <c r="V5" s="127"/>
      <c r="W5" s="127"/>
      <c r="X5" s="127"/>
      <c r="Y5" s="127"/>
      <c r="Z5" s="169">
        <f t="shared" ca="1" si="1"/>
        <v>0.78577546296583023</v>
      </c>
      <c r="AA5" s="170">
        <f t="shared" ca="1" si="2"/>
        <v>2.0954012345755473</v>
      </c>
      <c r="AB5" s="169">
        <f t="shared" ca="1" si="3"/>
        <v>0.78577546296583023</v>
      </c>
      <c r="AC5" s="170">
        <f t="shared" ca="1" si="4"/>
        <v>2.0954012345755473</v>
      </c>
      <c r="AD5" s="169">
        <f ca="1">MAX(0,IF(NOT(OR(G5=1,G5=2)),IF(M5&lt;&gt;"",((MAX(NETWORKDAYS(L5,M5,UKBankHolidays)-1,0))*(TIME(17,0,0)-TIME(8,0,0))+IF(NETWORKDAYS(M5,M5,UKBankHolidays)&gt;0,MEDIAN(TIME(8,0,0),MOD(M5,1),TIME(17,0,0)),TIME(8,0,0))-MEDIAN(TIME(8,0,0),MOD(L5,1),TIME(17,0,0))),((MAX(NETWORKDAYS(L5,NOW(),UKBankHolidays)-1,0))*(TIME(17,0,0)-TIME(8,0,0))+IF(NETWORKDAYS(NOW(),NOW(),UKBankHolidays)&gt;0,MEDIAN(TIME(8,0,0),MOD(NOW(),1),TIME(17,0,0)),TIME(8,0,0))-MEDIAN(TIME(8,0,0),MOD(L5,1),TIME(17,0,0)))),IF(M5&lt;&gt;"",M5-L5,NOW()-L5)))</f>
        <v>3.7592592590954155E-2</v>
      </c>
      <c r="AE5" s="169">
        <f t="shared" ca="1" si="0"/>
        <v>0.78577546296583023</v>
      </c>
      <c r="AF5" s="170">
        <f t="shared" ca="1" si="6"/>
        <v>2.0954012345755473</v>
      </c>
      <c r="AG5" s="170">
        <f t="shared" ca="1" si="7"/>
        <v>2.0954012345755473</v>
      </c>
      <c r="AH5" s="28" t="str" cm="1">
        <f t="array" aca="1" ref="AH5" ca="1">IF((AD5) &lt; (INDEX(ResponseSLA[#All],(MATCH((G5),ResponseSLA[Priority],0))+1,3)),"YES","No")</f>
        <v>YES</v>
      </c>
      <c r="AI5" s="28" t="str">
        <f ca="1">_xlfn.IFNA(IF(AE5 &lt; (INDEX(SLATable[Minimum SLA],MATCH(G5,SLATable[Priority],0))),"YES","NO"),"")</f>
        <v>YES</v>
      </c>
      <c r="AJ5" s="28" t="str">
        <f ca="1">_xlfn.IFNA(IF(AE5 &lt; (INDEX(SLATable[Maximum SLA],MATCH(G5,SLATable[Priority],0))),"YES","NO"),"")</f>
        <v>YES</v>
      </c>
    </row>
    <row r="6" spans="1:36" ht="15" customHeight="1">
      <c r="B6" s="127" t="s">
        <v>26</v>
      </c>
      <c r="C6" s="127" t="s">
        <v>35</v>
      </c>
      <c r="D6" s="127" t="s">
        <v>207</v>
      </c>
      <c r="E6" s="130" t="s">
        <v>1041</v>
      </c>
      <c r="F6" s="127" t="s">
        <v>289</v>
      </c>
      <c r="G6" s="127">
        <v>4</v>
      </c>
      <c r="H6" s="127" t="s">
        <v>1042</v>
      </c>
      <c r="I6" s="127" t="s">
        <v>271</v>
      </c>
      <c r="J6" s="127" t="s">
        <v>1033</v>
      </c>
      <c r="K6" s="129">
        <v>46111.565324074072</v>
      </c>
      <c r="L6" s="129">
        <v>46111.571817129632</v>
      </c>
      <c r="M6" s="129">
        <v>46111.57304398148</v>
      </c>
      <c r="N6" s="129">
        <v>46141.454004629632</v>
      </c>
      <c r="O6" s="129">
        <v>46112.369155092594</v>
      </c>
      <c r="P6" s="129">
        <v>46141.454004629632</v>
      </c>
      <c r="Q6" s="127" t="s">
        <v>1043</v>
      </c>
      <c r="R6" s="127" t="s">
        <v>267</v>
      </c>
      <c r="S6" s="127" t="s">
        <v>199</v>
      </c>
      <c r="T6" s="127"/>
      <c r="U6" s="127" t="s">
        <v>371</v>
      </c>
      <c r="V6" s="127"/>
      <c r="W6" s="127"/>
      <c r="X6" s="127"/>
      <c r="Y6" s="127"/>
      <c r="Z6" s="169">
        <f t="shared" ca="1" si="1"/>
        <v>0.17883101852203254</v>
      </c>
      <c r="AA6" s="170">
        <f t="shared" ca="1" si="2"/>
        <v>0.47688271605875343</v>
      </c>
      <c r="AB6" s="169">
        <f t="shared" ca="1" si="3"/>
        <v>0.17233796296204673</v>
      </c>
      <c r="AC6" s="170">
        <f t="shared" ca="1" si="4"/>
        <v>0.4595679012321246</v>
      </c>
      <c r="AD6" s="169">
        <f t="shared" ca="1" si="5"/>
        <v>1.2268518476048484E-3</v>
      </c>
      <c r="AE6" s="169">
        <f t="shared" ca="1" si="0"/>
        <v>0.17233796296204673</v>
      </c>
      <c r="AF6" s="170">
        <f t="shared" ca="1" si="6"/>
        <v>0.4595679012321246</v>
      </c>
      <c r="AG6" s="170">
        <f t="shared" ca="1" si="7"/>
        <v>0.4595679012321246</v>
      </c>
      <c r="AH6" s="28" t="str" cm="1">
        <f t="array" aca="1" ref="AH6" ca="1">IF((AD6) &lt; (INDEX(ResponseSLA[#All],(MATCH((G6),ResponseSLA[Priority],0))+1,3)),"YES","No")</f>
        <v>YES</v>
      </c>
      <c r="AI6" s="28" t="str">
        <f ca="1">_xlfn.IFNA(IF(AE6 &lt; (INDEX(SLATable[Minimum SLA],MATCH(G6,SLATable[Priority],0))),"YES","NO"),"")</f>
        <v>YES</v>
      </c>
      <c r="AJ6" s="28" t="str">
        <f ca="1">_xlfn.IFNA(IF(AE6 &lt; (INDEX(SLATable[Maximum SLA],MATCH(G6,SLATable[Priority],0))),"YES","NO"),"")</f>
        <v>YES</v>
      </c>
    </row>
    <row r="7" spans="1:36" ht="15" customHeight="1">
      <c r="B7" s="127" t="s">
        <v>26</v>
      </c>
      <c r="C7" s="127" t="s">
        <v>35</v>
      </c>
      <c r="D7" s="127" t="s">
        <v>208</v>
      </c>
      <c r="E7" s="127" t="s">
        <v>1044</v>
      </c>
      <c r="F7" s="127" t="s">
        <v>292</v>
      </c>
      <c r="G7" s="127" t="s">
        <v>208</v>
      </c>
      <c r="H7" s="127" t="s">
        <v>1045</v>
      </c>
      <c r="I7" s="127" t="s">
        <v>260</v>
      </c>
      <c r="J7" s="127" t="s">
        <v>1033</v>
      </c>
      <c r="K7" s="129">
        <v>46134.705555555556</v>
      </c>
      <c r="L7" s="129">
        <v>46134.708321759259</v>
      </c>
      <c r="M7" s="129">
        <v>46135.260439814818</v>
      </c>
      <c r="N7" s="129"/>
      <c r="O7" s="129"/>
      <c r="P7" s="129"/>
      <c r="Q7" s="127" t="s">
        <v>1034</v>
      </c>
      <c r="R7" s="127"/>
      <c r="S7" s="127"/>
      <c r="T7" s="127"/>
      <c r="U7" s="127" t="s">
        <v>371</v>
      </c>
      <c r="V7" s="127"/>
      <c r="W7" s="127"/>
      <c r="X7" s="127"/>
      <c r="Y7" s="127"/>
      <c r="Z7" s="169">
        <f t="shared" ca="1" si="1"/>
        <v>32.178418518516999</v>
      </c>
      <c r="AA7" s="170">
        <f t="shared" ca="1" si="2"/>
        <v>85.809116049378673</v>
      </c>
      <c r="AB7" s="169">
        <f t="shared" ca="1" si="3"/>
        <v>32.175652314814222</v>
      </c>
      <c r="AC7" s="170">
        <f t="shared" ca="1" si="4"/>
        <v>85.801739506171259</v>
      </c>
      <c r="AD7" s="169">
        <f t="shared" ca="1" si="5"/>
        <v>1.157407435437019E-5</v>
      </c>
      <c r="AE7" s="169">
        <f t="shared" ca="1" si="0"/>
        <v>32.175652314814222</v>
      </c>
      <c r="AF7" s="170">
        <f t="shared" ca="1" si="6"/>
        <v>85.801739506171259</v>
      </c>
      <c r="AG7" s="170">
        <f t="shared" ca="1" si="7"/>
        <v>85.801739506171259</v>
      </c>
      <c r="AH7" s="28" t="str" cm="1">
        <f t="array" aca="1" ref="AH7" ca="1">IF((AD7) &lt; (INDEX(ResponseSLA[#All],(MATCH((G7),ResponseSLA[Priority],0))+1,3)),"YES","No")</f>
        <v>YES</v>
      </c>
      <c r="AI7" s="28" t="str">
        <f ca="1">_xlfn.IFNA(IF(AE7 &lt; (INDEX(SLATable[Minimum SLA],MATCH(G7,SLATable[Priority],0))),"YES","NO"),"")</f>
        <v>NO</v>
      </c>
      <c r="AJ7" s="28" t="str">
        <f ca="1">_xlfn.IFNA(IF(AE7 &lt; (INDEX(SLATable[Maximum SLA],MATCH(G7,SLATable[Priority],0))),"YES","NO"),"")</f>
        <v>NO</v>
      </c>
    </row>
    <row r="8" spans="1:36" ht="15" customHeight="1">
      <c r="B8" s="127" t="s">
        <v>26</v>
      </c>
      <c r="C8" s="127" t="s">
        <v>35</v>
      </c>
      <c r="D8" s="127" t="s">
        <v>207</v>
      </c>
      <c r="E8" s="127" t="s">
        <v>1046</v>
      </c>
      <c r="F8" s="127" t="s">
        <v>296</v>
      </c>
      <c r="G8" s="127">
        <v>3</v>
      </c>
      <c r="H8" s="127" t="s">
        <v>1047</v>
      </c>
      <c r="I8" s="127" t="s">
        <v>271</v>
      </c>
      <c r="J8" s="127" t="s">
        <v>1048</v>
      </c>
      <c r="K8" s="129">
        <v>46155.271701388891</v>
      </c>
      <c r="L8" s="129">
        <v>46155.271724537037</v>
      </c>
      <c r="M8" s="129">
        <v>46155.297858796293</v>
      </c>
      <c r="N8" s="129">
        <v>46163.533206018517</v>
      </c>
      <c r="O8" s="129"/>
      <c r="P8" s="129"/>
      <c r="Q8" s="127" t="s">
        <v>1049</v>
      </c>
      <c r="R8" s="127" t="s">
        <v>267</v>
      </c>
      <c r="S8" s="127" t="s">
        <v>190</v>
      </c>
      <c r="T8" s="127"/>
      <c r="U8" s="127" t="s">
        <v>371</v>
      </c>
      <c r="V8" s="127"/>
      <c r="W8" s="127"/>
      <c r="X8" s="127"/>
      <c r="Y8" s="127"/>
      <c r="Z8" s="169">
        <f t="shared" ca="1" si="1"/>
        <v>2.4498726851840429</v>
      </c>
      <c r="AA8" s="170">
        <f t="shared" ca="1" si="2"/>
        <v>6.5329938271574477</v>
      </c>
      <c r="AB8" s="169">
        <f t="shared" ca="1" si="3"/>
        <v>2.4498726851840429</v>
      </c>
      <c r="AC8" s="170">
        <f t="shared" ca="1" si="4"/>
        <v>6.5329938271574477</v>
      </c>
      <c r="AD8" s="169">
        <f t="shared" ca="1" si="5"/>
        <v>0</v>
      </c>
      <c r="AE8" s="169">
        <f t="shared" ca="1" si="0"/>
        <v>2.4498726851840429</v>
      </c>
      <c r="AF8" s="170">
        <f t="shared" ca="1" si="6"/>
        <v>6.5329938271574477</v>
      </c>
      <c r="AG8" s="170">
        <f t="shared" ca="1" si="7"/>
        <v>6.5329938271574477</v>
      </c>
      <c r="AH8" s="28" t="str" cm="1">
        <f t="array" aca="1" ref="AH8" ca="1">IF((AD8) &lt; (INDEX(ResponseSLA[#All],(MATCH((G8),ResponseSLA[Priority],0))+1,3)),"YES","No")</f>
        <v>YES</v>
      </c>
      <c r="AI8" s="28" t="str">
        <f ca="1">_xlfn.IFNA(IF(AE8 &lt; (INDEX(SLATable[Minimum SLA],MATCH(G8,SLATable[Priority],0))),"YES","NO"),"")</f>
        <v>NO</v>
      </c>
      <c r="AJ8" s="28" t="str">
        <f ca="1">_xlfn.IFNA(IF(AE8 &lt; (INDEX(SLATable[Maximum SLA],MATCH(G8,SLATable[Priority],0))),"YES","NO"),"")</f>
        <v>NO</v>
      </c>
    </row>
    <row r="9" spans="1:36" ht="15" customHeight="1">
      <c r="B9" s="127" t="s">
        <v>26</v>
      </c>
      <c r="C9" s="127" t="s">
        <v>35</v>
      </c>
      <c r="D9" s="127" t="s">
        <v>207</v>
      </c>
      <c r="E9" s="127" t="s">
        <v>1050</v>
      </c>
      <c r="F9" s="127" t="s">
        <v>295</v>
      </c>
      <c r="G9" s="127">
        <v>3</v>
      </c>
      <c r="H9" s="127" t="s">
        <v>1051</v>
      </c>
      <c r="I9" s="127" t="s">
        <v>271</v>
      </c>
      <c r="J9" s="127" t="s">
        <v>1048</v>
      </c>
      <c r="K9" s="129">
        <v>46160.549097222225</v>
      </c>
      <c r="L9" s="129">
        <v>46160.59820601852</v>
      </c>
      <c r="M9" s="129">
        <v>46161.322430555556</v>
      </c>
      <c r="N9" s="129">
        <v>46161.442546296297</v>
      </c>
      <c r="O9" s="129"/>
      <c r="P9" s="129"/>
      <c r="Q9" s="127" t="s">
        <v>695</v>
      </c>
      <c r="R9" s="127" t="s">
        <v>267</v>
      </c>
      <c r="S9" s="127" t="s">
        <v>193</v>
      </c>
      <c r="T9" s="127"/>
      <c r="U9" s="127" t="s">
        <v>371</v>
      </c>
      <c r="V9" s="127"/>
      <c r="W9" s="127"/>
      <c r="X9" s="127"/>
      <c r="Y9" s="127"/>
      <c r="Z9" s="169">
        <f t="shared" ca="1" si="1"/>
        <v>0.26844907407212304</v>
      </c>
      <c r="AA9" s="170">
        <f t="shared" ca="1" si="2"/>
        <v>0.71586419752566144</v>
      </c>
      <c r="AB9" s="169">
        <f t="shared" ca="1" si="3"/>
        <v>0.21934027777751908</v>
      </c>
      <c r="AC9" s="170">
        <f t="shared" ca="1" si="4"/>
        <v>0.58490740740671754</v>
      </c>
      <c r="AD9" s="169">
        <f t="shared" ca="1" si="5"/>
        <v>0.11012731481362914</v>
      </c>
      <c r="AE9" s="169">
        <f t="shared" ca="1" si="0"/>
        <v>0.21934027777751908</v>
      </c>
      <c r="AF9" s="170">
        <f t="shared" ca="1" si="6"/>
        <v>0.58490740740671754</v>
      </c>
      <c r="AG9" s="170">
        <f t="shared" ca="1" si="7"/>
        <v>0.58490740740671754</v>
      </c>
      <c r="AH9" s="28" t="str" cm="1">
        <f t="array" aca="1" ref="AH9" ca="1">IF((AD9) &lt; (INDEX(ResponseSLA[#All],(MATCH((G9),ResponseSLA[Priority],0))+1,3)),"YES","No")</f>
        <v>No</v>
      </c>
      <c r="AI9" s="28" t="str">
        <f ca="1">_xlfn.IFNA(IF(AE9 &lt; (INDEX(SLATable[Minimum SLA],MATCH(G9,SLATable[Priority],0))),"YES","NO"),"")</f>
        <v>YES</v>
      </c>
      <c r="AJ9" s="28" t="str">
        <f ca="1">_xlfn.IFNA(IF(AE9 &lt; (INDEX(SLATable[Maximum SLA],MATCH(G9,SLATable[Priority],0))),"YES","NO"),"")</f>
        <v>YES</v>
      </c>
    </row>
    <row r="10" spans="1:36" ht="15" customHeight="1">
      <c r="B10" s="127" t="s">
        <v>26</v>
      </c>
      <c r="C10" s="127" t="s">
        <v>35</v>
      </c>
      <c r="D10" s="127" t="s">
        <v>207</v>
      </c>
      <c r="E10" s="127" t="s">
        <v>1052</v>
      </c>
      <c r="F10" s="127" t="s">
        <v>295</v>
      </c>
      <c r="G10" s="127">
        <v>4</v>
      </c>
      <c r="H10" s="127" t="s">
        <v>1053</v>
      </c>
      <c r="I10" s="127" t="s">
        <v>271</v>
      </c>
      <c r="J10" s="127" t="s">
        <v>1048</v>
      </c>
      <c r="K10" s="129">
        <v>46134.389513888891</v>
      </c>
      <c r="L10" s="129">
        <v>46134.389618055553</v>
      </c>
      <c r="M10" s="129">
        <v>46134.470289351855</v>
      </c>
      <c r="N10" s="129">
        <v>46148.553148148145</v>
      </c>
      <c r="O10" s="129"/>
      <c r="P10" s="129"/>
      <c r="Q10" s="127" t="s">
        <v>1054</v>
      </c>
      <c r="R10" s="127" t="s">
        <v>267</v>
      </c>
      <c r="S10" s="127" t="s">
        <v>190</v>
      </c>
      <c r="T10" s="127"/>
      <c r="U10" s="127" t="s">
        <v>371</v>
      </c>
      <c r="V10" s="127"/>
      <c r="W10" s="127"/>
      <c r="X10" s="127"/>
      <c r="Y10" s="127"/>
      <c r="Z10" s="169">
        <f t="shared" ca="1" si="1"/>
        <v>3.1636342592537408</v>
      </c>
      <c r="AA10" s="170">
        <f t="shared" ca="1" si="2"/>
        <v>8.4363580246766432</v>
      </c>
      <c r="AB10" s="169">
        <f t="shared" ca="1" si="3"/>
        <v>3.1635300925918277</v>
      </c>
      <c r="AC10" s="170">
        <f t="shared" ca="1" si="4"/>
        <v>8.4360802469115406</v>
      </c>
      <c r="AD10" s="169">
        <f t="shared" ca="1" si="5"/>
        <v>8.0671296302170958E-2</v>
      </c>
      <c r="AE10" s="169">
        <f t="shared" ca="1" si="0"/>
        <v>3.1635300925918277</v>
      </c>
      <c r="AF10" s="170">
        <f t="shared" ca="1" si="6"/>
        <v>8.4360802469115406</v>
      </c>
      <c r="AG10" s="170">
        <f t="shared" ca="1" si="7"/>
        <v>8.4360802469115406</v>
      </c>
      <c r="AH10" s="28" t="str" cm="1">
        <f t="array" aca="1" ref="AH10" ca="1">IF((AD10) &lt; (INDEX(ResponseSLA[#All],(MATCH((G10),ResponseSLA[Priority],0))+1,3)),"YES","No")</f>
        <v>YES</v>
      </c>
      <c r="AI10" s="28" t="str">
        <f ca="1">_xlfn.IFNA(IF(AE10 &lt; (INDEX(SLATable[Minimum SLA],MATCH(G10,SLATable[Priority],0))),"YES","NO"),"")</f>
        <v>YES</v>
      </c>
      <c r="AJ10" s="28" t="str">
        <f ca="1">_xlfn.IFNA(IF(AE10 &lt; (INDEX(SLATable[Maximum SLA],MATCH(G10,SLATable[Priority],0))),"YES","NO"),"")</f>
        <v>YES</v>
      </c>
    </row>
    <row r="11" spans="1:36" ht="15" customHeight="1">
      <c r="B11" s="127" t="s">
        <v>26</v>
      </c>
      <c r="C11" s="127" t="s">
        <v>35</v>
      </c>
      <c r="D11" s="127" t="s">
        <v>207</v>
      </c>
      <c r="E11" s="127" t="s">
        <v>1055</v>
      </c>
      <c r="F11" s="127" t="s">
        <v>295</v>
      </c>
      <c r="G11" s="127">
        <v>3</v>
      </c>
      <c r="H11" s="127" t="s">
        <v>1051</v>
      </c>
      <c r="I11" s="127" t="s">
        <v>271</v>
      </c>
      <c r="J11" s="127" t="s">
        <v>1048</v>
      </c>
      <c r="K11" s="129">
        <v>46157.63244212963</v>
      </c>
      <c r="L11" s="129">
        <v>46157.637789351851</v>
      </c>
      <c r="M11" s="129">
        <v>46159.790844907409</v>
      </c>
      <c r="N11" s="129">
        <v>46161.506157407406</v>
      </c>
      <c r="O11" s="129"/>
      <c r="P11" s="129"/>
      <c r="Q11" s="127" t="s">
        <v>695</v>
      </c>
      <c r="R11" s="127" t="s">
        <v>267</v>
      </c>
      <c r="S11" s="127" t="s">
        <v>193</v>
      </c>
      <c r="T11" s="127"/>
      <c r="U11" s="127" t="s">
        <v>371</v>
      </c>
      <c r="V11" s="127"/>
      <c r="W11" s="127"/>
      <c r="X11" s="127"/>
      <c r="Y11" s="127"/>
      <c r="Z11" s="169">
        <f t="shared" ca="1" si="1"/>
        <v>0.62371527777577285</v>
      </c>
      <c r="AA11" s="170">
        <f t="shared" ca="1" si="2"/>
        <v>1.6632407407353942</v>
      </c>
      <c r="AB11" s="169">
        <f t="shared" ca="1" si="3"/>
        <v>0.61836805555503815</v>
      </c>
      <c r="AC11" s="170">
        <f t="shared" ca="1" si="4"/>
        <v>1.6489814814801018</v>
      </c>
      <c r="AD11" s="169">
        <f t="shared" ca="1" si="5"/>
        <v>0</v>
      </c>
      <c r="AE11" s="169">
        <f t="shared" ca="1" si="0"/>
        <v>0.61836805555503815</v>
      </c>
      <c r="AF11" s="170">
        <f t="shared" ca="1" si="6"/>
        <v>1.6489814814801018</v>
      </c>
      <c r="AG11" s="170">
        <f t="shared" ca="1" si="7"/>
        <v>1.6489814814801018</v>
      </c>
      <c r="AH11" s="28" t="str" cm="1">
        <f t="array" aca="1" ref="AH11" ca="1">IF((AD11) &lt; (INDEX(ResponseSLA[#All],(MATCH((G11),ResponseSLA[Priority],0))+1,3)),"YES","No")</f>
        <v>YES</v>
      </c>
      <c r="AI11" s="28" t="str">
        <f ca="1">_xlfn.IFNA(IF(AE11 &lt; (INDEX(SLATable[Minimum SLA],MATCH(G11,SLATable[Priority],0))),"YES","NO"),"")</f>
        <v>NO</v>
      </c>
      <c r="AJ11" s="28" t="str">
        <f ca="1">_xlfn.IFNA(IF(AE11 &lt; (INDEX(SLATable[Maximum SLA],MATCH(G11,SLATable[Priority],0))),"YES","NO"),"")</f>
        <v>YES</v>
      </c>
    </row>
    <row r="12" spans="1:36" ht="15" customHeight="1">
      <c r="B12" s="127" t="s">
        <v>26</v>
      </c>
      <c r="C12" s="127" t="s">
        <v>35</v>
      </c>
      <c r="D12" s="127" t="s">
        <v>207</v>
      </c>
      <c r="E12" s="127" t="s">
        <v>1056</v>
      </c>
      <c r="F12" s="127" t="s">
        <v>295</v>
      </c>
      <c r="G12" s="127">
        <v>4</v>
      </c>
      <c r="H12" s="127" t="s">
        <v>1051</v>
      </c>
      <c r="I12" s="127" t="s">
        <v>271</v>
      </c>
      <c r="J12" s="127" t="s">
        <v>1048</v>
      </c>
      <c r="K12" s="129">
        <v>46162.424143518518</v>
      </c>
      <c r="L12" s="129">
        <v>46162.431087962963</v>
      </c>
      <c r="M12" s="129">
        <v>46163.309745370374</v>
      </c>
      <c r="N12" s="129">
        <v>46163.456469907411</v>
      </c>
      <c r="O12" s="129"/>
      <c r="P12" s="129"/>
      <c r="Q12" s="127" t="s">
        <v>1057</v>
      </c>
      <c r="R12" s="127" t="s">
        <v>267</v>
      </c>
      <c r="S12" s="127" t="s">
        <v>193</v>
      </c>
      <c r="T12" s="127"/>
      <c r="U12" s="127" t="s">
        <v>371</v>
      </c>
      <c r="V12" s="127"/>
      <c r="W12" s="127"/>
      <c r="X12" s="127"/>
      <c r="Y12" s="127"/>
      <c r="Z12" s="169">
        <f t="shared" ca="1" si="1"/>
        <v>0.40732638889312511</v>
      </c>
      <c r="AA12" s="170">
        <f t="shared" ca="1" si="2"/>
        <v>1.0862037037150003</v>
      </c>
      <c r="AB12" s="169">
        <f t="shared" ca="1" si="3"/>
        <v>0.40038194444787223</v>
      </c>
      <c r="AC12" s="170">
        <f t="shared" ca="1" si="4"/>
        <v>1.0676851851943259</v>
      </c>
      <c r="AD12" s="169">
        <f ca="1">MAX(0,IF(NOT(OR(G12=1,G12=2)),IF(M12&lt;&gt;"",((MAX(NETWORKDAYS(L12,M12,UKBankHolidays)-1,0))*(TIME(17,0,0)-TIME(8,0,0))+IF(NETWORKDAYS(M12,M12,UKBankHolidays)&gt;0,MEDIAN(TIME(8,0,0),MOD(M12,1),TIME(17,0,0)),TIME(8,0,0))-MEDIAN(TIME(8,0,0),MOD(L12,1),TIME(17,0,0))),((MAX(NETWORKDAYS(L12,NOW(),UKBankHolidays)-1,0))*(TIME(17,0,0)-TIME(8,0,0))+IF(NETWORKDAYS(NOW(),NOW(),UKBankHolidays)&gt;0,MEDIAN(TIME(8,0,0),MOD(NOW(),1),TIME(17,0,0)),TIME(8,0,0))-MEDIAN(TIME(8,0,0),MOD(L12,1),TIME(17,0,0)))),IF(M12&lt;&gt;"",M12-L12,NOW()-L12)))</f>
        <v>0.27724537037041352</v>
      </c>
      <c r="AE12" s="169">
        <f t="shared" ca="1" si="0"/>
        <v>0.40038194444787223</v>
      </c>
      <c r="AF12" s="170">
        <f t="shared" ca="1" si="6"/>
        <v>1.0676851851943259</v>
      </c>
      <c r="AG12" s="170">
        <f t="shared" ca="1" si="7"/>
        <v>1.0676851851943259</v>
      </c>
      <c r="AH12" s="28" t="str" cm="1">
        <f t="array" aca="1" ref="AH12" ca="1">IF((AD12) &lt; (INDEX(ResponseSLA[#All],(MATCH((G12),ResponseSLA[Priority],0))+1,3)),"YES","No")</f>
        <v>No</v>
      </c>
      <c r="AI12" s="28" t="str">
        <f ca="1">_xlfn.IFNA(IF(AE12 &lt; (INDEX(SLATable[Minimum SLA],MATCH(G12,SLATable[Priority],0))),"YES","NO"),"")</f>
        <v>YES</v>
      </c>
      <c r="AJ12" s="28" t="str">
        <f ca="1">_xlfn.IFNA(IF(AE12 &lt; (INDEX(SLATable[Maximum SLA],MATCH(G12,SLATable[Priority],0))),"YES","NO"),"")</f>
        <v>YES</v>
      </c>
    </row>
    <row r="13" spans="1:36" ht="15" customHeight="1">
      <c r="B13" s="127" t="s">
        <v>26</v>
      </c>
      <c r="C13" s="127" t="s">
        <v>35</v>
      </c>
      <c r="D13" s="127" t="s">
        <v>207</v>
      </c>
      <c r="E13" s="127" t="s">
        <v>1058</v>
      </c>
      <c r="F13" s="127" t="s">
        <v>295</v>
      </c>
      <c r="G13" s="127">
        <v>4</v>
      </c>
      <c r="H13" s="127" t="s">
        <v>1051</v>
      </c>
      <c r="I13" s="127" t="s">
        <v>271</v>
      </c>
      <c r="J13" s="127" t="s">
        <v>1048</v>
      </c>
      <c r="K13" s="129">
        <v>46162.340729166666</v>
      </c>
      <c r="L13" s="129">
        <v>46162.344050925924</v>
      </c>
      <c r="M13" s="129">
        <v>46162.379687499997</v>
      </c>
      <c r="N13" s="129">
        <v>46163.456388888888</v>
      </c>
      <c r="O13" s="129"/>
      <c r="P13" s="129"/>
      <c r="Q13" s="127" t="s">
        <v>1057</v>
      </c>
      <c r="R13" s="127" t="s">
        <v>267</v>
      </c>
      <c r="S13" s="127" t="s">
        <v>193</v>
      </c>
      <c r="T13" s="127"/>
      <c r="U13" s="127" t="s">
        <v>371</v>
      </c>
      <c r="V13" s="127"/>
      <c r="W13" s="127"/>
      <c r="X13" s="127"/>
      <c r="Y13" s="127"/>
      <c r="Z13" s="169">
        <f t="shared" ca="1" si="1"/>
        <v>0.49065972222160781</v>
      </c>
      <c r="AA13" s="170">
        <f t="shared" ca="1" si="2"/>
        <v>1.3084259259242874</v>
      </c>
      <c r="AB13" s="169">
        <f t="shared" ca="1" si="3"/>
        <v>0.48733796296437504</v>
      </c>
      <c r="AC13" s="170">
        <f t="shared" ca="1" si="4"/>
        <v>1.2995679012383334</v>
      </c>
      <c r="AD13" s="169">
        <f t="shared" ca="1" si="5"/>
        <v>3.5636574073578231E-2</v>
      </c>
      <c r="AE13" s="169">
        <f t="shared" ca="1" si="0"/>
        <v>0.48733796296437504</v>
      </c>
      <c r="AF13" s="170">
        <f t="shared" ca="1" si="6"/>
        <v>1.2995679012383334</v>
      </c>
      <c r="AG13" s="170">
        <f t="shared" ca="1" si="7"/>
        <v>1.2995679012383334</v>
      </c>
      <c r="AH13" s="28" t="str" cm="1">
        <f t="array" aca="1" ref="AH13" ca="1">IF((AD13) &lt; (INDEX(ResponseSLA[#All],(MATCH((G13),ResponseSLA[Priority],0))+1,3)),"YES","No")</f>
        <v>YES</v>
      </c>
      <c r="AI13" s="28" t="str">
        <f ca="1">_xlfn.IFNA(IF(AE13 &lt; (INDEX(SLATable[Minimum SLA],MATCH(G13,SLATable[Priority],0))),"YES","NO"),"")</f>
        <v>YES</v>
      </c>
      <c r="AJ13" s="28" t="str">
        <f ca="1">_xlfn.IFNA(IF(AE13 &lt; (INDEX(SLATable[Maximum SLA],MATCH(G13,SLATable[Priority],0))),"YES","NO"),"")</f>
        <v>YES</v>
      </c>
    </row>
    <row r="14" spans="1:36" ht="15" customHeight="1">
      <c r="B14" s="127" t="s">
        <v>26</v>
      </c>
      <c r="C14" s="127" t="s">
        <v>35</v>
      </c>
      <c r="D14" s="127" t="s">
        <v>207</v>
      </c>
      <c r="E14" s="127" t="s">
        <v>1059</v>
      </c>
      <c r="F14" s="127" t="s">
        <v>295</v>
      </c>
      <c r="G14" s="127">
        <v>3</v>
      </c>
      <c r="H14" s="127" t="s">
        <v>1051</v>
      </c>
      <c r="I14" s="127" t="s">
        <v>271</v>
      </c>
      <c r="J14" s="127" t="s">
        <v>1048</v>
      </c>
      <c r="K14" s="129">
        <v>46155.715810185182</v>
      </c>
      <c r="L14" s="129">
        <v>46155.729062500002</v>
      </c>
      <c r="M14" s="129">
        <v>46156.272962962961</v>
      </c>
      <c r="N14" s="129">
        <v>46156.530474537038</v>
      </c>
      <c r="O14" s="129"/>
      <c r="P14" s="129"/>
      <c r="Q14" s="127" t="s">
        <v>695</v>
      </c>
      <c r="R14" s="127" t="s">
        <v>267</v>
      </c>
      <c r="S14" s="127" t="s">
        <v>193</v>
      </c>
      <c r="T14" s="127"/>
      <c r="U14" s="127" t="s">
        <v>371</v>
      </c>
      <c r="V14" s="127"/>
      <c r="W14" s="127"/>
      <c r="X14" s="127"/>
      <c r="Y14" s="127"/>
      <c r="Z14" s="169">
        <f t="shared" ca="1" si="1"/>
        <v>0.19714120370432886</v>
      </c>
      <c r="AA14" s="170">
        <f t="shared" ca="1" si="2"/>
        <v>0.525709876544877</v>
      </c>
      <c r="AB14" s="169">
        <f t="shared" ca="1" si="3"/>
        <v>0.19714120370432886</v>
      </c>
      <c r="AC14" s="170">
        <f t="shared" ca="1" si="4"/>
        <v>0.525709876544877</v>
      </c>
      <c r="AD14" s="169">
        <f t="shared" ca="1" si="5"/>
        <v>0</v>
      </c>
      <c r="AE14" s="169">
        <f t="shared" ca="1" si="0"/>
        <v>0.19714120370432886</v>
      </c>
      <c r="AF14" s="170">
        <f t="shared" ca="1" si="6"/>
        <v>0.525709876544877</v>
      </c>
      <c r="AG14" s="170">
        <f t="shared" ca="1" si="7"/>
        <v>0.525709876544877</v>
      </c>
      <c r="AH14" s="28" t="str" cm="1">
        <f t="array" aca="1" ref="AH14" ca="1">IF((AD14) &lt; (INDEX(ResponseSLA[#All],(MATCH((G14),ResponseSLA[Priority],0))+1,3)),"YES","No")</f>
        <v>YES</v>
      </c>
      <c r="AI14" s="28" t="str">
        <f ca="1">_xlfn.IFNA(IF(AE14 &lt; (INDEX(SLATable[Minimum SLA],MATCH(G14,SLATable[Priority],0))),"YES","NO"),"")</f>
        <v>YES</v>
      </c>
      <c r="AJ14" s="28" t="str">
        <f ca="1">_xlfn.IFNA(IF(AE14 &lt; (INDEX(SLATable[Maximum SLA],MATCH(G14,SLATable[Priority],0))),"YES","NO"),"")</f>
        <v>YES</v>
      </c>
    </row>
    <row r="15" spans="1:36" ht="15" customHeight="1">
      <c r="B15" s="127" t="s">
        <v>26</v>
      </c>
      <c r="C15" s="127" t="s">
        <v>35</v>
      </c>
      <c r="D15" s="127" t="s">
        <v>207</v>
      </c>
      <c r="E15" s="127" t="s">
        <v>1060</v>
      </c>
      <c r="F15" s="127" t="s">
        <v>289</v>
      </c>
      <c r="G15" s="127">
        <v>4</v>
      </c>
      <c r="H15" s="127" t="s">
        <v>1061</v>
      </c>
      <c r="I15" s="127" t="s">
        <v>271</v>
      </c>
      <c r="J15" s="127" t="s">
        <v>1048</v>
      </c>
      <c r="K15" s="129">
        <v>46148.585104166668</v>
      </c>
      <c r="L15" s="129">
        <v>46148.585219907407</v>
      </c>
      <c r="M15" s="129">
        <v>46148.590486111112</v>
      </c>
      <c r="N15" s="129">
        <v>46156.275659722225</v>
      </c>
      <c r="O15" s="129"/>
      <c r="P15" s="129"/>
      <c r="Q15" s="127" t="s">
        <v>1062</v>
      </c>
      <c r="R15" s="127" t="s">
        <v>267</v>
      </c>
      <c r="S15" s="127" t="s">
        <v>199</v>
      </c>
      <c r="T15" s="127"/>
      <c r="U15" s="127" t="s">
        <v>371</v>
      </c>
      <c r="V15" s="127"/>
      <c r="W15" s="127"/>
      <c r="X15" s="127"/>
      <c r="Y15" s="127"/>
      <c r="Z15" s="169">
        <f t="shared" ca="1" si="1"/>
        <v>1.998229166665018</v>
      </c>
      <c r="AA15" s="170">
        <f t="shared" ca="1" si="2"/>
        <v>5.3286111111067145</v>
      </c>
      <c r="AB15" s="169">
        <f t="shared" ca="1" si="3"/>
        <v>1.9981134259263253</v>
      </c>
      <c r="AC15" s="170">
        <f t="shared" ca="1" si="4"/>
        <v>5.3283024691368679</v>
      </c>
      <c r="AD15" s="169">
        <f t="shared" ca="1" si="5"/>
        <v>5.2662037051049992E-3</v>
      </c>
      <c r="AE15" s="169">
        <f t="shared" ca="1" si="0"/>
        <v>1.9981134259263253</v>
      </c>
      <c r="AF15" s="170">
        <f t="shared" ca="1" si="6"/>
        <v>5.3283024691368679</v>
      </c>
      <c r="AG15" s="170">
        <f t="shared" ca="1" si="7"/>
        <v>5.3283024691368679</v>
      </c>
      <c r="AH15" s="28" t="str" cm="1">
        <f t="array" aca="1" ref="AH15" ca="1">IF((AD15) &lt; (INDEX(ResponseSLA[#All],(MATCH((G15),ResponseSLA[Priority],0))+1,3)),"YES","No")</f>
        <v>YES</v>
      </c>
      <c r="AI15" s="28" t="str">
        <f ca="1">_xlfn.IFNA(IF(AE15 &lt; (INDEX(SLATable[Minimum SLA],MATCH(G15,SLATable[Priority],0))),"YES","NO"),"")</f>
        <v>YES</v>
      </c>
      <c r="AJ15" s="28" t="str">
        <f ca="1">_xlfn.IFNA(IF(AE15 &lt; (INDEX(SLATable[Maximum SLA],MATCH(G15,SLATable[Priority],0))),"YES","NO"),"")</f>
        <v>YES</v>
      </c>
    </row>
    <row r="16" spans="1:36" ht="15" customHeight="1">
      <c r="B16" s="127" t="s">
        <v>26</v>
      </c>
      <c r="C16" s="127" t="s">
        <v>35</v>
      </c>
      <c r="D16" s="127" t="s">
        <v>207</v>
      </c>
      <c r="E16" s="127" t="s">
        <v>1063</v>
      </c>
      <c r="F16" s="127" t="s">
        <v>289</v>
      </c>
      <c r="G16" s="127">
        <v>4</v>
      </c>
      <c r="H16" s="127" t="s">
        <v>1064</v>
      </c>
      <c r="I16" s="127" t="s">
        <v>271</v>
      </c>
      <c r="J16" s="127" t="s">
        <v>1048</v>
      </c>
      <c r="K16" s="129">
        <v>46157.104699074072</v>
      </c>
      <c r="L16" s="129">
        <v>46157.104826388888</v>
      </c>
      <c r="M16" s="129">
        <v>46157.284490740742</v>
      </c>
      <c r="N16" s="129">
        <v>46161.459606481483</v>
      </c>
      <c r="O16" s="129"/>
      <c r="P16" s="129"/>
      <c r="Q16" s="127" t="s">
        <v>1065</v>
      </c>
      <c r="R16" s="127" t="s">
        <v>267</v>
      </c>
      <c r="S16" s="127" t="s">
        <v>193</v>
      </c>
      <c r="T16" s="127"/>
      <c r="U16" s="127" t="s">
        <v>371</v>
      </c>
      <c r="V16" s="127"/>
      <c r="W16" s="127"/>
      <c r="X16" s="127"/>
      <c r="Y16" s="127"/>
      <c r="Z16" s="169">
        <f t="shared" ca="1" si="1"/>
        <v>0.87627314814987289</v>
      </c>
      <c r="AA16" s="170">
        <f t="shared" ca="1" si="2"/>
        <v>2.3367283950663276</v>
      </c>
      <c r="AB16" s="169">
        <f t="shared" ca="1" si="3"/>
        <v>0.87627314814987289</v>
      </c>
      <c r="AC16" s="170">
        <f t="shared" ca="1" si="4"/>
        <v>2.3367283950663276</v>
      </c>
      <c r="AD16" s="169">
        <f t="shared" ca="1" si="5"/>
        <v>0</v>
      </c>
      <c r="AE16" s="169">
        <f t="shared" ca="1" si="0"/>
        <v>0.87627314814987289</v>
      </c>
      <c r="AF16" s="170">
        <f t="shared" ca="1" si="6"/>
        <v>2.3367283950663276</v>
      </c>
      <c r="AG16" s="170">
        <f t="shared" ca="1" si="7"/>
        <v>2.3367283950663276</v>
      </c>
      <c r="AH16" s="28" t="str" cm="1">
        <f t="array" aca="1" ref="AH16" ca="1">IF((AD16) &lt; (INDEX(ResponseSLA[#All],(MATCH((G16),ResponseSLA[Priority],0))+1,3)),"YES","No")</f>
        <v>YES</v>
      </c>
      <c r="AI16" s="28" t="str">
        <f ca="1">_xlfn.IFNA(IF(AE16 &lt; (INDEX(SLATable[Minimum SLA],MATCH(G16,SLATable[Priority],0))),"YES","NO"),"")</f>
        <v>YES</v>
      </c>
      <c r="AJ16" s="28" t="str">
        <f ca="1">_xlfn.IFNA(IF(AE16 &lt; (INDEX(SLATable[Maximum SLA],MATCH(G16,SLATable[Priority],0))),"YES","NO"),"")</f>
        <v>YES</v>
      </c>
    </row>
    <row r="17" spans="2:36" ht="15" customHeight="1">
      <c r="B17" s="127" t="s">
        <v>26</v>
      </c>
      <c r="C17" s="127" t="s">
        <v>35</v>
      </c>
      <c r="D17" s="127" t="s">
        <v>207</v>
      </c>
      <c r="E17" s="127" t="s">
        <v>1066</v>
      </c>
      <c r="F17" s="127" t="s">
        <v>289</v>
      </c>
      <c r="G17" s="127">
        <v>3</v>
      </c>
      <c r="H17" s="127" t="s">
        <v>1067</v>
      </c>
      <c r="I17" s="127" t="s">
        <v>271</v>
      </c>
      <c r="J17" s="127" t="s">
        <v>1048</v>
      </c>
      <c r="K17" s="129">
        <v>46135.502453703702</v>
      </c>
      <c r="L17" s="129">
        <v>46135.502500000002</v>
      </c>
      <c r="M17" s="129">
        <v>46135.778148148151</v>
      </c>
      <c r="N17" s="129">
        <v>46143.750277777777</v>
      </c>
      <c r="O17" s="129"/>
      <c r="P17" s="129"/>
      <c r="Q17" s="127" t="s">
        <v>1068</v>
      </c>
      <c r="R17" s="127" t="s">
        <v>267</v>
      </c>
      <c r="S17" s="127" t="s">
        <v>199</v>
      </c>
      <c r="T17" s="127"/>
      <c r="U17" s="127" t="s">
        <v>371</v>
      </c>
      <c r="V17" s="127"/>
      <c r="W17" s="127"/>
      <c r="X17" s="127"/>
      <c r="Y17" s="127"/>
      <c r="Z17" s="169">
        <f t="shared" ca="1" si="1"/>
        <v>1.7058796296308478</v>
      </c>
      <c r="AA17" s="170">
        <f t="shared" ca="1" si="2"/>
        <v>4.5490123456822609</v>
      </c>
      <c r="AB17" s="169">
        <f t="shared" ca="1" si="3"/>
        <v>1.7058333333310052</v>
      </c>
      <c r="AC17" s="170">
        <f t="shared" ca="1" si="4"/>
        <v>4.5488888888826802</v>
      </c>
      <c r="AD17" s="169">
        <f t="shared" ca="1" si="5"/>
        <v>0.20583333333100506</v>
      </c>
      <c r="AE17" s="169">
        <f t="shared" ca="1" si="0"/>
        <v>1.7058333333310052</v>
      </c>
      <c r="AF17" s="170">
        <f t="shared" ca="1" si="6"/>
        <v>4.5488888888826802</v>
      </c>
      <c r="AG17" s="170">
        <f t="shared" ca="1" si="7"/>
        <v>4.5488888888826802</v>
      </c>
      <c r="AH17" s="28" t="str" cm="1">
        <f t="array" aca="1" ref="AH17" ca="1">IF((AD17) &lt; (INDEX(ResponseSLA[#All],(MATCH((G17),ResponseSLA[Priority],0))+1,3)),"YES","No")</f>
        <v>No</v>
      </c>
      <c r="AI17" s="28" t="str">
        <f ca="1">_xlfn.IFNA(IF(AE17 &lt; (INDEX(SLATable[Minimum SLA],MATCH(G17,SLATable[Priority],0))),"YES","NO"),"")</f>
        <v>NO</v>
      </c>
      <c r="AJ17" s="28" t="str">
        <f ca="1">_xlfn.IFNA(IF(AE17 &lt; (INDEX(SLATable[Maximum SLA],MATCH(G17,SLATable[Priority],0))),"YES","NO"),"")</f>
        <v>YES</v>
      </c>
    </row>
    <row r="18" spans="2:36" ht="15" customHeight="1">
      <c r="B18" s="127" t="s">
        <v>26</v>
      </c>
      <c r="C18" s="127" t="s">
        <v>35</v>
      </c>
      <c r="D18" s="127" t="s">
        <v>207</v>
      </c>
      <c r="E18" s="127" t="s">
        <v>1069</v>
      </c>
      <c r="F18" s="127" t="s">
        <v>289</v>
      </c>
      <c r="G18" s="127">
        <v>4</v>
      </c>
      <c r="H18" s="127" t="s">
        <v>1070</v>
      </c>
      <c r="I18" s="127" t="s">
        <v>271</v>
      </c>
      <c r="J18" s="127" t="s">
        <v>1048</v>
      </c>
      <c r="K18" s="129">
        <v>46155.054398148146</v>
      </c>
      <c r="L18" s="129">
        <v>46155.054409722223</v>
      </c>
      <c r="M18" s="129">
        <v>46155.300439814811</v>
      </c>
      <c r="N18" s="129">
        <v>46156.279363425929</v>
      </c>
      <c r="O18" s="129"/>
      <c r="P18" s="129"/>
      <c r="Q18" s="127" t="s">
        <v>1065</v>
      </c>
      <c r="R18" s="127" t="s">
        <v>267</v>
      </c>
      <c r="S18" s="127" t="s">
        <v>149</v>
      </c>
      <c r="T18" s="127"/>
      <c r="U18" s="127" t="s">
        <v>371</v>
      </c>
      <c r="V18" s="127"/>
      <c r="W18" s="127"/>
      <c r="X18" s="127"/>
      <c r="Y18" s="127"/>
      <c r="Z18" s="169">
        <f t="shared" ca="1" si="1"/>
        <v>0.37500000000000006</v>
      </c>
      <c r="AA18" s="170">
        <f t="shared" ca="1" si="2"/>
        <v>1.0000000000000002</v>
      </c>
      <c r="AB18" s="169">
        <f t="shared" ca="1" si="3"/>
        <v>0.37500000000000006</v>
      </c>
      <c r="AC18" s="170">
        <f t="shared" ca="1" si="4"/>
        <v>1.0000000000000002</v>
      </c>
      <c r="AD18" s="169">
        <f t="shared" ca="1" si="5"/>
        <v>0</v>
      </c>
      <c r="AE18" s="169">
        <f t="shared" ca="1" si="0"/>
        <v>0.37500000000000006</v>
      </c>
      <c r="AF18" s="170">
        <f t="shared" ca="1" si="6"/>
        <v>1.0000000000000002</v>
      </c>
      <c r="AG18" s="170">
        <f t="shared" ca="1" si="7"/>
        <v>1.0000000000000002</v>
      </c>
      <c r="AH18" s="28" t="str" cm="1">
        <f t="array" aca="1" ref="AH18" ca="1">IF((AD18) &lt; (INDEX(ResponseSLA[#All],(MATCH((G18),ResponseSLA[Priority],0))+1,3)),"YES","No")</f>
        <v>YES</v>
      </c>
      <c r="AI18" s="28" t="str">
        <f ca="1">_xlfn.IFNA(IF(AE18 &lt; (INDEX(SLATable[Minimum SLA],MATCH(G18,SLATable[Priority],0))),"YES","NO"),"")</f>
        <v>YES</v>
      </c>
      <c r="AJ18" s="28" t="str">
        <f ca="1">_xlfn.IFNA(IF(AE18 &lt; (INDEX(SLATable[Maximum SLA],MATCH(G18,SLATable[Priority],0))),"YES","NO"),"")</f>
        <v>YES</v>
      </c>
    </row>
    <row r="19" spans="2:36" ht="15" customHeight="1">
      <c r="B19" s="127" t="s">
        <v>26</v>
      </c>
      <c r="C19" s="127" t="s">
        <v>35</v>
      </c>
      <c r="D19" s="127" t="s">
        <v>207</v>
      </c>
      <c r="E19" s="127" t="s">
        <v>1071</v>
      </c>
      <c r="F19" s="127" t="s">
        <v>292</v>
      </c>
      <c r="G19" s="127">
        <v>3</v>
      </c>
      <c r="H19" s="127" t="s">
        <v>1072</v>
      </c>
      <c r="I19" s="127" t="s">
        <v>271</v>
      </c>
      <c r="J19" s="127" t="s">
        <v>1048</v>
      </c>
      <c r="K19" s="129">
        <v>46166.138495370367</v>
      </c>
      <c r="L19" s="129">
        <v>46166.13858796296</v>
      </c>
      <c r="M19" s="129">
        <v>46167.31145833333</v>
      </c>
      <c r="N19" s="129">
        <v>46167.460868055554</v>
      </c>
      <c r="O19" s="129"/>
      <c r="P19" s="129"/>
      <c r="Q19" s="127" t="s">
        <v>1073</v>
      </c>
      <c r="R19" s="127" t="s">
        <v>267</v>
      </c>
      <c r="S19" s="127" t="s">
        <v>149</v>
      </c>
      <c r="T19" s="127"/>
      <c r="U19" s="127" t="s">
        <v>371</v>
      </c>
      <c r="V19" s="127"/>
      <c r="W19" s="127"/>
      <c r="X19" s="127"/>
      <c r="Y19" s="127"/>
      <c r="Z19" s="169">
        <f t="shared" ca="1" si="1"/>
        <v>0</v>
      </c>
      <c r="AA19" s="170">
        <f t="shared" ca="1" si="2"/>
        <v>0</v>
      </c>
      <c r="AB19" s="169">
        <f t="shared" ca="1" si="3"/>
        <v>0</v>
      </c>
      <c r="AC19" s="170">
        <f t="shared" ca="1" si="4"/>
        <v>0</v>
      </c>
      <c r="AD19" s="169">
        <f t="shared" ca="1" si="5"/>
        <v>0</v>
      </c>
      <c r="AE19" s="169">
        <f t="shared" ca="1" si="0"/>
        <v>0</v>
      </c>
      <c r="AF19" s="170">
        <f t="shared" ca="1" si="6"/>
        <v>0</v>
      </c>
      <c r="AG19" s="170">
        <f t="shared" ca="1" si="7"/>
        <v>0</v>
      </c>
      <c r="AH19" s="28" t="str" cm="1">
        <f t="array" aca="1" ref="AH19" ca="1">IF((AD19) &lt; (INDEX(ResponseSLA[#All],(MATCH((G19),ResponseSLA[Priority],0))+1,3)),"YES","No")</f>
        <v>YES</v>
      </c>
      <c r="AI19" s="28" t="str">
        <f ca="1">_xlfn.IFNA(IF(AE19 &lt; (INDEX(SLATable[Minimum SLA],MATCH(G19,SLATable[Priority],0))),"YES","NO"),"")</f>
        <v>YES</v>
      </c>
      <c r="AJ19" s="28" t="str">
        <f ca="1">_xlfn.IFNA(IF(AE19 &lt; (INDEX(SLATable[Maximum SLA],MATCH(G19,SLATable[Priority],0))),"YES","NO"),"")</f>
        <v>YES</v>
      </c>
    </row>
    <row r="20" spans="2:36" ht="15" customHeight="1">
      <c r="B20" s="127" t="s">
        <v>26</v>
      </c>
      <c r="C20" s="127" t="s">
        <v>35</v>
      </c>
      <c r="D20" s="127" t="s">
        <v>207</v>
      </c>
      <c r="E20" s="127" t="s">
        <v>1074</v>
      </c>
      <c r="F20" s="127" t="s">
        <v>292</v>
      </c>
      <c r="G20" s="127">
        <v>3</v>
      </c>
      <c r="H20" s="127" t="s">
        <v>1075</v>
      </c>
      <c r="I20" s="127" t="s">
        <v>271</v>
      </c>
      <c r="J20" s="127" t="s">
        <v>1048</v>
      </c>
      <c r="K20" s="129">
        <v>46160.609675925924</v>
      </c>
      <c r="L20" s="129">
        <v>46160.609942129631</v>
      </c>
      <c r="M20" s="129">
        <v>46161.31013888889</v>
      </c>
      <c r="N20" s="129">
        <v>46161.428171296298</v>
      </c>
      <c r="O20" s="129"/>
      <c r="P20" s="129"/>
      <c r="Q20" s="127" t="s">
        <v>1073</v>
      </c>
      <c r="R20" s="127" t="s">
        <v>267</v>
      </c>
      <c r="S20" s="127" t="s">
        <v>149</v>
      </c>
      <c r="T20" s="127"/>
      <c r="U20" s="127" t="s">
        <v>371</v>
      </c>
      <c r="V20" s="127"/>
      <c r="W20" s="127"/>
      <c r="X20" s="127"/>
      <c r="Y20" s="127"/>
      <c r="Z20" s="169">
        <f t="shared" ca="1" si="1"/>
        <v>0.19349537037487607</v>
      </c>
      <c r="AA20" s="170">
        <f t="shared" ca="1" si="2"/>
        <v>0.51598765433300287</v>
      </c>
      <c r="AB20" s="169">
        <f t="shared" ca="1" si="3"/>
        <v>0.19322916666715173</v>
      </c>
      <c r="AC20" s="170">
        <f t="shared" ca="1" si="4"/>
        <v>0.51527777777907124</v>
      </c>
      <c r="AD20" s="169">
        <f t="shared" ca="1" si="5"/>
        <v>9.839120370209764E-2</v>
      </c>
      <c r="AE20" s="169">
        <f t="shared" ca="1" si="0"/>
        <v>0.19322916666715173</v>
      </c>
      <c r="AF20" s="170">
        <f t="shared" ca="1" si="6"/>
        <v>0.51527777777907124</v>
      </c>
      <c r="AG20" s="170">
        <f t="shared" ca="1" si="7"/>
        <v>0.51527777777907124</v>
      </c>
      <c r="AH20" s="28" t="str" cm="1">
        <f t="array" aca="1" ref="AH20" ca="1">IF((AD20) &lt; (INDEX(ResponseSLA[#All],(MATCH((G20),ResponseSLA[Priority],0))+1,3)),"YES","No")</f>
        <v>No</v>
      </c>
      <c r="AI20" s="28" t="str">
        <f ca="1">_xlfn.IFNA(IF(AE20 &lt; (INDEX(SLATable[Minimum SLA],MATCH(G20,SLATable[Priority],0))),"YES","NO"),"")</f>
        <v>YES</v>
      </c>
      <c r="AJ20" s="28" t="str">
        <f ca="1">_xlfn.IFNA(IF(AE20 &lt; (INDEX(SLATable[Maximum SLA],MATCH(G20,SLATable[Priority],0))),"YES","NO"),"")</f>
        <v>YES</v>
      </c>
    </row>
    <row r="21" spans="2:36" ht="15" customHeight="1">
      <c r="B21" s="127" t="s">
        <v>26</v>
      </c>
      <c r="C21" s="127" t="s">
        <v>35</v>
      </c>
      <c r="D21" s="127" t="s">
        <v>207</v>
      </c>
      <c r="E21" s="127" t="s">
        <v>1076</v>
      </c>
      <c r="F21" s="127" t="s">
        <v>292</v>
      </c>
      <c r="G21" s="127">
        <v>3</v>
      </c>
      <c r="H21" s="127" t="s">
        <v>1077</v>
      </c>
      <c r="I21" s="127" t="s">
        <v>271</v>
      </c>
      <c r="J21" s="127" t="s">
        <v>1048</v>
      </c>
      <c r="K21" s="129">
        <v>46160.506874999999</v>
      </c>
      <c r="L21" s="129">
        <v>46160.508599537039</v>
      </c>
      <c r="M21" s="129">
        <v>46161.275266203702</v>
      </c>
      <c r="N21" s="129">
        <v>46161.302766203706</v>
      </c>
      <c r="O21" s="129"/>
      <c r="P21" s="129"/>
      <c r="Q21" s="127" t="s">
        <v>1073</v>
      </c>
      <c r="R21" s="127" t="s">
        <v>267</v>
      </c>
      <c r="S21" s="127" t="s">
        <v>149</v>
      </c>
      <c r="T21" s="127"/>
      <c r="U21" s="127" t="s">
        <v>371</v>
      </c>
      <c r="V21" s="127"/>
      <c r="W21" s="127"/>
      <c r="X21" s="127"/>
      <c r="Y21" s="127"/>
      <c r="Z21" s="169">
        <f t="shared" ca="1" si="1"/>
        <v>0.20145833333420649</v>
      </c>
      <c r="AA21" s="170">
        <f t="shared" ca="1" si="2"/>
        <v>0.53722222222455063</v>
      </c>
      <c r="AB21" s="169">
        <f t="shared" ca="1" si="3"/>
        <v>0.19973379629421595</v>
      </c>
      <c r="AC21" s="170">
        <f t="shared" ca="1" si="4"/>
        <v>0.5326234567845759</v>
      </c>
      <c r="AD21" s="169">
        <f t="shared" ca="1" si="5"/>
        <v>0.19973379629421595</v>
      </c>
      <c r="AE21" s="169">
        <f t="shared" ca="1" si="0"/>
        <v>0.19973379629421595</v>
      </c>
      <c r="AF21" s="170">
        <f t="shared" ca="1" si="6"/>
        <v>0.5326234567845759</v>
      </c>
      <c r="AG21" s="170">
        <f t="shared" ca="1" si="7"/>
        <v>0.5326234567845759</v>
      </c>
      <c r="AH21" s="28" t="str" cm="1">
        <f t="array" aca="1" ref="AH21" ca="1">IF((AD21) &lt; (INDEX(ResponseSLA[#All],(MATCH((G21),ResponseSLA[Priority],0))+1,3)),"YES","No")</f>
        <v>No</v>
      </c>
      <c r="AI21" s="28" t="str">
        <f ca="1">_xlfn.IFNA(IF(AE21 &lt; (INDEX(SLATable[Minimum SLA],MATCH(G21,SLATable[Priority],0))),"YES","NO"),"")</f>
        <v>YES</v>
      </c>
      <c r="AJ21" s="28" t="str">
        <f ca="1">_xlfn.IFNA(IF(AE21 &lt; (INDEX(SLATable[Maximum SLA],MATCH(G21,SLATable[Priority],0))),"YES","NO"),"")</f>
        <v>YES</v>
      </c>
    </row>
    <row r="22" spans="2:36" ht="15" customHeight="1">
      <c r="B22" s="127" t="s">
        <v>26</v>
      </c>
      <c r="C22" s="127" t="s">
        <v>35</v>
      </c>
      <c r="D22" s="127" t="s">
        <v>207</v>
      </c>
      <c r="E22" s="127" t="s">
        <v>1078</v>
      </c>
      <c r="F22" s="127" t="s">
        <v>292</v>
      </c>
      <c r="G22" s="127">
        <v>4</v>
      </c>
      <c r="H22" s="127" t="s">
        <v>1079</v>
      </c>
      <c r="I22" s="127" t="s">
        <v>271</v>
      </c>
      <c r="J22" s="127" t="s">
        <v>1048</v>
      </c>
      <c r="K22" s="129">
        <v>46135.397685185184</v>
      </c>
      <c r="L22" s="129">
        <v>46135.398101851853</v>
      </c>
      <c r="M22" s="129">
        <v>46140.445219907408</v>
      </c>
      <c r="N22" s="129">
        <v>46148.460844907408</v>
      </c>
      <c r="O22" s="129"/>
      <c r="P22" s="129"/>
      <c r="Q22" s="127" t="s">
        <v>1073</v>
      </c>
      <c r="R22" s="127" t="s">
        <v>267</v>
      </c>
      <c r="S22" s="127" t="s">
        <v>190</v>
      </c>
      <c r="T22" s="127"/>
      <c r="U22" s="127" t="s">
        <v>371</v>
      </c>
      <c r="V22" s="127"/>
      <c r="W22" s="127"/>
      <c r="X22" s="127"/>
      <c r="Y22" s="127"/>
      <c r="Z22" s="169">
        <f t="shared" ca="1" si="1"/>
        <v>2.6881597222236455</v>
      </c>
      <c r="AA22" s="170">
        <f t="shared" ca="1" si="2"/>
        <v>7.1684259259297214</v>
      </c>
      <c r="AB22" s="169">
        <f t="shared" ca="1" si="3"/>
        <v>2.6877430555541655</v>
      </c>
      <c r="AC22" s="170">
        <f t="shared" ca="1" si="4"/>
        <v>7.1673148148111085</v>
      </c>
      <c r="AD22" s="169">
        <f t="shared" ca="1" si="5"/>
        <v>1.1721180555541653</v>
      </c>
      <c r="AE22" s="169">
        <f t="shared" ca="1" si="0"/>
        <v>2.6877430555541655</v>
      </c>
      <c r="AF22" s="170">
        <f t="shared" ca="1" si="6"/>
        <v>7.1673148148111085</v>
      </c>
      <c r="AG22" s="170">
        <f t="shared" ca="1" si="7"/>
        <v>7.1673148148111085</v>
      </c>
      <c r="AH22" s="28" t="str" cm="1">
        <f t="array" aca="1" ref="AH22" ca="1">IF((AD22) &lt; (INDEX(ResponseSLA[#All],(MATCH((G22),ResponseSLA[Priority],0))+1,3)),"YES","No")</f>
        <v>No</v>
      </c>
      <c r="AI22" s="28" t="str">
        <f ca="1">_xlfn.IFNA(IF(AE22 &lt; (INDEX(SLATable[Minimum SLA],MATCH(G22,SLATable[Priority],0))),"YES","NO"),"")</f>
        <v>YES</v>
      </c>
      <c r="AJ22" s="28" t="str">
        <f ca="1">_xlfn.IFNA(IF(AE22 &lt; (INDEX(SLATable[Maximum SLA],MATCH(G22,SLATable[Priority],0))),"YES","NO"),"")</f>
        <v>YES</v>
      </c>
    </row>
    <row r="23" spans="2:36" ht="15" customHeight="1">
      <c r="B23" s="127" t="s">
        <v>26</v>
      </c>
      <c r="C23" s="127" t="s">
        <v>35</v>
      </c>
      <c r="D23" s="127" t="s">
        <v>207</v>
      </c>
      <c r="E23" s="127" t="s">
        <v>1080</v>
      </c>
      <c r="F23" s="127" t="s">
        <v>292</v>
      </c>
      <c r="G23" s="127">
        <v>3</v>
      </c>
      <c r="H23" s="127" t="s">
        <v>1081</v>
      </c>
      <c r="I23" s="127" t="s">
        <v>271</v>
      </c>
      <c r="J23" s="127" t="s">
        <v>1048</v>
      </c>
      <c r="K23" s="129">
        <v>46161.450567129628</v>
      </c>
      <c r="L23" s="129">
        <v>46161.455752314818</v>
      </c>
      <c r="M23" s="129">
        <v>46162.378368055557</v>
      </c>
      <c r="N23" s="129">
        <v>46162.608310185184</v>
      </c>
      <c r="O23" s="129"/>
      <c r="P23" s="129"/>
      <c r="Q23" s="127" t="s">
        <v>1073</v>
      </c>
      <c r="R23" s="127" t="s">
        <v>267</v>
      </c>
      <c r="S23" s="127" t="s">
        <v>149</v>
      </c>
      <c r="T23" s="127"/>
      <c r="U23" s="127" t="s">
        <v>371</v>
      </c>
      <c r="V23" s="127"/>
      <c r="W23" s="127"/>
      <c r="X23" s="127"/>
      <c r="Y23" s="127"/>
      <c r="Z23" s="169">
        <f t="shared" ca="1" si="1"/>
        <v>0.53274305555532919</v>
      </c>
      <c r="AA23" s="170">
        <f t="shared" ca="1" si="2"/>
        <v>1.4206481481475446</v>
      </c>
      <c r="AB23" s="169">
        <f t="shared" ca="1" si="3"/>
        <v>0.52755787036585389</v>
      </c>
      <c r="AC23" s="170">
        <f t="shared" ca="1" si="4"/>
        <v>1.406820987642277</v>
      </c>
      <c r="AD23" s="169">
        <f t="shared" ca="1" si="5"/>
        <v>0.29761574073927477</v>
      </c>
      <c r="AE23" s="169">
        <f t="shared" ca="1" si="0"/>
        <v>0.52755787036585389</v>
      </c>
      <c r="AF23" s="170">
        <f t="shared" ca="1" si="6"/>
        <v>1.406820987642277</v>
      </c>
      <c r="AG23" s="170">
        <f t="shared" ca="1" si="7"/>
        <v>1.406820987642277</v>
      </c>
      <c r="AH23" s="28" t="str" cm="1">
        <f t="array" aca="1" ref="AH23" ca="1">IF((AD23) &lt; (INDEX(ResponseSLA[#All],(MATCH((G23),ResponseSLA[Priority],0))+1,3)),"YES","No")</f>
        <v>No</v>
      </c>
      <c r="AI23" s="28" t="str">
        <f ca="1">_xlfn.IFNA(IF(AE23 &lt; (INDEX(SLATable[Minimum SLA],MATCH(G23,SLATable[Priority],0))),"YES","NO"),"")</f>
        <v>NO</v>
      </c>
      <c r="AJ23" s="28" t="str">
        <f ca="1">_xlfn.IFNA(IF(AE23 &lt; (INDEX(SLATable[Maximum SLA],MATCH(G23,SLATable[Priority],0))),"YES","NO"),"")</f>
        <v>YES</v>
      </c>
    </row>
    <row r="24" spans="2:36" ht="15" customHeight="1">
      <c r="B24" s="127" t="s">
        <v>26</v>
      </c>
      <c r="C24" s="127" t="s">
        <v>35</v>
      </c>
      <c r="D24" s="127" t="s">
        <v>207</v>
      </c>
      <c r="E24" s="127" t="s">
        <v>1082</v>
      </c>
      <c r="F24" s="127" t="s">
        <v>292</v>
      </c>
      <c r="G24" s="127">
        <v>4</v>
      </c>
      <c r="H24" s="127" t="s">
        <v>1083</v>
      </c>
      <c r="I24" s="127" t="s">
        <v>271</v>
      </c>
      <c r="J24" s="127" t="s">
        <v>1048</v>
      </c>
      <c r="K24" s="129">
        <v>46142.406990740739</v>
      </c>
      <c r="L24" s="129">
        <v>46142.407789351855</v>
      </c>
      <c r="M24" s="129">
        <v>46147.449895833335</v>
      </c>
      <c r="N24" s="129">
        <v>46155.489236111112</v>
      </c>
      <c r="O24" s="129"/>
      <c r="P24" s="129"/>
      <c r="Q24" s="127" t="s">
        <v>1073</v>
      </c>
      <c r="R24" s="127" t="s">
        <v>267</v>
      </c>
      <c r="S24" s="127" t="s">
        <v>190</v>
      </c>
      <c r="T24" s="127"/>
      <c r="U24" s="127" t="s">
        <v>371</v>
      </c>
      <c r="V24" s="127"/>
      <c r="W24" s="127"/>
      <c r="X24" s="127"/>
      <c r="Y24" s="127"/>
      <c r="Z24" s="169">
        <f t="shared" ca="1" si="1"/>
        <v>2.7072453703731303</v>
      </c>
      <c r="AA24" s="170">
        <f t="shared" ca="1" si="2"/>
        <v>7.2193209876616811</v>
      </c>
      <c r="AB24" s="169">
        <f t="shared" ca="1" si="3"/>
        <v>2.7064467592572332</v>
      </c>
      <c r="AC24" s="170">
        <f t="shared" ca="1" si="4"/>
        <v>7.2171913580192886</v>
      </c>
      <c r="AD24" s="169">
        <f t="shared" ca="1" si="5"/>
        <v>0.41710648148000473</v>
      </c>
      <c r="AE24" s="169">
        <f t="shared" ca="1" si="0"/>
        <v>2.7064467592572332</v>
      </c>
      <c r="AF24" s="170">
        <f t="shared" ca="1" si="6"/>
        <v>7.2171913580192886</v>
      </c>
      <c r="AG24" s="170">
        <f t="shared" ca="1" si="7"/>
        <v>7.2171913580192886</v>
      </c>
      <c r="AH24" s="28" t="str" cm="1">
        <f t="array" aca="1" ref="AH24" ca="1">IF((AD24) &lt; (INDEX(ResponseSLA[#All],(MATCH((G24),ResponseSLA[Priority],0))+1,3)),"YES","No")</f>
        <v>No</v>
      </c>
      <c r="AI24" s="28" t="str">
        <f ca="1">_xlfn.IFNA(IF(AE24 &lt; (INDEX(SLATable[Minimum SLA],MATCH(G24,SLATable[Priority],0))),"YES","NO"),"")</f>
        <v>YES</v>
      </c>
      <c r="AJ24" s="28" t="str">
        <f ca="1">_xlfn.IFNA(IF(AE24 &lt; (INDEX(SLATable[Maximum SLA],MATCH(G24,SLATable[Priority],0))),"YES","NO"),"")</f>
        <v>YES</v>
      </c>
    </row>
    <row r="25" spans="2:36" ht="15" customHeight="1">
      <c r="B25" s="127" t="s">
        <v>26</v>
      </c>
      <c r="C25" s="127" t="s">
        <v>35</v>
      </c>
      <c r="D25" s="127" t="s">
        <v>207</v>
      </c>
      <c r="E25" s="127" t="s">
        <v>1084</v>
      </c>
      <c r="F25" s="127" t="s">
        <v>292</v>
      </c>
      <c r="G25" s="127">
        <v>3</v>
      </c>
      <c r="H25" s="127" t="s">
        <v>1085</v>
      </c>
      <c r="I25" s="127" t="s">
        <v>271</v>
      </c>
      <c r="J25" s="127" t="s">
        <v>1048</v>
      </c>
      <c r="K25" s="129">
        <v>46133.741666666669</v>
      </c>
      <c r="L25" s="129">
        <v>46133.741793981484</v>
      </c>
      <c r="M25" s="129">
        <v>46134.269085648149</v>
      </c>
      <c r="N25" s="129">
        <v>46143.750416666669</v>
      </c>
      <c r="O25" s="129"/>
      <c r="P25" s="129"/>
      <c r="Q25" s="127" t="s">
        <v>1073</v>
      </c>
      <c r="R25" s="127" t="s">
        <v>267</v>
      </c>
      <c r="S25" s="127" t="s">
        <v>190</v>
      </c>
      <c r="T25" s="127"/>
      <c r="U25" s="127" t="s">
        <v>371</v>
      </c>
      <c r="V25" s="127"/>
      <c r="W25" s="127"/>
      <c r="X25" s="127"/>
      <c r="Y25" s="127"/>
      <c r="Z25" s="169">
        <f t="shared" ca="1" si="1"/>
        <v>2.2500000000000004</v>
      </c>
      <c r="AA25" s="170">
        <f t="shared" ca="1" si="2"/>
        <v>6.0000000000000018</v>
      </c>
      <c r="AB25" s="169">
        <f t="shared" ca="1" si="3"/>
        <v>2.2500000000000004</v>
      </c>
      <c r="AC25" s="170">
        <f t="shared" ca="1" si="4"/>
        <v>6.0000000000000018</v>
      </c>
      <c r="AD25" s="169">
        <f t="shared" ca="1" si="5"/>
        <v>0</v>
      </c>
      <c r="AE25" s="169">
        <f t="shared" ca="1" si="0"/>
        <v>2.2500000000000004</v>
      </c>
      <c r="AF25" s="170">
        <f t="shared" ca="1" si="6"/>
        <v>6.0000000000000018</v>
      </c>
      <c r="AG25" s="170">
        <f t="shared" ca="1" si="7"/>
        <v>6.0000000000000018</v>
      </c>
      <c r="AH25" s="28" t="str" cm="1">
        <f t="array" aca="1" ref="AH25" ca="1">IF((AD25) &lt; (INDEX(ResponseSLA[#All],(MATCH((G25),ResponseSLA[Priority],0))+1,3)),"YES","No")</f>
        <v>YES</v>
      </c>
      <c r="AI25" s="28" t="str">
        <f ca="1">_xlfn.IFNA(IF(AE25 &lt; (INDEX(SLATable[Minimum SLA],MATCH(G25,SLATable[Priority],0))),"YES","NO"),"")</f>
        <v>NO</v>
      </c>
      <c r="AJ25" s="28" t="str">
        <f ca="1">_xlfn.IFNA(IF(AE25 &lt; (INDEX(SLATable[Maximum SLA],MATCH(G25,SLATable[Priority],0))),"YES","NO"),"")</f>
        <v>NO</v>
      </c>
    </row>
    <row r="26" spans="2:36" ht="15" customHeight="1">
      <c r="B26" s="127" t="s">
        <v>26</v>
      </c>
      <c r="C26" s="127" t="s">
        <v>35</v>
      </c>
      <c r="D26" s="127" t="s">
        <v>207</v>
      </c>
      <c r="E26" s="127" t="s">
        <v>1086</v>
      </c>
      <c r="F26" s="127" t="s">
        <v>292</v>
      </c>
      <c r="G26" s="127">
        <v>4</v>
      </c>
      <c r="H26" s="127" t="s">
        <v>1087</v>
      </c>
      <c r="I26" s="127" t="s">
        <v>271</v>
      </c>
      <c r="J26" s="127" t="s">
        <v>1048</v>
      </c>
      <c r="K26" s="129">
        <v>46135.647928240738</v>
      </c>
      <c r="L26" s="129">
        <v>46135.648541666669</v>
      </c>
      <c r="M26" s="129">
        <v>46140.445196759261</v>
      </c>
      <c r="N26" s="129">
        <v>46148.460740740738</v>
      </c>
      <c r="O26" s="129"/>
      <c r="P26" s="129"/>
      <c r="Q26" s="127" t="s">
        <v>1073</v>
      </c>
      <c r="R26" s="127" t="s">
        <v>267</v>
      </c>
      <c r="S26" s="127" t="s">
        <v>190</v>
      </c>
      <c r="T26" s="127"/>
      <c r="U26" s="127" t="s">
        <v>371</v>
      </c>
      <c r="V26" s="127"/>
      <c r="W26" s="127"/>
      <c r="X26" s="127"/>
      <c r="Y26" s="127"/>
      <c r="Z26" s="169">
        <f t="shared" ca="1" si="1"/>
        <v>2.4378125000002915</v>
      </c>
      <c r="AA26" s="170">
        <f t="shared" ca="1" si="2"/>
        <v>6.5008333333341106</v>
      </c>
      <c r="AB26" s="169">
        <f t="shared" ca="1" si="3"/>
        <v>2.4371990740692131</v>
      </c>
      <c r="AC26" s="170">
        <f t="shared" ca="1" si="4"/>
        <v>6.4991975308512355</v>
      </c>
      <c r="AD26" s="169">
        <f t="shared" ca="1" si="5"/>
        <v>0.92165509259211853</v>
      </c>
      <c r="AE26" s="169">
        <f t="shared" ca="1" si="0"/>
        <v>2.4371990740692131</v>
      </c>
      <c r="AF26" s="170">
        <f t="shared" ca="1" si="6"/>
        <v>6.4991975308512355</v>
      </c>
      <c r="AG26" s="170">
        <f t="shared" ca="1" si="7"/>
        <v>6.4991975308512355</v>
      </c>
      <c r="AH26" s="28" t="str" cm="1">
        <f t="array" aca="1" ref="AH26" ca="1">IF((AD26) &lt; (INDEX(ResponseSLA[#All],(MATCH((G26),ResponseSLA[Priority],0))+1,3)),"YES","No")</f>
        <v>No</v>
      </c>
      <c r="AI26" s="28" t="str">
        <f ca="1">_xlfn.IFNA(IF(AE26 &lt; (INDEX(SLATable[Minimum SLA],MATCH(G26,SLATable[Priority],0))),"YES","NO"),"")</f>
        <v>YES</v>
      </c>
      <c r="AJ26" s="28" t="str">
        <f ca="1">_xlfn.IFNA(IF(AE26 &lt; (INDEX(SLATable[Maximum SLA],MATCH(G26,SLATable[Priority],0))),"YES","NO"),"")</f>
        <v>YES</v>
      </c>
    </row>
    <row r="27" spans="2:36" ht="15" customHeight="1">
      <c r="B27" s="127" t="s">
        <v>26</v>
      </c>
      <c r="C27" s="127" t="s">
        <v>35</v>
      </c>
      <c r="D27" s="127" t="s">
        <v>207</v>
      </c>
      <c r="E27" s="127" t="s">
        <v>1088</v>
      </c>
      <c r="F27" s="127" t="s">
        <v>301</v>
      </c>
      <c r="G27" s="127">
        <v>4</v>
      </c>
      <c r="H27" s="127" t="s">
        <v>1089</v>
      </c>
      <c r="I27" s="127" t="s">
        <v>271</v>
      </c>
      <c r="J27" s="127" t="s">
        <v>1048</v>
      </c>
      <c r="K27" s="129">
        <v>46133.683356481481</v>
      </c>
      <c r="L27" s="129">
        <v>46133.683391203704</v>
      </c>
      <c r="M27" s="129">
        <v>46135.258009259262</v>
      </c>
      <c r="N27" s="129">
        <v>46145.243020833332</v>
      </c>
      <c r="O27" s="129"/>
      <c r="P27" s="129"/>
      <c r="Q27" s="127" t="s">
        <v>1090</v>
      </c>
      <c r="R27" s="127" t="s">
        <v>267</v>
      </c>
      <c r="S27" s="127" t="s">
        <v>149</v>
      </c>
      <c r="T27" s="127"/>
      <c r="U27" s="127" t="s">
        <v>371</v>
      </c>
      <c r="V27" s="127"/>
      <c r="W27" s="127"/>
      <c r="X27" s="127"/>
      <c r="Y27" s="127"/>
      <c r="Z27" s="169">
        <f t="shared" ca="1" si="1"/>
        <v>2.2749768518527471</v>
      </c>
      <c r="AA27" s="170">
        <f t="shared" ca="1" si="2"/>
        <v>6.0666049382739926</v>
      </c>
      <c r="AB27" s="169">
        <f t="shared" ca="1" si="3"/>
        <v>2.2749421296296841</v>
      </c>
      <c r="AC27" s="170">
        <f t="shared" ca="1" si="4"/>
        <v>6.0665123456791576</v>
      </c>
      <c r="AD27" s="169">
        <f t="shared" ca="1" si="5"/>
        <v>0.39994212962968367</v>
      </c>
      <c r="AE27" s="169">
        <f t="shared" ca="1" si="0"/>
        <v>2.2749421296296841</v>
      </c>
      <c r="AF27" s="170">
        <f t="shared" ca="1" si="6"/>
        <v>6.0665123456791576</v>
      </c>
      <c r="AG27" s="170">
        <f t="shared" ca="1" si="7"/>
        <v>6.0665123456791576</v>
      </c>
      <c r="AH27" s="28" t="str" cm="1">
        <f t="array" aca="1" ref="AH27" ca="1">IF((AD27) &lt; (INDEX(ResponseSLA[#All],(MATCH((G27),ResponseSLA[Priority],0))+1,3)),"YES","No")</f>
        <v>No</v>
      </c>
      <c r="AI27" s="28" t="str">
        <f ca="1">_xlfn.IFNA(IF(AE27 &lt; (INDEX(SLATable[Minimum SLA],MATCH(G27,SLATable[Priority],0))),"YES","NO"),"")</f>
        <v>YES</v>
      </c>
      <c r="AJ27" s="28" t="str">
        <f ca="1">_xlfn.IFNA(IF(AE27 &lt; (INDEX(SLATable[Maximum SLA],MATCH(G27,SLATable[Priority],0))),"YES","NO"),"")</f>
        <v>YES</v>
      </c>
    </row>
    <row r="28" spans="2:36" ht="15" customHeight="1">
      <c r="B28" s="127" t="s">
        <v>26</v>
      </c>
      <c r="C28" s="127" t="s">
        <v>35</v>
      </c>
      <c r="D28" s="127" t="s">
        <v>207</v>
      </c>
      <c r="E28" s="127" t="s">
        <v>1091</v>
      </c>
      <c r="F28" s="127" t="s">
        <v>295</v>
      </c>
      <c r="G28" s="127">
        <v>4</v>
      </c>
      <c r="H28" s="127" t="s">
        <v>825</v>
      </c>
      <c r="I28" s="127" t="s">
        <v>271</v>
      </c>
      <c r="J28" s="127" t="s">
        <v>1092</v>
      </c>
      <c r="K28" s="129">
        <v>46142.118541666663</v>
      </c>
      <c r="L28" s="129">
        <v>46142.118657407409</v>
      </c>
      <c r="M28" s="129">
        <v>46142.294259259259</v>
      </c>
      <c r="N28" s="129">
        <v>46147.453877314816</v>
      </c>
      <c r="O28" s="129"/>
      <c r="P28" s="129">
        <v>46147.453877314816</v>
      </c>
      <c r="Q28" s="127" t="s">
        <v>695</v>
      </c>
      <c r="R28" s="127" t="s">
        <v>267</v>
      </c>
      <c r="S28" s="127" t="s">
        <v>193</v>
      </c>
      <c r="T28" s="127"/>
      <c r="U28" s="127" t="s">
        <v>371</v>
      </c>
      <c r="V28" s="127"/>
      <c r="W28" s="127"/>
      <c r="X28" s="127"/>
      <c r="Y28" s="127"/>
      <c r="Z28" s="169">
        <f t="shared" ca="1" si="1"/>
        <v>0.49554398148272111</v>
      </c>
      <c r="AA28" s="170">
        <f t="shared" ca="1" si="2"/>
        <v>1.3214506172872562</v>
      </c>
      <c r="AB28" s="169">
        <f t="shared" ca="1" si="3"/>
        <v>0.49554398148272111</v>
      </c>
      <c r="AC28" s="170">
        <f t="shared" ca="1" si="4"/>
        <v>1.3214506172872562</v>
      </c>
      <c r="AD28" s="169">
        <f t="shared" ca="1" si="5"/>
        <v>0</v>
      </c>
      <c r="AE28" s="169">
        <f t="shared" ca="1" si="0"/>
        <v>0.49554398148272111</v>
      </c>
      <c r="AF28" s="170">
        <f t="shared" ca="1" si="6"/>
        <v>1.3214506172872562</v>
      </c>
      <c r="AG28" s="170">
        <f t="shared" ca="1" si="7"/>
        <v>1.3214506172872562</v>
      </c>
      <c r="AH28" s="28" t="str" cm="1">
        <f t="array" aca="1" ref="AH28" ca="1">IF((AD28) &lt; (INDEX(ResponseSLA[#All],(MATCH((G28),ResponseSLA[Priority],0))+1,3)),"YES","No")</f>
        <v>YES</v>
      </c>
      <c r="AI28" s="28" t="str">
        <f ca="1">_xlfn.IFNA(IF(AE28 &lt; (INDEX(SLATable[Minimum SLA],MATCH(G28,SLATable[Priority],0))),"YES","NO"),"")</f>
        <v>YES</v>
      </c>
      <c r="AJ28" s="28" t="str">
        <f ca="1">_xlfn.IFNA(IF(AE28 &lt; (INDEX(SLATable[Maximum SLA],MATCH(G28,SLATable[Priority],0))),"YES","NO"),"")</f>
        <v>YES</v>
      </c>
    </row>
    <row r="29" spans="2:36" ht="15" customHeight="1">
      <c r="B29" s="127" t="s">
        <v>26</v>
      </c>
      <c r="C29" s="127" t="s">
        <v>35</v>
      </c>
      <c r="D29" s="127" t="s">
        <v>207</v>
      </c>
      <c r="E29" s="127" t="s">
        <v>1093</v>
      </c>
      <c r="F29" s="127" t="s">
        <v>295</v>
      </c>
      <c r="G29" s="127">
        <v>4</v>
      </c>
      <c r="H29" s="127" t="s">
        <v>820</v>
      </c>
      <c r="I29" s="127" t="s">
        <v>271</v>
      </c>
      <c r="J29" s="127" t="s">
        <v>1092</v>
      </c>
      <c r="K29" s="129">
        <v>46142.118564814817</v>
      </c>
      <c r="L29" s="129">
        <v>46142.118657407409</v>
      </c>
      <c r="M29" s="129">
        <v>46142.294259259259</v>
      </c>
      <c r="N29" s="129">
        <v>46147.451828703706</v>
      </c>
      <c r="O29" s="129"/>
      <c r="P29" s="129">
        <v>46147.451828703706</v>
      </c>
      <c r="Q29" s="127" t="s">
        <v>695</v>
      </c>
      <c r="R29" s="127" t="s">
        <v>267</v>
      </c>
      <c r="S29" s="127" t="s">
        <v>193</v>
      </c>
      <c r="T29" s="127"/>
      <c r="U29" s="127" t="s">
        <v>371</v>
      </c>
      <c r="V29" s="127"/>
      <c r="W29" s="127"/>
      <c r="X29" s="127"/>
      <c r="Y29" s="127"/>
      <c r="Z29" s="169">
        <f t="shared" ca="1" si="1"/>
        <v>0.49349537037293584</v>
      </c>
      <c r="AA29" s="170">
        <f t="shared" ca="1" si="2"/>
        <v>1.3159876543278288</v>
      </c>
      <c r="AB29" s="169">
        <f t="shared" ca="1" si="3"/>
        <v>0.49349537037293584</v>
      </c>
      <c r="AC29" s="170">
        <f t="shared" ca="1" si="4"/>
        <v>1.3159876543278288</v>
      </c>
      <c r="AD29" s="169">
        <f t="shared" ca="1" si="5"/>
        <v>0</v>
      </c>
      <c r="AE29" s="169">
        <f t="shared" ca="1" si="0"/>
        <v>0.49349537037293584</v>
      </c>
      <c r="AF29" s="170">
        <f t="shared" ca="1" si="6"/>
        <v>1.3159876543278288</v>
      </c>
      <c r="AG29" s="170">
        <f t="shared" ca="1" si="7"/>
        <v>1.3159876543278288</v>
      </c>
      <c r="AH29" s="28" t="str" cm="1">
        <f t="array" aca="1" ref="AH29" ca="1">IF((AD29) &lt; (INDEX(ResponseSLA[#All],(MATCH((G29),ResponseSLA[Priority],0))+1,3)),"YES","No")</f>
        <v>YES</v>
      </c>
      <c r="AI29" s="28" t="str">
        <f ca="1">_xlfn.IFNA(IF(AE29 &lt; (INDEX(SLATable[Minimum SLA],MATCH(G29,SLATable[Priority],0))),"YES","NO"),"")</f>
        <v>YES</v>
      </c>
      <c r="AJ29" s="28" t="str">
        <f ca="1">_xlfn.IFNA(IF(AE29 &lt; (INDEX(SLATable[Maximum SLA],MATCH(G29,SLATable[Priority],0))),"YES","NO"),"")</f>
        <v>YES</v>
      </c>
    </row>
    <row r="30" spans="2:36" ht="15" customHeight="1">
      <c r="B30" s="127" t="s">
        <v>26</v>
      </c>
      <c r="C30" s="127" t="s">
        <v>35</v>
      </c>
      <c r="D30" s="127" t="s">
        <v>207</v>
      </c>
      <c r="E30" s="127" t="s">
        <v>1094</v>
      </c>
      <c r="F30" s="127" t="s">
        <v>292</v>
      </c>
      <c r="G30" s="127">
        <v>4</v>
      </c>
      <c r="H30" s="127" t="s">
        <v>1095</v>
      </c>
      <c r="I30" s="127" t="s">
        <v>271</v>
      </c>
      <c r="J30" s="127" t="s">
        <v>1092</v>
      </c>
      <c r="K30" s="129">
        <v>46154.661597222221</v>
      </c>
      <c r="L30" s="129">
        <v>46154.66165509259</v>
      </c>
      <c r="M30" s="129">
        <v>46155.298831018517</v>
      </c>
      <c r="N30" s="129">
        <v>46163.386840277781</v>
      </c>
      <c r="O30" s="129">
        <v>46155.386284722219</v>
      </c>
      <c r="P30" s="129">
        <v>46163.386840277781</v>
      </c>
      <c r="Q30" s="127" t="s">
        <v>1073</v>
      </c>
      <c r="R30" s="127" t="s">
        <v>267</v>
      </c>
      <c r="S30" s="127" t="s">
        <v>190</v>
      </c>
      <c r="T30" s="127"/>
      <c r="U30" s="127" t="s">
        <v>371</v>
      </c>
      <c r="V30" s="127"/>
      <c r="W30" s="127"/>
      <c r="X30" s="127"/>
      <c r="Y30" s="127"/>
      <c r="Z30" s="169">
        <f t="shared" ca="1" si="1"/>
        <v>9.968749999825377E-2</v>
      </c>
      <c r="AA30" s="170">
        <f t="shared" ca="1" si="2"/>
        <v>0.2658333333286767</v>
      </c>
      <c r="AB30" s="169">
        <f t="shared" ca="1" si="3"/>
        <v>9.9629629628907423E-2</v>
      </c>
      <c r="AC30" s="170">
        <f t="shared" ca="1" si="4"/>
        <v>0.26567901234375313</v>
      </c>
      <c r="AD30" s="169">
        <f t="shared" ca="1" si="5"/>
        <v>4.6678240743252331E-2</v>
      </c>
      <c r="AE30" s="169">
        <f t="shared" ca="1" si="0"/>
        <v>9.9629629628907423E-2</v>
      </c>
      <c r="AF30" s="170">
        <f t="shared" ca="1" si="6"/>
        <v>0.26567901234375313</v>
      </c>
      <c r="AG30" s="170">
        <f t="shared" ca="1" si="7"/>
        <v>0.26567901234375313</v>
      </c>
      <c r="AH30" s="28" t="str" cm="1">
        <f t="array" aca="1" ref="AH30" ca="1">IF((AD30) &lt; (INDEX(ResponseSLA[#All],(MATCH((G30),ResponseSLA[Priority],0))+1,3)),"YES","No")</f>
        <v>YES</v>
      </c>
      <c r="AI30" s="28" t="str">
        <f ca="1">_xlfn.IFNA(IF(AE30 &lt; (INDEX(SLATable[Minimum SLA],MATCH(G30,SLATable[Priority],0))),"YES","NO"),"")</f>
        <v>YES</v>
      </c>
      <c r="AJ30" s="28" t="str">
        <f ca="1">_xlfn.IFNA(IF(AE30 &lt; (INDEX(SLATable[Maximum SLA],MATCH(G30,SLATable[Priority],0))),"YES","NO"),"")</f>
        <v>YES</v>
      </c>
    </row>
    <row r="31" spans="2:36" ht="15" customHeight="1">
      <c r="B31" s="127" t="s">
        <v>26</v>
      </c>
      <c r="C31" s="127" t="s">
        <v>35</v>
      </c>
      <c r="D31" s="127" t="s">
        <v>207</v>
      </c>
      <c r="E31" s="127" t="s">
        <v>1096</v>
      </c>
      <c r="F31" s="127" t="s">
        <v>289</v>
      </c>
      <c r="G31" s="127">
        <v>4</v>
      </c>
      <c r="H31" s="127" t="s">
        <v>1097</v>
      </c>
      <c r="I31" s="127" t="s">
        <v>271</v>
      </c>
      <c r="J31" s="127" t="s">
        <v>1092</v>
      </c>
      <c r="K31" s="129">
        <v>46137.775277777779</v>
      </c>
      <c r="L31" s="129">
        <v>46137.775358796294</v>
      </c>
      <c r="M31" s="129">
        <v>46138.840949074074</v>
      </c>
      <c r="N31" s="129">
        <v>46147.412858796299</v>
      </c>
      <c r="O31" s="129">
        <v>46139.412048611113</v>
      </c>
      <c r="P31" s="129">
        <v>46147.412858796299</v>
      </c>
      <c r="Q31" s="127" t="s">
        <v>1098</v>
      </c>
      <c r="R31" s="127" t="s">
        <v>267</v>
      </c>
      <c r="S31" s="127" t="s">
        <v>199</v>
      </c>
      <c r="T31" s="127"/>
      <c r="U31" s="127" t="s">
        <v>371</v>
      </c>
      <c r="V31" s="127"/>
      <c r="W31" s="127"/>
      <c r="X31" s="127"/>
      <c r="Y31" s="127"/>
      <c r="Z31" s="169">
        <f t="shared" ca="1" si="1"/>
        <v>7.871527777994447E-2</v>
      </c>
      <c r="AA31" s="170">
        <f t="shared" ca="1" si="2"/>
        <v>0.20990740741318525</v>
      </c>
      <c r="AB31" s="169">
        <f t="shared" ca="1" si="3"/>
        <v>7.871527777994447E-2</v>
      </c>
      <c r="AC31" s="170">
        <f t="shared" ca="1" si="4"/>
        <v>0.20990740741318525</v>
      </c>
      <c r="AD31" s="169">
        <f t="shared" ca="1" si="5"/>
        <v>0</v>
      </c>
      <c r="AE31" s="169">
        <f t="shared" ca="1" si="0"/>
        <v>7.871527777994447E-2</v>
      </c>
      <c r="AF31" s="170">
        <f t="shared" ca="1" si="6"/>
        <v>0.20990740741318525</v>
      </c>
      <c r="AG31" s="170">
        <f t="shared" ca="1" si="7"/>
        <v>0.20990740741318525</v>
      </c>
      <c r="AH31" s="28" t="str" cm="1">
        <f t="array" aca="1" ref="AH31" ca="1">IF((AD31) &lt; (INDEX(ResponseSLA[#All],(MATCH((G31),ResponseSLA[Priority],0))+1,3)),"YES","No")</f>
        <v>YES</v>
      </c>
      <c r="AI31" s="28" t="str">
        <f ca="1">_xlfn.IFNA(IF(AE31 &lt; (INDEX(SLATable[Minimum SLA],MATCH(G31,SLATable[Priority],0))),"YES","NO"),"")</f>
        <v>YES</v>
      </c>
      <c r="AJ31" s="28" t="str">
        <f ca="1">_xlfn.IFNA(IF(AE31 &lt; (INDEX(SLATable[Maximum SLA],MATCH(G31,SLATable[Priority],0))),"YES","NO"),"")</f>
        <v>YES</v>
      </c>
    </row>
    <row r="32" spans="2:36" ht="15" customHeight="1">
      <c r="B32" s="127" t="s">
        <v>26</v>
      </c>
      <c r="C32" s="127" t="s">
        <v>35</v>
      </c>
      <c r="D32" s="127" t="s">
        <v>207</v>
      </c>
      <c r="E32" s="127" t="s">
        <v>1099</v>
      </c>
      <c r="F32" s="127" t="s">
        <v>289</v>
      </c>
      <c r="G32" s="127">
        <v>4</v>
      </c>
      <c r="H32" s="127" t="s">
        <v>1100</v>
      </c>
      <c r="I32" s="127" t="s">
        <v>271</v>
      </c>
      <c r="J32" s="127" t="s">
        <v>1092</v>
      </c>
      <c r="K32" s="129">
        <v>46153.747384259259</v>
      </c>
      <c r="L32" s="129">
        <v>46153.747465277775</v>
      </c>
      <c r="M32" s="129">
        <v>46154.254444444443</v>
      </c>
      <c r="N32" s="129">
        <v>46154.536365740743</v>
      </c>
      <c r="O32" s="129"/>
      <c r="P32" s="129">
        <v>46154.536365740743</v>
      </c>
      <c r="Q32" s="127" t="s">
        <v>1101</v>
      </c>
      <c r="R32" s="127" t="s">
        <v>267</v>
      </c>
      <c r="S32" s="127" t="s">
        <v>199</v>
      </c>
      <c r="T32" s="127"/>
      <c r="U32" s="127" t="s">
        <v>371</v>
      </c>
      <c r="V32" s="127"/>
      <c r="W32" s="127"/>
      <c r="X32" s="127"/>
      <c r="Y32" s="127"/>
      <c r="Z32" s="169">
        <f t="shared" ca="1" si="1"/>
        <v>0.20303240741001594</v>
      </c>
      <c r="AA32" s="170">
        <f t="shared" ca="1" si="2"/>
        <v>0.54141975309337587</v>
      </c>
      <c r="AB32" s="169">
        <f t="shared" ca="1" si="3"/>
        <v>0.20303240741001594</v>
      </c>
      <c r="AC32" s="170">
        <f t="shared" ca="1" si="4"/>
        <v>0.54141975309337587</v>
      </c>
      <c r="AD32" s="169">
        <f t="shared" ca="1" si="5"/>
        <v>0</v>
      </c>
      <c r="AE32" s="169">
        <f t="shared" ca="1" si="0"/>
        <v>0.20303240741001594</v>
      </c>
      <c r="AF32" s="170">
        <f t="shared" ca="1" si="6"/>
        <v>0.54141975309337587</v>
      </c>
      <c r="AG32" s="170">
        <f t="shared" ca="1" si="7"/>
        <v>0.54141975309337587</v>
      </c>
      <c r="AH32" s="28" t="str" cm="1">
        <f t="array" aca="1" ref="AH32" ca="1">IF((AD32) &lt; (INDEX(ResponseSLA[#All],(MATCH((G32),ResponseSLA[Priority],0))+1,3)),"YES","No")</f>
        <v>YES</v>
      </c>
      <c r="AI32" s="28" t="str">
        <f ca="1">_xlfn.IFNA(IF(AE32 &lt; (INDEX(SLATable[Minimum SLA],MATCH(G32,SLATable[Priority],0))),"YES","NO"),"")</f>
        <v>YES</v>
      </c>
      <c r="AJ32" s="28" t="str">
        <f ca="1">_xlfn.IFNA(IF(AE32 &lt; (INDEX(SLATable[Maximum SLA],MATCH(G32,SLATable[Priority],0))),"YES","NO"),"")</f>
        <v>YES</v>
      </c>
    </row>
    <row r="33" spans="2:36" ht="15" customHeight="1">
      <c r="B33" s="127" t="s">
        <v>26</v>
      </c>
      <c r="C33" s="127" t="s">
        <v>35</v>
      </c>
      <c r="D33" s="127" t="s">
        <v>207</v>
      </c>
      <c r="E33" s="127" t="s">
        <v>1102</v>
      </c>
      <c r="F33" s="127" t="s">
        <v>289</v>
      </c>
      <c r="G33" s="127">
        <v>4</v>
      </c>
      <c r="H33" s="127" t="s">
        <v>1103</v>
      </c>
      <c r="I33" s="127" t="s">
        <v>271</v>
      </c>
      <c r="J33" s="127" t="s">
        <v>1092</v>
      </c>
      <c r="K33" s="129">
        <v>46150.429398148146</v>
      </c>
      <c r="L33" s="129">
        <v>46150.429432870369</v>
      </c>
      <c r="M33" s="129">
        <v>46153.254988425928</v>
      </c>
      <c r="N33" s="129">
        <v>46157.347060185188</v>
      </c>
      <c r="O33" s="129">
        <v>46154.396747685183</v>
      </c>
      <c r="P33" s="129">
        <v>46154.407442129632</v>
      </c>
      <c r="Q33" s="127" t="s">
        <v>1104</v>
      </c>
      <c r="R33" s="127" t="s">
        <v>267</v>
      </c>
      <c r="S33" s="127" t="s">
        <v>199</v>
      </c>
      <c r="T33" s="127"/>
      <c r="U33" s="127" t="s">
        <v>371</v>
      </c>
      <c r="V33" s="127"/>
      <c r="W33" s="127"/>
      <c r="X33" s="127"/>
      <c r="Y33" s="127"/>
      <c r="Z33" s="169">
        <f t="shared" ca="1" si="1"/>
        <v>1.7819675925929914</v>
      </c>
      <c r="AA33" s="170">
        <f t="shared" ca="1" si="2"/>
        <v>4.7519135802479768</v>
      </c>
      <c r="AB33" s="169">
        <f t="shared" ca="1" si="3"/>
        <v>1.7819328703699284</v>
      </c>
      <c r="AC33" s="170">
        <f t="shared" ca="1" si="4"/>
        <v>4.7518209876531428</v>
      </c>
      <c r="AD33" s="169">
        <f t="shared" ca="1" si="5"/>
        <v>0.27890046296427806</v>
      </c>
      <c r="AE33" s="169">
        <f t="shared" ca="1" si="0"/>
        <v>1.7819328703699284</v>
      </c>
      <c r="AF33" s="170">
        <f t="shared" ca="1" si="6"/>
        <v>4.7518209876531428</v>
      </c>
      <c r="AG33" s="170">
        <f t="shared" ca="1" si="7"/>
        <v>4.7518209876531428</v>
      </c>
      <c r="AH33" s="28" t="str" cm="1">
        <f t="array" aca="1" ref="AH33" ca="1">IF((AD33) &lt; (INDEX(ResponseSLA[#All],(MATCH((G33),ResponseSLA[Priority],0))+1,3)),"YES","No")</f>
        <v>No</v>
      </c>
      <c r="AI33" s="28" t="str">
        <f ca="1">_xlfn.IFNA(IF(AE33 &lt; (INDEX(SLATable[Minimum SLA],MATCH(G33,SLATable[Priority],0))),"YES","NO"),"")</f>
        <v>YES</v>
      </c>
      <c r="AJ33" s="28" t="str">
        <f ca="1">_xlfn.IFNA(IF(AE33 &lt; (INDEX(SLATable[Maximum SLA],MATCH(G33,SLATable[Priority],0))),"YES","NO"),"")</f>
        <v>YES</v>
      </c>
    </row>
    <row r="34" spans="2:36" ht="15" customHeight="1">
      <c r="B34" s="127" t="s">
        <v>26</v>
      </c>
      <c r="C34" s="127" t="s">
        <v>35</v>
      </c>
      <c r="D34" s="127" t="s">
        <v>207</v>
      </c>
      <c r="E34" s="127" t="s">
        <v>1105</v>
      </c>
      <c r="F34" s="127" t="s">
        <v>295</v>
      </c>
      <c r="G34" s="127">
        <v>4</v>
      </c>
      <c r="H34" s="127" t="s">
        <v>1106</v>
      </c>
      <c r="I34" s="127" t="s">
        <v>271</v>
      </c>
      <c r="J34" s="127" t="s">
        <v>1092</v>
      </c>
      <c r="K34" s="129">
        <v>46142.120671296296</v>
      </c>
      <c r="L34" s="129">
        <v>46142.14503472222</v>
      </c>
      <c r="M34" s="129">
        <v>46142.29210648148</v>
      </c>
      <c r="N34" s="129">
        <v>46147.455081018517</v>
      </c>
      <c r="O34" s="129"/>
      <c r="P34" s="129">
        <v>46147.455081018517</v>
      </c>
      <c r="Q34" s="127" t="s">
        <v>695</v>
      </c>
      <c r="R34" s="127" t="s">
        <v>267</v>
      </c>
      <c r="S34" s="127" t="s">
        <v>193</v>
      </c>
      <c r="T34" s="127"/>
      <c r="U34" s="127" t="s">
        <v>371</v>
      </c>
      <c r="V34" s="127"/>
      <c r="W34" s="127"/>
      <c r="X34" s="127"/>
      <c r="Y34" s="127"/>
      <c r="Z34" s="169">
        <f t="shared" ca="1" si="1"/>
        <v>0.49674768518404261</v>
      </c>
      <c r="AA34" s="170">
        <f t="shared" ca="1" si="2"/>
        <v>1.3246604938241135</v>
      </c>
      <c r="AB34" s="169">
        <f t="shared" ca="1" si="3"/>
        <v>0.49674768518404261</v>
      </c>
      <c r="AC34" s="170">
        <f t="shared" ca="1" si="4"/>
        <v>1.3246604938241135</v>
      </c>
      <c r="AD34" s="169">
        <f t="shared" ca="1" si="5"/>
        <v>0</v>
      </c>
      <c r="AE34" s="169">
        <f t="shared" ca="1" si="0"/>
        <v>0.49674768518404261</v>
      </c>
      <c r="AF34" s="170">
        <f t="shared" ca="1" si="6"/>
        <v>1.3246604938241135</v>
      </c>
      <c r="AG34" s="170">
        <f t="shared" ca="1" si="7"/>
        <v>1.3246604938241135</v>
      </c>
      <c r="AH34" s="28" t="str" cm="1">
        <f t="array" aca="1" ref="AH34" ca="1">IF((AD34) &lt; (INDEX(ResponseSLA[#All],(MATCH((G34),ResponseSLA[Priority],0))+1,3)),"YES","No")</f>
        <v>YES</v>
      </c>
      <c r="AI34" s="28" t="str">
        <f ca="1">_xlfn.IFNA(IF(AE34 &lt; (INDEX(SLATable[Minimum SLA],MATCH(G34,SLATable[Priority],0))),"YES","NO"),"")</f>
        <v>YES</v>
      </c>
      <c r="AJ34" s="28" t="str">
        <f ca="1">_xlfn.IFNA(IF(AE34 &lt; (INDEX(SLATable[Maximum SLA],MATCH(G34,SLATable[Priority],0))),"YES","NO"),"")</f>
        <v>YES</v>
      </c>
    </row>
    <row r="35" spans="2:36" ht="15" customHeight="1">
      <c r="B35" s="127" t="s">
        <v>26</v>
      </c>
      <c r="C35" s="127" t="s">
        <v>35</v>
      </c>
      <c r="D35" s="127" t="s">
        <v>207</v>
      </c>
      <c r="E35" s="127" t="s">
        <v>1107</v>
      </c>
      <c r="F35" s="127" t="s">
        <v>292</v>
      </c>
      <c r="G35" s="127">
        <v>3</v>
      </c>
      <c r="H35" s="127" t="s">
        <v>1108</v>
      </c>
      <c r="I35" s="127" t="s">
        <v>271</v>
      </c>
      <c r="J35" s="127" t="s">
        <v>1092</v>
      </c>
      <c r="K35" s="129">
        <v>46148.697534722225</v>
      </c>
      <c r="L35" s="129">
        <v>46148.697569444441</v>
      </c>
      <c r="M35" s="129">
        <v>46149.314988425926</v>
      </c>
      <c r="N35" s="129">
        <v>46149.493645833332</v>
      </c>
      <c r="O35" s="129"/>
      <c r="P35" s="129">
        <v>46149.493645833332</v>
      </c>
      <c r="Q35" s="127" t="s">
        <v>1073</v>
      </c>
      <c r="R35" s="127" t="s">
        <v>267</v>
      </c>
      <c r="S35" s="127" t="s">
        <v>137</v>
      </c>
      <c r="T35" s="127"/>
      <c r="U35" s="127" t="s">
        <v>371</v>
      </c>
      <c r="V35" s="127"/>
      <c r="W35" s="127"/>
      <c r="X35" s="127"/>
      <c r="Y35" s="127"/>
      <c r="Z35" s="169">
        <f t="shared" ca="1" si="1"/>
        <v>0.17111111110716593</v>
      </c>
      <c r="AA35" s="170">
        <f t="shared" ca="1" si="2"/>
        <v>0.45629629628577578</v>
      </c>
      <c r="AB35" s="169">
        <f t="shared" ca="1" si="3"/>
        <v>0.17107638889137888</v>
      </c>
      <c r="AC35" s="170">
        <f t="shared" ca="1" si="4"/>
        <v>0.45620370371034369</v>
      </c>
      <c r="AD35" s="169">
        <f t="shared" ca="1" si="5"/>
        <v>1.0763888892446061E-2</v>
      </c>
      <c r="AE35" s="169">
        <f t="shared" ca="1" si="0"/>
        <v>0.17107638889137888</v>
      </c>
      <c r="AF35" s="170">
        <f t="shared" ca="1" si="6"/>
        <v>0.45620370371034369</v>
      </c>
      <c r="AG35" s="170">
        <f t="shared" ca="1" si="7"/>
        <v>0.45620370371034369</v>
      </c>
      <c r="AH35" s="28" t="str" cm="1">
        <f t="array" aca="1" ref="AH35" ca="1">IF((AD35) &lt; (INDEX(ResponseSLA[#All],(MATCH((G35),ResponseSLA[Priority],0))+1,3)),"YES","No")</f>
        <v>YES</v>
      </c>
      <c r="AI35" s="28" t="str">
        <f ca="1">_xlfn.IFNA(IF(AE35 &lt; (INDEX(SLATable[Minimum SLA],MATCH(G35,SLATable[Priority],0))),"YES","NO"),"")</f>
        <v>YES</v>
      </c>
      <c r="AJ35" s="28" t="str">
        <f ca="1">_xlfn.IFNA(IF(AE35 &lt; (INDEX(SLATable[Maximum SLA],MATCH(G35,SLATable[Priority],0))),"YES","NO"),"")</f>
        <v>YES</v>
      </c>
    </row>
    <row r="36" spans="2:36" ht="15" customHeight="1">
      <c r="B36" s="127" t="s">
        <v>26</v>
      </c>
      <c r="C36" s="127" t="s">
        <v>35</v>
      </c>
      <c r="D36" s="127" t="s">
        <v>207</v>
      </c>
      <c r="E36" s="127" t="s">
        <v>1109</v>
      </c>
      <c r="F36" s="127" t="s">
        <v>292</v>
      </c>
      <c r="G36" s="127">
        <v>3</v>
      </c>
      <c r="H36" s="127" t="s">
        <v>1110</v>
      </c>
      <c r="I36" s="127" t="s">
        <v>271</v>
      </c>
      <c r="J36" s="127" t="s">
        <v>1092</v>
      </c>
      <c r="K36" s="129">
        <v>46157.382951388892</v>
      </c>
      <c r="L36" s="129">
        <v>46157.555162037039</v>
      </c>
      <c r="M36" s="129">
        <v>46157.555162037039</v>
      </c>
      <c r="N36" s="129">
        <v>46162.333738425928</v>
      </c>
      <c r="O36" s="129">
        <v>46161.537164351852</v>
      </c>
      <c r="P36" s="129">
        <v>46161.540034722224</v>
      </c>
      <c r="Q36" s="127" t="s">
        <v>1073</v>
      </c>
      <c r="R36" s="127" t="s">
        <v>267</v>
      </c>
      <c r="S36" s="127" t="s">
        <v>137</v>
      </c>
      <c r="T36" s="127"/>
      <c r="U36" s="127" t="s">
        <v>371</v>
      </c>
      <c r="V36" s="127"/>
      <c r="W36" s="127"/>
      <c r="X36" s="127"/>
      <c r="Y36" s="127"/>
      <c r="Z36" s="169">
        <f t="shared" ca="1" si="1"/>
        <v>1.0729166666642416</v>
      </c>
      <c r="AA36" s="170">
        <f t="shared" ca="1" si="2"/>
        <v>2.8611111111046443</v>
      </c>
      <c r="AB36" s="169">
        <f t="shared" ca="1" si="3"/>
        <v>0.90070601851766718</v>
      </c>
      <c r="AC36" s="170">
        <f t="shared" ca="1" si="4"/>
        <v>2.4018827160471128</v>
      </c>
      <c r="AD36" s="169">
        <f t="shared" ca="1" si="5"/>
        <v>0</v>
      </c>
      <c r="AE36" s="169">
        <f t="shared" ca="1" si="0"/>
        <v>0.90070601851766718</v>
      </c>
      <c r="AF36" s="170">
        <f t="shared" ca="1" si="6"/>
        <v>2.4018827160471128</v>
      </c>
      <c r="AG36" s="170">
        <f t="shared" ca="1" si="7"/>
        <v>2.4018827160471128</v>
      </c>
      <c r="AH36" s="28" t="str" cm="1">
        <f t="array" aca="1" ref="AH36" ca="1">IF((AD36) &lt; (INDEX(ResponseSLA[#All],(MATCH((G36),ResponseSLA[Priority],0))+1,3)),"YES","No")</f>
        <v>YES</v>
      </c>
      <c r="AI36" s="28" t="str">
        <f ca="1">_xlfn.IFNA(IF(AE36 &lt; (INDEX(SLATable[Minimum SLA],MATCH(G36,SLATable[Priority],0))),"YES","NO"),"")</f>
        <v>NO</v>
      </c>
      <c r="AJ36" s="28" t="str">
        <f ca="1">_xlfn.IFNA(IF(AE36 &lt; (INDEX(SLATable[Maximum SLA],MATCH(G36,SLATable[Priority],0))),"YES","NO"),"")</f>
        <v>YES</v>
      </c>
    </row>
    <row r="37" spans="2:36" ht="15" customHeight="1">
      <c r="B37" s="127" t="s">
        <v>26</v>
      </c>
      <c r="C37" s="127" t="s">
        <v>35</v>
      </c>
      <c r="D37" s="127" t="s">
        <v>207</v>
      </c>
      <c r="E37" s="127" t="s">
        <v>1111</v>
      </c>
      <c r="F37" s="127" t="s">
        <v>295</v>
      </c>
      <c r="G37" s="127">
        <v>3</v>
      </c>
      <c r="H37" s="127" t="s">
        <v>1112</v>
      </c>
      <c r="I37" s="127" t="s">
        <v>271</v>
      </c>
      <c r="J37" s="127" t="s">
        <v>1092</v>
      </c>
      <c r="K37" s="129">
        <v>46149.195486111108</v>
      </c>
      <c r="L37" s="129">
        <v>46149.195520833331</v>
      </c>
      <c r="M37" s="129">
        <v>46149.313784722224</v>
      </c>
      <c r="N37" s="129">
        <v>46160.4609837963</v>
      </c>
      <c r="O37" s="129">
        <v>46150.460486111115</v>
      </c>
      <c r="P37" s="129">
        <v>46160.4609837963</v>
      </c>
      <c r="Q37" s="127" t="s">
        <v>1113</v>
      </c>
      <c r="R37" s="127" t="s">
        <v>267</v>
      </c>
      <c r="S37" s="127" t="s">
        <v>190</v>
      </c>
      <c r="T37" s="127"/>
      <c r="U37" s="127" t="s">
        <v>371</v>
      </c>
      <c r="V37" s="127"/>
      <c r="W37" s="127"/>
      <c r="X37" s="127"/>
      <c r="Y37" s="127"/>
      <c r="Z37" s="169">
        <f t="shared" ca="1" si="1"/>
        <v>0.50215277778139944</v>
      </c>
      <c r="AA37" s="170">
        <f t="shared" ca="1" si="2"/>
        <v>1.3390740740837319</v>
      </c>
      <c r="AB37" s="169">
        <f t="shared" ca="1" si="3"/>
        <v>0.50215277778139944</v>
      </c>
      <c r="AC37" s="170">
        <f t="shared" ca="1" si="4"/>
        <v>1.3390740740837319</v>
      </c>
      <c r="AD37" s="169">
        <f t="shared" ca="1" si="5"/>
        <v>0</v>
      </c>
      <c r="AE37" s="169">
        <f t="shared" ca="1" si="0"/>
        <v>0.50215277778139944</v>
      </c>
      <c r="AF37" s="170">
        <f t="shared" ca="1" si="6"/>
        <v>1.3390740740837319</v>
      </c>
      <c r="AG37" s="170">
        <f t="shared" ca="1" si="7"/>
        <v>1.3390740740837319</v>
      </c>
      <c r="AH37" s="28" t="str" cm="1">
        <f t="array" aca="1" ref="AH37" ca="1">IF((AD37) &lt; (INDEX(ResponseSLA[#All],(MATCH((G37),ResponseSLA[Priority],0))+1,3)),"YES","No")</f>
        <v>YES</v>
      </c>
      <c r="AI37" s="28" t="str">
        <f ca="1">_xlfn.IFNA(IF(AE37 &lt; (INDEX(SLATable[Minimum SLA],MATCH(G37,SLATable[Priority],0))),"YES","NO"),"")</f>
        <v>NO</v>
      </c>
      <c r="AJ37" s="28" t="str">
        <f ca="1">_xlfn.IFNA(IF(AE37 &lt; (INDEX(SLATable[Maximum SLA],MATCH(G37,SLATable[Priority],0))),"YES","NO"),"")</f>
        <v>YES</v>
      </c>
    </row>
    <row r="38" spans="2:36" ht="15" customHeight="1">
      <c r="B38" s="127" t="s">
        <v>26</v>
      </c>
      <c r="C38" s="127" t="s">
        <v>35</v>
      </c>
      <c r="D38" s="127" t="s">
        <v>207</v>
      </c>
      <c r="E38" s="127" t="s">
        <v>1114</v>
      </c>
      <c r="F38" s="127" t="s">
        <v>292</v>
      </c>
      <c r="G38" s="127">
        <v>3</v>
      </c>
      <c r="H38" s="127" t="s">
        <v>1115</v>
      </c>
      <c r="I38" s="127" t="s">
        <v>271</v>
      </c>
      <c r="J38" s="127" t="s">
        <v>1092</v>
      </c>
      <c r="K38" s="129">
        <v>46132.721226851849</v>
      </c>
      <c r="L38" s="129">
        <v>46135.546481481484</v>
      </c>
      <c r="M38" s="129">
        <v>46140.445590277777</v>
      </c>
      <c r="N38" s="129">
        <v>46148.473182870373</v>
      </c>
      <c r="O38" s="129">
        <v>46140.472511574073</v>
      </c>
      <c r="P38" s="129">
        <v>46148.473182870373</v>
      </c>
      <c r="Q38" s="127" t="s">
        <v>1073</v>
      </c>
      <c r="R38" s="127" t="s">
        <v>267</v>
      </c>
      <c r="S38" s="127" t="s">
        <v>190</v>
      </c>
      <c r="T38" s="127"/>
      <c r="U38" s="127" t="s">
        <v>371</v>
      </c>
      <c r="V38" s="127"/>
      <c r="W38" s="127"/>
      <c r="X38" s="127"/>
      <c r="Y38" s="127"/>
      <c r="Z38" s="169">
        <f t="shared" ca="1" si="1"/>
        <v>2.0141782407396622</v>
      </c>
      <c r="AA38" s="170">
        <f t="shared" ca="1" si="2"/>
        <v>5.3711419753057656</v>
      </c>
      <c r="AB38" s="169">
        <f t="shared" ca="1" si="3"/>
        <v>1.0510300925889171</v>
      </c>
      <c r="AC38" s="170">
        <f t="shared" ca="1" si="4"/>
        <v>2.8027469135704459</v>
      </c>
      <c r="AD38" s="169">
        <f t="shared" ca="1" si="5"/>
        <v>1.024108796293149</v>
      </c>
      <c r="AE38" s="169">
        <f t="shared" ca="1" si="0"/>
        <v>1.0510300925889171</v>
      </c>
      <c r="AF38" s="170">
        <f t="shared" ca="1" si="6"/>
        <v>2.8027469135704459</v>
      </c>
      <c r="AG38" s="170">
        <f t="shared" ca="1" si="7"/>
        <v>2.8027469135704459</v>
      </c>
      <c r="AH38" s="28" t="str" cm="1">
        <f t="array" aca="1" ref="AH38" ca="1">IF((AD38) &lt; (INDEX(ResponseSLA[#All],(MATCH((G38),ResponseSLA[Priority],0))+1,3)),"YES","No")</f>
        <v>No</v>
      </c>
      <c r="AI38" s="28" t="str">
        <f ca="1">_xlfn.IFNA(IF(AE38 &lt; (INDEX(SLATable[Minimum SLA],MATCH(G38,SLATable[Priority],0))),"YES","NO"),"")</f>
        <v>NO</v>
      </c>
      <c r="AJ38" s="28" t="str">
        <f ca="1">_xlfn.IFNA(IF(AE38 &lt; (INDEX(SLATable[Maximum SLA],MATCH(G38,SLATable[Priority],0))),"YES","NO"),"")</f>
        <v>YES</v>
      </c>
    </row>
    <row r="39" spans="2:36" ht="15" customHeight="1">
      <c r="B39" s="127" t="s">
        <v>26</v>
      </c>
      <c r="C39" s="127" t="s">
        <v>35</v>
      </c>
      <c r="D39" s="127" t="s">
        <v>207</v>
      </c>
      <c r="E39" s="127" t="s">
        <v>1116</v>
      </c>
      <c r="F39" s="127" t="s">
        <v>295</v>
      </c>
      <c r="G39" s="127">
        <v>3</v>
      </c>
      <c r="H39" s="127" t="s">
        <v>1117</v>
      </c>
      <c r="I39" s="127" t="s">
        <v>271</v>
      </c>
      <c r="J39" s="127" t="s">
        <v>1092</v>
      </c>
      <c r="K39" s="129">
        <v>46148.633680555555</v>
      </c>
      <c r="L39" s="129">
        <v>46148.636400462965</v>
      </c>
      <c r="M39" s="129">
        <v>46149.318101851852</v>
      </c>
      <c r="N39" s="129">
        <v>46149.447708333333</v>
      </c>
      <c r="O39" s="129"/>
      <c r="P39" s="129">
        <v>46149.447708333333</v>
      </c>
      <c r="Q39" s="127" t="s">
        <v>695</v>
      </c>
      <c r="R39" s="127" t="s">
        <v>267</v>
      </c>
      <c r="S39" s="127" t="s">
        <v>149</v>
      </c>
      <c r="T39" s="127"/>
      <c r="U39" s="127" t="s">
        <v>371</v>
      </c>
      <c r="V39" s="127"/>
      <c r="W39" s="127"/>
      <c r="X39" s="127"/>
      <c r="Y39" s="127"/>
      <c r="Z39" s="169">
        <f t="shared" ca="1" si="1"/>
        <v>0.18902777777839219</v>
      </c>
      <c r="AA39" s="170">
        <f t="shared" ca="1" si="2"/>
        <v>0.50407407407571247</v>
      </c>
      <c r="AB39" s="169">
        <f t="shared" ca="1" si="3"/>
        <v>0.18630787036818219</v>
      </c>
      <c r="AC39" s="170">
        <f t="shared" ca="1" si="4"/>
        <v>0.49682098764848587</v>
      </c>
      <c r="AD39" s="169">
        <f t="shared" ca="1" si="5"/>
        <v>7.1932870368376256E-2</v>
      </c>
      <c r="AE39" s="169">
        <f t="shared" ca="1" si="0"/>
        <v>0.18630787036818219</v>
      </c>
      <c r="AF39" s="170">
        <f t="shared" ca="1" si="6"/>
        <v>0.49682098764848587</v>
      </c>
      <c r="AG39" s="170">
        <f t="shared" ca="1" si="7"/>
        <v>0.49682098764848587</v>
      </c>
      <c r="AH39" s="28" t="str" cm="1">
        <f t="array" aca="1" ref="AH39" ca="1">IF((AD39) &lt; (INDEX(ResponseSLA[#All],(MATCH((G39),ResponseSLA[Priority],0))+1,3)),"YES","No")</f>
        <v>YES</v>
      </c>
      <c r="AI39" s="28" t="str">
        <f ca="1">_xlfn.IFNA(IF(AE39 &lt; (INDEX(SLATable[Minimum SLA],MATCH(G39,SLATable[Priority],0))),"YES","NO"),"")</f>
        <v>YES</v>
      </c>
      <c r="AJ39" s="28" t="str">
        <f ca="1">_xlfn.IFNA(IF(AE39 &lt; (INDEX(SLATable[Maximum SLA],MATCH(G39,SLATable[Priority],0))),"YES","NO"),"")</f>
        <v>YES</v>
      </c>
    </row>
    <row r="40" spans="2:36" ht="15" customHeight="1">
      <c r="B40" s="127" t="s">
        <v>26</v>
      </c>
      <c r="C40" s="127" t="s">
        <v>35</v>
      </c>
      <c r="D40" s="127" t="s">
        <v>207</v>
      </c>
      <c r="E40" s="127" t="s">
        <v>1118</v>
      </c>
      <c r="F40" s="127" t="s">
        <v>295</v>
      </c>
      <c r="G40" s="127">
        <v>4</v>
      </c>
      <c r="H40" s="127" t="s">
        <v>1119</v>
      </c>
      <c r="I40" s="127" t="s">
        <v>266</v>
      </c>
      <c r="J40" s="127" t="s">
        <v>1120</v>
      </c>
      <c r="K40" s="129">
        <v>46147.34134259259</v>
      </c>
      <c r="L40" s="129">
        <v>46147.341365740744</v>
      </c>
      <c r="M40" s="129">
        <v>46147.357719907406</v>
      </c>
      <c r="N40" s="129"/>
      <c r="O40" s="129">
        <v>46147.361504629633</v>
      </c>
      <c r="P40" s="129"/>
      <c r="Q40" s="127" t="s">
        <v>1113</v>
      </c>
      <c r="R40" s="127"/>
      <c r="S40" s="127"/>
      <c r="T40" s="127"/>
      <c r="U40" s="127" t="s">
        <v>371</v>
      </c>
      <c r="V40" s="127"/>
      <c r="W40" s="127"/>
      <c r="X40" s="127"/>
      <c r="Y40" s="127"/>
      <c r="Z40" s="169">
        <f t="shared" ca="1" si="1"/>
        <v>29.917631481483117</v>
      </c>
      <c r="AA40" s="170">
        <f t="shared" ca="1" si="2"/>
        <v>79.78035061728832</v>
      </c>
      <c r="AB40" s="169">
        <f t="shared" ca="1" si="3"/>
        <v>2.0138888889050577E-2</v>
      </c>
      <c r="AC40" s="170">
        <f t="shared" ca="1" si="4"/>
        <v>5.3703703704134874E-2</v>
      </c>
      <c r="AD40" s="169">
        <f t="shared" ca="1" si="5"/>
        <v>1.6354166662495118E-2</v>
      </c>
      <c r="AE40" s="169">
        <f t="shared" ca="1" si="0"/>
        <v>2.0138888889050577E-2</v>
      </c>
      <c r="AF40" s="170">
        <f t="shared" ca="1" si="6"/>
        <v>5.3703703704134874E-2</v>
      </c>
      <c r="AG40" s="170">
        <f t="shared" ca="1" si="7"/>
        <v>5.3703703704134874E-2</v>
      </c>
      <c r="AH40" s="28" t="str" cm="1">
        <f t="array" aca="1" ref="AH40" ca="1">IF((AD40) &lt; (INDEX(ResponseSLA[#All],(MATCH((G40),ResponseSLA[Priority],0))+1,3)),"YES","No")</f>
        <v>YES</v>
      </c>
      <c r="AI40" s="28" t="str">
        <f ca="1">_xlfn.IFNA(IF(AE40 &lt; (INDEX(SLATable[Minimum SLA],MATCH(G40,SLATable[Priority],0))),"YES","NO"),"")</f>
        <v>YES</v>
      </c>
      <c r="AJ40" s="28" t="str">
        <f ca="1">_xlfn.IFNA(IF(AE40 &lt; (INDEX(SLATable[Maximum SLA],MATCH(G40,SLATable[Priority],0))),"YES","NO"),"")</f>
        <v>YES</v>
      </c>
    </row>
    <row r="41" spans="2:36" ht="15" customHeight="1">
      <c r="B41" s="127" t="s">
        <v>26</v>
      </c>
      <c r="C41" s="127" t="s">
        <v>35</v>
      </c>
      <c r="D41" s="127" t="s">
        <v>207</v>
      </c>
      <c r="E41" s="127" t="s">
        <v>1121</v>
      </c>
      <c r="F41" s="127" t="s">
        <v>289</v>
      </c>
      <c r="G41" s="127">
        <v>3</v>
      </c>
      <c r="H41" s="127" t="s">
        <v>1122</v>
      </c>
      <c r="I41" s="127" t="s">
        <v>271</v>
      </c>
      <c r="J41" s="127" t="s">
        <v>1120</v>
      </c>
      <c r="K41" s="129">
        <v>46169.688993055555</v>
      </c>
      <c r="L41" s="129">
        <v>46170.484942129631</v>
      </c>
      <c r="M41" s="129">
        <v>46171.176435185182</v>
      </c>
      <c r="N41" s="129">
        <v>46171.39199074074</v>
      </c>
      <c r="O41" s="129"/>
      <c r="P41" s="129"/>
      <c r="Q41" s="127" t="s">
        <v>1123</v>
      </c>
      <c r="R41" s="127" t="s">
        <v>267</v>
      </c>
      <c r="S41" s="127" t="s">
        <v>155</v>
      </c>
      <c r="T41" s="127"/>
      <c r="U41" s="127" t="s">
        <v>371</v>
      </c>
      <c r="V41" s="127"/>
      <c r="W41" s="127"/>
      <c r="X41" s="127"/>
      <c r="Y41" s="127"/>
      <c r="Z41" s="169">
        <f t="shared" ca="1" si="1"/>
        <v>0.45299768518452765</v>
      </c>
      <c r="AA41" s="170">
        <f t="shared" ca="1" si="2"/>
        <v>1.2079938271587405</v>
      </c>
      <c r="AB41" s="169">
        <f t="shared" ca="1" si="3"/>
        <v>0.28204861110862112</v>
      </c>
      <c r="AC41" s="170">
        <f t="shared" ca="1" si="4"/>
        <v>0.75212962962298968</v>
      </c>
      <c r="AD41" s="169">
        <f t="shared" ca="1" si="5"/>
        <v>0.22339120370209764</v>
      </c>
      <c r="AE41" s="169">
        <f t="shared" ca="1" si="0"/>
        <v>0.28204861110862112</v>
      </c>
      <c r="AF41" s="170">
        <f t="shared" ca="1" si="6"/>
        <v>0.75212962962298968</v>
      </c>
      <c r="AG41" s="170">
        <f t="shared" ca="1" si="7"/>
        <v>0.75212962962298968</v>
      </c>
      <c r="AH41" s="28" t="str" cm="1">
        <f t="array" aca="1" ref="AH41" ca="1">IF((AD41) &lt; (INDEX(ResponseSLA[#All],(MATCH((G41),ResponseSLA[Priority],0))+1,3)),"YES","No")</f>
        <v>No</v>
      </c>
      <c r="AI41" s="28" t="str">
        <f ca="1">_xlfn.IFNA(IF(AE41 &lt; (INDEX(SLATable[Minimum SLA],MATCH(G41,SLATable[Priority],0))),"YES","NO"),"")</f>
        <v>YES</v>
      </c>
      <c r="AJ41" s="28" t="str">
        <f ca="1">_xlfn.IFNA(IF(AE41 &lt; (INDEX(SLATable[Maximum SLA],MATCH(G41,SLATable[Priority],0))),"YES","NO"),"")</f>
        <v>YES</v>
      </c>
    </row>
    <row r="42" spans="2:36" ht="15" customHeight="1">
      <c r="B42" s="127" t="s">
        <v>26</v>
      </c>
      <c r="C42" s="127" t="s">
        <v>35</v>
      </c>
      <c r="D42" s="127" t="s">
        <v>207</v>
      </c>
      <c r="E42" s="127" t="s">
        <v>1124</v>
      </c>
      <c r="F42" s="127" t="s">
        <v>295</v>
      </c>
      <c r="G42" s="127">
        <v>3</v>
      </c>
      <c r="H42" s="127" t="s">
        <v>1051</v>
      </c>
      <c r="I42" s="127" t="s">
        <v>260</v>
      </c>
      <c r="J42" s="127" t="s">
        <v>1120</v>
      </c>
      <c r="K42" s="129">
        <v>46168.507476851853</v>
      </c>
      <c r="L42" s="129">
        <v>46168.540775462963</v>
      </c>
      <c r="M42" s="129">
        <v>46169.377141203702</v>
      </c>
      <c r="N42" s="129"/>
      <c r="O42" s="129"/>
      <c r="P42" s="129"/>
      <c r="Q42" s="127" t="s">
        <v>695</v>
      </c>
      <c r="R42" s="127"/>
      <c r="S42" s="127"/>
      <c r="T42" s="127"/>
      <c r="U42" s="127" t="s">
        <v>371</v>
      </c>
      <c r="V42" s="127"/>
      <c r="W42" s="127"/>
      <c r="X42" s="127"/>
      <c r="Y42" s="127"/>
      <c r="Z42" s="169">
        <f t="shared" ca="1" si="1"/>
        <v>24.501497222219772</v>
      </c>
      <c r="AA42" s="170">
        <f t="shared" ca="1" si="2"/>
        <v>65.337325925919401</v>
      </c>
      <c r="AB42" s="169">
        <f t="shared" ca="1" si="3"/>
        <v>24.468198611109987</v>
      </c>
      <c r="AC42" s="170">
        <f t="shared" ca="1" si="4"/>
        <v>65.248529629626631</v>
      </c>
      <c r="AD42" s="169">
        <f t="shared" ca="1" si="5"/>
        <v>0.21136574073898373</v>
      </c>
      <c r="AE42" s="169">
        <f t="shared" ca="1" si="0"/>
        <v>24.468198611109987</v>
      </c>
      <c r="AF42" s="170">
        <f t="shared" ca="1" si="6"/>
        <v>65.248529629626631</v>
      </c>
      <c r="AG42" s="170">
        <f t="shared" ca="1" si="7"/>
        <v>65.248529629626631</v>
      </c>
      <c r="AH42" s="28" t="str" cm="1">
        <f t="array" aca="1" ref="AH42" ca="1">IF((AD42) &lt; (INDEX(ResponseSLA[#All],(MATCH((G42),ResponseSLA[Priority],0))+1,3)),"YES","No")</f>
        <v>No</v>
      </c>
      <c r="AI42" s="28" t="str">
        <f ca="1">_xlfn.IFNA(IF(AE42 &lt; (INDEX(SLATable[Minimum SLA],MATCH(G42,SLATable[Priority],0))),"YES","NO"),"")</f>
        <v>NO</v>
      </c>
      <c r="AJ42" s="28" t="str">
        <f ca="1">_xlfn.IFNA(IF(AE42 &lt; (INDEX(SLATable[Maximum SLA],MATCH(G42,SLATable[Priority],0))),"YES","NO"),"")</f>
        <v>NO</v>
      </c>
    </row>
    <row r="43" spans="2:36" ht="15" customHeight="1">
      <c r="B43" s="127" t="s">
        <v>26</v>
      </c>
      <c r="C43" s="127" t="s">
        <v>35</v>
      </c>
      <c r="D43" s="127" t="s">
        <v>207</v>
      </c>
      <c r="E43" s="127" t="s">
        <v>1125</v>
      </c>
      <c r="F43" s="127" t="s">
        <v>289</v>
      </c>
      <c r="G43" s="127">
        <v>4</v>
      </c>
      <c r="H43" s="127" t="s">
        <v>1126</v>
      </c>
      <c r="I43" s="127" t="s">
        <v>271</v>
      </c>
      <c r="J43" s="127" t="s">
        <v>1120</v>
      </c>
      <c r="K43" s="129">
        <v>46167.054062499999</v>
      </c>
      <c r="L43" s="129">
        <v>46167.054108796299</v>
      </c>
      <c r="M43" s="129">
        <v>46167.315844907411</v>
      </c>
      <c r="N43" s="129">
        <v>46168.392812500002</v>
      </c>
      <c r="O43" s="129"/>
      <c r="P43" s="129"/>
      <c r="Q43" s="127" t="s">
        <v>1065</v>
      </c>
      <c r="R43" s="127" t="s">
        <v>267</v>
      </c>
      <c r="S43" s="127" t="s">
        <v>149</v>
      </c>
      <c r="T43" s="127"/>
      <c r="U43" s="127" t="s">
        <v>371</v>
      </c>
      <c r="V43" s="127"/>
      <c r="W43" s="127"/>
      <c r="X43" s="127"/>
      <c r="Y43" s="127"/>
      <c r="Z43" s="169">
        <f t="shared" ca="1" si="1"/>
        <v>5.9479166668703953E-2</v>
      </c>
      <c r="AA43" s="170">
        <f t="shared" ca="1" si="2"/>
        <v>0.15861111111654388</v>
      </c>
      <c r="AB43" s="169">
        <f t="shared" ca="1" si="3"/>
        <v>5.9479166668703953E-2</v>
      </c>
      <c r="AC43" s="170">
        <f t="shared" ca="1" si="4"/>
        <v>0.15861111111654388</v>
      </c>
      <c r="AD43" s="169">
        <f t="shared" ca="1" si="5"/>
        <v>0</v>
      </c>
      <c r="AE43" s="169">
        <f t="shared" ca="1" si="0"/>
        <v>5.9479166668703953E-2</v>
      </c>
      <c r="AF43" s="170">
        <f t="shared" ca="1" si="6"/>
        <v>0.15861111111654388</v>
      </c>
      <c r="AG43" s="170">
        <f t="shared" ca="1" si="7"/>
        <v>0.15861111111654388</v>
      </c>
      <c r="AH43" s="28" t="str" cm="1">
        <f t="array" aca="1" ref="AH43" ca="1">IF((AD43) &lt; (INDEX(ResponseSLA[#All],(MATCH((G43),ResponseSLA[Priority],0))+1,3)),"YES","No")</f>
        <v>YES</v>
      </c>
      <c r="AI43" s="28" t="str">
        <f ca="1">_xlfn.IFNA(IF(AE43 &lt; (INDEX(SLATable[Minimum SLA],MATCH(G43,SLATable[Priority],0))),"YES","NO"),"")</f>
        <v>YES</v>
      </c>
      <c r="AJ43" s="28" t="str">
        <f ca="1">_xlfn.IFNA(IF(AE43 &lt; (INDEX(SLATable[Maximum SLA],MATCH(G43,SLATable[Priority],0))),"YES","NO"),"")</f>
        <v>YES</v>
      </c>
    </row>
    <row r="44" spans="2:36" ht="15" customHeight="1">
      <c r="B44" s="127" t="s">
        <v>26</v>
      </c>
      <c r="C44" s="127" t="s">
        <v>35</v>
      </c>
      <c r="D44" s="127" t="s">
        <v>207</v>
      </c>
      <c r="E44" s="127" t="s">
        <v>1127</v>
      </c>
      <c r="F44" s="127" t="s">
        <v>289</v>
      </c>
      <c r="G44" s="127">
        <v>4</v>
      </c>
      <c r="H44" s="127" t="s">
        <v>1128</v>
      </c>
      <c r="I44" s="127" t="s">
        <v>271</v>
      </c>
      <c r="J44" s="127" t="s">
        <v>1120</v>
      </c>
      <c r="K44" s="129">
        <v>46170.077048611114</v>
      </c>
      <c r="L44" s="129">
        <v>46170.07707175926</v>
      </c>
      <c r="M44" s="129">
        <v>46170.254861111112</v>
      </c>
      <c r="N44" s="129">
        <v>46170.394375000003</v>
      </c>
      <c r="O44" s="129"/>
      <c r="P44" s="129"/>
      <c r="Q44" s="127" t="s">
        <v>1065</v>
      </c>
      <c r="R44" s="127" t="s">
        <v>267</v>
      </c>
      <c r="S44" s="127" t="s">
        <v>149</v>
      </c>
      <c r="T44" s="127"/>
      <c r="U44" s="127" t="s">
        <v>371</v>
      </c>
      <c r="V44" s="127"/>
      <c r="W44" s="127"/>
      <c r="X44" s="127"/>
      <c r="Y44" s="127"/>
      <c r="Z44" s="169">
        <f t="shared" ca="1" si="1"/>
        <v>6.1041666670159145E-2</v>
      </c>
      <c r="AA44" s="170">
        <f t="shared" ca="1" si="2"/>
        <v>0.16277777778709104</v>
      </c>
      <c r="AB44" s="169">
        <f t="shared" ca="1" si="3"/>
        <v>6.1041666670159145E-2</v>
      </c>
      <c r="AC44" s="170">
        <f t="shared" ca="1" si="4"/>
        <v>0.16277777778709104</v>
      </c>
      <c r="AD44" s="169">
        <f t="shared" ca="1" si="5"/>
        <v>0</v>
      </c>
      <c r="AE44" s="169">
        <f t="shared" ca="1" si="0"/>
        <v>6.1041666670159145E-2</v>
      </c>
      <c r="AF44" s="170">
        <f t="shared" ca="1" si="6"/>
        <v>0.16277777778709104</v>
      </c>
      <c r="AG44" s="170">
        <f t="shared" ca="1" si="7"/>
        <v>0.16277777778709104</v>
      </c>
      <c r="AH44" s="28" t="str" cm="1">
        <f t="array" aca="1" ref="AH44" ca="1">IF((AD44) &lt; (INDEX(ResponseSLA[#All],(MATCH((G44),ResponseSLA[Priority],0))+1,3)),"YES","No")</f>
        <v>YES</v>
      </c>
      <c r="AI44" s="28" t="str">
        <f ca="1">_xlfn.IFNA(IF(AE44 &lt; (INDEX(SLATable[Minimum SLA],MATCH(G44,SLATable[Priority],0))),"YES","NO"),"")</f>
        <v>YES</v>
      </c>
      <c r="AJ44" s="28" t="str">
        <f ca="1">_xlfn.IFNA(IF(AE44 &lt; (INDEX(SLATable[Maximum SLA],MATCH(G44,SLATable[Priority],0))),"YES","NO"),"")</f>
        <v>YES</v>
      </c>
    </row>
    <row r="45" spans="2:36" ht="15" customHeight="1">
      <c r="B45" s="127" t="s">
        <v>26</v>
      </c>
      <c r="C45" s="127" t="s">
        <v>35</v>
      </c>
      <c r="D45" s="127" t="s">
        <v>207</v>
      </c>
      <c r="E45" s="127" t="s">
        <v>1129</v>
      </c>
      <c r="F45" s="127" t="s">
        <v>295</v>
      </c>
      <c r="G45" s="127">
        <v>3</v>
      </c>
      <c r="H45" s="127" t="s">
        <v>1130</v>
      </c>
      <c r="I45" s="127" t="s">
        <v>271</v>
      </c>
      <c r="J45" s="127" t="s">
        <v>1120</v>
      </c>
      <c r="K45" s="129">
        <v>46169.651898148149</v>
      </c>
      <c r="L45" s="129">
        <v>46169.651898148149</v>
      </c>
      <c r="M45" s="129">
        <v>46170.246238425927</v>
      </c>
      <c r="N45" s="129">
        <v>46170.250173611108</v>
      </c>
      <c r="O45" s="129"/>
      <c r="P45" s="129"/>
      <c r="Q45" s="127" t="s">
        <v>695</v>
      </c>
      <c r="R45" s="127" t="s">
        <v>267</v>
      </c>
      <c r="S45" s="127" t="s">
        <v>149</v>
      </c>
      <c r="T45" s="127"/>
      <c r="U45" s="127" t="s">
        <v>371</v>
      </c>
      <c r="V45" s="127"/>
      <c r="W45" s="127"/>
      <c r="X45" s="127"/>
      <c r="Y45" s="127"/>
      <c r="Z45" s="169">
        <f t="shared" ca="1" si="1"/>
        <v>5.6435185183848602E-2</v>
      </c>
      <c r="AA45" s="170">
        <f t="shared" ca="1" si="2"/>
        <v>0.1504938271569296</v>
      </c>
      <c r="AB45" s="169">
        <f t="shared" ca="1" si="3"/>
        <v>5.6435185183848602E-2</v>
      </c>
      <c r="AC45" s="170">
        <f t="shared" ca="1" si="4"/>
        <v>0.1504938271569296</v>
      </c>
      <c r="AD45" s="169">
        <f t="shared" ca="1" si="5"/>
        <v>5.6435185183848602E-2</v>
      </c>
      <c r="AE45" s="169">
        <f t="shared" ca="1" si="0"/>
        <v>5.6435185183848602E-2</v>
      </c>
      <c r="AF45" s="170">
        <f t="shared" ca="1" si="6"/>
        <v>0.1504938271569296</v>
      </c>
      <c r="AG45" s="170">
        <f t="shared" ca="1" si="7"/>
        <v>0.1504938271569296</v>
      </c>
      <c r="AH45" s="28" t="str" cm="1">
        <f t="array" aca="1" ref="AH45" ca="1">IF((AD45) &lt; (INDEX(ResponseSLA[#All],(MATCH((G45),ResponseSLA[Priority],0))+1,3)),"YES","No")</f>
        <v>YES</v>
      </c>
      <c r="AI45" s="28" t="str">
        <f ca="1">_xlfn.IFNA(IF(AE45 &lt; (INDEX(SLATable[Minimum SLA],MATCH(G45,SLATable[Priority],0))),"YES","NO"),"")</f>
        <v>YES</v>
      </c>
      <c r="AJ45" s="28" t="str">
        <f ca="1">_xlfn.IFNA(IF(AE45 &lt; (INDEX(SLATable[Maximum SLA],MATCH(G45,SLATable[Priority],0))),"YES","NO"),"")</f>
        <v>YES</v>
      </c>
    </row>
    <row r="46" spans="2:36" ht="15" customHeight="1">
      <c r="B46" s="127" t="s">
        <v>26</v>
      </c>
      <c r="C46" s="127" t="s">
        <v>35</v>
      </c>
      <c r="D46" s="127" t="s">
        <v>207</v>
      </c>
      <c r="E46" s="127" t="s">
        <v>1131</v>
      </c>
      <c r="F46" s="127" t="s">
        <v>295</v>
      </c>
      <c r="G46" s="127">
        <v>4</v>
      </c>
      <c r="H46" s="127" t="s">
        <v>1132</v>
      </c>
      <c r="I46" s="127" t="s">
        <v>271</v>
      </c>
      <c r="J46" s="127" t="s">
        <v>1120</v>
      </c>
      <c r="K46" s="129">
        <v>46161.471377314818</v>
      </c>
      <c r="L46" s="129">
        <v>46164.537766203706</v>
      </c>
      <c r="M46" s="129">
        <v>46166.626134259262</v>
      </c>
      <c r="N46" s="129">
        <v>46170.39576388889</v>
      </c>
      <c r="O46" s="129">
        <v>46170.258356481485</v>
      </c>
      <c r="P46" s="129">
        <v>46170.313668981478</v>
      </c>
      <c r="Q46" s="127" t="s">
        <v>1057</v>
      </c>
      <c r="R46" s="127" t="s">
        <v>267</v>
      </c>
      <c r="S46" s="127" t="s">
        <v>190</v>
      </c>
      <c r="T46" s="127"/>
      <c r="U46" s="127" t="s">
        <v>371</v>
      </c>
      <c r="V46" s="127"/>
      <c r="W46" s="127"/>
      <c r="X46" s="127"/>
      <c r="Y46" s="127"/>
      <c r="Z46" s="169">
        <f t="shared" ca="1" si="1"/>
        <v>2.1743865740718324</v>
      </c>
      <c r="AA46" s="170">
        <f t="shared" ca="1" si="2"/>
        <v>5.7983641975248865</v>
      </c>
      <c r="AB46" s="169">
        <f t="shared" ca="1" si="3"/>
        <v>0.98299768518336372</v>
      </c>
      <c r="AC46" s="170">
        <f t="shared" ca="1" si="4"/>
        <v>2.6213271604889701</v>
      </c>
      <c r="AD46" s="169">
        <f t="shared" ca="1" si="5"/>
        <v>0</v>
      </c>
      <c r="AE46" s="169">
        <f t="shared" ca="1" si="0"/>
        <v>0.98299768518336372</v>
      </c>
      <c r="AF46" s="170">
        <f t="shared" ca="1" si="6"/>
        <v>2.6213271604889701</v>
      </c>
      <c r="AG46" s="170">
        <f t="shared" ca="1" si="7"/>
        <v>2.6213271604889701</v>
      </c>
      <c r="AH46" s="28" t="str" cm="1">
        <f t="array" aca="1" ref="AH46" ca="1">IF((AD46) &lt; (INDEX(ResponseSLA[#All],(MATCH((G46),ResponseSLA[Priority],0))+1,3)),"YES","No")</f>
        <v>YES</v>
      </c>
      <c r="AI46" s="28" t="str">
        <f ca="1">_xlfn.IFNA(IF(AE46 &lt; (INDEX(SLATable[Minimum SLA],MATCH(G46,SLATable[Priority],0))),"YES","NO"),"")</f>
        <v>YES</v>
      </c>
      <c r="AJ46" s="28" t="str">
        <f ca="1">_xlfn.IFNA(IF(AE46 &lt; (INDEX(SLATable[Maximum SLA],MATCH(G46,SLATable[Priority],0))),"YES","NO"),"")</f>
        <v>YES</v>
      </c>
    </row>
    <row r="47" spans="2:36" ht="15" customHeight="1">
      <c r="B47" s="127" t="s">
        <v>26</v>
      </c>
      <c r="C47" s="127" t="s">
        <v>35</v>
      </c>
      <c r="D47" s="127" t="s">
        <v>207</v>
      </c>
      <c r="E47" s="127" t="s">
        <v>1133</v>
      </c>
      <c r="F47" s="127" t="s">
        <v>295</v>
      </c>
      <c r="G47" s="127">
        <v>4</v>
      </c>
      <c r="H47" s="127" t="s">
        <v>1134</v>
      </c>
      <c r="I47" s="127" t="s">
        <v>271</v>
      </c>
      <c r="J47" s="127" t="s">
        <v>1120</v>
      </c>
      <c r="K47" s="129">
        <v>46125.354085648149</v>
      </c>
      <c r="L47" s="129">
        <v>46147.247233796297</v>
      </c>
      <c r="M47" s="129">
        <v>46147.305555555555</v>
      </c>
      <c r="N47" s="129">
        <v>46147.359212962961</v>
      </c>
      <c r="O47" s="129">
        <v>46147.316064814811</v>
      </c>
      <c r="P47" s="129">
        <v>46147.359212962961</v>
      </c>
      <c r="Q47" s="127" t="s">
        <v>1113</v>
      </c>
      <c r="R47" s="127" t="s">
        <v>267</v>
      </c>
      <c r="S47" s="127" t="s">
        <v>141</v>
      </c>
      <c r="T47" s="127"/>
      <c r="U47" s="127" t="s">
        <v>371</v>
      </c>
      <c r="V47" s="127"/>
      <c r="W47" s="127"/>
      <c r="X47" s="127"/>
      <c r="Y47" s="127"/>
      <c r="Z47" s="169">
        <f t="shared" ca="1" si="1"/>
        <v>5.2292476851847223</v>
      </c>
      <c r="AA47" s="170">
        <f t="shared" ca="1" si="2"/>
        <v>13.944660493825927</v>
      </c>
      <c r="AB47" s="169">
        <f t="shared" ca="1" si="3"/>
        <v>0</v>
      </c>
      <c r="AC47" s="170">
        <f t="shared" ca="1" si="4"/>
        <v>0</v>
      </c>
      <c r="AD47" s="169">
        <f t="shared" ca="1" si="5"/>
        <v>0</v>
      </c>
      <c r="AE47" s="169">
        <f t="shared" ca="1" si="0"/>
        <v>0</v>
      </c>
      <c r="AF47" s="170">
        <f t="shared" ca="1" si="6"/>
        <v>0</v>
      </c>
      <c r="AG47" s="170">
        <f t="shared" ca="1" si="7"/>
        <v>0</v>
      </c>
      <c r="AH47" s="28" t="str" cm="1">
        <f t="array" aca="1" ref="AH47" ca="1">IF((AD47) &lt; (INDEX(ResponseSLA[#All],(MATCH((G47),ResponseSLA[Priority],0))+1,3)),"YES","No")</f>
        <v>YES</v>
      </c>
      <c r="AI47" s="28" t="str">
        <f ca="1">_xlfn.IFNA(IF(AE47 &lt; (INDEX(SLATable[Minimum SLA],MATCH(G47,SLATable[Priority],0))),"YES","NO"),"")</f>
        <v>YES</v>
      </c>
      <c r="AJ47" s="28" t="str">
        <f ca="1">_xlfn.IFNA(IF(AE47 &lt; (INDEX(SLATable[Maximum SLA],MATCH(G47,SLATable[Priority],0))),"YES","NO"),"")</f>
        <v>YES</v>
      </c>
    </row>
    <row r="48" spans="2:36" ht="15" customHeight="1">
      <c r="B48" s="127" t="s">
        <v>26</v>
      </c>
      <c r="C48" s="127" t="s">
        <v>35</v>
      </c>
      <c r="D48" s="127" t="s">
        <v>207</v>
      </c>
      <c r="E48" s="127" t="s">
        <v>1135</v>
      </c>
      <c r="F48" s="127" t="s">
        <v>295</v>
      </c>
      <c r="G48" s="127">
        <v>3</v>
      </c>
      <c r="H48" s="127" t="s">
        <v>1136</v>
      </c>
      <c r="I48" s="127" t="s">
        <v>271</v>
      </c>
      <c r="J48" s="127" t="s">
        <v>1120</v>
      </c>
      <c r="K48" s="129">
        <v>46127.489212962966</v>
      </c>
      <c r="L48" s="129">
        <v>46127.489317129628</v>
      </c>
      <c r="M48" s="129">
        <v>46127.596076388887</v>
      </c>
      <c r="N48" s="129">
        <v>46147.750092592592</v>
      </c>
      <c r="O48" s="129">
        <v>46128.101666666669</v>
      </c>
      <c r="P48" s="129">
        <v>46147.750092592592</v>
      </c>
      <c r="Q48" s="127" t="s">
        <v>1137</v>
      </c>
      <c r="R48" s="127" t="s">
        <v>267</v>
      </c>
      <c r="S48" s="127" t="s">
        <v>181</v>
      </c>
      <c r="T48" s="127"/>
      <c r="U48" s="127" t="s">
        <v>371</v>
      </c>
      <c r="V48" s="127"/>
      <c r="W48" s="127"/>
      <c r="X48" s="127"/>
      <c r="Y48" s="127"/>
      <c r="Z48" s="169">
        <f t="shared" ca="1" si="1"/>
        <v>0.21912037036721177</v>
      </c>
      <c r="AA48" s="170">
        <f t="shared" ca="1" si="2"/>
        <v>0.58432098764589802</v>
      </c>
      <c r="AB48" s="169">
        <f t="shared" ca="1" si="3"/>
        <v>0.21901620370529873</v>
      </c>
      <c r="AC48" s="170">
        <f t="shared" ca="1" si="4"/>
        <v>0.58404320988079661</v>
      </c>
      <c r="AD48" s="169">
        <f t="shared" ca="1" si="5"/>
        <v>0.106759259258979</v>
      </c>
      <c r="AE48" s="169">
        <f t="shared" ca="1" si="0"/>
        <v>0.21901620370529873</v>
      </c>
      <c r="AF48" s="170">
        <f t="shared" ca="1" si="6"/>
        <v>0.58404320988079661</v>
      </c>
      <c r="AG48" s="170">
        <f t="shared" ca="1" si="7"/>
        <v>0.58404320988079661</v>
      </c>
      <c r="AH48" s="28" t="str" cm="1">
        <f t="array" aca="1" ref="AH48" ca="1">IF((AD48) &lt; (INDEX(ResponseSLA[#All],(MATCH((G48),ResponseSLA[Priority],0))+1,3)),"YES","No")</f>
        <v>No</v>
      </c>
      <c r="AI48" s="28" t="str">
        <f ca="1">_xlfn.IFNA(IF(AE48 &lt; (INDEX(SLATable[Minimum SLA],MATCH(G48,SLATable[Priority],0))),"YES","NO"),"")</f>
        <v>YES</v>
      </c>
      <c r="AJ48" s="28" t="str">
        <f ca="1">_xlfn.IFNA(IF(AE48 &lt; (INDEX(SLATable[Maximum SLA],MATCH(G48,SLATable[Priority],0))),"YES","NO"),"")</f>
        <v>YES</v>
      </c>
    </row>
    <row r="49" spans="2:36" ht="15" customHeight="1">
      <c r="B49" s="127" t="s">
        <v>26</v>
      </c>
      <c r="C49" s="127" t="s">
        <v>35</v>
      </c>
      <c r="D49" s="127" t="s">
        <v>207</v>
      </c>
      <c r="E49" s="127" t="s">
        <v>1138</v>
      </c>
      <c r="F49" s="127" t="s">
        <v>295</v>
      </c>
      <c r="G49" s="127">
        <v>2</v>
      </c>
      <c r="H49" s="127" t="s">
        <v>1139</v>
      </c>
      <c r="I49" s="127" t="s">
        <v>271</v>
      </c>
      <c r="J49" s="127" t="s">
        <v>1120</v>
      </c>
      <c r="K49" s="129">
        <v>46148.723877314813</v>
      </c>
      <c r="L49" s="129">
        <v>46148.723958333336</v>
      </c>
      <c r="M49" s="129">
        <v>46148.726342592592</v>
      </c>
      <c r="N49" s="129">
        <v>46148.808171296296</v>
      </c>
      <c r="O49" s="129"/>
      <c r="P49" s="129"/>
      <c r="Q49" s="127" t="s">
        <v>1057</v>
      </c>
      <c r="R49" s="127" t="s">
        <v>267</v>
      </c>
      <c r="S49" s="127" t="s">
        <v>177</v>
      </c>
      <c r="T49" s="127"/>
      <c r="U49" s="127" t="s">
        <v>371</v>
      </c>
      <c r="V49" s="127"/>
      <c r="W49" s="127"/>
      <c r="X49" s="127"/>
      <c r="Y49" s="127"/>
      <c r="Z49" s="169">
        <f t="shared" ca="1" si="1"/>
        <v>8.4293981482915115E-2</v>
      </c>
      <c r="AA49" s="170">
        <f t="shared" ca="1" si="2"/>
        <v>0.22478395062110698</v>
      </c>
      <c r="AB49" s="169">
        <f t="shared" ca="1" si="3"/>
        <v>8.4212962960009463E-2</v>
      </c>
      <c r="AC49" s="170">
        <f t="shared" ca="1" si="4"/>
        <v>0.2245679012266919</v>
      </c>
      <c r="AD49" s="169">
        <f t="shared" ca="1" si="5"/>
        <v>2.3842592563596554E-3</v>
      </c>
      <c r="AE49" s="169">
        <f t="shared" ca="1" si="0"/>
        <v>8.4212962960009463E-2</v>
      </c>
      <c r="AF49" s="170">
        <f t="shared" ca="1" si="6"/>
        <v>0.2245679012266919</v>
      </c>
      <c r="AG49" s="170">
        <f t="shared" ca="1" si="7"/>
        <v>0.2245679012266919</v>
      </c>
      <c r="AH49" s="28" t="str" cm="1">
        <f t="array" aca="1" ref="AH49" ca="1">IF((AD49) &lt; (INDEX(ResponseSLA[#All],(MATCH((G49),ResponseSLA[Priority],0))+1,3)),"YES","No")</f>
        <v>YES</v>
      </c>
      <c r="AI49" s="28" t="str">
        <f ca="1">_xlfn.IFNA(IF(AE49 &lt; (INDEX(SLATable[Minimum SLA],MATCH(G49,SLATable[Priority],0))),"YES","NO"),"")</f>
        <v>NO</v>
      </c>
      <c r="AJ49" s="28" t="str">
        <f ca="1">_xlfn.IFNA(IF(AE49 &lt; (INDEX(SLATable[Maximum SLA],MATCH(G49,SLATable[Priority],0))),"YES","NO"),"")</f>
        <v>YES</v>
      </c>
    </row>
    <row r="50" spans="2:36" ht="15" customHeight="1">
      <c r="B50" s="127" t="s">
        <v>26</v>
      </c>
      <c r="C50" s="127" t="s">
        <v>35</v>
      </c>
      <c r="D50" s="127" t="s">
        <v>207</v>
      </c>
      <c r="E50" s="127" t="s">
        <v>1140</v>
      </c>
      <c r="F50" s="127" t="s">
        <v>295</v>
      </c>
      <c r="G50" s="127">
        <v>3</v>
      </c>
      <c r="H50" s="127" t="s">
        <v>1141</v>
      </c>
      <c r="I50" s="127" t="s">
        <v>271</v>
      </c>
      <c r="J50" s="127" t="s">
        <v>1120</v>
      </c>
      <c r="K50" s="129">
        <v>46148.711273148147</v>
      </c>
      <c r="L50" s="129">
        <v>46148.750601851854</v>
      </c>
      <c r="M50" s="129">
        <v>46149.320729166669</v>
      </c>
      <c r="N50" s="129">
        <v>46149.322754629633</v>
      </c>
      <c r="O50" s="129"/>
      <c r="P50" s="129"/>
      <c r="Q50" s="127" t="s">
        <v>1057</v>
      </c>
      <c r="R50" s="127" t="s">
        <v>267</v>
      </c>
      <c r="S50" s="127" t="s">
        <v>177</v>
      </c>
      <c r="T50" s="127"/>
      <c r="U50" s="127" t="s">
        <v>371</v>
      </c>
      <c r="V50" s="127"/>
      <c r="W50" s="127"/>
      <c r="X50" s="127"/>
      <c r="Y50" s="127"/>
      <c r="Z50" s="169">
        <f t="shared" ca="1" si="1"/>
        <v>0</v>
      </c>
      <c r="AA50" s="170">
        <f t="shared" ca="1" si="2"/>
        <v>0</v>
      </c>
      <c r="AB50" s="169">
        <f t="shared" ca="1" si="3"/>
        <v>0</v>
      </c>
      <c r="AC50" s="170">
        <f t="shared" ca="1" si="4"/>
        <v>0</v>
      </c>
      <c r="AD50" s="169">
        <f t="shared" ca="1" si="5"/>
        <v>0</v>
      </c>
      <c r="AE50" s="169">
        <f t="shared" ca="1" si="0"/>
        <v>0</v>
      </c>
      <c r="AF50" s="170">
        <f t="shared" ca="1" si="6"/>
        <v>0</v>
      </c>
      <c r="AG50" s="170">
        <f t="shared" ca="1" si="7"/>
        <v>0</v>
      </c>
      <c r="AH50" s="28" t="str" cm="1">
        <f t="array" aca="1" ref="AH50" ca="1">IF((AD50) &lt; (INDEX(ResponseSLA[#All],(MATCH((G50),ResponseSLA[Priority],0))+1,3)),"YES","No")</f>
        <v>YES</v>
      </c>
      <c r="AI50" s="28" t="str">
        <f ca="1">_xlfn.IFNA(IF(AE50 &lt; (INDEX(SLATable[Minimum SLA],MATCH(G50,SLATable[Priority],0))),"YES","NO"),"")</f>
        <v>YES</v>
      </c>
      <c r="AJ50" s="28" t="str">
        <f ca="1">_xlfn.IFNA(IF(AE50 &lt; (INDEX(SLATable[Maximum SLA],MATCH(G50,SLATable[Priority],0))),"YES","NO"),"")</f>
        <v>YES</v>
      </c>
    </row>
    <row r="51" spans="2:36" ht="15" customHeight="1">
      <c r="B51" s="127" t="s">
        <v>26</v>
      </c>
      <c r="C51" s="127" t="s">
        <v>35</v>
      </c>
      <c r="D51" s="127" t="s">
        <v>207</v>
      </c>
      <c r="E51" s="127" t="s">
        <v>1142</v>
      </c>
      <c r="F51" s="127" t="s">
        <v>295</v>
      </c>
      <c r="G51" s="127">
        <v>3</v>
      </c>
      <c r="H51" s="127" t="s">
        <v>1143</v>
      </c>
      <c r="I51" s="127" t="s">
        <v>271</v>
      </c>
      <c r="J51" s="127" t="s">
        <v>1120</v>
      </c>
      <c r="K51" s="129">
        <v>46148.69809027778</v>
      </c>
      <c r="L51" s="129">
        <v>46148.759502314817</v>
      </c>
      <c r="M51" s="129">
        <v>46149.320381944446</v>
      </c>
      <c r="N51" s="129">
        <v>46149.323252314818</v>
      </c>
      <c r="O51" s="129"/>
      <c r="P51" s="129"/>
      <c r="Q51" s="127" t="s">
        <v>1057</v>
      </c>
      <c r="R51" s="127" t="s">
        <v>267</v>
      </c>
      <c r="S51" s="127" t="s">
        <v>177</v>
      </c>
      <c r="T51" s="127"/>
      <c r="U51" s="127" t="s">
        <v>371</v>
      </c>
      <c r="V51" s="127"/>
      <c r="W51" s="127"/>
      <c r="X51" s="127"/>
      <c r="Y51" s="127"/>
      <c r="Z51" s="169">
        <f t="shared" ca="1" si="1"/>
        <v>1.0243055553777025E-2</v>
      </c>
      <c r="AA51" s="170">
        <f t="shared" ca="1" si="2"/>
        <v>2.7314814810072068E-2</v>
      </c>
      <c r="AB51" s="169">
        <f t="shared" ca="1" si="3"/>
        <v>0</v>
      </c>
      <c r="AC51" s="170">
        <f t="shared" ca="1" si="4"/>
        <v>0</v>
      </c>
      <c r="AD51" s="169">
        <f t="shared" ca="1" si="5"/>
        <v>0</v>
      </c>
      <c r="AE51" s="169">
        <f t="shared" ca="1" si="0"/>
        <v>0</v>
      </c>
      <c r="AF51" s="170">
        <f t="shared" ca="1" si="6"/>
        <v>0</v>
      </c>
      <c r="AG51" s="170">
        <f t="shared" ca="1" si="7"/>
        <v>0</v>
      </c>
      <c r="AH51" s="28" t="str" cm="1">
        <f t="array" aca="1" ref="AH51" ca="1">IF((AD51) &lt; (INDEX(ResponseSLA[#All],(MATCH((G51),ResponseSLA[Priority],0))+1,3)),"YES","No")</f>
        <v>YES</v>
      </c>
      <c r="AI51" s="28" t="str">
        <f ca="1">_xlfn.IFNA(IF(AE51 &lt; (INDEX(SLATable[Minimum SLA],MATCH(G51,SLATable[Priority],0))),"YES","NO"),"")</f>
        <v>YES</v>
      </c>
      <c r="AJ51" s="28" t="str">
        <f ca="1">_xlfn.IFNA(IF(AE51 &lt; (INDEX(SLATable[Maximum SLA],MATCH(G51,SLATable[Priority],0))),"YES","NO"),"")</f>
        <v>YES</v>
      </c>
    </row>
    <row r="52" spans="2:36" ht="15" customHeight="1">
      <c r="B52" s="127" t="s">
        <v>26</v>
      </c>
      <c r="C52" s="127" t="s">
        <v>35</v>
      </c>
      <c r="D52" s="127" t="s">
        <v>207</v>
      </c>
      <c r="E52" s="127" t="s">
        <v>1144</v>
      </c>
      <c r="F52" s="127" t="s">
        <v>289</v>
      </c>
      <c r="G52" s="127">
        <v>3</v>
      </c>
      <c r="H52" s="127" t="s">
        <v>1145</v>
      </c>
      <c r="I52" s="127" t="s">
        <v>271</v>
      </c>
      <c r="J52" s="127" t="s">
        <v>1120</v>
      </c>
      <c r="K52" s="129">
        <v>46150.080266203702</v>
      </c>
      <c r="L52" s="129">
        <v>46150.089756944442</v>
      </c>
      <c r="M52" s="129">
        <v>46150.089756944442</v>
      </c>
      <c r="N52" s="129">
        <v>46150.298263888886</v>
      </c>
      <c r="O52" s="129"/>
      <c r="P52" s="129"/>
      <c r="Q52" s="127" t="s">
        <v>1062</v>
      </c>
      <c r="R52" s="127" t="s">
        <v>267</v>
      </c>
      <c r="S52" s="127" t="s">
        <v>149</v>
      </c>
      <c r="T52" s="127"/>
      <c r="U52" s="127" t="s">
        <v>371</v>
      </c>
      <c r="V52" s="127"/>
      <c r="W52" s="127"/>
      <c r="X52" s="127"/>
      <c r="Y52" s="127"/>
      <c r="Z52" s="169">
        <f t="shared" ca="1" si="1"/>
        <v>0</v>
      </c>
      <c r="AA52" s="170">
        <f t="shared" ca="1" si="2"/>
        <v>0</v>
      </c>
      <c r="AB52" s="169">
        <f t="shared" ca="1" si="3"/>
        <v>0</v>
      </c>
      <c r="AC52" s="170">
        <f t="shared" ca="1" si="4"/>
        <v>0</v>
      </c>
      <c r="AD52" s="169">
        <f t="shared" ca="1" si="5"/>
        <v>0</v>
      </c>
      <c r="AE52" s="169">
        <f t="shared" ca="1" si="0"/>
        <v>0</v>
      </c>
      <c r="AF52" s="170">
        <f t="shared" ca="1" si="6"/>
        <v>0</v>
      </c>
      <c r="AG52" s="170">
        <f t="shared" ca="1" si="7"/>
        <v>0</v>
      </c>
      <c r="AH52" s="28" t="str" cm="1">
        <f t="array" aca="1" ref="AH52" ca="1">IF((AD52) &lt; (INDEX(ResponseSLA[#All],(MATCH((G52),ResponseSLA[Priority],0))+1,3)),"YES","No")</f>
        <v>YES</v>
      </c>
      <c r="AI52" s="28" t="str">
        <f ca="1">_xlfn.IFNA(IF(AE52 &lt; (INDEX(SLATable[Minimum SLA],MATCH(G52,SLATable[Priority],0))),"YES","NO"),"")</f>
        <v>YES</v>
      </c>
      <c r="AJ52" s="28" t="str">
        <f ca="1">_xlfn.IFNA(IF(AE52 &lt; (INDEX(SLATable[Maximum SLA],MATCH(G52,SLATable[Priority],0))),"YES","NO"),"")</f>
        <v>YES</v>
      </c>
    </row>
    <row r="53" spans="2:36" ht="15" customHeight="1">
      <c r="B53" s="127" t="s">
        <v>26</v>
      </c>
      <c r="C53" s="127" t="s">
        <v>35</v>
      </c>
      <c r="D53" s="127" t="s">
        <v>207</v>
      </c>
      <c r="E53" s="127" t="s">
        <v>1146</v>
      </c>
      <c r="F53" s="127" t="s">
        <v>295</v>
      </c>
      <c r="G53" s="127">
        <v>4</v>
      </c>
      <c r="H53" s="127" t="s">
        <v>1147</v>
      </c>
      <c r="I53" s="127" t="s">
        <v>271</v>
      </c>
      <c r="J53" s="127" t="s">
        <v>1120</v>
      </c>
      <c r="K53" s="129">
        <v>46149.445879629631</v>
      </c>
      <c r="L53" s="129">
        <v>46149.45453703704</v>
      </c>
      <c r="M53" s="129">
        <v>46150.293715277781</v>
      </c>
      <c r="N53" s="129">
        <v>46150.293715277781</v>
      </c>
      <c r="O53" s="129"/>
      <c r="P53" s="129"/>
      <c r="Q53" s="127" t="s">
        <v>1148</v>
      </c>
      <c r="R53" s="127" t="s">
        <v>267</v>
      </c>
      <c r="S53" s="127" t="s">
        <v>149</v>
      </c>
      <c r="T53" s="127"/>
      <c r="U53" s="127" t="s">
        <v>371</v>
      </c>
      <c r="V53" s="127"/>
      <c r="W53" s="127"/>
      <c r="X53" s="127"/>
      <c r="Y53" s="127"/>
      <c r="Z53" s="169">
        <f t="shared" ca="1" si="1"/>
        <v>0.26245370370209764</v>
      </c>
      <c r="AA53" s="170">
        <f t="shared" ca="1" si="2"/>
        <v>0.69987654320559367</v>
      </c>
      <c r="AB53" s="169">
        <f t="shared" ca="1" si="3"/>
        <v>0.25379629629363387</v>
      </c>
      <c r="AC53" s="170">
        <f t="shared" ca="1" si="4"/>
        <v>0.67679012344969036</v>
      </c>
      <c r="AD53" s="169">
        <f t="shared" ca="1" si="5"/>
        <v>0.25379629629363387</v>
      </c>
      <c r="AE53" s="169">
        <f t="shared" ca="1" si="0"/>
        <v>0.25379629629363387</v>
      </c>
      <c r="AF53" s="170">
        <f t="shared" ca="1" si="6"/>
        <v>0.67679012344969036</v>
      </c>
      <c r="AG53" s="170">
        <f t="shared" ca="1" si="7"/>
        <v>0.67679012344969036</v>
      </c>
      <c r="AH53" s="28" t="str" cm="1">
        <f t="array" aca="1" ref="AH53" ca="1">IF((AD53) &lt; (INDEX(ResponseSLA[#All],(MATCH((G53),ResponseSLA[Priority],0))+1,3)),"YES","No")</f>
        <v>No</v>
      </c>
      <c r="AI53" s="28" t="str">
        <f ca="1">_xlfn.IFNA(IF(AE53 &lt; (INDEX(SLATable[Minimum SLA],MATCH(G53,SLATable[Priority],0))),"YES","NO"),"")</f>
        <v>YES</v>
      </c>
      <c r="AJ53" s="28" t="str">
        <f ca="1">_xlfn.IFNA(IF(AE53 &lt; (INDEX(SLATable[Maximum SLA],MATCH(G53,SLATable[Priority],0))),"YES","NO"),"")</f>
        <v>YES</v>
      </c>
    </row>
    <row r="54" spans="2:36" ht="15" customHeight="1">
      <c r="B54" s="127" t="s">
        <v>26</v>
      </c>
      <c r="C54" s="127" t="s">
        <v>35</v>
      </c>
      <c r="D54" s="127" t="s">
        <v>207</v>
      </c>
      <c r="E54" s="127" t="s">
        <v>1149</v>
      </c>
      <c r="F54" s="127" t="s">
        <v>295</v>
      </c>
      <c r="G54" s="127">
        <v>3</v>
      </c>
      <c r="H54" s="127" t="s">
        <v>1150</v>
      </c>
      <c r="I54" s="127" t="s">
        <v>271</v>
      </c>
      <c r="J54" s="127" t="s">
        <v>1120</v>
      </c>
      <c r="K54" s="129">
        <v>46141.567442129628</v>
      </c>
      <c r="L54" s="129">
        <v>46142.292858796296</v>
      </c>
      <c r="M54" s="129">
        <v>46142.292858796296</v>
      </c>
      <c r="N54" s="129">
        <v>46150.392060185186</v>
      </c>
      <c r="O54" s="129">
        <v>46142.391504629632</v>
      </c>
      <c r="P54" s="129">
        <v>46150.392060185186</v>
      </c>
      <c r="Q54" s="127" t="s">
        <v>1151</v>
      </c>
      <c r="R54" s="127" t="s">
        <v>267</v>
      </c>
      <c r="S54" s="127" t="s">
        <v>190</v>
      </c>
      <c r="T54" s="127"/>
      <c r="U54" s="127" t="s">
        <v>371</v>
      </c>
      <c r="V54" s="127"/>
      <c r="W54" s="127"/>
      <c r="X54" s="127"/>
      <c r="Y54" s="127"/>
      <c r="Z54" s="169">
        <f t="shared" ca="1" si="1"/>
        <v>0.19906250000349224</v>
      </c>
      <c r="AA54" s="170">
        <f t="shared" ca="1" si="2"/>
        <v>0.53083333334264593</v>
      </c>
      <c r="AB54" s="169">
        <f t="shared" ca="1" si="3"/>
        <v>5.8171296298193509E-2</v>
      </c>
      <c r="AC54" s="170">
        <f t="shared" ca="1" si="4"/>
        <v>0.15512345679518269</v>
      </c>
      <c r="AD54" s="169">
        <f t="shared" ca="1" si="5"/>
        <v>0</v>
      </c>
      <c r="AE54" s="169">
        <f t="shared" ca="1" si="0"/>
        <v>5.8171296298193509E-2</v>
      </c>
      <c r="AF54" s="170">
        <f t="shared" ca="1" si="6"/>
        <v>0.15512345679518269</v>
      </c>
      <c r="AG54" s="170">
        <f t="shared" ca="1" si="7"/>
        <v>0.15512345679518269</v>
      </c>
      <c r="AH54" s="28" t="str" cm="1">
        <f t="array" aca="1" ref="AH54" ca="1">IF((AD54) &lt; (INDEX(ResponseSLA[#All],(MATCH((G54),ResponseSLA[Priority],0))+1,3)),"YES","No")</f>
        <v>YES</v>
      </c>
      <c r="AI54" s="28" t="str">
        <f ca="1">_xlfn.IFNA(IF(AE54 &lt; (INDEX(SLATable[Minimum SLA],MATCH(G54,SLATable[Priority],0))),"YES","NO"),"")</f>
        <v>YES</v>
      </c>
      <c r="AJ54" s="28" t="str">
        <f ca="1">_xlfn.IFNA(IF(AE54 &lt; (INDEX(SLATable[Maximum SLA],MATCH(G54,SLATable[Priority],0))),"YES","NO"),"")</f>
        <v>YES</v>
      </c>
    </row>
    <row r="55" spans="2:36" ht="15" customHeight="1">
      <c r="B55" s="127" t="s">
        <v>26</v>
      </c>
      <c r="C55" s="127" t="s">
        <v>35</v>
      </c>
      <c r="D55" s="127" t="s">
        <v>207</v>
      </c>
      <c r="E55" s="127" t="s">
        <v>1152</v>
      </c>
      <c r="F55" s="127" t="s">
        <v>295</v>
      </c>
      <c r="G55" s="127">
        <v>4</v>
      </c>
      <c r="H55" s="127" t="s">
        <v>1153</v>
      </c>
      <c r="I55" s="127" t="s">
        <v>271</v>
      </c>
      <c r="J55" s="127" t="s">
        <v>1120</v>
      </c>
      <c r="K55" s="129">
        <v>46148.62636574074</v>
      </c>
      <c r="L55" s="129">
        <v>46148.626423611109</v>
      </c>
      <c r="M55" s="129">
        <v>46150.353530092594</v>
      </c>
      <c r="N55" s="129">
        <v>46153.305925925924</v>
      </c>
      <c r="O55" s="129"/>
      <c r="P55" s="129"/>
      <c r="Q55" s="127" t="s">
        <v>695</v>
      </c>
      <c r="R55" s="127" t="s">
        <v>267</v>
      </c>
      <c r="S55" s="127" t="s">
        <v>149</v>
      </c>
      <c r="T55" s="127"/>
      <c r="U55" s="127" t="s">
        <v>371</v>
      </c>
      <c r="V55" s="127"/>
      <c r="W55" s="127"/>
      <c r="X55" s="127"/>
      <c r="Y55" s="127"/>
      <c r="Z55" s="169">
        <f t="shared" ca="1" si="1"/>
        <v>0.83196759259347663</v>
      </c>
      <c r="AA55" s="170">
        <f t="shared" ca="1" si="2"/>
        <v>2.2185802469159377</v>
      </c>
      <c r="AB55" s="169">
        <f t="shared" ca="1" si="3"/>
        <v>0.83190972222413029</v>
      </c>
      <c r="AC55" s="170">
        <f t="shared" ca="1" si="4"/>
        <v>2.218425925931014</v>
      </c>
      <c r="AD55" s="169">
        <f t="shared" ca="1" si="5"/>
        <v>0.47710648148495238</v>
      </c>
      <c r="AE55" s="169">
        <f t="shared" ca="1" si="0"/>
        <v>0.83190972222413029</v>
      </c>
      <c r="AF55" s="170">
        <f t="shared" ca="1" si="6"/>
        <v>2.218425925931014</v>
      </c>
      <c r="AG55" s="170">
        <f t="shared" ca="1" si="7"/>
        <v>2.218425925931014</v>
      </c>
      <c r="AH55" s="28" t="str" cm="1">
        <f t="array" aca="1" ref="AH55" ca="1">IF((AD55) &lt; (INDEX(ResponseSLA[#All],(MATCH((G55),ResponseSLA[Priority],0))+1,3)),"YES","No")</f>
        <v>No</v>
      </c>
      <c r="AI55" s="28" t="str">
        <f ca="1">_xlfn.IFNA(IF(AE55 &lt; (INDEX(SLATable[Minimum SLA],MATCH(G55,SLATable[Priority],0))),"YES","NO"),"")</f>
        <v>YES</v>
      </c>
      <c r="AJ55" s="28" t="str">
        <f ca="1">_xlfn.IFNA(IF(AE55 &lt; (INDEX(SLATable[Maximum SLA],MATCH(G55,SLATable[Priority],0))),"YES","NO"),"")</f>
        <v>YES</v>
      </c>
    </row>
    <row r="56" spans="2:36" ht="15" customHeight="1">
      <c r="B56" s="127" t="s">
        <v>26</v>
      </c>
      <c r="C56" s="127" t="s">
        <v>35</v>
      </c>
      <c r="D56" s="127" t="s">
        <v>207</v>
      </c>
      <c r="E56" s="127" t="s">
        <v>1154</v>
      </c>
      <c r="F56" s="127" t="s">
        <v>295</v>
      </c>
      <c r="G56" s="127">
        <v>3</v>
      </c>
      <c r="H56" s="127" t="s">
        <v>1155</v>
      </c>
      <c r="I56" s="127" t="s">
        <v>271</v>
      </c>
      <c r="J56" s="127" t="s">
        <v>1120</v>
      </c>
      <c r="K56" s="129">
        <v>46149.372256944444</v>
      </c>
      <c r="L56" s="129">
        <v>46149.403831018521</v>
      </c>
      <c r="M56" s="129">
        <v>46149.441435185188</v>
      </c>
      <c r="N56" s="129">
        <v>46154.393275462964</v>
      </c>
      <c r="O56" s="129">
        <v>46150.285439814812</v>
      </c>
      <c r="P56" s="129">
        <v>46154.393275462964</v>
      </c>
      <c r="Q56" s="127" t="s">
        <v>1057</v>
      </c>
      <c r="R56" s="127" t="s">
        <v>267</v>
      </c>
      <c r="S56" s="127" t="s">
        <v>190</v>
      </c>
      <c r="T56" s="127"/>
      <c r="U56" s="127" t="s">
        <v>371</v>
      </c>
      <c r="V56" s="127"/>
      <c r="W56" s="127"/>
      <c r="X56" s="127"/>
      <c r="Y56" s="127"/>
      <c r="Z56" s="169">
        <f t="shared" ca="1" si="1"/>
        <v>0.33607638888982683</v>
      </c>
      <c r="AA56" s="170">
        <f t="shared" ca="1" si="2"/>
        <v>0.89620370370620484</v>
      </c>
      <c r="AB56" s="169">
        <f t="shared" ca="1" si="3"/>
        <v>0.30450231481275614</v>
      </c>
      <c r="AC56" s="170">
        <f t="shared" ca="1" si="4"/>
        <v>0.81200617283401633</v>
      </c>
      <c r="AD56" s="169">
        <f t="shared" ca="1" si="5"/>
        <v>3.7604166667733807E-2</v>
      </c>
      <c r="AE56" s="169">
        <f t="shared" ca="1" si="0"/>
        <v>0.30450231481275614</v>
      </c>
      <c r="AF56" s="170">
        <f t="shared" ca="1" si="6"/>
        <v>0.81200617283401633</v>
      </c>
      <c r="AG56" s="170">
        <f t="shared" ca="1" si="7"/>
        <v>0.81200617283401633</v>
      </c>
      <c r="AH56" s="28" t="str" cm="1">
        <f t="array" aca="1" ref="AH56" ca="1">IF((AD56) &lt; (INDEX(ResponseSLA[#All],(MATCH((G56),ResponseSLA[Priority],0))+1,3)),"YES","No")</f>
        <v>YES</v>
      </c>
      <c r="AI56" s="28" t="str">
        <f ca="1">_xlfn.IFNA(IF(AE56 &lt; (INDEX(SLATable[Minimum SLA],MATCH(G56,SLATable[Priority],0))),"YES","NO"),"")</f>
        <v>YES</v>
      </c>
      <c r="AJ56" s="28" t="str">
        <f ca="1">_xlfn.IFNA(IF(AE56 &lt; (INDEX(SLATable[Maximum SLA],MATCH(G56,SLATable[Priority],0))),"YES","NO"),"")</f>
        <v>YES</v>
      </c>
    </row>
    <row r="57" spans="2:36" ht="15" customHeight="1">
      <c r="B57" s="127" t="s">
        <v>26</v>
      </c>
      <c r="C57" s="127" t="s">
        <v>35</v>
      </c>
      <c r="D57" s="127" t="s">
        <v>207</v>
      </c>
      <c r="E57" s="127" t="s">
        <v>1156</v>
      </c>
      <c r="F57" s="127" t="s">
        <v>295</v>
      </c>
      <c r="G57" s="127">
        <v>3</v>
      </c>
      <c r="H57" s="127" t="s">
        <v>1157</v>
      </c>
      <c r="I57" s="127" t="s">
        <v>271</v>
      </c>
      <c r="J57" s="127" t="s">
        <v>1120</v>
      </c>
      <c r="K57" s="129">
        <v>46142.556643518517</v>
      </c>
      <c r="L57" s="129">
        <v>46142.556770833333</v>
      </c>
      <c r="M57" s="129">
        <v>46148.333437499998</v>
      </c>
      <c r="N57" s="129">
        <v>46156.750347222223</v>
      </c>
      <c r="O57" s="129">
        <v>46149.347372685188</v>
      </c>
      <c r="P57" s="129">
        <v>46156.750347222223</v>
      </c>
      <c r="Q57" s="127" t="s">
        <v>1113</v>
      </c>
      <c r="R57" s="127" t="s">
        <v>267</v>
      </c>
      <c r="S57" s="127" t="s">
        <v>199</v>
      </c>
      <c r="T57" s="127"/>
      <c r="U57" s="127" t="s">
        <v>371</v>
      </c>
      <c r="V57" s="127"/>
      <c r="W57" s="127"/>
      <c r="X57" s="127"/>
      <c r="Y57" s="127"/>
      <c r="Z57" s="169">
        <f t="shared" ca="1" si="1"/>
        <v>0.91572916667064463</v>
      </c>
      <c r="AA57" s="170">
        <f t="shared" ca="1" si="2"/>
        <v>2.4419444444550522</v>
      </c>
      <c r="AB57" s="169">
        <f t="shared" ca="1" si="3"/>
        <v>0.91560185185517229</v>
      </c>
      <c r="AC57" s="170">
        <f t="shared" ca="1" si="4"/>
        <v>2.4416049382804594</v>
      </c>
      <c r="AD57" s="169">
        <f t="shared" ca="1" si="5"/>
        <v>0.52666666666482342</v>
      </c>
      <c r="AE57" s="169">
        <f t="shared" ca="1" si="0"/>
        <v>0.91560185185517229</v>
      </c>
      <c r="AF57" s="170">
        <f t="shared" ca="1" si="6"/>
        <v>2.4416049382804594</v>
      </c>
      <c r="AG57" s="170">
        <f t="shared" ca="1" si="7"/>
        <v>2.4416049382804594</v>
      </c>
      <c r="AH57" s="28" t="str" cm="1">
        <f t="array" aca="1" ref="AH57" ca="1">IF((AD57) &lt; (INDEX(ResponseSLA[#All],(MATCH((G57),ResponseSLA[Priority],0))+1,3)),"YES","No")</f>
        <v>No</v>
      </c>
      <c r="AI57" s="28" t="str">
        <f ca="1">_xlfn.IFNA(IF(AE57 &lt; (INDEX(SLATable[Minimum SLA],MATCH(G57,SLATable[Priority],0))),"YES","NO"),"")</f>
        <v>NO</v>
      </c>
      <c r="AJ57" s="28" t="str">
        <f ca="1">_xlfn.IFNA(IF(AE57 &lt; (INDEX(SLATable[Maximum SLA],MATCH(G57,SLATable[Priority],0))),"YES","NO"),"")</f>
        <v>YES</v>
      </c>
    </row>
    <row r="58" spans="2:36" ht="15" customHeight="1">
      <c r="B58" s="127" t="s">
        <v>26</v>
      </c>
      <c r="C58" s="127" t="s">
        <v>35</v>
      </c>
      <c r="D58" s="127" t="s">
        <v>207</v>
      </c>
      <c r="E58" s="127" t="s">
        <v>1158</v>
      </c>
      <c r="F58" s="127" t="s">
        <v>295</v>
      </c>
      <c r="G58" s="127">
        <v>3</v>
      </c>
      <c r="H58" s="127" t="s">
        <v>1159</v>
      </c>
      <c r="I58" s="127" t="s">
        <v>271</v>
      </c>
      <c r="J58" s="127" t="s">
        <v>1120</v>
      </c>
      <c r="K58" s="129">
        <v>46142.476481481484</v>
      </c>
      <c r="L58" s="129">
        <v>46148.321192129632</v>
      </c>
      <c r="M58" s="129">
        <v>46148.321192129632</v>
      </c>
      <c r="N58" s="129">
        <v>46156.750335648147</v>
      </c>
      <c r="O58" s="129">
        <v>46149.350393518522</v>
      </c>
      <c r="P58" s="129">
        <v>46156.750335648147</v>
      </c>
      <c r="Q58" s="127" t="s">
        <v>1160</v>
      </c>
      <c r="R58" s="127" t="s">
        <v>267</v>
      </c>
      <c r="S58" s="127" t="s">
        <v>199</v>
      </c>
      <c r="T58" s="127"/>
      <c r="U58" s="127" t="s">
        <v>371</v>
      </c>
      <c r="V58" s="127"/>
      <c r="W58" s="127"/>
      <c r="X58" s="127"/>
      <c r="Y58" s="127"/>
      <c r="Z58" s="169">
        <f t="shared" ca="1" si="1"/>
        <v>0.99891203703737164</v>
      </c>
      <c r="AA58" s="170">
        <f t="shared" ca="1" si="2"/>
        <v>2.6637654320996575</v>
      </c>
      <c r="AB58" s="169">
        <f t="shared" ca="1" si="3"/>
        <v>0.39206018518840846</v>
      </c>
      <c r="AC58" s="170">
        <f t="shared" ca="1" si="4"/>
        <v>1.0454938271690892</v>
      </c>
      <c r="AD58" s="169">
        <f t="shared" ca="1" si="5"/>
        <v>0</v>
      </c>
      <c r="AE58" s="169">
        <f t="shared" ca="1" si="0"/>
        <v>0.39206018518840846</v>
      </c>
      <c r="AF58" s="170">
        <f t="shared" ca="1" si="6"/>
        <v>1.0454938271690892</v>
      </c>
      <c r="AG58" s="170">
        <f t="shared" ca="1" si="7"/>
        <v>1.0454938271690892</v>
      </c>
      <c r="AH58" s="28" t="str" cm="1">
        <f t="array" aca="1" ref="AH58" ca="1">IF((AD58) &lt; (INDEX(ResponseSLA[#All],(MATCH((G58),ResponseSLA[Priority],0))+1,3)),"YES","No")</f>
        <v>YES</v>
      </c>
      <c r="AI58" s="28" t="str">
        <f ca="1">_xlfn.IFNA(IF(AE58 &lt; (INDEX(SLATable[Minimum SLA],MATCH(G58,SLATable[Priority],0))),"YES","NO"),"")</f>
        <v>NO</v>
      </c>
      <c r="AJ58" s="28" t="str">
        <f ca="1">_xlfn.IFNA(IF(AE58 &lt; (INDEX(SLATable[Maximum SLA],MATCH(G58,SLATable[Priority],0))),"YES","NO"),"")</f>
        <v>YES</v>
      </c>
    </row>
    <row r="59" spans="2:36" ht="15" customHeight="1">
      <c r="B59" s="127" t="s">
        <v>26</v>
      </c>
      <c r="C59" s="127" t="s">
        <v>35</v>
      </c>
      <c r="D59" s="127" t="s">
        <v>207</v>
      </c>
      <c r="E59" s="127" t="s">
        <v>1161</v>
      </c>
      <c r="F59" s="127" t="s">
        <v>295</v>
      </c>
      <c r="G59" s="127">
        <v>3</v>
      </c>
      <c r="H59" s="127" t="s">
        <v>1051</v>
      </c>
      <c r="I59" s="127" t="s">
        <v>271</v>
      </c>
      <c r="J59" s="127" t="s">
        <v>1120</v>
      </c>
      <c r="K59" s="129">
        <v>46163.632430555554</v>
      </c>
      <c r="L59" s="129">
        <v>46163.645335648151</v>
      </c>
      <c r="M59" s="129">
        <v>46164.272685185184</v>
      </c>
      <c r="N59" s="129">
        <v>46164.274456018517</v>
      </c>
      <c r="O59" s="129"/>
      <c r="P59" s="129"/>
      <c r="Q59" s="127" t="s">
        <v>695</v>
      </c>
      <c r="R59" s="127" t="s">
        <v>267</v>
      </c>
      <c r="S59" s="127" t="s">
        <v>193</v>
      </c>
      <c r="T59" s="127"/>
      <c r="U59" s="127" t="s">
        <v>371</v>
      </c>
      <c r="V59" s="127"/>
      <c r="W59" s="127"/>
      <c r="X59" s="127"/>
      <c r="Y59" s="127"/>
      <c r="Z59" s="169">
        <f t="shared" ca="1" si="1"/>
        <v>7.5902777779750408E-2</v>
      </c>
      <c r="AA59" s="170">
        <f t="shared" ca="1" si="2"/>
        <v>0.20240740741266774</v>
      </c>
      <c r="AB59" s="169">
        <f t="shared" ca="1" si="3"/>
        <v>6.2997685182684449E-2</v>
      </c>
      <c r="AC59" s="170">
        <f t="shared" ca="1" si="4"/>
        <v>0.16799382715382519</v>
      </c>
      <c r="AD59" s="169">
        <f t="shared" ca="1" si="5"/>
        <v>6.2997685182684449E-2</v>
      </c>
      <c r="AE59" s="169">
        <f t="shared" ca="1" si="0"/>
        <v>6.2997685182684449E-2</v>
      </c>
      <c r="AF59" s="170">
        <f t="shared" ca="1" si="6"/>
        <v>0.16799382715382519</v>
      </c>
      <c r="AG59" s="170">
        <f t="shared" ca="1" si="7"/>
        <v>0.16799382715382519</v>
      </c>
      <c r="AH59" s="28" t="str" cm="1">
        <f t="array" aca="1" ref="AH59" ca="1">IF((AD59) &lt; (INDEX(ResponseSLA[#All],(MATCH((G59),ResponseSLA[Priority],0))+1,3)),"YES","No")</f>
        <v>YES</v>
      </c>
      <c r="AI59" s="28" t="str">
        <f ca="1">_xlfn.IFNA(IF(AE59 &lt; (INDEX(SLATable[Minimum SLA],MATCH(G59,SLATable[Priority],0))),"YES","NO"),"")</f>
        <v>YES</v>
      </c>
      <c r="AJ59" s="28" t="str">
        <f ca="1">_xlfn.IFNA(IF(AE59 &lt; (INDEX(SLATable[Maximum SLA],MATCH(G59,SLATable[Priority],0))),"YES","NO"),"")</f>
        <v>YES</v>
      </c>
    </row>
    <row r="60" spans="2:36" ht="15" customHeight="1">
      <c r="B60" s="127" t="s">
        <v>26</v>
      </c>
      <c r="C60" s="127" t="s">
        <v>35</v>
      </c>
      <c r="D60" s="127" t="s">
        <v>207</v>
      </c>
      <c r="E60" s="127" t="s">
        <v>1162</v>
      </c>
      <c r="F60" s="127" t="s">
        <v>289</v>
      </c>
      <c r="G60" s="127">
        <v>4</v>
      </c>
      <c r="H60" s="127" t="s">
        <v>1163</v>
      </c>
      <c r="I60" s="127" t="s">
        <v>271</v>
      </c>
      <c r="J60" s="127" t="s">
        <v>1120</v>
      </c>
      <c r="K60" s="129">
        <v>46149.533587962964</v>
      </c>
      <c r="L60" s="129">
        <v>46149.536736111113</v>
      </c>
      <c r="M60" s="129">
        <v>46150.292071759257</v>
      </c>
      <c r="N60" s="129">
        <v>46164.484155092592</v>
      </c>
      <c r="O60" s="129">
        <v>46156.483472222222</v>
      </c>
      <c r="P60" s="129">
        <v>46164.484155092592</v>
      </c>
      <c r="Q60" s="127" t="s">
        <v>1164</v>
      </c>
      <c r="R60" s="127" t="s">
        <v>267</v>
      </c>
      <c r="S60" s="127" t="s">
        <v>190</v>
      </c>
      <c r="T60" s="127"/>
      <c r="U60" s="127" t="s">
        <v>371</v>
      </c>
      <c r="V60" s="127"/>
      <c r="W60" s="127"/>
      <c r="X60" s="127"/>
      <c r="Y60" s="127"/>
      <c r="Z60" s="169">
        <f t="shared" ca="1" si="1"/>
        <v>1.8248842592583974</v>
      </c>
      <c r="AA60" s="170">
        <f t="shared" ca="1" si="2"/>
        <v>4.8663580246890596</v>
      </c>
      <c r="AB60" s="169">
        <f t="shared" ca="1" si="3"/>
        <v>1.8217361111092036</v>
      </c>
      <c r="AC60" s="170">
        <f t="shared" ca="1" si="4"/>
        <v>4.8579629629578767</v>
      </c>
      <c r="AD60" s="169">
        <f t="shared" ca="1" si="5"/>
        <v>0.17159722222034668</v>
      </c>
      <c r="AE60" s="169">
        <f t="shared" ca="1" si="0"/>
        <v>1.8217361111092036</v>
      </c>
      <c r="AF60" s="170">
        <f t="shared" ca="1" si="6"/>
        <v>4.8579629629578767</v>
      </c>
      <c r="AG60" s="170">
        <f t="shared" ca="1" si="7"/>
        <v>4.8579629629578767</v>
      </c>
      <c r="AH60" s="28" t="str" cm="1">
        <f t="array" aca="1" ref="AH60" ca="1">IF((AD60) &lt; (INDEX(ResponseSLA[#All],(MATCH((G60),ResponseSLA[Priority],0))+1,3)),"YES","No")</f>
        <v>No</v>
      </c>
      <c r="AI60" s="28" t="str">
        <f ca="1">_xlfn.IFNA(IF(AE60 &lt; (INDEX(SLATable[Minimum SLA],MATCH(G60,SLATable[Priority],0))),"YES","NO"),"")</f>
        <v>YES</v>
      </c>
      <c r="AJ60" s="28" t="str">
        <f ca="1">_xlfn.IFNA(IF(AE60 &lt; (INDEX(SLATable[Maximum SLA],MATCH(G60,SLATable[Priority],0))),"YES","NO"),"")</f>
        <v>YES</v>
      </c>
    </row>
    <row r="61" spans="2:36" ht="15" customHeight="1">
      <c r="B61" s="127" t="s">
        <v>26</v>
      </c>
      <c r="C61" s="127" t="s">
        <v>35</v>
      </c>
      <c r="D61" s="127" t="s">
        <v>207</v>
      </c>
      <c r="E61" s="127" t="s">
        <v>1165</v>
      </c>
      <c r="F61" s="127" t="s">
        <v>295</v>
      </c>
      <c r="G61" s="127">
        <v>4</v>
      </c>
      <c r="H61" s="127" t="s">
        <v>1166</v>
      </c>
      <c r="I61" s="127" t="s">
        <v>271</v>
      </c>
      <c r="J61" s="127" t="s">
        <v>1120</v>
      </c>
      <c r="K61" s="129">
        <v>46162.063171296293</v>
      </c>
      <c r="L61" s="129">
        <v>46163.432870370372</v>
      </c>
      <c r="M61" s="129">
        <v>46164.291342592594</v>
      </c>
      <c r="N61" s="129">
        <v>46166.471458333333</v>
      </c>
      <c r="O61" s="129"/>
      <c r="P61" s="129"/>
      <c r="Q61" s="127" t="s">
        <v>695</v>
      </c>
      <c r="R61" s="127" t="s">
        <v>267</v>
      </c>
      <c r="S61" s="127" t="s">
        <v>193</v>
      </c>
      <c r="T61" s="127"/>
      <c r="U61" s="127" t="s">
        <v>371</v>
      </c>
      <c r="V61" s="127"/>
      <c r="W61" s="127"/>
      <c r="X61" s="127"/>
      <c r="Y61" s="127"/>
      <c r="Z61" s="169">
        <f t="shared" ca="1" si="1"/>
        <v>0.75000000000000022</v>
      </c>
      <c r="AA61" s="170">
        <f t="shared" ca="1" si="2"/>
        <v>2.0000000000000009</v>
      </c>
      <c r="AB61" s="169">
        <f t="shared" ca="1" si="3"/>
        <v>0.27546296296107664</v>
      </c>
      <c r="AC61" s="170">
        <f t="shared" ca="1" si="4"/>
        <v>0.73456790122953775</v>
      </c>
      <c r="AD61" s="169">
        <f t="shared" ca="1" si="5"/>
        <v>0.27546296296107664</v>
      </c>
      <c r="AE61" s="169">
        <f t="shared" ca="1" si="0"/>
        <v>0.27546296296107664</v>
      </c>
      <c r="AF61" s="170">
        <f t="shared" ca="1" si="6"/>
        <v>0.73456790122953775</v>
      </c>
      <c r="AG61" s="170">
        <f t="shared" ca="1" si="7"/>
        <v>0.73456790122953775</v>
      </c>
      <c r="AH61" s="28" t="str" cm="1">
        <f t="array" aca="1" ref="AH61" ca="1">IF((AD61) &lt; (INDEX(ResponseSLA[#All],(MATCH((G61),ResponseSLA[Priority],0))+1,3)),"YES","No")</f>
        <v>No</v>
      </c>
      <c r="AI61" s="28" t="str">
        <f ca="1">_xlfn.IFNA(IF(AE61 &lt; (INDEX(SLATable[Minimum SLA],MATCH(G61,SLATable[Priority],0))),"YES","NO"),"")</f>
        <v>YES</v>
      </c>
      <c r="AJ61" s="28" t="str">
        <f ca="1">_xlfn.IFNA(IF(AE61 &lt; (INDEX(SLATable[Maximum SLA],MATCH(G61,SLATable[Priority],0))),"YES","NO"),"")</f>
        <v>YES</v>
      </c>
    </row>
    <row r="62" spans="2:36" ht="15" customHeight="1">
      <c r="B62" s="127" t="s">
        <v>26</v>
      </c>
      <c r="C62" s="127" t="s">
        <v>35</v>
      </c>
      <c r="D62" s="127" t="s">
        <v>207</v>
      </c>
      <c r="E62" s="127" t="s">
        <v>1167</v>
      </c>
      <c r="F62" s="127" t="s">
        <v>295</v>
      </c>
      <c r="G62" s="127">
        <v>4</v>
      </c>
      <c r="H62" s="127" t="s">
        <v>1168</v>
      </c>
      <c r="I62" s="127" t="s">
        <v>271</v>
      </c>
      <c r="J62" s="127" t="s">
        <v>1120</v>
      </c>
      <c r="K62" s="129">
        <v>46162.042326388888</v>
      </c>
      <c r="L62" s="129">
        <v>46163.53696759259</v>
      </c>
      <c r="M62" s="129">
        <v>46164.291365740741</v>
      </c>
      <c r="N62" s="129">
        <v>46166.47084490741</v>
      </c>
      <c r="O62" s="129"/>
      <c r="P62" s="129"/>
      <c r="Q62" s="127" t="s">
        <v>695</v>
      </c>
      <c r="R62" s="127" t="s">
        <v>267</v>
      </c>
      <c r="S62" s="127" t="s">
        <v>193</v>
      </c>
      <c r="T62" s="127"/>
      <c r="U62" s="127" t="s">
        <v>371</v>
      </c>
      <c r="V62" s="127"/>
      <c r="W62" s="127"/>
      <c r="X62" s="127"/>
      <c r="Y62" s="127"/>
      <c r="Z62" s="169">
        <f t="shared" ca="1" si="1"/>
        <v>0.75000000000000022</v>
      </c>
      <c r="AA62" s="170">
        <f t="shared" ca="1" si="2"/>
        <v>2.0000000000000009</v>
      </c>
      <c r="AB62" s="169">
        <f t="shared" ca="1" si="3"/>
        <v>0.17136574074296129</v>
      </c>
      <c r="AC62" s="170">
        <f t="shared" ca="1" si="4"/>
        <v>0.45697530864789676</v>
      </c>
      <c r="AD62" s="169">
        <f t="shared" ca="1" si="5"/>
        <v>0.17136574074296129</v>
      </c>
      <c r="AE62" s="169">
        <f t="shared" ca="1" si="0"/>
        <v>0.17136574074296129</v>
      </c>
      <c r="AF62" s="170">
        <f t="shared" ca="1" si="6"/>
        <v>0.45697530864789676</v>
      </c>
      <c r="AG62" s="170">
        <f t="shared" ca="1" si="7"/>
        <v>0.45697530864789676</v>
      </c>
      <c r="AH62" s="28" t="str" cm="1">
        <f t="array" aca="1" ref="AH62" ca="1">IF((AD62) &lt; (INDEX(ResponseSLA[#All],(MATCH((G62),ResponseSLA[Priority],0))+1,3)),"YES","No")</f>
        <v>No</v>
      </c>
      <c r="AI62" s="28" t="str">
        <f ca="1">_xlfn.IFNA(IF(AE62 &lt; (INDEX(SLATable[Minimum SLA],MATCH(G62,SLATable[Priority],0))),"YES","NO"),"")</f>
        <v>YES</v>
      </c>
      <c r="AJ62" s="28" t="str">
        <f ca="1">_xlfn.IFNA(IF(AE62 &lt; (INDEX(SLATable[Maximum SLA],MATCH(G62,SLATable[Priority],0))),"YES","NO"),"")</f>
        <v>YES</v>
      </c>
    </row>
    <row r="63" spans="2:36" ht="15" customHeight="1">
      <c r="B63" s="127" t="s">
        <v>26</v>
      </c>
      <c r="C63" s="127" t="s">
        <v>35</v>
      </c>
      <c r="D63" s="127" t="s">
        <v>207</v>
      </c>
      <c r="E63" s="127" t="s">
        <v>1169</v>
      </c>
      <c r="F63" s="127" t="s">
        <v>295</v>
      </c>
      <c r="G63" s="127">
        <v>4</v>
      </c>
      <c r="H63" s="127" t="s">
        <v>1170</v>
      </c>
      <c r="I63" s="127" t="s">
        <v>271</v>
      </c>
      <c r="J63" s="127" t="s">
        <v>1120</v>
      </c>
      <c r="K63" s="129">
        <v>46151.306319444448</v>
      </c>
      <c r="L63" s="129">
        <v>46156.609074074076</v>
      </c>
      <c r="M63" s="129">
        <v>46157.286145833335</v>
      </c>
      <c r="N63" s="129">
        <v>46167.364548611113</v>
      </c>
      <c r="O63" s="129">
        <v>46164.456574074073</v>
      </c>
      <c r="P63" s="129">
        <v>46167.364548611113</v>
      </c>
      <c r="Q63" s="127" t="s">
        <v>1057</v>
      </c>
      <c r="R63" s="127" t="s">
        <v>267</v>
      </c>
      <c r="S63" s="127" t="s">
        <v>190</v>
      </c>
      <c r="T63" s="127"/>
      <c r="U63" s="127" t="s">
        <v>371</v>
      </c>
      <c r="V63" s="127"/>
      <c r="W63" s="127"/>
      <c r="X63" s="127"/>
      <c r="Y63" s="127"/>
      <c r="Z63" s="169">
        <f t="shared" ca="1" si="1"/>
        <v>3.4982407407393721</v>
      </c>
      <c r="AA63" s="170">
        <f t="shared" ca="1" si="2"/>
        <v>9.3286419753049916</v>
      </c>
      <c r="AB63" s="169">
        <f t="shared" ca="1" si="3"/>
        <v>2.0974999999962169</v>
      </c>
      <c r="AC63" s="170">
        <f t="shared" ca="1" si="4"/>
        <v>5.5933333333232458</v>
      </c>
      <c r="AD63" s="169">
        <f t="shared" ca="1" si="5"/>
        <v>9.9259259256844756E-2</v>
      </c>
      <c r="AE63" s="169">
        <f t="shared" ca="1" si="0"/>
        <v>2.0974999999962169</v>
      </c>
      <c r="AF63" s="170">
        <f t="shared" ca="1" si="6"/>
        <v>5.5933333333232458</v>
      </c>
      <c r="AG63" s="170">
        <f t="shared" ca="1" si="7"/>
        <v>5.5933333333232458</v>
      </c>
      <c r="AH63" s="28" t="str" cm="1">
        <f t="array" aca="1" ref="AH63" ca="1">IF((AD63) &lt; (INDEX(ResponseSLA[#All],(MATCH((G63),ResponseSLA[Priority],0))+1,3)),"YES","No")</f>
        <v>YES</v>
      </c>
      <c r="AI63" s="28" t="str">
        <f ca="1">_xlfn.IFNA(IF(AE63 &lt; (INDEX(SLATable[Minimum SLA],MATCH(G63,SLATable[Priority],0))),"YES","NO"),"")</f>
        <v>YES</v>
      </c>
      <c r="AJ63" s="28" t="str">
        <f ca="1">_xlfn.IFNA(IF(AE63 &lt; (INDEX(SLATable[Maximum SLA],MATCH(G63,SLATable[Priority],0))),"YES","NO"),"")</f>
        <v>YES</v>
      </c>
    </row>
    <row r="64" spans="2:36" ht="15" customHeight="1">
      <c r="B64" s="127" t="s">
        <v>26</v>
      </c>
      <c r="C64" s="127" t="s">
        <v>35</v>
      </c>
      <c r="D64" s="127" t="s">
        <v>208</v>
      </c>
      <c r="E64" s="127" t="s">
        <v>1171</v>
      </c>
      <c r="F64" s="127" t="s">
        <v>295</v>
      </c>
      <c r="G64" s="127" t="s">
        <v>208</v>
      </c>
      <c r="H64" s="127" t="s">
        <v>1172</v>
      </c>
      <c r="I64" s="127" t="s">
        <v>271</v>
      </c>
      <c r="J64" s="127" t="s">
        <v>1120</v>
      </c>
      <c r="K64" s="129">
        <v>46147.432650462964</v>
      </c>
      <c r="L64" s="129">
        <v>46148.552199074074</v>
      </c>
      <c r="M64" s="129">
        <v>46148.592037037037</v>
      </c>
      <c r="N64" s="129">
        <v>46161.292060185187</v>
      </c>
      <c r="O64" s="129">
        <v>46149.354884259257</v>
      </c>
      <c r="P64" s="129">
        <v>46161.292060185187</v>
      </c>
      <c r="Q64" s="127" t="s">
        <v>1113</v>
      </c>
      <c r="R64" s="127" t="s">
        <v>267</v>
      </c>
      <c r="S64" s="127" t="s">
        <v>139</v>
      </c>
      <c r="T64" s="127"/>
      <c r="U64" s="127" t="s">
        <v>371</v>
      </c>
      <c r="V64" s="127"/>
      <c r="W64" s="127"/>
      <c r="X64" s="127"/>
      <c r="Y64" s="127"/>
      <c r="Z64" s="169">
        <f t="shared" ca="1" si="1"/>
        <v>0.67223379629285773</v>
      </c>
      <c r="AA64" s="170">
        <f t="shared" ca="1" si="2"/>
        <v>1.792623456780954</v>
      </c>
      <c r="AB64" s="169">
        <f t="shared" ca="1" si="3"/>
        <v>0.17768518518278142</v>
      </c>
      <c r="AC64" s="170">
        <f t="shared" ca="1" si="4"/>
        <v>0.47382716048741713</v>
      </c>
      <c r="AD64" s="169">
        <f t="shared" ca="1" si="5"/>
        <v>3.983796296233777E-2</v>
      </c>
      <c r="AE64" s="169">
        <f t="shared" ca="1" si="0"/>
        <v>0.17768518518278142</v>
      </c>
      <c r="AF64" s="170">
        <f t="shared" ca="1" si="6"/>
        <v>0.47382716048741713</v>
      </c>
      <c r="AG64" s="170">
        <f t="shared" ca="1" si="7"/>
        <v>0.47382716048741713</v>
      </c>
      <c r="AH64" s="28" t="str" cm="1">
        <f t="array" aca="1" ref="AH64" ca="1">IF((AD64) &lt; (INDEX(ResponseSLA[#All],(MATCH((G64),ResponseSLA[Priority],0))+1,3)),"YES","No")</f>
        <v>YES</v>
      </c>
      <c r="AI64" s="28" t="str">
        <f ca="1">_xlfn.IFNA(IF(AE64 &lt; (INDEX(SLATable[Minimum SLA],MATCH(G64,SLATable[Priority],0))),"YES","NO"),"")</f>
        <v>YES</v>
      </c>
      <c r="AJ64" s="28" t="str">
        <f ca="1">_xlfn.IFNA(IF(AE64 &lt; (INDEX(SLATable[Maximum SLA],MATCH(G64,SLATable[Priority],0))),"YES","NO"),"")</f>
        <v>YES</v>
      </c>
    </row>
    <row r="65" spans="2:36" ht="15" customHeight="1">
      <c r="B65" s="127" t="s">
        <v>26</v>
      </c>
      <c r="C65" s="127" t="s">
        <v>35</v>
      </c>
      <c r="D65" s="127" t="s">
        <v>208</v>
      </c>
      <c r="E65" s="127" t="s">
        <v>1173</v>
      </c>
      <c r="F65" s="127" t="s">
        <v>289</v>
      </c>
      <c r="G65" s="127" t="s">
        <v>208</v>
      </c>
      <c r="H65" s="127" t="s">
        <v>1174</v>
      </c>
      <c r="I65" s="127" t="s">
        <v>1175</v>
      </c>
      <c r="J65" s="127" t="s">
        <v>1120</v>
      </c>
      <c r="K65" s="129">
        <v>46151.380810185183</v>
      </c>
      <c r="L65" s="129">
        <v>46167.509953703702</v>
      </c>
      <c r="M65" s="129">
        <v>46168.30978009259</v>
      </c>
      <c r="N65" s="129"/>
      <c r="O65" s="129"/>
      <c r="P65" s="129"/>
      <c r="Q65" s="127" t="s">
        <v>1068</v>
      </c>
      <c r="R65" s="127"/>
      <c r="S65" s="127"/>
      <c r="T65" s="127"/>
      <c r="U65" s="127" t="s">
        <v>371</v>
      </c>
      <c r="V65" s="127"/>
      <c r="W65" s="127"/>
      <c r="X65" s="127"/>
      <c r="Y65" s="127"/>
      <c r="Z65" s="169">
        <f t="shared" ca="1" si="1"/>
        <v>28.425640740739865</v>
      </c>
      <c r="AA65" s="170">
        <f t="shared" ca="1" si="2"/>
        <v>75.801708641972979</v>
      </c>
      <c r="AB65" s="169">
        <f t="shared" ca="1" si="3"/>
        <v>24.675640740739865</v>
      </c>
      <c r="AC65" s="170">
        <f t="shared" ca="1" si="4"/>
        <v>65.801708641972979</v>
      </c>
      <c r="AD65" s="169">
        <f t="shared" ca="1" si="5"/>
        <v>0</v>
      </c>
      <c r="AE65" s="169">
        <f t="shared" ca="1" si="0"/>
        <v>24.675640740739865</v>
      </c>
      <c r="AF65" s="170">
        <f t="shared" ca="1" si="6"/>
        <v>65.801708641972979</v>
      </c>
      <c r="AG65" s="170">
        <f t="shared" ca="1" si="7"/>
        <v>65.801708641972979</v>
      </c>
      <c r="AH65" s="28" t="str" cm="1">
        <f t="array" aca="1" ref="AH65" ca="1">IF((AD65) &lt; (INDEX(ResponseSLA[#All],(MATCH((G65),ResponseSLA[Priority],0))+1,3)),"YES","No")</f>
        <v>YES</v>
      </c>
      <c r="AI65" s="28" t="str">
        <f ca="1">_xlfn.IFNA(IF(AE65 &lt; (INDEX(SLATable[Minimum SLA],MATCH(G65,SLATable[Priority],0))),"YES","NO"),"")</f>
        <v>NO</v>
      </c>
      <c r="AJ65" s="28" t="str">
        <f ca="1">_xlfn.IFNA(IF(AE65 &lt; (INDEX(SLATable[Maximum SLA],MATCH(G65,SLATable[Priority],0))),"YES","NO"),"")</f>
        <v>NO</v>
      </c>
    </row>
    <row r="66" spans="2:36" ht="15" customHeight="1">
      <c r="B66" s="127" t="s">
        <v>26</v>
      </c>
      <c r="C66" s="127" t="s">
        <v>35</v>
      </c>
      <c r="D66" s="127" t="s">
        <v>208</v>
      </c>
      <c r="E66" s="127" t="s">
        <v>1176</v>
      </c>
      <c r="F66" s="127" t="s">
        <v>289</v>
      </c>
      <c r="G66" s="127" t="s">
        <v>208</v>
      </c>
      <c r="H66" s="127" t="s">
        <v>1177</v>
      </c>
      <c r="I66" s="127" t="s">
        <v>1175</v>
      </c>
      <c r="J66" s="127" t="s">
        <v>1120</v>
      </c>
      <c r="K66" s="129">
        <v>46167.506284722222</v>
      </c>
      <c r="L66" s="129">
        <v>46167.506469907406</v>
      </c>
      <c r="M66" s="129">
        <v>46168.341053240743</v>
      </c>
      <c r="N66" s="129"/>
      <c r="O66" s="129"/>
      <c r="P66" s="129"/>
      <c r="Q66" s="127" t="s">
        <v>1062</v>
      </c>
      <c r="R66" s="127"/>
      <c r="S66" s="127"/>
      <c r="T66" s="127"/>
      <c r="U66" s="127" t="s">
        <v>371</v>
      </c>
      <c r="V66" s="127"/>
      <c r="W66" s="127"/>
      <c r="X66" s="127"/>
      <c r="Y66" s="127"/>
      <c r="Z66" s="169">
        <f t="shared" ca="1" si="1"/>
        <v>24.675640740739865</v>
      </c>
      <c r="AA66" s="170">
        <f t="shared" ca="1" si="2"/>
        <v>65.801708641972979</v>
      </c>
      <c r="AB66" s="169">
        <f t="shared" ca="1" si="3"/>
        <v>24.675640740739865</v>
      </c>
      <c r="AC66" s="170">
        <f t="shared" ca="1" si="4"/>
        <v>65.801708641972979</v>
      </c>
      <c r="AD66" s="169">
        <f t="shared" ca="1" si="5"/>
        <v>0</v>
      </c>
      <c r="AE66" s="169">
        <f t="shared" ref="AE66:AE129" ca="1" si="8">SUMIFS(AB:AB,E:E,E66)</f>
        <v>24.675640740739865</v>
      </c>
      <c r="AF66" s="170">
        <f t="shared" ca="1" si="6"/>
        <v>65.801708641972979</v>
      </c>
      <c r="AG66" s="170">
        <f t="shared" ca="1" si="7"/>
        <v>65.801708641972979</v>
      </c>
      <c r="AH66" s="28" t="str" cm="1">
        <f t="array" aca="1" ref="AH66" ca="1">IF((AD66) &lt; (INDEX(ResponseSLA[#All],(MATCH((G66),ResponseSLA[Priority],0))+1,3)),"YES","No")</f>
        <v>YES</v>
      </c>
      <c r="AI66" s="28" t="str">
        <f ca="1">_xlfn.IFNA(IF(AE66 &lt; (INDEX(SLATable[Minimum SLA],MATCH(G66,SLATable[Priority],0))),"YES","NO"),"")</f>
        <v>NO</v>
      </c>
      <c r="AJ66" s="28" t="str">
        <f ca="1">_xlfn.IFNA(IF(AE66 &lt; (INDEX(SLATable[Maximum SLA],MATCH(G66,SLATable[Priority],0))),"YES","NO"),"")</f>
        <v>NO</v>
      </c>
    </row>
    <row r="67" spans="2:36" ht="15" customHeight="1">
      <c r="B67" s="127" t="s">
        <v>26</v>
      </c>
      <c r="C67" s="127" t="s">
        <v>35</v>
      </c>
      <c r="D67" s="127" t="s">
        <v>208</v>
      </c>
      <c r="E67" s="127" t="s">
        <v>1178</v>
      </c>
      <c r="F67" s="127" t="s">
        <v>289</v>
      </c>
      <c r="G67" s="127" t="s">
        <v>208</v>
      </c>
      <c r="H67" s="127" t="s">
        <v>1179</v>
      </c>
      <c r="I67" s="127" t="s">
        <v>271</v>
      </c>
      <c r="J67" s="127" t="s">
        <v>1048</v>
      </c>
      <c r="K67" s="129">
        <v>46133.212083333332</v>
      </c>
      <c r="L67" s="129">
        <v>46134.323148148149</v>
      </c>
      <c r="M67" s="129">
        <v>46134.466828703706</v>
      </c>
      <c r="N67" s="129">
        <v>46147.426782407405</v>
      </c>
      <c r="O67" s="129"/>
      <c r="P67" s="129"/>
      <c r="Q67" s="127" t="s">
        <v>695</v>
      </c>
      <c r="R67" s="127" t="s">
        <v>267</v>
      </c>
      <c r="S67" s="127" t="s">
        <v>167</v>
      </c>
      <c r="T67" s="127"/>
      <c r="U67" s="127" t="s">
        <v>371</v>
      </c>
      <c r="V67" s="127"/>
      <c r="W67" s="127"/>
      <c r="X67" s="127"/>
      <c r="Y67" s="127"/>
      <c r="Z67" s="169">
        <f t="shared" ref="Z67:Z130" ca="1" si="9">IF(NOT(OR(G67=1,G67=2)),MAX(0,_xlfn.IFS(AND(K67&lt;&gt;"",N67&lt;&gt;""),((MAX(NETWORKDAYS(K67,N67,UKBankHolidays)-1,0))*(TIME(17,0,0)-TIME(8,0,0))+IF(NETWORKDAYS(N67,N67,UKBankHolidays)&gt;0,MEDIAN(TIME(8,0,0),MOD(N67,1),TIME(17,0,0)),TIME(8,0,0))-IF(NETWORKDAYS(K67,K67,UKBankHolidays)&gt;0,MEDIAN(TIME(8,0,0),MOD(K67,1),TIME(17,0,0)),TIME(8,0,0)))-IF(AND(O67&lt;&gt;"",P67&lt;&gt;""),((MAX(NETWORKDAYS(O67,P67,UKBankHolidays)-1,0))*(TIME(17,0,0)-TIME(8,0,0))+IF(NETWORKDAYS(P67,P67,UKBankHolidays)&gt;0,MEDIAN(TIME(8,0,0),MOD(P67,1),TIME(17,0,0)),TIME(8,0,0))-IF(NETWORKDAYS(O67,O67,UKBankHolidays)&gt;0,MEDIAN(TIME(8,0,0),MOD(O67,1),TIME(17,0,0)),TIME(8,0,0))),0),AND(K67&lt;&gt;"",N67=""),((MAX(NETWORKDAYS(K67,NOW(),UKBankHolidays)-1,0))*(TIME(17,0,0)-TIME(8,0,0))+IF(NETWORKDAYS(NOW(),NOW(),UKBankHolidays)&gt;0,MEDIAN(TIME(8,0,0),MOD(NOW(),1),TIME(17,0,0)),TIME(8,0,0))-IF(NETWORKDAYS(K67,K67,UKBankHolidays)&gt;0,MEDIAN(TIME(8,0,0),MOD(K67,1),TIME(17,0,0)),TIME(8,0,0))))),IF(N67="",NOW()-K67,N67-K67))</f>
        <v>3.0934490740716383</v>
      </c>
      <c r="AA67" s="170">
        <f t="shared" ref="AA67:AA130" ca="1" si="10">(Z67*24)/9</f>
        <v>8.2491975308577015</v>
      </c>
      <c r="AB67" s="169">
        <f t="shared" ref="AB67:AB130" ca="1" si="11">IF(NOT(OR(G67=1,G67=2)),MAX(0,_xlfn.IFS(AND(K67&lt;&gt;"",N67&lt;&gt;""),(((MAX(NETWORKDAYS(L67,N67,UKBankHolidays)-1,0))*(TIME(17,0,0)-TIME(8,0,0)))+IF(NETWORKDAYS(N67,N67,UKBankHolidays)&gt;0,MEDIAN(TIME(8,0,0),MOD(N67,1),TIME(17,0,0)),TIME(8,0,0))-IF(NETWORKDAYS(L67,L67,UKBankHolidays)&gt;0,MEDIAN(TIME(8,0,0),MOD(L67,1),TIME(17,0,0)),TIME(8,0,0)))-IF(AND(O67&lt;&gt;"",P67&lt;&gt;""),(((MAX(NETWORKDAYS(O67,P67,UKBankHolidays)-1,0))*(TIME(17,0,0)-TIME(8,0,0)))+IF(NETWORKDAYS(P67,P67,UKBankHolidays)&gt;0,MEDIAN(TIME(8,0,0),MOD(P67,1),TIME(17,0,0)),TIME(8,0,0))-IF(NETWORKDAYS(O67,O67,UKBankHolidays)&gt;0,MEDIAN(TIME(8,0,0),MOD(O67,1),TIME(17,0,0)),TIME(8,0,0))),0),AND(L67&lt;&gt;"",N67="",O67=""),(((MAX(NETWORKDAYS(L67,NOW(),UKBankHolidays)-1,0))*(TIME(17,0,0)-TIME(8,0,0)))+IF(NETWORKDAYS(NOW(),NOW(),UKBankHolidays)&gt;0,MEDIAN(TIME(8,0,0),MOD(NOW(),1),TIME(17,0,0)),TIME(8,0,0))-IF(NETWORKDAYS(L67,L67,UKBankHolidays)&gt;0,MEDIAN(TIME(8,0,0),MOD(L67,1),TIME(17,0,0)),TIME(8,0,0)))-IF(AND(O67&lt;&gt;"",P67&lt;&gt;""),(((MAX(NETWORKDAYS(O67,P67,UKBankHolidays)-1,0))*(TIME(17,0,0)-TIME(8,0,0)))+IF(NETWORKDAYS(P67,P67,UKBankHolidays)&gt;0,MEDIAN(TIME(8,0,0),MOD(P67,1),TIME(17,0,0)),TIME(8,0,0))-IF(NETWORKDAYS(O67,O67,UKBankHolidays)&gt;0,MEDIAN(TIME(8,0,0),MOD(O67,1),TIME(17,0,0)),TIME(8,0,0))),0),AND(L67&lt;&gt;"",N67="",P67="",O67&lt;&gt;""),(((MAX(NETWORKDAYS(L67,O67,UKBankHolidays)-1,0))*(TIME(17,0,0)-TIME(8,0,0)))+IF(NETWORKDAYS(O67,O67,UKBankHolidays)&gt;0,MEDIAN(TIME(8,0,0),MOD(O67,1),TIME(17,0,0)),TIME(8,0,0))-IF(NETWORKDAYS(L67,L67,UKBankHolidays)&gt;0,MEDIAN(TIME(8,0,0),MOD(L67,1),TIME(17,0,0)),TIME(8,0,0))),ISBLANK(K67),"0")),IF(ISBLANK(N67),NOW()-L67,N67-L67))</f>
        <v>2.7184490740716383</v>
      </c>
      <c r="AC67" s="170">
        <f t="shared" ref="AC67:AC130" ca="1" si="12">(AB67*24)/9</f>
        <v>7.2491975308577015</v>
      </c>
      <c r="AD67" s="169">
        <f t="shared" ref="AD67:AD130" ca="1" si="13">MAX(0,IF(NOT(OR(G67=1,G67=2)),IF(M67&lt;&gt;"",((MAX(NETWORKDAYS(L67,M67,UKBankHolidays)-1,0))*(TIME(17,0,0)-TIME(8,0,0))+IF(NETWORKDAYS(M67,M67,UKBankHolidays)&gt;0,MEDIAN(TIME(8,0,0),MOD(M67,1),TIME(17,0,0)),TIME(8,0,0))-MEDIAN(TIME(8,0,0),MOD(L67,1),TIME(17,0,0))),((MAX(NETWORKDAYS(L67,NOW(),UKBankHolidays)-1,0))*(TIME(17,0,0)-TIME(8,0,0))+IF(NETWORKDAYS(NOW(),NOW(),UKBankHolidays)&gt;0,MEDIAN(TIME(8,0,0),MOD(NOW(),1),TIME(17,0,0)),TIME(8,0,0))-MEDIAN(TIME(8,0,0),MOD(L67,1),TIME(17,0,0)))),IF(M67&lt;&gt;"",M67-L67,NOW()-L67)))</f>
        <v>0.13349537037235376</v>
      </c>
      <c r="AE67" s="169">
        <f t="shared" ca="1" si="8"/>
        <v>2.7184490740716383</v>
      </c>
      <c r="AF67" s="170">
        <f t="shared" ref="AF67:AF130" ca="1" si="14">(AE67*24)/9</f>
        <v>7.2491975308577015</v>
      </c>
      <c r="AG67" s="170">
        <f t="shared" ref="AG67:AG130" ca="1" si="15">AF67</f>
        <v>7.2491975308577015</v>
      </c>
      <c r="AH67" s="28" t="str" cm="1">
        <f t="array" aca="1" ref="AH67" ca="1">IF((AD67) &lt; (INDEX(ResponseSLA[#All],(MATCH((G67),ResponseSLA[Priority],0))+1,3)),"YES","No")</f>
        <v>YES</v>
      </c>
      <c r="AI67" s="28" t="str">
        <f ca="1">_xlfn.IFNA(IF(AE67 &lt; (INDEX(SLATable[Minimum SLA],MATCH(G67,SLATable[Priority],0))),"YES","NO"),"")</f>
        <v>NO</v>
      </c>
      <c r="AJ67" s="28" t="str">
        <f ca="1">_xlfn.IFNA(IF(AE67 &lt; (INDEX(SLATable[Maximum SLA],MATCH(G67,SLATable[Priority],0))),"YES","NO"),"")</f>
        <v>NO</v>
      </c>
    </row>
    <row r="68" spans="2:36" ht="15" customHeight="1">
      <c r="B68" s="127" t="s">
        <v>26</v>
      </c>
      <c r="C68" s="127" t="s">
        <v>35</v>
      </c>
      <c r="D68" s="127" t="s">
        <v>208</v>
      </c>
      <c r="E68" s="127" t="s">
        <v>1180</v>
      </c>
      <c r="F68" s="127" t="s">
        <v>289</v>
      </c>
      <c r="G68" s="127" t="s">
        <v>208</v>
      </c>
      <c r="H68" s="127" t="s">
        <v>1181</v>
      </c>
      <c r="I68" s="127" t="s">
        <v>271</v>
      </c>
      <c r="J68" s="127" t="s">
        <v>1092</v>
      </c>
      <c r="K68" s="129">
        <v>46146.259027777778</v>
      </c>
      <c r="L68" s="129">
        <v>46146.259027777778</v>
      </c>
      <c r="M68" s="129">
        <v>46148.438969907409</v>
      </c>
      <c r="N68" s="129">
        <v>46148.510659722226</v>
      </c>
      <c r="O68" s="129"/>
      <c r="P68" s="129">
        <v>46148.510659722226</v>
      </c>
      <c r="Q68" s="127" t="s">
        <v>1068</v>
      </c>
      <c r="R68" s="127" t="s">
        <v>267</v>
      </c>
      <c r="S68" s="127" t="s">
        <v>179</v>
      </c>
      <c r="T68" s="127"/>
      <c r="U68" s="127" t="s">
        <v>371</v>
      </c>
      <c r="V68" s="127"/>
      <c r="W68" s="127"/>
      <c r="X68" s="127"/>
      <c r="Y68" s="127"/>
      <c r="Z68" s="169">
        <f t="shared" ca="1" si="9"/>
        <v>0.55232638889234908</v>
      </c>
      <c r="AA68" s="170">
        <f t="shared" ca="1" si="10"/>
        <v>1.4728703703795976</v>
      </c>
      <c r="AB68" s="169">
        <f t="shared" ca="1" si="11"/>
        <v>0.55232638889234908</v>
      </c>
      <c r="AC68" s="170">
        <f t="shared" ca="1" si="12"/>
        <v>1.4728703703795976</v>
      </c>
      <c r="AD68" s="169">
        <f t="shared" ca="1" si="13"/>
        <v>0.48063657407571253</v>
      </c>
      <c r="AE68" s="169">
        <f t="shared" ca="1" si="8"/>
        <v>0.55232638889234908</v>
      </c>
      <c r="AF68" s="170">
        <f t="shared" ca="1" si="14"/>
        <v>1.4728703703795976</v>
      </c>
      <c r="AG68" s="170">
        <f t="shared" ca="1" si="15"/>
        <v>1.4728703703795976</v>
      </c>
      <c r="AH68" s="28" t="str" cm="1">
        <f t="array" aca="1" ref="AH68" ca="1">IF((AD68) &lt; (INDEX(ResponseSLA[#All],(MATCH((G68),ResponseSLA[Priority],0))+1,3)),"YES","No")</f>
        <v>No</v>
      </c>
      <c r="AI68" s="28" t="str">
        <f ca="1">_xlfn.IFNA(IF(AE68 &lt; (INDEX(SLATable[Minimum SLA],MATCH(G68,SLATable[Priority],0))),"YES","NO"),"")</f>
        <v>YES</v>
      </c>
      <c r="AJ68" s="28" t="str">
        <f ca="1">_xlfn.IFNA(IF(AE68 &lt; (INDEX(SLATable[Maximum SLA],MATCH(G68,SLATable[Priority],0))),"YES","NO"),"")</f>
        <v>YES</v>
      </c>
    </row>
    <row r="69" spans="2:36" ht="15" customHeight="1">
      <c r="B69" s="127" t="s">
        <v>26</v>
      </c>
      <c r="C69" s="127" t="s">
        <v>35</v>
      </c>
      <c r="D69" s="127" t="s">
        <v>208</v>
      </c>
      <c r="E69" s="127" t="s">
        <v>1182</v>
      </c>
      <c r="F69" s="127" t="s">
        <v>289</v>
      </c>
      <c r="G69" s="127" t="s">
        <v>208</v>
      </c>
      <c r="H69" s="127" t="s">
        <v>1183</v>
      </c>
      <c r="I69" s="127" t="s">
        <v>271</v>
      </c>
      <c r="J69" s="127" t="s">
        <v>1092</v>
      </c>
      <c r="K69" s="129">
        <v>46146.260011574072</v>
      </c>
      <c r="L69" s="129">
        <v>46146.260011574072</v>
      </c>
      <c r="M69" s="129">
        <v>46148.438564814816</v>
      </c>
      <c r="N69" s="129">
        <v>46148.511562500003</v>
      </c>
      <c r="O69" s="129"/>
      <c r="P69" s="129">
        <v>46148.511562500003</v>
      </c>
      <c r="Q69" s="127" t="s">
        <v>1184</v>
      </c>
      <c r="R69" s="127" t="s">
        <v>267</v>
      </c>
      <c r="S69" s="127" t="s">
        <v>179</v>
      </c>
      <c r="T69" s="127"/>
      <c r="U69" s="127" t="s">
        <v>371</v>
      </c>
      <c r="V69" s="127"/>
      <c r="W69" s="127"/>
      <c r="X69" s="127"/>
      <c r="Y69" s="127"/>
      <c r="Z69" s="169">
        <f t="shared" ca="1" si="9"/>
        <v>0.5532291666701592</v>
      </c>
      <c r="AA69" s="170">
        <f t="shared" ca="1" si="10"/>
        <v>1.4752777777870911</v>
      </c>
      <c r="AB69" s="169">
        <f t="shared" ca="1" si="11"/>
        <v>0.5532291666701592</v>
      </c>
      <c r="AC69" s="170">
        <f t="shared" ca="1" si="12"/>
        <v>1.4752777777870911</v>
      </c>
      <c r="AD69" s="169">
        <f t="shared" ca="1" si="13"/>
        <v>0.48023148148301215</v>
      </c>
      <c r="AE69" s="169">
        <f t="shared" ca="1" si="8"/>
        <v>0.5532291666701592</v>
      </c>
      <c r="AF69" s="170">
        <f t="shared" ca="1" si="14"/>
        <v>1.4752777777870911</v>
      </c>
      <c r="AG69" s="170">
        <f t="shared" ca="1" si="15"/>
        <v>1.4752777777870911</v>
      </c>
      <c r="AH69" s="28" t="str" cm="1">
        <f t="array" aca="1" ref="AH69" ca="1">IF((AD69) &lt; (INDEX(ResponseSLA[#All],(MATCH((G69),ResponseSLA[Priority],0))+1,3)),"YES","No")</f>
        <v>No</v>
      </c>
      <c r="AI69" s="28" t="str">
        <f ca="1">_xlfn.IFNA(IF(AE69 &lt; (INDEX(SLATable[Minimum SLA],MATCH(G69,SLATable[Priority],0))),"YES","NO"),"")</f>
        <v>YES</v>
      </c>
      <c r="AJ69" s="28" t="str">
        <f ca="1">_xlfn.IFNA(IF(AE69 &lt; (INDEX(SLATable[Maximum SLA],MATCH(G69,SLATable[Priority],0))),"YES","NO"),"")</f>
        <v>YES</v>
      </c>
    </row>
    <row r="70" spans="2:36" ht="15" customHeight="1">
      <c r="B70" s="127" t="s">
        <v>26</v>
      </c>
      <c r="C70" s="127" t="s">
        <v>35</v>
      </c>
      <c r="D70" s="127" t="s">
        <v>208</v>
      </c>
      <c r="E70" s="127" t="s">
        <v>1185</v>
      </c>
      <c r="F70" s="127" t="s">
        <v>295</v>
      </c>
      <c r="G70" s="127" t="s">
        <v>208</v>
      </c>
      <c r="H70" s="127" t="s">
        <v>1186</v>
      </c>
      <c r="I70" s="127" t="s">
        <v>271</v>
      </c>
      <c r="J70" s="127" t="s">
        <v>1092</v>
      </c>
      <c r="K70" s="129">
        <v>46153.259675925925</v>
      </c>
      <c r="L70" s="129">
        <v>46153.259675925925</v>
      </c>
      <c r="M70" s="129">
        <v>46153.437384259261</v>
      </c>
      <c r="N70" s="129">
        <v>46154.441817129627</v>
      </c>
      <c r="O70" s="129"/>
      <c r="P70" s="129">
        <v>46154.441851851851</v>
      </c>
      <c r="Q70" s="127" t="s">
        <v>1187</v>
      </c>
      <c r="R70" s="127" t="s">
        <v>267</v>
      </c>
      <c r="S70" s="127" t="s">
        <v>179</v>
      </c>
      <c r="T70" s="127"/>
      <c r="U70" s="127" t="s">
        <v>371</v>
      </c>
      <c r="V70" s="127"/>
      <c r="W70" s="127"/>
      <c r="X70" s="127"/>
      <c r="Y70" s="127"/>
      <c r="Z70" s="169">
        <f t="shared" ca="1" si="9"/>
        <v>0.48348379629411892</v>
      </c>
      <c r="AA70" s="170">
        <f t="shared" ca="1" si="10"/>
        <v>1.2892901234509837</v>
      </c>
      <c r="AB70" s="169">
        <f t="shared" ca="1" si="11"/>
        <v>0.48348379629411892</v>
      </c>
      <c r="AC70" s="170">
        <f t="shared" ca="1" si="12"/>
        <v>1.2892901234509837</v>
      </c>
      <c r="AD70" s="169">
        <f t="shared" ca="1" si="13"/>
        <v>0.10405092592797399</v>
      </c>
      <c r="AE70" s="169">
        <f t="shared" ca="1" si="8"/>
        <v>0.48348379629411892</v>
      </c>
      <c r="AF70" s="170">
        <f t="shared" ca="1" si="14"/>
        <v>1.2892901234509837</v>
      </c>
      <c r="AG70" s="170">
        <f t="shared" ca="1" si="15"/>
        <v>1.2892901234509837</v>
      </c>
      <c r="AH70" s="28" t="str" cm="1">
        <f t="array" aca="1" ref="AH70" ca="1">IF((AD70) &lt; (INDEX(ResponseSLA[#All],(MATCH((G70),ResponseSLA[Priority],0))+1,3)),"YES","No")</f>
        <v>YES</v>
      </c>
      <c r="AI70" s="28" t="str">
        <f ca="1">_xlfn.IFNA(IF(AE70 &lt; (INDEX(SLATable[Minimum SLA],MATCH(G70,SLATable[Priority],0))),"YES","NO"),"")</f>
        <v>YES</v>
      </c>
      <c r="AJ70" s="28" t="str">
        <f ca="1">_xlfn.IFNA(IF(AE70 &lt; (INDEX(SLATable[Maximum SLA],MATCH(G70,SLATable[Priority],0))),"YES","NO"),"")</f>
        <v>YES</v>
      </c>
    </row>
    <row r="71" spans="2:36" ht="15" customHeight="1">
      <c r="B71" s="127" t="s">
        <v>26</v>
      </c>
      <c r="C71" s="127" t="s">
        <v>35</v>
      </c>
      <c r="D71" s="127" t="s">
        <v>207</v>
      </c>
      <c r="E71" s="127" t="s">
        <v>1188</v>
      </c>
      <c r="F71" s="128" t="s">
        <v>295</v>
      </c>
      <c r="G71" s="127">
        <v>3</v>
      </c>
      <c r="H71" s="127" t="s">
        <v>1189</v>
      </c>
      <c r="I71" s="127" t="s">
        <v>271</v>
      </c>
      <c r="J71" s="127" t="s">
        <v>1092</v>
      </c>
      <c r="K71" s="129">
        <v>46163.394259259258</v>
      </c>
      <c r="L71" s="129">
        <v>46163.394375000003</v>
      </c>
      <c r="M71" s="129">
        <v>46164.297418981485</v>
      </c>
      <c r="N71" s="129">
        <v>46169.71802083333</v>
      </c>
      <c r="O71" s="129">
        <v>46167.396990740737</v>
      </c>
      <c r="P71" s="129">
        <v>46168.868680555555</v>
      </c>
      <c r="Q71" s="127" t="s">
        <v>1113</v>
      </c>
      <c r="R71" s="127" t="s">
        <v>267</v>
      </c>
      <c r="S71" s="127" t="s">
        <v>190</v>
      </c>
      <c r="T71" s="127"/>
      <c r="U71" s="127" t="s">
        <v>371</v>
      </c>
      <c r="V71" s="127"/>
      <c r="W71" s="127"/>
      <c r="X71" s="127"/>
      <c r="Y71" s="127"/>
      <c r="Z71" s="169">
        <f t="shared" ca="1" si="9"/>
        <v>1.0640740740758097</v>
      </c>
      <c r="AA71" s="170">
        <f t="shared" ca="1" si="10"/>
        <v>2.8375308642021593</v>
      </c>
      <c r="AB71" s="169">
        <f t="shared" ca="1" si="11"/>
        <v>1.063958333329841</v>
      </c>
      <c r="AC71" s="170">
        <f t="shared" ca="1" si="12"/>
        <v>2.8372222222129095</v>
      </c>
      <c r="AD71" s="169">
        <f t="shared" ca="1" si="13"/>
        <v>0.31395833332984091</v>
      </c>
      <c r="AE71" s="169">
        <f t="shared" ca="1" si="8"/>
        <v>1.063958333329841</v>
      </c>
      <c r="AF71" s="170">
        <f t="shared" ca="1" si="14"/>
        <v>2.8372222222129095</v>
      </c>
      <c r="AG71" s="170">
        <f t="shared" ca="1" si="15"/>
        <v>2.8372222222129095</v>
      </c>
      <c r="AH71" s="28" t="str" cm="1">
        <f t="array" aca="1" ref="AH71" ca="1">IF((AD71) &lt; (INDEX(ResponseSLA[#All],(MATCH((G71),ResponseSLA[Priority],0))+1,3)),"YES","No")</f>
        <v>No</v>
      </c>
      <c r="AI71" s="28" t="str">
        <f ca="1">_xlfn.IFNA(IF(AE71 &lt; (INDEX(SLATable[Minimum SLA],MATCH(G71,SLATable[Priority],0))),"YES","NO"),"")</f>
        <v>NO</v>
      </c>
      <c r="AJ71" s="28" t="str">
        <f ca="1">_xlfn.IFNA(IF(AE71 &lt; (INDEX(SLATable[Maximum SLA],MATCH(G71,SLATable[Priority],0))),"YES","NO"),"")</f>
        <v>YES</v>
      </c>
    </row>
    <row r="72" spans="2:36" ht="15" customHeight="1">
      <c r="B72" s="127" t="s">
        <v>26</v>
      </c>
      <c r="C72" s="127" t="s">
        <v>35</v>
      </c>
      <c r="D72" s="127" t="s">
        <v>207</v>
      </c>
      <c r="E72" s="127" t="s">
        <v>1190</v>
      </c>
      <c r="F72" s="127" t="s">
        <v>289</v>
      </c>
      <c r="G72" s="127">
        <v>3</v>
      </c>
      <c r="H72" s="127" t="s">
        <v>1191</v>
      </c>
      <c r="I72" s="127" t="s">
        <v>271</v>
      </c>
      <c r="J72" s="127" t="s">
        <v>1092</v>
      </c>
      <c r="K72" s="129">
        <v>46161.283761574072</v>
      </c>
      <c r="L72" s="129">
        <v>46168.539872685185</v>
      </c>
      <c r="M72" s="129">
        <v>46169.360717592594</v>
      </c>
      <c r="N72" s="129">
        <v>46170.358124999999</v>
      </c>
      <c r="O72" s="129">
        <v>46170.336527777778</v>
      </c>
      <c r="P72" s="129">
        <v>46170.35560185185</v>
      </c>
      <c r="Q72" s="127" t="s">
        <v>1068</v>
      </c>
      <c r="R72" s="127" t="s">
        <v>267</v>
      </c>
      <c r="S72" s="127" t="s">
        <v>199</v>
      </c>
      <c r="T72" s="127"/>
      <c r="U72" s="127" t="s">
        <v>371</v>
      </c>
      <c r="V72" s="127"/>
      <c r="W72" s="127"/>
      <c r="X72" s="127"/>
      <c r="Y72" s="127"/>
      <c r="Z72" s="169">
        <f t="shared" ca="1" si="9"/>
        <v>2.2557175925927977</v>
      </c>
      <c r="AA72" s="170">
        <f t="shared" ca="1" si="10"/>
        <v>6.0152469135807936</v>
      </c>
      <c r="AB72" s="169">
        <f t="shared" ca="1" si="11"/>
        <v>0.54917824074072996</v>
      </c>
      <c r="AC72" s="170">
        <f t="shared" ca="1" si="12"/>
        <v>1.4644753086419466</v>
      </c>
      <c r="AD72" s="169">
        <f t="shared" ca="1" si="13"/>
        <v>0.19584490740817273</v>
      </c>
      <c r="AE72" s="169">
        <f t="shared" ca="1" si="8"/>
        <v>0.54917824074072996</v>
      </c>
      <c r="AF72" s="170">
        <f t="shared" ca="1" si="14"/>
        <v>1.4644753086419466</v>
      </c>
      <c r="AG72" s="170">
        <f t="shared" ca="1" si="15"/>
        <v>1.4644753086419466</v>
      </c>
      <c r="AH72" s="28" t="str" cm="1">
        <f t="array" aca="1" ref="AH72" ca="1">IF((AD72) &lt; (INDEX(ResponseSLA[#All],(MATCH((G72),ResponseSLA[Priority],0))+1,3)),"YES","No")</f>
        <v>No</v>
      </c>
      <c r="AI72" s="28" t="str">
        <f ca="1">_xlfn.IFNA(IF(AE72 &lt; (INDEX(SLATable[Minimum SLA],MATCH(G72,SLATable[Priority],0))),"YES","NO"),"")</f>
        <v>NO</v>
      </c>
      <c r="AJ72" s="28" t="str">
        <f ca="1">_xlfn.IFNA(IF(AE72 &lt; (INDEX(SLATable[Maximum SLA],MATCH(G72,SLATable[Priority],0))),"YES","NO"),"")</f>
        <v>YES</v>
      </c>
    </row>
    <row r="73" spans="2:36" ht="15" customHeight="1">
      <c r="B73" s="127" t="s">
        <v>26</v>
      </c>
      <c r="C73" s="127" t="s">
        <v>35</v>
      </c>
      <c r="D73" s="127" t="s">
        <v>207</v>
      </c>
      <c r="E73" s="127" t="s">
        <v>1192</v>
      </c>
      <c r="F73" s="127" t="s">
        <v>289</v>
      </c>
      <c r="G73" s="127">
        <v>4</v>
      </c>
      <c r="H73" s="127" t="s">
        <v>1193</v>
      </c>
      <c r="I73" s="127" t="s">
        <v>271</v>
      </c>
      <c r="J73" s="127" t="s">
        <v>1092</v>
      </c>
      <c r="K73" s="129">
        <v>46162.687465277777</v>
      </c>
      <c r="L73" s="129">
        <v>46162.687557870369</v>
      </c>
      <c r="M73" s="129">
        <v>46163.305462962962</v>
      </c>
      <c r="N73" s="129">
        <v>46171.425474537034</v>
      </c>
      <c r="O73" s="129">
        <v>46163.424814814818</v>
      </c>
      <c r="P73" s="129">
        <v>46171.425474537034</v>
      </c>
      <c r="Q73" s="127" t="s">
        <v>1098</v>
      </c>
      <c r="R73" s="127" t="s">
        <v>267</v>
      </c>
      <c r="S73" s="127" t="s">
        <v>137</v>
      </c>
      <c r="T73" s="127"/>
      <c r="U73" s="127" t="s">
        <v>371</v>
      </c>
      <c r="V73" s="127"/>
      <c r="W73" s="127"/>
      <c r="X73" s="127"/>
      <c r="Y73" s="127"/>
      <c r="Z73" s="169">
        <f t="shared" ca="1" si="9"/>
        <v>0.11234953704115513</v>
      </c>
      <c r="AA73" s="170">
        <f t="shared" ca="1" si="10"/>
        <v>0.29959876544308034</v>
      </c>
      <c r="AB73" s="169">
        <f t="shared" ca="1" si="11"/>
        <v>0.11225694444874579</v>
      </c>
      <c r="AC73" s="170">
        <f t="shared" ca="1" si="12"/>
        <v>0.29935185186332208</v>
      </c>
      <c r="AD73" s="169">
        <f t="shared" ca="1" si="13"/>
        <v>2.0775462963987024E-2</v>
      </c>
      <c r="AE73" s="169">
        <f t="shared" ca="1" si="8"/>
        <v>0.11225694444874579</v>
      </c>
      <c r="AF73" s="170">
        <f t="shared" ca="1" si="14"/>
        <v>0.29935185186332208</v>
      </c>
      <c r="AG73" s="170">
        <f t="shared" ca="1" si="15"/>
        <v>0.29935185186332208</v>
      </c>
      <c r="AH73" s="28" t="str" cm="1">
        <f t="array" aca="1" ref="AH73" ca="1">IF((AD73) &lt; (INDEX(ResponseSLA[#All],(MATCH((G73),ResponseSLA[Priority],0))+1,3)),"YES","No")</f>
        <v>YES</v>
      </c>
      <c r="AI73" s="28" t="str">
        <f ca="1">_xlfn.IFNA(IF(AE73 &lt; (INDEX(SLATable[Minimum SLA],MATCH(G73,SLATable[Priority],0))),"YES","NO"),"")</f>
        <v>YES</v>
      </c>
      <c r="AJ73" s="28" t="str">
        <f ca="1">_xlfn.IFNA(IF(AE73 &lt; (INDEX(SLATable[Maximum SLA],MATCH(G73,SLATable[Priority],0))),"YES","NO"),"")</f>
        <v>YES</v>
      </c>
    </row>
    <row r="74" spans="2:36" ht="15" customHeight="1">
      <c r="B74" s="127" t="s">
        <v>26</v>
      </c>
      <c r="C74" s="127" t="s">
        <v>35</v>
      </c>
      <c r="D74" s="127" t="s">
        <v>207</v>
      </c>
      <c r="E74" s="127" t="s">
        <v>1194</v>
      </c>
      <c r="F74" s="127" t="s">
        <v>292</v>
      </c>
      <c r="G74" s="127">
        <v>3</v>
      </c>
      <c r="H74" s="127" t="s">
        <v>1195</v>
      </c>
      <c r="I74" s="127" t="s">
        <v>271</v>
      </c>
      <c r="J74" s="127" t="s">
        <v>1092</v>
      </c>
      <c r="K74" s="129">
        <v>46170.133252314816</v>
      </c>
      <c r="L74" s="129">
        <v>46170.137280092589</v>
      </c>
      <c r="M74" s="129">
        <v>46171.177303240744</v>
      </c>
      <c r="N74" s="129"/>
      <c r="O74" s="129">
        <v>46171.48296296296</v>
      </c>
      <c r="P74" s="129"/>
      <c r="Q74" s="127" t="s">
        <v>1073</v>
      </c>
      <c r="R74" s="127"/>
      <c r="S74" s="127"/>
      <c r="T74" s="127"/>
      <c r="U74" s="127" t="s">
        <v>371</v>
      </c>
      <c r="V74" s="127"/>
      <c r="W74" s="127"/>
      <c r="X74" s="127"/>
      <c r="Y74" s="127"/>
      <c r="Z74" s="169">
        <f t="shared" ca="1" si="9"/>
        <v>23.925640740739865</v>
      </c>
      <c r="AA74" s="170">
        <f t="shared" ca="1" si="10"/>
        <v>63.801708641972972</v>
      </c>
      <c r="AB74" s="169">
        <f t="shared" ca="1" si="11"/>
        <v>0.52462962962696724</v>
      </c>
      <c r="AC74" s="170">
        <f t="shared" ca="1" si="12"/>
        <v>1.3990123456719126</v>
      </c>
      <c r="AD74" s="169">
        <f t="shared" ca="1" si="13"/>
        <v>0.37500000000000006</v>
      </c>
      <c r="AE74" s="169">
        <f t="shared" ca="1" si="8"/>
        <v>0.52462962962696724</v>
      </c>
      <c r="AF74" s="170">
        <f t="shared" ca="1" si="14"/>
        <v>1.3990123456719126</v>
      </c>
      <c r="AG74" s="170">
        <f t="shared" ca="1" si="15"/>
        <v>1.3990123456719126</v>
      </c>
      <c r="AH74" s="28" t="str" cm="1">
        <f t="array" aca="1" ref="AH74" ca="1">IF((AD74) &lt; (INDEX(ResponseSLA[#All],(MATCH((G74),ResponseSLA[Priority],0))+1,3)),"YES","No")</f>
        <v>No</v>
      </c>
      <c r="AI74" s="28" t="str">
        <f ca="1">_xlfn.IFNA(IF(AE74 &lt; (INDEX(SLATable[Minimum SLA],MATCH(G74,SLATable[Priority],0))),"YES","NO"),"")</f>
        <v>NO</v>
      </c>
      <c r="AJ74" s="28" t="str">
        <f ca="1">_xlfn.IFNA(IF(AE74 &lt; (INDEX(SLATable[Maximum SLA],MATCH(G74,SLATable[Priority],0))),"YES","NO"),"")</f>
        <v>YES</v>
      </c>
    </row>
    <row r="75" spans="2:36" ht="15" customHeight="1">
      <c r="B75" s="127" t="s">
        <v>26</v>
      </c>
      <c r="C75" s="127" t="s">
        <v>35</v>
      </c>
      <c r="D75" s="127" t="s">
        <v>207</v>
      </c>
      <c r="E75" s="127" t="s">
        <v>1196</v>
      </c>
      <c r="F75" s="127" t="s">
        <v>292</v>
      </c>
      <c r="G75" s="127">
        <v>3</v>
      </c>
      <c r="H75" s="127" t="s">
        <v>1197</v>
      </c>
      <c r="I75" s="127" t="s">
        <v>271</v>
      </c>
      <c r="J75" s="127" t="s">
        <v>1092</v>
      </c>
      <c r="K75" s="129">
        <v>46168.18953703704</v>
      </c>
      <c r="L75" s="129">
        <v>46168.189583333333</v>
      </c>
      <c r="M75" s="129">
        <v>46168.307280092595</v>
      </c>
      <c r="N75" s="129"/>
      <c r="O75" s="129">
        <v>46170.318472222221</v>
      </c>
      <c r="P75" s="129"/>
      <c r="Q75" s="127" t="s">
        <v>1073</v>
      </c>
      <c r="R75" s="127"/>
      <c r="S75" s="127"/>
      <c r="T75" s="127"/>
      <c r="U75" s="127" t="s">
        <v>371</v>
      </c>
      <c r="V75" s="127"/>
      <c r="W75" s="127"/>
      <c r="X75" s="127"/>
      <c r="Y75" s="127"/>
      <c r="Z75" s="169">
        <f t="shared" ca="1" si="9"/>
        <v>24.675640740739865</v>
      </c>
      <c r="AA75" s="170">
        <f t="shared" ca="1" si="10"/>
        <v>65.801708641972979</v>
      </c>
      <c r="AB75" s="169">
        <f t="shared" ca="1" si="11"/>
        <v>0.75000000000000022</v>
      </c>
      <c r="AC75" s="170">
        <f t="shared" ca="1" si="12"/>
        <v>2.0000000000000009</v>
      </c>
      <c r="AD75" s="169">
        <f t="shared" ca="1" si="13"/>
        <v>0</v>
      </c>
      <c r="AE75" s="169">
        <f t="shared" ca="1" si="8"/>
        <v>0.75000000000000022</v>
      </c>
      <c r="AF75" s="170">
        <f t="shared" ca="1" si="14"/>
        <v>2.0000000000000009</v>
      </c>
      <c r="AG75" s="170">
        <f t="shared" ca="1" si="15"/>
        <v>2.0000000000000009</v>
      </c>
      <c r="AH75" s="28" t="str" cm="1">
        <f t="array" aca="1" ref="AH75" ca="1">IF((AD75) &lt; (INDEX(ResponseSLA[#All],(MATCH((G75),ResponseSLA[Priority],0))+1,3)),"YES","No")</f>
        <v>YES</v>
      </c>
      <c r="AI75" s="28" t="str">
        <f ca="1">_xlfn.IFNA(IF(AE75 &lt; (INDEX(SLATable[Minimum SLA],MATCH(G75,SLATable[Priority],0))),"YES","NO"),"")</f>
        <v>NO</v>
      </c>
      <c r="AJ75" s="28" t="str">
        <f ca="1">_xlfn.IFNA(IF(AE75 &lt; (INDEX(SLATable[Maximum SLA],MATCH(G75,SLATable[Priority],0))),"YES","NO"),"")</f>
        <v>YES</v>
      </c>
    </row>
    <row r="76" spans="2:36" ht="15" customHeight="1">
      <c r="B76" s="127" t="s">
        <v>26</v>
      </c>
      <c r="C76" s="127" t="s">
        <v>35</v>
      </c>
      <c r="D76" s="127" t="s">
        <v>207</v>
      </c>
      <c r="E76" s="130" t="s">
        <v>1198</v>
      </c>
      <c r="F76" s="130" t="s">
        <v>292</v>
      </c>
      <c r="G76" s="127">
        <v>3</v>
      </c>
      <c r="H76" s="130" t="s">
        <v>1199</v>
      </c>
      <c r="I76" s="127" t="s">
        <v>271</v>
      </c>
      <c r="J76" s="130" t="s">
        <v>1200</v>
      </c>
      <c r="K76" s="129">
        <v>46161.047094907408</v>
      </c>
      <c r="L76" s="129">
        <v>46161.303576388891</v>
      </c>
      <c r="M76" s="129">
        <v>46161.309016203704</v>
      </c>
      <c r="N76" s="129">
        <v>46163.447118055556</v>
      </c>
      <c r="O76" s="129"/>
      <c r="P76" s="129"/>
      <c r="Q76" s="130" t="s">
        <v>1073</v>
      </c>
      <c r="R76" s="127" t="s">
        <v>267</v>
      </c>
      <c r="S76" s="127" t="s">
        <v>137</v>
      </c>
      <c r="T76" s="127"/>
      <c r="U76" s="127" t="s">
        <v>371</v>
      </c>
      <c r="V76" s="127"/>
      <c r="W76" s="127"/>
      <c r="X76" s="127"/>
      <c r="Y76" s="127"/>
      <c r="Z76" s="169">
        <f t="shared" ca="1" si="9"/>
        <v>0.86378472222228697</v>
      </c>
      <c r="AA76" s="170">
        <f t="shared" ca="1" si="10"/>
        <v>2.3034259259260983</v>
      </c>
      <c r="AB76" s="169">
        <f t="shared" ca="1" si="11"/>
        <v>0.86378472222228697</v>
      </c>
      <c r="AC76" s="170">
        <f t="shared" ca="1" si="12"/>
        <v>2.3034259259260983</v>
      </c>
      <c r="AD76" s="169">
        <f t="shared" ca="1" si="13"/>
        <v>0</v>
      </c>
      <c r="AE76" s="169">
        <f t="shared" ca="1" si="8"/>
        <v>0.86378472222228697</v>
      </c>
      <c r="AF76" s="170">
        <f t="shared" ca="1" si="14"/>
        <v>2.3034259259260983</v>
      </c>
      <c r="AG76" s="170">
        <f t="shared" ca="1" si="15"/>
        <v>2.3034259259260983</v>
      </c>
      <c r="AH76" s="28" t="str" cm="1">
        <f t="array" aca="1" ref="AH76" ca="1">IF((AD76) &lt; (INDEX(ResponseSLA[#All],(MATCH((G76),ResponseSLA[Priority],0))+1,3)),"YES","No")</f>
        <v>YES</v>
      </c>
      <c r="AI76" s="28" t="str">
        <f ca="1">_xlfn.IFNA(IF(AE76 &lt; (INDEX(SLATable[Minimum SLA],MATCH(G76,SLATable[Priority],0))),"YES","NO"),"")</f>
        <v>NO</v>
      </c>
      <c r="AJ76" s="28" t="str">
        <f ca="1">_xlfn.IFNA(IF(AE76 &lt; (INDEX(SLATable[Maximum SLA],MATCH(G76,SLATable[Priority],0))),"YES","NO"),"")</f>
        <v>YES</v>
      </c>
    </row>
    <row r="77" spans="2:36" ht="15" customHeight="1">
      <c r="B77" s="127" t="s">
        <v>26</v>
      </c>
      <c r="C77" s="127" t="s">
        <v>35</v>
      </c>
      <c r="D77" s="127" t="s">
        <v>207</v>
      </c>
      <c r="E77" s="130" t="s">
        <v>1201</v>
      </c>
      <c r="F77" s="130" t="s">
        <v>295</v>
      </c>
      <c r="G77" s="127">
        <v>4</v>
      </c>
      <c r="H77" s="130" t="s">
        <v>1202</v>
      </c>
      <c r="I77" s="127" t="s">
        <v>271</v>
      </c>
      <c r="J77" s="127" t="s">
        <v>1200</v>
      </c>
      <c r="K77" s="129">
        <v>46156.572523148148</v>
      </c>
      <c r="L77" s="129">
        <v>46156.572534722225</v>
      </c>
      <c r="M77" s="129">
        <v>46157.318009259259</v>
      </c>
      <c r="N77" s="129">
        <v>46157.566770833335</v>
      </c>
      <c r="O77" s="129"/>
      <c r="P77" s="129"/>
      <c r="Q77" s="130" t="s">
        <v>1203</v>
      </c>
      <c r="R77" s="127" t="s">
        <v>267</v>
      </c>
      <c r="S77" s="127" t="s">
        <v>149</v>
      </c>
      <c r="T77" s="127"/>
      <c r="U77" s="127" t="s">
        <v>371</v>
      </c>
      <c r="V77" s="127"/>
      <c r="W77" s="127"/>
      <c r="X77" s="127"/>
      <c r="Y77" s="127"/>
      <c r="Z77" s="169">
        <f t="shared" ca="1" si="9"/>
        <v>0.36924768518656492</v>
      </c>
      <c r="AA77" s="170">
        <f t="shared" ca="1" si="10"/>
        <v>0.98466049383083976</v>
      </c>
      <c r="AB77" s="169">
        <f t="shared" ca="1" si="11"/>
        <v>0.36923611110978527</v>
      </c>
      <c r="AC77" s="170">
        <f t="shared" ca="1" si="12"/>
        <v>0.98462962962609402</v>
      </c>
      <c r="AD77" s="169">
        <f t="shared" ca="1" si="13"/>
        <v>0.1357986111082331</v>
      </c>
      <c r="AE77" s="169">
        <f t="shared" ca="1" si="8"/>
        <v>0.36923611110978527</v>
      </c>
      <c r="AF77" s="170">
        <f t="shared" ca="1" si="14"/>
        <v>0.98462962962609402</v>
      </c>
      <c r="AG77" s="170">
        <f t="shared" ca="1" si="15"/>
        <v>0.98462962962609402</v>
      </c>
      <c r="AH77" s="28" t="str" cm="1">
        <f t="array" aca="1" ref="AH77" ca="1">IF((AD77) &lt; (INDEX(ResponseSLA[#All],(MATCH((G77),ResponseSLA[Priority],0))+1,3)),"YES","No")</f>
        <v>No</v>
      </c>
      <c r="AI77" s="28" t="str">
        <f ca="1">_xlfn.IFNA(IF(AE77 &lt; (INDEX(SLATable[Minimum SLA],MATCH(G77,SLATable[Priority],0))),"YES","NO"),"")</f>
        <v>YES</v>
      </c>
      <c r="AJ77" s="28" t="str">
        <f ca="1">_xlfn.IFNA(IF(AE77 &lt; (INDEX(SLATable[Maximum SLA],MATCH(G77,SLATable[Priority],0))),"YES","NO"),"")</f>
        <v>YES</v>
      </c>
    </row>
    <row r="78" spans="2:36" ht="15" customHeight="1">
      <c r="B78" s="127" t="s">
        <v>26</v>
      </c>
      <c r="C78" s="127" t="s">
        <v>35</v>
      </c>
      <c r="D78" s="127" t="s">
        <v>207</v>
      </c>
      <c r="E78" s="130" t="s">
        <v>1204</v>
      </c>
      <c r="F78" s="130" t="s">
        <v>295</v>
      </c>
      <c r="G78" s="127">
        <v>4</v>
      </c>
      <c r="H78" s="130" t="s">
        <v>1205</v>
      </c>
      <c r="I78" s="127" t="s">
        <v>271</v>
      </c>
      <c r="J78" s="127" t="s">
        <v>1200</v>
      </c>
      <c r="K78" s="129">
        <v>46156.151701388888</v>
      </c>
      <c r="L78" s="129">
        <v>46156.151770833334</v>
      </c>
      <c r="M78" s="129">
        <v>46156.263796296298</v>
      </c>
      <c r="N78" s="129">
        <v>46156.426550925928</v>
      </c>
      <c r="O78" s="129"/>
      <c r="P78" s="129"/>
      <c r="Q78" s="130" t="s">
        <v>1203</v>
      </c>
      <c r="R78" s="127" t="s">
        <v>267</v>
      </c>
      <c r="S78" s="127" t="s">
        <v>149</v>
      </c>
      <c r="T78" s="127"/>
      <c r="U78" s="127" t="s">
        <v>371</v>
      </c>
      <c r="V78" s="127"/>
      <c r="W78" s="127"/>
      <c r="X78" s="127"/>
      <c r="Y78" s="127"/>
      <c r="Z78" s="169">
        <f t="shared" ca="1" si="9"/>
        <v>9.3217592594252607E-2</v>
      </c>
      <c r="AA78" s="170">
        <f t="shared" ca="1" si="10"/>
        <v>0.24858024691800695</v>
      </c>
      <c r="AB78" s="169">
        <f t="shared" ca="1" si="11"/>
        <v>9.3217592594252607E-2</v>
      </c>
      <c r="AC78" s="170">
        <f t="shared" ca="1" si="12"/>
        <v>0.24858024691800695</v>
      </c>
      <c r="AD78" s="169">
        <f t="shared" ca="1" si="13"/>
        <v>0</v>
      </c>
      <c r="AE78" s="169">
        <f t="shared" ca="1" si="8"/>
        <v>9.3217592594252607E-2</v>
      </c>
      <c r="AF78" s="170">
        <f t="shared" ca="1" si="14"/>
        <v>0.24858024691800695</v>
      </c>
      <c r="AG78" s="170">
        <f t="shared" ca="1" si="15"/>
        <v>0.24858024691800695</v>
      </c>
      <c r="AH78" s="28" t="str" cm="1">
        <f t="array" aca="1" ref="AH78" ca="1">IF((AD78) &lt; (INDEX(ResponseSLA[#All],(MATCH((G78),ResponseSLA[Priority],0))+1,3)),"YES","No")</f>
        <v>YES</v>
      </c>
      <c r="AI78" s="28" t="str">
        <f ca="1">_xlfn.IFNA(IF(AE78 &lt; (INDEX(SLATable[Minimum SLA],MATCH(G78,SLATable[Priority],0))),"YES","NO"),"")</f>
        <v>YES</v>
      </c>
      <c r="AJ78" s="28" t="str">
        <f ca="1">_xlfn.IFNA(IF(AE78 &lt; (INDEX(SLATable[Maximum SLA],MATCH(G78,SLATable[Priority],0))),"YES","NO"),"")</f>
        <v>YES</v>
      </c>
    </row>
    <row r="79" spans="2:36" ht="15" customHeight="1">
      <c r="B79" s="127" t="s">
        <v>26</v>
      </c>
      <c r="C79" s="127" t="s">
        <v>35</v>
      </c>
      <c r="D79" s="127" t="s">
        <v>207</v>
      </c>
      <c r="E79" s="130" t="s">
        <v>1206</v>
      </c>
      <c r="F79" s="130" t="s">
        <v>299</v>
      </c>
      <c r="G79" s="127">
        <v>4</v>
      </c>
      <c r="H79" s="130" t="s">
        <v>1207</v>
      </c>
      <c r="I79" s="127" t="s">
        <v>271</v>
      </c>
      <c r="J79" s="127" t="s">
        <v>1200</v>
      </c>
      <c r="K79" s="129">
        <v>46155.697187500002</v>
      </c>
      <c r="L79" s="129">
        <v>46155.698969907404</v>
      </c>
      <c r="M79" s="129">
        <v>46156.274074074077</v>
      </c>
      <c r="N79" s="129">
        <v>46162.501585648148</v>
      </c>
      <c r="O79" s="129"/>
      <c r="P79" s="129"/>
      <c r="Q79" s="130" t="s">
        <v>1208</v>
      </c>
      <c r="R79" s="127" t="s">
        <v>267</v>
      </c>
      <c r="S79" s="127" t="s">
        <v>149</v>
      </c>
      <c r="T79" s="127"/>
      <c r="U79" s="127" t="s">
        <v>371</v>
      </c>
      <c r="V79" s="127"/>
      <c r="W79" s="127"/>
      <c r="X79" s="127"/>
      <c r="Y79" s="127"/>
      <c r="Z79" s="169">
        <f t="shared" ca="1" si="9"/>
        <v>1.6793981481459923</v>
      </c>
      <c r="AA79" s="170">
        <f t="shared" ca="1" si="10"/>
        <v>4.4783950617226465</v>
      </c>
      <c r="AB79" s="169">
        <f t="shared" ca="1" si="11"/>
        <v>1.6776157407439314</v>
      </c>
      <c r="AC79" s="170">
        <f t="shared" ca="1" si="12"/>
        <v>4.4736419753171504</v>
      </c>
      <c r="AD79" s="169">
        <f t="shared" ca="1" si="13"/>
        <v>9.3634259295262146E-3</v>
      </c>
      <c r="AE79" s="169">
        <f t="shared" ca="1" si="8"/>
        <v>1.6776157407439314</v>
      </c>
      <c r="AF79" s="170">
        <f t="shared" ca="1" si="14"/>
        <v>4.4736419753171504</v>
      </c>
      <c r="AG79" s="170">
        <f t="shared" ca="1" si="15"/>
        <v>4.4736419753171504</v>
      </c>
      <c r="AH79" s="28" t="str" cm="1">
        <f t="array" aca="1" ref="AH79" ca="1">IF((AD79) &lt; (INDEX(ResponseSLA[#All],(MATCH((G79),ResponseSLA[Priority],0))+1,3)),"YES","No")</f>
        <v>YES</v>
      </c>
      <c r="AI79" s="28" t="str">
        <f ca="1">_xlfn.IFNA(IF(AE79 &lt; (INDEX(SLATable[Minimum SLA],MATCH(G79,SLATable[Priority],0))),"YES","NO"),"")</f>
        <v>YES</v>
      </c>
      <c r="AJ79" s="28" t="str">
        <f ca="1">_xlfn.IFNA(IF(AE79 &lt; (INDEX(SLATable[Maximum SLA],MATCH(G79,SLATable[Priority],0))),"YES","NO"),"")</f>
        <v>YES</v>
      </c>
    </row>
    <row r="80" spans="2:36" ht="15" customHeight="1">
      <c r="B80" s="127" t="s">
        <v>26</v>
      </c>
      <c r="C80" s="127" t="s">
        <v>35</v>
      </c>
      <c r="D80" s="127" t="s">
        <v>207</v>
      </c>
      <c r="E80" s="130" t="s">
        <v>1209</v>
      </c>
      <c r="F80" s="130" t="s">
        <v>295</v>
      </c>
      <c r="G80" s="127">
        <v>3</v>
      </c>
      <c r="H80" s="130" t="s">
        <v>1210</v>
      </c>
      <c r="I80" s="127" t="s">
        <v>271</v>
      </c>
      <c r="J80" s="127" t="s">
        <v>1200</v>
      </c>
      <c r="K80" s="129">
        <v>46165.092141203706</v>
      </c>
      <c r="L80" s="129">
        <v>46165.092187499999</v>
      </c>
      <c r="M80" s="129">
        <v>46165.286585648151</v>
      </c>
      <c r="N80" s="129">
        <v>46170.288877314815</v>
      </c>
      <c r="O80" s="129"/>
      <c r="P80" s="129"/>
      <c r="Q80" s="130" t="s">
        <v>1211</v>
      </c>
      <c r="R80" s="127" t="s">
        <v>267</v>
      </c>
      <c r="S80" s="127" t="s">
        <v>149</v>
      </c>
      <c r="T80" s="127"/>
      <c r="U80" s="127" t="s">
        <v>371</v>
      </c>
      <c r="V80" s="127"/>
      <c r="W80" s="127"/>
      <c r="X80" s="127"/>
      <c r="Y80" s="127"/>
      <c r="Z80" s="169">
        <f t="shared" ca="1" si="9"/>
        <v>0.75000000000000022</v>
      </c>
      <c r="AA80" s="170">
        <f t="shared" ca="1" si="10"/>
        <v>2.0000000000000009</v>
      </c>
      <c r="AB80" s="169">
        <f t="shared" ca="1" si="11"/>
        <v>0.75000000000000022</v>
      </c>
      <c r="AC80" s="170">
        <f t="shared" ca="1" si="12"/>
        <v>2.0000000000000009</v>
      </c>
      <c r="AD80" s="169">
        <f t="shared" ca="1" si="13"/>
        <v>0</v>
      </c>
      <c r="AE80" s="169">
        <f t="shared" ca="1" si="8"/>
        <v>0.75000000000000022</v>
      </c>
      <c r="AF80" s="170">
        <f t="shared" ca="1" si="14"/>
        <v>2.0000000000000009</v>
      </c>
      <c r="AG80" s="170">
        <f t="shared" ca="1" si="15"/>
        <v>2.0000000000000009</v>
      </c>
      <c r="AH80" s="28" t="str" cm="1">
        <f t="array" aca="1" ref="AH80" ca="1">IF((AD80) &lt; (INDEX(ResponseSLA[#All],(MATCH((G80),ResponseSLA[Priority],0))+1,3)),"YES","No")</f>
        <v>YES</v>
      </c>
      <c r="AI80" s="28" t="str">
        <f ca="1">_xlfn.IFNA(IF(AE80 &lt; (INDEX(SLATable[Minimum SLA],MATCH(G80,SLATable[Priority],0))),"YES","NO"),"")</f>
        <v>NO</v>
      </c>
      <c r="AJ80" s="28" t="str">
        <f ca="1">_xlfn.IFNA(IF(AE80 &lt; (INDEX(SLATable[Maximum SLA],MATCH(G80,SLATable[Priority],0))),"YES","NO"),"")</f>
        <v>YES</v>
      </c>
    </row>
    <row r="81" spans="2:36" ht="15" customHeight="1">
      <c r="B81" s="127" t="s">
        <v>26</v>
      </c>
      <c r="C81" s="127" t="s">
        <v>35</v>
      </c>
      <c r="D81" s="127" t="s">
        <v>207</v>
      </c>
      <c r="E81" s="130" t="s">
        <v>1212</v>
      </c>
      <c r="F81" s="130" t="s">
        <v>295</v>
      </c>
      <c r="G81" s="127">
        <v>3</v>
      </c>
      <c r="H81" s="130" t="s">
        <v>1213</v>
      </c>
      <c r="I81" s="127" t="s">
        <v>271</v>
      </c>
      <c r="J81" s="127" t="s">
        <v>1200</v>
      </c>
      <c r="K81" s="129">
        <v>46171.148368055554</v>
      </c>
      <c r="L81" s="129">
        <v>46171.151134259257</v>
      </c>
      <c r="M81" s="129">
        <v>46171.17832175926</v>
      </c>
      <c r="N81" s="129">
        <v>46171.516736111109</v>
      </c>
      <c r="O81" s="129"/>
      <c r="P81" s="129"/>
      <c r="Q81" s="130" t="s">
        <v>1211</v>
      </c>
      <c r="R81" s="127" t="s">
        <v>267</v>
      </c>
      <c r="S81" s="127" t="s">
        <v>149</v>
      </c>
      <c r="T81" s="127"/>
      <c r="U81" s="127" t="s">
        <v>371</v>
      </c>
      <c r="V81" s="127"/>
      <c r="W81" s="127"/>
      <c r="X81" s="127"/>
      <c r="Y81" s="127"/>
      <c r="Z81" s="169">
        <f t="shared" ca="1" si="9"/>
        <v>0.18340277777557884</v>
      </c>
      <c r="AA81" s="170">
        <f t="shared" ca="1" si="10"/>
        <v>0.48907407406821019</v>
      </c>
      <c r="AB81" s="169">
        <f t="shared" ca="1" si="11"/>
        <v>0.18340277777557884</v>
      </c>
      <c r="AC81" s="170">
        <f t="shared" ca="1" si="12"/>
        <v>0.48907407406821019</v>
      </c>
      <c r="AD81" s="169">
        <f t="shared" ca="1" si="13"/>
        <v>0</v>
      </c>
      <c r="AE81" s="169">
        <f t="shared" ca="1" si="8"/>
        <v>0.18340277777557884</v>
      </c>
      <c r="AF81" s="170">
        <f t="shared" ca="1" si="14"/>
        <v>0.48907407406821019</v>
      </c>
      <c r="AG81" s="170">
        <f t="shared" ca="1" si="15"/>
        <v>0.48907407406821019</v>
      </c>
      <c r="AH81" s="28" t="str" cm="1">
        <f t="array" aca="1" ref="AH81" ca="1">IF((AD81) &lt; (INDEX(ResponseSLA[#All],(MATCH((G81),ResponseSLA[Priority],0))+1,3)),"YES","No")</f>
        <v>YES</v>
      </c>
      <c r="AI81" s="28" t="str">
        <f ca="1">_xlfn.IFNA(IF(AE81 &lt; (INDEX(SLATable[Minimum SLA],MATCH(G81,SLATable[Priority],0))),"YES","NO"),"")</f>
        <v>YES</v>
      </c>
      <c r="AJ81" s="28" t="str">
        <f ca="1">_xlfn.IFNA(IF(AE81 &lt; (INDEX(SLATable[Maximum SLA],MATCH(G81,SLATable[Priority],0))),"YES","NO"),"")</f>
        <v>YES</v>
      </c>
    </row>
    <row r="82" spans="2:36" ht="15" customHeight="1">
      <c r="B82" s="127" t="s">
        <v>26</v>
      </c>
      <c r="C82" s="127" t="s">
        <v>35</v>
      </c>
      <c r="D82" s="127" t="s">
        <v>207</v>
      </c>
      <c r="E82" s="130" t="s">
        <v>1214</v>
      </c>
      <c r="F82" s="130" t="s">
        <v>296</v>
      </c>
      <c r="G82" s="127">
        <v>3</v>
      </c>
      <c r="H82" s="130" t="s">
        <v>1215</v>
      </c>
      <c r="I82" s="127" t="s">
        <v>271</v>
      </c>
      <c r="J82" s="127" t="s">
        <v>1200</v>
      </c>
      <c r="K82" s="129">
        <v>46153.219918981478</v>
      </c>
      <c r="L82" s="129">
        <v>46153.220335648148</v>
      </c>
      <c r="M82" s="129">
        <v>46153.276006944441</v>
      </c>
      <c r="N82" s="129">
        <v>46153.591273148151</v>
      </c>
      <c r="O82" s="129"/>
      <c r="P82" s="129"/>
      <c r="Q82" s="130" t="s">
        <v>1049</v>
      </c>
      <c r="R82" s="127" t="s">
        <v>267</v>
      </c>
      <c r="S82" s="127" t="s">
        <v>167</v>
      </c>
      <c r="T82" s="127"/>
      <c r="U82" s="127" t="s">
        <v>371</v>
      </c>
      <c r="V82" s="127"/>
      <c r="W82" s="127"/>
      <c r="X82" s="127"/>
      <c r="Y82" s="127"/>
      <c r="Z82" s="169">
        <f t="shared" ca="1" si="9"/>
        <v>0.25793981481789768</v>
      </c>
      <c r="AA82" s="170">
        <f t="shared" ca="1" si="10"/>
        <v>0.68783950618106049</v>
      </c>
      <c r="AB82" s="169">
        <f t="shared" ca="1" si="11"/>
        <v>0.25793981481789768</v>
      </c>
      <c r="AC82" s="170">
        <f t="shared" ca="1" si="12"/>
        <v>0.68783950618106049</v>
      </c>
      <c r="AD82" s="169">
        <f t="shared" ca="1" si="13"/>
        <v>0</v>
      </c>
      <c r="AE82" s="169">
        <f t="shared" ca="1" si="8"/>
        <v>0.25793981481789768</v>
      </c>
      <c r="AF82" s="170">
        <f t="shared" ca="1" si="14"/>
        <v>0.68783950618106049</v>
      </c>
      <c r="AG82" s="170">
        <f t="shared" ca="1" si="15"/>
        <v>0.68783950618106049</v>
      </c>
      <c r="AH82" s="28" t="str" cm="1">
        <f t="array" aca="1" ref="AH82" ca="1">IF((AD82) &lt; (INDEX(ResponseSLA[#All],(MATCH((G82),ResponseSLA[Priority],0))+1,3)),"YES","No")</f>
        <v>YES</v>
      </c>
      <c r="AI82" s="28" t="str">
        <f ca="1">_xlfn.IFNA(IF(AE82 &lt; (INDEX(SLATable[Minimum SLA],MATCH(G82,SLATable[Priority],0))),"YES","NO"),"")</f>
        <v>YES</v>
      </c>
      <c r="AJ82" s="28" t="str">
        <f ca="1">_xlfn.IFNA(IF(AE82 &lt; (INDEX(SLATable[Maximum SLA],MATCH(G82,SLATable[Priority],0))),"YES","NO"),"")</f>
        <v>YES</v>
      </c>
    </row>
    <row r="83" spans="2:36" ht="15" customHeight="1">
      <c r="B83" s="127" t="s">
        <v>26</v>
      </c>
      <c r="C83" s="127" t="s">
        <v>35</v>
      </c>
      <c r="D83" s="127" t="s">
        <v>207</v>
      </c>
      <c r="E83" s="130" t="s">
        <v>1216</v>
      </c>
      <c r="F83" s="130" t="s">
        <v>295</v>
      </c>
      <c r="G83" s="127">
        <v>4</v>
      </c>
      <c r="H83" s="130" t="s">
        <v>1217</v>
      </c>
      <c r="I83" s="127" t="s">
        <v>271</v>
      </c>
      <c r="J83" s="127" t="s">
        <v>1200</v>
      </c>
      <c r="K83" s="129">
        <v>46170.076909722222</v>
      </c>
      <c r="L83" s="129">
        <v>46170.077013888891</v>
      </c>
      <c r="M83" s="129">
        <v>46170.253310185188</v>
      </c>
      <c r="N83" s="129">
        <v>46171.514398148145</v>
      </c>
      <c r="O83" s="129"/>
      <c r="P83" s="129"/>
      <c r="Q83" s="130" t="s">
        <v>1065</v>
      </c>
      <c r="R83" s="127" t="s">
        <v>267</v>
      </c>
      <c r="S83" s="127" t="s">
        <v>149</v>
      </c>
      <c r="T83" s="127"/>
      <c r="U83" s="127" t="s">
        <v>371</v>
      </c>
      <c r="V83" s="127"/>
      <c r="W83" s="127"/>
      <c r="X83" s="127"/>
      <c r="Y83" s="127"/>
      <c r="Z83" s="169">
        <f t="shared" ca="1" si="9"/>
        <v>0.55606481481178593</v>
      </c>
      <c r="AA83" s="170">
        <f t="shared" ca="1" si="10"/>
        <v>1.4828395061647626</v>
      </c>
      <c r="AB83" s="169">
        <f t="shared" ca="1" si="11"/>
        <v>0.55606481481178593</v>
      </c>
      <c r="AC83" s="170">
        <f t="shared" ca="1" si="12"/>
        <v>1.4828395061647626</v>
      </c>
      <c r="AD83" s="169">
        <f t="shared" ca="1" si="13"/>
        <v>0</v>
      </c>
      <c r="AE83" s="169">
        <f t="shared" ca="1" si="8"/>
        <v>0.55606481481178593</v>
      </c>
      <c r="AF83" s="170">
        <f t="shared" ca="1" si="14"/>
        <v>1.4828395061647626</v>
      </c>
      <c r="AG83" s="170">
        <f t="shared" ca="1" si="15"/>
        <v>1.4828395061647626</v>
      </c>
      <c r="AH83" s="28" t="str" cm="1">
        <f t="array" aca="1" ref="AH83" ca="1">IF((AD83) &lt; (INDEX(ResponseSLA[#All],(MATCH((G83),ResponseSLA[Priority],0))+1,3)),"YES","No")</f>
        <v>YES</v>
      </c>
      <c r="AI83" s="28" t="str">
        <f ca="1">_xlfn.IFNA(IF(AE83 &lt; (INDEX(SLATable[Minimum SLA],MATCH(G83,SLATable[Priority],0))),"YES","NO"),"")</f>
        <v>YES</v>
      </c>
      <c r="AJ83" s="28" t="str">
        <f ca="1">_xlfn.IFNA(IF(AE83 &lt; (INDEX(SLATable[Maximum SLA],MATCH(G83,SLATable[Priority],0))),"YES","NO"),"")</f>
        <v>YES</v>
      </c>
    </row>
    <row r="84" spans="2:36" ht="15" customHeight="1">
      <c r="B84" s="127" t="s">
        <v>26</v>
      </c>
      <c r="C84" s="127" t="s">
        <v>35</v>
      </c>
      <c r="D84" s="127" t="s">
        <v>207</v>
      </c>
      <c r="E84" s="130" t="s">
        <v>1218</v>
      </c>
      <c r="F84" s="130" t="s">
        <v>295</v>
      </c>
      <c r="G84" s="127">
        <v>4</v>
      </c>
      <c r="H84" s="130" t="s">
        <v>1219</v>
      </c>
      <c r="I84" s="127" t="s">
        <v>271</v>
      </c>
      <c r="J84" s="127" t="s">
        <v>1200</v>
      </c>
      <c r="K84" s="129">
        <v>46170.076909722222</v>
      </c>
      <c r="L84" s="129">
        <v>46170.077013888891</v>
      </c>
      <c r="M84" s="129">
        <v>46170.252812500003</v>
      </c>
      <c r="N84" s="129">
        <v>46171.513333333336</v>
      </c>
      <c r="O84" s="129"/>
      <c r="P84" s="129"/>
      <c r="Q84" s="130" t="s">
        <v>1065</v>
      </c>
      <c r="R84" s="127" t="s">
        <v>267</v>
      </c>
      <c r="S84" s="127" t="s">
        <v>149</v>
      </c>
      <c r="T84" s="127"/>
      <c r="U84" s="127" t="s">
        <v>371</v>
      </c>
      <c r="V84" s="127"/>
      <c r="W84" s="127"/>
      <c r="X84" s="127"/>
      <c r="Y84" s="127"/>
      <c r="Z84" s="169">
        <f t="shared" ca="1" si="9"/>
        <v>0.55500000000271643</v>
      </c>
      <c r="AA84" s="170">
        <f t="shared" ca="1" si="10"/>
        <v>1.4800000000072437</v>
      </c>
      <c r="AB84" s="169">
        <f t="shared" ca="1" si="11"/>
        <v>0.55500000000271643</v>
      </c>
      <c r="AC84" s="170">
        <f t="shared" ca="1" si="12"/>
        <v>1.4800000000072437</v>
      </c>
      <c r="AD84" s="169">
        <f t="shared" ca="1" si="13"/>
        <v>0</v>
      </c>
      <c r="AE84" s="169">
        <f t="shared" ca="1" si="8"/>
        <v>0.55500000000271643</v>
      </c>
      <c r="AF84" s="170">
        <f t="shared" ca="1" si="14"/>
        <v>1.4800000000072437</v>
      </c>
      <c r="AG84" s="170">
        <f t="shared" ca="1" si="15"/>
        <v>1.4800000000072437</v>
      </c>
      <c r="AH84" s="28" t="str" cm="1">
        <f t="array" aca="1" ref="AH84" ca="1">IF((AD84) &lt; (INDEX(ResponseSLA[#All],(MATCH((G84),ResponseSLA[Priority],0))+1,3)),"YES","No")</f>
        <v>YES</v>
      </c>
      <c r="AI84" s="28" t="str">
        <f ca="1">_xlfn.IFNA(IF(AE84 &lt; (INDEX(SLATable[Minimum SLA],MATCH(G84,SLATable[Priority],0))),"YES","NO"),"")</f>
        <v>YES</v>
      </c>
      <c r="AJ84" s="28" t="str">
        <f ca="1">_xlfn.IFNA(IF(AE84 &lt; (INDEX(SLATable[Maximum SLA],MATCH(G84,SLATable[Priority],0))),"YES","NO"),"")</f>
        <v>YES</v>
      </c>
    </row>
    <row r="85" spans="2:36" ht="15" customHeight="1">
      <c r="B85" s="127" t="s">
        <v>26</v>
      </c>
      <c r="C85" s="127" t="s">
        <v>35</v>
      </c>
      <c r="D85" s="127" t="s">
        <v>207</v>
      </c>
      <c r="E85" s="130" t="s">
        <v>1220</v>
      </c>
      <c r="F85" s="130" t="s">
        <v>295</v>
      </c>
      <c r="G85" s="127">
        <v>3</v>
      </c>
      <c r="H85" s="130" t="s">
        <v>1210</v>
      </c>
      <c r="I85" s="127" t="s">
        <v>271</v>
      </c>
      <c r="J85" s="127" t="s">
        <v>1200</v>
      </c>
      <c r="K85" s="129">
        <v>46167.091504629629</v>
      </c>
      <c r="L85" s="129">
        <v>46167.091550925928</v>
      </c>
      <c r="M85" s="129">
        <v>46167.313993055555</v>
      </c>
      <c r="N85" s="129">
        <v>46171.514398148145</v>
      </c>
      <c r="O85" s="129"/>
      <c r="P85" s="129"/>
      <c r="Q85" s="130" t="s">
        <v>1211</v>
      </c>
      <c r="R85" s="127" t="s">
        <v>267</v>
      </c>
      <c r="S85" s="127" t="s">
        <v>149</v>
      </c>
      <c r="T85" s="127"/>
      <c r="U85" s="127" t="s">
        <v>371</v>
      </c>
      <c r="V85" s="127"/>
      <c r="W85" s="127"/>
      <c r="X85" s="127"/>
      <c r="Y85" s="127"/>
      <c r="Z85" s="169">
        <f t="shared" ca="1" si="9"/>
        <v>1.3060648148117862</v>
      </c>
      <c r="AA85" s="170">
        <f t="shared" ca="1" si="10"/>
        <v>3.4828395061647632</v>
      </c>
      <c r="AB85" s="169">
        <f t="shared" ca="1" si="11"/>
        <v>1.3060648148117862</v>
      </c>
      <c r="AC85" s="170">
        <f t="shared" ca="1" si="12"/>
        <v>3.4828395061647632</v>
      </c>
      <c r="AD85" s="169">
        <f t="shared" ca="1" si="13"/>
        <v>0</v>
      </c>
      <c r="AE85" s="169">
        <f t="shared" ca="1" si="8"/>
        <v>1.3060648148117862</v>
      </c>
      <c r="AF85" s="170">
        <f t="shared" ca="1" si="14"/>
        <v>3.4828395061647632</v>
      </c>
      <c r="AG85" s="170">
        <f t="shared" ca="1" si="15"/>
        <v>3.4828395061647632</v>
      </c>
      <c r="AH85" s="28" t="str" cm="1">
        <f t="array" aca="1" ref="AH85" ca="1">IF((AD85) &lt; (INDEX(ResponseSLA[#All],(MATCH((G85),ResponseSLA[Priority],0))+1,3)),"YES","No")</f>
        <v>YES</v>
      </c>
      <c r="AI85" s="28" t="str">
        <f ca="1">_xlfn.IFNA(IF(AE85 &lt; (INDEX(SLATable[Minimum SLA],MATCH(G85,SLATable[Priority],0))),"YES","NO"),"")</f>
        <v>NO</v>
      </c>
      <c r="AJ85" s="28" t="str">
        <f ca="1">_xlfn.IFNA(IF(AE85 &lt; (INDEX(SLATable[Maximum SLA],MATCH(G85,SLATable[Priority],0))),"YES","NO"),"")</f>
        <v>YES</v>
      </c>
    </row>
    <row r="86" spans="2:36" ht="15" customHeight="1">
      <c r="B86" s="127" t="s">
        <v>26</v>
      </c>
      <c r="C86" s="127" t="s">
        <v>35</v>
      </c>
      <c r="D86" s="127" t="s">
        <v>207</v>
      </c>
      <c r="E86" s="130" t="s">
        <v>1221</v>
      </c>
      <c r="F86" s="130" t="s">
        <v>296</v>
      </c>
      <c r="G86" s="127">
        <v>3</v>
      </c>
      <c r="H86" s="130" t="s">
        <v>1222</v>
      </c>
      <c r="I86" s="127" t="s">
        <v>271</v>
      </c>
      <c r="J86" s="127" t="s">
        <v>1200</v>
      </c>
      <c r="K86" s="129">
        <v>46152.391909722224</v>
      </c>
      <c r="L86" s="129">
        <v>46152.392754629633</v>
      </c>
      <c r="M86" s="129">
        <v>46153.275416666664</v>
      </c>
      <c r="N86" s="129">
        <v>46170.286979166667</v>
      </c>
      <c r="O86" s="129"/>
      <c r="P86" s="129"/>
      <c r="Q86" s="130" t="s">
        <v>1049</v>
      </c>
      <c r="R86" s="127" t="s">
        <v>267</v>
      </c>
      <c r="S86" s="127" t="s">
        <v>167</v>
      </c>
      <c r="T86" s="127"/>
      <c r="U86" s="127" t="s">
        <v>371</v>
      </c>
      <c r="V86" s="127"/>
      <c r="W86" s="127"/>
      <c r="X86" s="127"/>
      <c r="Y86" s="127"/>
      <c r="Z86" s="169">
        <f t="shared" ca="1" si="9"/>
        <v>4.5000000000000009</v>
      </c>
      <c r="AA86" s="170">
        <f t="shared" ca="1" si="10"/>
        <v>12.000000000000004</v>
      </c>
      <c r="AB86" s="169">
        <f t="shared" ca="1" si="11"/>
        <v>4.5000000000000009</v>
      </c>
      <c r="AC86" s="170">
        <f t="shared" ca="1" si="12"/>
        <v>12.000000000000004</v>
      </c>
      <c r="AD86" s="169">
        <f t="shared" ca="1" si="13"/>
        <v>0</v>
      </c>
      <c r="AE86" s="169">
        <f t="shared" ca="1" si="8"/>
        <v>4.5000000000000009</v>
      </c>
      <c r="AF86" s="170">
        <f t="shared" ca="1" si="14"/>
        <v>12.000000000000004</v>
      </c>
      <c r="AG86" s="170">
        <f t="shared" ca="1" si="15"/>
        <v>12.000000000000004</v>
      </c>
      <c r="AH86" s="28" t="str" cm="1">
        <f t="array" aca="1" ref="AH86" ca="1">IF((AD86) &lt; (INDEX(ResponseSLA[#All],(MATCH((G86),ResponseSLA[Priority],0))+1,3)),"YES","No")</f>
        <v>YES</v>
      </c>
      <c r="AI86" s="28" t="str">
        <f ca="1">_xlfn.IFNA(IF(AE86 &lt; (INDEX(SLATable[Minimum SLA],MATCH(G86,SLATable[Priority],0))),"YES","NO"),"")</f>
        <v>NO</v>
      </c>
      <c r="AJ86" s="28" t="str">
        <f ca="1">_xlfn.IFNA(IF(AE86 &lt; (INDEX(SLATable[Maximum SLA],MATCH(G86,SLATable[Priority],0))),"YES","NO"),"")</f>
        <v>NO</v>
      </c>
    </row>
    <row r="87" spans="2:36" ht="15" customHeight="1">
      <c r="B87" s="127" t="s">
        <v>26</v>
      </c>
      <c r="C87" s="127" t="s">
        <v>35</v>
      </c>
      <c r="D87" s="127" t="s">
        <v>207</v>
      </c>
      <c r="E87" s="130" t="s">
        <v>1223</v>
      </c>
      <c r="F87" s="130" t="s">
        <v>295</v>
      </c>
      <c r="G87" s="127">
        <v>3</v>
      </c>
      <c r="H87" s="130" t="s">
        <v>1224</v>
      </c>
      <c r="I87" s="127" t="s">
        <v>271</v>
      </c>
      <c r="J87" s="127" t="s">
        <v>1200</v>
      </c>
      <c r="K87" s="129">
        <v>46165.215162037035</v>
      </c>
      <c r="L87" s="129">
        <v>46165.230381944442</v>
      </c>
      <c r="M87" s="129">
        <v>46165.234756944446</v>
      </c>
      <c r="N87" s="129">
        <v>46170.295115740744</v>
      </c>
      <c r="O87" s="129"/>
      <c r="P87" s="129"/>
      <c r="Q87" s="130" t="s">
        <v>1211</v>
      </c>
      <c r="R87" s="127" t="s">
        <v>267</v>
      </c>
      <c r="S87" s="127" t="s">
        <v>149</v>
      </c>
      <c r="T87" s="127"/>
      <c r="U87" s="127" t="s">
        <v>371</v>
      </c>
      <c r="V87" s="127"/>
      <c r="W87" s="127"/>
      <c r="X87" s="127"/>
      <c r="Y87" s="127"/>
      <c r="Z87" s="169">
        <f t="shared" ca="1" si="9"/>
        <v>0.75000000000000022</v>
      </c>
      <c r="AA87" s="170">
        <f t="shared" ca="1" si="10"/>
        <v>2.0000000000000009</v>
      </c>
      <c r="AB87" s="169">
        <f t="shared" ca="1" si="11"/>
        <v>0.75000000000000022</v>
      </c>
      <c r="AC87" s="170">
        <f t="shared" ca="1" si="12"/>
        <v>2.0000000000000009</v>
      </c>
      <c r="AD87" s="169">
        <f t="shared" ca="1" si="13"/>
        <v>0</v>
      </c>
      <c r="AE87" s="169">
        <f t="shared" ca="1" si="8"/>
        <v>0.75000000000000022</v>
      </c>
      <c r="AF87" s="170">
        <f t="shared" ca="1" si="14"/>
        <v>2.0000000000000009</v>
      </c>
      <c r="AG87" s="170">
        <f t="shared" ca="1" si="15"/>
        <v>2.0000000000000009</v>
      </c>
      <c r="AH87" s="28" t="str" cm="1">
        <f t="array" aca="1" ref="AH87" ca="1">IF((AD87) &lt; (INDEX(ResponseSLA[#All],(MATCH((G87),ResponseSLA[Priority],0))+1,3)),"YES","No")</f>
        <v>YES</v>
      </c>
      <c r="AI87" s="28" t="str">
        <f ca="1">_xlfn.IFNA(IF(AE87 &lt; (INDEX(SLATable[Minimum SLA],MATCH(G87,SLATable[Priority],0))),"YES","NO"),"")</f>
        <v>NO</v>
      </c>
      <c r="AJ87" s="28" t="str">
        <f ca="1">_xlfn.IFNA(IF(AE87 &lt; (INDEX(SLATable[Maximum SLA],MATCH(G87,SLATable[Priority],0))),"YES","NO"),"")</f>
        <v>YES</v>
      </c>
    </row>
    <row r="88" spans="2:36" ht="15" customHeight="1">
      <c r="B88" s="127" t="s">
        <v>26</v>
      </c>
      <c r="C88" s="127" t="s">
        <v>35</v>
      </c>
      <c r="D88" s="127" t="s">
        <v>207</v>
      </c>
      <c r="E88" s="130" t="s">
        <v>1225</v>
      </c>
      <c r="F88" s="130" t="s">
        <v>292</v>
      </c>
      <c r="G88" s="127">
        <v>4</v>
      </c>
      <c r="H88" s="130" t="s">
        <v>1226</v>
      </c>
      <c r="I88" s="127" t="s">
        <v>271</v>
      </c>
      <c r="J88" s="127" t="s">
        <v>1200</v>
      </c>
      <c r="K88" s="129">
        <v>46150.795127314814</v>
      </c>
      <c r="L88" s="129">
        <v>46150.795185185183</v>
      </c>
      <c r="M88" s="129">
        <v>46153.599733796298</v>
      </c>
      <c r="N88" s="129">
        <v>46154.472314814811</v>
      </c>
      <c r="O88" s="129"/>
      <c r="P88" s="129"/>
      <c r="Q88" s="130" t="s">
        <v>1073</v>
      </c>
      <c r="R88" s="127" t="s">
        <v>267</v>
      </c>
      <c r="S88" s="127" t="s">
        <v>149</v>
      </c>
      <c r="T88" s="127"/>
      <c r="U88" s="127" t="s">
        <v>371</v>
      </c>
      <c r="V88" s="127"/>
      <c r="W88" s="127"/>
      <c r="X88" s="127"/>
      <c r="Y88" s="127"/>
      <c r="Z88" s="169">
        <f t="shared" ca="1" si="9"/>
        <v>0.51398148147806444</v>
      </c>
      <c r="AA88" s="170">
        <f t="shared" ca="1" si="10"/>
        <v>1.3706172839415052</v>
      </c>
      <c r="AB88" s="169">
        <f t="shared" ca="1" si="11"/>
        <v>0.51398148147806444</v>
      </c>
      <c r="AC88" s="170">
        <f t="shared" ca="1" si="12"/>
        <v>1.3706172839415052</v>
      </c>
      <c r="AD88" s="169">
        <f t="shared" ca="1" si="13"/>
        <v>0.26640046296476305</v>
      </c>
      <c r="AE88" s="169">
        <f t="shared" ca="1" si="8"/>
        <v>0.51398148147806444</v>
      </c>
      <c r="AF88" s="170">
        <f t="shared" ca="1" si="14"/>
        <v>1.3706172839415052</v>
      </c>
      <c r="AG88" s="170">
        <f t="shared" ca="1" si="15"/>
        <v>1.3706172839415052</v>
      </c>
      <c r="AH88" s="28" t="str" cm="1">
        <f t="array" aca="1" ref="AH88" ca="1">IF((AD88) &lt; (INDEX(ResponseSLA[#All],(MATCH((G88),ResponseSLA[Priority],0))+1,3)),"YES","No")</f>
        <v>No</v>
      </c>
      <c r="AI88" s="28" t="str">
        <f ca="1">_xlfn.IFNA(IF(AE88 &lt; (INDEX(SLATable[Minimum SLA],MATCH(G88,SLATable[Priority],0))),"YES","NO"),"")</f>
        <v>YES</v>
      </c>
      <c r="AJ88" s="28" t="str">
        <f ca="1">_xlfn.IFNA(IF(AE88 &lt; (INDEX(SLATable[Maximum SLA],MATCH(G88,SLATable[Priority],0))),"YES","NO"),"")</f>
        <v>YES</v>
      </c>
    </row>
    <row r="89" spans="2:36" ht="15" customHeight="1">
      <c r="B89" s="127" t="s">
        <v>26</v>
      </c>
      <c r="C89" s="127" t="s">
        <v>35</v>
      </c>
      <c r="D89" s="127" t="s">
        <v>207</v>
      </c>
      <c r="E89" s="130" t="s">
        <v>1227</v>
      </c>
      <c r="F89" s="130" t="s">
        <v>295</v>
      </c>
      <c r="G89" s="127">
        <v>4</v>
      </c>
      <c r="H89" s="130" t="s">
        <v>1228</v>
      </c>
      <c r="I89" s="127" t="s">
        <v>271</v>
      </c>
      <c r="J89" s="127" t="s">
        <v>1200</v>
      </c>
      <c r="K89" s="129">
        <v>46150.678726851853</v>
      </c>
      <c r="L89" s="129">
        <v>46150.523078703707</v>
      </c>
      <c r="M89" s="129">
        <v>46153.608541666668</v>
      </c>
      <c r="N89" s="129">
        <v>46156.42659722222</v>
      </c>
      <c r="O89" s="129"/>
      <c r="P89" s="129"/>
      <c r="Q89" s="130" t="s">
        <v>1203</v>
      </c>
      <c r="R89" s="127" t="s">
        <v>267</v>
      </c>
      <c r="S89" s="127" t="s">
        <v>149</v>
      </c>
      <c r="T89" s="127"/>
      <c r="U89" s="127" t="s">
        <v>371</v>
      </c>
      <c r="V89" s="127"/>
      <c r="W89" s="127"/>
      <c r="X89" s="127"/>
      <c r="Y89" s="127"/>
      <c r="Z89" s="169">
        <f t="shared" ca="1" si="9"/>
        <v>1.2478703703673093</v>
      </c>
      <c r="AA89" s="170">
        <f t="shared" ca="1" si="10"/>
        <v>3.3276543209794918</v>
      </c>
      <c r="AB89" s="169">
        <f t="shared" ca="1" si="11"/>
        <v>1.4035185185130106</v>
      </c>
      <c r="AC89" s="170">
        <f t="shared" ca="1" si="12"/>
        <v>3.7427160493680285</v>
      </c>
      <c r="AD89" s="169">
        <f t="shared" ca="1" si="13"/>
        <v>0.46046296296117362</v>
      </c>
      <c r="AE89" s="169">
        <f t="shared" ca="1" si="8"/>
        <v>1.4035185185130106</v>
      </c>
      <c r="AF89" s="170">
        <f t="shared" ca="1" si="14"/>
        <v>3.7427160493680285</v>
      </c>
      <c r="AG89" s="170">
        <f t="shared" ca="1" si="15"/>
        <v>3.7427160493680285</v>
      </c>
      <c r="AH89" s="28" t="str" cm="1">
        <f t="array" aca="1" ref="AH89" ca="1">IF((AD89) &lt; (INDEX(ResponseSLA[#All],(MATCH((G89),ResponseSLA[Priority],0))+1,3)),"YES","No")</f>
        <v>No</v>
      </c>
      <c r="AI89" s="28" t="str">
        <f ca="1">_xlfn.IFNA(IF(AE89 &lt; (INDEX(SLATable[Minimum SLA],MATCH(G89,SLATable[Priority],0))),"YES","NO"),"")</f>
        <v>YES</v>
      </c>
      <c r="AJ89" s="28" t="str">
        <f ca="1">_xlfn.IFNA(IF(AE89 &lt; (INDEX(SLATable[Maximum SLA],MATCH(G89,SLATable[Priority],0))),"YES","NO"),"")</f>
        <v>YES</v>
      </c>
    </row>
    <row r="90" spans="2:36" ht="15" customHeight="1">
      <c r="B90" s="127" t="s">
        <v>26</v>
      </c>
      <c r="C90" s="127" t="s">
        <v>35</v>
      </c>
      <c r="D90" s="127" t="s">
        <v>207</v>
      </c>
      <c r="E90" s="130" t="s">
        <v>1229</v>
      </c>
      <c r="F90" s="130" t="s">
        <v>292</v>
      </c>
      <c r="G90" s="127">
        <v>3</v>
      </c>
      <c r="H90" s="130" t="s">
        <v>1230</v>
      </c>
      <c r="I90" s="127" t="s">
        <v>271</v>
      </c>
      <c r="J90" s="127" t="s">
        <v>1200</v>
      </c>
      <c r="K90" s="129">
        <v>46150.509479166663</v>
      </c>
      <c r="L90" s="129">
        <v>46150.523078703707</v>
      </c>
      <c r="M90" s="129">
        <v>46153.608541666668</v>
      </c>
      <c r="N90" s="129">
        <v>46154.544270833336</v>
      </c>
      <c r="O90" s="129"/>
      <c r="P90" s="129"/>
      <c r="Q90" s="130" t="s">
        <v>1073</v>
      </c>
      <c r="R90" s="127" t="s">
        <v>267</v>
      </c>
      <c r="S90" s="127" t="s">
        <v>149</v>
      </c>
      <c r="T90" s="127"/>
      <c r="U90" s="127" t="s">
        <v>371</v>
      </c>
      <c r="V90" s="127"/>
      <c r="W90" s="127"/>
      <c r="X90" s="127"/>
      <c r="Y90" s="127"/>
      <c r="Z90" s="169">
        <f t="shared" ca="1" si="9"/>
        <v>0.78479166667239042</v>
      </c>
      <c r="AA90" s="170">
        <f t="shared" ca="1" si="10"/>
        <v>2.092777777793041</v>
      </c>
      <c r="AB90" s="169">
        <f t="shared" ca="1" si="11"/>
        <v>0.77119212962861639</v>
      </c>
      <c r="AC90" s="170">
        <f t="shared" ca="1" si="12"/>
        <v>2.0565123456763104</v>
      </c>
      <c r="AD90" s="169">
        <f t="shared" ca="1" si="13"/>
        <v>0.46046296296117362</v>
      </c>
      <c r="AE90" s="169">
        <f t="shared" ca="1" si="8"/>
        <v>0.77119212962861639</v>
      </c>
      <c r="AF90" s="170">
        <f t="shared" ca="1" si="14"/>
        <v>2.0565123456763104</v>
      </c>
      <c r="AG90" s="170">
        <f t="shared" ca="1" si="15"/>
        <v>2.0565123456763104</v>
      </c>
      <c r="AH90" s="28" t="str" cm="1">
        <f t="array" aca="1" ref="AH90" ca="1">IF((AD90) &lt; (INDEX(ResponseSLA[#All],(MATCH((G90),ResponseSLA[Priority],0))+1,3)),"YES","No")</f>
        <v>No</v>
      </c>
      <c r="AI90" s="28" t="str">
        <f ca="1">_xlfn.IFNA(IF(AE90 &lt; (INDEX(SLATable[Minimum SLA],MATCH(G90,SLATable[Priority],0))),"YES","NO"),"")</f>
        <v>NO</v>
      </c>
      <c r="AJ90" s="28" t="str">
        <f ca="1">_xlfn.IFNA(IF(AE90 &lt; (INDEX(SLATable[Maximum SLA],MATCH(G90,SLATable[Priority],0))),"YES","NO"),"")</f>
        <v>YES</v>
      </c>
    </row>
    <row r="91" spans="2:36" ht="15" customHeight="1">
      <c r="B91" s="127" t="s">
        <v>26</v>
      </c>
      <c r="C91" s="127" t="s">
        <v>35</v>
      </c>
      <c r="D91" s="127" t="s">
        <v>207</v>
      </c>
      <c r="E91" s="130" t="s">
        <v>1231</v>
      </c>
      <c r="F91" s="130" t="s">
        <v>295</v>
      </c>
      <c r="G91" s="127">
        <v>3</v>
      </c>
      <c r="H91" s="130" t="s">
        <v>1232</v>
      </c>
      <c r="I91" s="127" t="s">
        <v>271</v>
      </c>
      <c r="J91" s="128" t="s">
        <v>1200</v>
      </c>
      <c r="K91" s="129">
        <v>46150.488611111112</v>
      </c>
      <c r="L91" s="129">
        <v>46150.488668981481</v>
      </c>
      <c r="M91" s="129">
        <v>46153.260949074072</v>
      </c>
      <c r="N91" s="129">
        <v>46154.351365740738</v>
      </c>
      <c r="O91" s="129"/>
      <c r="P91" s="129"/>
      <c r="Q91" s="130" t="s">
        <v>695</v>
      </c>
      <c r="R91" s="127" t="s">
        <v>267</v>
      </c>
      <c r="S91" s="127" t="s">
        <v>149</v>
      </c>
      <c r="T91" s="127"/>
      <c r="U91" s="127" t="s">
        <v>371</v>
      </c>
      <c r="V91" s="127"/>
      <c r="W91" s="127"/>
      <c r="X91" s="127"/>
      <c r="Y91" s="127"/>
      <c r="Z91" s="169">
        <f t="shared" ca="1" si="9"/>
        <v>0.61275462962657912</v>
      </c>
      <c r="AA91" s="170">
        <f t="shared" ca="1" si="10"/>
        <v>1.6340123456708777</v>
      </c>
      <c r="AB91" s="169">
        <f t="shared" ca="1" si="11"/>
        <v>0.61269675925723277</v>
      </c>
      <c r="AC91" s="170">
        <f t="shared" ca="1" si="12"/>
        <v>1.633858024685954</v>
      </c>
      <c r="AD91" s="169">
        <f t="shared" ca="1" si="13"/>
        <v>0.21966435185216449</v>
      </c>
      <c r="AE91" s="169">
        <f t="shared" ca="1" si="8"/>
        <v>0.61269675925723277</v>
      </c>
      <c r="AF91" s="170">
        <f t="shared" ca="1" si="14"/>
        <v>1.633858024685954</v>
      </c>
      <c r="AG91" s="170">
        <f t="shared" ca="1" si="15"/>
        <v>1.633858024685954</v>
      </c>
      <c r="AH91" s="28" t="str" cm="1">
        <f t="array" aca="1" ref="AH91" ca="1">IF((AD91) &lt; (INDEX(ResponseSLA[#All],(MATCH((G91),ResponseSLA[Priority],0))+1,3)),"YES","No")</f>
        <v>No</v>
      </c>
      <c r="AI91" s="28" t="str">
        <f ca="1">_xlfn.IFNA(IF(AE91 &lt; (INDEX(SLATable[Minimum SLA],MATCH(G91,SLATable[Priority],0))),"YES","NO"),"")</f>
        <v>NO</v>
      </c>
      <c r="AJ91" s="28" t="str">
        <f ca="1">_xlfn.IFNA(IF(AE91 &lt; (INDEX(SLATable[Maximum SLA],MATCH(G91,SLATable[Priority],0))),"YES","NO"),"")</f>
        <v>YES</v>
      </c>
    </row>
    <row r="92" spans="2:36" ht="15" customHeight="1">
      <c r="B92" s="127" t="s">
        <v>26</v>
      </c>
      <c r="C92" s="127" t="s">
        <v>35</v>
      </c>
      <c r="D92" s="127" t="s">
        <v>207</v>
      </c>
      <c r="E92" s="130" t="s">
        <v>1233</v>
      </c>
      <c r="F92" s="130" t="s">
        <v>292</v>
      </c>
      <c r="G92" s="127">
        <v>4</v>
      </c>
      <c r="H92" s="130" t="s">
        <v>1234</v>
      </c>
      <c r="I92" s="127" t="s">
        <v>271</v>
      </c>
      <c r="J92" s="128" t="s">
        <v>1200</v>
      </c>
      <c r="K92" s="129">
        <v>46149.772800925923</v>
      </c>
      <c r="L92" s="129">
        <v>46149.772858796299</v>
      </c>
      <c r="M92" s="129">
        <v>46150.29047453704</v>
      </c>
      <c r="N92" s="129">
        <v>46154.547777777778</v>
      </c>
      <c r="O92" s="129"/>
      <c r="P92" s="129"/>
      <c r="Q92" s="130" t="s">
        <v>1073</v>
      </c>
      <c r="R92" s="127" t="s">
        <v>267</v>
      </c>
      <c r="S92" s="127" t="s">
        <v>149</v>
      </c>
      <c r="T92" s="127"/>
      <c r="U92" s="127" t="s">
        <v>371</v>
      </c>
      <c r="V92" s="127"/>
      <c r="W92" s="127"/>
      <c r="X92" s="127"/>
      <c r="Y92" s="127"/>
      <c r="Z92" s="169">
        <f t="shared" ca="1" si="9"/>
        <v>0.96444444444447697</v>
      </c>
      <c r="AA92" s="170">
        <f t="shared" ca="1" si="10"/>
        <v>2.5718518518519384</v>
      </c>
      <c r="AB92" s="169">
        <f t="shared" ca="1" si="11"/>
        <v>0.96444444444447697</v>
      </c>
      <c r="AC92" s="170">
        <f t="shared" ca="1" si="12"/>
        <v>2.5718518518519384</v>
      </c>
      <c r="AD92" s="169">
        <f t="shared" ca="1" si="13"/>
        <v>0</v>
      </c>
      <c r="AE92" s="169">
        <f t="shared" ca="1" si="8"/>
        <v>0.96444444444447697</v>
      </c>
      <c r="AF92" s="170">
        <f t="shared" ca="1" si="14"/>
        <v>2.5718518518519384</v>
      </c>
      <c r="AG92" s="170">
        <f t="shared" ca="1" si="15"/>
        <v>2.5718518518519384</v>
      </c>
      <c r="AH92" s="28" t="str" cm="1">
        <f t="array" aca="1" ref="AH92" ca="1">IF((AD92) &lt; (INDEX(ResponseSLA[#All],(MATCH((G92),ResponseSLA[Priority],0))+1,3)),"YES","No")</f>
        <v>YES</v>
      </c>
      <c r="AI92" s="28" t="str">
        <f ca="1">_xlfn.IFNA(IF(AE92 &lt; (INDEX(SLATable[Minimum SLA],MATCH(G92,SLATable[Priority],0))),"YES","NO"),"")</f>
        <v>YES</v>
      </c>
      <c r="AJ92" s="28" t="str">
        <f ca="1">_xlfn.IFNA(IF(AE92 &lt; (INDEX(SLATable[Maximum SLA],MATCH(G92,SLATable[Priority],0))),"YES","NO"),"")</f>
        <v>YES</v>
      </c>
    </row>
    <row r="93" spans="2:36" ht="15" customHeight="1">
      <c r="B93" s="127" t="s">
        <v>26</v>
      </c>
      <c r="C93" s="127" t="s">
        <v>35</v>
      </c>
      <c r="D93" s="127" t="s">
        <v>207</v>
      </c>
      <c r="E93" s="130" t="s">
        <v>1235</v>
      </c>
      <c r="F93" s="130" t="s">
        <v>289</v>
      </c>
      <c r="G93" s="127">
        <v>3</v>
      </c>
      <c r="H93" s="130" t="s">
        <v>1236</v>
      </c>
      <c r="I93" s="127" t="s">
        <v>271</v>
      </c>
      <c r="J93" s="128" t="s">
        <v>1200</v>
      </c>
      <c r="K93" s="129">
        <v>46149.43949074074</v>
      </c>
      <c r="L93" s="129">
        <v>46149.439502314817</v>
      </c>
      <c r="M93" s="129">
        <v>46149.440810185188</v>
      </c>
      <c r="N93" s="129">
        <v>46155.576574074075</v>
      </c>
      <c r="O93" s="129"/>
      <c r="P93" s="129"/>
      <c r="Q93" s="130" t="s">
        <v>1101</v>
      </c>
      <c r="R93" s="127" t="s">
        <v>267</v>
      </c>
      <c r="S93" s="127" t="s">
        <v>199</v>
      </c>
      <c r="T93" s="127"/>
      <c r="U93" s="127" t="s">
        <v>371</v>
      </c>
      <c r="V93" s="127"/>
      <c r="W93" s="127"/>
      <c r="X93" s="127"/>
      <c r="Y93" s="127"/>
      <c r="Z93" s="169">
        <f t="shared" ca="1" si="9"/>
        <v>1.6370833333348855</v>
      </c>
      <c r="AA93" s="170">
        <f t="shared" ca="1" si="10"/>
        <v>4.3655555555596948</v>
      </c>
      <c r="AB93" s="169">
        <f t="shared" ca="1" si="11"/>
        <v>1.6370717592581059</v>
      </c>
      <c r="AC93" s="170">
        <f t="shared" ca="1" si="12"/>
        <v>4.365524691354949</v>
      </c>
      <c r="AD93" s="169">
        <f t="shared" ca="1" si="13"/>
        <v>1.3078703705104999E-3</v>
      </c>
      <c r="AE93" s="169">
        <f t="shared" ca="1" si="8"/>
        <v>1.6370717592581059</v>
      </c>
      <c r="AF93" s="170">
        <f t="shared" ca="1" si="14"/>
        <v>4.365524691354949</v>
      </c>
      <c r="AG93" s="170">
        <f t="shared" ca="1" si="15"/>
        <v>4.365524691354949</v>
      </c>
      <c r="AH93" s="28" t="str" cm="1">
        <f t="array" aca="1" ref="AH93" ca="1">IF((AD93) &lt; (INDEX(ResponseSLA[#All],(MATCH((G93),ResponseSLA[Priority],0))+1,3)),"YES","No")</f>
        <v>YES</v>
      </c>
      <c r="AI93" s="28" t="str">
        <f ca="1">_xlfn.IFNA(IF(AE93 &lt; (INDEX(SLATable[Minimum SLA],MATCH(G93,SLATable[Priority],0))),"YES","NO"),"")</f>
        <v>NO</v>
      </c>
      <c r="AJ93" s="28" t="str">
        <f ca="1">_xlfn.IFNA(IF(AE93 &lt; (INDEX(SLATable[Maximum SLA],MATCH(G93,SLATable[Priority],0))),"YES","NO"),"")</f>
        <v>YES</v>
      </c>
    </row>
    <row r="94" spans="2:36" ht="15" customHeight="1">
      <c r="B94" s="127" t="s">
        <v>26</v>
      </c>
      <c r="C94" s="127" t="s">
        <v>35</v>
      </c>
      <c r="D94" s="127" t="s">
        <v>207</v>
      </c>
      <c r="E94" s="130" t="s">
        <v>1237</v>
      </c>
      <c r="F94" s="130" t="s">
        <v>292</v>
      </c>
      <c r="G94" s="127">
        <v>4</v>
      </c>
      <c r="H94" s="130" t="s">
        <v>1238</v>
      </c>
      <c r="I94" s="127" t="s">
        <v>271</v>
      </c>
      <c r="J94" s="128" t="s">
        <v>1200</v>
      </c>
      <c r="K94" s="129">
        <v>46148.753807870373</v>
      </c>
      <c r="L94" s="129">
        <v>46148.786261574074</v>
      </c>
      <c r="M94" s="129">
        <v>46149.540995370371</v>
      </c>
      <c r="N94" s="129">
        <v>46149.546064814815</v>
      </c>
      <c r="O94" s="129"/>
      <c r="P94" s="129"/>
      <c r="Q94" s="130" t="s">
        <v>1073</v>
      </c>
      <c r="R94" s="127" t="s">
        <v>267</v>
      </c>
      <c r="S94" s="127" t="s">
        <v>149</v>
      </c>
      <c r="T94" s="127"/>
      <c r="U94" s="127" t="s">
        <v>371</v>
      </c>
      <c r="V94" s="127"/>
      <c r="W94" s="127"/>
      <c r="X94" s="127"/>
      <c r="Y94" s="127"/>
      <c r="Z94" s="169">
        <f t="shared" ca="1" si="9"/>
        <v>0.21273148148126586</v>
      </c>
      <c r="AA94" s="170">
        <f t="shared" ca="1" si="10"/>
        <v>0.567283950616709</v>
      </c>
      <c r="AB94" s="169">
        <f t="shared" ca="1" si="11"/>
        <v>0.21273148148126586</v>
      </c>
      <c r="AC94" s="170">
        <f t="shared" ca="1" si="12"/>
        <v>0.567283950616709</v>
      </c>
      <c r="AD94" s="169">
        <f t="shared" ca="1" si="13"/>
        <v>0.20766203703775921</v>
      </c>
      <c r="AE94" s="169">
        <f t="shared" ca="1" si="8"/>
        <v>0.21273148148126586</v>
      </c>
      <c r="AF94" s="170">
        <f t="shared" ca="1" si="14"/>
        <v>0.567283950616709</v>
      </c>
      <c r="AG94" s="170">
        <f t="shared" ca="1" si="15"/>
        <v>0.567283950616709</v>
      </c>
      <c r="AH94" s="28" t="str" cm="1">
        <f t="array" aca="1" ref="AH94" ca="1">IF((AD94) &lt; (INDEX(ResponseSLA[#All],(MATCH((G94),ResponseSLA[Priority],0))+1,3)),"YES","No")</f>
        <v>No</v>
      </c>
      <c r="AI94" s="28" t="str">
        <f ca="1">_xlfn.IFNA(IF(AE94 &lt; (INDEX(SLATable[Minimum SLA],MATCH(G94,SLATable[Priority],0))),"YES","NO"),"")</f>
        <v>YES</v>
      </c>
      <c r="AJ94" s="28" t="str">
        <f ca="1">_xlfn.IFNA(IF(AE94 &lt; (INDEX(SLATable[Maximum SLA],MATCH(G94,SLATable[Priority],0))),"YES","NO"),"")</f>
        <v>YES</v>
      </c>
    </row>
    <row r="95" spans="2:36" ht="15" customHeight="1">
      <c r="B95" s="127" t="s">
        <v>26</v>
      </c>
      <c r="C95" s="127" t="s">
        <v>35</v>
      </c>
      <c r="D95" s="127" t="s">
        <v>207</v>
      </c>
      <c r="E95" s="130" t="s">
        <v>1239</v>
      </c>
      <c r="F95" s="130" t="s">
        <v>289</v>
      </c>
      <c r="G95" s="127">
        <v>4</v>
      </c>
      <c r="H95" s="130" t="s">
        <v>1240</v>
      </c>
      <c r="I95" s="127" t="s">
        <v>271</v>
      </c>
      <c r="J95" s="128" t="s">
        <v>1200</v>
      </c>
      <c r="K95" s="129">
        <v>46144.054328703707</v>
      </c>
      <c r="L95" s="129">
        <v>46144.054456018515</v>
      </c>
      <c r="M95" s="129">
        <v>46146.424502314818</v>
      </c>
      <c r="N95" s="129">
        <v>46147.411423611113</v>
      </c>
      <c r="O95" s="129"/>
      <c r="P95" s="129"/>
      <c r="Q95" s="130" t="s">
        <v>1065</v>
      </c>
      <c r="R95" s="127" t="s">
        <v>267</v>
      </c>
      <c r="S95" s="127" t="s">
        <v>149</v>
      </c>
      <c r="T95" s="127"/>
      <c r="U95" s="127" t="s">
        <v>371</v>
      </c>
      <c r="V95" s="127"/>
      <c r="W95" s="127"/>
      <c r="X95" s="127"/>
      <c r="Y95" s="127"/>
      <c r="Z95" s="169">
        <f t="shared" ca="1" si="9"/>
        <v>7.8090277779362338E-2</v>
      </c>
      <c r="AA95" s="170">
        <f t="shared" ca="1" si="10"/>
        <v>0.20824074074496624</v>
      </c>
      <c r="AB95" s="169">
        <f t="shared" ca="1" si="11"/>
        <v>7.8090277779362338E-2</v>
      </c>
      <c r="AC95" s="170">
        <f t="shared" ca="1" si="12"/>
        <v>0.20824074074496624</v>
      </c>
      <c r="AD95" s="169">
        <f t="shared" ca="1" si="13"/>
        <v>0</v>
      </c>
      <c r="AE95" s="169">
        <f t="shared" ca="1" si="8"/>
        <v>7.8090277779362338E-2</v>
      </c>
      <c r="AF95" s="170">
        <f t="shared" ca="1" si="14"/>
        <v>0.20824074074496624</v>
      </c>
      <c r="AG95" s="170">
        <f t="shared" ca="1" si="15"/>
        <v>0.20824074074496624</v>
      </c>
      <c r="AH95" s="28" t="str" cm="1">
        <f t="array" aca="1" ref="AH95" ca="1">IF((AD95) &lt; (INDEX(ResponseSLA[#All],(MATCH((G95),ResponseSLA[Priority],0))+1,3)),"YES","No")</f>
        <v>YES</v>
      </c>
      <c r="AI95" s="28" t="str">
        <f ca="1">_xlfn.IFNA(IF(AE95 &lt; (INDEX(SLATable[Minimum SLA],MATCH(G95,SLATable[Priority],0))),"YES","NO"),"")</f>
        <v>YES</v>
      </c>
      <c r="AJ95" s="28" t="str">
        <f ca="1">_xlfn.IFNA(IF(AE95 &lt; (INDEX(SLATable[Maximum SLA],MATCH(G95,SLATable[Priority],0))),"YES","NO"),"")</f>
        <v>YES</v>
      </c>
    </row>
    <row r="96" spans="2:36" ht="15" customHeight="1">
      <c r="B96" s="127" t="s">
        <v>26</v>
      </c>
      <c r="C96" s="127" t="s">
        <v>35</v>
      </c>
      <c r="D96" s="127" t="s">
        <v>207</v>
      </c>
      <c r="E96" s="130" t="s">
        <v>1241</v>
      </c>
      <c r="F96" s="130" t="s">
        <v>295</v>
      </c>
      <c r="G96" s="127">
        <v>3</v>
      </c>
      <c r="H96" s="130" t="s">
        <v>1242</v>
      </c>
      <c r="I96" s="127" t="s">
        <v>271</v>
      </c>
      <c r="J96" s="128" t="s">
        <v>1200</v>
      </c>
      <c r="K96" s="129">
        <v>46142.410694444443</v>
      </c>
      <c r="L96" s="129">
        <v>46142.410717592589</v>
      </c>
      <c r="M96" s="129">
        <v>46148.320416666669</v>
      </c>
      <c r="N96" s="129">
        <v>46157.490451388891</v>
      </c>
      <c r="O96" s="129">
        <v>46149.489884259259</v>
      </c>
      <c r="P96" s="129">
        <v>46157.490451388891</v>
      </c>
      <c r="Q96" s="130" t="s">
        <v>1137</v>
      </c>
      <c r="R96" s="127" t="s">
        <v>267</v>
      </c>
      <c r="S96" s="127" t="s">
        <v>199</v>
      </c>
      <c r="T96" s="127"/>
      <c r="U96" s="127" t="s">
        <v>371</v>
      </c>
      <c r="V96" s="127"/>
      <c r="W96" s="127"/>
      <c r="X96" s="127"/>
      <c r="Y96" s="127"/>
      <c r="Z96" s="169">
        <f t="shared" ca="1" si="9"/>
        <v>1.2041898148163455</v>
      </c>
      <c r="AA96" s="170">
        <f t="shared" ca="1" si="10"/>
        <v>3.2111728395102546</v>
      </c>
      <c r="AB96" s="169">
        <f t="shared" ca="1" si="11"/>
        <v>1.2041666666700621</v>
      </c>
      <c r="AC96" s="170">
        <f t="shared" ca="1" si="12"/>
        <v>3.2111111111201658</v>
      </c>
      <c r="AD96" s="169">
        <f t="shared" ca="1" si="13"/>
        <v>0.67261574074412556</v>
      </c>
      <c r="AE96" s="169">
        <f t="shared" ca="1" si="8"/>
        <v>1.2041666666700621</v>
      </c>
      <c r="AF96" s="170">
        <f t="shared" ca="1" si="14"/>
        <v>3.2111111111201658</v>
      </c>
      <c r="AG96" s="170">
        <f t="shared" ca="1" si="15"/>
        <v>3.2111111111201658</v>
      </c>
      <c r="AH96" s="28" t="str" cm="1">
        <f t="array" aca="1" ref="AH96" ca="1">IF((AD96) &lt; (INDEX(ResponseSLA[#All],(MATCH((G96),ResponseSLA[Priority],0))+1,3)),"YES","No")</f>
        <v>No</v>
      </c>
      <c r="AI96" s="28" t="str">
        <f ca="1">_xlfn.IFNA(IF(AE96 &lt; (INDEX(SLATable[Minimum SLA],MATCH(G96,SLATable[Priority],0))),"YES","NO"),"")</f>
        <v>NO</v>
      </c>
      <c r="AJ96" s="28" t="str">
        <f ca="1">_xlfn.IFNA(IF(AE96 &lt; (INDEX(SLATable[Maximum SLA],MATCH(G96,SLATable[Priority],0))),"YES","NO"),"")</f>
        <v>YES</v>
      </c>
    </row>
    <row r="97" spans="2:36" ht="15" customHeight="1">
      <c r="B97" s="127" t="s">
        <v>26</v>
      </c>
      <c r="C97" s="127" t="s">
        <v>35</v>
      </c>
      <c r="D97" s="127" t="s">
        <v>207</v>
      </c>
      <c r="E97" s="130" t="s">
        <v>1243</v>
      </c>
      <c r="F97" s="130" t="s">
        <v>295</v>
      </c>
      <c r="G97" s="127">
        <v>4</v>
      </c>
      <c r="H97" s="130" t="s">
        <v>1244</v>
      </c>
      <c r="I97" s="127" t="s">
        <v>271</v>
      </c>
      <c r="J97" s="128" t="s">
        <v>1200</v>
      </c>
      <c r="K97" s="129">
        <v>46140.632013888891</v>
      </c>
      <c r="L97" s="129">
        <v>46140.634409722225</v>
      </c>
      <c r="M97" s="129">
        <v>46148.328900462962</v>
      </c>
      <c r="N97" s="129">
        <v>46150.43953703704</v>
      </c>
      <c r="O97" s="129"/>
      <c r="P97" s="129"/>
      <c r="Q97" s="130" t="s">
        <v>1137</v>
      </c>
      <c r="R97" s="127" t="s">
        <v>267</v>
      </c>
      <c r="S97" s="127" t="s">
        <v>149</v>
      </c>
      <c r="T97" s="127"/>
      <c r="U97" s="127" t="s">
        <v>371</v>
      </c>
      <c r="V97" s="127"/>
      <c r="W97" s="127"/>
      <c r="X97" s="127"/>
      <c r="Y97" s="127"/>
      <c r="Z97" s="169">
        <f t="shared" ca="1" si="9"/>
        <v>2.0575231481489031</v>
      </c>
      <c r="AA97" s="170">
        <f t="shared" ca="1" si="10"/>
        <v>5.486728395063742</v>
      </c>
      <c r="AB97" s="169">
        <f t="shared" ca="1" si="11"/>
        <v>2.0551273148157638</v>
      </c>
      <c r="AC97" s="170">
        <f t="shared" ca="1" si="12"/>
        <v>5.4803395061753708</v>
      </c>
      <c r="AD97" s="169">
        <f t="shared" ca="1" si="13"/>
        <v>1.1989236111088153</v>
      </c>
      <c r="AE97" s="169">
        <f t="shared" ca="1" si="8"/>
        <v>2.0551273148157638</v>
      </c>
      <c r="AF97" s="170">
        <f t="shared" ca="1" si="14"/>
        <v>5.4803395061753708</v>
      </c>
      <c r="AG97" s="170">
        <f t="shared" ca="1" si="15"/>
        <v>5.4803395061753708</v>
      </c>
      <c r="AH97" s="28" t="str" cm="1">
        <f t="array" aca="1" ref="AH97" ca="1">IF((AD97) &lt; (INDEX(ResponseSLA[#All],(MATCH((G97),ResponseSLA[Priority],0))+1,3)),"YES","No")</f>
        <v>No</v>
      </c>
      <c r="AI97" s="28" t="str">
        <f ca="1">_xlfn.IFNA(IF(AE97 &lt; (INDEX(SLATable[Minimum SLA],MATCH(G97,SLATable[Priority],0))),"YES","NO"),"")</f>
        <v>YES</v>
      </c>
      <c r="AJ97" s="28" t="str">
        <f ca="1">_xlfn.IFNA(IF(AE97 &lt; (INDEX(SLATable[Maximum SLA],MATCH(G97,SLATable[Priority],0))),"YES","NO"),"")</f>
        <v>YES</v>
      </c>
    </row>
    <row r="98" spans="2:36" ht="15" customHeight="1">
      <c r="B98" s="127" t="s">
        <v>26</v>
      </c>
      <c r="C98" s="127" t="s">
        <v>35</v>
      </c>
      <c r="D98" s="127" t="s">
        <v>207</v>
      </c>
      <c r="E98" s="130" t="s">
        <v>1245</v>
      </c>
      <c r="F98" s="127" t="s">
        <v>303</v>
      </c>
      <c r="G98" s="127">
        <v>2</v>
      </c>
      <c r="H98" s="130" t="s">
        <v>1246</v>
      </c>
      <c r="I98" s="127" t="s">
        <v>271</v>
      </c>
      <c r="J98" s="130" t="s">
        <v>1200</v>
      </c>
      <c r="K98" s="129">
        <v>46166.696469907409</v>
      </c>
      <c r="L98" s="129">
        <v>46166.709247685183</v>
      </c>
      <c r="M98" s="129">
        <v>46166.710231481484</v>
      </c>
      <c r="N98" s="129">
        <v>46166.766018518516</v>
      </c>
      <c r="O98" s="129"/>
      <c r="P98" s="129"/>
      <c r="Q98" s="127" t="s">
        <v>1247</v>
      </c>
      <c r="R98" s="127" t="s">
        <v>267</v>
      </c>
      <c r="S98" s="127" t="s">
        <v>149</v>
      </c>
      <c r="T98" s="127"/>
      <c r="U98" s="127" t="s">
        <v>371</v>
      </c>
      <c r="V98" s="127"/>
      <c r="W98" s="127"/>
      <c r="X98" s="127"/>
      <c r="Y98" s="127"/>
      <c r="Z98" s="169">
        <f t="shared" ca="1" si="9"/>
        <v>6.9548611107165925E-2</v>
      </c>
      <c r="AA98" s="170">
        <f t="shared" ca="1" si="10"/>
        <v>0.18546296295244247</v>
      </c>
      <c r="AB98" s="169">
        <f t="shared" ca="1" si="11"/>
        <v>5.6770833332848269E-2</v>
      </c>
      <c r="AC98" s="170">
        <f t="shared" ca="1" si="12"/>
        <v>0.15138888888759539</v>
      </c>
      <c r="AD98" s="169">
        <f t="shared" ca="1" si="13"/>
        <v>9.8379630071576685E-4</v>
      </c>
      <c r="AE98" s="169">
        <f t="shared" ca="1" si="8"/>
        <v>5.6770833332848269E-2</v>
      </c>
      <c r="AF98" s="170">
        <f t="shared" ca="1" si="14"/>
        <v>0.15138888888759539</v>
      </c>
      <c r="AG98" s="170">
        <f t="shared" ca="1" si="15"/>
        <v>0.15138888888759539</v>
      </c>
      <c r="AH98" s="28" t="str" cm="1">
        <f t="array" aca="1" ref="AH98" ca="1">IF((AD98) &lt; (INDEX(ResponseSLA[#All],(MATCH((G98),ResponseSLA[Priority],0))+1,3)),"YES","No")</f>
        <v>YES</v>
      </c>
      <c r="AI98" s="28" t="str">
        <f ca="1">_xlfn.IFNA(IF(AE98 &lt; (INDEX(SLATable[Minimum SLA],MATCH(G98,SLATable[Priority],0))),"YES","NO"),"")</f>
        <v>YES</v>
      </c>
      <c r="AJ98" s="28" t="str">
        <f ca="1">_xlfn.IFNA(IF(AE98 &lt; (INDEX(SLATable[Maximum SLA],MATCH(G98,SLATable[Priority],0))),"YES","NO"),"")</f>
        <v>YES</v>
      </c>
    </row>
    <row r="99" spans="2:36" ht="15" customHeight="1">
      <c r="B99" s="127" t="s">
        <v>26</v>
      </c>
      <c r="C99" s="127" t="s">
        <v>35</v>
      </c>
      <c r="D99" s="127" t="s">
        <v>208</v>
      </c>
      <c r="E99" s="130" t="s">
        <v>1248</v>
      </c>
      <c r="F99" s="130" t="s">
        <v>303</v>
      </c>
      <c r="G99" s="127" t="s">
        <v>208</v>
      </c>
      <c r="H99" s="130" t="s">
        <v>1249</v>
      </c>
      <c r="I99" s="127" t="s">
        <v>260</v>
      </c>
      <c r="J99" s="127" t="s">
        <v>1250</v>
      </c>
      <c r="K99" s="129">
        <v>46139.253425925926</v>
      </c>
      <c r="L99" s="129">
        <v>46139.253425925926</v>
      </c>
      <c r="M99" s="129">
        <v>46139.352164351854</v>
      </c>
      <c r="N99" s="129"/>
      <c r="O99" s="129"/>
      <c r="P99" s="129"/>
      <c r="Q99" s="130" t="s">
        <v>1251</v>
      </c>
      <c r="R99" s="127"/>
      <c r="S99" s="127"/>
      <c r="T99" s="127"/>
      <c r="U99" s="127" t="s">
        <v>371</v>
      </c>
      <c r="V99" s="127"/>
      <c r="W99" s="127"/>
      <c r="X99" s="127"/>
      <c r="Y99" s="127"/>
      <c r="Z99" s="169">
        <f t="shared" ca="1" si="9"/>
        <v>31.425640740739865</v>
      </c>
      <c r="AA99" s="170">
        <f t="shared" ca="1" si="10"/>
        <v>83.801708641972979</v>
      </c>
      <c r="AB99" s="169">
        <f t="shared" ca="1" si="11"/>
        <v>31.425640740739865</v>
      </c>
      <c r="AC99" s="170">
        <f t="shared" ca="1" si="12"/>
        <v>83.801708641972979</v>
      </c>
      <c r="AD99" s="169">
        <f t="shared" ca="1" si="13"/>
        <v>1.8831018520965415E-2</v>
      </c>
      <c r="AE99" s="169">
        <f t="shared" ca="1" si="8"/>
        <v>44.429147685181917</v>
      </c>
      <c r="AF99" s="170">
        <f t="shared" ca="1" si="14"/>
        <v>118.4777271604851</v>
      </c>
      <c r="AG99" s="170">
        <f t="shared" ca="1" si="15"/>
        <v>118.4777271604851</v>
      </c>
      <c r="AH99" s="28" t="str" cm="1">
        <f t="array" aca="1" ref="AH99" ca="1">IF((AD99) &lt; (INDEX(ResponseSLA[#All],(MATCH((G99),ResponseSLA[Priority],0))+1,3)),"YES","No")</f>
        <v>YES</v>
      </c>
      <c r="AI99" s="28" t="str">
        <f ca="1">_xlfn.IFNA(IF(AE99 &lt; (INDEX(SLATable[Minimum SLA],MATCH(G99,SLATable[Priority],0))),"YES","NO"),"")</f>
        <v>NO</v>
      </c>
      <c r="AJ99" s="28" t="str">
        <f ca="1">_xlfn.IFNA(IF(AE99 &lt; (INDEX(SLATable[Maximum SLA],MATCH(G99,SLATable[Priority],0))),"YES","NO"),"")</f>
        <v>NO</v>
      </c>
    </row>
    <row r="100" spans="2:36" ht="15" customHeight="1">
      <c r="B100" s="127" t="s">
        <v>26</v>
      </c>
      <c r="C100" s="127" t="s">
        <v>35</v>
      </c>
      <c r="D100" s="127" t="s">
        <v>208</v>
      </c>
      <c r="E100" s="130" t="s">
        <v>1252</v>
      </c>
      <c r="F100" s="130" t="s">
        <v>303</v>
      </c>
      <c r="G100" s="127" t="s">
        <v>208</v>
      </c>
      <c r="H100" s="130" t="s">
        <v>1253</v>
      </c>
      <c r="I100" s="127" t="s">
        <v>260</v>
      </c>
      <c r="J100" s="127" t="s">
        <v>1250</v>
      </c>
      <c r="K100" s="129">
        <v>46153.254293981481</v>
      </c>
      <c r="L100" s="129">
        <v>46153.254293981481</v>
      </c>
      <c r="M100" s="129">
        <v>46154.442071759258</v>
      </c>
      <c r="N100" s="129"/>
      <c r="O100" s="129"/>
      <c r="P100" s="129"/>
      <c r="Q100" s="130" t="s">
        <v>1247</v>
      </c>
      <c r="R100" s="127"/>
      <c r="S100" s="127"/>
      <c r="T100" s="127"/>
      <c r="U100" s="127" t="s">
        <v>371</v>
      </c>
      <c r="V100" s="127"/>
      <c r="W100" s="127"/>
      <c r="X100" s="127"/>
      <c r="Y100" s="127"/>
      <c r="Z100" s="169">
        <f t="shared" ca="1" si="9"/>
        <v>28.425640740739865</v>
      </c>
      <c r="AA100" s="170">
        <f t="shared" ca="1" si="10"/>
        <v>75.801708641972979</v>
      </c>
      <c r="AB100" s="169">
        <f t="shared" ca="1" si="11"/>
        <v>28.425640740739865</v>
      </c>
      <c r="AC100" s="170">
        <f t="shared" ca="1" si="12"/>
        <v>75.801708641972979</v>
      </c>
      <c r="AD100" s="169">
        <f t="shared" ca="1" si="13"/>
        <v>0.48373842592506361</v>
      </c>
      <c r="AE100" s="169">
        <f t="shared" ca="1" si="8"/>
        <v>37.96595324074103</v>
      </c>
      <c r="AF100" s="170">
        <f t="shared" ca="1" si="14"/>
        <v>101.24254197530941</v>
      </c>
      <c r="AG100" s="170">
        <f t="shared" ca="1" si="15"/>
        <v>101.24254197530941</v>
      </c>
      <c r="AH100" s="28" t="str" cm="1">
        <f t="array" aca="1" ref="AH100" ca="1">IF((AD100) &lt; (INDEX(ResponseSLA[#All],(MATCH((G100),ResponseSLA[Priority],0))+1,3)),"YES","No")</f>
        <v>No</v>
      </c>
      <c r="AI100" s="28" t="s">
        <v>1254</v>
      </c>
      <c r="AJ100" s="28" t="str">
        <f ca="1">_xlfn.IFNA(IF(AE100 &lt; (INDEX(SLATable[Maximum SLA],MATCH(G100,SLATable[Priority],0))),"YES","NO"),"")</f>
        <v>NO</v>
      </c>
    </row>
    <row r="101" spans="2:36" ht="15" customHeight="1">
      <c r="B101" s="127" t="s">
        <v>26</v>
      </c>
      <c r="C101" s="127" t="s">
        <v>35</v>
      </c>
      <c r="D101" s="127" t="s">
        <v>208</v>
      </c>
      <c r="E101" s="130" t="s">
        <v>1255</v>
      </c>
      <c r="F101" s="130" t="s">
        <v>303</v>
      </c>
      <c r="G101" s="127" t="s">
        <v>208</v>
      </c>
      <c r="H101" s="130" t="s">
        <v>1256</v>
      </c>
      <c r="I101" s="127" t="s">
        <v>260</v>
      </c>
      <c r="J101" s="127" t="s">
        <v>1250</v>
      </c>
      <c r="K101" s="129">
        <v>46153.254953703705</v>
      </c>
      <c r="L101" s="129">
        <v>46153.254953703705</v>
      </c>
      <c r="M101" s="129">
        <v>46154.446261574078</v>
      </c>
      <c r="N101" s="129"/>
      <c r="O101" s="129"/>
      <c r="P101" s="129"/>
      <c r="Q101" s="130" t="s">
        <v>1257</v>
      </c>
      <c r="R101" s="127"/>
      <c r="S101" s="127"/>
      <c r="T101" s="127"/>
      <c r="U101" s="127" t="s">
        <v>371</v>
      </c>
      <c r="V101" s="127"/>
      <c r="W101" s="127"/>
      <c r="X101" s="127"/>
      <c r="Y101" s="127"/>
      <c r="Z101" s="169">
        <f t="shared" ca="1" si="9"/>
        <v>28.425640740739865</v>
      </c>
      <c r="AA101" s="170">
        <f t="shared" ca="1" si="10"/>
        <v>75.801708641972979</v>
      </c>
      <c r="AB101" s="169">
        <f t="shared" ca="1" si="11"/>
        <v>28.425640740739865</v>
      </c>
      <c r="AC101" s="170">
        <f t="shared" ca="1" si="12"/>
        <v>75.801708641972979</v>
      </c>
      <c r="AD101" s="169">
        <f t="shared" ca="1" si="13"/>
        <v>0.48792824074431945</v>
      </c>
      <c r="AE101" s="169">
        <f t="shared" ca="1" si="8"/>
        <v>34.414726388890514</v>
      </c>
      <c r="AF101" s="170">
        <f t="shared" ca="1" si="14"/>
        <v>91.772603703708043</v>
      </c>
      <c r="AG101" s="170">
        <f t="shared" ca="1" si="15"/>
        <v>91.772603703708043</v>
      </c>
      <c r="AH101" s="28" t="str" cm="1">
        <f t="array" aca="1" ref="AH101" ca="1">IF((AD101) &lt; (INDEX(ResponseSLA[#All],(MATCH((G101),ResponseSLA[Priority],0))+1,3)),"YES","No")</f>
        <v>No</v>
      </c>
      <c r="AI101" s="28" t="str">
        <f ca="1">_xlfn.IFNA(IF(AE101 &lt; (INDEX(SLATable[Minimum SLA],MATCH(G101,SLATable[Priority],0))),"YES","NO"),"")</f>
        <v>NO</v>
      </c>
      <c r="AJ101" s="28" t="str">
        <f ca="1">_xlfn.IFNA(IF(AE101 &lt; (INDEX(SLATable[Maximum SLA],MATCH(G101,SLATable[Priority],0))),"YES","NO"),"")</f>
        <v>NO</v>
      </c>
    </row>
    <row r="102" spans="2:36" ht="15" customHeight="1">
      <c r="B102" s="127" t="s">
        <v>26</v>
      </c>
      <c r="C102" s="127" t="s">
        <v>35</v>
      </c>
      <c r="D102" s="127" t="s">
        <v>208</v>
      </c>
      <c r="E102" s="130" t="s">
        <v>1258</v>
      </c>
      <c r="F102" s="130" t="s">
        <v>303</v>
      </c>
      <c r="G102" s="127" t="s">
        <v>208</v>
      </c>
      <c r="H102" s="130" t="s">
        <v>1259</v>
      </c>
      <c r="I102" s="127" t="s">
        <v>260</v>
      </c>
      <c r="J102" s="127" t="s">
        <v>1250</v>
      </c>
      <c r="K102" s="129">
        <v>46160.254062499997</v>
      </c>
      <c r="L102" s="129">
        <v>46160.254062499997</v>
      </c>
      <c r="M102" s="129">
        <v>46160.479629629626</v>
      </c>
      <c r="N102" s="129"/>
      <c r="O102" s="129"/>
      <c r="P102" s="129"/>
      <c r="Q102" s="130" t="s">
        <v>1260</v>
      </c>
      <c r="R102" s="127"/>
      <c r="S102" s="127"/>
      <c r="T102" s="127"/>
      <c r="U102" s="127" t="s">
        <v>371</v>
      </c>
      <c r="V102" s="127"/>
      <c r="W102" s="127"/>
      <c r="X102" s="127"/>
      <c r="Y102" s="127"/>
      <c r="Z102" s="169">
        <f t="shared" ca="1" si="9"/>
        <v>26.550640740739865</v>
      </c>
      <c r="AA102" s="170">
        <f t="shared" ca="1" si="10"/>
        <v>70.801708641972979</v>
      </c>
      <c r="AB102" s="169">
        <f t="shared" ca="1" si="11"/>
        <v>26.550640740739865</v>
      </c>
      <c r="AC102" s="170">
        <f t="shared" ca="1" si="12"/>
        <v>70.801708641972979</v>
      </c>
      <c r="AD102" s="169">
        <f t="shared" ca="1" si="13"/>
        <v>0.14629629629295476</v>
      </c>
      <c r="AE102" s="169">
        <f t="shared" ca="1" si="8"/>
        <v>34.07795555555883</v>
      </c>
      <c r="AF102" s="170">
        <f t="shared" ca="1" si="14"/>
        <v>90.874548148156876</v>
      </c>
      <c r="AG102" s="170">
        <f t="shared" ca="1" si="15"/>
        <v>90.874548148156876</v>
      </c>
      <c r="AH102" s="28" t="str" cm="1">
        <f t="array" aca="1" ref="AH102" ca="1">IF((AD102) &lt; (INDEX(ResponseSLA[#All],(MATCH((G102),ResponseSLA[Priority],0))+1,3)),"YES","No")</f>
        <v>YES</v>
      </c>
      <c r="AI102" s="28" t="str">
        <f ca="1">_xlfn.IFNA(IF(AE102 &lt; (INDEX(SLATable[Minimum SLA],MATCH(G102,SLATable[Priority],0))),"YES","NO"),"")</f>
        <v>NO</v>
      </c>
      <c r="AJ102" s="28" t="str">
        <f ca="1">_xlfn.IFNA(IF(AE102 &lt; (INDEX(SLATable[Maximum SLA],MATCH(G102,SLATable[Priority],0))),"YES","NO"),"")</f>
        <v>NO</v>
      </c>
    </row>
    <row r="103" spans="2:36" ht="15" customHeight="1">
      <c r="B103" s="127" t="s">
        <v>26</v>
      </c>
      <c r="C103" s="127" t="s">
        <v>35</v>
      </c>
      <c r="D103" s="127" t="s">
        <v>208</v>
      </c>
      <c r="E103" s="130" t="s">
        <v>1261</v>
      </c>
      <c r="F103" s="130" t="s">
        <v>295</v>
      </c>
      <c r="G103" s="127" t="s">
        <v>208</v>
      </c>
      <c r="H103" s="130" t="s">
        <v>1262</v>
      </c>
      <c r="I103" s="127" t="s">
        <v>266</v>
      </c>
      <c r="J103" s="127" t="s">
        <v>1250</v>
      </c>
      <c r="K103" s="129">
        <v>46161.379687499997</v>
      </c>
      <c r="L103" s="129">
        <v>46161.392881944441</v>
      </c>
      <c r="M103" s="129">
        <v>46161.495081018518</v>
      </c>
      <c r="N103" s="129"/>
      <c r="O103" s="129">
        <v>46163.477106481485</v>
      </c>
      <c r="P103" s="129"/>
      <c r="Q103" s="130" t="s">
        <v>1113</v>
      </c>
      <c r="R103" s="127"/>
      <c r="S103" s="127"/>
      <c r="T103" s="127"/>
      <c r="U103" s="127" t="s">
        <v>371</v>
      </c>
      <c r="V103" s="127"/>
      <c r="W103" s="127"/>
      <c r="X103" s="127"/>
      <c r="Y103" s="127"/>
      <c r="Z103" s="169">
        <f t="shared" ca="1" si="9"/>
        <v>26.129286574076108</v>
      </c>
      <c r="AA103" s="170">
        <f t="shared" ca="1" si="10"/>
        <v>69.678097530869621</v>
      </c>
      <c r="AB103" s="169">
        <f t="shared" ca="1" si="11"/>
        <v>0.83422453704406507</v>
      </c>
      <c r="AC103" s="170">
        <f t="shared" ca="1" si="12"/>
        <v>2.2245987654508403</v>
      </c>
      <c r="AD103" s="169">
        <f t="shared" ca="1" si="13"/>
        <v>0.10219907407736173</v>
      </c>
      <c r="AE103" s="169">
        <f t="shared" ca="1" si="8"/>
        <v>0.83422453704406507</v>
      </c>
      <c r="AF103" s="170">
        <f t="shared" ca="1" si="14"/>
        <v>2.2245987654508403</v>
      </c>
      <c r="AG103" s="170">
        <f t="shared" ca="1" si="15"/>
        <v>2.2245987654508403</v>
      </c>
      <c r="AH103" s="28" t="str" cm="1">
        <f t="array" aca="1" ref="AH103" ca="1">IF((AD103) &lt; (INDEX(ResponseSLA[#All],(MATCH((G103),ResponseSLA[Priority],0))+1,3)),"YES","No")</f>
        <v>YES</v>
      </c>
      <c r="AI103" s="28" t="str">
        <f ca="1">_xlfn.IFNA(IF(AE103 &lt; (INDEX(SLATable[Minimum SLA],MATCH(G103,SLATable[Priority],0))),"YES","NO"),"")</f>
        <v>NO</v>
      </c>
      <c r="AJ103" s="28" t="str">
        <f ca="1">_xlfn.IFNA(IF(AE103 &lt; (INDEX(SLATable[Maximum SLA],MATCH(G103,SLATable[Priority],0))),"YES","NO"),"")</f>
        <v>NO</v>
      </c>
    </row>
    <row r="104" spans="2:36" ht="15" customHeight="1">
      <c r="B104" s="127" t="s">
        <v>26</v>
      </c>
      <c r="C104" s="127" t="s">
        <v>35</v>
      </c>
      <c r="D104" s="127" t="s">
        <v>208</v>
      </c>
      <c r="E104" s="130" t="s">
        <v>1263</v>
      </c>
      <c r="F104" s="130" t="s">
        <v>295</v>
      </c>
      <c r="G104" s="127" t="s">
        <v>208</v>
      </c>
      <c r="H104" s="130" t="s">
        <v>1264</v>
      </c>
      <c r="I104" s="127" t="s">
        <v>260</v>
      </c>
      <c r="J104" s="127" t="s">
        <v>1250</v>
      </c>
      <c r="K104" s="129">
        <v>46166.229074074072</v>
      </c>
      <c r="L104" s="129">
        <v>46166.229212962964</v>
      </c>
      <c r="M104" s="129">
        <v>46167.166180555556</v>
      </c>
      <c r="N104" s="129"/>
      <c r="O104" s="129"/>
      <c r="P104" s="129"/>
      <c r="Q104" s="130" t="s">
        <v>1211</v>
      </c>
      <c r="R104" s="127"/>
      <c r="S104" s="127"/>
      <c r="T104" s="127"/>
      <c r="U104" s="127" t="s">
        <v>371</v>
      </c>
      <c r="V104" s="127"/>
      <c r="W104" s="127"/>
      <c r="X104" s="127"/>
      <c r="Y104" s="127"/>
      <c r="Z104" s="169">
        <f t="shared" ca="1" si="9"/>
        <v>24.675640740739865</v>
      </c>
      <c r="AA104" s="170">
        <f t="shared" ca="1" si="10"/>
        <v>65.801708641972979</v>
      </c>
      <c r="AB104" s="169">
        <f t="shared" ca="1" si="11"/>
        <v>24.675640740739865</v>
      </c>
      <c r="AC104" s="170">
        <f t="shared" ca="1" si="12"/>
        <v>65.801708641972979</v>
      </c>
      <c r="AD104" s="169">
        <f t="shared" ca="1" si="13"/>
        <v>0</v>
      </c>
      <c r="AE104" s="169">
        <f t="shared" ca="1" si="8"/>
        <v>24.675640740739865</v>
      </c>
      <c r="AF104" s="170">
        <f t="shared" ca="1" si="14"/>
        <v>65.801708641972979</v>
      </c>
      <c r="AG104" s="170">
        <f t="shared" ca="1" si="15"/>
        <v>65.801708641972979</v>
      </c>
      <c r="AH104" s="28" t="str" cm="1">
        <f t="array" aca="1" ref="AH104" ca="1">IF((AD104) &lt; (INDEX(ResponseSLA[#All],(MATCH((G104),ResponseSLA[Priority],0))+1,3)),"YES","No")</f>
        <v>YES</v>
      </c>
      <c r="AI104" s="28" t="str">
        <f ca="1">_xlfn.IFNA(IF(AE104 &lt; (INDEX(SLATable[Minimum SLA],MATCH(G104,SLATable[Priority],0))),"YES","NO"),"")</f>
        <v>NO</v>
      </c>
      <c r="AJ104" s="28" t="str">
        <f ca="1">_xlfn.IFNA(IF(AE104 &lt; (INDEX(SLATable[Maximum SLA],MATCH(G104,SLATable[Priority],0))),"YES","NO"),"")</f>
        <v>NO</v>
      </c>
    </row>
    <row r="105" spans="2:36" ht="15" customHeight="1">
      <c r="B105" s="127" t="s">
        <v>26</v>
      </c>
      <c r="C105" s="127" t="s">
        <v>35</v>
      </c>
      <c r="D105" s="127" t="s">
        <v>208</v>
      </c>
      <c r="E105" s="130" t="s">
        <v>1265</v>
      </c>
      <c r="F105" s="130" t="s">
        <v>289</v>
      </c>
      <c r="G105" s="127" t="s">
        <v>208</v>
      </c>
      <c r="H105" s="130" t="s">
        <v>1266</v>
      </c>
      <c r="I105" s="127" t="s">
        <v>260</v>
      </c>
      <c r="J105" s="127" t="s">
        <v>1250</v>
      </c>
      <c r="K105" s="129">
        <v>46170.406863425924</v>
      </c>
      <c r="L105" s="129">
        <v>46170.488275462965</v>
      </c>
      <c r="M105" s="129">
        <v>46170.564687500002</v>
      </c>
      <c r="N105" s="129"/>
      <c r="O105" s="129"/>
      <c r="P105" s="129"/>
      <c r="Q105" s="130" t="s">
        <v>1113</v>
      </c>
      <c r="R105" s="127"/>
      <c r="S105" s="127"/>
      <c r="T105" s="127"/>
      <c r="U105" s="127" t="s">
        <v>371</v>
      </c>
      <c r="V105" s="127"/>
      <c r="W105" s="127"/>
      <c r="X105" s="127"/>
      <c r="Y105" s="127"/>
      <c r="Z105" s="169">
        <f t="shared" ca="1" si="9"/>
        <v>23.852110648149395</v>
      </c>
      <c r="AA105" s="170">
        <f t="shared" ca="1" si="10"/>
        <v>63.605628395065054</v>
      </c>
      <c r="AB105" s="169">
        <f t="shared" ca="1" si="11"/>
        <v>23.770698611107949</v>
      </c>
      <c r="AC105" s="170">
        <f t="shared" ca="1" si="12"/>
        <v>63.388529629621203</v>
      </c>
      <c r="AD105" s="169">
        <f t="shared" ca="1" si="13"/>
        <v>7.6412037036789116E-2</v>
      </c>
      <c r="AE105" s="169">
        <f t="shared" ca="1" si="8"/>
        <v>23.770698611107949</v>
      </c>
      <c r="AF105" s="170">
        <f t="shared" ca="1" si="14"/>
        <v>63.388529629621203</v>
      </c>
      <c r="AG105" s="170">
        <f t="shared" ca="1" si="15"/>
        <v>63.388529629621203</v>
      </c>
      <c r="AH105" s="28" t="str" cm="1">
        <f t="array" aca="1" ref="AH105" ca="1">IF((AD105) &lt; (INDEX(ResponseSLA[#All],(MATCH((G105),ResponseSLA[Priority],0))+1,3)),"YES","No")</f>
        <v>YES</v>
      </c>
      <c r="AI105" s="28" t="str">
        <f ca="1">_xlfn.IFNA(IF(AE105 &lt; (INDEX(SLATable[Minimum SLA],MATCH(G105,SLATable[Priority],0))),"YES","NO"),"")</f>
        <v>NO</v>
      </c>
      <c r="AJ105" s="28" t="str">
        <f ca="1">_xlfn.IFNA(IF(AE105 &lt; (INDEX(SLATable[Maximum SLA],MATCH(G105,SLATable[Priority],0))),"YES","NO"),"")</f>
        <v>NO</v>
      </c>
    </row>
    <row r="106" spans="2:36" ht="15" customHeight="1">
      <c r="B106" s="127" t="s">
        <v>26</v>
      </c>
      <c r="C106" s="127" t="s">
        <v>35</v>
      </c>
      <c r="D106" s="127" t="s">
        <v>207</v>
      </c>
      <c r="E106" s="130" t="s">
        <v>1267</v>
      </c>
      <c r="F106" s="130" t="s">
        <v>295</v>
      </c>
      <c r="G106" s="127">
        <v>3</v>
      </c>
      <c r="H106" s="127" t="s">
        <v>1224</v>
      </c>
      <c r="I106" s="127" t="s">
        <v>260</v>
      </c>
      <c r="J106" s="127" t="s">
        <v>1250</v>
      </c>
      <c r="K106" s="129">
        <v>46170.214965277781</v>
      </c>
      <c r="L106" s="129">
        <v>46170.236562500002</v>
      </c>
      <c r="M106" s="129">
        <v>46171.177928240744</v>
      </c>
      <c r="N106" s="129"/>
      <c r="O106" s="129"/>
      <c r="P106" s="129"/>
      <c r="Q106" s="127" t="s">
        <v>1211</v>
      </c>
      <c r="R106" s="127"/>
      <c r="S106" s="127"/>
      <c r="T106" s="127"/>
      <c r="U106" s="127" t="s">
        <v>371</v>
      </c>
      <c r="V106" s="127"/>
      <c r="W106" s="127"/>
      <c r="X106" s="127"/>
      <c r="Y106" s="127"/>
      <c r="Z106" s="169">
        <f t="shared" ca="1" si="9"/>
        <v>23.925640740739865</v>
      </c>
      <c r="AA106" s="170">
        <f t="shared" ca="1" si="10"/>
        <v>63.801708641972972</v>
      </c>
      <c r="AB106" s="169">
        <f t="shared" ca="1" si="11"/>
        <v>23.925640740739865</v>
      </c>
      <c r="AC106" s="170">
        <f t="shared" ca="1" si="12"/>
        <v>63.801708641972972</v>
      </c>
      <c r="AD106" s="169">
        <f t="shared" ca="1" si="13"/>
        <v>0.37500000000000006</v>
      </c>
      <c r="AE106" s="169">
        <f t="shared" ca="1" si="8"/>
        <v>24.724923148144935</v>
      </c>
      <c r="AF106" s="170">
        <f t="shared" ca="1" si="14"/>
        <v>65.93312839505316</v>
      </c>
      <c r="AG106" s="170">
        <f t="shared" ca="1" si="15"/>
        <v>65.93312839505316</v>
      </c>
      <c r="AH106" s="28" t="str" cm="1">
        <f t="array" aca="1" ref="AH106" ca="1">IF((AD106) &lt; (INDEX(ResponseSLA[#All],(MATCH((G106),ResponseSLA[Priority],0))+1,3)),"YES","No")</f>
        <v>No</v>
      </c>
      <c r="AI106" s="28" t="str">
        <f ca="1">_xlfn.IFNA(IF(AE106 &lt; (INDEX(SLATable[Minimum SLA],MATCH(G106,SLATable[Priority],0))),"YES","NO"),"")</f>
        <v>NO</v>
      </c>
      <c r="AJ106" s="28" t="str">
        <f ca="1">_xlfn.IFNA(IF(AE106 &lt; (INDEX(SLATable[Maximum SLA],MATCH(G106,SLATable[Priority],0))),"YES","NO"),"")</f>
        <v>NO</v>
      </c>
    </row>
    <row r="107" spans="2:36" ht="15" customHeight="1">
      <c r="B107" s="127" t="s">
        <v>26</v>
      </c>
      <c r="C107" s="127" t="s">
        <v>35</v>
      </c>
      <c r="D107" s="127" t="s">
        <v>207</v>
      </c>
      <c r="E107" s="130" t="s">
        <v>1268</v>
      </c>
      <c r="F107" s="130" t="s">
        <v>292</v>
      </c>
      <c r="G107" s="127">
        <v>4</v>
      </c>
      <c r="H107" s="130" t="s">
        <v>1269</v>
      </c>
      <c r="I107" s="127" t="s">
        <v>266</v>
      </c>
      <c r="J107" s="127" t="s">
        <v>1250</v>
      </c>
      <c r="K107" s="129">
        <v>46168.669502314813</v>
      </c>
      <c r="L107" s="129">
        <v>46168.669548611113</v>
      </c>
      <c r="M107" s="129">
        <v>46169.296157407407</v>
      </c>
      <c r="N107" s="129"/>
      <c r="O107" s="129">
        <v>46171.334328703706</v>
      </c>
      <c r="P107" s="129"/>
      <c r="Q107" s="130" t="s">
        <v>1073</v>
      </c>
      <c r="R107" s="127"/>
      <c r="S107" s="130"/>
      <c r="T107" s="127"/>
      <c r="U107" s="127" t="s">
        <v>371</v>
      </c>
      <c r="V107" s="127"/>
      <c r="W107" s="127"/>
      <c r="X107" s="127"/>
      <c r="Y107" s="127"/>
      <c r="Z107" s="169">
        <f t="shared" ca="1" si="9"/>
        <v>24.339471759260054</v>
      </c>
      <c r="AA107" s="170">
        <f t="shared" ca="1" si="10"/>
        <v>64.905258024693481</v>
      </c>
      <c r="AB107" s="169">
        <f t="shared" ca="1" si="11"/>
        <v>0.78978009259299164</v>
      </c>
      <c r="AC107" s="170">
        <f t="shared" ca="1" si="12"/>
        <v>2.1060802469146447</v>
      </c>
      <c r="AD107" s="169">
        <f t="shared" ca="1" si="13"/>
        <v>3.8784722220346679E-2</v>
      </c>
      <c r="AE107" s="169">
        <f t="shared" ca="1" si="8"/>
        <v>3.7505902777726696</v>
      </c>
      <c r="AF107" s="170">
        <f t="shared" ca="1" si="14"/>
        <v>10.001574074060452</v>
      </c>
      <c r="AG107" s="170">
        <f t="shared" ca="1" si="15"/>
        <v>10.001574074060452</v>
      </c>
      <c r="AH107" s="28" t="str" cm="1">
        <f t="array" aca="1" ref="AH107" ca="1">IF((AD107) &lt; (INDEX(ResponseSLA[#All],(MATCH((G107),ResponseSLA[Priority],0))+1,3)),"YES","No")</f>
        <v>YES</v>
      </c>
      <c r="AI107" s="28" t="str">
        <f ca="1">_xlfn.IFNA(IF(AE107 &lt; (INDEX(SLATable[Minimum SLA],MATCH(G107,SLATable[Priority],0))),"YES","NO"),"")</f>
        <v>NO</v>
      </c>
      <c r="AJ107" s="28" t="str">
        <f ca="1">_xlfn.IFNA(IF(AE107 &lt; (INDEX(SLATable[Maximum SLA],MATCH(G107,SLATable[Priority],0))),"YES","NO"),"")</f>
        <v>YES</v>
      </c>
    </row>
    <row r="108" spans="2:36" ht="15" customHeight="1">
      <c r="B108" s="127" t="s">
        <v>26</v>
      </c>
      <c r="C108" s="127" t="s">
        <v>35</v>
      </c>
      <c r="D108" s="127" t="s">
        <v>207</v>
      </c>
      <c r="E108" s="130" t="s">
        <v>1270</v>
      </c>
      <c r="F108" s="130" t="s">
        <v>292</v>
      </c>
      <c r="G108" s="127">
        <v>3</v>
      </c>
      <c r="H108" s="130" t="s">
        <v>1271</v>
      </c>
      <c r="I108" s="127" t="s">
        <v>266</v>
      </c>
      <c r="J108" s="127" t="s">
        <v>1250</v>
      </c>
      <c r="K108" s="129">
        <v>46168.760706018518</v>
      </c>
      <c r="L108" s="129">
        <v>46168.761469907404</v>
      </c>
      <c r="M108" s="129">
        <v>46169.381608796299</v>
      </c>
      <c r="N108" s="129"/>
      <c r="O108" s="129">
        <v>46169.386006944442</v>
      </c>
      <c r="P108" s="129"/>
      <c r="Q108" s="130" t="s">
        <v>1073</v>
      </c>
      <c r="R108" s="127"/>
      <c r="S108" s="130"/>
      <c r="T108" s="127"/>
      <c r="U108" s="127" t="s">
        <v>371</v>
      </c>
      <c r="V108" s="127"/>
      <c r="W108" s="127"/>
      <c r="X108" s="127"/>
      <c r="Y108" s="127"/>
      <c r="Z108" s="169">
        <f t="shared" ca="1" si="9"/>
        <v>24.300640740739865</v>
      </c>
      <c r="AA108" s="170">
        <f t="shared" ca="1" si="10"/>
        <v>64.801708641972979</v>
      </c>
      <c r="AB108" s="169">
        <f t="shared" ca="1" si="11"/>
        <v>5.2673611108427054E-2</v>
      </c>
      <c r="AC108" s="170">
        <f t="shared" ca="1" si="12"/>
        <v>0.14046296295580549</v>
      </c>
      <c r="AD108" s="169">
        <f t="shared" ca="1" si="13"/>
        <v>4.8275462965345128E-2</v>
      </c>
      <c r="AE108" s="169">
        <f t="shared" ca="1" si="8"/>
        <v>0.105347222216854</v>
      </c>
      <c r="AF108" s="170">
        <f t="shared" ca="1" si="14"/>
        <v>0.28092592591161064</v>
      </c>
      <c r="AG108" s="170">
        <f t="shared" ca="1" si="15"/>
        <v>0.28092592591161064</v>
      </c>
      <c r="AH108" s="28" t="str" cm="1">
        <f t="array" aca="1" ref="AH108" ca="1">IF((AD108) &lt; (INDEX(ResponseSLA[#All],(MATCH((G108),ResponseSLA[Priority],0))+1,3)),"YES","No")</f>
        <v>YES</v>
      </c>
      <c r="AI108" s="28" t="str">
        <f ca="1">_xlfn.IFNA(IF(AE108 &lt; (INDEX(SLATable[Minimum SLA],MATCH(G108,SLATable[Priority],0))),"YES","NO"),"")</f>
        <v>YES</v>
      </c>
      <c r="AJ108" s="28" t="str">
        <f ca="1">_xlfn.IFNA(IF(AE108 &lt; (INDEX(SLATable[Maximum SLA],MATCH(G108,SLATable[Priority],0))),"YES","NO"),"")</f>
        <v>YES</v>
      </c>
    </row>
    <row r="109" spans="2:36" ht="15" customHeight="1">
      <c r="B109" s="127" t="s">
        <v>26</v>
      </c>
      <c r="C109" s="127" t="s">
        <v>35</v>
      </c>
      <c r="D109" s="127" t="s">
        <v>207</v>
      </c>
      <c r="E109" s="130" t="s">
        <v>1272</v>
      </c>
      <c r="F109" s="127" t="s">
        <v>292</v>
      </c>
      <c r="G109" s="127">
        <v>3</v>
      </c>
      <c r="H109" s="130" t="s">
        <v>1273</v>
      </c>
      <c r="I109" s="127" t="s">
        <v>266</v>
      </c>
      <c r="J109" s="127" t="s">
        <v>1250</v>
      </c>
      <c r="K109" s="129">
        <v>46168.773622685185</v>
      </c>
      <c r="L109" s="129">
        <v>46168.774085648147</v>
      </c>
      <c r="M109" s="129">
        <v>46169.382395833331</v>
      </c>
      <c r="N109" s="129"/>
      <c r="O109" s="129">
        <v>46169.387858796297</v>
      </c>
      <c r="P109" s="129"/>
      <c r="Q109" s="130" t="s">
        <v>1073</v>
      </c>
      <c r="R109" s="127"/>
      <c r="S109" s="130"/>
      <c r="T109" s="127"/>
      <c r="U109" s="127" t="s">
        <v>371</v>
      </c>
      <c r="V109" s="127"/>
      <c r="W109" s="127"/>
      <c r="X109" s="127"/>
      <c r="Y109" s="127"/>
      <c r="Z109" s="169">
        <f t="shared" ca="1" si="9"/>
        <v>24.300640740739865</v>
      </c>
      <c r="AA109" s="170">
        <f t="shared" ca="1" si="10"/>
        <v>64.801708641972979</v>
      </c>
      <c r="AB109" s="169">
        <f t="shared" ca="1" si="11"/>
        <v>5.4525462963889937E-2</v>
      </c>
      <c r="AC109" s="170">
        <f t="shared" ca="1" si="12"/>
        <v>0.14540123457037316</v>
      </c>
      <c r="AD109" s="169">
        <f t="shared" ca="1" si="13"/>
        <v>4.9062499997186593E-2</v>
      </c>
      <c r="AE109" s="169">
        <f t="shared" ca="1" si="8"/>
        <v>0.10905092592777976</v>
      </c>
      <c r="AF109" s="170">
        <f t="shared" ca="1" si="14"/>
        <v>0.29080246914074603</v>
      </c>
      <c r="AG109" s="170">
        <f t="shared" ca="1" si="15"/>
        <v>0.29080246914074603</v>
      </c>
      <c r="AH109" s="28" t="str" cm="1">
        <f t="array" aca="1" ref="AH109" ca="1">IF((AD109) &lt; (INDEX(ResponseSLA[#All],(MATCH((G109),ResponseSLA[Priority],0))+1,3)),"YES","No")</f>
        <v>YES</v>
      </c>
      <c r="AI109" s="28" t="str">
        <f ca="1">_xlfn.IFNA(IF(AE109 &lt; (INDEX(SLATable[Minimum SLA],MATCH(G109,SLATable[Priority],0))),"YES","NO"),"")</f>
        <v>YES</v>
      </c>
      <c r="AJ109" s="28" t="str">
        <f ca="1">_xlfn.IFNA(IF(AE109 &lt; (INDEX(SLATable[Maximum SLA],MATCH(G109,SLATable[Priority],0))),"YES","NO"),"")</f>
        <v>YES</v>
      </c>
    </row>
    <row r="110" spans="2:36" ht="15" customHeight="1">
      <c r="B110" s="127" t="s">
        <v>26</v>
      </c>
      <c r="C110" s="127" t="s">
        <v>35</v>
      </c>
      <c r="D110" s="127" t="s">
        <v>207</v>
      </c>
      <c r="E110" s="130" t="s">
        <v>1274</v>
      </c>
      <c r="F110" s="127" t="s">
        <v>292</v>
      </c>
      <c r="G110" s="127">
        <v>3</v>
      </c>
      <c r="H110" s="130" t="s">
        <v>1275</v>
      </c>
      <c r="I110" s="127" t="s">
        <v>266</v>
      </c>
      <c r="J110" s="127" t="s">
        <v>1250</v>
      </c>
      <c r="K110" s="129">
        <v>46168.774791666663</v>
      </c>
      <c r="L110" s="129">
        <v>46168.774872685186</v>
      </c>
      <c r="M110" s="129">
        <v>46169.296770833331</v>
      </c>
      <c r="N110" s="129"/>
      <c r="O110" s="129">
        <v>46169.331944444442</v>
      </c>
      <c r="P110" s="129"/>
      <c r="Q110" s="130" t="s">
        <v>1276</v>
      </c>
      <c r="R110" s="127"/>
      <c r="S110" s="130"/>
      <c r="T110" s="127"/>
      <c r="U110" s="127" t="s">
        <v>371</v>
      </c>
      <c r="V110" s="127"/>
      <c r="W110" s="127"/>
      <c r="X110" s="127"/>
      <c r="Y110" s="127"/>
      <c r="Z110" s="169">
        <f t="shared" ca="1" si="9"/>
        <v>24.300640740739865</v>
      </c>
      <c r="AA110" s="170">
        <f t="shared" ca="1" si="10"/>
        <v>64.801708641972979</v>
      </c>
      <c r="AB110" s="169">
        <f t="shared" ca="1" si="11"/>
        <v>0</v>
      </c>
      <c r="AC110" s="170">
        <f t="shared" ca="1" si="12"/>
        <v>0</v>
      </c>
      <c r="AD110" s="169">
        <f t="shared" ca="1" si="13"/>
        <v>0</v>
      </c>
      <c r="AE110" s="169">
        <f t="shared" ca="1" si="8"/>
        <v>4.4408920985006262E-16</v>
      </c>
      <c r="AF110" s="170">
        <f t="shared" ca="1" si="14"/>
        <v>1.1842378929335002E-15</v>
      </c>
      <c r="AG110" s="170">
        <f t="shared" ca="1" si="15"/>
        <v>1.1842378929335002E-15</v>
      </c>
      <c r="AH110" s="28" t="str" cm="1">
        <f t="array" aca="1" ref="AH110" ca="1">IF((AD110) &lt; (INDEX(ResponseSLA[#All],(MATCH((G110),ResponseSLA[Priority],0))+1,3)),"YES","No")</f>
        <v>YES</v>
      </c>
      <c r="AI110" s="28" t="str">
        <f ca="1">_xlfn.IFNA(IF(AE110 &lt; (INDEX(SLATable[Minimum SLA],MATCH(G110,SLATable[Priority],0))),"YES","NO"),"")</f>
        <v>YES</v>
      </c>
      <c r="AJ110" s="28" t="str">
        <f ca="1">_xlfn.IFNA(IF(AE110 &lt; (INDEX(SLATable[Maximum SLA],MATCH(G110,SLATable[Priority],0))),"YES","NO"),"")</f>
        <v>YES</v>
      </c>
    </row>
    <row r="111" spans="2:36" ht="15" customHeight="1">
      <c r="B111" s="127" t="s">
        <v>26</v>
      </c>
      <c r="C111" s="127" t="s">
        <v>35</v>
      </c>
      <c r="D111" s="127" t="s">
        <v>207</v>
      </c>
      <c r="E111" s="130" t="s">
        <v>1277</v>
      </c>
      <c r="F111" s="127" t="s">
        <v>292</v>
      </c>
      <c r="G111" s="127">
        <v>3</v>
      </c>
      <c r="H111" s="130" t="s">
        <v>1278</v>
      </c>
      <c r="I111" s="127" t="s">
        <v>266</v>
      </c>
      <c r="J111" s="127" t="s">
        <v>1250</v>
      </c>
      <c r="K111" s="129">
        <v>46169.38921296296</v>
      </c>
      <c r="L111" s="129">
        <v>46169.516435185185</v>
      </c>
      <c r="M111" s="129">
        <v>46171.173460648148</v>
      </c>
      <c r="N111" s="129"/>
      <c r="O111" s="129">
        <v>46171.346851851849</v>
      </c>
      <c r="P111" s="129"/>
      <c r="Q111" s="130" t="s">
        <v>1073</v>
      </c>
      <c r="R111" s="127"/>
      <c r="S111" s="130"/>
      <c r="T111" s="127"/>
      <c r="U111" s="127" t="s">
        <v>371</v>
      </c>
      <c r="V111" s="127"/>
      <c r="W111" s="127"/>
      <c r="X111" s="127"/>
      <c r="Y111" s="127"/>
      <c r="Z111" s="169">
        <f t="shared" ca="1" si="9"/>
        <v>24.244761111112897</v>
      </c>
      <c r="AA111" s="170">
        <f t="shared" ca="1" si="10"/>
        <v>64.652696296301059</v>
      </c>
      <c r="AB111" s="169">
        <f t="shared" ca="1" si="11"/>
        <v>0.58041666666395031</v>
      </c>
      <c r="AC111" s="170">
        <f t="shared" ca="1" si="12"/>
        <v>1.5477777777705342</v>
      </c>
      <c r="AD111" s="169">
        <f t="shared" ca="1" si="13"/>
        <v>0.56689814814793271</v>
      </c>
      <c r="AE111" s="169">
        <f t="shared" ca="1" si="8"/>
        <v>2.2978472222166606</v>
      </c>
      <c r="AF111" s="170">
        <f t="shared" ca="1" si="14"/>
        <v>6.1275925925777619</v>
      </c>
      <c r="AG111" s="170">
        <f t="shared" ca="1" si="15"/>
        <v>6.1275925925777619</v>
      </c>
      <c r="AH111" s="28" t="str" cm="1">
        <f t="array" aca="1" ref="AH111" ca="1">IF((AD111) &lt; (INDEX(ResponseSLA[#All],(MATCH((G111),ResponseSLA[Priority],0))+1,3)),"YES","No")</f>
        <v>No</v>
      </c>
      <c r="AI111" s="28" t="str">
        <f ca="1">_xlfn.IFNA(IF(AE111 &lt; (INDEX(SLATable[Minimum SLA],MATCH(G111,SLATable[Priority],0))),"YES","NO"),"")</f>
        <v>NO</v>
      </c>
      <c r="AJ111" s="28" t="str">
        <f ca="1">_xlfn.IFNA(IF(AE111 &lt; (INDEX(SLATable[Maximum SLA],MATCH(G111,SLATable[Priority],0))),"YES","NO"),"")</f>
        <v>NO</v>
      </c>
    </row>
    <row r="112" spans="2:36" ht="15" customHeight="1">
      <c r="B112" s="127" t="s">
        <v>26</v>
      </c>
      <c r="C112" s="127" t="s">
        <v>35</v>
      </c>
      <c r="D112" s="127" t="s">
        <v>207</v>
      </c>
      <c r="E112" s="130" t="s">
        <v>1279</v>
      </c>
      <c r="F112" s="127" t="s">
        <v>289</v>
      </c>
      <c r="G112" s="127">
        <v>4</v>
      </c>
      <c r="H112" s="130" t="s">
        <v>1280</v>
      </c>
      <c r="I112" s="127" t="s">
        <v>266</v>
      </c>
      <c r="J112" s="127" t="s">
        <v>1250</v>
      </c>
      <c r="K112" s="129">
        <v>46169.407349537039</v>
      </c>
      <c r="L112" s="129">
        <v>46169.407442129632</v>
      </c>
      <c r="M112" s="129">
        <v>46169.613819444443</v>
      </c>
      <c r="N112" s="129"/>
      <c r="O112" s="129">
        <v>46170.444594907407</v>
      </c>
      <c r="P112" s="129"/>
      <c r="Q112" s="130" t="s">
        <v>1098</v>
      </c>
      <c r="R112" s="127"/>
      <c r="S112" s="130"/>
      <c r="T112" s="127"/>
      <c r="U112" s="127" t="s">
        <v>371</v>
      </c>
      <c r="V112" s="130"/>
      <c r="W112" s="127"/>
      <c r="X112" s="127"/>
      <c r="Y112" s="127"/>
      <c r="Z112" s="169">
        <f t="shared" ca="1" si="9"/>
        <v>24.226624537033789</v>
      </c>
      <c r="AA112" s="170">
        <f t="shared" ca="1" si="10"/>
        <v>64.604332098756771</v>
      </c>
      <c r="AB112" s="169">
        <f t="shared" ca="1" si="11"/>
        <v>0.41215277777519077</v>
      </c>
      <c r="AC112" s="170">
        <f t="shared" ca="1" si="12"/>
        <v>1.0990740740671754</v>
      </c>
      <c r="AD112" s="169">
        <f t="shared" ca="1" si="13"/>
        <v>0.20637731481110677</v>
      </c>
      <c r="AE112" s="169">
        <f t="shared" ca="1" si="8"/>
        <v>3.074756944442925</v>
      </c>
      <c r="AF112" s="170">
        <f t="shared" ca="1" si="14"/>
        <v>8.1993518518478012</v>
      </c>
      <c r="AG112" s="170">
        <f t="shared" ca="1" si="15"/>
        <v>8.1993518518478012</v>
      </c>
      <c r="AH112" s="28" t="str" cm="1">
        <f t="array" aca="1" ref="AH112" ca="1">IF((AD112) &lt; (INDEX(ResponseSLA[#All],(MATCH((G112),ResponseSLA[Priority],0))+1,3)),"YES","No")</f>
        <v>No</v>
      </c>
      <c r="AI112" s="28" t="str">
        <f ca="1">_xlfn.IFNA(IF(AE112 &lt; (INDEX(SLATable[Minimum SLA],MATCH(G112,SLATable[Priority],0))),"YES","NO"),"")</f>
        <v>YES</v>
      </c>
      <c r="AJ112" s="28" t="str">
        <f ca="1">_xlfn.IFNA(IF(AE112 &lt; (INDEX(SLATable[Maximum SLA],MATCH(G112,SLATable[Priority],0))),"YES","NO"),"")</f>
        <v>YES</v>
      </c>
    </row>
    <row r="113" spans="2:36" ht="15" customHeight="1">
      <c r="B113" s="127" t="s">
        <v>26</v>
      </c>
      <c r="C113" s="127" t="s">
        <v>35</v>
      </c>
      <c r="D113" s="127" t="s">
        <v>207</v>
      </c>
      <c r="E113" s="130" t="s">
        <v>1281</v>
      </c>
      <c r="F113" s="127" t="s">
        <v>295</v>
      </c>
      <c r="G113" s="127">
        <v>3</v>
      </c>
      <c r="H113" s="130" t="s">
        <v>1210</v>
      </c>
      <c r="I113" s="127" t="s">
        <v>271</v>
      </c>
      <c r="J113" s="127" t="s">
        <v>1250</v>
      </c>
      <c r="K113" s="129">
        <v>46164.091921296298</v>
      </c>
      <c r="L113" s="129">
        <v>46164.091979166667</v>
      </c>
      <c r="M113" s="129">
        <v>46164.303356481483</v>
      </c>
      <c r="N113" s="129">
        <v>46170.294479166667</v>
      </c>
      <c r="O113" s="129"/>
      <c r="P113" s="129"/>
      <c r="Q113" s="130" t="s">
        <v>1211</v>
      </c>
      <c r="R113" s="127" t="s">
        <v>267</v>
      </c>
      <c r="S113" s="127" t="s">
        <v>149</v>
      </c>
      <c r="T113" s="130"/>
      <c r="U113" s="127" t="s">
        <v>371</v>
      </c>
      <c r="V113" s="130"/>
      <c r="W113" s="127"/>
      <c r="X113" s="127"/>
      <c r="Y113" s="127"/>
      <c r="Z113" s="169">
        <f t="shared" ca="1" si="9"/>
        <v>1.1250000000000002</v>
      </c>
      <c r="AA113" s="170">
        <f t="shared" ca="1" si="10"/>
        <v>3.0000000000000009</v>
      </c>
      <c r="AB113" s="169">
        <f t="shared" ca="1" si="11"/>
        <v>1.1250000000000002</v>
      </c>
      <c r="AC113" s="170">
        <f t="shared" ca="1" si="12"/>
        <v>3.0000000000000009</v>
      </c>
      <c r="AD113" s="169">
        <f t="shared" ca="1" si="13"/>
        <v>0</v>
      </c>
      <c r="AE113" s="169">
        <f t="shared" ca="1" si="8"/>
        <v>1.1250000000000002</v>
      </c>
      <c r="AF113" s="170">
        <f t="shared" ca="1" si="14"/>
        <v>3.0000000000000009</v>
      </c>
      <c r="AG113" s="170">
        <f t="shared" ca="1" si="15"/>
        <v>3.0000000000000009</v>
      </c>
      <c r="AH113" s="28" t="str" cm="1">
        <f t="array" aca="1" ref="AH113" ca="1">IF((AD113) &lt; (INDEX(ResponseSLA[#All],(MATCH((G113),ResponseSLA[Priority],0))+1,3)),"YES","No")</f>
        <v>YES</v>
      </c>
      <c r="AI113" s="28" t="str">
        <f ca="1">_xlfn.IFNA(IF(AE113 &lt; (INDEX(SLATable[Minimum SLA],MATCH(G113,SLATable[Priority],0))),"YES","NO"),"")</f>
        <v>NO</v>
      </c>
      <c r="AJ113" s="28" t="str">
        <f ca="1">_xlfn.IFNA(IF(AE113 &lt; (INDEX(SLATable[Maximum SLA],MATCH(G113,SLATable[Priority],0))),"YES","NO"),"")</f>
        <v>YES</v>
      </c>
    </row>
    <row r="114" spans="2:36" ht="15" customHeight="1">
      <c r="B114" s="127" t="s">
        <v>26</v>
      </c>
      <c r="C114" s="127" t="s">
        <v>35</v>
      </c>
      <c r="D114" s="127" t="s">
        <v>207</v>
      </c>
      <c r="E114" s="130" t="s">
        <v>1282</v>
      </c>
      <c r="F114" s="127" t="s">
        <v>295</v>
      </c>
      <c r="G114" s="127">
        <v>3</v>
      </c>
      <c r="H114" s="130" t="s">
        <v>1213</v>
      </c>
      <c r="I114" s="127" t="s">
        <v>271</v>
      </c>
      <c r="J114" s="127" t="s">
        <v>1250</v>
      </c>
      <c r="K114" s="129">
        <v>46164.142094907409</v>
      </c>
      <c r="L114" s="129">
        <v>46164.1565625</v>
      </c>
      <c r="M114" s="129">
        <v>46164.29246527778</v>
      </c>
      <c r="N114" s="129">
        <v>46170.304837962962</v>
      </c>
      <c r="O114" s="129"/>
      <c r="P114" s="129"/>
      <c r="Q114" s="130" t="s">
        <v>1211</v>
      </c>
      <c r="R114" s="127" t="s">
        <v>267</v>
      </c>
      <c r="S114" s="127" t="s">
        <v>149</v>
      </c>
      <c r="T114" s="130"/>
      <c r="U114" s="127" t="s">
        <v>371</v>
      </c>
      <c r="V114" s="130"/>
      <c r="W114" s="127"/>
      <c r="X114" s="127"/>
      <c r="Y114" s="127"/>
      <c r="Z114" s="169">
        <f t="shared" ca="1" si="9"/>
        <v>1.1250000000000002</v>
      </c>
      <c r="AA114" s="170">
        <f t="shared" ca="1" si="10"/>
        <v>3.0000000000000009</v>
      </c>
      <c r="AB114" s="169">
        <f t="shared" ca="1" si="11"/>
        <v>1.1250000000000002</v>
      </c>
      <c r="AC114" s="170">
        <f t="shared" ca="1" si="12"/>
        <v>3.0000000000000009</v>
      </c>
      <c r="AD114" s="169">
        <f t="shared" ca="1" si="13"/>
        <v>0</v>
      </c>
      <c r="AE114" s="169">
        <f t="shared" ca="1" si="8"/>
        <v>1.1250000000000002</v>
      </c>
      <c r="AF114" s="170">
        <f t="shared" ca="1" si="14"/>
        <v>3.0000000000000009</v>
      </c>
      <c r="AG114" s="170">
        <f t="shared" ca="1" si="15"/>
        <v>3.0000000000000009</v>
      </c>
      <c r="AH114" s="28" t="str" cm="1">
        <f t="array" aca="1" ref="AH114" ca="1">IF((AD114) &lt; (INDEX(ResponseSLA[#All],(MATCH((G114),ResponseSLA[Priority],0))+1,3)),"YES","No")</f>
        <v>YES</v>
      </c>
      <c r="AI114" s="28" t="str">
        <f ca="1">_xlfn.IFNA(IF(AE114 &lt; (INDEX(SLATable[Minimum SLA],MATCH(G114,SLATable[Priority],0))),"YES","NO"),"")</f>
        <v>NO</v>
      </c>
      <c r="AJ114" s="28" t="str">
        <f ca="1">_xlfn.IFNA(IF(AE114 &lt; (INDEX(SLATable[Maximum SLA],MATCH(G114,SLATable[Priority],0))),"YES","NO"),"")</f>
        <v>YES</v>
      </c>
    </row>
    <row r="115" spans="2:36" ht="15" customHeight="1">
      <c r="B115" s="127" t="s">
        <v>26</v>
      </c>
      <c r="C115" s="127" t="s">
        <v>35</v>
      </c>
      <c r="D115" s="127" t="s">
        <v>207</v>
      </c>
      <c r="E115" s="130" t="s">
        <v>1283</v>
      </c>
      <c r="F115" s="127" t="s">
        <v>295</v>
      </c>
      <c r="G115" s="127">
        <v>3</v>
      </c>
      <c r="H115" s="130" t="s">
        <v>1224</v>
      </c>
      <c r="I115" s="127" t="s">
        <v>271</v>
      </c>
      <c r="J115" s="127" t="s">
        <v>1250</v>
      </c>
      <c r="K115" s="129">
        <v>46164.215162037035</v>
      </c>
      <c r="L115" s="129">
        <v>46164.233402777776</v>
      </c>
      <c r="M115" s="129">
        <v>46164.292986111112</v>
      </c>
      <c r="N115" s="129">
        <v>46170.297743055555</v>
      </c>
      <c r="O115" s="129"/>
      <c r="P115" s="129"/>
      <c r="Q115" s="130" t="s">
        <v>1211</v>
      </c>
      <c r="R115" s="127" t="s">
        <v>267</v>
      </c>
      <c r="S115" s="127" t="s">
        <v>149</v>
      </c>
      <c r="T115" s="130"/>
      <c r="U115" s="127" t="s">
        <v>371</v>
      </c>
      <c r="V115" s="130"/>
      <c r="W115" s="127"/>
      <c r="X115" s="127"/>
      <c r="Y115" s="127"/>
      <c r="Z115" s="169">
        <f t="shared" ca="1" si="9"/>
        <v>1.1250000000000002</v>
      </c>
      <c r="AA115" s="170">
        <f t="shared" ca="1" si="10"/>
        <v>3.0000000000000009</v>
      </c>
      <c r="AB115" s="169">
        <f t="shared" ca="1" si="11"/>
        <v>1.1250000000000002</v>
      </c>
      <c r="AC115" s="170">
        <f t="shared" ca="1" si="12"/>
        <v>3.0000000000000009</v>
      </c>
      <c r="AD115" s="169">
        <f t="shared" ca="1" si="13"/>
        <v>0</v>
      </c>
      <c r="AE115" s="169">
        <f t="shared" ca="1" si="8"/>
        <v>1.1250000000000002</v>
      </c>
      <c r="AF115" s="170">
        <f t="shared" ca="1" si="14"/>
        <v>3.0000000000000009</v>
      </c>
      <c r="AG115" s="170">
        <f t="shared" ca="1" si="15"/>
        <v>3.0000000000000009</v>
      </c>
      <c r="AH115" s="28" t="str" cm="1">
        <f t="array" aca="1" ref="AH115" ca="1">IF((AD115) &lt; (INDEX(ResponseSLA[#All],(MATCH((G115),ResponseSLA[Priority],0))+1,3)),"YES","No")</f>
        <v>YES</v>
      </c>
      <c r="AI115" s="28" t="str">
        <f ca="1">_xlfn.IFNA(IF(AE115 &lt; (INDEX(SLATable[Minimum SLA],MATCH(G115,SLATable[Priority],0))),"YES","NO"),"")</f>
        <v>NO</v>
      </c>
      <c r="AJ115" s="28" t="str">
        <f ca="1">_xlfn.IFNA(IF(AE115 &lt; (INDEX(SLATable[Maximum SLA],MATCH(G115,SLATable[Priority],0))),"YES","NO"),"")</f>
        <v>YES</v>
      </c>
    </row>
    <row r="116" spans="2:36" ht="15" customHeight="1">
      <c r="B116" s="127" t="s">
        <v>26</v>
      </c>
      <c r="C116" s="127" t="s">
        <v>35</v>
      </c>
      <c r="D116" s="127" t="s">
        <v>207</v>
      </c>
      <c r="E116" s="130" t="s">
        <v>1284</v>
      </c>
      <c r="F116" s="127" t="s">
        <v>292</v>
      </c>
      <c r="G116" s="127">
        <v>3</v>
      </c>
      <c r="H116" s="130" t="s">
        <v>1285</v>
      </c>
      <c r="I116" s="127" t="s">
        <v>271</v>
      </c>
      <c r="J116" s="127" t="s">
        <v>1250</v>
      </c>
      <c r="K116" s="129">
        <v>46168.64403935185</v>
      </c>
      <c r="L116" s="129">
        <v>46168.645254629628</v>
      </c>
      <c r="M116" s="129">
        <v>46169.379872685182</v>
      </c>
      <c r="N116" s="129">
        <v>46170.423495370371</v>
      </c>
      <c r="O116" s="129"/>
      <c r="P116" s="129"/>
      <c r="Q116" s="130" t="s">
        <v>1073</v>
      </c>
      <c r="R116" s="127" t="s">
        <v>267</v>
      </c>
      <c r="S116" s="127" t="s">
        <v>149</v>
      </c>
      <c r="T116" s="130"/>
      <c r="U116" s="127" t="s">
        <v>371</v>
      </c>
      <c r="V116" s="130"/>
      <c r="W116" s="127"/>
      <c r="X116" s="127"/>
      <c r="Y116" s="127"/>
      <c r="Z116" s="169">
        <f t="shared" ca="1" si="9"/>
        <v>0.52945601852115942</v>
      </c>
      <c r="AA116" s="170">
        <f t="shared" ca="1" si="10"/>
        <v>1.4118827160564251</v>
      </c>
      <c r="AB116" s="169">
        <f t="shared" ca="1" si="11"/>
        <v>0.52824074074305827</v>
      </c>
      <c r="AC116" s="170">
        <f t="shared" ca="1" si="12"/>
        <v>1.408641975314822</v>
      </c>
      <c r="AD116" s="169">
        <f t="shared" ca="1" si="13"/>
        <v>0.10961805555416504</v>
      </c>
      <c r="AE116" s="169">
        <f t="shared" ca="1" si="8"/>
        <v>0.52824074074305827</v>
      </c>
      <c r="AF116" s="170">
        <f t="shared" ca="1" si="14"/>
        <v>1.408641975314822</v>
      </c>
      <c r="AG116" s="170">
        <f t="shared" ca="1" si="15"/>
        <v>1.408641975314822</v>
      </c>
      <c r="AH116" s="28" t="str" cm="1">
        <f t="array" aca="1" ref="AH116" ca="1">IF((AD116) &lt; (INDEX(ResponseSLA[#All],(MATCH((G116),ResponseSLA[Priority],0))+1,3)),"YES","No")</f>
        <v>No</v>
      </c>
      <c r="AI116" s="28" t="str">
        <f ca="1">_xlfn.IFNA(IF(AE116 &lt; (INDEX(SLATable[Minimum SLA],MATCH(G116,SLATable[Priority],0))),"YES","NO"),"")</f>
        <v>NO</v>
      </c>
      <c r="AJ116" s="28" t="str">
        <f ca="1">_xlfn.IFNA(IF(AE116 &lt; (INDEX(SLATable[Maximum SLA],MATCH(G116,SLATable[Priority],0))),"YES","NO"),"")</f>
        <v>YES</v>
      </c>
    </row>
    <row r="117" spans="2:36" ht="15" customHeight="1">
      <c r="B117" s="127" t="s">
        <v>26</v>
      </c>
      <c r="C117" s="127" t="s">
        <v>35</v>
      </c>
      <c r="D117" s="127" t="s">
        <v>207</v>
      </c>
      <c r="E117" s="130" t="s">
        <v>1286</v>
      </c>
      <c r="F117" s="127" t="s">
        <v>295</v>
      </c>
      <c r="G117" s="127">
        <v>3</v>
      </c>
      <c r="H117" s="130" t="s">
        <v>1213</v>
      </c>
      <c r="I117" s="127" t="s">
        <v>271</v>
      </c>
      <c r="J117" s="127" t="s">
        <v>1250</v>
      </c>
      <c r="K117" s="129">
        <v>46168.708865740744</v>
      </c>
      <c r="L117" s="129">
        <v>46168.75545138889</v>
      </c>
      <c r="M117" s="129">
        <v>46169.380289351851</v>
      </c>
      <c r="N117" s="129">
        <v>46170.305694444447</v>
      </c>
      <c r="O117" s="129"/>
      <c r="P117" s="129"/>
      <c r="Q117" s="130" t="s">
        <v>1211</v>
      </c>
      <c r="R117" s="127" t="s">
        <v>267</v>
      </c>
      <c r="S117" s="127" t="s">
        <v>149</v>
      </c>
      <c r="T117" s="130"/>
      <c r="U117" s="127" t="s">
        <v>371</v>
      </c>
      <c r="V117" s="130"/>
      <c r="W117" s="127"/>
      <c r="X117" s="127"/>
      <c r="Y117" s="127"/>
      <c r="Z117" s="169">
        <f t="shared" ca="1" si="9"/>
        <v>0.37500000000000011</v>
      </c>
      <c r="AA117" s="170">
        <f t="shared" ca="1" si="10"/>
        <v>1.0000000000000004</v>
      </c>
      <c r="AB117" s="169">
        <f t="shared" ca="1" si="11"/>
        <v>0.37500000000000011</v>
      </c>
      <c r="AC117" s="170">
        <f t="shared" ca="1" si="12"/>
        <v>1.0000000000000004</v>
      </c>
      <c r="AD117" s="169">
        <f t="shared" ca="1" si="13"/>
        <v>4.6956018518054976E-2</v>
      </c>
      <c r="AE117" s="169">
        <f t="shared" ca="1" si="8"/>
        <v>0.37500000000000011</v>
      </c>
      <c r="AF117" s="170">
        <f t="shared" ca="1" si="14"/>
        <v>1.0000000000000004</v>
      </c>
      <c r="AG117" s="170">
        <f t="shared" ca="1" si="15"/>
        <v>1.0000000000000004</v>
      </c>
      <c r="AH117" s="28" t="str" cm="1">
        <f t="array" aca="1" ref="AH117" ca="1">IF((AD117) &lt; (INDEX(ResponseSLA[#All],(MATCH((G117),ResponseSLA[Priority],0))+1,3)),"YES","No")</f>
        <v>YES</v>
      </c>
      <c r="AI117" s="28" t="str">
        <f ca="1">_xlfn.IFNA(IF(AE117 &lt; (INDEX(SLATable[Minimum SLA],MATCH(G117,SLATable[Priority],0))),"YES","NO"),"")</f>
        <v>NO</v>
      </c>
      <c r="AJ117" s="28" t="str">
        <f ca="1">_xlfn.IFNA(IF(AE117 &lt; (INDEX(SLATable[Maximum SLA],MATCH(G117,SLATable[Priority],0))),"YES","NO"),"")</f>
        <v>YES</v>
      </c>
    </row>
    <row r="118" spans="2:36" ht="15" customHeight="1">
      <c r="B118" s="127" t="s">
        <v>26</v>
      </c>
      <c r="C118" s="127" t="s">
        <v>35</v>
      </c>
      <c r="D118" s="127" t="s">
        <v>207</v>
      </c>
      <c r="E118" s="130" t="s">
        <v>1287</v>
      </c>
      <c r="F118" s="127" t="s">
        <v>289</v>
      </c>
      <c r="G118" s="127">
        <v>3</v>
      </c>
      <c r="H118" s="130" t="s">
        <v>1288</v>
      </c>
      <c r="I118" s="127" t="s">
        <v>271</v>
      </c>
      <c r="J118" s="127" t="s">
        <v>1250</v>
      </c>
      <c r="K118" s="129">
        <v>46169.024791666663</v>
      </c>
      <c r="L118" s="129">
        <v>46169.024884259263</v>
      </c>
      <c r="M118" s="129">
        <v>46169.298032407409</v>
      </c>
      <c r="N118" s="129">
        <v>46170.318483796298</v>
      </c>
      <c r="O118" s="129"/>
      <c r="P118" s="129"/>
      <c r="Q118" s="130" t="s">
        <v>1164</v>
      </c>
      <c r="R118" s="127" t="s">
        <v>267</v>
      </c>
      <c r="S118" s="127" t="s">
        <v>149</v>
      </c>
      <c r="T118" s="130"/>
      <c r="U118" s="127" t="s">
        <v>371</v>
      </c>
      <c r="V118" s="130"/>
      <c r="W118" s="127"/>
      <c r="X118" s="127"/>
      <c r="Y118" s="127"/>
      <c r="Z118" s="169">
        <f t="shared" ca="1" si="9"/>
        <v>0.37500000000000006</v>
      </c>
      <c r="AA118" s="170">
        <f t="shared" ca="1" si="10"/>
        <v>1.0000000000000002</v>
      </c>
      <c r="AB118" s="169">
        <f t="shared" ca="1" si="11"/>
        <v>0.37500000000000006</v>
      </c>
      <c r="AC118" s="170">
        <f t="shared" ca="1" si="12"/>
        <v>1.0000000000000002</v>
      </c>
      <c r="AD118" s="169">
        <f t="shared" ca="1" si="13"/>
        <v>0</v>
      </c>
      <c r="AE118" s="169">
        <f t="shared" ca="1" si="8"/>
        <v>0.37500000000000006</v>
      </c>
      <c r="AF118" s="170">
        <f t="shared" ca="1" si="14"/>
        <v>1.0000000000000002</v>
      </c>
      <c r="AG118" s="170">
        <f t="shared" ca="1" si="15"/>
        <v>1.0000000000000002</v>
      </c>
      <c r="AH118" s="28" t="str" cm="1">
        <f t="array" aca="1" ref="AH118" ca="1">IF((AD118) &lt; (INDEX(ResponseSLA[#All],(MATCH((G118),ResponseSLA[Priority],0))+1,3)),"YES","No")</f>
        <v>YES</v>
      </c>
      <c r="AI118" s="28" t="str">
        <f ca="1">_xlfn.IFNA(IF(AE118 &lt; (INDEX(SLATable[Minimum SLA],MATCH(G118,SLATable[Priority],0))),"YES","NO"),"")</f>
        <v>NO</v>
      </c>
      <c r="AJ118" s="28" t="str">
        <f ca="1">_xlfn.IFNA(IF(AE118 &lt; (INDEX(SLATable[Maximum SLA],MATCH(G118,SLATable[Priority],0))),"YES","NO"),"")</f>
        <v>YES</v>
      </c>
    </row>
    <row r="119" spans="2:36" ht="15" customHeight="1">
      <c r="B119" s="127" t="s">
        <v>26</v>
      </c>
      <c r="C119" s="127" t="s">
        <v>35</v>
      </c>
      <c r="D119" s="127" t="s">
        <v>207</v>
      </c>
      <c r="E119" s="130" t="s">
        <v>1289</v>
      </c>
      <c r="F119" s="127" t="s">
        <v>289</v>
      </c>
      <c r="G119" s="127">
        <v>3</v>
      </c>
      <c r="H119" s="130" t="s">
        <v>1290</v>
      </c>
      <c r="I119" s="127" t="s">
        <v>271</v>
      </c>
      <c r="J119" s="127" t="s">
        <v>1250</v>
      </c>
      <c r="K119" s="129">
        <v>46169.025567129633</v>
      </c>
      <c r="L119" s="129">
        <v>46169.025625000002</v>
      </c>
      <c r="M119" s="129">
        <v>46169.298275462963</v>
      </c>
      <c r="N119" s="129">
        <v>46169.482245370367</v>
      </c>
      <c r="O119" s="129"/>
      <c r="P119" s="129"/>
      <c r="Q119" s="130" t="s">
        <v>1164</v>
      </c>
      <c r="R119" s="127" t="s">
        <v>267</v>
      </c>
      <c r="S119" s="127" t="s">
        <v>149</v>
      </c>
      <c r="T119" s="130"/>
      <c r="U119" s="127" t="s">
        <v>371</v>
      </c>
      <c r="V119" s="130"/>
      <c r="W119" s="127"/>
      <c r="X119" s="127"/>
      <c r="Y119" s="127"/>
      <c r="Z119" s="169">
        <f t="shared" ca="1" si="9"/>
        <v>0.14891203703397576</v>
      </c>
      <c r="AA119" s="170">
        <f t="shared" ca="1" si="10"/>
        <v>0.39709876542393535</v>
      </c>
      <c r="AB119" s="169">
        <f t="shared" ca="1" si="11"/>
        <v>0.14891203703397576</v>
      </c>
      <c r="AC119" s="170">
        <f t="shared" ca="1" si="12"/>
        <v>0.39709876542393535</v>
      </c>
      <c r="AD119" s="169">
        <f t="shared" ca="1" si="13"/>
        <v>0</v>
      </c>
      <c r="AE119" s="169">
        <f t="shared" ca="1" si="8"/>
        <v>0.14891203703397576</v>
      </c>
      <c r="AF119" s="170">
        <f t="shared" ca="1" si="14"/>
        <v>0.39709876542393535</v>
      </c>
      <c r="AG119" s="170">
        <f t="shared" ca="1" si="15"/>
        <v>0.39709876542393535</v>
      </c>
      <c r="AH119" s="28" t="str" cm="1">
        <f t="array" aca="1" ref="AH119" ca="1">IF((AD119) &lt; (INDEX(ResponseSLA[#All],(MATCH((G119),ResponseSLA[Priority],0))+1,3)),"YES","No")</f>
        <v>YES</v>
      </c>
      <c r="AI119" s="28" t="str">
        <f ca="1">_xlfn.IFNA(IF(AE119 &lt; (INDEX(SLATable[Minimum SLA],MATCH(G119,SLATable[Priority],0))),"YES","NO"),"")</f>
        <v>YES</v>
      </c>
      <c r="AJ119" s="28" t="str">
        <f ca="1">_xlfn.IFNA(IF(AE119 &lt; (INDEX(SLATable[Maximum SLA],MATCH(G119,SLATable[Priority],0))),"YES","NO"),"")</f>
        <v>YES</v>
      </c>
    </row>
    <row r="120" spans="2:36" ht="15" customHeight="1">
      <c r="B120" s="127" t="s">
        <v>26</v>
      </c>
      <c r="C120" s="127" t="s">
        <v>35</v>
      </c>
      <c r="D120" s="127" t="s">
        <v>207</v>
      </c>
      <c r="E120" s="130" t="s">
        <v>1291</v>
      </c>
      <c r="F120" s="127" t="s">
        <v>295</v>
      </c>
      <c r="G120" s="127">
        <v>3</v>
      </c>
      <c r="H120" s="130" t="s">
        <v>1292</v>
      </c>
      <c r="I120" s="127" t="s">
        <v>271</v>
      </c>
      <c r="J120" s="127" t="s">
        <v>1250</v>
      </c>
      <c r="K120" s="129">
        <v>46169.637766203705</v>
      </c>
      <c r="L120" s="129">
        <v>46169.637870370374</v>
      </c>
      <c r="M120" s="129">
        <v>46170.244421296295</v>
      </c>
      <c r="N120" s="129">
        <v>46170.390196759261</v>
      </c>
      <c r="O120" s="129"/>
      <c r="P120" s="129"/>
      <c r="Q120" s="130" t="s">
        <v>695</v>
      </c>
      <c r="R120" s="127" t="s">
        <v>267</v>
      </c>
      <c r="S120" s="127" t="s">
        <v>149</v>
      </c>
      <c r="T120" s="130"/>
      <c r="U120" s="127" t="s">
        <v>371</v>
      </c>
      <c r="V120" s="130"/>
      <c r="W120" s="127"/>
      <c r="X120" s="127"/>
      <c r="Y120" s="127"/>
      <c r="Z120" s="169">
        <f t="shared" ca="1" si="9"/>
        <v>0.12743055555620231</v>
      </c>
      <c r="AA120" s="170">
        <f t="shared" ca="1" si="10"/>
        <v>0.33981481481653947</v>
      </c>
      <c r="AB120" s="169">
        <f t="shared" ca="1" si="11"/>
        <v>0.12732638888701331</v>
      </c>
      <c r="AC120" s="170">
        <f t="shared" ca="1" si="12"/>
        <v>0.33953703703203547</v>
      </c>
      <c r="AD120" s="169">
        <f t="shared" ca="1" si="13"/>
        <v>7.0462962959330411E-2</v>
      </c>
      <c r="AE120" s="169">
        <f t="shared" ca="1" si="8"/>
        <v>0.12732638888701331</v>
      </c>
      <c r="AF120" s="170">
        <f t="shared" ca="1" si="14"/>
        <v>0.33953703703203547</v>
      </c>
      <c r="AG120" s="170">
        <f t="shared" ca="1" si="15"/>
        <v>0.33953703703203547</v>
      </c>
      <c r="AH120" s="28" t="str" cm="1">
        <f t="array" aca="1" ref="AH120" ca="1">IF((AD120) &lt; (INDEX(ResponseSLA[#All],(MATCH((G120),ResponseSLA[Priority],0))+1,3)),"YES","No")</f>
        <v>YES</v>
      </c>
      <c r="AI120" s="28" t="str">
        <f ca="1">_xlfn.IFNA(IF(AE120 &lt; (INDEX(SLATable[Minimum SLA],MATCH(G120,SLATable[Priority],0))),"YES","NO"),"")</f>
        <v>YES</v>
      </c>
      <c r="AJ120" s="28" t="str">
        <f ca="1">_xlfn.IFNA(IF(AE120 &lt; (INDEX(SLATable[Maximum SLA],MATCH(G120,SLATable[Priority],0))),"YES","NO"),"")</f>
        <v>YES</v>
      </c>
    </row>
    <row r="121" spans="2:36" ht="15" customHeight="1">
      <c r="B121" s="127" t="s">
        <v>26</v>
      </c>
      <c r="C121" s="127" t="s">
        <v>35</v>
      </c>
      <c r="D121" s="127" t="s">
        <v>207</v>
      </c>
      <c r="E121" s="130" t="s">
        <v>1293</v>
      </c>
      <c r="F121" s="127" t="s">
        <v>295</v>
      </c>
      <c r="G121" s="127">
        <v>3</v>
      </c>
      <c r="H121" s="130" t="s">
        <v>1294</v>
      </c>
      <c r="I121" s="127" t="s">
        <v>271</v>
      </c>
      <c r="J121" s="127" t="s">
        <v>1250</v>
      </c>
      <c r="K121" s="129">
        <v>46169.660231481481</v>
      </c>
      <c r="L121" s="129">
        <v>46169.703125</v>
      </c>
      <c r="M121" s="129">
        <v>46171.175891203704</v>
      </c>
      <c r="N121" s="129">
        <v>46171.442488425928</v>
      </c>
      <c r="O121" s="129"/>
      <c r="P121" s="129"/>
      <c r="Q121" s="130" t="s">
        <v>695</v>
      </c>
      <c r="R121" s="127" t="s">
        <v>267</v>
      </c>
      <c r="S121" s="127" t="s">
        <v>149</v>
      </c>
      <c r="T121" s="130"/>
      <c r="U121" s="127" t="s">
        <v>371</v>
      </c>
      <c r="V121" s="127"/>
      <c r="W121" s="127"/>
      <c r="X121" s="127"/>
      <c r="Y121" s="127"/>
      <c r="Z121" s="169">
        <f t="shared" ca="1" si="9"/>
        <v>0.53225694444699911</v>
      </c>
      <c r="AA121" s="170">
        <f t="shared" ca="1" si="10"/>
        <v>1.4193518518586643</v>
      </c>
      <c r="AB121" s="169">
        <f t="shared" ca="1" si="11"/>
        <v>0.48936342592787696</v>
      </c>
      <c r="AC121" s="170">
        <f t="shared" ca="1" si="12"/>
        <v>1.3049691358076718</v>
      </c>
      <c r="AD121" s="169">
        <f t="shared" ca="1" si="13"/>
        <v>0.38020833333333348</v>
      </c>
      <c r="AE121" s="169">
        <f t="shared" ca="1" si="8"/>
        <v>0.97856481481721858</v>
      </c>
      <c r="AF121" s="170">
        <f t="shared" ca="1" si="14"/>
        <v>2.6095061728459163</v>
      </c>
      <c r="AG121" s="170">
        <f t="shared" ca="1" si="15"/>
        <v>2.6095061728459163</v>
      </c>
      <c r="AH121" s="28" t="str" cm="1">
        <f t="array" aca="1" ref="AH121" ca="1">IF((AD121) &lt; (INDEX(ResponseSLA[#All],(MATCH((G121),ResponseSLA[Priority],0))+1,3)),"YES","No")</f>
        <v>No</v>
      </c>
      <c r="AI121" s="28" t="str">
        <f ca="1">_xlfn.IFNA(IF(AE121 &lt; (INDEX(SLATable[Minimum SLA],MATCH(G121,SLATable[Priority],0))),"YES","NO"),"")</f>
        <v>NO</v>
      </c>
      <c r="AJ121" s="28" t="str">
        <f ca="1">_xlfn.IFNA(IF(AE121 &lt; (INDEX(SLATable[Maximum SLA],MATCH(G121,SLATable[Priority],0))),"YES","NO"),"")</f>
        <v>YES</v>
      </c>
    </row>
    <row r="122" spans="2:36" ht="15" customHeight="1">
      <c r="B122" s="127" t="s">
        <v>26</v>
      </c>
      <c r="C122" s="127" t="s">
        <v>35</v>
      </c>
      <c r="D122" s="127" t="s">
        <v>207</v>
      </c>
      <c r="E122" s="130" t="s">
        <v>1295</v>
      </c>
      <c r="F122" s="127" t="s">
        <v>292</v>
      </c>
      <c r="G122" s="127">
        <v>3</v>
      </c>
      <c r="H122" s="130" t="s">
        <v>1296</v>
      </c>
      <c r="I122" s="127" t="s">
        <v>271</v>
      </c>
      <c r="J122" s="130" t="s">
        <v>1250</v>
      </c>
      <c r="K122" s="129">
        <v>46127.70752314815</v>
      </c>
      <c r="L122" s="129">
        <v>46133.63553240741</v>
      </c>
      <c r="M122" s="129">
        <v>46134.251527777778</v>
      </c>
      <c r="N122" s="129">
        <v>46141.750057870369</v>
      </c>
      <c r="O122" s="129">
        <v>46134.313067129631</v>
      </c>
      <c r="P122" s="129">
        <v>46141.750057870369</v>
      </c>
      <c r="Q122" s="130" t="s">
        <v>1073</v>
      </c>
      <c r="R122" s="127" t="s">
        <v>267</v>
      </c>
      <c r="S122" s="127" t="s">
        <v>190</v>
      </c>
      <c r="T122" s="127"/>
      <c r="U122" s="127" t="s">
        <v>371</v>
      </c>
      <c r="V122" s="127"/>
      <c r="W122" s="127"/>
      <c r="X122" s="127"/>
      <c r="Y122" s="127"/>
      <c r="Z122" s="169">
        <f t="shared" ca="1" si="9"/>
        <v>1.500810185182976</v>
      </c>
      <c r="AA122" s="170">
        <f t="shared" ca="1" si="10"/>
        <v>4.0021604938212691</v>
      </c>
      <c r="AB122" s="169">
        <f t="shared" ca="1" si="11"/>
        <v>7.2800925923123927E-2</v>
      </c>
      <c r="AC122" s="170">
        <f t="shared" ca="1" si="12"/>
        <v>0.19413580246166381</v>
      </c>
      <c r="AD122" s="169">
        <f t="shared" ca="1" si="13"/>
        <v>7.2800925923123372E-2</v>
      </c>
      <c r="AE122" s="169">
        <f t="shared" ca="1" si="8"/>
        <v>7.2800925923123927E-2</v>
      </c>
      <c r="AF122" s="170">
        <f t="shared" ca="1" si="14"/>
        <v>0.19413580246166381</v>
      </c>
      <c r="AG122" s="170">
        <f t="shared" ca="1" si="15"/>
        <v>0.19413580246166381</v>
      </c>
      <c r="AH122" s="28" t="str" cm="1">
        <f t="array" aca="1" ref="AH122" ca="1">IF((AD122) &lt; (INDEX(ResponseSLA[#All],(MATCH((G122),ResponseSLA[Priority],0))+1,3)),"YES","No")</f>
        <v>YES</v>
      </c>
      <c r="AI122" s="28" t="str">
        <f ca="1">_xlfn.IFNA(IF(AE122 &lt; (INDEX(SLATable[Minimum SLA],MATCH(G122,SLATable[Priority],0))),"YES","NO"),"")</f>
        <v>YES</v>
      </c>
      <c r="AJ122" s="28" t="str">
        <f ca="1">_xlfn.IFNA(IF(AE122 &lt; (INDEX(SLATable[Maximum SLA],MATCH(G122,SLATable[Priority],0))),"YES","NO"),"")</f>
        <v>YES</v>
      </c>
    </row>
    <row r="123" spans="2:36" ht="15" customHeight="1">
      <c r="B123" s="127" t="s">
        <v>26</v>
      </c>
      <c r="C123" s="127" t="s">
        <v>35</v>
      </c>
      <c r="D123" s="127" t="s">
        <v>207</v>
      </c>
      <c r="E123" s="130" t="s">
        <v>1297</v>
      </c>
      <c r="F123" s="127" t="s">
        <v>289</v>
      </c>
      <c r="G123" s="127">
        <v>3</v>
      </c>
      <c r="H123" s="130" t="s">
        <v>1298</v>
      </c>
      <c r="I123" s="127" t="s">
        <v>271</v>
      </c>
      <c r="J123" s="130" t="s">
        <v>1250</v>
      </c>
      <c r="K123" s="129">
        <v>46133.2734375</v>
      </c>
      <c r="L123" s="129">
        <v>46133.430937500001</v>
      </c>
      <c r="M123" s="129">
        <v>46133.446886574071</v>
      </c>
      <c r="N123" s="129">
        <v>46143.75037037037</v>
      </c>
      <c r="O123" s="129">
        <v>46134.327881944446</v>
      </c>
      <c r="P123" s="129">
        <v>46143.75037037037</v>
      </c>
      <c r="Q123" s="130" t="s">
        <v>1113</v>
      </c>
      <c r="R123" s="127" t="s">
        <v>267</v>
      </c>
      <c r="S123" s="127" t="s">
        <v>190</v>
      </c>
      <c r="T123" s="127"/>
      <c r="U123" s="127" t="s">
        <v>371</v>
      </c>
      <c r="V123" s="127"/>
      <c r="W123" s="127"/>
      <c r="X123" s="127"/>
      <c r="Y123" s="127"/>
      <c r="Z123" s="169">
        <f t="shared" ca="1" si="9"/>
        <v>0.375</v>
      </c>
      <c r="AA123" s="170">
        <f t="shared" ca="1" si="10"/>
        <v>1</v>
      </c>
      <c r="AB123" s="169">
        <f t="shared" ca="1" si="11"/>
        <v>0.27739583333216933</v>
      </c>
      <c r="AC123" s="170">
        <f t="shared" ca="1" si="12"/>
        <v>0.73972222221911821</v>
      </c>
      <c r="AD123" s="169">
        <f t="shared" ca="1" si="13"/>
        <v>1.5949074069794733E-2</v>
      </c>
      <c r="AE123" s="169">
        <f t="shared" ca="1" si="8"/>
        <v>0.27739583333216933</v>
      </c>
      <c r="AF123" s="170">
        <f t="shared" ca="1" si="14"/>
        <v>0.73972222221911821</v>
      </c>
      <c r="AG123" s="170">
        <f t="shared" ca="1" si="15"/>
        <v>0.73972222221911821</v>
      </c>
      <c r="AH123" s="28" t="str" cm="1">
        <f t="array" aca="1" ref="AH123" ca="1">IF((AD123) &lt; (INDEX(ResponseSLA[#All],(MATCH((G123),ResponseSLA[Priority],0))+1,3)),"YES","No")</f>
        <v>YES</v>
      </c>
      <c r="AI123" s="28" t="str">
        <f ca="1">_xlfn.IFNA(IF(AE123 &lt; (INDEX(SLATable[Minimum SLA],MATCH(G123,SLATable[Priority],0))),"YES","NO"),"")</f>
        <v>YES</v>
      </c>
      <c r="AJ123" s="28" t="str">
        <f ca="1">_xlfn.IFNA(IF(AE123 &lt; (INDEX(SLATable[Maximum SLA],MATCH(G123,SLATable[Priority],0))),"YES","NO"),"")</f>
        <v>YES</v>
      </c>
    </row>
    <row r="124" spans="2:36" ht="15" customHeight="1">
      <c r="B124" s="127" t="s">
        <v>26</v>
      </c>
      <c r="C124" s="127" t="s">
        <v>35</v>
      </c>
      <c r="D124" s="127" t="s">
        <v>207</v>
      </c>
      <c r="E124" s="130" t="s">
        <v>1299</v>
      </c>
      <c r="F124" s="127" t="s">
        <v>295</v>
      </c>
      <c r="G124" s="127">
        <v>4</v>
      </c>
      <c r="H124" s="130" t="s">
        <v>1300</v>
      </c>
      <c r="I124" s="127" t="s">
        <v>271</v>
      </c>
      <c r="J124" s="130" t="s">
        <v>1250</v>
      </c>
      <c r="K124" s="129">
        <v>46134.362268518518</v>
      </c>
      <c r="L124" s="129">
        <v>46134.616608796299</v>
      </c>
      <c r="M124" s="129">
        <v>46135.214502314811</v>
      </c>
      <c r="N124" s="129">
        <v>46140.387615740743</v>
      </c>
      <c r="O124" s="129"/>
      <c r="P124" s="129"/>
      <c r="Q124" s="130" t="s">
        <v>1301</v>
      </c>
      <c r="R124" s="127" t="s">
        <v>267</v>
      </c>
      <c r="S124" s="127" t="s">
        <v>193</v>
      </c>
      <c r="T124" s="127"/>
      <c r="U124" s="127" t="s">
        <v>371</v>
      </c>
      <c r="V124" s="127"/>
      <c r="W124" s="127"/>
      <c r="X124" s="127"/>
      <c r="Y124" s="127"/>
      <c r="Z124" s="169">
        <f t="shared" ca="1" si="9"/>
        <v>1.5253472222248095</v>
      </c>
      <c r="AA124" s="170">
        <f t="shared" ca="1" si="10"/>
        <v>4.0675925925994925</v>
      </c>
      <c r="AB124" s="169">
        <f t="shared" ca="1" si="11"/>
        <v>1.2710069444437979</v>
      </c>
      <c r="AC124" s="170">
        <f t="shared" ca="1" si="12"/>
        <v>3.3893518518501278</v>
      </c>
      <c r="AD124" s="169">
        <f t="shared" ca="1" si="13"/>
        <v>9.1724537034072795E-2</v>
      </c>
      <c r="AE124" s="169">
        <f t="shared" ca="1" si="8"/>
        <v>1.2710069444437979</v>
      </c>
      <c r="AF124" s="170">
        <f t="shared" ca="1" si="14"/>
        <v>3.3893518518501278</v>
      </c>
      <c r="AG124" s="170">
        <f t="shared" ca="1" si="15"/>
        <v>3.3893518518501278</v>
      </c>
      <c r="AH124" s="28" t="str" cm="1">
        <f t="array" aca="1" ref="AH124" ca="1">IF((AD124) &lt; (INDEX(ResponseSLA[#All],(MATCH((G124),ResponseSLA[Priority],0))+1,3)),"YES","No")</f>
        <v>YES</v>
      </c>
      <c r="AI124" s="28" t="str">
        <f ca="1">_xlfn.IFNA(IF(AE124 &lt; (INDEX(SLATable[Minimum SLA],MATCH(G124,SLATable[Priority],0))),"YES","NO"),"")</f>
        <v>YES</v>
      </c>
      <c r="AJ124" s="28" t="str">
        <f ca="1">_xlfn.IFNA(IF(AE124 &lt; (INDEX(SLATable[Maximum SLA],MATCH(G124,SLATable[Priority],0))),"YES","NO"),"")</f>
        <v>YES</v>
      </c>
    </row>
    <row r="125" spans="2:36" ht="15" customHeight="1">
      <c r="B125" s="127" t="s">
        <v>26</v>
      </c>
      <c r="C125" s="127" t="s">
        <v>35</v>
      </c>
      <c r="D125" s="127" t="s">
        <v>207</v>
      </c>
      <c r="E125" s="130" t="s">
        <v>1302</v>
      </c>
      <c r="F125" s="127" t="s">
        <v>295</v>
      </c>
      <c r="G125" s="127">
        <v>3</v>
      </c>
      <c r="H125" s="130" t="s">
        <v>1303</v>
      </c>
      <c r="I125" s="127" t="s">
        <v>271</v>
      </c>
      <c r="J125" s="130" t="s">
        <v>1250</v>
      </c>
      <c r="K125" s="129">
        <v>46134.604456018518</v>
      </c>
      <c r="L125" s="129">
        <v>46136.57917824074</v>
      </c>
      <c r="M125" s="129">
        <v>46140.442604166667</v>
      </c>
      <c r="N125" s="129">
        <v>46148.750358796293</v>
      </c>
      <c r="O125" s="129">
        <v>46141.341620370367</v>
      </c>
      <c r="P125" s="129">
        <v>46148.750358796293</v>
      </c>
      <c r="Q125" s="130" t="s">
        <v>1304</v>
      </c>
      <c r="R125" s="127" t="s">
        <v>267</v>
      </c>
      <c r="S125" s="127" t="s">
        <v>190</v>
      </c>
      <c r="T125" s="127"/>
      <c r="U125" s="127" t="s">
        <v>371</v>
      </c>
      <c r="V125" s="127"/>
      <c r="W125" s="127"/>
      <c r="X125" s="127"/>
      <c r="Y125" s="127"/>
      <c r="Z125" s="169">
        <f t="shared" ca="1" si="9"/>
        <v>1.6121643518490605</v>
      </c>
      <c r="AA125" s="170">
        <f t="shared" ca="1" si="10"/>
        <v>4.2991049382641613</v>
      </c>
      <c r="AB125" s="169">
        <f t="shared" ca="1" si="11"/>
        <v>0.88744212962774371</v>
      </c>
      <c r="AC125" s="170">
        <f t="shared" ca="1" si="12"/>
        <v>2.3665123456739834</v>
      </c>
      <c r="AD125" s="169">
        <f t="shared" ca="1" si="13"/>
        <v>0.61342592592700385</v>
      </c>
      <c r="AE125" s="169">
        <f t="shared" ca="1" si="8"/>
        <v>0.88744212962774371</v>
      </c>
      <c r="AF125" s="170">
        <f t="shared" ca="1" si="14"/>
        <v>2.3665123456739834</v>
      </c>
      <c r="AG125" s="170">
        <f t="shared" ca="1" si="15"/>
        <v>2.3665123456739834</v>
      </c>
      <c r="AH125" s="28" t="str" cm="1">
        <f t="array" aca="1" ref="AH125" ca="1">IF((AD125) &lt; (INDEX(ResponseSLA[#All],(MATCH((G125),ResponseSLA[Priority],0))+1,3)),"YES","No")</f>
        <v>No</v>
      </c>
      <c r="AI125" s="28" t="str">
        <f ca="1">_xlfn.IFNA(IF(AE125 &lt; (INDEX(SLATable[Minimum SLA],MATCH(G125,SLATable[Priority],0))),"YES","NO"),"")</f>
        <v>NO</v>
      </c>
      <c r="AJ125" s="28" t="str">
        <f ca="1">_xlfn.IFNA(IF(AE125 &lt; (INDEX(SLATable[Maximum SLA],MATCH(G125,SLATable[Priority],0))),"YES","NO"),"")</f>
        <v>YES</v>
      </c>
    </row>
    <row r="126" spans="2:36" ht="15" customHeight="1">
      <c r="B126" s="127" t="s">
        <v>26</v>
      </c>
      <c r="C126" s="127" t="s">
        <v>35</v>
      </c>
      <c r="D126" s="127" t="s">
        <v>207</v>
      </c>
      <c r="E126" s="130" t="s">
        <v>1305</v>
      </c>
      <c r="F126" s="127" t="s">
        <v>289</v>
      </c>
      <c r="G126" s="127">
        <v>3</v>
      </c>
      <c r="H126" s="130" t="s">
        <v>1306</v>
      </c>
      <c r="I126" s="127" t="s">
        <v>271</v>
      </c>
      <c r="J126" s="130" t="s">
        <v>1250</v>
      </c>
      <c r="K126" s="129">
        <v>46140.007685185185</v>
      </c>
      <c r="L126" s="129">
        <v>46140.484375</v>
      </c>
      <c r="M126" s="129">
        <v>46141.459733796299</v>
      </c>
      <c r="N126" s="129">
        <v>46141.788287037038</v>
      </c>
      <c r="O126" s="129"/>
      <c r="P126" s="129"/>
      <c r="Q126" s="130" t="s">
        <v>1164</v>
      </c>
      <c r="R126" s="127" t="s">
        <v>267</v>
      </c>
      <c r="S126" s="127" t="s">
        <v>149</v>
      </c>
      <c r="T126" s="127"/>
      <c r="U126" s="127" t="s">
        <v>371</v>
      </c>
      <c r="V126" s="127"/>
      <c r="W126" s="127"/>
      <c r="X126" s="127"/>
      <c r="Y126" s="127"/>
      <c r="Z126" s="169">
        <f t="shared" ca="1" si="9"/>
        <v>0.75000000000000022</v>
      </c>
      <c r="AA126" s="170">
        <f t="shared" ca="1" si="10"/>
        <v>2.0000000000000009</v>
      </c>
      <c r="AB126" s="169">
        <f t="shared" ca="1" si="11"/>
        <v>0.59895833333333348</v>
      </c>
      <c r="AC126" s="170">
        <f t="shared" ca="1" si="12"/>
        <v>1.5972222222222225</v>
      </c>
      <c r="AD126" s="169">
        <f t="shared" ca="1" si="13"/>
        <v>0.3503587962986785</v>
      </c>
      <c r="AE126" s="169">
        <f t="shared" ca="1" si="8"/>
        <v>0.59895833333333348</v>
      </c>
      <c r="AF126" s="170">
        <f t="shared" ca="1" si="14"/>
        <v>1.5972222222222225</v>
      </c>
      <c r="AG126" s="170">
        <f t="shared" ca="1" si="15"/>
        <v>1.5972222222222225</v>
      </c>
      <c r="AH126" s="28" t="str" cm="1">
        <f t="array" aca="1" ref="AH126" ca="1">IF((AD126) &lt; (INDEX(ResponseSLA[#All],(MATCH((G126),ResponseSLA[Priority],0))+1,3)),"YES","No")</f>
        <v>No</v>
      </c>
      <c r="AI126" s="28" t="str">
        <f ca="1">_xlfn.IFNA(IF(AE126 &lt; (INDEX(SLATable[Minimum SLA],MATCH(G126,SLATable[Priority],0))),"YES","NO"),"")</f>
        <v>NO</v>
      </c>
      <c r="AJ126" s="28" t="str">
        <f ca="1">_xlfn.IFNA(IF(AE126 &lt; (INDEX(SLATable[Maximum SLA],MATCH(G126,SLATable[Priority],0))),"YES","NO"),"")</f>
        <v>YES</v>
      </c>
    </row>
    <row r="127" spans="2:36" ht="15" customHeight="1">
      <c r="B127" s="127" t="s">
        <v>26</v>
      </c>
      <c r="C127" s="127" t="s">
        <v>35</v>
      </c>
      <c r="D127" s="127" t="s">
        <v>207</v>
      </c>
      <c r="E127" s="130" t="s">
        <v>1307</v>
      </c>
      <c r="F127" s="127" t="s">
        <v>292</v>
      </c>
      <c r="G127" s="127">
        <v>4</v>
      </c>
      <c r="H127" s="130" t="s">
        <v>1308</v>
      </c>
      <c r="I127" s="127" t="s">
        <v>271</v>
      </c>
      <c r="J127" s="130" t="s">
        <v>1250</v>
      </c>
      <c r="K127" s="129">
        <v>46145.228750000002</v>
      </c>
      <c r="L127" s="129">
        <v>46145.231261574074</v>
      </c>
      <c r="M127" s="129">
        <v>46146.423333333332</v>
      </c>
      <c r="N127" s="129">
        <v>46154.449895833335</v>
      </c>
      <c r="O127" s="129">
        <v>46146.449374999997</v>
      </c>
      <c r="P127" s="129">
        <v>46154.449895833335</v>
      </c>
      <c r="Q127" s="130" t="s">
        <v>1073</v>
      </c>
      <c r="R127" s="127" t="s">
        <v>267</v>
      </c>
      <c r="S127" s="127" t="s">
        <v>199</v>
      </c>
      <c r="T127" s="127"/>
      <c r="U127" s="127" t="s">
        <v>371</v>
      </c>
      <c r="V127" s="127"/>
      <c r="W127" s="127"/>
      <c r="X127" s="127"/>
      <c r="Y127" s="127"/>
      <c r="Z127" s="169">
        <f t="shared" ca="1" si="9"/>
        <v>0</v>
      </c>
      <c r="AA127" s="170">
        <f t="shared" ca="1" si="10"/>
        <v>0</v>
      </c>
      <c r="AB127" s="169">
        <f t="shared" ca="1" si="11"/>
        <v>0</v>
      </c>
      <c r="AC127" s="170">
        <f t="shared" ca="1" si="12"/>
        <v>0</v>
      </c>
      <c r="AD127" s="169">
        <f t="shared" ca="1" si="13"/>
        <v>0</v>
      </c>
      <c r="AE127" s="169">
        <f t="shared" ca="1" si="8"/>
        <v>0</v>
      </c>
      <c r="AF127" s="170">
        <f t="shared" ca="1" si="14"/>
        <v>0</v>
      </c>
      <c r="AG127" s="170">
        <f t="shared" ca="1" si="15"/>
        <v>0</v>
      </c>
      <c r="AH127" s="28" t="str" cm="1">
        <f t="array" aca="1" ref="AH127" ca="1">IF((AD127) &lt; (INDEX(ResponseSLA[#All],(MATCH((G127),ResponseSLA[Priority],0))+1,3)),"YES","No")</f>
        <v>YES</v>
      </c>
      <c r="AI127" s="28" t="str">
        <f ca="1">_xlfn.IFNA(IF(AE127 &lt; (INDEX(SLATable[Minimum SLA],MATCH(G127,SLATable[Priority],0))),"YES","NO"),"")</f>
        <v>YES</v>
      </c>
      <c r="AJ127" s="28" t="str">
        <f ca="1">_xlfn.IFNA(IF(AE127 &lt; (INDEX(SLATable[Maximum SLA],MATCH(G127,SLATable[Priority],0))),"YES","NO"),"")</f>
        <v>YES</v>
      </c>
    </row>
    <row r="128" spans="2:36" ht="15" customHeight="1">
      <c r="B128" s="127" t="s">
        <v>26</v>
      </c>
      <c r="C128" s="127" t="s">
        <v>35</v>
      </c>
      <c r="D128" s="127" t="s">
        <v>207</v>
      </c>
      <c r="E128" s="130" t="s">
        <v>1309</v>
      </c>
      <c r="F128" s="127" t="s">
        <v>292</v>
      </c>
      <c r="G128" s="127">
        <v>3</v>
      </c>
      <c r="H128" s="130" t="s">
        <v>1310</v>
      </c>
      <c r="I128" s="127" t="s">
        <v>271</v>
      </c>
      <c r="J128" s="130" t="s">
        <v>1250</v>
      </c>
      <c r="K128" s="129">
        <v>46149.874861111108</v>
      </c>
      <c r="L128" s="129">
        <v>46149.909618055557</v>
      </c>
      <c r="M128" s="129">
        <v>46150.364907407406</v>
      </c>
      <c r="N128" s="129">
        <v>46153.346851851849</v>
      </c>
      <c r="O128" s="129"/>
      <c r="P128" s="129"/>
      <c r="Q128" s="130" t="s">
        <v>1073</v>
      </c>
      <c r="R128" s="127" t="s">
        <v>267</v>
      </c>
      <c r="S128" s="127" t="s">
        <v>149</v>
      </c>
      <c r="T128" s="127"/>
      <c r="U128" s="127" t="s">
        <v>371</v>
      </c>
      <c r="V128" s="127"/>
      <c r="W128" s="127"/>
      <c r="X128" s="127"/>
      <c r="Y128" s="127"/>
      <c r="Z128" s="169">
        <f t="shared" ca="1" si="9"/>
        <v>0.38851851851601771</v>
      </c>
      <c r="AA128" s="170">
        <f t="shared" ca="1" si="10"/>
        <v>1.0360493827093806</v>
      </c>
      <c r="AB128" s="169">
        <f t="shared" ca="1" si="11"/>
        <v>0.38851851851601771</v>
      </c>
      <c r="AC128" s="170">
        <f t="shared" ca="1" si="12"/>
        <v>1.0360493827093806</v>
      </c>
      <c r="AD128" s="169">
        <f t="shared" ca="1" si="13"/>
        <v>3.1574074072220015E-2</v>
      </c>
      <c r="AE128" s="169">
        <f t="shared" ca="1" si="8"/>
        <v>0.38851851851601771</v>
      </c>
      <c r="AF128" s="170">
        <f t="shared" ca="1" si="14"/>
        <v>1.0360493827093806</v>
      </c>
      <c r="AG128" s="170">
        <f t="shared" ca="1" si="15"/>
        <v>1.0360493827093806</v>
      </c>
      <c r="AH128" s="28" t="str" cm="1">
        <f t="array" aca="1" ref="AH128" ca="1">IF((AD128) &lt; (INDEX(ResponseSLA[#All],(MATCH((G128),ResponseSLA[Priority],0))+1,3)),"YES","No")</f>
        <v>YES</v>
      </c>
      <c r="AI128" s="28" t="str">
        <f ca="1">_xlfn.IFNA(IF(AE128 &lt; (INDEX(SLATable[Minimum SLA],MATCH(G128,SLATable[Priority],0))),"YES","NO"),"")</f>
        <v>NO</v>
      </c>
      <c r="AJ128" s="28" t="str">
        <f ca="1">_xlfn.IFNA(IF(AE128 &lt; (INDEX(SLATable[Maximum SLA],MATCH(G128,SLATable[Priority],0))),"YES","NO"),"")</f>
        <v>YES</v>
      </c>
    </row>
    <row r="129" spans="2:36" ht="15" customHeight="1">
      <c r="B129" s="127" t="s">
        <v>26</v>
      </c>
      <c r="C129" s="127" t="s">
        <v>35</v>
      </c>
      <c r="D129" s="127" t="s">
        <v>207</v>
      </c>
      <c r="E129" s="130" t="s">
        <v>1311</v>
      </c>
      <c r="F129" s="127" t="s">
        <v>295</v>
      </c>
      <c r="G129" s="127">
        <v>3</v>
      </c>
      <c r="H129" s="130" t="s">
        <v>1312</v>
      </c>
      <c r="I129" s="127" t="s">
        <v>271</v>
      </c>
      <c r="J129" s="130" t="s">
        <v>1250</v>
      </c>
      <c r="K129" s="129">
        <v>46151.5705787037</v>
      </c>
      <c r="L129" s="129">
        <v>46151.570671296293</v>
      </c>
      <c r="M129" s="129">
        <v>46153.598379629628</v>
      </c>
      <c r="N129" s="129">
        <v>46154.389953703707</v>
      </c>
      <c r="O129" s="129"/>
      <c r="P129" s="129"/>
      <c r="Q129" s="130" t="s">
        <v>1073</v>
      </c>
      <c r="R129" s="127" t="s">
        <v>267</v>
      </c>
      <c r="S129" s="127" t="s">
        <v>149</v>
      </c>
      <c r="T129" s="127"/>
      <c r="U129" s="127" t="s">
        <v>371</v>
      </c>
      <c r="V129" s="127"/>
      <c r="W129" s="127"/>
      <c r="X129" s="127"/>
      <c r="Y129" s="127"/>
      <c r="Z129" s="169">
        <f t="shared" ca="1" si="9"/>
        <v>0.43162037037351791</v>
      </c>
      <c r="AA129" s="170">
        <f t="shared" ca="1" si="10"/>
        <v>1.1509876543293811</v>
      </c>
      <c r="AB129" s="169">
        <f t="shared" ca="1" si="11"/>
        <v>0.43162037037351791</v>
      </c>
      <c r="AC129" s="170">
        <f t="shared" ca="1" si="12"/>
        <v>1.1509876543293811</v>
      </c>
      <c r="AD129" s="169">
        <f t="shared" ca="1" si="13"/>
        <v>2.7708333334885538E-2</v>
      </c>
      <c r="AE129" s="169">
        <f t="shared" ca="1" si="8"/>
        <v>0.43162037037351791</v>
      </c>
      <c r="AF129" s="170">
        <f t="shared" ca="1" si="14"/>
        <v>1.1509876543293811</v>
      </c>
      <c r="AG129" s="170">
        <f t="shared" ca="1" si="15"/>
        <v>1.1509876543293811</v>
      </c>
      <c r="AH129" s="28" t="str" cm="1">
        <f t="array" aca="1" ref="AH129" ca="1">IF((AD129) &lt; (INDEX(ResponseSLA[#All],(MATCH((G129),ResponseSLA[Priority],0))+1,3)),"YES","No")</f>
        <v>YES</v>
      </c>
      <c r="AI129" s="28" t="str">
        <f ca="1">_xlfn.IFNA(IF(AE129 &lt; (INDEX(SLATable[Minimum SLA],MATCH(G129,SLATable[Priority],0))),"YES","NO"),"")</f>
        <v>NO</v>
      </c>
      <c r="AJ129" s="28" t="str">
        <f ca="1">_xlfn.IFNA(IF(AE129 &lt; (INDEX(SLATable[Maximum SLA],MATCH(G129,SLATable[Priority],0))),"YES","NO"),"")</f>
        <v>YES</v>
      </c>
    </row>
    <row r="130" spans="2:36" ht="15" customHeight="1">
      <c r="B130" s="127" t="s">
        <v>26</v>
      </c>
      <c r="C130" s="127" t="s">
        <v>35</v>
      </c>
      <c r="D130" s="127" t="s">
        <v>207</v>
      </c>
      <c r="E130" s="130" t="s">
        <v>1313</v>
      </c>
      <c r="F130" s="127" t="s">
        <v>295</v>
      </c>
      <c r="G130" s="127">
        <v>3</v>
      </c>
      <c r="H130" s="130" t="s">
        <v>1312</v>
      </c>
      <c r="I130" s="127" t="s">
        <v>271</v>
      </c>
      <c r="J130" s="130" t="s">
        <v>1250</v>
      </c>
      <c r="K130" s="129">
        <v>46153.310046296298</v>
      </c>
      <c r="L130" s="129">
        <v>46153.310115740744</v>
      </c>
      <c r="M130" s="129">
        <v>46153.5940625</v>
      </c>
      <c r="N130" s="129">
        <v>46154.390983796293</v>
      </c>
      <c r="O130" s="129"/>
      <c r="P130" s="129"/>
      <c r="Q130" s="130" t="s">
        <v>1073</v>
      </c>
      <c r="R130" s="127" t="s">
        <v>267</v>
      </c>
      <c r="S130" s="127" t="s">
        <v>149</v>
      </c>
      <c r="T130" s="127"/>
      <c r="U130" s="127" t="s">
        <v>371</v>
      </c>
      <c r="V130" s="127"/>
      <c r="W130" s="127"/>
      <c r="X130" s="127"/>
      <c r="Y130" s="127"/>
      <c r="Z130" s="169">
        <f t="shared" ca="1" si="9"/>
        <v>0.43265046295952442</v>
      </c>
      <c r="AA130" s="170">
        <f t="shared" ca="1" si="10"/>
        <v>1.153734567892065</v>
      </c>
      <c r="AB130" s="169">
        <f t="shared" ca="1" si="11"/>
        <v>0.43265046295952442</v>
      </c>
      <c r="AC130" s="170">
        <f t="shared" ca="1" si="12"/>
        <v>1.153734567892065</v>
      </c>
      <c r="AD130" s="169">
        <f t="shared" ca="1" si="13"/>
        <v>0.26072916666695772</v>
      </c>
      <c r="AE130" s="169">
        <f t="shared" ref="AE130:AE193" ca="1" si="16">SUMIFS(AB:AB,E:E,E130)</f>
        <v>0.43265046295952442</v>
      </c>
      <c r="AF130" s="170">
        <f t="shared" ca="1" si="14"/>
        <v>1.153734567892065</v>
      </c>
      <c r="AG130" s="170">
        <f t="shared" ca="1" si="15"/>
        <v>1.153734567892065</v>
      </c>
      <c r="AH130" s="28" t="str" cm="1">
        <f t="array" aca="1" ref="AH130" ca="1">IF((AD130) &lt; (INDEX(ResponseSLA[#All],(MATCH((G130),ResponseSLA[Priority],0))+1,3)),"YES","No")</f>
        <v>No</v>
      </c>
      <c r="AI130" s="28" t="str">
        <f ca="1">_xlfn.IFNA(IF(AE130 &lt; (INDEX(SLATable[Minimum SLA],MATCH(G130,SLATable[Priority],0))),"YES","NO"),"")</f>
        <v>NO</v>
      </c>
      <c r="AJ130" s="28" t="str">
        <f ca="1">_xlfn.IFNA(IF(AE130 &lt; (INDEX(SLATable[Maximum SLA],MATCH(G130,SLATable[Priority],0))),"YES","NO"),"")</f>
        <v>YES</v>
      </c>
    </row>
    <row r="131" spans="2:36" ht="15" customHeight="1">
      <c r="B131" s="127" t="s">
        <v>26</v>
      </c>
      <c r="C131" s="127" t="s">
        <v>35</v>
      </c>
      <c r="D131" s="127" t="s">
        <v>207</v>
      </c>
      <c r="E131" s="130" t="s">
        <v>1314</v>
      </c>
      <c r="F131" s="127" t="s">
        <v>296</v>
      </c>
      <c r="G131" s="127">
        <v>3</v>
      </c>
      <c r="H131" s="130" t="s">
        <v>1315</v>
      </c>
      <c r="I131" s="127" t="s">
        <v>271</v>
      </c>
      <c r="J131" s="130" t="s">
        <v>1250</v>
      </c>
      <c r="K131" s="129">
        <v>46154.838599537034</v>
      </c>
      <c r="L131" s="129">
        <v>46155.44017361111</v>
      </c>
      <c r="M131" s="129">
        <v>46156.361574074072</v>
      </c>
      <c r="N131" s="129">
        <v>46160.389907407407</v>
      </c>
      <c r="O131" s="129"/>
      <c r="P131" s="129"/>
      <c r="Q131" s="130" t="s">
        <v>1316</v>
      </c>
      <c r="R131" s="127" t="s">
        <v>267</v>
      </c>
      <c r="S131" s="127" t="s">
        <v>199</v>
      </c>
      <c r="T131" s="127"/>
      <c r="U131" s="127" t="s">
        <v>371</v>
      </c>
      <c r="V131" s="127"/>
      <c r="W131" s="127"/>
      <c r="X131" s="127"/>
      <c r="Y131" s="127"/>
      <c r="Z131" s="169">
        <f t="shared" ref="Z131:Z194" ca="1" si="17">IF(NOT(OR(G131=1,G131=2)),MAX(0,_xlfn.IFS(AND(K131&lt;&gt;"",N131&lt;&gt;""),((MAX(NETWORKDAYS(K131,N131,UKBankHolidays)-1,0))*(TIME(17,0,0)-TIME(8,0,0))+IF(NETWORKDAYS(N131,N131,UKBankHolidays)&gt;0,MEDIAN(TIME(8,0,0),MOD(N131,1),TIME(17,0,0)),TIME(8,0,0))-IF(NETWORKDAYS(K131,K131,UKBankHolidays)&gt;0,MEDIAN(TIME(8,0,0),MOD(K131,1),TIME(17,0,0)),TIME(8,0,0)))-IF(AND(O131&lt;&gt;"",P131&lt;&gt;""),((MAX(NETWORKDAYS(O131,P131,UKBankHolidays)-1,0))*(TIME(17,0,0)-TIME(8,0,0))+IF(NETWORKDAYS(P131,P131,UKBankHolidays)&gt;0,MEDIAN(TIME(8,0,0),MOD(P131,1),TIME(17,0,0)),TIME(8,0,0))-IF(NETWORKDAYS(O131,O131,UKBankHolidays)&gt;0,MEDIAN(TIME(8,0,0),MOD(O131,1),TIME(17,0,0)),TIME(8,0,0))),0),AND(K131&lt;&gt;"",N131=""),((MAX(NETWORKDAYS(K131,NOW(),UKBankHolidays)-1,0))*(TIME(17,0,0)-TIME(8,0,0))+IF(NETWORKDAYS(NOW(),NOW(),UKBankHolidays)&gt;0,MEDIAN(TIME(8,0,0),MOD(NOW(),1),TIME(17,0,0)),TIME(8,0,0))-IF(NETWORKDAYS(K131,K131,UKBankHolidays)&gt;0,MEDIAN(TIME(8,0,0),MOD(K131,1),TIME(17,0,0)),TIME(8,0,0))))),IF(N131="",NOW()-K131,N131-K131))</f>
        <v>1.1815740740736755</v>
      </c>
      <c r="AA131" s="170">
        <f t="shared" ref="AA131:AA194" ca="1" si="18">(Z131*24)/9</f>
        <v>3.1508641975298013</v>
      </c>
      <c r="AB131" s="169">
        <f t="shared" ref="AB131:AB194" ca="1" si="19">IF(NOT(OR(G131=1,G131=2)),MAX(0,_xlfn.IFS(AND(K131&lt;&gt;"",N131&lt;&gt;""),(((MAX(NETWORKDAYS(L131,N131,UKBankHolidays)-1,0))*(TIME(17,0,0)-TIME(8,0,0)))+IF(NETWORKDAYS(N131,N131,UKBankHolidays)&gt;0,MEDIAN(TIME(8,0,0),MOD(N131,1),TIME(17,0,0)),TIME(8,0,0))-IF(NETWORKDAYS(L131,L131,UKBankHolidays)&gt;0,MEDIAN(TIME(8,0,0),MOD(L131,1),TIME(17,0,0)),TIME(8,0,0)))-IF(AND(O131&lt;&gt;"",P131&lt;&gt;""),(((MAX(NETWORKDAYS(O131,P131,UKBankHolidays)-1,0))*(TIME(17,0,0)-TIME(8,0,0)))+IF(NETWORKDAYS(P131,P131,UKBankHolidays)&gt;0,MEDIAN(TIME(8,0,0),MOD(P131,1),TIME(17,0,0)),TIME(8,0,0))-IF(NETWORKDAYS(O131,O131,UKBankHolidays)&gt;0,MEDIAN(TIME(8,0,0),MOD(O131,1),TIME(17,0,0)),TIME(8,0,0))),0),AND(L131&lt;&gt;"",N131="",O131=""),(((MAX(NETWORKDAYS(L131,NOW(),UKBankHolidays)-1,0))*(TIME(17,0,0)-TIME(8,0,0)))+IF(NETWORKDAYS(NOW(),NOW(),UKBankHolidays)&gt;0,MEDIAN(TIME(8,0,0),MOD(NOW(),1),TIME(17,0,0)),TIME(8,0,0))-IF(NETWORKDAYS(L131,L131,UKBankHolidays)&gt;0,MEDIAN(TIME(8,0,0),MOD(L131,1),TIME(17,0,0)),TIME(8,0,0)))-IF(AND(O131&lt;&gt;"",P131&lt;&gt;""),(((MAX(NETWORKDAYS(O131,P131,UKBankHolidays)-1,0))*(TIME(17,0,0)-TIME(8,0,0)))+IF(NETWORKDAYS(P131,P131,UKBankHolidays)&gt;0,MEDIAN(TIME(8,0,0),MOD(P131,1),TIME(17,0,0)),TIME(8,0,0))-IF(NETWORKDAYS(O131,O131,UKBankHolidays)&gt;0,MEDIAN(TIME(8,0,0),MOD(O131,1),TIME(17,0,0)),TIME(8,0,0))),0),AND(L131&lt;&gt;"",N131="",P131="",O131&lt;&gt;""),(((MAX(NETWORKDAYS(L131,O131,UKBankHolidays)-1,0))*(TIME(17,0,0)-TIME(8,0,0)))+IF(NETWORKDAYS(O131,O131,UKBankHolidays)&gt;0,MEDIAN(TIME(8,0,0),MOD(O131,1),TIME(17,0,0)),TIME(8,0,0))-IF(NETWORKDAYS(L131,L131,UKBankHolidays)&gt;0,MEDIAN(TIME(8,0,0),MOD(L131,1),TIME(17,0,0)),TIME(8,0,0))),ISBLANK(K131),"0")),IF(ISBLANK(N131),NOW()-L131,N131-L131))</f>
        <v>1.0747337962966415</v>
      </c>
      <c r="AC131" s="170">
        <f t="shared" ref="AC131:AC194" ca="1" si="20">(AB131*24)/9</f>
        <v>2.8659567901243772</v>
      </c>
      <c r="AD131" s="169">
        <f t="shared" ref="AD131:AD194" ca="1" si="21">MAX(0,IF(NOT(OR(G131=1,G131=2)),IF(M131&lt;&gt;"",((MAX(NETWORKDAYS(L131,M131,UKBankHolidays)-1,0))*(TIME(17,0,0)-TIME(8,0,0))+IF(NETWORKDAYS(M131,M131,UKBankHolidays)&gt;0,MEDIAN(TIME(8,0,0),MOD(M131,1),TIME(17,0,0)),TIME(8,0,0))-MEDIAN(TIME(8,0,0),MOD(L131,1),TIME(17,0,0))),((MAX(NETWORKDAYS(L131,NOW(),UKBankHolidays)-1,0))*(TIME(17,0,0)-TIME(8,0,0))+IF(NETWORKDAYS(NOW(),NOW(),UKBankHolidays)&gt;0,MEDIAN(TIME(8,0,0),MOD(NOW(),1),TIME(17,0,0)),TIME(8,0,0))-MEDIAN(TIME(8,0,0),MOD(L131,1),TIME(17,0,0)))),IF(M131&lt;&gt;"",M131-L131,NOW()-L131)))</f>
        <v>0.29640046296117362</v>
      </c>
      <c r="AE131" s="169">
        <f t="shared" ca="1" si="16"/>
        <v>1.0747337962966415</v>
      </c>
      <c r="AF131" s="170">
        <f t="shared" ref="AF131:AF194" ca="1" si="22">(AE131*24)/9</f>
        <v>2.8659567901243772</v>
      </c>
      <c r="AG131" s="170">
        <f t="shared" ref="AG131:AG194" ca="1" si="23">AF131</f>
        <v>2.8659567901243772</v>
      </c>
      <c r="AH131" s="28" t="str" cm="1">
        <f t="array" aca="1" ref="AH131" ca="1">IF((AD131) &lt; (INDEX(ResponseSLA[#All],(MATCH((G131),ResponseSLA[Priority],0))+1,3)),"YES","No")</f>
        <v>No</v>
      </c>
      <c r="AI131" s="28" t="str">
        <f ca="1">_xlfn.IFNA(IF(AE131 &lt; (INDEX(SLATable[Minimum SLA],MATCH(G131,SLATable[Priority],0))),"YES","NO"),"")</f>
        <v>NO</v>
      </c>
      <c r="AJ131" s="28" t="str">
        <f ca="1">_xlfn.IFNA(IF(AE131 &lt; (INDEX(SLATable[Maximum SLA],MATCH(G131,SLATable[Priority],0))),"YES","NO"),"")</f>
        <v>YES</v>
      </c>
    </row>
    <row r="132" spans="2:36" ht="15" customHeight="1">
      <c r="B132" s="127" t="s">
        <v>26</v>
      </c>
      <c r="C132" s="127" t="s">
        <v>35</v>
      </c>
      <c r="D132" s="127" t="s">
        <v>207</v>
      </c>
      <c r="E132" s="130" t="s">
        <v>1317</v>
      </c>
      <c r="F132" s="127" t="s">
        <v>295</v>
      </c>
      <c r="G132" s="127">
        <v>3</v>
      </c>
      <c r="H132" s="130" t="s">
        <v>1312</v>
      </c>
      <c r="I132" s="127" t="s">
        <v>271</v>
      </c>
      <c r="J132" s="130" t="s">
        <v>1250</v>
      </c>
      <c r="K132" s="129">
        <v>46161.25949074074</v>
      </c>
      <c r="L132" s="129">
        <v>46161.259525462963</v>
      </c>
      <c r="M132" s="129">
        <v>46161.27447916667</v>
      </c>
      <c r="N132" s="129">
        <v>46161.410254629627</v>
      </c>
      <c r="O132" s="129"/>
      <c r="P132" s="129"/>
      <c r="Q132" s="130" t="s">
        <v>1073</v>
      </c>
      <c r="R132" s="127" t="s">
        <v>267</v>
      </c>
      <c r="S132" s="127" t="s">
        <v>149</v>
      </c>
      <c r="T132" s="127"/>
      <c r="U132" s="127" t="s">
        <v>371</v>
      </c>
      <c r="V132" s="127"/>
      <c r="W132" s="127"/>
      <c r="X132" s="127"/>
      <c r="Y132" s="127"/>
      <c r="Z132" s="169">
        <f t="shared" ca="1" si="17"/>
        <v>7.6921296293827879E-2</v>
      </c>
      <c r="AA132" s="170">
        <f t="shared" ca="1" si="18"/>
        <v>0.20512345678354102</v>
      </c>
      <c r="AB132" s="169">
        <f t="shared" ca="1" si="19"/>
        <v>7.6921296293827879E-2</v>
      </c>
      <c r="AC132" s="170">
        <f t="shared" ca="1" si="20"/>
        <v>0.20512345678354102</v>
      </c>
      <c r="AD132" s="169">
        <f t="shared" ca="1" si="21"/>
        <v>0</v>
      </c>
      <c r="AE132" s="169">
        <f t="shared" ca="1" si="16"/>
        <v>7.6921296293827879E-2</v>
      </c>
      <c r="AF132" s="170">
        <f t="shared" ca="1" si="22"/>
        <v>0.20512345678354102</v>
      </c>
      <c r="AG132" s="170">
        <f t="shared" ca="1" si="23"/>
        <v>0.20512345678354102</v>
      </c>
      <c r="AH132" s="28" t="str" cm="1">
        <f t="array" aca="1" ref="AH132" ca="1">IF((AD132) &lt; (INDEX(ResponseSLA[#All],(MATCH((G132),ResponseSLA[Priority],0))+1,3)),"YES","No")</f>
        <v>YES</v>
      </c>
      <c r="AI132" s="28" t="str">
        <f ca="1">_xlfn.IFNA(IF(AE132 &lt; (INDEX(SLATable[Minimum SLA],MATCH(G132,SLATable[Priority],0))),"YES","NO"),"")</f>
        <v>YES</v>
      </c>
      <c r="AJ132" s="28" t="str">
        <f ca="1">_xlfn.IFNA(IF(AE132 &lt; (INDEX(SLATable[Maximum SLA],MATCH(G132,SLATable[Priority],0))),"YES","NO"),"")</f>
        <v>YES</v>
      </c>
    </row>
    <row r="133" spans="2:36" ht="15" customHeight="1">
      <c r="B133" s="127" t="s">
        <v>26</v>
      </c>
      <c r="C133" s="127" t="s">
        <v>35</v>
      </c>
      <c r="D133" s="127" t="s">
        <v>207</v>
      </c>
      <c r="E133" s="130" t="s">
        <v>1318</v>
      </c>
      <c r="F133" s="127" t="s">
        <v>295</v>
      </c>
      <c r="G133" s="127">
        <v>3</v>
      </c>
      <c r="H133" s="130" t="s">
        <v>1312</v>
      </c>
      <c r="I133" s="127" t="s">
        <v>271</v>
      </c>
      <c r="J133" s="130" t="s">
        <v>1250</v>
      </c>
      <c r="K133" s="129">
        <v>46166.402615740742</v>
      </c>
      <c r="L133" s="129">
        <v>46166.402662037035</v>
      </c>
      <c r="M133" s="129">
        <v>46166.635289351849</v>
      </c>
      <c r="N133" s="129">
        <v>46168.368032407408</v>
      </c>
      <c r="O133" s="129"/>
      <c r="P133" s="129"/>
      <c r="Q133" s="130" t="s">
        <v>1073</v>
      </c>
      <c r="R133" s="127" t="s">
        <v>267</v>
      </c>
      <c r="S133" s="127" t="s">
        <v>149</v>
      </c>
      <c r="T133" s="127"/>
      <c r="U133" s="127" t="s">
        <v>371</v>
      </c>
      <c r="V133" s="127"/>
      <c r="W133" s="127"/>
      <c r="X133" s="127"/>
      <c r="Y133" s="127"/>
      <c r="Z133" s="169">
        <f t="shared" ca="1" si="17"/>
        <v>3.4699074075130454E-2</v>
      </c>
      <c r="AA133" s="170">
        <f t="shared" ca="1" si="18"/>
        <v>9.2530864200347882E-2</v>
      </c>
      <c r="AB133" s="169">
        <f t="shared" ca="1" si="19"/>
        <v>3.4699074075130454E-2</v>
      </c>
      <c r="AC133" s="170">
        <f t="shared" ca="1" si="20"/>
        <v>9.2530864200347882E-2</v>
      </c>
      <c r="AD133" s="169">
        <f t="shared" ca="1" si="21"/>
        <v>0</v>
      </c>
      <c r="AE133" s="169">
        <f t="shared" ca="1" si="16"/>
        <v>3.4699074075130454E-2</v>
      </c>
      <c r="AF133" s="170">
        <f t="shared" ca="1" si="22"/>
        <v>9.2530864200347882E-2</v>
      </c>
      <c r="AG133" s="170">
        <f t="shared" ca="1" si="23"/>
        <v>9.2530864200347882E-2</v>
      </c>
      <c r="AH133" s="28" t="str" cm="1">
        <f t="array" aca="1" ref="AH133" ca="1">IF((AD133) &lt; (INDEX(ResponseSLA[#All],(MATCH((G133),ResponseSLA[Priority],0))+1,3)),"YES","No")</f>
        <v>YES</v>
      </c>
      <c r="AI133" s="28" t="str">
        <f ca="1">_xlfn.IFNA(IF(AE133 &lt; (INDEX(SLATable[Minimum SLA],MATCH(G133,SLATable[Priority],0))),"YES","NO"),"")</f>
        <v>YES</v>
      </c>
      <c r="AJ133" s="28" t="str">
        <f ca="1">_xlfn.IFNA(IF(AE133 &lt; (INDEX(SLATable[Maximum SLA],MATCH(G133,SLATable[Priority],0))),"YES","NO"),"")</f>
        <v>YES</v>
      </c>
    </row>
    <row r="134" spans="2:36" ht="15" customHeight="1">
      <c r="B134" s="127" t="s">
        <v>26</v>
      </c>
      <c r="C134" s="127" t="s">
        <v>35</v>
      </c>
      <c r="D134" s="127" t="s">
        <v>207</v>
      </c>
      <c r="E134" s="130" t="s">
        <v>1319</v>
      </c>
      <c r="F134" s="127" t="s">
        <v>292</v>
      </c>
      <c r="G134" s="127">
        <v>3</v>
      </c>
      <c r="H134" s="130" t="s">
        <v>1320</v>
      </c>
      <c r="I134" s="127" t="s">
        <v>271</v>
      </c>
      <c r="J134" s="130" t="s">
        <v>1250</v>
      </c>
      <c r="K134" s="129">
        <v>46167.325011574074</v>
      </c>
      <c r="L134" s="129">
        <v>46167.32503472222</v>
      </c>
      <c r="M134" s="129">
        <v>46167.452048611114</v>
      </c>
      <c r="N134" s="129">
        <v>46168.307581018518</v>
      </c>
      <c r="O134" s="129"/>
      <c r="P134" s="129"/>
      <c r="Q134" s="130" t="s">
        <v>1073</v>
      </c>
      <c r="R134" s="127" t="s">
        <v>267</v>
      </c>
      <c r="S134" s="127" t="s">
        <v>149</v>
      </c>
      <c r="T134" s="127"/>
      <c r="U134" s="127" t="s">
        <v>371</v>
      </c>
      <c r="V134" s="127"/>
      <c r="W134" s="127"/>
      <c r="X134" s="127"/>
      <c r="Y134" s="127"/>
      <c r="Z134" s="169">
        <f t="shared" ca="1" si="17"/>
        <v>0</v>
      </c>
      <c r="AA134" s="170">
        <f t="shared" ca="1" si="18"/>
        <v>0</v>
      </c>
      <c r="AB134" s="169">
        <f t="shared" ca="1" si="19"/>
        <v>0</v>
      </c>
      <c r="AC134" s="170">
        <f t="shared" ca="1" si="20"/>
        <v>0</v>
      </c>
      <c r="AD134" s="169">
        <f t="shared" ca="1" si="21"/>
        <v>0</v>
      </c>
      <c r="AE134" s="169">
        <f t="shared" ca="1" si="16"/>
        <v>0</v>
      </c>
      <c r="AF134" s="170">
        <f t="shared" ca="1" si="22"/>
        <v>0</v>
      </c>
      <c r="AG134" s="170">
        <f t="shared" ca="1" si="23"/>
        <v>0</v>
      </c>
      <c r="AH134" s="28" t="str" cm="1">
        <f t="array" aca="1" ref="AH134" ca="1">IF((AD134) &lt; (INDEX(ResponseSLA[#All],(MATCH((G134),ResponseSLA[Priority],0))+1,3)),"YES","No")</f>
        <v>YES</v>
      </c>
      <c r="AI134" s="28" t="str">
        <f ca="1">_xlfn.IFNA(IF(AE134 &lt; (INDEX(SLATable[Minimum SLA],MATCH(G134,SLATable[Priority],0))),"YES","NO"),"")</f>
        <v>YES</v>
      </c>
      <c r="AJ134" s="28" t="str">
        <f ca="1">_xlfn.IFNA(IF(AE134 &lt; (INDEX(SLATable[Maximum SLA],MATCH(G134,SLATable[Priority],0))),"YES","NO"),"")</f>
        <v>YES</v>
      </c>
    </row>
    <row r="135" spans="2:36" ht="15" customHeight="1">
      <c r="B135" s="127" t="s">
        <v>26</v>
      </c>
      <c r="C135" s="127" t="s">
        <v>35</v>
      </c>
      <c r="D135" s="127" t="s">
        <v>208</v>
      </c>
      <c r="E135" s="130" t="s">
        <v>1321</v>
      </c>
      <c r="F135" s="130" t="s">
        <v>292</v>
      </c>
      <c r="G135" s="127" t="s">
        <v>208</v>
      </c>
      <c r="H135" s="130" t="s">
        <v>1322</v>
      </c>
      <c r="I135" s="127" t="s">
        <v>271</v>
      </c>
      <c r="J135" s="127" t="s">
        <v>1323</v>
      </c>
      <c r="K135" s="129">
        <v>46150.394293981481</v>
      </c>
      <c r="L135" s="335">
        <v>46203.386608796296</v>
      </c>
      <c r="M135" s="335">
        <v>46203.386608796296</v>
      </c>
      <c r="N135" s="129">
        <v>46169.339467592596</v>
      </c>
      <c r="O135" s="129"/>
      <c r="P135" s="129"/>
      <c r="Q135" s="127" t="s">
        <v>1104</v>
      </c>
      <c r="R135" s="127" t="s">
        <v>267</v>
      </c>
      <c r="S135" s="127" t="s">
        <v>155</v>
      </c>
      <c r="T135" s="127"/>
      <c r="U135" s="127" t="s">
        <v>371</v>
      </c>
      <c r="V135" s="127"/>
      <c r="W135" s="127"/>
      <c r="X135" s="127"/>
      <c r="Y135" s="127"/>
      <c r="Z135" s="169">
        <f t="shared" ca="1" si="17"/>
        <v>4.4451736111150248</v>
      </c>
      <c r="AA135" s="170">
        <f t="shared" ca="1" si="18"/>
        <v>11.853796296306733</v>
      </c>
      <c r="AB135" s="169">
        <f t="shared" ca="1" si="19"/>
        <v>0</v>
      </c>
      <c r="AC135" s="170">
        <f t="shared" ca="1" si="20"/>
        <v>0</v>
      </c>
      <c r="AD135" s="169">
        <f t="shared" ca="1" si="21"/>
        <v>0</v>
      </c>
      <c r="AE135" s="169">
        <f t="shared" ca="1" si="16"/>
        <v>0</v>
      </c>
      <c r="AF135" s="170">
        <f t="shared" ca="1" si="22"/>
        <v>0</v>
      </c>
      <c r="AG135" s="170">
        <f t="shared" ca="1" si="23"/>
        <v>0</v>
      </c>
      <c r="AH135" s="28" t="str" cm="1">
        <f t="array" aca="1" ref="AH135" ca="1">IF((AD135) &lt; (INDEX(ResponseSLA[#All],(MATCH((G135),ResponseSLA[Priority],0))+1,3)),"YES","No")</f>
        <v>YES</v>
      </c>
      <c r="AI135" s="28" t="str">
        <f ca="1">_xlfn.IFNA(IF(AE135 &lt; (INDEX(SLATable[Minimum SLA],MATCH(G135,SLATable[Priority],0))),"YES","NO"),"")</f>
        <v>YES</v>
      </c>
      <c r="AJ135" s="28" t="str">
        <f ca="1">_xlfn.IFNA(IF(AE135 &lt; (INDEX(SLATable[Maximum SLA],MATCH(G135,SLATable[Priority],0))),"YES","NO"),"")</f>
        <v>YES</v>
      </c>
    </row>
    <row r="136" spans="2:36" ht="15" customHeight="1">
      <c r="B136" s="127" t="s">
        <v>26</v>
      </c>
      <c r="C136" s="127" t="s">
        <v>35</v>
      </c>
      <c r="D136" s="127" t="s">
        <v>208</v>
      </c>
      <c r="E136" s="130" t="s">
        <v>1324</v>
      </c>
      <c r="F136" s="130" t="s">
        <v>289</v>
      </c>
      <c r="G136" s="127" t="s">
        <v>208</v>
      </c>
      <c r="H136" s="130" t="s">
        <v>1325</v>
      </c>
      <c r="I136" s="127" t="s">
        <v>271</v>
      </c>
      <c r="J136" s="127" t="s">
        <v>1323</v>
      </c>
      <c r="K136" s="129">
        <v>46153.638738425929</v>
      </c>
      <c r="L136" s="129">
        <v>46153.844849537039</v>
      </c>
      <c r="M136" s="129">
        <v>46154.354710648149</v>
      </c>
      <c r="N136" s="129">
        <v>46169.339212962965</v>
      </c>
      <c r="O136" s="129"/>
      <c r="P136" s="129"/>
      <c r="Q136" s="127" t="s">
        <v>1101</v>
      </c>
      <c r="R136" s="127" t="s">
        <v>267</v>
      </c>
      <c r="S136" s="127" t="s">
        <v>155</v>
      </c>
      <c r="T136" s="127"/>
      <c r="U136" s="127" t="s">
        <v>371</v>
      </c>
      <c r="V136" s="127"/>
      <c r="W136" s="127"/>
      <c r="X136" s="127"/>
      <c r="Y136" s="127"/>
      <c r="Z136" s="169">
        <f t="shared" ca="1" si="17"/>
        <v>3.8254745370359169</v>
      </c>
      <c r="AA136" s="170">
        <f t="shared" ca="1" si="18"/>
        <v>10.201265432095779</v>
      </c>
      <c r="AB136" s="169">
        <f t="shared" ca="1" si="19"/>
        <v>3.7558796296313335</v>
      </c>
      <c r="AC136" s="170">
        <f t="shared" ca="1" si="20"/>
        <v>10.015679012350223</v>
      </c>
      <c r="AD136" s="169">
        <f t="shared" ca="1" si="21"/>
        <v>2.137731481586036E-2</v>
      </c>
      <c r="AE136" s="169">
        <f t="shared" ca="1" si="16"/>
        <v>3.7558796296313335</v>
      </c>
      <c r="AF136" s="170">
        <f t="shared" ca="1" si="22"/>
        <v>10.015679012350223</v>
      </c>
      <c r="AG136" s="170">
        <f t="shared" ca="1" si="23"/>
        <v>10.015679012350223</v>
      </c>
      <c r="AH136" s="28" t="str" cm="1">
        <f t="array" aca="1" ref="AH136" ca="1">IF((AD136) &lt; (INDEX(ResponseSLA[#All],(MATCH((G136),ResponseSLA[Priority],0))+1,3)),"YES","No")</f>
        <v>YES</v>
      </c>
      <c r="AI136" s="28" t="str">
        <f ca="1">_xlfn.IFNA(IF(AE136 &lt; (INDEX(SLATable[Minimum SLA],MATCH(G136,SLATable[Priority],0))),"YES","NO"),"")</f>
        <v>NO</v>
      </c>
      <c r="AJ136" s="28" t="str">
        <f ca="1">_xlfn.IFNA(IF(AE136 &lt; (INDEX(SLATable[Maximum SLA],MATCH(G136,SLATable[Priority],0))),"YES","NO"),"")</f>
        <v>NO</v>
      </c>
    </row>
    <row r="137" spans="2:36" ht="15" customHeight="1">
      <c r="B137" s="127" t="s">
        <v>26</v>
      </c>
      <c r="C137" s="127" t="s">
        <v>35</v>
      </c>
      <c r="D137" s="127" t="s">
        <v>208</v>
      </c>
      <c r="E137" s="130" t="s">
        <v>1326</v>
      </c>
      <c r="F137" s="130" t="s">
        <v>289</v>
      </c>
      <c r="G137" s="127" t="s">
        <v>208</v>
      </c>
      <c r="H137" s="130" t="s">
        <v>1327</v>
      </c>
      <c r="I137" s="127" t="s">
        <v>271</v>
      </c>
      <c r="J137" s="127" t="s">
        <v>1323</v>
      </c>
      <c r="K137" s="129">
        <v>46168.386724537035</v>
      </c>
      <c r="L137" s="129">
        <v>46168.393726851849</v>
      </c>
      <c r="M137" s="129">
        <v>46168.3981712963</v>
      </c>
      <c r="N137" s="129">
        <v>46168.607546296298</v>
      </c>
      <c r="O137" s="129"/>
      <c r="P137" s="129"/>
      <c r="Q137" s="127" t="s">
        <v>1104</v>
      </c>
      <c r="R137" s="127" t="s">
        <v>267</v>
      </c>
      <c r="S137" s="127" t="s">
        <v>155</v>
      </c>
      <c r="T137" s="127"/>
      <c r="U137" s="127" t="s">
        <v>371</v>
      </c>
      <c r="V137" s="127"/>
      <c r="W137" s="127"/>
      <c r="X137" s="127"/>
      <c r="Y137" s="127"/>
      <c r="Z137" s="169">
        <f t="shared" ca="1" si="17"/>
        <v>0.22082175926334457</v>
      </c>
      <c r="AA137" s="170">
        <f t="shared" ca="1" si="18"/>
        <v>0.58885802470225224</v>
      </c>
      <c r="AB137" s="169">
        <f t="shared" ca="1" si="19"/>
        <v>0.21381944444874534</v>
      </c>
      <c r="AC137" s="170">
        <f t="shared" ca="1" si="20"/>
        <v>0.57018518519665429</v>
      </c>
      <c r="AD137" s="169">
        <f t="shared" ca="1" si="21"/>
        <v>4.4444444502005354E-3</v>
      </c>
      <c r="AE137" s="169">
        <f t="shared" ca="1" si="16"/>
        <v>0.21381944444874534</v>
      </c>
      <c r="AF137" s="170">
        <f t="shared" ca="1" si="22"/>
        <v>0.57018518519665429</v>
      </c>
      <c r="AG137" s="170">
        <f t="shared" ca="1" si="23"/>
        <v>0.57018518519665429</v>
      </c>
      <c r="AH137" s="28" t="str" cm="1">
        <f t="array" aca="1" ref="AH137" ca="1">IF((AD137) &lt; (INDEX(ResponseSLA[#All],(MATCH((G137),ResponseSLA[Priority],0))+1,3)),"YES","No")</f>
        <v>YES</v>
      </c>
      <c r="AI137" s="28" t="str">
        <f ca="1">_xlfn.IFNA(IF(AE137 &lt; (INDEX(SLATable[Minimum SLA],MATCH(G137,SLATable[Priority],0))),"YES","NO"),"")</f>
        <v>YES</v>
      </c>
      <c r="AJ137" s="28" t="str">
        <f ca="1">_xlfn.IFNA(IF(AE137 &lt; (INDEX(SLATable[Maximum SLA],MATCH(G137,SLATable[Priority],0))),"YES","NO"),"")</f>
        <v>YES</v>
      </c>
    </row>
    <row r="138" spans="2:36" ht="15" customHeight="1">
      <c r="B138" s="127" t="s">
        <v>26</v>
      </c>
      <c r="C138" s="127" t="s">
        <v>35</v>
      </c>
      <c r="D138" s="127" t="s">
        <v>208</v>
      </c>
      <c r="E138" s="130" t="s">
        <v>1328</v>
      </c>
      <c r="F138" s="130" t="s">
        <v>301</v>
      </c>
      <c r="G138" s="127" t="s">
        <v>208</v>
      </c>
      <c r="H138" s="130" t="s">
        <v>1329</v>
      </c>
      <c r="I138" s="127" t="s">
        <v>271</v>
      </c>
      <c r="J138" s="127" t="s">
        <v>1323</v>
      </c>
      <c r="K138" s="129">
        <v>46146.459606481483</v>
      </c>
      <c r="L138" s="129">
        <v>46146.459027777775</v>
      </c>
      <c r="M138" s="129">
        <v>46148.446631944447</v>
      </c>
      <c r="N138" s="129">
        <v>46153.376122685186</v>
      </c>
      <c r="O138" s="129"/>
      <c r="P138" s="129"/>
      <c r="Q138" s="127" t="s">
        <v>1330</v>
      </c>
      <c r="R138" s="127" t="s">
        <v>267</v>
      </c>
      <c r="S138" s="127" t="s">
        <v>155</v>
      </c>
      <c r="T138" s="127"/>
      <c r="U138" s="127" t="s">
        <v>371</v>
      </c>
      <c r="V138" s="127"/>
      <c r="W138" s="127"/>
      <c r="X138" s="127"/>
      <c r="Y138" s="127"/>
      <c r="Z138" s="169">
        <f t="shared" ca="1" si="17"/>
        <v>1.5427893518523588</v>
      </c>
      <c r="AA138" s="170">
        <f t="shared" ca="1" si="18"/>
        <v>4.1141049382729564</v>
      </c>
      <c r="AB138" s="169">
        <f t="shared" ca="1" si="19"/>
        <v>1.5427893518523588</v>
      </c>
      <c r="AC138" s="170">
        <f t="shared" ca="1" si="20"/>
        <v>4.1141049382729564</v>
      </c>
      <c r="AD138" s="169">
        <f t="shared" ca="1" si="21"/>
        <v>0.36260416667209938</v>
      </c>
      <c r="AE138" s="169">
        <f t="shared" ca="1" si="16"/>
        <v>1.5427893518523588</v>
      </c>
      <c r="AF138" s="170">
        <f t="shared" ca="1" si="22"/>
        <v>4.1141049382729564</v>
      </c>
      <c r="AG138" s="170">
        <f t="shared" ca="1" si="23"/>
        <v>4.1141049382729564</v>
      </c>
      <c r="AH138" s="28" t="str" cm="1">
        <f t="array" aca="1" ref="AH138" ca="1">IF((AD138) &lt; (INDEX(ResponseSLA[#All],(MATCH((G138),ResponseSLA[Priority],0))+1,3)),"YES","No")</f>
        <v>YES</v>
      </c>
      <c r="AI138" s="28" t="str">
        <f ca="1">_xlfn.IFNA(IF(AE138 &lt; (INDEX(SLATable[Minimum SLA],MATCH(G138,SLATable[Priority],0))),"YES","NO"),"")</f>
        <v>NO</v>
      </c>
      <c r="AJ138" s="28" t="str">
        <f ca="1">_xlfn.IFNA(IF(AE138 &lt; (INDEX(SLATable[Maximum SLA],MATCH(G138,SLATable[Priority],0))),"YES","NO"),"")</f>
        <v>NO</v>
      </c>
    </row>
    <row r="139" spans="2:36" ht="15" customHeight="1">
      <c r="B139" s="127" t="s">
        <v>26</v>
      </c>
      <c r="C139" s="127" t="s">
        <v>35</v>
      </c>
      <c r="D139" s="127" t="s">
        <v>207</v>
      </c>
      <c r="E139" s="127" t="s">
        <v>1331</v>
      </c>
      <c r="F139" s="130" t="s">
        <v>289</v>
      </c>
      <c r="G139" s="127">
        <v>3</v>
      </c>
      <c r="H139" s="130" t="s">
        <v>1332</v>
      </c>
      <c r="I139" s="127" t="s">
        <v>271</v>
      </c>
      <c r="J139" s="127" t="s">
        <v>1323</v>
      </c>
      <c r="K139" s="129">
        <v>46133.619166666664</v>
      </c>
      <c r="L139" s="129">
        <v>46133.619421296295</v>
      </c>
      <c r="M139" s="129">
        <v>46133.780439814815</v>
      </c>
      <c r="N139" s="129">
        <v>46140.450555555559</v>
      </c>
      <c r="O139" s="129">
        <v>46135.364155092589</v>
      </c>
      <c r="P139" s="129">
        <v>46140.45</v>
      </c>
      <c r="Q139" s="130" t="s">
        <v>1068</v>
      </c>
      <c r="R139" s="127" t="s">
        <v>267</v>
      </c>
      <c r="S139" s="127" t="s">
        <v>190</v>
      </c>
      <c r="T139" s="127"/>
      <c r="U139" s="127" t="s">
        <v>371</v>
      </c>
      <c r="V139" s="127"/>
      <c r="W139" s="127"/>
      <c r="X139" s="127"/>
      <c r="Y139" s="127"/>
      <c r="Z139" s="169">
        <f t="shared" ca="1" si="17"/>
        <v>0.49554398148757151</v>
      </c>
      <c r="AA139" s="170">
        <f t="shared" ca="1" si="18"/>
        <v>1.3214506173001908</v>
      </c>
      <c r="AB139" s="169">
        <f t="shared" ca="1" si="19"/>
        <v>0.49528935185662681</v>
      </c>
      <c r="AC139" s="170">
        <f t="shared" ca="1" si="20"/>
        <v>1.3207716049510048</v>
      </c>
      <c r="AD139" s="169">
        <f t="shared" ca="1" si="21"/>
        <v>8.8912037038729408E-2</v>
      </c>
      <c r="AE139" s="169">
        <f t="shared" ca="1" si="16"/>
        <v>0.49528935185662681</v>
      </c>
      <c r="AF139" s="170">
        <f t="shared" ca="1" si="22"/>
        <v>1.3207716049510048</v>
      </c>
      <c r="AG139" s="170">
        <f t="shared" ca="1" si="23"/>
        <v>1.3207716049510048</v>
      </c>
      <c r="AH139" s="28" t="str" cm="1">
        <f t="array" aca="1" ref="AH139" ca="1">IF((AD139) &lt; (INDEX(ResponseSLA[#All],(MATCH((G139),ResponseSLA[Priority],0))+1,3)),"YES","No")</f>
        <v>No</v>
      </c>
      <c r="AI139" s="28" t="str">
        <f ca="1">_xlfn.IFNA(IF(AE139 &lt; (INDEX(SLATable[Minimum SLA],MATCH(G139,SLATable[Priority],0))),"YES","NO"),"")</f>
        <v>NO</v>
      </c>
      <c r="AJ139" s="28" t="str">
        <f ca="1">_xlfn.IFNA(IF(AE139 &lt; (INDEX(SLATable[Maximum SLA],MATCH(G139,SLATable[Priority],0))),"YES","NO"),"")</f>
        <v>YES</v>
      </c>
    </row>
    <row r="140" spans="2:36" ht="15" customHeight="1">
      <c r="B140" s="127" t="s">
        <v>26</v>
      </c>
      <c r="C140" s="127" t="s">
        <v>35</v>
      </c>
      <c r="D140" s="127" t="s">
        <v>207</v>
      </c>
      <c r="E140" s="127" t="s">
        <v>1333</v>
      </c>
      <c r="F140" s="130" t="s">
        <v>289</v>
      </c>
      <c r="G140" s="127">
        <v>4</v>
      </c>
      <c r="H140" s="130" t="s">
        <v>1334</v>
      </c>
      <c r="I140" s="127" t="s">
        <v>271</v>
      </c>
      <c r="J140" s="127" t="s">
        <v>1323</v>
      </c>
      <c r="K140" s="129">
        <v>46134.809016203704</v>
      </c>
      <c r="L140" s="129">
        <v>46134.809155092589</v>
      </c>
      <c r="M140" s="129">
        <v>46135.770613425928</v>
      </c>
      <c r="N140" s="129">
        <v>46140.44939814815</v>
      </c>
      <c r="O140" s="129"/>
      <c r="P140" s="129"/>
      <c r="Q140" s="130" t="s">
        <v>1104</v>
      </c>
      <c r="R140" s="127" t="s">
        <v>267</v>
      </c>
      <c r="S140" s="127" t="s">
        <v>137</v>
      </c>
      <c r="T140" s="127"/>
      <c r="U140" s="127" t="s">
        <v>371</v>
      </c>
      <c r="V140" s="127"/>
      <c r="W140" s="127"/>
      <c r="X140" s="127"/>
      <c r="Y140" s="127"/>
      <c r="Z140" s="169">
        <f t="shared" ca="1" si="17"/>
        <v>1.2410648148167338</v>
      </c>
      <c r="AA140" s="170">
        <f t="shared" ca="1" si="18"/>
        <v>3.3095061728446233</v>
      </c>
      <c r="AB140" s="169">
        <f t="shared" ca="1" si="19"/>
        <v>1.2410648148167338</v>
      </c>
      <c r="AC140" s="170">
        <f t="shared" ca="1" si="20"/>
        <v>3.3095061728446233</v>
      </c>
      <c r="AD140" s="169">
        <f t="shared" ca="1" si="21"/>
        <v>0.37500000000000011</v>
      </c>
      <c r="AE140" s="169">
        <f t="shared" ca="1" si="16"/>
        <v>1.2410648148167338</v>
      </c>
      <c r="AF140" s="170">
        <f t="shared" ca="1" si="22"/>
        <v>3.3095061728446233</v>
      </c>
      <c r="AG140" s="170">
        <f t="shared" ca="1" si="23"/>
        <v>3.3095061728446233</v>
      </c>
      <c r="AH140" s="28" t="str" cm="1">
        <f t="array" aca="1" ref="AH140" ca="1">IF((AD140) &lt; (INDEX(ResponseSLA[#All],(MATCH((G140),ResponseSLA[Priority],0))+1,3)),"YES","No")</f>
        <v>No</v>
      </c>
      <c r="AI140" s="28" t="str">
        <f ca="1">_xlfn.IFNA(IF(AE140 &lt; (INDEX(SLATable[Minimum SLA],MATCH(G140,SLATable[Priority],0))),"YES","NO"),"")</f>
        <v>YES</v>
      </c>
      <c r="AJ140" s="28" t="str">
        <f ca="1">_xlfn.IFNA(IF(AE140 &lt; (INDEX(SLATable[Maximum SLA],MATCH(G140,SLATable[Priority],0))),"YES","NO"),"")</f>
        <v>YES</v>
      </c>
    </row>
    <row r="141" spans="2:36" ht="15" customHeight="1">
      <c r="B141" s="127" t="s">
        <v>26</v>
      </c>
      <c r="C141" s="127" t="s">
        <v>35</v>
      </c>
      <c r="D141" s="127" t="s">
        <v>207</v>
      </c>
      <c r="E141" s="127" t="s">
        <v>1335</v>
      </c>
      <c r="F141" s="130" t="s">
        <v>289</v>
      </c>
      <c r="G141" s="127">
        <v>4</v>
      </c>
      <c r="H141" s="130" t="s">
        <v>1336</v>
      </c>
      <c r="I141" s="127" t="s">
        <v>271</v>
      </c>
      <c r="J141" s="127" t="s">
        <v>1323</v>
      </c>
      <c r="K141" s="129">
        <v>46139.629016203704</v>
      </c>
      <c r="L141" s="129">
        <v>46147.451967592591</v>
      </c>
      <c r="M141" s="129">
        <v>46148.599282407406</v>
      </c>
      <c r="N141" s="129">
        <v>46153.388171296298</v>
      </c>
      <c r="O141" s="129">
        <v>46149.515983796293</v>
      </c>
      <c r="P141" s="129">
        <v>46149.60837962963</v>
      </c>
      <c r="Q141" s="130" t="s">
        <v>1337</v>
      </c>
      <c r="R141" s="127" t="s">
        <v>267</v>
      </c>
      <c r="S141" s="127" t="s">
        <v>175</v>
      </c>
      <c r="T141" s="127"/>
      <c r="U141" s="127" t="s">
        <v>371</v>
      </c>
      <c r="V141" s="127"/>
      <c r="W141" s="127"/>
      <c r="X141" s="127"/>
      <c r="Y141" s="127"/>
      <c r="Z141" s="169">
        <f t="shared" ca="1" si="17"/>
        <v>2.6667592592566511</v>
      </c>
      <c r="AA141" s="170">
        <f t="shared" ca="1" si="18"/>
        <v>7.111358024684403</v>
      </c>
      <c r="AB141" s="169">
        <f t="shared" ca="1" si="19"/>
        <v>1.3438078703693466</v>
      </c>
      <c r="AC141" s="170">
        <f t="shared" ca="1" si="20"/>
        <v>3.5834876543182577</v>
      </c>
      <c r="AD141" s="169">
        <f t="shared" ca="1" si="21"/>
        <v>0.52231481481430819</v>
      </c>
      <c r="AE141" s="169">
        <f t="shared" ca="1" si="16"/>
        <v>1.3438078703693466</v>
      </c>
      <c r="AF141" s="170">
        <f t="shared" ca="1" si="22"/>
        <v>3.5834876543182577</v>
      </c>
      <c r="AG141" s="170">
        <f t="shared" ca="1" si="23"/>
        <v>3.5834876543182577</v>
      </c>
      <c r="AH141" s="28" t="str" cm="1">
        <f t="array" aca="1" ref="AH141" ca="1">IF((AD141) &lt; (INDEX(ResponseSLA[#All],(MATCH((G141),ResponseSLA[Priority],0))+1,3)),"YES","No")</f>
        <v>No</v>
      </c>
      <c r="AI141" s="28" t="str">
        <f ca="1">_xlfn.IFNA(IF(AE141 &lt; (INDEX(SLATable[Minimum SLA],MATCH(G141,SLATable[Priority],0))),"YES","NO"),"")</f>
        <v>YES</v>
      </c>
      <c r="AJ141" s="28" t="str">
        <f ca="1">_xlfn.IFNA(IF(AE141 &lt; (INDEX(SLATable[Maximum SLA],MATCH(G141,SLATable[Priority],0))),"YES","NO"),"")</f>
        <v>YES</v>
      </c>
    </row>
    <row r="142" spans="2:36" ht="15" customHeight="1">
      <c r="B142" s="127" t="s">
        <v>26</v>
      </c>
      <c r="C142" s="127" t="s">
        <v>35</v>
      </c>
      <c r="D142" s="127" t="s">
        <v>207</v>
      </c>
      <c r="E142" s="127" t="s">
        <v>1338</v>
      </c>
      <c r="F142" s="130" t="s">
        <v>295</v>
      </c>
      <c r="G142" s="127">
        <v>4</v>
      </c>
      <c r="H142" s="130" t="s">
        <v>1339</v>
      </c>
      <c r="I142" s="127" t="s">
        <v>271</v>
      </c>
      <c r="J142" s="127" t="s">
        <v>1323</v>
      </c>
      <c r="K142" s="129">
        <v>46140.018680555557</v>
      </c>
      <c r="L142" s="129">
        <v>46140.018773148149</v>
      </c>
      <c r="M142" s="129">
        <v>46140.323819444442</v>
      </c>
      <c r="N142" s="129">
        <v>46140.454606481479</v>
      </c>
      <c r="O142" s="129"/>
      <c r="P142" s="129"/>
      <c r="Q142" s="130" t="s">
        <v>1340</v>
      </c>
      <c r="R142" s="127" t="s">
        <v>267</v>
      </c>
      <c r="S142" s="127" t="s">
        <v>149</v>
      </c>
      <c r="T142" s="127"/>
      <c r="U142" s="127" t="s">
        <v>371</v>
      </c>
      <c r="V142" s="127"/>
      <c r="W142" s="127"/>
      <c r="X142" s="127"/>
      <c r="Y142" s="127"/>
      <c r="Z142" s="169">
        <f t="shared" ca="1" si="17"/>
        <v>0.12127314814521623</v>
      </c>
      <c r="AA142" s="170">
        <f t="shared" ca="1" si="18"/>
        <v>0.32339506172057658</v>
      </c>
      <c r="AB142" s="169">
        <f t="shared" ca="1" si="19"/>
        <v>0.12127314814521623</v>
      </c>
      <c r="AC142" s="170">
        <f t="shared" ca="1" si="20"/>
        <v>0.32339506172057658</v>
      </c>
      <c r="AD142" s="169">
        <f t="shared" ca="1" si="21"/>
        <v>0</v>
      </c>
      <c r="AE142" s="169">
        <f t="shared" ca="1" si="16"/>
        <v>0.12127314814521623</v>
      </c>
      <c r="AF142" s="170">
        <f t="shared" ca="1" si="22"/>
        <v>0.32339506172057658</v>
      </c>
      <c r="AG142" s="170">
        <f t="shared" ca="1" si="23"/>
        <v>0.32339506172057658</v>
      </c>
      <c r="AH142" s="28" t="str" cm="1">
        <f t="array" aca="1" ref="AH142" ca="1">IF((AD142) &lt; (INDEX(ResponseSLA[#All],(MATCH((G142),ResponseSLA[Priority],0))+1,3)),"YES","No")</f>
        <v>YES</v>
      </c>
      <c r="AI142" s="28" t="str">
        <f ca="1">_xlfn.IFNA(IF(AE142 &lt; (INDEX(SLATable[Minimum SLA],MATCH(G142,SLATable[Priority],0))),"YES","NO"),"")</f>
        <v>YES</v>
      </c>
      <c r="AJ142" s="28" t="str">
        <f ca="1">_xlfn.IFNA(IF(AE142 &lt; (INDEX(SLATable[Maximum SLA],MATCH(G142,SLATable[Priority],0))),"YES","NO"),"")</f>
        <v>YES</v>
      </c>
    </row>
    <row r="143" spans="2:36" ht="15" customHeight="1">
      <c r="B143" s="127" t="s">
        <v>26</v>
      </c>
      <c r="C143" s="127" t="s">
        <v>35</v>
      </c>
      <c r="D143" s="127" t="s">
        <v>207</v>
      </c>
      <c r="E143" s="127" t="s">
        <v>1341</v>
      </c>
      <c r="F143" s="130" t="s">
        <v>289</v>
      </c>
      <c r="G143" s="127">
        <v>3</v>
      </c>
      <c r="H143" s="130" t="s">
        <v>1342</v>
      </c>
      <c r="I143" s="127" t="s">
        <v>271</v>
      </c>
      <c r="J143" s="127" t="s">
        <v>1323</v>
      </c>
      <c r="K143" s="129">
        <v>46140.633773148147</v>
      </c>
      <c r="L143" s="129">
        <v>46155.305833333332</v>
      </c>
      <c r="M143" s="129">
        <v>46155.579745370371</v>
      </c>
      <c r="N143" s="129">
        <v>46156.387106481481</v>
      </c>
      <c r="O143" s="129"/>
      <c r="P143" s="129"/>
      <c r="Q143" s="130" t="s">
        <v>1343</v>
      </c>
      <c r="R143" s="127" t="s">
        <v>267</v>
      </c>
      <c r="S143" s="127" t="s">
        <v>141</v>
      </c>
      <c r="T143" s="127"/>
      <c r="U143" s="127" t="s">
        <v>371</v>
      </c>
      <c r="V143" s="127"/>
      <c r="W143" s="127"/>
      <c r="X143" s="127"/>
      <c r="Y143" s="127"/>
      <c r="Z143" s="169">
        <f t="shared" ca="1" si="17"/>
        <v>3.5033333333340124</v>
      </c>
      <c r="AA143" s="170">
        <f t="shared" ca="1" si="18"/>
        <v>9.3422222222240325</v>
      </c>
      <c r="AB143" s="169">
        <f t="shared" ca="1" si="19"/>
        <v>0.42877314814783557</v>
      </c>
      <c r="AC143" s="170">
        <f t="shared" ca="1" si="20"/>
        <v>1.1433950617275614</v>
      </c>
      <c r="AD143" s="169">
        <f t="shared" ca="1" si="21"/>
        <v>0.24641203703746822</v>
      </c>
      <c r="AE143" s="169">
        <f t="shared" ca="1" si="16"/>
        <v>0.42877314814783557</v>
      </c>
      <c r="AF143" s="170">
        <f t="shared" ca="1" si="22"/>
        <v>1.1433950617275614</v>
      </c>
      <c r="AG143" s="170">
        <f t="shared" ca="1" si="23"/>
        <v>1.1433950617275614</v>
      </c>
      <c r="AH143" s="28" t="str" cm="1">
        <f t="array" aca="1" ref="AH143" ca="1">IF((AD143) &lt; (INDEX(ResponseSLA[#All],(MATCH((G143),ResponseSLA[Priority],0))+1,3)),"YES","No")</f>
        <v>No</v>
      </c>
      <c r="AI143" s="28" t="str">
        <f ca="1">_xlfn.IFNA(IF(AE143 &lt; (INDEX(SLATable[Minimum SLA],MATCH(G143,SLATable[Priority],0))),"YES","NO"),"")</f>
        <v>NO</v>
      </c>
      <c r="AJ143" s="28" t="str">
        <f ca="1">_xlfn.IFNA(IF(AE143 &lt; (INDEX(SLATable[Maximum SLA],MATCH(G143,SLATable[Priority],0))),"YES","NO"),"")</f>
        <v>YES</v>
      </c>
    </row>
    <row r="144" spans="2:36" ht="15" customHeight="1">
      <c r="B144" s="127" t="s">
        <v>26</v>
      </c>
      <c r="C144" s="127" t="s">
        <v>35</v>
      </c>
      <c r="D144" s="127" t="s">
        <v>207</v>
      </c>
      <c r="E144" s="127" t="s">
        <v>1344</v>
      </c>
      <c r="F144" s="130" t="s">
        <v>295</v>
      </c>
      <c r="G144" s="127">
        <v>4</v>
      </c>
      <c r="H144" s="130" t="s">
        <v>1345</v>
      </c>
      <c r="I144" s="127" t="s">
        <v>271</v>
      </c>
      <c r="J144" s="127" t="s">
        <v>1323</v>
      </c>
      <c r="K144" s="129">
        <v>46141.627013888887</v>
      </c>
      <c r="L144" s="129">
        <v>46141.627129629633</v>
      </c>
      <c r="M144" s="129">
        <v>46148.319120370368</v>
      </c>
      <c r="N144" s="129">
        <v>46149.355173611111</v>
      </c>
      <c r="O144" s="129"/>
      <c r="P144" s="129"/>
      <c r="Q144" s="130" t="s">
        <v>1203</v>
      </c>
      <c r="R144" s="127" t="s">
        <v>267</v>
      </c>
      <c r="S144" s="127" t="s">
        <v>149</v>
      </c>
      <c r="T144" s="127"/>
      <c r="U144" s="127" t="s">
        <v>371</v>
      </c>
      <c r="V144" s="127"/>
      <c r="W144" s="127"/>
      <c r="X144" s="127"/>
      <c r="Y144" s="127"/>
      <c r="Z144" s="169">
        <f t="shared" ca="1" si="17"/>
        <v>1.2281597222245184</v>
      </c>
      <c r="AA144" s="170">
        <f t="shared" ca="1" si="18"/>
        <v>3.2750925925987158</v>
      </c>
      <c r="AB144" s="169">
        <f t="shared" ca="1" si="19"/>
        <v>1.2280439814785498</v>
      </c>
      <c r="AC144" s="170">
        <f t="shared" ca="1" si="20"/>
        <v>3.274783950609466</v>
      </c>
      <c r="AD144" s="169">
        <f t="shared" ca="1" si="21"/>
        <v>0.83120370370064256</v>
      </c>
      <c r="AE144" s="169">
        <f t="shared" ca="1" si="16"/>
        <v>1.2280439814785498</v>
      </c>
      <c r="AF144" s="170">
        <f t="shared" ca="1" si="22"/>
        <v>3.274783950609466</v>
      </c>
      <c r="AG144" s="170">
        <f t="shared" ca="1" si="23"/>
        <v>3.274783950609466</v>
      </c>
      <c r="AH144" s="28" t="str" cm="1">
        <f t="array" aca="1" ref="AH144" ca="1">IF((AD144) &lt; (INDEX(ResponseSLA[#All],(MATCH((G144),ResponseSLA[Priority],0))+1,3)),"YES","No")</f>
        <v>No</v>
      </c>
      <c r="AI144" s="28" t="str">
        <f ca="1">_xlfn.IFNA(IF(AE144 &lt; (INDEX(SLATable[Minimum SLA],MATCH(G144,SLATable[Priority],0))),"YES","NO"),"")</f>
        <v>YES</v>
      </c>
      <c r="AJ144" s="28" t="str">
        <f ca="1">_xlfn.IFNA(IF(AE144 &lt; (INDEX(SLATable[Maximum SLA],MATCH(G144,SLATable[Priority],0))),"YES","NO"),"")</f>
        <v>YES</v>
      </c>
    </row>
    <row r="145" spans="2:36" ht="15" customHeight="1">
      <c r="B145" s="127" t="s">
        <v>26</v>
      </c>
      <c r="C145" s="127" t="s">
        <v>35</v>
      </c>
      <c r="D145" s="127" t="s">
        <v>207</v>
      </c>
      <c r="E145" s="127" t="s">
        <v>1346</v>
      </c>
      <c r="F145" s="130" t="s">
        <v>295</v>
      </c>
      <c r="G145" s="127">
        <v>4</v>
      </c>
      <c r="H145" s="130" t="s">
        <v>1347</v>
      </c>
      <c r="I145" s="127" t="s">
        <v>271</v>
      </c>
      <c r="J145" s="127" t="s">
        <v>1323</v>
      </c>
      <c r="K145" s="129">
        <v>46143.059178240743</v>
      </c>
      <c r="L145" s="129">
        <v>46143.059212962966</v>
      </c>
      <c r="M145" s="129">
        <v>46148.32203703704</v>
      </c>
      <c r="N145" s="129">
        <v>46149.354814814818</v>
      </c>
      <c r="O145" s="129"/>
      <c r="P145" s="129"/>
      <c r="Q145" s="130" t="s">
        <v>1203</v>
      </c>
      <c r="R145" s="127" t="s">
        <v>267</v>
      </c>
      <c r="S145" s="127" t="s">
        <v>149</v>
      </c>
      <c r="T145" s="127"/>
      <c r="U145" s="127" t="s">
        <v>371</v>
      </c>
      <c r="V145" s="127"/>
      <c r="W145" s="127"/>
      <c r="X145" s="127"/>
      <c r="Y145" s="127"/>
      <c r="Z145" s="169">
        <f t="shared" ca="1" si="17"/>
        <v>0.77148148148504947</v>
      </c>
      <c r="AA145" s="170">
        <f t="shared" ca="1" si="18"/>
        <v>2.0572839506267986</v>
      </c>
      <c r="AB145" s="169">
        <f t="shared" ca="1" si="19"/>
        <v>0.77148148148504947</v>
      </c>
      <c r="AC145" s="170">
        <f t="shared" ca="1" si="20"/>
        <v>2.0572839506267986</v>
      </c>
      <c r="AD145" s="169">
        <f t="shared" ca="1" si="21"/>
        <v>0.37500000000000006</v>
      </c>
      <c r="AE145" s="169">
        <f t="shared" ca="1" si="16"/>
        <v>0.77148148148504947</v>
      </c>
      <c r="AF145" s="170">
        <f t="shared" ca="1" si="22"/>
        <v>2.0572839506267986</v>
      </c>
      <c r="AG145" s="170">
        <f t="shared" ca="1" si="23"/>
        <v>2.0572839506267986</v>
      </c>
      <c r="AH145" s="28" t="str" cm="1">
        <f t="array" aca="1" ref="AH145" ca="1">IF((AD145) &lt; (INDEX(ResponseSLA[#All],(MATCH((G145),ResponseSLA[Priority],0))+1,3)),"YES","No")</f>
        <v>No</v>
      </c>
      <c r="AI145" s="28" t="str">
        <f ca="1">_xlfn.IFNA(IF(AE145 &lt; (INDEX(SLATable[Minimum SLA],MATCH(G145,SLATable[Priority],0))),"YES","NO"),"")</f>
        <v>YES</v>
      </c>
      <c r="AJ145" s="28" t="str">
        <f ca="1">_xlfn.IFNA(IF(AE145 &lt; (INDEX(SLATable[Maximum SLA],MATCH(G145,SLATable[Priority],0))),"YES","NO"),"")</f>
        <v>YES</v>
      </c>
    </row>
    <row r="146" spans="2:36" ht="15" customHeight="1">
      <c r="B146" s="127" t="s">
        <v>26</v>
      </c>
      <c r="C146" s="127" t="s">
        <v>35</v>
      </c>
      <c r="D146" s="127" t="s">
        <v>207</v>
      </c>
      <c r="E146" s="127" t="s">
        <v>1348</v>
      </c>
      <c r="F146" s="130" t="s">
        <v>295</v>
      </c>
      <c r="G146" s="127">
        <v>4</v>
      </c>
      <c r="H146" s="130" t="s">
        <v>1349</v>
      </c>
      <c r="I146" s="127" t="s">
        <v>271</v>
      </c>
      <c r="J146" s="127" t="s">
        <v>1323</v>
      </c>
      <c r="K146" s="129">
        <v>46146.2028587963</v>
      </c>
      <c r="L146" s="129">
        <v>46146.203750000001</v>
      </c>
      <c r="M146" s="129">
        <v>46147.437685185185</v>
      </c>
      <c r="N146" s="129">
        <v>46153.380162037036</v>
      </c>
      <c r="O146" s="129">
        <v>46147.578935185185</v>
      </c>
      <c r="P146" s="129">
        <v>46153.380162037036</v>
      </c>
      <c r="Q146" s="130" t="s">
        <v>1203</v>
      </c>
      <c r="R146" s="127" t="s">
        <v>267</v>
      </c>
      <c r="S146" s="127" t="s">
        <v>199</v>
      </c>
      <c r="T146" s="127"/>
      <c r="U146" s="127" t="s">
        <v>371</v>
      </c>
      <c r="V146" s="127"/>
      <c r="W146" s="127"/>
      <c r="X146" s="127"/>
      <c r="Y146" s="127"/>
      <c r="Z146" s="169">
        <f t="shared" ca="1" si="17"/>
        <v>0.24560185185206751</v>
      </c>
      <c r="AA146" s="170">
        <f t="shared" ca="1" si="18"/>
        <v>0.65493827160551332</v>
      </c>
      <c r="AB146" s="169">
        <f t="shared" ca="1" si="19"/>
        <v>0.24560185185206751</v>
      </c>
      <c r="AC146" s="170">
        <f t="shared" ca="1" si="20"/>
        <v>0.65493827160551332</v>
      </c>
      <c r="AD146" s="169">
        <f t="shared" ca="1" si="21"/>
        <v>0.10435185185148538</v>
      </c>
      <c r="AE146" s="169">
        <f t="shared" ca="1" si="16"/>
        <v>0.24560185185206751</v>
      </c>
      <c r="AF146" s="170">
        <f t="shared" ca="1" si="22"/>
        <v>0.65493827160551332</v>
      </c>
      <c r="AG146" s="170">
        <f t="shared" ca="1" si="23"/>
        <v>0.65493827160551332</v>
      </c>
      <c r="AH146" s="28" t="str" cm="1">
        <f t="array" aca="1" ref="AH146" ca="1">IF((AD146) &lt; (INDEX(ResponseSLA[#All],(MATCH((G146),ResponseSLA[Priority],0))+1,3)),"YES","No")</f>
        <v>YES</v>
      </c>
      <c r="AI146" s="28" t="str">
        <f ca="1">_xlfn.IFNA(IF(AE146 &lt; (INDEX(SLATable[Minimum SLA],MATCH(G146,SLATable[Priority],0))),"YES","NO"),"")</f>
        <v>YES</v>
      </c>
      <c r="AJ146" s="28" t="str">
        <f ca="1">_xlfn.IFNA(IF(AE146 &lt; (INDEX(SLATable[Maximum SLA],MATCH(G146,SLATable[Priority],0))),"YES","NO"),"")</f>
        <v>YES</v>
      </c>
    </row>
    <row r="147" spans="2:36" ht="15" customHeight="1">
      <c r="B147" s="127" t="s">
        <v>26</v>
      </c>
      <c r="C147" s="127" t="s">
        <v>35</v>
      </c>
      <c r="D147" s="127" t="s">
        <v>207</v>
      </c>
      <c r="E147" s="127" t="s">
        <v>1350</v>
      </c>
      <c r="F147" s="130" t="s">
        <v>295</v>
      </c>
      <c r="G147" s="127">
        <v>4</v>
      </c>
      <c r="H147" s="130" t="s">
        <v>1351</v>
      </c>
      <c r="I147" s="127" t="s">
        <v>271</v>
      </c>
      <c r="J147" s="127" t="s">
        <v>1323</v>
      </c>
      <c r="K147" s="129">
        <v>46149.851215277777</v>
      </c>
      <c r="L147" s="129">
        <v>46149.851273148146</v>
      </c>
      <c r="M147" s="129">
        <v>46150.287928240738</v>
      </c>
      <c r="N147" s="129">
        <v>46153.389340277776</v>
      </c>
      <c r="O147" s="129"/>
      <c r="P147" s="129"/>
      <c r="Q147" s="130" t="s">
        <v>1057</v>
      </c>
      <c r="R147" s="127" t="s">
        <v>267</v>
      </c>
      <c r="S147" s="127" t="s">
        <v>149</v>
      </c>
      <c r="T147" s="127"/>
      <c r="U147" s="127" t="s">
        <v>371</v>
      </c>
      <c r="V147" s="127"/>
      <c r="W147" s="127"/>
      <c r="X147" s="127"/>
      <c r="Y147" s="127"/>
      <c r="Z147" s="169">
        <f t="shared" ca="1" si="17"/>
        <v>0.43100694444243948</v>
      </c>
      <c r="AA147" s="170">
        <f t="shared" ca="1" si="18"/>
        <v>1.1493518518465053</v>
      </c>
      <c r="AB147" s="169">
        <f t="shared" ca="1" si="19"/>
        <v>0.43100694444243948</v>
      </c>
      <c r="AC147" s="170">
        <f t="shared" ca="1" si="20"/>
        <v>1.1493518518465053</v>
      </c>
      <c r="AD147" s="169">
        <f t="shared" ca="1" si="21"/>
        <v>0</v>
      </c>
      <c r="AE147" s="169">
        <f t="shared" ca="1" si="16"/>
        <v>0.43100694444243948</v>
      </c>
      <c r="AF147" s="170">
        <f t="shared" ca="1" si="22"/>
        <v>1.1493518518465053</v>
      </c>
      <c r="AG147" s="170">
        <f t="shared" ca="1" si="23"/>
        <v>1.1493518518465053</v>
      </c>
      <c r="AH147" s="28" t="str" cm="1">
        <f t="array" aca="1" ref="AH147" ca="1">IF((AD147) &lt; (INDEX(ResponseSLA[#All],(MATCH((G147),ResponseSLA[Priority],0))+1,3)),"YES","No")</f>
        <v>YES</v>
      </c>
      <c r="AI147" s="28" t="str">
        <f ca="1">_xlfn.IFNA(IF(AE147 &lt; (INDEX(SLATable[Minimum SLA],MATCH(G147,SLATable[Priority],0))),"YES","NO"),"")</f>
        <v>YES</v>
      </c>
      <c r="AJ147" s="28" t="str">
        <f ca="1">_xlfn.IFNA(IF(AE147 &lt; (INDEX(SLATable[Maximum SLA],MATCH(G147,SLATable[Priority],0))),"YES","NO"),"")</f>
        <v>YES</v>
      </c>
    </row>
    <row r="148" spans="2:36" ht="15" customHeight="1">
      <c r="B148" s="127" t="s">
        <v>26</v>
      </c>
      <c r="C148" s="127" t="s">
        <v>35</v>
      </c>
      <c r="D148" s="127" t="s">
        <v>207</v>
      </c>
      <c r="E148" s="127" t="s">
        <v>1352</v>
      </c>
      <c r="F148" s="130" t="s">
        <v>289</v>
      </c>
      <c r="G148" s="127">
        <v>4</v>
      </c>
      <c r="H148" s="130" t="s">
        <v>1353</v>
      </c>
      <c r="I148" s="127" t="s">
        <v>271</v>
      </c>
      <c r="J148" s="127" t="s">
        <v>1323</v>
      </c>
      <c r="K148" s="129">
        <v>46152.718148148146</v>
      </c>
      <c r="L148" s="129">
        <v>46156.590474537035</v>
      </c>
      <c r="M148" s="129">
        <v>46156.594189814816</v>
      </c>
      <c r="N148" s="129">
        <v>46161.432581018518</v>
      </c>
      <c r="O148" s="129"/>
      <c r="P148" s="129"/>
      <c r="Q148" s="130" t="s">
        <v>1123</v>
      </c>
      <c r="R148" s="127" t="s">
        <v>267</v>
      </c>
      <c r="S148" s="127" t="s">
        <v>187</v>
      </c>
      <c r="T148" s="127"/>
      <c r="U148" s="127" t="s">
        <v>371</v>
      </c>
      <c r="V148" s="127"/>
      <c r="W148" s="127"/>
      <c r="X148" s="127"/>
      <c r="Y148" s="127"/>
      <c r="Z148" s="169">
        <f t="shared" ca="1" si="17"/>
        <v>2.349247685184916</v>
      </c>
      <c r="AA148" s="170">
        <f t="shared" ca="1" si="18"/>
        <v>6.264660493826443</v>
      </c>
      <c r="AB148" s="169">
        <f t="shared" ca="1" si="19"/>
        <v>0.96710648148291534</v>
      </c>
      <c r="AC148" s="170">
        <f t="shared" ca="1" si="20"/>
        <v>2.5789506172877745</v>
      </c>
      <c r="AD148" s="169">
        <f t="shared" ca="1" si="21"/>
        <v>3.7152777804294601E-3</v>
      </c>
      <c r="AE148" s="169">
        <f t="shared" ca="1" si="16"/>
        <v>0.96710648148291534</v>
      </c>
      <c r="AF148" s="170">
        <f t="shared" ca="1" si="22"/>
        <v>2.5789506172877745</v>
      </c>
      <c r="AG148" s="170">
        <f t="shared" ca="1" si="23"/>
        <v>2.5789506172877745</v>
      </c>
      <c r="AH148" s="28" t="str" cm="1">
        <f t="array" aca="1" ref="AH148" ca="1">IF((AD148) &lt; (INDEX(ResponseSLA[#All],(MATCH((G148),ResponseSLA[Priority],0))+1,3)),"YES","No")</f>
        <v>YES</v>
      </c>
      <c r="AI148" s="28" t="str">
        <f ca="1">_xlfn.IFNA(IF(AE148 &lt; (INDEX(SLATable[Minimum SLA],MATCH(G148,SLATable[Priority],0))),"YES","NO"),"")</f>
        <v>YES</v>
      </c>
      <c r="AJ148" s="28" t="str">
        <f ca="1">_xlfn.IFNA(IF(AE148 &lt; (INDEX(SLATable[Maximum SLA],MATCH(G148,SLATable[Priority],0))),"YES","NO"),"")</f>
        <v>YES</v>
      </c>
    </row>
    <row r="149" spans="2:36" ht="15" customHeight="1">
      <c r="B149" s="127" t="s">
        <v>26</v>
      </c>
      <c r="C149" s="127" t="s">
        <v>35</v>
      </c>
      <c r="D149" s="127" t="s">
        <v>207</v>
      </c>
      <c r="E149" s="127" t="s">
        <v>1354</v>
      </c>
      <c r="F149" s="130" t="s">
        <v>289</v>
      </c>
      <c r="G149" s="127">
        <v>4</v>
      </c>
      <c r="H149" s="130" t="s">
        <v>1355</v>
      </c>
      <c r="I149" s="127" t="s">
        <v>271</v>
      </c>
      <c r="J149" s="127" t="s">
        <v>1323</v>
      </c>
      <c r="K149" s="129">
        <v>46154.054108796299</v>
      </c>
      <c r="L149" s="129">
        <v>46154.054120370369</v>
      </c>
      <c r="M149" s="129">
        <v>46154.256261574075</v>
      </c>
      <c r="N149" s="129">
        <v>46156.393263888887</v>
      </c>
      <c r="O149" s="129"/>
      <c r="P149" s="129"/>
      <c r="Q149" s="130" t="s">
        <v>1065</v>
      </c>
      <c r="R149" s="127" t="s">
        <v>267</v>
      </c>
      <c r="S149" s="127" t="s">
        <v>149</v>
      </c>
      <c r="T149" s="127"/>
      <c r="U149" s="127" t="s">
        <v>371</v>
      </c>
      <c r="V149" s="127"/>
      <c r="W149" s="127"/>
      <c r="X149" s="127"/>
      <c r="Y149" s="127"/>
      <c r="Z149" s="169">
        <f t="shared" ca="1" si="17"/>
        <v>0.80993055555397109</v>
      </c>
      <c r="AA149" s="170">
        <f t="shared" ca="1" si="18"/>
        <v>2.1598148148105896</v>
      </c>
      <c r="AB149" s="169">
        <f t="shared" ca="1" si="19"/>
        <v>0.80993055555397109</v>
      </c>
      <c r="AC149" s="170">
        <f t="shared" ca="1" si="20"/>
        <v>2.1598148148105896</v>
      </c>
      <c r="AD149" s="169">
        <f t="shared" ca="1" si="21"/>
        <v>0</v>
      </c>
      <c r="AE149" s="169">
        <f t="shared" ca="1" si="16"/>
        <v>0.80993055555397109</v>
      </c>
      <c r="AF149" s="170">
        <f t="shared" ca="1" si="22"/>
        <v>2.1598148148105896</v>
      </c>
      <c r="AG149" s="170">
        <f t="shared" ca="1" si="23"/>
        <v>2.1598148148105896</v>
      </c>
      <c r="AH149" s="28" t="str" cm="1">
        <f t="array" aca="1" ref="AH149" ca="1">IF((AD149) &lt; (INDEX(ResponseSLA[#All],(MATCH((G149),ResponseSLA[Priority],0))+1,3)),"YES","No")</f>
        <v>YES</v>
      </c>
      <c r="AI149" s="28" t="str">
        <f ca="1">_xlfn.IFNA(IF(AE149 &lt; (INDEX(SLATable[Minimum SLA],MATCH(G149,SLATable[Priority],0))),"YES","NO"),"")</f>
        <v>YES</v>
      </c>
      <c r="AJ149" s="28" t="str">
        <f ca="1">_xlfn.IFNA(IF(AE149 &lt; (INDEX(SLATable[Maximum SLA],MATCH(G149,SLATable[Priority],0))),"YES","NO"),"")</f>
        <v>YES</v>
      </c>
    </row>
    <row r="150" spans="2:36" ht="15" customHeight="1">
      <c r="B150" s="127" t="s">
        <v>26</v>
      </c>
      <c r="C150" s="127" t="s">
        <v>35</v>
      </c>
      <c r="D150" s="127" t="s">
        <v>207</v>
      </c>
      <c r="E150" s="127" t="s">
        <v>1356</v>
      </c>
      <c r="F150" s="130" t="s">
        <v>289</v>
      </c>
      <c r="G150" s="127">
        <v>3</v>
      </c>
      <c r="H150" s="130" t="s">
        <v>1357</v>
      </c>
      <c r="I150" s="127" t="s">
        <v>271</v>
      </c>
      <c r="J150" s="127" t="s">
        <v>1323</v>
      </c>
      <c r="K150" s="129">
        <v>46154.460636574076</v>
      </c>
      <c r="L150" s="129">
        <v>46154.460775462961</v>
      </c>
      <c r="M150" s="129">
        <v>46154.580995370372</v>
      </c>
      <c r="N150" s="129">
        <v>46161.437025462961</v>
      </c>
      <c r="O150" s="129">
        <v>46156.377280092594</v>
      </c>
      <c r="P150" s="129">
        <v>46161.437025462961</v>
      </c>
      <c r="Q150" s="130" t="s">
        <v>1343</v>
      </c>
      <c r="R150" s="127" t="s">
        <v>267</v>
      </c>
      <c r="S150" s="127" t="s">
        <v>167</v>
      </c>
      <c r="T150" s="127"/>
      <c r="U150" s="127" t="s">
        <v>371</v>
      </c>
      <c r="V150" s="127"/>
      <c r="W150" s="127"/>
      <c r="X150" s="127"/>
      <c r="Y150" s="127"/>
      <c r="Z150" s="169">
        <f t="shared" ca="1" si="17"/>
        <v>0.66664351851795778</v>
      </c>
      <c r="AA150" s="170">
        <f t="shared" ca="1" si="18"/>
        <v>1.7777160493812207</v>
      </c>
      <c r="AB150" s="169">
        <f t="shared" ca="1" si="19"/>
        <v>0.66650462963298174</v>
      </c>
      <c r="AC150" s="170">
        <f t="shared" ca="1" si="20"/>
        <v>1.7773456790212847</v>
      </c>
      <c r="AD150" s="169">
        <f t="shared" ca="1" si="21"/>
        <v>0.12021990741050104</v>
      </c>
      <c r="AE150" s="169">
        <f t="shared" ca="1" si="16"/>
        <v>0.66650462963298174</v>
      </c>
      <c r="AF150" s="170">
        <f t="shared" ca="1" si="22"/>
        <v>1.7773456790212847</v>
      </c>
      <c r="AG150" s="170">
        <f t="shared" ca="1" si="23"/>
        <v>1.7773456790212847</v>
      </c>
      <c r="AH150" s="28" t="str" cm="1">
        <f t="array" aca="1" ref="AH150" ca="1">IF((AD150) &lt; (INDEX(ResponseSLA[#All],(MATCH((G150),ResponseSLA[Priority],0))+1,3)),"YES","No")</f>
        <v>No</v>
      </c>
      <c r="AI150" s="28" t="str">
        <f ca="1">_xlfn.IFNA(IF(AE150 &lt; (INDEX(SLATable[Minimum SLA],MATCH(G150,SLATable[Priority],0))),"YES","NO"),"")</f>
        <v>NO</v>
      </c>
      <c r="AJ150" s="28" t="str">
        <f ca="1">_xlfn.IFNA(IF(AE150 &lt; (INDEX(SLATable[Maximum SLA],MATCH(G150,SLATable[Priority],0))),"YES","NO"),"")</f>
        <v>YES</v>
      </c>
    </row>
    <row r="151" spans="2:36" ht="15" customHeight="1">
      <c r="B151" s="127" t="s">
        <v>26</v>
      </c>
      <c r="C151" s="127" t="s">
        <v>35</v>
      </c>
      <c r="D151" s="127" t="s">
        <v>207</v>
      </c>
      <c r="E151" s="127" t="s">
        <v>1358</v>
      </c>
      <c r="F151" s="130" t="s">
        <v>296</v>
      </c>
      <c r="G151" s="127">
        <v>3</v>
      </c>
      <c r="H151" s="130" t="s">
        <v>1359</v>
      </c>
      <c r="I151" s="127" t="s">
        <v>271</v>
      </c>
      <c r="J151" s="127" t="s">
        <v>1323</v>
      </c>
      <c r="K151" s="129">
        <v>46154.859594907408</v>
      </c>
      <c r="L151" s="129">
        <v>46154.8596875</v>
      </c>
      <c r="M151" s="129">
        <v>46155.299444444441</v>
      </c>
      <c r="N151" s="129">
        <v>46161.43173611111</v>
      </c>
      <c r="O151" s="129">
        <v>46156.383576388886</v>
      </c>
      <c r="P151" s="129">
        <v>46161.43173611111</v>
      </c>
      <c r="Q151" s="130" t="s">
        <v>1049</v>
      </c>
      <c r="R151" s="127" t="s">
        <v>267</v>
      </c>
      <c r="S151" s="127" t="s">
        <v>1360</v>
      </c>
      <c r="T151" s="127"/>
      <c r="U151" s="127" t="s">
        <v>371</v>
      </c>
      <c r="V151" s="127"/>
      <c r="W151" s="127"/>
      <c r="X151" s="127"/>
      <c r="Y151" s="127"/>
      <c r="Z151" s="169">
        <f t="shared" ca="1" si="17"/>
        <v>0.42524305555222441</v>
      </c>
      <c r="AA151" s="170">
        <f t="shared" ca="1" si="18"/>
        <v>1.1339814814725984</v>
      </c>
      <c r="AB151" s="169">
        <f t="shared" ca="1" si="19"/>
        <v>0.42524305555222441</v>
      </c>
      <c r="AC151" s="170">
        <f t="shared" ca="1" si="20"/>
        <v>1.1339814814725984</v>
      </c>
      <c r="AD151" s="169">
        <f t="shared" ca="1" si="21"/>
        <v>0</v>
      </c>
      <c r="AE151" s="169">
        <f t="shared" ca="1" si="16"/>
        <v>0.42524305555222441</v>
      </c>
      <c r="AF151" s="170">
        <f t="shared" ca="1" si="22"/>
        <v>1.1339814814725984</v>
      </c>
      <c r="AG151" s="170">
        <f t="shared" ca="1" si="23"/>
        <v>1.1339814814725984</v>
      </c>
      <c r="AH151" s="28" t="str" cm="1">
        <f t="array" aca="1" ref="AH151" ca="1">IF((AD151) &lt; (INDEX(ResponseSLA[#All],(MATCH((G151),ResponseSLA[Priority],0))+1,3)),"YES","No")</f>
        <v>YES</v>
      </c>
      <c r="AI151" s="28" t="str">
        <f ca="1">_xlfn.IFNA(IF(AE151 &lt; (INDEX(SLATable[Minimum SLA],MATCH(G151,SLATable[Priority],0))),"YES","NO"),"")</f>
        <v>NO</v>
      </c>
      <c r="AJ151" s="28" t="str">
        <f ca="1">_xlfn.IFNA(IF(AE151 &lt; (INDEX(SLATable[Maximum SLA],MATCH(G151,SLATable[Priority],0))),"YES","NO"),"")</f>
        <v>YES</v>
      </c>
    </row>
    <row r="152" spans="2:36" ht="15" customHeight="1">
      <c r="B152" s="127" t="s">
        <v>26</v>
      </c>
      <c r="C152" s="127" t="s">
        <v>35</v>
      </c>
      <c r="D152" s="127" t="s">
        <v>207</v>
      </c>
      <c r="E152" s="127" t="s">
        <v>1361</v>
      </c>
      <c r="F152" s="130" t="s">
        <v>295</v>
      </c>
      <c r="G152" s="127">
        <v>3</v>
      </c>
      <c r="H152" s="130" t="s">
        <v>1362</v>
      </c>
      <c r="I152" s="127" t="s">
        <v>271</v>
      </c>
      <c r="J152" s="127" t="s">
        <v>1323</v>
      </c>
      <c r="K152" s="129">
        <v>46157.489907407406</v>
      </c>
      <c r="L152" s="129">
        <v>46157.49</v>
      </c>
      <c r="M152" s="129">
        <v>46159.777986111112</v>
      </c>
      <c r="N152" s="129">
        <v>46163.340590277781</v>
      </c>
      <c r="O152" s="129"/>
      <c r="P152" s="129"/>
      <c r="Q152" s="130" t="s">
        <v>1203</v>
      </c>
      <c r="R152" s="127" t="s">
        <v>267</v>
      </c>
      <c r="S152" s="127" t="s">
        <v>149</v>
      </c>
      <c r="T152" s="127"/>
      <c r="U152" s="127" t="s">
        <v>371</v>
      </c>
      <c r="V152" s="127"/>
      <c r="W152" s="127"/>
      <c r="X152" s="127"/>
      <c r="Y152" s="127"/>
      <c r="Z152" s="169">
        <f t="shared" ca="1" si="17"/>
        <v>1.3506828703757494</v>
      </c>
      <c r="AA152" s="170">
        <f t="shared" ca="1" si="18"/>
        <v>3.6018209876686651</v>
      </c>
      <c r="AB152" s="169">
        <f t="shared" ca="1" si="19"/>
        <v>1.3505902777833401</v>
      </c>
      <c r="AC152" s="170">
        <f t="shared" ca="1" si="20"/>
        <v>3.6015740740889068</v>
      </c>
      <c r="AD152" s="169">
        <f t="shared" ca="1" si="21"/>
        <v>0</v>
      </c>
      <c r="AE152" s="169">
        <f t="shared" ca="1" si="16"/>
        <v>1.3505902777833401</v>
      </c>
      <c r="AF152" s="170">
        <f t="shared" ca="1" si="22"/>
        <v>3.6015740740889068</v>
      </c>
      <c r="AG152" s="170">
        <f t="shared" ca="1" si="23"/>
        <v>3.6015740740889068</v>
      </c>
      <c r="AH152" s="28" t="str" cm="1">
        <f t="array" aca="1" ref="AH152" ca="1">IF((AD152) &lt; (INDEX(ResponseSLA[#All],(MATCH((G152),ResponseSLA[Priority],0))+1,3)),"YES","No")</f>
        <v>YES</v>
      </c>
      <c r="AI152" s="28" t="str">
        <f ca="1">_xlfn.IFNA(IF(AE152 &lt; (INDEX(SLATable[Minimum SLA],MATCH(G152,SLATable[Priority],0))),"YES","NO"),"")</f>
        <v>NO</v>
      </c>
      <c r="AJ152" s="28" t="str">
        <f ca="1">_xlfn.IFNA(IF(AE152 &lt; (INDEX(SLATable[Maximum SLA],MATCH(G152,SLATable[Priority],0))),"YES","NO"),"")</f>
        <v>YES</v>
      </c>
    </row>
    <row r="153" spans="2:36" ht="15" customHeight="1">
      <c r="B153" s="127" t="s">
        <v>26</v>
      </c>
      <c r="C153" s="127" t="s">
        <v>35</v>
      </c>
      <c r="D153" s="127" t="s">
        <v>207</v>
      </c>
      <c r="E153" s="127" t="s">
        <v>1363</v>
      </c>
      <c r="F153" s="127" t="s">
        <v>295</v>
      </c>
      <c r="G153" s="127">
        <v>3</v>
      </c>
      <c r="H153" s="127" t="s">
        <v>1364</v>
      </c>
      <c r="I153" s="127" t="s">
        <v>271</v>
      </c>
      <c r="J153" s="127" t="s">
        <v>1365</v>
      </c>
      <c r="K153" s="129">
        <v>46161.788402777776</v>
      </c>
      <c r="L153" s="129">
        <v>46161.788425925923</v>
      </c>
      <c r="M153" s="129">
        <v>46161.804166666669</v>
      </c>
      <c r="N153" s="129">
        <v>46163.655972222223</v>
      </c>
      <c r="O153" s="129"/>
      <c r="P153" s="129"/>
      <c r="Q153" s="127" t="s">
        <v>1054</v>
      </c>
      <c r="R153" s="127" t="s">
        <v>267</v>
      </c>
      <c r="S153" s="127" t="s">
        <v>199</v>
      </c>
      <c r="T153" s="127"/>
      <c r="U153" s="127" t="s">
        <v>371</v>
      </c>
      <c r="V153" s="127"/>
      <c r="W153" s="127"/>
      <c r="X153" s="127"/>
      <c r="Y153" s="127"/>
      <c r="Z153" s="169">
        <f t="shared" ca="1" si="17"/>
        <v>0.69763888888943859</v>
      </c>
      <c r="AA153" s="170">
        <f t="shared" ca="1" si="18"/>
        <v>1.8603703703718364</v>
      </c>
      <c r="AB153" s="169">
        <f t="shared" ca="1" si="19"/>
        <v>0.69763888888943859</v>
      </c>
      <c r="AC153" s="170">
        <f t="shared" ca="1" si="20"/>
        <v>1.8603703703718364</v>
      </c>
      <c r="AD153" s="169">
        <f t="shared" ca="1" si="21"/>
        <v>0</v>
      </c>
      <c r="AE153" s="169">
        <f t="shared" ca="1" si="16"/>
        <v>0.69763888888943859</v>
      </c>
      <c r="AF153" s="170">
        <f t="shared" ca="1" si="22"/>
        <v>1.8603703703718364</v>
      </c>
      <c r="AG153" s="170">
        <f t="shared" ca="1" si="23"/>
        <v>1.8603703703718364</v>
      </c>
      <c r="AH153" s="28" t="str" cm="1">
        <f t="array" aca="1" ref="AH153" ca="1">IF((AD153) &lt; (INDEX(ResponseSLA[#All],(MATCH((G153),ResponseSLA[Priority],0))+1,3)),"YES","No")</f>
        <v>YES</v>
      </c>
      <c r="AI153" s="28" t="str">
        <f ca="1">_xlfn.IFNA(IF(AE153 &lt; (INDEX(SLATable[Minimum SLA],MATCH(G153,SLATable[Priority],0))),"YES","NO"),"")</f>
        <v>NO</v>
      </c>
      <c r="AJ153" s="28" t="str">
        <f ca="1">_xlfn.IFNA(IF(AE153 &lt; (INDEX(SLATable[Maximum SLA],MATCH(G153,SLATable[Priority],0))),"YES","NO"),"")</f>
        <v>YES</v>
      </c>
    </row>
    <row r="154" spans="2:36" ht="15" customHeight="1">
      <c r="B154" s="127" t="s">
        <v>26</v>
      </c>
      <c r="C154" s="127" t="s">
        <v>35</v>
      </c>
      <c r="D154" s="127" t="s">
        <v>207</v>
      </c>
      <c r="E154" s="127" t="s">
        <v>1366</v>
      </c>
      <c r="F154" s="127" t="s">
        <v>299</v>
      </c>
      <c r="G154" s="127">
        <v>4</v>
      </c>
      <c r="H154" s="127" t="s">
        <v>1367</v>
      </c>
      <c r="I154" s="127" t="s">
        <v>271</v>
      </c>
      <c r="J154" s="127" t="s">
        <v>1365</v>
      </c>
      <c r="K154" s="129">
        <v>46155.536863425928</v>
      </c>
      <c r="L154" s="129">
        <v>46155.53769675926</v>
      </c>
      <c r="M154" s="129">
        <v>46155.537222222221</v>
      </c>
      <c r="N154" s="129">
        <v>46162.588530092595</v>
      </c>
      <c r="O154" s="129"/>
      <c r="P154" s="129"/>
      <c r="Q154" s="127" t="s">
        <v>1208</v>
      </c>
      <c r="R154" s="127" t="s">
        <v>267</v>
      </c>
      <c r="S154" s="127" t="s">
        <v>199</v>
      </c>
      <c r="T154" s="127"/>
      <c r="U154" s="127" t="s">
        <v>371</v>
      </c>
      <c r="V154" s="127"/>
      <c r="W154" s="127"/>
      <c r="X154" s="127"/>
      <c r="Y154" s="127"/>
      <c r="Z154" s="169">
        <f t="shared" ca="1" si="17"/>
        <v>1.9266666666662786</v>
      </c>
      <c r="AA154" s="170">
        <f t="shared" ca="1" si="18"/>
        <v>5.1377777777767433</v>
      </c>
      <c r="AB154" s="169">
        <f t="shared" ca="1" si="19"/>
        <v>1.9258333333345945</v>
      </c>
      <c r="AC154" s="170">
        <f t="shared" ca="1" si="20"/>
        <v>5.135555555558919</v>
      </c>
      <c r="AD154" s="169">
        <f t="shared" ca="1" si="21"/>
        <v>0</v>
      </c>
      <c r="AE154" s="169">
        <f t="shared" ca="1" si="16"/>
        <v>1.9258333333345945</v>
      </c>
      <c r="AF154" s="170">
        <f t="shared" ca="1" si="22"/>
        <v>5.135555555558919</v>
      </c>
      <c r="AG154" s="170">
        <f t="shared" ca="1" si="23"/>
        <v>5.135555555558919</v>
      </c>
      <c r="AH154" s="28" t="str" cm="1">
        <f t="array" aca="1" ref="AH154" ca="1">IF((AD154) &lt; (INDEX(ResponseSLA[#All],(MATCH((G154),ResponseSLA[Priority],0))+1,3)),"YES","No")</f>
        <v>YES</v>
      </c>
      <c r="AI154" s="28" t="str">
        <f ca="1">_xlfn.IFNA(IF(AE154 &lt; (INDEX(SLATable[Minimum SLA],MATCH(G154,SLATable[Priority],0))),"YES","NO"),"")</f>
        <v>YES</v>
      </c>
      <c r="AJ154" s="28" t="str">
        <f ca="1">_xlfn.IFNA(IF(AE154 &lt; (INDEX(SLATable[Maximum SLA],MATCH(G154,SLATable[Priority],0))),"YES","NO"),"")</f>
        <v>YES</v>
      </c>
    </row>
    <row r="155" spans="2:36" ht="15" customHeight="1">
      <c r="B155" s="127" t="s">
        <v>26</v>
      </c>
      <c r="C155" s="127" t="s">
        <v>35</v>
      </c>
      <c r="D155" s="127" t="s">
        <v>207</v>
      </c>
      <c r="E155" s="127" t="s">
        <v>1368</v>
      </c>
      <c r="F155" s="127" t="s">
        <v>296</v>
      </c>
      <c r="G155" s="127">
        <v>3</v>
      </c>
      <c r="H155" s="127" t="s">
        <v>1369</v>
      </c>
      <c r="I155" s="127" t="s">
        <v>271</v>
      </c>
      <c r="J155" s="127" t="s">
        <v>1365</v>
      </c>
      <c r="K155" s="129">
        <v>46155.418900462966</v>
      </c>
      <c r="L155" s="129">
        <v>46155.418946759259</v>
      </c>
      <c r="M155" s="129">
        <v>46155.418946759259</v>
      </c>
      <c r="N155" s="129">
        <v>46164.748541666668</v>
      </c>
      <c r="O155" s="129"/>
      <c r="P155" s="129"/>
      <c r="Q155" s="127" t="s">
        <v>1049</v>
      </c>
      <c r="R155" s="127" t="s">
        <v>267</v>
      </c>
      <c r="S155" s="127" t="s">
        <v>199</v>
      </c>
      <c r="T155" s="127"/>
      <c r="U155" s="127" t="s">
        <v>371</v>
      </c>
      <c r="V155" s="127"/>
      <c r="W155" s="127"/>
      <c r="X155" s="127"/>
      <c r="Y155" s="127"/>
      <c r="Z155" s="169">
        <f t="shared" ca="1" si="17"/>
        <v>2.9144328703672127</v>
      </c>
      <c r="AA155" s="170">
        <f t="shared" ca="1" si="18"/>
        <v>7.7718209876459001</v>
      </c>
      <c r="AB155" s="169">
        <f t="shared" ca="1" si="19"/>
        <v>2.914386574074646</v>
      </c>
      <c r="AC155" s="170">
        <f t="shared" ca="1" si="20"/>
        <v>7.7716975308657226</v>
      </c>
      <c r="AD155" s="169">
        <f t="shared" ca="1" si="21"/>
        <v>0</v>
      </c>
      <c r="AE155" s="169">
        <f t="shared" ca="1" si="16"/>
        <v>2.914386574074646</v>
      </c>
      <c r="AF155" s="170">
        <f t="shared" ca="1" si="22"/>
        <v>7.7716975308657226</v>
      </c>
      <c r="AG155" s="170">
        <f t="shared" ca="1" si="23"/>
        <v>7.7716975308657226</v>
      </c>
      <c r="AH155" s="28" t="str" cm="1">
        <f t="array" aca="1" ref="AH155" ca="1">IF((AD155) &lt; (INDEX(ResponseSLA[#All],(MATCH((G155),ResponseSLA[Priority],0))+1,3)),"YES","No")</f>
        <v>YES</v>
      </c>
      <c r="AI155" s="28" t="str">
        <f ca="1">_xlfn.IFNA(IF(AE155 &lt; (INDEX(SLATable[Minimum SLA],MATCH(G155,SLATable[Priority],0))),"YES","NO"),"")</f>
        <v>NO</v>
      </c>
      <c r="AJ155" s="28" t="str">
        <f ca="1">_xlfn.IFNA(IF(AE155 &lt; (INDEX(SLATable[Maximum SLA],MATCH(G155,SLATable[Priority],0))),"YES","NO"),"")</f>
        <v>NO</v>
      </c>
    </row>
    <row r="156" spans="2:36" ht="15" customHeight="1">
      <c r="B156" s="127" t="s">
        <v>26</v>
      </c>
      <c r="C156" s="127" t="s">
        <v>35</v>
      </c>
      <c r="D156" s="127" t="s">
        <v>207</v>
      </c>
      <c r="E156" s="127" t="s">
        <v>1370</v>
      </c>
      <c r="F156" s="127" t="s">
        <v>289</v>
      </c>
      <c r="G156" s="127">
        <v>3</v>
      </c>
      <c r="H156" s="127" t="s">
        <v>1371</v>
      </c>
      <c r="I156" s="127" t="s">
        <v>271</v>
      </c>
      <c r="J156" s="127" t="s">
        <v>1365</v>
      </c>
      <c r="K156" s="129">
        <v>46153.618333333332</v>
      </c>
      <c r="L156" s="129">
        <v>46153.618368055555</v>
      </c>
      <c r="M156" s="129">
        <v>46153.791909722226</v>
      </c>
      <c r="N156" s="129">
        <v>46157.52884259259</v>
      </c>
      <c r="O156" s="129"/>
      <c r="P156" s="129"/>
      <c r="Q156" s="127" t="s">
        <v>1101</v>
      </c>
      <c r="R156" s="127" t="s">
        <v>267</v>
      </c>
      <c r="S156" s="127" t="s">
        <v>199</v>
      </c>
      <c r="T156" s="127"/>
      <c r="U156" s="127" t="s">
        <v>371</v>
      </c>
      <c r="V156" s="127"/>
      <c r="W156" s="127"/>
      <c r="X156" s="127"/>
      <c r="Y156" s="127"/>
      <c r="Z156" s="169">
        <f t="shared" ca="1" si="17"/>
        <v>1.4105092592581059</v>
      </c>
      <c r="AA156" s="170">
        <f t="shared" ca="1" si="18"/>
        <v>3.7613580246882825</v>
      </c>
      <c r="AB156" s="169">
        <f t="shared" ca="1" si="19"/>
        <v>1.4104745370350429</v>
      </c>
      <c r="AC156" s="170">
        <f t="shared" ca="1" si="20"/>
        <v>3.7612654320934475</v>
      </c>
      <c r="AD156" s="169">
        <f t="shared" ca="1" si="21"/>
        <v>8.9965277778295216E-2</v>
      </c>
      <c r="AE156" s="169">
        <f t="shared" ca="1" si="16"/>
        <v>1.4104745370350429</v>
      </c>
      <c r="AF156" s="170">
        <f t="shared" ca="1" si="22"/>
        <v>3.7612654320934475</v>
      </c>
      <c r="AG156" s="170">
        <f t="shared" ca="1" si="23"/>
        <v>3.7612654320934475</v>
      </c>
      <c r="AH156" s="28" t="str" cm="1">
        <f t="array" aca="1" ref="AH156" ca="1">IF((AD156) &lt; (INDEX(ResponseSLA[#All],(MATCH((G156),ResponseSLA[Priority],0))+1,3)),"YES","No")</f>
        <v>No</v>
      </c>
      <c r="AI156" s="28" t="str">
        <f ca="1">_xlfn.IFNA(IF(AE156 &lt; (INDEX(SLATable[Minimum SLA],MATCH(G156,SLATable[Priority],0))),"YES","NO"),"")</f>
        <v>NO</v>
      </c>
      <c r="AJ156" s="28" t="str">
        <f ca="1">_xlfn.IFNA(IF(AE156 &lt; (INDEX(SLATable[Maximum SLA],MATCH(G156,SLATable[Priority],0))),"YES","NO"),"")</f>
        <v>YES</v>
      </c>
    </row>
    <row r="157" spans="2:36" ht="15" customHeight="1">
      <c r="B157" s="127" t="s">
        <v>26</v>
      </c>
      <c r="C157" s="127" t="s">
        <v>35</v>
      </c>
      <c r="D157" s="127" t="s">
        <v>207</v>
      </c>
      <c r="E157" s="127" t="s">
        <v>1372</v>
      </c>
      <c r="F157" s="127" t="s">
        <v>299</v>
      </c>
      <c r="G157" s="127">
        <v>4</v>
      </c>
      <c r="H157" s="127" t="s">
        <v>1373</v>
      </c>
      <c r="I157" s="127" t="s">
        <v>271</v>
      </c>
      <c r="J157" s="127" t="s">
        <v>1365</v>
      </c>
      <c r="K157" s="129">
        <v>46150.721597222226</v>
      </c>
      <c r="L157" s="129">
        <v>46150.722696759258</v>
      </c>
      <c r="M157" s="129">
        <v>46153.46738425926</v>
      </c>
      <c r="N157" s="129">
        <v>46154.446921296294</v>
      </c>
      <c r="O157" s="129"/>
      <c r="P157" s="129"/>
      <c r="Q157" s="127" t="s">
        <v>1208</v>
      </c>
      <c r="R157" s="127" t="s">
        <v>267</v>
      </c>
      <c r="S157" s="127" t="s">
        <v>199</v>
      </c>
      <c r="T157" s="127"/>
      <c r="U157" s="127" t="s">
        <v>371</v>
      </c>
      <c r="V157" s="127"/>
      <c r="W157" s="127"/>
      <c r="X157" s="127"/>
      <c r="Y157" s="127"/>
      <c r="Z157" s="169">
        <f t="shared" ca="1" si="17"/>
        <v>0.48858796296068852</v>
      </c>
      <c r="AA157" s="170">
        <f t="shared" ca="1" si="18"/>
        <v>1.302901234561836</v>
      </c>
      <c r="AB157" s="169">
        <f t="shared" ca="1" si="19"/>
        <v>0.48858796296068852</v>
      </c>
      <c r="AC157" s="170">
        <f t="shared" ca="1" si="20"/>
        <v>1.302901234561836</v>
      </c>
      <c r="AD157" s="169">
        <f t="shared" ca="1" si="21"/>
        <v>0.13405092592680978</v>
      </c>
      <c r="AE157" s="169">
        <f t="shared" ca="1" si="16"/>
        <v>0.48858796296068852</v>
      </c>
      <c r="AF157" s="170">
        <f t="shared" ca="1" si="22"/>
        <v>1.302901234561836</v>
      </c>
      <c r="AG157" s="170">
        <f t="shared" ca="1" si="23"/>
        <v>1.302901234561836</v>
      </c>
      <c r="AH157" s="28" t="str" cm="1">
        <f t="array" aca="1" ref="AH157" ca="1">IF((AD157) &lt; (INDEX(ResponseSLA[#All],(MATCH((G157),ResponseSLA[Priority],0))+1,3)),"YES","No")</f>
        <v>No</v>
      </c>
      <c r="AI157" s="28" t="str">
        <f ca="1">_xlfn.IFNA(IF(AE157 &lt; (INDEX(SLATable[Minimum SLA],MATCH(G157,SLATable[Priority],0))),"YES","NO"),"")</f>
        <v>YES</v>
      </c>
      <c r="AJ157" s="28" t="str">
        <f ca="1">_xlfn.IFNA(IF(AE157 &lt; (INDEX(SLATable[Maximum SLA],MATCH(G157,SLATable[Priority],0))),"YES","NO"),"")</f>
        <v>YES</v>
      </c>
    </row>
    <row r="158" spans="2:36" ht="15" customHeight="1">
      <c r="B158" s="127" t="s">
        <v>26</v>
      </c>
      <c r="C158" s="127" t="s">
        <v>35</v>
      </c>
      <c r="D158" s="127" t="s">
        <v>207</v>
      </c>
      <c r="E158" s="127" t="s">
        <v>1374</v>
      </c>
      <c r="F158" s="127" t="s">
        <v>299</v>
      </c>
      <c r="G158" s="127">
        <v>4</v>
      </c>
      <c r="H158" s="127" t="s">
        <v>1375</v>
      </c>
      <c r="I158" s="127" t="s">
        <v>271</v>
      </c>
      <c r="J158" s="127" t="s">
        <v>1365</v>
      </c>
      <c r="K158" s="129">
        <v>46149.558761574073</v>
      </c>
      <c r="L158" s="129">
        <v>46149.55972222222</v>
      </c>
      <c r="M158" s="129">
        <v>46149.633576388886</v>
      </c>
      <c r="N158" s="129">
        <v>46149.653032407405</v>
      </c>
      <c r="O158" s="129"/>
      <c r="P158" s="129"/>
      <c r="Q158" s="127" t="s">
        <v>1208</v>
      </c>
      <c r="R158" s="127" t="s">
        <v>267</v>
      </c>
      <c r="S158" s="127" t="s">
        <v>199</v>
      </c>
      <c r="T158" s="127"/>
      <c r="U158" s="127" t="s">
        <v>371</v>
      </c>
      <c r="V158" s="127"/>
      <c r="W158" s="127"/>
      <c r="X158" s="127"/>
      <c r="Y158" s="127"/>
      <c r="Z158" s="169">
        <f t="shared" ca="1" si="17"/>
        <v>9.4270833331393078E-2</v>
      </c>
      <c r="AA158" s="170">
        <f t="shared" ca="1" si="18"/>
        <v>0.25138888888371486</v>
      </c>
      <c r="AB158" s="169">
        <f t="shared" ca="1" si="19"/>
        <v>9.3310185184236616E-2</v>
      </c>
      <c r="AC158" s="170">
        <f t="shared" ca="1" si="20"/>
        <v>0.24882716049129763</v>
      </c>
      <c r="AD158" s="169">
        <f t="shared" ca="1" si="21"/>
        <v>7.3854166665114462E-2</v>
      </c>
      <c r="AE158" s="169">
        <f t="shared" ca="1" si="16"/>
        <v>9.3310185184236616E-2</v>
      </c>
      <c r="AF158" s="170">
        <f t="shared" ca="1" si="22"/>
        <v>0.24882716049129763</v>
      </c>
      <c r="AG158" s="170">
        <f t="shared" ca="1" si="23"/>
        <v>0.24882716049129763</v>
      </c>
      <c r="AH158" s="28" t="str" cm="1">
        <f t="array" aca="1" ref="AH158" ca="1">IF((AD158) &lt; (INDEX(ResponseSLA[#All],(MATCH((G158),ResponseSLA[Priority],0))+1,3)),"YES","No")</f>
        <v>YES</v>
      </c>
      <c r="AI158" s="28" t="str">
        <f ca="1">_xlfn.IFNA(IF(AE158 &lt; (INDEX(SLATable[Minimum SLA],MATCH(G158,SLATable[Priority],0))),"YES","NO"),"")</f>
        <v>YES</v>
      </c>
      <c r="AJ158" s="28" t="str">
        <f ca="1">_xlfn.IFNA(IF(AE158 &lt; (INDEX(SLATable[Maximum SLA],MATCH(G158,SLATable[Priority],0))),"YES","NO"),"")</f>
        <v>YES</v>
      </c>
    </row>
    <row r="159" spans="2:36" ht="15" customHeight="1">
      <c r="B159" s="127" t="s">
        <v>26</v>
      </c>
      <c r="C159" s="127" t="s">
        <v>35</v>
      </c>
      <c r="D159" s="127" t="s">
        <v>207</v>
      </c>
      <c r="E159" s="127" t="s">
        <v>1376</v>
      </c>
      <c r="F159" s="127" t="s">
        <v>303</v>
      </c>
      <c r="G159" s="127">
        <v>4</v>
      </c>
      <c r="H159" s="127" t="s">
        <v>1377</v>
      </c>
      <c r="I159" s="127" t="s">
        <v>271</v>
      </c>
      <c r="J159" s="127" t="s">
        <v>1365</v>
      </c>
      <c r="K159" s="129">
        <v>46148.538854166669</v>
      </c>
      <c r="L159" s="129">
        <v>46148.540034722224</v>
      </c>
      <c r="M159" s="129">
        <v>46148.540034722224</v>
      </c>
      <c r="N159" s="129">
        <v>46150.465300925927</v>
      </c>
      <c r="O159" s="129"/>
      <c r="P159" s="129"/>
      <c r="Q159" s="127" t="s">
        <v>1378</v>
      </c>
      <c r="R159" s="127" t="s">
        <v>267</v>
      </c>
      <c r="S159" s="127" t="s">
        <v>1379</v>
      </c>
      <c r="T159" s="127"/>
      <c r="U159" s="127" t="s">
        <v>371</v>
      </c>
      <c r="V159" s="127"/>
      <c r="W159" s="127"/>
      <c r="X159" s="127"/>
      <c r="Y159" s="127"/>
      <c r="Z159" s="169">
        <f t="shared" ca="1" si="17"/>
        <v>0.67644675925839692</v>
      </c>
      <c r="AA159" s="170">
        <f t="shared" ca="1" si="18"/>
        <v>1.8038580246890585</v>
      </c>
      <c r="AB159" s="169">
        <f t="shared" ca="1" si="19"/>
        <v>0.67526620370335877</v>
      </c>
      <c r="AC159" s="170">
        <f t="shared" ca="1" si="20"/>
        <v>1.80070987654229</v>
      </c>
      <c r="AD159" s="169">
        <f t="shared" ca="1" si="21"/>
        <v>0</v>
      </c>
      <c r="AE159" s="169">
        <f t="shared" ca="1" si="16"/>
        <v>0.67526620370335877</v>
      </c>
      <c r="AF159" s="170">
        <f t="shared" ca="1" si="22"/>
        <v>1.80070987654229</v>
      </c>
      <c r="AG159" s="170">
        <f t="shared" ca="1" si="23"/>
        <v>1.80070987654229</v>
      </c>
      <c r="AH159" s="28" t="str" cm="1">
        <f t="array" aca="1" ref="AH159" ca="1">IF((AD159) &lt; (INDEX(ResponseSLA[#All],(MATCH((G159),ResponseSLA[Priority],0))+1,3)),"YES","No")</f>
        <v>YES</v>
      </c>
      <c r="AI159" s="28" t="str">
        <f ca="1">_xlfn.IFNA(IF(AE159 &lt; (INDEX(SLATable[Minimum SLA],MATCH(G159,SLATable[Priority],0))),"YES","NO"),"")</f>
        <v>YES</v>
      </c>
      <c r="AJ159" s="28" t="str">
        <f ca="1">_xlfn.IFNA(IF(AE159 &lt; (INDEX(SLATable[Maximum SLA],MATCH(G159,SLATable[Priority],0))),"YES","NO"),"")</f>
        <v>YES</v>
      </c>
    </row>
    <row r="160" spans="2:36" ht="15" customHeight="1">
      <c r="B160" s="127" t="s">
        <v>26</v>
      </c>
      <c r="C160" s="127" t="s">
        <v>35</v>
      </c>
      <c r="D160" s="127" t="s">
        <v>207</v>
      </c>
      <c r="E160" s="127" t="s">
        <v>1380</v>
      </c>
      <c r="F160" s="127" t="s">
        <v>292</v>
      </c>
      <c r="G160" s="127">
        <v>4</v>
      </c>
      <c r="H160" s="127" t="s">
        <v>1381</v>
      </c>
      <c r="I160" s="127" t="s">
        <v>271</v>
      </c>
      <c r="J160" s="127" t="s">
        <v>1365</v>
      </c>
      <c r="K160" s="129">
        <v>46148.536736111113</v>
      </c>
      <c r="L160" s="129">
        <v>46148.536863425928</v>
      </c>
      <c r="M160" s="129">
        <v>46148.555706018517</v>
      </c>
      <c r="N160" s="129">
        <v>46156.758750000001</v>
      </c>
      <c r="O160" s="129"/>
      <c r="P160" s="129"/>
      <c r="Q160" s="127" t="s">
        <v>1073</v>
      </c>
      <c r="R160" s="127" t="s">
        <v>267</v>
      </c>
      <c r="S160" s="127" t="s">
        <v>1379</v>
      </c>
      <c r="T160" s="127"/>
      <c r="U160" s="127" t="s">
        <v>371</v>
      </c>
      <c r="V160" s="127"/>
      <c r="W160" s="127"/>
      <c r="X160" s="127"/>
      <c r="Y160" s="127"/>
      <c r="Z160" s="169">
        <f t="shared" ca="1" si="17"/>
        <v>2.4215972222203472</v>
      </c>
      <c r="AA160" s="170">
        <f t="shared" ca="1" si="18"/>
        <v>6.4575925925875923</v>
      </c>
      <c r="AB160" s="169">
        <f t="shared" ca="1" si="19"/>
        <v>2.4214699074048749</v>
      </c>
      <c r="AC160" s="170">
        <f t="shared" ca="1" si="20"/>
        <v>6.457253086413</v>
      </c>
      <c r="AD160" s="169">
        <f t="shared" ca="1" si="21"/>
        <v>1.8842592588043772E-2</v>
      </c>
      <c r="AE160" s="169">
        <f t="shared" ca="1" si="16"/>
        <v>2.4214699074048749</v>
      </c>
      <c r="AF160" s="170">
        <f t="shared" ca="1" si="22"/>
        <v>6.457253086413</v>
      </c>
      <c r="AG160" s="170">
        <f t="shared" ca="1" si="23"/>
        <v>6.457253086413</v>
      </c>
      <c r="AH160" s="28" t="str" cm="1">
        <f t="array" aca="1" ref="AH160" ca="1">IF((AD160) &lt; (INDEX(ResponseSLA[#All],(MATCH((G160),ResponseSLA[Priority],0))+1,3)),"YES","No")</f>
        <v>YES</v>
      </c>
      <c r="AI160" s="28" t="str">
        <f ca="1">_xlfn.IFNA(IF(AE160 &lt; (INDEX(SLATable[Minimum SLA],MATCH(G160,SLATable[Priority],0))),"YES","NO"),"")</f>
        <v>YES</v>
      </c>
      <c r="AJ160" s="28" t="str">
        <f ca="1">_xlfn.IFNA(IF(AE160 &lt; (INDEX(SLATable[Maximum SLA],MATCH(G160,SLATable[Priority],0))),"YES","NO"),"")</f>
        <v>YES</v>
      </c>
    </row>
    <row r="161" spans="2:36" ht="15" customHeight="1">
      <c r="B161" s="127" t="s">
        <v>26</v>
      </c>
      <c r="C161" s="127" t="s">
        <v>35</v>
      </c>
      <c r="D161" s="127" t="s">
        <v>207</v>
      </c>
      <c r="E161" s="127" t="s">
        <v>1382</v>
      </c>
      <c r="F161" s="127" t="s">
        <v>299</v>
      </c>
      <c r="G161" s="127">
        <v>4</v>
      </c>
      <c r="H161" s="127" t="s">
        <v>1383</v>
      </c>
      <c r="I161" s="127" t="s">
        <v>271</v>
      </c>
      <c r="J161" s="127" t="s">
        <v>1365</v>
      </c>
      <c r="K161" s="129">
        <v>46142.76939814815</v>
      </c>
      <c r="L161" s="129">
        <v>46142.769479166665</v>
      </c>
      <c r="M161" s="129">
        <v>46147.552893518521</v>
      </c>
      <c r="N161" s="129">
        <v>46147.63077546296</v>
      </c>
      <c r="O161" s="129"/>
      <c r="P161" s="129"/>
      <c r="Q161" s="127" t="s">
        <v>1208</v>
      </c>
      <c r="R161" s="127" t="s">
        <v>267</v>
      </c>
      <c r="S161" s="127" t="s">
        <v>1379</v>
      </c>
      <c r="T161" s="127"/>
      <c r="U161" s="127" t="s">
        <v>371</v>
      </c>
      <c r="V161" s="127"/>
      <c r="W161" s="127"/>
      <c r="X161" s="127"/>
      <c r="Y161" s="127"/>
      <c r="Z161" s="169">
        <f t="shared" ca="1" si="17"/>
        <v>0.29744212962638505</v>
      </c>
      <c r="AA161" s="170">
        <f t="shared" ca="1" si="18"/>
        <v>0.79317901233702681</v>
      </c>
      <c r="AB161" s="169">
        <f t="shared" ca="1" si="19"/>
        <v>0.29744212962638505</v>
      </c>
      <c r="AC161" s="170">
        <f t="shared" ca="1" si="20"/>
        <v>0.79317901233702681</v>
      </c>
      <c r="AD161" s="169">
        <f t="shared" ca="1" si="21"/>
        <v>0.21956018518782605</v>
      </c>
      <c r="AE161" s="169">
        <f t="shared" ca="1" si="16"/>
        <v>0.29744212962638505</v>
      </c>
      <c r="AF161" s="170">
        <f t="shared" ca="1" si="22"/>
        <v>0.79317901233702681</v>
      </c>
      <c r="AG161" s="170">
        <f t="shared" ca="1" si="23"/>
        <v>0.79317901233702681</v>
      </c>
      <c r="AH161" s="28" t="str" cm="1">
        <f t="array" aca="1" ref="AH161" ca="1">IF((AD161) &lt; (INDEX(ResponseSLA[#All],(MATCH((G161),ResponseSLA[Priority],0))+1,3)),"YES","No")</f>
        <v>No</v>
      </c>
      <c r="AI161" s="28" t="str">
        <f ca="1">_xlfn.IFNA(IF(AE161 &lt; (INDEX(SLATable[Minimum SLA],MATCH(G161,SLATable[Priority],0))),"YES","NO"),"")</f>
        <v>YES</v>
      </c>
      <c r="AJ161" s="28" t="str">
        <f ca="1">_xlfn.IFNA(IF(AE161 &lt; (INDEX(SLATable[Maximum SLA],MATCH(G161,SLATable[Priority],0))),"YES","NO"),"")</f>
        <v>YES</v>
      </c>
    </row>
    <row r="162" spans="2:36" ht="15" customHeight="1">
      <c r="B162" s="127" t="s">
        <v>26</v>
      </c>
      <c r="C162" s="127" t="s">
        <v>35</v>
      </c>
      <c r="D162" s="127" t="s">
        <v>207</v>
      </c>
      <c r="E162" s="127" t="s">
        <v>1384</v>
      </c>
      <c r="F162" s="127" t="s">
        <v>295</v>
      </c>
      <c r="G162" s="127">
        <v>4</v>
      </c>
      <c r="H162" s="127" t="s">
        <v>1385</v>
      </c>
      <c r="I162" s="127" t="s">
        <v>271</v>
      </c>
      <c r="J162" s="127" t="s">
        <v>1365</v>
      </c>
      <c r="K162" s="129">
        <v>46141.762013888889</v>
      </c>
      <c r="L162" s="129">
        <v>46149.536574074074</v>
      </c>
      <c r="M162" s="129">
        <v>46149.536574074074</v>
      </c>
      <c r="N162" s="129">
        <v>46157.466898148145</v>
      </c>
      <c r="O162" s="129"/>
      <c r="P162" s="129"/>
      <c r="Q162" s="127" t="s">
        <v>1057</v>
      </c>
      <c r="R162" s="127" t="s">
        <v>267</v>
      </c>
      <c r="S162" s="127" t="s">
        <v>149</v>
      </c>
      <c r="T162" s="127"/>
      <c r="U162" s="127" t="s">
        <v>371</v>
      </c>
      <c r="V162" s="127"/>
      <c r="W162" s="127"/>
      <c r="X162" s="127"/>
      <c r="Y162" s="127"/>
      <c r="Z162" s="169">
        <f t="shared" ca="1" si="17"/>
        <v>3.5085648148112036</v>
      </c>
      <c r="AA162" s="170">
        <f t="shared" ca="1" si="18"/>
        <v>9.3561728394965442</v>
      </c>
      <c r="AB162" s="169">
        <f t="shared" ca="1" si="19"/>
        <v>2.1803240740700862</v>
      </c>
      <c r="AC162" s="170">
        <f t="shared" ca="1" si="20"/>
        <v>5.8141975308535638</v>
      </c>
      <c r="AD162" s="169">
        <f t="shared" ca="1" si="21"/>
        <v>0</v>
      </c>
      <c r="AE162" s="169">
        <f t="shared" ca="1" si="16"/>
        <v>2.1803240740700862</v>
      </c>
      <c r="AF162" s="170">
        <f t="shared" ca="1" si="22"/>
        <v>5.8141975308535638</v>
      </c>
      <c r="AG162" s="170">
        <f t="shared" ca="1" si="23"/>
        <v>5.8141975308535638</v>
      </c>
      <c r="AH162" s="28" t="str" cm="1">
        <f t="array" aca="1" ref="AH162" ca="1">IF((AD162) &lt; (INDEX(ResponseSLA[#All],(MATCH((G162),ResponseSLA[Priority],0))+1,3)),"YES","No")</f>
        <v>YES</v>
      </c>
      <c r="AI162" s="28" t="str">
        <f ca="1">_xlfn.IFNA(IF(AE162 &lt; (INDEX(SLATable[Minimum SLA],MATCH(G162,SLATable[Priority],0))),"YES","NO"),"")</f>
        <v>YES</v>
      </c>
      <c r="AJ162" s="28" t="str">
        <f ca="1">_xlfn.IFNA(IF(AE162 &lt; (INDEX(SLATable[Maximum SLA],MATCH(G162,SLATable[Priority],0))),"YES","NO"),"")</f>
        <v>YES</v>
      </c>
    </row>
    <row r="163" spans="2:36" ht="15" customHeight="1">
      <c r="B163" s="127" t="s">
        <v>26</v>
      </c>
      <c r="C163" s="127" t="s">
        <v>35</v>
      </c>
      <c r="D163" s="127" t="s">
        <v>207</v>
      </c>
      <c r="E163" s="127" t="s">
        <v>1386</v>
      </c>
      <c r="F163" s="127" t="s">
        <v>299</v>
      </c>
      <c r="G163" s="127">
        <v>4</v>
      </c>
      <c r="H163" s="127" t="s">
        <v>1387</v>
      </c>
      <c r="I163" s="127" t="s">
        <v>271</v>
      </c>
      <c r="J163" s="127" t="s">
        <v>1365</v>
      </c>
      <c r="K163" s="129">
        <v>46141.620706018519</v>
      </c>
      <c r="L163" s="129">
        <v>46141.620775462965</v>
      </c>
      <c r="M163" s="129">
        <v>46141.629340277781</v>
      </c>
      <c r="N163" s="129">
        <v>46141.793587962966</v>
      </c>
      <c r="O163" s="129"/>
      <c r="P163" s="129"/>
      <c r="Q163" s="127" t="s">
        <v>1208</v>
      </c>
      <c r="R163" s="127" t="s">
        <v>267</v>
      </c>
      <c r="S163" s="127" t="s">
        <v>199</v>
      </c>
      <c r="T163" s="127"/>
      <c r="U163" s="127" t="s">
        <v>371</v>
      </c>
      <c r="V163" s="127"/>
      <c r="W163" s="127"/>
      <c r="X163" s="127"/>
      <c r="Y163" s="127"/>
      <c r="Z163" s="169">
        <f t="shared" ca="1" si="17"/>
        <v>8.7627314814502255E-2</v>
      </c>
      <c r="AA163" s="170">
        <f t="shared" ca="1" si="18"/>
        <v>0.23367283950533935</v>
      </c>
      <c r="AB163" s="169">
        <f t="shared" ca="1" si="19"/>
        <v>8.7557870368376256E-2</v>
      </c>
      <c r="AC163" s="170">
        <f t="shared" ca="1" si="20"/>
        <v>0.23348765431567001</v>
      </c>
      <c r="AD163" s="169">
        <f t="shared" ca="1" si="21"/>
        <v>8.5648148160544224E-3</v>
      </c>
      <c r="AE163" s="169">
        <f t="shared" ca="1" si="16"/>
        <v>8.7557870368376256E-2</v>
      </c>
      <c r="AF163" s="170">
        <f t="shared" ca="1" si="22"/>
        <v>0.23348765431567001</v>
      </c>
      <c r="AG163" s="170">
        <f t="shared" ca="1" si="23"/>
        <v>0.23348765431567001</v>
      </c>
      <c r="AH163" s="28" t="str" cm="1">
        <f t="array" aca="1" ref="AH163" ca="1">IF((AD163) &lt; (INDEX(ResponseSLA[#All],(MATCH((G163),ResponseSLA[Priority],0))+1,3)),"YES","No")</f>
        <v>YES</v>
      </c>
      <c r="AI163" s="28" t="str">
        <f ca="1">_xlfn.IFNA(IF(AE163 &lt; (INDEX(SLATable[Minimum SLA],MATCH(G163,SLATable[Priority],0))),"YES","NO"),"")</f>
        <v>YES</v>
      </c>
      <c r="AJ163" s="28" t="str">
        <f ca="1">_xlfn.IFNA(IF(AE163 &lt; (INDEX(SLATable[Maximum SLA],MATCH(G163,SLATable[Priority],0))),"YES","NO"),"")</f>
        <v>YES</v>
      </c>
    </row>
    <row r="164" spans="2:36" ht="15" customHeight="1">
      <c r="B164" s="127" t="s">
        <v>26</v>
      </c>
      <c r="C164" s="127" t="s">
        <v>35</v>
      </c>
      <c r="D164" s="127" t="s">
        <v>207</v>
      </c>
      <c r="E164" s="127" t="s">
        <v>1388</v>
      </c>
      <c r="F164" s="127" t="s">
        <v>299</v>
      </c>
      <c r="G164" s="127">
        <v>4</v>
      </c>
      <c r="H164" s="127" t="s">
        <v>1389</v>
      </c>
      <c r="I164" s="127" t="s">
        <v>271</v>
      </c>
      <c r="J164" s="127" t="s">
        <v>1365</v>
      </c>
      <c r="K164" s="129">
        <v>46140.865439814814</v>
      </c>
      <c r="L164" s="129">
        <v>46140.865474537037</v>
      </c>
      <c r="M164" s="129">
        <v>46141.629328703704</v>
      </c>
      <c r="N164" s="129">
        <v>46141.797824074078</v>
      </c>
      <c r="O164" s="129"/>
      <c r="P164" s="129"/>
      <c r="Q164" s="127" t="s">
        <v>1208</v>
      </c>
      <c r="R164" s="127" t="s">
        <v>267</v>
      </c>
      <c r="S164" s="127" t="s">
        <v>199</v>
      </c>
      <c r="T164" s="127"/>
      <c r="U164" s="127" t="s">
        <v>371</v>
      </c>
      <c r="V164" s="127"/>
      <c r="W164" s="127"/>
      <c r="X164" s="127"/>
      <c r="Y164" s="127"/>
      <c r="Z164" s="169">
        <f t="shared" ca="1" si="17"/>
        <v>0.37500000000000011</v>
      </c>
      <c r="AA164" s="170">
        <f t="shared" ca="1" si="18"/>
        <v>1.0000000000000004</v>
      </c>
      <c r="AB164" s="169">
        <f t="shared" ca="1" si="19"/>
        <v>0.37500000000000011</v>
      </c>
      <c r="AC164" s="170">
        <f t="shared" ca="1" si="20"/>
        <v>1.0000000000000004</v>
      </c>
      <c r="AD164" s="169">
        <f t="shared" ca="1" si="21"/>
        <v>0.29599537037089851</v>
      </c>
      <c r="AE164" s="169">
        <f t="shared" ca="1" si="16"/>
        <v>0.37500000000000011</v>
      </c>
      <c r="AF164" s="170">
        <f t="shared" ca="1" si="22"/>
        <v>1.0000000000000004</v>
      </c>
      <c r="AG164" s="170">
        <f t="shared" ca="1" si="23"/>
        <v>1.0000000000000004</v>
      </c>
      <c r="AH164" s="28" t="str" cm="1">
        <f t="array" aca="1" ref="AH164" ca="1">IF((AD164) &lt; (INDEX(ResponseSLA[#All],(MATCH((G164),ResponseSLA[Priority],0))+1,3)),"YES","No")</f>
        <v>No</v>
      </c>
      <c r="AI164" s="28" t="str">
        <f ca="1">_xlfn.IFNA(IF(AE164 &lt; (INDEX(SLATable[Minimum SLA],MATCH(G164,SLATable[Priority],0))),"YES","NO"),"")</f>
        <v>YES</v>
      </c>
      <c r="AJ164" s="28" t="str">
        <f ca="1">_xlfn.IFNA(IF(AE164 &lt; (INDEX(SLATable[Maximum SLA],MATCH(G164,SLATable[Priority],0))),"YES","NO"),"")</f>
        <v>YES</v>
      </c>
    </row>
    <row r="165" spans="2:36" ht="15" customHeight="1">
      <c r="B165" s="127" t="s">
        <v>26</v>
      </c>
      <c r="C165" s="127" t="s">
        <v>35</v>
      </c>
      <c r="D165" s="127" t="s">
        <v>207</v>
      </c>
      <c r="E165" s="127" t="s">
        <v>1390</v>
      </c>
      <c r="F165" s="127" t="s">
        <v>295</v>
      </c>
      <c r="G165" s="127">
        <v>3</v>
      </c>
      <c r="H165" s="127" t="s">
        <v>1391</v>
      </c>
      <c r="I165" s="127" t="s">
        <v>271</v>
      </c>
      <c r="J165" s="127" t="s">
        <v>1365</v>
      </c>
      <c r="K165" s="129">
        <v>46140.851886574077</v>
      </c>
      <c r="L165" s="129">
        <v>46140.851886574077</v>
      </c>
      <c r="M165" s="129">
        <v>46141.644016203703</v>
      </c>
      <c r="N165" s="129">
        <v>46141.644016203703</v>
      </c>
      <c r="O165" s="129"/>
      <c r="P165" s="129"/>
      <c r="Q165" s="127" t="s">
        <v>1057</v>
      </c>
      <c r="R165" s="127" t="s">
        <v>267</v>
      </c>
      <c r="S165" s="127" t="s">
        <v>1379</v>
      </c>
      <c r="T165" s="127"/>
      <c r="U165" s="127" t="s">
        <v>371</v>
      </c>
      <c r="V165" s="127"/>
      <c r="W165" s="127"/>
      <c r="X165" s="127"/>
      <c r="Y165" s="127"/>
      <c r="Z165" s="169">
        <f t="shared" ca="1" si="17"/>
        <v>0.3106828703700254</v>
      </c>
      <c r="AA165" s="170">
        <f t="shared" ca="1" si="18"/>
        <v>0.82848765432006777</v>
      </c>
      <c r="AB165" s="169">
        <f t="shared" ca="1" si="19"/>
        <v>0.3106828703700254</v>
      </c>
      <c r="AC165" s="170">
        <f t="shared" ca="1" si="20"/>
        <v>0.82848765432006777</v>
      </c>
      <c r="AD165" s="169">
        <f t="shared" ca="1" si="21"/>
        <v>0.3106828703700254</v>
      </c>
      <c r="AE165" s="169">
        <f t="shared" ca="1" si="16"/>
        <v>0.3106828703700254</v>
      </c>
      <c r="AF165" s="170">
        <f t="shared" ca="1" si="22"/>
        <v>0.82848765432006777</v>
      </c>
      <c r="AG165" s="170">
        <f t="shared" ca="1" si="23"/>
        <v>0.82848765432006777</v>
      </c>
      <c r="AH165" s="28" t="str" cm="1">
        <f t="array" aca="1" ref="AH165" ca="1">IF((AD165) &lt; (INDEX(ResponseSLA[#All],(MATCH((G165),ResponseSLA[Priority],0))+1,3)),"YES","No")</f>
        <v>No</v>
      </c>
      <c r="AI165" s="28" t="str">
        <f ca="1">_xlfn.IFNA(IF(AE165 &lt; (INDEX(SLATable[Minimum SLA],MATCH(G165,SLATable[Priority],0))),"YES","NO"),"")</f>
        <v>YES</v>
      </c>
      <c r="AJ165" s="28" t="str">
        <f ca="1">_xlfn.IFNA(IF(AE165 &lt; (INDEX(SLATable[Maximum SLA],MATCH(G165,SLATable[Priority],0))),"YES","NO"),"")</f>
        <v>YES</v>
      </c>
    </row>
    <row r="166" spans="2:36" ht="15" customHeight="1">
      <c r="B166" s="127" t="s">
        <v>26</v>
      </c>
      <c r="C166" s="127" t="s">
        <v>35</v>
      </c>
      <c r="D166" s="127" t="s">
        <v>207</v>
      </c>
      <c r="E166" s="127" t="s">
        <v>1392</v>
      </c>
      <c r="F166" s="127" t="s">
        <v>289</v>
      </c>
      <c r="G166" s="127">
        <v>4</v>
      </c>
      <c r="H166" s="127" t="s">
        <v>1393</v>
      </c>
      <c r="I166" s="127" t="s">
        <v>271</v>
      </c>
      <c r="J166" s="127" t="s">
        <v>1365</v>
      </c>
      <c r="K166" s="129">
        <v>46139.824444444443</v>
      </c>
      <c r="L166" s="129">
        <v>46140.511608796296</v>
      </c>
      <c r="M166" s="129">
        <v>46140.672083333331</v>
      </c>
      <c r="N166" s="129">
        <v>46140.672083333331</v>
      </c>
      <c r="O166" s="129"/>
      <c r="P166" s="129"/>
      <c r="Q166" s="127" t="s">
        <v>1343</v>
      </c>
      <c r="R166" s="127" t="s">
        <v>267</v>
      </c>
      <c r="S166" s="127" t="s">
        <v>1379</v>
      </c>
      <c r="T166" s="127"/>
      <c r="U166" s="127" t="s">
        <v>371</v>
      </c>
      <c r="V166" s="127"/>
      <c r="W166" s="127"/>
      <c r="X166" s="127"/>
      <c r="Y166" s="127"/>
      <c r="Z166" s="169">
        <f t="shared" ca="1" si="17"/>
        <v>0.33874999999776867</v>
      </c>
      <c r="AA166" s="170">
        <f t="shared" ca="1" si="18"/>
        <v>0.90333333332738319</v>
      </c>
      <c r="AB166" s="169">
        <f t="shared" ca="1" si="19"/>
        <v>0.16047453703504289</v>
      </c>
      <c r="AC166" s="170">
        <f t="shared" ca="1" si="20"/>
        <v>0.42793209876011434</v>
      </c>
      <c r="AD166" s="169">
        <f t="shared" ca="1" si="21"/>
        <v>0.16047453703504289</v>
      </c>
      <c r="AE166" s="169">
        <f t="shared" ca="1" si="16"/>
        <v>0.16047453703504289</v>
      </c>
      <c r="AF166" s="170">
        <f t="shared" ca="1" si="22"/>
        <v>0.42793209876011434</v>
      </c>
      <c r="AG166" s="170">
        <f t="shared" ca="1" si="23"/>
        <v>0.42793209876011434</v>
      </c>
      <c r="AH166" s="28" t="str" cm="1">
        <f t="array" aca="1" ref="AH166" ca="1">IF((AD166) &lt; (INDEX(ResponseSLA[#All],(MATCH((G166),ResponseSLA[Priority],0))+1,3)),"YES","No")</f>
        <v>No</v>
      </c>
      <c r="AI166" s="28" t="str">
        <f ca="1">_xlfn.IFNA(IF(AE166 &lt; (INDEX(SLATable[Minimum SLA],MATCH(G166,SLATable[Priority],0))),"YES","NO"),"")</f>
        <v>YES</v>
      </c>
      <c r="AJ166" s="28" t="str">
        <f ca="1">_xlfn.IFNA(IF(AE166 &lt; (INDEX(SLATable[Maximum SLA],MATCH(G166,SLATable[Priority],0))),"YES","NO"),"")</f>
        <v>YES</v>
      </c>
    </row>
    <row r="167" spans="2:36" ht="15" customHeight="1">
      <c r="B167" s="127" t="s">
        <v>26</v>
      </c>
      <c r="C167" s="127" t="s">
        <v>35</v>
      </c>
      <c r="D167" s="127" t="s">
        <v>207</v>
      </c>
      <c r="E167" s="127" t="s">
        <v>1394</v>
      </c>
      <c r="F167" s="127" t="s">
        <v>295</v>
      </c>
      <c r="G167" s="127">
        <v>3</v>
      </c>
      <c r="H167" s="127" t="s">
        <v>1395</v>
      </c>
      <c r="I167" s="127" t="s">
        <v>271</v>
      </c>
      <c r="J167" s="127" t="s">
        <v>1365</v>
      </c>
      <c r="K167" s="129">
        <v>46137.365706018521</v>
      </c>
      <c r="L167" s="129">
        <v>46137.365925925929</v>
      </c>
      <c r="M167" s="129">
        <v>46137.43105324074</v>
      </c>
      <c r="N167" s="129">
        <v>46146.659525462965</v>
      </c>
      <c r="O167" s="129"/>
      <c r="P167" s="129"/>
      <c r="Q167" s="127" t="s">
        <v>1203</v>
      </c>
      <c r="R167" s="127" t="s">
        <v>267</v>
      </c>
      <c r="S167" s="127" t="s">
        <v>149</v>
      </c>
      <c r="T167" s="127"/>
      <c r="U167" s="127" t="s">
        <v>371</v>
      </c>
      <c r="V167" s="127"/>
      <c r="W167" s="127"/>
      <c r="X167" s="127"/>
      <c r="Y167" s="127"/>
      <c r="Z167" s="169">
        <f t="shared" ca="1" si="17"/>
        <v>1.1250000000000002</v>
      </c>
      <c r="AA167" s="170">
        <f t="shared" ca="1" si="18"/>
        <v>3.0000000000000009</v>
      </c>
      <c r="AB167" s="169">
        <f t="shared" ca="1" si="19"/>
        <v>1.1250000000000002</v>
      </c>
      <c r="AC167" s="170">
        <f t="shared" ca="1" si="20"/>
        <v>3.0000000000000009</v>
      </c>
      <c r="AD167" s="169">
        <f t="shared" ca="1" si="21"/>
        <v>0</v>
      </c>
      <c r="AE167" s="169">
        <f t="shared" ca="1" si="16"/>
        <v>1.1250000000000002</v>
      </c>
      <c r="AF167" s="170">
        <f t="shared" ca="1" si="22"/>
        <v>3.0000000000000009</v>
      </c>
      <c r="AG167" s="170">
        <f t="shared" ca="1" si="23"/>
        <v>3.0000000000000009</v>
      </c>
      <c r="AH167" s="28" t="str" cm="1">
        <f t="array" aca="1" ref="AH167" ca="1">IF((AD167) &lt; (INDEX(ResponseSLA[#All],(MATCH((G167),ResponseSLA[Priority],0))+1,3)),"YES","No")</f>
        <v>YES</v>
      </c>
      <c r="AI167" s="28" t="str">
        <f ca="1">_xlfn.IFNA(IF(AE167 &lt; (INDEX(SLATable[Minimum SLA],MATCH(G167,SLATable[Priority],0))),"YES","NO"),"")</f>
        <v>NO</v>
      </c>
      <c r="AJ167" s="28" t="str">
        <f ca="1">_xlfn.IFNA(IF(AE167 &lt; (INDEX(SLATable[Maximum SLA],MATCH(G167,SLATable[Priority],0))),"YES","NO"),"")</f>
        <v>YES</v>
      </c>
    </row>
    <row r="168" spans="2:36" ht="15" customHeight="1">
      <c r="B168" s="127" t="s">
        <v>26</v>
      </c>
      <c r="C168" s="127" t="s">
        <v>35</v>
      </c>
      <c r="D168" s="127" t="s">
        <v>207</v>
      </c>
      <c r="E168" s="127" t="s">
        <v>1396</v>
      </c>
      <c r="F168" s="127" t="s">
        <v>289</v>
      </c>
      <c r="G168" s="127">
        <v>4</v>
      </c>
      <c r="H168" s="127" t="s">
        <v>1397</v>
      </c>
      <c r="I168" s="127" t="s">
        <v>271</v>
      </c>
      <c r="J168" s="127" t="s">
        <v>1365</v>
      </c>
      <c r="K168" s="129">
        <v>46136.468043981484</v>
      </c>
      <c r="L168" s="129">
        <v>46136.529189814813</v>
      </c>
      <c r="M168" s="129">
        <v>46136.51185185185</v>
      </c>
      <c r="N168" s="129">
        <v>46140.638159722221</v>
      </c>
      <c r="O168" s="129"/>
      <c r="P168" s="129"/>
      <c r="Q168" s="127" t="s">
        <v>1062</v>
      </c>
      <c r="R168" s="127" t="s">
        <v>267</v>
      </c>
      <c r="S168" s="127" t="s">
        <v>149</v>
      </c>
      <c r="T168" s="127"/>
      <c r="U168" s="127" t="s">
        <v>371</v>
      </c>
      <c r="V168" s="127"/>
      <c r="W168" s="127"/>
      <c r="X168" s="127"/>
      <c r="Y168" s="127"/>
      <c r="Z168" s="169">
        <f t="shared" ca="1" si="17"/>
        <v>0.92011574073694646</v>
      </c>
      <c r="AA168" s="170">
        <f t="shared" ca="1" si="18"/>
        <v>2.4536419752985239</v>
      </c>
      <c r="AB168" s="169">
        <f t="shared" ca="1" si="19"/>
        <v>0.85896990740729962</v>
      </c>
      <c r="AC168" s="170">
        <f t="shared" ca="1" si="20"/>
        <v>2.290586419752799</v>
      </c>
      <c r="AD168" s="169">
        <f t="shared" ca="1" si="21"/>
        <v>0</v>
      </c>
      <c r="AE168" s="169">
        <f t="shared" ca="1" si="16"/>
        <v>0.85896990740729962</v>
      </c>
      <c r="AF168" s="170">
        <f t="shared" ca="1" si="22"/>
        <v>2.290586419752799</v>
      </c>
      <c r="AG168" s="170">
        <f t="shared" ca="1" si="23"/>
        <v>2.290586419752799</v>
      </c>
      <c r="AH168" s="28" t="str" cm="1">
        <f t="array" aca="1" ref="AH168" ca="1">IF((AD168) &lt; (INDEX(ResponseSLA[#All],(MATCH((G168),ResponseSLA[Priority],0))+1,3)),"YES","No")</f>
        <v>YES</v>
      </c>
      <c r="AI168" s="28" t="str">
        <f ca="1">_xlfn.IFNA(IF(AE168 &lt; (INDEX(SLATable[Minimum SLA],MATCH(G168,SLATable[Priority],0))),"YES","NO"),"")</f>
        <v>YES</v>
      </c>
      <c r="AJ168" s="28" t="str">
        <f ca="1">_xlfn.IFNA(IF(AE168 &lt; (INDEX(SLATable[Maximum SLA],MATCH(G168,SLATable[Priority],0))),"YES","NO"),"")</f>
        <v>YES</v>
      </c>
    </row>
    <row r="169" spans="2:36" ht="15" customHeight="1">
      <c r="B169" s="127" t="s">
        <v>26</v>
      </c>
      <c r="C169" s="127" t="s">
        <v>35</v>
      </c>
      <c r="D169" s="127" t="s">
        <v>207</v>
      </c>
      <c r="E169" s="127" t="s">
        <v>1398</v>
      </c>
      <c r="F169" s="127" t="s">
        <v>301</v>
      </c>
      <c r="G169" s="127">
        <v>4</v>
      </c>
      <c r="H169" s="127" t="s">
        <v>1399</v>
      </c>
      <c r="I169" s="127" t="s">
        <v>271</v>
      </c>
      <c r="J169" s="127" t="s">
        <v>1365</v>
      </c>
      <c r="K169" s="129">
        <v>46122.721875000003</v>
      </c>
      <c r="L169" s="129">
        <v>46149.653703703705</v>
      </c>
      <c r="M169" s="129">
        <v>46154.661354166667</v>
      </c>
      <c r="N169" s="129">
        <v>46157.763356481482</v>
      </c>
      <c r="O169" s="129"/>
      <c r="P169" s="129"/>
      <c r="Q169" s="127" t="s">
        <v>1400</v>
      </c>
      <c r="R169" s="127" t="s">
        <v>267</v>
      </c>
      <c r="S169" s="127" t="s">
        <v>149</v>
      </c>
      <c r="T169" s="127"/>
      <c r="U169" s="127" t="s">
        <v>371</v>
      </c>
      <c r="V169" s="127"/>
      <c r="W169" s="127"/>
      <c r="X169" s="127"/>
      <c r="Y169" s="127"/>
      <c r="Z169" s="169">
        <f t="shared" ca="1" si="17"/>
        <v>8.6250000000000018</v>
      </c>
      <c r="AA169" s="170">
        <f t="shared" ca="1" si="18"/>
        <v>23.000000000000007</v>
      </c>
      <c r="AB169" s="169">
        <f t="shared" ca="1" si="19"/>
        <v>2.3046296296282289</v>
      </c>
      <c r="AC169" s="170">
        <f t="shared" ca="1" si="20"/>
        <v>6.1456790123419438</v>
      </c>
      <c r="AD169" s="169">
        <f t="shared" ca="1" si="21"/>
        <v>1.1326504629614649</v>
      </c>
      <c r="AE169" s="169">
        <f t="shared" ca="1" si="16"/>
        <v>2.3046296296282289</v>
      </c>
      <c r="AF169" s="170">
        <f t="shared" ca="1" si="22"/>
        <v>6.1456790123419438</v>
      </c>
      <c r="AG169" s="170">
        <f t="shared" ca="1" si="23"/>
        <v>6.1456790123419438</v>
      </c>
      <c r="AH169" s="28" t="str" cm="1">
        <f t="array" aca="1" ref="AH169" ca="1">IF((AD169) &lt; (INDEX(ResponseSLA[#All],(MATCH((G169),ResponseSLA[Priority],0))+1,3)),"YES","No")</f>
        <v>No</v>
      </c>
      <c r="AI169" s="28" t="str">
        <f ca="1">_xlfn.IFNA(IF(AE169 &lt; (INDEX(SLATable[Minimum SLA],MATCH(G169,SLATable[Priority],0))),"YES","NO"),"")</f>
        <v>YES</v>
      </c>
      <c r="AJ169" s="28" t="str">
        <f ca="1">_xlfn.IFNA(IF(AE169 &lt; (INDEX(SLATable[Maximum SLA],MATCH(G169,SLATable[Priority],0))),"YES","NO"),"")</f>
        <v>YES</v>
      </c>
    </row>
    <row r="170" spans="2:36" ht="15" customHeight="1">
      <c r="B170" s="127" t="s">
        <v>26</v>
      </c>
      <c r="C170" s="127" t="s">
        <v>35</v>
      </c>
      <c r="D170" s="127" t="s">
        <v>207</v>
      </c>
      <c r="E170" s="127" t="s">
        <v>1401</v>
      </c>
      <c r="F170" s="127" t="s">
        <v>301</v>
      </c>
      <c r="G170" s="127">
        <v>4</v>
      </c>
      <c r="H170" s="127" t="s">
        <v>1402</v>
      </c>
      <c r="I170" s="127" t="s">
        <v>271</v>
      </c>
      <c r="J170" s="127" t="s">
        <v>1365</v>
      </c>
      <c r="K170" s="129">
        <v>46119.813055555554</v>
      </c>
      <c r="L170" s="129">
        <v>46122.576597222222</v>
      </c>
      <c r="M170" s="129">
        <v>46122.576597222222</v>
      </c>
      <c r="N170" s="129">
        <v>46154.656134259261</v>
      </c>
      <c r="O170" s="129"/>
      <c r="P170" s="129"/>
      <c r="Q170" s="127" t="s">
        <v>1403</v>
      </c>
      <c r="R170" s="127" t="s">
        <v>267</v>
      </c>
      <c r="S170" s="127" t="s">
        <v>149</v>
      </c>
      <c r="T170" s="127"/>
      <c r="U170" s="127" t="s">
        <v>371</v>
      </c>
      <c r="V170" s="127"/>
      <c r="W170" s="127"/>
      <c r="X170" s="127"/>
      <c r="Y170" s="127"/>
      <c r="Z170" s="169">
        <f t="shared" ca="1" si="17"/>
        <v>8.5728009259279752</v>
      </c>
      <c r="AA170" s="170">
        <f t="shared" ca="1" si="18"/>
        <v>22.860802469141266</v>
      </c>
      <c r="AB170" s="169">
        <f t="shared" ca="1" si="19"/>
        <v>7.5795370370396995</v>
      </c>
      <c r="AC170" s="170">
        <f t="shared" ca="1" si="20"/>
        <v>20.212098765439197</v>
      </c>
      <c r="AD170" s="169">
        <f t="shared" ca="1" si="21"/>
        <v>0</v>
      </c>
      <c r="AE170" s="169">
        <f t="shared" ca="1" si="16"/>
        <v>7.5795370370396995</v>
      </c>
      <c r="AF170" s="170">
        <f t="shared" ca="1" si="22"/>
        <v>20.212098765439197</v>
      </c>
      <c r="AG170" s="170">
        <f t="shared" ca="1" si="23"/>
        <v>20.212098765439197</v>
      </c>
      <c r="AH170" s="28" t="str" cm="1">
        <f t="array" aca="1" ref="AH170" ca="1">IF((AD170) &lt; (INDEX(ResponseSLA[#All],(MATCH((G170),ResponseSLA[Priority],0))+1,3)),"YES","No")</f>
        <v>YES</v>
      </c>
      <c r="AI170" s="28" t="str">
        <f ca="1">_xlfn.IFNA(IF(AE170 &lt; (INDEX(SLATable[Minimum SLA],MATCH(G170,SLATable[Priority],0))),"YES","NO"),"")</f>
        <v>NO</v>
      </c>
      <c r="AJ170" s="28" t="str">
        <f ca="1">_xlfn.IFNA(IF(AE170 &lt; (INDEX(SLATable[Maximum SLA],MATCH(G170,SLATable[Priority],0))),"YES","NO"),"")</f>
        <v>NO</v>
      </c>
    </row>
    <row r="171" spans="2:36" ht="15" customHeight="1">
      <c r="B171" s="127" t="s">
        <v>26</v>
      </c>
      <c r="C171" s="127" t="s">
        <v>35</v>
      </c>
      <c r="D171" s="127" t="s">
        <v>207</v>
      </c>
      <c r="E171" s="127" t="s">
        <v>1404</v>
      </c>
      <c r="F171" s="127" t="s">
        <v>301</v>
      </c>
      <c r="G171" s="127">
        <v>4</v>
      </c>
      <c r="H171" s="127" t="s">
        <v>1405</v>
      </c>
      <c r="I171" s="127" t="s">
        <v>271</v>
      </c>
      <c r="J171" s="127" t="s">
        <v>1365</v>
      </c>
      <c r="K171" s="129">
        <v>46076.73238425926</v>
      </c>
      <c r="L171" s="129">
        <v>46100.470092592594</v>
      </c>
      <c r="M171" s="129">
        <v>46107.879814814813</v>
      </c>
      <c r="N171" s="129">
        <v>46154.655624999999</v>
      </c>
      <c r="O171" s="129"/>
      <c r="P171" s="129"/>
      <c r="Q171" s="127" t="s">
        <v>1360</v>
      </c>
      <c r="R171" s="127" t="s">
        <v>267</v>
      </c>
      <c r="S171" s="127" t="s">
        <v>149</v>
      </c>
      <c r="T171" s="127"/>
      <c r="U171" s="127" t="s">
        <v>371</v>
      </c>
      <c r="V171" s="127"/>
      <c r="W171" s="127"/>
      <c r="X171" s="127"/>
      <c r="Y171" s="127"/>
      <c r="Z171" s="169">
        <f t="shared" ca="1" si="17"/>
        <v>19.447291666666089</v>
      </c>
      <c r="AA171" s="170">
        <f t="shared" ca="1" si="18"/>
        <v>51.859444444442907</v>
      </c>
      <c r="AB171" s="169">
        <f t="shared" ca="1" si="19"/>
        <v>12.935532407405846</v>
      </c>
      <c r="AC171" s="170">
        <f t="shared" ca="1" si="20"/>
        <v>34.494753086415592</v>
      </c>
      <c r="AD171" s="169">
        <f t="shared" ca="1" si="21"/>
        <v>2.11324074073976</v>
      </c>
      <c r="AE171" s="169">
        <f t="shared" ca="1" si="16"/>
        <v>12.935532407405846</v>
      </c>
      <c r="AF171" s="170">
        <f t="shared" ca="1" si="22"/>
        <v>34.494753086415592</v>
      </c>
      <c r="AG171" s="170">
        <f t="shared" ca="1" si="23"/>
        <v>34.494753086415592</v>
      </c>
      <c r="AH171" s="28" t="str" cm="1">
        <f t="array" aca="1" ref="AH171" ca="1">IF((AD171) &lt; (INDEX(ResponseSLA[#All],(MATCH((G171),ResponseSLA[Priority],0))+1,3)),"YES","No")</f>
        <v>No</v>
      </c>
      <c r="AI171" s="28" t="str">
        <f ca="1">_xlfn.IFNA(IF(AE171 &lt; (INDEX(SLATable[Minimum SLA],MATCH(G171,SLATable[Priority],0))),"YES","NO"),"")</f>
        <v>NO</v>
      </c>
      <c r="AJ171" s="28" t="str">
        <f ca="1">_xlfn.IFNA(IF(AE171 &lt; (INDEX(SLATable[Maximum SLA],MATCH(G171,SLATable[Priority],0))),"YES","NO"),"")</f>
        <v>NO</v>
      </c>
    </row>
    <row r="172" spans="2:36" ht="15" customHeight="1">
      <c r="B172" s="127" t="s">
        <v>26</v>
      </c>
      <c r="C172" s="127" t="s">
        <v>35</v>
      </c>
      <c r="D172" s="127" t="s">
        <v>207</v>
      </c>
      <c r="E172" s="128" t="s">
        <v>1406</v>
      </c>
      <c r="F172" s="127" t="s">
        <v>289</v>
      </c>
      <c r="G172" s="127">
        <v>4</v>
      </c>
      <c r="H172" s="128" t="s">
        <v>1407</v>
      </c>
      <c r="I172" s="127" t="s">
        <v>271</v>
      </c>
      <c r="J172" s="128" t="s">
        <v>1408</v>
      </c>
      <c r="K172" s="129">
        <v>46140.707199074073</v>
      </c>
      <c r="L172" s="129">
        <v>46140.706944444442</v>
      </c>
      <c r="M172" s="129">
        <v>46141.280555555553</v>
      </c>
      <c r="N172" s="129">
        <v>46149.750439814816</v>
      </c>
      <c r="O172" s="129">
        <v>46142.297442129631</v>
      </c>
      <c r="P172" s="129">
        <v>46149.750439814816</v>
      </c>
      <c r="Q172" s="128" t="s">
        <v>1098</v>
      </c>
      <c r="R172" s="127" t="s">
        <v>267</v>
      </c>
      <c r="S172" s="127" t="s">
        <v>199</v>
      </c>
      <c r="T172" s="128"/>
      <c r="U172" s="127" t="s">
        <v>371</v>
      </c>
      <c r="V172" s="127"/>
      <c r="W172" s="127"/>
      <c r="X172" s="127"/>
      <c r="Y172" s="127"/>
      <c r="Z172" s="169">
        <f t="shared" ca="1" si="17"/>
        <v>0.37613425926004607</v>
      </c>
      <c r="AA172" s="170">
        <f t="shared" ca="1" si="18"/>
        <v>1.0030246913601228</v>
      </c>
      <c r="AB172" s="169">
        <f t="shared" ca="1" si="19"/>
        <v>0.37638888889099076</v>
      </c>
      <c r="AC172" s="170">
        <f t="shared" ca="1" si="20"/>
        <v>1.0037037037093086</v>
      </c>
      <c r="AD172" s="169">
        <f t="shared" ca="1" si="21"/>
        <v>1.3888888909908692E-3</v>
      </c>
      <c r="AE172" s="169">
        <f t="shared" ca="1" si="16"/>
        <v>0.37638888889099076</v>
      </c>
      <c r="AF172" s="170">
        <f t="shared" ca="1" si="22"/>
        <v>1.0037037037093086</v>
      </c>
      <c r="AG172" s="170">
        <f t="shared" ca="1" si="23"/>
        <v>1.0037037037093086</v>
      </c>
      <c r="AH172" s="28" t="str" cm="1">
        <f t="array" aca="1" ref="AH172" ca="1">IF((AD172) &lt; (INDEX(ResponseSLA[#All],(MATCH((G172),ResponseSLA[Priority],0))+1,3)),"YES","No")</f>
        <v>YES</v>
      </c>
      <c r="AI172" s="28" t="str">
        <f ca="1">_xlfn.IFNA(IF(AE172 &lt; (INDEX(SLATable[Minimum SLA],MATCH(G172,SLATable[Priority],0))),"YES","NO"),"")</f>
        <v>YES</v>
      </c>
      <c r="AJ172" s="28" t="str">
        <f ca="1">_xlfn.IFNA(IF(AE172 &lt; (INDEX(SLATable[Maximum SLA],MATCH(G172,SLATable[Priority],0))),"YES","NO"),"")</f>
        <v>YES</v>
      </c>
    </row>
    <row r="173" spans="2:36" ht="15" customHeight="1">
      <c r="B173" s="127" t="s">
        <v>26</v>
      </c>
      <c r="C173" s="127" t="s">
        <v>35</v>
      </c>
      <c r="D173" s="127" t="s">
        <v>207</v>
      </c>
      <c r="E173" s="128" t="s">
        <v>1409</v>
      </c>
      <c r="F173" s="127" t="s">
        <v>289</v>
      </c>
      <c r="G173" s="127">
        <v>3</v>
      </c>
      <c r="H173" s="128" t="s">
        <v>1410</v>
      </c>
      <c r="I173" s="127" t="s">
        <v>271</v>
      </c>
      <c r="J173" s="128" t="s">
        <v>1408</v>
      </c>
      <c r="K173" s="129">
        <v>46153.71025462963</v>
      </c>
      <c r="L173" s="129">
        <v>46154.119444444441</v>
      </c>
      <c r="M173" s="129">
        <v>46154.260775462964</v>
      </c>
      <c r="N173" s="129">
        <v>46156.30667824074</v>
      </c>
      <c r="O173" s="129"/>
      <c r="P173" s="129"/>
      <c r="Q173" s="128" t="s">
        <v>1068</v>
      </c>
      <c r="R173" s="127" t="s">
        <v>267</v>
      </c>
      <c r="S173" s="127" t="s">
        <v>199</v>
      </c>
      <c r="T173" s="128"/>
      <c r="U173" s="127" t="s">
        <v>371</v>
      </c>
      <c r="V173" s="127"/>
      <c r="W173" s="127"/>
      <c r="X173" s="127"/>
      <c r="Y173" s="127"/>
      <c r="Z173" s="169">
        <f t="shared" ca="1" si="17"/>
        <v>0.75000000000000011</v>
      </c>
      <c r="AA173" s="170">
        <f t="shared" ca="1" si="18"/>
        <v>2.0000000000000004</v>
      </c>
      <c r="AB173" s="169">
        <f t="shared" ca="1" si="19"/>
        <v>0.75000000000000022</v>
      </c>
      <c r="AC173" s="170">
        <f t="shared" ca="1" si="20"/>
        <v>2.0000000000000009</v>
      </c>
      <c r="AD173" s="169">
        <f t="shared" ca="1" si="21"/>
        <v>0</v>
      </c>
      <c r="AE173" s="169">
        <f t="shared" ca="1" si="16"/>
        <v>0.75000000000000022</v>
      </c>
      <c r="AF173" s="170">
        <f t="shared" ca="1" si="22"/>
        <v>2.0000000000000009</v>
      </c>
      <c r="AG173" s="170">
        <f t="shared" ca="1" si="23"/>
        <v>2.0000000000000009</v>
      </c>
      <c r="AH173" s="28" t="str" cm="1">
        <f t="array" aca="1" ref="AH173" ca="1">IF((AD173) &lt; (INDEX(ResponseSLA[#All],(MATCH((G173),ResponseSLA[Priority],0))+1,3)),"YES","No")</f>
        <v>YES</v>
      </c>
      <c r="AI173" s="28" t="str">
        <f ca="1">_xlfn.IFNA(IF(AE173 &lt; (INDEX(SLATable[Minimum SLA],MATCH(G173,SLATable[Priority],0))),"YES","NO"),"")</f>
        <v>NO</v>
      </c>
      <c r="AJ173" s="28" t="str">
        <f ca="1">_xlfn.IFNA(IF(AE173 &lt; (INDEX(SLATable[Maximum SLA],MATCH(G173,SLATable[Priority],0))),"YES","NO"),"")</f>
        <v>YES</v>
      </c>
    </row>
    <row r="174" spans="2:36" ht="15" customHeight="1">
      <c r="B174" s="127" t="s">
        <v>26</v>
      </c>
      <c r="C174" s="127" t="s">
        <v>35</v>
      </c>
      <c r="D174" s="127" t="s">
        <v>207</v>
      </c>
      <c r="E174" s="128" t="s">
        <v>1411</v>
      </c>
      <c r="F174" s="127" t="s">
        <v>295</v>
      </c>
      <c r="G174" s="127">
        <v>3</v>
      </c>
      <c r="H174" s="128" t="s">
        <v>1412</v>
      </c>
      <c r="I174" s="127" t="s">
        <v>271</v>
      </c>
      <c r="J174" s="128" t="s">
        <v>1408</v>
      </c>
      <c r="K174" s="129">
        <v>46135.523877314816</v>
      </c>
      <c r="L174" s="129">
        <v>46135.546527777777</v>
      </c>
      <c r="M174" s="129">
        <v>46139.306759259256</v>
      </c>
      <c r="N174" s="129">
        <v>46148.394525462965</v>
      </c>
      <c r="O174" s="129">
        <v>46140.394236111111</v>
      </c>
      <c r="P174" s="129">
        <v>46148.394525462965</v>
      </c>
      <c r="Q174" s="128" t="s">
        <v>1113</v>
      </c>
      <c r="R174" s="127" t="s">
        <v>267</v>
      </c>
      <c r="S174" s="127" t="s">
        <v>190</v>
      </c>
      <c r="T174" s="128"/>
      <c r="U174" s="127" t="s">
        <v>371</v>
      </c>
      <c r="V174" s="127"/>
      <c r="W174" s="127"/>
      <c r="X174" s="127"/>
      <c r="Y174" s="127"/>
      <c r="Z174" s="169">
        <f t="shared" ca="1" si="17"/>
        <v>0.9953587962954773</v>
      </c>
      <c r="AA174" s="170">
        <f t="shared" ca="1" si="18"/>
        <v>2.6542901234546061</v>
      </c>
      <c r="AB174" s="169">
        <f t="shared" ca="1" si="19"/>
        <v>0.97270833333459472</v>
      </c>
      <c r="AC174" s="170">
        <f t="shared" ca="1" si="20"/>
        <v>2.5938888888922529</v>
      </c>
      <c r="AD174" s="169">
        <f t="shared" ca="1" si="21"/>
        <v>0.53680555555668752</v>
      </c>
      <c r="AE174" s="169">
        <f t="shared" ca="1" si="16"/>
        <v>0.97270833333459472</v>
      </c>
      <c r="AF174" s="170">
        <f t="shared" ca="1" si="22"/>
        <v>2.5938888888922529</v>
      </c>
      <c r="AG174" s="170">
        <f t="shared" ca="1" si="23"/>
        <v>2.5938888888922529</v>
      </c>
      <c r="AH174" s="28" t="str" cm="1">
        <f t="array" aca="1" ref="AH174" ca="1">IF((AD174) &lt; (INDEX(ResponseSLA[#All],(MATCH((G174),ResponseSLA[Priority],0))+1,3)),"YES","No")</f>
        <v>No</v>
      </c>
      <c r="AI174" s="28" t="str">
        <f ca="1">_xlfn.IFNA(IF(AE174 &lt; (INDEX(SLATable[Minimum SLA],MATCH(G174,SLATable[Priority],0))),"YES","NO"),"")</f>
        <v>NO</v>
      </c>
      <c r="AJ174" s="28" t="str">
        <f ca="1">_xlfn.IFNA(IF(AE174 &lt; (INDEX(SLATable[Maximum SLA],MATCH(G174,SLATable[Priority],0))),"YES","NO"),"")</f>
        <v>YES</v>
      </c>
    </row>
    <row r="175" spans="2:36" ht="15" customHeight="1">
      <c r="B175" s="127" t="s">
        <v>26</v>
      </c>
      <c r="C175" s="127" t="s">
        <v>35</v>
      </c>
      <c r="D175" s="127" t="s">
        <v>207</v>
      </c>
      <c r="E175" s="128" t="s">
        <v>1413</v>
      </c>
      <c r="F175" s="127" t="s">
        <v>292</v>
      </c>
      <c r="G175" s="127">
        <v>3</v>
      </c>
      <c r="H175" s="128" t="s">
        <v>1414</v>
      </c>
      <c r="I175" s="127" t="s">
        <v>271</v>
      </c>
      <c r="J175" s="128" t="s">
        <v>1408</v>
      </c>
      <c r="K175" s="129">
        <v>46140.342615740738</v>
      </c>
      <c r="L175" s="129">
        <v>46140.342361111114</v>
      </c>
      <c r="M175" s="129">
        <v>46140.439652777779</v>
      </c>
      <c r="N175" s="129">
        <v>46149.750162037039</v>
      </c>
      <c r="O175" s="129">
        <v>46142.296412037038</v>
      </c>
      <c r="P175" s="129">
        <v>46149.750162037039</v>
      </c>
      <c r="Q175" s="128" t="s">
        <v>1073</v>
      </c>
      <c r="R175" s="127" t="s">
        <v>267</v>
      </c>
      <c r="S175" s="127" t="s">
        <v>190</v>
      </c>
      <c r="T175" s="128"/>
      <c r="U175" s="127" t="s">
        <v>371</v>
      </c>
      <c r="V175" s="127"/>
      <c r="W175" s="127"/>
      <c r="X175" s="127"/>
      <c r="Y175" s="127"/>
      <c r="Z175" s="169">
        <f t="shared" ca="1" si="17"/>
        <v>0.74071759259580472</v>
      </c>
      <c r="AA175" s="170">
        <f t="shared" ca="1" si="18"/>
        <v>1.9752469135888129</v>
      </c>
      <c r="AB175" s="169">
        <f t="shared" ca="1" si="19"/>
        <v>0.74097222221947345</v>
      </c>
      <c r="AC175" s="170">
        <f t="shared" ca="1" si="20"/>
        <v>1.9759259259185962</v>
      </c>
      <c r="AD175" s="169">
        <f t="shared" ca="1" si="21"/>
        <v>9.7291666665114462E-2</v>
      </c>
      <c r="AE175" s="169">
        <f t="shared" ca="1" si="16"/>
        <v>0.74097222221947345</v>
      </c>
      <c r="AF175" s="170">
        <f t="shared" ca="1" si="22"/>
        <v>1.9759259259185962</v>
      </c>
      <c r="AG175" s="170">
        <f t="shared" ca="1" si="23"/>
        <v>1.9759259259185962</v>
      </c>
      <c r="AH175" s="28" t="str" cm="1">
        <f t="array" aca="1" ref="AH175" ca="1">IF((AD175) &lt; (INDEX(ResponseSLA[#All],(MATCH((G175),ResponseSLA[Priority],0))+1,3)),"YES","No")</f>
        <v>No</v>
      </c>
      <c r="AI175" s="28" t="str">
        <f ca="1">_xlfn.IFNA(IF(AE175 &lt; (INDEX(SLATable[Minimum SLA],MATCH(G175,SLATable[Priority],0))),"YES","NO"),"")</f>
        <v>NO</v>
      </c>
      <c r="AJ175" s="28" t="str">
        <f ca="1">_xlfn.IFNA(IF(AE175 &lt; (INDEX(SLATable[Maximum SLA],MATCH(G175,SLATable[Priority],0))),"YES","NO"),"")</f>
        <v>YES</v>
      </c>
    </row>
    <row r="176" spans="2:36" ht="15" customHeight="1">
      <c r="B176" s="127" t="s">
        <v>26</v>
      </c>
      <c r="C176" s="127" t="s">
        <v>35</v>
      </c>
      <c r="D176" s="127" t="s">
        <v>207</v>
      </c>
      <c r="E176" s="128" t="s">
        <v>1415</v>
      </c>
      <c r="F176" s="127" t="s">
        <v>289</v>
      </c>
      <c r="G176" s="127">
        <v>3</v>
      </c>
      <c r="H176" s="128" t="s">
        <v>1416</v>
      </c>
      <c r="I176" s="127" t="s">
        <v>271</v>
      </c>
      <c r="J176" s="128" t="s">
        <v>1408</v>
      </c>
      <c r="K176" s="129">
        <v>46151.423842592594</v>
      </c>
      <c r="L176" s="129">
        <v>46151.425000000003</v>
      </c>
      <c r="M176" s="129">
        <v>46153.273946759262</v>
      </c>
      <c r="N176" s="129">
        <v>46163.450069444443</v>
      </c>
      <c r="O176" s="129">
        <v>46155.44809027778</v>
      </c>
      <c r="P176" s="129">
        <v>46163.450069444443</v>
      </c>
      <c r="Q176" s="128" t="s">
        <v>1098</v>
      </c>
      <c r="R176" s="127" t="s">
        <v>267</v>
      </c>
      <c r="S176" s="127" t="s">
        <v>199</v>
      </c>
      <c r="T176" s="128"/>
      <c r="U176" s="127" t="s">
        <v>371</v>
      </c>
      <c r="V176" s="127"/>
      <c r="W176" s="127"/>
      <c r="X176" s="127"/>
      <c r="Y176" s="127"/>
      <c r="Z176" s="169">
        <f t="shared" ca="1" si="17"/>
        <v>0.86475694444622286</v>
      </c>
      <c r="AA176" s="170">
        <f t="shared" ca="1" si="18"/>
        <v>2.3060185185232611</v>
      </c>
      <c r="AB176" s="169">
        <f t="shared" ca="1" si="19"/>
        <v>0.86475694444622286</v>
      </c>
      <c r="AC176" s="170">
        <f t="shared" ca="1" si="20"/>
        <v>2.3060185185232611</v>
      </c>
      <c r="AD176" s="169">
        <f t="shared" ca="1" si="21"/>
        <v>0</v>
      </c>
      <c r="AE176" s="169">
        <f t="shared" ca="1" si="16"/>
        <v>0.86475694444622286</v>
      </c>
      <c r="AF176" s="170">
        <f t="shared" ca="1" si="22"/>
        <v>2.3060185185232611</v>
      </c>
      <c r="AG176" s="170">
        <f t="shared" ca="1" si="23"/>
        <v>2.3060185185232611</v>
      </c>
      <c r="AH176" s="28" t="str" cm="1">
        <f t="array" aca="1" ref="AH176" ca="1">IF((AD176) &lt; (INDEX(ResponseSLA[#All],(MATCH((G176),ResponseSLA[Priority],0))+1,3)),"YES","No")</f>
        <v>YES</v>
      </c>
      <c r="AI176" s="28" t="str">
        <f ca="1">_xlfn.IFNA(IF(AE176 &lt; (INDEX(SLATable[Minimum SLA],MATCH(G176,SLATable[Priority],0))),"YES","NO"),"")</f>
        <v>NO</v>
      </c>
      <c r="AJ176" s="28" t="str">
        <f ca="1">_xlfn.IFNA(IF(AE176 &lt; (INDEX(SLATable[Maximum SLA],MATCH(G176,SLATable[Priority],0))),"YES","NO"),"")</f>
        <v>YES</v>
      </c>
    </row>
    <row r="177" spans="2:36" ht="15" customHeight="1">
      <c r="B177" s="127" t="s">
        <v>26</v>
      </c>
      <c r="C177" s="127" t="s">
        <v>35</v>
      </c>
      <c r="D177" s="127" t="s">
        <v>207</v>
      </c>
      <c r="E177" s="128" t="s">
        <v>1417</v>
      </c>
      <c r="F177" s="127" t="s">
        <v>295</v>
      </c>
      <c r="G177" s="127">
        <v>3</v>
      </c>
      <c r="H177" s="128" t="s">
        <v>816</v>
      </c>
      <c r="I177" s="127" t="s">
        <v>271</v>
      </c>
      <c r="J177" s="128" t="s">
        <v>1408</v>
      </c>
      <c r="K177" s="129">
        <v>46142.118530092594</v>
      </c>
      <c r="L177" s="129">
        <v>46142.118055555555</v>
      </c>
      <c r="M177" s="129">
        <v>46142.294236111113</v>
      </c>
      <c r="N177" s="129">
        <v>46147.482743055552</v>
      </c>
      <c r="O177" s="129"/>
      <c r="P177" s="129"/>
      <c r="Q177" s="128" t="s">
        <v>695</v>
      </c>
      <c r="R177" s="127" t="s">
        <v>267</v>
      </c>
      <c r="S177" s="127" t="s">
        <v>149</v>
      </c>
      <c r="T177" s="128"/>
      <c r="U177" s="127" t="s">
        <v>371</v>
      </c>
      <c r="V177" s="127"/>
      <c r="W177" s="127"/>
      <c r="X177" s="127"/>
      <c r="Y177" s="127"/>
      <c r="Z177" s="169">
        <f t="shared" ca="1" si="17"/>
        <v>0.52440972221908555</v>
      </c>
      <c r="AA177" s="170">
        <f t="shared" ca="1" si="18"/>
        <v>1.3984259259175615</v>
      </c>
      <c r="AB177" s="169">
        <f t="shared" ca="1" si="19"/>
        <v>0.52440972221908555</v>
      </c>
      <c r="AC177" s="170">
        <f t="shared" ca="1" si="20"/>
        <v>1.3984259259175615</v>
      </c>
      <c r="AD177" s="169">
        <f t="shared" ca="1" si="21"/>
        <v>0</v>
      </c>
      <c r="AE177" s="169">
        <f t="shared" ca="1" si="16"/>
        <v>0.52440972221908555</v>
      </c>
      <c r="AF177" s="170">
        <f t="shared" ca="1" si="22"/>
        <v>1.3984259259175615</v>
      </c>
      <c r="AG177" s="170">
        <f t="shared" ca="1" si="23"/>
        <v>1.3984259259175615</v>
      </c>
      <c r="AH177" s="28" t="str" cm="1">
        <f t="array" aca="1" ref="AH177" ca="1">IF((AD177) &lt; (INDEX(ResponseSLA[#All],(MATCH((G177),ResponseSLA[Priority],0))+1,3)),"YES","No")</f>
        <v>YES</v>
      </c>
      <c r="AI177" s="28" t="str">
        <f ca="1">_xlfn.IFNA(IF(AE177 &lt; (INDEX(SLATable[Minimum SLA],MATCH(G177,SLATable[Priority],0))),"YES","NO"),"")</f>
        <v>NO</v>
      </c>
      <c r="AJ177" s="28" t="str">
        <f ca="1">_xlfn.IFNA(IF(AE177 &lt; (INDEX(SLATable[Maximum SLA],MATCH(G177,SLATable[Priority],0))),"YES","NO"),"")</f>
        <v>YES</v>
      </c>
    </row>
    <row r="178" spans="2:36" ht="15" customHeight="1">
      <c r="B178" s="127" t="s">
        <v>26</v>
      </c>
      <c r="C178" s="127" t="s">
        <v>35</v>
      </c>
      <c r="D178" s="127" t="s">
        <v>207</v>
      </c>
      <c r="E178" s="128" t="s">
        <v>1418</v>
      </c>
      <c r="F178" s="127" t="s">
        <v>292</v>
      </c>
      <c r="G178" s="127">
        <v>3</v>
      </c>
      <c r="H178" s="128" t="s">
        <v>1189</v>
      </c>
      <c r="I178" s="127" t="s">
        <v>271</v>
      </c>
      <c r="J178" s="128" t="s">
        <v>1408</v>
      </c>
      <c r="K178" s="129">
        <v>46142.402719907404</v>
      </c>
      <c r="L178" s="129">
        <v>46142.402777777781</v>
      </c>
      <c r="M178" s="129">
        <v>46148.353634259256</v>
      </c>
      <c r="N178" s="129">
        <v>46162.264988425923</v>
      </c>
      <c r="O178" s="129">
        <v>46156.286666666667</v>
      </c>
      <c r="P178" s="129">
        <v>46161.754872685182</v>
      </c>
      <c r="Q178" s="128" t="s">
        <v>1419</v>
      </c>
      <c r="R178" s="127" t="s">
        <v>267</v>
      </c>
      <c r="S178" s="127" t="s">
        <v>190</v>
      </c>
      <c r="T178" s="128"/>
      <c r="U178" s="127" t="s">
        <v>371</v>
      </c>
      <c r="V178" s="127"/>
      <c r="W178" s="127"/>
      <c r="X178" s="127"/>
      <c r="Y178" s="127"/>
      <c r="Z178" s="169">
        <f t="shared" ca="1" si="17"/>
        <v>2.9306134259289447</v>
      </c>
      <c r="AA178" s="170">
        <f t="shared" ca="1" si="18"/>
        <v>7.8149691358105189</v>
      </c>
      <c r="AB178" s="169">
        <f t="shared" ca="1" si="19"/>
        <v>2.9305555555523224</v>
      </c>
      <c r="AC178" s="170">
        <f t="shared" ca="1" si="20"/>
        <v>7.8148148148061933</v>
      </c>
      <c r="AD178" s="169">
        <f t="shared" ca="1" si="21"/>
        <v>0.70085648147505708</v>
      </c>
      <c r="AE178" s="169">
        <f t="shared" ca="1" si="16"/>
        <v>2.9305555555523224</v>
      </c>
      <c r="AF178" s="170">
        <f t="shared" ca="1" si="22"/>
        <v>7.8148148148061933</v>
      </c>
      <c r="AG178" s="170">
        <f t="shared" ca="1" si="23"/>
        <v>7.8148148148061933</v>
      </c>
      <c r="AH178" s="28" t="str" cm="1">
        <f t="array" aca="1" ref="AH178" ca="1">IF((AD178) &lt; (INDEX(ResponseSLA[#All],(MATCH((G178),ResponseSLA[Priority],0))+1,3)),"YES","No")</f>
        <v>No</v>
      </c>
      <c r="AI178" s="28" t="str">
        <f ca="1">_xlfn.IFNA(IF(AE178 &lt; (INDEX(SLATable[Minimum SLA],MATCH(G178,SLATable[Priority],0))),"YES","NO"),"")</f>
        <v>NO</v>
      </c>
      <c r="AJ178" s="28" t="str">
        <f ca="1">_xlfn.IFNA(IF(AE178 &lt; (INDEX(SLATable[Maximum SLA],MATCH(G178,SLATable[Priority],0))),"YES","NO"),"")</f>
        <v>NO</v>
      </c>
    </row>
    <row r="179" spans="2:36" ht="15" customHeight="1">
      <c r="B179" s="127" t="s">
        <v>26</v>
      </c>
      <c r="C179" s="127" t="s">
        <v>35</v>
      </c>
      <c r="D179" s="127" t="s">
        <v>207</v>
      </c>
      <c r="E179" s="128" t="s">
        <v>1420</v>
      </c>
      <c r="F179" s="127" t="s">
        <v>289</v>
      </c>
      <c r="G179" s="127">
        <v>3</v>
      </c>
      <c r="H179" s="128" t="s">
        <v>1421</v>
      </c>
      <c r="I179" s="127" t="s">
        <v>271</v>
      </c>
      <c r="J179" s="128" t="s">
        <v>1408</v>
      </c>
      <c r="K179" s="129">
        <v>46162.043599537035</v>
      </c>
      <c r="L179" s="129">
        <v>46162.043749999997</v>
      </c>
      <c r="M179" s="129">
        <v>46162.381041666667</v>
      </c>
      <c r="N179" s="129">
        <v>46163.428263888891</v>
      </c>
      <c r="O179" s="129"/>
      <c r="P179" s="129"/>
      <c r="Q179" s="128" t="s">
        <v>1422</v>
      </c>
      <c r="R179" s="127" t="s">
        <v>267</v>
      </c>
      <c r="S179" s="127" t="s">
        <v>199</v>
      </c>
      <c r="T179" s="128"/>
      <c r="U179" s="127" t="s">
        <v>371</v>
      </c>
      <c r="V179" s="127"/>
      <c r="W179" s="127"/>
      <c r="X179" s="127"/>
      <c r="Y179" s="127"/>
      <c r="Z179" s="169">
        <f t="shared" ca="1" si="17"/>
        <v>0.46993055555746349</v>
      </c>
      <c r="AA179" s="170">
        <f t="shared" ca="1" si="18"/>
        <v>1.2531481481532358</v>
      </c>
      <c r="AB179" s="169">
        <f t="shared" ca="1" si="19"/>
        <v>0.46993055555746349</v>
      </c>
      <c r="AC179" s="170">
        <f t="shared" ca="1" si="20"/>
        <v>1.2531481481532358</v>
      </c>
      <c r="AD179" s="169">
        <f t="shared" ca="1" si="21"/>
        <v>4.7708333334109454E-2</v>
      </c>
      <c r="AE179" s="169">
        <f t="shared" ca="1" si="16"/>
        <v>0.46993055555746349</v>
      </c>
      <c r="AF179" s="170">
        <f t="shared" ca="1" si="22"/>
        <v>1.2531481481532358</v>
      </c>
      <c r="AG179" s="170">
        <f t="shared" ca="1" si="23"/>
        <v>1.2531481481532358</v>
      </c>
      <c r="AH179" s="28" t="str" cm="1">
        <f t="array" aca="1" ref="AH179" ca="1">IF((AD179) &lt; (INDEX(ResponseSLA[#All],(MATCH((G179),ResponseSLA[Priority],0))+1,3)),"YES","No")</f>
        <v>YES</v>
      </c>
      <c r="AI179" s="28" t="str">
        <f ca="1">_xlfn.IFNA(IF(AE179 &lt; (INDEX(SLATable[Minimum SLA],MATCH(G179,SLATable[Priority],0))),"YES","NO"),"")</f>
        <v>NO</v>
      </c>
      <c r="AJ179" s="28" t="str">
        <f ca="1">_xlfn.IFNA(IF(AE179 &lt; (INDEX(SLATable[Maximum SLA],MATCH(G179,SLATable[Priority],0))),"YES","NO"),"")</f>
        <v>YES</v>
      </c>
    </row>
    <row r="180" spans="2:36" ht="15" customHeight="1">
      <c r="B180" s="127" t="s">
        <v>26</v>
      </c>
      <c r="C180" s="127" t="s">
        <v>35</v>
      </c>
      <c r="D180" s="127" t="s">
        <v>207</v>
      </c>
      <c r="E180" s="128" t="s">
        <v>1423</v>
      </c>
      <c r="F180" s="127" t="s">
        <v>292</v>
      </c>
      <c r="G180" s="127">
        <v>3</v>
      </c>
      <c r="H180" s="128" t="s">
        <v>1424</v>
      </c>
      <c r="I180" s="127" t="s">
        <v>271</v>
      </c>
      <c r="J180" s="128" t="s">
        <v>1408</v>
      </c>
      <c r="K180" s="129">
        <v>46168.399618055555</v>
      </c>
      <c r="L180" s="129">
        <v>46168.509722222225</v>
      </c>
      <c r="M180" s="129">
        <v>46169.374814814815</v>
      </c>
      <c r="N180" s="129">
        <v>46171.19</v>
      </c>
      <c r="O180" s="129">
        <v>46169.641562500001</v>
      </c>
      <c r="P180" s="129">
        <v>46170.617627314816</v>
      </c>
      <c r="Q180" s="128" t="s">
        <v>1073</v>
      </c>
      <c r="R180" s="127" t="s">
        <v>267</v>
      </c>
      <c r="S180" s="127" t="s">
        <v>190</v>
      </c>
      <c r="T180" s="128"/>
      <c r="U180" s="127" t="s">
        <v>371</v>
      </c>
      <c r="V180" s="127"/>
      <c r="W180" s="127"/>
      <c r="X180" s="127"/>
      <c r="Y180" s="127"/>
      <c r="Z180" s="169">
        <f t="shared" ca="1" si="17"/>
        <v>0.70765046296340506</v>
      </c>
      <c r="AA180" s="170">
        <f t="shared" ca="1" si="18"/>
        <v>1.8870679012357467</v>
      </c>
      <c r="AB180" s="169">
        <f t="shared" ca="1" si="19"/>
        <v>0.59754629629363398</v>
      </c>
      <c r="AC180" s="170">
        <f t="shared" ca="1" si="20"/>
        <v>1.5934567901163572</v>
      </c>
      <c r="AD180" s="169">
        <f t="shared" ca="1" si="21"/>
        <v>0.24009259259037208</v>
      </c>
      <c r="AE180" s="169">
        <f t="shared" ca="1" si="16"/>
        <v>1.1948263888868196</v>
      </c>
      <c r="AF180" s="170">
        <f t="shared" ca="1" si="22"/>
        <v>3.1862037036981854</v>
      </c>
      <c r="AG180" s="170">
        <f t="shared" ca="1" si="23"/>
        <v>3.1862037036981854</v>
      </c>
      <c r="AH180" s="28" t="str" cm="1">
        <f t="array" aca="1" ref="AH180" ca="1">IF((AD180) &lt; (INDEX(ResponseSLA[#All],(MATCH((G180),ResponseSLA[Priority],0))+1,3)),"YES","No")</f>
        <v>No</v>
      </c>
      <c r="AI180" s="28" t="str">
        <f ca="1">_xlfn.IFNA(IF(AE180 &lt; (INDEX(SLATable[Minimum SLA],MATCH(G180,SLATable[Priority],0))),"YES","NO"),"")</f>
        <v>NO</v>
      </c>
      <c r="AJ180" s="28" t="str">
        <f ca="1">_xlfn.IFNA(IF(AE180 &lt; (INDEX(SLATable[Maximum SLA],MATCH(G180,SLATable[Priority],0))),"YES","NO"),"")</f>
        <v>YES</v>
      </c>
    </row>
    <row r="181" spans="2:36" ht="15" customHeight="1">
      <c r="B181" s="127" t="s">
        <v>26</v>
      </c>
      <c r="C181" s="127" t="s">
        <v>35</v>
      </c>
      <c r="D181" s="127" t="s">
        <v>207</v>
      </c>
      <c r="E181" s="128" t="s">
        <v>1425</v>
      </c>
      <c r="F181" s="127" t="s">
        <v>295</v>
      </c>
      <c r="G181" s="127">
        <v>4</v>
      </c>
      <c r="H181" s="128" t="s">
        <v>1426</v>
      </c>
      <c r="I181" s="127" t="s">
        <v>266</v>
      </c>
      <c r="J181" s="128" t="s">
        <v>1408</v>
      </c>
      <c r="K181" s="129">
        <v>46162.502835648149</v>
      </c>
      <c r="L181" s="129">
        <v>46163.67083333333</v>
      </c>
      <c r="M181" s="129">
        <v>46164.296400462961</v>
      </c>
      <c r="N181" s="129"/>
      <c r="O181" s="129">
        <v>46168.328946759262</v>
      </c>
      <c r="P181" s="129"/>
      <c r="Q181" s="128" t="s">
        <v>1113</v>
      </c>
      <c r="R181" s="127"/>
      <c r="S181" s="127"/>
      <c r="T181" s="128"/>
      <c r="U181" s="127" t="s">
        <v>371</v>
      </c>
      <c r="V181" s="127"/>
      <c r="W181" s="127"/>
      <c r="X181" s="127"/>
      <c r="Y181" s="127"/>
      <c r="Z181" s="169">
        <f t="shared" ca="1" si="17"/>
        <v>25.631138425924295</v>
      </c>
      <c r="AA181" s="170">
        <f t="shared" ca="1" si="18"/>
        <v>68.349702469131458</v>
      </c>
      <c r="AB181" s="169">
        <f t="shared" ca="1" si="19"/>
        <v>0.41250000000339559</v>
      </c>
      <c r="AC181" s="170">
        <f t="shared" ca="1" si="20"/>
        <v>1.1000000000090548</v>
      </c>
      <c r="AD181" s="169">
        <f t="shared" ca="1" si="21"/>
        <v>3.7500000003395484E-2</v>
      </c>
      <c r="AE181" s="169">
        <f t="shared" ca="1" si="16"/>
        <v>0.82459490741409081</v>
      </c>
      <c r="AF181" s="170">
        <f t="shared" ca="1" si="22"/>
        <v>2.1989197531042421</v>
      </c>
      <c r="AG181" s="170">
        <f t="shared" ca="1" si="23"/>
        <v>2.1989197531042421</v>
      </c>
      <c r="AH181" s="28" t="str" cm="1">
        <f t="array" aca="1" ref="AH181" ca="1">IF((AD181) &lt; (INDEX(ResponseSLA[#All],(MATCH((G181),ResponseSLA[Priority],0))+1,3)),"YES","No")</f>
        <v>YES</v>
      </c>
      <c r="AI181" s="28" t="str">
        <f ca="1">_xlfn.IFNA(IF(AE181 &lt; (INDEX(SLATable[Minimum SLA],MATCH(G181,SLATable[Priority],0))),"YES","NO"),"")</f>
        <v>YES</v>
      </c>
      <c r="AJ181" s="28" t="str">
        <f ca="1">_xlfn.IFNA(IF(AE181 &lt; (INDEX(SLATable[Maximum SLA],MATCH(G181,SLATable[Priority],0))),"YES","NO"),"")</f>
        <v>YES</v>
      </c>
    </row>
    <row r="182" spans="2:36" ht="15" customHeight="1">
      <c r="B182" s="127" t="s">
        <v>26</v>
      </c>
      <c r="C182" s="127" t="s">
        <v>35</v>
      </c>
      <c r="D182" s="127" t="s">
        <v>207</v>
      </c>
      <c r="E182" s="128" t="s">
        <v>1427</v>
      </c>
      <c r="F182" s="127" t="s">
        <v>292</v>
      </c>
      <c r="G182" s="127">
        <v>4</v>
      </c>
      <c r="H182" s="128" t="s">
        <v>1428</v>
      </c>
      <c r="I182" s="127" t="s">
        <v>271</v>
      </c>
      <c r="J182" s="128" t="s">
        <v>1408</v>
      </c>
      <c r="K182" s="129">
        <v>46169.481782407405</v>
      </c>
      <c r="L182" s="129">
        <v>46169.481944444444</v>
      </c>
      <c r="M182" s="129">
        <v>46169.618587962963</v>
      </c>
      <c r="N182" s="129">
        <v>46170.474479166667</v>
      </c>
      <c r="O182" s="129">
        <v>46169.640428240738</v>
      </c>
      <c r="P182" s="129">
        <v>46170.132025462961</v>
      </c>
      <c r="Q182" s="128" t="s">
        <v>1073</v>
      </c>
      <c r="R182" s="127" t="s">
        <v>267</v>
      </c>
      <c r="S182" s="127" t="s">
        <v>190</v>
      </c>
      <c r="T182" s="128"/>
      <c r="U182" s="127" t="s">
        <v>371</v>
      </c>
      <c r="V182" s="127"/>
      <c r="W182" s="127"/>
      <c r="X182" s="127"/>
      <c r="Y182" s="127"/>
      <c r="Z182" s="169">
        <f t="shared" ca="1" si="17"/>
        <v>0.29979166666695767</v>
      </c>
      <c r="AA182" s="170">
        <f t="shared" ca="1" si="18"/>
        <v>0.79944444444522045</v>
      </c>
      <c r="AB182" s="169">
        <f t="shared" ca="1" si="19"/>
        <v>0.29962962962842232</v>
      </c>
      <c r="AC182" s="170">
        <f t="shared" ca="1" si="20"/>
        <v>0.79901234567579282</v>
      </c>
      <c r="AD182" s="169">
        <f t="shared" ca="1" si="21"/>
        <v>0.13664351851912215</v>
      </c>
      <c r="AE182" s="169">
        <f t="shared" ca="1" si="16"/>
        <v>0.29962962962842232</v>
      </c>
      <c r="AF182" s="170">
        <f t="shared" ca="1" si="22"/>
        <v>0.79901234567579282</v>
      </c>
      <c r="AG182" s="170">
        <f t="shared" ca="1" si="23"/>
        <v>0.79901234567579282</v>
      </c>
      <c r="AH182" s="28" t="str" cm="1">
        <f t="array" aca="1" ref="AH182" ca="1">IF((AD182) &lt; (INDEX(ResponseSLA[#All],(MATCH((G182),ResponseSLA[Priority],0))+1,3)),"YES","No")</f>
        <v>No</v>
      </c>
      <c r="AI182" s="28" t="str">
        <f ca="1">_xlfn.IFNA(IF(AE182 &lt; (INDEX(SLATable[Minimum SLA],MATCH(G182,SLATable[Priority],0))),"YES","NO"),"")</f>
        <v>YES</v>
      </c>
      <c r="AJ182" s="28" t="str">
        <f ca="1">_xlfn.IFNA(IF(AE182 &lt; (INDEX(SLATable[Maximum SLA],MATCH(G182,SLATable[Priority],0))),"YES","NO"),"")</f>
        <v>YES</v>
      </c>
    </row>
    <row r="183" spans="2:36" ht="15" customHeight="1">
      <c r="B183" s="127" t="s">
        <v>26</v>
      </c>
      <c r="C183" s="127" t="s">
        <v>35</v>
      </c>
      <c r="D183" s="127" t="s">
        <v>207</v>
      </c>
      <c r="E183" s="128" t="s">
        <v>1429</v>
      </c>
      <c r="F183" s="127" t="s">
        <v>289</v>
      </c>
      <c r="G183" s="127">
        <v>3</v>
      </c>
      <c r="H183" s="128" t="s">
        <v>1430</v>
      </c>
      <c r="I183" s="127" t="s">
        <v>266</v>
      </c>
      <c r="J183" s="128" t="s">
        <v>1408</v>
      </c>
      <c r="K183" s="129">
        <v>46162.328993055555</v>
      </c>
      <c r="L183" s="129">
        <v>46162.404166666667</v>
      </c>
      <c r="M183" s="129">
        <v>46162.410162037035</v>
      </c>
      <c r="N183" s="129"/>
      <c r="O183" s="129">
        <v>46169.639745370368</v>
      </c>
      <c r="P183" s="129"/>
      <c r="Q183" s="128" t="s">
        <v>1431</v>
      </c>
      <c r="R183" s="127"/>
      <c r="S183" s="127"/>
      <c r="T183" s="128"/>
      <c r="U183" s="127" t="s">
        <v>371</v>
      </c>
      <c r="V183" s="127"/>
      <c r="W183" s="127"/>
      <c r="X183" s="127"/>
      <c r="Y183" s="127"/>
      <c r="Z183" s="169">
        <f t="shared" ca="1" si="17"/>
        <v>25.800640740739865</v>
      </c>
      <c r="AA183" s="170">
        <f t="shared" ca="1" si="18"/>
        <v>68.801708641972979</v>
      </c>
      <c r="AB183" s="169">
        <f t="shared" ca="1" si="19"/>
        <v>1.7355787037013215</v>
      </c>
      <c r="AC183" s="170">
        <f t="shared" ca="1" si="20"/>
        <v>4.6282098765368573</v>
      </c>
      <c r="AD183" s="169">
        <f t="shared" ca="1" si="21"/>
        <v>5.9953703676001169E-3</v>
      </c>
      <c r="AE183" s="169">
        <f t="shared" ca="1" si="16"/>
        <v>8.3551273148138243</v>
      </c>
      <c r="AF183" s="170">
        <f t="shared" ca="1" si="22"/>
        <v>22.280339506170197</v>
      </c>
      <c r="AG183" s="170">
        <f t="shared" ca="1" si="23"/>
        <v>22.280339506170197</v>
      </c>
      <c r="AH183" s="28" t="str" cm="1">
        <f t="array" aca="1" ref="AH183" ca="1">IF((AD183) &lt; (INDEX(ResponseSLA[#All],(MATCH((G183),ResponseSLA[Priority],0))+1,3)),"YES","No")</f>
        <v>YES</v>
      </c>
      <c r="AI183" s="28" t="str">
        <f ca="1">_xlfn.IFNA(IF(AE183 &lt; (INDEX(SLATable[Minimum SLA],MATCH(G183,SLATable[Priority],0))),"YES","NO"),"")</f>
        <v>NO</v>
      </c>
      <c r="AJ183" s="28" t="str">
        <f ca="1">_xlfn.IFNA(IF(AE183 &lt; (INDEX(SLATable[Maximum SLA],MATCH(G183,SLATable[Priority],0))),"YES","NO"),"")</f>
        <v>NO</v>
      </c>
    </row>
    <row r="184" spans="2:36" ht="15" customHeight="1">
      <c r="B184" s="127" t="s">
        <v>26</v>
      </c>
      <c r="C184" s="127" t="s">
        <v>35</v>
      </c>
      <c r="D184" s="127" t="s">
        <v>207</v>
      </c>
      <c r="E184" s="128" t="s">
        <v>1432</v>
      </c>
      <c r="F184" s="127" t="s">
        <v>292</v>
      </c>
      <c r="G184" s="127">
        <v>3</v>
      </c>
      <c r="H184" s="128" t="s">
        <v>1433</v>
      </c>
      <c r="I184" s="127" t="s">
        <v>266</v>
      </c>
      <c r="J184" s="128" t="s">
        <v>1408</v>
      </c>
      <c r="K184" s="129">
        <v>46167.392326388886</v>
      </c>
      <c r="L184" s="129">
        <v>46167.393055555556</v>
      </c>
      <c r="M184" s="129">
        <v>46167.402256944442</v>
      </c>
      <c r="N184" s="129"/>
      <c r="O184" s="129">
        <v>46168.305555555555</v>
      </c>
      <c r="P184" s="129"/>
      <c r="Q184" s="128" t="s">
        <v>1073</v>
      </c>
      <c r="R184" s="127"/>
      <c r="S184" s="127"/>
      <c r="T184" s="128"/>
      <c r="U184" s="127" t="s">
        <v>371</v>
      </c>
      <c r="V184" s="127"/>
      <c r="W184" s="127"/>
      <c r="X184" s="127"/>
      <c r="Y184" s="127"/>
      <c r="Z184" s="169">
        <f t="shared" ca="1" si="17"/>
        <v>24.675640740739865</v>
      </c>
      <c r="AA184" s="170">
        <f t="shared" ca="1" si="18"/>
        <v>65.801708641972979</v>
      </c>
      <c r="AB184" s="169">
        <f t="shared" ca="1" si="19"/>
        <v>0</v>
      </c>
      <c r="AC184" s="170">
        <f t="shared" ca="1" si="20"/>
        <v>0</v>
      </c>
      <c r="AD184" s="169">
        <f t="shared" ca="1" si="21"/>
        <v>0</v>
      </c>
      <c r="AE184" s="169">
        <f t="shared" ca="1" si="16"/>
        <v>2.25</v>
      </c>
      <c r="AF184" s="170">
        <f t="shared" ca="1" si="22"/>
        <v>6</v>
      </c>
      <c r="AG184" s="170">
        <f t="shared" ca="1" si="23"/>
        <v>6</v>
      </c>
      <c r="AH184" s="28" t="str" cm="1">
        <f t="array" aca="1" ref="AH184" ca="1">IF((AD184) &lt; (INDEX(ResponseSLA[#All],(MATCH((G184),ResponseSLA[Priority],0))+1,3)),"YES","No")</f>
        <v>YES</v>
      </c>
      <c r="AI184" s="28" t="str">
        <f ca="1">_xlfn.IFNA(IF(AE184 &lt; (INDEX(SLATable[Minimum SLA],MATCH(G184,SLATable[Priority],0))),"YES","NO"),"")</f>
        <v>NO</v>
      </c>
      <c r="AJ184" s="28" t="str">
        <f ca="1">_xlfn.IFNA(IF(AE184 &lt; (INDEX(SLATable[Maximum SLA],MATCH(G184,SLATable[Priority],0))),"YES","NO"),"")</f>
        <v>NO</v>
      </c>
    </row>
    <row r="185" spans="2:36" ht="15" customHeight="1">
      <c r="B185" s="127" t="s">
        <v>26</v>
      </c>
      <c r="C185" s="127" t="s">
        <v>35</v>
      </c>
      <c r="D185" s="127" t="s">
        <v>207</v>
      </c>
      <c r="E185" s="128" t="s">
        <v>1434</v>
      </c>
      <c r="F185" s="127" t="s">
        <v>292</v>
      </c>
      <c r="G185" s="127">
        <v>3</v>
      </c>
      <c r="H185" s="128" t="s">
        <v>1435</v>
      </c>
      <c r="I185" s="127" t="s">
        <v>266</v>
      </c>
      <c r="J185" s="128" t="s">
        <v>1408</v>
      </c>
      <c r="K185" s="129">
        <v>46168.569907407407</v>
      </c>
      <c r="L185" s="129">
        <v>46168.570833333331</v>
      </c>
      <c r="M185" s="129">
        <v>46169.378391203703</v>
      </c>
      <c r="N185" s="129"/>
      <c r="O185" s="129">
        <v>46170.27579861111</v>
      </c>
      <c r="P185" s="129"/>
      <c r="Q185" s="128" t="s">
        <v>1073</v>
      </c>
      <c r="R185" s="127"/>
      <c r="S185" s="127"/>
      <c r="T185" s="128"/>
      <c r="U185" s="127" t="s">
        <v>371</v>
      </c>
      <c r="V185" s="127"/>
      <c r="W185" s="127"/>
      <c r="X185" s="127"/>
      <c r="Y185" s="127"/>
      <c r="Z185" s="169">
        <f t="shared" ca="1" si="17"/>
        <v>24.439066666665898</v>
      </c>
      <c r="AA185" s="170">
        <f t="shared" ca="1" si="18"/>
        <v>65.170844444442395</v>
      </c>
      <c r="AB185" s="169">
        <f t="shared" ca="1" si="19"/>
        <v>0.5125000000019404</v>
      </c>
      <c r="AC185" s="170">
        <f t="shared" ca="1" si="20"/>
        <v>1.366666666671841</v>
      </c>
      <c r="AD185" s="169">
        <f t="shared" ca="1" si="21"/>
        <v>0.18255787037196569</v>
      </c>
      <c r="AE185" s="169">
        <f t="shared" ca="1" si="16"/>
        <v>0.65000000000388081</v>
      </c>
      <c r="AF185" s="170">
        <f t="shared" ca="1" si="22"/>
        <v>1.7333333333436822</v>
      </c>
      <c r="AG185" s="170">
        <f t="shared" ca="1" si="23"/>
        <v>1.7333333333436822</v>
      </c>
      <c r="AH185" s="28" t="str" cm="1">
        <f t="array" aca="1" ref="AH185" ca="1">IF((AD185) &lt; (INDEX(ResponseSLA[#All],(MATCH((G185),ResponseSLA[Priority],0))+1,3)),"YES","No")</f>
        <v>No</v>
      </c>
      <c r="AI185" s="28" t="str">
        <f ca="1">_xlfn.IFNA(IF(AE185 &lt; (INDEX(SLATable[Minimum SLA],MATCH(G185,SLATable[Priority],0))),"YES","NO"),"")</f>
        <v>NO</v>
      </c>
      <c r="AJ185" s="28" t="str">
        <f ca="1">_xlfn.IFNA(IF(AE185 &lt; (INDEX(SLATable[Maximum SLA],MATCH(G185,SLATable[Priority],0))),"YES","NO"),"")</f>
        <v>YES</v>
      </c>
    </row>
    <row r="186" spans="2:36" ht="15" customHeight="1">
      <c r="B186" s="127" t="s">
        <v>26</v>
      </c>
      <c r="C186" s="127" t="s">
        <v>35</v>
      </c>
      <c r="D186" s="127" t="s">
        <v>207</v>
      </c>
      <c r="E186" s="128" t="s">
        <v>1436</v>
      </c>
      <c r="F186" s="127" t="s">
        <v>292</v>
      </c>
      <c r="G186" s="127">
        <v>4</v>
      </c>
      <c r="H186" s="128" t="s">
        <v>1437</v>
      </c>
      <c r="I186" s="127" t="s">
        <v>271</v>
      </c>
      <c r="J186" s="128" t="s">
        <v>1408</v>
      </c>
      <c r="K186" s="129">
        <v>46168.39199074074</v>
      </c>
      <c r="L186" s="129">
        <v>46168.39166666667</v>
      </c>
      <c r="M186" s="129">
        <v>46168.452175925922</v>
      </c>
      <c r="N186" s="129">
        <v>46171.19085648148</v>
      </c>
      <c r="O186" s="129">
        <v>46169.300046296295</v>
      </c>
      <c r="P186" s="129">
        <v>46169.309942129628</v>
      </c>
      <c r="Q186" s="128" t="s">
        <v>1073</v>
      </c>
      <c r="R186" s="127" t="s">
        <v>267</v>
      </c>
      <c r="S186" s="127" t="s">
        <v>190</v>
      </c>
      <c r="T186" s="128"/>
      <c r="U186" s="127" t="s">
        <v>371</v>
      </c>
      <c r="V186" s="127"/>
      <c r="W186" s="127"/>
      <c r="X186" s="127"/>
      <c r="Y186" s="127"/>
      <c r="Z186" s="169">
        <f t="shared" ca="1" si="17"/>
        <v>1.0663425925934766</v>
      </c>
      <c r="AA186" s="170">
        <f t="shared" ca="1" si="18"/>
        <v>2.8435802469159377</v>
      </c>
      <c r="AB186" s="169">
        <f t="shared" ca="1" si="19"/>
        <v>1.0666666666632714</v>
      </c>
      <c r="AC186" s="170">
        <f t="shared" ca="1" si="20"/>
        <v>2.8444444444353905</v>
      </c>
      <c r="AD186" s="169">
        <f t="shared" ca="1" si="21"/>
        <v>6.0509259252285119E-2</v>
      </c>
      <c r="AE186" s="169">
        <f t="shared" ca="1" si="16"/>
        <v>2.0958912036973443</v>
      </c>
      <c r="AF186" s="170">
        <f t="shared" ca="1" si="22"/>
        <v>5.589043209859585</v>
      </c>
      <c r="AG186" s="170">
        <f t="shared" ca="1" si="23"/>
        <v>5.589043209859585</v>
      </c>
      <c r="AH186" s="28" t="str" cm="1">
        <f t="array" aca="1" ref="AH186" ca="1">IF((AD186) &lt; (INDEX(ResponseSLA[#All],(MATCH((G186),ResponseSLA[Priority],0))+1,3)),"YES","No")</f>
        <v>YES</v>
      </c>
      <c r="AI186" s="28" t="str">
        <f ca="1">_xlfn.IFNA(IF(AE186 &lt; (INDEX(SLATable[Minimum SLA],MATCH(G186,SLATable[Priority],0))),"YES","NO"),"")</f>
        <v>YES</v>
      </c>
      <c r="AJ186" s="28" t="str">
        <f ca="1">_xlfn.IFNA(IF(AE186 &lt; (INDEX(SLATable[Maximum SLA],MATCH(G186,SLATable[Priority],0))),"YES","NO"),"")</f>
        <v>YES</v>
      </c>
    </row>
    <row r="187" spans="2:36" ht="15" customHeight="1">
      <c r="B187" s="127" t="s">
        <v>26</v>
      </c>
      <c r="C187" s="127" t="s">
        <v>35</v>
      </c>
      <c r="D187" s="127" t="s">
        <v>207</v>
      </c>
      <c r="E187" s="128" t="s">
        <v>1438</v>
      </c>
      <c r="F187" s="127" t="s">
        <v>292</v>
      </c>
      <c r="G187" s="127">
        <v>4</v>
      </c>
      <c r="H187" s="128" t="s">
        <v>1439</v>
      </c>
      <c r="I187" s="127" t="s">
        <v>271</v>
      </c>
      <c r="J187" s="128" t="s">
        <v>1408</v>
      </c>
      <c r="K187" s="129">
        <v>46167.938159722224</v>
      </c>
      <c r="L187" s="129">
        <v>46167.938194444447</v>
      </c>
      <c r="M187" s="129">
        <v>46168.306134259263</v>
      </c>
      <c r="N187" s="129">
        <v>46170.472743055558</v>
      </c>
      <c r="O187" s="129">
        <v>46169.279224537036</v>
      </c>
      <c r="P187" s="129">
        <v>46169.409988425927</v>
      </c>
      <c r="Q187" s="128" t="s">
        <v>1073</v>
      </c>
      <c r="R187" s="127" t="s">
        <v>267</v>
      </c>
      <c r="S187" s="127" t="s">
        <v>190</v>
      </c>
      <c r="T187" s="128"/>
      <c r="U187" s="127" t="s">
        <v>371</v>
      </c>
      <c r="V187" s="127"/>
      <c r="W187" s="127"/>
      <c r="X187" s="127"/>
      <c r="Y187" s="127"/>
      <c r="Z187" s="169">
        <f t="shared" ca="1" si="17"/>
        <v>0.81275462963094469</v>
      </c>
      <c r="AA187" s="170">
        <f t="shared" ca="1" si="18"/>
        <v>2.1673456790158525</v>
      </c>
      <c r="AB187" s="169">
        <f t="shared" ca="1" si="19"/>
        <v>0.81275462963094469</v>
      </c>
      <c r="AC187" s="170">
        <f t="shared" ca="1" si="20"/>
        <v>2.1673456790158525</v>
      </c>
      <c r="AD187" s="169">
        <f t="shared" ca="1" si="21"/>
        <v>0</v>
      </c>
      <c r="AE187" s="169">
        <f t="shared" ca="1" si="16"/>
        <v>0.81275462963094469</v>
      </c>
      <c r="AF187" s="170">
        <f t="shared" ca="1" si="22"/>
        <v>2.1673456790158525</v>
      </c>
      <c r="AG187" s="170">
        <f t="shared" ca="1" si="23"/>
        <v>2.1673456790158525</v>
      </c>
      <c r="AH187" s="28" t="str" cm="1">
        <f t="array" aca="1" ref="AH187" ca="1">IF((AD187) &lt; (INDEX(ResponseSLA[#All],(MATCH((G187),ResponseSLA[Priority],0))+1,3)),"YES","No")</f>
        <v>YES</v>
      </c>
      <c r="AI187" s="28" t="str">
        <f ca="1">_xlfn.IFNA(IF(AE187 &lt; (INDEX(SLATable[Minimum SLA],MATCH(G187,SLATable[Priority],0))),"YES","NO"),"")</f>
        <v>YES</v>
      </c>
      <c r="AJ187" s="28" t="str">
        <f ca="1">_xlfn.IFNA(IF(AE187 &lt; (INDEX(SLATable[Maximum SLA],MATCH(G187,SLATable[Priority],0))),"YES","NO"),"")</f>
        <v>YES</v>
      </c>
    </row>
    <row r="188" spans="2:36" ht="15" customHeight="1">
      <c r="B188" s="127" t="s">
        <v>26</v>
      </c>
      <c r="C188" s="127" t="s">
        <v>35</v>
      </c>
      <c r="D188" s="127" t="s">
        <v>207</v>
      </c>
      <c r="E188" s="128" t="s">
        <v>1440</v>
      </c>
      <c r="F188" s="127" t="s">
        <v>292</v>
      </c>
      <c r="G188" s="127">
        <v>3</v>
      </c>
      <c r="H188" s="128" t="s">
        <v>1441</v>
      </c>
      <c r="I188" s="127" t="s">
        <v>266</v>
      </c>
      <c r="J188" s="128" t="s">
        <v>1408</v>
      </c>
      <c r="K188" s="129">
        <v>46169.45107638889</v>
      </c>
      <c r="L188" s="129">
        <v>46169.503472222219</v>
      </c>
      <c r="M188" s="129">
        <v>46171.174166666664</v>
      </c>
      <c r="N188" s="129"/>
      <c r="O188" s="129">
        <v>46171.191759259258</v>
      </c>
      <c r="P188" s="129"/>
      <c r="Q188" s="128" t="s">
        <v>1073</v>
      </c>
      <c r="R188" s="127"/>
      <c r="S188" s="127"/>
      <c r="T188" s="128"/>
      <c r="U188" s="127" t="s">
        <v>371</v>
      </c>
      <c r="V188" s="127"/>
      <c r="W188" s="127"/>
      <c r="X188" s="127"/>
      <c r="Y188" s="127"/>
      <c r="Z188" s="169">
        <f t="shared" ca="1" si="17"/>
        <v>24.182897685182983</v>
      </c>
      <c r="AA188" s="170">
        <f t="shared" ca="1" si="18"/>
        <v>64.487727160487964</v>
      </c>
      <c r="AB188" s="169">
        <f t="shared" ca="1" si="19"/>
        <v>0.57986111111434502</v>
      </c>
      <c r="AC188" s="170">
        <f t="shared" ca="1" si="20"/>
        <v>1.54629629630492</v>
      </c>
      <c r="AD188" s="169">
        <f t="shared" ca="1" si="21"/>
        <v>0.57986111111434502</v>
      </c>
      <c r="AE188" s="169">
        <f t="shared" ca="1" si="16"/>
        <v>1.1594097222283994</v>
      </c>
      <c r="AF188" s="170">
        <f t="shared" ca="1" si="22"/>
        <v>3.0917592592757317</v>
      </c>
      <c r="AG188" s="170">
        <f t="shared" ca="1" si="23"/>
        <v>3.0917592592757317</v>
      </c>
      <c r="AH188" s="28" t="str" cm="1">
        <f t="array" aca="1" ref="AH188" ca="1">IF((AD188) &lt; (INDEX(ResponseSLA[#All],(MATCH((G188),ResponseSLA[Priority],0))+1,3)),"YES","No")</f>
        <v>No</v>
      </c>
      <c r="AI188" s="28" t="str">
        <f ca="1">_xlfn.IFNA(IF(AE188 &lt; (INDEX(SLATable[Minimum SLA],MATCH(G188,SLATable[Priority],0))),"YES","NO"),"")</f>
        <v>NO</v>
      </c>
      <c r="AJ188" s="28" t="str">
        <f ca="1">_xlfn.IFNA(IF(AE188 &lt; (INDEX(SLATable[Maximum SLA],MATCH(G188,SLATable[Priority],0))),"YES","NO"),"")</f>
        <v>YES</v>
      </c>
    </row>
    <row r="189" spans="2:36" ht="15" customHeight="1">
      <c r="B189" s="127" t="s">
        <v>26</v>
      </c>
      <c r="C189" s="127" t="s">
        <v>35</v>
      </c>
      <c r="D189" s="127" t="s">
        <v>208</v>
      </c>
      <c r="E189" s="130" t="s">
        <v>1442</v>
      </c>
      <c r="F189" s="128" t="s">
        <v>295</v>
      </c>
      <c r="G189" s="127" t="s">
        <v>208</v>
      </c>
      <c r="H189" s="128" t="s">
        <v>1443</v>
      </c>
      <c r="I189" s="127" t="s">
        <v>271</v>
      </c>
      <c r="J189" s="127" t="s">
        <v>1408</v>
      </c>
      <c r="K189" s="129">
        <v>46153.260567129626</v>
      </c>
      <c r="L189" s="129">
        <v>46153.438194444447</v>
      </c>
      <c r="M189" s="129">
        <v>46153.437939814816</v>
      </c>
      <c r="N189" s="129">
        <v>46156.279699074075</v>
      </c>
      <c r="O189" s="129"/>
      <c r="P189" s="129"/>
      <c r="Q189" s="128" t="s">
        <v>295</v>
      </c>
      <c r="R189" s="127" t="s">
        <v>267</v>
      </c>
      <c r="S189" s="127" t="s">
        <v>179</v>
      </c>
      <c r="T189" s="127"/>
      <c r="U189" s="127" t="s">
        <v>371</v>
      </c>
      <c r="V189" s="127"/>
      <c r="W189" s="127"/>
      <c r="X189" s="127"/>
      <c r="Y189" s="127"/>
      <c r="Z189" s="169">
        <f t="shared" ca="1" si="17"/>
        <v>1.1250000000000002</v>
      </c>
      <c r="AA189" s="170">
        <f t="shared" ca="1" si="18"/>
        <v>3.0000000000000009</v>
      </c>
      <c r="AB189" s="169">
        <f t="shared" ca="1" si="19"/>
        <v>1.0201388888866254</v>
      </c>
      <c r="AC189" s="170">
        <f t="shared" ca="1" si="20"/>
        <v>2.7203703703643343</v>
      </c>
      <c r="AD189" s="169">
        <f t="shared" ca="1" si="21"/>
        <v>0</v>
      </c>
      <c r="AE189" s="169">
        <f t="shared" ca="1" si="16"/>
        <v>1.0201388888866254</v>
      </c>
      <c r="AF189" s="170">
        <f t="shared" ca="1" si="22"/>
        <v>2.7203703703643343</v>
      </c>
      <c r="AG189" s="170">
        <f t="shared" ca="1" si="23"/>
        <v>2.7203703703643343</v>
      </c>
      <c r="AH189" s="28" t="str" cm="1">
        <f t="array" aca="1" ref="AH189" ca="1">IF((AD189) &lt; (INDEX(ResponseSLA[#All],(MATCH((G189),ResponseSLA[Priority],0))+1,3)),"YES","No")</f>
        <v>YES</v>
      </c>
      <c r="AI189" s="28" t="str">
        <f ca="1">_xlfn.IFNA(IF(AE189 &lt; (INDEX(SLATable[Minimum SLA],MATCH(G189,SLATable[Priority],0))),"YES","NO"),"")</f>
        <v>NO</v>
      </c>
      <c r="AJ189" s="28" t="str">
        <f ca="1">_xlfn.IFNA(IF(AE189 &lt; (INDEX(SLATable[Maximum SLA],MATCH(G189,SLATable[Priority],0))),"YES","NO"),"")</f>
        <v>NO</v>
      </c>
    </row>
    <row r="190" spans="2:36" ht="15" customHeight="1">
      <c r="B190" s="127" t="s">
        <v>26</v>
      </c>
      <c r="C190" s="127" t="s">
        <v>35</v>
      </c>
      <c r="D190" s="127" t="s">
        <v>208</v>
      </c>
      <c r="E190" s="130" t="s">
        <v>1444</v>
      </c>
      <c r="F190" s="128" t="s">
        <v>292</v>
      </c>
      <c r="G190" s="127" t="s">
        <v>208</v>
      </c>
      <c r="H190" s="128" t="s">
        <v>1445</v>
      </c>
      <c r="I190" s="127" t="s">
        <v>271</v>
      </c>
      <c r="J190" s="127" t="s">
        <v>1408</v>
      </c>
      <c r="K190" s="129">
        <v>46146.261516203704</v>
      </c>
      <c r="L190" s="129">
        <v>46147.477083333331</v>
      </c>
      <c r="M190" s="129">
        <v>46147.477361111109</v>
      </c>
      <c r="N190" s="129">
        <v>46149.404594907406</v>
      </c>
      <c r="O190" s="129"/>
      <c r="P190" s="129"/>
      <c r="Q190" s="128" t="s">
        <v>292</v>
      </c>
      <c r="R190" s="127" t="s">
        <v>267</v>
      </c>
      <c r="S190" s="127" t="s">
        <v>179</v>
      </c>
      <c r="T190" s="127"/>
      <c r="U190" s="127" t="s">
        <v>371</v>
      </c>
      <c r="V190" s="127"/>
      <c r="W190" s="127"/>
      <c r="X190" s="127"/>
      <c r="Y190" s="127"/>
      <c r="Z190" s="169">
        <f t="shared" ca="1" si="17"/>
        <v>0.8212615740728022</v>
      </c>
      <c r="AA190" s="170">
        <f t="shared" ca="1" si="18"/>
        <v>2.1900308641941391</v>
      </c>
      <c r="AB190" s="169">
        <f t="shared" ca="1" si="19"/>
        <v>0.67751157407474238</v>
      </c>
      <c r="AC190" s="170">
        <f t="shared" ca="1" si="20"/>
        <v>1.8066975308659796</v>
      </c>
      <c r="AD190" s="169">
        <f t="shared" ca="1" si="21"/>
        <v>2.7777777722803876E-4</v>
      </c>
      <c r="AE190" s="169">
        <f t="shared" ca="1" si="16"/>
        <v>0.67751157407474238</v>
      </c>
      <c r="AF190" s="170">
        <f t="shared" ca="1" si="22"/>
        <v>1.8066975308659796</v>
      </c>
      <c r="AG190" s="170">
        <f t="shared" ca="1" si="23"/>
        <v>1.8066975308659796</v>
      </c>
      <c r="AH190" s="28" t="str" cm="1">
        <f t="array" aca="1" ref="AH190" ca="1">IF((AD190) &lt; (INDEX(ResponseSLA[#All],(MATCH((G190),ResponseSLA[Priority],0))+1,3)),"YES","No")</f>
        <v>YES</v>
      </c>
      <c r="AI190" s="28" t="str">
        <f ca="1">_xlfn.IFNA(IF(AE190 &lt; (INDEX(SLATable[Minimum SLA],MATCH(G190,SLATable[Priority],0))),"YES","NO"),"")</f>
        <v>YES</v>
      </c>
      <c r="AJ190" s="28" t="str">
        <f ca="1">_xlfn.IFNA(IF(AE190 &lt; (INDEX(SLATable[Maximum SLA],MATCH(G190,SLATable[Priority],0))),"YES","NO"),"")</f>
        <v>YES</v>
      </c>
    </row>
    <row r="191" spans="2:36" ht="15" customHeight="1">
      <c r="B191" s="127" t="s">
        <v>26</v>
      </c>
      <c r="C191" s="127" t="s">
        <v>35</v>
      </c>
      <c r="D191" s="127" t="s">
        <v>208</v>
      </c>
      <c r="E191" s="130" t="s">
        <v>1446</v>
      </c>
      <c r="F191" s="128" t="s">
        <v>295</v>
      </c>
      <c r="G191" s="127" t="s">
        <v>208</v>
      </c>
      <c r="H191" s="128" t="s">
        <v>1447</v>
      </c>
      <c r="I191" s="127" t="s">
        <v>271</v>
      </c>
      <c r="J191" s="127" t="s">
        <v>1408</v>
      </c>
      <c r="K191" s="129">
        <v>46146.260520833333</v>
      </c>
      <c r="L191" s="129">
        <v>46148.442361111112</v>
      </c>
      <c r="M191" s="129">
        <v>46148.442291666666</v>
      </c>
      <c r="N191" s="129">
        <v>46149.404930555553</v>
      </c>
      <c r="O191" s="129"/>
      <c r="P191" s="129"/>
      <c r="Q191" s="128" t="s">
        <v>295</v>
      </c>
      <c r="R191" s="127" t="s">
        <v>267</v>
      </c>
      <c r="S191" s="127" t="s">
        <v>179</v>
      </c>
      <c r="T191" s="127"/>
      <c r="U191" s="127" t="s">
        <v>371</v>
      </c>
      <c r="V191" s="127"/>
      <c r="W191" s="127"/>
      <c r="X191" s="127"/>
      <c r="Y191" s="127"/>
      <c r="Z191" s="169">
        <f t="shared" ca="1" si="17"/>
        <v>0.82159722221937659</v>
      </c>
      <c r="AA191" s="170">
        <f t="shared" ca="1" si="18"/>
        <v>2.1909259259183376</v>
      </c>
      <c r="AB191" s="169">
        <f t="shared" ca="1" si="19"/>
        <v>0.33756944444030523</v>
      </c>
      <c r="AC191" s="170">
        <f t="shared" ca="1" si="20"/>
        <v>0.90018518517414725</v>
      </c>
      <c r="AD191" s="169">
        <f t="shared" ca="1" si="21"/>
        <v>0</v>
      </c>
      <c r="AE191" s="169">
        <f t="shared" ca="1" si="16"/>
        <v>0.33756944444030523</v>
      </c>
      <c r="AF191" s="170">
        <f t="shared" ca="1" si="22"/>
        <v>0.90018518517414725</v>
      </c>
      <c r="AG191" s="170">
        <f t="shared" ca="1" si="23"/>
        <v>0.90018518517414725</v>
      </c>
      <c r="AH191" s="28" t="str" cm="1">
        <f t="array" aca="1" ref="AH191" ca="1">IF((AD191) &lt; (INDEX(ResponseSLA[#All],(MATCH((G191),ResponseSLA[Priority],0))+1,3)),"YES","No")</f>
        <v>YES</v>
      </c>
      <c r="AI191" s="28" t="str">
        <f ca="1">_xlfn.IFNA(IF(AE191 &lt; (INDEX(SLATable[Minimum SLA],MATCH(G191,SLATable[Priority],0))),"YES","NO"),"")</f>
        <v>YES</v>
      </c>
      <c r="AJ191" s="28" t="str">
        <f ca="1">_xlfn.IFNA(IF(AE191 &lt; (INDEX(SLATable[Maximum SLA],MATCH(G191,SLATable[Priority],0))),"YES","NO"),"")</f>
        <v>YES</v>
      </c>
    </row>
    <row r="192" spans="2:36" ht="15" customHeight="1">
      <c r="B192" s="127" t="s">
        <v>26</v>
      </c>
      <c r="C192" s="127" t="s">
        <v>35</v>
      </c>
      <c r="D192" s="127" t="s">
        <v>208</v>
      </c>
      <c r="E192" s="130" t="s">
        <v>1448</v>
      </c>
      <c r="F192" s="128" t="s">
        <v>292</v>
      </c>
      <c r="G192" s="127" t="s">
        <v>208</v>
      </c>
      <c r="H192" s="128" t="s">
        <v>1449</v>
      </c>
      <c r="I192" s="127" t="s">
        <v>271</v>
      </c>
      <c r="J192" s="127" t="s">
        <v>1408</v>
      </c>
      <c r="K192" s="129">
        <v>46146.260081018518</v>
      </c>
      <c r="L192" s="129">
        <v>46147.476388888892</v>
      </c>
      <c r="M192" s="129">
        <v>46147.476886574077</v>
      </c>
      <c r="N192" s="129">
        <v>46149.405578703707</v>
      </c>
      <c r="O192" s="129"/>
      <c r="P192" s="129"/>
      <c r="Q192" s="128" t="s">
        <v>292</v>
      </c>
      <c r="R192" s="127" t="s">
        <v>267</v>
      </c>
      <c r="S192" s="127" t="s">
        <v>179</v>
      </c>
      <c r="T192" s="127"/>
      <c r="U192" s="127" t="s">
        <v>371</v>
      </c>
      <c r="V192" s="127"/>
      <c r="W192" s="127"/>
      <c r="X192" s="127"/>
      <c r="Y192" s="127"/>
      <c r="Z192" s="169">
        <f t="shared" ca="1" si="17"/>
        <v>0.82224537037351797</v>
      </c>
      <c r="AA192" s="170">
        <f t="shared" ca="1" si="18"/>
        <v>2.1926543209960476</v>
      </c>
      <c r="AB192" s="169">
        <f t="shared" ca="1" si="19"/>
        <v>0.67918981481489027</v>
      </c>
      <c r="AC192" s="170">
        <f t="shared" ca="1" si="20"/>
        <v>1.811172839506374</v>
      </c>
      <c r="AD192" s="169">
        <f t="shared" ca="1" si="21"/>
        <v>4.9768518510973081E-4</v>
      </c>
      <c r="AE192" s="169">
        <f t="shared" ca="1" si="16"/>
        <v>0.67918981481489027</v>
      </c>
      <c r="AF192" s="170">
        <f t="shared" ca="1" si="22"/>
        <v>1.811172839506374</v>
      </c>
      <c r="AG192" s="170">
        <f t="shared" ca="1" si="23"/>
        <v>1.811172839506374</v>
      </c>
      <c r="AH192" s="28" t="str" cm="1">
        <f t="array" aca="1" ref="AH192" ca="1">IF((AD192) &lt; (INDEX(ResponseSLA[#All],(MATCH((G192),ResponseSLA[Priority],0))+1,3)),"YES","No")</f>
        <v>YES</v>
      </c>
      <c r="AI192" s="28" t="str">
        <f ca="1">_xlfn.IFNA(IF(AE192 &lt; (INDEX(SLATable[Minimum SLA],MATCH(G192,SLATable[Priority],0))),"YES","NO"),"")</f>
        <v>YES</v>
      </c>
      <c r="AJ192" s="28" t="str">
        <f ca="1">_xlfn.IFNA(IF(AE192 &lt; (INDEX(SLATable[Maximum SLA],MATCH(G192,SLATable[Priority],0))),"YES","NO"),"")</f>
        <v>YES</v>
      </c>
    </row>
    <row r="193" spans="2:36" ht="15" customHeight="1">
      <c r="B193" s="127" t="s">
        <v>26</v>
      </c>
      <c r="C193" s="127" t="s">
        <v>35</v>
      </c>
      <c r="D193" s="127" t="s">
        <v>208</v>
      </c>
      <c r="E193" s="130" t="s">
        <v>1450</v>
      </c>
      <c r="F193" s="128" t="s">
        <v>295</v>
      </c>
      <c r="G193" s="127" t="s">
        <v>208</v>
      </c>
      <c r="H193" s="128" t="s">
        <v>1451</v>
      </c>
      <c r="I193" s="127" t="s">
        <v>271</v>
      </c>
      <c r="J193" s="127" t="s">
        <v>1408</v>
      </c>
      <c r="K193" s="129">
        <v>46146.253437500003</v>
      </c>
      <c r="L193" s="129">
        <v>46148.440972222219</v>
      </c>
      <c r="M193" s="129">
        <v>46148.440671296295</v>
      </c>
      <c r="N193" s="129">
        <v>46149.404143518521</v>
      </c>
      <c r="O193" s="129"/>
      <c r="P193" s="129"/>
      <c r="Q193" s="128" t="s">
        <v>295</v>
      </c>
      <c r="R193" s="127" t="s">
        <v>267</v>
      </c>
      <c r="S193" s="127" t="s">
        <v>179</v>
      </c>
      <c r="T193" s="127"/>
      <c r="U193" s="127" t="s">
        <v>371</v>
      </c>
      <c r="V193" s="127"/>
      <c r="W193" s="127"/>
      <c r="X193" s="127"/>
      <c r="Y193" s="127"/>
      <c r="Z193" s="169">
        <f t="shared" ca="1" si="17"/>
        <v>0.82081018518753512</v>
      </c>
      <c r="AA193" s="170">
        <f t="shared" ca="1" si="18"/>
        <v>2.1888271605000935</v>
      </c>
      <c r="AB193" s="169">
        <f t="shared" ca="1" si="19"/>
        <v>0.33817129630187992</v>
      </c>
      <c r="AC193" s="170">
        <f t="shared" ca="1" si="20"/>
        <v>0.90179012347167975</v>
      </c>
      <c r="AD193" s="169">
        <f t="shared" ca="1" si="21"/>
        <v>0</v>
      </c>
      <c r="AE193" s="169">
        <f t="shared" ca="1" si="16"/>
        <v>0.33817129630187992</v>
      </c>
      <c r="AF193" s="170">
        <f t="shared" ca="1" si="22"/>
        <v>0.90179012347167975</v>
      </c>
      <c r="AG193" s="170">
        <f t="shared" ca="1" si="23"/>
        <v>0.90179012347167975</v>
      </c>
      <c r="AH193" s="28" t="str" cm="1">
        <f t="array" aca="1" ref="AH193" ca="1">IF((AD193) &lt; (INDEX(ResponseSLA[#All],(MATCH((G193),ResponseSLA[Priority],0))+1,3)),"YES","No")</f>
        <v>YES</v>
      </c>
      <c r="AI193" s="28" t="str">
        <f ca="1">_xlfn.IFNA(IF(AE193 &lt; (INDEX(SLATable[Minimum SLA],MATCH(G193,SLATable[Priority],0))),"YES","NO"),"")</f>
        <v>YES</v>
      </c>
      <c r="AJ193" s="28" t="str">
        <f ca="1">_xlfn.IFNA(IF(AE193 &lt; (INDEX(SLATable[Maximum SLA],MATCH(G193,SLATable[Priority],0))),"YES","NO"),"")</f>
        <v>YES</v>
      </c>
    </row>
    <row r="194" spans="2:36" ht="15" customHeight="1">
      <c r="B194" s="127" t="s">
        <v>26</v>
      </c>
      <c r="C194" s="127" t="s">
        <v>35</v>
      </c>
      <c r="D194" s="127" t="s">
        <v>207</v>
      </c>
      <c r="E194" s="127" t="s">
        <v>1452</v>
      </c>
      <c r="F194" s="127" t="s">
        <v>292</v>
      </c>
      <c r="G194" s="127">
        <v>2</v>
      </c>
      <c r="H194" s="127" t="s">
        <v>1453</v>
      </c>
      <c r="I194" s="127" t="s">
        <v>271</v>
      </c>
      <c r="J194" s="127" t="s">
        <v>1454</v>
      </c>
      <c r="K194" s="129">
        <v>46169.523159722223</v>
      </c>
      <c r="L194" s="129">
        <v>46169.523194444446</v>
      </c>
      <c r="M194" s="129">
        <v>46169.523194444446</v>
      </c>
      <c r="N194" s="129">
        <v>46169.570636574077</v>
      </c>
      <c r="O194" s="129"/>
      <c r="P194" s="129"/>
      <c r="Q194" s="127" t="s">
        <v>1073</v>
      </c>
      <c r="R194" s="127" t="s">
        <v>267</v>
      </c>
      <c r="S194" s="127" t="s">
        <v>1455</v>
      </c>
      <c r="T194" s="127"/>
      <c r="U194" s="127" t="s">
        <v>371</v>
      </c>
      <c r="V194" s="127"/>
      <c r="W194" s="127"/>
      <c r="X194" s="127"/>
      <c r="Y194" s="127"/>
      <c r="Z194" s="169">
        <f t="shared" ca="1" si="17"/>
        <v>4.7476851854298729E-2</v>
      </c>
      <c r="AA194" s="170">
        <f t="shared" ca="1" si="18"/>
        <v>0.12660493827812994</v>
      </c>
      <c r="AB194" s="169">
        <f t="shared" ca="1" si="19"/>
        <v>4.744212963123573E-2</v>
      </c>
      <c r="AC194" s="170">
        <f t="shared" ca="1" si="20"/>
        <v>0.12651234568329528</v>
      </c>
      <c r="AD194" s="169">
        <f t="shared" ca="1" si="21"/>
        <v>0</v>
      </c>
      <c r="AE194" s="169">
        <f t="shared" ref="AE194:AE257" ca="1" si="24">SUMIFS(AB:AB,E:E,E194)</f>
        <v>4.744212963123573E-2</v>
      </c>
      <c r="AF194" s="170">
        <f t="shared" ca="1" si="22"/>
        <v>0.12651234568329528</v>
      </c>
      <c r="AG194" s="170">
        <f t="shared" ca="1" si="23"/>
        <v>0.12651234568329528</v>
      </c>
      <c r="AH194" s="28" t="str" cm="1">
        <f t="array" aca="1" ref="AH194" ca="1">IF((AD194) &lt; (INDEX(ResponseSLA[#All],(MATCH((G194),ResponseSLA[Priority],0))+1,3)),"YES","No")</f>
        <v>YES</v>
      </c>
      <c r="AI194" s="28" t="str">
        <f ca="1">_xlfn.IFNA(IF(AE194 &lt; (INDEX(SLATable[Minimum SLA],MATCH(G194,SLATable[Priority],0))),"YES","NO"),"")</f>
        <v>YES</v>
      </c>
      <c r="AJ194" s="28" t="str">
        <f ca="1">_xlfn.IFNA(IF(AE194 &lt; (INDEX(SLATable[Maximum SLA],MATCH(G194,SLATable[Priority],0))),"YES","NO"),"")</f>
        <v>YES</v>
      </c>
    </row>
    <row r="195" spans="2:36" ht="15" customHeight="1">
      <c r="B195" s="127" t="s">
        <v>26</v>
      </c>
      <c r="C195" s="127" t="s">
        <v>35</v>
      </c>
      <c r="D195" s="127" t="s">
        <v>207</v>
      </c>
      <c r="E195" s="127" t="s">
        <v>1456</v>
      </c>
      <c r="F195" s="127" t="s">
        <v>295</v>
      </c>
      <c r="G195" s="127">
        <v>3</v>
      </c>
      <c r="H195" s="127" t="s">
        <v>1457</v>
      </c>
      <c r="I195" s="127" t="s">
        <v>271</v>
      </c>
      <c r="J195" s="127" t="s">
        <v>1454</v>
      </c>
      <c r="K195" s="129">
        <v>46166.190844907411</v>
      </c>
      <c r="L195" s="129">
        <v>46166.190844907411</v>
      </c>
      <c r="M195" s="129">
        <v>46166.634479166663</v>
      </c>
      <c r="N195" s="129">
        <v>46168.462268518517</v>
      </c>
      <c r="O195" s="129"/>
      <c r="P195" s="129"/>
      <c r="Q195" s="127" t="s">
        <v>1211</v>
      </c>
      <c r="R195" s="127" t="s">
        <v>267</v>
      </c>
      <c r="S195" s="127" t="s">
        <v>1455</v>
      </c>
      <c r="T195" s="127"/>
      <c r="U195" s="127" t="s">
        <v>371</v>
      </c>
      <c r="V195" s="127"/>
      <c r="W195" s="127"/>
      <c r="X195" s="127"/>
      <c r="Y195" s="127"/>
      <c r="Z195" s="169">
        <f t="shared" ref="Z195:Z257" ca="1" si="25">IF(NOT(OR(G195=1,G195=2)),MAX(0,_xlfn.IFS(AND(K195&lt;&gt;"",N195&lt;&gt;""),((MAX(NETWORKDAYS(K195,N195,UKBankHolidays)-1,0))*(TIME(17,0,0)-TIME(8,0,0))+IF(NETWORKDAYS(N195,N195,UKBankHolidays)&gt;0,MEDIAN(TIME(8,0,0),MOD(N195,1),TIME(17,0,0)),TIME(8,0,0))-IF(NETWORKDAYS(K195,K195,UKBankHolidays)&gt;0,MEDIAN(TIME(8,0,0),MOD(K195,1),TIME(17,0,0)),TIME(8,0,0)))-IF(AND(O195&lt;&gt;"",P195&lt;&gt;""),((MAX(NETWORKDAYS(O195,P195,UKBankHolidays)-1,0))*(TIME(17,0,0)-TIME(8,0,0))+IF(NETWORKDAYS(P195,P195,UKBankHolidays)&gt;0,MEDIAN(TIME(8,0,0),MOD(P195,1),TIME(17,0,0)),TIME(8,0,0))-IF(NETWORKDAYS(O195,O195,UKBankHolidays)&gt;0,MEDIAN(TIME(8,0,0),MOD(O195,1),TIME(17,0,0)),TIME(8,0,0))),0),AND(K195&lt;&gt;"",N195=""),((MAX(NETWORKDAYS(K195,NOW(),UKBankHolidays)-1,0))*(TIME(17,0,0)-TIME(8,0,0))+IF(NETWORKDAYS(NOW(),NOW(),UKBankHolidays)&gt;0,MEDIAN(TIME(8,0,0),MOD(NOW(),1),TIME(17,0,0)),TIME(8,0,0))-IF(NETWORKDAYS(K195,K195,UKBankHolidays)&gt;0,MEDIAN(TIME(8,0,0),MOD(K195,1),TIME(17,0,0)),TIME(8,0,0))))),IF(N195="",NOW()-K195,N195-K195))</f>
        <v>0.12893518518346053</v>
      </c>
      <c r="AA195" s="170">
        <f t="shared" ref="AA195:AA257" ca="1" si="26">(Z195*24)/9</f>
        <v>0.34382716048922807</v>
      </c>
      <c r="AB195" s="169">
        <f t="shared" ref="AB195:AB257" ca="1" si="27">IF(NOT(OR(G195=1,G195=2)),MAX(0,_xlfn.IFS(AND(K195&lt;&gt;"",N195&lt;&gt;""),(((MAX(NETWORKDAYS(L195,N195,UKBankHolidays)-1,0))*(TIME(17,0,0)-TIME(8,0,0)))+IF(NETWORKDAYS(N195,N195,UKBankHolidays)&gt;0,MEDIAN(TIME(8,0,0),MOD(N195,1),TIME(17,0,0)),TIME(8,0,0))-IF(NETWORKDAYS(L195,L195,UKBankHolidays)&gt;0,MEDIAN(TIME(8,0,0),MOD(L195,1),TIME(17,0,0)),TIME(8,0,0)))-IF(AND(O195&lt;&gt;"",P195&lt;&gt;""),(((MAX(NETWORKDAYS(O195,P195,UKBankHolidays)-1,0))*(TIME(17,0,0)-TIME(8,0,0)))+IF(NETWORKDAYS(P195,P195,UKBankHolidays)&gt;0,MEDIAN(TIME(8,0,0),MOD(P195,1),TIME(17,0,0)),TIME(8,0,0))-IF(NETWORKDAYS(O195,O195,UKBankHolidays)&gt;0,MEDIAN(TIME(8,0,0),MOD(O195,1),TIME(17,0,0)),TIME(8,0,0))),0),AND(L195&lt;&gt;"",N195="",O195=""),(((MAX(NETWORKDAYS(L195,NOW(),UKBankHolidays)-1,0))*(TIME(17,0,0)-TIME(8,0,0)))+IF(NETWORKDAYS(NOW(),NOW(),UKBankHolidays)&gt;0,MEDIAN(TIME(8,0,0),MOD(NOW(),1),TIME(17,0,0)),TIME(8,0,0))-IF(NETWORKDAYS(L195,L195,UKBankHolidays)&gt;0,MEDIAN(TIME(8,0,0),MOD(L195,1),TIME(17,0,0)),TIME(8,0,0)))-IF(AND(O195&lt;&gt;"",P195&lt;&gt;""),(((MAX(NETWORKDAYS(O195,P195,UKBankHolidays)-1,0))*(TIME(17,0,0)-TIME(8,0,0)))+IF(NETWORKDAYS(P195,P195,UKBankHolidays)&gt;0,MEDIAN(TIME(8,0,0),MOD(P195,1),TIME(17,0,0)),TIME(8,0,0))-IF(NETWORKDAYS(O195,O195,UKBankHolidays)&gt;0,MEDIAN(TIME(8,0,0),MOD(O195,1),TIME(17,0,0)),TIME(8,0,0))),0),AND(L195&lt;&gt;"",N195="",P195="",O195&lt;&gt;""),(((MAX(NETWORKDAYS(L195,O195,UKBankHolidays)-1,0))*(TIME(17,0,0)-TIME(8,0,0)))+IF(NETWORKDAYS(O195,O195,UKBankHolidays)&gt;0,MEDIAN(TIME(8,0,0),MOD(O195,1),TIME(17,0,0)),TIME(8,0,0))-IF(NETWORKDAYS(L195,L195,UKBankHolidays)&gt;0,MEDIAN(TIME(8,0,0),MOD(L195,1),TIME(17,0,0)),TIME(8,0,0))),ISBLANK(K195),"0")),IF(ISBLANK(N195),NOW()-L195,N195-L195))</f>
        <v>0.12893518518346053</v>
      </c>
      <c r="AC195" s="170">
        <f t="shared" ref="AC195:AC257" ca="1" si="28">(AB195*24)/9</f>
        <v>0.34382716048922807</v>
      </c>
      <c r="AD195" s="169">
        <f t="shared" ref="AD195:AD257" ca="1" si="29">MAX(0,IF(NOT(OR(G195=1,G195=2)),IF(M195&lt;&gt;"",((MAX(NETWORKDAYS(L195,M195,UKBankHolidays)-1,0))*(TIME(17,0,0)-TIME(8,0,0))+IF(NETWORKDAYS(M195,M195,UKBankHolidays)&gt;0,MEDIAN(TIME(8,0,0),MOD(M195,1),TIME(17,0,0)),TIME(8,0,0))-MEDIAN(TIME(8,0,0),MOD(L195,1),TIME(17,0,0))),((MAX(NETWORKDAYS(L195,NOW(),UKBankHolidays)-1,0))*(TIME(17,0,0)-TIME(8,0,0))+IF(NETWORKDAYS(NOW(),NOW(),UKBankHolidays)&gt;0,MEDIAN(TIME(8,0,0),MOD(NOW(),1),TIME(17,0,0)),TIME(8,0,0))-MEDIAN(TIME(8,0,0),MOD(L195,1),TIME(17,0,0)))),IF(M195&lt;&gt;"",M195-L195,NOW()-L195)))</f>
        <v>0</v>
      </c>
      <c r="AE195" s="169">
        <f t="shared" ca="1" si="24"/>
        <v>0.12893518518346053</v>
      </c>
      <c r="AF195" s="170">
        <f t="shared" ref="AF195:AF257" ca="1" si="30">(AE195*24)/9</f>
        <v>0.34382716048922807</v>
      </c>
      <c r="AG195" s="170">
        <f t="shared" ref="AG195:AG257" ca="1" si="31">AF195</f>
        <v>0.34382716048922807</v>
      </c>
      <c r="AH195" s="28" t="str" cm="1">
        <f t="array" aca="1" ref="AH195" ca="1">IF((AD195) &lt; (INDEX(ResponseSLA[#All],(MATCH((G195),ResponseSLA[Priority],0))+1,3)),"YES","No")</f>
        <v>YES</v>
      </c>
      <c r="AI195" s="28" t="str">
        <f ca="1">_xlfn.IFNA(IF(AE195 &lt; (INDEX(SLATable[Minimum SLA],MATCH(G195,SLATable[Priority],0))),"YES","NO"),"")</f>
        <v>YES</v>
      </c>
      <c r="AJ195" s="28" t="str">
        <f ca="1">_xlfn.IFNA(IF(AE195 &lt; (INDEX(SLATable[Maximum SLA],MATCH(G195,SLATable[Priority],0))),"YES","NO"),"")</f>
        <v>YES</v>
      </c>
    </row>
    <row r="196" spans="2:36" ht="15" customHeight="1">
      <c r="B196" s="127" t="s">
        <v>26</v>
      </c>
      <c r="C196" s="127" t="s">
        <v>35</v>
      </c>
      <c r="D196" s="127" t="s">
        <v>207</v>
      </c>
      <c r="E196" s="127" t="s">
        <v>1458</v>
      </c>
      <c r="F196" s="127" t="s">
        <v>295</v>
      </c>
      <c r="G196" s="127">
        <v>3</v>
      </c>
      <c r="H196" s="127" t="s">
        <v>1459</v>
      </c>
      <c r="I196" s="127" t="s">
        <v>271</v>
      </c>
      <c r="J196" s="127" t="s">
        <v>1454</v>
      </c>
      <c r="K196" s="129">
        <v>46162.384722222225</v>
      </c>
      <c r="L196" s="129">
        <v>46156.783993055556</v>
      </c>
      <c r="M196" s="129">
        <v>46157.482152777775</v>
      </c>
      <c r="N196" s="129">
        <v>46163.491296296299</v>
      </c>
      <c r="O196" s="129"/>
      <c r="P196" s="129"/>
      <c r="Q196" s="127" t="s">
        <v>1137</v>
      </c>
      <c r="R196" s="127" t="s">
        <v>267</v>
      </c>
      <c r="S196" s="127" t="s">
        <v>1360</v>
      </c>
      <c r="T196" s="127"/>
      <c r="U196" s="127" t="s">
        <v>371</v>
      </c>
      <c r="V196" s="127"/>
      <c r="W196" s="127"/>
      <c r="X196" s="127"/>
      <c r="Y196" s="127"/>
      <c r="Z196" s="169">
        <f t="shared" ca="1" si="25"/>
        <v>0.48157407407416031</v>
      </c>
      <c r="AA196" s="170">
        <f t="shared" ca="1" si="26"/>
        <v>1.2841975308644276</v>
      </c>
      <c r="AB196" s="169">
        <f t="shared" ca="1" si="27"/>
        <v>1.6579629629656361</v>
      </c>
      <c r="AC196" s="170">
        <f t="shared" ca="1" si="28"/>
        <v>4.4212345679083631</v>
      </c>
      <c r="AD196" s="169">
        <f t="shared" ca="1" si="29"/>
        <v>0.14881944444156636</v>
      </c>
      <c r="AE196" s="169">
        <f t="shared" ca="1" si="24"/>
        <v>1.6579629629656361</v>
      </c>
      <c r="AF196" s="170">
        <f t="shared" ca="1" si="30"/>
        <v>4.4212345679083631</v>
      </c>
      <c r="AG196" s="170">
        <f t="shared" ca="1" si="31"/>
        <v>4.4212345679083631</v>
      </c>
      <c r="AH196" s="28" t="str" cm="1">
        <f t="array" aca="1" ref="AH196" ca="1">IF((AD196) &lt; (INDEX(ResponseSLA[#All],(MATCH((G196),ResponseSLA[Priority],0))+1,3)),"YES","No")</f>
        <v>No</v>
      </c>
      <c r="AI196" s="28" t="str">
        <f ca="1">_xlfn.IFNA(IF(AE196 &lt; (INDEX(SLATable[Minimum SLA],MATCH(G196,SLATable[Priority],0))),"YES","NO"),"")</f>
        <v>NO</v>
      </c>
      <c r="AJ196" s="28" t="str">
        <f ca="1">_xlfn.IFNA(IF(AE196 &lt; (INDEX(SLATable[Maximum SLA],MATCH(G196,SLATable[Priority],0))),"YES","NO"),"")</f>
        <v>YES</v>
      </c>
    </row>
    <row r="197" spans="2:36" ht="15" customHeight="1">
      <c r="B197" s="127" t="s">
        <v>26</v>
      </c>
      <c r="C197" s="127" t="s">
        <v>35</v>
      </c>
      <c r="D197" s="127" t="s">
        <v>207</v>
      </c>
      <c r="E197" s="127" t="s">
        <v>1460</v>
      </c>
      <c r="F197" s="127" t="s">
        <v>295</v>
      </c>
      <c r="G197" s="127">
        <v>4</v>
      </c>
      <c r="H197" s="127" t="s">
        <v>1461</v>
      </c>
      <c r="I197" s="127" t="s">
        <v>271</v>
      </c>
      <c r="J197" s="127" t="s">
        <v>1454</v>
      </c>
      <c r="K197" s="129">
        <v>46156.783993055556</v>
      </c>
      <c r="L197" s="129">
        <v>46155.445960648147</v>
      </c>
      <c r="M197" s="129">
        <v>46156.595775462964</v>
      </c>
      <c r="N197" s="129">
        <v>46161.407129629632</v>
      </c>
      <c r="O197" s="129"/>
      <c r="P197" s="129"/>
      <c r="Q197" s="127" t="s">
        <v>1203</v>
      </c>
      <c r="R197" s="127" t="s">
        <v>267</v>
      </c>
      <c r="S197" s="127" t="s">
        <v>149</v>
      </c>
      <c r="T197" s="127"/>
      <c r="U197" s="127" t="s">
        <v>371</v>
      </c>
      <c r="V197" s="127"/>
      <c r="W197" s="127"/>
      <c r="X197" s="127"/>
      <c r="Y197" s="127"/>
      <c r="Z197" s="169">
        <f t="shared" ca="1" si="25"/>
        <v>0.82379629629819362</v>
      </c>
      <c r="AA197" s="170">
        <f t="shared" ca="1" si="26"/>
        <v>2.1967901234618497</v>
      </c>
      <c r="AB197" s="169">
        <f t="shared" ca="1" si="27"/>
        <v>1.4611689814846616</v>
      </c>
      <c r="AC197" s="170">
        <f t="shared" ca="1" si="28"/>
        <v>3.8964506172924311</v>
      </c>
      <c r="AD197" s="169">
        <f t="shared" ca="1" si="29"/>
        <v>0.5248148148166365</v>
      </c>
      <c r="AE197" s="169">
        <f t="shared" ca="1" si="24"/>
        <v>1.4611689814846616</v>
      </c>
      <c r="AF197" s="170">
        <f t="shared" ca="1" si="30"/>
        <v>3.8964506172924311</v>
      </c>
      <c r="AG197" s="170">
        <f t="shared" ca="1" si="31"/>
        <v>3.8964506172924311</v>
      </c>
      <c r="AH197" s="28" t="str" cm="1">
        <f t="array" aca="1" ref="AH197" ca="1">IF((AD197) &lt; (INDEX(ResponseSLA[#All],(MATCH((G197),ResponseSLA[Priority],0))+1,3)),"YES","No")</f>
        <v>No</v>
      </c>
      <c r="AI197" s="28" t="str">
        <f ca="1">_xlfn.IFNA(IF(AE197 &lt; (INDEX(SLATable[Minimum SLA],MATCH(G197,SLATable[Priority],0))),"YES","NO"),"")</f>
        <v>YES</v>
      </c>
      <c r="AJ197" s="28" t="str">
        <f ca="1">_xlfn.IFNA(IF(AE197 &lt; (INDEX(SLATable[Maximum SLA],MATCH(G197,SLATable[Priority],0))),"YES","NO"),"")</f>
        <v>YES</v>
      </c>
    </row>
    <row r="198" spans="2:36" ht="15" customHeight="1">
      <c r="B198" s="127" t="s">
        <v>26</v>
      </c>
      <c r="C198" s="127" t="s">
        <v>35</v>
      </c>
      <c r="D198" s="127" t="s">
        <v>207</v>
      </c>
      <c r="E198" s="127" t="s">
        <v>1462</v>
      </c>
      <c r="F198" s="127" t="s">
        <v>303</v>
      </c>
      <c r="G198" s="127">
        <v>4</v>
      </c>
      <c r="H198" s="127" t="s">
        <v>1463</v>
      </c>
      <c r="I198" s="127" t="s">
        <v>271</v>
      </c>
      <c r="J198" s="127" t="s">
        <v>1454</v>
      </c>
      <c r="K198" s="129">
        <v>46155.444699074076</v>
      </c>
      <c r="L198" s="129">
        <v>46154.412974537037</v>
      </c>
      <c r="M198" s="129">
        <v>46156.596712962964</v>
      </c>
      <c r="N198" s="129">
        <v>46161.406469907408</v>
      </c>
      <c r="O198" s="129"/>
      <c r="P198" s="129"/>
      <c r="Q198" s="127" t="s">
        <v>1247</v>
      </c>
      <c r="R198" s="127" t="s">
        <v>267</v>
      </c>
      <c r="S198" s="127" t="s">
        <v>149</v>
      </c>
      <c r="T198" s="127"/>
      <c r="U198" s="127" t="s">
        <v>371</v>
      </c>
      <c r="V198" s="127"/>
      <c r="W198" s="127"/>
      <c r="X198" s="127"/>
      <c r="Y198" s="127"/>
      <c r="Z198" s="169">
        <f t="shared" ca="1" si="25"/>
        <v>1.4617708333316843</v>
      </c>
      <c r="AA198" s="170">
        <f t="shared" ca="1" si="26"/>
        <v>3.8980555555511582</v>
      </c>
      <c r="AB198" s="169">
        <f t="shared" ca="1" si="27"/>
        <v>1.8684953703705105</v>
      </c>
      <c r="AC198" s="170">
        <f t="shared" ca="1" si="28"/>
        <v>4.9826543209880283</v>
      </c>
      <c r="AD198" s="169">
        <f t="shared" ca="1" si="29"/>
        <v>0.93373842592700385</v>
      </c>
      <c r="AE198" s="169">
        <f t="shared" ca="1" si="24"/>
        <v>1.8684953703705105</v>
      </c>
      <c r="AF198" s="170">
        <f t="shared" ca="1" si="30"/>
        <v>4.9826543209880283</v>
      </c>
      <c r="AG198" s="170">
        <f t="shared" ca="1" si="31"/>
        <v>4.9826543209880283</v>
      </c>
      <c r="AH198" s="28" t="str" cm="1">
        <f t="array" aca="1" ref="AH198" ca="1">IF((AD198) &lt; (INDEX(ResponseSLA[#All],(MATCH((G198),ResponseSLA[Priority],0))+1,3)),"YES","No")</f>
        <v>No</v>
      </c>
      <c r="AI198" s="28" t="str">
        <f ca="1">_xlfn.IFNA(IF(AE198 &lt; (INDEX(SLATable[Minimum SLA],MATCH(G198,SLATable[Priority],0))),"YES","NO"),"")</f>
        <v>YES</v>
      </c>
      <c r="AJ198" s="28" t="str">
        <f ca="1">_xlfn.IFNA(IF(AE198 &lt; (INDEX(SLATable[Maximum SLA],MATCH(G198,SLATable[Priority],0))),"YES","NO"),"")</f>
        <v>YES</v>
      </c>
    </row>
    <row r="199" spans="2:36" ht="15" customHeight="1">
      <c r="B199" s="127" t="s">
        <v>26</v>
      </c>
      <c r="C199" s="127" t="s">
        <v>35</v>
      </c>
      <c r="D199" s="127" t="s">
        <v>207</v>
      </c>
      <c r="E199" s="127" t="s">
        <v>1464</v>
      </c>
      <c r="F199" s="127" t="s">
        <v>303</v>
      </c>
      <c r="G199" s="127">
        <v>4</v>
      </c>
      <c r="H199" s="127" t="s">
        <v>1465</v>
      </c>
      <c r="I199" s="127" t="s">
        <v>271</v>
      </c>
      <c r="J199" s="127" t="s">
        <v>1454</v>
      </c>
      <c r="K199" s="129">
        <v>46154.410914351851</v>
      </c>
      <c r="L199" s="129">
        <v>46154.047372685185</v>
      </c>
      <c r="M199" s="129">
        <v>46154.430868055555</v>
      </c>
      <c r="N199" s="129">
        <v>46161.40761574074</v>
      </c>
      <c r="O199" s="129"/>
      <c r="P199" s="129"/>
      <c r="Q199" s="127" t="s">
        <v>1247</v>
      </c>
      <c r="R199" s="127" t="s">
        <v>267</v>
      </c>
      <c r="S199" s="127" t="s">
        <v>149</v>
      </c>
      <c r="T199" s="127"/>
      <c r="U199" s="127" t="s">
        <v>371</v>
      </c>
      <c r="V199" s="127"/>
      <c r="W199" s="127"/>
      <c r="X199" s="127"/>
      <c r="Y199" s="127"/>
      <c r="Z199" s="169">
        <f t="shared" ca="1" si="25"/>
        <v>1.8717013888890506</v>
      </c>
      <c r="AA199" s="170">
        <f t="shared" ca="1" si="26"/>
        <v>4.9912037037041346</v>
      </c>
      <c r="AB199" s="169">
        <f t="shared" ca="1" si="27"/>
        <v>1.9492824074065236</v>
      </c>
      <c r="AC199" s="170">
        <f t="shared" ca="1" si="28"/>
        <v>5.1980864197507293</v>
      </c>
      <c r="AD199" s="169">
        <f t="shared" ca="1" si="29"/>
        <v>9.7534722221704839E-2</v>
      </c>
      <c r="AE199" s="169">
        <f t="shared" ca="1" si="24"/>
        <v>1.9492824074065236</v>
      </c>
      <c r="AF199" s="170">
        <f t="shared" ca="1" si="30"/>
        <v>5.1980864197507293</v>
      </c>
      <c r="AG199" s="170">
        <f t="shared" ca="1" si="31"/>
        <v>5.1980864197507293</v>
      </c>
      <c r="AH199" s="28" t="str" cm="1">
        <f t="array" aca="1" ref="AH199" ca="1">IF((AD199) &lt; (INDEX(ResponseSLA[#All],(MATCH((G199),ResponseSLA[Priority],0))+1,3)),"YES","No")</f>
        <v>YES</v>
      </c>
      <c r="AI199" s="28" t="str">
        <f ca="1">_xlfn.IFNA(IF(AE199 &lt; (INDEX(SLATable[Minimum SLA],MATCH(G199,SLATable[Priority],0))),"YES","NO"),"")</f>
        <v>YES</v>
      </c>
      <c r="AJ199" s="28" t="str">
        <f ca="1">_xlfn.IFNA(IF(AE199 &lt; (INDEX(SLATable[Maximum SLA],MATCH(G199,SLATable[Priority],0))),"YES","NO"),"")</f>
        <v>YES</v>
      </c>
    </row>
    <row r="200" spans="2:36" ht="15" customHeight="1">
      <c r="B200" s="127" t="s">
        <v>26</v>
      </c>
      <c r="C200" s="127" t="s">
        <v>35</v>
      </c>
      <c r="D200" s="127" t="s">
        <v>207</v>
      </c>
      <c r="E200" s="127" t="s">
        <v>1466</v>
      </c>
      <c r="F200" s="127" t="s">
        <v>292</v>
      </c>
      <c r="G200" s="127">
        <v>3</v>
      </c>
      <c r="H200" s="127" t="s">
        <v>1467</v>
      </c>
      <c r="I200" s="127" t="s">
        <v>271</v>
      </c>
      <c r="J200" s="127" t="s">
        <v>1454</v>
      </c>
      <c r="K200" s="129">
        <v>46154.014293981483</v>
      </c>
      <c r="L200" s="129">
        <v>46150.558344907404</v>
      </c>
      <c r="M200" s="129">
        <v>46153.274965277778</v>
      </c>
      <c r="N200" s="129">
        <v>46161.384432870371</v>
      </c>
      <c r="O200" s="129"/>
      <c r="P200" s="129"/>
      <c r="Q200" s="127" t="s">
        <v>1073</v>
      </c>
      <c r="R200" s="127" t="s">
        <v>267</v>
      </c>
      <c r="S200" s="127" t="s">
        <v>149</v>
      </c>
      <c r="T200" s="127"/>
      <c r="U200" s="127" t="s">
        <v>371</v>
      </c>
      <c r="V200" s="127"/>
      <c r="W200" s="127"/>
      <c r="X200" s="127"/>
      <c r="Y200" s="127"/>
      <c r="Z200" s="169">
        <f t="shared" ca="1" si="25"/>
        <v>1.9260995370374683</v>
      </c>
      <c r="AA200" s="170">
        <f t="shared" ca="1" si="26"/>
        <v>5.1362654320999148</v>
      </c>
      <c r="AB200" s="169">
        <f t="shared" ca="1" si="27"/>
        <v>2.4510879629669948</v>
      </c>
      <c r="AC200" s="170">
        <f t="shared" ca="1" si="28"/>
        <v>6.5362345679119862</v>
      </c>
      <c r="AD200" s="169">
        <f t="shared" ca="1" si="29"/>
        <v>0.14998842592952621</v>
      </c>
      <c r="AE200" s="169">
        <f t="shared" ca="1" si="24"/>
        <v>2.4510879629669948</v>
      </c>
      <c r="AF200" s="170">
        <f t="shared" ca="1" si="30"/>
        <v>6.5362345679119862</v>
      </c>
      <c r="AG200" s="170">
        <f t="shared" ca="1" si="31"/>
        <v>6.5362345679119862</v>
      </c>
      <c r="AH200" s="28" t="str" cm="1">
        <f t="array" aca="1" ref="AH200" ca="1">IF((AD200) &lt; (INDEX(ResponseSLA[#All],(MATCH((G200),ResponseSLA[Priority],0))+1,3)),"YES","No")</f>
        <v>No</v>
      </c>
      <c r="AI200" s="28" t="str">
        <f ca="1">_xlfn.IFNA(IF(AE200 &lt; (INDEX(SLATable[Minimum SLA],MATCH(G200,SLATable[Priority],0))),"YES","NO"),"")</f>
        <v>NO</v>
      </c>
      <c r="AJ200" s="28" t="str">
        <f ca="1">_xlfn.IFNA(IF(AE200 &lt; (INDEX(SLATable[Maximum SLA],MATCH(G200,SLATable[Priority],0))),"YES","NO"),"")</f>
        <v>NO</v>
      </c>
    </row>
    <row r="201" spans="2:36" ht="15" customHeight="1">
      <c r="B201" s="127" t="s">
        <v>26</v>
      </c>
      <c r="C201" s="127" t="s">
        <v>35</v>
      </c>
      <c r="D201" s="127" t="s">
        <v>207</v>
      </c>
      <c r="E201" s="127" t="s">
        <v>1468</v>
      </c>
      <c r="F201" s="127" t="s">
        <v>303</v>
      </c>
      <c r="G201" s="127">
        <v>3</v>
      </c>
      <c r="H201" s="127" t="s">
        <v>1469</v>
      </c>
      <c r="I201" s="127" t="s">
        <v>271</v>
      </c>
      <c r="J201" s="127" t="s">
        <v>1454</v>
      </c>
      <c r="K201" s="129">
        <v>46150.556759259256</v>
      </c>
      <c r="L201" s="129">
        <v>46150.556759259256</v>
      </c>
      <c r="M201" s="129">
        <v>46153.609918981485</v>
      </c>
      <c r="N201" s="129">
        <v>46156.318726851852</v>
      </c>
      <c r="O201" s="129"/>
      <c r="P201" s="129"/>
      <c r="Q201" s="127" t="s">
        <v>1247</v>
      </c>
      <c r="R201" s="127" t="s">
        <v>267</v>
      </c>
      <c r="S201" s="127" t="s">
        <v>149</v>
      </c>
      <c r="T201" s="127"/>
      <c r="U201" s="127" t="s">
        <v>371</v>
      </c>
      <c r="V201" s="127"/>
      <c r="W201" s="127"/>
      <c r="X201" s="127"/>
      <c r="Y201" s="127"/>
      <c r="Z201" s="169">
        <f t="shared" ca="1" si="25"/>
        <v>1.2765740740772649</v>
      </c>
      <c r="AA201" s="170">
        <f t="shared" ca="1" si="26"/>
        <v>3.4041975308727062</v>
      </c>
      <c r="AB201" s="169">
        <f t="shared" ca="1" si="27"/>
        <v>1.2765740740772649</v>
      </c>
      <c r="AC201" s="170">
        <f t="shared" ca="1" si="28"/>
        <v>3.4041975308727062</v>
      </c>
      <c r="AD201" s="169">
        <f t="shared" ca="1" si="29"/>
        <v>0.42815972222888377</v>
      </c>
      <c r="AE201" s="169">
        <f t="shared" ca="1" si="24"/>
        <v>1.2765740740772649</v>
      </c>
      <c r="AF201" s="170">
        <f t="shared" ca="1" si="30"/>
        <v>3.4041975308727062</v>
      </c>
      <c r="AG201" s="170">
        <f t="shared" ca="1" si="31"/>
        <v>3.4041975308727062</v>
      </c>
      <c r="AH201" s="28" t="str" cm="1">
        <f t="array" aca="1" ref="AH201" ca="1">IF((AD201) &lt; (INDEX(ResponseSLA[#All],(MATCH((G201),ResponseSLA[Priority],0))+1,3)),"YES","No")</f>
        <v>No</v>
      </c>
      <c r="AI201" s="28" t="str">
        <f ca="1">_xlfn.IFNA(IF(AE201 &lt; (INDEX(SLATable[Minimum SLA],MATCH(G201,SLATable[Priority],0))),"YES","NO"),"")</f>
        <v>NO</v>
      </c>
      <c r="AJ201" s="28" t="str">
        <f ca="1">_xlfn.IFNA(IF(AE201 &lt; (INDEX(SLATable[Maximum SLA],MATCH(G201,SLATable[Priority],0))),"YES","NO"),"")</f>
        <v>YES</v>
      </c>
    </row>
    <row r="202" spans="2:36" ht="15" customHeight="1">
      <c r="B202" s="127" t="s">
        <v>26</v>
      </c>
      <c r="C202" s="127" t="s">
        <v>35</v>
      </c>
      <c r="D202" s="127" t="s">
        <v>207</v>
      </c>
      <c r="E202" s="127" t="s">
        <v>1470</v>
      </c>
      <c r="F202" s="127" t="s">
        <v>295</v>
      </c>
      <c r="G202" s="127">
        <v>4</v>
      </c>
      <c r="H202" s="127" t="s">
        <v>1471</v>
      </c>
      <c r="I202" s="127" t="s">
        <v>271</v>
      </c>
      <c r="J202" s="127" t="s">
        <v>1454</v>
      </c>
      <c r="K202" s="129">
        <v>46150.507465277777</v>
      </c>
      <c r="L202" s="129">
        <v>46148.690254629626</v>
      </c>
      <c r="M202" s="129">
        <v>46150.379780092589</v>
      </c>
      <c r="N202" s="129">
        <v>46161.409687500003</v>
      </c>
      <c r="O202" s="129"/>
      <c r="P202" s="129"/>
      <c r="Q202" s="127" t="s">
        <v>1203</v>
      </c>
      <c r="R202" s="127" t="s">
        <v>267</v>
      </c>
      <c r="S202" s="127" t="s">
        <v>149</v>
      </c>
      <c r="T202" s="127"/>
      <c r="U202" s="127" t="s">
        <v>371</v>
      </c>
      <c r="V202" s="127"/>
      <c r="W202" s="127"/>
      <c r="X202" s="127"/>
      <c r="Y202" s="127"/>
      <c r="Z202" s="169">
        <f t="shared" ca="1" si="25"/>
        <v>2.5272222222265559</v>
      </c>
      <c r="AA202" s="170">
        <f t="shared" ca="1" si="26"/>
        <v>6.739259259270816</v>
      </c>
      <c r="AB202" s="169">
        <f t="shared" ca="1" si="27"/>
        <v>3.0944328703772048</v>
      </c>
      <c r="AC202" s="170">
        <f t="shared" ca="1" si="28"/>
        <v>8.2518209876725468</v>
      </c>
      <c r="AD202" s="169">
        <f t="shared" ca="1" si="29"/>
        <v>0.43952546296350192</v>
      </c>
      <c r="AE202" s="169">
        <f t="shared" ca="1" si="24"/>
        <v>3.0944328703772048</v>
      </c>
      <c r="AF202" s="170">
        <f t="shared" ca="1" si="30"/>
        <v>8.2518209876725468</v>
      </c>
      <c r="AG202" s="170">
        <f t="shared" ca="1" si="31"/>
        <v>8.2518209876725468</v>
      </c>
      <c r="AH202" s="28" t="str" cm="1">
        <f t="array" aca="1" ref="AH202" ca="1">IF((AD202) &lt; (INDEX(ResponseSLA[#All],(MATCH((G202),ResponseSLA[Priority],0))+1,3)),"YES","No")</f>
        <v>No</v>
      </c>
      <c r="AI202" s="28" t="str">
        <f ca="1">_xlfn.IFNA(IF(AE202 &lt; (INDEX(SLATable[Minimum SLA],MATCH(G202,SLATable[Priority],0))),"YES","NO"),"")</f>
        <v>YES</v>
      </c>
      <c r="AJ202" s="28" t="str">
        <f ca="1">_xlfn.IFNA(IF(AE202 &lt; (INDEX(SLATable[Maximum SLA],MATCH(G202,SLATable[Priority],0))),"YES","NO"),"")</f>
        <v>YES</v>
      </c>
    </row>
    <row r="203" spans="2:36" ht="15" customHeight="1">
      <c r="B203" s="127" t="s">
        <v>26</v>
      </c>
      <c r="C203" s="127" t="s">
        <v>35</v>
      </c>
      <c r="D203" s="127" t="s">
        <v>207</v>
      </c>
      <c r="E203" s="127" t="s">
        <v>1472</v>
      </c>
      <c r="F203" s="127" t="s">
        <v>292</v>
      </c>
      <c r="G203" s="127">
        <v>3</v>
      </c>
      <c r="H203" s="127" t="s">
        <v>1473</v>
      </c>
      <c r="I203" s="127" t="s">
        <v>271</v>
      </c>
      <c r="J203" s="127" t="s">
        <v>1454</v>
      </c>
      <c r="K203" s="129">
        <v>46148.684282407405</v>
      </c>
      <c r="L203" s="129">
        <v>46148.684282407405</v>
      </c>
      <c r="M203" s="129">
        <v>46148.458912037036</v>
      </c>
      <c r="N203" s="129">
        <v>46156.319907407407</v>
      </c>
      <c r="O203" s="129"/>
      <c r="P203" s="129"/>
      <c r="Q203" s="127" t="s">
        <v>1073</v>
      </c>
      <c r="R203" s="127" t="s">
        <v>267</v>
      </c>
      <c r="S203" s="127" t="s">
        <v>149</v>
      </c>
      <c r="T203" s="127"/>
      <c r="U203" s="127" t="s">
        <v>371</v>
      </c>
      <c r="V203" s="127"/>
      <c r="W203" s="127"/>
      <c r="X203" s="127"/>
      <c r="Y203" s="127"/>
      <c r="Z203" s="169">
        <f t="shared" ca="1" si="25"/>
        <v>1.8990509259286537</v>
      </c>
      <c r="AA203" s="170">
        <f t="shared" ca="1" si="26"/>
        <v>5.06413580247641</v>
      </c>
      <c r="AB203" s="169">
        <f t="shared" ca="1" si="27"/>
        <v>1.8990509259286537</v>
      </c>
      <c r="AC203" s="170">
        <f t="shared" ca="1" si="28"/>
        <v>5.06413580247641</v>
      </c>
      <c r="AD203" s="169">
        <f t="shared" ca="1" si="29"/>
        <v>0</v>
      </c>
      <c r="AE203" s="169">
        <f t="shared" ca="1" si="24"/>
        <v>1.8990509259286537</v>
      </c>
      <c r="AF203" s="170">
        <f t="shared" ca="1" si="30"/>
        <v>5.06413580247641</v>
      </c>
      <c r="AG203" s="170">
        <f t="shared" ca="1" si="31"/>
        <v>5.06413580247641</v>
      </c>
      <c r="AH203" s="28" t="str" cm="1">
        <f t="array" aca="1" ref="AH203" ca="1">IF((AD203) &lt; (INDEX(ResponseSLA[#All],(MATCH((G203),ResponseSLA[Priority],0))+1,3)),"YES","No")</f>
        <v>YES</v>
      </c>
      <c r="AI203" s="28" t="str">
        <f ca="1">_xlfn.IFNA(IF(AE203 &lt; (INDEX(SLATable[Minimum SLA],MATCH(G203,SLATable[Priority],0))),"YES","NO"),"")</f>
        <v>NO</v>
      </c>
      <c r="AJ203" s="28" t="str">
        <f ca="1">_xlfn.IFNA(IF(AE203 &lt; (INDEX(SLATable[Maximum SLA],MATCH(G203,SLATable[Priority],0))),"YES","NO"),"")</f>
        <v>NO</v>
      </c>
    </row>
    <row r="204" spans="2:36" ht="15" customHeight="1">
      <c r="B204" s="127" t="s">
        <v>26</v>
      </c>
      <c r="C204" s="127" t="s">
        <v>35</v>
      </c>
      <c r="D204" s="127" t="s">
        <v>207</v>
      </c>
      <c r="E204" s="127" t="s">
        <v>1474</v>
      </c>
      <c r="F204" s="127" t="s">
        <v>292</v>
      </c>
      <c r="G204" s="127">
        <v>3</v>
      </c>
      <c r="H204" s="127" t="s">
        <v>1475</v>
      </c>
      <c r="I204" s="127" t="s">
        <v>271</v>
      </c>
      <c r="J204" s="127" t="s">
        <v>1454</v>
      </c>
      <c r="K204" s="129">
        <v>46148.454004629632</v>
      </c>
      <c r="L204" s="129">
        <v>46143.310428240744</v>
      </c>
      <c r="M204" s="129">
        <v>46150.330509259256</v>
      </c>
      <c r="N204" s="129">
        <v>46156.322916666664</v>
      </c>
      <c r="O204" s="129"/>
      <c r="P204" s="129"/>
      <c r="Q204" s="127" t="s">
        <v>1073</v>
      </c>
      <c r="R204" s="127" t="s">
        <v>267</v>
      </c>
      <c r="S204" s="127" t="s">
        <v>149</v>
      </c>
      <c r="T204" s="127"/>
      <c r="U204" s="127" t="s">
        <v>371</v>
      </c>
      <c r="V204" s="127"/>
      <c r="W204" s="127"/>
      <c r="X204" s="127"/>
      <c r="Y204" s="127"/>
      <c r="Z204" s="169">
        <f t="shared" ca="1" si="25"/>
        <v>2.1293287037018072</v>
      </c>
      <c r="AA204" s="170">
        <f t="shared" ca="1" si="26"/>
        <v>5.6782098765381521</v>
      </c>
      <c r="AB204" s="169">
        <f t="shared" ca="1" si="27"/>
        <v>2.6250000000000004</v>
      </c>
      <c r="AC204" s="170">
        <f t="shared" ca="1" si="28"/>
        <v>7.0000000000000018</v>
      </c>
      <c r="AD204" s="169">
        <f t="shared" ca="1" si="29"/>
        <v>1.1250000000000002</v>
      </c>
      <c r="AE204" s="169">
        <f t="shared" ca="1" si="24"/>
        <v>2.6250000000000004</v>
      </c>
      <c r="AF204" s="170">
        <f t="shared" ca="1" si="30"/>
        <v>7.0000000000000018</v>
      </c>
      <c r="AG204" s="170">
        <f t="shared" ca="1" si="31"/>
        <v>7.0000000000000018</v>
      </c>
      <c r="AH204" s="28" t="str" cm="1">
        <f t="array" aca="1" ref="AH204" ca="1">IF((AD204) &lt; (INDEX(ResponseSLA[#All],(MATCH((G204),ResponseSLA[Priority],0))+1,3)),"YES","No")</f>
        <v>No</v>
      </c>
      <c r="AI204" s="28" t="str">
        <f ca="1">_xlfn.IFNA(IF(AE204 &lt; (INDEX(SLATable[Minimum SLA],MATCH(G204,SLATable[Priority],0))),"YES","NO"),"")</f>
        <v>NO</v>
      </c>
      <c r="AJ204" s="28" t="str">
        <f ca="1">_xlfn.IFNA(IF(AE204 &lt; (INDEX(SLATable[Maximum SLA],MATCH(G204,SLATable[Priority],0))),"YES","NO"),"")</f>
        <v>NO</v>
      </c>
    </row>
    <row r="205" spans="2:36" ht="15" customHeight="1">
      <c r="B205" s="127" t="s">
        <v>26</v>
      </c>
      <c r="C205" s="127" t="s">
        <v>35</v>
      </c>
      <c r="D205" s="127" t="s">
        <v>207</v>
      </c>
      <c r="E205" s="127" t="s">
        <v>1476</v>
      </c>
      <c r="F205" s="127" t="s">
        <v>303</v>
      </c>
      <c r="G205" s="127">
        <v>3</v>
      </c>
      <c r="H205" s="127" t="s">
        <v>1477</v>
      </c>
      <c r="I205" s="127" t="s">
        <v>271</v>
      </c>
      <c r="J205" s="127" t="s">
        <v>1454</v>
      </c>
      <c r="K205" s="129">
        <v>46143.308969907404</v>
      </c>
      <c r="L205" s="129">
        <v>46142.314212962963</v>
      </c>
      <c r="M205" s="129">
        <v>46147.457754629628</v>
      </c>
      <c r="N205" s="129">
        <v>46156.321261574078</v>
      </c>
      <c r="O205" s="129"/>
      <c r="P205" s="129"/>
      <c r="Q205" s="127" t="s">
        <v>1247</v>
      </c>
      <c r="R205" s="127" t="s">
        <v>267</v>
      </c>
      <c r="S205" s="127" t="s">
        <v>149</v>
      </c>
      <c r="T205" s="127"/>
      <c r="U205" s="127" t="s">
        <v>371</v>
      </c>
      <c r="V205" s="127"/>
      <c r="W205" s="127"/>
      <c r="X205" s="127"/>
      <c r="Y205" s="127"/>
      <c r="Z205" s="169">
        <f t="shared" ca="1" si="25"/>
        <v>2.6250000000000004</v>
      </c>
      <c r="AA205" s="170">
        <f t="shared" ca="1" si="26"/>
        <v>7.0000000000000018</v>
      </c>
      <c r="AB205" s="169">
        <f t="shared" ca="1" si="27"/>
        <v>3.0000000000000004</v>
      </c>
      <c r="AC205" s="170">
        <f t="shared" ca="1" si="28"/>
        <v>8.0000000000000018</v>
      </c>
      <c r="AD205" s="169">
        <f t="shared" ca="1" si="29"/>
        <v>0.49942129629440996</v>
      </c>
      <c r="AE205" s="169">
        <f t="shared" ca="1" si="24"/>
        <v>3.0000000000000004</v>
      </c>
      <c r="AF205" s="170">
        <f t="shared" ca="1" si="30"/>
        <v>8.0000000000000018</v>
      </c>
      <c r="AG205" s="170">
        <f t="shared" ca="1" si="31"/>
        <v>8.0000000000000018</v>
      </c>
      <c r="AH205" s="28" t="str" cm="1">
        <f t="array" aca="1" ref="AH205" ca="1">IF((AD205) &lt; (INDEX(ResponseSLA[#All],(MATCH((G205),ResponseSLA[Priority],0))+1,3)),"YES","No")</f>
        <v>No</v>
      </c>
      <c r="AI205" s="28" t="str">
        <f ca="1">_xlfn.IFNA(IF(AE205 &lt; (INDEX(SLATable[Minimum SLA],MATCH(G205,SLATable[Priority],0))),"YES","NO"),"")</f>
        <v>NO</v>
      </c>
      <c r="AJ205" s="28" t="str">
        <f ca="1">_xlfn.IFNA(IF(AE205 &lt; (INDEX(SLATable[Maximum SLA],MATCH(G205,SLATable[Priority],0))),"YES","NO"),"")</f>
        <v>NO</v>
      </c>
    </row>
    <row r="206" spans="2:36" ht="15" customHeight="1">
      <c r="B206" s="127" t="s">
        <v>26</v>
      </c>
      <c r="C206" s="127" t="s">
        <v>35</v>
      </c>
      <c r="D206" s="127" t="s">
        <v>207</v>
      </c>
      <c r="E206" s="127" t="s">
        <v>1478</v>
      </c>
      <c r="F206" s="127" t="s">
        <v>303</v>
      </c>
      <c r="G206" s="127">
        <v>3</v>
      </c>
      <c r="H206" s="127" t="s">
        <v>1479</v>
      </c>
      <c r="I206" s="127" t="s">
        <v>271</v>
      </c>
      <c r="J206" s="127" t="s">
        <v>1454</v>
      </c>
      <c r="K206" s="129">
        <v>46142.310960648145</v>
      </c>
      <c r="L206" s="129">
        <v>46142.310960648145</v>
      </c>
      <c r="M206" s="129">
        <v>46150.370196759257</v>
      </c>
      <c r="N206" s="129">
        <v>46147.465590277781</v>
      </c>
      <c r="O206" s="129"/>
      <c r="P206" s="129"/>
      <c r="Q206" s="127" t="s">
        <v>1247</v>
      </c>
      <c r="R206" s="127" t="s">
        <v>267</v>
      </c>
      <c r="S206" s="127" t="s">
        <v>149</v>
      </c>
      <c r="T206" s="127"/>
      <c r="U206" s="127" t="s">
        <v>371</v>
      </c>
      <c r="V206" s="127"/>
      <c r="W206" s="127"/>
      <c r="X206" s="127"/>
      <c r="Y206" s="127"/>
      <c r="Z206" s="169">
        <f t="shared" ca="1" si="25"/>
        <v>0.50725694444796932</v>
      </c>
      <c r="AA206" s="170">
        <f t="shared" ca="1" si="26"/>
        <v>1.3526851851945849</v>
      </c>
      <c r="AB206" s="169">
        <f t="shared" ca="1" si="27"/>
        <v>0.50725694444796932</v>
      </c>
      <c r="AC206" s="170">
        <f t="shared" ca="1" si="28"/>
        <v>1.3526851851945849</v>
      </c>
      <c r="AD206" s="169">
        <f t="shared" ca="1" si="29"/>
        <v>1.5368634259236087</v>
      </c>
      <c r="AE206" s="169">
        <f t="shared" ca="1" si="24"/>
        <v>0.50725694444796932</v>
      </c>
      <c r="AF206" s="170">
        <f t="shared" ca="1" si="30"/>
        <v>1.3526851851945849</v>
      </c>
      <c r="AG206" s="170">
        <f t="shared" ca="1" si="31"/>
        <v>1.3526851851945849</v>
      </c>
      <c r="AH206" s="28" t="str" cm="1">
        <f t="array" aca="1" ref="AH206" ca="1">IF((AD206) &lt; (INDEX(ResponseSLA[#All],(MATCH((G206),ResponseSLA[Priority],0))+1,3)),"YES","No")</f>
        <v>No</v>
      </c>
      <c r="AI206" s="28" t="str">
        <f ca="1">_xlfn.IFNA(IF(AE206 &lt; (INDEX(SLATable[Minimum SLA],MATCH(G206,SLATable[Priority],0))),"YES","NO"),"")</f>
        <v>NO</v>
      </c>
      <c r="AJ206" s="28" t="str">
        <f ca="1">_xlfn.IFNA(IF(AE206 &lt; (INDEX(SLATable[Maximum SLA],MATCH(G206,SLATable[Priority],0))),"YES","NO"),"")</f>
        <v>YES</v>
      </c>
    </row>
    <row r="207" spans="2:36" ht="15" customHeight="1">
      <c r="B207" s="127" t="s">
        <v>26</v>
      </c>
      <c r="C207" s="127" t="s">
        <v>35</v>
      </c>
      <c r="D207" s="127" t="s">
        <v>207</v>
      </c>
      <c r="E207" s="127" t="s">
        <v>1480</v>
      </c>
      <c r="F207" s="127" t="s">
        <v>292</v>
      </c>
      <c r="G207" s="127">
        <v>4</v>
      </c>
      <c r="H207" s="127" t="s">
        <v>1481</v>
      </c>
      <c r="I207" s="127" t="s">
        <v>271</v>
      </c>
      <c r="J207" s="127" t="s">
        <v>1454</v>
      </c>
      <c r="K207" s="129">
        <v>46142.080590277779</v>
      </c>
      <c r="L207" s="129">
        <v>46142.080717592595</v>
      </c>
      <c r="M207" s="129">
        <v>46150.370196759257</v>
      </c>
      <c r="N207" s="129">
        <v>46156.324050925927</v>
      </c>
      <c r="O207" s="129"/>
      <c r="P207" s="129"/>
      <c r="Q207" s="127" t="s">
        <v>1073</v>
      </c>
      <c r="R207" s="127" t="s">
        <v>267</v>
      </c>
      <c r="S207" s="127" t="s">
        <v>149</v>
      </c>
      <c r="T207" s="127"/>
      <c r="U207" s="127" t="s">
        <v>371</v>
      </c>
      <c r="V207" s="127"/>
      <c r="W207" s="127"/>
      <c r="X207" s="127"/>
      <c r="Y207" s="127"/>
      <c r="Z207" s="169">
        <f t="shared" ca="1" si="25"/>
        <v>3.0000000000000004</v>
      </c>
      <c r="AA207" s="170">
        <f t="shared" ca="1" si="26"/>
        <v>8.0000000000000018</v>
      </c>
      <c r="AB207" s="169">
        <f t="shared" ca="1" si="27"/>
        <v>3.0000000000000004</v>
      </c>
      <c r="AC207" s="170">
        <f t="shared" ca="1" si="28"/>
        <v>8.0000000000000018</v>
      </c>
      <c r="AD207" s="169">
        <f t="shared" ca="1" si="29"/>
        <v>1.5368634259236087</v>
      </c>
      <c r="AE207" s="169">
        <f t="shared" ca="1" si="24"/>
        <v>3.0000000000000004</v>
      </c>
      <c r="AF207" s="170">
        <f t="shared" ca="1" si="30"/>
        <v>8.0000000000000018</v>
      </c>
      <c r="AG207" s="170">
        <f t="shared" ca="1" si="31"/>
        <v>8.0000000000000018</v>
      </c>
      <c r="AH207" s="28" t="str" cm="1">
        <f t="array" aca="1" ref="AH207" ca="1">IF((AD207) &lt; (INDEX(ResponseSLA[#All],(MATCH((G207),ResponseSLA[Priority],0))+1,3)),"YES","No")</f>
        <v>No</v>
      </c>
      <c r="AI207" s="28" t="str">
        <f ca="1">_xlfn.IFNA(IF(AE207 &lt; (INDEX(SLATable[Minimum SLA],MATCH(G207,SLATable[Priority],0))),"YES","NO"),"")</f>
        <v>YES</v>
      </c>
      <c r="AJ207" s="28" t="str">
        <f ca="1">_xlfn.IFNA(IF(AE207 &lt; (INDEX(SLATable[Maximum SLA],MATCH(G207,SLATable[Priority],0))),"YES","NO"),"")</f>
        <v>YES</v>
      </c>
    </row>
    <row r="208" spans="2:36" ht="15" customHeight="1">
      <c r="B208" s="127" t="s">
        <v>26</v>
      </c>
      <c r="C208" s="127" t="s">
        <v>35</v>
      </c>
      <c r="D208" s="127" t="s">
        <v>207</v>
      </c>
      <c r="E208" s="127" t="s">
        <v>1482</v>
      </c>
      <c r="F208" s="127" t="s">
        <v>292</v>
      </c>
      <c r="G208" s="127">
        <v>3</v>
      </c>
      <c r="H208" s="127" t="s">
        <v>1483</v>
      </c>
      <c r="I208" s="127" t="s">
        <v>271</v>
      </c>
      <c r="J208" s="127" t="s">
        <v>1454</v>
      </c>
      <c r="K208" s="129">
        <v>46142.074120370373</v>
      </c>
      <c r="L208" s="129">
        <v>46143.334618055553</v>
      </c>
      <c r="M208" s="129">
        <v>46150.341111111113</v>
      </c>
      <c r="N208" s="129">
        <v>46156.316817129627</v>
      </c>
      <c r="O208" s="129"/>
      <c r="P208" s="129"/>
      <c r="Q208" s="127" t="s">
        <v>1073</v>
      </c>
      <c r="R208" s="127" t="s">
        <v>267</v>
      </c>
      <c r="S208" s="127" t="s">
        <v>149</v>
      </c>
      <c r="T208" s="127"/>
      <c r="U208" s="127" t="s">
        <v>371</v>
      </c>
      <c r="V208" s="127"/>
      <c r="W208" s="127"/>
      <c r="X208" s="127"/>
      <c r="Y208" s="127"/>
      <c r="Z208" s="169">
        <f t="shared" ca="1" si="25"/>
        <v>3.0000000000000004</v>
      </c>
      <c r="AA208" s="170">
        <f t="shared" ca="1" si="26"/>
        <v>8.0000000000000018</v>
      </c>
      <c r="AB208" s="169">
        <f t="shared" ca="1" si="27"/>
        <v>2.6250000000000004</v>
      </c>
      <c r="AC208" s="170">
        <f t="shared" ca="1" si="28"/>
        <v>7.0000000000000018</v>
      </c>
      <c r="AD208" s="169">
        <f t="shared" ca="1" si="29"/>
        <v>1.131493055559986</v>
      </c>
      <c r="AE208" s="169">
        <f t="shared" ca="1" si="24"/>
        <v>2.6250000000000004</v>
      </c>
      <c r="AF208" s="170">
        <f t="shared" ca="1" si="30"/>
        <v>7.0000000000000018</v>
      </c>
      <c r="AG208" s="170">
        <f t="shared" ca="1" si="31"/>
        <v>7.0000000000000018</v>
      </c>
      <c r="AH208" s="28" t="str" cm="1">
        <f t="array" aca="1" ref="AH208" ca="1">IF((AD208) &lt; (INDEX(ResponseSLA[#All],(MATCH((G208),ResponseSLA[Priority],0))+1,3)),"YES","No")</f>
        <v>No</v>
      </c>
      <c r="AI208" s="28" t="str">
        <f ca="1">_xlfn.IFNA(IF(AE208 &lt; (INDEX(SLATable[Minimum SLA],MATCH(G208,SLATable[Priority],0))),"YES","NO"),"")</f>
        <v>NO</v>
      </c>
      <c r="AJ208" s="28" t="str">
        <f ca="1">_xlfn.IFNA(IF(AE208 &lt; (INDEX(SLATable[Maximum SLA],MATCH(G208,SLATable[Priority],0))),"YES","NO"),"")</f>
        <v>NO</v>
      </c>
    </row>
    <row r="209" spans="2:36" ht="15" customHeight="1">
      <c r="B209" s="127" t="s">
        <v>26</v>
      </c>
      <c r="C209" s="127" t="s">
        <v>35</v>
      </c>
      <c r="D209" s="127" t="s">
        <v>207</v>
      </c>
      <c r="E209" s="127" t="s">
        <v>1484</v>
      </c>
      <c r="F209" s="127" t="s">
        <v>295</v>
      </c>
      <c r="G209" s="127">
        <v>3</v>
      </c>
      <c r="H209" s="127" t="s">
        <v>1485</v>
      </c>
      <c r="I209" s="127" t="s">
        <v>271</v>
      </c>
      <c r="J209" s="127" t="s">
        <v>1454</v>
      </c>
      <c r="K209" s="129">
        <v>46138.743298611109</v>
      </c>
      <c r="L209" s="129">
        <v>46138.743379629632</v>
      </c>
      <c r="M209" s="129">
        <v>46138.871747685182</v>
      </c>
      <c r="N209" s="129">
        <v>46140.51829861111</v>
      </c>
      <c r="O209" s="129"/>
      <c r="P209" s="129"/>
      <c r="Q209" s="127" t="s">
        <v>1203</v>
      </c>
      <c r="R209" s="127" t="s">
        <v>267</v>
      </c>
      <c r="S209" s="127" t="s">
        <v>149</v>
      </c>
      <c r="T209" s="127"/>
      <c r="U209" s="127" t="s">
        <v>371</v>
      </c>
      <c r="V209" s="127"/>
      <c r="W209" s="127"/>
      <c r="X209" s="127"/>
      <c r="Y209" s="127"/>
      <c r="Z209" s="169">
        <f t="shared" ca="1" si="25"/>
        <v>0.55996527777703409</v>
      </c>
      <c r="AA209" s="170">
        <f t="shared" ca="1" si="26"/>
        <v>1.4932407407387576</v>
      </c>
      <c r="AB209" s="169">
        <f t="shared" ca="1" si="27"/>
        <v>0.55996527777703409</v>
      </c>
      <c r="AC209" s="170">
        <f t="shared" ca="1" si="28"/>
        <v>1.4932407407387576</v>
      </c>
      <c r="AD209" s="169">
        <f t="shared" ca="1" si="29"/>
        <v>0</v>
      </c>
      <c r="AE209" s="169">
        <f t="shared" ca="1" si="24"/>
        <v>0.55996527777703409</v>
      </c>
      <c r="AF209" s="170">
        <f t="shared" ca="1" si="30"/>
        <v>1.4932407407387576</v>
      </c>
      <c r="AG209" s="170">
        <f t="shared" ca="1" si="31"/>
        <v>1.4932407407387576</v>
      </c>
      <c r="AH209" s="28" t="str" cm="1">
        <f t="array" aca="1" ref="AH209" ca="1">IF((AD209) &lt; (INDEX(ResponseSLA[#All],(MATCH((G209),ResponseSLA[Priority],0))+1,3)),"YES","No")</f>
        <v>YES</v>
      </c>
      <c r="AI209" s="28" t="str">
        <f ca="1">_xlfn.IFNA(IF(AE209 &lt; (INDEX(SLATable[Minimum SLA],MATCH(G209,SLATable[Priority],0))),"YES","NO"),"")</f>
        <v>NO</v>
      </c>
      <c r="AJ209" s="28" t="str">
        <f ca="1">_xlfn.IFNA(IF(AE209 &lt; (INDEX(SLATable[Maximum SLA],MATCH(G209,SLATable[Priority],0))),"YES","NO"),"")</f>
        <v>YES</v>
      </c>
    </row>
    <row r="210" spans="2:36" ht="15" customHeight="1">
      <c r="B210" s="127" t="s">
        <v>26</v>
      </c>
      <c r="C210" s="127" t="s">
        <v>35</v>
      </c>
      <c r="D210" s="127" t="s">
        <v>207</v>
      </c>
      <c r="E210" s="127" t="s">
        <v>1486</v>
      </c>
      <c r="F210" s="127" t="s">
        <v>303</v>
      </c>
      <c r="G210" s="127">
        <v>3</v>
      </c>
      <c r="H210" s="127" t="s">
        <v>1487</v>
      </c>
      <c r="I210" s="127" t="s">
        <v>271</v>
      </c>
      <c r="J210" s="127" t="s">
        <v>1454</v>
      </c>
      <c r="K210" s="129">
        <v>46133.456030092595</v>
      </c>
      <c r="L210" s="129">
        <v>46133.457303240742</v>
      </c>
      <c r="M210" s="129">
        <v>46133.480266203704</v>
      </c>
      <c r="N210" s="129">
        <v>46147.464965277781</v>
      </c>
      <c r="O210" s="129"/>
      <c r="P210" s="129"/>
      <c r="Q210" s="127" t="s">
        <v>1247</v>
      </c>
      <c r="R210" s="127" t="s">
        <v>267</v>
      </c>
      <c r="S210" s="127" t="s">
        <v>149</v>
      </c>
      <c r="T210" s="127"/>
      <c r="U210" s="127" t="s">
        <v>371</v>
      </c>
      <c r="V210" s="127"/>
      <c r="W210" s="127"/>
      <c r="X210" s="127"/>
      <c r="Y210" s="127"/>
      <c r="Z210" s="169">
        <f t="shared" ca="1" si="25"/>
        <v>3.0089351851856923</v>
      </c>
      <c r="AA210" s="170">
        <f t="shared" ca="1" si="26"/>
        <v>8.0238271604951805</v>
      </c>
      <c r="AB210" s="169">
        <f t="shared" ca="1" si="27"/>
        <v>3.0076620370382448</v>
      </c>
      <c r="AC210" s="170">
        <f t="shared" ca="1" si="28"/>
        <v>8.0204320987686533</v>
      </c>
      <c r="AD210" s="169">
        <f t="shared" ca="1" si="29"/>
        <v>2.2962962961173616E-2</v>
      </c>
      <c r="AE210" s="169">
        <f t="shared" ca="1" si="24"/>
        <v>3.0076620370382448</v>
      </c>
      <c r="AF210" s="170">
        <f t="shared" ca="1" si="30"/>
        <v>8.0204320987686533</v>
      </c>
      <c r="AG210" s="170">
        <f t="shared" ca="1" si="31"/>
        <v>8.0204320987686533</v>
      </c>
      <c r="AH210" s="28" t="str" cm="1">
        <f t="array" aca="1" ref="AH210" ca="1">IF((AD210) &lt; (INDEX(ResponseSLA[#All],(MATCH((G210),ResponseSLA[Priority],0))+1,3)),"YES","No")</f>
        <v>YES</v>
      </c>
      <c r="AI210" s="28" t="str">
        <f ca="1">_xlfn.IFNA(IF(AE210 &lt; (INDEX(SLATable[Minimum SLA],MATCH(G210,SLATable[Priority],0))),"YES","NO"),"")</f>
        <v>NO</v>
      </c>
      <c r="AJ210" s="28" t="str">
        <f ca="1">_xlfn.IFNA(IF(AE210 &lt; (INDEX(SLATable[Maximum SLA],MATCH(G210,SLATable[Priority],0))),"YES","NO"),"")</f>
        <v>NO</v>
      </c>
    </row>
    <row r="211" spans="2:36" ht="15" customHeight="1">
      <c r="B211" s="127" t="s">
        <v>26</v>
      </c>
      <c r="C211" s="127" t="s">
        <v>35</v>
      </c>
      <c r="D211" s="127" t="s">
        <v>207</v>
      </c>
      <c r="E211" s="127" t="s">
        <v>1488</v>
      </c>
      <c r="F211" s="127" t="s">
        <v>299</v>
      </c>
      <c r="G211" s="127">
        <v>4</v>
      </c>
      <c r="H211" s="127" t="s">
        <v>1489</v>
      </c>
      <c r="I211" s="127" t="s">
        <v>271</v>
      </c>
      <c r="J211" s="127" t="s">
        <v>1454</v>
      </c>
      <c r="K211" s="129">
        <v>46132.725659722222</v>
      </c>
      <c r="L211" s="129">
        <v>46132.725706018522</v>
      </c>
      <c r="M211" s="129">
        <v>46133.444293981483</v>
      </c>
      <c r="N211" s="129">
        <v>46140.415208333332</v>
      </c>
      <c r="O211" s="129"/>
      <c r="P211" s="129"/>
      <c r="Q211" s="127" t="s">
        <v>1490</v>
      </c>
      <c r="R211" s="127" t="s">
        <v>267</v>
      </c>
      <c r="S211" s="127" t="s">
        <v>149</v>
      </c>
      <c r="T211" s="127"/>
      <c r="U211" s="127" t="s">
        <v>371</v>
      </c>
      <c r="V211" s="127"/>
      <c r="W211" s="127"/>
      <c r="X211" s="127"/>
      <c r="Y211" s="127"/>
      <c r="Z211" s="169">
        <f t="shared" ca="1" si="25"/>
        <v>1.9568749999986421</v>
      </c>
      <c r="AA211" s="170">
        <f t="shared" ca="1" si="26"/>
        <v>5.2183333333297126</v>
      </c>
      <c r="AB211" s="169">
        <f t="shared" ca="1" si="27"/>
        <v>1.9568749999986421</v>
      </c>
      <c r="AC211" s="170">
        <f t="shared" ca="1" si="28"/>
        <v>5.2183333333297126</v>
      </c>
      <c r="AD211" s="169">
        <f t="shared" ca="1" si="29"/>
        <v>0.11096064815016382</v>
      </c>
      <c r="AE211" s="169">
        <f t="shared" ca="1" si="24"/>
        <v>1.9568749999986421</v>
      </c>
      <c r="AF211" s="170">
        <f t="shared" ca="1" si="30"/>
        <v>5.2183333333297126</v>
      </c>
      <c r="AG211" s="170">
        <f t="shared" ca="1" si="31"/>
        <v>5.2183333333297126</v>
      </c>
      <c r="AH211" s="28" t="str" cm="1">
        <f t="array" aca="1" ref="AH211" ca="1">IF((AD211) &lt; (INDEX(ResponseSLA[#All],(MATCH((G211),ResponseSLA[Priority],0))+1,3)),"YES","No")</f>
        <v>YES</v>
      </c>
      <c r="AI211" s="28" t="str">
        <f ca="1">_xlfn.IFNA(IF(AE211 &lt; (INDEX(SLATable[Minimum SLA],MATCH(G211,SLATable[Priority],0))),"YES","NO"),"")</f>
        <v>YES</v>
      </c>
      <c r="AJ211" s="28" t="str">
        <f ca="1">_xlfn.IFNA(IF(AE211 &lt; (INDEX(SLATable[Maximum SLA],MATCH(G211,SLATable[Priority],0))),"YES","NO"),"")</f>
        <v>YES</v>
      </c>
    </row>
    <row r="212" spans="2:36" ht="15" customHeight="1">
      <c r="B212" s="127" t="s">
        <v>26</v>
      </c>
      <c r="C212" s="127" t="s">
        <v>35</v>
      </c>
      <c r="D212" s="127" t="s">
        <v>207</v>
      </c>
      <c r="E212" s="127" t="s">
        <v>1491</v>
      </c>
      <c r="F212" s="127" t="s">
        <v>295</v>
      </c>
      <c r="G212" s="127">
        <v>3</v>
      </c>
      <c r="H212" s="127" t="s">
        <v>1492</v>
      </c>
      <c r="I212" s="127" t="s">
        <v>271</v>
      </c>
      <c r="J212" s="127" t="s">
        <v>1454</v>
      </c>
      <c r="K212" s="129">
        <v>46132.149965277778</v>
      </c>
      <c r="L212" s="129">
        <v>46132.150034722225</v>
      </c>
      <c r="M212" s="129">
        <v>46133.426759259259</v>
      </c>
      <c r="N212" s="129">
        <v>46140.412245370368</v>
      </c>
      <c r="O212" s="129"/>
      <c r="P212" s="129"/>
      <c r="Q212" s="127" t="s">
        <v>1203</v>
      </c>
      <c r="R212" s="127" t="s">
        <v>267</v>
      </c>
      <c r="S212" s="127" t="s">
        <v>149</v>
      </c>
      <c r="T212" s="127"/>
      <c r="U212" s="127" t="s">
        <v>371</v>
      </c>
      <c r="V212" s="127"/>
      <c r="W212" s="127"/>
      <c r="X212" s="127"/>
      <c r="Y212" s="127"/>
      <c r="Z212" s="169">
        <f t="shared" ca="1" si="25"/>
        <v>2.3289120370342671</v>
      </c>
      <c r="AA212" s="170">
        <f t="shared" ca="1" si="26"/>
        <v>6.2104320987580452</v>
      </c>
      <c r="AB212" s="169">
        <f t="shared" ca="1" si="27"/>
        <v>2.3289120370342671</v>
      </c>
      <c r="AC212" s="170">
        <f t="shared" ca="1" si="28"/>
        <v>6.2104320987580452</v>
      </c>
      <c r="AD212" s="169">
        <f t="shared" ca="1" si="29"/>
        <v>0.46842592592535465</v>
      </c>
      <c r="AE212" s="169">
        <f t="shared" ca="1" si="24"/>
        <v>2.3289120370342671</v>
      </c>
      <c r="AF212" s="170">
        <f t="shared" ca="1" si="30"/>
        <v>6.2104320987580452</v>
      </c>
      <c r="AG212" s="170">
        <f t="shared" ca="1" si="31"/>
        <v>6.2104320987580452</v>
      </c>
      <c r="AH212" s="28" t="str" cm="1">
        <f t="array" aca="1" ref="AH212" ca="1">IF((AD212) &lt; (INDEX(ResponseSLA[#All],(MATCH((G212),ResponseSLA[Priority],0))+1,3)),"YES","No")</f>
        <v>No</v>
      </c>
      <c r="AI212" s="28" t="str">
        <f ca="1">_xlfn.IFNA(IF(AE212 &lt; (INDEX(SLATable[Minimum SLA],MATCH(G212,SLATable[Priority],0))),"YES","NO"),"")</f>
        <v>NO</v>
      </c>
      <c r="AJ212" s="28" t="str">
        <f ca="1">_xlfn.IFNA(IF(AE212 &lt; (INDEX(SLATable[Maximum SLA],MATCH(G212,SLATable[Priority],0))),"YES","NO"),"")</f>
        <v>NO</v>
      </c>
    </row>
    <row r="213" spans="2:36" ht="15" customHeight="1">
      <c r="B213" s="127" t="s">
        <v>26</v>
      </c>
      <c r="C213" s="127" t="s">
        <v>35</v>
      </c>
      <c r="D213" s="127" t="s">
        <v>207</v>
      </c>
      <c r="E213" s="127" t="s">
        <v>1493</v>
      </c>
      <c r="F213" s="127" t="s">
        <v>292</v>
      </c>
      <c r="G213" s="127">
        <v>3</v>
      </c>
      <c r="H213" s="127" t="s">
        <v>1494</v>
      </c>
      <c r="I213" s="127" t="s">
        <v>271</v>
      </c>
      <c r="J213" s="127" t="s">
        <v>1454</v>
      </c>
      <c r="K213" s="129">
        <v>46125.48060185185</v>
      </c>
      <c r="L213" s="129">
        <v>46129.458252314813</v>
      </c>
      <c r="M213" s="129">
        <v>46150.34</v>
      </c>
      <c r="N213" s="129">
        <v>46154.427210648151</v>
      </c>
      <c r="O213" s="129"/>
      <c r="P213" s="129"/>
      <c r="Q213" s="127" t="s">
        <v>1073</v>
      </c>
      <c r="R213" s="127" t="s">
        <v>267</v>
      </c>
      <c r="S213" s="127" t="s">
        <v>149</v>
      </c>
      <c r="T213" s="127"/>
      <c r="U213" s="127" t="s">
        <v>371</v>
      </c>
      <c r="V213" s="127"/>
      <c r="W213" s="127"/>
      <c r="X213" s="127"/>
      <c r="Y213" s="127"/>
      <c r="Z213" s="169">
        <f t="shared" ca="1" si="25"/>
        <v>7.0716087963010077</v>
      </c>
      <c r="AA213" s="170">
        <f t="shared" ca="1" si="26"/>
        <v>18.857623456802688</v>
      </c>
      <c r="AB213" s="169">
        <f t="shared" ca="1" si="27"/>
        <v>5.5939583333383789</v>
      </c>
      <c r="AC213" s="170">
        <f t="shared" ca="1" si="28"/>
        <v>14.917222222235678</v>
      </c>
      <c r="AD213" s="169">
        <f t="shared" ca="1" si="29"/>
        <v>4.7567476851836554</v>
      </c>
      <c r="AE213" s="169">
        <f t="shared" ca="1" si="24"/>
        <v>5.5939583333383789</v>
      </c>
      <c r="AF213" s="170">
        <f t="shared" ca="1" si="30"/>
        <v>14.917222222235678</v>
      </c>
      <c r="AG213" s="170">
        <f t="shared" ca="1" si="31"/>
        <v>14.917222222235678</v>
      </c>
      <c r="AH213" s="28" t="str" cm="1">
        <f t="array" aca="1" ref="AH213" ca="1">IF((AD213) &lt; (INDEX(ResponseSLA[#All],(MATCH((G213),ResponseSLA[Priority],0))+1,3)),"YES","No")</f>
        <v>No</v>
      </c>
      <c r="AI213" s="28" t="str">
        <f ca="1">_xlfn.IFNA(IF(AE213 &lt; (INDEX(SLATable[Minimum SLA],MATCH(G213,SLATable[Priority],0))),"YES","NO"),"")</f>
        <v>NO</v>
      </c>
      <c r="AJ213" s="28" t="str">
        <f ca="1">_xlfn.IFNA(IF(AE213 &lt; (INDEX(SLATable[Maximum SLA],MATCH(G213,SLATable[Priority],0))),"YES","NO"),"")</f>
        <v>NO</v>
      </c>
    </row>
    <row r="214" spans="2:36" ht="15" customHeight="1">
      <c r="B214" s="127" t="s">
        <v>26</v>
      </c>
      <c r="C214" s="127" t="s">
        <v>35</v>
      </c>
      <c r="D214" s="127" t="s">
        <v>207</v>
      </c>
      <c r="E214" s="127" t="s">
        <v>1495</v>
      </c>
      <c r="F214" s="127" t="s">
        <v>295</v>
      </c>
      <c r="G214" s="127">
        <v>3</v>
      </c>
      <c r="H214" s="127" t="s">
        <v>1224</v>
      </c>
      <c r="I214" s="127" t="s">
        <v>271</v>
      </c>
      <c r="J214" s="127" t="s">
        <v>1454</v>
      </c>
      <c r="K214" s="129">
        <v>46172.215173611112</v>
      </c>
      <c r="L214" s="129">
        <v>46172.220011574071</v>
      </c>
      <c r="M214" s="129">
        <v>46172.22284722222</v>
      </c>
      <c r="N214" s="129">
        <v>46173.258217592593</v>
      </c>
      <c r="O214" s="129"/>
      <c r="P214" s="129"/>
      <c r="Q214" s="127" t="s">
        <v>1211</v>
      </c>
      <c r="R214" s="127" t="s">
        <v>267</v>
      </c>
      <c r="S214" s="127" t="s">
        <v>199</v>
      </c>
      <c r="T214" s="127"/>
      <c r="U214" s="127" t="s">
        <v>371</v>
      </c>
      <c r="V214" s="127"/>
      <c r="W214" s="127"/>
      <c r="X214" s="127"/>
      <c r="Y214" s="127"/>
      <c r="Z214" s="169">
        <f t="shared" ca="1" si="25"/>
        <v>0</v>
      </c>
      <c r="AA214" s="170">
        <f t="shared" ca="1" si="26"/>
        <v>0</v>
      </c>
      <c r="AB214" s="169">
        <f t="shared" ca="1" si="27"/>
        <v>0</v>
      </c>
      <c r="AC214" s="170">
        <f t="shared" ca="1" si="28"/>
        <v>0</v>
      </c>
      <c r="AD214" s="169">
        <f t="shared" ca="1" si="29"/>
        <v>0</v>
      </c>
      <c r="AE214" s="169">
        <f t="shared" ca="1" si="24"/>
        <v>0</v>
      </c>
      <c r="AF214" s="170">
        <f t="shared" ca="1" si="30"/>
        <v>0</v>
      </c>
      <c r="AG214" s="170">
        <f t="shared" ca="1" si="31"/>
        <v>0</v>
      </c>
      <c r="AH214" s="28" t="str" cm="1">
        <f t="array" aca="1" ref="AH214" ca="1">IF((AD214) &lt; (INDEX(ResponseSLA[#All],(MATCH((G214),ResponseSLA[Priority],0))+1,3)),"YES","No")</f>
        <v>YES</v>
      </c>
      <c r="AI214" s="28" t="str">
        <f ca="1">_xlfn.IFNA(IF(AE214 &lt; (INDEX(SLATable[Minimum SLA],MATCH(G214,SLATable[Priority],0))),"YES","NO"),"")</f>
        <v>YES</v>
      </c>
      <c r="AJ214" s="28" t="str">
        <f ca="1">_xlfn.IFNA(IF(AE214 &lt; (INDEX(SLATable[Maximum SLA],MATCH(G214,SLATable[Priority],0))),"YES","NO"),"")</f>
        <v>YES</v>
      </c>
    </row>
    <row r="215" spans="2:36" ht="15" customHeight="1">
      <c r="B215" s="127" t="s">
        <v>26</v>
      </c>
      <c r="C215" s="127" t="s">
        <v>35</v>
      </c>
      <c r="D215" s="127" t="s">
        <v>207</v>
      </c>
      <c r="E215" s="127" t="s">
        <v>1496</v>
      </c>
      <c r="F215" s="127" t="s">
        <v>295</v>
      </c>
      <c r="G215" s="127">
        <v>3</v>
      </c>
      <c r="H215" s="127" t="s">
        <v>1213</v>
      </c>
      <c r="I215" s="127" t="s">
        <v>271</v>
      </c>
      <c r="J215" s="127" t="s">
        <v>1454</v>
      </c>
      <c r="K215" s="129">
        <v>46172.06145833333</v>
      </c>
      <c r="L215" s="129">
        <v>46172.065057870372</v>
      </c>
      <c r="M215" s="129">
        <v>46172.182222222225</v>
      </c>
      <c r="N215" s="129">
        <v>46173.259641203702</v>
      </c>
      <c r="O215" s="129"/>
      <c r="P215" s="129"/>
      <c r="Q215" s="127" t="s">
        <v>1211</v>
      </c>
      <c r="R215" s="127" t="s">
        <v>267</v>
      </c>
      <c r="S215" s="127" t="s">
        <v>199</v>
      </c>
      <c r="T215" s="127"/>
      <c r="U215" s="127" t="s">
        <v>371</v>
      </c>
      <c r="V215" s="127"/>
      <c r="W215" s="127"/>
      <c r="X215" s="127"/>
      <c r="Y215" s="127"/>
      <c r="Z215" s="169">
        <f t="shared" ca="1" si="25"/>
        <v>0</v>
      </c>
      <c r="AA215" s="170">
        <f t="shared" ca="1" si="26"/>
        <v>0</v>
      </c>
      <c r="AB215" s="169">
        <f t="shared" ca="1" si="27"/>
        <v>0</v>
      </c>
      <c r="AC215" s="170">
        <f t="shared" ca="1" si="28"/>
        <v>0</v>
      </c>
      <c r="AD215" s="169">
        <f t="shared" ca="1" si="29"/>
        <v>0</v>
      </c>
      <c r="AE215" s="169">
        <f t="shared" ca="1" si="24"/>
        <v>0</v>
      </c>
      <c r="AF215" s="170">
        <f t="shared" ca="1" si="30"/>
        <v>0</v>
      </c>
      <c r="AG215" s="170">
        <f t="shared" ca="1" si="31"/>
        <v>0</v>
      </c>
      <c r="AH215" s="28" t="str" cm="1">
        <f t="array" aca="1" ref="AH215" ca="1">IF((AD215) &lt; (INDEX(ResponseSLA[#All],(MATCH((G215),ResponseSLA[Priority],0))+1,3)),"YES","No")</f>
        <v>YES</v>
      </c>
      <c r="AI215" s="28" t="str">
        <f ca="1">_xlfn.IFNA(IF(AE215 &lt; (INDEX(SLATable[Minimum SLA],MATCH(G215,SLATable[Priority],0))),"YES","NO"),"")</f>
        <v>YES</v>
      </c>
      <c r="AJ215" s="28" t="str">
        <f ca="1">_xlfn.IFNA(IF(AE215 &lt; (INDEX(SLATable[Maximum SLA],MATCH(G215,SLATable[Priority],0))),"YES","NO"),"")</f>
        <v>YES</v>
      </c>
    </row>
    <row r="216" spans="2:36" ht="15" customHeight="1">
      <c r="B216" s="127" t="s">
        <v>26</v>
      </c>
      <c r="C216" s="127" t="s">
        <v>35</v>
      </c>
      <c r="D216" s="127" t="s">
        <v>207</v>
      </c>
      <c r="E216" s="127" t="s">
        <v>1497</v>
      </c>
      <c r="F216" s="127" t="s">
        <v>301</v>
      </c>
      <c r="G216" s="127">
        <v>2</v>
      </c>
      <c r="H216" s="127" t="s">
        <v>1498</v>
      </c>
      <c r="I216" s="127" t="s">
        <v>271</v>
      </c>
      <c r="J216" s="127" t="s">
        <v>1454</v>
      </c>
      <c r="K216" s="129">
        <v>46171.536539351851</v>
      </c>
      <c r="L216" s="129">
        <v>46171.560011574074</v>
      </c>
      <c r="M216" s="129">
        <v>46171.622858796298</v>
      </c>
      <c r="N216" s="129">
        <v>46171.633958333332</v>
      </c>
      <c r="O216" s="129"/>
      <c r="P216" s="129"/>
      <c r="Q216" s="127" t="s">
        <v>1499</v>
      </c>
      <c r="R216" s="127" t="s">
        <v>267</v>
      </c>
      <c r="S216" s="127" t="s">
        <v>1455</v>
      </c>
      <c r="T216" s="127"/>
      <c r="U216" s="127" t="s">
        <v>371</v>
      </c>
      <c r="V216" s="127"/>
      <c r="W216" s="127"/>
      <c r="X216" s="127"/>
      <c r="Y216" s="127"/>
      <c r="Z216" s="169">
        <f t="shared" ca="1" si="25"/>
        <v>9.7418981480586808E-2</v>
      </c>
      <c r="AA216" s="170">
        <f t="shared" ca="1" si="26"/>
        <v>0.25978395061489817</v>
      </c>
      <c r="AB216" s="169">
        <f t="shared" ca="1" si="27"/>
        <v>7.3946759257523809E-2</v>
      </c>
      <c r="AC216" s="170">
        <f t="shared" ca="1" si="28"/>
        <v>0.19719135802006349</v>
      </c>
      <c r="AD216" s="169">
        <f t="shared" ca="1" si="29"/>
        <v>6.2847222223354038E-2</v>
      </c>
      <c r="AE216" s="169">
        <f t="shared" ca="1" si="24"/>
        <v>0.16427083333110204</v>
      </c>
      <c r="AF216" s="170">
        <f t="shared" ca="1" si="30"/>
        <v>0.43805555554960546</v>
      </c>
      <c r="AG216" s="170">
        <f t="shared" ca="1" si="31"/>
        <v>0.43805555554960546</v>
      </c>
      <c r="AH216" s="28" t="str" cm="1">
        <f t="array" aca="1" ref="AH216" ca="1">IF((AD216) &lt; (INDEX(ResponseSLA[#All],(MATCH((G216),ResponseSLA[Priority],0))+1,3)),"YES","No")</f>
        <v>No</v>
      </c>
      <c r="AI216" s="28" t="str">
        <f ca="1">_xlfn.IFNA(IF(AE216 &lt; (INDEX(SLATable[Minimum SLA],MATCH(G216,SLATable[Priority],0))),"YES","NO"),"")</f>
        <v>NO</v>
      </c>
      <c r="AJ216" s="28" t="str">
        <f ca="1">_xlfn.IFNA(IF(AE216 &lt; (INDEX(SLATable[Maximum SLA],MATCH(G216,SLATable[Priority],0))),"YES","NO"),"")</f>
        <v>YES</v>
      </c>
    </row>
    <row r="217" spans="2:36" ht="15" customHeight="1">
      <c r="B217" s="127" t="s">
        <v>26</v>
      </c>
      <c r="C217" s="127" t="s">
        <v>35</v>
      </c>
      <c r="D217" s="127" t="s">
        <v>207</v>
      </c>
      <c r="E217" s="127" t="s">
        <v>1500</v>
      </c>
      <c r="F217" s="127" t="s">
        <v>295</v>
      </c>
      <c r="G217" s="127">
        <v>2</v>
      </c>
      <c r="H217" s="127" t="s">
        <v>1501</v>
      </c>
      <c r="I217" s="127" t="s">
        <v>271</v>
      </c>
      <c r="J217" s="127" t="s">
        <v>1454</v>
      </c>
      <c r="K217" s="129">
        <v>46171.311064814814</v>
      </c>
      <c r="L217" s="129">
        <v>46171.311099537037</v>
      </c>
      <c r="M217" s="129">
        <v>46171.387523148151</v>
      </c>
      <c r="N217" s="129">
        <v>46171.400324074071</v>
      </c>
      <c r="O217" s="129"/>
      <c r="P217" s="129"/>
      <c r="Q217" s="127" t="s">
        <v>1113</v>
      </c>
      <c r="R217" s="127" t="s">
        <v>267</v>
      </c>
      <c r="S217" s="127" t="s">
        <v>1502</v>
      </c>
      <c r="T217" s="127"/>
      <c r="U217" s="127" t="s">
        <v>371</v>
      </c>
      <c r="V217" s="127"/>
      <c r="W217" s="127"/>
      <c r="X217" s="127"/>
      <c r="Y217" s="127"/>
      <c r="Z217" s="169">
        <f t="shared" ca="1" si="25"/>
        <v>8.925925925723277E-2</v>
      </c>
      <c r="AA217" s="170">
        <f t="shared" ca="1" si="26"/>
        <v>0.23802469135262072</v>
      </c>
      <c r="AB217" s="169">
        <f t="shared" ca="1" si="27"/>
        <v>8.9224537034169771E-2</v>
      </c>
      <c r="AC217" s="170">
        <f t="shared" ca="1" si="28"/>
        <v>0.23793209875778606</v>
      </c>
      <c r="AD217" s="169">
        <f t="shared" ca="1" si="29"/>
        <v>7.6423611113568768E-2</v>
      </c>
      <c r="AE217" s="169">
        <f t="shared" ca="1" si="24"/>
        <v>0.17848379629140254</v>
      </c>
      <c r="AF217" s="170">
        <f t="shared" ca="1" si="30"/>
        <v>0.47595679011040676</v>
      </c>
      <c r="AG217" s="170">
        <f t="shared" ca="1" si="31"/>
        <v>0.47595679011040676</v>
      </c>
      <c r="AH217" s="28" t="str" cm="1">
        <f t="array" aca="1" ref="AH217" ca="1">IF((AD217) &lt; (INDEX(ResponseSLA[#All],(MATCH((G217),ResponseSLA[Priority],0))+1,3)),"YES","No")</f>
        <v>No</v>
      </c>
      <c r="AI217" s="28" t="str">
        <f ca="1">_xlfn.IFNA(IF(AE217 &lt; (INDEX(SLATable[Minimum SLA],MATCH(G217,SLATable[Priority],0))),"YES","NO"),"")</f>
        <v>NO</v>
      </c>
      <c r="AJ217" s="28" t="str">
        <f ca="1">_xlfn.IFNA(IF(AE217 &lt; (INDEX(SLATable[Maximum SLA],MATCH(G217,SLATable[Priority],0))),"YES","NO"),"")</f>
        <v>YES</v>
      </c>
    </row>
    <row r="218" spans="2:36" ht="15" customHeight="1">
      <c r="B218" s="127" t="s">
        <v>26</v>
      </c>
      <c r="C218" s="127" t="s">
        <v>35</v>
      </c>
      <c r="D218" s="127" t="s">
        <v>207</v>
      </c>
      <c r="E218" s="127" t="s">
        <v>1503</v>
      </c>
      <c r="F218" s="127" t="s">
        <v>295</v>
      </c>
      <c r="G218" s="127">
        <v>3</v>
      </c>
      <c r="H218" s="127" t="s">
        <v>1213</v>
      </c>
      <c r="I218" s="127" t="s">
        <v>271</v>
      </c>
      <c r="J218" s="127" t="s">
        <v>1454</v>
      </c>
      <c r="K218" s="129">
        <v>46169.544872685183</v>
      </c>
      <c r="L218" s="129">
        <v>46169.552905092591</v>
      </c>
      <c r="M218" s="129">
        <v>46169.688761574071</v>
      </c>
      <c r="N218" s="129">
        <v>46170.437581018516</v>
      </c>
      <c r="O218" s="129"/>
      <c r="P218" s="129"/>
      <c r="Q218" s="127" t="s">
        <v>1211</v>
      </c>
      <c r="R218" s="127" t="s">
        <v>267</v>
      </c>
      <c r="S218" s="127" t="s">
        <v>199</v>
      </c>
      <c r="T218" s="127"/>
      <c r="U218" s="127" t="s">
        <v>371</v>
      </c>
      <c r="V218" s="127"/>
      <c r="W218" s="127"/>
      <c r="X218" s="127"/>
      <c r="Y218" s="127"/>
      <c r="Z218" s="169">
        <f t="shared" ca="1" si="25"/>
        <v>0.26770833333284827</v>
      </c>
      <c r="AA218" s="170">
        <f t="shared" ca="1" si="26"/>
        <v>0.71388888888759539</v>
      </c>
      <c r="AB218" s="169">
        <f t="shared" ca="1" si="27"/>
        <v>0.25967592592496658</v>
      </c>
      <c r="AC218" s="170">
        <f t="shared" ca="1" si="28"/>
        <v>0.69246913579991087</v>
      </c>
      <c r="AD218" s="169">
        <f t="shared" ca="1" si="29"/>
        <v>0.13585648148000473</v>
      </c>
      <c r="AE218" s="169">
        <f t="shared" ca="1" si="24"/>
        <v>0.25967592592496658</v>
      </c>
      <c r="AF218" s="170">
        <f t="shared" ca="1" si="30"/>
        <v>0.69246913579991087</v>
      </c>
      <c r="AG218" s="170">
        <f t="shared" ca="1" si="31"/>
        <v>0.69246913579991087</v>
      </c>
      <c r="AH218" s="28" t="str" cm="1">
        <f t="array" aca="1" ref="AH218" ca="1">IF((AD218) &lt; (INDEX(ResponseSLA[#All],(MATCH((G218),ResponseSLA[Priority],0))+1,3)),"YES","No")</f>
        <v>No</v>
      </c>
      <c r="AI218" s="28" t="str">
        <f ca="1">_xlfn.IFNA(IF(AE218 &lt; (INDEX(SLATable[Minimum SLA],MATCH(G218,SLATable[Priority],0))),"YES","NO"),"")</f>
        <v>YES</v>
      </c>
      <c r="AJ218" s="28" t="str">
        <f ca="1">_xlfn.IFNA(IF(AE218 &lt; (INDEX(SLATable[Maximum SLA],MATCH(G218,SLATable[Priority],0))),"YES","NO"),"")</f>
        <v>YES</v>
      </c>
    </row>
    <row r="219" spans="2:36" ht="15" customHeight="1">
      <c r="B219" s="127" t="s">
        <v>26</v>
      </c>
      <c r="C219" s="127" t="s">
        <v>35</v>
      </c>
      <c r="D219" s="127" t="s">
        <v>207</v>
      </c>
      <c r="E219" s="127" t="s">
        <v>1504</v>
      </c>
      <c r="F219" s="127" t="s">
        <v>295</v>
      </c>
      <c r="G219" s="127">
        <v>3</v>
      </c>
      <c r="H219" s="127" t="s">
        <v>1213</v>
      </c>
      <c r="I219" s="127" t="s">
        <v>271</v>
      </c>
      <c r="J219" s="127" t="s">
        <v>1454</v>
      </c>
      <c r="K219" s="129">
        <v>46169.475057870368</v>
      </c>
      <c r="L219" s="129">
        <v>46169.494467592594</v>
      </c>
      <c r="M219" s="129">
        <v>46169.688344907408</v>
      </c>
      <c r="N219" s="129">
        <v>46170.438055555554</v>
      </c>
      <c r="O219" s="129"/>
      <c r="P219" s="129"/>
      <c r="Q219" s="127" t="s">
        <v>1211</v>
      </c>
      <c r="R219" s="127" t="s">
        <v>267</v>
      </c>
      <c r="S219" s="127" t="s">
        <v>199</v>
      </c>
      <c r="T219" s="127"/>
      <c r="U219" s="127" t="s">
        <v>371</v>
      </c>
      <c r="V219" s="127"/>
      <c r="W219" s="127"/>
      <c r="X219" s="127"/>
      <c r="Y219" s="127"/>
      <c r="Z219" s="169">
        <f t="shared" ca="1" si="25"/>
        <v>0.33799768518656492</v>
      </c>
      <c r="AA219" s="170">
        <f t="shared" ca="1" si="26"/>
        <v>0.9013271604975065</v>
      </c>
      <c r="AB219" s="169">
        <f t="shared" ca="1" si="27"/>
        <v>0.31858796296000946</v>
      </c>
      <c r="AC219" s="170">
        <f t="shared" ca="1" si="28"/>
        <v>0.8495679012266919</v>
      </c>
      <c r="AD219" s="169">
        <f t="shared" ca="1" si="29"/>
        <v>0.19387731481401715</v>
      </c>
      <c r="AE219" s="169">
        <f t="shared" ca="1" si="24"/>
        <v>0.31858796296000946</v>
      </c>
      <c r="AF219" s="170">
        <f t="shared" ca="1" si="30"/>
        <v>0.8495679012266919</v>
      </c>
      <c r="AG219" s="170">
        <f t="shared" ca="1" si="31"/>
        <v>0.8495679012266919</v>
      </c>
      <c r="AH219" s="28" t="str" cm="1">
        <f t="array" aca="1" ref="AH219" ca="1">IF((AD219) &lt; (INDEX(ResponseSLA[#All],(MATCH((G219),ResponseSLA[Priority],0))+1,3)),"YES","No")</f>
        <v>No</v>
      </c>
      <c r="AI219" s="28" t="str">
        <f ca="1">_xlfn.IFNA(IF(AE219 &lt; (INDEX(SLATable[Minimum SLA],MATCH(G219,SLATable[Priority],0))),"YES","NO"),"")</f>
        <v>YES</v>
      </c>
      <c r="AJ219" s="28" t="str">
        <f ca="1">_xlfn.IFNA(IF(AE219 &lt; (INDEX(SLATable[Maximum SLA],MATCH(G219,SLATable[Priority],0))),"YES","NO"),"")</f>
        <v>YES</v>
      </c>
    </row>
    <row r="220" spans="2:36" ht="15" customHeight="1">
      <c r="B220" s="127" t="s">
        <v>26</v>
      </c>
      <c r="C220" s="127" t="s">
        <v>35</v>
      </c>
      <c r="D220" s="127" t="s">
        <v>207</v>
      </c>
      <c r="E220" s="127" t="s">
        <v>1505</v>
      </c>
      <c r="F220" s="127" t="s">
        <v>295</v>
      </c>
      <c r="G220" s="127">
        <v>3</v>
      </c>
      <c r="H220" s="127" t="s">
        <v>1213</v>
      </c>
      <c r="I220" s="127" t="s">
        <v>271</v>
      </c>
      <c r="J220" s="127" t="s">
        <v>1454</v>
      </c>
      <c r="K220" s="129">
        <v>46169.434050925927</v>
      </c>
      <c r="L220" s="129">
        <v>46169.43949074074</v>
      </c>
      <c r="M220" s="129">
        <v>46169.68855324074</v>
      </c>
      <c r="N220" s="129">
        <v>46170.437083333331</v>
      </c>
      <c r="O220" s="129"/>
      <c r="P220" s="129"/>
      <c r="Q220" s="127" t="s">
        <v>1211</v>
      </c>
      <c r="R220" s="127" t="s">
        <v>267</v>
      </c>
      <c r="S220" s="127" t="s">
        <v>199</v>
      </c>
      <c r="T220" s="127"/>
      <c r="U220" s="127" t="s">
        <v>371</v>
      </c>
      <c r="V220" s="127"/>
      <c r="W220" s="127"/>
      <c r="X220" s="127"/>
      <c r="Y220" s="127"/>
      <c r="Z220" s="169">
        <f t="shared" ca="1" si="25"/>
        <v>0.37803240740322508</v>
      </c>
      <c r="AA220" s="170">
        <f t="shared" ca="1" si="26"/>
        <v>1.0080864197419335</v>
      </c>
      <c r="AB220" s="169">
        <f t="shared" ca="1" si="27"/>
        <v>0.37259259259008104</v>
      </c>
      <c r="AC220" s="170">
        <f t="shared" ca="1" si="28"/>
        <v>0.99358024690688274</v>
      </c>
      <c r="AD220" s="169">
        <f t="shared" ca="1" si="29"/>
        <v>0.24906249999912689</v>
      </c>
      <c r="AE220" s="169">
        <f t="shared" ca="1" si="24"/>
        <v>0.37259259259008104</v>
      </c>
      <c r="AF220" s="170">
        <f t="shared" ca="1" si="30"/>
        <v>0.99358024690688274</v>
      </c>
      <c r="AG220" s="170">
        <f t="shared" ca="1" si="31"/>
        <v>0.99358024690688274</v>
      </c>
      <c r="AH220" s="28" t="str" cm="1">
        <f t="array" aca="1" ref="AH220" ca="1">IF((AD220) &lt; (INDEX(ResponseSLA[#All],(MATCH((G220),ResponseSLA[Priority],0))+1,3)),"YES","No")</f>
        <v>No</v>
      </c>
      <c r="AI220" s="28" t="str">
        <f ca="1">_xlfn.IFNA(IF(AE220 &lt; (INDEX(SLATable[Minimum SLA],MATCH(G220,SLATable[Priority],0))),"YES","NO"),"")</f>
        <v>YES</v>
      </c>
      <c r="AJ220" s="28" t="str">
        <f ca="1">_xlfn.IFNA(IF(AE220 &lt; (INDEX(SLATable[Maximum SLA],MATCH(G220,SLATable[Priority],0))),"YES","NO"),"")</f>
        <v>YES</v>
      </c>
    </row>
    <row r="221" spans="2:36" ht="15" customHeight="1">
      <c r="B221" s="127" t="s">
        <v>26</v>
      </c>
      <c r="C221" s="127" t="s">
        <v>35</v>
      </c>
      <c r="D221" s="127" t="s">
        <v>207</v>
      </c>
      <c r="E221" s="127" t="s">
        <v>1506</v>
      </c>
      <c r="F221" s="127" t="s">
        <v>292</v>
      </c>
      <c r="G221" s="127">
        <v>3</v>
      </c>
      <c r="H221" s="127" t="s">
        <v>1507</v>
      </c>
      <c r="I221" s="127" t="s">
        <v>271</v>
      </c>
      <c r="J221" s="127" t="s">
        <v>1454</v>
      </c>
      <c r="K221" s="129">
        <v>46168.609907407408</v>
      </c>
      <c r="L221" s="129">
        <v>46168.668217592596</v>
      </c>
      <c r="M221" s="129">
        <v>46169.279097222221</v>
      </c>
      <c r="N221" s="129">
        <v>46170.45590277778</v>
      </c>
      <c r="O221" s="129"/>
      <c r="P221" s="129"/>
      <c r="Q221" s="127" t="s">
        <v>1073</v>
      </c>
      <c r="R221" s="127" t="s">
        <v>267</v>
      </c>
      <c r="S221" s="127" t="s">
        <v>149</v>
      </c>
      <c r="T221" s="127"/>
      <c r="U221" s="127" t="s">
        <v>371</v>
      </c>
      <c r="V221" s="127"/>
      <c r="W221" s="127"/>
      <c r="X221" s="127"/>
      <c r="Y221" s="127"/>
      <c r="Z221" s="169">
        <f t="shared" ca="1" si="25"/>
        <v>0.59599537037138361</v>
      </c>
      <c r="AA221" s="170">
        <f t="shared" ca="1" si="26"/>
        <v>1.5893209876570229</v>
      </c>
      <c r="AB221" s="169">
        <f t="shared" ca="1" si="27"/>
        <v>0.5376851851833635</v>
      </c>
      <c r="AC221" s="170">
        <f t="shared" ca="1" si="28"/>
        <v>1.4338271604889694</v>
      </c>
      <c r="AD221" s="169">
        <f t="shared" ca="1" si="29"/>
        <v>4.0115740737140526E-2</v>
      </c>
      <c r="AE221" s="169">
        <f t="shared" ca="1" si="24"/>
        <v>0.5376851851833635</v>
      </c>
      <c r="AF221" s="170">
        <f t="shared" ca="1" si="30"/>
        <v>1.4338271604889694</v>
      </c>
      <c r="AG221" s="170">
        <f t="shared" ca="1" si="31"/>
        <v>1.4338271604889694</v>
      </c>
      <c r="AH221" s="28" t="str" cm="1">
        <f t="array" aca="1" ref="AH221" ca="1">IF((AD221) &lt; (INDEX(ResponseSLA[#All],(MATCH((G221),ResponseSLA[Priority],0))+1,3)),"YES","No")</f>
        <v>YES</v>
      </c>
      <c r="AI221" s="28" t="str">
        <f ca="1">_xlfn.IFNA(IF(AE221 &lt; (INDEX(SLATable[Minimum SLA],MATCH(G221,SLATable[Priority],0))),"YES","NO"),"")</f>
        <v>NO</v>
      </c>
      <c r="AJ221" s="28" t="str">
        <f ca="1">_xlfn.IFNA(IF(AE221 &lt; (INDEX(SLATable[Maximum SLA],MATCH(G221,SLATable[Priority],0))),"YES","NO"),"")</f>
        <v>YES</v>
      </c>
    </row>
    <row r="222" spans="2:36" ht="15" customHeight="1">
      <c r="B222" s="127" t="s">
        <v>26</v>
      </c>
      <c r="C222" s="127" t="s">
        <v>35</v>
      </c>
      <c r="D222" s="127" t="s">
        <v>207</v>
      </c>
      <c r="E222" s="127" t="s">
        <v>1508</v>
      </c>
      <c r="F222" s="127" t="s">
        <v>292</v>
      </c>
      <c r="G222" s="127">
        <v>3</v>
      </c>
      <c r="H222" s="127" t="s">
        <v>1509</v>
      </c>
      <c r="I222" s="127" t="s">
        <v>271</v>
      </c>
      <c r="J222" s="127" t="s">
        <v>1454</v>
      </c>
      <c r="K222" s="129">
        <v>46168.609872685185</v>
      </c>
      <c r="L222" s="129">
        <v>46168.667939814812</v>
      </c>
      <c r="M222" s="129">
        <v>46169.277951388889</v>
      </c>
      <c r="N222" s="129">
        <v>46170.455324074072</v>
      </c>
      <c r="O222" s="129"/>
      <c r="P222" s="129"/>
      <c r="Q222" s="127" t="s">
        <v>1073</v>
      </c>
      <c r="R222" s="127" t="s">
        <v>267</v>
      </c>
      <c r="S222" s="127" t="s">
        <v>149</v>
      </c>
      <c r="T222" s="127"/>
      <c r="U222" s="127" t="s">
        <v>371</v>
      </c>
      <c r="V222" s="127"/>
      <c r="W222" s="127"/>
      <c r="X222" s="127"/>
      <c r="Y222" s="127"/>
      <c r="Z222" s="169">
        <f t="shared" ca="1" si="25"/>
        <v>0.59545138888643123</v>
      </c>
      <c r="AA222" s="170">
        <f t="shared" ca="1" si="26"/>
        <v>1.5878703703638166</v>
      </c>
      <c r="AB222" s="169">
        <f t="shared" ca="1" si="27"/>
        <v>0.53738425925985212</v>
      </c>
      <c r="AC222" s="170">
        <f t="shared" ca="1" si="28"/>
        <v>1.4330246913596056</v>
      </c>
      <c r="AD222" s="169">
        <f t="shared" ca="1" si="29"/>
        <v>4.0393518521644523E-2</v>
      </c>
      <c r="AE222" s="169">
        <f t="shared" ca="1" si="24"/>
        <v>0.53738425925985212</v>
      </c>
      <c r="AF222" s="170">
        <f t="shared" ca="1" si="30"/>
        <v>1.4330246913596056</v>
      </c>
      <c r="AG222" s="170">
        <f t="shared" ca="1" si="31"/>
        <v>1.4330246913596056</v>
      </c>
      <c r="AH222" s="28" t="str" cm="1">
        <f t="array" aca="1" ref="AH222" ca="1">IF((AD222) &lt; (INDEX(ResponseSLA[#All],(MATCH((G222),ResponseSLA[Priority],0))+1,3)),"YES","No")</f>
        <v>YES</v>
      </c>
      <c r="AI222" s="28" t="str">
        <f ca="1">_xlfn.IFNA(IF(AE222 &lt; (INDEX(SLATable[Minimum SLA],MATCH(G222,SLATable[Priority],0))),"YES","NO"),"")</f>
        <v>NO</v>
      </c>
      <c r="AJ222" s="28" t="str">
        <f ca="1">_xlfn.IFNA(IF(AE222 &lt; (INDEX(SLATable[Maximum SLA],MATCH(G222,SLATable[Priority],0))),"YES","NO"),"")</f>
        <v>YES</v>
      </c>
    </row>
    <row r="223" spans="2:36" ht="15" customHeight="1">
      <c r="B223" s="127" t="s">
        <v>26</v>
      </c>
      <c r="C223" s="127" t="s">
        <v>35</v>
      </c>
      <c r="D223" s="127" t="s">
        <v>207</v>
      </c>
      <c r="E223" s="127" t="s">
        <v>1510</v>
      </c>
      <c r="F223" s="127" t="s">
        <v>295</v>
      </c>
      <c r="G223" s="127">
        <v>3</v>
      </c>
      <c r="H223" s="127" t="s">
        <v>1213</v>
      </c>
      <c r="I223" s="127" t="s">
        <v>271</v>
      </c>
      <c r="J223" s="127" t="s">
        <v>1454</v>
      </c>
      <c r="K223" s="129">
        <v>46168.563564814816</v>
      </c>
      <c r="L223" s="129">
        <v>46168.580081018517</v>
      </c>
      <c r="M223" s="129">
        <v>46168.686574074076</v>
      </c>
      <c r="N223" s="129">
        <v>46170.438738425924</v>
      </c>
      <c r="O223" s="129"/>
      <c r="P223" s="129"/>
      <c r="Q223" s="127" t="s">
        <v>1211</v>
      </c>
      <c r="R223" s="127" t="s">
        <v>267</v>
      </c>
      <c r="S223" s="127" t="s">
        <v>1455</v>
      </c>
      <c r="T223" s="127"/>
      <c r="U223" s="127" t="s">
        <v>371</v>
      </c>
      <c r="V223" s="127"/>
      <c r="W223" s="127"/>
      <c r="X223" s="127"/>
      <c r="Y223" s="127"/>
      <c r="Z223" s="169">
        <f t="shared" ca="1" si="25"/>
        <v>0.62517361110803904</v>
      </c>
      <c r="AA223" s="170">
        <f t="shared" ca="1" si="26"/>
        <v>1.6671296296214375</v>
      </c>
      <c r="AB223" s="169">
        <f t="shared" ca="1" si="27"/>
        <v>0.60865740740700858</v>
      </c>
      <c r="AC223" s="170">
        <f t="shared" ca="1" si="28"/>
        <v>1.6230864197520229</v>
      </c>
      <c r="AD223" s="169">
        <f t="shared" ca="1" si="29"/>
        <v>0.10649305555853061</v>
      </c>
      <c r="AE223" s="169">
        <f t="shared" ca="1" si="24"/>
        <v>0.60865740740700858</v>
      </c>
      <c r="AF223" s="170">
        <f t="shared" ca="1" si="30"/>
        <v>1.6230864197520229</v>
      </c>
      <c r="AG223" s="170">
        <f t="shared" ca="1" si="31"/>
        <v>1.6230864197520229</v>
      </c>
      <c r="AH223" s="28" t="str" cm="1">
        <f t="array" aca="1" ref="AH223" ca="1">IF((AD223) &lt; (INDEX(ResponseSLA[#All],(MATCH((G223),ResponseSLA[Priority],0))+1,3)),"YES","No")</f>
        <v>No</v>
      </c>
      <c r="AI223" s="28" t="str">
        <f ca="1">_xlfn.IFNA(IF(AE223 &lt; (INDEX(SLATable[Minimum SLA],MATCH(G223,SLATable[Priority],0))),"YES","NO"),"")</f>
        <v>NO</v>
      </c>
      <c r="AJ223" s="28" t="str">
        <f ca="1">_xlfn.IFNA(IF(AE223 &lt; (INDEX(SLATable[Maximum SLA],MATCH(G223,SLATable[Priority],0))),"YES","NO"),"")</f>
        <v>YES</v>
      </c>
    </row>
    <row r="224" spans="2:36" ht="15" customHeight="1">
      <c r="B224" s="127" t="s">
        <v>26</v>
      </c>
      <c r="C224" s="127" t="s">
        <v>35</v>
      </c>
      <c r="D224" s="127" t="s">
        <v>207</v>
      </c>
      <c r="E224" s="127" t="s">
        <v>1511</v>
      </c>
      <c r="F224" s="127" t="s">
        <v>292</v>
      </c>
      <c r="G224" s="127">
        <v>3</v>
      </c>
      <c r="H224" s="127" t="s">
        <v>1512</v>
      </c>
      <c r="I224" s="127" t="s">
        <v>271</v>
      </c>
      <c r="J224" s="127" t="s">
        <v>1454</v>
      </c>
      <c r="K224" s="129">
        <v>46168.46675925926</v>
      </c>
      <c r="L224" s="129">
        <v>46168.49622685185</v>
      </c>
      <c r="M224" s="129">
        <v>46169.376655092594</v>
      </c>
      <c r="N224" s="129">
        <v>46170.446620370371</v>
      </c>
      <c r="O224" s="129"/>
      <c r="P224" s="129"/>
      <c r="Q224" s="127" t="s">
        <v>1073</v>
      </c>
      <c r="R224" s="127" t="s">
        <v>267</v>
      </c>
      <c r="S224" s="127" t="s">
        <v>149</v>
      </c>
      <c r="T224" s="127"/>
      <c r="U224" s="127" t="s">
        <v>371</v>
      </c>
      <c r="V224" s="127"/>
      <c r="W224" s="127"/>
      <c r="X224" s="127"/>
      <c r="Y224" s="127"/>
      <c r="Z224" s="169">
        <f t="shared" ca="1" si="25"/>
        <v>0.72986111111094942</v>
      </c>
      <c r="AA224" s="170">
        <f t="shared" ca="1" si="26"/>
        <v>1.9462962962958652</v>
      </c>
      <c r="AB224" s="169">
        <f t="shared" ca="1" si="27"/>
        <v>0.70039351852028631</v>
      </c>
      <c r="AC224" s="170">
        <f t="shared" ca="1" si="28"/>
        <v>1.8677160493874301</v>
      </c>
      <c r="AD224" s="169">
        <f t="shared" ca="1" si="29"/>
        <v>0.25542824074364034</v>
      </c>
      <c r="AE224" s="169">
        <f t="shared" ca="1" si="24"/>
        <v>0.70039351852028631</v>
      </c>
      <c r="AF224" s="170">
        <f t="shared" ca="1" si="30"/>
        <v>1.8677160493874301</v>
      </c>
      <c r="AG224" s="170">
        <f t="shared" ca="1" si="31"/>
        <v>1.8677160493874301</v>
      </c>
      <c r="AH224" s="28" t="str" cm="1">
        <f t="array" aca="1" ref="AH224" ca="1">IF((AD224) &lt; (INDEX(ResponseSLA[#All],(MATCH((G224),ResponseSLA[Priority],0))+1,3)),"YES","No")</f>
        <v>No</v>
      </c>
      <c r="AI224" s="28" t="str">
        <f ca="1">_xlfn.IFNA(IF(AE224 &lt; (INDEX(SLATable[Minimum SLA],MATCH(G224,SLATable[Priority],0))),"YES","NO"),"")</f>
        <v>NO</v>
      </c>
      <c r="AJ224" s="28" t="str">
        <f ca="1">_xlfn.IFNA(IF(AE224 &lt; (INDEX(SLATable[Maximum SLA],MATCH(G224,SLATable[Priority],0))),"YES","NO"),"")</f>
        <v>YES</v>
      </c>
    </row>
    <row r="225" spans="2:36" ht="15" customHeight="1">
      <c r="B225" s="127" t="s">
        <v>26</v>
      </c>
      <c r="C225" s="127" t="s">
        <v>35</v>
      </c>
      <c r="D225" s="127" t="s">
        <v>207</v>
      </c>
      <c r="E225" s="127" t="s">
        <v>1513</v>
      </c>
      <c r="F225" s="127" t="s">
        <v>292</v>
      </c>
      <c r="G225" s="127">
        <v>3</v>
      </c>
      <c r="H225" s="127" t="s">
        <v>1514</v>
      </c>
      <c r="I225" s="127" t="s">
        <v>271</v>
      </c>
      <c r="J225" s="127" t="s">
        <v>1454</v>
      </c>
      <c r="K225" s="129">
        <v>46168.416898148149</v>
      </c>
      <c r="L225" s="129">
        <v>46168.496458333335</v>
      </c>
      <c r="M225" s="129">
        <v>46169.376145833332</v>
      </c>
      <c r="N225" s="129">
        <v>46170.454131944447</v>
      </c>
      <c r="O225" s="129"/>
      <c r="P225" s="129"/>
      <c r="Q225" s="127" t="s">
        <v>1073</v>
      </c>
      <c r="R225" s="127" t="s">
        <v>267</v>
      </c>
      <c r="S225" s="127" t="s">
        <v>149</v>
      </c>
      <c r="T225" s="127"/>
      <c r="U225" s="127" t="s">
        <v>371</v>
      </c>
      <c r="V225" s="127"/>
      <c r="W225" s="127"/>
      <c r="X225" s="127"/>
      <c r="Y225" s="127"/>
      <c r="Z225" s="169">
        <f t="shared" ca="1" si="25"/>
        <v>0.78723379629809642</v>
      </c>
      <c r="AA225" s="170">
        <f t="shared" ca="1" si="26"/>
        <v>2.0992901234615906</v>
      </c>
      <c r="AB225" s="169">
        <f t="shared" ca="1" si="27"/>
        <v>0.70767361111211358</v>
      </c>
      <c r="AC225" s="170">
        <f t="shared" ca="1" si="28"/>
        <v>1.8871296296323028</v>
      </c>
      <c r="AD225" s="169">
        <f t="shared" ca="1" si="29"/>
        <v>0.25468749999708962</v>
      </c>
      <c r="AE225" s="169">
        <f t="shared" ca="1" si="24"/>
        <v>0.70767361111211358</v>
      </c>
      <c r="AF225" s="170">
        <f t="shared" ca="1" si="30"/>
        <v>1.8871296296323028</v>
      </c>
      <c r="AG225" s="170">
        <f t="shared" ca="1" si="31"/>
        <v>1.8871296296323028</v>
      </c>
      <c r="AH225" s="28" t="str" cm="1">
        <f t="array" aca="1" ref="AH225" ca="1">IF((AD225) &lt; (INDEX(ResponseSLA[#All],(MATCH((G225),ResponseSLA[Priority],0))+1,3)),"YES","No")</f>
        <v>No</v>
      </c>
      <c r="AI225" s="28" t="str">
        <f ca="1">_xlfn.IFNA(IF(AE225 &lt; (INDEX(SLATable[Minimum SLA],MATCH(G225,SLATable[Priority],0))),"YES","NO"),"")</f>
        <v>NO</v>
      </c>
      <c r="AJ225" s="28" t="str">
        <f ca="1">_xlfn.IFNA(IF(AE225 &lt; (INDEX(SLATable[Maximum SLA],MATCH(G225,SLATable[Priority],0))),"YES","NO"),"")</f>
        <v>YES</v>
      </c>
    </row>
    <row r="226" spans="2:36" ht="15" customHeight="1">
      <c r="B226" s="127" t="s">
        <v>26</v>
      </c>
      <c r="C226" s="127" t="s">
        <v>35</v>
      </c>
      <c r="D226" s="127" t="s">
        <v>207</v>
      </c>
      <c r="E226" s="127" t="s">
        <v>1515</v>
      </c>
      <c r="F226" s="127" t="s">
        <v>292</v>
      </c>
      <c r="G226" s="127">
        <v>4</v>
      </c>
      <c r="H226" s="127" t="s">
        <v>1516</v>
      </c>
      <c r="I226" s="127" t="s">
        <v>271</v>
      </c>
      <c r="J226" s="127" t="s">
        <v>1454</v>
      </c>
      <c r="K226" s="129">
        <v>46168.375902777778</v>
      </c>
      <c r="L226" s="129">
        <v>46168.375925925924</v>
      </c>
      <c r="M226" s="129">
        <v>46168.379444444443</v>
      </c>
      <c r="N226" s="129">
        <v>46171.661851851852</v>
      </c>
      <c r="O226" s="129">
        <v>46168.458865740744</v>
      </c>
      <c r="P226" s="129">
        <v>46171.661851851852</v>
      </c>
      <c r="Q226" s="127" t="s">
        <v>1073</v>
      </c>
      <c r="R226" s="127" t="s">
        <v>267</v>
      </c>
      <c r="S226" s="127" t="s">
        <v>1455</v>
      </c>
      <c r="T226" s="127"/>
      <c r="U226" s="127" t="s">
        <v>371</v>
      </c>
      <c r="V226" s="127"/>
      <c r="W226" s="127"/>
      <c r="X226" s="127"/>
      <c r="Y226" s="127"/>
      <c r="Z226" s="169">
        <f t="shared" ca="1" si="25"/>
        <v>8.2962962966121268E-2</v>
      </c>
      <c r="AA226" s="170">
        <f t="shared" ca="1" si="26"/>
        <v>0.2212345679096567</v>
      </c>
      <c r="AB226" s="169">
        <f t="shared" ca="1" si="27"/>
        <v>8.293981481983792E-2</v>
      </c>
      <c r="AC226" s="170">
        <f t="shared" ca="1" si="28"/>
        <v>0.22117283951956779</v>
      </c>
      <c r="AD226" s="169">
        <f t="shared" ca="1" si="29"/>
        <v>3.5185185188311152E-3</v>
      </c>
      <c r="AE226" s="169">
        <f t="shared" ca="1" si="24"/>
        <v>1.4938888888937074</v>
      </c>
      <c r="AF226" s="170">
        <f t="shared" ca="1" si="30"/>
        <v>3.9837037037165532</v>
      </c>
      <c r="AG226" s="170">
        <f t="shared" ca="1" si="31"/>
        <v>3.9837037037165532</v>
      </c>
      <c r="AH226" s="28" t="str" cm="1">
        <f t="array" aca="1" ref="AH226" ca="1">IF((AD226) &lt; (INDEX(ResponseSLA[#All],(MATCH((G226),ResponseSLA[Priority],0))+1,3)),"YES","No")</f>
        <v>YES</v>
      </c>
      <c r="AI226" s="28" t="str">
        <f ca="1">_xlfn.IFNA(IF(AE226 &lt; (INDEX(SLATable[Minimum SLA],MATCH(G226,SLATable[Priority],0))),"YES","NO"),"")</f>
        <v>YES</v>
      </c>
      <c r="AJ226" s="28" t="str">
        <f ca="1">_xlfn.IFNA(IF(AE226 &lt; (INDEX(SLATable[Maximum SLA],MATCH(G226,SLATable[Priority],0))),"YES","NO"),"")</f>
        <v>YES</v>
      </c>
    </row>
    <row r="227" spans="2:36" ht="15" customHeight="1">
      <c r="B227" s="127" t="s">
        <v>26</v>
      </c>
      <c r="C227" s="127" t="s">
        <v>35</v>
      </c>
      <c r="D227" s="127" t="s">
        <v>207</v>
      </c>
      <c r="E227" s="127" t="s">
        <v>1517</v>
      </c>
      <c r="F227" s="127" t="s">
        <v>292</v>
      </c>
      <c r="G227" s="127">
        <v>4</v>
      </c>
      <c r="H227" s="127" t="s">
        <v>1518</v>
      </c>
      <c r="I227" s="127" t="s">
        <v>271</v>
      </c>
      <c r="J227" s="127" t="s">
        <v>1454</v>
      </c>
      <c r="K227" s="129">
        <v>46167.526365740741</v>
      </c>
      <c r="L227" s="129">
        <v>46167.52747685185</v>
      </c>
      <c r="M227" s="129">
        <v>46168.376956018517</v>
      </c>
      <c r="N227" s="129">
        <v>46173.256898148145</v>
      </c>
      <c r="O227" s="129">
        <v>46168.456365740742</v>
      </c>
      <c r="P227" s="129">
        <v>46173.256898148145</v>
      </c>
      <c r="Q227" s="127" t="s">
        <v>1073</v>
      </c>
      <c r="R227" s="127" t="s">
        <v>267</v>
      </c>
      <c r="S227" s="127" t="s">
        <v>1519</v>
      </c>
      <c r="T227" s="127"/>
      <c r="U227" s="127" t="s">
        <v>371</v>
      </c>
      <c r="V227" s="127"/>
      <c r="W227" s="127"/>
      <c r="X227" s="127"/>
      <c r="Y227" s="127"/>
      <c r="Z227" s="169">
        <f t="shared" ca="1" si="25"/>
        <v>0.12303240740826982</v>
      </c>
      <c r="AA227" s="170">
        <f t="shared" ca="1" si="26"/>
        <v>0.32808641975538616</v>
      </c>
      <c r="AB227" s="169">
        <f t="shared" ca="1" si="27"/>
        <v>0.12303240740826982</v>
      </c>
      <c r="AC227" s="170">
        <f t="shared" ca="1" si="28"/>
        <v>0.32808641975538616</v>
      </c>
      <c r="AD227" s="169">
        <f t="shared" ca="1" si="29"/>
        <v>0</v>
      </c>
      <c r="AE227" s="169">
        <f t="shared" ca="1" si="24"/>
        <v>1.24803240740827</v>
      </c>
      <c r="AF227" s="170">
        <f t="shared" ca="1" si="30"/>
        <v>3.3280864197553868</v>
      </c>
      <c r="AG227" s="170">
        <f t="shared" ca="1" si="31"/>
        <v>3.3280864197553868</v>
      </c>
      <c r="AH227" s="28" t="str" cm="1">
        <f t="array" aca="1" ref="AH227" ca="1">IF((AD227) &lt; (INDEX(ResponseSLA[#All],(MATCH((G227),ResponseSLA[Priority],0))+1,3)),"YES","No")</f>
        <v>YES</v>
      </c>
      <c r="AI227" s="28" t="str">
        <f ca="1">_xlfn.IFNA(IF(AE227 &lt; (INDEX(SLATable[Minimum SLA],MATCH(G227,SLATable[Priority],0))),"YES","NO"),"")</f>
        <v>YES</v>
      </c>
      <c r="AJ227" s="28" t="str">
        <f ca="1">_xlfn.IFNA(IF(AE227 &lt; (INDEX(SLATable[Maximum SLA],MATCH(G227,SLATable[Priority],0))),"YES","NO"),"")</f>
        <v>YES</v>
      </c>
    </row>
    <row r="228" spans="2:36" ht="15" customHeight="1">
      <c r="B228" s="127" t="s">
        <v>26</v>
      </c>
      <c r="C228" s="127" t="s">
        <v>35</v>
      </c>
      <c r="D228" s="127" t="s">
        <v>207</v>
      </c>
      <c r="E228" s="127" t="s">
        <v>1520</v>
      </c>
      <c r="F228" s="127" t="s">
        <v>292</v>
      </c>
      <c r="G228" s="127">
        <v>4</v>
      </c>
      <c r="H228" s="127" t="s">
        <v>1521</v>
      </c>
      <c r="I228" s="127" t="s">
        <v>271</v>
      </c>
      <c r="J228" s="127" t="s">
        <v>1454</v>
      </c>
      <c r="K228" s="129">
        <v>46167.504513888889</v>
      </c>
      <c r="L228" s="129">
        <v>46167.504618055558</v>
      </c>
      <c r="M228" s="129">
        <v>46168.298217592594</v>
      </c>
      <c r="N228" s="129">
        <v>46173.25613425926</v>
      </c>
      <c r="O228" s="129">
        <v>46168.308437500003</v>
      </c>
      <c r="P228" s="129">
        <v>46173.25613425926</v>
      </c>
      <c r="Q228" s="127" t="s">
        <v>1073</v>
      </c>
      <c r="R228" s="127" t="s">
        <v>267</v>
      </c>
      <c r="S228" s="127" t="s">
        <v>1455</v>
      </c>
      <c r="T228" s="127"/>
      <c r="U228" s="127" t="s">
        <v>371</v>
      </c>
      <c r="V228" s="127"/>
      <c r="W228" s="127"/>
      <c r="X228" s="127"/>
      <c r="Y228" s="127"/>
      <c r="Z228" s="169">
        <f t="shared" ca="1" si="25"/>
        <v>0</v>
      </c>
      <c r="AA228" s="170">
        <f t="shared" ca="1" si="26"/>
        <v>0</v>
      </c>
      <c r="AB228" s="169">
        <f t="shared" ca="1" si="27"/>
        <v>0</v>
      </c>
      <c r="AC228" s="170">
        <f t="shared" ca="1" si="28"/>
        <v>0</v>
      </c>
      <c r="AD228" s="169">
        <f t="shared" ca="1" si="29"/>
        <v>0</v>
      </c>
      <c r="AE228" s="169">
        <f t="shared" ca="1" si="24"/>
        <v>1.1250000000000002</v>
      </c>
      <c r="AF228" s="170">
        <f t="shared" ca="1" si="30"/>
        <v>3.0000000000000009</v>
      </c>
      <c r="AG228" s="170">
        <f t="shared" ca="1" si="31"/>
        <v>3.0000000000000009</v>
      </c>
      <c r="AH228" s="28" t="str" cm="1">
        <f t="array" aca="1" ref="AH228" ca="1">IF((AD228) &lt; (INDEX(ResponseSLA[#All],(MATCH((G228),ResponseSLA[Priority],0))+1,3)),"YES","No")</f>
        <v>YES</v>
      </c>
      <c r="AI228" s="28" t="str">
        <f ca="1">_xlfn.IFNA(IF(AE228 &lt; (INDEX(SLATable[Minimum SLA],MATCH(G228,SLATable[Priority],0))),"YES","NO"),"")</f>
        <v>YES</v>
      </c>
      <c r="AJ228" s="28" t="str">
        <f ca="1">_xlfn.IFNA(IF(AE228 &lt; (INDEX(SLATable[Maximum SLA],MATCH(G228,SLATable[Priority],0))),"YES","NO"),"")</f>
        <v>YES</v>
      </c>
    </row>
    <row r="229" spans="2:36" ht="15" customHeight="1">
      <c r="B229" s="127" t="s">
        <v>26</v>
      </c>
      <c r="C229" s="127" t="s">
        <v>35</v>
      </c>
      <c r="D229" s="127" t="s">
        <v>207</v>
      </c>
      <c r="E229" s="127" t="s">
        <v>1522</v>
      </c>
      <c r="F229" s="127" t="s">
        <v>295</v>
      </c>
      <c r="G229" s="127">
        <v>3</v>
      </c>
      <c r="H229" s="127" t="s">
        <v>1523</v>
      </c>
      <c r="I229" s="127" t="s">
        <v>271</v>
      </c>
      <c r="J229" s="127" t="s">
        <v>1454</v>
      </c>
      <c r="K229" s="129">
        <v>46162.245370370372</v>
      </c>
      <c r="L229" s="129">
        <v>46163.682685185187</v>
      </c>
      <c r="M229" s="129">
        <v>46164.271921296298</v>
      </c>
      <c r="N229" s="129">
        <v>46170.442314814813</v>
      </c>
      <c r="O229" s="129">
        <v>46168.457650462966</v>
      </c>
      <c r="P229" s="129">
        <v>46169.403935185182</v>
      </c>
      <c r="Q229" s="127" t="s">
        <v>1137</v>
      </c>
      <c r="R229" s="127" t="s">
        <v>267</v>
      </c>
      <c r="S229" s="127" t="s">
        <v>153</v>
      </c>
      <c r="T229" s="127"/>
      <c r="U229" s="127" t="s">
        <v>371</v>
      </c>
      <c r="V229" s="127"/>
      <c r="W229" s="127"/>
      <c r="X229" s="127"/>
      <c r="Y229" s="127"/>
      <c r="Z229" s="169">
        <f t="shared" ca="1" si="25"/>
        <v>1.6626967592625685</v>
      </c>
      <c r="AA229" s="170">
        <f t="shared" ca="1" si="26"/>
        <v>4.4338580247001822</v>
      </c>
      <c r="AB229" s="169">
        <f t="shared" ca="1" si="27"/>
        <v>0.93834490740846399</v>
      </c>
      <c r="AC229" s="170">
        <f t="shared" ca="1" si="28"/>
        <v>2.5022530864225709</v>
      </c>
      <c r="AD229" s="169">
        <f t="shared" ca="1" si="29"/>
        <v>2.5648148145895333E-2</v>
      </c>
      <c r="AE229" s="169">
        <f t="shared" ca="1" si="24"/>
        <v>0.93834490740846399</v>
      </c>
      <c r="AF229" s="170">
        <f t="shared" ca="1" si="30"/>
        <v>2.5022530864225709</v>
      </c>
      <c r="AG229" s="170">
        <f t="shared" ca="1" si="31"/>
        <v>2.5022530864225709</v>
      </c>
      <c r="AH229" s="28" t="str" cm="1">
        <f t="array" aca="1" ref="AH229" ca="1">IF((AD229) &lt; (INDEX(ResponseSLA[#All],(MATCH((G229),ResponseSLA[Priority],0))+1,3)),"YES","No")</f>
        <v>YES</v>
      </c>
      <c r="AI229" s="28" t="str">
        <f ca="1">_xlfn.IFNA(IF(AE229 &lt; (INDEX(SLATable[Minimum SLA],MATCH(G229,SLATable[Priority],0))),"YES","NO"),"")</f>
        <v>NO</v>
      </c>
      <c r="AJ229" s="28" t="str">
        <f ca="1">_xlfn.IFNA(IF(AE229 &lt; (INDEX(SLATable[Maximum SLA],MATCH(G229,SLATable[Priority],0))),"YES","NO"),"")</f>
        <v>YES</v>
      </c>
    </row>
    <row r="230" spans="2:36" ht="15" customHeight="1">
      <c r="B230" s="127" t="s">
        <v>26</v>
      </c>
      <c r="C230" s="127" t="s">
        <v>35</v>
      </c>
      <c r="D230" s="127" t="s">
        <v>207</v>
      </c>
      <c r="E230" s="127" t="s">
        <v>1524</v>
      </c>
      <c r="F230" s="127" t="s">
        <v>295</v>
      </c>
      <c r="G230" s="127">
        <v>3</v>
      </c>
      <c r="H230" s="127" t="s">
        <v>1525</v>
      </c>
      <c r="I230" s="127" t="s">
        <v>260</v>
      </c>
      <c r="J230" s="127" t="s">
        <v>1454</v>
      </c>
      <c r="K230" s="129">
        <v>46170.206041666665</v>
      </c>
      <c r="L230" s="129">
        <v>46170.206122685187</v>
      </c>
      <c r="M230" s="129">
        <v>46170.251956018517</v>
      </c>
      <c r="N230" s="129"/>
      <c r="O230" s="129"/>
      <c r="P230" s="129"/>
      <c r="Q230" s="127" t="s">
        <v>1211</v>
      </c>
      <c r="R230" s="127"/>
      <c r="S230" s="127"/>
      <c r="T230" s="127"/>
      <c r="U230" s="127" t="s">
        <v>371</v>
      </c>
      <c r="V230" s="127"/>
      <c r="W230" s="127"/>
      <c r="X230" s="127"/>
      <c r="Y230" s="127"/>
      <c r="Z230" s="169">
        <f t="shared" ca="1" si="25"/>
        <v>23.925640740739865</v>
      </c>
      <c r="AA230" s="170">
        <f t="shared" ca="1" si="26"/>
        <v>63.801708641972972</v>
      </c>
      <c r="AB230" s="169">
        <f t="shared" ca="1" si="27"/>
        <v>23.925640856478523</v>
      </c>
      <c r="AC230" s="170">
        <f t="shared" ca="1" si="28"/>
        <v>63.801708950609395</v>
      </c>
      <c r="AD230" s="169">
        <f t="shared" ca="1" si="29"/>
        <v>0</v>
      </c>
      <c r="AE230" s="169">
        <f t="shared" ca="1" si="24"/>
        <v>27.075745023144318</v>
      </c>
      <c r="AF230" s="170">
        <f t="shared" ca="1" si="30"/>
        <v>72.201986728384838</v>
      </c>
      <c r="AG230" s="170">
        <f t="shared" ca="1" si="31"/>
        <v>72.201986728384838</v>
      </c>
      <c r="AH230" s="28" t="str" cm="1">
        <f t="array" aca="1" ref="AH230" ca="1">IF((AD230) &lt; (INDEX(ResponseSLA[#All],(MATCH((G230),ResponseSLA[Priority],0))+1,3)),"YES","No")</f>
        <v>YES</v>
      </c>
      <c r="AI230" s="28" t="str">
        <f ca="1">_xlfn.IFNA(IF(AE230 &lt; (INDEX(SLATable[Minimum SLA],MATCH(G230,SLATable[Priority],0))),"YES","NO"),"")</f>
        <v>NO</v>
      </c>
      <c r="AJ230" s="28" t="str">
        <f ca="1">_xlfn.IFNA(IF(AE230 &lt; (INDEX(SLATable[Maximum SLA],MATCH(G230,SLATable[Priority],0))),"YES","NO"),"")</f>
        <v>NO</v>
      </c>
    </row>
    <row r="231" spans="2:36" ht="15" customHeight="1">
      <c r="B231" s="127" t="s">
        <v>26</v>
      </c>
      <c r="C231" s="127" t="s">
        <v>35</v>
      </c>
      <c r="D231" s="127" t="s">
        <v>208</v>
      </c>
      <c r="E231" s="127" t="s">
        <v>1526</v>
      </c>
      <c r="F231" s="127" t="s">
        <v>292</v>
      </c>
      <c r="G231" s="127" t="s">
        <v>208</v>
      </c>
      <c r="H231" s="127" t="s">
        <v>1527</v>
      </c>
      <c r="I231" s="127" t="s">
        <v>271</v>
      </c>
      <c r="J231" s="127" t="s">
        <v>1454</v>
      </c>
      <c r="K231" s="129">
        <v>46143.66443287037</v>
      </c>
      <c r="L231" s="129">
        <v>46146.572534722225</v>
      </c>
      <c r="M231" s="129">
        <v>46148.443530092591</v>
      </c>
      <c r="N231" s="129">
        <v>46161.381168981483</v>
      </c>
      <c r="O231" s="129"/>
      <c r="P231" s="129"/>
      <c r="Q231" s="127" t="s">
        <v>1073</v>
      </c>
      <c r="R231" s="127" t="s">
        <v>267</v>
      </c>
      <c r="S231" s="127" t="s">
        <v>155</v>
      </c>
      <c r="T231" s="127"/>
      <c r="U231" s="127" t="s">
        <v>371</v>
      </c>
      <c r="V231" s="127"/>
      <c r="W231" s="127"/>
      <c r="X231" s="127"/>
      <c r="Y231" s="127"/>
      <c r="Z231" s="169">
        <f t="shared" ca="1" si="25"/>
        <v>3.7978356481495816</v>
      </c>
      <c r="AA231" s="170">
        <f t="shared" ca="1" si="26"/>
        <v>10.127561728398884</v>
      </c>
      <c r="AB231" s="169">
        <f t="shared" ca="1" si="27"/>
        <v>3.7978356481495816</v>
      </c>
      <c r="AC231" s="170">
        <f t="shared" ca="1" si="28"/>
        <v>10.127561728398884</v>
      </c>
      <c r="AD231" s="169">
        <f t="shared" ca="1" si="29"/>
        <v>0.24599537036556285</v>
      </c>
      <c r="AE231" s="169">
        <f t="shared" ca="1" si="24"/>
        <v>3.7978356481495816</v>
      </c>
      <c r="AF231" s="170">
        <f t="shared" ca="1" si="30"/>
        <v>10.127561728398884</v>
      </c>
      <c r="AG231" s="170">
        <f t="shared" ca="1" si="31"/>
        <v>10.127561728398884</v>
      </c>
      <c r="AH231" s="28" t="str" cm="1">
        <f t="array" aca="1" ref="AH231" ca="1">IF((AD231) &lt; (INDEX(ResponseSLA[#All],(MATCH((G231),ResponseSLA[Priority],0))+1,3)),"YES","No")</f>
        <v>YES</v>
      </c>
      <c r="AI231" s="28" t="str">
        <f ca="1">_xlfn.IFNA(IF(AE231 &lt; (INDEX(SLATable[Minimum SLA],MATCH(G231,SLATable[Priority],0))),"YES","NO"),"")</f>
        <v>NO</v>
      </c>
      <c r="AJ231" s="28" t="str">
        <f ca="1">_xlfn.IFNA(IF(AE231 &lt; (INDEX(SLATable[Maximum SLA],MATCH(G231,SLATable[Priority],0))),"YES","NO"),"")</f>
        <v>NO</v>
      </c>
    </row>
    <row r="232" spans="2:36" ht="15" customHeight="1">
      <c r="B232" s="127" t="s">
        <v>26</v>
      </c>
      <c r="C232" s="127" t="s">
        <v>35</v>
      </c>
      <c r="D232" s="127" t="s">
        <v>208</v>
      </c>
      <c r="E232" s="127" t="s">
        <v>1528</v>
      </c>
      <c r="F232" s="127" t="s">
        <v>303</v>
      </c>
      <c r="G232" s="127" t="s">
        <v>208</v>
      </c>
      <c r="H232" s="127" t="s">
        <v>1529</v>
      </c>
      <c r="I232" s="127" t="s">
        <v>271</v>
      </c>
      <c r="J232" s="127" t="s">
        <v>1454</v>
      </c>
      <c r="K232" s="129">
        <v>46125.253969907404</v>
      </c>
      <c r="L232" s="129">
        <v>46125.253969907404</v>
      </c>
      <c r="M232" s="129">
        <v>46125.488067129627</v>
      </c>
      <c r="N232" s="129">
        <v>46157.412430555552</v>
      </c>
      <c r="O232" s="129">
        <v>46142.411053240743</v>
      </c>
      <c r="P232" s="129">
        <v>46157.412418981483</v>
      </c>
      <c r="Q232" s="127" t="s">
        <v>1251</v>
      </c>
      <c r="R232" s="127" t="s">
        <v>267</v>
      </c>
      <c r="S232" s="127" t="s">
        <v>179</v>
      </c>
      <c r="T232" s="127"/>
      <c r="U232" s="127" t="s">
        <v>371</v>
      </c>
      <c r="V232" s="127"/>
      <c r="W232" s="127"/>
      <c r="X232" s="127"/>
      <c r="Y232" s="127"/>
      <c r="Z232" s="169">
        <f t="shared" ca="1" si="25"/>
        <v>4.9527314814792298</v>
      </c>
      <c r="AA232" s="170">
        <f t="shared" ca="1" si="26"/>
        <v>13.207283950611279</v>
      </c>
      <c r="AB232" s="169">
        <f t="shared" ca="1" si="27"/>
        <v>4.9527314814792298</v>
      </c>
      <c r="AC232" s="170">
        <f t="shared" ca="1" si="28"/>
        <v>13.207283950611279</v>
      </c>
      <c r="AD232" s="169">
        <f t="shared" ca="1" si="29"/>
        <v>0.15473379629353684</v>
      </c>
      <c r="AE232" s="169">
        <f t="shared" ca="1" si="24"/>
        <v>4.9527314814792298</v>
      </c>
      <c r="AF232" s="170">
        <f t="shared" ca="1" si="30"/>
        <v>13.207283950611279</v>
      </c>
      <c r="AG232" s="170">
        <f t="shared" ca="1" si="31"/>
        <v>13.207283950611279</v>
      </c>
      <c r="AH232" s="28" t="str" cm="1">
        <f t="array" aca="1" ref="AH232" ca="1">IF((AD232) &lt; (INDEX(ResponseSLA[#All],(MATCH((G232),ResponseSLA[Priority],0))+1,3)),"YES","No")</f>
        <v>YES</v>
      </c>
      <c r="AI232" s="28" t="str">
        <f ca="1">_xlfn.IFNA(IF(AE232 &lt; (INDEX(SLATable[Minimum SLA],MATCH(G232,SLATable[Priority],0))),"YES","NO"),"")</f>
        <v>NO</v>
      </c>
      <c r="AJ232" s="28" t="str">
        <f ca="1">_xlfn.IFNA(IF(AE232 &lt; (INDEX(SLATable[Maximum SLA],MATCH(G232,SLATable[Priority],0))),"YES","NO"),"")</f>
        <v>NO</v>
      </c>
    </row>
    <row r="233" spans="2:36" ht="15" customHeight="1">
      <c r="B233" s="127" t="s">
        <v>26</v>
      </c>
      <c r="C233" s="127" t="s">
        <v>35</v>
      </c>
      <c r="D233" s="127" t="s">
        <v>208</v>
      </c>
      <c r="E233" s="127" t="s">
        <v>1530</v>
      </c>
      <c r="F233" s="127" t="s">
        <v>303</v>
      </c>
      <c r="G233" s="127" t="s">
        <v>208</v>
      </c>
      <c r="H233" s="127" t="s">
        <v>1531</v>
      </c>
      <c r="I233" s="127" t="s">
        <v>271</v>
      </c>
      <c r="J233" s="127" t="s">
        <v>1454</v>
      </c>
      <c r="K233" s="129">
        <v>46125.253634259258</v>
      </c>
      <c r="L233" s="129">
        <v>46125.253634259258</v>
      </c>
      <c r="M233" s="129">
        <v>46125.51053240741</v>
      </c>
      <c r="N233" s="129">
        <v>46157.413124999999</v>
      </c>
      <c r="O233" s="129">
        <v>46142.410358796296</v>
      </c>
      <c r="P233" s="129">
        <v>46157.413124999999</v>
      </c>
      <c r="Q233" s="127" t="s">
        <v>1251</v>
      </c>
      <c r="R233" s="127" t="s">
        <v>267</v>
      </c>
      <c r="S233" s="127" t="s">
        <v>179</v>
      </c>
      <c r="T233" s="127"/>
      <c r="U233" s="127" t="s">
        <v>371</v>
      </c>
      <c r="V233" s="127"/>
      <c r="W233" s="127"/>
      <c r="X233" s="127"/>
      <c r="Y233" s="127"/>
      <c r="Z233" s="169">
        <f t="shared" ca="1" si="25"/>
        <v>4.952025462963018</v>
      </c>
      <c r="AA233" s="170">
        <f t="shared" ca="1" si="26"/>
        <v>13.205401234568049</v>
      </c>
      <c r="AB233" s="169">
        <f t="shared" ca="1" si="27"/>
        <v>4.952025462963018</v>
      </c>
      <c r="AC233" s="170">
        <f t="shared" ca="1" si="28"/>
        <v>13.205401234568049</v>
      </c>
      <c r="AD233" s="169">
        <f t="shared" ca="1" si="29"/>
        <v>0.17719907407687668</v>
      </c>
      <c r="AE233" s="169">
        <f t="shared" ca="1" si="24"/>
        <v>4.952025462963018</v>
      </c>
      <c r="AF233" s="170">
        <f t="shared" ca="1" si="30"/>
        <v>13.205401234568049</v>
      </c>
      <c r="AG233" s="170">
        <f t="shared" ca="1" si="31"/>
        <v>13.205401234568049</v>
      </c>
      <c r="AH233" s="28" t="str" cm="1">
        <f t="array" aca="1" ref="AH233" ca="1">IF((AD233) &lt; (INDEX(ResponseSLA[#All],(MATCH((G233),ResponseSLA[Priority],0))+1,3)),"YES","No")</f>
        <v>YES</v>
      </c>
      <c r="AI233" s="28" t="str">
        <f ca="1">_xlfn.IFNA(IF(AE233 &lt; (INDEX(SLATable[Minimum SLA],MATCH(G233,SLATable[Priority],0))),"YES","NO"),"")</f>
        <v>NO</v>
      </c>
      <c r="AJ233" s="28" t="str">
        <f ca="1">_xlfn.IFNA(IF(AE233 &lt; (INDEX(SLATable[Maximum SLA],MATCH(G233,SLATable[Priority],0))),"YES","NO"),"")</f>
        <v>NO</v>
      </c>
    </row>
    <row r="234" spans="2:36" ht="15" customHeight="1">
      <c r="B234" s="127" t="s">
        <v>26</v>
      </c>
      <c r="C234" s="127" t="s">
        <v>35</v>
      </c>
      <c r="D234" s="127" t="s">
        <v>208</v>
      </c>
      <c r="E234" s="127" t="s">
        <v>1532</v>
      </c>
      <c r="F234" s="127" t="s">
        <v>303</v>
      </c>
      <c r="G234" s="127" t="s">
        <v>208</v>
      </c>
      <c r="H234" s="127" t="s">
        <v>1533</v>
      </c>
      <c r="I234" s="127" t="s">
        <v>271</v>
      </c>
      <c r="J234" s="127" t="s">
        <v>1454</v>
      </c>
      <c r="K234" s="129">
        <v>46125.252939814818</v>
      </c>
      <c r="L234" s="129">
        <v>46125.252939814818</v>
      </c>
      <c r="M234" s="129">
        <v>46125.488379629627</v>
      </c>
      <c r="N234" s="129">
        <v>46157.413865740738</v>
      </c>
      <c r="O234" s="129">
        <v>46142.41265046296</v>
      </c>
      <c r="P234" s="129">
        <v>46157.413865740738</v>
      </c>
      <c r="Q234" s="127" t="s">
        <v>1534</v>
      </c>
      <c r="R234" s="127" t="s">
        <v>267</v>
      </c>
      <c r="S234" s="127" t="s">
        <v>179</v>
      </c>
      <c r="T234" s="127"/>
      <c r="U234" s="127" t="s">
        <v>371</v>
      </c>
      <c r="V234" s="127"/>
      <c r="W234" s="127"/>
      <c r="X234" s="127"/>
      <c r="Y234" s="127"/>
      <c r="Z234" s="169">
        <f t="shared" ca="1" si="25"/>
        <v>4.9543171296269684</v>
      </c>
      <c r="AA234" s="170">
        <f t="shared" ca="1" si="26"/>
        <v>13.211512345671915</v>
      </c>
      <c r="AB234" s="169">
        <f t="shared" ca="1" si="27"/>
        <v>4.9543171296269684</v>
      </c>
      <c r="AC234" s="170">
        <f t="shared" ca="1" si="28"/>
        <v>13.211512345671915</v>
      </c>
      <c r="AD234" s="169">
        <f t="shared" ca="1" si="29"/>
        <v>0.15504629629382788</v>
      </c>
      <c r="AE234" s="169">
        <f t="shared" ca="1" si="24"/>
        <v>4.9543171296269684</v>
      </c>
      <c r="AF234" s="170">
        <f t="shared" ca="1" si="30"/>
        <v>13.211512345671915</v>
      </c>
      <c r="AG234" s="170">
        <f t="shared" ca="1" si="31"/>
        <v>13.211512345671915</v>
      </c>
      <c r="AH234" s="28" t="str" cm="1">
        <f t="array" aca="1" ref="AH234" ca="1">IF((AD234) &lt; (INDEX(ResponseSLA[#All],(MATCH((G234),ResponseSLA[Priority],0))+1,3)),"YES","No")</f>
        <v>YES</v>
      </c>
      <c r="AI234" s="28" t="str">
        <f ca="1">_xlfn.IFNA(IF(AE234 &lt; (INDEX(SLATable[Minimum SLA],MATCH(G234,SLATable[Priority],0))),"YES","NO"),"")</f>
        <v>NO</v>
      </c>
      <c r="AJ234" s="28" t="str">
        <f ca="1">_xlfn.IFNA(IF(AE234 &lt; (INDEX(SLATable[Maximum SLA],MATCH(G234,SLATable[Priority],0))),"YES","NO"),"")</f>
        <v>NO</v>
      </c>
    </row>
    <row r="235" spans="2:36" ht="15" customHeight="1">
      <c r="B235" s="127" t="s">
        <v>26</v>
      </c>
      <c r="C235" s="127" t="s">
        <v>35</v>
      </c>
      <c r="D235" s="127" t="s">
        <v>208</v>
      </c>
      <c r="E235" s="127" t="s">
        <v>1535</v>
      </c>
      <c r="F235" s="127" t="s">
        <v>303</v>
      </c>
      <c r="G235" s="127" t="s">
        <v>208</v>
      </c>
      <c r="H235" s="127" t="s">
        <v>1536</v>
      </c>
      <c r="I235" s="127" t="s">
        <v>271</v>
      </c>
      <c r="J235" s="127" t="s">
        <v>1454</v>
      </c>
      <c r="K235" s="129">
        <v>46104.254525462966</v>
      </c>
      <c r="L235" s="129">
        <v>46104.254525462966</v>
      </c>
      <c r="M235" s="129">
        <v>46105.307500000003</v>
      </c>
      <c r="N235" s="129">
        <v>46157.415208333332</v>
      </c>
      <c r="O235" s="129">
        <v>46142.414548611108</v>
      </c>
      <c r="P235" s="129">
        <v>46157.415196759262</v>
      </c>
      <c r="Q235" s="127" t="s">
        <v>1247</v>
      </c>
      <c r="R235" s="127" t="s">
        <v>267</v>
      </c>
      <c r="S235" s="127" t="s">
        <v>179</v>
      </c>
      <c r="T235" s="127"/>
      <c r="U235" s="127" t="s">
        <v>371</v>
      </c>
      <c r="V235" s="127"/>
      <c r="W235" s="127"/>
      <c r="X235" s="127"/>
      <c r="Y235" s="127"/>
      <c r="Z235" s="169">
        <f t="shared" ca="1" si="25"/>
        <v>9.8312268518445016</v>
      </c>
      <c r="AA235" s="170">
        <f t="shared" ca="1" si="26"/>
        <v>26.216604938252004</v>
      </c>
      <c r="AB235" s="169">
        <f t="shared" ca="1" si="27"/>
        <v>9.8312268518445016</v>
      </c>
      <c r="AC235" s="170">
        <f t="shared" ca="1" si="28"/>
        <v>26.216604938252004</v>
      </c>
      <c r="AD235" s="169">
        <f t="shared" ca="1" si="29"/>
        <v>0.37500000000000006</v>
      </c>
      <c r="AE235" s="169">
        <f t="shared" ca="1" si="24"/>
        <v>9.8312268518445016</v>
      </c>
      <c r="AF235" s="170">
        <f t="shared" ca="1" si="30"/>
        <v>26.216604938252004</v>
      </c>
      <c r="AG235" s="170">
        <f t="shared" ca="1" si="31"/>
        <v>26.216604938252004</v>
      </c>
      <c r="AH235" s="28" t="str" cm="1">
        <f t="array" aca="1" ref="AH235" ca="1">IF((AD235) &lt; (INDEX(ResponseSLA[#All],(MATCH((G235),ResponseSLA[Priority],0))+1,3)),"YES","No")</f>
        <v>No</v>
      </c>
      <c r="AI235" s="28" t="str">
        <f ca="1">_xlfn.IFNA(IF(AE235 &lt; (INDEX(SLATable[Minimum SLA],MATCH(G235,SLATable[Priority],0))),"YES","NO"),"")</f>
        <v>NO</v>
      </c>
      <c r="AJ235" s="28" t="str">
        <f ca="1">_xlfn.IFNA(IF(AE235 &lt; (INDEX(SLATable[Maximum SLA],MATCH(G235,SLATable[Priority],0))),"YES","NO"),"")</f>
        <v>NO</v>
      </c>
    </row>
    <row r="236" spans="2:36" ht="15" customHeight="1">
      <c r="B236" s="127" t="s">
        <v>26</v>
      </c>
      <c r="C236" s="127" t="s">
        <v>35</v>
      </c>
      <c r="D236" s="127" t="s">
        <v>208</v>
      </c>
      <c r="E236" s="127" t="s">
        <v>1537</v>
      </c>
      <c r="F236" s="127" t="s">
        <v>303</v>
      </c>
      <c r="G236" s="127" t="s">
        <v>208</v>
      </c>
      <c r="H236" s="127" t="s">
        <v>1538</v>
      </c>
      <c r="I236" s="127" t="s">
        <v>271</v>
      </c>
      <c r="J236" s="127" t="s">
        <v>1454</v>
      </c>
      <c r="K236" s="129">
        <v>46104.25403935185</v>
      </c>
      <c r="L236" s="129">
        <v>46104.25403935185</v>
      </c>
      <c r="M236" s="129">
        <v>46105.307488425926</v>
      </c>
      <c r="N236" s="129">
        <v>46157.417743055557</v>
      </c>
      <c r="O236" s="129">
        <v>46142.417048611111</v>
      </c>
      <c r="P236" s="129">
        <v>46157.417731481481</v>
      </c>
      <c r="Q236" s="127" t="s">
        <v>1534</v>
      </c>
      <c r="R236" s="127" t="s">
        <v>267</v>
      </c>
      <c r="S236" s="127" t="s">
        <v>179</v>
      </c>
      <c r="T236" s="127"/>
      <c r="U236" s="127" t="s">
        <v>371</v>
      </c>
      <c r="V236" s="127"/>
      <c r="W236" s="127"/>
      <c r="X236" s="127"/>
      <c r="Y236" s="127"/>
      <c r="Z236" s="169">
        <f t="shared" ca="1" si="25"/>
        <v>9.8337268518541059</v>
      </c>
      <c r="AA236" s="170">
        <f t="shared" ca="1" si="26"/>
        <v>26.223271604944284</v>
      </c>
      <c r="AB236" s="169">
        <f t="shared" ca="1" si="27"/>
        <v>9.8337268518541059</v>
      </c>
      <c r="AC236" s="170">
        <f t="shared" ca="1" si="28"/>
        <v>26.223271604944284</v>
      </c>
      <c r="AD236" s="169">
        <f t="shared" ca="1" si="29"/>
        <v>0.37500000000000006</v>
      </c>
      <c r="AE236" s="169">
        <f t="shared" ca="1" si="24"/>
        <v>9.8337268518541059</v>
      </c>
      <c r="AF236" s="170">
        <f t="shared" ca="1" si="30"/>
        <v>26.223271604944284</v>
      </c>
      <c r="AG236" s="170">
        <f t="shared" ca="1" si="31"/>
        <v>26.223271604944284</v>
      </c>
      <c r="AH236" s="28" t="str" cm="1">
        <f t="array" aca="1" ref="AH236" ca="1">IF((AD236) &lt; (INDEX(ResponseSLA[#All],(MATCH((G236),ResponseSLA[Priority],0))+1,3)),"YES","No")</f>
        <v>No</v>
      </c>
      <c r="AI236" s="28" t="str">
        <f ca="1">_xlfn.IFNA(IF(AE236 &lt; (INDEX(SLATable[Minimum SLA],MATCH(G236,SLATable[Priority],0))),"YES","NO"),"")</f>
        <v>NO</v>
      </c>
      <c r="AJ236" s="28" t="str">
        <f ca="1">_xlfn.IFNA(IF(AE236 &lt; (INDEX(SLATable[Maximum SLA],MATCH(G236,SLATable[Priority],0))),"YES","NO"),"")</f>
        <v>NO</v>
      </c>
    </row>
    <row r="237" spans="2:36" ht="15" customHeight="1">
      <c r="B237" s="127" t="s">
        <v>26</v>
      </c>
      <c r="C237" s="127" t="s">
        <v>35</v>
      </c>
      <c r="D237" s="127" t="s">
        <v>208</v>
      </c>
      <c r="E237" s="127" t="s">
        <v>1539</v>
      </c>
      <c r="F237" s="127" t="s">
        <v>303</v>
      </c>
      <c r="G237" s="127" t="s">
        <v>208</v>
      </c>
      <c r="H237" s="127" t="s">
        <v>1540</v>
      </c>
      <c r="I237" s="127" t="s">
        <v>271</v>
      </c>
      <c r="J237" s="127" t="s">
        <v>1454</v>
      </c>
      <c r="K237" s="129">
        <v>46076.298819444448</v>
      </c>
      <c r="L237" s="129">
        <v>46076.298819444448</v>
      </c>
      <c r="M237" s="129">
        <v>46077.224039351851</v>
      </c>
      <c r="N237" s="129">
        <v>46157.419432870367</v>
      </c>
      <c r="O237" s="129">
        <v>46142.418530092589</v>
      </c>
      <c r="P237" s="129">
        <v>46157.419421296298</v>
      </c>
      <c r="Q237" s="127" t="s">
        <v>1247</v>
      </c>
      <c r="R237" s="127" t="s">
        <v>267</v>
      </c>
      <c r="S237" s="127" t="s">
        <v>179</v>
      </c>
      <c r="T237" s="127"/>
      <c r="U237" s="127" t="s">
        <v>371</v>
      </c>
      <c r="V237" s="127"/>
      <c r="W237" s="127"/>
      <c r="X237" s="127"/>
      <c r="Y237" s="127"/>
      <c r="Z237" s="169">
        <f t="shared" ca="1" si="25"/>
        <v>17.335208333325383</v>
      </c>
      <c r="AA237" s="170">
        <f t="shared" ca="1" si="26"/>
        <v>46.227222222201021</v>
      </c>
      <c r="AB237" s="169">
        <f t="shared" ca="1" si="27"/>
        <v>17.335208333325383</v>
      </c>
      <c r="AC237" s="170">
        <f t="shared" ca="1" si="28"/>
        <v>46.227222222201021</v>
      </c>
      <c r="AD237" s="169">
        <f t="shared" ca="1" si="29"/>
        <v>0.37500000000000006</v>
      </c>
      <c r="AE237" s="169">
        <f t="shared" ca="1" si="24"/>
        <v>17.335208333325383</v>
      </c>
      <c r="AF237" s="170">
        <f t="shared" ca="1" si="30"/>
        <v>46.227222222201021</v>
      </c>
      <c r="AG237" s="170">
        <f t="shared" ca="1" si="31"/>
        <v>46.227222222201021</v>
      </c>
      <c r="AH237" s="28" t="str" cm="1">
        <f t="array" aca="1" ref="AH237" ca="1">IF((AD237) &lt; (INDEX(ResponseSLA[#All],(MATCH((G237),ResponseSLA[Priority],0))+1,3)),"YES","No")</f>
        <v>No</v>
      </c>
      <c r="AI237" s="28" t="str">
        <f ca="1">_xlfn.IFNA(IF(AE237 &lt; (INDEX(SLATable[Minimum SLA],MATCH(G237,SLATable[Priority],0))),"YES","NO"),"")</f>
        <v>NO</v>
      </c>
      <c r="AJ237" s="28" t="str">
        <f ca="1">_xlfn.IFNA(IF(AE237 &lt; (INDEX(SLATable[Maximum SLA],MATCH(G237,SLATable[Priority],0))),"YES","NO"),"")</f>
        <v>NO</v>
      </c>
    </row>
    <row r="238" spans="2:36" ht="15" customHeight="1">
      <c r="B238" s="127" t="s">
        <v>26</v>
      </c>
      <c r="C238" s="127" t="s">
        <v>35</v>
      </c>
      <c r="D238" s="127" t="s">
        <v>208</v>
      </c>
      <c r="E238" s="127" t="s">
        <v>1541</v>
      </c>
      <c r="F238" s="127" t="s">
        <v>303</v>
      </c>
      <c r="G238" s="127" t="s">
        <v>208</v>
      </c>
      <c r="H238" s="127" t="s">
        <v>1542</v>
      </c>
      <c r="I238" s="127" t="s">
        <v>271</v>
      </c>
      <c r="J238" s="127" t="s">
        <v>1454</v>
      </c>
      <c r="K238" s="129">
        <v>46076.298680555556</v>
      </c>
      <c r="L238" s="129">
        <v>46076.298680555556</v>
      </c>
      <c r="M238" s="129">
        <v>46077.223715277774</v>
      </c>
      <c r="N238" s="129">
        <v>46157.421331018515</v>
      </c>
      <c r="O238" s="129">
        <v>46142.42050925926</v>
      </c>
      <c r="P238" s="129">
        <v>46157.421319444446</v>
      </c>
      <c r="Q238" s="127" t="s">
        <v>1534</v>
      </c>
      <c r="R238" s="127" t="s">
        <v>267</v>
      </c>
      <c r="S238" s="127" t="s">
        <v>179</v>
      </c>
      <c r="T238" s="127"/>
      <c r="U238" s="127" t="s">
        <v>371</v>
      </c>
      <c r="V238" s="127"/>
      <c r="W238" s="127"/>
      <c r="X238" s="127"/>
      <c r="Y238" s="127"/>
      <c r="Z238" s="169">
        <f t="shared" ca="1" si="25"/>
        <v>17.337187499996318</v>
      </c>
      <c r="AA238" s="170">
        <f t="shared" ca="1" si="26"/>
        <v>46.232499999990182</v>
      </c>
      <c r="AB238" s="169">
        <f t="shared" ca="1" si="27"/>
        <v>17.337187499996318</v>
      </c>
      <c r="AC238" s="170">
        <f t="shared" ca="1" si="28"/>
        <v>46.232499999990182</v>
      </c>
      <c r="AD238" s="169">
        <f t="shared" ca="1" si="29"/>
        <v>0.37500000000000006</v>
      </c>
      <c r="AE238" s="169">
        <f t="shared" ca="1" si="24"/>
        <v>17.337187499996318</v>
      </c>
      <c r="AF238" s="170">
        <f t="shared" ca="1" si="30"/>
        <v>46.232499999990182</v>
      </c>
      <c r="AG238" s="170">
        <f t="shared" ca="1" si="31"/>
        <v>46.232499999990182</v>
      </c>
      <c r="AH238" s="28" t="str" cm="1">
        <f t="array" aca="1" ref="AH238" ca="1">IF((AD238) &lt; (INDEX(ResponseSLA[#All],(MATCH((G238),ResponseSLA[Priority],0))+1,3)),"YES","No")</f>
        <v>No</v>
      </c>
      <c r="AI238" s="28" t="str">
        <f ca="1">_xlfn.IFNA(IF(AE238 &lt; (INDEX(SLATable[Minimum SLA],MATCH(G238,SLATable[Priority],0))),"YES","NO"),"")</f>
        <v>NO</v>
      </c>
      <c r="AJ238" s="28" t="str">
        <f ca="1">_xlfn.IFNA(IF(AE238 &lt; (INDEX(SLATable[Maximum SLA],MATCH(G238,SLATable[Priority],0))),"YES","NO"),"")</f>
        <v>NO</v>
      </c>
    </row>
    <row r="239" spans="2:36" ht="15" customHeight="1">
      <c r="B239" s="127" t="s">
        <v>26</v>
      </c>
      <c r="C239" s="127" t="s">
        <v>35</v>
      </c>
      <c r="D239" s="127" t="s">
        <v>208</v>
      </c>
      <c r="E239" s="127" t="s">
        <v>1543</v>
      </c>
      <c r="F239" s="127" t="s">
        <v>303</v>
      </c>
      <c r="G239" s="127" t="s">
        <v>208</v>
      </c>
      <c r="H239" s="127" t="s">
        <v>1544</v>
      </c>
      <c r="I239" s="127" t="s">
        <v>271</v>
      </c>
      <c r="J239" s="127" t="s">
        <v>1454</v>
      </c>
      <c r="K239" s="129">
        <v>46076.298564814817</v>
      </c>
      <c r="L239" s="129">
        <v>46076.298564814817</v>
      </c>
      <c r="M239" s="129">
        <v>46077.22351851852</v>
      </c>
      <c r="N239" s="129">
        <v>46157.422569444447</v>
      </c>
      <c r="O239" s="129">
        <v>46142.421712962961</v>
      </c>
      <c r="P239" s="129">
        <v>46157.42255787037</v>
      </c>
      <c r="Q239" s="127" t="s">
        <v>1260</v>
      </c>
      <c r="R239" s="127" t="s">
        <v>267</v>
      </c>
      <c r="S239" s="127" t="s">
        <v>179</v>
      </c>
      <c r="T239" s="127"/>
      <c r="U239" s="127" t="s">
        <v>371</v>
      </c>
      <c r="V239" s="127"/>
      <c r="W239" s="127"/>
      <c r="X239" s="127"/>
      <c r="Y239" s="127"/>
      <c r="Z239" s="169">
        <f t="shared" ca="1" si="25"/>
        <v>17.338391203704916</v>
      </c>
      <c r="AA239" s="170">
        <f t="shared" ca="1" si="26"/>
        <v>46.235709876546444</v>
      </c>
      <c r="AB239" s="169">
        <f t="shared" ca="1" si="27"/>
        <v>17.338391203704916</v>
      </c>
      <c r="AC239" s="170">
        <f t="shared" ca="1" si="28"/>
        <v>46.235709876546444</v>
      </c>
      <c r="AD239" s="169">
        <f t="shared" ca="1" si="29"/>
        <v>0.37500000000000006</v>
      </c>
      <c r="AE239" s="169">
        <f t="shared" ca="1" si="24"/>
        <v>17.338391203704916</v>
      </c>
      <c r="AF239" s="170">
        <f t="shared" ca="1" si="30"/>
        <v>46.235709876546444</v>
      </c>
      <c r="AG239" s="170">
        <f t="shared" ca="1" si="31"/>
        <v>46.235709876546444</v>
      </c>
      <c r="AH239" s="28" t="str" cm="1">
        <f t="array" aca="1" ref="AH239" ca="1">IF((AD239) &lt; (INDEX(ResponseSLA[#All],(MATCH((G239),ResponseSLA[Priority],0))+1,3)),"YES","No")</f>
        <v>No</v>
      </c>
      <c r="AI239" s="28" t="str">
        <f ca="1">_xlfn.IFNA(IF(AE239 &lt; (INDEX(SLATable[Minimum SLA],MATCH(G239,SLATable[Priority],0))),"YES","NO"),"")</f>
        <v>NO</v>
      </c>
      <c r="AJ239" s="28" t="str">
        <f ca="1">_xlfn.IFNA(IF(AE239 &lt; (INDEX(SLATable[Maximum SLA],MATCH(G239,SLATable[Priority],0))),"YES","NO"),"")</f>
        <v>NO</v>
      </c>
    </row>
    <row r="240" spans="2:36" ht="15" customHeight="1">
      <c r="B240" s="127" t="s">
        <v>26</v>
      </c>
      <c r="C240" s="127" t="s">
        <v>35</v>
      </c>
      <c r="D240" s="127" t="s">
        <v>208</v>
      </c>
      <c r="E240" s="127" t="s">
        <v>1545</v>
      </c>
      <c r="F240" s="127" t="s">
        <v>303</v>
      </c>
      <c r="G240" s="127" t="s">
        <v>208</v>
      </c>
      <c r="H240" s="127" t="s">
        <v>1546</v>
      </c>
      <c r="I240" s="127" t="s">
        <v>271</v>
      </c>
      <c r="J240" s="127" t="s">
        <v>1454</v>
      </c>
      <c r="K240" s="129">
        <v>46048.417430555557</v>
      </c>
      <c r="L240" s="129">
        <v>46048.417523148149</v>
      </c>
      <c r="M240" s="129">
        <v>46049.501886574071</v>
      </c>
      <c r="N240" s="129">
        <v>46156.338854166665</v>
      </c>
      <c r="O240" s="129">
        <v>46142.422743055555</v>
      </c>
      <c r="P240" s="129">
        <v>46156.338854166665</v>
      </c>
      <c r="Q240" s="127" t="s">
        <v>1247</v>
      </c>
      <c r="R240" s="127" t="s">
        <v>267</v>
      </c>
      <c r="S240" s="127" t="s">
        <v>179</v>
      </c>
      <c r="T240" s="127"/>
      <c r="U240" s="127" t="s">
        <v>371</v>
      </c>
      <c r="V240" s="127"/>
      <c r="W240" s="127"/>
      <c r="X240" s="127"/>
      <c r="Y240" s="127"/>
      <c r="Z240" s="169">
        <f t="shared" ca="1" si="25"/>
        <v>24.755312499997675</v>
      </c>
      <c r="AA240" s="170">
        <f t="shared" ca="1" si="26"/>
        <v>66.014166666660472</v>
      </c>
      <c r="AB240" s="169">
        <f t="shared" ca="1" si="27"/>
        <v>24.755219907405266</v>
      </c>
      <c r="AC240" s="170">
        <f t="shared" ca="1" si="28"/>
        <v>66.013919753080714</v>
      </c>
      <c r="AD240" s="169">
        <f t="shared" ca="1" si="29"/>
        <v>0.45936342592176516</v>
      </c>
      <c r="AE240" s="169">
        <f t="shared" ca="1" si="24"/>
        <v>24.755219907405266</v>
      </c>
      <c r="AF240" s="170">
        <f t="shared" ca="1" si="30"/>
        <v>66.013919753080714</v>
      </c>
      <c r="AG240" s="170">
        <f t="shared" ca="1" si="31"/>
        <v>66.013919753080714</v>
      </c>
      <c r="AH240" s="28" t="str" cm="1">
        <f t="array" aca="1" ref="AH240" ca="1">IF((AD240) &lt; (INDEX(ResponseSLA[#All],(MATCH((G240),ResponseSLA[Priority],0))+1,3)),"YES","No")</f>
        <v>No</v>
      </c>
      <c r="AI240" s="28" t="str">
        <f ca="1">_xlfn.IFNA(IF(AE240 &lt; (INDEX(SLATable[Minimum SLA],MATCH(G240,SLATable[Priority],0))),"YES","NO"),"")</f>
        <v>NO</v>
      </c>
      <c r="AJ240" s="28" t="str">
        <f ca="1">_xlfn.IFNA(IF(AE240 &lt; (INDEX(SLATable[Maximum SLA],MATCH(G240,SLATable[Priority],0))),"YES","NO"),"")</f>
        <v>NO</v>
      </c>
    </row>
    <row r="241" spans="2:36" ht="15" customHeight="1">
      <c r="B241" s="127" t="s">
        <v>26</v>
      </c>
      <c r="C241" s="127" t="s">
        <v>35</v>
      </c>
      <c r="D241" s="127" t="s">
        <v>208</v>
      </c>
      <c r="E241" s="127" t="s">
        <v>1547</v>
      </c>
      <c r="F241" s="127" t="s">
        <v>303</v>
      </c>
      <c r="G241" s="127" t="s">
        <v>208</v>
      </c>
      <c r="H241" s="127" t="s">
        <v>1548</v>
      </c>
      <c r="I241" s="127" t="s">
        <v>1175</v>
      </c>
      <c r="J241" s="127" t="s">
        <v>1454</v>
      </c>
      <c r="K241" s="129">
        <v>46167.258356481485</v>
      </c>
      <c r="L241" s="129">
        <v>46167.258356481485</v>
      </c>
      <c r="M241" s="129">
        <v>46167.472245370373</v>
      </c>
      <c r="N241" s="129"/>
      <c r="O241" s="129"/>
      <c r="P241" s="129"/>
      <c r="Q241" s="127" t="s">
        <v>1534</v>
      </c>
      <c r="R241" s="127"/>
      <c r="S241" s="127"/>
      <c r="T241" s="127"/>
      <c r="U241" s="127" t="s">
        <v>371</v>
      </c>
      <c r="V241" s="127"/>
      <c r="W241" s="127"/>
      <c r="X241" s="127"/>
      <c r="Y241" s="127"/>
      <c r="Z241" s="169">
        <f t="shared" ca="1" si="25"/>
        <v>24.675640740739865</v>
      </c>
      <c r="AA241" s="170">
        <f t="shared" ca="1" si="26"/>
        <v>65.801708641972979</v>
      </c>
      <c r="AB241" s="169">
        <f t="shared" ca="1" si="27"/>
        <v>24.675640856478523</v>
      </c>
      <c r="AC241" s="170">
        <f t="shared" ca="1" si="28"/>
        <v>65.801708950609395</v>
      </c>
      <c r="AD241" s="169">
        <f t="shared" ca="1" si="29"/>
        <v>0</v>
      </c>
      <c r="AE241" s="169">
        <f t="shared" ca="1" si="24"/>
        <v>30.393302893518321</v>
      </c>
      <c r="AF241" s="170">
        <f t="shared" ca="1" si="30"/>
        <v>81.048807716048856</v>
      </c>
      <c r="AG241" s="170">
        <f t="shared" ca="1" si="31"/>
        <v>81.048807716048856</v>
      </c>
      <c r="AH241" s="28" t="str" cm="1">
        <f t="array" aca="1" ref="AH241" ca="1">IF((AD241) &lt; (INDEX(ResponseSLA[#All],(MATCH((G241),ResponseSLA[Priority],0))+1,3)),"YES","No")</f>
        <v>YES</v>
      </c>
      <c r="AI241" s="28" t="str">
        <f ca="1">_xlfn.IFNA(IF(AE241 &lt; (INDEX(SLATable[Minimum SLA],MATCH(G241,SLATable[Priority],0))),"YES","NO"),"")</f>
        <v>NO</v>
      </c>
      <c r="AJ241" s="28" t="str">
        <f ca="1">_xlfn.IFNA(IF(AE241 &lt; (INDEX(SLATable[Maximum SLA],MATCH(G241,SLATable[Priority],0))),"YES","NO"),"")</f>
        <v>NO</v>
      </c>
    </row>
    <row r="242" spans="2:36" ht="15" customHeight="1">
      <c r="B242" s="127" t="s">
        <v>26</v>
      </c>
      <c r="C242" s="127" t="s">
        <v>35</v>
      </c>
      <c r="D242" s="127" t="s">
        <v>208</v>
      </c>
      <c r="E242" s="127" t="s">
        <v>1549</v>
      </c>
      <c r="F242" s="127" t="s">
        <v>303</v>
      </c>
      <c r="G242" s="127" t="s">
        <v>208</v>
      </c>
      <c r="H242" s="127" t="s">
        <v>1550</v>
      </c>
      <c r="I242" s="127" t="s">
        <v>1175</v>
      </c>
      <c r="J242" s="127" t="s">
        <v>1454</v>
      </c>
      <c r="K242" s="129">
        <v>46167.256724537037</v>
      </c>
      <c r="L242" s="129">
        <v>46167.256724537037</v>
      </c>
      <c r="M242" s="129">
        <v>46167.470648148148</v>
      </c>
      <c r="N242" s="129"/>
      <c r="O242" s="129"/>
      <c r="P242" s="129"/>
      <c r="Q242" s="127" t="s">
        <v>1257</v>
      </c>
      <c r="R242" s="127"/>
      <c r="S242" s="127"/>
      <c r="T242" s="127"/>
      <c r="U242" s="127" t="s">
        <v>371</v>
      </c>
      <c r="V242" s="127"/>
      <c r="W242" s="127"/>
      <c r="X242" s="127"/>
      <c r="Y242" s="127"/>
      <c r="Z242" s="169">
        <f t="shared" ca="1" si="25"/>
        <v>24.675640740739865</v>
      </c>
      <c r="AA242" s="170">
        <f t="shared" ca="1" si="26"/>
        <v>65.801708641972979</v>
      </c>
      <c r="AB242" s="169">
        <f t="shared" ca="1" si="27"/>
        <v>24.675640856478523</v>
      </c>
      <c r="AC242" s="170">
        <f t="shared" ca="1" si="28"/>
        <v>65.801708950609395</v>
      </c>
      <c r="AD242" s="169">
        <f t="shared" ca="1" si="29"/>
        <v>0</v>
      </c>
      <c r="AE242" s="169">
        <f t="shared" ca="1" si="24"/>
        <v>27.407446412032495</v>
      </c>
      <c r="AF242" s="170">
        <f t="shared" ca="1" si="30"/>
        <v>73.086523765419983</v>
      </c>
      <c r="AG242" s="170">
        <f t="shared" ca="1" si="31"/>
        <v>73.086523765419983</v>
      </c>
      <c r="AH242" s="28" t="str" cm="1">
        <f t="array" aca="1" ref="AH242" ca="1">IF((AD242) &lt; (INDEX(ResponseSLA[#All],(MATCH((G242),ResponseSLA[Priority],0))+1,3)),"YES","No")</f>
        <v>YES</v>
      </c>
      <c r="AI242" s="28" t="str">
        <f ca="1">_xlfn.IFNA(IF(AE242 &lt; (INDEX(SLATable[Minimum SLA],MATCH(G242,SLATable[Priority],0))),"YES","NO"),"")</f>
        <v>NO</v>
      </c>
      <c r="AJ242" s="28" t="str">
        <f ca="1">_xlfn.IFNA(IF(AE242 &lt; (INDEX(SLATable[Maximum SLA],MATCH(G242,SLATable[Priority],0))),"YES","NO"),"")</f>
        <v>NO</v>
      </c>
    </row>
    <row r="243" spans="2:36" ht="15" customHeight="1">
      <c r="B243" s="127" t="s">
        <v>26</v>
      </c>
      <c r="C243" s="127" t="s">
        <v>35</v>
      </c>
      <c r="D243" s="127" t="s">
        <v>208</v>
      </c>
      <c r="E243" s="127" t="s">
        <v>1551</v>
      </c>
      <c r="F243" s="127" t="s">
        <v>303</v>
      </c>
      <c r="G243" s="127" t="s">
        <v>208</v>
      </c>
      <c r="H243" s="127" t="s">
        <v>1552</v>
      </c>
      <c r="I243" s="127" t="s">
        <v>1175</v>
      </c>
      <c r="J243" s="127" t="s">
        <v>1454</v>
      </c>
      <c r="K243" s="129">
        <v>46167.255208333336</v>
      </c>
      <c r="L243" s="129">
        <v>46167.255208333336</v>
      </c>
      <c r="M243" s="129">
        <v>46167.466099537036</v>
      </c>
      <c r="N243" s="129"/>
      <c r="O243" s="129"/>
      <c r="P243" s="129"/>
      <c r="Q243" s="127" t="s">
        <v>1260</v>
      </c>
      <c r="R243" s="127"/>
      <c r="S243" s="127"/>
      <c r="T243" s="127"/>
      <c r="U243" s="127" t="s">
        <v>371</v>
      </c>
      <c r="V243" s="127"/>
      <c r="W243" s="127"/>
      <c r="X243" s="127"/>
      <c r="Y243" s="127"/>
      <c r="Z243" s="169">
        <f t="shared" ca="1" si="25"/>
        <v>24.675640740739865</v>
      </c>
      <c r="AA243" s="170">
        <f t="shared" ca="1" si="26"/>
        <v>65.801708641972979</v>
      </c>
      <c r="AB243" s="169">
        <f t="shared" ca="1" si="27"/>
        <v>24.675640856478523</v>
      </c>
      <c r="AC243" s="170">
        <f t="shared" ca="1" si="28"/>
        <v>65.801708950609395</v>
      </c>
      <c r="AD243" s="169">
        <f t="shared" ca="1" si="29"/>
        <v>0</v>
      </c>
      <c r="AE243" s="169">
        <f t="shared" ca="1" si="24"/>
        <v>30.393870023142281</v>
      </c>
      <c r="AF243" s="170">
        <f t="shared" ca="1" si="30"/>
        <v>81.050320061712739</v>
      </c>
      <c r="AG243" s="170">
        <f t="shared" ca="1" si="31"/>
        <v>81.050320061712739</v>
      </c>
      <c r="AH243" s="28" t="str" cm="1">
        <f t="array" aca="1" ref="AH243" ca="1">IF((AD243) &lt; (INDEX(ResponseSLA[#All],(MATCH((G243),ResponseSLA[Priority],0))+1,3)),"YES","No")</f>
        <v>YES</v>
      </c>
      <c r="AI243" s="28" t="str">
        <f ca="1">_xlfn.IFNA(IF(AE243 &lt; (INDEX(SLATable[Minimum SLA],MATCH(G243,SLATable[Priority],0))),"YES","NO"),"")</f>
        <v>NO</v>
      </c>
      <c r="AJ243" s="28" t="str">
        <f ca="1">_xlfn.IFNA(IF(AE243 &lt; (INDEX(SLATable[Maximum SLA],MATCH(G243,SLATable[Priority],0))),"YES","NO"),"")</f>
        <v>NO</v>
      </c>
    </row>
    <row r="244" spans="2:36" ht="15" customHeight="1">
      <c r="B244" s="127" t="s">
        <v>26</v>
      </c>
      <c r="C244" s="127" t="s">
        <v>35</v>
      </c>
      <c r="D244" s="127" t="s">
        <v>208</v>
      </c>
      <c r="E244" s="127" t="s">
        <v>1553</v>
      </c>
      <c r="F244" s="127" t="s">
        <v>303</v>
      </c>
      <c r="G244" s="127" t="s">
        <v>208</v>
      </c>
      <c r="H244" s="127" t="s">
        <v>1554</v>
      </c>
      <c r="I244" s="127" t="s">
        <v>1175</v>
      </c>
      <c r="J244" s="127" t="s">
        <v>1454</v>
      </c>
      <c r="K244" s="129">
        <v>46164.402731481481</v>
      </c>
      <c r="L244" s="129">
        <v>46164.402731481481</v>
      </c>
      <c r="M244" s="129">
        <v>46167.465694444443</v>
      </c>
      <c r="N244" s="129"/>
      <c r="O244" s="129"/>
      <c r="P244" s="129"/>
      <c r="Q244" s="127" t="s">
        <v>1534</v>
      </c>
      <c r="R244" s="127"/>
      <c r="S244" s="127"/>
      <c r="T244" s="127"/>
      <c r="U244" s="127" t="s">
        <v>371</v>
      </c>
      <c r="V244" s="127"/>
      <c r="W244" s="127"/>
      <c r="X244" s="127"/>
      <c r="Y244" s="127"/>
      <c r="Z244" s="169">
        <f t="shared" ca="1" si="25"/>
        <v>24.981242592592029</v>
      </c>
      <c r="AA244" s="170">
        <f t="shared" ca="1" si="26"/>
        <v>66.616646913578748</v>
      </c>
      <c r="AB244" s="169">
        <f t="shared" ca="1" si="27"/>
        <v>24.981242708330686</v>
      </c>
      <c r="AC244" s="170">
        <f t="shared" ca="1" si="28"/>
        <v>66.616647222215164</v>
      </c>
      <c r="AD244" s="169">
        <f t="shared" ca="1" si="29"/>
        <v>0</v>
      </c>
      <c r="AE244" s="169">
        <f t="shared" ca="1" si="24"/>
        <v>29.179471874995219</v>
      </c>
      <c r="AF244" s="170">
        <f t="shared" ca="1" si="30"/>
        <v>77.811924999987255</v>
      </c>
      <c r="AG244" s="170">
        <f t="shared" ca="1" si="31"/>
        <v>77.811924999987255</v>
      </c>
      <c r="AH244" s="28" t="str" cm="1">
        <f t="array" aca="1" ref="AH244" ca="1">IF((AD244) &lt; (INDEX(ResponseSLA[#All],(MATCH((G244),ResponseSLA[Priority],0))+1,3)),"YES","No")</f>
        <v>YES</v>
      </c>
      <c r="AI244" s="28" t="str">
        <f ca="1">_xlfn.IFNA(IF(AE244 &lt; (INDEX(SLATable[Minimum SLA],MATCH(G244,SLATable[Priority],0))),"YES","NO"),"")</f>
        <v>NO</v>
      </c>
      <c r="AJ244" s="28" t="str">
        <f ca="1">_xlfn.IFNA(IF(AE244 &lt; (INDEX(SLATable[Maximum SLA],MATCH(G244,SLATable[Priority],0))),"YES","NO"),"")</f>
        <v>NO</v>
      </c>
    </row>
    <row r="245" spans="2:36" ht="15" customHeight="1">
      <c r="B245" s="127" t="s">
        <v>26</v>
      </c>
      <c r="C245" s="127" t="s">
        <v>35</v>
      </c>
      <c r="D245" s="127" t="s">
        <v>208</v>
      </c>
      <c r="E245" s="127" t="s">
        <v>1555</v>
      </c>
      <c r="F245" s="127" t="s">
        <v>303</v>
      </c>
      <c r="G245" s="127" t="s">
        <v>208</v>
      </c>
      <c r="H245" s="127" t="s">
        <v>1556</v>
      </c>
      <c r="I245" s="127" t="s">
        <v>1175</v>
      </c>
      <c r="J245" s="127" t="s">
        <v>1454</v>
      </c>
      <c r="K245" s="129">
        <v>46164.401342592595</v>
      </c>
      <c r="L245" s="129">
        <v>46164.401342592595</v>
      </c>
      <c r="M245" s="129">
        <v>46167.464131944442</v>
      </c>
      <c r="N245" s="129"/>
      <c r="O245" s="129"/>
      <c r="P245" s="129"/>
      <c r="Q245" s="127" t="s">
        <v>1251</v>
      </c>
      <c r="R245" s="127"/>
      <c r="S245" s="127"/>
      <c r="T245" s="127"/>
      <c r="U245" s="127" t="s">
        <v>371</v>
      </c>
      <c r="V245" s="127"/>
      <c r="W245" s="127"/>
      <c r="X245" s="127"/>
      <c r="Y245" s="127"/>
      <c r="Z245" s="169">
        <f t="shared" ca="1" si="25"/>
        <v>24.982631481478169</v>
      </c>
      <c r="AA245" s="170">
        <f t="shared" ca="1" si="26"/>
        <v>66.620350617275122</v>
      </c>
      <c r="AB245" s="169">
        <f t="shared" ca="1" si="27"/>
        <v>24.982631597216827</v>
      </c>
      <c r="AC245" s="170">
        <f t="shared" ca="1" si="28"/>
        <v>66.620350925911538</v>
      </c>
      <c r="AD245" s="169">
        <f t="shared" ca="1" si="29"/>
        <v>0</v>
      </c>
      <c r="AE245" s="169">
        <f t="shared" ca="1" si="24"/>
        <v>31.008673263881068</v>
      </c>
      <c r="AF245" s="170">
        <f t="shared" ca="1" si="30"/>
        <v>82.689795370349515</v>
      </c>
      <c r="AG245" s="170">
        <f t="shared" ca="1" si="31"/>
        <v>82.689795370349515</v>
      </c>
      <c r="AH245" s="28" t="str" cm="1">
        <f t="array" aca="1" ref="AH245" ca="1">IF((AD245) &lt; (INDEX(ResponseSLA[#All],(MATCH((G245),ResponseSLA[Priority],0))+1,3)),"YES","No")</f>
        <v>YES</v>
      </c>
      <c r="AI245" s="28" t="str">
        <f ca="1">_xlfn.IFNA(IF(AE245 &lt; (INDEX(SLATable[Minimum SLA],MATCH(G245,SLATable[Priority],0))),"YES","NO"),"")</f>
        <v>NO</v>
      </c>
      <c r="AJ245" s="28" t="str">
        <f ca="1">_xlfn.IFNA(IF(AE245 &lt; (INDEX(SLATable[Maximum SLA],MATCH(G245,SLATable[Priority],0))),"YES","NO"),"")</f>
        <v>NO</v>
      </c>
    </row>
    <row r="246" spans="2:36" ht="15" customHeight="1">
      <c r="B246" s="127" t="s">
        <v>26</v>
      </c>
      <c r="C246" s="127" t="s">
        <v>35</v>
      </c>
      <c r="D246" s="127" t="s">
        <v>208</v>
      </c>
      <c r="E246" s="127" t="s">
        <v>1557</v>
      </c>
      <c r="F246" s="127" t="s">
        <v>303</v>
      </c>
      <c r="G246" s="127" t="s">
        <v>208</v>
      </c>
      <c r="H246" s="127" t="s">
        <v>1558</v>
      </c>
      <c r="I246" s="127" t="s">
        <v>1175</v>
      </c>
      <c r="J246" s="127" t="s">
        <v>1454</v>
      </c>
      <c r="K246" s="129">
        <v>46164.399178240739</v>
      </c>
      <c r="L246" s="129">
        <v>46164.399178240739</v>
      </c>
      <c r="M246" s="129">
        <v>46167.463807870372</v>
      </c>
      <c r="N246" s="129"/>
      <c r="O246" s="129"/>
      <c r="P246" s="129"/>
      <c r="Q246" s="127" t="s">
        <v>1257</v>
      </c>
      <c r="R246" s="127"/>
      <c r="S246" s="127"/>
      <c r="T246" s="127"/>
      <c r="U246" s="127" t="s">
        <v>371</v>
      </c>
      <c r="V246" s="127"/>
      <c r="W246" s="127"/>
      <c r="X246" s="127"/>
      <c r="Y246" s="127"/>
      <c r="Z246" s="169">
        <f t="shared" ca="1" si="25"/>
        <v>24.984795833333923</v>
      </c>
      <c r="AA246" s="170">
        <f t="shared" ca="1" si="26"/>
        <v>66.626122222223799</v>
      </c>
      <c r="AB246" s="169">
        <f t="shared" ca="1" si="27"/>
        <v>24.984795949072581</v>
      </c>
      <c r="AC246" s="170">
        <f t="shared" ca="1" si="28"/>
        <v>66.626122530860215</v>
      </c>
      <c r="AD246" s="169">
        <f t="shared" ca="1" si="29"/>
        <v>0</v>
      </c>
      <c r="AE246" s="169">
        <f t="shared" ca="1" si="24"/>
        <v>28.024321412034627</v>
      </c>
      <c r="AF246" s="170">
        <f t="shared" ca="1" si="30"/>
        <v>74.731523765425678</v>
      </c>
      <c r="AG246" s="170">
        <f t="shared" ca="1" si="31"/>
        <v>74.731523765425678</v>
      </c>
      <c r="AH246" s="28" t="str" cm="1">
        <f t="array" aca="1" ref="AH246" ca="1">IF((AD246) &lt; (INDEX(ResponseSLA[#All],(MATCH((G246),ResponseSLA[Priority],0))+1,3)),"YES","No")</f>
        <v>YES</v>
      </c>
      <c r="AI246" s="28" t="str">
        <f ca="1">_xlfn.IFNA(IF(AE246 &lt; (INDEX(SLATable[Minimum SLA],MATCH(G246,SLATable[Priority],0))),"YES","NO"),"")</f>
        <v>NO</v>
      </c>
      <c r="AJ246" s="28" t="str">
        <f ca="1">_xlfn.IFNA(IF(AE246 &lt; (INDEX(SLATable[Maximum SLA],MATCH(G246,SLATable[Priority],0))),"YES","NO"),"")</f>
        <v>NO</v>
      </c>
    </row>
    <row r="247" spans="2:36" ht="15" customHeight="1">
      <c r="B247" s="127" t="s">
        <v>26</v>
      </c>
      <c r="C247" s="127" t="s">
        <v>35</v>
      </c>
      <c r="D247" s="127" t="s">
        <v>208</v>
      </c>
      <c r="E247" s="127" t="s">
        <v>1559</v>
      </c>
      <c r="F247" s="127" t="s">
        <v>292</v>
      </c>
      <c r="G247" s="127" t="s">
        <v>208</v>
      </c>
      <c r="H247" s="127" t="s">
        <v>1560</v>
      </c>
      <c r="I247" s="127" t="s">
        <v>266</v>
      </c>
      <c r="J247" s="127" t="s">
        <v>1454</v>
      </c>
      <c r="K247" s="129">
        <v>46160.534363425926</v>
      </c>
      <c r="L247" s="129">
        <v>46160.668333333335</v>
      </c>
      <c r="M247" s="129">
        <v>46161.492314814815</v>
      </c>
      <c r="N247" s="129"/>
      <c r="O247" s="129">
        <v>46163.476122685184</v>
      </c>
      <c r="P247" s="129"/>
      <c r="Q247" s="127" t="s">
        <v>1073</v>
      </c>
      <c r="R247" s="127"/>
      <c r="S247" s="127"/>
      <c r="T247" s="127"/>
      <c r="U247" s="127" t="s">
        <v>371</v>
      </c>
      <c r="V247" s="127"/>
      <c r="W247" s="127"/>
      <c r="X247" s="127"/>
      <c r="Y247" s="127"/>
      <c r="Z247" s="169">
        <f t="shared" ca="1" si="25"/>
        <v>26.349610648147067</v>
      </c>
      <c r="AA247" s="170">
        <f t="shared" ca="1" si="26"/>
        <v>70.265628395058854</v>
      </c>
      <c r="AB247" s="169">
        <f t="shared" ca="1" si="27"/>
        <v>0.9327893518493513</v>
      </c>
      <c r="AC247" s="170">
        <f t="shared" ca="1" si="28"/>
        <v>2.4874382715982701</v>
      </c>
      <c r="AD247" s="169">
        <f t="shared" ca="1" si="29"/>
        <v>0.19898148148058681</v>
      </c>
      <c r="AE247" s="169">
        <f t="shared" ca="1" si="24"/>
        <v>0.9327893518493513</v>
      </c>
      <c r="AF247" s="170">
        <f t="shared" ca="1" si="30"/>
        <v>2.4874382715982701</v>
      </c>
      <c r="AG247" s="170">
        <f t="shared" ca="1" si="31"/>
        <v>2.4874382715982701</v>
      </c>
      <c r="AH247" s="28" t="str" cm="1">
        <f t="array" aca="1" ref="AH247" ca="1">IF((AD247) &lt; (INDEX(ResponseSLA[#All],(MATCH((G247),ResponseSLA[Priority],0))+1,3)),"YES","No")</f>
        <v>YES</v>
      </c>
      <c r="AI247" s="28" t="str">
        <f ca="1">_xlfn.IFNA(IF(AE247 &lt; (INDEX(SLATable[Minimum SLA],MATCH(G247,SLATable[Priority],0))),"YES","NO"),"")</f>
        <v>NO</v>
      </c>
      <c r="AJ247" s="28" t="str">
        <f ca="1">_xlfn.IFNA(IF(AE247 &lt; (INDEX(SLATable[Maximum SLA],MATCH(G247,SLATable[Priority],0))),"YES","NO"),"")</f>
        <v>NO</v>
      </c>
    </row>
    <row r="248" spans="2:36" ht="15" customHeight="1">
      <c r="B248" s="127" t="s">
        <v>26</v>
      </c>
      <c r="C248" s="127" t="s">
        <v>35</v>
      </c>
      <c r="D248" s="127" t="s">
        <v>208</v>
      </c>
      <c r="E248" s="127" t="s">
        <v>1561</v>
      </c>
      <c r="F248" s="127" t="s">
        <v>295</v>
      </c>
      <c r="G248" s="127" t="s">
        <v>208</v>
      </c>
      <c r="H248" s="127" t="s">
        <v>1562</v>
      </c>
      <c r="I248" s="127" t="s">
        <v>271</v>
      </c>
      <c r="J248" s="127" t="s">
        <v>1200</v>
      </c>
      <c r="K248" s="129">
        <v>46160.617534722223</v>
      </c>
      <c r="L248" s="129">
        <v>46161.397141203706</v>
      </c>
      <c r="M248" s="129">
        <v>46161.494791666664</v>
      </c>
      <c r="N248" s="129">
        <v>46163.57199074074</v>
      </c>
      <c r="O248" s="129"/>
      <c r="P248" s="129"/>
      <c r="Q248" s="127" t="s">
        <v>1563</v>
      </c>
      <c r="R248" s="127" t="s">
        <v>267</v>
      </c>
      <c r="S248" s="127" t="s">
        <v>151</v>
      </c>
      <c r="T248" s="127"/>
      <c r="U248" s="127" t="s">
        <v>371</v>
      </c>
      <c r="V248" s="127"/>
      <c r="W248" s="127"/>
      <c r="X248" s="127"/>
      <c r="Y248" s="127"/>
      <c r="Z248" s="169">
        <f t="shared" ca="1" si="25"/>
        <v>1.0794560185167941</v>
      </c>
      <c r="AA248" s="170">
        <f t="shared" ca="1" si="26"/>
        <v>2.878549382711451</v>
      </c>
      <c r="AB248" s="169">
        <f t="shared" ca="1" si="27"/>
        <v>0.92484953703387873</v>
      </c>
      <c r="AC248" s="170">
        <f t="shared" ca="1" si="28"/>
        <v>2.4662654320903434</v>
      </c>
      <c r="AD248" s="169">
        <f t="shared" ca="1" si="29"/>
        <v>9.7650462957972195E-2</v>
      </c>
      <c r="AE248" s="169">
        <f t="shared" ca="1" si="24"/>
        <v>0.92484953703387873</v>
      </c>
      <c r="AF248" s="170">
        <f t="shared" ca="1" si="30"/>
        <v>2.4662654320903434</v>
      </c>
      <c r="AG248" s="170">
        <f t="shared" ca="1" si="31"/>
        <v>2.4662654320903434</v>
      </c>
      <c r="AH248" s="28" t="str" cm="1">
        <f t="array" aca="1" ref="AH248" ca="1">IF((AD248) &lt; (INDEX(ResponseSLA[#All],(MATCH((G248),ResponseSLA[Priority],0))+1,3)),"YES","No")</f>
        <v>YES</v>
      </c>
      <c r="AI248" s="28" t="str">
        <f ca="1">_xlfn.IFNA(IF(AE248 &lt; (INDEX(SLATable[Minimum SLA],MATCH(G248,SLATable[Priority],0))),"YES","NO"),"")</f>
        <v>NO</v>
      </c>
      <c r="AJ248" s="28" t="str">
        <f ca="1">_xlfn.IFNA(IF(AE248 &lt; (INDEX(SLATable[Maximum SLA],MATCH(G248,SLATable[Priority],0))),"YES","NO"),"")</f>
        <v>NO</v>
      </c>
    </row>
    <row r="249" spans="2:36" ht="15" customHeight="1">
      <c r="B249" s="127" t="s">
        <v>26</v>
      </c>
      <c r="C249" s="127" t="s">
        <v>35</v>
      </c>
      <c r="D249" s="127" t="s">
        <v>208</v>
      </c>
      <c r="E249" s="127" t="s">
        <v>1564</v>
      </c>
      <c r="F249" s="127" t="s">
        <v>295</v>
      </c>
      <c r="G249" s="127" t="s">
        <v>208</v>
      </c>
      <c r="H249" s="127" t="s">
        <v>1565</v>
      </c>
      <c r="I249" s="127" t="s">
        <v>271</v>
      </c>
      <c r="J249" s="127" t="s">
        <v>1200</v>
      </c>
      <c r="K249" s="129">
        <v>46164.3987037037</v>
      </c>
      <c r="L249" s="129">
        <v>46164.3987037037</v>
      </c>
      <c r="M249" s="129">
        <v>46167.46770833333</v>
      </c>
      <c r="N249" s="129">
        <v>46170.276666666665</v>
      </c>
      <c r="O249" s="129"/>
      <c r="P249" s="129"/>
      <c r="Q249" s="127" t="s">
        <v>1566</v>
      </c>
      <c r="R249" s="127" t="s">
        <v>267</v>
      </c>
      <c r="S249" s="127" t="s">
        <v>179</v>
      </c>
      <c r="T249" s="127"/>
      <c r="U249" s="127" t="s">
        <v>371</v>
      </c>
      <c r="V249" s="127"/>
      <c r="W249" s="127"/>
      <c r="X249" s="127"/>
      <c r="Y249" s="127"/>
      <c r="Z249" s="169">
        <f t="shared" ca="1" si="25"/>
        <v>1.0596296296328851</v>
      </c>
      <c r="AA249" s="170">
        <f t="shared" ca="1" si="26"/>
        <v>2.8256790123543603</v>
      </c>
      <c r="AB249" s="169">
        <f t="shared" ca="1" si="27"/>
        <v>1.0596296296328851</v>
      </c>
      <c r="AC249" s="170">
        <f t="shared" ca="1" si="28"/>
        <v>2.8256790123543603</v>
      </c>
      <c r="AD249" s="169">
        <f t="shared" ca="1" si="29"/>
        <v>0</v>
      </c>
      <c r="AE249" s="169">
        <f t="shared" ca="1" si="24"/>
        <v>1.0596296296328851</v>
      </c>
      <c r="AF249" s="170">
        <f t="shared" ca="1" si="30"/>
        <v>2.8256790123543603</v>
      </c>
      <c r="AG249" s="170">
        <f t="shared" ca="1" si="31"/>
        <v>2.8256790123543603</v>
      </c>
      <c r="AH249" s="28" t="str" cm="1">
        <f t="array" aca="1" ref="AH249" ca="1">IF((AD249) &lt; (INDEX(ResponseSLA[#All],(MATCH((G249),ResponseSLA[Priority],0))+1,3)),"YES","No")</f>
        <v>YES</v>
      </c>
      <c r="AI249" s="28" t="str">
        <f ca="1">_xlfn.IFNA(IF(AE249 &lt; (INDEX(SLATable[Minimum SLA],MATCH(G249,SLATable[Priority],0))),"YES","NO"),"")</f>
        <v>NO</v>
      </c>
      <c r="AJ249" s="28" t="str">
        <f ca="1">_xlfn.IFNA(IF(AE249 &lt; (INDEX(SLATable[Maximum SLA],MATCH(G249,SLATable[Priority],0))),"YES","NO"),"")</f>
        <v>NO</v>
      </c>
    </row>
    <row r="250" spans="2:36" ht="15" customHeight="1">
      <c r="B250" s="127" t="s">
        <v>26</v>
      </c>
      <c r="C250" s="127" t="s">
        <v>35</v>
      </c>
      <c r="D250" s="127" t="s">
        <v>208</v>
      </c>
      <c r="E250" s="127" t="s">
        <v>1567</v>
      </c>
      <c r="F250" s="127" t="s">
        <v>295</v>
      </c>
      <c r="G250" s="127" t="s">
        <v>208</v>
      </c>
      <c r="H250" s="127" t="s">
        <v>1568</v>
      </c>
      <c r="I250" s="127" t="s">
        <v>271</v>
      </c>
      <c r="J250" s="127" t="s">
        <v>1200</v>
      </c>
      <c r="K250" s="129">
        <v>46167.268125000002</v>
      </c>
      <c r="L250" s="129">
        <v>46167.268125000002</v>
      </c>
      <c r="M250" s="129">
        <v>46167.477372685185</v>
      </c>
      <c r="N250" s="129">
        <v>46170.276388888888</v>
      </c>
      <c r="O250" s="129"/>
      <c r="P250" s="129"/>
      <c r="Q250" s="127" t="s">
        <v>1566</v>
      </c>
      <c r="R250" s="127" t="s">
        <v>267</v>
      </c>
      <c r="S250" s="127" t="s">
        <v>179</v>
      </c>
      <c r="T250" s="127"/>
      <c r="U250" s="127" t="s">
        <v>371</v>
      </c>
      <c r="V250" s="127"/>
      <c r="W250" s="127"/>
      <c r="X250" s="127"/>
      <c r="Y250" s="127"/>
      <c r="Z250" s="169">
        <f t="shared" ca="1" si="25"/>
        <v>0.75000000000000022</v>
      </c>
      <c r="AA250" s="170">
        <f t="shared" ca="1" si="26"/>
        <v>2.0000000000000009</v>
      </c>
      <c r="AB250" s="169">
        <f t="shared" ca="1" si="27"/>
        <v>0.75000000000000022</v>
      </c>
      <c r="AC250" s="170">
        <f t="shared" ca="1" si="28"/>
        <v>2.0000000000000009</v>
      </c>
      <c r="AD250" s="169">
        <f t="shared" ca="1" si="29"/>
        <v>0</v>
      </c>
      <c r="AE250" s="169">
        <f t="shared" ca="1" si="24"/>
        <v>0.75000000000000022</v>
      </c>
      <c r="AF250" s="170">
        <f t="shared" ca="1" si="30"/>
        <v>2.0000000000000009</v>
      </c>
      <c r="AG250" s="170">
        <f t="shared" ca="1" si="31"/>
        <v>2.0000000000000009</v>
      </c>
      <c r="AH250" s="28" t="str" cm="1">
        <f t="array" aca="1" ref="AH250" ca="1">IF((AD250) &lt; (INDEX(ResponseSLA[#All],(MATCH((G250),ResponseSLA[Priority],0))+1,3)),"YES","No")</f>
        <v>YES</v>
      </c>
      <c r="AI250" s="28" t="str">
        <f ca="1">_xlfn.IFNA(IF(AE250 &lt; (INDEX(SLATable[Minimum SLA],MATCH(G250,SLATable[Priority],0))),"YES","NO"),"")</f>
        <v>NO</v>
      </c>
      <c r="AJ250" s="28" t="str">
        <f ca="1">_xlfn.IFNA(IF(AE250 &lt; (INDEX(SLATable[Maximum SLA],MATCH(G250,SLATable[Priority],0))),"YES","NO"),"")</f>
        <v>NO</v>
      </c>
    </row>
    <row r="251" spans="2:36" ht="15" customHeight="1">
      <c r="B251" s="127" t="s">
        <v>26</v>
      </c>
      <c r="C251" s="127" t="s">
        <v>35</v>
      </c>
      <c r="D251" s="127" t="s">
        <v>208</v>
      </c>
      <c r="E251" s="127" t="s">
        <v>1569</v>
      </c>
      <c r="F251" s="127" t="s">
        <v>295</v>
      </c>
      <c r="G251" s="127" t="s">
        <v>208</v>
      </c>
      <c r="H251" s="127" t="s">
        <v>1570</v>
      </c>
      <c r="I251" s="127" t="s">
        <v>271</v>
      </c>
      <c r="J251" s="127" t="s">
        <v>1200</v>
      </c>
      <c r="K251" s="129">
        <v>46167.267094907409</v>
      </c>
      <c r="L251" s="129">
        <v>46167.267094907409</v>
      </c>
      <c r="M251" s="129">
        <v>46167.4768287037</v>
      </c>
      <c r="N251" s="129">
        <v>46170.275995370372</v>
      </c>
      <c r="O251" s="129"/>
      <c r="P251" s="129"/>
      <c r="Q251" s="127" t="s">
        <v>1137</v>
      </c>
      <c r="R251" s="127" t="s">
        <v>267</v>
      </c>
      <c r="S251" s="127" t="s">
        <v>179</v>
      </c>
      <c r="T251" s="127"/>
      <c r="U251" s="127" t="s">
        <v>371</v>
      </c>
      <c r="V251" s="127"/>
      <c r="W251" s="127"/>
      <c r="X251" s="127"/>
      <c r="Y251" s="127"/>
      <c r="Z251" s="169">
        <f t="shared" ca="1" si="25"/>
        <v>0.75000000000000022</v>
      </c>
      <c r="AA251" s="170">
        <f t="shared" ca="1" si="26"/>
        <v>2.0000000000000009</v>
      </c>
      <c r="AB251" s="169">
        <f t="shared" ca="1" si="27"/>
        <v>0.75000000000000022</v>
      </c>
      <c r="AC251" s="170">
        <f t="shared" ca="1" si="28"/>
        <v>2.0000000000000009</v>
      </c>
      <c r="AD251" s="169">
        <f t="shared" ca="1" si="29"/>
        <v>0</v>
      </c>
      <c r="AE251" s="169">
        <f t="shared" ca="1" si="24"/>
        <v>0.75000000000000022</v>
      </c>
      <c r="AF251" s="170">
        <f t="shared" ca="1" si="30"/>
        <v>2.0000000000000009</v>
      </c>
      <c r="AG251" s="170">
        <f t="shared" ca="1" si="31"/>
        <v>2.0000000000000009</v>
      </c>
      <c r="AH251" s="28" t="str" cm="1">
        <f t="array" aca="1" ref="AH251" ca="1">IF((AD251) &lt; (INDEX(ResponseSLA[#All],(MATCH((G251),ResponseSLA[Priority],0))+1,3)),"YES","No")</f>
        <v>YES</v>
      </c>
      <c r="AI251" s="28" t="str">
        <f ca="1">_xlfn.IFNA(IF(AE251 &lt; (INDEX(SLATable[Minimum SLA],MATCH(G251,SLATable[Priority],0))),"YES","NO"),"")</f>
        <v>NO</v>
      </c>
      <c r="AJ251" s="28" t="str">
        <f ca="1">_xlfn.IFNA(IF(AE251 &lt; (INDEX(SLATable[Maximum SLA],MATCH(G251,SLATable[Priority],0))),"YES","NO"),"")</f>
        <v>NO</v>
      </c>
    </row>
    <row r="252" spans="2:36" ht="15" customHeight="1">
      <c r="B252" s="127" t="s">
        <v>26</v>
      </c>
      <c r="C252" s="127" t="s">
        <v>35</v>
      </c>
      <c r="D252" s="127" t="s">
        <v>208</v>
      </c>
      <c r="E252" s="127" t="s">
        <v>1571</v>
      </c>
      <c r="F252" s="127" t="s">
        <v>292</v>
      </c>
      <c r="G252" s="127" t="s">
        <v>208</v>
      </c>
      <c r="H252" s="127" t="s">
        <v>869</v>
      </c>
      <c r="I252" s="127" t="s">
        <v>271</v>
      </c>
      <c r="J252" s="127" t="s">
        <v>1200</v>
      </c>
      <c r="K252" s="129">
        <v>46132.320717592593</v>
      </c>
      <c r="L252" s="129">
        <v>46149.619687500002</v>
      </c>
      <c r="M252" s="129">
        <v>46150.409594907411</v>
      </c>
      <c r="N252" s="129">
        <v>46154.464629629627</v>
      </c>
      <c r="O252" s="129"/>
      <c r="P252" s="129"/>
      <c r="Q252" s="127" t="s">
        <v>1034</v>
      </c>
      <c r="R252" s="127" t="s">
        <v>267</v>
      </c>
      <c r="S252" s="127" t="s">
        <v>179</v>
      </c>
      <c r="T252" s="127"/>
      <c r="U252" s="127" t="s">
        <v>371</v>
      </c>
      <c r="V252" s="127"/>
      <c r="W252" s="127"/>
      <c r="X252" s="127"/>
      <c r="Y252" s="127"/>
      <c r="Z252" s="169">
        <f t="shared" ca="1" si="25"/>
        <v>5.381296296293538</v>
      </c>
      <c r="AA252" s="170">
        <f t="shared" ca="1" si="26"/>
        <v>14.350123456782768</v>
      </c>
      <c r="AB252" s="169">
        <f t="shared" ca="1" si="27"/>
        <v>0.96994212962454207</v>
      </c>
      <c r="AC252" s="170">
        <f t="shared" ca="1" si="28"/>
        <v>2.5865123456654455</v>
      </c>
      <c r="AD252" s="169">
        <f t="shared" ca="1" si="29"/>
        <v>0.16490740740846377</v>
      </c>
      <c r="AE252" s="169">
        <f t="shared" ca="1" si="24"/>
        <v>0.96994212962454207</v>
      </c>
      <c r="AF252" s="170">
        <f t="shared" ca="1" si="30"/>
        <v>2.5865123456654455</v>
      </c>
      <c r="AG252" s="170">
        <f t="shared" ca="1" si="31"/>
        <v>2.5865123456654455</v>
      </c>
      <c r="AH252" s="28" t="str" cm="1">
        <f t="array" aca="1" ref="AH252" ca="1">IF((AD252) &lt; (INDEX(ResponseSLA[#All],(MATCH((G252),ResponseSLA[Priority],0))+1,3)),"YES","No")</f>
        <v>YES</v>
      </c>
      <c r="AI252" s="28" t="str">
        <f ca="1">_xlfn.IFNA(IF(AE252 &lt; (INDEX(SLATable[Minimum SLA],MATCH(G252,SLATable[Priority],0))),"YES","NO"),"")</f>
        <v>NO</v>
      </c>
      <c r="AJ252" s="28" t="str">
        <f ca="1">_xlfn.IFNA(IF(AE252 &lt; (INDEX(SLATable[Maximum SLA],MATCH(G252,SLATable[Priority],0))),"YES","NO"),"")</f>
        <v>NO</v>
      </c>
    </row>
    <row r="253" spans="2:36" ht="15" customHeight="1">
      <c r="B253" s="127" t="s">
        <v>26</v>
      </c>
      <c r="C253" s="127" t="s">
        <v>35</v>
      </c>
      <c r="D253" s="127" t="s">
        <v>208</v>
      </c>
      <c r="E253" s="127" t="s">
        <v>1572</v>
      </c>
      <c r="F253" s="127" t="s">
        <v>295</v>
      </c>
      <c r="G253" s="127" t="s">
        <v>208</v>
      </c>
      <c r="H253" s="127" t="s">
        <v>1573</v>
      </c>
      <c r="I253" s="127" t="s">
        <v>260</v>
      </c>
      <c r="J253" s="127" t="s">
        <v>1200</v>
      </c>
      <c r="K253" s="129">
        <v>46164.397974537038</v>
      </c>
      <c r="L253" s="129">
        <v>46164.397974537038</v>
      </c>
      <c r="M253" s="129">
        <v>46167.467418981483</v>
      </c>
      <c r="N253" s="129"/>
      <c r="O253" s="129"/>
      <c r="P253" s="129"/>
      <c r="Q253" s="127" t="s">
        <v>1574</v>
      </c>
      <c r="R253" s="127"/>
      <c r="S253" s="127"/>
      <c r="T253" s="127"/>
      <c r="U253" s="127" t="s">
        <v>371</v>
      </c>
      <c r="V253" s="127"/>
      <c r="W253" s="127"/>
      <c r="X253" s="127"/>
      <c r="Y253" s="127"/>
      <c r="Z253" s="169">
        <f t="shared" ca="1" si="25"/>
        <v>24.985999537035244</v>
      </c>
      <c r="AA253" s="170">
        <f t="shared" ca="1" si="26"/>
        <v>66.629332098760656</v>
      </c>
      <c r="AB253" s="169">
        <f t="shared" ca="1" si="27"/>
        <v>24.985999652773902</v>
      </c>
      <c r="AC253" s="170">
        <f t="shared" ca="1" si="28"/>
        <v>66.629332407397072</v>
      </c>
      <c r="AD253" s="169">
        <f t="shared" ca="1" si="29"/>
        <v>0</v>
      </c>
      <c r="AE253" s="169">
        <f t="shared" ca="1" si="24"/>
        <v>24.985999652773902</v>
      </c>
      <c r="AF253" s="170">
        <f t="shared" ca="1" si="30"/>
        <v>66.629332407397072</v>
      </c>
      <c r="AG253" s="170">
        <f t="shared" ca="1" si="31"/>
        <v>66.629332407397072</v>
      </c>
      <c r="AH253" s="28" t="str" cm="1">
        <f t="array" aca="1" ref="AH253" ca="1">IF((AD253) &lt; (INDEX(ResponseSLA[#All],(MATCH((G253),ResponseSLA[Priority],0))+1,3)),"YES","No")</f>
        <v>YES</v>
      </c>
      <c r="AI253" s="28" t="str">
        <f ca="1">_xlfn.IFNA(IF(AE253 &lt; (INDEX(SLATable[Minimum SLA],MATCH(G253,SLATable[Priority],0))),"YES","NO"),"")</f>
        <v>NO</v>
      </c>
      <c r="AJ253" s="28" t="str">
        <f ca="1">_xlfn.IFNA(IF(AE253 &lt; (INDEX(SLATable[Maximum SLA],MATCH(G253,SLATable[Priority],0))),"YES","NO"),"")</f>
        <v>NO</v>
      </c>
    </row>
    <row r="254" spans="2:36" ht="15" customHeight="1">
      <c r="B254" s="127" t="s">
        <v>26</v>
      </c>
      <c r="C254" s="127" t="s">
        <v>35</v>
      </c>
      <c r="D254" s="127" t="s">
        <v>208</v>
      </c>
      <c r="E254" s="127" t="s">
        <v>1575</v>
      </c>
      <c r="F254" s="127" t="s">
        <v>295</v>
      </c>
      <c r="G254" s="127" t="s">
        <v>208</v>
      </c>
      <c r="H254" s="127" t="s">
        <v>1576</v>
      </c>
      <c r="I254" s="127" t="s">
        <v>260</v>
      </c>
      <c r="J254" s="127" t="s">
        <v>1200</v>
      </c>
      <c r="K254" s="129">
        <v>46153.253298611111</v>
      </c>
      <c r="L254" s="129">
        <v>46153.253298611111</v>
      </c>
      <c r="M254" s="129">
        <v>46154.44798611111</v>
      </c>
      <c r="N254" s="129"/>
      <c r="O254" s="129"/>
      <c r="P254" s="129"/>
      <c r="Q254" s="127" t="s">
        <v>1260</v>
      </c>
      <c r="R254" s="127"/>
      <c r="S254" s="127"/>
      <c r="T254" s="127"/>
      <c r="U254" s="127" t="s">
        <v>371</v>
      </c>
      <c r="V254" s="127"/>
      <c r="W254" s="127"/>
      <c r="X254" s="127"/>
      <c r="Y254" s="127"/>
      <c r="Z254" s="169">
        <f t="shared" ca="1" si="25"/>
        <v>28.425640740739865</v>
      </c>
      <c r="AA254" s="170">
        <f t="shared" ca="1" si="26"/>
        <v>75.801708641972979</v>
      </c>
      <c r="AB254" s="169">
        <f t="shared" ca="1" si="27"/>
        <v>28.425640856478523</v>
      </c>
      <c r="AC254" s="170">
        <f t="shared" ca="1" si="28"/>
        <v>75.801708950609395</v>
      </c>
      <c r="AD254" s="169">
        <f t="shared" ca="1" si="29"/>
        <v>0.48965277777703403</v>
      </c>
      <c r="AE254" s="169">
        <f t="shared" ca="1" si="24"/>
        <v>28.425640856478523</v>
      </c>
      <c r="AF254" s="170">
        <f t="shared" ca="1" si="30"/>
        <v>75.801708950609395</v>
      </c>
      <c r="AG254" s="170">
        <f t="shared" ca="1" si="31"/>
        <v>75.801708950609395</v>
      </c>
      <c r="AH254" s="28" t="str" cm="1">
        <f t="array" aca="1" ref="AH254" ca="1">IF((AD254) &lt; (INDEX(ResponseSLA[#All],(MATCH((G254),ResponseSLA[Priority],0))+1,3)),"YES","No")</f>
        <v>No</v>
      </c>
      <c r="AI254" s="28" t="str">
        <f ca="1">_xlfn.IFNA(IF(AE254 &lt; (INDEX(SLATable[Minimum SLA],MATCH(G254,SLATable[Priority],0))),"YES","NO"),"")</f>
        <v>NO</v>
      </c>
      <c r="AJ254" s="28" t="str">
        <f ca="1">_xlfn.IFNA(IF(AE254 &lt; (INDEX(SLATable[Maximum SLA],MATCH(G254,SLATable[Priority],0))),"YES","NO"),"")</f>
        <v>NO</v>
      </c>
    </row>
    <row r="255" spans="2:36" ht="15" customHeight="1">
      <c r="B255" s="127" t="s">
        <v>26</v>
      </c>
      <c r="C255" s="127" t="s">
        <v>35</v>
      </c>
      <c r="D255" s="127" t="s">
        <v>208</v>
      </c>
      <c r="E255" s="127" t="s">
        <v>1577</v>
      </c>
      <c r="F255" s="127" t="s">
        <v>295</v>
      </c>
      <c r="G255" s="127" t="s">
        <v>208</v>
      </c>
      <c r="H255" s="127" t="s">
        <v>1174</v>
      </c>
      <c r="I255" s="127" t="s">
        <v>260</v>
      </c>
      <c r="J255" s="127" t="s">
        <v>1200</v>
      </c>
      <c r="K255" s="129">
        <v>46148.47210648148</v>
      </c>
      <c r="L255" s="129">
        <v>46148.508333333331</v>
      </c>
      <c r="M255" s="129">
        <v>46148.593391203707</v>
      </c>
      <c r="N255" s="129"/>
      <c r="O255" s="129"/>
      <c r="P255" s="129"/>
      <c r="Q255" s="127" t="s">
        <v>1578</v>
      </c>
      <c r="R255" s="127"/>
      <c r="S255" s="127"/>
      <c r="T255" s="127"/>
      <c r="U255" s="127" t="s">
        <v>371</v>
      </c>
      <c r="V255" s="127"/>
      <c r="W255" s="127"/>
      <c r="X255" s="127"/>
      <c r="Y255" s="127"/>
      <c r="Z255" s="169">
        <f t="shared" ca="1" si="25"/>
        <v>29.411867592592902</v>
      </c>
      <c r="AA255" s="170">
        <f t="shared" ca="1" si="26"/>
        <v>78.431646913581076</v>
      </c>
      <c r="AB255" s="169">
        <f t="shared" ca="1" si="27"/>
        <v>29.375640856480462</v>
      </c>
      <c r="AC255" s="170">
        <f t="shared" ca="1" si="28"/>
        <v>78.335042283947899</v>
      </c>
      <c r="AD255" s="169">
        <f t="shared" ca="1" si="29"/>
        <v>8.5057870375749189E-2</v>
      </c>
      <c r="AE255" s="169">
        <f t="shared" ca="1" si="24"/>
        <v>29.375640856480462</v>
      </c>
      <c r="AF255" s="170">
        <f t="shared" ca="1" si="30"/>
        <v>78.335042283947899</v>
      </c>
      <c r="AG255" s="170">
        <f t="shared" ca="1" si="31"/>
        <v>78.335042283947899</v>
      </c>
      <c r="AH255" s="28" t="str" cm="1">
        <f t="array" aca="1" ref="AH255" ca="1">IF((AD255) &lt; (INDEX(ResponseSLA[#All],(MATCH((G255),ResponseSLA[Priority],0))+1,3)),"YES","No")</f>
        <v>YES</v>
      </c>
      <c r="AI255" s="28" t="str">
        <f ca="1">_xlfn.IFNA(IF(AE255 &lt; (INDEX(SLATable[Minimum SLA],MATCH(G255,SLATable[Priority],0))),"YES","NO"),"")</f>
        <v>NO</v>
      </c>
      <c r="AJ255" s="28" t="str">
        <f ca="1">_xlfn.IFNA(IF(AE255 &lt; (INDEX(SLATable[Maximum SLA],MATCH(G255,SLATable[Priority],0))),"YES","NO"),"")</f>
        <v>NO</v>
      </c>
    </row>
    <row r="256" spans="2:36" ht="15" customHeight="1">
      <c r="B256" s="127" t="s">
        <v>26</v>
      </c>
      <c r="C256" s="127" t="s">
        <v>35</v>
      </c>
      <c r="D256" s="127" t="s">
        <v>208</v>
      </c>
      <c r="E256" s="127" t="s">
        <v>1579</v>
      </c>
      <c r="F256" s="127" t="s">
        <v>295</v>
      </c>
      <c r="G256" s="127" t="s">
        <v>208</v>
      </c>
      <c r="H256" s="127" t="s">
        <v>1580</v>
      </c>
      <c r="I256" s="127" t="s">
        <v>260</v>
      </c>
      <c r="J256" s="127" t="s">
        <v>1200</v>
      </c>
      <c r="K256" s="129">
        <v>46164.397974537038</v>
      </c>
      <c r="L256" s="129">
        <v>46164.397974537038</v>
      </c>
      <c r="M256" s="129">
        <v>46167.467418981483</v>
      </c>
      <c r="N256" s="129"/>
      <c r="O256" s="129"/>
      <c r="P256" s="129"/>
      <c r="Q256" s="127" t="s">
        <v>1581</v>
      </c>
      <c r="R256" s="127"/>
      <c r="S256" s="127"/>
      <c r="T256" s="127"/>
      <c r="U256" s="127" t="s">
        <v>371</v>
      </c>
      <c r="V256" s="127"/>
      <c r="W256" s="127"/>
      <c r="X256" s="127"/>
      <c r="Y256" s="127"/>
      <c r="Z256" s="169">
        <f t="shared" ca="1" si="25"/>
        <v>24.985999537035244</v>
      </c>
      <c r="AA256" s="170">
        <f t="shared" ca="1" si="26"/>
        <v>66.629332098760656</v>
      </c>
      <c r="AB256" s="169">
        <f t="shared" ca="1" si="27"/>
        <v>24.985999652773902</v>
      </c>
      <c r="AC256" s="170">
        <f t="shared" ca="1" si="28"/>
        <v>66.629332407397072</v>
      </c>
      <c r="AD256" s="169">
        <f t="shared" ca="1" si="29"/>
        <v>0</v>
      </c>
      <c r="AE256" s="169">
        <f t="shared" ca="1" si="24"/>
        <v>24.985999652773902</v>
      </c>
      <c r="AF256" s="170">
        <f t="shared" ca="1" si="30"/>
        <v>66.629332407397072</v>
      </c>
      <c r="AG256" s="170">
        <f t="shared" ca="1" si="31"/>
        <v>66.629332407397072</v>
      </c>
      <c r="AH256" s="28" t="str" cm="1">
        <f t="array" aca="1" ref="AH256" ca="1">IF((AD256) &lt; (INDEX(ResponseSLA[#All],(MATCH((G256),ResponseSLA[Priority],0))+1,3)),"YES","No")</f>
        <v>YES</v>
      </c>
      <c r="AI256" s="28" t="str">
        <f ca="1">_xlfn.IFNA(IF(AE256 &lt; (INDEX(SLATable[Minimum SLA],MATCH(G256,SLATable[Priority],0))),"YES","NO"),"")</f>
        <v>NO</v>
      </c>
      <c r="AJ256" s="28" t="str">
        <f ca="1">_xlfn.IFNA(IF(AE256 &lt; (INDEX(SLATable[Maximum SLA],MATCH(G256,SLATable[Priority],0))),"YES","NO"),"")</f>
        <v>NO</v>
      </c>
    </row>
    <row r="257" spans="2:36" ht="15" customHeight="1">
      <c r="B257" s="127" t="s">
        <v>26</v>
      </c>
      <c r="C257" s="127" t="s">
        <v>35</v>
      </c>
      <c r="D257" s="127" t="s">
        <v>207</v>
      </c>
      <c r="E257" s="127" t="s">
        <v>1582</v>
      </c>
      <c r="F257" s="127" t="s">
        <v>295</v>
      </c>
      <c r="G257" s="127">
        <v>3</v>
      </c>
      <c r="H257" s="127" t="s">
        <v>1051</v>
      </c>
      <c r="I257" s="127" t="s">
        <v>271</v>
      </c>
      <c r="J257" s="127" t="s">
        <v>1583</v>
      </c>
      <c r="K257" s="129">
        <v>46165.715752314813</v>
      </c>
      <c r="L257" s="129">
        <v>46165.721226851849</v>
      </c>
      <c r="M257" s="129">
        <v>46166.638321759259</v>
      </c>
      <c r="N257" s="129">
        <v>46168.367800925924</v>
      </c>
      <c r="O257" s="129"/>
      <c r="P257" s="129">
        <v>46168.367800925924</v>
      </c>
      <c r="Q257" s="127" t="s">
        <v>695</v>
      </c>
      <c r="R257" s="127" t="s">
        <v>267</v>
      </c>
      <c r="S257" s="127" t="s">
        <v>141</v>
      </c>
      <c r="T257" s="127"/>
      <c r="U257" s="127" t="s">
        <v>371</v>
      </c>
      <c r="V257" s="127"/>
      <c r="W257" s="127"/>
      <c r="X257" s="127"/>
      <c r="Y257" s="127"/>
      <c r="Z257" s="169">
        <f t="shared" ca="1" si="25"/>
        <v>3.4467592590469109E-2</v>
      </c>
      <c r="AA257" s="170">
        <f t="shared" ca="1" si="26"/>
        <v>9.1913580241250958E-2</v>
      </c>
      <c r="AB257" s="169">
        <f t="shared" ca="1" si="27"/>
        <v>3.4467592590469109E-2</v>
      </c>
      <c r="AC257" s="170">
        <f t="shared" ca="1" si="28"/>
        <v>9.1913580241250958E-2</v>
      </c>
      <c r="AD257" s="169">
        <f t="shared" ca="1" si="29"/>
        <v>0</v>
      </c>
      <c r="AE257" s="169">
        <f t="shared" ca="1" si="24"/>
        <v>3.4467592590469109E-2</v>
      </c>
      <c r="AF257" s="170">
        <f t="shared" ca="1" si="30"/>
        <v>9.1913580241250958E-2</v>
      </c>
      <c r="AG257" s="170">
        <f t="shared" ca="1" si="31"/>
        <v>9.1913580241250958E-2</v>
      </c>
      <c r="AH257" s="28" t="str" cm="1">
        <f t="array" aca="1" ref="AH257" ca="1">IF((AD257) &lt; (INDEX(ResponseSLA[#All],(MATCH((G257),ResponseSLA[Priority],0))+1,3)),"YES","No")</f>
        <v>YES</v>
      </c>
      <c r="AI257" s="28" t="str">
        <f ca="1">_xlfn.IFNA(IF(AE257 &lt; (INDEX(SLATable[Minimum SLA],MATCH(G257,SLATable[Priority],0))),"YES","NO"),"")</f>
        <v>YES</v>
      </c>
      <c r="AJ257" s="28" t="str">
        <f ca="1">_xlfn.IFNA(IF(AE257 &lt; (INDEX(SLATable[Maximum SLA],MATCH(G257,SLATable[Priority],0))),"YES","NO"),"")</f>
        <v>YES</v>
      </c>
    </row>
    <row r="258" spans="2:36" ht="15" customHeight="1">
      <c r="B258" s="127" t="s">
        <v>26</v>
      </c>
      <c r="C258" s="127" t="s">
        <v>35</v>
      </c>
      <c r="D258" s="127" t="s">
        <v>207</v>
      </c>
      <c r="E258" s="127" t="s">
        <v>1584</v>
      </c>
      <c r="F258" s="127" t="s">
        <v>292</v>
      </c>
      <c r="G258" s="127">
        <v>3</v>
      </c>
      <c r="H258" s="127" t="s">
        <v>1585</v>
      </c>
      <c r="I258" s="127" t="s">
        <v>271</v>
      </c>
      <c r="J258" s="127" t="s">
        <v>1583</v>
      </c>
      <c r="K258" s="129">
        <v>46151.599675925929</v>
      </c>
      <c r="L258" s="129">
        <v>46151.606180555558</v>
      </c>
      <c r="M258" s="129">
        <v>46153.281261574077</v>
      </c>
      <c r="N258" s="129">
        <v>46162.37667824074</v>
      </c>
      <c r="O258" s="129">
        <v>46154.375717592593</v>
      </c>
      <c r="P258" s="129">
        <v>46162.37667824074</v>
      </c>
      <c r="Q258" s="127" t="s">
        <v>1073</v>
      </c>
      <c r="R258" s="127" t="s">
        <v>267</v>
      </c>
      <c r="S258" s="127" t="s">
        <v>190</v>
      </c>
      <c r="T258" s="127"/>
      <c r="U258" s="127" t="s">
        <v>371</v>
      </c>
      <c r="V258" s="127"/>
      <c r="W258" s="127"/>
      <c r="X258" s="127"/>
      <c r="Y258" s="127"/>
      <c r="Z258" s="169">
        <f t="shared" ref="Z258:Z320" ca="1" si="32">IF(NOT(OR(G258=1,G258=2)),MAX(0,_xlfn.IFS(AND(K258&lt;&gt;"",N258&lt;&gt;""),((MAX(NETWORKDAYS(K258,N258,UKBankHolidays)-1,0))*(TIME(17,0,0)-TIME(8,0,0))+IF(NETWORKDAYS(N258,N258,UKBankHolidays)&gt;0,MEDIAN(TIME(8,0,0),MOD(N258,1),TIME(17,0,0)),TIME(8,0,0))-IF(NETWORKDAYS(K258,K258,UKBankHolidays)&gt;0,MEDIAN(TIME(8,0,0),MOD(K258,1),TIME(17,0,0)),TIME(8,0,0)))-IF(AND(O258&lt;&gt;"",P258&lt;&gt;""),((MAX(NETWORKDAYS(O258,P258,UKBankHolidays)-1,0))*(TIME(17,0,0)-TIME(8,0,0))+IF(NETWORKDAYS(P258,P258,UKBankHolidays)&gt;0,MEDIAN(TIME(8,0,0),MOD(P258,1),TIME(17,0,0)),TIME(8,0,0))-IF(NETWORKDAYS(O258,O258,UKBankHolidays)&gt;0,MEDIAN(TIME(8,0,0),MOD(O258,1),TIME(17,0,0)),TIME(8,0,0))),0),AND(K258&lt;&gt;"",N258=""),((MAX(NETWORKDAYS(K258,NOW(),UKBankHolidays)-1,0))*(TIME(17,0,0)-TIME(8,0,0))+IF(NETWORKDAYS(NOW(),NOW(),UKBankHolidays)&gt;0,MEDIAN(TIME(8,0,0),MOD(NOW(),1),TIME(17,0,0)),TIME(8,0,0))-IF(NETWORKDAYS(K258,K258,UKBankHolidays)&gt;0,MEDIAN(TIME(8,0,0),MOD(K258,1),TIME(17,0,0)),TIME(8,0,0))))),IF(N258="",NOW()-K258,N258-K258))</f>
        <v>0.41738425925965794</v>
      </c>
      <c r="AA258" s="170">
        <f t="shared" ref="AA258:AA320" ca="1" si="33">(Z258*24)/9</f>
        <v>1.1130246913590878</v>
      </c>
      <c r="AB258" s="169">
        <f t="shared" ref="AB258:AB320" ca="1" si="34">IF(NOT(OR(G258=1,G258=2)),MAX(0,_xlfn.IFS(AND(K258&lt;&gt;"",N258&lt;&gt;""),(((MAX(NETWORKDAYS(L258,N258,UKBankHolidays)-1,0))*(TIME(17,0,0)-TIME(8,0,0)))+IF(NETWORKDAYS(N258,N258,UKBankHolidays)&gt;0,MEDIAN(TIME(8,0,0),MOD(N258,1),TIME(17,0,0)),TIME(8,0,0))-IF(NETWORKDAYS(L258,L258,UKBankHolidays)&gt;0,MEDIAN(TIME(8,0,0),MOD(L258,1),TIME(17,0,0)),TIME(8,0,0)))-IF(AND(O258&lt;&gt;"",P258&lt;&gt;""),(((MAX(NETWORKDAYS(O258,P258,UKBankHolidays)-1,0))*(TIME(17,0,0)-TIME(8,0,0)))+IF(NETWORKDAYS(P258,P258,UKBankHolidays)&gt;0,MEDIAN(TIME(8,0,0),MOD(P258,1),TIME(17,0,0)),TIME(8,0,0))-IF(NETWORKDAYS(O258,O258,UKBankHolidays)&gt;0,MEDIAN(TIME(8,0,0),MOD(O258,1),TIME(17,0,0)),TIME(8,0,0))),0),AND(L258&lt;&gt;"",N258="",O258=""),(((MAX(NETWORKDAYS(L258,NOW(),UKBankHolidays)-1,0))*(TIME(17,0,0)-TIME(8,0,0)))+IF(NETWORKDAYS(NOW(),NOW(),UKBankHolidays)&gt;0,MEDIAN(TIME(8,0,0),MOD(NOW(),1),TIME(17,0,0)),TIME(8,0,0))-IF(NETWORKDAYS(L258,L258,UKBankHolidays)&gt;0,MEDIAN(TIME(8,0,0),MOD(L258,1),TIME(17,0,0)),TIME(8,0,0)))-IF(AND(O258&lt;&gt;"",P258&lt;&gt;""),(((MAX(NETWORKDAYS(O258,P258,UKBankHolidays)-1,0))*(TIME(17,0,0)-TIME(8,0,0)))+IF(NETWORKDAYS(P258,P258,UKBankHolidays)&gt;0,MEDIAN(TIME(8,0,0),MOD(P258,1),TIME(17,0,0)),TIME(8,0,0))-IF(NETWORKDAYS(O258,O258,UKBankHolidays)&gt;0,MEDIAN(TIME(8,0,0),MOD(O258,1),TIME(17,0,0)),TIME(8,0,0))),0),AND(L258&lt;&gt;"",N258="",P258="",O258&lt;&gt;""),(((MAX(NETWORKDAYS(L258,O258,UKBankHolidays)-1,0))*(TIME(17,0,0)-TIME(8,0,0)))+IF(NETWORKDAYS(O258,O258,UKBankHolidays)&gt;0,MEDIAN(TIME(8,0,0),MOD(O258,1),TIME(17,0,0)),TIME(8,0,0))-IF(NETWORKDAYS(L258,L258,UKBankHolidays)&gt;0,MEDIAN(TIME(8,0,0),MOD(L258,1),TIME(17,0,0)),TIME(8,0,0))),ISBLANK(K258),"0")),IF(ISBLANK(N258),NOW()-L258,N258-L258))</f>
        <v>0.41738425925965794</v>
      </c>
      <c r="AC258" s="170">
        <f t="shared" ref="AC258:AC320" ca="1" si="35">(AB258*24)/9</f>
        <v>1.1130246913590878</v>
      </c>
      <c r="AD258" s="169">
        <f t="shared" ref="AD258:AD320" ca="1" si="36">MAX(0,IF(NOT(OR(G258=1,G258=2)),IF(M258&lt;&gt;"",((MAX(NETWORKDAYS(L258,M258,UKBankHolidays)-1,0))*(TIME(17,0,0)-TIME(8,0,0))+IF(NETWORKDAYS(M258,M258,UKBankHolidays)&gt;0,MEDIAN(TIME(8,0,0),MOD(M258,1),TIME(17,0,0)),TIME(8,0,0))-MEDIAN(TIME(8,0,0),MOD(L258,1),TIME(17,0,0))),((MAX(NETWORKDAYS(L258,NOW(),UKBankHolidays)-1,0))*(TIME(17,0,0)-TIME(8,0,0))+IF(NETWORKDAYS(NOW(),NOW(),UKBankHolidays)&gt;0,MEDIAN(TIME(8,0,0),MOD(NOW(),1),TIME(17,0,0)),TIME(8,0,0))-MEDIAN(TIME(8,0,0),MOD(L258,1),TIME(17,0,0)))),IF(M258&lt;&gt;"",M258-L258,NOW()-L258)))</f>
        <v>0</v>
      </c>
      <c r="AE258" s="169">
        <f t="shared" ref="AE258:AE321" ca="1" si="37">SUMIFS(AB:AB,E:E,E258)</f>
        <v>0.41738425925965794</v>
      </c>
      <c r="AF258" s="170">
        <f t="shared" ref="AF258:AF320" ca="1" si="38">(AE258*24)/9</f>
        <v>1.1130246913590878</v>
      </c>
      <c r="AG258" s="170">
        <f t="shared" ref="AG258:AG320" ca="1" si="39">AF258</f>
        <v>1.1130246913590878</v>
      </c>
      <c r="AH258" s="28" t="str" cm="1">
        <f t="array" aca="1" ref="AH258" ca="1">IF((AD258) &lt; (INDEX(ResponseSLA[#All],(MATCH((G258),ResponseSLA[Priority],0))+1,3)),"YES","No")</f>
        <v>YES</v>
      </c>
      <c r="AI258" s="28" t="str">
        <f ca="1">_xlfn.IFNA(IF(AE258 &lt; (INDEX(SLATable[Minimum SLA],MATCH(G258,SLATable[Priority],0))),"YES","NO"),"")</f>
        <v>NO</v>
      </c>
      <c r="AJ258" s="28" t="str">
        <f ca="1">_xlfn.IFNA(IF(AE258 &lt; (INDEX(SLATable[Maximum SLA],MATCH(G258,SLATable[Priority],0))),"YES","NO"),"")</f>
        <v>YES</v>
      </c>
    </row>
    <row r="259" spans="2:36" ht="15" customHeight="1">
      <c r="B259" s="127" t="s">
        <v>26</v>
      </c>
      <c r="C259" s="127" t="s">
        <v>35</v>
      </c>
      <c r="D259" s="127" t="s">
        <v>207</v>
      </c>
      <c r="E259" s="127" t="s">
        <v>1586</v>
      </c>
      <c r="F259" s="127" t="s">
        <v>289</v>
      </c>
      <c r="G259" s="127">
        <v>3</v>
      </c>
      <c r="H259" s="127" t="s">
        <v>1587</v>
      </c>
      <c r="I259" s="127" t="s">
        <v>271</v>
      </c>
      <c r="J259" s="127" t="s">
        <v>1583</v>
      </c>
      <c r="K259" s="129">
        <v>46131.552083333336</v>
      </c>
      <c r="L259" s="129">
        <v>46131.553993055553</v>
      </c>
      <c r="M259" s="129">
        <v>46131.783182870371</v>
      </c>
      <c r="N259" s="129">
        <v>46140.580474537041</v>
      </c>
      <c r="O259" s="129">
        <v>46133.4528587963</v>
      </c>
      <c r="P259" s="129">
        <v>46133.656840277778</v>
      </c>
      <c r="Q259" s="127" t="s">
        <v>1104</v>
      </c>
      <c r="R259" s="127" t="s">
        <v>267</v>
      </c>
      <c r="S259" s="127" t="s">
        <v>137</v>
      </c>
      <c r="T259" s="127"/>
      <c r="U259" s="127" t="s">
        <v>371</v>
      </c>
      <c r="V259" s="127"/>
      <c r="W259" s="127"/>
      <c r="X259" s="127"/>
      <c r="Y259" s="127"/>
      <c r="Z259" s="169">
        <f t="shared" ca="1" si="32"/>
        <v>2.2931597222292721</v>
      </c>
      <c r="AA259" s="170">
        <f t="shared" ca="1" si="33"/>
        <v>6.1150925926113926</v>
      </c>
      <c r="AB259" s="169">
        <f t="shared" ca="1" si="34"/>
        <v>2.2931597222292721</v>
      </c>
      <c r="AC259" s="170">
        <f t="shared" ca="1" si="35"/>
        <v>6.1150925926113926</v>
      </c>
      <c r="AD259" s="169">
        <f t="shared" ca="1" si="36"/>
        <v>0</v>
      </c>
      <c r="AE259" s="169">
        <f t="shared" ca="1" si="37"/>
        <v>2.2931597222292721</v>
      </c>
      <c r="AF259" s="170">
        <f t="shared" ca="1" si="38"/>
        <v>6.1150925926113926</v>
      </c>
      <c r="AG259" s="170">
        <f t="shared" ca="1" si="39"/>
        <v>6.1150925926113926</v>
      </c>
      <c r="AH259" s="28" t="str" cm="1">
        <f t="array" aca="1" ref="AH259" ca="1">IF((AD259) &lt; (INDEX(ResponseSLA[#All],(MATCH((G259),ResponseSLA[Priority],0))+1,3)),"YES","No")</f>
        <v>YES</v>
      </c>
      <c r="AI259" s="28" t="str">
        <f ca="1">_xlfn.IFNA(IF(AE259 &lt; (INDEX(SLATable[Minimum SLA],MATCH(G259,SLATable[Priority],0))),"YES","NO"),"")</f>
        <v>NO</v>
      </c>
      <c r="AJ259" s="28" t="str">
        <f ca="1">_xlfn.IFNA(IF(AE259 &lt; (INDEX(SLATable[Maximum SLA],MATCH(G259,SLATable[Priority],0))),"YES","NO"),"")</f>
        <v>NO</v>
      </c>
    </row>
    <row r="260" spans="2:36" ht="15" customHeight="1">
      <c r="B260" s="127" t="s">
        <v>26</v>
      </c>
      <c r="C260" s="127" t="s">
        <v>35</v>
      </c>
      <c r="D260" s="127" t="s">
        <v>207</v>
      </c>
      <c r="E260" s="127" t="s">
        <v>1588</v>
      </c>
      <c r="F260" s="127" t="s">
        <v>295</v>
      </c>
      <c r="G260" s="127">
        <v>3</v>
      </c>
      <c r="H260" s="127" t="s">
        <v>1589</v>
      </c>
      <c r="I260" s="127" t="s">
        <v>271</v>
      </c>
      <c r="J260" s="127" t="s">
        <v>1583</v>
      </c>
      <c r="K260" s="129">
        <v>46156.799467592595</v>
      </c>
      <c r="L260" s="129">
        <v>46156.799502314818</v>
      </c>
      <c r="M260" s="129">
        <v>46157.280949074076</v>
      </c>
      <c r="N260" s="129">
        <v>46168.319571759261</v>
      </c>
      <c r="O260" s="129">
        <v>46163.38082175926</v>
      </c>
      <c r="P260" s="129">
        <v>46168.319571759261</v>
      </c>
      <c r="Q260" s="127" t="s">
        <v>1113</v>
      </c>
      <c r="R260" s="127" t="s">
        <v>267</v>
      </c>
      <c r="S260" s="127" t="s">
        <v>190</v>
      </c>
      <c r="T260" s="127"/>
      <c r="U260" s="127" t="s">
        <v>371</v>
      </c>
      <c r="V260" s="127"/>
      <c r="W260" s="127"/>
      <c r="X260" s="127"/>
      <c r="Y260" s="127"/>
      <c r="Z260" s="169">
        <f t="shared" ca="1" si="32"/>
        <v>1.547488425926228</v>
      </c>
      <c r="AA260" s="170">
        <f t="shared" ca="1" si="33"/>
        <v>4.1266358024699414</v>
      </c>
      <c r="AB260" s="169">
        <f t="shared" ca="1" si="34"/>
        <v>1.547488425926228</v>
      </c>
      <c r="AC260" s="170">
        <f t="shared" ca="1" si="35"/>
        <v>4.1266358024699414</v>
      </c>
      <c r="AD260" s="169">
        <f t="shared" ca="1" si="36"/>
        <v>0</v>
      </c>
      <c r="AE260" s="169">
        <f t="shared" ca="1" si="37"/>
        <v>1.547488425926228</v>
      </c>
      <c r="AF260" s="170">
        <f t="shared" ca="1" si="38"/>
        <v>4.1266358024699414</v>
      </c>
      <c r="AG260" s="170">
        <f t="shared" ca="1" si="39"/>
        <v>4.1266358024699414</v>
      </c>
      <c r="AH260" s="28" t="str" cm="1">
        <f t="array" aca="1" ref="AH260" ca="1">IF((AD260) &lt; (INDEX(ResponseSLA[#All],(MATCH((G260),ResponseSLA[Priority],0))+1,3)),"YES","No")</f>
        <v>YES</v>
      </c>
      <c r="AI260" s="28" t="str">
        <f ca="1">_xlfn.IFNA(IF(AE260 &lt; (INDEX(SLATable[Minimum SLA],MATCH(G260,SLATable[Priority],0))),"YES","NO"),"")</f>
        <v>NO</v>
      </c>
      <c r="AJ260" s="28" t="str">
        <f ca="1">_xlfn.IFNA(IF(AE260 &lt; (INDEX(SLATable[Maximum SLA],MATCH(G260,SLATable[Priority],0))),"YES","NO"),"")</f>
        <v>YES</v>
      </c>
    </row>
    <row r="261" spans="2:36" ht="15" customHeight="1">
      <c r="B261" s="127" t="s">
        <v>26</v>
      </c>
      <c r="C261" s="127" t="s">
        <v>35</v>
      </c>
      <c r="D261" s="127" t="s">
        <v>207</v>
      </c>
      <c r="E261" s="127" t="s">
        <v>1590</v>
      </c>
      <c r="F261" s="127" t="s">
        <v>292</v>
      </c>
      <c r="G261" s="127">
        <v>3</v>
      </c>
      <c r="H261" s="127" t="s">
        <v>1591</v>
      </c>
      <c r="I261" s="127" t="s">
        <v>271</v>
      </c>
      <c r="J261" s="127" t="s">
        <v>1583</v>
      </c>
      <c r="K261" s="129">
        <v>46132.672731481478</v>
      </c>
      <c r="L261" s="129">
        <v>46134.656643518516</v>
      </c>
      <c r="M261" s="129">
        <v>46135.226180555554</v>
      </c>
      <c r="N261" s="129">
        <v>46142.750254629631</v>
      </c>
      <c r="O261" s="129">
        <v>46135.226180555554</v>
      </c>
      <c r="P261" s="129">
        <v>46142.750254629631</v>
      </c>
      <c r="Q261" s="127" t="s">
        <v>1073</v>
      </c>
      <c r="R261" s="127" t="s">
        <v>267</v>
      </c>
      <c r="S261" s="127" t="s">
        <v>190</v>
      </c>
      <c r="T261" s="127"/>
      <c r="U261" s="127" t="s">
        <v>371</v>
      </c>
      <c r="V261" s="127"/>
      <c r="W261" s="127"/>
      <c r="X261" s="127"/>
      <c r="Y261" s="127"/>
      <c r="Z261" s="169">
        <f t="shared" ca="1" si="32"/>
        <v>0.78560185185536646</v>
      </c>
      <c r="AA261" s="170">
        <f t="shared" ca="1" si="33"/>
        <v>2.0949382716143106</v>
      </c>
      <c r="AB261" s="169">
        <f t="shared" ca="1" si="34"/>
        <v>5.1689814817413193E-2</v>
      </c>
      <c r="AC261" s="170">
        <f t="shared" ca="1" si="35"/>
        <v>0.13783950617976851</v>
      </c>
      <c r="AD261" s="169">
        <f t="shared" ca="1" si="36"/>
        <v>5.1689814817412638E-2</v>
      </c>
      <c r="AE261" s="169">
        <f t="shared" ca="1" si="37"/>
        <v>5.1689814817413193E-2</v>
      </c>
      <c r="AF261" s="170">
        <f t="shared" ca="1" si="38"/>
        <v>0.13783950617976851</v>
      </c>
      <c r="AG261" s="170">
        <f t="shared" ca="1" si="39"/>
        <v>0.13783950617976851</v>
      </c>
      <c r="AH261" s="28" t="str" cm="1">
        <f t="array" aca="1" ref="AH261" ca="1">IF((AD261) &lt; (INDEX(ResponseSLA[#All],(MATCH((G261),ResponseSLA[Priority],0))+1,3)),"YES","No")</f>
        <v>YES</v>
      </c>
      <c r="AI261" s="28" t="str">
        <f ca="1">_xlfn.IFNA(IF(AE261 &lt; (INDEX(SLATable[Minimum SLA],MATCH(G261,SLATable[Priority],0))),"YES","NO"),"")</f>
        <v>YES</v>
      </c>
      <c r="AJ261" s="28" t="str">
        <f ca="1">_xlfn.IFNA(IF(AE261 &lt; (INDEX(SLATable[Maximum SLA],MATCH(G261,SLATable[Priority],0))),"YES","NO"),"")</f>
        <v>YES</v>
      </c>
    </row>
    <row r="262" spans="2:36" ht="15" customHeight="1">
      <c r="B262" s="127" t="s">
        <v>26</v>
      </c>
      <c r="C262" s="127" t="s">
        <v>35</v>
      </c>
      <c r="D262" s="127" t="s">
        <v>207</v>
      </c>
      <c r="E262" s="127" t="s">
        <v>1592</v>
      </c>
      <c r="F262" s="127" t="s">
        <v>292</v>
      </c>
      <c r="G262" s="127">
        <v>3</v>
      </c>
      <c r="H262" s="127" t="s">
        <v>1593</v>
      </c>
      <c r="I262" s="127" t="s">
        <v>271</v>
      </c>
      <c r="J262" s="127" t="s">
        <v>1583</v>
      </c>
      <c r="K262" s="129">
        <v>46146.595648148148</v>
      </c>
      <c r="L262" s="129">
        <v>46150.454328703701</v>
      </c>
      <c r="M262" s="129">
        <v>46153.291701388887</v>
      </c>
      <c r="N262" s="129">
        <v>46156.375486111108</v>
      </c>
      <c r="O262" s="129">
        <v>46154.373900462961</v>
      </c>
      <c r="P262" s="129">
        <v>46154.60701388889</v>
      </c>
      <c r="Q262" s="127" t="s">
        <v>1073</v>
      </c>
      <c r="R262" s="127" t="s">
        <v>267</v>
      </c>
      <c r="S262" s="127" t="s">
        <v>190</v>
      </c>
      <c r="T262" s="127"/>
      <c r="U262" s="127" t="s">
        <v>371</v>
      </c>
      <c r="V262" s="127"/>
      <c r="W262" s="127"/>
      <c r="X262" s="127"/>
      <c r="Y262" s="127"/>
      <c r="Z262" s="169">
        <f t="shared" ca="1" si="32"/>
        <v>2.4340393518456649</v>
      </c>
      <c r="AA262" s="170">
        <f t="shared" ca="1" si="33"/>
        <v>6.4907716049217727</v>
      </c>
      <c r="AB262" s="169">
        <f t="shared" ca="1" si="34"/>
        <v>1.1880439814776766</v>
      </c>
      <c r="AC262" s="170">
        <f t="shared" ca="1" si="35"/>
        <v>3.1681172839404712</v>
      </c>
      <c r="AD262" s="169">
        <f t="shared" ca="1" si="36"/>
        <v>0.25400462963201187</v>
      </c>
      <c r="AE262" s="169">
        <f t="shared" ca="1" si="37"/>
        <v>1.1880439814776766</v>
      </c>
      <c r="AF262" s="170">
        <f t="shared" ca="1" si="38"/>
        <v>3.1681172839404712</v>
      </c>
      <c r="AG262" s="170">
        <f t="shared" ca="1" si="39"/>
        <v>3.1681172839404712</v>
      </c>
      <c r="AH262" s="28" t="str" cm="1">
        <f t="array" aca="1" ref="AH262" ca="1">IF((AD262) &lt; (INDEX(ResponseSLA[#All],(MATCH((G262),ResponseSLA[Priority],0))+1,3)),"YES","No")</f>
        <v>No</v>
      </c>
      <c r="AI262" s="28" t="str">
        <f ca="1">_xlfn.IFNA(IF(AE262 &lt; (INDEX(SLATable[Minimum SLA],MATCH(G262,SLATable[Priority],0))),"YES","NO"),"")</f>
        <v>NO</v>
      </c>
      <c r="AJ262" s="28" t="str">
        <f ca="1">_xlfn.IFNA(IF(AE262 &lt; (INDEX(SLATable[Maximum SLA],MATCH(G262,SLATable[Priority],0))),"YES","NO"),"")</f>
        <v>YES</v>
      </c>
    </row>
    <row r="263" spans="2:36" ht="15" customHeight="1">
      <c r="B263" s="127" t="s">
        <v>26</v>
      </c>
      <c r="C263" s="127" t="s">
        <v>35</v>
      </c>
      <c r="D263" s="127" t="s">
        <v>207</v>
      </c>
      <c r="E263" s="127" t="s">
        <v>1594</v>
      </c>
      <c r="F263" s="127" t="s">
        <v>295</v>
      </c>
      <c r="G263" s="127">
        <v>4</v>
      </c>
      <c r="H263" s="127" t="s">
        <v>1051</v>
      </c>
      <c r="I263" s="127" t="s">
        <v>271</v>
      </c>
      <c r="J263" s="127" t="s">
        <v>1583</v>
      </c>
      <c r="K263" s="129">
        <v>46165.257418981484</v>
      </c>
      <c r="L263" s="129">
        <v>46165.259571759256</v>
      </c>
      <c r="M263" s="129">
        <v>46168.367662037039</v>
      </c>
      <c r="N263" s="129">
        <v>46168.367662037039</v>
      </c>
      <c r="O263" s="129"/>
      <c r="P263" s="129">
        <v>46168.367662037039</v>
      </c>
      <c r="Q263" s="127" t="s">
        <v>695</v>
      </c>
      <c r="R263" s="127" t="s">
        <v>267</v>
      </c>
      <c r="S263" s="127" t="s">
        <v>141</v>
      </c>
      <c r="T263" s="127"/>
      <c r="U263" s="127" t="s">
        <v>371</v>
      </c>
      <c r="V263" s="127"/>
      <c r="W263" s="127"/>
      <c r="X263" s="127"/>
      <c r="Y263" s="127"/>
      <c r="Z263" s="169">
        <f t="shared" ca="1" si="32"/>
        <v>3.4328703705493069E-2</v>
      </c>
      <c r="AA263" s="170">
        <f t="shared" ca="1" si="33"/>
        <v>9.1543209881314855E-2</v>
      </c>
      <c r="AB263" s="169">
        <f t="shared" ca="1" si="34"/>
        <v>3.4328703705493069E-2</v>
      </c>
      <c r="AC263" s="170">
        <f t="shared" ca="1" si="35"/>
        <v>9.1543209881314855E-2</v>
      </c>
      <c r="AD263" s="169">
        <f t="shared" ca="1" si="36"/>
        <v>3.4328703705493069E-2</v>
      </c>
      <c r="AE263" s="169">
        <f t="shared" ca="1" si="37"/>
        <v>3.4328703705493069E-2</v>
      </c>
      <c r="AF263" s="170">
        <f t="shared" ca="1" si="38"/>
        <v>9.1543209881314855E-2</v>
      </c>
      <c r="AG263" s="170">
        <f t="shared" ca="1" si="39"/>
        <v>9.1543209881314855E-2</v>
      </c>
      <c r="AH263" s="28" t="str" cm="1">
        <f t="array" aca="1" ref="AH263" ca="1">IF((AD263) &lt; (INDEX(ResponseSLA[#All],(MATCH((G263),ResponseSLA[Priority],0))+1,3)),"YES","No")</f>
        <v>YES</v>
      </c>
      <c r="AI263" s="28" t="str">
        <f ca="1">_xlfn.IFNA(IF(AE263 &lt; (INDEX(SLATable[Minimum SLA],MATCH(G263,SLATable[Priority],0))),"YES","NO"),"")</f>
        <v>YES</v>
      </c>
      <c r="AJ263" s="28" t="str">
        <f ca="1">_xlfn.IFNA(IF(AE263 &lt; (INDEX(SLATable[Maximum SLA],MATCH(G263,SLATable[Priority],0))),"YES","NO"),"")</f>
        <v>YES</v>
      </c>
    </row>
    <row r="264" spans="2:36" ht="15" customHeight="1">
      <c r="B264" s="127" t="s">
        <v>26</v>
      </c>
      <c r="C264" s="127" t="s">
        <v>35</v>
      </c>
      <c r="D264" s="127" t="s">
        <v>207</v>
      </c>
      <c r="E264" s="127" t="s">
        <v>1595</v>
      </c>
      <c r="F264" s="127" t="s">
        <v>292</v>
      </c>
      <c r="G264" s="127">
        <v>3</v>
      </c>
      <c r="H264" s="127" t="s">
        <v>1596</v>
      </c>
      <c r="I264" s="127" t="s">
        <v>260</v>
      </c>
      <c r="J264" s="127" t="s">
        <v>1583</v>
      </c>
      <c r="K264" s="129">
        <v>46166.563657407409</v>
      </c>
      <c r="L264" s="129">
        <v>46169.544606481482</v>
      </c>
      <c r="M264" s="129">
        <v>46171.172384259262</v>
      </c>
      <c r="N264" s="129"/>
      <c r="O264" s="129"/>
      <c r="P264" s="129"/>
      <c r="Q264" s="127" t="s">
        <v>1073</v>
      </c>
      <c r="R264" s="127"/>
      <c r="S264" s="127"/>
      <c r="T264" s="127"/>
      <c r="U264" s="127" t="s">
        <v>371</v>
      </c>
      <c r="V264" s="127"/>
      <c r="W264" s="127"/>
      <c r="X264" s="127"/>
      <c r="Y264" s="127"/>
      <c r="Z264" s="169">
        <f t="shared" ca="1" si="32"/>
        <v>24.675640740739865</v>
      </c>
      <c r="AA264" s="170">
        <f t="shared" ca="1" si="33"/>
        <v>65.801708641972979</v>
      </c>
      <c r="AB264" s="169">
        <f t="shared" ca="1" si="34"/>
        <v>24.089367708329522</v>
      </c>
      <c r="AC264" s="170">
        <f t="shared" ca="1" si="35"/>
        <v>64.238313888878736</v>
      </c>
      <c r="AD264" s="169">
        <f t="shared" ca="1" si="36"/>
        <v>0.53872685185100044</v>
      </c>
      <c r="AE264" s="169">
        <f t="shared" ca="1" si="37"/>
        <v>25.33596493055181</v>
      </c>
      <c r="AF264" s="170">
        <f t="shared" ca="1" si="38"/>
        <v>67.562573148138156</v>
      </c>
      <c r="AG264" s="170">
        <f t="shared" ca="1" si="39"/>
        <v>67.562573148138156</v>
      </c>
      <c r="AH264" s="28" t="str" cm="1">
        <f t="array" aca="1" ref="AH264" ca="1">IF((AD264) &lt; (INDEX(ResponseSLA[#All],(MATCH((G264),ResponseSLA[Priority],0))+1,3)),"YES","No")</f>
        <v>No</v>
      </c>
      <c r="AI264" s="28" t="str">
        <f ca="1">_xlfn.IFNA(IF(AE264 &lt; (INDEX(SLATable[Minimum SLA],MATCH(G264,SLATable[Priority],0))),"YES","NO"),"")</f>
        <v>NO</v>
      </c>
      <c r="AJ264" s="28" t="str">
        <f ca="1">_xlfn.IFNA(IF(AE264 &lt; (INDEX(SLATable[Maximum SLA],MATCH(G264,SLATable[Priority],0))),"YES","NO"),"")</f>
        <v>NO</v>
      </c>
    </row>
    <row r="265" spans="2:36" ht="15" customHeight="1">
      <c r="B265" s="127" t="s">
        <v>26</v>
      </c>
      <c r="C265" s="127" t="s">
        <v>35</v>
      </c>
      <c r="D265" s="127" t="s">
        <v>207</v>
      </c>
      <c r="E265" s="127" t="s">
        <v>1597</v>
      </c>
      <c r="F265" s="127" t="s">
        <v>292</v>
      </c>
      <c r="G265" s="127">
        <v>4</v>
      </c>
      <c r="H265" s="127" t="s">
        <v>1598</v>
      </c>
      <c r="I265" s="127" t="s">
        <v>260</v>
      </c>
      <c r="J265" s="127" t="s">
        <v>1583</v>
      </c>
      <c r="K265" s="129">
        <v>46171.574155092596</v>
      </c>
      <c r="L265" s="129">
        <v>46171.574201388888</v>
      </c>
      <c r="M265" s="129">
        <v>46171.580995370372</v>
      </c>
      <c r="N265" s="129"/>
      <c r="O265" s="129"/>
      <c r="P265" s="129"/>
      <c r="Q265" s="127" t="s">
        <v>1073</v>
      </c>
      <c r="R265" s="127"/>
      <c r="S265" s="127"/>
      <c r="T265" s="127"/>
      <c r="U265" s="127" t="s">
        <v>371</v>
      </c>
      <c r="V265" s="127"/>
      <c r="W265" s="127"/>
      <c r="X265" s="127"/>
      <c r="Y265" s="127"/>
      <c r="Z265" s="169">
        <f t="shared" ca="1" si="32"/>
        <v>23.309818981477296</v>
      </c>
      <c r="AA265" s="170">
        <f t="shared" ca="1" si="33"/>
        <v>62.159517283939458</v>
      </c>
      <c r="AB265" s="169">
        <f t="shared" ca="1" si="34"/>
        <v>23.309772800923387</v>
      </c>
      <c r="AC265" s="170">
        <f t="shared" ca="1" si="35"/>
        <v>62.159394135795701</v>
      </c>
      <c r="AD265" s="169">
        <f t="shared" ca="1" si="36"/>
        <v>6.7939814834971912E-3</v>
      </c>
      <c r="AE265" s="169">
        <f t="shared" ca="1" si="37"/>
        <v>23.309772800923387</v>
      </c>
      <c r="AF265" s="170">
        <f t="shared" ca="1" si="38"/>
        <v>62.159394135795701</v>
      </c>
      <c r="AG265" s="170">
        <f t="shared" ca="1" si="39"/>
        <v>62.159394135795701</v>
      </c>
      <c r="AH265" s="28" t="str" cm="1">
        <f t="array" aca="1" ref="AH265" ca="1">IF((AD265) &lt; (INDEX(ResponseSLA[#All],(MATCH((G265),ResponseSLA[Priority],0))+1,3)),"YES","No")</f>
        <v>YES</v>
      </c>
      <c r="AI265" s="28" t="str">
        <f ca="1">_xlfn.IFNA(IF(AE265 &lt; (INDEX(SLATable[Minimum SLA],MATCH(G265,SLATable[Priority],0))),"YES","NO"),"")</f>
        <v>NO</v>
      </c>
      <c r="AJ265" s="28" t="str">
        <f ca="1">_xlfn.IFNA(IF(AE265 &lt; (INDEX(SLATable[Maximum SLA],MATCH(G265,SLATable[Priority],0))),"YES","NO"),"")</f>
        <v>NO</v>
      </c>
    </row>
    <row r="266" spans="2:36" ht="15" customHeight="1">
      <c r="B266" s="127" t="s">
        <v>26</v>
      </c>
      <c r="C266" s="127" t="s">
        <v>35</v>
      </c>
      <c r="D266" s="127" t="s">
        <v>207</v>
      </c>
      <c r="E266" s="127" t="s">
        <v>1599</v>
      </c>
      <c r="F266" s="127" t="s">
        <v>292</v>
      </c>
      <c r="G266" s="127">
        <v>3</v>
      </c>
      <c r="H266" s="127" t="s">
        <v>1600</v>
      </c>
      <c r="I266" s="127" t="s">
        <v>266</v>
      </c>
      <c r="J266" s="127" t="s">
        <v>1583</v>
      </c>
      <c r="K266" s="129">
        <v>46168.56077546296</v>
      </c>
      <c r="L266" s="129">
        <v>46168.563807870371</v>
      </c>
      <c r="M266" s="129">
        <v>46169.377800925926</v>
      </c>
      <c r="N266" s="129"/>
      <c r="O266" s="129">
        <v>46170.341539351852</v>
      </c>
      <c r="P266" s="129"/>
      <c r="Q266" s="127" t="s">
        <v>1073</v>
      </c>
      <c r="R266" s="127"/>
      <c r="S266" s="127"/>
      <c r="T266" s="127"/>
      <c r="U266" s="127" t="s">
        <v>371</v>
      </c>
      <c r="V266" s="127"/>
      <c r="W266" s="127"/>
      <c r="X266" s="127"/>
      <c r="Y266" s="127"/>
      <c r="Z266" s="169">
        <f t="shared" ca="1" si="32"/>
        <v>24.448198611113188</v>
      </c>
      <c r="AA266" s="170">
        <f t="shared" ca="1" si="33"/>
        <v>65.195196296301845</v>
      </c>
      <c r="AB266" s="169">
        <f t="shared" ca="1" si="34"/>
        <v>0.52773148148116888</v>
      </c>
      <c r="AC266" s="170">
        <f t="shared" ca="1" si="35"/>
        <v>1.4072839506164503</v>
      </c>
      <c r="AD266" s="169">
        <f t="shared" ca="1" si="36"/>
        <v>0.18899305555532919</v>
      </c>
      <c r="AE266" s="169">
        <f t="shared" ca="1" si="37"/>
        <v>2.483692129630072</v>
      </c>
      <c r="AF266" s="170">
        <f t="shared" ca="1" si="38"/>
        <v>6.623179012346859</v>
      </c>
      <c r="AG266" s="170">
        <f t="shared" ca="1" si="39"/>
        <v>6.623179012346859</v>
      </c>
      <c r="AH266" s="28" t="str" cm="1">
        <f t="array" aca="1" ref="AH266" ca="1">IF((AD266) &lt; (INDEX(ResponseSLA[#All],(MATCH((G266),ResponseSLA[Priority],0))+1,3)),"YES","No")</f>
        <v>No</v>
      </c>
      <c r="AI266" s="28" t="str">
        <f ca="1">_xlfn.IFNA(IF(AE266 &lt; (INDEX(SLATable[Minimum SLA],MATCH(G266,SLATable[Priority],0))),"YES","NO"),"")</f>
        <v>NO</v>
      </c>
      <c r="AJ266" s="28" t="str">
        <f ca="1">_xlfn.IFNA(IF(AE266 &lt; (INDEX(SLATable[Maximum SLA],MATCH(G266,SLATable[Priority],0))),"YES","NO"),"")</f>
        <v>NO</v>
      </c>
    </row>
    <row r="267" spans="2:36" ht="15" customHeight="1">
      <c r="B267" s="127" t="s">
        <v>26</v>
      </c>
      <c r="C267" s="127" t="s">
        <v>35</v>
      </c>
      <c r="D267" s="127" t="s">
        <v>207</v>
      </c>
      <c r="E267" s="127" t="s">
        <v>1601</v>
      </c>
      <c r="F267" s="127" t="s">
        <v>292</v>
      </c>
      <c r="G267" s="127">
        <v>4</v>
      </c>
      <c r="H267" s="127" t="s">
        <v>1602</v>
      </c>
      <c r="I267" s="127" t="s">
        <v>266</v>
      </c>
      <c r="J267" s="127" t="s">
        <v>1583</v>
      </c>
      <c r="K267" s="129">
        <v>46168.636828703704</v>
      </c>
      <c r="L267" s="129">
        <v>46168.642129629632</v>
      </c>
      <c r="M267" s="129">
        <v>46169.379166666666</v>
      </c>
      <c r="N267" s="129"/>
      <c r="O267" s="129">
        <v>46169.526099537034</v>
      </c>
      <c r="P267" s="129"/>
      <c r="Q267" s="127" t="s">
        <v>1073</v>
      </c>
      <c r="R267" s="127"/>
      <c r="S267" s="127"/>
      <c r="T267" s="127"/>
      <c r="U267" s="127" t="s">
        <v>371</v>
      </c>
      <c r="V267" s="127"/>
      <c r="W267" s="127"/>
      <c r="X267" s="127"/>
      <c r="Y267" s="127"/>
      <c r="Z267" s="169">
        <f t="shared" ca="1" si="32"/>
        <v>24.372145370369257</v>
      </c>
      <c r="AA267" s="170">
        <f t="shared" ca="1" si="33"/>
        <v>64.992387654318023</v>
      </c>
      <c r="AB267" s="169">
        <f t="shared" ca="1" si="34"/>
        <v>0.25896990740147885</v>
      </c>
      <c r="AC267" s="170">
        <f t="shared" ca="1" si="35"/>
        <v>0.69058641973727697</v>
      </c>
      <c r="AD267" s="169">
        <f t="shared" ca="1" si="36"/>
        <v>0.11203703703358769</v>
      </c>
      <c r="AE267" s="169">
        <f t="shared" ca="1" si="37"/>
        <v>2.9357638888832303</v>
      </c>
      <c r="AF267" s="170">
        <f t="shared" ca="1" si="38"/>
        <v>7.828703703688614</v>
      </c>
      <c r="AG267" s="170">
        <f t="shared" ca="1" si="39"/>
        <v>7.828703703688614</v>
      </c>
      <c r="AH267" s="28" t="str" cm="1">
        <f t="array" aca="1" ref="AH267" ca="1">IF((AD267) &lt; (INDEX(ResponseSLA[#All],(MATCH((G267),ResponseSLA[Priority],0))+1,3)),"YES","No")</f>
        <v>YES</v>
      </c>
      <c r="AI267" s="28" t="str">
        <f ca="1">_xlfn.IFNA(IF(AE267 &lt; (INDEX(SLATable[Minimum SLA],MATCH(G267,SLATable[Priority],0))),"YES","NO"),"")</f>
        <v>YES</v>
      </c>
      <c r="AJ267" s="28" t="str">
        <f ca="1">_xlfn.IFNA(IF(AE267 &lt; (INDEX(SLATable[Maximum SLA],MATCH(G267,SLATable[Priority],0))),"YES","NO"),"")</f>
        <v>YES</v>
      </c>
    </row>
    <row r="268" spans="2:36" ht="15" customHeight="1">
      <c r="B268" s="127" t="s">
        <v>26</v>
      </c>
      <c r="C268" s="127" t="s">
        <v>35</v>
      </c>
      <c r="D268" s="127" t="s">
        <v>207</v>
      </c>
      <c r="E268" s="127" t="s">
        <v>1603</v>
      </c>
      <c r="F268" s="127" t="s">
        <v>292</v>
      </c>
      <c r="G268" s="127">
        <v>4</v>
      </c>
      <c r="H268" s="127" t="s">
        <v>1604</v>
      </c>
      <c r="I268" s="127" t="s">
        <v>266</v>
      </c>
      <c r="J268" s="127" t="s">
        <v>1583</v>
      </c>
      <c r="K268" s="129">
        <v>46168.269560185188</v>
      </c>
      <c r="L268" s="129">
        <v>46168.269687499997</v>
      </c>
      <c r="M268" s="129">
        <v>46168.30259259259</v>
      </c>
      <c r="N268" s="129"/>
      <c r="O268" s="129">
        <v>46168.303831018522</v>
      </c>
      <c r="P268" s="129"/>
      <c r="Q268" s="127" t="s">
        <v>1605</v>
      </c>
      <c r="R268" s="127"/>
      <c r="S268" s="127"/>
      <c r="T268" s="127"/>
      <c r="U268" s="127" t="s">
        <v>371</v>
      </c>
      <c r="V268" s="127"/>
      <c r="W268" s="127"/>
      <c r="X268" s="127"/>
      <c r="Y268" s="127"/>
      <c r="Z268" s="169">
        <f t="shared" ca="1" si="32"/>
        <v>24.675640740739865</v>
      </c>
      <c r="AA268" s="170">
        <f t="shared" ca="1" si="33"/>
        <v>65.801708641972979</v>
      </c>
      <c r="AB268" s="169">
        <f t="shared" ca="1" si="34"/>
        <v>0</v>
      </c>
      <c r="AC268" s="170">
        <f t="shared" ca="1" si="35"/>
        <v>0</v>
      </c>
      <c r="AD268" s="169">
        <f t="shared" ca="1" si="36"/>
        <v>0</v>
      </c>
      <c r="AE268" s="169">
        <f t="shared" ca="1" si="37"/>
        <v>2.25</v>
      </c>
      <c r="AF268" s="170">
        <f t="shared" ca="1" si="38"/>
        <v>6</v>
      </c>
      <c r="AG268" s="170">
        <f t="shared" ca="1" si="39"/>
        <v>6</v>
      </c>
      <c r="AH268" s="28" t="str" cm="1">
        <f t="array" aca="1" ref="AH268" ca="1">IF((AD268) &lt; (INDEX(ResponseSLA[#All],(MATCH((G268),ResponseSLA[Priority],0))+1,3)),"YES","No")</f>
        <v>YES</v>
      </c>
      <c r="AI268" s="28" t="str">
        <f ca="1">_xlfn.IFNA(IF(AE268 &lt; (INDEX(SLATable[Minimum SLA],MATCH(G268,SLATable[Priority],0))),"YES","NO"),"")</f>
        <v>YES</v>
      </c>
      <c r="AJ268" s="28" t="str">
        <f ca="1">_xlfn.IFNA(IF(AE268 &lt; (INDEX(SLATable[Maximum SLA],MATCH(G268,SLATable[Priority],0))),"YES","NO"),"")</f>
        <v>YES</v>
      </c>
    </row>
    <row r="269" spans="2:36" ht="15" customHeight="1">
      <c r="B269" s="127" t="s">
        <v>26</v>
      </c>
      <c r="C269" s="127" t="s">
        <v>35</v>
      </c>
      <c r="D269" s="127" t="s">
        <v>207</v>
      </c>
      <c r="E269" s="127" t="s">
        <v>1606</v>
      </c>
      <c r="F269" s="127" t="s">
        <v>292</v>
      </c>
      <c r="G269" s="127">
        <v>4</v>
      </c>
      <c r="H269" s="127" t="s">
        <v>1607</v>
      </c>
      <c r="I269" s="127" t="s">
        <v>266</v>
      </c>
      <c r="J269" s="127" t="s">
        <v>1583</v>
      </c>
      <c r="K269" s="129">
        <v>46169.442627314813</v>
      </c>
      <c r="L269" s="129">
        <v>46169.442754629628</v>
      </c>
      <c r="M269" s="129">
        <v>46169.618078703701</v>
      </c>
      <c r="N269" s="129"/>
      <c r="O269" s="129">
        <v>46170.340636574074</v>
      </c>
      <c r="P269" s="129"/>
      <c r="Q269" s="127" t="s">
        <v>1073</v>
      </c>
      <c r="R269" s="127"/>
      <c r="S269" s="127"/>
      <c r="T269" s="127"/>
      <c r="U269" s="127" t="s">
        <v>371</v>
      </c>
      <c r="V269" s="127"/>
      <c r="W269" s="127"/>
      <c r="X269" s="127"/>
      <c r="Y269" s="127"/>
      <c r="Z269" s="169">
        <f t="shared" ca="1" si="32"/>
        <v>24.191346759260345</v>
      </c>
      <c r="AA269" s="170">
        <f t="shared" ca="1" si="33"/>
        <v>64.510258024694252</v>
      </c>
      <c r="AB269" s="169">
        <f t="shared" ca="1" si="34"/>
        <v>0.27288194444554392</v>
      </c>
      <c r="AC269" s="170">
        <f t="shared" ca="1" si="35"/>
        <v>0.72768518518811709</v>
      </c>
      <c r="AD269" s="169">
        <f t="shared" ca="1" si="36"/>
        <v>0.17532407407270512</v>
      </c>
      <c r="AE269" s="169">
        <f t="shared" ca="1" si="37"/>
        <v>0.49371527778081736</v>
      </c>
      <c r="AF269" s="170">
        <f t="shared" ca="1" si="38"/>
        <v>1.3165740740821796</v>
      </c>
      <c r="AG269" s="170">
        <f t="shared" ca="1" si="39"/>
        <v>1.3165740740821796</v>
      </c>
      <c r="AH269" s="28" t="str" cm="1">
        <f t="array" aca="1" ref="AH269" ca="1">IF((AD269) &lt; (INDEX(ResponseSLA[#All],(MATCH((G269),ResponseSLA[Priority],0))+1,3)),"YES","No")</f>
        <v>No</v>
      </c>
      <c r="AI269" s="28" t="str">
        <f ca="1">_xlfn.IFNA(IF(AE269 &lt; (INDEX(SLATable[Minimum SLA],MATCH(G269,SLATable[Priority],0))),"YES","NO"),"")</f>
        <v>YES</v>
      </c>
      <c r="AJ269" s="28" t="str">
        <f ca="1">_xlfn.IFNA(IF(AE269 &lt; (INDEX(SLATable[Maximum SLA],MATCH(G269,SLATable[Priority],0))),"YES","NO"),"")</f>
        <v>YES</v>
      </c>
    </row>
    <row r="270" spans="2:36" ht="15" customHeight="1">
      <c r="B270" s="127" t="s">
        <v>26</v>
      </c>
      <c r="C270" s="127" t="s">
        <v>35</v>
      </c>
      <c r="D270" s="127" t="s">
        <v>208</v>
      </c>
      <c r="E270" s="127" t="s">
        <v>1608</v>
      </c>
      <c r="F270" s="127" t="s">
        <v>292</v>
      </c>
      <c r="G270" s="127" t="s">
        <v>208</v>
      </c>
      <c r="H270" s="127" t="s">
        <v>1609</v>
      </c>
      <c r="I270" s="127" t="s">
        <v>271</v>
      </c>
      <c r="J270" s="127" t="s">
        <v>1583</v>
      </c>
      <c r="K270" s="129">
        <v>46155.83394675926</v>
      </c>
      <c r="L270" s="129">
        <v>46155.867534722223</v>
      </c>
      <c r="M270" s="129">
        <v>46156.414178240739</v>
      </c>
      <c r="N270" s="129">
        <v>46161.309548611112</v>
      </c>
      <c r="O270" s="129"/>
      <c r="P270" s="129">
        <v>46161.309548611112</v>
      </c>
      <c r="Q270" s="127" t="s">
        <v>1073</v>
      </c>
      <c r="R270" s="127" t="s">
        <v>267</v>
      </c>
      <c r="S270" s="127" t="s">
        <v>155</v>
      </c>
      <c r="T270" s="127"/>
      <c r="U270" s="127" t="s">
        <v>371</v>
      </c>
      <c r="V270" s="127"/>
      <c r="W270" s="127"/>
      <c r="X270" s="127"/>
      <c r="Y270" s="127"/>
      <c r="Z270" s="169">
        <f t="shared" ca="1" si="32"/>
        <v>1.125</v>
      </c>
      <c r="AA270" s="170">
        <f t="shared" ca="1" si="33"/>
        <v>3</v>
      </c>
      <c r="AB270" s="169">
        <f t="shared" ca="1" si="34"/>
        <v>1.125</v>
      </c>
      <c r="AC270" s="170">
        <f t="shared" ca="1" si="35"/>
        <v>3</v>
      </c>
      <c r="AD270" s="169">
        <f t="shared" ca="1" si="36"/>
        <v>8.0844907405359323E-2</v>
      </c>
      <c r="AE270" s="169">
        <f t="shared" ca="1" si="37"/>
        <v>1.125</v>
      </c>
      <c r="AF270" s="170">
        <f t="shared" ca="1" si="38"/>
        <v>3</v>
      </c>
      <c r="AG270" s="170">
        <f t="shared" ca="1" si="39"/>
        <v>3</v>
      </c>
      <c r="AH270" s="28" t="str" cm="1">
        <f t="array" aca="1" ref="AH270" ca="1">IF((AD270) &lt; (INDEX(ResponseSLA[#All],(MATCH((G270),ResponseSLA[Priority],0))+1,3)),"YES","No")</f>
        <v>YES</v>
      </c>
      <c r="AI270" s="28" t="str">
        <f ca="1">_xlfn.IFNA(IF(AE270 &lt; (INDEX(SLATable[Minimum SLA],MATCH(G270,SLATable[Priority],0))),"YES","NO"),"")</f>
        <v>NO</v>
      </c>
      <c r="AJ270" s="28" t="str">
        <f ca="1">_xlfn.IFNA(IF(AE270 &lt; (INDEX(SLATable[Maximum SLA],MATCH(G270,SLATable[Priority],0))),"YES","NO"),"")</f>
        <v>NO</v>
      </c>
    </row>
    <row r="271" spans="2:36" ht="15" customHeight="1">
      <c r="B271" s="127" t="s">
        <v>26</v>
      </c>
      <c r="C271" s="127" t="s">
        <v>35</v>
      </c>
      <c r="D271" s="127" t="s">
        <v>208</v>
      </c>
      <c r="E271" s="127" t="s">
        <v>1610</v>
      </c>
      <c r="F271" s="127" t="s">
        <v>295</v>
      </c>
      <c r="G271" s="127" t="s">
        <v>208</v>
      </c>
      <c r="H271" s="127" t="s">
        <v>1266</v>
      </c>
      <c r="I271" s="127" t="s">
        <v>271</v>
      </c>
      <c r="J271" s="127" t="s">
        <v>1583</v>
      </c>
      <c r="K271" s="129">
        <v>46153.291307870371</v>
      </c>
      <c r="L271" s="129">
        <v>46157.408958333333</v>
      </c>
      <c r="M271" s="129">
        <v>46157.411006944443</v>
      </c>
      <c r="N271" s="129">
        <v>46160.414421296293</v>
      </c>
      <c r="O271" s="129"/>
      <c r="P271" s="129">
        <v>46160.414421296293</v>
      </c>
      <c r="Q271" s="127" t="s">
        <v>1113</v>
      </c>
      <c r="R271" s="127" t="s">
        <v>267</v>
      </c>
      <c r="S271" s="127" t="s">
        <v>139</v>
      </c>
      <c r="T271" s="127"/>
      <c r="U271" s="127" t="s">
        <v>371</v>
      </c>
      <c r="V271" s="127"/>
      <c r="W271" s="127"/>
      <c r="X271" s="127"/>
      <c r="Y271" s="127"/>
      <c r="Z271" s="169">
        <f t="shared" ca="1" si="32"/>
        <v>1.9560879629595245</v>
      </c>
      <c r="AA271" s="170">
        <f t="shared" ca="1" si="33"/>
        <v>5.216234567892065</v>
      </c>
      <c r="AB271" s="169">
        <f t="shared" ca="1" si="34"/>
        <v>0.38046296295942739</v>
      </c>
      <c r="AC271" s="170">
        <f t="shared" ca="1" si="35"/>
        <v>1.0145679012251396</v>
      </c>
      <c r="AD271" s="169">
        <f t="shared" ca="1" si="36"/>
        <v>2.0486111097852699E-3</v>
      </c>
      <c r="AE271" s="169">
        <f t="shared" ca="1" si="37"/>
        <v>0.38046296295942739</v>
      </c>
      <c r="AF271" s="170">
        <f t="shared" ca="1" si="38"/>
        <v>1.0145679012251396</v>
      </c>
      <c r="AG271" s="170">
        <f t="shared" ca="1" si="39"/>
        <v>1.0145679012251396</v>
      </c>
      <c r="AH271" s="28" t="str" cm="1">
        <f t="array" aca="1" ref="AH271" ca="1">IF((AD271) &lt; (INDEX(ResponseSLA[#All],(MATCH((G271),ResponseSLA[Priority],0))+1,3)),"YES","No")</f>
        <v>YES</v>
      </c>
      <c r="AI271" s="28" t="str">
        <f ca="1">_xlfn.IFNA(IF(AE271 &lt; (INDEX(SLATable[Minimum SLA],MATCH(G271,SLATable[Priority],0))),"YES","NO"),"")</f>
        <v>YES</v>
      </c>
      <c r="AJ271" s="28" t="str">
        <f ca="1">_xlfn.IFNA(IF(AE271 &lt; (INDEX(SLATable[Maximum SLA],MATCH(G271,SLATable[Priority],0))),"YES","NO"),"")</f>
        <v>YES</v>
      </c>
    </row>
    <row r="272" spans="2:36" ht="15" customHeight="1">
      <c r="B272" s="127" t="s">
        <v>26</v>
      </c>
      <c r="C272" s="127" t="s">
        <v>35</v>
      </c>
      <c r="D272" s="127" t="s">
        <v>208</v>
      </c>
      <c r="E272" s="127" t="s">
        <v>1611</v>
      </c>
      <c r="F272" s="127" t="s">
        <v>289</v>
      </c>
      <c r="G272" s="127" t="s">
        <v>208</v>
      </c>
      <c r="H272" s="127" t="s">
        <v>1612</v>
      </c>
      <c r="I272" s="127" t="s">
        <v>271</v>
      </c>
      <c r="J272" s="127" t="s">
        <v>1583</v>
      </c>
      <c r="K272" s="129">
        <v>46124.891435185185</v>
      </c>
      <c r="L272" s="129">
        <v>46134.559618055559</v>
      </c>
      <c r="M272" s="129">
        <v>46134.56832175926</v>
      </c>
      <c r="N272" s="129">
        <v>46156.380416666667</v>
      </c>
      <c r="O272" s="129">
        <v>46141.39806712963</v>
      </c>
      <c r="P272" s="129">
        <v>46156.380428240744</v>
      </c>
      <c r="Q272" s="127" t="s">
        <v>1113</v>
      </c>
      <c r="R272" s="127" t="s">
        <v>267</v>
      </c>
      <c r="S272" s="127" t="s">
        <v>139</v>
      </c>
      <c r="T272" s="127"/>
      <c r="U272" s="127" t="s">
        <v>371</v>
      </c>
      <c r="V272" s="127"/>
      <c r="W272" s="127"/>
      <c r="X272" s="127"/>
      <c r="Y272" s="127"/>
      <c r="Z272" s="169">
        <f t="shared" ca="1" si="32"/>
        <v>4.564722222220249</v>
      </c>
      <c r="AA272" s="170">
        <f t="shared" ca="1" si="33"/>
        <v>12.17259259258733</v>
      </c>
      <c r="AB272" s="169">
        <f t="shared" ca="1" si="34"/>
        <v>1.7134374999950528</v>
      </c>
      <c r="AC272" s="170">
        <f t="shared" ca="1" si="35"/>
        <v>4.5691666666534747</v>
      </c>
      <c r="AD272" s="169">
        <f t="shared" ca="1" si="36"/>
        <v>8.703703701030463E-3</v>
      </c>
      <c r="AE272" s="169">
        <f t="shared" ca="1" si="37"/>
        <v>1.7134374999950528</v>
      </c>
      <c r="AF272" s="170">
        <f t="shared" ca="1" si="38"/>
        <v>4.5691666666534747</v>
      </c>
      <c r="AG272" s="170">
        <f t="shared" ca="1" si="39"/>
        <v>4.5691666666534747</v>
      </c>
      <c r="AH272" s="28" t="str" cm="1">
        <f t="array" aca="1" ref="AH272" ca="1">IF((AD272) &lt; (INDEX(ResponseSLA[#All],(MATCH((G272),ResponseSLA[Priority],0))+1,3)),"YES","No")</f>
        <v>YES</v>
      </c>
      <c r="AI272" s="28" t="str">
        <f ca="1">_xlfn.IFNA(IF(AE272 &lt; (INDEX(SLATable[Minimum SLA],MATCH(G272,SLATable[Priority],0))),"YES","NO"),"")</f>
        <v>NO</v>
      </c>
      <c r="AJ272" s="28" t="str">
        <f ca="1">_xlfn.IFNA(IF(AE272 &lt; (INDEX(SLATable[Maximum SLA],MATCH(G272,SLATable[Priority],0))),"YES","NO"),"")</f>
        <v>NO</v>
      </c>
    </row>
    <row r="273" spans="2:36" ht="15" customHeight="1">
      <c r="B273" s="127" t="s">
        <v>26</v>
      </c>
      <c r="C273" s="127" t="s">
        <v>35</v>
      </c>
      <c r="D273" s="127" t="s">
        <v>208</v>
      </c>
      <c r="E273" s="127" t="s">
        <v>1613</v>
      </c>
      <c r="F273" s="127" t="s">
        <v>295</v>
      </c>
      <c r="G273" s="127" t="s">
        <v>208</v>
      </c>
      <c r="H273" s="127" t="s">
        <v>1614</v>
      </c>
      <c r="I273" s="127" t="s">
        <v>271</v>
      </c>
      <c r="J273" s="127" t="s">
        <v>1583</v>
      </c>
      <c r="K273" s="129">
        <v>46125.375520833331</v>
      </c>
      <c r="L273" s="129">
        <v>46126.639374999999</v>
      </c>
      <c r="M273" s="129">
        <v>46127.337164351855</v>
      </c>
      <c r="N273" s="129">
        <v>46147.482986111114</v>
      </c>
      <c r="O273" s="129">
        <v>46141.401712962965</v>
      </c>
      <c r="P273" s="129">
        <v>46147.380740740744</v>
      </c>
      <c r="Q273" s="127" t="s">
        <v>1113</v>
      </c>
      <c r="R273" s="127" t="s">
        <v>267</v>
      </c>
      <c r="S273" s="127" t="s">
        <v>139</v>
      </c>
      <c r="T273" s="127"/>
      <c r="U273" s="127" t="s">
        <v>371</v>
      </c>
      <c r="V273" s="127"/>
      <c r="W273" s="127"/>
      <c r="X273" s="127"/>
      <c r="Y273" s="127"/>
      <c r="Z273" s="169">
        <f t="shared" ca="1" si="32"/>
        <v>4.6284375000032023</v>
      </c>
      <c r="AA273" s="170">
        <f t="shared" ca="1" si="33"/>
        <v>12.34250000000854</v>
      </c>
      <c r="AB273" s="169">
        <f t="shared" ca="1" si="34"/>
        <v>3.9895833333357595</v>
      </c>
      <c r="AC273" s="170">
        <f t="shared" ca="1" si="35"/>
        <v>10.638888888895359</v>
      </c>
      <c r="AD273" s="169">
        <f t="shared" ca="1" si="36"/>
        <v>7.2789351856044959E-2</v>
      </c>
      <c r="AE273" s="169">
        <f t="shared" ca="1" si="37"/>
        <v>3.9895833333357595</v>
      </c>
      <c r="AF273" s="170">
        <f t="shared" ca="1" si="38"/>
        <v>10.638888888895359</v>
      </c>
      <c r="AG273" s="170">
        <f t="shared" ca="1" si="39"/>
        <v>10.638888888895359</v>
      </c>
      <c r="AH273" s="28" t="str" cm="1">
        <f t="array" aca="1" ref="AH273" ca="1">IF((AD273) &lt; (INDEX(ResponseSLA[#All],(MATCH((G273),ResponseSLA[Priority],0))+1,3)),"YES","No")</f>
        <v>YES</v>
      </c>
      <c r="AI273" s="28" t="str">
        <f ca="1">_xlfn.IFNA(IF(AE273 &lt; (INDEX(SLATable[Minimum SLA],MATCH(G273,SLATable[Priority],0))),"YES","NO"),"")</f>
        <v>NO</v>
      </c>
      <c r="AJ273" s="28" t="str">
        <f ca="1">_xlfn.IFNA(IF(AE273 &lt; (INDEX(SLATable[Maximum SLA],MATCH(G273,SLATable[Priority],0))),"YES","NO"),"")</f>
        <v>NO</v>
      </c>
    </row>
    <row r="274" spans="2:36" ht="15" customHeight="1">
      <c r="B274" s="127" t="s">
        <v>26</v>
      </c>
      <c r="C274" s="127" t="s">
        <v>35</v>
      </c>
      <c r="D274" s="127" t="s">
        <v>208</v>
      </c>
      <c r="E274" s="127" t="s">
        <v>1615</v>
      </c>
      <c r="F274" s="127" t="s">
        <v>289</v>
      </c>
      <c r="G274" s="127" t="s">
        <v>208</v>
      </c>
      <c r="H274" s="127" t="s">
        <v>1616</v>
      </c>
      <c r="I274" s="127" t="s">
        <v>271</v>
      </c>
      <c r="J274" s="127" t="s">
        <v>1583</v>
      </c>
      <c r="K274" s="129">
        <v>46129.494490740741</v>
      </c>
      <c r="L274" s="129">
        <v>46132.353414351855</v>
      </c>
      <c r="M274" s="129">
        <v>46133.375335648147</v>
      </c>
      <c r="N274" s="129">
        <v>46140.582835648151</v>
      </c>
      <c r="O274" s="129">
        <v>46134.380011574074</v>
      </c>
      <c r="P274" s="129">
        <v>46140.582835648151</v>
      </c>
      <c r="Q274" s="127" t="s">
        <v>1113</v>
      </c>
      <c r="R274" s="127" t="s">
        <v>267</v>
      </c>
      <c r="S274" s="127" t="s">
        <v>139</v>
      </c>
      <c r="T274" s="127"/>
      <c r="U274" s="127" t="s">
        <v>371</v>
      </c>
      <c r="V274" s="127"/>
      <c r="W274" s="127"/>
      <c r="X274" s="127"/>
      <c r="Y274" s="127"/>
      <c r="Z274" s="169">
        <f t="shared" ca="1" si="32"/>
        <v>1.0105208333334308</v>
      </c>
      <c r="AA274" s="170">
        <f t="shared" ca="1" si="33"/>
        <v>2.6947222222224823</v>
      </c>
      <c r="AB274" s="169">
        <f t="shared" ca="1" si="34"/>
        <v>0.77659722221869787</v>
      </c>
      <c r="AC274" s="170">
        <f t="shared" ca="1" si="35"/>
        <v>2.0709259259165278</v>
      </c>
      <c r="AD274" s="169">
        <f t="shared" ca="1" si="36"/>
        <v>0.3969212962911115</v>
      </c>
      <c r="AE274" s="169">
        <f t="shared" ca="1" si="37"/>
        <v>0.77659722221869787</v>
      </c>
      <c r="AF274" s="170">
        <f t="shared" ca="1" si="38"/>
        <v>2.0709259259165278</v>
      </c>
      <c r="AG274" s="170">
        <f t="shared" ca="1" si="39"/>
        <v>2.0709259259165278</v>
      </c>
      <c r="AH274" s="28" t="str" cm="1">
        <f t="array" aca="1" ref="AH274" ca="1">IF((AD274) &lt; (INDEX(ResponseSLA[#All],(MATCH((G274),ResponseSLA[Priority],0))+1,3)),"YES","No")</f>
        <v>No</v>
      </c>
      <c r="AI274" s="28" t="str">
        <f ca="1">_xlfn.IFNA(IF(AE274 &lt; (INDEX(SLATable[Minimum SLA],MATCH(G274,SLATable[Priority],0))),"YES","NO"),"")</f>
        <v>NO</v>
      </c>
      <c r="AJ274" s="28" t="str">
        <f ca="1">_xlfn.IFNA(IF(AE274 &lt; (INDEX(SLATable[Maximum SLA],MATCH(G274,SLATable[Priority],0))),"YES","NO"),"")</f>
        <v>NO</v>
      </c>
    </row>
    <row r="275" spans="2:36" ht="15" customHeight="1">
      <c r="B275" s="127" t="s">
        <v>26</v>
      </c>
      <c r="C275" s="127" t="s">
        <v>35</v>
      </c>
      <c r="D275" s="127" t="s">
        <v>207</v>
      </c>
      <c r="E275" s="127" t="s">
        <v>1617</v>
      </c>
      <c r="F275" s="127" t="s">
        <v>292</v>
      </c>
      <c r="G275" s="127">
        <v>4</v>
      </c>
      <c r="H275" s="127" t="s">
        <v>1618</v>
      </c>
      <c r="I275" s="127" t="s">
        <v>271</v>
      </c>
      <c r="J275" s="127" t="s">
        <v>1619</v>
      </c>
      <c r="K275" s="129">
        <v>46141.481608796297</v>
      </c>
      <c r="L275" s="129">
        <v>46141.483518518522</v>
      </c>
      <c r="M275" s="129">
        <v>46142.286689814813</v>
      </c>
      <c r="N275" s="129">
        <v>46153.513749999998</v>
      </c>
      <c r="O275" s="129">
        <v>46143.51295138889</v>
      </c>
      <c r="P275" s="129">
        <v>46153.513749999998</v>
      </c>
      <c r="Q275" s="127" t="s">
        <v>1073</v>
      </c>
      <c r="R275" s="127" t="s">
        <v>267</v>
      </c>
      <c r="S275" s="127" t="s">
        <v>137</v>
      </c>
      <c r="T275" s="127"/>
      <c r="U275" s="127" t="s">
        <v>371</v>
      </c>
      <c r="V275" s="127"/>
      <c r="W275" s="127"/>
      <c r="X275" s="127"/>
      <c r="Y275" s="127"/>
      <c r="Z275" s="169">
        <f t="shared" ca="1" si="32"/>
        <v>0.6017245370361104</v>
      </c>
      <c r="AA275" s="170">
        <f t="shared" ca="1" si="33"/>
        <v>1.6045987654296276</v>
      </c>
      <c r="AB275" s="169">
        <f t="shared" ca="1" si="34"/>
        <v>0.59981481481130117</v>
      </c>
      <c r="AC275" s="170">
        <f t="shared" ca="1" si="35"/>
        <v>1.5995061728301365</v>
      </c>
      <c r="AD275" s="169">
        <f t="shared" ca="1" si="36"/>
        <v>0.22481481481130083</v>
      </c>
      <c r="AE275" s="169">
        <f t="shared" ca="1" si="37"/>
        <v>0.59981481481130117</v>
      </c>
      <c r="AF275" s="170">
        <f t="shared" ca="1" si="38"/>
        <v>1.5995061728301365</v>
      </c>
      <c r="AG275" s="170">
        <f t="shared" ca="1" si="39"/>
        <v>1.5995061728301365</v>
      </c>
      <c r="AH275" s="28" t="str" cm="1">
        <f t="array" aca="1" ref="AH275" ca="1">IF((AD275) &lt; (INDEX(ResponseSLA[#All],(MATCH((G275),ResponseSLA[Priority],0))+1,3)),"YES","No")</f>
        <v>No</v>
      </c>
      <c r="AI275" s="28" t="str">
        <f ca="1">_xlfn.IFNA(IF(AE275 &lt; (INDEX(SLATable[Minimum SLA],MATCH(G275,SLATable[Priority],0))),"YES","NO"),"")</f>
        <v>YES</v>
      </c>
      <c r="AJ275" s="28" t="str">
        <f ca="1">_xlfn.IFNA(IF(AE275 &lt; (INDEX(SLATable[Maximum SLA],MATCH(G275,SLATable[Priority],0))),"YES","NO"),"")</f>
        <v>YES</v>
      </c>
    </row>
    <row r="276" spans="2:36" ht="15" customHeight="1">
      <c r="B276" s="127" t="s">
        <v>26</v>
      </c>
      <c r="C276" s="127" t="s">
        <v>35</v>
      </c>
      <c r="D276" s="127" t="s">
        <v>207</v>
      </c>
      <c r="E276" s="127" t="s">
        <v>1620</v>
      </c>
      <c r="F276" s="127" t="s">
        <v>292</v>
      </c>
      <c r="G276" s="127">
        <v>4</v>
      </c>
      <c r="H276" s="127" t="s">
        <v>1621</v>
      </c>
      <c r="I276" s="127" t="s">
        <v>271</v>
      </c>
      <c r="J276" s="127" t="s">
        <v>1619</v>
      </c>
      <c r="K276" s="129">
        <v>46130.496782407405</v>
      </c>
      <c r="L276" s="129">
        <v>46130.496770833335</v>
      </c>
      <c r="M276" s="129">
        <v>46131.786134259259</v>
      </c>
      <c r="N276" s="129">
        <v>46146.621192129627</v>
      </c>
      <c r="O276" s="129">
        <v>46140.612662037034</v>
      </c>
      <c r="P276" s="129">
        <v>46146.621192129627</v>
      </c>
      <c r="Q276" s="127" t="s">
        <v>1073</v>
      </c>
      <c r="R276" s="127" t="s">
        <v>267</v>
      </c>
      <c r="S276" s="127" t="s">
        <v>199</v>
      </c>
      <c r="T276" s="127"/>
      <c r="U276" s="127" t="s">
        <v>371</v>
      </c>
      <c r="V276" s="127"/>
      <c r="W276" s="127"/>
      <c r="X276" s="127"/>
      <c r="Y276" s="127"/>
      <c r="Z276" s="169">
        <f t="shared" ca="1" si="32"/>
        <v>2.5293287037008367</v>
      </c>
      <c r="AA276" s="170">
        <f t="shared" ca="1" si="33"/>
        <v>6.7448765432022313</v>
      </c>
      <c r="AB276" s="169">
        <f t="shared" ca="1" si="34"/>
        <v>2.5293287037008367</v>
      </c>
      <c r="AC276" s="170">
        <f t="shared" ca="1" si="35"/>
        <v>6.7448765432022313</v>
      </c>
      <c r="AD276" s="169">
        <f t="shared" ca="1" si="36"/>
        <v>0</v>
      </c>
      <c r="AE276" s="169">
        <f t="shared" ca="1" si="37"/>
        <v>2.5293287037008367</v>
      </c>
      <c r="AF276" s="170">
        <f t="shared" ca="1" si="38"/>
        <v>6.7448765432022313</v>
      </c>
      <c r="AG276" s="170">
        <f t="shared" ca="1" si="39"/>
        <v>6.7448765432022313</v>
      </c>
      <c r="AH276" s="28" t="str" cm="1">
        <f t="array" aca="1" ref="AH276" ca="1">IF((AD276) &lt; (INDEX(ResponseSLA[#All],(MATCH((G276),ResponseSLA[Priority],0))+1,3)),"YES","No")</f>
        <v>YES</v>
      </c>
      <c r="AI276" s="28" t="str">
        <f ca="1">_xlfn.IFNA(IF(AE276 &lt; (INDEX(SLATable[Minimum SLA],MATCH(G276,SLATable[Priority],0))),"YES","NO"),"")</f>
        <v>YES</v>
      </c>
      <c r="AJ276" s="28" t="str">
        <f ca="1">_xlfn.IFNA(IF(AE276 &lt; (INDEX(SLATable[Maximum SLA],MATCH(G276,SLATable[Priority],0))),"YES","NO"),"")</f>
        <v>YES</v>
      </c>
    </row>
    <row r="277" spans="2:36" ht="15" customHeight="1">
      <c r="B277" s="127" t="s">
        <v>26</v>
      </c>
      <c r="C277" s="127" t="s">
        <v>35</v>
      </c>
      <c r="D277" s="127" t="s">
        <v>207</v>
      </c>
      <c r="E277" s="127" t="s">
        <v>1622</v>
      </c>
      <c r="F277" s="127" t="s">
        <v>295</v>
      </c>
      <c r="G277" s="127">
        <v>2</v>
      </c>
      <c r="H277" s="127" t="s">
        <v>1623</v>
      </c>
      <c r="I277" s="127" t="s">
        <v>271</v>
      </c>
      <c r="J277" s="127" t="s">
        <v>1624</v>
      </c>
      <c r="K277" s="129">
        <v>46148.091053240743</v>
      </c>
      <c r="L277" s="129">
        <v>46148.302719907406</v>
      </c>
      <c r="M277" s="129">
        <v>46148.305347222224</v>
      </c>
      <c r="N277" s="129">
        <v>46148.35193287037</v>
      </c>
      <c r="O277" s="131"/>
      <c r="P277" s="131"/>
      <c r="Q277" s="127" t="s">
        <v>1203</v>
      </c>
      <c r="R277" s="127" t="s">
        <v>267</v>
      </c>
      <c r="S277" s="127" t="s">
        <v>161</v>
      </c>
      <c r="T277" s="127"/>
      <c r="U277" s="127" t="s">
        <v>371</v>
      </c>
      <c r="V277" s="127"/>
      <c r="W277" s="127"/>
      <c r="X277" s="127"/>
      <c r="Y277" s="127"/>
      <c r="Z277" s="169">
        <f t="shared" ca="1" si="32"/>
        <v>0.26087962962628808</v>
      </c>
      <c r="AA277" s="170">
        <f t="shared" ca="1" si="33"/>
        <v>0.69567901233676821</v>
      </c>
      <c r="AB277" s="169">
        <f t="shared" ca="1" si="34"/>
        <v>4.9212962963792961E-2</v>
      </c>
      <c r="AC277" s="170">
        <f t="shared" ca="1" si="35"/>
        <v>0.1312345679034479</v>
      </c>
      <c r="AD277" s="169">
        <f t="shared" ca="1" si="36"/>
        <v>2.6273148178006522E-3</v>
      </c>
      <c r="AE277" s="169">
        <f t="shared" ca="1" si="37"/>
        <v>4.9212962963792961E-2</v>
      </c>
      <c r="AF277" s="170">
        <f t="shared" ca="1" si="38"/>
        <v>0.1312345679034479</v>
      </c>
      <c r="AG277" s="170">
        <f t="shared" ca="1" si="39"/>
        <v>0.1312345679034479</v>
      </c>
      <c r="AH277" s="28" t="str" cm="1">
        <f t="array" aca="1" ref="AH277" ca="1">IF((AD277) &lt; (INDEX(ResponseSLA[#All],(MATCH((G277),ResponseSLA[Priority],0))+1,3)),"YES","No")</f>
        <v>YES</v>
      </c>
      <c r="AI277" s="28" t="str">
        <f ca="1">_xlfn.IFNA(IF(AE277 &lt; (INDEX(SLATable[Minimum SLA],MATCH(G277,SLATable[Priority],0))),"YES","NO"),"")</f>
        <v>YES</v>
      </c>
      <c r="AJ277" s="28" t="str">
        <f ca="1">_xlfn.IFNA(IF(AE277 &lt; (INDEX(SLATable[Maximum SLA],MATCH(G277,SLATable[Priority],0))),"YES","NO"),"")</f>
        <v>YES</v>
      </c>
    </row>
    <row r="278" spans="2:36" ht="15" customHeight="1">
      <c r="B278" s="127" t="s">
        <v>26</v>
      </c>
      <c r="C278" s="127" t="s">
        <v>35</v>
      </c>
      <c r="D278" s="127" t="s">
        <v>207</v>
      </c>
      <c r="E278" s="127" t="s">
        <v>1625</v>
      </c>
      <c r="F278" s="127" t="s">
        <v>301</v>
      </c>
      <c r="G278" s="127">
        <v>2</v>
      </c>
      <c r="H278" s="127" t="s">
        <v>1626</v>
      </c>
      <c r="I278" s="127" t="s">
        <v>271</v>
      </c>
      <c r="J278" s="127" t="s">
        <v>1627</v>
      </c>
      <c r="K278" s="129">
        <v>46153.499988425923</v>
      </c>
      <c r="L278" s="129">
        <v>46153.50273148148</v>
      </c>
      <c r="M278" s="129">
        <v>46153.505856481483</v>
      </c>
      <c r="N278" s="129">
        <v>46153.611168981479</v>
      </c>
      <c r="O278" s="131">
        <v>46153.507534722223</v>
      </c>
      <c r="P278" s="131">
        <v>46153.611168981479</v>
      </c>
      <c r="Q278" s="127" t="s">
        <v>1628</v>
      </c>
      <c r="R278" s="127" t="s">
        <v>267</v>
      </c>
      <c r="S278" s="127" t="s">
        <v>199</v>
      </c>
      <c r="T278" s="127"/>
      <c r="U278" s="127" t="s">
        <v>371</v>
      </c>
      <c r="V278" s="127"/>
      <c r="W278" s="127"/>
      <c r="X278" s="127"/>
      <c r="Y278" s="127"/>
      <c r="Z278" s="169">
        <f t="shared" ca="1" si="32"/>
        <v>0.11118055555562023</v>
      </c>
      <c r="AA278" s="170">
        <f t="shared" ca="1" si="33"/>
        <v>0.29648148148165393</v>
      </c>
      <c r="AB278" s="169">
        <f t="shared" ca="1" si="34"/>
        <v>0.10843749999912689</v>
      </c>
      <c r="AC278" s="170">
        <f t="shared" ca="1" si="35"/>
        <v>0.28916666666433838</v>
      </c>
      <c r="AD278" s="169">
        <f t="shared" ca="1" si="36"/>
        <v>3.125000002910383E-3</v>
      </c>
      <c r="AE278" s="169">
        <f t="shared" ca="1" si="37"/>
        <v>0.10843749999912689</v>
      </c>
      <c r="AF278" s="170">
        <f t="shared" ca="1" si="38"/>
        <v>0.28916666666433838</v>
      </c>
      <c r="AG278" s="170">
        <f t="shared" ca="1" si="39"/>
        <v>0.28916666666433838</v>
      </c>
      <c r="AH278" s="28" t="str" cm="1">
        <f t="array" aca="1" ref="AH278" ca="1">IF((AD278) &lt; (INDEX(ResponseSLA[#All],(MATCH((G278),ResponseSLA[Priority],0))+1,3)),"YES","No")</f>
        <v>YES</v>
      </c>
      <c r="AI278" s="28" t="str">
        <f ca="1">_xlfn.IFNA(IF(AE278 &lt; (INDEX(SLATable[Minimum SLA],MATCH(G278,SLATable[Priority],0))),"YES","NO"),"")</f>
        <v>NO</v>
      </c>
      <c r="AJ278" s="28" t="str">
        <f ca="1">_xlfn.IFNA(IF(AE278 &lt; (INDEX(SLATable[Maximum SLA],MATCH(G278,SLATable[Priority],0))),"YES","NO"),"")</f>
        <v>YES</v>
      </c>
    </row>
    <row r="279" spans="2:36" s="200" customFormat="1" ht="15" customHeight="1">
      <c r="G279" s="238"/>
      <c r="K279" s="402"/>
      <c r="L279" s="402"/>
      <c r="M279" s="402"/>
      <c r="N279" s="402"/>
      <c r="O279" s="201"/>
      <c r="P279" s="201"/>
      <c r="Z279" s="243" t="e">
        <f t="shared" ca="1" si="32"/>
        <v>#N/A</v>
      </c>
      <c r="AA279" s="244" t="e">
        <f t="shared" ca="1" si="33"/>
        <v>#N/A</v>
      </c>
      <c r="AB279" s="243">
        <f t="shared" ca="1" si="34"/>
        <v>0</v>
      </c>
      <c r="AC279" s="244">
        <f t="shared" ca="1" si="35"/>
        <v>0</v>
      </c>
      <c r="AD279" s="243">
        <f t="shared" ca="1" si="36"/>
        <v>12388.425640740741</v>
      </c>
      <c r="AE279" s="243">
        <f t="shared" si="37"/>
        <v>0</v>
      </c>
      <c r="AF279" s="244">
        <f t="shared" si="38"/>
        <v>0</v>
      </c>
      <c r="AG279" s="244">
        <f t="shared" si="39"/>
        <v>0</v>
      </c>
      <c r="AH279" s="245" t="e" cm="1">
        <f t="array" aca="1" ref="AH279" ca="1">IF((AD279) &lt; (INDEX(ResponseSLA[#All],(MATCH((G279),ResponseSLA[Priority],0))+1,3)),"YES","No")</f>
        <v>#N/A</v>
      </c>
      <c r="AI279" s="245" t="str">
        <f>_xlfn.IFNA(IF(AE279 &lt; (INDEX(SLATable[Minimum SLA],MATCH(G279,SLATable[Priority],0))),"YES","NO"),"")</f>
        <v/>
      </c>
      <c r="AJ279" s="245" t="str">
        <f>_xlfn.IFNA(IF(AE279 &lt; (INDEX(SLATable[Maximum SLA],MATCH(G279,SLATable[Priority],0))),"YES","NO"),"")</f>
        <v/>
      </c>
    </row>
    <row r="280" spans="2:36" ht="15" customHeight="1">
      <c r="B280" s="127" t="s">
        <v>26</v>
      </c>
      <c r="C280" s="127" t="s">
        <v>35</v>
      </c>
      <c r="D280" s="127" t="s">
        <v>207</v>
      </c>
      <c r="E280" s="127" t="s">
        <v>1629</v>
      </c>
      <c r="F280" s="127" t="s">
        <v>295</v>
      </c>
      <c r="G280" s="127" t="s">
        <v>1630</v>
      </c>
      <c r="H280" s="127" t="s">
        <v>1631</v>
      </c>
      <c r="I280" s="127" t="s">
        <v>271</v>
      </c>
      <c r="J280" s="127" t="s">
        <v>1120</v>
      </c>
      <c r="K280" s="129">
        <v>46176.468460648146</v>
      </c>
      <c r="L280" s="129">
        <v>46176.4684837963</v>
      </c>
      <c r="M280" s="129">
        <v>46176.491238425922</v>
      </c>
      <c r="N280" s="129">
        <v>46191.492337962962</v>
      </c>
      <c r="O280" s="129">
        <v>46183.491724537038</v>
      </c>
      <c r="P280" s="129">
        <v>46191.492337962962</v>
      </c>
      <c r="Q280" s="127" t="s">
        <v>1057</v>
      </c>
      <c r="R280" s="127" t="s">
        <v>267</v>
      </c>
      <c r="S280" s="127" t="s">
        <v>199</v>
      </c>
      <c r="T280" s="127"/>
      <c r="U280" s="127" t="s">
        <v>371</v>
      </c>
      <c r="Z280" s="169">
        <f t="shared" ca="1" si="32"/>
        <v>1.8982638888919614</v>
      </c>
      <c r="AA280" s="170">
        <f t="shared" ca="1" si="33"/>
        <v>5.062037037045231</v>
      </c>
      <c r="AB280" s="169">
        <f t="shared" ca="1" si="34"/>
        <v>1.8982407407384021</v>
      </c>
      <c r="AC280" s="170">
        <f t="shared" ca="1" si="35"/>
        <v>5.0619753086357395</v>
      </c>
      <c r="AD280" s="169">
        <f t="shared" ca="1" si="36"/>
        <v>2.2754629622795619E-2</v>
      </c>
      <c r="AE280" s="169">
        <f t="shared" ca="1" si="37"/>
        <v>1.8982407407384021</v>
      </c>
      <c r="AF280" s="170">
        <f t="shared" ca="1" si="38"/>
        <v>5.0619753086357395</v>
      </c>
      <c r="AG280" s="170">
        <f t="shared" ca="1" si="39"/>
        <v>5.0619753086357395</v>
      </c>
      <c r="AH280" s="28" t="e" cm="1">
        <f t="array" aca="1" ref="AH280" ca="1">IF((AD280) &lt; (INDEX(ResponseSLA[#All],(MATCH((G280),ResponseSLA[Priority],0))+1,3)),"YES","No")</f>
        <v>#N/A</v>
      </c>
      <c r="AI280" s="28" t="str">
        <f ca="1">_xlfn.IFNA(IF(AE280 &lt; (INDEX(SLATable[Minimum SLA],MATCH(G280,SLATable[Priority],0))),"YES","NO"),"")</f>
        <v/>
      </c>
      <c r="AJ280" s="28" t="str">
        <f ca="1">_xlfn.IFNA(IF(AE280 &lt; (INDEX(SLATable[Maximum SLA],MATCH(G280,SLATable[Priority],0))),"YES","NO"),"")</f>
        <v/>
      </c>
    </row>
    <row r="281" spans="2:36" ht="15" customHeight="1">
      <c r="B281" s="127" t="s">
        <v>26</v>
      </c>
      <c r="C281" s="127" t="s">
        <v>35</v>
      </c>
      <c r="D281" s="127" t="s">
        <v>207</v>
      </c>
      <c r="E281" s="127" t="s">
        <v>1632</v>
      </c>
      <c r="F281" s="127" t="s">
        <v>295</v>
      </c>
      <c r="G281" s="127" t="s">
        <v>1630</v>
      </c>
      <c r="H281" s="127" t="s">
        <v>1633</v>
      </c>
      <c r="I281" s="127" t="s">
        <v>271</v>
      </c>
      <c r="J281" s="127" t="s">
        <v>1120</v>
      </c>
      <c r="K281" s="129">
        <v>46176.517013888886</v>
      </c>
      <c r="L281" s="129">
        <v>46176.517071759263</v>
      </c>
      <c r="M281" s="129">
        <v>46176.529328703706</v>
      </c>
      <c r="N281" s="129">
        <v>46189.531608796293</v>
      </c>
      <c r="O281" s="129"/>
      <c r="P281" s="129"/>
      <c r="Q281" s="127" t="s">
        <v>1057</v>
      </c>
      <c r="R281" s="127" t="s">
        <v>267</v>
      </c>
      <c r="S281" s="127" t="s">
        <v>169</v>
      </c>
      <c r="T281" s="127"/>
      <c r="U281" s="127" t="s">
        <v>371</v>
      </c>
      <c r="Z281" s="169">
        <f t="shared" ca="1" si="32"/>
        <v>3.389594907406718</v>
      </c>
      <c r="AA281" s="170">
        <f t="shared" ca="1" si="33"/>
        <v>9.0389197530845813</v>
      </c>
      <c r="AB281" s="169">
        <f t="shared" ca="1" si="34"/>
        <v>3.3895370370300957</v>
      </c>
      <c r="AC281" s="170">
        <f t="shared" ca="1" si="35"/>
        <v>9.0387654320802557</v>
      </c>
      <c r="AD281" s="169">
        <f t="shared" ca="1" si="36"/>
        <v>1.2256944442924578E-2</v>
      </c>
      <c r="AE281" s="169">
        <f t="shared" ca="1" si="37"/>
        <v>3.3895370370300957</v>
      </c>
      <c r="AF281" s="170">
        <f t="shared" ca="1" si="38"/>
        <v>9.0387654320802557</v>
      </c>
      <c r="AG281" s="170">
        <f t="shared" ca="1" si="39"/>
        <v>9.0387654320802557</v>
      </c>
      <c r="AH281" s="28" t="e" cm="1">
        <f t="array" aca="1" ref="AH281" ca="1">IF((AD281) &lt; (INDEX(ResponseSLA[#All],(MATCH((G281),ResponseSLA[Priority],0))+1,3)),"YES","No")</f>
        <v>#N/A</v>
      </c>
      <c r="AI281" s="28" t="str">
        <f ca="1">_xlfn.IFNA(IF(AE281 &lt; (INDEX(SLATable[Minimum SLA],MATCH(G281,SLATable[Priority],0))),"YES","NO"),"")</f>
        <v/>
      </c>
      <c r="AJ281" s="28" t="str">
        <f ca="1">_xlfn.IFNA(IF(AE281 &lt; (INDEX(SLATable[Maximum SLA],MATCH(G281,SLATable[Priority],0))),"YES","NO"),"")</f>
        <v/>
      </c>
    </row>
    <row r="282" spans="2:36" ht="15" customHeight="1">
      <c r="B282" s="127" t="s">
        <v>26</v>
      </c>
      <c r="C282" s="127" t="s">
        <v>35</v>
      </c>
      <c r="D282" s="127" t="s">
        <v>207</v>
      </c>
      <c r="E282" s="127" t="s">
        <v>1634</v>
      </c>
      <c r="F282" s="127" t="s">
        <v>295</v>
      </c>
      <c r="G282" s="127" t="s">
        <v>1630</v>
      </c>
      <c r="H282" s="127" t="s">
        <v>1051</v>
      </c>
      <c r="I282" s="127" t="s">
        <v>271</v>
      </c>
      <c r="J282" s="127" t="s">
        <v>1120</v>
      </c>
      <c r="K282" s="129">
        <v>46177.632476851853</v>
      </c>
      <c r="L282" s="129">
        <v>46177.639155092591</v>
      </c>
      <c r="M282" s="129">
        <v>46178.398657407408</v>
      </c>
      <c r="N282" s="129">
        <v>46184.430289351854</v>
      </c>
      <c r="O282" s="129"/>
      <c r="P282" s="129"/>
      <c r="Q282" s="127" t="s">
        <v>1057</v>
      </c>
      <c r="R282" s="127" t="s">
        <v>267</v>
      </c>
      <c r="S282" s="127" t="s">
        <v>193</v>
      </c>
      <c r="T282" s="127"/>
      <c r="U282" s="127" t="s">
        <v>371</v>
      </c>
      <c r="Z282" s="169">
        <f t="shared" ca="1" si="32"/>
        <v>1.6728125000008731</v>
      </c>
      <c r="AA282" s="170">
        <f t="shared" ca="1" si="33"/>
        <v>4.4608333333356613</v>
      </c>
      <c r="AB282" s="169">
        <f t="shared" ca="1" si="34"/>
        <v>1.6661342592633446</v>
      </c>
      <c r="AC282" s="170">
        <f t="shared" ca="1" si="35"/>
        <v>4.4430246913689189</v>
      </c>
      <c r="AD282" s="169">
        <f t="shared" ca="1" si="36"/>
        <v>0.13450231481692754</v>
      </c>
      <c r="AE282" s="169">
        <f t="shared" ca="1" si="37"/>
        <v>1.6661342592633446</v>
      </c>
      <c r="AF282" s="170">
        <f t="shared" ca="1" si="38"/>
        <v>4.4430246913689189</v>
      </c>
      <c r="AG282" s="170">
        <f t="shared" ca="1" si="39"/>
        <v>4.4430246913689189</v>
      </c>
      <c r="AH282" s="28" t="e" cm="1">
        <f t="array" aca="1" ref="AH282" ca="1">IF((AD282) &lt; (INDEX(ResponseSLA[#All],(MATCH((G282),ResponseSLA[Priority],0))+1,3)),"YES","No")</f>
        <v>#N/A</v>
      </c>
      <c r="AI282" s="28" t="str">
        <f ca="1">_xlfn.IFNA(IF(AE282 &lt; (INDEX(SLATable[Minimum SLA],MATCH(G282,SLATable[Priority],0))),"YES","NO"),"")</f>
        <v/>
      </c>
      <c r="AJ282" s="28" t="str">
        <f ca="1">_xlfn.IFNA(IF(AE282 &lt; (INDEX(SLATable[Maximum SLA],MATCH(G282,SLATable[Priority],0))),"YES","NO"),"")</f>
        <v/>
      </c>
    </row>
    <row r="283" spans="2:36" ht="15" customHeight="1">
      <c r="B283" s="127" t="s">
        <v>26</v>
      </c>
      <c r="C283" s="127" t="s">
        <v>35</v>
      </c>
      <c r="D283" s="127" t="s">
        <v>207</v>
      </c>
      <c r="E283" s="127" t="s">
        <v>1635</v>
      </c>
      <c r="F283" s="127" t="s">
        <v>295</v>
      </c>
      <c r="G283" s="127" t="s">
        <v>1630</v>
      </c>
      <c r="H283" s="127" t="s">
        <v>1636</v>
      </c>
      <c r="I283" s="127" t="s">
        <v>271</v>
      </c>
      <c r="J283" s="127" t="s">
        <v>1120</v>
      </c>
      <c r="K283" s="129">
        <v>46178.263773148145</v>
      </c>
      <c r="L283" s="129">
        <v>46178.263877314814</v>
      </c>
      <c r="M283" s="129">
        <v>46178.37903935185</v>
      </c>
      <c r="N283" s="129">
        <v>46183.507465277777</v>
      </c>
      <c r="O283" s="129"/>
      <c r="P283" s="129"/>
      <c r="Q283" s="127" t="s">
        <v>695</v>
      </c>
      <c r="R283" s="127" t="s">
        <v>267</v>
      </c>
      <c r="S283" s="127" t="s">
        <v>190</v>
      </c>
      <c r="T283" s="127"/>
      <c r="U283" s="127" t="s">
        <v>371</v>
      </c>
      <c r="Z283" s="169">
        <f t="shared" ca="1" si="32"/>
        <v>1.2991319444433129</v>
      </c>
      <c r="AA283" s="170">
        <f t="shared" ca="1" si="33"/>
        <v>3.4643518518488343</v>
      </c>
      <c r="AB283" s="169">
        <f t="shared" ca="1" si="34"/>
        <v>1.2991319444433129</v>
      </c>
      <c r="AC283" s="170">
        <f t="shared" ca="1" si="35"/>
        <v>3.4643518518488343</v>
      </c>
      <c r="AD283" s="169">
        <f t="shared" ca="1" si="36"/>
        <v>4.5706018516890878E-2</v>
      </c>
      <c r="AE283" s="169">
        <f t="shared" ca="1" si="37"/>
        <v>1.2991319444433129</v>
      </c>
      <c r="AF283" s="170">
        <f t="shared" ca="1" si="38"/>
        <v>3.4643518518488343</v>
      </c>
      <c r="AG283" s="170">
        <f t="shared" ca="1" si="39"/>
        <v>3.4643518518488343</v>
      </c>
      <c r="AH283" s="28" t="e" cm="1">
        <f t="array" aca="1" ref="AH283" ca="1">IF((AD283) &lt; (INDEX(ResponseSLA[#All],(MATCH((G283),ResponseSLA[Priority],0))+1,3)),"YES","No")</f>
        <v>#N/A</v>
      </c>
      <c r="AI283" s="28" t="str">
        <f ca="1">_xlfn.IFNA(IF(AE283 &lt; (INDEX(SLATable[Minimum SLA],MATCH(G283,SLATable[Priority],0))),"YES","NO"),"")</f>
        <v/>
      </c>
      <c r="AJ283" s="28" t="str">
        <f ca="1">_xlfn.IFNA(IF(AE283 &lt; (INDEX(SLATable[Maximum SLA],MATCH(G283,SLATable[Priority],0))),"YES","NO"),"")</f>
        <v/>
      </c>
    </row>
    <row r="284" spans="2:36" ht="15" customHeight="1">
      <c r="B284" s="127" t="s">
        <v>26</v>
      </c>
      <c r="C284" s="127" t="s">
        <v>35</v>
      </c>
      <c r="D284" s="127" t="s">
        <v>207</v>
      </c>
      <c r="E284" s="127" t="s">
        <v>1637</v>
      </c>
      <c r="F284" s="127" t="s">
        <v>295</v>
      </c>
      <c r="G284" s="127" t="s">
        <v>1638</v>
      </c>
      <c r="H284" s="127" t="s">
        <v>728</v>
      </c>
      <c r="I284" s="127" t="s">
        <v>271</v>
      </c>
      <c r="J284" s="127" t="s">
        <v>1120</v>
      </c>
      <c r="K284" s="129">
        <v>46179.687638888892</v>
      </c>
      <c r="L284" s="129">
        <v>46179.687743055554</v>
      </c>
      <c r="M284" s="129">
        <v>46180.421574074076</v>
      </c>
      <c r="N284" s="129">
        <v>46183.500891203701</v>
      </c>
      <c r="O284" s="129"/>
      <c r="P284" s="129"/>
      <c r="Q284" s="127" t="s">
        <v>1057</v>
      </c>
      <c r="R284" s="127" t="s">
        <v>267</v>
      </c>
      <c r="S284" s="127" t="s">
        <v>193</v>
      </c>
      <c r="T284" s="127"/>
      <c r="U284" s="127" t="s">
        <v>371</v>
      </c>
      <c r="Z284" s="169">
        <f t="shared" ca="1" si="32"/>
        <v>0.9175578703676972</v>
      </c>
      <c r="AA284" s="170">
        <f t="shared" ca="1" si="33"/>
        <v>2.4468209876471922</v>
      </c>
      <c r="AB284" s="169">
        <f t="shared" ca="1" si="34"/>
        <v>0.9175578703676972</v>
      </c>
      <c r="AC284" s="170">
        <f t="shared" ca="1" si="35"/>
        <v>2.4468209876471922</v>
      </c>
      <c r="AD284" s="169">
        <f t="shared" ca="1" si="36"/>
        <v>0</v>
      </c>
      <c r="AE284" s="169">
        <f t="shared" ca="1" si="37"/>
        <v>0.9175578703676972</v>
      </c>
      <c r="AF284" s="170">
        <f t="shared" ca="1" si="38"/>
        <v>2.4468209876471922</v>
      </c>
      <c r="AG284" s="170">
        <f t="shared" ca="1" si="39"/>
        <v>2.4468209876471922</v>
      </c>
      <c r="AH284" s="28" t="e" cm="1">
        <f t="array" aca="1" ref="AH284" ca="1">IF((AD284) &lt; (INDEX(ResponseSLA[#All],(MATCH((G284),ResponseSLA[Priority],0))+1,3)),"YES","No")</f>
        <v>#N/A</v>
      </c>
      <c r="AI284" s="28" t="str">
        <f ca="1">_xlfn.IFNA(IF(AE284 &lt; (INDEX(SLATable[Minimum SLA],MATCH(G284,SLATable[Priority],0))),"YES","NO"),"")</f>
        <v/>
      </c>
      <c r="AJ284" s="28" t="str">
        <f ca="1">_xlfn.IFNA(IF(AE284 &lt; (INDEX(SLATable[Maximum SLA],MATCH(G284,SLATable[Priority],0))),"YES","NO"),"")</f>
        <v/>
      </c>
    </row>
    <row r="285" spans="2:36" ht="15" customHeight="1">
      <c r="B285" s="127" t="s">
        <v>26</v>
      </c>
      <c r="C285" s="127" t="s">
        <v>35</v>
      </c>
      <c r="D285" s="127" t="s">
        <v>207</v>
      </c>
      <c r="E285" s="127" t="s">
        <v>1639</v>
      </c>
      <c r="F285" s="127" t="s">
        <v>289</v>
      </c>
      <c r="G285" s="127" t="s">
        <v>1638</v>
      </c>
      <c r="H285" s="127" t="s">
        <v>1640</v>
      </c>
      <c r="I285" s="127" t="s">
        <v>266</v>
      </c>
      <c r="J285" s="127" t="s">
        <v>1120</v>
      </c>
      <c r="K285" s="129">
        <v>46187.408148148148</v>
      </c>
      <c r="L285" s="129">
        <v>46191.249571759261</v>
      </c>
      <c r="M285" s="129">
        <v>46195.160543981481</v>
      </c>
      <c r="N285" s="129"/>
      <c r="O285" s="129">
        <v>46196.32912037037</v>
      </c>
      <c r="P285" s="129"/>
      <c r="Q285" s="127" t="s">
        <v>1123</v>
      </c>
      <c r="R285" s="127"/>
      <c r="S285" s="127"/>
      <c r="T285" s="127"/>
      <c r="U285" s="127" t="s">
        <v>371</v>
      </c>
      <c r="Z285" s="169">
        <f t="shared" ca="1" si="32"/>
        <v>19.425640740739865</v>
      </c>
      <c r="AA285" s="170">
        <f t="shared" ca="1" si="33"/>
        <v>51.801708641972972</v>
      </c>
      <c r="AB285" s="169">
        <f t="shared" ca="1" si="34"/>
        <v>1.1250000000000002</v>
      </c>
      <c r="AC285" s="170">
        <f t="shared" ca="1" si="35"/>
        <v>3.0000000000000009</v>
      </c>
      <c r="AD285" s="169">
        <f t="shared" ca="1" si="36"/>
        <v>0.75000000000000022</v>
      </c>
      <c r="AE285" s="169">
        <f t="shared" ca="1" si="37"/>
        <v>1.1250000000000002</v>
      </c>
      <c r="AF285" s="170">
        <f t="shared" ca="1" si="38"/>
        <v>3.0000000000000009</v>
      </c>
      <c r="AG285" s="170">
        <f t="shared" ca="1" si="39"/>
        <v>3.0000000000000009</v>
      </c>
      <c r="AH285" s="28" t="e" cm="1">
        <f t="array" aca="1" ref="AH285" ca="1">IF((AD285) &lt; (INDEX(ResponseSLA[#All],(MATCH((G285),ResponseSLA[Priority],0))+1,3)),"YES","No")</f>
        <v>#N/A</v>
      </c>
      <c r="AI285" s="28" t="str">
        <f ca="1">_xlfn.IFNA(IF(AE285 &lt; (INDEX(SLATable[Minimum SLA],MATCH(G285,SLATable[Priority],0))),"YES","NO"),"")</f>
        <v/>
      </c>
      <c r="AJ285" s="28" t="str">
        <f ca="1">_xlfn.IFNA(IF(AE285 &lt; (INDEX(SLATable[Maximum SLA],MATCH(G285,SLATable[Priority],0))),"YES","NO"),"")</f>
        <v/>
      </c>
    </row>
    <row r="286" spans="2:36" ht="15" customHeight="1">
      <c r="B286" s="127" t="s">
        <v>26</v>
      </c>
      <c r="C286" s="127" t="s">
        <v>35</v>
      </c>
      <c r="D286" s="127" t="s">
        <v>207</v>
      </c>
      <c r="E286" s="127" t="s">
        <v>1641</v>
      </c>
      <c r="F286" s="127" t="s">
        <v>289</v>
      </c>
      <c r="G286" s="127" t="s">
        <v>1638</v>
      </c>
      <c r="H286" s="127" t="s">
        <v>1642</v>
      </c>
      <c r="I286" s="127" t="s">
        <v>271</v>
      </c>
      <c r="J286" s="127" t="s">
        <v>1120</v>
      </c>
      <c r="K286" s="129">
        <v>46188.863125000003</v>
      </c>
      <c r="L286" s="129">
        <v>46188.863206018519</v>
      </c>
      <c r="M286" s="129">
        <v>46189.315486111111</v>
      </c>
      <c r="N286" s="129">
        <v>46198.664814814816</v>
      </c>
      <c r="O286" s="129">
        <v>46190.663935185185</v>
      </c>
      <c r="P286" s="129">
        <v>46198.664814814816</v>
      </c>
      <c r="Q286" s="127" t="s">
        <v>1123</v>
      </c>
      <c r="R286" s="127" t="s">
        <v>267</v>
      </c>
      <c r="S286" s="127" t="s">
        <v>199</v>
      </c>
      <c r="T286" s="127"/>
      <c r="U286" s="127" t="s">
        <v>371</v>
      </c>
      <c r="Z286" s="169">
        <f t="shared" ca="1" si="32"/>
        <v>0.70560185185119417</v>
      </c>
      <c r="AA286" s="170">
        <f t="shared" ca="1" si="33"/>
        <v>1.8816049382698512</v>
      </c>
      <c r="AB286" s="169">
        <f t="shared" ca="1" si="34"/>
        <v>0.70560185185119417</v>
      </c>
      <c r="AC286" s="170">
        <f t="shared" ca="1" si="35"/>
        <v>1.8816049382698512</v>
      </c>
      <c r="AD286" s="169">
        <f t="shared" ca="1" si="36"/>
        <v>0</v>
      </c>
      <c r="AE286" s="169">
        <f t="shared" ca="1" si="37"/>
        <v>0.70560185185119417</v>
      </c>
      <c r="AF286" s="170">
        <f t="shared" ca="1" si="38"/>
        <v>1.8816049382698512</v>
      </c>
      <c r="AG286" s="170">
        <f t="shared" ca="1" si="39"/>
        <v>1.8816049382698512</v>
      </c>
      <c r="AH286" s="28" t="e" cm="1">
        <f t="array" aca="1" ref="AH286" ca="1">IF((AD286) &lt; (INDEX(ResponseSLA[#All],(MATCH((G286),ResponseSLA[Priority],0))+1,3)),"YES","No")</f>
        <v>#N/A</v>
      </c>
      <c r="AI286" s="28" t="str">
        <f ca="1">_xlfn.IFNA(IF(AE286 &lt; (INDEX(SLATable[Minimum SLA],MATCH(G286,SLATable[Priority],0))),"YES","NO"),"")</f>
        <v/>
      </c>
      <c r="AJ286" s="28" t="str">
        <f ca="1">_xlfn.IFNA(IF(AE286 &lt; (INDEX(SLATable[Maximum SLA],MATCH(G286,SLATable[Priority],0))),"YES","NO"),"")</f>
        <v/>
      </c>
    </row>
    <row r="287" spans="2:36" ht="15" customHeight="1">
      <c r="B287" s="127" t="s">
        <v>26</v>
      </c>
      <c r="C287" s="127" t="s">
        <v>35</v>
      </c>
      <c r="D287" s="127" t="s">
        <v>207</v>
      </c>
      <c r="E287" s="127" t="s">
        <v>1643</v>
      </c>
      <c r="F287" s="127" t="s">
        <v>289</v>
      </c>
      <c r="G287" s="127" t="s">
        <v>1630</v>
      </c>
      <c r="H287" s="127" t="s">
        <v>1644</v>
      </c>
      <c r="I287" s="127" t="s">
        <v>271</v>
      </c>
      <c r="J287" s="127" t="s">
        <v>1120</v>
      </c>
      <c r="K287" s="129">
        <v>46190.552407407406</v>
      </c>
      <c r="L287" s="129">
        <v>46191.650821759256</v>
      </c>
      <c r="M287" s="129">
        <v>46195.297129629631</v>
      </c>
      <c r="N287" s="129">
        <v>46196.429166666669</v>
      </c>
      <c r="O287" s="129"/>
      <c r="P287" s="129"/>
      <c r="Q287" s="127" t="s">
        <v>1123</v>
      </c>
      <c r="R287" s="127" t="s">
        <v>267</v>
      </c>
      <c r="S287" s="127" t="s">
        <v>205</v>
      </c>
      <c r="T287" s="127"/>
      <c r="U287" s="127" t="s">
        <v>371</v>
      </c>
      <c r="Z287" s="169">
        <f t="shared" ca="1" si="32"/>
        <v>1.3767592592630538</v>
      </c>
      <c r="AA287" s="170">
        <f t="shared" ca="1" si="33"/>
        <v>3.671358024701477</v>
      </c>
      <c r="AB287" s="169">
        <f t="shared" ca="1" si="34"/>
        <v>0.90334490741224749</v>
      </c>
      <c r="AC287" s="170">
        <f t="shared" ca="1" si="35"/>
        <v>2.4089197530993269</v>
      </c>
      <c r="AD287" s="169">
        <f t="shared" ca="1" si="36"/>
        <v>0.43251157407697383</v>
      </c>
      <c r="AE287" s="169">
        <f t="shared" ca="1" si="37"/>
        <v>0.90334490741224749</v>
      </c>
      <c r="AF287" s="170">
        <f t="shared" ca="1" si="38"/>
        <v>2.4089197530993269</v>
      </c>
      <c r="AG287" s="170">
        <f t="shared" ca="1" si="39"/>
        <v>2.4089197530993269</v>
      </c>
      <c r="AH287" s="28" t="e" cm="1">
        <f t="array" aca="1" ref="AH287" ca="1">IF((AD287) &lt; (INDEX(ResponseSLA[#All],(MATCH((G287),ResponseSLA[Priority],0))+1,3)),"YES","No")</f>
        <v>#N/A</v>
      </c>
      <c r="AI287" s="28" t="str">
        <f ca="1">_xlfn.IFNA(IF(AE287 &lt; (INDEX(SLATable[Minimum SLA],MATCH(G287,SLATable[Priority],0))),"YES","NO"),"")</f>
        <v/>
      </c>
      <c r="AJ287" s="28" t="str">
        <f ca="1">_xlfn.IFNA(IF(AE287 &lt; (INDEX(SLATable[Maximum SLA],MATCH(G287,SLATable[Priority],0))),"YES","NO"),"")</f>
        <v/>
      </c>
    </row>
    <row r="288" spans="2:36" ht="15" customHeight="1">
      <c r="B288" s="127" t="s">
        <v>26</v>
      </c>
      <c r="C288" s="127" t="s">
        <v>35</v>
      </c>
      <c r="D288" s="127" t="s">
        <v>207</v>
      </c>
      <c r="E288" s="127" t="s">
        <v>1645</v>
      </c>
      <c r="F288" s="127" t="s">
        <v>289</v>
      </c>
      <c r="G288" s="127" t="s">
        <v>1638</v>
      </c>
      <c r="H288" s="127" t="s">
        <v>1646</v>
      </c>
      <c r="I288" s="127" t="s">
        <v>260</v>
      </c>
      <c r="J288" s="127" t="s">
        <v>1120</v>
      </c>
      <c r="K288" s="129">
        <v>46190.651493055557</v>
      </c>
      <c r="L288" s="129">
        <v>46192.622106481482</v>
      </c>
      <c r="M288" s="129">
        <v>46192.872071759259</v>
      </c>
      <c r="N288" s="129"/>
      <c r="O288" s="129"/>
      <c r="P288" s="129"/>
      <c r="Q288" s="127" t="s">
        <v>1123</v>
      </c>
      <c r="R288" s="127"/>
      <c r="S288" s="127"/>
      <c r="T288" s="127"/>
      <c r="U288" s="127" t="s">
        <v>371</v>
      </c>
      <c r="Z288" s="169">
        <f t="shared" ca="1" si="32"/>
        <v>18.357481018516413</v>
      </c>
      <c r="AA288" s="170">
        <f t="shared" ca="1" si="33"/>
        <v>48.953282716043773</v>
      </c>
      <c r="AB288" s="169">
        <f t="shared" ca="1" si="34"/>
        <v>17.636867708330104</v>
      </c>
      <c r="AC288" s="170">
        <f t="shared" ca="1" si="35"/>
        <v>47.031647222213614</v>
      </c>
      <c r="AD288" s="169">
        <f t="shared" ca="1" si="36"/>
        <v>8.6226851851582409E-2</v>
      </c>
      <c r="AE288" s="169">
        <f t="shared" ca="1" si="37"/>
        <v>17.636867708330104</v>
      </c>
      <c r="AF288" s="170">
        <f t="shared" ca="1" si="38"/>
        <v>47.031647222213614</v>
      </c>
      <c r="AG288" s="170">
        <f t="shared" ca="1" si="39"/>
        <v>47.031647222213614</v>
      </c>
      <c r="AH288" s="28" t="e" cm="1">
        <f t="array" aca="1" ref="AH288" ca="1">IF((AD288) &lt; (INDEX(ResponseSLA[#All],(MATCH((G288),ResponseSLA[Priority],0))+1,3)),"YES","No")</f>
        <v>#N/A</v>
      </c>
      <c r="AI288" s="28" t="str">
        <f ca="1">_xlfn.IFNA(IF(AE288 &lt; (INDEX(SLATable[Minimum SLA],MATCH(G288,SLATable[Priority],0))),"YES","NO"),"")</f>
        <v/>
      </c>
      <c r="AJ288" s="28" t="str">
        <f ca="1">_xlfn.IFNA(IF(AE288 &lt; (INDEX(SLATable[Maximum SLA],MATCH(G288,SLATable[Priority],0))),"YES","NO"),"")</f>
        <v/>
      </c>
    </row>
    <row r="289" spans="2:36" ht="15" customHeight="1">
      <c r="B289" s="127" t="s">
        <v>26</v>
      </c>
      <c r="C289" s="127" t="s">
        <v>35</v>
      </c>
      <c r="D289" s="127" t="s">
        <v>207</v>
      </c>
      <c r="E289" s="127" t="s">
        <v>1647</v>
      </c>
      <c r="F289" s="127" t="s">
        <v>295</v>
      </c>
      <c r="G289" s="127" t="s">
        <v>1648</v>
      </c>
      <c r="H289" s="127" t="s">
        <v>1649</v>
      </c>
      <c r="I289" s="127" t="s">
        <v>271</v>
      </c>
      <c r="J289" s="127" t="s">
        <v>1120</v>
      </c>
      <c r="K289" s="129">
        <v>46192.884340277778</v>
      </c>
      <c r="L289" s="129">
        <v>46192.888182870367</v>
      </c>
      <c r="M289" s="129">
        <v>46192.909282407411</v>
      </c>
      <c r="N289" s="129">
        <v>46193.648078703707</v>
      </c>
      <c r="O289" s="129">
        <v>46193.010231481479</v>
      </c>
      <c r="P289" s="129">
        <v>46193.648090277777</v>
      </c>
      <c r="Q289" s="127" t="s">
        <v>1113</v>
      </c>
      <c r="R289" s="127" t="s">
        <v>267</v>
      </c>
      <c r="S289" s="127" t="s">
        <v>199</v>
      </c>
      <c r="T289" s="127"/>
      <c r="U289" s="127" t="s">
        <v>371</v>
      </c>
      <c r="Z289" s="169">
        <f t="shared" ca="1" si="32"/>
        <v>0</v>
      </c>
      <c r="AA289" s="170">
        <f t="shared" ca="1" si="33"/>
        <v>0</v>
      </c>
      <c r="AB289" s="169">
        <f t="shared" ca="1" si="34"/>
        <v>0</v>
      </c>
      <c r="AC289" s="170">
        <f t="shared" ca="1" si="35"/>
        <v>0</v>
      </c>
      <c r="AD289" s="169">
        <f t="shared" ca="1" si="36"/>
        <v>0</v>
      </c>
      <c r="AE289" s="169">
        <f t="shared" ca="1" si="37"/>
        <v>0</v>
      </c>
      <c r="AF289" s="170">
        <f t="shared" ca="1" si="38"/>
        <v>0</v>
      </c>
      <c r="AG289" s="170">
        <f t="shared" ca="1" si="39"/>
        <v>0</v>
      </c>
      <c r="AH289" s="28" t="e" cm="1">
        <f t="array" aca="1" ref="AH289" ca="1">IF((AD289) &lt; (INDEX(ResponseSLA[#All],(MATCH((G289),ResponseSLA[Priority],0))+1,3)),"YES","No")</f>
        <v>#N/A</v>
      </c>
      <c r="AI289" s="28" t="str">
        <f ca="1">_xlfn.IFNA(IF(AE289 &lt; (INDEX(SLATable[Minimum SLA],MATCH(G289,SLATable[Priority],0))),"YES","NO"),"")</f>
        <v/>
      </c>
      <c r="AJ289" s="28" t="str">
        <f ca="1">_xlfn.IFNA(IF(AE289 &lt; (INDEX(SLATable[Maximum SLA],MATCH(G289,SLATable[Priority],0))),"YES","NO"),"")</f>
        <v/>
      </c>
    </row>
    <row r="290" spans="2:36" ht="15" customHeight="1">
      <c r="B290" s="127" t="s">
        <v>26</v>
      </c>
      <c r="C290" s="127" t="s">
        <v>35</v>
      </c>
      <c r="D290" s="127" t="s">
        <v>207</v>
      </c>
      <c r="E290" s="127" t="s">
        <v>1650</v>
      </c>
      <c r="F290" s="127" t="s">
        <v>289</v>
      </c>
      <c r="G290" s="127" t="s">
        <v>1630</v>
      </c>
      <c r="H290" s="127" t="s">
        <v>1651</v>
      </c>
      <c r="I290" s="127" t="s">
        <v>266</v>
      </c>
      <c r="J290" s="127" t="s">
        <v>1120</v>
      </c>
      <c r="K290" s="129">
        <v>46193.556111111109</v>
      </c>
      <c r="L290" s="129">
        <v>46193.556122685186</v>
      </c>
      <c r="M290" s="129">
        <v>46196.248530092591</v>
      </c>
      <c r="N290" s="129"/>
      <c r="O290" s="129">
        <v>46198.250578703701</v>
      </c>
      <c r="P290" s="129"/>
      <c r="Q290" s="127" t="s">
        <v>1123</v>
      </c>
      <c r="R290" s="127"/>
      <c r="S290" s="127"/>
      <c r="T290" s="127"/>
      <c r="U290" s="127" t="s">
        <v>371</v>
      </c>
      <c r="Z290" s="169">
        <f t="shared" ca="1" si="32"/>
        <v>17.550640740739865</v>
      </c>
      <c r="AA290" s="170">
        <f t="shared" ca="1" si="33"/>
        <v>46.801708641972972</v>
      </c>
      <c r="AB290" s="169">
        <f t="shared" ca="1" si="34"/>
        <v>1.1250000000000002</v>
      </c>
      <c r="AC290" s="170">
        <f t="shared" ca="1" si="35"/>
        <v>3.0000000000000009</v>
      </c>
      <c r="AD290" s="169">
        <f t="shared" ca="1" si="36"/>
        <v>0.15221064814735052</v>
      </c>
      <c r="AE290" s="169">
        <f t="shared" ca="1" si="37"/>
        <v>1.1250000000000002</v>
      </c>
      <c r="AF290" s="170">
        <f t="shared" ca="1" si="38"/>
        <v>3.0000000000000009</v>
      </c>
      <c r="AG290" s="170">
        <f t="shared" ca="1" si="39"/>
        <v>3.0000000000000009</v>
      </c>
      <c r="AH290" s="28" t="e" cm="1">
        <f t="array" aca="1" ref="AH290" ca="1">IF((AD290) &lt; (INDEX(ResponseSLA[#All],(MATCH((G290),ResponseSLA[Priority],0))+1,3)),"YES","No")</f>
        <v>#N/A</v>
      </c>
      <c r="AI290" s="28" t="str">
        <f ca="1">_xlfn.IFNA(IF(AE290 &lt; (INDEX(SLATable[Minimum SLA],MATCH(G290,SLATable[Priority],0))),"YES","NO"),"")</f>
        <v/>
      </c>
      <c r="AJ290" s="28" t="str">
        <f ca="1">_xlfn.IFNA(IF(AE290 &lt; (INDEX(SLATable[Maximum SLA],MATCH(G290,SLATable[Priority],0))),"YES","NO"),"")</f>
        <v/>
      </c>
    </row>
    <row r="291" spans="2:36" ht="15" customHeight="1">
      <c r="B291" s="127" t="s">
        <v>26</v>
      </c>
      <c r="C291" s="127" t="s">
        <v>35</v>
      </c>
      <c r="D291" s="127" t="s">
        <v>207</v>
      </c>
      <c r="E291" s="127" t="s">
        <v>1652</v>
      </c>
      <c r="F291" s="127" t="s">
        <v>295</v>
      </c>
      <c r="G291" s="127" t="s">
        <v>1630</v>
      </c>
      <c r="H291" s="127" t="s">
        <v>1653</v>
      </c>
      <c r="I291" s="127" t="s">
        <v>271</v>
      </c>
      <c r="J291" s="127" t="s">
        <v>1120</v>
      </c>
      <c r="K291" s="129">
        <v>46195.519293981481</v>
      </c>
      <c r="L291" s="129">
        <v>46195.519375000003</v>
      </c>
      <c r="M291" s="129">
        <v>46196.309629629628</v>
      </c>
      <c r="N291" s="129">
        <v>46196.314166666663</v>
      </c>
      <c r="O291" s="129"/>
      <c r="P291" s="129"/>
      <c r="Q291" s="127" t="s">
        <v>695</v>
      </c>
      <c r="R291" s="127" t="s">
        <v>267</v>
      </c>
      <c r="S291" s="127" t="s">
        <v>199</v>
      </c>
      <c r="T291" s="127"/>
      <c r="U291" s="127" t="s">
        <v>371</v>
      </c>
      <c r="Z291" s="169">
        <f t="shared" ca="1" si="32"/>
        <v>0.18903935185274656</v>
      </c>
      <c r="AA291" s="170">
        <f t="shared" ca="1" si="33"/>
        <v>0.50410493827399083</v>
      </c>
      <c r="AB291" s="169">
        <f t="shared" ca="1" si="34"/>
        <v>0.18895833332984091</v>
      </c>
      <c r="AC291" s="170">
        <f t="shared" ca="1" si="35"/>
        <v>0.50388888887957572</v>
      </c>
      <c r="AD291" s="169">
        <f t="shared" ca="1" si="36"/>
        <v>0.18895833332984091</v>
      </c>
      <c r="AE291" s="169">
        <f t="shared" ca="1" si="37"/>
        <v>0.18895833332984091</v>
      </c>
      <c r="AF291" s="170">
        <f t="shared" ca="1" si="38"/>
        <v>0.50388888887957572</v>
      </c>
      <c r="AG291" s="170">
        <f t="shared" ca="1" si="39"/>
        <v>0.50388888887957572</v>
      </c>
      <c r="AH291" s="28" t="e" cm="1">
        <f t="array" aca="1" ref="AH291" ca="1">IF((AD291) &lt; (INDEX(ResponseSLA[#All],(MATCH((G291),ResponseSLA[Priority],0))+1,3)),"YES","No")</f>
        <v>#N/A</v>
      </c>
      <c r="AI291" s="28" t="str">
        <f ca="1">_xlfn.IFNA(IF(AE291 &lt; (INDEX(SLATable[Minimum SLA],MATCH(G291,SLATable[Priority],0))),"YES","NO"),"")</f>
        <v/>
      </c>
      <c r="AJ291" s="28" t="str">
        <f ca="1">_xlfn.IFNA(IF(AE291 &lt; (INDEX(SLATable[Maximum SLA],MATCH(G291,SLATable[Priority],0))),"YES","NO"),"")</f>
        <v/>
      </c>
    </row>
    <row r="292" spans="2:36" ht="15" customHeight="1">
      <c r="B292" s="127" t="s">
        <v>26</v>
      </c>
      <c r="C292" s="127" t="s">
        <v>35</v>
      </c>
      <c r="D292" s="127" t="s">
        <v>207</v>
      </c>
      <c r="E292" s="127" t="s">
        <v>1654</v>
      </c>
      <c r="F292" s="127" t="s">
        <v>289</v>
      </c>
      <c r="G292" s="127" t="s">
        <v>1638</v>
      </c>
      <c r="H292" s="127" t="s">
        <v>1655</v>
      </c>
      <c r="I292" s="127" t="s">
        <v>266</v>
      </c>
      <c r="J292" s="127" t="s">
        <v>1120</v>
      </c>
      <c r="K292" s="129">
        <v>46196.499456018515</v>
      </c>
      <c r="L292" s="129">
        <v>46196.499571759261</v>
      </c>
      <c r="M292" s="129">
        <v>46196.533194444448</v>
      </c>
      <c r="N292" s="129"/>
      <c r="O292" s="129">
        <v>46197.267789351848</v>
      </c>
      <c r="P292" s="129"/>
      <c r="Q292" s="127" t="s">
        <v>1123</v>
      </c>
      <c r="R292" s="127"/>
      <c r="S292" s="127"/>
      <c r="T292" s="127"/>
      <c r="U292" s="127" t="s">
        <v>371</v>
      </c>
      <c r="Z292" s="169">
        <f t="shared" ca="1" si="32"/>
        <v>17.00951805555815</v>
      </c>
      <c r="AA292" s="170">
        <f t="shared" ca="1" si="33"/>
        <v>45.358714814821738</v>
      </c>
      <c r="AB292" s="169">
        <f t="shared" ca="1" si="34"/>
        <v>0.2087615740723171</v>
      </c>
      <c r="AC292" s="170">
        <f t="shared" ca="1" si="35"/>
        <v>0.55669753085951224</v>
      </c>
      <c r="AD292" s="169">
        <f t="shared" ca="1" si="36"/>
        <v>3.3622685186855961E-2</v>
      </c>
      <c r="AE292" s="169">
        <f t="shared" ca="1" si="37"/>
        <v>0.2087615740723171</v>
      </c>
      <c r="AF292" s="170">
        <f t="shared" ca="1" si="38"/>
        <v>0.55669753085951224</v>
      </c>
      <c r="AG292" s="170">
        <f t="shared" ca="1" si="39"/>
        <v>0.55669753085951224</v>
      </c>
      <c r="AH292" s="28" t="e" cm="1">
        <f t="array" aca="1" ref="AH292" ca="1">IF((AD292) &lt; (INDEX(ResponseSLA[#All],(MATCH((G292),ResponseSLA[Priority],0))+1,3)),"YES","No")</f>
        <v>#N/A</v>
      </c>
      <c r="AI292" s="28" t="str">
        <f ca="1">_xlfn.IFNA(IF(AE292 &lt; (INDEX(SLATable[Minimum SLA],MATCH(G292,SLATable[Priority],0))),"YES","NO"),"")</f>
        <v/>
      </c>
      <c r="AJ292" s="28" t="str">
        <f ca="1">_xlfn.IFNA(IF(AE292 &lt; (INDEX(SLATable[Maximum SLA],MATCH(G292,SLATable[Priority],0))),"YES","NO"),"")</f>
        <v/>
      </c>
    </row>
    <row r="293" spans="2:36" ht="15" customHeight="1">
      <c r="B293" s="127" t="s">
        <v>26</v>
      </c>
      <c r="C293" s="127" t="s">
        <v>35</v>
      </c>
      <c r="D293" s="127" t="s">
        <v>207</v>
      </c>
      <c r="E293" s="127" t="s">
        <v>1656</v>
      </c>
      <c r="F293" s="127" t="s">
        <v>289</v>
      </c>
      <c r="G293" s="127" t="s">
        <v>1638</v>
      </c>
      <c r="H293" s="127" t="s">
        <v>1657</v>
      </c>
      <c r="I293" s="127" t="s">
        <v>271</v>
      </c>
      <c r="J293" s="127" t="s">
        <v>1120</v>
      </c>
      <c r="K293" s="129">
        <v>46197.602592592593</v>
      </c>
      <c r="L293" s="129">
        <v>46197.602685185186</v>
      </c>
      <c r="M293" s="129">
        <v>46198.35497685185</v>
      </c>
      <c r="N293" s="129">
        <v>46198.574074074073</v>
      </c>
      <c r="O293" s="129"/>
      <c r="P293" s="129"/>
      <c r="Q293" s="127" t="s">
        <v>1123</v>
      </c>
      <c r="R293" s="127" t="s">
        <v>267</v>
      </c>
      <c r="S293" s="127" t="s">
        <v>141</v>
      </c>
      <c r="T293" s="127"/>
      <c r="U293" s="127" t="s">
        <v>371</v>
      </c>
      <c r="Z293" s="169">
        <f t="shared" ca="1" si="32"/>
        <v>0.34648148147971369</v>
      </c>
      <c r="AA293" s="170">
        <f t="shared" ca="1" si="33"/>
        <v>0.92395061727923655</v>
      </c>
      <c r="AB293" s="169">
        <f t="shared" ca="1" si="34"/>
        <v>0.34638888888730435</v>
      </c>
      <c r="AC293" s="170">
        <f t="shared" ca="1" si="35"/>
        <v>0.9237037036994783</v>
      </c>
      <c r="AD293" s="169">
        <f t="shared" ca="1" si="36"/>
        <v>0.12729166666395031</v>
      </c>
      <c r="AE293" s="169">
        <f t="shared" ca="1" si="37"/>
        <v>0.34638888888730435</v>
      </c>
      <c r="AF293" s="170">
        <f t="shared" ca="1" si="38"/>
        <v>0.9237037036994783</v>
      </c>
      <c r="AG293" s="170">
        <f t="shared" ca="1" si="39"/>
        <v>0.9237037036994783</v>
      </c>
      <c r="AH293" s="28" t="e" cm="1">
        <f t="array" aca="1" ref="AH293" ca="1">IF((AD293) &lt; (INDEX(ResponseSLA[#All],(MATCH((G293),ResponseSLA[Priority],0))+1,3)),"YES","No")</f>
        <v>#N/A</v>
      </c>
      <c r="AI293" s="28" t="str">
        <f ca="1">_xlfn.IFNA(IF(AE293 &lt; (INDEX(SLATable[Minimum SLA],MATCH(G293,SLATable[Priority],0))),"YES","NO"),"")</f>
        <v/>
      </c>
      <c r="AJ293" s="28" t="str">
        <f ca="1">_xlfn.IFNA(IF(AE293 &lt; (INDEX(SLATable[Maximum SLA],MATCH(G293,SLATable[Priority],0))),"YES","NO"),"")</f>
        <v/>
      </c>
    </row>
    <row r="294" spans="2:36" ht="15" customHeight="1">
      <c r="B294" s="127" t="s">
        <v>26</v>
      </c>
      <c r="C294" s="127" t="s">
        <v>35</v>
      </c>
      <c r="D294" s="127" t="s">
        <v>207</v>
      </c>
      <c r="E294" s="127" t="s">
        <v>1658</v>
      </c>
      <c r="F294" s="127" t="s">
        <v>289</v>
      </c>
      <c r="G294" s="127" t="s">
        <v>1638</v>
      </c>
      <c r="H294" s="127" t="s">
        <v>1659</v>
      </c>
      <c r="I294" s="127" t="s">
        <v>271</v>
      </c>
      <c r="J294" s="127" t="s">
        <v>1120</v>
      </c>
      <c r="K294" s="129">
        <v>46197.609201388892</v>
      </c>
      <c r="L294" s="129">
        <v>46197.609270833331</v>
      </c>
      <c r="M294" s="129">
        <v>46198.357060185182</v>
      </c>
      <c r="N294" s="129">
        <v>46199.507951388892</v>
      </c>
      <c r="O294" s="129"/>
      <c r="P294" s="129"/>
      <c r="Q294" s="127" t="s">
        <v>1123</v>
      </c>
      <c r="R294" s="127" t="s">
        <v>267</v>
      </c>
      <c r="S294" s="127" t="s">
        <v>141</v>
      </c>
      <c r="T294" s="127"/>
      <c r="U294" s="127" t="s">
        <v>371</v>
      </c>
      <c r="Z294" s="169">
        <f t="shared" ca="1" si="32"/>
        <v>0.64875000000029104</v>
      </c>
      <c r="AA294" s="170">
        <f t="shared" ca="1" si="33"/>
        <v>1.730000000000776</v>
      </c>
      <c r="AB294" s="169">
        <f t="shared" ca="1" si="34"/>
        <v>0.648680555561441</v>
      </c>
      <c r="AC294" s="170">
        <f t="shared" ca="1" si="35"/>
        <v>1.7298148148305093</v>
      </c>
      <c r="AD294" s="169">
        <f t="shared" ca="1" si="36"/>
        <v>0.12278935185167938</v>
      </c>
      <c r="AE294" s="169">
        <f t="shared" ca="1" si="37"/>
        <v>0.648680555561441</v>
      </c>
      <c r="AF294" s="170">
        <f t="shared" ca="1" si="38"/>
        <v>1.7298148148305093</v>
      </c>
      <c r="AG294" s="170">
        <f t="shared" ca="1" si="39"/>
        <v>1.7298148148305093</v>
      </c>
      <c r="AH294" s="28" t="e" cm="1">
        <f t="array" aca="1" ref="AH294" ca="1">IF((AD294) &lt; (INDEX(ResponseSLA[#All],(MATCH((G294),ResponseSLA[Priority],0))+1,3)),"YES","No")</f>
        <v>#N/A</v>
      </c>
      <c r="AI294" s="28" t="str">
        <f ca="1">_xlfn.IFNA(IF(AE294 &lt; (INDEX(SLATable[Minimum SLA],MATCH(G294,SLATable[Priority],0))),"YES","NO"),"")</f>
        <v/>
      </c>
      <c r="AJ294" s="28" t="str">
        <f ca="1">_xlfn.IFNA(IF(AE294 &lt; (INDEX(SLATable[Maximum SLA],MATCH(G294,SLATable[Priority],0))),"YES","NO"),"")</f>
        <v/>
      </c>
    </row>
    <row r="295" spans="2:36" ht="15" customHeight="1">
      <c r="B295" s="127" t="s">
        <v>26</v>
      </c>
      <c r="C295" s="127" t="s">
        <v>35</v>
      </c>
      <c r="D295" s="127" t="s">
        <v>207</v>
      </c>
      <c r="E295" s="127" t="s">
        <v>1660</v>
      </c>
      <c r="F295" s="127" t="s">
        <v>289</v>
      </c>
      <c r="G295" s="127" t="s">
        <v>1638</v>
      </c>
      <c r="H295" s="127" t="s">
        <v>1661</v>
      </c>
      <c r="I295" s="127" t="s">
        <v>266</v>
      </c>
      <c r="J295" s="127" t="s">
        <v>1120</v>
      </c>
      <c r="K295" s="129">
        <v>46197.610972222225</v>
      </c>
      <c r="L295" s="129">
        <v>46197.61105324074</v>
      </c>
      <c r="M295" s="129">
        <v>46198.356412037036</v>
      </c>
      <c r="N295" s="129"/>
      <c r="O295" s="129">
        <v>46198.547881944447</v>
      </c>
      <c r="P295" s="129"/>
      <c r="Q295" s="127" t="s">
        <v>1123</v>
      </c>
      <c r="R295" s="127"/>
      <c r="S295" s="127"/>
      <c r="T295" s="127"/>
      <c r="U295" s="127" t="s">
        <v>371</v>
      </c>
      <c r="Z295" s="169">
        <f t="shared" ca="1" si="32"/>
        <v>16.523001851848679</v>
      </c>
      <c r="AA295" s="170">
        <f t="shared" ca="1" si="33"/>
        <v>44.061338271596483</v>
      </c>
      <c r="AB295" s="169">
        <f t="shared" ca="1" si="34"/>
        <v>0.31182870370685123</v>
      </c>
      <c r="AC295" s="170">
        <f t="shared" ca="1" si="35"/>
        <v>0.83154320988493657</v>
      </c>
      <c r="AD295" s="169">
        <f t="shared" ca="1" si="36"/>
        <v>0.12035879629547708</v>
      </c>
      <c r="AE295" s="169">
        <f t="shared" ca="1" si="37"/>
        <v>0.31182870370685123</v>
      </c>
      <c r="AF295" s="170">
        <f t="shared" ca="1" si="38"/>
        <v>0.83154320988493657</v>
      </c>
      <c r="AG295" s="170">
        <f t="shared" ca="1" si="39"/>
        <v>0.83154320988493657</v>
      </c>
      <c r="AH295" s="28" t="e" cm="1">
        <f t="array" aca="1" ref="AH295" ca="1">IF((AD295) &lt; (INDEX(ResponseSLA[#All],(MATCH((G295),ResponseSLA[Priority],0))+1,3)),"YES","No")</f>
        <v>#N/A</v>
      </c>
      <c r="AI295" s="28" t="str">
        <f ca="1">_xlfn.IFNA(IF(AE295 &lt; (INDEX(SLATable[Minimum SLA],MATCH(G295,SLATable[Priority],0))),"YES","NO"),"")</f>
        <v/>
      </c>
      <c r="AJ295" s="28" t="str">
        <f ca="1">_xlfn.IFNA(IF(AE295 &lt; (INDEX(SLATable[Maximum SLA],MATCH(G295,SLATable[Priority],0))),"YES","NO"),"")</f>
        <v/>
      </c>
    </row>
    <row r="296" spans="2:36" ht="15" customHeight="1">
      <c r="B296" s="127" t="s">
        <v>26</v>
      </c>
      <c r="C296" s="127" t="s">
        <v>35</v>
      </c>
      <c r="D296" s="127" t="s">
        <v>207</v>
      </c>
      <c r="E296" s="127" t="s">
        <v>1662</v>
      </c>
      <c r="F296" s="127" t="s">
        <v>289</v>
      </c>
      <c r="G296" s="127" t="s">
        <v>1638</v>
      </c>
      <c r="H296" s="127" t="s">
        <v>1663</v>
      </c>
      <c r="I296" s="127" t="s">
        <v>271</v>
      </c>
      <c r="J296" s="127" t="s">
        <v>1120</v>
      </c>
      <c r="K296" s="129">
        <v>46197.612256944441</v>
      </c>
      <c r="L296" s="129">
        <v>46197.612326388888</v>
      </c>
      <c r="M296" s="129">
        <v>46198.35670138889</v>
      </c>
      <c r="N296" s="129">
        <v>46199.500960648147</v>
      </c>
      <c r="O296" s="129">
        <v>46198.548993055556</v>
      </c>
      <c r="P296" s="129">
        <v>46199.500960648147</v>
      </c>
      <c r="Q296" s="127" t="s">
        <v>1123</v>
      </c>
      <c r="R296" s="127" t="s">
        <v>267</v>
      </c>
      <c r="S296" s="127" t="s">
        <v>141</v>
      </c>
      <c r="T296" s="127"/>
      <c r="U296" s="127" t="s">
        <v>371</v>
      </c>
      <c r="Z296" s="169">
        <f t="shared" ca="1" si="32"/>
        <v>0.31173611111444188</v>
      </c>
      <c r="AA296" s="170">
        <f t="shared" ca="1" si="33"/>
        <v>0.83129629630517832</v>
      </c>
      <c r="AB296" s="169">
        <f t="shared" ca="1" si="34"/>
        <v>0.31166666666831588</v>
      </c>
      <c r="AC296" s="170">
        <f t="shared" ca="1" si="35"/>
        <v>0.83111111111550906</v>
      </c>
      <c r="AD296" s="169">
        <f t="shared" ca="1" si="36"/>
        <v>0.11937500000203727</v>
      </c>
      <c r="AE296" s="169">
        <f t="shared" ca="1" si="37"/>
        <v>0.31166666666831588</v>
      </c>
      <c r="AF296" s="170">
        <f t="shared" ca="1" si="38"/>
        <v>0.83111111111550906</v>
      </c>
      <c r="AG296" s="170">
        <f t="shared" ca="1" si="39"/>
        <v>0.83111111111550906</v>
      </c>
      <c r="AH296" s="28" t="e" cm="1">
        <f t="array" aca="1" ref="AH296" ca="1">IF((AD296) &lt; (INDEX(ResponseSLA[#All],(MATCH((G296),ResponseSLA[Priority],0))+1,3)),"YES","No")</f>
        <v>#N/A</v>
      </c>
      <c r="AI296" s="28" t="str">
        <f ca="1">_xlfn.IFNA(IF(AE296 &lt; (INDEX(SLATable[Minimum SLA],MATCH(G296,SLATable[Priority],0))),"YES","NO"),"")</f>
        <v/>
      </c>
      <c r="AJ296" s="28" t="str">
        <f ca="1">_xlfn.IFNA(IF(AE296 &lt; (INDEX(SLATable[Maximum SLA],MATCH(G296,SLATable[Priority],0))),"YES","NO"),"")</f>
        <v/>
      </c>
    </row>
    <row r="297" spans="2:36" ht="15" customHeight="1">
      <c r="B297" s="127" t="s">
        <v>26</v>
      </c>
      <c r="C297" s="127" t="s">
        <v>35</v>
      </c>
      <c r="D297" s="127" t="s">
        <v>207</v>
      </c>
      <c r="E297" s="127" t="s">
        <v>1664</v>
      </c>
      <c r="F297" s="127" t="s">
        <v>289</v>
      </c>
      <c r="G297" s="127" t="s">
        <v>1638</v>
      </c>
      <c r="H297" s="127" t="s">
        <v>1665</v>
      </c>
      <c r="I297" s="127" t="s">
        <v>260</v>
      </c>
      <c r="J297" s="127" t="s">
        <v>1120</v>
      </c>
      <c r="K297" s="129">
        <v>46197.614837962959</v>
      </c>
      <c r="L297" s="129">
        <v>46197.614953703705</v>
      </c>
      <c r="M297" s="129">
        <v>46198.357465277775</v>
      </c>
      <c r="N297" s="129"/>
      <c r="O297" s="129"/>
      <c r="P297" s="129"/>
      <c r="Q297" s="127" t="s">
        <v>1123</v>
      </c>
      <c r="R297" s="127"/>
      <c r="S297" s="127"/>
      <c r="T297" s="127"/>
      <c r="U297" s="127" t="s">
        <v>371</v>
      </c>
      <c r="Z297" s="169">
        <f t="shared" ca="1" si="32"/>
        <v>16.51913611111377</v>
      </c>
      <c r="AA297" s="170">
        <f t="shared" ca="1" si="33"/>
        <v>44.051029629636723</v>
      </c>
      <c r="AB297" s="169">
        <f t="shared" ca="1" si="34"/>
        <v>16.519020486106459</v>
      </c>
      <c r="AC297" s="170">
        <f t="shared" ca="1" si="35"/>
        <v>44.050721296283896</v>
      </c>
      <c r="AD297" s="169">
        <f t="shared" ca="1" si="36"/>
        <v>0.11751157406979473</v>
      </c>
      <c r="AE297" s="169">
        <f t="shared" ca="1" si="37"/>
        <v>16.519020486106459</v>
      </c>
      <c r="AF297" s="170">
        <f t="shared" ca="1" si="38"/>
        <v>44.050721296283896</v>
      </c>
      <c r="AG297" s="170">
        <f t="shared" ca="1" si="39"/>
        <v>44.050721296283896</v>
      </c>
      <c r="AH297" s="28" t="e" cm="1">
        <f t="array" aca="1" ref="AH297" ca="1">IF((AD297) &lt; (INDEX(ResponseSLA[#All],(MATCH((G297),ResponseSLA[Priority],0))+1,3)),"YES","No")</f>
        <v>#N/A</v>
      </c>
      <c r="AI297" s="28" t="str">
        <f ca="1">_xlfn.IFNA(IF(AE297 &lt; (INDEX(SLATable[Minimum SLA],MATCH(G297,SLATable[Priority],0))),"YES","NO"),"")</f>
        <v/>
      </c>
      <c r="AJ297" s="28" t="str">
        <f ca="1">_xlfn.IFNA(IF(AE297 &lt; (INDEX(SLATable[Maximum SLA],MATCH(G297,SLATable[Priority],0))),"YES","NO"),"")</f>
        <v/>
      </c>
    </row>
    <row r="298" spans="2:36" ht="15" customHeight="1">
      <c r="B298" s="127" t="s">
        <v>26</v>
      </c>
      <c r="C298" s="127" t="s">
        <v>35</v>
      </c>
      <c r="D298" s="127" t="s">
        <v>207</v>
      </c>
      <c r="E298" s="127" t="s">
        <v>1666</v>
      </c>
      <c r="F298" s="127" t="s">
        <v>289</v>
      </c>
      <c r="G298" s="127" t="s">
        <v>1638</v>
      </c>
      <c r="H298" s="127" t="s">
        <v>1667</v>
      </c>
      <c r="I298" s="127" t="s">
        <v>266</v>
      </c>
      <c r="J298" s="127" t="s">
        <v>1120</v>
      </c>
      <c r="K298" s="129">
        <v>46197.616539351853</v>
      </c>
      <c r="L298" s="129">
        <v>46197.616597222222</v>
      </c>
      <c r="M298" s="129">
        <v>46198.357870370368</v>
      </c>
      <c r="N298" s="129"/>
      <c r="O298" s="129">
        <v>46198.554571759261</v>
      </c>
      <c r="P298" s="129"/>
      <c r="Q298" s="127" t="s">
        <v>1123</v>
      </c>
      <c r="R298" s="127"/>
      <c r="S298" s="127"/>
      <c r="T298" s="127"/>
      <c r="U298" s="127" t="s">
        <v>371</v>
      </c>
      <c r="Z298" s="169">
        <f t="shared" ca="1" si="32"/>
        <v>16.517434722220063</v>
      </c>
      <c r="AA298" s="170">
        <f t="shared" ca="1" si="33"/>
        <v>44.046492592586837</v>
      </c>
      <c r="AB298" s="169">
        <f t="shared" ca="1" si="34"/>
        <v>0.31297453703882638</v>
      </c>
      <c r="AC298" s="170">
        <f t="shared" ca="1" si="35"/>
        <v>0.83459876543687039</v>
      </c>
      <c r="AD298" s="169">
        <f t="shared" ca="1" si="36"/>
        <v>0.11627314814541023</v>
      </c>
      <c r="AE298" s="169">
        <f t="shared" ca="1" si="37"/>
        <v>0.31297453703882638</v>
      </c>
      <c r="AF298" s="170">
        <f t="shared" ca="1" si="38"/>
        <v>0.83459876543687039</v>
      </c>
      <c r="AG298" s="170">
        <f t="shared" ca="1" si="39"/>
        <v>0.83459876543687039</v>
      </c>
      <c r="AH298" s="28" t="e" cm="1">
        <f t="array" aca="1" ref="AH298" ca="1">IF((AD298) &lt; (INDEX(ResponseSLA[#All],(MATCH((G298),ResponseSLA[Priority],0))+1,3)),"YES","No")</f>
        <v>#N/A</v>
      </c>
      <c r="AI298" s="28" t="str">
        <f ca="1">_xlfn.IFNA(IF(AE298 &lt; (INDEX(SLATable[Minimum SLA],MATCH(G298,SLATable[Priority],0))),"YES","NO"),"")</f>
        <v/>
      </c>
      <c r="AJ298" s="28" t="str">
        <f ca="1">_xlfn.IFNA(IF(AE298 &lt; (INDEX(SLATable[Maximum SLA],MATCH(G298,SLATable[Priority],0))),"YES","NO"),"")</f>
        <v/>
      </c>
    </row>
    <row r="299" spans="2:36" ht="15" customHeight="1">
      <c r="B299" s="127" t="s">
        <v>26</v>
      </c>
      <c r="C299" s="127" t="s">
        <v>35</v>
      </c>
      <c r="D299" s="127" t="s">
        <v>207</v>
      </c>
      <c r="E299" s="127" t="s">
        <v>1668</v>
      </c>
      <c r="F299" s="127" t="s">
        <v>289</v>
      </c>
      <c r="G299" s="127" t="s">
        <v>1638</v>
      </c>
      <c r="H299" s="127" t="s">
        <v>1669</v>
      </c>
      <c r="I299" s="127" t="s">
        <v>260</v>
      </c>
      <c r="J299" s="127" t="s">
        <v>1120</v>
      </c>
      <c r="K299" s="129">
        <v>46197.617372685185</v>
      </c>
      <c r="L299" s="129">
        <v>46197.617488425924</v>
      </c>
      <c r="M299" s="129">
        <v>46198.355706018519</v>
      </c>
      <c r="N299" s="129"/>
      <c r="O299" s="129"/>
      <c r="P299" s="129"/>
      <c r="Q299" s="127" t="s">
        <v>1123</v>
      </c>
      <c r="R299" s="127"/>
      <c r="S299" s="127"/>
      <c r="T299" s="127"/>
      <c r="U299" s="127" t="s">
        <v>371</v>
      </c>
      <c r="Z299" s="169">
        <f t="shared" ca="1" si="32"/>
        <v>16.516601388888379</v>
      </c>
      <c r="AA299" s="170">
        <f t="shared" ca="1" si="33"/>
        <v>44.044270370369013</v>
      </c>
      <c r="AB299" s="169">
        <f t="shared" ca="1" si="34"/>
        <v>16.516485763888344</v>
      </c>
      <c r="AC299" s="170">
        <f t="shared" ca="1" si="35"/>
        <v>44.043962037035584</v>
      </c>
      <c r="AD299" s="169">
        <f t="shared" ca="1" si="36"/>
        <v>0.11321759259590181</v>
      </c>
      <c r="AE299" s="169">
        <f t="shared" ca="1" si="37"/>
        <v>16.516485763888344</v>
      </c>
      <c r="AF299" s="170">
        <f t="shared" ca="1" si="38"/>
        <v>44.043962037035584</v>
      </c>
      <c r="AG299" s="170">
        <f t="shared" ca="1" si="39"/>
        <v>44.043962037035584</v>
      </c>
      <c r="AH299" s="28" t="e" cm="1">
        <f t="array" aca="1" ref="AH299" ca="1">IF((AD299) &lt; (INDEX(ResponseSLA[#All],(MATCH((G299),ResponseSLA[Priority],0))+1,3)),"YES","No")</f>
        <v>#N/A</v>
      </c>
      <c r="AI299" s="28" t="str">
        <f ca="1">_xlfn.IFNA(IF(AE299 &lt; (INDEX(SLATable[Minimum SLA],MATCH(G299,SLATable[Priority],0))),"YES","NO"),"")</f>
        <v/>
      </c>
      <c r="AJ299" s="28" t="str">
        <f ca="1">_xlfn.IFNA(IF(AE299 &lt; (INDEX(SLATable[Maximum SLA],MATCH(G299,SLATable[Priority],0))),"YES","NO"),"")</f>
        <v/>
      </c>
    </row>
    <row r="300" spans="2:36" ht="15" customHeight="1">
      <c r="B300" s="127" t="s">
        <v>26</v>
      </c>
      <c r="C300" s="127" t="s">
        <v>35</v>
      </c>
      <c r="D300" s="127" t="s">
        <v>207</v>
      </c>
      <c r="E300" s="127" t="s">
        <v>1670</v>
      </c>
      <c r="F300" s="127" t="s">
        <v>289</v>
      </c>
      <c r="G300" s="127" t="s">
        <v>1638</v>
      </c>
      <c r="H300" s="127" t="s">
        <v>1671</v>
      </c>
      <c r="I300" s="127" t="s">
        <v>271</v>
      </c>
      <c r="J300" s="127" t="s">
        <v>1120</v>
      </c>
      <c r="K300" s="129">
        <v>46197.619189814817</v>
      </c>
      <c r="L300" s="129">
        <v>46197.61922453704</v>
      </c>
      <c r="M300" s="129">
        <v>46198.358159722222</v>
      </c>
      <c r="N300" s="129">
        <v>46198.550370370373</v>
      </c>
      <c r="O300" s="129"/>
      <c r="P300" s="129"/>
      <c r="Q300" s="127" t="s">
        <v>1123</v>
      </c>
      <c r="R300" s="127" t="s">
        <v>267</v>
      </c>
      <c r="S300" s="127" t="s">
        <v>141</v>
      </c>
      <c r="T300" s="127"/>
      <c r="U300" s="127" t="s">
        <v>371</v>
      </c>
      <c r="Z300" s="169">
        <f t="shared" ca="1" si="32"/>
        <v>0.30618055555532919</v>
      </c>
      <c r="AA300" s="170">
        <f t="shared" ca="1" si="33"/>
        <v>0.81648148148087785</v>
      </c>
      <c r="AB300" s="169">
        <f t="shared" ca="1" si="34"/>
        <v>0.30614583333226619</v>
      </c>
      <c r="AC300" s="170">
        <f t="shared" ca="1" si="35"/>
        <v>0.81638888888604322</v>
      </c>
      <c r="AD300" s="169">
        <f t="shared" ca="1" si="36"/>
        <v>0.11393518518161727</v>
      </c>
      <c r="AE300" s="169">
        <f t="shared" ca="1" si="37"/>
        <v>0.30614583333226619</v>
      </c>
      <c r="AF300" s="170">
        <f t="shared" ca="1" si="38"/>
        <v>0.81638888888604322</v>
      </c>
      <c r="AG300" s="170">
        <f t="shared" ca="1" si="39"/>
        <v>0.81638888888604322</v>
      </c>
      <c r="AH300" s="28" t="e" cm="1">
        <f t="array" aca="1" ref="AH300" ca="1">IF((AD300) &lt; (INDEX(ResponseSLA[#All],(MATCH((G300),ResponseSLA[Priority],0))+1,3)),"YES","No")</f>
        <v>#N/A</v>
      </c>
      <c r="AI300" s="28" t="str">
        <f ca="1">_xlfn.IFNA(IF(AE300 &lt; (INDEX(SLATable[Minimum SLA],MATCH(G300,SLATable[Priority],0))),"YES","NO"),"")</f>
        <v/>
      </c>
      <c r="AJ300" s="28" t="str">
        <f ca="1">_xlfn.IFNA(IF(AE300 &lt; (INDEX(SLATable[Maximum SLA],MATCH(G300,SLATable[Priority],0))),"YES","NO"),"")</f>
        <v/>
      </c>
    </row>
    <row r="301" spans="2:36" ht="15" customHeight="1">
      <c r="B301" s="127" t="s">
        <v>26</v>
      </c>
      <c r="C301" s="127" t="s">
        <v>35</v>
      </c>
      <c r="D301" s="127" t="s">
        <v>207</v>
      </c>
      <c r="E301" s="127" t="s">
        <v>1672</v>
      </c>
      <c r="F301" s="127" t="s">
        <v>295</v>
      </c>
      <c r="G301" s="127" t="s">
        <v>1638</v>
      </c>
      <c r="H301" s="127" t="s">
        <v>1168</v>
      </c>
      <c r="I301" s="127" t="s">
        <v>271</v>
      </c>
      <c r="J301" s="127" t="s">
        <v>1120</v>
      </c>
      <c r="K301" s="129">
        <v>46198.042303240742</v>
      </c>
      <c r="L301" s="129">
        <v>46198.487164351849</v>
      </c>
      <c r="M301" s="129">
        <v>46199.388275462959</v>
      </c>
      <c r="N301" s="129">
        <v>46202.369247685187</v>
      </c>
      <c r="O301" s="129"/>
      <c r="P301" s="129"/>
      <c r="Q301" s="127" t="s">
        <v>695</v>
      </c>
      <c r="R301" s="127" t="s">
        <v>267</v>
      </c>
      <c r="S301" s="127" t="s">
        <v>193</v>
      </c>
      <c r="T301" s="127"/>
      <c r="U301" s="127" t="s">
        <v>371</v>
      </c>
      <c r="Z301" s="169">
        <f t="shared" ca="1" si="32"/>
        <v>0.78591435185323166</v>
      </c>
      <c r="AA301" s="170">
        <f t="shared" ca="1" si="33"/>
        <v>2.0957716049419508</v>
      </c>
      <c r="AB301" s="169">
        <f t="shared" ca="1" si="34"/>
        <v>0.63208333333750488</v>
      </c>
      <c r="AC301" s="170">
        <f t="shared" ca="1" si="35"/>
        <v>1.6855555555666797</v>
      </c>
      <c r="AD301" s="169">
        <f t="shared" ca="1" si="36"/>
        <v>0.27611111111036735</v>
      </c>
      <c r="AE301" s="169">
        <f t="shared" ca="1" si="37"/>
        <v>0.63208333333750488</v>
      </c>
      <c r="AF301" s="170">
        <f t="shared" ca="1" si="38"/>
        <v>1.6855555555666797</v>
      </c>
      <c r="AG301" s="170">
        <f t="shared" ca="1" si="39"/>
        <v>1.6855555555666797</v>
      </c>
      <c r="AH301" s="28" t="e" cm="1">
        <f t="array" aca="1" ref="AH301" ca="1">IF((AD301) &lt; (INDEX(ResponseSLA[#All],(MATCH((G301),ResponseSLA[Priority],0))+1,3)),"YES","No")</f>
        <v>#N/A</v>
      </c>
      <c r="AI301" s="28" t="str">
        <f ca="1">_xlfn.IFNA(IF(AE301 &lt; (INDEX(SLATable[Minimum SLA],MATCH(G301,SLATable[Priority],0))),"YES","NO"),"")</f>
        <v/>
      </c>
      <c r="AJ301" s="28" t="str">
        <f ca="1">_xlfn.IFNA(IF(AE301 &lt; (INDEX(SLATable[Maximum SLA],MATCH(G301,SLATable[Priority],0))),"YES","NO"),"")</f>
        <v/>
      </c>
    </row>
    <row r="302" spans="2:36" ht="15" customHeight="1">
      <c r="B302" s="127" t="s">
        <v>26</v>
      </c>
      <c r="C302" s="127" t="s">
        <v>35</v>
      </c>
      <c r="D302" s="127" t="s">
        <v>207</v>
      </c>
      <c r="E302" s="127" t="s">
        <v>1673</v>
      </c>
      <c r="F302" s="127" t="s">
        <v>295</v>
      </c>
      <c r="G302" s="127" t="s">
        <v>1638</v>
      </c>
      <c r="H302" s="127" t="s">
        <v>1166</v>
      </c>
      <c r="I302" s="127" t="s">
        <v>271</v>
      </c>
      <c r="J302" s="127" t="s">
        <v>1120</v>
      </c>
      <c r="K302" s="129">
        <v>46198.06318287037</v>
      </c>
      <c r="L302" s="129">
        <v>46198.487523148149</v>
      </c>
      <c r="M302" s="129">
        <v>46199.38857638889</v>
      </c>
      <c r="N302" s="129">
        <v>46202.37059027778</v>
      </c>
      <c r="O302" s="129"/>
      <c r="P302" s="129"/>
      <c r="Q302" s="127" t="s">
        <v>695</v>
      </c>
      <c r="R302" s="127" t="s">
        <v>267</v>
      </c>
      <c r="S302" s="127" t="s">
        <v>193</v>
      </c>
      <c r="T302" s="127"/>
      <c r="U302" s="127" t="s">
        <v>371</v>
      </c>
      <c r="Z302" s="169">
        <f t="shared" ca="1" si="32"/>
        <v>0.78725694444680516</v>
      </c>
      <c r="AA302" s="170">
        <f t="shared" ca="1" si="33"/>
        <v>2.0993518518581471</v>
      </c>
      <c r="AB302" s="169">
        <f t="shared" ca="1" si="34"/>
        <v>0.63306712963094469</v>
      </c>
      <c r="AC302" s="170">
        <f t="shared" ca="1" si="35"/>
        <v>1.6881790123491858</v>
      </c>
      <c r="AD302" s="169">
        <f t="shared" ca="1" si="36"/>
        <v>0.276053240741021</v>
      </c>
      <c r="AE302" s="169">
        <f t="shared" ca="1" si="37"/>
        <v>0.63306712963094469</v>
      </c>
      <c r="AF302" s="170">
        <f t="shared" ca="1" si="38"/>
        <v>1.6881790123491858</v>
      </c>
      <c r="AG302" s="170">
        <f t="shared" ca="1" si="39"/>
        <v>1.6881790123491858</v>
      </c>
      <c r="AH302" s="28" t="e" cm="1">
        <f t="array" aca="1" ref="AH302" ca="1">IF((AD302) &lt; (INDEX(ResponseSLA[#All],(MATCH((G302),ResponseSLA[Priority],0))+1,3)),"YES","No")</f>
        <v>#N/A</v>
      </c>
      <c r="AI302" s="28" t="str">
        <f ca="1">_xlfn.IFNA(IF(AE302 &lt; (INDEX(SLATable[Minimum SLA],MATCH(G302,SLATable[Priority],0))),"YES","NO"),"")</f>
        <v/>
      </c>
      <c r="AJ302" s="28" t="str">
        <f ca="1">_xlfn.IFNA(IF(AE302 &lt; (INDEX(SLATable[Maximum SLA],MATCH(G302,SLATable[Priority],0))),"YES","NO"),"")</f>
        <v/>
      </c>
    </row>
    <row r="303" spans="2:36" ht="15" customHeight="1">
      <c r="B303" s="127" t="s">
        <v>26</v>
      </c>
      <c r="C303" s="127" t="s">
        <v>35</v>
      </c>
      <c r="D303" s="127" t="s">
        <v>207</v>
      </c>
      <c r="E303" s="127" t="s">
        <v>1674</v>
      </c>
      <c r="F303" s="127" t="s">
        <v>289</v>
      </c>
      <c r="G303" s="127" t="s">
        <v>1630</v>
      </c>
      <c r="H303" s="127" t="s">
        <v>1675</v>
      </c>
      <c r="I303" s="127" t="s">
        <v>275</v>
      </c>
      <c r="J303" s="127" t="s">
        <v>1120</v>
      </c>
      <c r="K303" s="129">
        <v>46198.396655092591</v>
      </c>
      <c r="L303" s="129">
        <v>46198.396782407406</v>
      </c>
      <c r="M303" s="129">
        <v>46199.377430555556</v>
      </c>
      <c r="N303" s="129">
        <v>46203.547905092593</v>
      </c>
      <c r="O303" s="129"/>
      <c r="P303" s="129"/>
      <c r="Q303" s="127" t="s">
        <v>1123</v>
      </c>
      <c r="R303" s="127" t="s">
        <v>267</v>
      </c>
      <c r="S303" s="127" t="s">
        <v>169</v>
      </c>
      <c r="T303" s="127"/>
      <c r="U303" s="127" t="s">
        <v>371</v>
      </c>
      <c r="Z303" s="169">
        <f t="shared" ca="1" si="32"/>
        <v>1.2762500000026196</v>
      </c>
      <c r="AA303" s="170">
        <f t="shared" ca="1" si="33"/>
        <v>3.4033333333403188</v>
      </c>
      <c r="AB303" s="169">
        <f t="shared" ca="1" si="34"/>
        <v>1.2761226851871472</v>
      </c>
      <c r="AC303" s="170">
        <f t="shared" ca="1" si="35"/>
        <v>3.4029938271657261</v>
      </c>
      <c r="AD303" s="169">
        <f t="shared" ca="1" si="36"/>
        <v>0.35564814815006685</v>
      </c>
      <c r="AE303" s="169">
        <f t="shared" ca="1" si="37"/>
        <v>1.2761226851871472</v>
      </c>
      <c r="AF303" s="170">
        <f t="shared" ca="1" si="38"/>
        <v>3.4029938271657261</v>
      </c>
      <c r="AG303" s="170">
        <f t="shared" ca="1" si="39"/>
        <v>3.4029938271657261</v>
      </c>
      <c r="AH303" s="28" t="e" cm="1">
        <f t="array" aca="1" ref="AH303" ca="1">IF((AD303) &lt; (INDEX(ResponseSLA[#All],(MATCH((G303),ResponseSLA[Priority],0))+1,3)),"YES","No")</f>
        <v>#N/A</v>
      </c>
      <c r="AI303" s="28" t="str">
        <f ca="1">_xlfn.IFNA(IF(AE303 &lt; (INDEX(SLATable[Minimum SLA],MATCH(G303,SLATable[Priority],0))),"YES","NO"),"")</f>
        <v/>
      </c>
      <c r="AJ303" s="28" t="str">
        <f ca="1">_xlfn.IFNA(IF(AE303 &lt; (INDEX(SLATable[Maximum SLA],MATCH(G303,SLATable[Priority],0))),"YES","NO"),"")</f>
        <v/>
      </c>
    </row>
    <row r="304" spans="2:36" ht="15" customHeight="1">
      <c r="B304" s="127" t="s">
        <v>26</v>
      </c>
      <c r="C304" s="127" t="s">
        <v>35</v>
      </c>
      <c r="D304" s="127" t="s">
        <v>207</v>
      </c>
      <c r="E304" s="127" t="s">
        <v>1676</v>
      </c>
      <c r="F304" s="127" t="s">
        <v>289</v>
      </c>
      <c r="G304" s="127" t="s">
        <v>1638</v>
      </c>
      <c r="H304" s="127" t="s">
        <v>1677</v>
      </c>
      <c r="I304" s="127" t="s">
        <v>260</v>
      </c>
      <c r="J304" s="127" t="s">
        <v>1120</v>
      </c>
      <c r="K304" s="129">
        <v>46199.46665509259</v>
      </c>
      <c r="L304" s="129">
        <v>46199.466689814813</v>
      </c>
      <c r="M304" s="129">
        <v>46202.369027777779</v>
      </c>
      <c r="N304" s="129"/>
      <c r="O304" s="129">
        <v>46203.553865740738</v>
      </c>
      <c r="P304" s="129"/>
      <c r="Q304" s="127" t="s">
        <v>1123</v>
      </c>
      <c r="R304" s="127"/>
      <c r="S304" s="127"/>
      <c r="T304" s="127"/>
      <c r="U304" s="127" t="s">
        <v>371</v>
      </c>
      <c r="Z304" s="169">
        <f t="shared" ca="1" si="32"/>
        <v>15.917318981482822</v>
      </c>
      <c r="AA304" s="170">
        <f t="shared" ca="1" si="33"/>
        <v>42.446183950620856</v>
      </c>
      <c r="AB304" s="169">
        <f t="shared" ca="1" si="34"/>
        <v>0.8371759259243845</v>
      </c>
      <c r="AC304" s="170">
        <f t="shared" ca="1" si="35"/>
        <v>2.2324691357983588</v>
      </c>
      <c r="AD304" s="169">
        <f t="shared" ca="1" si="36"/>
        <v>0.27733796296524815</v>
      </c>
      <c r="AE304" s="169">
        <f t="shared" ca="1" si="37"/>
        <v>0.8371759259243845</v>
      </c>
      <c r="AF304" s="170">
        <f t="shared" ca="1" si="38"/>
        <v>2.2324691357983588</v>
      </c>
      <c r="AG304" s="170">
        <f t="shared" ca="1" si="39"/>
        <v>2.2324691357983588</v>
      </c>
      <c r="AH304" s="28" t="e" cm="1">
        <f t="array" aca="1" ref="AH304" ca="1">IF((AD304) &lt; (INDEX(ResponseSLA[#All],(MATCH((G304),ResponseSLA[Priority],0))+1,3)),"YES","No")</f>
        <v>#N/A</v>
      </c>
      <c r="AI304" s="28" t="str">
        <f ca="1">_xlfn.IFNA(IF(AE304 &lt; (INDEX(SLATable[Minimum SLA],MATCH(G304,SLATable[Priority],0))),"YES","NO"),"")</f>
        <v/>
      </c>
      <c r="AJ304" s="28" t="str">
        <f ca="1">_xlfn.IFNA(IF(AE304 &lt; (INDEX(SLATable[Maximum SLA],MATCH(G304,SLATable[Priority],0))),"YES","NO"),"")</f>
        <v/>
      </c>
    </row>
    <row r="305" spans="2:36" ht="15" customHeight="1">
      <c r="B305" s="127" t="s">
        <v>26</v>
      </c>
      <c r="C305" s="127" t="s">
        <v>35</v>
      </c>
      <c r="D305" s="127" t="s">
        <v>207</v>
      </c>
      <c r="E305" s="127" t="s">
        <v>1678</v>
      </c>
      <c r="F305" s="127" t="s">
        <v>289</v>
      </c>
      <c r="G305" s="127" t="s">
        <v>1638</v>
      </c>
      <c r="H305" s="127" t="s">
        <v>1679</v>
      </c>
      <c r="I305" s="127" t="s">
        <v>260</v>
      </c>
      <c r="J305" s="127" t="s">
        <v>1120</v>
      </c>
      <c r="K305" s="129">
        <v>46202.557708333334</v>
      </c>
      <c r="L305" s="129">
        <v>46202.557789351849</v>
      </c>
      <c r="M305" s="129">
        <v>46202.693032407406</v>
      </c>
      <c r="N305" s="129"/>
      <c r="O305" s="129">
        <v>46203.487071759257</v>
      </c>
      <c r="P305" s="129"/>
      <c r="Q305" s="127" t="s">
        <v>1123</v>
      </c>
      <c r="R305" s="127"/>
      <c r="S305" s="127"/>
      <c r="T305" s="127"/>
      <c r="U305" s="127" t="s">
        <v>371</v>
      </c>
      <c r="Z305" s="169">
        <f t="shared" ca="1" si="32"/>
        <v>15.451265740739473</v>
      </c>
      <c r="AA305" s="170">
        <f t="shared" ca="1" si="33"/>
        <v>41.203375308638591</v>
      </c>
      <c r="AB305" s="169">
        <f t="shared" ca="1" si="34"/>
        <v>0.30428240740729962</v>
      </c>
      <c r="AC305" s="170">
        <f t="shared" ca="1" si="35"/>
        <v>0.81141975308613234</v>
      </c>
      <c r="AD305" s="169">
        <f t="shared" ca="1" si="36"/>
        <v>0.13524305555620231</v>
      </c>
      <c r="AE305" s="169">
        <f t="shared" ca="1" si="37"/>
        <v>0.30428240740729962</v>
      </c>
      <c r="AF305" s="170">
        <f t="shared" ca="1" si="38"/>
        <v>0.81141975308613234</v>
      </c>
      <c r="AG305" s="170">
        <f t="shared" ca="1" si="39"/>
        <v>0.81141975308613234</v>
      </c>
      <c r="AH305" s="28" t="e" cm="1">
        <f t="array" aca="1" ref="AH305" ca="1">IF((AD305) &lt; (INDEX(ResponseSLA[#All],(MATCH((G305),ResponseSLA[Priority],0))+1,3)),"YES","No")</f>
        <v>#N/A</v>
      </c>
      <c r="AI305" s="28" t="str">
        <f ca="1">_xlfn.IFNA(IF(AE305 &lt; (INDEX(SLATable[Minimum SLA],MATCH(G305,SLATable[Priority],0))),"YES","NO"),"")</f>
        <v/>
      </c>
      <c r="AJ305" s="28" t="str">
        <f ca="1">_xlfn.IFNA(IF(AE305 &lt; (INDEX(SLATable[Maximum SLA],MATCH(G305,SLATable[Priority],0))),"YES","NO"),"")</f>
        <v/>
      </c>
    </row>
    <row r="306" spans="2:36" ht="15" customHeight="1">
      <c r="B306" s="127" t="s">
        <v>26</v>
      </c>
      <c r="C306" s="127" t="s">
        <v>35</v>
      </c>
      <c r="D306" s="127" t="s">
        <v>208</v>
      </c>
      <c r="E306" s="127" t="s">
        <v>1680</v>
      </c>
      <c r="F306" s="127" t="s">
        <v>295</v>
      </c>
      <c r="G306" s="127" t="s">
        <v>208</v>
      </c>
      <c r="H306" s="127" t="s">
        <v>1681</v>
      </c>
      <c r="I306" s="127" t="s">
        <v>271</v>
      </c>
      <c r="J306" s="127" t="s">
        <v>1120</v>
      </c>
      <c r="K306" s="129">
        <v>46177.334907407407</v>
      </c>
      <c r="L306" s="129">
        <v>46177.335011574076</v>
      </c>
      <c r="M306" s="129">
        <v>46178.384548611109</v>
      </c>
      <c r="N306" s="129">
        <v>46185.342175925929</v>
      </c>
      <c r="O306" s="129"/>
      <c r="P306" s="129"/>
      <c r="Q306" s="127" t="s">
        <v>695</v>
      </c>
      <c r="R306" s="127" t="s">
        <v>267</v>
      </c>
      <c r="S306" s="127" t="s">
        <v>155</v>
      </c>
      <c r="T306" s="127"/>
      <c r="U306" s="127" t="s">
        <v>371</v>
      </c>
      <c r="Z306" s="169">
        <f t="shared" ca="1" si="32"/>
        <v>2.257268518522324</v>
      </c>
      <c r="AA306" s="170">
        <f t="shared" ca="1" si="33"/>
        <v>6.019382716059531</v>
      </c>
      <c r="AB306" s="169">
        <f t="shared" ca="1" si="34"/>
        <v>2.257164351853135</v>
      </c>
      <c r="AC306" s="170">
        <f t="shared" ca="1" si="35"/>
        <v>6.019104938275027</v>
      </c>
      <c r="AD306" s="169">
        <f t="shared" ca="1" si="36"/>
        <v>0.42453703703358769</v>
      </c>
      <c r="AE306" s="169">
        <f t="shared" ca="1" si="37"/>
        <v>2.257164351853135</v>
      </c>
      <c r="AF306" s="170">
        <f t="shared" ca="1" si="38"/>
        <v>6.019104938275027</v>
      </c>
      <c r="AG306" s="170">
        <f t="shared" ca="1" si="39"/>
        <v>6.019104938275027</v>
      </c>
      <c r="AH306" s="28" t="str" cm="1">
        <f t="array" aca="1" ref="AH306" ca="1">IF((AD306) &lt; (INDEX(ResponseSLA[#All],(MATCH((G306),ResponseSLA[Priority],0))+1,3)),"YES","No")</f>
        <v>No</v>
      </c>
      <c r="AI306" s="28" t="str">
        <f ca="1">_xlfn.IFNA(IF(AE306 &lt; (INDEX(SLATable[Minimum SLA],MATCH(G306,SLATable[Priority],0))),"YES","NO"),"")</f>
        <v>NO</v>
      </c>
      <c r="AJ306" s="28" t="str">
        <f ca="1">_xlfn.IFNA(IF(AE306 &lt; (INDEX(SLATable[Maximum SLA],MATCH(G306,SLATable[Priority],0))),"YES","NO"),"")</f>
        <v>NO</v>
      </c>
    </row>
    <row r="307" spans="2:36" ht="15" customHeight="1">
      <c r="B307" s="127" t="s">
        <v>26</v>
      </c>
      <c r="C307" s="127" t="s">
        <v>35</v>
      </c>
      <c r="D307" s="127" t="s">
        <v>207</v>
      </c>
      <c r="E307" s="239" t="s">
        <v>1682</v>
      </c>
      <c r="F307" s="127" t="s">
        <v>295</v>
      </c>
      <c r="G307" s="239" t="s">
        <v>1638</v>
      </c>
      <c r="H307" s="239" t="s">
        <v>1683</v>
      </c>
      <c r="I307" s="127" t="s">
        <v>271</v>
      </c>
      <c r="J307" s="239" t="s">
        <v>1048</v>
      </c>
      <c r="K307" s="129">
        <v>46188.87909722222</v>
      </c>
      <c r="L307" s="129" t="s">
        <v>1684</v>
      </c>
      <c r="M307" s="129" t="s">
        <v>1685</v>
      </c>
      <c r="N307" s="129">
        <v>46198.750300925924</v>
      </c>
      <c r="O307" s="129"/>
      <c r="P307" s="129"/>
      <c r="Q307" s="239" t="s">
        <v>1343</v>
      </c>
      <c r="R307" s="127" t="s">
        <v>267</v>
      </c>
      <c r="S307" s="127" t="s">
        <v>190</v>
      </c>
      <c r="T307" s="127"/>
      <c r="U307" s="127" t="s">
        <v>371</v>
      </c>
      <c r="Z307" s="169">
        <f t="shared" ca="1" si="32"/>
        <v>3.0000000000000004</v>
      </c>
      <c r="AA307" s="170">
        <f t="shared" ca="1" si="33"/>
        <v>8.0000000000000018</v>
      </c>
      <c r="AB307" s="169">
        <f t="shared" ca="1" si="34"/>
        <v>3.0000000000000004</v>
      </c>
      <c r="AC307" s="170">
        <f t="shared" ca="1" si="35"/>
        <v>8.0000000000000018</v>
      </c>
      <c r="AD307" s="169">
        <f t="shared" ca="1" si="36"/>
        <v>0.37500000000000011</v>
      </c>
      <c r="AE307" s="169">
        <f t="shared" ca="1" si="37"/>
        <v>3.0000000000000004</v>
      </c>
      <c r="AF307" s="170">
        <f t="shared" ca="1" si="38"/>
        <v>8.0000000000000018</v>
      </c>
      <c r="AG307" s="170">
        <f t="shared" ca="1" si="39"/>
        <v>8.0000000000000018</v>
      </c>
      <c r="AH307" s="28" t="e" cm="1">
        <f t="array" aca="1" ref="AH307" ca="1">IF((AD307) &lt; (INDEX(ResponseSLA[#All],(MATCH((G307),ResponseSLA[Priority],0))+1,3)),"YES","No")</f>
        <v>#N/A</v>
      </c>
      <c r="AI307" s="28" t="str">
        <f ca="1">_xlfn.IFNA(IF(AE307 &lt; (INDEX(SLATable[Minimum SLA],MATCH(G307,SLATable[Priority],0))),"YES","NO"),"")</f>
        <v/>
      </c>
      <c r="AJ307" s="28" t="str">
        <f ca="1">_xlfn.IFNA(IF(AE307 &lt; (INDEX(SLATable[Maximum SLA],MATCH(G307,SLATable[Priority],0))),"YES","NO"),"")</f>
        <v/>
      </c>
    </row>
    <row r="308" spans="2:36" ht="15" customHeight="1">
      <c r="B308" s="127" t="s">
        <v>26</v>
      </c>
      <c r="C308" s="127" t="s">
        <v>35</v>
      </c>
      <c r="D308" s="127" t="s">
        <v>207</v>
      </c>
      <c r="E308" s="239" t="s">
        <v>1686</v>
      </c>
      <c r="F308" s="127" t="s">
        <v>295</v>
      </c>
      <c r="G308" s="239" t="s">
        <v>1630</v>
      </c>
      <c r="H308" s="239" t="s">
        <v>1687</v>
      </c>
      <c r="I308" s="127" t="s">
        <v>271</v>
      </c>
      <c r="J308" s="239" t="s">
        <v>1048</v>
      </c>
      <c r="K308" s="129">
        <v>46197.654039351852</v>
      </c>
      <c r="L308" s="129" t="s">
        <v>1688</v>
      </c>
      <c r="M308" s="129" t="s">
        <v>1689</v>
      </c>
      <c r="N308" s="129">
        <v>46198.576886574076</v>
      </c>
      <c r="O308" s="129"/>
      <c r="P308" s="129"/>
      <c r="Q308" s="239" t="s">
        <v>695</v>
      </c>
      <c r="R308" s="127" t="s">
        <v>267</v>
      </c>
      <c r="S308" s="127" t="s">
        <v>149</v>
      </c>
      <c r="T308" s="127"/>
      <c r="U308" s="127" t="s">
        <v>371</v>
      </c>
      <c r="Z308" s="169">
        <f t="shared" ca="1" si="32"/>
        <v>0.29784722222393611</v>
      </c>
      <c r="AA308" s="170">
        <f t="shared" ca="1" si="33"/>
        <v>0.79425925926382968</v>
      </c>
      <c r="AB308" s="169">
        <f t="shared" ca="1" si="34"/>
        <v>0.29778935185458977</v>
      </c>
      <c r="AC308" s="170">
        <f t="shared" ca="1" si="35"/>
        <v>0.79410493827890605</v>
      </c>
      <c r="AD308" s="169">
        <f t="shared" ca="1" si="36"/>
        <v>5.4236111112307639E-2</v>
      </c>
      <c r="AE308" s="169">
        <f t="shared" ca="1" si="37"/>
        <v>0.29778935185458977</v>
      </c>
      <c r="AF308" s="170">
        <f t="shared" ca="1" si="38"/>
        <v>0.79410493827890605</v>
      </c>
      <c r="AG308" s="170">
        <f t="shared" ca="1" si="39"/>
        <v>0.79410493827890605</v>
      </c>
      <c r="AH308" s="28" t="e" cm="1">
        <f t="array" aca="1" ref="AH308" ca="1">IF((AD308) &lt; (INDEX(ResponseSLA[#All],(MATCH((G308),ResponseSLA[Priority],0))+1,3)),"YES","No")</f>
        <v>#N/A</v>
      </c>
      <c r="AI308" s="28" t="str">
        <f ca="1">_xlfn.IFNA(IF(AE308 &lt; (INDEX(SLATable[Minimum SLA],MATCH(G308,SLATable[Priority],0))),"YES","NO"),"")</f>
        <v/>
      </c>
      <c r="AJ308" s="28" t="str">
        <f ca="1">_xlfn.IFNA(IF(AE308 &lt; (INDEX(SLATable[Maximum SLA],MATCH(G308,SLATable[Priority],0))),"YES","NO"),"")</f>
        <v/>
      </c>
    </row>
    <row r="309" spans="2:36" ht="15" customHeight="1">
      <c r="B309" s="127" t="s">
        <v>26</v>
      </c>
      <c r="C309" s="127" t="s">
        <v>35</v>
      </c>
      <c r="D309" s="127" t="s">
        <v>207</v>
      </c>
      <c r="E309" s="239" t="s">
        <v>1690</v>
      </c>
      <c r="F309" s="127" t="s">
        <v>295</v>
      </c>
      <c r="G309" s="239" t="s">
        <v>1630</v>
      </c>
      <c r="H309" s="239" t="s">
        <v>1691</v>
      </c>
      <c r="I309" s="127" t="s">
        <v>271</v>
      </c>
      <c r="J309" s="239" t="s">
        <v>1048</v>
      </c>
      <c r="K309" s="129">
        <v>46197.612164351849</v>
      </c>
      <c r="L309" s="129" t="s">
        <v>1692</v>
      </c>
      <c r="M309" s="129" t="s">
        <v>1693</v>
      </c>
      <c r="N309" s="129">
        <v>46198.576851851853</v>
      </c>
      <c r="O309" s="129"/>
      <c r="P309" s="129"/>
      <c r="Q309" s="239" t="s">
        <v>695</v>
      </c>
      <c r="R309" s="127" t="s">
        <v>267</v>
      </c>
      <c r="S309" s="127" t="s">
        <v>149</v>
      </c>
      <c r="T309" s="127"/>
      <c r="U309" s="127" t="s">
        <v>371</v>
      </c>
      <c r="Z309" s="169">
        <f t="shared" ca="1" si="32"/>
        <v>0.33968750000349246</v>
      </c>
      <c r="AA309" s="170">
        <f t="shared" ca="1" si="33"/>
        <v>0.9058333333426466</v>
      </c>
      <c r="AB309" s="169">
        <f t="shared" ca="1" si="34"/>
        <v>0.33945601851883112</v>
      </c>
      <c r="AC309" s="170">
        <f t="shared" ca="1" si="35"/>
        <v>0.9052160493835496</v>
      </c>
      <c r="AD309" s="169">
        <f t="shared" ca="1" si="36"/>
        <v>9.5937499999611986E-2</v>
      </c>
      <c r="AE309" s="169">
        <f t="shared" ca="1" si="37"/>
        <v>0.33945601851883112</v>
      </c>
      <c r="AF309" s="170">
        <f t="shared" ca="1" si="38"/>
        <v>0.9052160493835496</v>
      </c>
      <c r="AG309" s="170">
        <f t="shared" ca="1" si="39"/>
        <v>0.9052160493835496</v>
      </c>
      <c r="AH309" s="28" t="e" cm="1">
        <f t="array" aca="1" ref="AH309" ca="1">IF((AD309) &lt; (INDEX(ResponseSLA[#All],(MATCH((G309),ResponseSLA[Priority],0))+1,3)),"YES","No")</f>
        <v>#N/A</v>
      </c>
      <c r="AI309" s="28" t="str">
        <f ca="1">_xlfn.IFNA(IF(AE309 &lt; (INDEX(SLATable[Minimum SLA],MATCH(G309,SLATable[Priority],0))),"YES","NO"),"")</f>
        <v/>
      </c>
      <c r="AJ309" s="28" t="str">
        <f ca="1">_xlfn.IFNA(IF(AE309 &lt; (INDEX(SLATable[Maximum SLA],MATCH(G309,SLATable[Priority],0))),"YES","NO"),"")</f>
        <v/>
      </c>
    </row>
    <row r="310" spans="2:36" ht="15" customHeight="1">
      <c r="B310" s="127" t="s">
        <v>26</v>
      </c>
      <c r="C310" s="127" t="s">
        <v>35</v>
      </c>
      <c r="D310" s="127" t="s">
        <v>207</v>
      </c>
      <c r="E310" s="239" t="s">
        <v>1694</v>
      </c>
      <c r="F310" s="127" t="s">
        <v>295</v>
      </c>
      <c r="G310" s="239" t="s">
        <v>1630</v>
      </c>
      <c r="H310" s="239" t="s">
        <v>1695</v>
      </c>
      <c r="I310" s="127" t="s">
        <v>271</v>
      </c>
      <c r="J310" s="239" t="s">
        <v>1048</v>
      </c>
      <c r="K310" s="129">
        <v>46197.625590277778</v>
      </c>
      <c r="L310" s="129" t="s">
        <v>1696</v>
      </c>
      <c r="M310" s="129" t="s">
        <v>1697</v>
      </c>
      <c r="N310" s="129">
        <v>46198.576817129629</v>
      </c>
      <c r="O310" s="129"/>
      <c r="P310" s="129"/>
      <c r="Q310" s="239" t="s">
        <v>695</v>
      </c>
      <c r="R310" s="127" t="s">
        <v>267</v>
      </c>
      <c r="S310" s="127" t="s">
        <v>149</v>
      </c>
      <c r="T310" s="127"/>
      <c r="U310" s="127" t="s">
        <v>371</v>
      </c>
      <c r="Z310" s="169">
        <f t="shared" ca="1" si="32"/>
        <v>0.32622685185197042</v>
      </c>
      <c r="AA310" s="170">
        <f t="shared" ca="1" si="33"/>
        <v>0.8699382716052545</v>
      </c>
      <c r="AB310" s="169">
        <f t="shared" ca="1" si="34"/>
        <v>0.32618055555212777</v>
      </c>
      <c r="AC310" s="170">
        <f t="shared" ca="1" si="35"/>
        <v>0.86981481480567402</v>
      </c>
      <c r="AD310" s="169">
        <f t="shared" ca="1" si="36"/>
        <v>8.2696759255971641E-2</v>
      </c>
      <c r="AE310" s="169">
        <f t="shared" ca="1" si="37"/>
        <v>0.32618055555212777</v>
      </c>
      <c r="AF310" s="170">
        <f t="shared" ca="1" si="38"/>
        <v>0.86981481480567402</v>
      </c>
      <c r="AG310" s="170">
        <f t="shared" ca="1" si="39"/>
        <v>0.86981481480567402</v>
      </c>
      <c r="AH310" s="28" t="e" cm="1">
        <f t="array" aca="1" ref="AH310" ca="1">IF((AD310) &lt; (INDEX(ResponseSLA[#All],(MATCH((G310),ResponseSLA[Priority],0))+1,3)),"YES","No")</f>
        <v>#N/A</v>
      </c>
      <c r="AI310" s="28" t="str">
        <f ca="1">_xlfn.IFNA(IF(AE310 &lt; (INDEX(SLATable[Minimum SLA],MATCH(G310,SLATable[Priority],0))),"YES","NO"),"")</f>
        <v/>
      </c>
      <c r="AJ310" s="28" t="str">
        <f ca="1">_xlfn.IFNA(IF(AE310 &lt; (INDEX(SLATable[Maximum SLA],MATCH(G310,SLATable[Priority],0))),"YES","NO"),"")</f>
        <v/>
      </c>
    </row>
    <row r="311" spans="2:36" ht="15" customHeight="1">
      <c r="B311" s="127" t="s">
        <v>26</v>
      </c>
      <c r="C311" s="127" t="s">
        <v>35</v>
      </c>
      <c r="D311" s="127" t="s">
        <v>207</v>
      </c>
      <c r="E311" s="239" t="s">
        <v>1698</v>
      </c>
      <c r="F311" s="127" t="s">
        <v>295</v>
      </c>
      <c r="G311" s="239" t="s">
        <v>1630</v>
      </c>
      <c r="H311" s="239" t="s">
        <v>1699</v>
      </c>
      <c r="I311" s="127" t="s">
        <v>271</v>
      </c>
      <c r="J311" s="239" t="s">
        <v>1048</v>
      </c>
      <c r="K311" s="129">
        <v>46197.63826388889</v>
      </c>
      <c r="L311" s="129" t="s">
        <v>1700</v>
      </c>
      <c r="M311" s="129" t="s">
        <v>1701</v>
      </c>
      <c r="N311" s="129">
        <v>46198.576793981483</v>
      </c>
      <c r="O311" s="129"/>
      <c r="P311" s="129"/>
      <c r="Q311" s="239" t="s">
        <v>695</v>
      </c>
      <c r="R311" s="127" t="s">
        <v>267</v>
      </c>
      <c r="S311" s="127" t="s">
        <v>149</v>
      </c>
      <c r="T311" s="127"/>
      <c r="U311" s="127" t="s">
        <v>371</v>
      </c>
      <c r="Z311" s="169">
        <f t="shared" ca="1" si="32"/>
        <v>0.31353009259328246</v>
      </c>
      <c r="AA311" s="170">
        <f t="shared" ca="1" si="33"/>
        <v>0.83608024691541993</v>
      </c>
      <c r="AB311" s="169">
        <f t="shared" ca="1" si="34"/>
        <v>0.31346064814715646</v>
      </c>
      <c r="AC311" s="170">
        <f t="shared" ca="1" si="35"/>
        <v>0.83589506172575057</v>
      </c>
      <c r="AD311" s="169">
        <f t="shared" ca="1" si="36"/>
        <v>6.9999999997283679E-2</v>
      </c>
      <c r="AE311" s="169">
        <f t="shared" ca="1" si="37"/>
        <v>0.31346064814715646</v>
      </c>
      <c r="AF311" s="170">
        <f t="shared" ca="1" si="38"/>
        <v>0.83589506172575057</v>
      </c>
      <c r="AG311" s="170">
        <f t="shared" ca="1" si="39"/>
        <v>0.83589506172575057</v>
      </c>
      <c r="AH311" s="28" t="e" cm="1">
        <f t="array" aca="1" ref="AH311" ca="1">IF((AD311) &lt; (INDEX(ResponseSLA[#All],(MATCH((G311),ResponseSLA[Priority],0))+1,3)),"YES","No")</f>
        <v>#N/A</v>
      </c>
      <c r="AI311" s="28" t="str">
        <f ca="1">_xlfn.IFNA(IF(AE311 &lt; (INDEX(SLATable[Minimum SLA],MATCH(G311,SLATable[Priority],0))),"YES","NO"),"")</f>
        <v/>
      </c>
      <c r="AJ311" s="28" t="str">
        <f ca="1">_xlfn.IFNA(IF(AE311 &lt; (INDEX(SLATable[Maximum SLA],MATCH(G311,SLATable[Priority],0))),"YES","NO"),"")</f>
        <v/>
      </c>
    </row>
    <row r="312" spans="2:36" ht="15" customHeight="1">
      <c r="B312" s="127" t="s">
        <v>26</v>
      </c>
      <c r="C312" s="127" t="s">
        <v>35</v>
      </c>
      <c r="D312" s="127" t="s">
        <v>207</v>
      </c>
      <c r="E312" s="239" t="s">
        <v>1702</v>
      </c>
      <c r="F312" s="127" t="s">
        <v>295</v>
      </c>
      <c r="G312" s="239" t="s">
        <v>1630</v>
      </c>
      <c r="H312" s="239" t="s">
        <v>1703</v>
      </c>
      <c r="I312" s="127" t="s">
        <v>271</v>
      </c>
      <c r="J312" s="239" t="s">
        <v>1048</v>
      </c>
      <c r="K312" s="129">
        <v>46191.110659722224</v>
      </c>
      <c r="L312" s="129" t="s">
        <v>1704</v>
      </c>
      <c r="M312" s="129" t="s">
        <v>1705</v>
      </c>
      <c r="N312" s="129">
        <v>46198.324479166666</v>
      </c>
      <c r="O312" s="129"/>
      <c r="P312" s="129"/>
      <c r="Q312" s="239" t="s">
        <v>1062</v>
      </c>
      <c r="R312" s="127" t="s">
        <v>267</v>
      </c>
      <c r="S312" s="127" t="s">
        <v>149</v>
      </c>
      <c r="T312" s="127"/>
      <c r="U312" s="127" t="s">
        <v>371</v>
      </c>
      <c r="Z312" s="169">
        <f t="shared" ca="1" si="32"/>
        <v>1.8750000000000002</v>
      </c>
      <c r="AA312" s="170">
        <f t="shared" ca="1" si="33"/>
        <v>5.0000000000000009</v>
      </c>
      <c r="AB312" s="169">
        <f t="shared" ca="1" si="34"/>
        <v>1.8750000000000002</v>
      </c>
      <c r="AC312" s="170">
        <f t="shared" ca="1" si="35"/>
        <v>5.0000000000000009</v>
      </c>
      <c r="AD312" s="169">
        <f t="shared" ca="1" si="36"/>
        <v>0.75000000000000022</v>
      </c>
      <c r="AE312" s="169">
        <f t="shared" ca="1" si="37"/>
        <v>1.8750000000000002</v>
      </c>
      <c r="AF312" s="170">
        <f t="shared" ca="1" si="38"/>
        <v>5.0000000000000009</v>
      </c>
      <c r="AG312" s="170">
        <f t="shared" ca="1" si="39"/>
        <v>5.0000000000000009</v>
      </c>
      <c r="AH312" s="28" t="e" cm="1">
        <f t="array" aca="1" ref="AH312" ca="1">IF((AD312) &lt; (INDEX(ResponseSLA[#All],(MATCH((G312),ResponseSLA[Priority],0))+1,3)),"YES","No")</f>
        <v>#N/A</v>
      </c>
      <c r="AI312" s="28" t="str">
        <f ca="1">_xlfn.IFNA(IF(AE312 &lt; (INDEX(SLATable[Minimum SLA],MATCH(G312,SLATable[Priority],0))),"YES","NO"),"")</f>
        <v/>
      </c>
      <c r="AJ312" s="28" t="str">
        <f ca="1">_xlfn.IFNA(IF(AE312 &lt; (INDEX(SLATable[Maximum SLA],MATCH(G312,SLATable[Priority],0))),"YES","NO"),"")</f>
        <v/>
      </c>
    </row>
    <row r="313" spans="2:36" ht="15" customHeight="1">
      <c r="B313" s="127" t="s">
        <v>26</v>
      </c>
      <c r="C313" s="127" t="s">
        <v>35</v>
      </c>
      <c r="D313" s="127" t="s">
        <v>207</v>
      </c>
      <c r="E313" s="239" t="s">
        <v>1706</v>
      </c>
      <c r="F313" s="127" t="s">
        <v>295</v>
      </c>
      <c r="G313" s="239" t="s">
        <v>1630</v>
      </c>
      <c r="H313" s="239" t="s">
        <v>1707</v>
      </c>
      <c r="I313" s="127" t="s">
        <v>271</v>
      </c>
      <c r="J313" s="239" t="s">
        <v>1048</v>
      </c>
      <c r="K313" s="129">
        <v>46192.072928240741</v>
      </c>
      <c r="L313" s="129" t="s">
        <v>1708</v>
      </c>
      <c r="M313" s="129" t="s">
        <v>1709</v>
      </c>
      <c r="N313" s="129">
        <v>46196.356400462966</v>
      </c>
      <c r="O313" s="129"/>
      <c r="P313" s="129"/>
      <c r="Q313" s="239" t="s">
        <v>1148</v>
      </c>
      <c r="R313" s="127" t="s">
        <v>267</v>
      </c>
      <c r="S313" s="127" t="s">
        <v>149</v>
      </c>
      <c r="T313" s="127"/>
      <c r="U313" s="127" t="s">
        <v>371</v>
      </c>
      <c r="Z313" s="169">
        <f t="shared" ca="1" si="32"/>
        <v>0.77306712963278801</v>
      </c>
      <c r="AA313" s="170">
        <f t="shared" ca="1" si="33"/>
        <v>2.0615123456874347</v>
      </c>
      <c r="AB313" s="169">
        <f t="shared" ca="1" si="34"/>
        <v>0.77306712963278801</v>
      </c>
      <c r="AC313" s="170">
        <f t="shared" ca="1" si="35"/>
        <v>2.0615123456874347</v>
      </c>
      <c r="AD313" s="169">
        <f t="shared" ca="1" si="36"/>
        <v>0.37500000000000006</v>
      </c>
      <c r="AE313" s="169">
        <f t="shared" ca="1" si="37"/>
        <v>0.77306712963278801</v>
      </c>
      <c r="AF313" s="170">
        <f t="shared" ca="1" si="38"/>
        <v>2.0615123456874347</v>
      </c>
      <c r="AG313" s="170">
        <f t="shared" ca="1" si="39"/>
        <v>2.0615123456874347</v>
      </c>
      <c r="AH313" s="28" t="e" cm="1">
        <f t="array" aca="1" ref="AH313" ca="1">IF((AD313) &lt; (INDEX(ResponseSLA[#All],(MATCH((G313),ResponseSLA[Priority],0))+1,3)),"YES","No")</f>
        <v>#N/A</v>
      </c>
      <c r="AI313" s="28" t="str">
        <f ca="1">_xlfn.IFNA(IF(AE313 &lt; (INDEX(SLATable[Minimum SLA],MATCH(G313,SLATable[Priority],0))),"YES","NO"),"")</f>
        <v/>
      </c>
      <c r="AJ313" s="28" t="str">
        <f ca="1">_xlfn.IFNA(IF(AE313 &lt; (INDEX(SLATable[Maximum SLA],MATCH(G313,SLATable[Priority],0))),"YES","NO"),"")</f>
        <v/>
      </c>
    </row>
    <row r="314" spans="2:36" ht="15" customHeight="1">
      <c r="B314" s="127" t="s">
        <v>26</v>
      </c>
      <c r="C314" s="127" t="s">
        <v>35</v>
      </c>
      <c r="D314" s="127" t="s">
        <v>207</v>
      </c>
      <c r="E314" s="239" t="s">
        <v>1710</v>
      </c>
      <c r="F314" s="127" t="s">
        <v>295</v>
      </c>
      <c r="G314" s="127" t="s">
        <v>1630</v>
      </c>
      <c r="H314" s="239" t="s">
        <v>1711</v>
      </c>
      <c r="I314" s="127" t="s">
        <v>271</v>
      </c>
      <c r="J314" s="239" t="s">
        <v>1048</v>
      </c>
      <c r="K314" s="129">
        <v>46191.397233796299</v>
      </c>
      <c r="L314" s="129" t="s">
        <v>1712</v>
      </c>
      <c r="M314" s="129" t="s">
        <v>1713</v>
      </c>
      <c r="N314" s="129">
        <v>46196.34574074074</v>
      </c>
      <c r="O314" s="129"/>
      <c r="P314" s="129"/>
      <c r="Q314" s="239" t="s">
        <v>1065</v>
      </c>
      <c r="R314" s="127" t="s">
        <v>267</v>
      </c>
      <c r="S314" s="127" t="s">
        <v>190</v>
      </c>
      <c r="T314" s="127"/>
      <c r="U314" s="127" t="s">
        <v>371</v>
      </c>
      <c r="Z314" s="169">
        <f t="shared" ca="1" si="32"/>
        <v>1.0735069444417606</v>
      </c>
      <c r="AA314" s="170">
        <f t="shared" ca="1" si="33"/>
        <v>2.8626851851780284</v>
      </c>
      <c r="AB314" s="169">
        <f t="shared" ca="1" si="34"/>
        <v>1.0731597222184066</v>
      </c>
      <c r="AC314" s="170">
        <f t="shared" ca="1" si="35"/>
        <v>2.8617592592490846</v>
      </c>
      <c r="AD314" s="169">
        <f t="shared" ca="1" si="36"/>
        <v>0.68575231481130094</v>
      </c>
      <c r="AE314" s="169">
        <f t="shared" ca="1" si="37"/>
        <v>1.0731597222184066</v>
      </c>
      <c r="AF314" s="170">
        <f t="shared" ca="1" si="38"/>
        <v>2.8617592592490846</v>
      </c>
      <c r="AG314" s="170">
        <f t="shared" ca="1" si="39"/>
        <v>2.8617592592490846</v>
      </c>
      <c r="AH314" s="28" t="e" cm="1">
        <f t="array" aca="1" ref="AH314" ca="1">IF((AD314) &lt; (INDEX(ResponseSLA[#All],(MATCH((G314),ResponseSLA[Priority],0))+1,3)),"YES","No")</f>
        <v>#N/A</v>
      </c>
      <c r="AI314" s="28" t="str">
        <f ca="1">_xlfn.IFNA(IF(AE314 &lt; (INDEX(SLATable[Minimum SLA],MATCH(G314,SLATable[Priority],0))),"YES","NO"),"")</f>
        <v/>
      </c>
      <c r="AJ314" s="28" t="str">
        <f ca="1">_xlfn.IFNA(IF(AE314 &lt; (INDEX(SLATable[Maximum SLA],MATCH(G314,SLATable[Priority],0))),"YES","NO"),"")</f>
        <v/>
      </c>
    </row>
    <row r="315" spans="2:36" ht="15" customHeight="1">
      <c r="B315" s="127" t="s">
        <v>26</v>
      </c>
      <c r="C315" s="127" t="s">
        <v>35</v>
      </c>
      <c r="D315" s="127" t="s">
        <v>207</v>
      </c>
      <c r="E315" s="239" t="s">
        <v>1714</v>
      </c>
      <c r="F315" s="127" t="s">
        <v>295</v>
      </c>
      <c r="G315" s="127">
        <v>2</v>
      </c>
      <c r="H315" s="239" t="s">
        <v>1715</v>
      </c>
      <c r="I315" s="127" t="s">
        <v>271</v>
      </c>
      <c r="J315" s="239" t="s">
        <v>1048</v>
      </c>
      <c r="K315" s="129">
        <v>46196.099560185183</v>
      </c>
      <c r="L315" s="129" t="s">
        <v>1716</v>
      </c>
      <c r="M315" s="129" t="s">
        <v>1717</v>
      </c>
      <c r="N315" s="129">
        <v>46196.203530092593</v>
      </c>
      <c r="O315" s="129"/>
      <c r="P315" s="129"/>
      <c r="Q315" s="239" t="s">
        <v>1343</v>
      </c>
      <c r="R315" s="127" t="s">
        <v>267</v>
      </c>
      <c r="S315" s="127" t="s">
        <v>149</v>
      </c>
      <c r="T315" s="127"/>
      <c r="U315" s="127" t="s">
        <v>371</v>
      </c>
      <c r="Z315" s="169">
        <f t="shared" ca="1" si="32"/>
        <v>0.10396990740991896</v>
      </c>
      <c r="AA315" s="170">
        <f t="shared" ca="1" si="33"/>
        <v>0.27725308642645058</v>
      </c>
      <c r="AB315" s="169">
        <f t="shared" ca="1" si="34"/>
        <v>0.10386574074072996</v>
      </c>
      <c r="AC315" s="170">
        <f t="shared" ca="1" si="35"/>
        <v>0.27697530864194658</v>
      </c>
      <c r="AD315" s="169">
        <f t="shared" ca="1" si="36"/>
        <v>3.6319444443506654E-2</v>
      </c>
      <c r="AE315" s="169">
        <f t="shared" ca="1" si="37"/>
        <v>0.10386574074072996</v>
      </c>
      <c r="AF315" s="170">
        <f t="shared" ca="1" si="38"/>
        <v>0.27697530864194658</v>
      </c>
      <c r="AG315" s="170">
        <f t="shared" ca="1" si="39"/>
        <v>0.27697530864194658</v>
      </c>
      <c r="AH315" s="28" t="str" cm="1">
        <f t="array" aca="1" ref="AH315" ca="1">IF((AD315) &lt; (INDEX(ResponseSLA[#All],(MATCH((G315),ResponseSLA[Priority],0))+1,3)),"YES","No")</f>
        <v>No</v>
      </c>
      <c r="AI315" s="28" t="str">
        <f ca="1">_xlfn.IFNA(IF(AE315 &lt; (INDEX(SLATable[Minimum SLA],MATCH(G315,SLATable[Priority],0))),"YES","NO"),"")</f>
        <v>NO</v>
      </c>
      <c r="AJ315" s="28" t="str">
        <f ca="1">_xlfn.IFNA(IF(AE315 &lt; (INDEX(SLATable[Maximum SLA],MATCH(G315,SLATable[Priority],0))),"YES","NO"),"")</f>
        <v>YES</v>
      </c>
    </row>
    <row r="316" spans="2:36" ht="15" customHeight="1">
      <c r="B316" s="127" t="s">
        <v>26</v>
      </c>
      <c r="C316" s="127" t="s">
        <v>35</v>
      </c>
      <c r="D316" s="127" t="s">
        <v>207</v>
      </c>
      <c r="E316" s="239" t="s">
        <v>1718</v>
      </c>
      <c r="F316" s="127" t="s">
        <v>295</v>
      </c>
      <c r="G316" s="127">
        <v>3</v>
      </c>
      <c r="H316" s="239" t="s">
        <v>1051</v>
      </c>
      <c r="I316" s="127" t="s">
        <v>271</v>
      </c>
      <c r="J316" s="239" t="s">
        <v>1048</v>
      </c>
      <c r="K316" s="129">
        <v>46189.507430555554</v>
      </c>
      <c r="L316" s="129" t="s">
        <v>1719</v>
      </c>
      <c r="M316" s="129" t="s">
        <v>1720</v>
      </c>
      <c r="N316" s="129">
        <v>46195.340451388889</v>
      </c>
      <c r="O316" s="129"/>
      <c r="P316" s="129"/>
      <c r="Q316" s="239" t="s">
        <v>695</v>
      </c>
      <c r="R316" s="127" t="s">
        <v>267</v>
      </c>
      <c r="S316" s="127" t="s">
        <v>193</v>
      </c>
      <c r="T316" s="127"/>
      <c r="U316" s="127" t="s">
        <v>371</v>
      </c>
      <c r="Z316" s="169">
        <f t="shared" ca="1" si="32"/>
        <v>1.3330208333354678</v>
      </c>
      <c r="AA316" s="170">
        <f t="shared" ca="1" si="33"/>
        <v>3.5547222222279142</v>
      </c>
      <c r="AB316" s="169">
        <f t="shared" ca="1" si="34"/>
        <v>1.3297800925938648</v>
      </c>
      <c r="AC316" s="170">
        <f t="shared" ca="1" si="35"/>
        <v>3.546080246916973</v>
      </c>
      <c r="AD316" s="169">
        <f t="shared" ca="1" si="36"/>
        <v>0.19766203703814733</v>
      </c>
      <c r="AE316" s="169">
        <f t="shared" ca="1" si="37"/>
        <v>1.3297800925938648</v>
      </c>
      <c r="AF316" s="170">
        <f t="shared" ca="1" si="38"/>
        <v>3.546080246916973</v>
      </c>
      <c r="AG316" s="170">
        <f t="shared" ca="1" si="39"/>
        <v>3.546080246916973</v>
      </c>
      <c r="AH316" s="28" t="str" cm="1">
        <f t="array" aca="1" ref="AH316" ca="1">IF((AD316) &lt; (INDEX(ResponseSLA[#All],(MATCH((G316),ResponseSLA[Priority],0))+1,3)),"YES","No")</f>
        <v>No</v>
      </c>
      <c r="AI316" s="28" t="str">
        <f ca="1">_xlfn.IFNA(IF(AE316 &lt; (INDEX(SLATable[Minimum SLA],MATCH(G316,SLATable[Priority],0))),"YES","NO"),"")</f>
        <v>NO</v>
      </c>
      <c r="AJ316" s="28" t="str">
        <f ca="1">_xlfn.IFNA(IF(AE316 &lt; (INDEX(SLATable[Maximum SLA],MATCH(G316,SLATable[Priority],0))),"YES","NO"),"")</f>
        <v>YES</v>
      </c>
    </row>
    <row r="317" spans="2:36" ht="15" customHeight="1">
      <c r="B317" s="127" t="s">
        <v>26</v>
      </c>
      <c r="C317" s="127" t="s">
        <v>35</v>
      </c>
      <c r="D317" s="127" t="s">
        <v>207</v>
      </c>
      <c r="E317" s="239" t="s">
        <v>1721</v>
      </c>
      <c r="F317" s="127" t="s">
        <v>295</v>
      </c>
      <c r="G317" s="127">
        <v>3</v>
      </c>
      <c r="H317" s="239" t="s">
        <v>1722</v>
      </c>
      <c r="I317" s="127" t="s">
        <v>271</v>
      </c>
      <c r="J317" s="239" t="s">
        <v>1048</v>
      </c>
      <c r="K317" s="129">
        <v>46176.514131944445</v>
      </c>
      <c r="L317" s="129">
        <v>46087.514166666668</v>
      </c>
      <c r="M317" s="129">
        <v>46087.530057870368</v>
      </c>
      <c r="N317" s="129">
        <v>46189.475092592591</v>
      </c>
      <c r="O317" s="129"/>
      <c r="P317" s="129"/>
      <c r="Q317" s="239" t="s">
        <v>695</v>
      </c>
      <c r="R317" s="127" t="s">
        <v>267</v>
      </c>
      <c r="S317" s="127" t="s">
        <v>190</v>
      </c>
      <c r="T317" s="127"/>
      <c r="U317" s="127" t="s">
        <v>371</v>
      </c>
      <c r="Z317" s="169">
        <f t="shared" ca="1" si="32"/>
        <v>3.3359606481462838</v>
      </c>
      <c r="AA317" s="170">
        <f t="shared" ca="1" si="33"/>
        <v>8.895895061723424</v>
      </c>
      <c r="AB317" s="169">
        <f t="shared" ca="1" si="34"/>
        <v>25.085925925923224</v>
      </c>
      <c r="AC317" s="170">
        <f t="shared" ca="1" si="35"/>
        <v>66.895802469128597</v>
      </c>
      <c r="AD317" s="169">
        <f t="shared" ca="1" si="36"/>
        <v>1.5891203700448386E-2</v>
      </c>
      <c r="AE317" s="169">
        <f t="shared" ca="1" si="37"/>
        <v>25.085925925923224</v>
      </c>
      <c r="AF317" s="170">
        <f t="shared" ca="1" si="38"/>
        <v>66.895802469128597</v>
      </c>
      <c r="AG317" s="170">
        <f t="shared" ca="1" si="39"/>
        <v>66.895802469128597</v>
      </c>
      <c r="AH317" s="28" t="str" cm="1">
        <f t="array" aca="1" ref="AH317" ca="1">IF((AD317) &lt; (INDEX(ResponseSLA[#All],(MATCH((G317),ResponseSLA[Priority],0))+1,3)),"YES","No")</f>
        <v>YES</v>
      </c>
      <c r="AI317" s="28" t="str">
        <f ca="1">_xlfn.IFNA(IF(AE317 &lt; (INDEX(SLATable[Minimum SLA],MATCH(G317,SLATable[Priority],0))),"YES","NO"),"")</f>
        <v>NO</v>
      </c>
      <c r="AJ317" s="28" t="str">
        <f ca="1">_xlfn.IFNA(IF(AE317 &lt; (INDEX(SLATable[Maximum SLA],MATCH(G317,SLATable[Priority],0))),"YES","NO"),"")</f>
        <v>NO</v>
      </c>
    </row>
    <row r="318" spans="2:36" ht="15" customHeight="1">
      <c r="B318" s="127" t="s">
        <v>26</v>
      </c>
      <c r="C318" s="127" t="s">
        <v>35</v>
      </c>
      <c r="D318" s="127" t="s">
        <v>207</v>
      </c>
      <c r="E318" s="239" t="s">
        <v>1723</v>
      </c>
      <c r="F318" s="127" t="s">
        <v>289</v>
      </c>
      <c r="G318" s="127">
        <v>4</v>
      </c>
      <c r="H318" s="239" t="s">
        <v>1724</v>
      </c>
      <c r="I318" s="127" t="s">
        <v>271</v>
      </c>
      <c r="J318" s="239" t="s">
        <v>1048</v>
      </c>
      <c r="K318" s="129">
        <v>46181.243136574078</v>
      </c>
      <c r="L318" s="129">
        <v>46240.400717592594</v>
      </c>
      <c r="M318" s="129">
        <v>46271.307766203703</v>
      </c>
      <c r="N318" s="129">
        <v>46185.382280092592</v>
      </c>
      <c r="O318" s="129"/>
      <c r="P318" s="129"/>
      <c r="Q318" s="239" t="s">
        <v>1057</v>
      </c>
      <c r="R318" s="127" t="s">
        <v>267</v>
      </c>
      <c r="S318" s="127" t="s">
        <v>190</v>
      </c>
      <c r="T318" s="127"/>
      <c r="U318" s="127" t="s">
        <v>371</v>
      </c>
      <c r="Z318" s="169">
        <f t="shared" ca="1" si="32"/>
        <v>1.5489467592584942</v>
      </c>
      <c r="AA318" s="170">
        <f t="shared" ca="1" si="33"/>
        <v>4.1305246913559843</v>
      </c>
      <c r="AB318" s="169">
        <f t="shared" ca="1" si="34"/>
        <v>0</v>
      </c>
      <c r="AC318" s="170">
        <f t="shared" ca="1" si="35"/>
        <v>0</v>
      </c>
      <c r="AD318" s="169">
        <f t="shared" ca="1" si="36"/>
        <v>7.4326157407388873</v>
      </c>
      <c r="AE318" s="169">
        <f t="shared" ca="1" si="37"/>
        <v>0</v>
      </c>
      <c r="AF318" s="170">
        <f t="shared" ca="1" si="38"/>
        <v>0</v>
      </c>
      <c r="AG318" s="170">
        <f t="shared" ca="1" si="39"/>
        <v>0</v>
      </c>
      <c r="AH318" s="28" t="str" cm="1">
        <f t="array" aca="1" ref="AH318" ca="1">IF((AD318) &lt; (INDEX(ResponseSLA[#All],(MATCH((G318),ResponseSLA[Priority],0))+1,3)),"YES","No")</f>
        <v>No</v>
      </c>
      <c r="AI318" s="28" t="str">
        <f ca="1">_xlfn.IFNA(IF(AE318 &lt; (INDEX(SLATable[Minimum SLA],MATCH(G318,SLATable[Priority],0))),"YES","NO"),"")</f>
        <v>YES</v>
      </c>
      <c r="AJ318" s="28" t="str">
        <f ca="1">_xlfn.IFNA(IF(AE318 &lt; (INDEX(SLATable[Maximum SLA],MATCH(G318,SLATable[Priority],0))),"YES","NO"),"")</f>
        <v>YES</v>
      </c>
    </row>
    <row r="319" spans="2:36" ht="15" customHeight="1">
      <c r="B319" s="127" t="s">
        <v>26</v>
      </c>
      <c r="C319" s="127" t="s">
        <v>35</v>
      </c>
      <c r="D319" s="127" t="s">
        <v>207</v>
      </c>
      <c r="E319" s="239" t="s">
        <v>1725</v>
      </c>
      <c r="F319" s="127" t="s">
        <v>289</v>
      </c>
      <c r="G319" s="127">
        <v>3</v>
      </c>
      <c r="H319" s="239" t="s">
        <v>1726</v>
      </c>
      <c r="I319" s="127" t="s">
        <v>271</v>
      </c>
      <c r="J319" s="239" t="s">
        <v>1048</v>
      </c>
      <c r="K319" s="129">
        <v>46182.860949074071</v>
      </c>
      <c r="L319" s="129">
        <v>46271.864687499998</v>
      </c>
      <c r="M319" s="129">
        <v>46332.433958333335</v>
      </c>
      <c r="N319" s="129">
        <v>46185.370046296295</v>
      </c>
      <c r="O319" s="129"/>
      <c r="P319" s="129"/>
      <c r="Q319" s="239" t="s">
        <v>1304</v>
      </c>
      <c r="R319" s="127" t="s">
        <v>267</v>
      </c>
      <c r="S319" s="127" t="s">
        <v>190</v>
      </c>
      <c r="T319" s="127"/>
      <c r="U319" s="127" t="s">
        <v>371</v>
      </c>
      <c r="Z319" s="169">
        <f t="shared" ca="1" si="32"/>
        <v>0.78671296296185289</v>
      </c>
      <c r="AA319" s="170">
        <f t="shared" ca="1" si="33"/>
        <v>2.097901234564941</v>
      </c>
      <c r="AB319" s="169">
        <f t="shared" ca="1" si="34"/>
        <v>3.6712962961852724E-2</v>
      </c>
      <c r="AC319" s="170">
        <f t="shared" ca="1" si="35"/>
        <v>9.7901234564940598E-2</v>
      </c>
      <c r="AD319" s="169">
        <f t="shared" ca="1" si="36"/>
        <v>16.225625000001557</v>
      </c>
      <c r="AE319" s="169">
        <f t="shared" ca="1" si="37"/>
        <v>3.6712962961852724E-2</v>
      </c>
      <c r="AF319" s="170">
        <f t="shared" ca="1" si="38"/>
        <v>9.7901234564940598E-2</v>
      </c>
      <c r="AG319" s="170">
        <f t="shared" ca="1" si="39"/>
        <v>9.7901234564940598E-2</v>
      </c>
      <c r="AH319" s="28" t="str" cm="1">
        <f t="array" aca="1" ref="AH319" ca="1">IF((AD319) &lt; (INDEX(ResponseSLA[#All],(MATCH((G319),ResponseSLA[Priority],0))+1,3)),"YES","No")</f>
        <v>No</v>
      </c>
      <c r="AI319" s="28" t="str">
        <f ca="1">_xlfn.IFNA(IF(AE319 &lt; (INDEX(SLATable[Minimum SLA],MATCH(G319,SLATable[Priority],0))),"YES","NO"),"")</f>
        <v>YES</v>
      </c>
      <c r="AJ319" s="28" t="str">
        <f ca="1">_xlfn.IFNA(IF(AE319 &lt; (INDEX(SLATable[Maximum SLA],MATCH(G319,SLATable[Priority],0))),"YES","NO"),"")</f>
        <v>YES</v>
      </c>
    </row>
    <row r="320" spans="2:36" ht="15" customHeight="1">
      <c r="B320" s="127" t="s">
        <v>26</v>
      </c>
      <c r="C320" s="127" t="s">
        <v>35</v>
      </c>
      <c r="D320" s="127" t="s">
        <v>207</v>
      </c>
      <c r="E320" s="239" t="s">
        <v>1727</v>
      </c>
      <c r="F320" s="127" t="s">
        <v>289</v>
      </c>
      <c r="G320" s="127">
        <v>4</v>
      </c>
      <c r="H320" s="239" t="s">
        <v>1728</v>
      </c>
      <c r="I320" s="127" t="s">
        <v>271</v>
      </c>
      <c r="J320" s="239" t="s">
        <v>1048</v>
      </c>
      <c r="K320" s="129">
        <v>46175.261018518519</v>
      </c>
      <c r="L320" s="129">
        <v>46059.261041666665</v>
      </c>
      <c r="M320" s="129">
        <v>46087.501087962963</v>
      </c>
      <c r="N320" s="129">
        <v>46181.49077546296</v>
      </c>
      <c r="O320" s="129"/>
      <c r="P320" s="129"/>
      <c r="Q320" s="239" t="s">
        <v>1073</v>
      </c>
      <c r="R320" s="127" t="s">
        <v>267</v>
      </c>
      <c r="S320" s="127" t="s">
        <v>149</v>
      </c>
      <c r="T320" s="127"/>
      <c r="U320" s="127" t="s">
        <v>371</v>
      </c>
      <c r="Z320" s="169">
        <f t="shared" ca="1" si="32"/>
        <v>1.6574421296269675</v>
      </c>
      <c r="AA320" s="170">
        <f t="shared" ca="1" si="33"/>
        <v>4.4198456790052463</v>
      </c>
      <c r="AB320" s="169">
        <f t="shared" ca="1" si="34"/>
        <v>30.532442129626972</v>
      </c>
      <c r="AC320" s="170">
        <f t="shared" ca="1" si="35"/>
        <v>81.419845679005263</v>
      </c>
      <c r="AD320" s="169">
        <f t="shared" ca="1" si="36"/>
        <v>7.6677546296292958</v>
      </c>
      <c r="AE320" s="169">
        <f t="shared" ca="1" si="37"/>
        <v>30.532442129626972</v>
      </c>
      <c r="AF320" s="170">
        <f t="shared" ca="1" si="38"/>
        <v>81.419845679005263</v>
      </c>
      <c r="AG320" s="170">
        <f t="shared" ca="1" si="39"/>
        <v>81.419845679005263</v>
      </c>
      <c r="AH320" s="28" t="str" cm="1">
        <f t="array" aca="1" ref="AH320" ca="1">IF((AD320) &lt; (INDEX(ResponseSLA[#All],(MATCH((G320),ResponseSLA[Priority],0))+1,3)),"YES","No")</f>
        <v>No</v>
      </c>
      <c r="AI320" s="28" t="str">
        <f ca="1">_xlfn.IFNA(IF(AE320 &lt; (INDEX(SLATable[Minimum SLA],MATCH(G320,SLATable[Priority],0))),"YES","NO"),"")</f>
        <v>NO</v>
      </c>
      <c r="AJ320" s="28" t="str">
        <f ca="1">_xlfn.IFNA(IF(AE320 &lt; (INDEX(SLATable[Maximum SLA],MATCH(G320,SLATable[Priority],0))),"YES","NO"),"")</f>
        <v>NO</v>
      </c>
    </row>
    <row r="321" spans="2:36" ht="15" customHeight="1">
      <c r="B321" s="127" t="s">
        <v>26</v>
      </c>
      <c r="C321" s="127" t="s">
        <v>35</v>
      </c>
      <c r="D321" s="127" t="s">
        <v>207</v>
      </c>
      <c r="E321" s="239" t="s">
        <v>1729</v>
      </c>
      <c r="F321" s="127" t="s">
        <v>289</v>
      </c>
      <c r="G321" s="127">
        <v>3</v>
      </c>
      <c r="H321" s="239" t="s">
        <v>1051</v>
      </c>
      <c r="I321" s="127" t="s">
        <v>271</v>
      </c>
      <c r="J321" s="239" t="s">
        <v>1048</v>
      </c>
      <c r="K321" s="129">
        <v>46174.215740740743</v>
      </c>
      <c r="L321" s="129">
        <v>46028.224074074074</v>
      </c>
      <c r="M321" s="129">
        <v>46028.319178240738</v>
      </c>
      <c r="N321" s="129">
        <v>46175.455023148148</v>
      </c>
      <c r="O321" s="129"/>
      <c r="P321" s="129"/>
      <c r="Q321" s="239" t="s">
        <v>695</v>
      </c>
      <c r="R321" s="127" t="s">
        <v>267</v>
      </c>
      <c r="S321" s="127" t="s">
        <v>193</v>
      </c>
      <c r="T321" s="127"/>
      <c r="U321" s="127" t="s">
        <v>371</v>
      </c>
      <c r="Z321" s="169">
        <f t="shared" ref="Z321:Z361" ca="1" si="40">IF(NOT(OR(G321=1,G321=2)),MAX(0,_xlfn.IFS(AND(K321&lt;&gt;"",N321&lt;&gt;""),((MAX(NETWORKDAYS(K321,N321,UKBankHolidays)-1,0))*(TIME(17,0,0)-TIME(8,0,0))+IF(NETWORKDAYS(N321,N321,UKBankHolidays)&gt;0,MEDIAN(TIME(8,0,0),MOD(N321,1),TIME(17,0,0)),TIME(8,0,0))-IF(NETWORKDAYS(K321,K321,UKBankHolidays)&gt;0,MEDIAN(TIME(8,0,0),MOD(K321,1),TIME(17,0,0)),TIME(8,0,0)))-IF(AND(O321&lt;&gt;"",P321&lt;&gt;""),((MAX(NETWORKDAYS(O321,P321,UKBankHolidays)-1,0))*(TIME(17,0,0)-TIME(8,0,0))+IF(NETWORKDAYS(P321,P321,UKBankHolidays)&gt;0,MEDIAN(TIME(8,0,0),MOD(P321,1),TIME(17,0,0)),TIME(8,0,0))-IF(NETWORKDAYS(O321,O321,UKBankHolidays)&gt;0,MEDIAN(TIME(8,0,0),MOD(O321,1),TIME(17,0,0)),TIME(8,0,0))),0),AND(K321&lt;&gt;"",N321=""),((MAX(NETWORKDAYS(K321,NOW(),UKBankHolidays)-1,0))*(TIME(17,0,0)-TIME(8,0,0))+IF(NETWORKDAYS(NOW(),NOW(),UKBankHolidays)&gt;0,MEDIAN(TIME(8,0,0),MOD(NOW(),1),TIME(17,0,0)),TIME(8,0,0))-IF(NETWORKDAYS(K321,K321,UKBankHolidays)&gt;0,MEDIAN(TIME(8,0,0),MOD(K321,1),TIME(17,0,0)),TIME(8,0,0))))),IF(N321="",NOW()-K321,N321-K321))</f>
        <v>0.49668981481469626</v>
      </c>
      <c r="AA321" s="170">
        <f t="shared" ref="AA321:AA361" ca="1" si="41">(Z321*24)/9</f>
        <v>1.32450617283919</v>
      </c>
      <c r="AB321" s="169">
        <f t="shared" ref="AB321:AB361" ca="1" si="42">IF(NOT(OR(G321=1,G321=2)),MAX(0,_xlfn.IFS(AND(K321&lt;&gt;"",N321&lt;&gt;""),(((MAX(NETWORKDAYS(L321,N321,UKBankHolidays)-1,0))*(TIME(17,0,0)-TIME(8,0,0)))+IF(NETWORKDAYS(N321,N321,UKBankHolidays)&gt;0,MEDIAN(TIME(8,0,0),MOD(N321,1),TIME(17,0,0)),TIME(8,0,0))-IF(NETWORKDAYS(L321,L321,UKBankHolidays)&gt;0,MEDIAN(TIME(8,0,0),MOD(L321,1),TIME(17,0,0)),TIME(8,0,0)))-IF(AND(O321&lt;&gt;"",P321&lt;&gt;""),(((MAX(NETWORKDAYS(O321,P321,UKBankHolidays)-1,0))*(TIME(17,0,0)-TIME(8,0,0)))+IF(NETWORKDAYS(P321,P321,UKBankHolidays)&gt;0,MEDIAN(TIME(8,0,0),MOD(P321,1),TIME(17,0,0)),TIME(8,0,0))-IF(NETWORKDAYS(O321,O321,UKBankHolidays)&gt;0,MEDIAN(TIME(8,0,0),MOD(O321,1),TIME(17,0,0)),TIME(8,0,0))),0),AND(L321&lt;&gt;"",N321="",O321=""),(((MAX(NETWORKDAYS(L321,NOW(),UKBankHolidays)-1,0))*(TIME(17,0,0)-TIME(8,0,0)))+IF(NETWORKDAYS(NOW(),NOW(),UKBankHolidays)&gt;0,MEDIAN(TIME(8,0,0),MOD(NOW(),1),TIME(17,0,0)),TIME(8,0,0))-IF(NETWORKDAYS(L321,L321,UKBankHolidays)&gt;0,MEDIAN(TIME(8,0,0),MOD(L321,1),TIME(17,0,0)),TIME(8,0,0)))-IF(AND(O321&lt;&gt;"",P321&lt;&gt;""),(((MAX(NETWORKDAYS(O321,P321,UKBankHolidays)-1,0))*(TIME(17,0,0)-TIME(8,0,0)))+IF(NETWORKDAYS(P321,P321,UKBankHolidays)&gt;0,MEDIAN(TIME(8,0,0),MOD(P321,1),TIME(17,0,0)),TIME(8,0,0))-IF(NETWORKDAYS(O321,O321,UKBankHolidays)&gt;0,MEDIAN(TIME(8,0,0),MOD(O321,1),TIME(17,0,0)),TIME(8,0,0))),0),AND(L321&lt;&gt;"",N321="",P321="",O321&lt;&gt;""),(((MAX(NETWORKDAYS(L321,O321,UKBankHolidays)-1,0))*(TIME(17,0,0)-TIME(8,0,0)))+IF(NETWORKDAYS(O321,O321,UKBankHolidays)&gt;0,MEDIAN(TIME(8,0,0),MOD(O321,1),TIME(17,0,0)),TIME(8,0,0))-IF(NETWORKDAYS(L321,L321,UKBankHolidays)&gt;0,MEDIAN(TIME(8,0,0),MOD(L321,1),TIME(17,0,0)),TIME(8,0,0))),ISBLANK(K321),"0")),IF(ISBLANK(N321),NOW()-L321,N321-L321))</f>
        <v>37.621689814814701</v>
      </c>
      <c r="AC321" s="170">
        <f t="shared" ref="AC321:AC361" ca="1" si="43">(AB321*24)/9</f>
        <v>100.32450617283921</v>
      </c>
      <c r="AD321" s="169">
        <f t="shared" ref="AD321:AD361" ca="1" si="44">MAX(0,IF(NOT(OR(G321=1,G321=2)),IF(M321&lt;&gt;"",((MAX(NETWORKDAYS(L321,M321,UKBankHolidays)-1,0))*(TIME(17,0,0)-TIME(8,0,0))+IF(NETWORKDAYS(M321,M321,UKBankHolidays)&gt;0,MEDIAN(TIME(8,0,0),MOD(M321,1),TIME(17,0,0)),TIME(8,0,0))-MEDIAN(TIME(8,0,0),MOD(L321,1),TIME(17,0,0))),((MAX(NETWORKDAYS(L321,NOW(),UKBankHolidays)-1,0))*(TIME(17,0,0)-TIME(8,0,0))+IF(NETWORKDAYS(NOW(),NOW(),UKBankHolidays)&gt;0,MEDIAN(TIME(8,0,0),MOD(NOW(),1),TIME(17,0,0)),TIME(8,0,0))-MEDIAN(TIME(8,0,0),MOD(L321,1),TIME(17,0,0)))),IF(M321&lt;&gt;"",M321-L321,NOW()-L321)))</f>
        <v>0</v>
      </c>
      <c r="AE321" s="169">
        <f t="shared" ca="1" si="37"/>
        <v>37.621689814814701</v>
      </c>
      <c r="AF321" s="170">
        <f t="shared" ref="AF321:AF361" ca="1" si="45">(AE321*24)/9</f>
        <v>100.32450617283921</v>
      </c>
      <c r="AG321" s="170">
        <f t="shared" ref="AG321:AG361" ca="1" si="46">AF321</f>
        <v>100.32450617283921</v>
      </c>
      <c r="AH321" s="28" t="str" cm="1">
        <f t="array" aca="1" ref="AH321" ca="1">IF((AD321) &lt; (INDEX(ResponseSLA[#All],(MATCH((G321),ResponseSLA[Priority],0))+1,3)),"YES","No")</f>
        <v>YES</v>
      </c>
      <c r="AI321" s="28" t="str">
        <f ca="1">_xlfn.IFNA(IF(AE321 &lt; (INDEX(SLATable[Minimum SLA],MATCH(G321,SLATable[Priority],0))),"YES","NO"),"")</f>
        <v>NO</v>
      </c>
      <c r="AJ321" s="28" t="str">
        <f ca="1">_xlfn.IFNA(IF(AE321 &lt; (INDEX(SLATable[Maximum SLA],MATCH(G321,SLATable[Priority],0))),"YES","NO"),"")</f>
        <v>NO</v>
      </c>
    </row>
    <row r="322" spans="2:36" ht="15" customHeight="1">
      <c r="B322" s="127" t="s">
        <v>26</v>
      </c>
      <c r="C322" s="127" t="s">
        <v>35</v>
      </c>
      <c r="D322" s="127" t="s">
        <v>207</v>
      </c>
      <c r="E322" s="127" t="s">
        <v>1730</v>
      </c>
      <c r="F322" s="127" t="s">
        <v>295</v>
      </c>
      <c r="G322" s="127">
        <v>3</v>
      </c>
      <c r="H322" s="127" t="s">
        <v>1731</v>
      </c>
      <c r="I322" s="127" t="s">
        <v>271</v>
      </c>
      <c r="J322" s="127" t="s">
        <v>1732</v>
      </c>
      <c r="K322" s="129">
        <v>46171.498611111114</v>
      </c>
      <c r="L322" s="129">
        <v>46171.498888888891</v>
      </c>
      <c r="M322" s="129">
        <v>46171.635138888887</v>
      </c>
      <c r="N322" s="129">
        <v>46174.45616898148</v>
      </c>
      <c r="O322" s="129"/>
      <c r="P322" s="129"/>
      <c r="Q322" s="127" t="s">
        <v>1203</v>
      </c>
      <c r="R322" s="127" t="s">
        <v>267</v>
      </c>
      <c r="S322" s="127" t="s">
        <v>149</v>
      </c>
      <c r="T322" s="127"/>
      <c r="U322" s="127" t="s">
        <v>371</v>
      </c>
      <c r="Z322" s="169">
        <f t="shared" ca="1" si="40"/>
        <v>0.33255787036614493</v>
      </c>
      <c r="AA322" s="170">
        <f t="shared" ca="1" si="41"/>
        <v>0.88682098764305317</v>
      </c>
      <c r="AB322" s="169">
        <f t="shared" ca="1" si="42"/>
        <v>0.33228009258891689</v>
      </c>
      <c r="AC322" s="170">
        <f t="shared" ca="1" si="43"/>
        <v>0.8860802469037784</v>
      </c>
      <c r="AD322" s="169">
        <f t="shared" ca="1" si="44"/>
        <v>0.13624999999592546</v>
      </c>
      <c r="AE322" s="169">
        <f t="shared" ref="AE322:AE385" ca="1" si="47">SUMIFS(AB:AB,E:E,E322)</f>
        <v>0.33228009258891689</v>
      </c>
      <c r="AF322" s="170">
        <f t="shared" ca="1" si="45"/>
        <v>0.8860802469037784</v>
      </c>
      <c r="AG322" s="170">
        <f t="shared" ca="1" si="46"/>
        <v>0.8860802469037784</v>
      </c>
      <c r="AH322" s="28" t="str" cm="1">
        <f t="array" aca="1" ref="AH322" ca="1">IF((AD322) &lt; (INDEX(ResponseSLA[#All],(MATCH((G322),ResponseSLA[Priority],0))+1,3)),"YES","No")</f>
        <v>No</v>
      </c>
      <c r="AI322" s="28" t="str">
        <f ca="1">_xlfn.IFNA(IF(AE322 &lt; (INDEX(SLATable[Minimum SLA],MATCH(G322,SLATable[Priority],0))),"YES","NO"),"")</f>
        <v>YES</v>
      </c>
      <c r="AJ322" s="28" t="str">
        <f ca="1">_xlfn.IFNA(IF(AE322 &lt; (INDEX(SLATable[Maximum SLA],MATCH(G322,SLATable[Priority],0))),"YES","NO"),"")</f>
        <v>YES</v>
      </c>
    </row>
    <row r="323" spans="2:36" ht="15" customHeight="1">
      <c r="B323" s="127" t="s">
        <v>26</v>
      </c>
      <c r="C323" s="127" t="s">
        <v>35</v>
      </c>
      <c r="D323" s="127" t="s">
        <v>207</v>
      </c>
      <c r="E323" s="127" t="s">
        <v>1733</v>
      </c>
      <c r="F323" s="127" t="s">
        <v>295</v>
      </c>
      <c r="G323" s="127">
        <v>3</v>
      </c>
      <c r="H323" s="127" t="s">
        <v>1734</v>
      </c>
      <c r="I323" s="127" t="s">
        <v>271</v>
      </c>
      <c r="J323" s="127" t="s">
        <v>1732</v>
      </c>
      <c r="K323" s="129">
        <v>46189.727083333331</v>
      </c>
      <c r="L323" s="129">
        <v>46189.727534722224</v>
      </c>
      <c r="M323" s="129">
        <v>46192.505833333336</v>
      </c>
      <c r="N323" s="129">
        <v>46196.470034722224</v>
      </c>
      <c r="O323" s="129"/>
      <c r="P323" s="129"/>
      <c r="Q323" s="127" t="s">
        <v>1203</v>
      </c>
      <c r="R323" s="127" t="s">
        <v>267</v>
      </c>
      <c r="S323" s="127" t="s">
        <v>149</v>
      </c>
      <c r="T323" s="127"/>
      <c r="U323" s="127" t="s">
        <v>371</v>
      </c>
      <c r="Z323" s="169">
        <f t="shared" ca="1" si="40"/>
        <v>1.6367013888908937</v>
      </c>
      <c r="AA323" s="170">
        <f t="shared" ca="1" si="41"/>
        <v>4.3645370370423837</v>
      </c>
      <c r="AB323" s="169">
        <f t="shared" ca="1" si="42"/>
        <v>1.6367013888908937</v>
      </c>
      <c r="AC323" s="170">
        <f t="shared" ca="1" si="43"/>
        <v>4.3645370370423837</v>
      </c>
      <c r="AD323" s="169">
        <f t="shared" ca="1" si="44"/>
        <v>0.92250000000300758</v>
      </c>
      <c r="AE323" s="169">
        <f t="shared" ca="1" si="47"/>
        <v>1.6367013888908937</v>
      </c>
      <c r="AF323" s="170">
        <f t="shared" ca="1" si="45"/>
        <v>4.3645370370423837</v>
      </c>
      <c r="AG323" s="170">
        <f t="shared" ca="1" si="46"/>
        <v>4.3645370370423837</v>
      </c>
      <c r="AH323" s="28" t="str" cm="1">
        <f t="array" aca="1" ref="AH323" ca="1">IF((AD323) &lt; (INDEX(ResponseSLA[#All],(MATCH((G323),ResponseSLA[Priority],0))+1,3)),"YES","No")</f>
        <v>No</v>
      </c>
      <c r="AI323" s="28" t="str">
        <f ca="1">_xlfn.IFNA(IF(AE323 &lt; (INDEX(SLATable[Minimum SLA],MATCH(G323,SLATable[Priority],0))),"YES","NO"),"")</f>
        <v>NO</v>
      </c>
      <c r="AJ323" s="28" t="str">
        <f ca="1">_xlfn.IFNA(IF(AE323 &lt; (INDEX(SLATable[Maximum SLA],MATCH(G323,SLATable[Priority],0))),"YES","NO"),"")</f>
        <v>YES</v>
      </c>
    </row>
    <row r="324" spans="2:36" ht="15" customHeight="1">
      <c r="B324" s="127" t="s">
        <v>26</v>
      </c>
      <c r="C324" s="127" t="s">
        <v>35</v>
      </c>
      <c r="D324" s="127" t="s">
        <v>207</v>
      </c>
      <c r="E324" s="127" t="s">
        <v>1735</v>
      </c>
      <c r="F324" s="127" t="s">
        <v>295</v>
      </c>
      <c r="G324" s="127">
        <v>4</v>
      </c>
      <c r="H324" s="127" t="s">
        <v>1736</v>
      </c>
      <c r="I324" s="127" t="s">
        <v>271</v>
      </c>
      <c r="J324" s="127" t="s">
        <v>1732</v>
      </c>
      <c r="K324" s="129">
        <v>46197.008333333331</v>
      </c>
      <c r="L324" s="129">
        <v>46197.008923611109</v>
      </c>
      <c r="M324" s="129">
        <v>46197.475347222222</v>
      </c>
      <c r="N324" s="129">
        <v>46199.481157407405</v>
      </c>
      <c r="O324" s="129"/>
      <c r="P324" s="129"/>
      <c r="Q324" s="127" t="s">
        <v>1203</v>
      </c>
      <c r="R324" s="127" t="s">
        <v>267</v>
      </c>
      <c r="S324" s="127" t="s">
        <v>149</v>
      </c>
      <c r="T324" s="127"/>
      <c r="U324" s="127" t="s">
        <v>371</v>
      </c>
      <c r="Z324" s="169">
        <f t="shared" ca="1" si="40"/>
        <v>0.89782407407134701</v>
      </c>
      <c r="AA324" s="170">
        <f t="shared" ca="1" si="41"/>
        <v>2.3941975308569252</v>
      </c>
      <c r="AB324" s="169">
        <f t="shared" ca="1" si="42"/>
        <v>0.89782407407134701</v>
      </c>
      <c r="AC324" s="170">
        <f t="shared" ca="1" si="43"/>
        <v>2.3941975308569252</v>
      </c>
      <c r="AD324" s="169">
        <f t="shared" ca="1" si="44"/>
        <v>0.14201388888856553</v>
      </c>
      <c r="AE324" s="169">
        <f t="shared" ca="1" si="47"/>
        <v>0.89782407407134701</v>
      </c>
      <c r="AF324" s="170">
        <f t="shared" ca="1" si="45"/>
        <v>2.3941975308569252</v>
      </c>
      <c r="AG324" s="170">
        <f t="shared" ca="1" si="46"/>
        <v>2.3941975308569252</v>
      </c>
      <c r="AH324" s="28" t="str" cm="1">
        <f t="array" aca="1" ref="AH324" ca="1">IF((AD324) &lt; (INDEX(ResponseSLA[#All],(MATCH((G324),ResponseSLA[Priority],0))+1,3)),"YES","No")</f>
        <v>No</v>
      </c>
      <c r="AI324" s="28" t="str">
        <f ca="1">_xlfn.IFNA(IF(AE324 &lt; (INDEX(SLATable[Minimum SLA],MATCH(G324,SLATable[Priority],0))),"YES","NO"),"")</f>
        <v>YES</v>
      </c>
      <c r="AJ324" s="28" t="str">
        <f ca="1">_xlfn.IFNA(IF(AE324 &lt; (INDEX(SLATable[Maximum SLA],MATCH(G324,SLATable[Priority],0))),"YES","NO"),"")</f>
        <v>YES</v>
      </c>
    </row>
    <row r="325" spans="2:36" ht="15" customHeight="1">
      <c r="B325" s="127" t="s">
        <v>26</v>
      </c>
      <c r="C325" s="127" t="s">
        <v>35</v>
      </c>
      <c r="D325" s="127" t="s">
        <v>207</v>
      </c>
      <c r="E325" s="127" t="s">
        <v>1737</v>
      </c>
      <c r="F325" s="127" t="s">
        <v>295</v>
      </c>
      <c r="G325" s="127">
        <v>4</v>
      </c>
      <c r="H325" s="127" t="s">
        <v>1738</v>
      </c>
      <c r="I325" s="127" t="s">
        <v>271</v>
      </c>
      <c r="J325" s="127" t="s">
        <v>1732</v>
      </c>
      <c r="K325" s="129">
        <v>46197.320138888892</v>
      </c>
      <c r="L325" s="129">
        <v>46197.320729166669</v>
      </c>
      <c r="M325" s="129">
        <v>46197.475532407407</v>
      </c>
      <c r="N325" s="129">
        <v>46199.482291666667</v>
      </c>
      <c r="O325" s="129"/>
      <c r="P325" s="129"/>
      <c r="Q325" s="127" t="s">
        <v>1203</v>
      </c>
      <c r="R325" s="127" t="s">
        <v>267</v>
      </c>
      <c r="S325" s="127" t="s">
        <v>149</v>
      </c>
      <c r="T325" s="127"/>
      <c r="U325" s="127" t="s">
        <v>371</v>
      </c>
      <c r="Z325" s="169">
        <f t="shared" ca="1" si="40"/>
        <v>0.89895833333381847</v>
      </c>
      <c r="AA325" s="170">
        <f t="shared" ca="1" si="41"/>
        <v>2.3972222222235158</v>
      </c>
      <c r="AB325" s="169">
        <f t="shared" ca="1" si="42"/>
        <v>0.89895833333381847</v>
      </c>
      <c r="AC325" s="170">
        <f t="shared" ca="1" si="43"/>
        <v>2.3972222222235158</v>
      </c>
      <c r="AD325" s="169">
        <f t="shared" ca="1" si="44"/>
        <v>0.14219907407338422</v>
      </c>
      <c r="AE325" s="169">
        <f t="shared" ca="1" si="47"/>
        <v>0.89895833333381847</v>
      </c>
      <c r="AF325" s="170">
        <f t="shared" ca="1" si="45"/>
        <v>2.3972222222235158</v>
      </c>
      <c r="AG325" s="170">
        <f t="shared" ca="1" si="46"/>
        <v>2.3972222222235158</v>
      </c>
      <c r="AH325" s="28" t="str" cm="1">
        <f t="array" aca="1" ref="AH325" ca="1">IF((AD325) &lt; (INDEX(ResponseSLA[#All],(MATCH((G325),ResponseSLA[Priority],0))+1,3)),"YES","No")</f>
        <v>No</v>
      </c>
      <c r="AI325" s="28" t="str">
        <f ca="1">_xlfn.IFNA(IF(AE325 &lt; (INDEX(SLATable[Minimum SLA],MATCH(G325,SLATable[Priority],0))),"YES","NO"),"")</f>
        <v>YES</v>
      </c>
      <c r="AJ325" s="28" t="str">
        <f ca="1">_xlfn.IFNA(IF(AE325 &lt; (INDEX(SLATable[Maximum SLA],MATCH(G325,SLATable[Priority],0))),"YES","NO"),"")</f>
        <v>YES</v>
      </c>
    </row>
    <row r="326" spans="2:36" ht="15" customHeight="1">
      <c r="B326" s="127" t="s">
        <v>26</v>
      </c>
      <c r="C326" s="127" t="s">
        <v>35</v>
      </c>
      <c r="D326" s="127" t="s">
        <v>207</v>
      </c>
      <c r="E326" s="127" t="s">
        <v>1739</v>
      </c>
      <c r="F326" s="127" t="s">
        <v>295</v>
      </c>
      <c r="G326" s="127">
        <v>4</v>
      </c>
      <c r="H326" s="127" t="s">
        <v>1740</v>
      </c>
      <c r="I326" s="127" t="s">
        <v>271</v>
      </c>
      <c r="J326" s="127" t="s">
        <v>1732</v>
      </c>
      <c r="K326" s="129">
        <v>46197.820138888892</v>
      </c>
      <c r="L326" s="129">
        <v>46197.820740740739</v>
      </c>
      <c r="M326" s="129">
        <v>46198.492291666669</v>
      </c>
      <c r="N326" s="129">
        <v>46199.484050925923</v>
      </c>
      <c r="O326" s="129"/>
      <c r="P326" s="129"/>
      <c r="Q326" s="127" t="s">
        <v>1203</v>
      </c>
      <c r="R326" s="127" t="s">
        <v>267</v>
      </c>
      <c r="S326" s="127" t="s">
        <v>149</v>
      </c>
      <c r="T326" s="127"/>
      <c r="U326" s="127" t="s">
        <v>371</v>
      </c>
      <c r="Z326" s="169">
        <f t="shared" ca="1" si="40"/>
        <v>0.52571759258959594</v>
      </c>
      <c r="AA326" s="170">
        <f t="shared" ca="1" si="41"/>
        <v>1.4019135802389227</v>
      </c>
      <c r="AB326" s="169">
        <f t="shared" ca="1" si="42"/>
        <v>0.52571759258959594</v>
      </c>
      <c r="AC326" s="170">
        <f t="shared" ca="1" si="43"/>
        <v>1.4019135802389227</v>
      </c>
      <c r="AD326" s="169">
        <f t="shared" ca="1" si="44"/>
        <v>0.15895833333585563</v>
      </c>
      <c r="AE326" s="169">
        <f t="shared" ca="1" si="47"/>
        <v>0.52571759258959594</v>
      </c>
      <c r="AF326" s="170">
        <f t="shared" ca="1" si="45"/>
        <v>1.4019135802389227</v>
      </c>
      <c r="AG326" s="170">
        <f t="shared" ca="1" si="46"/>
        <v>1.4019135802389227</v>
      </c>
      <c r="AH326" s="28" t="str" cm="1">
        <f t="array" aca="1" ref="AH326" ca="1">IF((AD326) &lt; (INDEX(ResponseSLA[#All],(MATCH((G326),ResponseSLA[Priority],0))+1,3)),"YES","No")</f>
        <v>No</v>
      </c>
      <c r="AI326" s="28" t="str">
        <f ca="1">_xlfn.IFNA(IF(AE326 &lt; (INDEX(SLATable[Minimum SLA],MATCH(G326,SLATable[Priority],0))),"YES","NO"),"")</f>
        <v>YES</v>
      </c>
      <c r="AJ326" s="28" t="str">
        <f ca="1">_xlfn.IFNA(IF(AE326 &lt; (INDEX(SLATable[Maximum SLA],MATCH(G326,SLATable[Priority],0))),"YES","NO"),"")</f>
        <v>YES</v>
      </c>
    </row>
    <row r="327" spans="2:36" ht="15" customHeight="1">
      <c r="B327" s="127" t="s">
        <v>26</v>
      </c>
      <c r="C327" s="127" t="s">
        <v>35</v>
      </c>
      <c r="D327" s="127" t="s">
        <v>207</v>
      </c>
      <c r="E327" s="256" t="s">
        <v>1741</v>
      </c>
      <c r="F327" s="256" t="s">
        <v>289</v>
      </c>
      <c r="G327" s="127">
        <v>4</v>
      </c>
      <c r="H327" s="256" t="s">
        <v>1742</v>
      </c>
      <c r="I327" s="256" t="s">
        <v>271</v>
      </c>
      <c r="J327" s="256" t="s">
        <v>1092</v>
      </c>
      <c r="K327" s="129">
        <v>46202.488854166666</v>
      </c>
      <c r="L327" s="129">
        <v>46202.489004629628</v>
      </c>
      <c r="M327" s="129">
        <v>46202.497164351851</v>
      </c>
      <c r="N327" s="129"/>
      <c r="O327" s="129"/>
      <c r="P327" s="129"/>
      <c r="Q327" s="256" t="s">
        <v>1068</v>
      </c>
      <c r="R327" s="127"/>
      <c r="S327" s="127"/>
      <c r="T327" s="127"/>
      <c r="U327" s="127" t="s">
        <v>371</v>
      </c>
      <c r="Z327" s="169">
        <f t="shared" ca="1" si="40"/>
        <v>15.520119907407206</v>
      </c>
      <c r="AA327" s="170">
        <f t="shared" ca="1" si="41"/>
        <v>41.386986419752553</v>
      </c>
      <c r="AB327" s="169">
        <f t="shared" ca="1" si="42"/>
        <v>15.519969560184109</v>
      </c>
      <c r="AC327" s="170">
        <f t="shared" ca="1" si="43"/>
        <v>41.386585493824292</v>
      </c>
      <c r="AD327" s="169">
        <f t="shared" ca="1" si="44"/>
        <v>8.1597222233540379E-3</v>
      </c>
      <c r="AE327" s="169">
        <f t="shared" ca="1" si="47"/>
        <v>16.281867708334175</v>
      </c>
      <c r="AF327" s="170">
        <f t="shared" ca="1" si="45"/>
        <v>43.418313888891134</v>
      </c>
      <c r="AG327" s="170">
        <f t="shared" ca="1" si="46"/>
        <v>43.418313888891134</v>
      </c>
      <c r="AH327" s="28" t="str" cm="1">
        <f t="array" aca="1" ref="AH327" ca="1">IF((AD327) &lt; (INDEX(ResponseSLA[#All],(MATCH((G327),ResponseSLA[Priority],0))+1,3)),"YES","No")</f>
        <v>YES</v>
      </c>
      <c r="AI327" s="28" t="str">
        <f ca="1">_xlfn.IFNA(IF(AE327 &lt; (INDEX(SLATable[Minimum SLA],MATCH(G327,SLATable[Priority],0))),"YES","NO"),"")</f>
        <v>NO</v>
      </c>
      <c r="AJ327" s="28" t="str">
        <f ca="1">_xlfn.IFNA(IF(AE327 &lt; (INDEX(SLATable[Maximum SLA],MATCH(G327,SLATable[Priority],0))),"YES","NO"),"")</f>
        <v>NO</v>
      </c>
    </row>
    <row r="328" spans="2:36" ht="15" customHeight="1">
      <c r="B328" s="127" t="s">
        <v>26</v>
      </c>
      <c r="C328" s="127" t="s">
        <v>35</v>
      </c>
      <c r="D328" s="127" t="s">
        <v>207</v>
      </c>
      <c r="E328" s="256" t="s">
        <v>1743</v>
      </c>
      <c r="F328" s="256" t="s">
        <v>289</v>
      </c>
      <c r="G328" s="127">
        <v>4</v>
      </c>
      <c r="H328" s="256" t="s">
        <v>1744</v>
      </c>
      <c r="I328" s="256" t="s">
        <v>271</v>
      </c>
      <c r="J328" s="256" t="s">
        <v>1092</v>
      </c>
      <c r="K328" s="129">
        <v>46199.802349537036</v>
      </c>
      <c r="L328" s="129">
        <v>46199.802719907406</v>
      </c>
      <c r="M328" s="129">
        <v>46202.368402777778</v>
      </c>
      <c r="N328" s="129"/>
      <c r="O328" s="129"/>
      <c r="P328" s="129"/>
      <c r="Q328" s="256" t="s">
        <v>1104</v>
      </c>
      <c r="R328" s="127"/>
      <c r="S328" s="127"/>
      <c r="T328" s="127"/>
      <c r="U328" s="127" t="s">
        <v>371</v>
      </c>
      <c r="Z328" s="169">
        <f t="shared" ca="1" si="40"/>
        <v>15.67564074073986</v>
      </c>
      <c r="AA328" s="170">
        <f t="shared" ca="1" si="41"/>
        <v>41.801708641972965</v>
      </c>
      <c r="AB328" s="169">
        <f t="shared" ca="1" si="42"/>
        <v>15.675640856478518</v>
      </c>
      <c r="AC328" s="170">
        <f t="shared" ca="1" si="43"/>
        <v>41.801708950609381</v>
      </c>
      <c r="AD328" s="169">
        <f t="shared" ca="1" si="44"/>
        <v>3.5069444444767783E-2</v>
      </c>
      <c r="AE328" s="169">
        <f t="shared" ca="1" si="47"/>
        <v>15.675640856478518</v>
      </c>
      <c r="AF328" s="170">
        <f t="shared" ca="1" si="45"/>
        <v>41.801708950609381</v>
      </c>
      <c r="AG328" s="170">
        <f t="shared" ca="1" si="46"/>
        <v>41.801708950609381</v>
      </c>
      <c r="AH328" s="28" t="str" cm="1">
        <f t="array" aca="1" ref="AH328" ca="1">IF((AD328) &lt; (INDEX(ResponseSLA[#All],(MATCH((G328),ResponseSLA[Priority],0))+1,3)),"YES","No")</f>
        <v>YES</v>
      </c>
      <c r="AI328" s="28" t="str">
        <f ca="1">_xlfn.IFNA(IF(AE328 &lt; (INDEX(SLATable[Minimum SLA],MATCH(G328,SLATable[Priority],0))),"YES","NO"),"")</f>
        <v>NO</v>
      </c>
      <c r="AJ328" s="28" t="str">
        <f ca="1">_xlfn.IFNA(IF(AE328 &lt; (INDEX(SLATable[Maximum SLA],MATCH(G328,SLATable[Priority],0))),"YES","NO"),"")</f>
        <v>NO</v>
      </c>
    </row>
    <row r="329" spans="2:36" ht="15" customHeight="1">
      <c r="B329" s="127" t="s">
        <v>26</v>
      </c>
      <c r="C329" s="127" t="s">
        <v>35</v>
      </c>
      <c r="D329" s="127" t="s">
        <v>207</v>
      </c>
      <c r="E329" s="256" t="s">
        <v>1745</v>
      </c>
      <c r="F329" s="256" t="s">
        <v>289</v>
      </c>
      <c r="G329" s="127">
        <v>4</v>
      </c>
      <c r="H329" s="256" t="s">
        <v>1746</v>
      </c>
      <c r="I329" s="256" t="s">
        <v>271</v>
      </c>
      <c r="J329" s="256" t="s">
        <v>1092</v>
      </c>
      <c r="K329" s="129">
        <v>46197.620752314811</v>
      </c>
      <c r="L329" s="129">
        <v>46197.621840277781</v>
      </c>
      <c r="M329" s="129">
        <v>46198.352314814816</v>
      </c>
      <c r="N329" s="129"/>
      <c r="O329" s="129"/>
      <c r="P329" s="129"/>
      <c r="Q329" s="127" t="s">
        <v>1123</v>
      </c>
      <c r="R329" s="127"/>
      <c r="S329" s="127"/>
      <c r="T329" s="127"/>
      <c r="U329" s="127" t="s">
        <v>371</v>
      </c>
      <c r="Z329" s="169">
        <f t="shared" ca="1" si="40"/>
        <v>16.5132217592618</v>
      </c>
      <c r="AA329" s="170">
        <f t="shared" ca="1" si="41"/>
        <v>44.035258024698138</v>
      </c>
      <c r="AB329" s="169">
        <f t="shared" ca="1" si="42"/>
        <v>16.512133912030553</v>
      </c>
      <c r="AC329" s="170">
        <f t="shared" ca="1" si="43"/>
        <v>44.032357098748143</v>
      </c>
      <c r="AD329" s="169">
        <f t="shared" ca="1" si="44"/>
        <v>0.10547453703475185</v>
      </c>
      <c r="AE329" s="169" t="e">
        <f t="shared" ca="1" si="47"/>
        <v>#N/A</v>
      </c>
      <c r="AF329" s="170" t="e">
        <f t="shared" ca="1" si="45"/>
        <v>#N/A</v>
      </c>
      <c r="AG329" s="170" t="e">
        <f t="shared" ca="1" si="46"/>
        <v>#N/A</v>
      </c>
      <c r="AH329" s="28" t="str" cm="1">
        <f t="array" aca="1" ref="AH329" ca="1">IF((AD329) &lt; (INDEX(ResponseSLA[#All],(MATCH((G329),ResponseSLA[Priority],0))+1,3)),"YES","No")</f>
        <v>YES</v>
      </c>
      <c r="AI329" s="28" t="str">
        <f ca="1">_xlfn.IFNA(IF(AE329 &lt; (INDEX(SLATable[Minimum SLA],MATCH(G329,SLATable[Priority],0))),"YES","NO"),"")</f>
        <v/>
      </c>
      <c r="AJ329" s="28" t="str">
        <f ca="1">_xlfn.IFNA(IF(AE329 &lt; (INDEX(SLATable[Maximum SLA],MATCH(G329,SLATable[Priority],0))),"YES","NO"),"")</f>
        <v/>
      </c>
    </row>
    <row r="330" spans="2:36" ht="15" customHeight="1">
      <c r="B330" s="127" t="s">
        <v>26</v>
      </c>
      <c r="C330" s="127" t="s">
        <v>35</v>
      </c>
      <c r="D330" s="127" t="s">
        <v>207</v>
      </c>
      <c r="E330" s="256" t="s">
        <v>1747</v>
      </c>
      <c r="F330" s="256" t="s">
        <v>289</v>
      </c>
      <c r="G330" s="127">
        <v>4</v>
      </c>
      <c r="H330" s="256" t="s">
        <v>1748</v>
      </c>
      <c r="I330" s="256" t="s">
        <v>271</v>
      </c>
      <c r="J330" s="256" t="s">
        <v>1092</v>
      </c>
      <c r="K330" s="129">
        <v>46197.61990740741</v>
      </c>
      <c r="L330" s="129">
        <v>46197.620729166665</v>
      </c>
      <c r="M330" s="129">
        <v>46198.35125</v>
      </c>
      <c r="N330" s="129"/>
      <c r="O330" s="129"/>
      <c r="P330" s="129"/>
      <c r="Q330" s="127" t="s">
        <v>1123</v>
      </c>
      <c r="R330" s="127"/>
      <c r="S330" s="127"/>
      <c r="T330" s="127"/>
      <c r="U330" s="127" t="s">
        <v>371</v>
      </c>
      <c r="Z330" s="169">
        <f t="shared" ca="1" si="40"/>
        <v>16.514066666662988</v>
      </c>
      <c r="AA330" s="170">
        <f t="shared" ca="1" si="41"/>
        <v>44.037511111101303</v>
      </c>
      <c r="AB330" s="169">
        <f t="shared" ca="1" si="42"/>
        <v>16.513245023146741</v>
      </c>
      <c r="AC330" s="170">
        <f t="shared" ca="1" si="43"/>
        <v>44.035320061724647</v>
      </c>
      <c r="AD330" s="169">
        <f t="shared" ca="1" si="44"/>
        <v>0.1055208333345945</v>
      </c>
      <c r="AE330" s="169">
        <f t="shared" ca="1" si="47"/>
        <v>20.234286689817967</v>
      </c>
      <c r="AF330" s="170">
        <f t="shared" ca="1" si="45"/>
        <v>53.958097839514579</v>
      </c>
      <c r="AG330" s="170">
        <f t="shared" ca="1" si="46"/>
        <v>53.958097839514579</v>
      </c>
      <c r="AH330" s="28" t="str" cm="1">
        <f t="array" aca="1" ref="AH330" ca="1">IF((AD330) &lt; (INDEX(ResponseSLA[#All],(MATCH((G330),ResponseSLA[Priority],0))+1,3)),"YES","No")</f>
        <v>YES</v>
      </c>
      <c r="AI330" s="28" t="str">
        <f ca="1">_xlfn.IFNA(IF(AE330 &lt; (INDEX(SLATable[Minimum SLA],MATCH(G330,SLATable[Priority],0))),"YES","NO"),"")</f>
        <v>NO</v>
      </c>
      <c r="AJ330" s="28" t="str">
        <f ca="1">_xlfn.IFNA(IF(AE330 &lt; (INDEX(SLATable[Maximum SLA],MATCH(G330,SLATable[Priority],0))),"YES","NO"),"")</f>
        <v>NO</v>
      </c>
    </row>
    <row r="331" spans="2:36" ht="15" customHeight="1">
      <c r="B331" s="127" t="s">
        <v>26</v>
      </c>
      <c r="C331" s="127" t="s">
        <v>35</v>
      </c>
      <c r="D331" s="127" t="s">
        <v>207</v>
      </c>
      <c r="E331" s="256" t="s">
        <v>1749</v>
      </c>
      <c r="F331" s="256" t="s">
        <v>289</v>
      </c>
      <c r="G331" s="127">
        <v>4</v>
      </c>
      <c r="H331" s="256" t="s">
        <v>1750</v>
      </c>
      <c r="I331" s="256" t="s">
        <v>271</v>
      </c>
      <c r="J331" s="256" t="s">
        <v>1092</v>
      </c>
      <c r="K331" s="129">
        <v>46197.608368055553</v>
      </c>
      <c r="L331" s="129">
        <v>46197.608622685184</v>
      </c>
      <c r="M331" s="129">
        <v>46198.350671296299</v>
      </c>
      <c r="N331" s="129"/>
      <c r="O331" s="129"/>
      <c r="P331" s="129"/>
      <c r="Q331" s="127" t="s">
        <v>1123</v>
      </c>
      <c r="R331" s="127"/>
      <c r="S331" s="127"/>
      <c r="T331" s="127"/>
      <c r="U331" s="127" t="s">
        <v>371</v>
      </c>
      <c r="Z331" s="169">
        <f t="shared" ca="1" si="40"/>
        <v>16.525606018520197</v>
      </c>
      <c r="AA331" s="170">
        <f t="shared" ca="1" si="41"/>
        <v>44.068282716053858</v>
      </c>
      <c r="AB331" s="169">
        <f t="shared" ca="1" si="42"/>
        <v>16.52535150462791</v>
      </c>
      <c r="AC331" s="170">
        <f t="shared" ca="1" si="43"/>
        <v>44.067604012341093</v>
      </c>
      <c r="AD331" s="169">
        <f t="shared" ca="1" si="44"/>
        <v>0.11704861111502396</v>
      </c>
      <c r="AE331" s="169">
        <f t="shared" ca="1" si="47"/>
        <v>16.52535150462791</v>
      </c>
      <c r="AF331" s="170">
        <f t="shared" ca="1" si="45"/>
        <v>44.067604012341093</v>
      </c>
      <c r="AG331" s="170">
        <f t="shared" ca="1" si="46"/>
        <v>44.067604012341093</v>
      </c>
      <c r="AH331" s="28" t="str" cm="1">
        <f t="array" aca="1" ref="AH331" ca="1">IF((AD331) &lt; (INDEX(ResponseSLA[#All],(MATCH((G331),ResponseSLA[Priority],0))+1,3)),"YES","No")</f>
        <v>YES</v>
      </c>
      <c r="AI331" s="28" t="str">
        <f ca="1">_xlfn.IFNA(IF(AE331 &lt; (INDEX(SLATable[Minimum SLA],MATCH(G331,SLATable[Priority],0))),"YES","NO"),"")</f>
        <v>NO</v>
      </c>
      <c r="AJ331" s="28" t="str">
        <f ca="1">_xlfn.IFNA(IF(AE331 &lt; (INDEX(SLATable[Maximum SLA],MATCH(G331,SLATable[Priority],0))),"YES","NO"),"")</f>
        <v>NO</v>
      </c>
    </row>
    <row r="332" spans="2:36" ht="15" customHeight="1">
      <c r="B332" s="127" t="s">
        <v>26</v>
      </c>
      <c r="C332" s="127" t="s">
        <v>35</v>
      </c>
      <c r="D332" s="127" t="s">
        <v>207</v>
      </c>
      <c r="E332" s="256" t="s">
        <v>1751</v>
      </c>
      <c r="F332" s="256" t="s">
        <v>289</v>
      </c>
      <c r="G332" s="127">
        <v>4</v>
      </c>
      <c r="H332" s="256" t="s">
        <v>1752</v>
      </c>
      <c r="I332" s="256" t="s">
        <v>266</v>
      </c>
      <c r="J332" s="256" t="s">
        <v>1092</v>
      </c>
      <c r="K332" s="129">
        <v>46197.607349537036</v>
      </c>
      <c r="L332" s="129">
        <v>46197.607847222222</v>
      </c>
      <c r="M332" s="129">
        <v>46198.350173611114</v>
      </c>
      <c r="N332" s="129"/>
      <c r="O332" s="129"/>
      <c r="P332" s="129"/>
      <c r="Q332" s="127" t="s">
        <v>1123</v>
      </c>
      <c r="R332" s="127"/>
      <c r="S332" s="127"/>
      <c r="T332" s="127"/>
      <c r="U332" s="127" t="s">
        <v>371</v>
      </c>
      <c r="Z332" s="169">
        <f t="shared" ca="1" si="40"/>
        <v>16.5266245370367</v>
      </c>
      <c r="AA332" s="170">
        <f t="shared" ca="1" si="41"/>
        <v>44.070998765431199</v>
      </c>
      <c r="AB332" s="169">
        <f t="shared" ca="1" si="42"/>
        <v>16.526126967590248</v>
      </c>
      <c r="AC332" s="170">
        <f t="shared" ca="1" si="43"/>
        <v>44.069671913573998</v>
      </c>
      <c r="AD332" s="169">
        <f t="shared" ca="1" si="44"/>
        <v>0.117326388892252</v>
      </c>
      <c r="AE332" s="169">
        <f t="shared" ca="1" si="47"/>
        <v>20.260849189806326</v>
      </c>
      <c r="AF332" s="170">
        <f t="shared" ca="1" si="45"/>
        <v>54.028931172816868</v>
      </c>
      <c r="AG332" s="170">
        <f t="shared" ca="1" si="46"/>
        <v>54.028931172816868</v>
      </c>
      <c r="AH332" s="28" t="str" cm="1">
        <f t="array" aca="1" ref="AH332" ca="1">IF((AD332) &lt; (INDEX(ResponseSLA[#All],(MATCH((G332),ResponseSLA[Priority],0))+1,3)),"YES","No")</f>
        <v>YES</v>
      </c>
      <c r="AI332" s="28" t="str">
        <f ca="1">_xlfn.IFNA(IF(AE332 &lt; (INDEX(SLATable[Minimum SLA],MATCH(G332,SLATable[Priority],0))),"YES","NO"),"")</f>
        <v>NO</v>
      </c>
      <c r="AJ332" s="28" t="str">
        <f ca="1">_xlfn.IFNA(IF(AE332 &lt; (INDEX(SLATable[Maximum SLA],MATCH(G332,SLATable[Priority],0))),"YES","NO"),"")</f>
        <v>NO</v>
      </c>
    </row>
    <row r="333" spans="2:36" ht="15" customHeight="1">
      <c r="B333" s="127" t="s">
        <v>26</v>
      </c>
      <c r="C333" s="127" t="s">
        <v>35</v>
      </c>
      <c r="D333" s="127" t="s">
        <v>207</v>
      </c>
      <c r="E333" s="256" t="s">
        <v>1753</v>
      </c>
      <c r="F333" s="256" t="s">
        <v>289</v>
      </c>
      <c r="G333" s="127">
        <v>4</v>
      </c>
      <c r="H333" s="256" t="s">
        <v>1754</v>
      </c>
      <c r="I333" s="256" t="s">
        <v>271</v>
      </c>
      <c r="J333" s="256" t="s">
        <v>1092</v>
      </c>
      <c r="K333" s="129">
        <v>46197.618217592593</v>
      </c>
      <c r="L333" s="129">
        <v>46197.618483796294</v>
      </c>
      <c r="M333" s="129">
        <v>46198.349733796298</v>
      </c>
      <c r="N333" s="129"/>
      <c r="O333" s="129"/>
      <c r="P333" s="129"/>
      <c r="Q333" s="127" t="s">
        <v>1123</v>
      </c>
      <c r="R333" s="127"/>
      <c r="S333" s="127"/>
      <c r="T333" s="127"/>
      <c r="U333" s="127" t="s">
        <v>371</v>
      </c>
      <c r="Z333" s="169">
        <f t="shared" ca="1" si="40"/>
        <v>16.515756481479915</v>
      </c>
      <c r="AA333" s="170">
        <f t="shared" ca="1" si="41"/>
        <v>44.042017283946443</v>
      </c>
      <c r="AB333" s="169">
        <f t="shared" ca="1" si="42"/>
        <v>16.515490393518125</v>
      </c>
      <c r="AC333" s="170">
        <f t="shared" ca="1" si="43"/>
        <v>44.041307716048337</v>
      </c>
      <c r="AD333" s="169">
        <f t="shared" ca="1" si="44"/>
        <v>0.10625000000436557</v>
      </c>
      <c r="AE333" s="169">
        <f t="shared" ca="1" si="47"/>
        <v>18.675339930559861</v>
      </c>
      <c r="AF333" s="170">
        <f t="shared" ca="1" si="45"/>
        <v>49.800906481492966</v>
      </c>
      <c r="AG333" s="170">
        <f t="shared" ca="1" si="46"/>
        <v>49.800906481492966</v>
      </c>
      <c r="AH333" s="28" t="str" cm="1">
        <f t="array" aca="1" ref="AH333" ca="1">IF((AD333) &lt; (INDEX(ResponseSLA[#All],(MATCH((G333),ResponseSLA[Priority],0))+1,3)),"YES","No")</f>
        <v>YES</v>
      </c>
      <c r="AI333" s="28" t="str">
        <f ca="1">_xlfn.IFNA(IF(AE333 &lt; (INDEX(SLATable[Minimum SLA],MATCH(G333,SLATable[Priority],0))),"YES","NO"),"")</f>
        <v>NO</v>
      </c>
      <c r="AJ333" s="28" t="str">
        <f ca="1">_xlfn.IFNA(IF(AE333 &lt; (INDEX(SLATable[Maximum SLA],MATCH(G333,SLATable[Priority],0))),"YES","NO"),"")</f>
        <v>NO</v>
      </c>
    </row>
    <row r="334" spans="2:36" ht="15" customHeight="1">
      <c r="B334" s="127" t="s">
        <v>26</v>
      </c>
      <c r="C334" s="127" t="s">
        <v>35</v>
      </c>
      <c r="D334" s="127" t="s">
        <v>207</v>
      </c>
      <c r="E334" s="256" t="s">
        <v>1755</v>
      </c>
      <c r="F334" s="256" t="s">
        <v>289</v>
      </c>
      <c r="G334" s="127">
        <v>4</v>
      </c>
      <c r="H334" s="256" t="s">
        <v>1756</v>
      </c>
      <c r="I334" s="256" t="s">
        <v>271</v>
      </c>
      <c r="J334" s="256" t="s">
        <v>1092</v>
      </c>
      <c r="K334" s="129">
        <v>46197.613912037035</v>
      </c>
      <c r="L334" s="129">
        <v>46197.614340277774</v>
      </c>
      <c r="M334" s="129">
        <v>46198.349016203705</v>
      </c>
      <c r="N334" s="129"/>
      <c r="O334" s="129"/>
      <c r="P334" s="129"/>
      <c r="Q334" s="127" t="s">
        <v>1123</v>
      </c>
      <c r="R334" s="127"/>
      <c r="S334" s="127"/>
      <c r="T334" s="127"/>
      <c r="U334" s="127" t="s">
        <v>371</v>
      </c>
      <c r="Z334" s="169">
        <f t="shared" ca="1" si="40"/>
        <v>16.520062037037864</v>
      </c>
      <c r="AA334" s="170">
        <f t="shared" ca="1" si="41"/>
        <v>44.053498765434306</v>
      </c>
      <c r="AB334" s="169">
        <f t="shared" ca="1" si="42"/>
        <v>16.519633912037538</v>
      </c>
      <c r="AC334" s="170">
        <f t="shared" ca="1" si="43"/>
        <v>44.05235709876677</v>
      </c>
      <c r="AD334" s="169">
        <f t="shared" ca="1" si="44"/>
        <v>0.10967592593078734</v>
      </c>
      <c r="AE334" s="169">
        <f t="shared" ca="1" si="47"/>
        <v>20.472203356483082</v>
      </c>
      <c r="AF334" s="170">
        <f t="shared" ca="1" si="45"/>
        <v>54.592542283954884</v>
      </c>
      <c r="AG334" s="170">
        <f t="shared" ca="1" si="46"/>
        <v>54.592542283954884</v>
      </c>
      <c r="AH334" s="28" t="str" cm="1">
        <f t="array" aca="1" ref="AH334" ca="1">IF((AD334) &lt; (INDEX(ResponseSLA[#All],(MATCH((G334),ResponseSLA[Priority],0))+1,3)),"YES","No")</f>
        <v>YES</v>
      </c>
      <c r="AI334" s="28" t="str">
        <f ca="1">_xlfn.IFNA(IF(AE334 &lt; (INDEX(SLATable[Minimum SLA],MATCH(G334,SLATable[Priority],0))),"YES","NO"),"")</f>
        <v>NO</v>
      </c>
      <c r="AJ334" s="28" t="str">
        <f ca="1">_xlfn.IFNA(IF(AE334 &lt; (INDEX(SLATable[Maximum SLA],MATCH(G334,SLATable[Priority],0))),"YES","NO"),"")</f>
        <v>NO</v>
      </c>
    </row>
    <row r="335" spans="2:36" ht="15" customHeight="1">
      <c r="B335" s="127" t="s">
        <v>26</v>
      </c>
      <c r="C335" s="127" t="s">
        <v>35</v>
      </c>
      <c r="D335" s="127" t="s">
        <v>207</v>
      </c>
      <c r="E335" s="256" t="s">
        <v>1757</v>
      </c>
      <c r="F335" s="256" t="s">
        <v>289</v>
      </c>
      <c r="G335" s="127">
        <v>4</v>
      </c>
      <c r="H335" s="256" t="s">
        <v>1758</v>
      </c>
      <c r="I335" s="256" t="s">
        <v>271</v>
      </c>
      <c r="J335" s="256" t="s">
        <v>1092</v>
      </c>
      <c r="K335" s="129">
        <v>46197.613067129627</v>
      </c>
      <c r="L335" s="129">
        <v>46197.613391203704</v>
      </c>
      <c r="M335" s="129">
        <v>46198.348391203705</v>
      </c>
      <c r="N335" s="129"/>
      <c r="O335" s="129"/>
      <c r="P335" s="129"/>
      <c r="Q335" s="127" t="s">
        <v>1123</v>
      </c>
      <c r="R335" s="127"/>
      <c r="S335" s="127"/>
      <c r="T335" s="127"/>
      <c r="U335" s="127" t="s">
        <v>371</v>
      </c>
      <c r="Z335" s="169">
        <f t="shared" ca="1" si="40"/>
        <v>16.520906944446327</v>
      </c>
      <c r="AA335" s="170">
        <f t="shared" ca="1" si="41"/>
        <v>44.055751851856876</v>
      </c>
      <c r="AB335" s="169">
        <f t="shared" ca="1" si="42"/>
        <v>16.520582986107915</v>
      </c>
      <c r="AC335" s="170">
        <f t="shared" ca="1" si="43"/>
        <v>44.054887962954439</v>
      </c>
      <c r="AD335" s="169">
        <f t="shared" ca="1" si="44"/>
        <v>0.11000000000058208</v>
      </c>
      <c r="AE335" s="169">
        <f t="shared" ca="1" si="47"/>
        <v>18.490525115737306</v>
      </c>
      <c r="AF335" s="170">
        <f t="shared" ca="1" si="45"/>
        <v>49.308066975299482</v>
      </c>
      <c r="AG335" s="170">
        <f t="shared" ca="1" si="46"/>
        <v>49.308066975299482</v>
      </c>
      <c r="AH335" s="28" t="str" cm="1">
        <f t="array" aca="1" ref="AH335" ca="1">IF((AD335) &lt; (INDEX(ResponseSLA[#All],(MATCH((G335),ResponseSLA[Priority],0))+1,3)),"YES","No")</f>
        <v>YES</v>
      </c>
      <c r="AI335" s="28" t="str">
        <f ca="1">_xlfn.IFNA(IF(AE335 &lt; (INDEX(SLATable[Minimum SLA],MATCH(G335,SLATable[Priority],0))),"YES","NO"),"")</f>
        <v>NO</v>
      </c>
      <c r="AJ335" s="28" t="str">
        <f ca="1">_xlfn.IFNA(IF(AE335 &lt; (INDEX(SLATable[Maximum SLA],MATCH(G335,SLATable[Priority],0))),"YES","NO"),"")</f>
        <v>NO</v>
      </c>
    </row>
    <row r="336" spans="2:36" ht="15" customHeight="1">
      <c r="B336" s="127" t="s">
        <v>26</v>
      </c>
      <c r="C336" s="127" t="s">
        <v>35</v>
      </c>
      <c r="D336" s="127" t="s">
        <v>207</v>
      </c>
      <c r="E336" s="256" t="s">
        <v>1759</v>
      </c>
      <c r="F336" s="256" t="s">
        <v>289</v>
      </c>
      <c r="G336" s="256">
        <v>4</v>
      </c>
      <c r="H336" s="256" t="s">
        <v>1661</v>
      </c>
      <c r="I336" s="256" t="s">
        <v>271</v>
      </c>
      <c r="J336" s="256" t="s">
        <v>1092</v>
      </c>
      <c r="K336" s="129">
        <v>46197.610231481478</v>
      </c>
      <c r="L336" s="129">
        <v>46197.610671296294</v>
      </c>
      <c r="M336" s="129">
        <v>46198.355266203704</v>
      </c>
      <c r="N336" s="129"/>
      <c r="O336" s="129">
        <v>46203.558379629627</v>
      </c>
      <c r="P336" s="129"/>
      <c r="Q336" s="127" t="s">
        <v>1123</v>
      </c>
      <c r="R336" s="127"/>
      <c r="S336" s="127"/>
      <c r="T336" s="127"/>
      <c r="U336" s="127" t="s">
        <v>371</v>
      </c>
      <c r="Z336" s="169">
        <f t="shared" ca="1" si="40"/>
        <v>16.52374259259523</v>
      </c>
      <c r="AA336" s="170">
        <f t="shared" ca="1" si="41"/>
        <v>44.063313580253947</v>
      </c>
      <c r="AB336" s="169">
        <f t="shared" ca="1" si="42"/>
        <v>1.4477083333331393</v>
      </c>
      <c r="AC336" s="170">
        <f t="shared" ca="1" si="43"/>
        <v>3.8605555555550382</v>
      </c>
      <c r="AD336" s="169">
        <f t="shared" ca="1" si="44"/>
        <v>0.11959490740991896</v>
      </c>
      <c r="AE336" s="169">
        <f t="shared" ca="1" si="47"/>
        <v>5.146238425928459</v>
      </c>
      <c r="AF336" s="170">
        <f t="shared" ca="1" si="45"/>
        <v>13.723302469142558</v>
      </c>
      <c r="AG336" s="170">
        <f t="shared" ca="1" si="46"/>
        <v>13.723302469142558</v>
      </c>
      <c r="AH336" s="28" t="str" cm="1">
        <f t="array" aca="1" ref="AH336" ca="1">IF((AD336) &lt; (INDEX(ResponseSLA[#All],(MATCH((G336),ResponseSLA[Priority],0))+1,3)),"YES","No")</f>
        <v>YES</v>
      </c>
      <c r="AI336" s="28" t="str">
        <f ca="1">_xlfn.IFNA(IF(AE336 &lt; (INDEX(SLATable[Minimum SLA],MATCH(G336,SLATable[Priority],0))),"YES","NO"),"")</f>
        <v>NO</v>
      </c>
      <c r="AJ336" s="28" t="str">
        <f ca="1">_xlfn.IFNA(IF(AE336 &lt; (INDEX(SLATable[Maximum SLA],MATCH(G336,SLATable[Priority],0))),"YES","NO"),"")</f>
        <v>YES</v>
      </c>
    </row>
    <row r="337" spans="2:36" ht="15" customHeight="1">
      <c r="B337" s="127" t="s">
        <v>26</v>
      </c>
      <c r="C337" s="127" t="s">
        <v>35</v>
      </c>
      <c r="D337" s="127" t="s">
        <v>207</v>
      </c>
      <c r="E337" s="256" t="s">
        <v>1760</v>
      </c>
      <c r="F337" s="256" t="s">
        <v>289</v>
      </c>
      <c r="G337" s="256">
        <v>3</v>
      </c>
      <c r="H337" s="256" t="s">
        <v>1761</v>
      </c>
      <c r="I337" s="256" t="s">
        <v>271</v>
      </c>
      <c r="J337" s="256" t="s">
        <v>1092</v>
      </c>
      <c r="K337" s="129">
        <v>46191.407395833332</v>
      </c>
      <c r="L337" s="129">
        <v>46191.453460648147</v>
      </c>
      <c r="M337" s="129">
        <v>46195.29996527778</v>
      </c>
      <c r="N337" s="129"/>
      <c r="O337" s="129">
        <v>46199.426412037035</v>
      </c>
      <c r="P337" s="129"/>
      <c r="Q337" s="127" t="s">
        <v>1123</v>
      </c>
      <c r="R337" s="127"/>
      <c r="S337" s="127"/>
      <c r="T337" s="127"/>
      <c r="U337" s="127" t="s">
        <v>371</v>
      </c>
      <c r="Z337" s="169">
        <f t="shared" ca="1" si="40"/>
        <v>18.226578240741222</v>
      </c>
      <c r="AA337" s="170">
        <f t="shared" ca="1" si="41"/>
        <v>48.604208641976598</v>
      </c>
      <c r="AB337" s="169">
        <f t="shared" ca="1" si="42"/>
        <v>2.22295138888876</v>
      </c>
      <c r="AC337" s="170">
        <f t="shared" ca="1" si="43"/>
        <v>5.9278703703700266</v>
      </c>
      <c r="AD337" s="169">
        <f t="shared" ca="1" si="44"/>
        <v>0.6298726851867591</v>
      </c>
      <c r="AE337" s="169">
        <f t="shared" ca="1" si="47"/>
        <v>4.44590277777752</v>
      </c>
      <c r="AF337" s="170">
        <f t="shared" ca="1" si="45"/>
        <v>11.855740740740053</v>
      </c>
      <c r="AG337" s="170">
        <f t="shared" ca="1" si="46"/>
        <v>11.855740740740053</v>
      </c>
      <c r="AH337" s="28" t="str" cm="1">
        <f t="array" aca="1" ref="AH337" ca="1">IF((AD337) &lt; (INDEX(ResponseSLA[#All],(MATCH((G337),ResponseSLA[Priority],0))+1,3)),"YES","No")</f>
        <v>No</v>
      </c>
      <c r="AI337" s="28" t="str">
        <f ca="1">_xlfn.IFNA(IF(AE337 &lt; (INDEX(SLATable[Minimum SLA],MATCH(G337,SLATable[Priority],0))),"YES","NO"),"")</f>
        <v>NO</v>
      </c>
      <c r="AJ337" s="28" t="str">
        <f ca="1">_xlfn.IFNA(IF(AE337 &lt; (INDEX(SLATable[Maximum SLA],MATCH(G337,SLATable[Priority],0))),"YES","NO"),"")</f>
        <v>NO</v>
      </c>
    </row>
    <row r="338" spans="2:36" ht="15" customHeight="1">
      <c r="B338" s="127" t="s">
        <v>26</v>
      </c>
      <c r="C338" s="127" t="s">
        <v>35</v>
      </c>
      <c r="D338" s="127" t="s">
        <v>207</v>
      </c>
      <c r="E338" s="256" t="s">
        <v>1762</v>
      </c>
      <c r="F338" s="256" t="s">
        <v>289</v>
      </c>
      <c r="G338" s="256">
        <v>3</v>
      </c>
      <c r="H338" s="256" t="s">
        <v>1763</v>
      </c>
      <c r="I338" s="256" t="s">
        <v>271</v>
      </c>
      <c r="J338" s="256" t="s">
        <v>1092</v>
      </c>
      <c r="K338" s="129">
        <v>46199.76421296296</v>
      </c>
      <c r="L338" s="129">
        <v>46199.765370370369</v>
      </c>
      <c r="M338" s="129">
        <v>46202.357083333336</v>
      </c>
      <c r="N338" s="129"/>
      <c r="O338" s="129">
        <v>46203.455046296294</v>
      </c>
      <c r="P338" s="129"/>
      <c r="Q338" s="256" t="s">
        <v>1113</v>
      </c>
      <c r="R338" s="127"/>
      <c r="S338" s="127"/>
      <c r="T338" s="127"/>
      <c r="U338" s="127" t="s">
        <v>371</v>
      </c>
      <c r="Z338" s="169">
        <f t="shared" ca="1" si="40"/>
        <v>15.67564074073986</v>
      </c>
      <c r="AA338" s="170">
        <f t="shared" ca="1" si="41"/>
        <v>41.801708641972965</v>
      </c>
      <c r="AB338" s="169">
        <f t="shared" ca="1" si="42"/>
        <v>0.49671296296097955</v>
      </c>
      <c r="AC338" s="170">
        <f t="shared" ca="1" si="43"/>
        <v>1.3245679012292788</v>
      </c>
      <c r="AD338" s="169">
        <f t="shared" ca="1" si="44"/>
        <v>2.3750000002716321E-2</v>
      </c>
      <c r="AE338" s="169">
        <f t="shared" ca="1" si="47"/>
        <v>3.2441087962918878</v>
      </c>
      <c r="AF338" s="170">
        <f t="shared" ca="1" si="45"/>
        <v>8.6509567901116995</v>
      </c>
      <c r="AG338" s="170">
        <f t="shared" ca="1" si="46"/>
        <v>8.6509567901116995</v>
      </c>
      <c r="AH338" s="28" t="str" cm="1">
        <f t="array" aca="1" ref="AH338" ca="1">IF((AD338) &lt; (INDEX(ResponseSLA[#All],(MATCH((G338),ResponseSLA[Priority],0))+1,3)),"YES","No")</f>
        <v>YES</v>
      </c>
      <c r="AI338" s="28" t="str">
        <f ca="1">_xlfn.IFNA(IF(AE338 &lt; (INDEX(SLATable[Minimum SLA],MATCH(G338,SLATable[Priority],0))),"YES","NO"),"")</f>
        <v>NO</v>
      </c>
      <c r="AJ338" s="28" t="str">
        <f ca="1">_xlfn.IFNA(IF(AE338 &lt; (INDEX(SLATable[Maximum SLA],MATCH(G338,SLATable[Priority],0))),"YES","NO"),"")</f>
        <v>NO</v>
      </c>
    </row>
    <row r="339" spans="2:36" ht="15" customHeight="1">
      <c r="B339" s="127" t="s">
        <v>26</v>
      </c>
      <c r="C339" s="127" t="s">
        <v>35</v>
      </c>
      <c r="D339" s="127" t="s">
        <v>207</v>
      </c>
      <c r="E339" s="256" t="s">
        <v>1764</v>
      </c>
      <c r="F339" s="256" t="s">
        <v>289</v>
      </c>
      <c r="G339" s="256">
        <v>3</v>
      </c>
      <c r="H339" s="256" t="s">
        <v>1765</v>
      </c>
      <c r="I339" s="256" t="s">
        <v>271</v>
      </c>
      <c r="J339" s="256" t="s">
        <v>1092</v>
      </c>
      <c r="K339" s="129">
        <v>46190.445960648147</v>
      </c>
      <c r="L339" s="129">
        <v>46192.619745370372</v>
      </c>
      <c r="M339" s="129">
        <v>46192.872685185182</v>
      </c>
      <c r="N339" s="129"/>
      <c r="O339" s="129">
        <v>46203.455046296294</v>
      </c>
      <c r="P339" s="129"/>
      <c r="Q339" s="127" t="s">
        <v>1098</v>
      </c>
      <c r="R339" s="127"/>
      <c r="S339" s="127"/>
      <c r="T339" s="127"/>
      <c r="U339" s="127" t="s">
        <v>371</v>
      </c>
      <c r="Z339" s="169">
        <f t="shared" ca="1" si="40"/>
        <v>18.563013425926332</v>
      </c>
      <c r="AA339" s="170">
        <f t="shared" ca="1" si="41"/>
        <v>49.501369135803557</v>
      </c>
      <c r="AB339" s="169">
        <f t="shared" ca="1" si="42"/>
        <v>2.4603009259226387</v>
      </c>
      <c r="AC339" s="170">
        <f t="shared" ca="1" si="43"/>
        <v>6.5608024691270366</v>
      </c>
      <c r="AD339" s="169">
        <f t="shared" ca="1" si="44"/>
        <v>8.8587962961658717E-2</v>
      </c>
      <c r="AE339" s="169">
        <f t="shared" ca="1" si="47"/>
        <v>5.2717708333293567</v>
      </c>
      <c r="AF339" s="170">
        <f t="shared" ca="1" si="45"/>
        <v>14.058055555544952</v>
      </c>
      <c r="AG339" s="170">
        <f t="shared" ca="1" si="46"/>
        <v>14.058055555544952</v>
      </c>
      <c r="AH339" s="28" t="str" cm="1">
        <f t="array" aca="1" ref="AH339" ca="1">IF((AD339) &lt; (INDEX(ResponseSLA[#All],(MATCH((G339),ResponseSLA[Priority],0))+1,3)),"YES","No")</f>
        <v>No</v>
      </c>
      <c r="AI339" s="28" t="str">
        <f ca="1">_xlfn.IFNA(IF(AE339 &lt; (INDEX(SLATable[Minimum SLA],MATCH(G339,SLATable[Priority],0))),"YES","NO"),"")</f>
        <v>NO</v>
      </c>
      <c r="AJ339" s="28" t="str">
        <f ca="1">_xlfn.IFNA(IF(AE339 &lt; (INDEX(SLATable[Maximum SLA],MATCH(G339,SLATable[Priority],0))),"YES","NO"),"")</f>
        <v>NO</v>
      </c>
    </row>
    <row r="340" spans="2:36" ht="15" customHeight="1">
      <c r="B340" s="127" t="s">
        <v>26</v>
      </c>
      <c r="C340" s="127" t="s">
        <v>35</v>
      </c>
      <c r="D340" s="127" t="s">
        <v>207</v>
      </c>
      <c r="E340" s="256" t="s">
        <v>1766</v>
      </c>
      <c r="F340" s="256" t="s">
        <v>289</v>
      </c>
      <c r="G340" s="256">
        <v>3</v>
      </c>
      <c r="H340" s="256" t="s">
        <v>1767</v>
      </c>
      <c r="I340" s="256" t="s">
        <v>271</v>
      </c>
      <c r="J340" s="256" t="s">
        <v>1092</v>
      </c>
      <c r="K340" s="129">
        <v>46195.825162037036</v>
      </c>
      <c r="L340" s="129">
        <v>46196.402962962966</v>
      </c>
      <c r="M340" s="129">
        <v>46198.348425925928</v>
      </c>
      <c r="N340" s="129"/>
      <c r="O340" s="129">
        <v>46202.351053240738</v>
      </c>
      <c r="P340" s="129"/>
      <c r="Q340" s="127" t="s">
        <v>1123</v>
      </c>
      <c r="R340" s="127"/>
      <c r="S340" s="127"/>
      <c r="T340" s="127"/>
      <c r="U340" s="127" t="s">
        <v>371</v>
      </c>
      <c r="Z340" s="169">
        <f t="shared" ca="1" si="40"/>
        <v>17.175640740739865</v>
      </c>
      <c r="AA340" s="170">
        <f t="shared" ca="1" si="41"/>
        <v>45.801708641972972</v>
      </c>
      <c r="AB340" s="169">
        <f t="shared" ca="1" si="42"/>
        <v>1.4480902777722806</v>
      </c>
      <c r="AC340" s="170">
        <f t="shared" ca="1" si="43"/>
        <v>3.8615740740594151</v>
      </c>
      <c r="AD340" s="169">
        <f t="shared" ca="1" si="44"/>
        <v>0.69546296296175569</v>
      </c>
      <c r="AE340" s="169">
        <f t="shared" ca="1" si="47"/>
        <v>5.1284606481397841</v>
      </c>
      <c r="AF340" s="170">
        <f t="shared" ca="1" si="45"/>
        <v>13.675895061706091</v>
      </c>
      <c r="AG340" s="170">
        <f t="shared" ca="1" si="46"/>
        <v>13.675895061706091</v>
      </c>
      <c r="AH340" s="28" t="str" cm="1">
        <f t="array" aca="1" ref="AH340" ca="1">IF((AD340) &lt; (INDEX(ResponseSLA[#All],(MATCH((G340),ResponseSLA[Priority],0))+1,3)),"YES","No")</f>
        <v>No</v>
      </c>
      <c r="AI340" s="28" t="str">
        <f ca="1">_xlfn.IFNA(IF(AE340 &lt; (INDEX(SLATable[Minimum SLA],MATCH(G340,SLATable[Priority],0))),"YES","NO"),"")</f>
        <v>NO</v>
      </c>
      <c r="AJ340" s="28" t="str">
        <f ca="1">_xlfn.IFNA(IF(AE340 &lt; (INDEX(SLATable[Maximum SLA],MATCH(G340,SLATable[Priority],0))),"YES","NO"),"")</f>
        <v>NO</v>
      </c>
    </row>
    <row r="341" spans="2:36" ht="15" customHeight="1">
      <c r="B341" s="127" t="s">
        <v>26</v>
      </c>
      <c r="C341" s="127" t="s">
        <v>35</v>
      </c>
      <c r="D341" s="127" t="s">
        <v>207</v>
      </c>
      <c r="E341" s="256" t="s">
        <v>1768</v>
      </c>
      <c r="F341" s="256" t="s">
        <v>295</v>
      </c>
      <c r="G341" s="256">
        <v>3</v>
      </c>
      <c r="H341" s="256" t="s">
        <v>1769</v>
      </c>
      <c r="I341" s="256" t="s">
        <v>271</v>
      </c>
      <c r="J341" s="256" t="s">
        <v>1092</v>
      </c>
      <c r="K341" s="129">
        <v>46196.414814814816</v>
      </c>
      <c r="L341" s="129">
        <v>46196.415034722224</v>
      </c>
      <c r="M341" s="129">
        <v>46196.536817129629</v>
      </c>
      <c r="N341" s="129"/>
      <c r="O341" s="129">
        <v>46202.14570601852</v>
      </c>
      <c r="P341" s="129"/>
      <c r="Q341" s="256" t="s">
        <v>1151</v>
      </c>
      <c r="R341" s="127"/>
      <c r="S341" s="127"/>
      <c r="T341" s="127"/>
      <c r="U341" s="127" t="s">
        <v>371</v>
      </c>
      <c r="Z341" s="169">
        <f t="shared" ca="1" si="40"/>
        <v>17.094159259257143</v>
      </c>
      <c r="AA341" s="170">
        <f t="shared" ca="1" si="41"/>
        <v>45.584424691352382</v>
      </c>
      <c r="AB341" s="169">
        <f t="shared" ca="1" si="42"/>
        <v>1.4182986111093974</v>
      </c>
      <c r="AC341" s="170">
        <f t="shared" ca="1" si="43"/>
        <v>3.7821296296250591</v>
      </c>
      <c r="AD341" s="169">
        <f t="shared" ca="1" si="44"/>
        <v>0.12178240740468027</v>
      </c>
      <c r="AE341" s="169">
        <f t="shared" ca="1" si="47"/>
        <v>5.0865972222187956</v>
      </c>
      <c r="AF341" s="170">
        <f t="shared" ca="1" si="45"/>
        <v>13.564259259250122</v>
      </c>
      <c r="AG341" s="170">
        <f t="shared" ca="1" si="46"/>
        <v>13.564259259250122</v>
      </c>
      <c r="AH341" s="28" t="str" cm="1">
        <f t="array" aca="1" ref="AH341" ca="1">IF((AD341) &lt; (INDEX(ResponseSLA[#All],(MATCH((G341),ResponseSLA[Priority],0))+1,3)),"YES","No")</f>
        <v>No</v>
      </c>
      <c r="AI341" s="28" t="str">
        <f ca="1">_xlfn.IFNA(IF(AE341 &lt; (INDEX(SLATable[Minimum SLA],MATCH(G341,SLATable[Priority],0))),"YES","NO"),"")</f>
        <v>NO</v>
      </c>
      <c r="AJ341" s="28" t="str">
        <f ca="1">_xlfn.IFNA(IF(AE341 &lt; (INDEX(SLATable[Maximum SLA],MATCH(G341,SLATable[Priority],0))),"YES","NO"),"")</f>
        <v>NO</v>
      </c>
    </row>
    <row r="342" spans="2:36" ht="15" customHeight="1">
      <c r="B342" s="127" t="s">
        <v>26</v>
      </c>
      <c r="C342" s="127" t="s">
        <v>35</v>
      </c>
      <c r="D342" s="127" t="s">
        <v>207</v>
      </c>
      <c r="E342" s="256" t="s">
        <v>1770</v>
      </c>
      <c r="F342" s="256" t="s">
        <v>289</v>
      </c>
      <c r="G342" s="256">
        <v>4</v>
      </c>
      <c r="H342" s="256" t="s">
        <v>1771</v>
      </c>
      <c r="I342" s="256" t="s">
        <v>271</v>
      </c>
      <c r="J342" s="256" t="s">
        <v>1092</v>
      </c>
      <c r="K342" s="129">
        <v>46197.615729166668</v>
      </c>
      <c r="L342" s="129">
        <v>46197.616018518522</v>
      </c>
      <c r="M342" s="129">
        <v>46198.346284722225</v>
      </c>
      <c r="N342" s="129"/>
      <c r="O342" s="129">
        <v>46198.569363425922</v>
      </c>
      <c r="P342" s="129"/>
      <c r="Q342" s="127" t="s">
        <v>1123</v>
      </c>
      <c r="R342" s="127"/>
      <c r="S342" s="127"/>
      <c r="T342" s="127"/>
      <c r="U342" s="127" t="s">
        <v>371</v>
      </c>
      <c r="Z342" s="169">
        <f t="shared" ca="1" si="40"/>
        <v>16.518244907405464</v>
      </c>
      <c r="AA342" s="170">
        <f t="shared" ca="1" si="41"/>
        <v>44.048653086414575</v>
      </c>
      <c r="AB342" s="169">
        <f t="shared" ca="1" si="42"/>
        <v>0.32834490740060573</v>
      </c>
      <c r="AC342" s="170">
        <f t="shared" ca="1" si="43"/>
        <v>0.87558641973494866</v>
      </c>
      <c r="AD342" s="169">
        <f t="shared" ca="1" si="44"/>
        <v>0.10526620370364981</v>
      </c>
      <c r="AE342" s="169">
        <f t="shared" ca="1" si="47"/>
        <v>2.0927777777687884</v>
      </c>
      <c r="AF342" s="170">
        <f t="shared" ca="1" si="45"/>
        <v>5.5807407407167693</v>
      </c>
      <c r="AG342" s="170">
        <f t="shared" ca="1" si="46"/>
        <v>5.5807407407167693</v>
      </c>
      <c r="AH342" s="28" t="str" cm="1">
        <f t="array" aca="1" ref="AH342" ca="1">IF((AD342) &lt; (INDEX(ResponseSLA[#All],(MATCH((G342),ResponseSLA[Priority],0))+1,3)),"YES","No")</f>
        <v>YES</v>
      </c>
      <c r="AI342" s="28" t="str">
        <f ca="1">_xlfn.IFNA(IF(AE342 &lt; (INDEX(SLATable[Minimum SLA],MATCH(G342,SLATable[Priority],0))),"YES","NO"),"")</f>
        <v>YES</v>
      </c>
      <c r="AJ342" s="28" t="str">
        <f ca="1">_xlfn.IFNA(IF(AE342 &lt; (INDEX(SLATable[Maximum SLA],MATCH(G342,SLATable[Priority],0))),"YES","NO"),"")</f>
        <v>YES</v>
      </c>
    </row>
    <row r="343" spans="2:36" ht="15" customHeight="1">
      <c r="B343" s="127" t="s">
        <v>26</v>
      </c>
      <c r="C343" s="127" t="s">
        <v>35</v>
      </c>
      <c r="D343" s="127" t="s">
        <v>207</v>
      </c>
      <c r="E343" s="256" t="s">
        <v>1772</v>
      </c>
      <c r="F343" s="256" t="s">
        <v>295</v>
      </c>
      <c r="G343" s="256">
        <v>3</v>
      </c>
      <c r="H343" s="256" t="s">
        <v>1773</v>
      </c>
      <c r="I343" s="256" t="s">
        <v>271</v>
      </c>
      <c r="J343" s="256" t="s">
        <v>1092</v>
      </c>
      <c r="K343" s="129">
        <v>46196.11859953704</v>
      </c>
      <c r="L343" s="129">
        <v>46196.119108796294</v>
      </c>
      <c r="M343" s="129">
        <v>46197.284861111111</v>
      </c>
      <c r="N343" s="129">
        <v>46203.357511574075</v>
      </c>
      <c r="O343" s="129"/>
      <c r="P343" s="129"/>
      <c r="Q343" s="256" t="s">
        <v>695</v>
      </c>
      <c r="R343" s="127" t="s">
        <v>267</v>
      </c>
      <c r="S343" s="127" t="s">
        <v>193</v>
      </c>
      <c r="T343" s="127"/>
      <c r="U343" s="127" t="s">
        <v>371</v>
      </c>
      <c r="Z343" s="169">
        <f t="shared" ca="1" si="40"/>
        <v>1.8991782407417002</v>
      </c>
      <c r="AA343" s="170">
        <f t="shared" ca="1" si="41"/>
        <v>5.0644753086445338</v>
      </c>
      <c r="AB343" s="169">
        <f t="shared" ca="1" si="42"/>
        <v>1.8991782407417002</v>
      </c>
      <c r="AC343" s="170">
        <f t="shared" ca="1" si="43"/>
        <v>5.0644753086445338</v>
      </c>
      <c r="AD343" s="169">
        <f t="shared" ca="1" si="44"/>
        <v>0.37500000000000006</v>
      </c>
      <c r="AE343" s="169">
        <f t="shared" ca="1" si="47"/>
        <v>3.7983564814834003</v>
      </c>
      <c r="AF343" s="170">
        <f t="shared" ca="1" si="45"/>
        <v>10.128950617289068</v>
      </c>
      <c r="AG343" s="170">
        <f t="shared" ca="1" si="46"/>
        <v>10.128950617289068</v>
      </c>
      <c r="AH343" s="28" t="str" cm="1">
        <f t="array" aca="1" ref="AH343" ca="1">IF((AD343) &lt; (INDEX(ResponseSLA[#All],(MATCH((G343),ResponseSLA[Priority],0))+1,3)),"YES","No")</f>
        <v>No</v>
      </c>
      <c r="AI343" s="28" t="str">
        <f ca="1">_xlfn.IFNA(IF(AE343 &lt; (INDEX(SLATable[Minimum SLA],MATCH(G343,SLATable[Priority],0))),"YES","NO"),"")</f>
        <v>NO</v>
      </c>
      <c r="AJ343" s="28" t="str">
        <f ca="1">_xlfn.IFNA(IF(AE343 &lt; (INDEX(SLATable[Maximum SLA],MATCH(G343,SLATable[Priority],0))),"YES","NO"),"")</f>
        <v>NO</v>
      </c>
    </row>
    <row r="344" spans="2:36" ht="15" customHeight="1">
      <c r="B344" s="127" t="s">
        <v>26</v>
      </c>
      <c r="C344" s="127" t="s">
        <v>35</v>
      </c>
      <c r="D344" s="127" t="s">
        <v>207</v>
      </c>
      <c r="E344" s="256" t="s">
        <v>1774</v>
      </c>
      <c r="F344" s="256" t="s">
        <v>289</v>
      </c>
      <c r="G344" s="256">
        <v>4</v>
      </c>
      <c r="H344" s="256" t="s">
        <v>1775</v>
      </c>
      <c r="I344" s="256" t="s">
        <v>271</v>
      </c>
      <c r="J344" s="256" t="s">
        <v>1092</v>
      </c>
      <c r="K344" s="129">
        <v>46195.292337962965</v>
      </c>
      <c r="L344" s="129">
        <v>46195.29283564815</v>
      </c>
      <c r="M344" s="129">
        <v>46197.280717592592</v>
      </c>
      <c r="N344" s="129">
        <v>46203.356886574074</v>
      </c>
      <c r="O344" s="129"/>
      <c r="P344" s="129"/>
      <c r="Q344" s="256" t="s">
        <v>1065</v>
      </c>
      <c r="R344" s="127" t="s">
        <v>267</v>
      </c>
      <c r="S344" s="127" t="s">
        <v>193</v>
      </c>
      <c r="T344" s="127"/>
      <c r="U344" s="127" t="s">
        <v>371</v>
      </c>
      <c r="Z344" s="169">
        <f t="shared" ca="1" si="40"/>
        <v>2.2735532407411183</v>
      </c>
      <c r="AA344" s="170">
        <f t="shared" ca="1" si="41"/>
        <v>6.0628086419763152</v>
      </c>
      <c r="AB344" s="169">
        <f t="shared" ca="1" si="42"/>
        <v>2.2735532407411183</v>
      </c>
      <c r="AC344" s="170">
        <f t="shared" ca="1" si="43"/>
        <v>6.0628086419763152</v>
      </c>
      <c r="AD344" s="169">
        <f t="shared" ca="1" si="44"/>
        <v>0.75000000000000022</v>
      </c>
      <c r="AE344" s="169">
        <f t="shared" ca="1" si="47"/>
        <v>4.5471064814822366</v>
      </c>
      <c r="AF344" s="170">
        <f t="shared" ca="1" si="45"/>
        <v>12.12561728395263</v>
      </c>
      <c r="AG344" s="170">
        <f t="shared" ca="1" si="46"/>
        <v>12.12561728395263</v>
      </c>
      <c r="AH344" s="28" t="str" cm="1">
        <f t="array" aca="1" ref="AH344" ca="1">IF((AD344) &lt; (INDEX(ResponseSLA[#All],(MATCH((G344),ResponseSLA[Priority],0))+1,3)),"YES","No")</f>
        <v>No</v>
      </c>
      <c r="AI344" s="28" t="str">
        <f ca="1">_xlfn.IFNA(IF(AE344 &lt; (INDEX(SLATable[Minimum SLA],MATCH(G344,SLATable[Priority],0))),"YES","NO"),"")</f>
        <v>NO</v>
      </c>
      <c r="AJ344" s="28" t="str">
        <f ca="1">_xlfn.IFNA(IF(AE344 &lt; (INDEX(SLATable[Maximum SLA],MATCH(G344,SLATable[Priority],0))),"YES","NO"),"")</f>
        <v>YES</v>
      </c>
    </row>
    <row r="345" spans="2:36" ht="15" customHeight="1">
      <c r="B345" s="127" t="s">
        <v>26</v>
      </c>
      <c r="C345" s="127" t="s">
        <v>35</v>
      </c>
      <c r="D345" s="127" t="s">
        <v>207</v>
      </c>
      <c r="E345" s="256" t="s">
        <v>1776</v>
      </c>
      <c r="F345" s="256" t="s">
        <v>295</v>
      </c>
      <c r="G345" s="256">
        <v>3</v>
      </c>
      <c r="H345" s="256" t="s">
        <v>1777</v>
      </c>
      <c r="I345" s="256" t="s">
        <v>271</v>
      </c>
      <c r="J345" s="256" t="s">
        <v>1092</v>
      </c>
      <c r="K345" s="129">
        <v>46197.11859953704</v>
      </c>
      <c r="L345" s="129">
        <v>46197.118900462963</v>
      </c>
      <c r="M345" s="129">
        <v>46197.285729166666</v>
      </c>
      <c r="N345" s="129">
        <v>46203.356423611112</v>
      </c>
      <c r="O345" s="129"/>
      <c r="P345" s="129"/>
      <c r="Q345" s="256" t="s">
        <v>695</v>
      </c>
      <c r="R345" s="127" t="s">
        <v>267</v>
      </c>
      <c r="S345" s="127" t="s">
        <v>193</v>
      </c>
      <c r="T345" s="127"/>
      <c r="U345" s="127" t="s">
        <v>371</v>
      </c>
      <c r="Z345" s="169">
        <f t="shared" ca="1" si="40"/>
        <v>1.5230902777790716</v>
      </c>
      <c r="AA345" s="170">
        <f t="shared" ca="1" si="41"/>
        <v>4.0615740740775239</v>
      </c>
      <c r="AB345" s="169">
        <f t="shared" ca="1" si="42"/>
        <v>1.5230902777790716</v>
      </c>
      <c r="AC345" s="170">
        <f t="shared" ca="1" si="43"/>
        <v>4.0615740740775239</v>
      </c>
      <c r="AD345" s="169">
        <f t="shared" ca="1" si="44"/>
        <v>0</v>
      </c>
      <c r="AE345" s="169">
        <f t="shared" ca="1" si="47"/>
        <v>3.0461805555581432</v>
      </c>
      <c r="AF345" s="170">
        <f t="shared" ca="1" si="45"/>
        <v>8.1231481481550478</v>
      </c>
      <c r="AG345" s="170">
        <f t="shared" ca="1" si="46"/>
        <v>8.1231481481550478</v>
      </c>
      <c r="AH345" s="28" t="str" cm="1">
        <f t="array" aca="1" ref="AH345" ca="1">IF((AD345) &lt; (INDEX(ResponseSLA[#All],(MATCH((G345),ResponseSLA[Priority],0))+1,3)),"YES","No")</f>
        <v>YES</v>
      </c>
      <c r="AI345" s="28" t="str">
        <f ca="1">_xlfn.IFNA(IF(AE345 &lt; (INDEX(SLATable[Minimum SLA],MATCH(G345,SLATable[Priority],0))),"YES","NO"),"")</f>
        <v>NO</v>
      </c>
      <c r="AJ345" s="28" t="str">
        <f ca="1">_xlfn.IFNA(IF(AE345 &lt; (INDEX(SLATable[Maximum SLA],MATCH(G345,SLATable[Priority],0))),"YES","NO"),"")</f>
        <v>NO</v>
      </c>
    </row>
    <row r="346" spans="2:36" ht="15" customHeight="1">
      <c r="B346" s="127" t="s">
        <v>26</v>
      </c>
      <c r="C346" s="127" t="s">
        <v>35</v>
      </c>
      <c r="D346" s="127" t="s">
        <v>207</v>
      </c>
      <c r="E346" s="256" t="s">
        <v>1778</v>
      </c>
      <c r="F346" s="256" t="s">
        <v>289</v>
      </c>
      <c r="G346" s="256">
        <v>4</v>
      </c>
      <c r="H346" s="256" t="s">
        <v>1779</v>
      </c>
      <c r="I346" s="256" t="s">
        <v>271</v>
      </c>
      <c r="J346" s="256" t="s">
        <v>1092</v>
      </c>
      <c r="K346" s="129">
        <v>46197.606226851851</v>
      </c>
      <c r="L346" s="129">
        <v>46197.606377314813</v>
      </c>
      <c r="M346" s="129">
        <v>46198.326226851852</v>
      </c>
      <c r="N346" s="129">
        <v>46198.568379629629</v>
      </c>
      <c r="O346" s="129"/>
      <c r="P346" s="129"/>
      <c r="Q346" s="127" t="s">
        <v>1123</v>
      </c>
      <c r="R346" s="127" t="s">
        <v>267</v>
      </c>
      <c r="S346" s="127" t="s">
        <v>161</v>
      </c>
      <c r="T346" s="127"/>
      <c r="U346" s="127" t="s">
        <v>371</v>
      </c>
      <c r="Z346" s="169">
        <f t="shared" ca="1" si="40"/>
        <v>0.33715277777810115</v>
      </c>
      <c r="AA346" s="170">
        <f t="shared" ca="1" si="41"/>
        <v>0.89907407407493645</v>
      </c>
      <c r="AB346" s="169">
        <f t="shared" ca="1" si="42"/>
        <v>0.33700231481634546</v>
      </c>
      <c r="AC346" s="170">
        <f t="shared" ca="1" si="43"/>
        <v>0.89867283951025456</v>
      </c>
      <c r="AD346" s="169">
        <f t="shared" ca="1" si="44"/>
        <v>0.10195601852077141</v>
      </c>
      <c r="AE346" s="169">
        <f t="shared" ca="1" si="47"/>
        <v>0.33700231481634546</v>
      </c>
      <c r="AF346" s="170">
        <f t="shared" ca="1" si="45"/>
        <v>0.89867283951025456</v>
      </c>
      <c r="AG346" s="170">
        <f t="shared" ca="1" si="46"/>
        <v>0.89867283951025456</v>
      </c>
      <c r="AH346" s="28" t="str" cm="1">
        <f t="array" aca="1" ref="AH346" ca="1">IF((AD346) &lt; (INDEX(ResponseSLA[#All],(MATCH((G346),ResponseSLA[Priority],0))+1,3)),"YES","No")</f>
        <v>YES</v>
      </c>
      <c r="AI346" s="28" t="str">
        <f ca="1">_xlfn.IFNA(IF(AE346 &lt; (INDEX(SLATable[Minimum SLA],MATCH(G346,SLATable[Priority],0))),"YES","NO"),"")</f>
        <v>YES</v>
      </c>
      <c r="AJ346" s="28" t="str">
        <f ca="1">_xlfn.IFNA(IF(AE346 &lt; (INDEX(SLATable[Maximum SLA],MATCH(G346,SLATable[Priority],0))),"YES","NO"),"")</f>
        <v>YES</v>
      </c>
    </row>
    <row r="347" spans="2:36" ht="15" customHeight="1">
      <c r="B347" s="127" t="s">
        <v>26</v>
      </c>
      <c r="C347" s="127" t="s">
        <v>35</v>
      </c>
      <c r="D347" s="127" t="s">
        <v>207</v>
      </c>
      <c r="E347" s="256" t="s">
        <v>1780</v>
      </c>
      <c r="F347" s="256" t="s">
        <v>289</v>
      </c>
      <c r="G347" s="256">
        <v>4</v>
      </c>
      <c r="H347" s="256" t="s">
        <v>1781</v>
      </c>
      <c r="I347" s="256" t="s">
        <v>271</v>
      </c>
      <c r="J347" s="256" t="s">
        <v>1092</v>
      </c>
      <c r="K347" s="129">
        <v>46184.52447916667</v>
      </c>
      <c r="L347" s="129">
        <v>46184.525613425925</v>
      </c>
      <c r="M347" s="129">
        <v>46185.270497685182</v>
      </c>
      <c r="N347" s="129">
        <v>46197.408599537041</v>
      </c>
      <c r="O347" s="129">
        <v>46189.40797453704</v>
      </c>
      <c r="P347" s="129">
        <v>46197.408599537041</v>
      </c>
      <c r="Q347" s="127" t="s">
        <v>1098</v>
      </c>
      <c r="R347" s="127" t="s">
        <v>267</v>
      </c>
      <c r="S347" s="127" t="s">
        <v>190</v>
      </c>
      <c r="T347" s="127"/>
      <c r="U347" s="127" t="s">
        <v>371</v>
      </c>
      <c r="Z347" s="169">
        <f t="shared" ca="1" si="40"/>
        <v>1.0084953703699284</v>
      </c>
      <c r="AA347" s="170">
        <f t="shared" ca="1" si="41"/>
        <v>2.6893209876531423</v>
      </c>
      <c r="AB347" s="169">
        <f t="shared" ca="1" si="42"/>
        <v>1.0073611111147329</v>
      </c>
      <c r="AC347" s="170">
        <f t="shared" ca="1" si="43"/>
        <v>2.6862962963059545</v>
      </c>
      <c r="AD347" s="169">
        <f t="shared" ca="1" si="44"/>
        <v>0.18271990740807575</v>
      </c>
      <c r="AE347" s="169">
        <f t="shared" ca="1" si="47"/>
        <v>1.0073611111147329</v>
      </c>
      <c r="AF347" s="170">
        <f t="shared" ca="1" si="45"/>
        <v>2.6862962963059545</v>
      </c>
      <c r="AG347" s="170">
        <f t="shared" ca="1" si="46"/>
        <v>2.6862962963059545</v>
      </c>
      <c r="AH347" s="28" t="str" cm="1">
        <f t="array" aca="1" ref="AH347" ca="1">IF((AD347) &lt; (INDEX(ResponseSLA[#All],(MATCH((G347),ResponseSLA[Priority],0))+1,3)),"YES","No")</f>
        <v>No</v>
      </c>
      <c r="AI347" s="28" t="str">
        <f ca="1">_xlfn.IFNA(IF(AE347 &lt; (INDEX(SLATable[Minimum SLA],MATCH(G347,SLATable[Priority],0))),"YES","NO"),"")</f>
        <v>YES</v>
      </c>
      <c r="AJ347" s="28" t="str">
        <f ca="1">_xlfn.IFNA(IF(AE347 &lt; (INDEX(SLATable[Maximum SLA],MATCH(G347,SLATable[Priority],0))),"YES","NO"),"")</f>
        <v>YES</v>
      </c>
    </row>
    <row r="348" spans="2:36" ht="15" customHeight="1">
      <c r="B348" s="127" t="s">
        <v>26</v>
      </c>
      <c r="C348" s="127" t="s">
        <v>35</v>
      </c>
      <c r="D348" s="127" t="s">
        <v>207</v>
      </c>
      <c r="E348" s="256" t="s">
        <v>1782</v>
      </c>
      <c r="F348" s="256" t="s">
        <v>289</v>
      </c>
      <c r="G348" s="256">
        <v>3</v>
      </c>
      <c r="H348" s="256" t="s">
        <v>1783</v>
      </c>
      <c r="I348" s="256" t="s">
        <v>271</v>
      </c>
      <c r="J348" s="256" t="s">
        <v>1092</v>
      </c>
      <c r="K348" s="129">
        <v>46191.436956018515</v>
      </c>
      <c r="L348" s="129">
        <v>46191.452685185184</v>
      </c>
      <c r="M348" s="129">
        <v>46195.300150462965</v>
      </c>
      <c r="N348" s="129">
        <v>46197.280486111114</v>
      </c>
      <c r="O348" s="129"/>
      <c r="P348" s="129"/>
      <c r="Q348" s="256" t="s">
        <v>1123</v>
      </c>
      <c r="R348" s="127" t="s">
        <v>267</v>
      </c>
      <c r="S348" s="127" t="s">
        <v>161</v>
      </c>
      <c r="T348" s="127"/>
      <c r="U348" s="127" t="s">
        <v>371</v>
      </c>
      <c r="Z348" s="169">
        <f t="shared" ca="1" si="40"/>
        <v>1.3963773148182859</v>
      </c>
      <c r="AA348" s="170">
        <f t="shared" ca="1" si="41"/>
        <v>3.7236728395154284</v>
      </c>
      <c r="AB348" s="169">
        <f t="shared" ca="1" si="42"/>
        <v>1.3806481481490969</v>
      </c>
      <c r="AC348" s="170">
        <f t="shared" ca="1" si="43"/>
        <v>3.6817283950642579</v>
      </c>
      <c r="AD348" s="169">
        <f t="shared" ca="1" si="44"/>
        <v>0.63064814814909687</v>
      </c>
      <c r="AE348" s="169">
        <f t="shared" ca="1" si="47"/>
        <v>1.3806481481490969</v>
      </c>
      <c r="AF348" s="170">
        <f t="shared" ca="1" si="45"/>
        <v>3.6817283950642579</v>
      </c>
      <c r="AG348" s="170">
        <f t="shared" ca="1" si="46"/>
        <v>3.6817283950642579</v>
      </c>
      <c r="AH348" s="28" t="str" cm="1">
        <f t="array" aca="1" ref="AH348" ca="1">IF((AD348) &lt; (INDEX(ResponseSLA[#All],(MATCH((G348),ResponseSLA[Priority],0))+1,3)),"YES","No")</f>
        <v>No</v>
      </c>
      <c r="AI348" s="28" t="str">
        <f ca="1">_xlfn.IFNA(IF(AE348 &lt; (INDEX(SLATable[Minimum SLA],MATCH(G348,SLATable[Priority],0))),"YES","NO"),"")</f>
        <v>NO</v>
      </c>
      <c r="AJ348" s="28" t="str">
        <f ca="1">_xlfn.IFNA(IF(AE348 &lt; (INDEX(SLATable[Maximum SLA],MATCH(G348,SLATable[Priority],0))),"YES","NO"),"")</f>
        <v>YES</v>
      </c>
    </row>
    <row r="349" spans="2:36" ht="15" customHeight="1">
      <c r="B349" s="127" t="s">
        <v>26</v>
      </c>
      <c r="C349" s="127" t="s">
        <v>35</v>
      </c>
      <c r="D349" s="127" t="s">
        <v>207</v>
      </c>
      <c r="E349" s="256" t="s">
        <v>1784</v>
      </c>
      <c r="F349" s="256" t="s">
        <v>292</v>
      </c>
      <c r="G349" s="256">
        <v>4</v>
      </c>
      <c r="H349" s="256" t="s">
        <v>1785</v>
      </c>
      <c r="I349" s="256" t="s">
        <v>271</v>
      </c>
      <c r="J349" s="256" t="s">
        <v>1092</v>
      </c>
      <c r="K349" s="129">
        <v>46187.369270833333</v>
      </c>
      <c r="L349" s="129">
        <v>46187.369467592594</v>
      </c>
      <c r="M349" s="129">
        <v>46187.480046296296</v>
      </c>
      <c r="N349" s="129">
        <v>46196.56832175926</v>
      </c>
      <c r="O349" s="129">
        <v>46196.472280092596</v>
      </c>
      <c r="P349" s="129">
        <v>46196.56832175926</v>
      </c>
      <c r="Q349" s="256" t="s">
        <v>1073</v>
      </c>
      <c r="R349" s="127" t="s">
        <v>267</v>
      </c>
      <c r="S349" s="127" t="s">
        <v>190</v>
      </c>
      <c r="T349" s="127"/>
      <c r="U349" s="127" t="s">
        <v>371</v>
      </c>
      <c r="Z349" s="169">
        <f t="shared" ca="1" si="40"/>
        <v>2.3889467592622777</v>
      </c>
      <c r="AA349" s="170">
        <f t="shared" ca="1" si="41"/>
        <v>6.3705246913660742</v>
      </c>
      <c r="AB349" s="169">
        <f t="shared" ca="1" si="42"/>
        <v>2.3889467592622777</v>
      </c>
      <c r="AC349" s="170">
        <f t="shared" ca="1" si="43"/>
        <v>6.3705246913660742</v>
      </c>
      <c r="AD349" s="169">
        <f t="shared" ca="1" si="44"/>
        <v>0</v>
      </c>
      <c r="AE349" s="169">
        <f t="shared" ca="1" si="47"/>
        <v>2.3889467592622777</v>
      </c>
      <c r="AF349" s="170">
        <f t="shared" ca="1" si="45"/>
        <v>6.3705246913660742</v>
      </c>
      <c r="AG349" s="170">
        <f t="shared" ca="1" si="46"/>
        <v>6.3705246913660742</v>
      </c>
      <c r="AH349" s="28" t="str" cm="1">
        <f t="array" aca="1" ref="AH349" ca="1">IF((AD349) &lt; (INDEX(ResponseSLA[#All],(MATCH((G349),ResponseSLA[Priority],0))+1,3)),"YES","No")</f>
        <v>YES</v>
      </c>
      <c r="AI349" s="28" t="str">
        <f ca="1">_xlfn.IFNA(IF(AE349 &lt; (INDEX(SLATable[Minimum SLA],MATCH(G349,SLATable[Priority],0))),"YES","NO"),"")</f>
        <v>YES</v>
      </c>
      <c r="AJ349" s="28" t="str">
        <f ca="1">_xlfn.IFNA(IF(AE349 &lt; (INDEX(SLATable[Maximum SLA],MATCH(G349,SLATable[Priority],0))),"YES","NO"),"")</f>
        <v>YES</v>
      </c>
    </row>
    <row r="350" spans="2:36" ht="15" customHeight="1">
      <c r="B350" s="127" t="s">
        <v>26</v>
      </c>
      <c r="C350" s="127" t="s">
        <v>35</v>
      </c>
      <c r="D350" s="127" t="s">
        <v>207</v>
      </c>
      <c r="E350" s="256" t="s">
        <v>1786</v>
      </c>
      <c r="F350" s="256" t="s">
        <v>295</v>
      </c>
      <c r="G350" s="256">
        <v>3</v>
      </c>
      <c r="H350" s="256" t="s">
        <v>1787</v>
      </c>
      <c r="I350" s="256" t="s">
        <v>271</v>
      </c>
      <c r="J350" s="256" t="s">
        <v>1092</v>
      </c>
      <c r="K350" s="129">
        <v>46191.646365740744</v>
      </c>
      <c r="L350" s="129">
        <v>46191.646666666667</v>
      </c>
      <c r="M350" s="129">
        <v>46192.305891203701</v>
      </c>
      <c r="N350" s="129">
        <v>46196.43173611111</v>
      </c>
      <c r="O350" s="129"/>
      <c r="P350" s="129"/>
      <c r="Q350" s="256" t="s">
        <v>1203</v>
      </c>
      <c r="R350" s="127" t="s">
        <v>267</v>
      </c>
      <c r="S350" s="127" t="s">
        <v>149</v>
      </c>
      <c r="T350" s="127"/>
      <c r="U350" s="127" t="s">
        <v>371</v>
      </c>
      <c r="Z350" s="169">
        <f t="shared" ca="1" si="40"/>
        <v>0.91037037036585411</v>
      </c>
      <c r="AA350" s="170">
        <f t="shared" ca="1" si="41"/>
        <v>2.427654320975611</v>
      </c>
      <c r="AB350" s="169">
        <f t="shared" ca="1" si="42"/>
        <v>0.91006944444234272</v>
      </c>
      <c r="AC350" s="170">
        <f t="shared" ca="1" si="43"/>
        <v>2.4268518518462474</v>
      </c>
      <c r="AD350" s="169">
        <f t="shared" ca="1" si="44"/>
        <v>6.1666666665890602E-2</v>
      </c>
      <c r="AE350" s="169">
        <f t="shared" ca="1" si="47"/>
        <v>0.91006944444234272</v>
      </c>
      <c r="AF350" s="170">
        <f t="shared" ca="1" si="45"/>
        <v>2.4268518518462474</v>
      </c>
      <c r="AG350" s="170">
        <f t="shared" ca="1" si="46"/>
        <v>2.4268518518462474</v>
      </c>
      <c r="AH350" s="28" t="str" cm="1">
        <f t="array" aca="1" ref="AH350" ca="1">IF((AD350) &lt; (INDEX(ResponseSLA[#All],(MATCH((G350),ResponseSLA[Priority],0))+1,3)),"YES","No")</f>
        <v>YES</v>
      </c>
      <c r="AI350" s="28" t="str">
        <f ca="1">_xlfn.IFNA(IF(AE350 &lt; (INDEX(SLATable[Minimum SLA],MATCH(G350,SLATable[Priority],0))),"YES","NO"),"")</f>
        <v>NO</v>
      </c>
      <c r="AJ350" s="28" t="str">
        <f ca="1">_xlfn.IFNA(IF(AE350 &lt; (INDEX(SLATable[Maximum SLA],MATCH(G350,SLATable[Priority],0))),"YES","NO"),"")</f>
        <v>YES</v>
      </c>
    </row>
    <row r="351" spans="2:36" ht="15" customHeight="1">
      <c r="B351" s="127" t="s">
        <v>26</v>
      </c>
      <c r="C351" s="127" t="s">
        <v>35</v>
      </c>
      <c r="D351" s="127" t="s">
        <v>207</v>
      </c>
      <c r="E351" s="256" t="s">
        <v>1788</v>
      </c>
      <c r="F351" s="256" t="s">
        <v>289</v>
      </c>
      <c r="G351" s="256">
        <v>4</v>
      </c>
      <c r="H351" s="256" t="s">
        <v>1789</v>
      </c>
      <c r="I351" s="256" t="s">
        <v>271</v>
      </c>
      <c r="J351" s="256" t="s">
        <v>1092</v>
      </c>
      <c r="K351" s="129">
        <v>46192.054803240739</v>
      </c>
      <c r="L351" s="129">
        <v>46192.055659722224</v>
      </c>
      <c r="M351" s="129">
        <v>46192.30263888889</v>
      </c>
      <c r="N351" s="129">
        <v>46195.328738425924</v>
      </c>
      <c r="O351" s="129"/>
      <c r="P351" s="129"/>
      <c r="Q351" s="256" t="s">
        <v>1065</v>
      </c>
      <c r="R351" s="127" t="s">
        <v>267</v>
      </c>
      <c r="S351" s="127" t="s">
        <v>149</v>
      </c>
      <c r="T351" s="127"/>
      <c r="U351" s="127" t="s">
        <v>371</v>
      </c>
      <c r="Z351" s="169">
        <f t="shared" ca="1" si="40"/>
        <v>0.37500000000000006</v>
      </c>
      <c r="AA351" s="170">
        <f t="shared" ca="1" si="41"/>
        <v>1.0000000000000002</v>
      </c>
      <c r="AB351" s="169">
        <f t="shared" ca="1" si="42"/>
        <v>0.37500000000000006</v>
      </c>
      <c r="AC351" s="170">
        <f t="shared" ca="1" si="43"/>
        <v>1.0000000000000002</v>
      </c>
      <c r="AD351" s="169">
        <f t="shared" ca="1" si="44"/>
        <v>0</v>
      </c>
      <c r="AE351" s="169">
        <f t="shared" ca="1" si="47"/>
        <v>0.37500000000000006</v>
      </c>
      <c r="AF351" s="170">
        <f t="shared" ca="1" si="45"/>
        <v>1.0000000000000002</v>
      </c>
      <c r="AG351" s="170">
        <f t="shared" ca="1" si="46"/>
        <v>1.0000000000000002</v>
      </c>
      <c r="AH351" s="28" t="str" cm="1">
        <f t="array" aca="1" ref="AH351" ca="1">IF((AD351) &lt; (INDEX(ResponseSLA[#All],(MATCH((G351),ResponseSLA[Priority],0))+1,3)),"YES","No")</f>
        <v>YES</v>
      </c>
      <c r="AI351" s="28" t="str">
        <f ca="1">_xlfn.IFNA(IF(AE351 &lt; (INDEX(SLATable[Minimum SLA],MATCH(G351,SLATable[Priority],0))),"YES","NO"),"")</f>
        <v>YES</v>
      </c>
      <c r="AJ351" s="28" t="str">
        <f ca="1">_xlfn.IFNA(IF(AE351 &lt; (INDEX(SLATable[Maximum SLA],MATCH(G351,SLATable[Priority],0))),"YES","NO"),"")</f>
        <v>YES</v>
      </c>
    </row>
    <row r="352" spans="2:36" ht="15" customHeight="1">
      <c r="B352" s="127" t="s">
        <v>26</v>
      </c>
      <c r="C352" s="127" t="s">
        <v>35</v>
      </c>
      <c r="D352" s="127" t="s">
        <v>207</v>
      </c>
      <c r="E352" s="256" t="s">
        <v>1790</v>
      </c>
      <c r="F352" s="256" t="s">
        <v>289</v>
      </c>
      <c r="G352" s="256">
        <v>3</v>
      </c>
      <c r="H352" s="256" t="s">
        <v>1791</v>
      </c>
      <c r="I352" s="256" t="s">
        <v>271</v>
      </c>
      <c r="J352" s="256" t="s">
        <v>1092</v>
      </c>
      <c r="K352" s="129">
        <v>46191.898055555554</v>
      </c>
      <c r="L352" s="129">
        <v>46191.898425925923</v>
      </c>
      <c r="M352" s="129">
        <v>46192.303333333337</v>
      </c>
      <c r="N352" s="129">
        <v>46195.331018518518</v>
      </c>
      <c r="O352" s="129"/>
      <c r="P352" s="129"/>
      <c r="Q352" s="256" t="s">
        <v>1068</v>
      </c>
      <c r="R352" s="127" t="s">
        <v>267</v>
      </c>
      <c r="S352" s="127" t="s">
        <v>149</v>
      </c>
      <c r="T352" s="127"/>
      <c r="U352" s="127" t="s">
        <v>371</v>
      </c>
      <c r="Z352" s="169">
        <f t="shared" ca="1" si="40"/>
        <v>0.37500000000000011</v>
      </c>
      <c r="AA352" s="170">
        <f t="shared" ca="1" si="41"/>
        <v>1.0000000000000004</v>
      </c>
      <c r="AB352" s="169">
        <f t="shared" ca="1" si="42"/>
        <v>0.37500000000000011</v>
      </c>
      <c r="AC352" s="170">
        <f t="shared" ca="1" si="43"/>
        <v>1.0000000000000004</v>
      </c>
      <c r="AD352" s="169">
        <f t="shared" ca="1" si="44"/>
        <v>0</v>
      </c>
      <c r="AE352" s="169">
        <f t="shared" ca="1" si="47"/>
        <v>0.37500000000000011</v>
      </c>
      <c r="AF352" s="170">
        <f t="shared" ca="1" si="45"/>
        <v>1.0000000000000004</v>
      </c>
      <c r="AG352" s="170">
        <f t="shared" ca="1" si="46"/>
        <v>1.0000000000000004</v>
      </c>
      <c r="AH352" s="28" t="str" cm="1">
        <f t="array" aca="1" ref="AH352" ca="1">IF((AD352) &lt; (INDEX(ResponseSLA[#All],(MATCH((G352),ResponseSLA[Priority],0))+1,3)),"YES","No")</f>
        <v>YES</v>
      </c>
      <c r="AI352" s="28" t="str">
        <f ca="1">_xlfn.IFNA(IF(AE352 &lt; (INDEX(SLATable[Minimum SLA],MATCH(G352,SLATable[Priority],0))),"YES","NO"),"")</f>
        <v>NO</v>
      </c>
      <c r="AJ352" s="28" t="str">
        <f ca="1">_xlfn.IFNA(IF(AE352 &lt; (INDEX(SLATable[Maximum SLA],MATCH(G352,SLATable[Priority],0))),"YES","NO"),"")</f>
        <v>YES</v>
      </c>
    </row>
    <row r="353" spans="2:36" ht="15" customHeight="1">
      <c r="B353" s="127" t="s">
        <v>26</v>
      </c>
      <c r="C353" s="127" t="s">
        <v>35</v>
      </c>
      <c r="D353" s="127" t="s">
        <v>207</v>
      </c>
      <c r="E353" s="256" t="s">
        <v>1792</v>
      </c>
      <c r="F353" s="256" t="s">
        <v>289</v>
      </c>
      <c r="G353" s="256">
        <v>3</v>
      </c>
      <c r="H353" s="256" t="s">
        <v>1793</v>
      </c>
      <c r="I353" s="256" t="s">
        <v>271</v>
      </c>
      <c r="J353" s="256" t="s">
        <v>1092</v>
      </c>
      <c r="K353" s="129">
        <v>46191.106493055559</v>
      </c>
      <c r="L353" s="129">
        <v>46191.107430555552</v>
      </c>
      <c r="M353" s="129">
        <v>46191.308287037034</v>
      </c>
      <c r="N353" s="129">
        <v>46191.370416666665</v>
      </c>
      <c r="O353" s="129"/>
      <c r="P353" s="129"/>
      <c r="Q353" s="256" t="s">
        <v>1101</v>
      </c>
      <c r="R353" s="127" t="s">
        <v>267</v>
      </c>
      <c r="S353" s="127" t="s">
        <v>149</v>
      </c>
      <c r="T353" s="127"/>
      <c r="U353" s="127" t="s">
        <v>371</v>
      </c>
      <c r="Z353" s="169">
        <f t="shared" ca="1" si="40"/>
        <v>3.7083333331490109E-2</v>
      </c>
      <c r="AA353" s="170">
        <f t="shared" ca="1" si="41"/>
        <v>9.8888888883973625E-2</v>
      </c>
      <c r="AB353" s="169">
        <f t="shared" ca="1" si="42"/>
        <v>3.7083333331490109E-2</v>
      </c>
      <c r="AC353" s="170">
        <f t="shared" ca="1" si="43"/>
        <v>9.8888888883973625E-2</v>
      </c>
      <c r="AD353" s="169">
        <f t="shared" ca="1" si="44"/>
        <v>0</v>
      </c>
      <c r="AE353" s="169">
        <f t="shared" ca="1" si="47"/>
        <v>3.7083333331490109E-2</v>
      </c>
      <c r="AF353" s="170">
        <f t="shared" ca="1" si="45"/>
        <v>9.8888888883973625E-2</v>
      </c>
      <c r="AG353" s="170">
        <f t="shared" ca="1" si="46"/>
        <v>9.8888888883973625E-2</v>
      </c>
      <c r="AH353" s="28" t="str" cm="1">
        <f t="array" aca="1" ref="AH353" ca="1">IF((AD353) &lt; (INDEX(ResponseSLA[#All],(MATCH((G353),ResponseSLA[Priority],0))+1,3)),"YES","No")</f>
        <v>YES</v>
      </c>
      <c r="AI353" s="28" t="str">
        <f ca="1">_xlfn.IFNA(IF(AE353 &lt; (INDEX(SLATable[Minimum SLA],MATCH(G353,SLATable[Priority],0))),"YES","NO"),"")</f>
        <v>YES</v>
      </c>
      <c r="AJ353" s="28" t="str">
        <f ca="1">_xlfn.IFNA(IF(AE353 &lt; (INDEX(SLATable[Maximum SLA],MATCH(G353,SLATable[Priority],0))),"YES","NO"),"")</f>
        <v>YES</v>
      </c>
    </row>
    <row r="354" spans="2:36" ht="15" customHeight="1">
      <c r="B354" s="127" t="s">
        <v>26</v>
      </c>
      <c r="C354" s="127" t="s">
        <v>35</v>
      </c>
      <c r="D354" s="127" t="s">
        <v>207</v>
      </c>
      <c r="E354" s="256" t="s">
        <v>1794</v>
      </c>
      <c r="F354" s="256" t="s">
        <v>289</v>
      </c>
      <c r="G354" s="256">
        <v>3</v>
      </c>
      <c r="H354" s="256" t="s">
        <v>1795</v>
      </c>
      <c r="I354" s="256" t="s">
        <v>271</v>
      </c>
      <c r="J354" s="256" t="s">
        <v>1092</v>
      </c>
      <c r="K354" s="129">
        <v>46191.106481481482</v>
      </c>
      <c r="L354" s="129">
        <v>46191.107418981483</v>
      </c>
      <c r="M354" s="129">
        <v>46191.307210648149</v>
      </c>
      <c r="N354" s="129">
        <v>46191.371504629627</v>
      </c>
      <c r="O354" s="129"/>
      <c r="P354" s="129"/>
      <c r="Q354" s="256" t="s">
        <v>1796</v>
      </c>
      <c r="R354" s="127" t="s">
        <v>267</v>
      </c>
      <c r="S354" s="127" t="s">
        <v>149</v>
      </c>
      <c r="T354" s="127"/>
      <c r="U354" s="127" t="s">
        <v>371</v>
      </c>
      <c r="Z354" s="169">
        <f t="shared" ca="1" si="40"/>
        <v>3.8171296294118917E-2</v>
      </c>
      <c r="AA354" s="170">
        <f t="shared" ca="1" si="41"/>
        <v>0.10179012345098377</v>
      </c>
      <c r="AB354" s="169">
        <f t="shared" ca="1" si="42"/>
        <v>3.8171296294118917E-2</v>
      </c>
      <c r="AC354" s="170">
        <f t="shared" ca="1" si="43"/>
        <v>0.10179012345098377</v>
      </c>
      <c r="AD354" s="169">
        <f t="shared" ca="1" si="44"/>
        <v>0</v>
      </c>
      <c r="AE354" s="169">
        <f t="shared" ca="1" si="47"/>
        <v>3.8171296294118917E-2</v>
      </c>
      <c r="AF354" s="170">
        <f t="shared" ca="1" si="45"/>
        <v>0.10179012345098377</v>
      </c>
      <c r="AG354" s="170">
        <f t="shared" ca="1" si="46"/>
        <v>0.10179012345098377</v>
      </c>
      <c r="AH354" s="28" t="str" cm="1">
        <f t="array" aca="1" ref="AH354" ca="1">IF((AD354) &lt; (INDEX(ResponseSLA[#All],(MATCH((G354),ResponseSLA[Priority],0))+1,3)),"YES","No")</f>
        <v>YES</v>
      </c>
      <c r="AI354" s="28" t="str">
        <f ca="1">_xlfn.IFNA(IF(AE354 &lt; (INDEX(SLATable[Minimum SLA],MATCH(G354,SLATable[Priority],0))),"YES","NO"),"")</f>
        <v>YES</v>
      </c>
      <c r="AJ354" s="28" t="str">
        <f ca="1">_xlfn.IFNA(IF(AE354 &lt; (INDEX(SLATable[Maximum SLA],MATCH(G354,SLATable[Priority],0))),"YES","NO"),"")</f>
        <v>YES</v>
      </c>
    </row>
    <row r="355" spans="2:36" ht="15" customHeight="1">
      <c r="B355" s="127" t="s">
        <v>26</v>
      </c>
      <c r="C355" s="127" t="s">
        <v>35</v>
      </c>
      <c r="D355" s="127" t="s">
        <v>207</v>
      </c>
      <c r="E355" s="256" t="s">
        <v>1797</v>
      </c>
      <c r="F355" s="256" t="s">
        <v>289</v>
      </c>
      <c r="G355" s="256">
        <v>3</v>
      </c>
      <c r="H355" s="256" t="s">
        <v>1798</v>
      </c>
      <c r="I355" s="256" t="s">
        <v>271</v>
      </c>
      <c r="J355" s="256" t="s">
        <v>1092</v>
      </c>
      <c r="K355" s="129">
        <v>46191.107141203705</v>
      </c>
      <c r="L355" s="129">
        <v>46191.107442129629</v>
      </c>
      <c r="M355" s="129">
        <v>46191.312893518516</v>
      </c>
      <c r="N355" s="129">
        <v>46191.372939814813</v>
      </c>
      <c r="O355" s="129"/>
      <c r="P355" s="129"/>
      <c r="Q355" s="256" t="s">
        <v>1068</v>
      </c>
      <c r="R355" s="127" t="s">
        <v>267</v>
      </c>
      <c r="S355" s="127" t="s">
        <v>149</v>
      </c>
      <c r="T355" s="127"/>
      <c r="U355" s="127" t="s">
        <v>371</v>
      </c>
      <c r="Z355" s="169">
        <f t="shared" ca="1" si="40"/>
        <v>3.9606481480101763E-2</v>
      </c>
      <c r="AA355" s="170">
        <f t="shared" ca="1" si="41"/>
        <v>0.10561728394693803</v>
      </c>
      <c r="AB355" s="169">
        <f t="shared" ca="1" si="42"/>
        <v>3.9606481480101763E-2</v>
      </c>
      <c r="AC355" s="170">
        <f t="shared" ca="1" si="43"/>
        <v>0.10561728394693803</v>
      </c>
      <c r="AD355" s="169">
        <f t="shared" ca="1" si="44"/>
        <v>0</v>
      </c>
      <c r="AE355" s="169">
        <f t="shared" ca="1" si="47"/>
        <v>3.9606481480101763E-2</v>
      </c>
      <c r="AF355" s="170">
        <f t="shared" ca="1" si="45"/>
        <v>0.10561728394693803</v>
      </c>
      <c r="AG355" s="170">
        <f t="shared" ca="1" si="46"/>
        <v>0.10561728394693803</v>
      </c>
      <c r="AH355" s="28" t="str" cm="1">
        <f t="array" aca="1" ref="AH355" ca="1">IF((AD355) &lt; (INDEX(ResponseSLA[#All],(MATCH((G355),ResponseSLA[Priority],0))+1,3)),"YES","No")</f>
        <v>YES</v>
      </c>
      <c r="AI355" s="28" t="str">
        <f ca="1">_xlfn.IFNA(IF(AE355 &lt; (INDEX(SLATable[Minimum SLA],MATCH(G355,SLATable[Priority],0))),"YES","NO"),"")</f>
        <v>YES</v>
      </c>
      <c r="AJ355" s="28" t="str">
        <f ca="1">_xlfn.IFNA(IF(AE355 &lt; (INDEX(SLATable[Maximum SLA],MATCH(G355,SLATable[Priority],0))),"YES","NO"),"")</f>
        <v>YES</v>
      </c>
    </row>
    <row r="356" spans="2:36" ht="15" customHeight="1">
      <c r="B356" s="127" t="s">
        <v>26</v>
      </c>
      <c r="C356" s="127" t="s">
        <v>35</v>
      </c>
      <c r="D356" s="127" t="s">
        <v>207</v>
      </c>
      <c r="E356" s="256" t="s">
        <v>1799</v>
      </c>
      <c r="F356" s="256" t="s">
        <v>289</v>
      </c>
      <c r="G356" s="256">
        <v>4</v>
      </c>
      <c r="H356" s="256" t="s">
        <v>1800</v>
      </c>
      <c r="I356" s="256" t="s">
        <v>271</v>
      </c>
      <c r="J356" s="256" t="s">
        <v>1092</v>
      </c>
      <c r="K356" s="129">
        <v>46185.68577546296</v>
      </c>
      <c r="L356" s="129">
        <v>46185.685937499999</v>
      </c>
      <c r="M356" s="129">
        <v>46187.480474537035</v>
      </c>
      <c r="N356" s="129">
        <v>46191.365497685183</v>
      </c>
      <c r="O356" s="129"/>
      <c r="P356" s="129"/>
      <c r="Q356" s="256" t="s">
        <v>1796</v>
      </c>
      <c r="R356" s="127" t="s">
        <v>267</v>
      </c>
      <c r="S356" s="127" t="s">
        <v>199</v>
      </c>
      <c r="T356" s="127"/>
      <c r="U356" s="127" t="s">
        <v>371</v>
      </c>
      <c r="Z356" s="169">
        <f t="shared" ca="1" si="40"/>
        <v>1.1797222222230632</v>
      </c>
      <c r="AA356" s="170">
        <f t="shared" ca="1" si="41"/>
        <v>3.1459259259281689</v>
      </c>
      <c r="AB356" s="169">
        <f t="shared" ca="1" si="42"/>
        <v>1.1795601851845279</v>
      </c>
      <c r="AC356" s="170">
        <f t="shared" ca="1" si="43"/>
        <v>3.1454938271587412</v>
      </c>
      <c r="AD356" s="169">
        <f t="shared" ca="1" si="44"/>
        <v>0</v>
      </c>
      <c r="AE356" s="169">
        <f t="shared" ca="1" si="47"/>
        <v>1.1795601851845279</v>
      </c>
      <c r="AF356" s="170">
        <f t="shared" ca="1" si="45"/>
        <v>3.1454938271587412</v>
      </c>
      <c r="AG356" s="170">
        <f t="shared" ca="1" si="46"/>
        <v>3.1454938271587412</v>
      </c>
      <c r="AH356" s="28" t="str" cm="1">
        <f t="array" aca="1" ref="AH356" ca="1">IF((AD356) &lt; (INDEX(ResponseSLA[#All],(MATCH((G356),ResponseSLA[Priority],0))+1,3)),"YES","No")</f>
        <v>YES</v>
      </c>
      <c r="AI356" s="28" t="str">
        <f ca="1">_xlfn.IFNA(IF(AE356 &lt; (INDEX(SLATable[Minimum SLA],MATCH(G356,SLATable[Priority],0))),"YES","NO"),"")</f>
        <v>YES</v>
      </c>
      <c r="AJ356" s="28" t="str">
        <f ca="1">_xlfn.IFNA(IF(AE356 &lt; (INDEX(SLATable[Maximum SLA],MATCH(G356,SLATable[Priority],0))),"YES","NO"),"")</f>
        <v>YES</v>
      </c>
    </row>
    <row r="357" spans="2:36" ht="15" customHeight="1">
      <c r="B357" s="127" t="s">
        <v>26</v>
      </c>
      <c r="C357" s="127" t="s">
        <v>35</v>
      </c>
      <c r="D357" s="127" t="s">
        <v>207</v>
      </c>
      <c r="E357" s="256" t="s">
        <v>1801</v>
      </c>
      <c r="F357" s="256" t="s">
        <v>289</v>
      </c>
      <c r="G357" s="256">
        <v>3</v>
      </c>
      <c r="H357" s="256" t="s">
        <v>1802</v>
      </c>
      <c r="I357" s="256" t="s">
        <v>271</v>
      </c>
      <c r="J357" s="256" t="s">
        <v>1092</v>
      </c>
      <c r="K357" s="129">
        <v>46178.527118055557</v>
      </c>
      <c r="L357" s="129">
        <v>46178.527870370373</v>
      </c>
      <c r="M357" s="129">
        <v>46178.529351851852</v>
      </c>
      <c r="N357" s="129">
        <v>46189.414560185185</v>
      </c>
      <c r="O357" s="129">
        <v>46181.414143518516</v>
      </c>
      <c r="P357" s="129">
        <v>46189.414560185185</v>
      </c>
      <c r="Q357" s="256" t="s">
        <v>1098</v>
      </c>
      <c r="R357" s="127" t="s">
        <v>267</v>
      </c>
      <c r="S357" s="127" t="s">
        <v>199</v>
      </c>
      <c r="T357" s="127"/>
      <c r="U357" s="127" t="s">
        <v>371</v>
      </c>
      <c r="Z357" s="169">
        <f t="shared" ca="1" si="40"/>
        <v>0.26202546295826323</v>
      </c>
      <c r="AA357" s="170">
        <f t="shared" ca="1" si="41"/>
        <v>0.69873456788870192</v>
      </c>
      <c r="AB357" s="169">
        <f t="shared" ca="1" si="42"/>
        <v>0.26127314814220881</v>
      </c>
      <c r="AC357" s="170">
        <f t="shared" ca="1" si="43"/>
        <v>0.69672839504589013</v>
      </c>
      <c r="AD357" s="169">
        <f t="shared" ca="1" si="44"/>
        <v>1.48148147854954E-3</v>
      </c>
      <c r="AE357" s="169">
        <f t="shared" ca="1" si="47"/>
        <v>0.26127314814220881</v>
      </c>
      <c r="AF357" s="170">
        <f t="shared" ca="1" si="45"/>
        <v>0.69672839504589013</v>
      </c>
      <c r="AG357" s="170">
        <f t="shared" ca="1" si="46"/>
        <v>0.69672839504589013</v>
      </c>
      <c r="AH357" s="28" t="str" cm="1">
        <f t="array" aca="1" ref="AH357" ca="1">IF((AD357) &lt; (INDEX(ResponseSLA[#All],(MATCH((G357),ResponseSLA[Priority],0))+1,3)),"YES","No")</f>
        <v>YES</v>
      </c>
      <c r="AI357" s="28" t="str">
        <f ca="1">_xlfn.IFNA(IF(AE357 &lt; (INDEX(SLATable[Minimum SLA],MATCH(G357,SLATable[Priority],0))),"YES","NO"),"")</f>
        <v>YES</v>
      </c>
      <c r="AJ357" s="28" t="str">
        <f ca="1">_xlfn.IFNA(IF(AE357 &lt; (INDEX(SLATable[Maximum SLA],MATCH(G357,SLATable[Priority],0))),"YES","NO"),"")</f>
        <v>YES</v>
      </c>
    </row>
    <row r="358" spans="2:36" ht="15" customHeight="1">
      <c r="B358" s="127" t="s">
        <v>26</v>
      </c>
      <c r="C358" s="127" t="s">
        <v>35</v>
      </c>
      <c r="D358" s="127" t="s">
        <v>207</v>
      </c>
      <c r="E358" s="256" t="s">
        <v>1803</v>
      </c>
      <c r="F358" s="256" t="s">
        <v>289</v>
      </c>
      <c r="G358" s="256">
        <v>3</v>
      </c>
      <c r="H358" s="256" t="s">
        <v>1804</v>
      </c>
      <c r="I358" s="256" t="s">
        <v>271</v>
      </c>
      <c r="J358" s="256" t="s">
        <v>1092</v>
      </c>
      <c r="K358" s="129">
        <v>46183.407280092593</v>
      </c>
      <c r="L358" s="129">
        <v>46183.407488425924</v>
      </c>
      <c r="M358" s="129">
        <v>46184.30741898148</v>
      </c>
      <c r="N358" s="129">
        <v>46184.461157407408</v>
      </c>
      <c r="O358" s="129"/>
      <c r="P358" s="129"/>
      <c r="Q358" s="256" t="s">
        <v>1164</v>
      </c>
      <c r="R358" s="127" t="s">
        <v>267</v>
      </c>
      <c r="S358" s="127" t="s">
        <v>149</v>
      </c>
      <c r="T358" s="127"/>
      <c r="U358" s="127" t="s">
        <v>371</v>
      </c>
      <c r="Z358" s="169">
        <f t="shared" ca="1" si="40"/>
        <v>0.42887731481459923</v>
      </c>
      <c r="AA358" s="170">
        <f t="shared" ca="1" si="41"/>
        <v>1.1436728395055979</v>
      </c>
      <c r="AB358" s="169">
        <f t="shared" ca="1" si="42"/>
        <v>0.42866898148349719</v>
      </c>
      <c r="AC358" s="170">
        <f t="shared" ca="1" si="43"/>
        <v>1.1431172839559924</v>
      </c>
      <c r="AD358" s="169">
        <f t="shared" ca="1" si="44"/>
        <v>0.30084490740894887</v>
      </c>
      <c r="AE358" s="169">
        <f t="shared" ca="1" si="47"/>
        <v>0.42866898148349719</v>
      </c>
      <c r="AF358" s="170">
        <f t="shared" ca="1" si="45"/>
        <v>1.1431172839559924</v>
      </c>
      <c r="AG358" s="170">
        <f t="shared" ca="1" si="46"/>
        <v>1.1431172839559924</v>
      </c>
      <c r="AH358" s="28" t="str" cm="1">
        <f t="array" aca="1" ref="AH358" ca="1">IF((AD358) &lt; (INDEX(ResponseSLA[#All],(MATCH((G358),ResponseSLA[Priority],0))+1,3)),"YES","No")</f>
        <v>No</v>
      </c>
      <c r="AI358" s="28" t="str">
        <f ca="1">_xlfn.IFNA(IF(AE358 &lt; (INDEX(SLATable[Minimum SLA],MATCH(G358,SLATable[Priority],0))),"YES","NO"),"")</f>
        <v>NO</v>
      </c>
      <c r="AJ358" s="28" t="str">
        <f ca="1">_xlfn.IFNA(IF(AE358 &lt; (INDEX(SLATable[Maximum SLA],MATCH(G358,SLATable[Priority],0))),"YES","NO"),"")</f>
        <v>YES</v>
      </c>
    </row>
    <row r="359" spans="2:36" ht="15" customHeight="1">
      <c r="B359" s="127" t="s">
        <v>26</v>
      </c>
      <c r="C359" s="127" t="s">
        <v>35</v>
      </c>
      <c r="D359" s="127" t="s">
        <v>207</v>
      </c>
      <c r="E359" s="256" t="s">
        <v>1805</v>
      </c>
      <c r="F359" s="256" t="s">
        <v>289</v>
      </c>
      <c r="G359" s="256">
        <v>3</v>
      </c>
      <c r="H359" s="256" t="s">
        <v>1806</v>
      </c>
      <c r="I359" s="256" t="s">
        <v>271</v>
      </c>
      <c r="J359" s="256" t="s">
        <v>1092</v>
      </c>
      <c r="K359" s="129">
        <v>46175.101354166669</v>
      </c>
      <c r="L359" s="129">
        <v>46175.109456018516</v>
      </c>
      <c r="M359" s="129">
        <v>46175.324733796297</v>
      </c>
      <c r="N359" s="129">
        <v>46175.444722222222</v>
      </c>
      <c r="O359" s="129"/>
      <c r="P359" s="129"/>
      <c r="Q359" s="256" t="s">
        <v>1796</v>
      </c>
      <c r="R359" s="127" t="s">
        <v>267</v>
      </c>
      <c r="S359" s="127" t="s">
        <v>149</v>
      </c>
      <c r="T359" s="127"/>
      <c r="U359" s="127" t="s">
        <v>371</v>
      </c>
      <c r="Z359" s="169">
        <f t="shared" ca="1" si="40"/>
        <v>0.11138888888914761</v>
      </c>
      <c r="AA359" s="170">
        <f t="shared" ca="1" si="41"/>
        <v>0.29703703703772694</v>
      </c>
      <c r="AB359" s="169">
        <f t="shared" ca="1" si="42"/>
        <v>0.11138888888914761</v>
      </c>
      <c r="AC359" s="170">
        <f t="shared" ca="1" si="43"/>
        <v>0.29703703703772694</v>
      </c>
      <c r="AD359" s="169">
        <f t="shared" ca="1" si="44"/>
        <v>0</v>
      </c>
      <c r="AE359" s="169">
        <f t="shared" ca="1" si="47"/>
        <v>0.11138888888914761</v>
      </c>
      <c r="AF359" s="170">
        <f t="shared" ca="1" si="45"/>
        <v>0.29703703703772694</v>
      </c>
      <c r="AG359" s="170">
        <f t="shared" ca="1" si="46"/>
        <v>0.29703703703772694</v>
      </c>
      <c r="AH359" s="28" t="str" cm="1">
        <f t="array" aca="1" ref="AH359" ca="1">IF((AD359) &lt; (INDEX(ResponseSLA[#All],(MATCH((G359),ResponseSLA[Priority],0))+1,3)),"YES","No")</f>
        <v>YES</v>
      </c>
      <c r="AI359" s="28" t="str">
        <f ca="1">_xlfn.IFNA(IF(AE359 &lt; (INDEX(SLATable[Minimum SLA],MATCH(G359,SLATable[Priority],0))),"YES","NO"),"")</f>
        <v>YES</v>
      </c>
      <c r="AJ359" s="28" t="str">
        <f ca="1">_xlfn.IFNA(IF(AE359 &lt; (INDEX(SLATable[Maximum SLA],MATCH(G359,SLATable[Priority],0))),"YES","NO"),"")</f>
        <v>YES</v>
      </c>
    </row>
    <row r="360" spans="2:36" ht="15" customHeight="1">
      <c r="B360" s="127" t="s">
        <v>26</v>
      </c>
      <c r="C360" s="127" t="s">
        <v>35</v>
      </c>
      <c r="D360" s="127" t="s">
        <v>208</v>
      </c>
      <c r="E360" s="127" t="s">
        <v>1807</v>
      </c>
      <c r="F360" s="127" t="s">
        <v>295</v>
      </c>
      <c r="G360" s="127" t="s">
        <v>208</v>
      </c>
      <c r="H360" s="127" t="s">
        <v>1808</v>
      </c>
      <c r="I360" s="127" t="s">
        <v>271</v>
      </c>
      <c r="J360" s="127" t="s">
        <v>1092</v>
      </c>
      <c r="K360" s="129">
        <v>46160.253935185188</v>
      </c>
      <c r="L360" s="129">
        <v>46170.381805555553</v>
      </c>
      <c r="M360" s="129">
        <v>46170.56658564815</v>
      </c>
      <c r="N360" s="129">
        <v>46176.285787037035</v>
      </c>
      <c r="O360" s="129"/>
      <c r="P360" s="129"/>
      <c r="Q360" s="127" t="s">
        <v>1566</v>
      </c>
      <c r="R360" s="127" t="s">
        <v>267</v>
      </c>
      <c r="S360" s="127" t="s">
        <v>179</v>
      </c>
      <c r="T360" s="127"/>
      <c r="U360" s="127" t="s">
        <v>371</v>
      </c>
      <c r="Z360" s="169">
        <f t="shared" ca="1" si="40"/>
        <v>4.1250000000000009</v>
      </c>
      <c r="AA360" s="170">
        <f t="shared" ca="1" si="41"/>
        <v>11.000000000000004</v>
      </c>
      <c r="AB360" s="169">
        <f t="shared" ca="1" si="42"/>
        <v>1.4515277777803326</v>
      </c>
      <c r="AC360" s="170">
        <f t="shared" ca="1" si="43"/>
        <v>3.8707407407475531</v>
      </c>
      <c r="AD360" s="169">
        <f t="shared" ca="1" si="44"/>
        <v>0.18478009259706596</v>
      </c>
      <c r="AE360" s="169">
        <f t="shared" ca="1" si="47"/>
        <v>1.4515277777803326</v>
      </c>
      <c r="AF360" s="170">
        <f t="shared" ca="1" si="45"/>
        <v>3.8707407407475531</v>
      </c>
      <c r="AG360" s="170">
        <f t="shared" ca="1" si="46"/>
        <v>3.8707407407475531</v>
      </c>
      <c r="AH360" s="28" t="str" cm="1">
        <f t="array" aca="1" ref="AH360" ca="1">IF((AD360) &lt; (INDEX(ResponseSLA[#All],(MATCH((G360),ResponseSLA[Priority],0))+1,3)),"YES","No")</f>
        <v>YES</v>
      </c>
      <c r="AI360" s="28" t="str">
        <f ca="1">_xlfn.IFNA(IF(AE360 &lt; (INDEX(SLATable[Minimum SLA],MATCH(G360,SLATable[Priority],0))),"YES","NO"),"")</f>
        <v>NO</v>
      </c>
      <c r="AJ360" s="28" t="str">
        <f ca="1">_xlfn.IFNA(IF(AE360 &lt; (INDEX(SLATable[Maximum SLA],MATCH(G360,SLATable[Priority],0))),"YES","NO"),"")</f>
        <v>NO</v>
      </c>
    </row>
    <row r="361" spans="2:36" ht="15" customHeight="1">
      <c r="B361" s="127" t="s">
        <v>26</v>
      </c>
      <c r="C361" s="127" t="s">
        <v>35</v>
      </c>
      <c r="D361" s="127" t="s">
        <v>208</v>
      </c>
      <c r="E361" s="127" t="s">
        <v>1809</v>
      </c>
      <c r="F361" s="127" t="s">
        <v>289</v>
      </c>
      <c r="G361" s="127" t="s">
        <v>208</v>
      </c>
      <c r="H361" s="127" t="s">
        <v>1810</v>
      </c>
      <c r="I361" s="127" t="s">
        <v>271</v>
      </c>
      <c r="J361" s="127" t="s">
        <v>1092</v>
      </c>
      <c r="K361" s="129">
        <v>46177.334768518522</v>
      </c>
      <c r="L361" s="129">
        <v>46177.334768518522</v>
      </c>
      <c r="M361" s="129">
        <v>46178.387118055558</v>
      </c>
      <c r="N361" s="129">
        <v>46182.446701388886</v>
      </c>
      <c r="O361" s="129"/>
      <c r="P361" s="129"/>
      <c r="Q361" s="127" t="s">
        <v>1811</v>
      </c>
      <c r="R361" s="127" t="s">
        <v>267</v>
      </c>
      <c r="S361" s="127" t="s">
        <v>155</v>
      </c>
      <c r="T361" s="127"/>
      <c r="U361" s="127" t="s">
        <v>371</v>
      </c>
      <c r="Z361" s="169">
        <f t="shared" ca="1" si="40"/>
        <v>1.2369328703643989</v>
      </c>
      <c r="AA361" s="170">
        <f t="shared" ca="1" si="41"/>
        <v>3.2984876543050641</v>
      </c>
      <c r="AB361" s="169">
        <f t="shared" ca="1" si="42"/>
        <v>1.2369328703643989</v>
      </c>
      <c r="AC361" s="170">
        <f t="shared" ca="1" si="43"/>
        <v>3.2984876543050641</v>
      </c>
      <c r="AD361" s="169">
        <f t="shared" ca="1" si="44"/>
        <v>0.42734953703620704</v>
      </c>
      <c r="AE361" s="169">
        <f t="shared" ca="1" si="47"/>
        <v>1.2369328703643989</v>
      </c>
      <c r="AF361" s="170">
        <f t="shared" ca="1" si="45"/>
        <v>3.2984876543050641</v>
      </c>
      <c r="AG361" s="170">
        <f t="shared" ca="1" si="46"/>
        <v>3.2984876543050641</v>
      </c>
      <c r="AH361" s="28" t="str" cm="1">
        <f t="array" aca="1" ref="AH361" ca="1">IF((AD361) &lt; (INDEX(ResponseSLA[#All],(MATCH((G361),ResponseSLA[Priority],0))+1,3)),"YES","No")</f>
        <v>No</v>
      </c>
      <c r="AI361" s="28" t="str">
        <f ca="1">_xlfn.IFNA(IF(AE361 &lt; (INDEX(SLATable[Minimum SLA],MATCH(G361,SLATable[Priority],0))),"YES","NO"),"")</f>
        <v>NO</v>
      </c>
      <c r="AJ361" s="28" t="str">
        <f ca="1">_xlfn.IFNA(IF(AE361 &lt; (INDEX(SLATable[Maximum SLA],MATCH(G361,SLATable[Priority],0))),"YES","NO"),"")</f>
        <v>NO</v>
      </c>
    </row>
    <row r="362" spans="2:36" ht="15" customHeight="1">
      <c r="B362" s="127" t="s">
        <v>26</v>
      </c>
      <c r="C362" s="127" t="s">
        <v>35</v>
      </c>
      <c r="D362" s="127" t="s">
        <v>207</v>
      </c>
      <c r="E362" s="253" t="s">
        <v>1812</v>
      </c>
      <c r="F362" s="127" t="s">
        <v>295</v>
      </c>
      <c r="G362" s="127">
        <v>3</v>
      </c>
      <c r="H362" s="253" t="s">
        <v>1813</v>
      </c>
      <c r="I362" s="127" t="s">
        <v>271</v>
      </c>
      <c r="J362" s="127" t="s">
        <v>1250</v>
      </c>
      <c r="K362" s="129">
        <v>46184.145601851851</v>
      </c>
      <c r="L362" s="129">
        <v>46184.145775462966</v>
      </c>
      <c r="M362" s="129">
        <v>46184.314409722225</v>
      </c>
      <c r="N362" s="129">
        <v>46185.292581018519</v>
      </c>
      <c r="O362" s="129"/>
      <c r="P362" s="129"/>
      <c r="Q362" s="256" t="s">
        <v>695</v>
      </c>
      <c r="R362" s="127" t="s">
        <v>267</v>
      </c>
      <c r="S362" s="127" t="s">
        <v>169</v>
      </c>
      <c r="T362" s="127"/>
      <c r="U362" s="127" t="s">
        <v>371</v>
      </c>
      <c r="Z362" s="169">
        <f t="shared" ref="Z362:Z406" ca="1" si="48">IF(NOT(OR(G362=1,G362=2)),MAX(0,_xlfn.IFS(AND(K362&lt;&gt;"",N362&lt;&gt;""),((MAX(NETWORKDAYS(K362,N362,UKBankHolidays)-1,0))*(TIME(17,0,0)-TIME(8,0,0))+IF(NETWORKDAYS(N362,N362,UKBankHolidays)&gt;0,MEDIAN(TIME(8,0,0),MOD(N362,1),TIME(17,0,0)),TIME(8,0,0))-IF(NETWORKDAYS(K362,K362,UKBankHolidays)&gt;0,MEDIAN(TIME(8,0,0),MOD(K362,1),TIME(17,0,0)),TIME(8,0,0)))-IF(AND(O362&lt;&gt;"",P362&lt;&gt;""),((MAX(NETWORKDAYS(O362,P362,UKBankHolidays)-1,0))*(TIME(17,0,0)-TIME(8,0,0))+IF(NETWORKDAYS(P362,P362,UKBankHolidays)&gt;0,MEDIAN(TIME(8,0,0),MOD(P362,1),TIME(17,0,0)),TIME(8,0,0))-IF(NETWORKDAYS(O362,O362,UKBankHolidays)&gt;0,MEDIAN(TIME(8,0,0),MOD(O362,1),TIME(17,0,0)),TIME(8,0,0))),0),AND(K362&lt;&gt;"",N362=""),((MAX(NETWORKDAYS(K362,NOW(),UKBankHolidays)-1,0))*(TIME(17,0,0)-TIME(8,0,0))+IF(NETWORKDAYS(NOW(),NOW(),UKBankHolidays)&gt;0,MEDIAN(TIME(8,0,0),MOD(NOW(),1),TIME(17,0,0)),TIME(8,0,0))-IF(NETWORKDAYS(K362,K362,UKBankHolidays)&gt;0,MEDIAN(TIME(8,0,0),MOD(K362,1),TIME(17,0,0)),TIME(8,0,0))))),IF(N362="",NOW()-K362,N362-K362))</f>
        <v>0.37500000000000006</v>
      </c>
      <c r="AA362" s="170">
        <f t="shared" ref="AA362:AA406" ca="1" si="49">(Z362*24)/9</f>
        <v>1.0000000000000002</v>
      </c>
      <c r="AB362" s="169">
        <f t="shared" ref="AB362:AB406" ca="1" si="50">IF(NOT(OR(G362=1,G362=2)),MAX(0,_xlfn.IFS(AND(K362&lt;&gt;"",N362&lt;&gt;""),(((MAX(NETWORKDAYS(L362,N362,UKBankHolidays)-1,0))*(TIME(17,0,0)-TIME(8,0,0)))+IF(NETWORKDAYS(N362,N362,UKBankHolidays)&gt;0,MEDIAN(TIME(8,0,0),MOD(N362,1),TIME(17,0,0)),TIME(8,0,0))-IF(NETWORKDAYS(L362,L362,UKBankHolidays)&gt;0,MEDIAN(TIME(8,0,0),MOD(L362,1),TIME(17,0,0)),TIME(8,0,0)))-IF(AND(O362&lt;&gt;"",P362&lt;&gt;""),(((MAX(NETWORKDAYS(O362,P362,UKBankHolidays)-1,0))*(TIME(17,0,0)-TIME(8,0,0)))+IF(NETWORKDAYS(P362,P362,UKBankHolidays)&gt;0,MEDIAN(TIME(8,0,0),MOD(P362,1),TIME(17,0,0)),TIME(8,0,0))-IF(NETWORKDAYS(O362,O362,UKBankHolidays)&gt;0,MEDIAN(TIME(8,0,0),MOD(O362,1),TIME(17,0,0)),TIME(8,0,0))),0),AND(L362&lt;&gt;"",N362="",O362=""),(((MAX(NETWORKDAYS(L362,NOW(),UKBankHolidays)-1,0))*(TIME(17,0,0)-TIME(8,0,0)))+IF(NETWORKDAYS(NOW(),NOW(),UKBankHolidays)&gt;0,MEDIAN(TIME(8,0,0),MOD(NOW(),1),TIME(17,0,0)),TIME(8,0,0))-IF(NETWORKDAYS(L362,L362,UKBankHolidays)&gt;0,MEDIAN(TIME(8,0,0),MOD(L362,1),TIME(17,0,0)),TIME(8,0,0)))-IF(AND(O362&lt;&gt;"",P362&lt;&gt;""),(((MAX(NETWORKDAYS(O362,P362,UKBankHolidays)-1,0))*(TIME(17,0,0)-TIME(8,0,0)))+IF(NETWORKDAYS(P362,P362,UKBankHolidays)&gt;0,MEDIAN(TIME(8,0,0),MOD(P362,1),TIME(17,0,0)),TIME(8,0,0))-IF(NETWORKDAYS(O362,O362,UKBankHolidays)&gt;0,MEDIAN(TIME(8,0,0),MOD(O362,1),TIME(17,0,0)),TIME(8,0,0))),0),AND(L362&lt;&gt;"",N362="",P362="",O362&lt;&gt;""),(((MAX(NETWORKDAYS(L362,O362,UKBankHolidays)-1,0))*(TIME(17,0,0)-TIME(8,0,0)))+IF(NETWORKDAYS(O362,O362,UKBankHolidays)&gt;0,MEDIAN(TIME(8,0,0),MOD(O362,1),TIME(17,0,0)),TIME(8,0,0))-IF(NETWORKDAYS(L362,L362,UKBankHolidays)&gt;0,MEDIAN(TIME(8,0,0),MOD(L362,1),TIME(17,0,0)),TIME(8,0,0))),ISBLANK(K362),"0")),IF(ISBLANK(N362),NOW()-L362,N362-L362))</f>
        <v>0.37500000000000006</v>
      </c>
      <c r="AC362" s="170">
        <f t="shared" ref="AC362:AC406" ca="1" si="51">(AB362*24)/9</f>
        <v>1.0000000000000002</v>
      </c>
      <c r="AD362" s="169">
        <f t="shared" ref="AD362:AD406" ca="1" si="52">MAX(0,IF(NOT(OR(G362=1,G362=2)),IF(M362&lt;&gt;"",((MAX(NETWORKDAYS(L362,M362,UKBankHolidays)-1,0))*(TIME(17,0,0)-TIME(8,0,0))+IF(NETWORKDAYS(M362,M362,UKBankHolidays)&gt;0,MEDIAN(TIME(8,0,0),MOD(M362,1),TIME(17,0,0)),TIME(8,0,0))-MEDIAN(TIME(8,0,0),MOD(L362,1),TIME(17,0,0))),((MAX(NETWORKDAYS(L362,NOW(),UKBankHolidays)-1,0))*(TIME(17,0,0)-TIME(8,0,0))+IF(NETWORKDAYS(NOW(),NOW(),UKBankHolidays)&gt;0,MEDIAN(TIME(8,0,0),MOD(NOW(),1),TIME(17,0,0)),TIME(8,0,0))-MEDIAN(TIME(8,0,0),MOD(L362,1),TIME(17,0,0)))),IF(M362&lt;&gt;"",M362-L362,NOW()-L362)))</f>
        <v>0</v>
      </c>
      <c r="AE362" s="169">
        <f t="shared" ca="1" si="47"/>
        <v>0.37500000000000006</v>
      </c>
      <c r="AF362" s="170">
        <f t="shared" ref="AF362:AF406" ca="1" si="53">(AE362*24)/9</f>
        <v>1.0000000000000002</v>
      </c>
      <c r="AG362" s="170">
        <f t="shared" ref="AG362:AG406" ca="1" si="54">AF362</f>
        <v>1.0000000000000002</v>
      </c>
      <c r="AH362" s="28" t="str" cm="1">
        <f t="array" aca="1" ref="AH362" ca="1">IF((AD362) &lt; (INDEX(ResponseSLA[#All],(MATCH((G362),ResponseSLA[Priority],0))+1,3)),"YES","No")</f>
        <v>YES</v>
      </c>
      <c r="AI362" s="28" t="str">
        <f ca="1">_xlfn.IFNA(IF(AE362 &lt; (INDEX(SLATable[Minimum SLA],MATCH(G362,SLATable[Priority],0))),"YES","NO"),"")</f>
        <v>NO</v>
      </c>
      <c r="AJ362" s="28" t="str">
        <f ca="1">_xlfn.IFNA(IF(AE362 &lt; (INDEX(SLATable[Maximum SLA],MATCH(G362,SLATable[Priority],0))),"YES","NO"),"")</f>
        <v>YES</v>
      </c>
    </row>
    <row r="363" spans="2:36" ht="15" customHeight="1">
      <c r="B363" s="127" t="s">
        <v>26</v>
      </c>
      <c r="C363" s="127" t="s">
        <v>35</v>
      </c>
      <c r="D363" s="127" t="s">
        <v>207</v>
      </c>
      <c r="E363" s="253" t="s">
        <v>1267</v>
      </c>
      <c r="F363" s="127" t="s">
        <v>295</v>
      </c>
      <c r="G363" s="127">
        <v>3</v>
      </c>
      <c r="H363" s="253" t="s">
        <v>1224</v>
      </c>
      <c r="I363" s="127" t="s">
        <v>271</v>
      </c>
      <c r="J363" s="127" t="s">
        <v>1250</v>
      </c>
      <c r="K363" s="129">
        <v>46170.214965277781</v>
      </c>
      <c r="L363" s="129">
        <v>46170.236932870372</v>
      </c>
      <c r="M363" s="129">
        <v>46171.177916666667</v>
      </c>
      <c r="N363" s="129">
        <v>46174.382615740738</v>
      </c>
      <c r="O363" s="129"/>
      <c r="P363" s="129"/>
      <c r="Q363" s="256" t="s">
        <v>1211</v>
      </c>
      <c r="R363" s="127" t="s">
        <v>267</v>
      </c>
      <c r="S363" s="127" t="s">
        <v>149</v>
      </c>
      <c r="T363" s="127"/>
      <c r="U363" s="127" t="s">
        <v>371</v>
      </c>
      <c r="Z363" s="169">
        <f t="shared" ca="1" si="48"/>
        <v>0.7992824074050684</v>
      </c>
      <c r="AA363" s="170">
        <f t="shared" ca="1" si="49"/>
        <v>2.1314197530801824</v>
      </c>
      <c r="AB363" s="169">
        <f t="shared" ca="1" si="50"/>
        <v>0.7992824074050684</v>
      </c>
      <c r="AC363" s="170">
        <f t="shared" ca="1" si="51"/>
        <v>2.1314197530801824</v>
      </c>
      <c r="AD363" s="169">
        <f t="shared" ca="1" si="52"/>
        <v>0.37500000000000006</v>
      </c>
      <c r="AE363" s="169">
        <f t="shared" ca="1" si="47"/>
        <v>24.724923148144935</v>
      </c>
      <c r="AF363" s="170">
        <f t="shared" ca="1" si="53"/>
        <v>65.93312839505316</v>
      </c>
      <c r="AG363" s="170">
        <f t="shared" ca="1" si="54"/>
        <v>65.93312839505316</v>
      </c>
      <c r="AH363" s="28" t="str" cm="1">
        <f t="array" aca="1" ref="AH363" ca="1">IF((AD363) &lt; (INDEX(ResponseSLA[#All],(MATCH((G363),ResponseSLA[Priority],0))+1,3)),"YES","No")</f>
        <v>No</v>
      </c>
      <c r="AI363" s="28" t="str">
        <f ca="1">_xlfn.IFNA(IF(AE363 &lt; (INDEX(SLATable[Minimum SLA],MATCH(G363,SLATable[Priority],0))),"YES","NO"),"")</f>
        <v>NO</v>
      </c>
      <c r="AJ363" s="28" t="str">
        <f ca="1">_xlfn.IFNA(IF(AE363 &lt; (INDEX(SLATable[Maximum SLA],MATCH(G363,SLATable[Priority],0))),"YES","NO"),"")</f>
        <v>NO</v>
      </c>
    </row>
    <row r="364" spans="2:36" ht="15" customHeight="1">
      <c r="B364" s="127" t="s">
        <v>26</v>
      </c>
      <c r="C364" s="127" t="s">
        <v>35</v>
      </c>
      <c r="D364" s="127" t="s">
        <v>207</v>
      </c>
      <c r="E364" s="253" t="s">
        <v>1270</v>
      </c>
      <c r="F364" s="127" t="s">
        <v>292</v>
      </c>
      <c r="G364" s="127">
        <v>3</v>
      </c>
      <c r="H364" s="253" t="s">
        <v>1271</v>
      </c>
      <c r="I364" s="127" t="s">
        <v>271</v>
      </c>
      <c r="J364" s="127" t="s">
        <v>1250</v>
      </c>
      <c r="K364" s="129">
        <v>46168.760706018518</v>
      </c>
      <c r="L364" s="129">
        <v>46168.762013888889</v>
      </c>
      <c r="M364" s="129">
        <v>46169.381608796299</v>
      </c>
      <c r="N364" s="129">
        <v>46177.386828703704</v>
      </c>
      <c r="O364" s="129">
        <v>46169.386006944442</v>
      </c>
      <c r="P364" s="129">
        <v>46177.386828703704</v>
      </c>
      <c r="Q364" s="256" t="s">
        <v>1073</v>
      </c>
      <c r="R364" s="127" t="s">
        <v>267</v>
      </c>
      <c r="S364" s="127" t="s">
        <v>199</v>
      </c>
      <c r="T364" s="127"/>
      <c r="U364" s="127" t="s">
        <v>371</v>
      </c>
      <c r="Z364" s="169">
        <f t="shared" ca="1" si="48"/>
        <v>5.2673611108426943E-2</v>
      </c>
      <c r="AA364" s="170">
        <f t="shared" ca="1" si="49"/>
        <v>0.14046296295580518</v>
      </c>
      <c r="AB364" s="169">
        <f t="shared" ca="1" si="50"/>
        <v>5.2673611108426943E-2</v>
      </c>
      <c r="AC364" s="170">
        <f t="shared" ca="1" si="51"/>
        <v>0.14046296295580518</v>
      </c>
      <c r="AD364" s="169">
        <f t="shared" ca="1" si="52"/>
        <v>4.8275462965345128E-2</v>
      </c>
      <c r="AE364" s="169">
        <f t="shared" ca="1" si="47"/>
        <v>0.105347222216854</v>
      </c>
      <c r="AF364" s="170">
        <f t="shared" ca="1" si="53"/>
        <v>0.28092592591161064</v>
      </c>
      <c r="AG364" s="170">
        <f t="shared" ca="1" si="54"/>
        <v>0.28092592591161064</v>
      </c>
      <c r="AH364" s="28" t="str" cm="1">
        <f t="array" aca="1" ref="AH364" ca="1">IF((AD364) &lt; (INDEX(ResponseSLA[#All],(MATCH((G364),ResponseSLA[Priority],0))+1,3)),"YES","No")</f>
        <v>YES</v>
      </c>
      <c r="AI364" s="28" t="str">
        <f ca="1">_xlfn.IFNA(IF(AE364 &lt; (INDEX(SLATable[Minimum SLA],MATCH(G364,SLATable[Priority],0))),"YES","NO"),"")</f>
        <v>YES</v>
      </c>
      <c r="AJ364" s="28" t="str">
        <f ca="1">_xlfn.IFNA(IF(AE364 &lt; (INDEX(SLATable[Maximum SLA],MATCH(G364,SLATable[Priority],0))),"YES","NO"),"")</f>
        <v>YES</v>
      </c>
    </row>
    <row r="365" spans="2:36" ht="15" customHeight="1">
      <c r="B365" s="127" t="s">
        <v>26</v>
      </c>
      <c r="C365" s="127" t="s">
        <v>35</v>
      </c>
      <c r="D365" s="127" t="s">
        <v>207</v>
      </c>
      <c r="E365" s="253" t="s">
        <v>1279</v>
      </c>
      <c r="F365" s="127" t="s">
        <v>289</v>
      </c>
      <c r="G365" s="127">
        <v>4</v>
      </c>
      <c r="H365" s="253" t="s">
        <v>1280</v>
      </c>
      <c r="I365" s="127" t="s">
        <v>271</v>
      </c>
      <c r="J365" s="127" t="s">
        <v>1250</v>
      </c>
      <c r="K365" s="129">
        <v>46169.407349537039</v>
      </c>
      <c r="L365" s="129">
        <v>46169.407916666663</v>
      </c>
      <c r="M365" s="129">
        <v>46169.613819444443</v>
      </c>
      <c r="N365" s="129">
        <v>46178.445520833331</v>
      </c>
      <c r="O365" s="129"/>
      <c r="P365" s="129"/>
      <c r="Q365" s="256" t="s">
        <v>1098</v>
      </c>
      <c r="R365" s="127" t="s">
        <v>267</v>
      </c>
      <c r="S365" s="127" t="s">
        <v>199</v>
      </c>
      <c r="T365" s="127"/>
      <c r="U365" s="127" t="s">
        <v>371</v>
      </c>
      <c r="Z365" s="169">
        <f t="shared" ca="1" si="48"/>
        <v>2.663171296291694</v>
      </c>
      <c r="AA365" s="170">
        <f t="shared" ca="1" si="49"/>
        <v>7.101790123444518</v>
      </c>
      <c r="AB365" s="169">
        <f t="shared" ca="1" si="50"/>
        <v>2.6626041666677343</v>
      </c>
      <c r="AC365" s="170">
        <f t="shared" ca="1" si="51"/>
        <v>7.100277777780625</v>
      </c>
      <c r="AD365" s="169">
        <f t="shared" ca="1" si="52"/>
        <v>0.20590277777955635</v>
      </c>
      <c r="AE365" s="169">
        <f t="shared" ca="1" si="47"/>
        <v>3.074756944442925</v>
      </c>
      <c r="AF365" s="170">
        <f t="shared" ca="1" si="53"/>
        <v>8.1993518518478012</v>
      </c>
      <c r="AG365" s="170">
        <f t="shared" ca="1" si="54"/>
        <v>8.1993518518478012</v>
      </c>
      <c r="AH365" s="28" t="str" cm="1">
        <f t="array" aca="1" ref="AH365" ca="1">IF((AD365) &lt; (INDEX(ResponseSLA[#All],(MATCH((G365),ResponseSLA[Priority],0))+1,3)),"YES","No")</f>
        <v>No</v>
      </c>
      <c r="AI365" s="28" t="str">
        <f ca="1">_xlfn.IFNA(IF(AE365 &lt; (INDEX(SLATable[Minimum SLA],MATCH(G365,SLATable[Priority],0))),"YES","NO"),"")</f>
        <v>YES</v>
      </c>
      <c r="AJ365" s="28" t="str">
        <f ca="1">_xlfn.IFNA(IF(AE365 &lt; (INDEX(SLATable[Maximum SLA],MATCH(G365,SLATable[Priority],0))),"YES","NO"),"")</f>
        <v>YES</v>
      </c>
    </row>
    <row r="366" spans="2:36" ht="15" customHeight="1">
      <c r="B366" s="127" t="s">
        <v>26</v>
      </c>
      <c r="C366" s="127" t="s">
        <v>35</v>
      </c>
      <c r="D366" s="127" t="s">
        <v>207</v>
      </c>
      <c r="E366" s="253" t="s">
        <v>1272</v>
      </c>
      <c r="F366" s="127" t="s">
        <v>292</v>
      </c>
      <c r="G366" s="127">
        <v>3</v>
      </c>
      <c r="H366" s="253" t="s">
        <v>1273</v>
      </c>
      <c r="I366" s="127" t="s">
        <v>271</v>
      </c>
      <c r="J366" s="127" t="s">
        <v>1250</v>
      </c>
      <c r="K366" s="129">
        <v>46168.773622685185</v>
      </c>
      <c r="L366" s="129">
        <v>46168.774189814816</v>
      </c>
      <c r="M366" s="129">
        <v>46169.382395833331</v>
      </c>
      <c r="N366" s="129">
        <v>46177.388437499998</v>
      </c>
      <c r="O366" s="129">
        <v>46169.387858796297</v>
      </c>
      <c r="P366" s="129">
        <v>46177.388437499998</v>
      </c>
      <c r="Q366" s="256" t="s">
        <v>1073</v>
      </c>
      <c r="R366" s="127" t="s">
        <v>267</v>
      </c>
      <c r="S366" s="127" t="s">
        <v>190</v>
      </c>
      <c r="T366" s="127"/>
      <c r="U366" s="127" t="s">
        <v>371</v>
      </c>
      <c r="Z366" s="169">
        <f t="shared" ca="1" si="48"/>
        <v>5.4525462963889826E-2</v>
      </c>
      <c r="AA366" s="170">
        <f t="shared" ca="1" si="49"/>
        <v>0.14540123457037288</v>
      </c>
      <c r="AB366" s="169">
        <f t="shared" ca="1" si="50"/>
        <v>5.4525462963889826E-2</v>
      </c>
      <c r="AC366" s="170">
        <f t="shared" ca="1" si="51"/>
        <v>0.14540123457037288</v>
      </c>
      <c r="AD366" s="169">
        <f t="shared" ca="1" si="52"/>
        <v>4.9062499997186593E-2</v>
      </c>
      <c r="AE366" s="169">
        <f t="shared" ca="1" si="47"/>
        <v>0.10905092592777976</v>
      </c>
      <c r="AF366" s="170">
        <f t="shared" ca="1" si="53"/>
        <v>0.29080246914074603</v>
      </c>
      <c r="AG366" s="170">
        <f t="shared" ca="1" si="54"/>
        <v>0.29080246914074603</v>
      </c>
      <c r="AH366" s="28" t="str" cm="1">
        <f t="array" aca="1" ref="AH366" ca="1">IF((AD366) &lt; (INDEX(ResponseSLA[#All],(MATCH((G366),ResponseSLA[Priority],0))+1,3)),"YES","No")</f>
        <v>YES</v>
      </c>
      <c r="AI366" s="28" t="str">
        <f ca="1">_xlfn.IFNA(IF(AE366 &lt; (INDEX(SLATable[Minimum SLA],MATCH(G366,SLATable[Priority],0))),"YES","NO"),"")</f>
        <v>YES</v>
      </c>
      <c r="AJ366" s="28" t="str">
        <f ca="1">_xlfn.IFNA(IF(AE366 &lt; (INDEX(SLATable[Maximum SLA],MATCH(G366,SLATable[Priority],0))),"YES","NO"),"")</f>
        <v>YES</v>
      </c>
    </row>
    <row r="367" spans="2:36" ht="15" customHeight="1">
      <c r="B367" s="127" t="s">
        <v>26</v>
      </c>
      <c r="C367" s="127" t="s">
        <v>35</v>
      </c>
      <c r="D367" s="127" t="s">
        <v>207</v>
      </c>
      <c r="E367" s="253" t="s">
        <v>1277</v>
      </c>
      <c r="F367" s="127" t="s">
        <v>292</v>
      </c>
      <c r="G367" s="127">
        <v>3</v>
      </c>
      <c r="H367" s="253" t="s">
        <v>1278</v>
      </c>
      <c r="I367" s="127" t="s">
        <v>271</v>
      </c>
      <c r="J367" s="127" t="s">
        <v>1250</v>
      </c>
      <c r="K367" s="129">
        <v>46169.38921296296</v>
      </c>
      <c r="L367" s="129">
        <v>46169.504421296297</v>
      </c>
      <c r="M367" s="129">
        <v>46171.173460648148</v>
      </c>
      <c r="N367" s="129">
        <v>46178.750405092593</v>
      </c>
      <c r="O367" s="129">
        <v>46171.346851851849</v>
      </c>
      <c r="P367" s="129">
        <v>46176.285578703704</v>
      </c>
      <c r="Q367" s="256" t="s">
        <v>1073</v>
      </c>
      <c r="R367" s="127" t="s">
        <v>267</v>
      </c>
      <c r="S367" s="127" t="s">
        <v>190</v>
      </c>
      <c r="T367" s="127"/>
      <c r="U367" s="127" t="s">
        <v>371</v>
      </c>
      <c r="Z367" s="169">
        <f t="shared" ca="1" si="48"/>
        <v>1.832638888889051</v>
      </c>
      <c r="AA367" s="170">
        <f t="shared" ca="1" si="49"/>
        <v>4.8870370370374694</v>
      </c>
      <c r="AB367" s="169">
        <f t="shared" ca="1" si="50"/>
        <v>1.7174305555527103</v>
      </c>
      <c r="AC367" s="170">
        <f t="shared" ca="1" si="51"/>
        <v>4.5798148148072277</v>
      </c>
      <c r="AD367" s="169">
        <f t="shared" ca="1" si="52"/>
        <v>0.57891203703669225</v>
      </c>
      <c r="AE367" s="169">
        <f t="shared" ca="1" si="47"/>
        <v>2.2978472222166606</v>
      </c>
      <c r="AF367" s="170">
        <f t="shared" ca="1" si="53"/>
        <v>6.1275925925777619</v>
      </c>
      <c r="AG367" s="170">
        <f t="shared" ca="1" si="54"/>
        <v>6.1275925925777619</v>
      </c>
      <c r="AH367" s="28" t="str" cm="1">
        <f t="array" aca="1" ref="AH367" ca="1">IF((AD367) &lt; (INDEX(ResponseSLA[#All],(MATCH((G367),ResponseSLA[Priority],0))+1,3)),"YES","No")</f>
        <v>No</v>
      </c>
      <c r="AI367" s="28" t="str">
        <f ca="1">_xlfn.IFNA(IF(AE367 &lt; (INDEX(SLATable[Minimum SLA],MATCH(G367,SLATable[Priority],0))),"YES","NO"),"")</f>
        <v>NO</v>
      </c>
      <c r="AJ367" s="28" t="str">
        <f ca="1">_xlfn.IFNA(IF(AE367 &lt; (INDEX(SLATable[Maximum SLA],MATCH(G367,SLATable[Priority],0))),"YES","NO"),"")</f>
        <v>NO</v>
      </c>
    </row>
    <row r="368" spans="2:36" ht="15" customHeight="1">
      <c r="B368" s="127" t="s">
        <v>26</v>
      </c>
      <c r="C368" s="127" t="s">
        <v>35</v>
      </c>
      <c r="D368" s="127" t="s">
        <v>207</v>
      </c>
      <c r="E368" s="253" t="s">
        <v>1293</v>
      </c>
      <c r="F368" s="127" t="s">
        <v>295</v>
      </c>
      <c r="G368" s="127">
        <v>3</v>
      </c>
      <c r="H368" s="253" t="s">
        <v>1294</v>
      </c>
      <c r="I368" s="127" t="s">
        <v>271</v>
      </c>
      <c r="J368" s="127" t="s">
        <v>1250</v>
      </c>
      <c r="K368" s="129">
        <v>46169.660231481481</v>
      </c>
      <c r="L368" s="129">
        <v>46169.703287037039</v>
      </c>
      <c r="M368" s="129">
        <v>46171.175891203704</v>
      </c>
      <c r="N368" s="129">
        <v>46171.442488425928</v>
      </c>
      <c r="O368" s="129"/>
      <c r="P368" s="129"/>
      <c r="Q368" s="256" t="s">
        <v>695</v>
      </c>
      <c r="R368" s="127" t="s">
        <v>267</v>
      </c>
      <c r="S368" s="127" t="s">
        <v>149</v>
      </c>
      <c r="T368" s="127"/>
      <c r="U368" s="127" t="s">
        <v>371</v>
      </c>
      <c r="Z368" s="169">
        <f t="shared" ca="1" si="48"/>
        <v>0.53225694444699911</v>
      </c>
      <c r="AA368" s="170">
        <f t="shared" ca="1" si="49"/>
        <v>1.4193518518586643</v>
      </c>
      <c r="AB368" s="169">
        <f t="shared" ca="1" si="50"/>
        <v>0.48920138888934162</v>
      </c>
      <c r="AC368" s="170">
        <f t="shared" ca="1" si="51"/>
        <v>1.3045370370382443</v>
      </c>
      <c r="AD368" s="169">
        <f t="shared" ca="1" si="52"/>
        <v>0.38004629629479814</v>
      </c>
      <c r="AE368" s="169">
        <f t="shared" ca="1" si="47"/>
        <v>0.97856481481721858</v>
      </c>
      <c r="AF368" s="170">
        <f t="shared" ca="1" si="53"/>
        <v>2.6095061728459163</v>
      </c>
      <c r="AG368" s="170">
        <f t="shared" ca="1" si="54"/>
        <v>2.6095061728459163</v>
      </c>
      <c r="AH368" s="28" t="str" cm="1">
        <f t="array" aca="1" ref="AH368" ca="1">IF((AD368) &lt; (INDEX(ResponseSLA[#All],(MATCH((G368),ResponseSLA[Priority],0))+1,3)),"YES","No")</f>
        <v>No</v>
      </c>
      <c r="AI368" s="28" t="str">
        <f ca="1">_xlfn.IFNA(IF(AE368 &lt; (INDEX(SLATable[Minimum SLA],MATCH(G368,SLATable[Priority],0))),"YES","NO"),"")</f>
        <v>NO</v>
      </c>
      <c r="AJ368" s="28" t="str">
        <f ca="1">_xlfn.IFNA(IF(AE368 &lt; (INDEX(SLATable[Maximum SLA],MATCH(G368,SLATable[Priority],0))),"YES","NO"),"")</f>
        <v>YES</v>
      </c>
    </row>
    <row r="369" spans="2:36" ht="15" customHeight="1">
      <c r="B369" s="127" t="s">
        <v>26</v>
      </c>
      <c r="C369" s="127" t="s">
        <v>35</v>
      </c>
      <c r="D369" s="127" t="s">
        <v>207</v>
      </c>
      <c r="E369" s="253" t="s">
        <v>1814</v>
      </c>
      <c r="F369" s="127" t="s">
        <v>295</v>
      </c>
      <c r="G369" s="127">
        <v>4</v>
      </c>
      <c r="H369" s="253" t="s">
        <v>1815</v>
      </c>
      <c r="I369" s="127" t="s">
        <v>271</v>
      </c>
      <c r="J369" s="127" t="s">
        <v>1250</v>
      </c>
      <c r="K369" s="129">
        <v>46182.620462962965</v>
      </c>
      <c r="L369" s="129">
        <v>46182.620949074073</v>
      </c>
      <c r="M369" s="129">
        <v>46183.28496527778</v>
      </c>
      <c r="N369" s="129">
        <v>46183.522719907407</v>
      </c>
      <c r="O369" s="129"/>
      <c r="P369" s="129"/>
      <c r="Q369" s="256" t="s">
        <v>1203</v>
      </c>
      <c r="R369" s="127" t="s">
        <v>267</v>
      </c>
      <c r="S369" s="127" t="s">
        <v>149</v>
      </c>
      <c r="T369" s="127"/>
      <c r="U369" s="127" t="s">
        <v>371</v>
      </c>
      <c r="Z369" s="169">
        <f t="shared" ca="1" si="48"/>
        <v>0.2772569444423425</v>
      </c>
      <c r="AA369" s="170">
        <f t="shared" ca="1" si="49"/>
        <v>0.73935185184624663</v>
      </c>
      <c r="AB369" s="169">
        <f t="shared" ca="1" si="50"/>
        <v>0.27677083333401242</v>
      </c>
      <c r="AC369" s="170">
        <f t="shared" ca="1" si="51"/>
        <v>0.73805555555736646</v>
      </c>
      <c r="AD369" s="169">
        <f t="shared" ca="1" si="52"/>
        <v>8.7384259260337216E-2</v>
      </c>
      <c r="AE369" s="169">
        <f t="shared" ca="1" si="47"/>
        <v>0.27677083333401242</v>
      </c>
      <c r="AF369" s="170">
        <f t="shared" ca="1" si="53"/>
        <v>0.73805555555736646</v>
      </c>
      <c r="AG369" s="170">
        <f t="shared" ca="1" si="54"/>
        <v>0.73805555555736646</v>
      </c>
      <c r="AH369" s="28" t="str" cm="1">
        <f t="array" aca="1" ref="AH369" ca="1">IF((AD369) &lt; (INDEX(ResponseSLA[#All],(MATCH((G369),ResponseSLA[Priority],0))+1,3)),"YES","No")</f>
        <v>YES</v>
      </c>
      <c r="AI369" s="28" t="str">
        <f ca="1">_xlfn.IFNA(IF(AE369 &lt; (INDEX(SLATable[Minimum SLA],MATCH(G369,SLATable[Priority],0))),"YES","NO"),"")</f>
        <v>YES</v>
      </c>
      <c r="AJ369" s="28" t="str">
        <f ca="1">_xlfn.IFNA(IF(AE369 &lt; (INDEX(SLATable[Maximum SLA],MATCH(G369,SLATable[Priority],0))),"YES","NO"),"")</f>
        <v>YES</v>
      </c>
    </row>
    <row r="370" spans="2:36" ht="15" customHeight="1">
      <c r="B370" s="127" t="s">
        <v>26</v>
      </c>
      <c r="C370" s="127" t="s">
        <v>35</v>
      </c>
      <c r="D370" s="127" t="s">
        <v>207</v>
      </c>
      <c r="E370" s="253" t="s">
        <v>1816</v>
      </c>
      <c r="F370" s="127" t="s">
        <v>289</v>
      </c>
      <c r="G370" s="127">
        <v>3</v>
      </c>
      <c r="H370" s="253" t="s">
        <v>1817</v>
      </c>
      <c r="I370" s="127" t="s">
        <v>271</v>
      </c>
      <c r="J370" s="127" t="s">
        <v>1250</v>
      </c>
      <c r="K370" s="129">
        <v>46191.106076388889</v>
      </c>
      <c r="L370" s="129">
        <v>46191.10628472222</v>
      </c>
      <c r="M370" s="129">
        <v>46191.310312499998</v>
      </c>
      <c r="N370" s="129">
        <v>46192.449953703705</v>
      </c>
      <c r="O370" s="129"/>
      <c r="P370" s="129"/>
      <c r="Q370" s="256" t="s">
        <v>1164</v>
      </c>
      <c r="R370" s="127" t="s">
        <v>267</v>
      </c>
      <c r="S370" s="127" t="s">
        <v>149</v>
      </c>
      <c r="T370" s="127"/>
      <c r="U370" s="127" t="s">
        <v>371</v>
      </c>
      <c r="Z370" s="169">
        <f t="shared" ca="1" si="48"/>
        <v>0.49162037037118961</v>
      </c>
      <c r="AA370" s="170">
        <f t="shared" ca="1" si="49"/>
        <v>1.3109876543231722</v>
      </c>
      <c r="AB370" s="169">
        <f t="shared" ca="1" si="50"/>
        <v>0.49162037037118961</v>
      </c>
      <c r="AC370" s="170">
        <f t="shared" ca="1" si="51"/>
        <v>1.3109876543231722</v>
      </c>
      <c r="AD370" s="169">
        <f t="shared" ca="1" si="52"/>
        <v>0</v>
      </c>
      <c r="AE370" s="169">
        <f t="shared" ca="1" si="47"/>
        <v>0.49162037037118961</v>
      </c>
      <c r="AF370" s="170">
        <f t="shared" ca="1" si="53"/>
        <v>1.3109876543231722</v>
      </c>
      <c r="AG370" s="170">
        <f t="shared" ca="1" si="54"/>
        <v>1.3109876543231722</v>
      </c>
      <c r="AH370" s="28" t="str" cm="1">
        <f t="array" aca="1" ref="AH370" ca="1">IF((AD370) &lt; (INDEX(ResponseSLA[#All],(MATCH((G370),ResponseSLA[Priority],0))+1,3)),"YES","No")</f>
        <v>YES</v>
      </c>
      <c r="AI370" s="28" t="str">
        <f ca="1">_xlfn.IFNA(IF(AE370 &lt; (INDEX(SLATable[Minimum SLA],MATCH(G370,SLATable[Priority],0))),"YES","NO"),"")</f>
        <v>NO</v>
      </c>
      <c r="AJ370" s="28" t="str">
        <f ca="1">_xlfn.IFNA(IF(AE370 &lt; (INDEX(SLATable[Maximum SLA],MATCH(G370,SLATable[Priority],0))),"YES","NO"),"")</f>
        <v>YES</v>
      </c>
    </row>
    <row r="371" spans="2:36" ht="15" customHeight="1">
      <c r="B371" s="127" t="s">
        <v>26</v>
      </c>
      <c r="C371" s="127" t="s">
        <v>35</v>
      </c>
      <c r="D371" s="127" t="s">
        <v>207</v>
      </c>
      <c r="E371" s="253" t="s">
        <v>1818</v>
      </c>
      <c r="F371" s="127" t="s">
        <v>289</v>
      </c>
      <c r="G371" s="127">
        <v>3</v>
      </c>
      <c r="H371" s="253" t="s">
        <v>1819</v>
      </c>
      <c r="I371" s="127" t="s">
        <v>271</v>
      </c>
      <c r="J371" s="127" t="s">
        <v>1250</v>
      </c>
      <c r="K371" s="129">
        <v>46191.106712962966</v>
      </c>
      <c r="L371" s="129">
        <v>46191.107430555552</v>
      </c>
      <c r="M371" s="129">
        <v>46191.310914351852</v>
      </c>
      <c r="N371" s="129">
        <v>46192.460659722223</v>
      </c>
      <c r="O371" s="129"/>
      <c r="P371" s="129"/>
      <c r="Q371" s="256" t="s">
        <v>1101</v>
      </c>
      <c r="R371" s="127" t="s">
        <v>267</v>
      </c>
      <c r="S371" s="127" t="s">
        <v>149</v>
      </c>
      <c r="T371" s="127"/>
      <c r="U371" s="127" t="s">
        <v>371</v>
      </c>
      <c r="Z371" s="169">
        <f t="shared" ca="1" si="48"/>
        <v>0.5023263888894387</v>
      </c>
      <c r="AA371" s="170">
        <f t="shared" ca="1" si="49"/>
        <v>1.3395370370385031</v>
      </c>
      <c r="AB371" s="169">
        <f t="shared" ca="1" si="50"/>
        <v>0.5023263888894387</v>
      </c>
      <c r="AC371" s="170">
        <f t="shared" ca="1" si="51"/>
        <v>1.3395370370385031</v>
      </c>
      <c r="AD371" s="169">
        <f t="shared" ca="1" si="52"/>
        <v>0</v>
      </c>
      <c r="AE371" s="169">
        <f t="shared" ca="1" si="47"/>
        <v>0.5023263888894387</v>
      </c>
      <c r="AF371" s="170">
        <f t="shared" ca="1" si="53"/>
        <v>1.3395370370385031</v>
      </c>
      <c r="AG371" s="170">
        <f t="shared" ca="1" si="54"/>
        <v>1.3395370370385031</v>
      </c>
      <c r="AH371" s="28" t="str" cm="1">
        <f t="array" aca="1" ref="AH371" ca="1">IF((AD371) &lt; (INDEX(ResponseSLA[#All],(MATCH((G371),ResponseSLA[Priority],0))+1,3)),"YES","No")</f>
        <v>YES</v>
      </c>
      <c r="AI371" s="28" t="str">
        <f ca="1">_xlfn.IFNA(IF(AE371 &lt; (INDEX(SLATable[Minimum SLA],MATCH(G371,SLATable[Priority],0))),"YES","NO"),"")</f>
        <v>NO</v>
      </c>
      <c r="AJ371" s="28" t="str">
        <f ca="1">_xlfn.IFNA(IF(AE371 &lt; (INDEX(SLATable[Maximum SLA],MATCH(G371,SLATable[Priority],0))),"YES","NO"),"")</f>
        <v>YES</v>
      </c>
    </row>
    <row r="372" spans="2:36" ht="15" customHeight="1">
      <c r="B372" s="127" t="s">
        <v>26</v>
      </c>
      <c r="C372" s="127" t="s">
        <v>35</v>
      </c>
      <c r="D372" s="127" t="s">
        <v>207</v>
      </c>
      <c r="E372" s="253" t="s">
        <v>1820</v>
      </c>
      <c r="F372" s="127" t="s">
        <v>289</v>
      </c>
      <c r="G372" s="127">
        <v>4</v>
      </c>
      <c r="H372" s="253" t="s">
        <v>1821</v>
      </c>
      <c r="I372" s="127" t="s">
        <v>271</v>
      </c>
      <c r="J372" s="127" t="s">
        <v>1250</v>
      </c>
      <c r="K372" s="129">
        <v>46192.054444444446</v>
      </c>
      <c r="L372" s="129">
        <v>46192.054803240739</v>
      </c>
      <c r="M372" s="129">
        <v>46192.302222222221</v>
      </c>
      <c r="N372" s="129">
        <v>46195.476261574076</v>
      </c>
      <c r="O372" s="129"/>
      <c r="P372" s="129"/>
      <c r="Q372" s="256" t="s">
        <v>1065</v>
      </c>
      <c r="R372" s="127" t="s">
        <v>267</v>
      </c>
      <c r="S372" s="127" t="s">
        <v>149</v>
      </c>
      <c r="T372" s="127"/>
      <c r="U372" s="127" t="s">
        <v>371</v>
      </c>
      <c r="Z372" s="169">
        <f t="shared" ca="1" si="48"/>
        <v>0.51792824074315535</v>
      </c>
      <c r="AA372" s="170">
        <f t="shared" ca="1" si="49"/>
        <v>1.3811419753150809</v>
      </c>
      <c r="AB372" s="169">
        <f t="shared" ca="1" si="50"/>
        <v>0.51792824074315535</v>
      </c>
      <c r="AC372" s="170">
        <f t="shared" ca="1" si="51"/>
        <v>1.3811419753150809</v>
      </c>
      <c r="AD372" s="169">
        <f t="shared" ca="1" si="52"/>
        <v>0</v>
      </c>
      <c r="AE372" s="169">
        <f t="shared" ca="1" si="47"/>
        <v>0.51792824074315535</v>
      </c>
      <c r="AF372" s="170">
        <f t="shared" ca="1" si="53"/>
        <v>1.3811419753150809</v>
      </c>
      <c r="AG372" s="170">
        <f t="shared" ca="1" si="54"/>
        <v>1.3811419753150809</v>
      </c>
      <c r="AH372" s="28" t="str" cm="1">
        <f t="array" aca="1" ref="AH372" ca="1">IF((AD372) &lt; (INDEX(ResponseSLA[#All],(MATCH((G372),ResponseSLA[Priority],0))+1,3)),"YES","No")</f>
        <v>YES</v>
      </c>
      <c r="AI372" s="28" t="str">
        <f ca="1">_xlfn.IFNA(IF(AE372 &lt; (INDEX(SLATable[Minimum SLA],MATCH(G372,SLATable[Priority],0))),"YES","NO"),"")</f>
        <v>YES</v>
      </c>
      <c r="AJ372" s="28" t="str">
        <f ca="1">_xlfn.IFNA(IF(AE372 &lt; (INDEX(SLATable[Maximum SLA],MATCH(G372,SLATable[Priority],0))),"YES","NO"),"")</f>
        <v>YES</v>
      </c>
    </row>
    <row r="373" spans="2:36" ht="15" customHeight="1">
      <c r="B373" s="127" t="s">
        <v>26</v>
      </c>
      <c r="C373" s="127" t="s">
        <v>35</v>
      </c>
      <c r="D373" s="127" t="s">
        <v>207</v>
      </c>
      <c r="E373" s="253" t="s">
        <v>1822</v>
      </c>
      <c r="F373" s="127" t="s">
        <v>289</v>
      </c>
      <c r="G373" s="127">
        <v>3</v>
      </c>
      <c r="H373" s="253" t="s">
        <v>1823</v>
      </c>
      <c r="I373" s="127" t="s">
        <v>271</v>
      </c>
      <c r="J373" s="127" t="s">
        <v>1250</v>
      </c>
      <c r="K373" s="129">
        <v>46196.034456018519</v>
      </c>
      <c r="L373" s="129">
        <v>46196.03496527778</v>
      </c>
      <c r="M373" s="129">
        <v>46196.242708333331</v>
      </c>
      <c r="N373" s="129">
        <v>46196.486516203702</v>
      </c>
      <c r="O373" s="129"/>
      <c r="P373" s="129"/>
      <c r="Q373" s="256" t="s">
        <v>1164</v>
      </c>
      <c r="R373" s="127" t="s">
        <v>267</v>
      </c>
      <c r="S373" s="127" t="s">
        <v>149</v>
      </c>
      <c r="T373" s="127"/>
      <c r="U373" s="127" t="s">
        <v>371</v>
      </c>
      <c r="Z373" s="169">
        <f t="shared" ca="1" si="48"/>
        <v>0.1531828703688613</v>
      </c>
      <c r="AA373" s="170">
        <f t="shared" ca="1" si="49"/>
        <v>0.40848765431696349</v>
      </c>
      <c r="AB373" s="169">
        <f t="shared" ca="1" si="50"/>
        <v>0.1531828703688613</v>
      </c>
      <c r="AC373" s="170">
        <f t="shared" ca="1" si="51"/>
        <v>0.40848765431696349</v>
      </c>
      <c r="AD373" s="169">
        <f t="shared" ca="1" si="52"/>
        <v>0</v>
      </c>
      <c r="AE373" s="169">
        <f t="shared" ca="1" si="47"/>
        <v>0.1531828703688613</v>
      </c>
      <c r="AF373" s="170">
        <f t="shared" ca="1" si="53"/>
        <v>0.40848765431696349</v>
      </c>
      <c r="AG373" s="170">
        <f t="shared" ca="1" si="54"/>
        <v>0.40848765431696349</v>
      </c>
      <c r="AH373" s="28" t="str" cm="1">
        <f t="array" aca="1" ref="AH373" ca="1">IF((AD373) &lt; (INDEX(ResponseSLA[#All],(MATCH((G373),ResponseSLA[Priority],0))+1,3)),"YES","No")</f>
        <v>YES</v>
      </c>
      <c r="AI373" s="28" t="str">
        <f ca="1">_xlfn.IFNA(IF(AE373 &lt; (INDEX(SLATable[Minimum SLA],MATCH(G373,SLATable[Priority],0))),"YES","NO"),"")</f>
        <v>YES</v>
      </c>
      <c r="AJ373" s="28" t="str">
        <f ca="1">_xlfn.IFNA(IF(AE373 &lt; (INDEX(SLATable[Maximum SLA],MATCH(G373,SLATable[Priority],0))),"YES","NO"),"")</f>
        <v>YES</v>
      </c>
    </row>
    <row r="374" spans="2:36" ht="15" customHeight="1">
      <c r="B374" s="127" t="s">
        <v>26</v>
      </c>
      <c r="C374" s="127" t="s">
        <v>35</v>
      </c>
      <c r="D374" s="127" t="s">
        <v>207</v>
      </c>
      <c r="E374" s="253" t="s">
        <v>1824</v>
      </c>
      <c r="F374" s="127" t="s">
        <v>289</v>
      </c>
      <c r="G374" s="127">
        <v>3</v>
      </c>
      <c r="H374" s="253" t="s">
        <v>1825</v>
      </c>
      <c r="I374" s="127" t="s">
        <v>271</v>
      </c>
      <c r="J374" s="127" t="s">
        <v>1250</v>
      </c>
      <c r="K374" s="129">
        <v>46196.035740740743</v>
      </c>
      <c r="L374" s="129">
        <v>46196.035925925928</v>
      </c>
      <c r="M374" s="129">
        <v>46196.243206018517</v>
      </c>
      <c r="N374" s="129">
        <v>46196.484513888892</v>
      </c>
      <c r="O374" s="129"/>
      <c r="P374" s="129"/>
      <c r="Q374" s="256" t="s">
        <v>1164</v>
      </c>
      <c r="R374" s="127" t="s">
        <v>267</v>
      </c>
      <c r="S374" s="127" t="s">
        <v>149</v>
      </c>
      <c r="T374" s="127"/>
      <c r="U374" s="127" t="s">
        <v>371</v>
      </c>
      <c r="Z374" s="169">
        <f t="shared" ca="1" si="48"/>
        <v>0.15118055555891868</v>
      </c>
      <c r="AA374" s="170">
        <f t="shared" ca="1" si="49"/>
        <v>0.40314814815711647</v>
      </c>
      <c r="AB374" s="169">
        <f t="shared" ca="1" si="50"/>
        <v>0.15118055555891868</v>
      </c>
      <c r="AC374" s="170">
        <f t="shared" ca="1" si="51"/>
        <v>0.40314814815711647</v>
      </c>
      <c r="AD374" s="169">
        <f t="shared" ca="1" si="52"/>
        <v>0</v>
      </c>
      <c r="AE374" s="169">
        <f t="shared" ca="1" si="47"/>
        <v>0.15118055555891868</v>
      </c>
      <c r="AF374" s="170">
        <f t="shared" ca="1" si="53"/>
        <v>0.40314814815711647</v>
      </c>
      <c r="AG374" s="170">
        <f t="shared" ca="1" si="54"/>
        <v>0.40314814815711647</v>
      </c>
      <c r="AH374" s="28" t="str" cm="1">
        <f t="array" aca="1" ref="AH374" ca="1">IF((AD374) &lt; (INDEX(ResponseSLA[#All],(MATCH((G374),ResponseSLA[Priority],0))+1,3)),"YES","No")</f>
        <v>YES</v>
      </c>
      <c r="AI374" s="28" t="str">
        <f ca="1">_xlfn.IFNA(IF(AE374 &lt; (INDEX(SLATable[Minimum SLA],MATCH(G374,SLATable[Priority],0))),"YES","NO"),"")</f>
        <v>YES</v>
      </c>
      <c r="AJ374" s="28" t="str">
        <f ca="1">_xlfn.IFNA(IF(AE374 &lt; (INDEX(SLATable[Maximum SLA],MATCH(G374,SLATable[Priority],0))),"YES","NO"),"")</f>
        <v>YES</v>
      </c>
    </row>
    <row r="375" spans="2:36" ht="15" customHeight="1">
      <c r="B375" s="127" t="s">
        <v>26</v>
      </c>
      <c r="C375" s="127" t="s">
        <v>35</v>
      </c>
      <c r="D375" s="127" t="s">
        <v>207</v>
      </c>
      <c r="E375" s="253" t="s">
        <v>1268</v>
      </c>
      <c r="F375" s="127" t="s">
        <v>292</v>
      </c>
      <c r="G375" s="127">
        <v>4</v>
      </c>
      <c r="H375" s="253" t="s">
        <v>1269</v>
      </c>
      <c r="I375" s="127" t="s">
        <v>271</v>
      </c>
      <c r="J375" s="127" t="s">
        <v>1250</v>
      </c>
      <c r="K375" s="129">
        <v>46168.669502314813</v>
      </c>
      <c r="L375" s="129">
        <v>46168.669768518521</v>
      </c>
      <c r="M375" s="129">
        <v>46169.296157407407</v>
      </c>
      <c r="N375" s="129">
        <v>46178.7502662037</v>
      </c>
      <c r="O375" s="129">
        <v>46169.330543981479</v>
      </c>
      <c r="P375" s="129">
        <v>46169.411087962966</v>
      </c>
      <c r="Q375" s="256" t="s">
        <v>1073</v>
      </c>
      <c r="R375" s="127" t="s">
        <v>267</v>
      </c>
      <c r="S375" s="127" t="s">
        <v>190</v>
      </c>
      <c r="T375" s="127"/>
      <c r="U375" s="127" t="s">
        <v>371</v>
      </c>
      <c r="Z375" s="169">
        <f t="shared" ca="1" si="48"/>
        <v>2.9610763888874021</v>
      </c>
      <c r="AA375" s="170">
        <f t="shared" ca="1" si="49"/>
        <v>7.8962037036997383</v>
      </c>
      <c r="AB375" s="169">
        <f t="shared" ca="1" si="50"/>
        <v>2.9608101851796778</v>
      </c>
      <c r="AC375" s="170">
        <f t="shared" ca="1" si="51"/>
        <v>7.8954938271458071</v>
      </c>
      <c r="AD375" s="169">
        <f t="shared" ca="1" si="52"/>
        <v>3.8564814812464987E-2</v>
      </c>
      <c r="AE375" s="169">
        <f t="shared" ca="1" si="47"/>
        <v>3.7505902777726696</v>
      </c>
      <c r="AF375" s="170">
        <f t="shared" ca="1" si="53"/>
        <v>10.001574074060452</v>
      </c>
      <c r="AG375" s="170">
        <f t="shared" ca="1" si="54"/>
        <v>10.001574074060452</v>
      </c>
      <c r="AH375" s="28" t="str" cm="1">
        <f t="array" aca="1" ref="AH375" ca="1">IF((AD375) &lt; (INDEX(ResponseSLA[#All],(MATCH((G375),ResponseSLA[Priority],0))+1,3)),"YES","No")</f>
        <v>YES</v>
      </c>
      <c r="AI375" s="28" t="str">
        <f ca="1">_xlfn.IFNA(IF(AE375 &lt; (INDEX(SLATable[Minimum SLA],MATCH(G375,SLATable[Priority],0))),"YES","NO"),"")</f>
        <v>NO</v>
      </c>
      <c r="AJ375" s="28" t="str">
        <f ca="1">_xlfn.IFNA(IF(AE375 &lt; (INDEX(SLATable[Maximum SLA],MATCH(G375,SLATable[Priority],0))),"YES","NO"),"")</f>
        <v>YES</v>
      </c>
    </row>
    <row r="376" spans="2:36" ht="15" customHeight="1">
      <c r="B376" s="127" t="s">
        <v>26</v>
      </c>
      <c r="C376" s="127" t="s">
        <v>35</v>
      </c>
      <c r="D376" s="127" t="s">
        <v>207</v>
      </c>
      <c r="E376" s="253" t="s">
        <v>1826</v>
      </c>
      <c r="F376" s="127" t="s">
        <v>295</v>
      </c>
      <c r="G376" s="127">
        <v>3</v>
      </c>
      <c r="H376" s="253" t="s">
        <v>1653</v>
      </c>
      <c r="I376" s="127" t="s">
        <v>271</v>
      </c>
      <c r="J376" s="127" t="s">
        <v>1250</v>
      </c>
      <c r="K376" s="129">
        <v>46195.519155092596</v>
      </c>
      <c r="L376" s="129">
        <v>46195.519421296296</v>
      </c>
      <c r="M376" s="129">
        <v>46196.553055555552</v>
      </c>
      <c r="N376" s="129">
        <v>46197.599872685183</v>
      </c>
      <c r="O376" s="129"/>
      <c r="P376" s="129"/>
      <c r="Q376" s="256" t="s">
        <v>695</v>
      </c>
      <c r="R376" s="127" t="s">
        <v>267</v>
      </c>
      <c r="S376" s="127" t="s">
        <v>149</v>
      </c>
      <c r="T376" s="127"/>
      <c r="U376" s="127" t="s">
        <v>371</v>
      </c>
      <c r="Z376" s="169">
        <f t="shared" ca="1" si="48"/>
        <v>0.8307175925874617</v>
      </c>
      <c r="AA376" s="170">
        <f t="shared" ca="1" si="49"/>
        <v>2.2152469135665647</v>
      </c>
      <c r="AB376" s="169">
        <f t="shared" ca="1" si="50"/>
        <v>0.83045138888701331</v>
      </c>
      <c r="AC376" s="170">
        <f t="shared" ca="1" si="51"/>
        <v>2.2145370370320356</v>
      </c>
      <c r="AD376" s="169">
        <f t="shared" ca="1" si="52"/>
        <v>0.40863425925635966</v>
      </c>
      <c r="AE376" s="169">
        <f t="shared" ca="1" si="47"/>
        <v>0.83045138888701331</v>
      </c>
      <c r="AF376" s="170">
        <f t="shared" ca="1" si="53"/>
        <v>2.2145370370320356</v>
      </c>
      <c r="AG376" s="170">
        <f t="shared" ca="1" si="54"/>
        <v>2.2145370370320356</v>
      </c>
      <c r="AH376" s="28" t="str" cm="1">
        <f t="array" aca="1" ref="AH376" ca="1">IF((AD376) &lt; (INDEX(ResponseSLA[#All],(MATCH((G376),ResponseSLA[Priority],0))+1,3)),"YES","No")</f>
        <v>No</v>
      </c>
      <c r="AI376" s="28" t="str">
        <f ca="1">_xlfn.IFNA(IF(AE376 &lt; (INDEX(SLATable[Minimum SLA],MATCH(G376,SLATable[Priority],0))),"YES","NO"),"")</f>
        <v>NO</v>
      </c>
      <c r="AJ376" s="28" t="str">
        <f ca="1">_xlfn.IFNA(IF(AE376 &lt; (INDEX(SLATable[Maximum SLA],MATCH(G376,SLATable[Priority],0))),"YES","NO"),"")</f>
        <v>YES</v>
      </c>
    </row>
    <row r="377" spans="2:36" ht="15" customHeight="1">
      <c r="B377" s="127" t="s">
        <v>26</v>
      </c>
      <c r="C377" s="127" t="s">
        <v>35</v>
      </c>
      <c r="D377" s="127" t="s">
        <v>207</v>
      </c>
      <c r="E377" s="253" t="s">
        <v>1274</v>
      </c>
      <c r="F377" s="127" t="s">
        <v>292</v>
      </c>
      <c r="G377" s="127">
        <v>3</v>
      </c>
      <c r="H377" s="253" t="s">
        <v>1275</v>
      </c>
      <c r="I377" s="127" t="s">
        <v>271</v>
      </c>
      <c r="J377" s="127" t="s">
        <v>1250</v>
      </c>
      <c r="K377" s="129">
        <v>46168.774791666663</v>
      </c>
      <c r="L377" s="129">
        <v>46168.775509259256</v>
      </c>
      <c r="M377" s="129">
        <v>46169.296759259261</v>
      </c>
      <c r="N377" s="129">
        <v>46176.750115740739</v>
      </c>
      <c r="O377" s="129">
        <v>46169.331944444442</v>
      </c>
      <c r="P377" s="129">
        <v>46176.750115740739</v>
      </c>
      <c r="Q377" s="256" t="s">
        <v>1276</v>
      </c>
      <c r="R377" s="127" t="s">
        <v>267</v>
      </c>
      <c r="S377" s="127" t="s">
        <v>190</v>
      </c>
      <c r="T377" s="127"/>
      <c r="U377" s="127" t="s">
        <v>371</v>
      </c>
      <c r="Z377" s="169">
        <f t="shared" ca="1" si="48"/>
        <v>4.4408920985006262E-16</v>
      </c>
      <c r="AA377" s="170">
        <f t="shared" ca="1" si="49"/>
        <v>1.1842378929335002E-15</v>
      </c>
      <c r="AB377" s="169">
        <f t="shared" ca="1" si="50"/>
        <v>4.4408920985006262E-16</v>
      </c>
      <c r="AC377" s="170">
        <f t="shared" ca="1" si="51"/>
        <v>1.1842378929335002E-15</v>
      </c>
      <c r="AD377" s="169">
        <f t="shared" ca="1" si="52"/>
        <v>0</v>
      </c>
      <c r="AE377" s="169">
        <f t="shared" ca="1" si="47"/>
        <v>4.4408920985006262E-16</v>
      </c>
      <c r="AF377" s="170">
        <f t="shared" ca="1" si="53"/>
        <v>1.1842378929335002E-15</v>
      </c>
      <c r="AG377" s="170">
        <f t="shared" ca="1" si="54"/>
        <v>1.1842378929335002E-15</v>
      </c>
      <c r="AH377" s="28" t="str" cm="1">
        <f t="array" aca="1" ref="AH377" ca="1">IF((AD377) &lt; (INDEX(ResponseSLA[#All],(MATCH((G377),ResponseSLA[Priority],0))+1,3)),"YES","No")</f>
        <v>YES</v>
      </c>
      <c r="AI377" s="28" t="str">
        <f ca="1">_xlfn.IFNA(IF(AE377 &lt; (INDEX(SLATable[Minimum SLA],MATCH(G377,SLATable[Priority],0))),"YES","NO"),"")</f>
        <v>YES</v>
      </c>
      <c r="AJ377" s="28" t="str">
        <f ca="1">_xlfn.IFNA(IF(AE377 &lt; (INDEX(SLATable[Maximum SLA],MATCH(G377,SLATable[Priority],0))),"YES","NO"),"")</f>
        <v>YES</v>
      </c>
    </row>
    <row r="378" spans="2:36" ht="15" customHeight="1">
      <c r="B378" s="127" t="s">
        <v>26</v>
      </c>
      <c r="C378" s="127" t="s">
        <v>35</v>
      </c>
      <c r="D378" s="127" t="s">
        <v>207</v>
      </c>
      <c r="E378" s="253" t="s">
        <v>1827</v>
      </c>
      <c r="F378" s="127" t="s">
        <v>289</v>
      </c>
      <c r="G378" s="127">
        <v>4</v>
      </c>
      <c r="H378" s="253" t="s">
        <v>1828</v>
      </c>
      <c r="I378" s="127" t="s">
        <v>271</v>
      </c>
      <c r="J378" s="127" t="s">
        <v>1250</v>
      </c>
      <c r="K378" s="129">
        <v>46182.767789351848</v>
      </c>
      <c r="L378" s="129">
        <v>46182.768171296295</v>
      </c>
      <c r="M378" s="129">
        <v>46183.274259259262</v>
      </c>
      <c r="N378" s="129">
        <v>46191.291886574072</v>
      </c>
      <c r="O378" s="129"/>
      <c r="P378" s="129"/>
      <c r="Q378" s="256" t="s">
        <v>1101</v>
      </c>
      <c r="R378" s="127" t="s">
        <v>267</v>
      </c>
      <c r="S378" s="127" t="s">
        <v>199</v>
      </c>
      <c r="T378" s="127"/>
      <c r="U378" s="127" t="s">
        <v>371</v>
      </c>
      <c r="Z378" s="169">
        <f t="shared" ca="1" si="48"/>
        <v>2.2500000000000004</v>
      </c>
      <c r="AA378" s="170">
        <f t="shared" ca="1" si="49"/>
        <v>6.0000000000000018</v>
      </c>
      <c r="AB378" s="169">
        <f t="shared" ca="1" si="50"/>
        <v>2.2500000000000004</v>
      </c>
      <c r="AC378" s="170">
        <f t="shared" ca="1" si="51"/>
        <v>6.0000000000000018</v>
      </c>
      <c r="AD378" s="169">
        <f t="shared" ca="1" si="52"/>
        <v>0</v>
      </c>
      <c r="AE378" s="169">
        <f t="shared" ca="1" si="47"/>
        <v>2.2500000000000004</v>
      </c>
      <c r="AF378" s="170">
        <f t="shared" ca="1" si="53"/>
        <v>6.0000000000000018</v>
      </c>
      <c r="AG378" s="170">
        <f t="shared" ca="1" si="54"/>
        <v>6.0000000000000018</v>
      </c>
      <c r="AH378" s="28" t="str" cm="1">
        <f t="array" aca="1" ref="AH378" ca="1">IF((AD378) &lt; (INDEX(ResponseSLA[#All],(MATCH((G378),ResponseSLA[Priority],0))+1,3)),"YES","No")</f>
        <v>YES</v>
      </c>
      <c r="AI378" s="28" t="str">
        <f ca="1">_xlfn.IFNA(IF(AE378 &lt; (INDEX(SLATable[Minimum SLA],MATCH(G378,SLATable[Priority],0))),"YES","NO"),"")</f>
        <v>YES</v>
      </c>
      <c r="AJ378" s="28" t="str">
        <f ca="1">_xlfn.IFNA(IF(AE378 &lt; (INDEX(SLATable[Maximum SLA],MATCH(G378,SLATable[Priority],0))),"YES","NO"),"")</f>
        <v>YES</v>
      </c>
    </row>
    <row r="379" spans="2:36" ht="15" customHeight="1">
      <c r="B379" s="127" t="s">
        <v>26</v>
      </c>
      <c r="C379" s="127" t="s">
        <v>35</v>
      </c>
      <c r="D379" s="127" t="s">
        <v>207</v>
      </c>
      <c r="E379" s="253" t="s">
        <v>1829</v>
      </c>
      <c r="F379" s="127" t="s">
        <v>295</v>
      </c>
      <c r="G379" s="127">
        <v>3</v>
      </c>
      <c r="H379" s="253" t="s">
        <v>1830</v>
      </c>
      <c r="I379" s="127" t="s">
        <v>271</v>
      </c>
      <c r="J379" s="127" t="s">
        <v>1250</v>
      </c>
      <c r="K379" s="129">
        <v>46176.220254629632</v>
      </c>
      <c r="L379" s="129">
        <v>46176.220717592594</v>
      </c>
      <c r="M379" s="129">
        <v>46176.430543981478</v>
      </c>
      <c r="N379" s="129">
        <v>46182.399282407408</v>
      </c>
      <c r="O379" s="129">
        <v>46178.355520833335</v>
      </c>
      <c r="P379" s="129">
        <v>46182.399282407408</v>
      </c>
      <c r="Q379" s="256" t="s">
        <v>695</v>
      </c>
      <c r="R379" s="127" t="s">
        <v>267</v>
      </c>
      <c r="S379" s="127" t="s">
        <v>190</v>
      </c>
      <c r="T379" s="127"/>
      <c r="U379" s="127" t="s">
        <v>371</v>
      </c>
      <c r="Z379" s="169">
        <f t="shared" ca="1" si="48"/>
        <v>0.77218750000126146</v>
      </c>
      <c r="AA379" s="170">
        <f t="shared" ca="1" si="49"/>
        <v>2.0591666666700306</v>
      </c>
      <c r="AB379" s="169">
        <f t="shared" ca="1" si="50"/>
        <v>0.77218750000126146</v>
      </c>
      <c r="AC379" s="170">
        <f t="shared" ca="1" si="51"/>
        <v>2.0591666666700306</v>
      </c>
      <c r="AD379" s="169">
        <f t="shared" ca="1" si="52"/>
        <v>9.7210648144634149E-2</v>
      </c>
      <c r="AE379" s="169">
        <f t="shared" ca="1" si="47"/>
        <v>0.77218750000126146</v>
      </c>
      <c r="AF379" s="170">
        <f t="shared" ca="1" si="53"/>
        <v>2.0591666666700306</v>
      </c>
      <c r="AG379" s="170">
        <f t="shared" ca="1" si="54"/>
        <v>2.0591666666700306</v>
      </c>
      <c r="AH379" s="28" t="str" cm="1">
        <f t="array" aca="1" ref="AH379" ca="1">IF((AD379) &lt; (INDEX(ResponseSLA[#All],(MATCH((G379),ResponseSLA[Priority],0))+1,3)),"YES","No")</f>
        <v>No</v>
      </c>
      <c r="AI379" s="28" t="str">
        <f ca="1">_xlfn.IFNA(IF(AE379 &lt; (INDEX(SLATable[Minimum SLA],MATCH(G379,SLATable[Priority],0))),"YES","NO"),"")</f>
        <v>NO</v>
      </c>
      <c r="AJ379" s="28" t="str">
        <f ca="1">_xlfn.IFNA(IF(AE379 &lt; (INDEX(SLATable[Maximum SLA],MATCH(G379,SLATable[Priority],0))),"YES","NO"),"")</f>
        <v>YES</v>
      </c>
    </row>
    <row r="380" spans="2:36" ht="15" customHeight="1">
      <c r="B380" s="127" t="s">
        <v>26</v>
      </c>
      <c r="C380" s="127" t="s">
        <v>35</v>
      </c>
      <c r="D380" s="127" t="s">
        <v>207</v>
      </c>
      <c r="E380" s="253" t="s">
        <v>1831</v>
      </c>
      <c r="F380" s="127" t="s">
        <v>295</v>
      </c>
      <c r="G380" s="127">
        <v>3</v>
      </c>
      <c r="H380" s="253" t="s">
        <v>1832</v>
      </c>
      <c r="I380" s="127" t="s">
        <v>271</v>
      </c>
      <c r="J380" s="127" t="s">
        <v>1250</v>
      </c>
      <c r="K380" s="129">
        <v>46199.474618055552</v>
      </c>
      <c r="L380" s="129">
        <v>46199.47483796296</v>
      </c>
      <c r="M380" s="129">
        <v>46202.342210648145</v>
      </c>
      <c r="N380" s="129">
        <v>46203.374421296299</v>
      </c>
      <c r="O380" s="129"/>
      <c r="P380" s="129"/>
      <c r="Q380" s="256" t="s">
        <v>1203</v>
      </c>
      <c r="R380" s="127" t="s">
        <v>267</v>
      </c>
      <c r="S380" s="127" t="s">
        <v>149</v>
      </c>
      <c r="T380" s="127"/>
      <c r="U380" s="127" t="s">
        <v>371</v>
      </c>
      <c r="Z380" s="169">
        <f t="shared" ca="1" si="48"/>
        <v>0.6498032407471328</v>
      </c>
      <c r="AA380" s="170">
        <f t="shared" ca="1" si="49"/>
        <v>1.7328086419923541</v>
      </c>
      <c r="AB380" s="169">
        <f t="shared" ca="1" si="50"/>
        <v>0.64958333333925111</v>
      </c>
      <c r="AC380" s="170">
        <f t="shared" ca="1" si="51"/>
        <v>1.732222222238003</v>
      </c>
      <c r="AD380" s="169">
        <f t="shared" ca="1" si="52"/>
        <v>0.24237268518481869</v>
      </c>
      <c r="AE380" s="169">
        <f t="shared" ca="1" si="47"/>
        <v>0.64958333333925111</v>
      </c>
      <c r="AF380" s="170">
        <f t="shared" ca="1" si="53"/>
        <v>1.732222222238003</v>
      </c>
      <c r="AG380" s="170">
        <f t="shared" ca="1" si="54"/>
        <v>1.732222222238003</v>
      </c>
      <c r="AH380" s="28" t="str" cm="1">
        <f t="array" aca="1" ref="AH380" ca="1">IF((AD380) &lt; (INDEX(ResponseSLA[#All],(MATCH((G380),ResponseSLA[Priority],0))+1,3)),"YES","No")</f>
        <v>No</v>
      </c>
      <c r="AI380" s="28" t="str">
        <f ca="1">_xlfn.IFNA(IF(AE380 &lt; (INDEX(SLATable[Minimum SLA],MATCH(G380,SLATable[Priority],0))),"YES","NO"),"")</f>
        <v>NO</v>
      </c>
      <c r="AJ380" s="28" t="str">
        <f ca="1">_xlfn.IFNA(IF(AE380 &lt; (INDEX(SLATable[Maximum SLA],MATCH(G380,SLATable[Priority],0))),"YES","NO"),"")</f>
        <v>YES</v>
      </c>
    </row>
    <row r="381" spans="2:36" ht="15" customHeight="1">
      <c r="B381" s="127" t="s">
        <v>26</v>
      </c>
      <c r="C381" s="127" t="s">
        <v>35</v>
      </c>
      <c r="D381" s="127" t="s">
        <v>207</v>
      </c>
      <c r="E381" s="253" t="s">
        <v>1833</v>
      </c>
      <c r="F381" s="127" t="s">
        <v>292</v>
      </c>
      <c r="G381" s="127">
        <v>3</v>
      </c>
      <c r="H381" s="253" t="s">
        <v>1834</v>
      </c>
      <c r="I381" s="127" t="s">
        <v>271</v>
      </c>
      <c r="J381" s="127" t="s">
        <v>1250</v>
      </c>
      <c r="K381" s="129">
        <v>46199.494583333333</v>
      </c>
      <c r="L381" s="129">
        <v>46199.746678240743</v>
      </c>
      <c r="M381" s="129">
        <v>46202.469259259262</v>
      </c>
      <c r="N381" s="129">
        <v>46203.365231481483</v>
      </c>
      <c r="O381" s="129"/>
      <c r="P381" s="129"/>
      <c r="Q381" s="256" t="s">
        <v>1073</v>
      </c>
      <c r="R381" s="127" t="s">
        <v>267</v>
      </c>
      <c r="S381" s="127" t="s">
        <v>149</v>
      </c>
      <c r="T381" s="127"/>
      <c r="U381" s="127" t="s">
        <v>371</v>
      </c>
      <c r="Z381" s="169">
        <f t="shared" ca="1" si="48"/>
        <v>0.62064814814948477</v>
      </c>
      <c r="AA381" s="170">
        <f t="shared" ca="1" si="49"/>
        <v>1.655061728398626</v>
      </c>
      <c r="AB381" s="169">
        <f t="shared" ca="1" si="50"/>
        <v>0.40689814814929071</v>
      </c>
      <c r="AC381" s="170">
        <f t="shared" ca="1" si="51"/>
        <v>1.0850617283981085</v>
      </c>
      <c r="AD381" s="169">
        <f t="shared" ca="1" si="52"/>
        <v>0.13592592592855601</v>
      </c>
      <c r="AE381" s="169">
        <f t="shared" ca="1" si="47"/>
        <v>0.40689814814929071</v>
      </c>
      <c r="AF381" s="170">
        <f t="shared" ca="1" si="53"/>
        <v>1.0850617283981085</v>
      </c>
      <c r="AG381" s="170">
        <f t="shared" ca="1" si="54"/>
        <v>1.0850617283981085</v>
      </c>
      <c r="AH381" s="28" t="str" cm="1">
        <f t="array" aca="1" ref="AH381" ca="1">IF((AD381) &lt; (INDEX(ResponseSLA[#All],(MATCH((G381),ResponseSLA[Priority],0))+1,3)),"YES","No")</f>
        <v>No</v>
      </c>
      <c r="AI381" s="28" t="str">
        <f ca="1">_xlfn.IFNA(IF(AE381 &lt; (INDEX(SLATable[Minimum SLA],MATCH(G381,SLATable[Priority],0))),"YES","NO"),"")</f>
        <v>NO</v>
      </c>
      <c r="AJ381" s="28" t="str">
        <f ca="1">_xlfn.IFNA(IF(AE381 &lt; (INDEX(SLATable[Maximum SLA],MATCH(G381,SLATable[Priority],0))),"YES","NO"),"")</f>
        <v>YES</v>
      </c>
    </row>
    <row r="382" spans="2:36" ht="15" customHeight="1">
      <c r="B382" s="127" t="s">
        <v>26</v>
      </c>
      <c r="C382" s="127" t="s">
        <v>35</v>
      </c>
      <c r="D382" s="127" t="s">
        <v>207</v>
      </c>
      <c r="E382" s="253" t="s">
        <v>1835</v>
      </c>
      <c r="F382" s="127" t="s">
        <v>292</v>
      </c>
      <c r="G382" s="127">
        <v>3</v>
      </c>
      <c r="H382" s="253" t="s">
        <v>1836</v>
      </c>
      <c r="I382" s="127" t="s">
        <v>271</v>
      </c>
      <c r="J382" s="127" t="s">
        <v>1250</v>
      </c>
      <c r="K382" s="129">
        <v>46199.516655092593</v>
      </c>
      <c r="L382" s="129">
        <v>46199.746736111112</v>
      </c>
      <c r="M382" s="129">
        <v>46202.480150462965</v>
      </c>
      <c r="N382" s="129">
        <v>46203.363055555557</v>
      </c>
      <c r="O382" s="129"/>
      <c r="P382" s="129"/>
      <c r="Q382" s="256" t="s">
        <v>1073</v>
      </c>
      <c r="R382" s="127" t="s">
        <v>267</v>
      </c>
      <c r="S382" s="127" t="s">
        <v>149</v>
      </c>
      <c r="T382" s="127"/>
      <c r="U382" s="127" t="s">
        <v>371</v>
      </c>
      <c r="Z382" s="169">
        <f t="shared" ca="1" si="48"/>
        <v>0.596400462964084</v>
      </c>
      <c r="AA382" s="170">
        <f t="shared" ca="1" si="49"/>
        <v>1.5904012345708907</v>
      </c>
      <c r="AB382" s="169">
        <f t="shared" ca="1" si="50"/>
        <v>0.40472222222403309</v>
      </c>
      <c r="AC382" s="170">
        <f t="shared" ca="1" si="51"/>
        <v>1.0792592592640884</v>
      </c>
      <c r="AD382" s="169">
        <f t="shared" ca="1" si="52"/>
        <v>0.14681712963162374</v>
      </c>
      <c r="AE382" s="169">
        <f t="shared" ca="1" si="47"/>
        <v>0.40472222222403309</v>
      </c>
      <c r="AF382" s="170">
        <f t="shared" ca="1" si="53"/>
        <v>1.0792592592640884</v>
      </c>
      <c r="AG382" s="170">
        <f t="shared" ca="1" si="54"/>
        <v>1.0792592592640884</v>
      </c>
      <c r="AH382" s="28" t="str" cm="1">
        <f t="array" aca="1" ref="AH382" ca="1">IF((AD382) &lt; (INDEX(ResponseSLA[#All],(MATCH((G382),ResponseSLA[Priority],0))+1,3)),"YES","No")</f>
        <v>No</v>
      </c>
      <c r="AI382" s="28" t="str">
        <f ca="1">_xlfn.IFNA(IF(AE382 &lt; (INDEX(SLATable[Minimum SLA],MATCH(G382,SLATable[Priority],0))),"YES","NO"),"")</f>
        <v>NO</v>
      </c>
      <c r="AJ382" s="28" t="str">
        <f ca="1">_xlfn.IFNA(IF(AE382 &lt; (INDEX(SLATable[Maximum SLA],MATCH(G382,SLATable[Priority],0))),"YES","NO"),"")</f>
        <v>YES</v>
      </c>
    </row>
    <row r="383" spans="2:36" ht="15" customHeight="1">
      <c r="B383" s="127" t="s">
        <v>26</v>
      </c>
      <c r="C383" s="127" t="s">
        <v>35</v>
      </c>
      <c r="D383" s="127" t="s">
        <v>207</v>
      </c>
      <c r="E383" s="253" t="s">
        <v>1837</v>
      </c>
      <c r="F383" s="127" t="s">
        <v>289</v>
      </c>
      <c r="G383" s="127">
        <v>4</v>
      </c>
      <c r="H383" s="253" t="s">
        <v>1838</v>
      </c>
      <c r="I383" s="127" t="s">
        <v>271</v>
      </c>
      <c r="J383" s="127" t="s">
        <v>1250</v>
      </c>
      <c r="K383" s="129">
        <v>46202.054513888892</v>
      </c>
      <c r="L383" s="129">
        <v>46202.0546875</v>
      </c>
      <c r="M383" s="129">
        <v>46202.367615740739</v>
      </c>
      <c r="N383" s="129">
        <v>46203.371805555558</v>
      </c>
      <c r="O383" s="129"/>
      <c r="P383" s="129"/>
      <c r="Q383" s="256" t="s">
        <v>1065</v>
      </c>
      <c r="R383" s="127" t="s">
        <v>267</v>
      </c>
      <c r="S383" s="127" t="s">
        <v>149</v>
      </c>
      <c r="T383" s="127"/>
      <c r="U383" s="127" t="s">
        <v>371</v>
      </c>
      <c r="Z383" s="169">
        <f t="shared" ca="1" si="48"/>
        <v>0.41347222222490626</v>
      </c>
      <c r="AA383" s="170">
        <f t="shared" ca="1" si="49"/>
        <v>1.10259259259975</v>
      </c>
      <c r="AB383" s="169">
        <f t="shared" ca="1" si="50"/>
        <v>0.41347222222490626</v>
      </c>
      <c r="AC383" s="170">
        <f t="shared" ca="1" si="51"/>
        <v>1.10259259259975</v>
      </c>
      <c r="AD383" s="169">
        <f t="shared" ca="1" si="52"/>
        <v>3.4282407405650417E-2</v>
      </c>
      <c r="AE383" s="169">
        <f t="shared" ca="1" si="47"/>
        <v>0.41347222222490626</v>
      </c>
      <c r="AF383" s="170">
        <f t="shared" ca="1" si="53"/>
        <v>1.10259259259975</v>
      </c>
      <c r="AG383" s="170">
        <f t="shared" ca="1" si="54"/>
        <v>1.10259259259975</v>
      </c>
      <c r="AH383" s="28" t="str" cm="1">
        <f t="array" aca="1" ref="AH383" ca="1">IF((AD383) &lt; (INDEX(ResponseSLA[#All],(MATCH((G383),ResponseSLA[Priority],0))+1,3)),"YES","No")</f>
        <v>YES</v>
      </c>
      <c r="AI383" s="28" t="str">
        <f ca="1">_xlfn.IFNA(IF(AE383 &lt; (INDEX(SLATable[Minimum SLA],MATCH(G383,SLATable[Priority],0))),"YES","NO"),"")</f>
        <v>YES</v>
      </c>
      <c r="AJ383" s="28" t="str">
        <f ca="1">_xlfn.IFNA(IF(AE383 &lt; (INDEX(SLATable[Maximum SLA],MATCH(G383,SLATable[Priority],0))),"YES","NO"),"")</f>
        <v>YES</v>
      </c>
    </row>
    <row r="384" spans="2:36" ht="15" customHeight="1">
      <c r="B384" s="127" t="s">
        <v>26</v>
      </c>
      <c r="C384" s="127" t="s">
        <v>35</v>
      </c>
      <c r="D384" s="127" t="s">
        <v>207</v>
      </c>
      <c r="E384" s="127" t="s">
        <v>1839</v>
      </c>
      <c r="F384" s="127" t="s">
        <v>295</v>
      </c>
      <c r="G384" s="127">
        <v>3</v>
      </c>
      <c r="H384" s="127" t="s">
        <v>1840</v>
      </c>
      <c r="I384" s="127" t="s">
        <v>266</v>
      </c>
      <c r="J384" s="127" t="s">
        <v>1250</v>
      </c>
      <c r="K384" s="129">
        <v>46191.378761574073</v>
      </c>
      <c r="L384" s="129">
        <v>46191.378819444442</v>
      </c>
      <c r="M384" s="129">
        <v>46191.483414351853</v>
      </c>
      <c r="N384" s="129"/>
      <c r="O384" s="129">
        <v>46202.442627314813</v>
      </c>
      <c r="P384" s="129"/>
      <c r="Q384" s="127" t="s">
        <v>1841</v>
      </c>
      <c r="R384" s="127"/>
      <c r="S384" s="127"/>
      <c r="T384" s="127"/>
      <c r="U384" s="127" t="s">
        <v>371</v>
      </c>
      <c r="Z384" s="169">
        <f t="shared" ca="1" si="48"/>
        <v>18.255212500000201</v>
      </c>
      <c r="AA384" s="170">
        <f t="shared" ca="1" si="49"/>
        <v>48.680566666667204</v>
      </c>
      <c r="AB384" s="169">
        <f t="shared" ca="1" si="50"/>
        <v>2.6888078703705109</v>
      </c>
      <c r="AC384" s="170">
        <f t="shared" ca="1" si="51"/>
        <v>7.1701543209880292</v>
      </c>
      <c r="AD384" s="169">
        <f t="shared" ca="1" si="52"/>
        <v>0.10459490741050104</v>
      </c>
      <c r="AE384" s="169">
        <f t="shared" ca="1" si="47"/>
        <v>3.7683217592615028</v>
      </c>
      <c r="AF384" s="170">
        <f t="shared" ca="1" si="53"/>
        <v>10.04885802469734</v>
      </c>
      <c r="AG384" s="170">
        <f t="shared" ca="1" si="54"/>
        <v>10.04885802469734</v>
      </c>
      <c r="AH384" s="28" t="str" cm="1">
        <f t="array" aca="1" ref="AH384" ca="1">IF((AD384) &lt; (INDEX(ResponseSLA[#All],(MATCH((G384),ResponseSLA[Priority],0))+1,3)),"YES","No")</f>
        <v>No</v>
      </c>
      <c r="AI384" s="28" t="str">
        <f ca="1">_xlfn.IFNA(IF(AE384 &lt; (INDEX(SLATable[Minimum SLA],MATCH(G384,SLATable[Priority],0))),"YES","NO"),"")</f>
        <v>NO</v>
      </c>
      <c r="AJ384" s="28" t="str">
        <f ca="1">_xlfn.IFNA(IF(AE384 &lt; (INDEX(SLATable[Maximum SLA],MATCH(G384,SLATable[Priority],0))),"YES","NO"),"")</f>
        <v>NO</v>
      </c>
    </row>
    <row r="385" spans="2:36" ht="15" customHeight="1">
      <c r="B385" s="127" t="s">
        <v>26</v>
      </c>
      <c r="C385" s="127" t="s">
        <v>35</v>
      </c>
      <c r="D385" s="127" t="s">
        <v>207</v>
      </c>
      <c r="E385" s="253" t="s">
        <v>1842</v>
      </c>
      <c r="F385" s="127" t="s">
        <v>295</v>
      </c>
      <c r="G385" s="127">
        <v>3</v>
      </c>
      <c r="H385" s="253" t="s">
        <v>1843</v>
      </c>
      <c r="I385" s="127" t="s">
        <v>260</v>
      </c>
      <c r="J385" s="127" t="s">
        <v>1250</v>
      </c>
      <c r="K385" s="129">
        <v>46198.118587962963</v>
      </c>
      <c r="L385" s="129">
        <v>46198.163553240738</v>
      </c>
      <c r="M385" s="129">
        <v>46198.343692129631</v>
      </c>
      <c r="N385" s="129"/>
      <c r="O385" s="129"/>
      <c r="P385" s="129"/>
      <c r="Q385" s="256" t="s">
        <v>695</v>
      </c>
      <c r="R385" s="127"/>
      <c r="S385" s="127"/>
      <c r="T385" s="127"/>
      <c r="U385" s="127" t="s">
        <v>371</v>
      </c>
      <c r="Z385" s="169">
        <f t="shared" ca="1" si="48"/>
        <v>16.425640740739865</v>
      </c>
      <c r="AA385" s="170">
        <f t="shared" ca="1" si="49"/>
        <v>43.801708641972972</v>
      </c>
      <c r="AB385" s="169">
        <f t="shared" ca="1" si="50"/>
        <v>16.425640856478523</v>
      </c>
      <c r="AC385" s="170">
        <f t="shared" ca="1" si="51"/>
        <v>43.801708950609395</v>
      </c>
      <c r="AD385" s="169">
        <f t="shared" ca="1" si="52"/>
        <v>1.0358796297320338E-2</v>
      </c>
      <c r="AE385" s="169">
        <f t="shared" ca="1" si="47"/>
        <v>17.959807523145482</v>
      </c>
      <c r="AF385" s="170">
        <f t="shared" ca="1" si="53"/>
        <v>47.892820061721281</v>
      </c>
      <c r="AG385" s="170">
        <f t="shared" ca="1" si="54"/>
        <v>47.892820061721281</v>
      </c>
      <c r="AH385" s="28" t="str" cm="1">
        <f t="array" aca="1" ref="AH385" ca="1">IF((AD385) &lt; (INDEX(ResponseSLA[#All],(MATCH((G385),ResponseSLA[Priority],0))+1,3)),"YES","No")</f>
        <v>YES</v>
      </c>
      <c r="AI385" s="28" t="str">
        <f ca="1">_xlfn.IFNA(IF(AE385 &lt; (INDEX(SLATable[Minimum SLA],MATCH(G385,SLATable[Priority],0))),"YES","NO"),"")</f>
        <v>NO</v>
      </c>
      <c r="AJ385" s="28" t="str">
        <f ca="1">_xlfn.IFNA(IF(AE385 &lt; (INDEX(SLATable[Maximum SLA],MATCH(G385,SLATable[Priority],0))),"YES","NO"),"")</f>
        <v>NO</v>
      </c>
    </row>
    <row r="386" spans="2:36" ht="15" customHeight="1">
      <c r="B386" s="127" t="s">
        <v>26</v>
      </c>
      <c r="C386" s="127" t="s">
        <v>35</v>
      </c>
      <c r="D386" s="127" t="s">
        <v>207</v>
      </c>
      <c r="E386" s="253" t="s">
        <v>1844</v>
      </c>
      <c r="F386" s="127" t="s">
        <v>295</v>
      </c>
      <c r="G386" s="127">
        <v>4</v>
      </c>
      <c r="H386" s="253" t="s">
        <v>820</v>
      </c>
      <c r="I386" s="127" t="s">
        <v>260</v>
      </c>
      <c r="J386" s="127" t="s">
        <v>1250</v>
      </c>
      <c r="K386" s="129">
        <v>46196.118587962963</v>
      </c>
      <c r="L386" s="129">
        <v>46196.119108796294</v>
      </c>
      <c r="M386" s="129">
        <v>46197.283101851855</v>
      </c>
      <c r="N386" s="129"/>
      <c r="O386" s="129"/>
      <c r="P386" s="129"/>
      <c r="Q386" s="256" t="s">
        <v>695</v>
      </c>
      <c r="R386" s="127"/>
      <c r="S386" s="127"/>
      <c r="T386" s="127"/>
      <c r="U386" s="127" t="s">
        <v>371</v>
      </c>
      <c r="Z386" s="169">
        <f t="shared" ca="1" si="48"/>
        <v>17.175640740739865</v>
      </c>
      <c r="AA386" s="170">
        <f t="shared" ca="1" si="49"/>
        <v>45.801708641972972</v>
      </c>
      <c r="AB386" s="169">
        <f t="shared" ca="1" si="50"/>
        <v>17.175640856478523</v>
      </c>
      <c r="AC386" s="170">
        <f t="shared" ca="1" si="51"/>
        <v>45.801708950609395</v>
      </c>
      <c r="AD386" s="169">
        <f t="shared" ca="1" si="52"/>
        <v>0.37500000000000006</v>
      </c>
      <c r="AE386" s="169">
        <f t="shared" ref="AE386:AE449" ca="1" si="55">SUMIFS(AB:AB,E:E,E386)</f>
        <v>19.461231134254685</v>
      </c>
      <c r="AF386" s="170">
        <f t="shared" ca="1" si="53"/>
        <v>51.896616358012494</v>
      </c>
      <c r="AG386" s="170">
        <f t="shared" ca="1" si="54"/>
        <v>51.896616358012494</v>
      </c>
      <c r="AH386" s="28" t="str" cm="1">
        <f t="array" aca="1" ref="AH386" ca="1">IF((AD386) &lt; (INDEX(ResponseSLA[#All],(MATCH((G386),ResponseSLA[Priority],0))+1,3)),"YES","No")</f>
        <v>No</v>
      </c>
      <c r="AI386" s="28" t="str">
        <f ca="1">_xlfn.IFNA(IF(AE386 &lt; (INDEX(SLATable[Minimum SLA],MATCH(G386,SLATable[Priority],0))),"YES","NO"),"")</f>
        <v>NO</v>
      </c>
      <c r="AJ386" s="28" t="str">
        <f ca="1">_xlfn.IFNA(IF(AE386 &lt; (INDEX(SLATable[Maximum SLA],MATCH(G386,SLATable[Priority],0))),"YES","NO"),"")</f>
        <v>NO</v>
      </c>
    </row>
    <row r="387" spans="2:36" ht="15" customHeight="1">
      <c r="B387" s="127" t="s">
        <v>26</v>
      </c>
      <c r="C387" s="127" t="s">
        <v>35</v>
      </c>
      <c r="D387" s="127" t="s">
        <v>207</v>
      </c>
      <c r="E387" s="253" t="s">
        <v>1845</v>
      </c>
      <c r="F387" s="127" t="s">
        <v>295</v>
      </c>
      <c r="G387" s="127">
        <v>4</v>
      </c>
      <c r="H387" s="253" t="s">
        <v>1773</v>
      </c>
      <c r="I387" s="127" t="s">
        <v>260</v>
      </c>
      <c r="J387" s="127" t="s">
        <v>1250</v>
      </c>
      <c r="K387" s="129">
        <v>46197.118576388886</v>
      </c>
      <c r="L387" s="129">
        <v>46197.118761574071</v>
      </c>
      <c r="M387" s="129">
        <v>46197.285393518519</v>
      </c>
      <c r="N387" s="129"/>
      <c r="O387" s="129"/>
      <c r="P387" s="129"/>
      <c r="Q387" s="256" t="s">
        <v>695</v>
      </c>
      <c r="R387" s="127"/>
      <c r="S387" s="127"/>
      <c r="T387" s="127"/>
      <c r="U387" s="127" t="s">
        <v>371</v>
      </c>
      <c r="Z387" s="169">
        <f t="shared" ca="1" si="48"/>
        <v>16.800640740739865</v>
      </c>
      <c r="AA387" s="170">
        <f t="shared" ca="1" si="49"/>
        <v>44.801708641972972</v>
      </c>
      <c r="AB387" s="169">
        <f t="shared" ca="1" si="50"/>
        <v>16.800640856478523</v>
      </c>
      <c r="AC387" s="170">
        <f t="shared" ca="1" si="51"/>
        <v>44.801708950609395</v>
      </c>
      <c r="AD387" s="169">
        <f t="shared" ca="1" si="52"/>
        <v>0</v>
      </c>
      <c r="AE387" s="169">
        <f t="shared" ca="1" si="55"/>
        <v>18.71240011574022</v>
      </c>
      <c r="AF387" s="170">
        <f t="shared" ca="1" si="53"/>
        <v>49.899733641973917</v>
      </c>
      <c r="AG387" s="170">
        <f t="shared" ca="1" si="54"/>
        <v>49.899733641973917</v>
      </c>
      <c r="AH387" s="28" t="str" cm="1">
        <f t="array" aca="1" ref="AH387" ca="1">IF((AD387) &lt; (INDEX(ResponseSLA[#All],(MATCH((G387),ResponseSLA[Priority],0))+1,3)),"YES","No")</f>
        <v>YES</v>
      </c>
      <c r="AI387" s="28" t="str">
        <f ca="1">_xlfn.IFNA(IF(AE387 &lt; (INDEX(SLATable[Minimum SLA],MATCH(G387,SLATable[Priority],0))),"YES","NO"),"")</f>
        <v>NO</v>
      </c>
      <c r="AJ387" s="28" t="str">
        <f ca="1">_xlfn.IFNA(IF(AE387 &lt; (INDEX(SLATable[Maximum SLA],MATCH(G387,SLATable[Priority],0))),"YES","NO"),"")</f>
        <v>NO</v>
      </c>
    </row>
    <row r="388" spans="2:36" ht="15" customHeight="1">
      <c r="B388" s="127" t="s">
        <v>26</v>
      </c>
      <c r="C388" s="127" t="s">
        <v>35</v>
      </c>
      <c r="D388" s="127" t="s">
        <v>208</v>
      </c>
      <c r="E388" s="28" t="s">
        <v>1248</v>
      </c>
      <c r="F388" s="127" t="s">
        <v>303</v>
      </c>
      <c r="G388" s="127" t="s">
        <v>208</v>
      </c>
      <c r="H388" s="253" t="s">
        <v>1249</v>
      </c>
      <c r="I388" s="127" t="s">
        <v>271</v>
      </c>
      <c r="J388" s="127" t="s">
        <v>1250</v>
      </c>
      <c r="K388" s="129">
        <v>46139.253425925926</v>
      </c>
      <c r="L388" s="129" t="s">
        <v>1846</v>
      </c>
      <c r="M388" s="129">
        <v>46139.352152777778</v>
      </c>
      <c r="N388" s="129">
        <v>46190.60565972222</v>
      </c>
      <c r="O388" s="129"/>
      <c r="P388" s="129"/>
      <c r="Q388" s="127" t="s">
        <v>1847</v>
      </c>
      <c r="R388" s="127" t="s">
        <v>267</v>
      </c>
      <c r="S388" s="127" t="s">
        <v>179</v>
      </c>
      <c r="T388" s="127"/>
      <c r="U388" s="127" t="s">
        <v>371</v>
      </c>
      <c r="Z388" s="169">
        <f t="shared" ca="1" si="48"/>
        <v>13.022326388886238</v>
      </c>
      <c r="AA388" s="170">
        <f t="shared" ca="1" si="49"/>
        <v>34.726203703696633</v>
      </c>
      <c r="AB388" s="169">
        <f t="shared" ca="1" si="50"/>
        <v>13.003506944442053</v>
      </c>
      <c r="AC388" s="170">
        <f t="shared" ca="1" si="51"/>
        <v>34.676018518512144</v>
      </c>
      <c r="AD388" s="169">
        <f t="shared" ca="1" si="52"/>
        <v>0</v>
      </c>
      <c r="AE388" s="169">
        <f t="shared" ca="1" si="55"/>
        <v>44.429147685181917</v>
      </c>
      <c r="AF388" s="170">
        <f t="shared" ca="1" si="53"/>
        <v>118.4777271604851</v>
      </c>
      <c r="AG388" s="170">
        <f t="shared" ca="1" si="54"/>
        <v>118.4777271604851</v>
      </c>
      <c r="AH388" s="28" t="str" cm="1">
        <f t="array" aca="1" ref="AH388" ca="1">IF((AD388) &lt; (INDEX(ResponseSLA[#All],(MATCH((G388),ResponseSLA[Priority],0))+1,3)),"YES","No")</f>
        <v>YES</v>
      </c>
      <c r="AI388" s="28" t="str">
        <f ca="1">_xlfn.IFNA(IF(AE388 &lt; (INDEX(SLATable[Minimum SLA],MATCH(G388,SLATable[Priority],0))),"YES","NO"),"")</f>
        <v>NO</v>
      </c>
      <c r="AJ388" s="28" t="str">
        <f ca="1">_xlfn.IFNA(IF(AE388 &lt; (INDEX(SLATable[Maximum SLA],MATCH(G388,SLATable[Priority],0))),"YES","NO"),"")</f>
        <v>NO</v>
      </c>
    </row>
    <row r="389" spans="2:36" ht="15" customHeight="1">
      <c r="B389" s="127" t="s">
        <v>26</v>
      </c>
      <c r="C389" s="127" t="s">
        <v>35</v>
      </c>
      <c r="D389" s="127" t="s">
        <v>208</v>
      </c>
      <c r="E389" s="28" t="s">
        <v>1252</v>
      </c>
      <c r="F389" s="127" t="s">
        <v>303</v>
      </c>
      <c r="G389" s="127" t="s">
        <v>208</v>
      </c>
      <c r="H389" s="253" t="s">
        <v>1253</v>
      </c>
      <c r="I389" s="127" t="s">
        <v>271</v>
      </c>
      <c r="J389" s="127" t="s">
        <v>1250</v>
      </c>
      <c r="K389" s="129">
        <v>46153.254293981481</v>
      </c>
      <c r="L389" s="129" t="s">
        <v>1848</v>
      </c>
      <c r="M389" s="129">
        <v>46154.442060185182</v>
      </c>
      <c r="N389" s="129">
        <v>46190.607372685183</v>
      </c>
      <c r="O389" s="129"/>
      <c r="P389" s="129"/>
      <c r="Q389" s="127" t="s">
        <v>1849</v>
      </c>
      <c r="R389" s="127" t="s">
        <v>267</v>
      </c>
      <c r="S389" s="127" t="s">
        <v>179</v>
      </c>
      <c r="T389" s="127"/>
      <c r="U389" s="127" t="s">
        <v>371</v>
      </c>
      <c r="Z389" s="169">
        <f t="shared" ca="1" si="48"/>
        <v>10.024039351849449</v>
      </c>
      <c r="AA389" s="170">
        <f t="shared" ca="1" si="49"/>
        <v>26.730771604931864</v>
      </c>
      <c r="AB389" s="169">
        <f t="shared" ca="1" si="50"/>
        <v>9.5403125000011659</v>
      </c>
      <c r="AC389" s="170">
        <f t="shared" ca="1" si="51"/>
        <v>25.440833333336442</v>
      </c>
      <c r="AD389" s="169">
        <f t="shared" ca="1" si="52"/>
        <v>0</v>
      </c>
      <c r="AE389" s="169">
        <f t="shared" ca="1" si="55"/>
        <v>37.96595324074103</v>
      </c>
      <c r="AF389" s="170">
        <f t="shared" ca="1" si="53"/>
        <v>101.24254197530941</v>
      </c>
      <c r="AG389" s="170">
        <f t="shared" ca="1" si="54"/>
        <v>101.24254197530941</v>
      </c>
      <c r="AH389" s="28" t="str" cm="1">
        <f t="array" aca="1" ref="AH389" ca="1">IF((AD389) &lt; (INDEX(ResponseSLA[#All],(MATCH((G389),ResponseSLA[Priority],0))+1,3)),"YES","No")</f>
        <v>YES</v>
      </c>
      <c r="AI389" s="28" t="str">
        <f ca="1">_xlfn.IFNA(IF(AE389 &lt; (INDEX(SLATable[Minimum SLA],MATCH(G389,SLATable[Priority],0))),"YES","NO"),"")</f>
        <v>NO</v>
      </c>
      <c r="AJ389" s="28" t="str">
        <f ca="1">_xlfn.IFNA(IF(AE389 &lt; (INDEX(SLATable[Maximum SLA],MATCH(G389,SLATable[Priority],0))),"YES","NO"),"")</f>
        <v>NO</v>
      </c>
    </row>
    <row r="390" spans="2:36" ht="15" customHeight="1">
      <c r="B390" s="127" t="s">
        <v>26</v>
      </c>
      <c r="C390" s="127" t="s">
        <v>35</v>
      </c>
      <c r="D390" s="127" t="s">
        <v>208</v>
      </c>
      <c r="E390" s="28" t="s">
        <v>1255</v>
      </c>
      <c r="F390" s="127" t="s">
        <v>303</v>
      </c>
      <c r="G390" s="127" t="s">
        <v>208</v>
      </c>
      <c r="H390" s="253" t="s">
        <v>1256</v>
      </c>
      <c r="I390" s="127" t="s">
        <v>271</v>
      </c>
      <c r="J390" s="127" t="s">
        <v>1250</v>
      </c>
      <c r="K390" s="129">
        <v>46153.254953703705</v>
      </c>
      <c r="L390" s="129" t="s">
        <v>1850</v>
      </c>
      <c r="M390" s="129">
        <v>46154.446238425924</v>
      </c>
      <c r="N390" s="129">
        <v>46177.435324074075</v>
      </c>
      <c r="O390" s="129"/>
      <c r="P390" s="129"/>
      <c r="Q390" s="127" t="s">
        <v>1851</v>
      </c>
      <c r="R390" s="127" t="s">
        <v>267</v>
      </c>
      <c r="S390" s="127" t="s">
        <v>179</v>
      </c>
      <c r="T390" s="127"/>
      <c r="U390" s="127" t="s">
        <v>371</v>
      </c>
      <c r="Z390" s="169">
        <f t="shared" ca="1" si="48"/>
        <v>6.4769907407414102</v>
      </c>
      <c r="AA390" s="170">
        <f t="shared" ca="1" si="49"/>
        <v>17.271975308643761</v>
      </c>
      <c r="AB390" s="169">
        <f t="shared" ca="1" si="50"/>
        <v>5.9890856481506498</v>
      </c>
      <c r="AC390" s="170">
        <f t="shared" ca="1" si="51"/>
        <v>15.970895061735067</v>
      </c>
      <c r="AD390" s="169">
        <f t="shared" ca="1" si="52"/>
        <v>0</v>
      </c>
      <c r="AE390" s="169">
        <f t="shared" ca="1" si="55"/>
        <v>34.414726388890514</v>
      </c>
      <c r="AF390" s="170">
        <f t="shared" ca="1" si="53"/>
        <v>91.772603703708043</v>
      </c>
      <c r="AG390" s="170">
        <f t="shared" ca="1" si="54"/>
        <v>91.772603703708043</v>
      </c>
      <c r="AH390" s="28" t="str" cm="1">
        <f t="array" aca="1" ref="AH390" ca="1">IF((AD390) &lt; (INDEX(ResponseSLA[#All],(MATCH((G390),ResponseSLA[Priority],0))+1,3)),"YES","No")</f>
        <v>YES</v>
      </c>
      <c r="AI390" s="28" t="str">
        <f ca="1">_xlfn.IFNA(IF(AE390 &lt; (INDEX(SLATable[Minimum SLA],MATCH(G390,SLATable[Priority],0))),"YES","NO"),"")</f>
        <v>NO</v>
      </c>
      <c r="AJ390" s="28" t="str">
        <f ca="1">_xlfn.IFNA(IF(AE390 &lt; (INDEX(SLATable[Maximum SLA],MATCH(G390,SLATable[Priority],0))),"YES","NO"),"")</f>
        <v>NO</v>
      </c>
    </row>
    <row r="391" spans="2:36" ht="15" customHeight="1">
      <c r="B391" s="127" t="s">
        <v>26</v>
      </c>
      <c r="C391" s="127" t="s">
        <v>35</v>
      </c>
      <c r="D391" s="127" t="s">
        <v>208</v>
      </c>
      <c r="E391" s="28" t="s">
        <v>1258</v>
      </c>
      <c r="F391" s="127" t="s">
        <v>303</v>
      </c>
      <c r="G391" s="127" t="s">
        <v>208</v>
      </c>
      <c r="H391" s="253" t="s">
        <v>1259</v>
      </c>
      <c r="I391" s="127" t="s">
        <v>271</v>
      </c>
      <c r="J391" s="127" t="s">
        <v>1250</v>
      </c>
      <c r="K391" s="129">
        <v>46160.254062499997</v>
      </c>
      <c r="L391" s="129" t="s">
        <v>1852</v>
      </c>
      <c r="M391" s="129">
        <v>46160.47960648148</v>
      </c>
      <c r="N391" s="129">
        <v>46189.506921296299</v>
      </c>
      <c r="O391" s="129"/>
      <c r="P391" s="129"/>
      <c r="Q391" s="127" t="s">
        <v>1853</v>
      </c>
      <c r="R391" s="127" t="s">
        <v>267</v>
      </c>
      <c r="S391" s="127" t="s">
        <v>179</v>
      </c>
      <c r="T391" s="127"/>
      <c r="U391" s="127" t="s">
        <v>371</v>
      </c>
      <c r="Z391" s="169">
        <f t="shared" ca="1" si="48"/>
        <v>7.6735879629656365</v>
      </c>
      <c r="AA391" s="170">
        <f t="shared" ca="1" si="49"/>
        <v>20.462901234575028</v>
      </c>
      <c r="AB391" s="169">
        <f t="shared" ca="1" si="50"/>
        <v>7.5273148148189648</v>
      </c>
      <c r="AC391" s="170">
        <f t="shared" ca="1" si="51"/>
        <v>20.072839506183907</v>
      </c>
      <c r="AD391" s="169">
        <f t="shared" ca="1" si="52"/>
        <v>0</v>
      </c>
      <c r="AE391" s="169">
        <f t="shared" ca="1" si="55"/>
        <v>34.07795555555883</v>
      </c>
      <c r="AF391" s="170">
        <f t="shared" ca="1" si="53"/>
        <v>90.874548148156876</v>
      </c>
      <c r="AG391" s="170">
        <f t="shared" ca="1" si="54"/>
        <v>90.874548148156876</v>
      </c>
      <c r="AH391" s="28" t="str" cm="1">
        <f t="array" aca="1" ref="AH391" ca="1">IF((AD391) &lt; (INDEX(ResponseSLA[#All],(MATCH((G391),ResponseSLA[Priority],0))+1,3)),"YES","No")</f>
        <v>YES</v>
      </c>
      <c r="AI391" s="28" t="str">
        <f ca="1">_xlfn.IFNA(IF(AE391 &lt; (INDEX(SLATable[Minimum SLA],MATCH(G391,SLATable[Priority],0))),"YES","NO"),"")</f>
        <v>NO</v>
      </c>
      <c r="AJ391" s="28" t="str">
        <f ca="1">_xlfn.IFNA(IF(AE391 &lt; (INDEX(SLATable[Maximum SLA],MATCH(G391,SLATable[Priority],0))),"YES","NO"),"")</f>
        <v>NO</v>
      </c>
    </row>
    <row r="392" spans="2:36" ht="15" customHeight="1">
      <c r="B392" s="127" t="s">
        <v>26</v>
      </c>
      <c r="C392" s="127" t="s">
        <v>35</v>
      </c>
      <c r="D392" s="127" t="s">
        <v>208</v>
      </c>
      <c r="E392" s="28" t="s">
        <v>1854</v>
      </c>
      <c r="F392" s="127" t="s">
        <v>289</v>
      </c>
      <c r="G392" s="127" t="s">
        <v>208</v>
      </c>
      <c r="H392" s="253" t="s">
        <v>1855</v>
      </c>
      <c r="I392" s="127" t="s">
        <v>271</v>
      </c>
      <c r="J392" s="127" t="s">
        <v>1250</v>
      </c>
      <c r="K392" s="129">
        <v>46177.335023148145</v>
      </c>
      <c r="L392" s="129" t="s">
        <v>1856</v>
      </c>
      <c r="M392" s="129">
        <v>46178.383726851855</v>
      </c>
      <c r="N392" s="129">
        <v>46182.276099537034</v>
      </c>
      <c r="O392" s="129"/>
      <c r="P392" s="129"/>
      <c r="Q392" s="127" t="s">
        <v>1104</v>
      </c>
      <c r="R392" s="127" t="s">
        <v>267</v>
      </c>
      <c r="S392" s="127" t="s">
        <v>155</v>
      </c>
      <c r="T392" s="127"/>
      <c r="U392" s="127" t="s">
        <v>371</v>
      </c>
      <c r="Z392" s="169">
        <f t="shared" ca="1" si="48"/>
        <v>1.1233101851879232</v>
      </c>
      <c r="AA392" s="170">
        <f t="shared" ca="1" si="49"/>
        <v>2.9954938271677953</v>
      </c>
      <c r="AB392" s="169">
        <f t="shared" ca="1" si="50"/>
        <v>0.69960648147874371</v>
      </c>
      <c r="AC392" s="170">
        <f t="shared" ca="1" si="51"/>
        <v>1.8656172839433165</v>
      </c>
      <c r="AD392" s="169">
        <f t="shared" ca="1" si="52"/>
        <v>0</v>
      </c>
      <c r="AE392" s="169">
        <f t="shared" ca="1" si="55"/>
        <v>0.69960648147874371</v>
      </c>
      <c r="AF392" s="170">
        <f t="shared" ca="1" si="53"/>
        <v>1.8656172839433165</v>
      </c>
      <c r="AG392" s="170">
        <f t="shared" ca="1" si="54"/>
        <v>1.8656172839433165</v>
      </c>
      <c r="AH392" s="28" t="str" cm="1">
        <f t="array" aca="1" ref="AH392" ca="1">IF((AD392) &lt; (INDEX(ResponseSLA[#All],(MATCH((G392),ResponseSLA[Priority],0))+1,3)),"YES","No")</f>
        <v>YES</v>
      </c>
      <c r="AI392" s="28" t="str">
        <f ca="1">_xlfn.IFNA(IF(AE392 &lt; (INDEX(SLATable[Minimum SLA],MATCH(G392,SLATable[Priority],0))),"YES","NO"),"")</f>
        <v>YES</v>
      </c>
      <c r="AJ392" s="28" t="str">
        <f ca="1">_xlfn.IFNA(IF(AE392 &lt; (INDEX(SLATable[Maximum SLA],MATCH(G392,SLATable[Priority],0))),"YES","NO"),"")</f>
        <v>YES</v>
      </c>
    </row>
    <row r="393" spans="2:36" ht="15" customHeight="1">
      <c r="B393" s="127" t="s">
        <v>26</v>
      </c>
      <c r="C393" s="127" t="s">
        <v>35</v>
      </c>
      <c r="D393" s="127" t="s">
        <v>208</v>
      </c>
      <c r="E393" s="28" t="s">
        <v>1857</v>
      </c>
      <c r="F393" s="127" t="s">
        <v>303</v>
      </c>
      <c r="G393" s="127" t="s">
        <v>208</v>
      </c>
      <c r="H393" s="253" t="s">
        <v>1858</v>
      </c>
      <c r="I393" s="127" t="s">
        <v>271</v>
      </c>
      <c r="J393" s="127" t="s">
        <v>1250</v>
      </c>
      <c r="K393" s="129">
        <v>46181.255300925928</v>
      </c>
      <c r="L393" s="129" t="s">
        <v>1859</v>
      </c>
      <c r="M393" s="129">
        <v>46181.56212962963</v>
      </c>
      <c r="N393" s="129">
        <v>46189.711539351854</v>
      </c>
      <c r="O393" s="129"/>
      <c r="P393" s="129"/>
      <c r="Q393" s="127" t="s">
        <v>1853</v>
      </c>
      <c r="R393" s="127" t="s">
        <v>267</v>
      </c>
      <c r="S393" s="127" t="s">
        <v>179</v>
      </c>
      <c r="T393" s="127"/>
      <c r="U393" s="127" t="s">
        <v>371</v>
      </c>
      <c r="Z393" s="169">
        <f t="shared" ca="1" si="48"/>
        <v>2.6250000000000004</v>
      </c>
      <c r="AA393" s="170">
        <f t="shared" ca="1" si="49"/>
        <v>7.0000000000000018</v>
      </c>
      <c r="AB393" s="169">
        <f t="shared" ca="1" si="50"/>
        <v>2.3962037037029713</v>
      </c>
      <c r="AC393" s="170">
        <f t="shared" ca="1" si="51"/>
        <v>6.3898765432079232</v>
      </c>
      <c r="AD393" s="169">
        <f t="shared" ca="1" si="52"/>
        <v>0</v>
      </c>
      <c r="AE393" s="169">
        <f t="shared" ca="1" si="55"/>
        <v>2.3962037037029713</v>
      </c>
      <c r="AF393" s="170">
        <f t="shared" ca="1" si="53"/>
        <v>6.3898765432079232</v>
      </c>
      <c r="AG393" s="170">
        <f t="shared" ca="1" si="54"/>
        <v>6.3898765432079232</v>
      </c>
      <c r="AH393" s="28" t="str" cm="1">
        <f t="array" aca="1" ref="AH393" ca="1">IF((AD393) &lt; (INDEX(ResponseSLA[#All],(MATCH((G393),ResponseSLA[Priority],0))+1,3)),"YES","No")</f>
        <v>YES</v>
      </c>
      <c r="AI393" s="28" t="str">
        <f ca="1">_xlfn.IFNA(IF(AE393 &lt; (INDEX(SLATable[Minimum SLA],MATCH(G393,SLATable[Priority],0))),"YES","NO"),"")</f>
        <v>NO</v>
      </c>
      <c r="AJ393" s="28" t="str">
        <f ca="1">_xlfn.IFNA(IF(AE393 &lt; (INDEX(SLATable[Maximum SLA],MATCH(G393,SLATable[Priority],0))),"YES","NO"),"")</f>
        <v>NO</v>
      </c>
    </row>
    <row r="394" spans="2:36" ht="15" customHeight="1">
      <c r="B394" s="127" t="s">
        <v>26</v>
      </c>
      <c r="C394" s="127" t="s">
        <v>35</v>
      </c>
      <c r="D394" s="127" t="s">
        <v>208</v>
      </c>
      <c r="E394" s="28" t="s">
        <v>1860</v>
      </c>
      <c r="F394" s="127" t="s">
        <v>303</v>
      </c>
      <c r="G394" s="127" t="s">
        <v>208</v>
      </c>
      <c r="H394" s="253" t="s">
        <v>1861</v>
      </c>
      <c r="I394" s="127" t="s">
        <v>271</v>
      </c>
      <c r="J394" s="127" t="s">
        <v>1250</v>
      </c>
      <c r="K394" s="129">
        <v>46181.256365740737</v>
      </c>
      <c r="L394" s="129" t="s">
        <v>1862</v>
      </c>
      <c r="M394" s="129">
        <v>46181.562557870369</v>
      </c>
      <c r="N394" s="129">
        <v>46189.712997685187</v>
      </c>
      <c r="O394" s="129"/>
      <c r="P394" s="129"/>
      <c r="Q394" s="127" t="s">
        <v>1863</v>
      </c>
      <c r="R394" s="127" t="s">
        <v>267</v>
      </c>
      <c r="S394" s="127" t="s">
        <v>179</v>
      </c>
      <c r="T394" s="127"/>
      <c r="U394" s="127" t="s">
        <v>371</v>
      </c>
      <c r="Z394" s="169">
        <f t="shared" ca="1" si="48"/>
        <v>2.6250000000000004</v>
      </c>
      <c r="AA394" s="170">
        <f t="shared" ca="1" si="49"/>
        <v>7.0000000000000018</v>
      </c>
      <c r="AB394" s="169">
        <f t="shared" ca="1" si="50"/>
        <v>2.3957754629639876</v>
      </c>
      <c r="AC394" s="170">
        <f t="shared" ca="1" si="51"/>
        <v>6.3887345679039669</v>
      </c>
      <c r="AD394" s="169">
        <f t="shared" ca="1" si="52"/>
        <v>0</v>
      </c>
      <c r="AE394" s="169">
        <f t="shared" ca="1" si="55"/>
        <v>2.3957754629639876</v>
      </c>
      <c r="AF394" s="170">
        <f t="shared" ca="1" si="53"/>
        <v>6.3887345679039669</v>
      </c>
      <c r="AG394" s="170">
        <f t="shared" ca="1" si="54"/>
        <v>6.3887345679039669</v>
      </c>
      <c r="AH394" s="28" t="str" cm="1">
        <f t="array" aca="1" ref="AH394" ca="1">IF((AD394) &lt; (INDEX(ResponseSLA[#All],(MATCH((G394),ResponseSLA[Priority],0))+1,3)),"YES","No")</f>
        <v>YES</v>
      </c>
      <c r="AI394" s="28" t="str">
        <f ca="1">_xlfn.IFNA(IF(AE394 &lt; (INDEX(SLATable[Minimum SLA],MATCH(G394,SLATable[Priority],0))),"YES","NO"),"")</f>
        <v>NO</v>
      </c>
      <c r="AJ394" s="28" t="str">
        <f ca="1">_xlfn.IFNA(IF(AE394 &lt; (INDEX(SLATable[Maximum SLA],MATCH(G394,SLATable[Priority],0))),"YES","NO"),"")</f>
        <v>NO</v>
      </c>
    </row>
    <row r="395" spans="2:36" ht="15" customHeight="1">
      <c r="B395" s="127" t="s">
        <v>26</v>
      </c>
      <c r="C395" s="127" t="s">
        <v>35</v>
      </c>
      <c r="D395" s="127" t="s">
        <v>208</v>
      </c>
      <c r="E395" s="28" t="s">
        <v>1864</v>
      </c>
      <c r="F395" s="127" t="s">
        <v>289</v>
      </c>
      <c r="G395" s="127" t="s">
        <v>208</v>
      </c>
      <c r="H395" s="253" t="s">
        <v>1865</v>
      </c>
      <c r="I395" s="127" t="s">
        <v>271</v>
      </c>
      <c r="J395" s="127" t="s">
        <v>1250</v>
      </c>
      <c r="K395" s="129">
        <v>46182.376087962963</v>
      </c>
      <c r="L395" s="129" t="s">
        <v>1866</v>
      </c>
      <c r="M395" s="129">
        <v>46182.495243055557</v>
      </c>
      <c r="N395" s="129">
        <v>46185.304513888892</v>
      </c>
      <c r="O395" s="129"/>
      <c r="P395" s="129"/>
      <c r="Q395" s="127" t="s">
        <v>1101</v>
      </c>
      <c r="R395" s="127" t="s">
        <v>267</v>
      </c>
      <c r="S395" s="127" t="s">
        <v>155</v>
      </c>
      <c r="T395" s="127"/>
      <c r="U395" s="127" t="s">
        <v>371</v>
      </c>
      <c r="Z395" s="169">
        <f t="shared" ca="1" si="48"/>
        <v>1.0822453703707047</v>
      </c>
      <c r="AA395" s="170">
        <f t="shared" ca="1" si="49"/>
        <v>2.885987654321879</v>
      </c>
      <c r="AB395" s="169">
        <f t="shared" ca="1" si="50"/>
        <v>0.9630902777765491</v>
      </c>
      <c r="AC395" s="170">
        <f t="shared" ca="1" si="51"/>
        <v>2.5682407407374641</v>
      </c>
      <c r="AD395" s="169">
        <f t="shared" ca="1" si="52"/>
        <v>0</v>
      </c>
      <c r="AE395" s="169">
        <f t="shared" ca="1" si="55"/>
        <v>0.9630902777765491</v>
      </c>
      <c r="AF395" s="170">
        <f t="shared" ca="1" si="53"/>
        <v>2.5682407407374641</v>
      </c>
      <c r="AG395" s="170">
        <f t="shared" ca="1" si="54"/>
        <v>2.5682407407374641</v>
      </c>
      <c r="AH395" s="28" t="str" cm="1">
        <f t="array" aca="1" ref="AH395" ca="1">IF((AD395) &lt; (INDEX(ResponseSLA[#All],(MATCH((G395),ResponseSLA[Priority],0))+1,3)),"YES","No")</f>
        <v>YES</v>
      </c>
      <c r="AI395" s="28" t="str">
        <f ca="1">_xlfn.IFNA(IF(AE395 &lt; (INDEX(SLATable[Minimum SLA],MATCH(G395,SLATable[Priority],0))),"YES","NO"),"")</f>
        <v>NO</v>
      </c>
      <c r="AJ395" s="28" t="str">
        <f ca="1">_xlfn.IFNA(IF(AE395 &lt; (INDEX(SLATable[Maximum SLA],MATCH(G395,SLATable[Priority],0))),"YES","NO"),"")</f>
        <v>NO</v>
      </c>
    </row>
    <row r="396" spans="2:36" ht="15" customHeight="1">
      <c r="B396" s="127" t="s">
        <v>26</v>
      </c>
      <c r="C396" s="127" t="s">
        <v>35</v>
      </c>
      <c r="D396" s="127" t="s">
        <v>208</v>
      </c>
      <c r="E396" s="28" t="s">
        <v>1867</v>
      </c>
      <c r="F396" s="127" t="s">
        <v>303</v>
      </c>
      <c r="G396" s="127" t="s">
        <v>208</v>
      </c>
      <c r="H396" s="253" t="s">
        <v>1868</v>
      </c>
      <c r="I396" s="127" t="s">
        <v>271</v>
      </c>
      <c r="J396" s="127" t="s">
        <v>1250</v>
      </c>
      <c r="K396" s="129">
        <v>46188.253923611112</v>
      </c>
      <c r="L396" s="129" t="s">
        <v>1869</v>
      </c>
      <c r="M396" s="129">
        <v>46189.328136574077</v>
      </c>
      <c r="N396" s="129">
        <v>46189.715439814812</v>
      </c>
      <c r="O396" s="129"/>
      <c r="P396" s="129"/>
      <c r="Q396" s="127" t="s">
        <v>1853</v>
      </c>
      <c r="R396" s="127" t="s">
        <v>267</v>
      </c>
      <c r="S396" s="127" t="s">
        <v>179</v>
      </c>
      <c r="T396" s="127"/>
      <c r="U396" s="127" t="s">
        <v>371</v>
      </c>
      <c r="Z396" s="169">
        <f t="shared" ca="1" si="48"/>
        <v>0.75000000000000022</v>
      </c>
      <c r="AA396" s="170">
        <f t="shared" ca="1" si="49"/>
        <v>2.0000000000000009</v>
      </c>
      <c r="AB396" s="169">
        <f t="shared" ca="1" si="50"/>
        <v>0.37500000000000006</v>
      </c>
      <c r="AC396" s="170">
        <f t="shared" ca="1" si="51"/>
        <v>1.0000000000000002</v>
      </c>
      <c r="AD396" s="169">
        <f t="shared" ca="1" si="52"/>
        <v>0</v>
      </c>
      <c r="AE396" s="169">
        <f t="shared" ca="1" si="55"/>
        <v>0.37500000000000006</v>
      </c>
      <c r="AF396" s="170">
        <f t="shared" ca="1" si="53"/>
        <v>1.0000000000000002</v>
      </c>
      <c r="AG396" s="170">
        <f t="shared" ca="1" si="54"/>
        <v>1.0000000000000002</v>
      </c>
      <c r="AH396" s="28" t="str" cm="1">
        <f t="array" aca="1" ref="AH396" ca="1">IF((AD396) &lt; (INDEX(ResponseSLA[#All],(MATCH((G396),ResponseSLA[Priority],0))+1,3)),"YES","No")</f>
        <v>YES</v>
      </c>
      <c r="AI396" s="28" t="str">
        <f ca="1">_xlfn.IFNA(IF(AE396 &lt; (INDEX(SLATable[Minimum SLA],MATCH(G396,SLATable[Priority],0))),"YES","NO"),"")</f>
        <v>YES</v>
      </c>
      <c r="AJ396" s="28" t="str">
        <f ca="1">_xlfn.IFNA(IF(AE396 &lt; (INDEX(SLATable[Maximum SLA],MATCH(G396,SLATable[Priority],0))),"YES","NO"),"")</f>
        <v>YES</v>
      </c>
    </row>
    <row r="397" spans="2:36" ht="15" customHeight="1">
      <c r="B397" s="127" t="s">
        <v>26</v>
      </c>
      <c r="C397" s="127" t="s">
        <v>35</v>
      </c>
      <c r="D397" s="127" t="s">
        <v>208</v>
      </c>
      <c r="E397" s="28" t="s">
        <v>1870</v>
      </c>
      <c r="F397" s="127" t="s">
        <v>303</v>
      </c>
      <c r="G397" s="127" t="s">
        <v>208</v>
      </c>
      <c r="H397" s="253" t="s">
        <v>1871</v>
      </c>
      <c r="I397" s="127" t="s">
        <v>271</v>
      </c>
      <c r="J397" s="127" t="s">
        <v>1250</v>
      </c>
      <c r="K397" s="129">
        <v>46188.25571759259</v>
      </c>
      <c r="L397" s="129" t="s">
        <v>1872</v>
      </c>
      <c r="M397" s="129" t="s">
        <v>1872</v>
      </c>
      <c r="N397" s="129">
        <v>46190.61310185185</v>
      </c>
      <c r="O397" s="129"/>
      <c r="P397" s="129"/>
      <c r="Q397" s="127" t="s">
        <v>1851</v>
      </c>
      <c r="R397" s="127" t="s">
        <v>267</v>
      </c>
      <c r="S397" s="127" t="s">
        <v>179</v>
      </c>
      <c r="T397" s="127"/>
      <c r="U397" s="127" t="s">
        <v>371</v>
      </c>
      <c r="Z397" s="169">
        <f t="shared" ca="1" si="48"/>
        <v>1.0297685185165999</v>
      </c>
      <c r="AA397" s="170">
        <f t="shared" ca="1" si="49"/>
        <v>2.7460493827109329</v>
      </c>
      <c r="AB397" s="169">
        <f t="shared" ca="1" si="50"/>
        <v>0.6547685185165999</v>
      </c>
      <c r="AC397" s="170">
        <f t="shared" ca="1" si="51"/>
        <v>1.7460493827109331</v>
      </c>
      <c r="AD397" s="169">
        <f t="shared" ca="1" si="52"/>
        <v>0</v>
      </c>
      <c r="AE397" s="169">
        <f t="shared" ca="1" si="55"/>
        <v>0.6547685185165999</v>
      </c>
      <c r="AF397" s="170">
        <f t="shared" ca="1" si="53"/>
        <v>1.7460493827109331</v>
      </c>
      <c r="AG397" s="170">
        <f t="shared" ca="1" si="54"/>
        <v>1.7460493827109331</v>
      </c>
      <c r="AH397" s="28" t="str" cm="1">
        <f t="array" aca="1" ref="AH397" ca="1">IF((AD397) &lt; (INDEX(ResponseSLA[#All],(MATCH((G397),ResponseSLA[Priority],0))+1,3)),"YES","No")</f>
        <v>YES</v>
      </c>
      <c r="AI397" s="28" t="str">
        <f ca="1">_xlfn.IFNA(IF(AE397 &lt; (INDEX(SLATable[Minimum SLA],MATCH(G397,SLATable[Priority],0))),"YES","NO"),"")</f>
        <v>YES</v>
      </c>
      <c r="AJ397" s="28" t="str">
        <f ca="1">_xlfn.IFNA(IF(AE397 &lt; (INDEX(SLATable[Maximum SLA],MATCH(G397,SLATable[Priority],0))),"YES","NO"),"")</f>
        <v>YES</v>
      </c>
    </row>
    <row r="398" spans="2:36" ht="15" customHeight="1">
      <c r="B398" s="127" t="s">
        <v>26</v>
      </c>
      <c r="C398" s="127" t="s">
        <v>35</v>
      </c>
      <c r="D398" s="127" t="s">
        <v>208</v>
      </c>
      <c r="E398" s="28" t="s">
        <v>1873</v>
      </c>
      <c r="F398" s="127" t="s">
        <v>303</v>
      </c>
      <c r="G398" s="127" t="s">
        <v>208</v>
      </c>
      <c r="H398" s="253" t="s">
        <v>1874</v>
      </c>
      <c r="I398" s="127" t="s">
        <v>271</v>
      </c>
      <c r="J398" s="127" t="s">
        <v>1250</v>
      </c>
      <c r="K398" s="129">
        <v>46188.256412037037</v>
      </c>
      <c r="L398" s="129" t="s">
        <v>1875</v>
      </c>
      <c r="M398" s="129">
        <v>46189.329039351855</v>
      </c>
      <c r="N398" s="129">
        <v>46190.614351851851</v>
      </c>
      <c r="O398" s="129"/>
      <c r="P398" s="129"/>
      <c r="Q398" s="127" t="s">
        <v>1863</v>
      </c>
      <c r="R398" s="127" t="s">
        <v>267</v>
      </c>
      <c r="S398" s="127" t="s">
        <v>179</v>
      </c>
      <c r="T398" s="127"/>
      <c r="U398" s="127" t="s">
        <v>371</v>
      </c>
      <c r="Z398" s="169">
        <f t="shared" ca="1" si="48"/>
        <v>1.031018518517764</v>
      </c>
      <c r="AA398" s="170">
        <f t="shared" ca="1" si="49"/>
        <v>2.7493827160473705</v>
      </c>
      <c r="AB398" s="169">
        <f t="shared" ca="1" si="50"/>
        <v>0.65601851851776405</v>
      </c>
      <c r="AC398" s="170">
        <f t="shared" ca="1" si="51"/>
        <v>1.7493827160473707</v>
      </c>
      <c r="AD398" s="169">
        <f t="shared" ca="1" si="52"/>
        <v>0</v>
      </c>
      <c r="AE398" s="169">
        <f t="shared" ca="1" si="55"/>
        <v>0.65601851851776405</v>
      </c>
      <c r="AF398" s="170">
        <f t="shared" ca="1" si="53"/>
        <v>1.7493827160473707</v>
      </c>
      <c r="AG398" s="170">
        <f t="shared" ca="1" si="54"/>
        <v>1.7493827160473707</v>
      </c>
      <c r="AH398" s="28" t="str" cm="1">
        <f t="array" aca="1" ref="AH398" ca="1">IF((AD398) &lt; (INDEX(ResponseSLA[#All],(MATCH((G398),ResponseSLA[Priority],0))+1,3)),"YES","No")</f>
        <v>YES</v>
      </c>
      <c r="AI398" s="28" t="str">
        <f ca="1">_xlfn.IFNA(IF(AE398 &lt; (INDEX(SLATable[Minimum SLA],MATCH(G398,SLATable[Priority],0))),"YES","NO"),"")</f>
        <v>YES</v>
      </c>
      <c r="AJ398" s="28" t="str">
        <f ca="1">_xlfn.IFNA(IF(AE398 &lt; (INDEX(SLATable[Maximum SLA],MATCH(G398,SLATable[Priority],0))),"YES","NO"),"")</f>
        <v>YES</v>
      </c>
    </row>
    <row r="399" spans="2:36" ht="15" customHeight="1">
      <c r="B399" s="127" t="s">
        <v>26</v>
      </c>
      <c r="C399" s="127" t="s">
        <v>35</v>
      </c>
      <c r="D399" s="127" t="s">
        <v>208</v>
      </c>
      <c r="E399" s="28" t="s">
        <v>1876</v>
      </c>
      <c r="F399" s="127" t="s">
        <v>289</v>
      </c>
      <c r="G399" s="127" t="s">
        <v>208</v>
      </c>
      <c r="H399" s="253" t="s">
        <v>1877</v>
      </c>
      <c r="I399" s="127" t="s">
        <v>271</v>
      </c>
      <c r="J399" s="127" t="s">
        <v>1250</v>
      </c>
      <c r="K399" s="129">
        <v>46189.375868055555</v>
      </c>
      <c r="L399" s="129" t="s">
        <v>1878</v>
      </c>
      <c r="M399" s="129">
        <v>46190.359652777777</v>
      </c>
      <c r="N399" s="129">
        <v>46190.411423611113</v>
      </c>
      <c r="O399" s="129"/>
      <c r="P399" s="129"/>
      <c r="Q399" s="127" t="s">
        <v>1879</v>
      </c>
      <c r="R399" s="127" t="s">
        <v>267</v>
      </c>
      <c r="S399" s="127" t="s">
        <v>155</v>
      </c>
      <c r="T399" s="127"/>
      <c r="U399" s="127" t="s">
        <v>371</v>
      </c>
      <c r="Z399" s="169">
        <f t="shared" ca="1" si="48"/>
        <v>0.41055555555794854</v>
      </c>
      <c r="AA399" s="170">
        <f t="shared" ca="1" si="49"/>
        <v>1.094814814821196</v>
      </c>
      <c r="AB399" s="169">
        <f t="shared" ca="1" si="50"/>
        <v>5.1770833335467614E-2</v>
      </c>
      <c r="AC399" s="170">
        <f t="shared" ca="1" si="51"/>
        <v>0.13805555556124696</v>
      </c>
      <c r="AD399" s="169">
        <f t="shared" ca="1" si="52"/>
        <v>0</v>
      </c>
      <c r="AE399" s="169">
        <f t="shared" ca="1" si="55"/>
        <v>5.1770833335467614E-2</v>
      </c>
      <c r="AF399" s="170">
        <f t="shared" ca="1" si="53"/>
        <v>0.13805555556124696</v>
      </c>
      <c r="AG399" s="170">
        <f t="shared" ca="1" si="54"/>
        <v>0.13805555556124696</v>
      </c>
      <c r="AH399" s="28" t="str" cm="1">
        <f t="array" aca="1" ref="AH399" ca="1">IF((AD399) &lt; (INDEX(ResponseSLA[#All],(MATCH((G399),ResponseSLA[Priority],0))+1,3)),"YES","No")</f>
        <v>YES</v>
      </c>
      <c r="AI399" s="28" t="str">
        <f ca="1">_xlfn.IFNA(IF(AE399 &lt; (INDEX(SLATable[Minimum SLA],MATCH(G399,SLATable[Priority],0))),"YES","NO"),"")</f>
        <v>YES</v>
      </c>
      <c r="AJ399" s="28" t="str">
        <f ca="1">_xlfn.IFNA(IF(AE399 &lt; (INDEX(SLATable[Maximum SLA],MATCH(G399,SLATable[Priority],0))),"YES","NO"),"")</f>
        <v>YES</v>
      </c>
    </row>
    <row r="400" spans="2:36" ht="15" customHeight="1">
      <c r="B400" s="127" t="s">
        <v>26</v>
      </c>
      <c r="C400" s="127" t="s">
        <v>35</v>
      </c>
      <c r="D400" s="127" t="s">
        <v>208</v>
      </c>
      <c r="E400" s="28" t="s">
        <v>1880</v>
      </c>
      <c r="F400" s="127" t="s">
        <v>289</v>
      </c>
      <c r="G400" s="127" t="s">
        <v>208</v>
      </c>
      <c r="H400" s="253" t="s">
        <v>1881</v>
      </c>
      <c r="I400" s="127" t="s">
        <v>271</v>
      </c>
      <c r="J400" s="127" t="s">
        <v>1250</v>
      </c>
      <c r="K400" s="129">
        <v>46189.376018518517</v>
      </c>
      <c r="L400" s="129" t="s">
        <v>1882</v>
      </c>
      <c r="M400" s="129">
        <v>46189.672384259262</v>
      </c>
      <c r="N400" s="129">
        <v>46190.59642361111</v>
      </c>
      <c r="O400" s="129"/>
      <c r="P400" s="129"/>
      <c r="Q400" s="127" t="s">
        <v>1796</v>
      </c>
      <c r="R400" s="127" t="s">
        <v>267</v>
      </c>
      <c r="S400" s="127" t="s">
        <v>155</v>
      </c>
      <c r="T400" s="127"/>
      <c r="U400" s="127" t="s">
        <v>371</v>
      </c>
      <c r="Z400" s="169">
        <f t="shared" ca="1" si="48"/>
        <v>0.59540509259386454</v>
      </c>
      <c r="AA400" s="170">
        <f t="shared" ca="1" si="49"/>
        <v>1.5877469135836388</v>
      </c>
      <c r="AB400" s="169">
        <f t="shared" ca="1" si="50"/>
        <v>0.29903935184847796</v>
      </c>
      <c r="AC400" s="170">
        <f t="shared" ca="1" si="51"/>
        <v>0.79743827159594127</v>
      </c>
      <c r="AD400" s="169">
        <f t="shared" ca="1" si="52"/>
        <v>0</v>
      </c>
      <c r="AE400" s="169">
        <f t="shared" ca="1" si="55"/>
        <v>0.29903935184847796</v>
      </c>
      <c r="AF400" s="170">
        <f t="shared" ca="1" si="53"/>
        <v>0.79743827159594127</v>
      </c>
      <c r="AG400" s="170">
        <f t="shared" ca="1" si="54"/>
        <v>0.79743827159594127</v>
      </c>
      <c r="AH400" s="28" t="str" cm="1">
        <f t="array" aca="1" ref="AH400" ca="1">IF((AD400) &lt; (INDEX(ResponseSLA[#All],(MATCH((G400),ResponseSLA[Priority],0))+1,3)),"YES","No")</f>
        <v>YES</v>
      </c>
      <c r="AI400" s="28" t="str">
        <f ca="1">_xlfn.IFNA(IF(AE400 &lt; (INDEX(SLATable[Minimum SLA],MATCH(G400,SLATable[Priority],0))),"YES","NO"),"")</f>
        <v>YES</v>
      </c>
      <c r="AJ400" s="28" t="str">
        <f ca="1">_xlfn.IFNA(IF(AE400 &lt; (INDEX(SLATable[Maximum SLA],MATCH(G400,SLATable[Priority],0))),"YES","NO"),"")</f>
        <v>YES</v>
      </c>
    </row>
    <row r="401" spans="2:36" ht="15" customHeight="1">
      <c r="B401" s="127" t="s">
        <v>26</v>
      </c>
      <c r="C401" s="127" t="s">
        <v>35</v>
      </c>
      <c r="D401" s="127" t="s">
        <v>208</v>
      </c>
      <c r="E401" s="28" t="s">
        <v>1883</v>
      </c>
      <c r="F401" s="127" t="s">
        <v>289</v>
      </c>
      <c r="G401" s="127" t="s">
        <v>208</v>
      </c>
      <c r="H401" s="253" t="s">
        <v>1810</v>
      </c>
      <c r="I401" s="127" t="s">
        <v>271</v>
      </c>
      <c r="J401" s="127" t="s">
        <v>1250</v>
      </c>
      <c r="K401" s="129">
        <v>46189.37604166667</v>
      </c>
      <c r="L401" s="129" t="s">
        <v>1884</v>
      </c>
      <c r="M401" s="129">
        <v>46189.671932870369</v>
      </c>
      <c r="N401" s="129">
        <v>46190.412245370368</v>
      </c>
      <c r="O401" s="129"/>
      <c r="P401" s="129"/>
      <c r="Q401" s="127" t="s">
        <v>1811</v>
      </c>
      <c r="R401" s="127" t="s">
        <v>267</v>
      </c>
      <c r="S401" s="127" t="s">
        <v>155</v>
      </c>
      <c r="T401" s="127"/>
      <c r="U401" s="127" t="s">
        <v>371</v>
      </c>
      <c r="Z401" s="169">
        <f t="shared" ca="1" si="48"/>
        <v>0.411203703697538</v>
      </c>
      <c r="AA401" s="170">
        <f t="shared" ca="1" si="49"/>
        <v>1.0965432098601013</v>
      </c>
      <c r="AB401" s="169">
        <f t="shared" ca="1" si="50"/>
        <v>0.11531249999825377</v>
      </c>
      <c r="AC401" s="170">
        <f t="shared" ca="1" si="51"/>
        <v>0.30749999999534339</v>
      </c>
      <c r="AD401" s="169">
        <f t="shared" ca="1" si="52"/>
        <v>0</v>
      </c>
      <c r="AE401" s="169">
        <f t="shared" ca="1" si="55"/>
        <v>0.11531249999825377</v>
      </c>
      <c r="AF401" s="170">
        <f t="shared" ca="1" si="53"/>
        <v>0.30749999999534339</v>
      </c>
      <c r="AG401" s="170">
        <f t="shared" ca="1" si="54"/>
        <v>0.30749999999534339</v>
      </c>
      <c r="AH401" s="28" t="str" cm="1">
        <f t="array" aca="1" ref="AH401" ca="1">IF((AD401) &lt; (INDEX(ResponseSLA[#All],(MATCH((G401),ResponseSLA[Priority],0))+1,3)),"YES","No")</f>
        <v>YES</v>
      </c>
      <c r="AI401" s="28" t="str">
        <f ca="1">_xlfn.IFNA(IF(AE401 &lt; (INDEX(SLATable[Minimum SLA],MATCH(G401,SLATable[Priority],0))),"YES","NO"),"")</f>
        <v>YES</v>
      </c>
      <c r="AJ401" s="28" t="str">
        <f ca="1">_xlfn.IFNA(IF(AE401 &lt; (INDEX(SLATable[Maximum SLA],MATCH(G401,SLATable[Priority],0))),"YES","NO"),"")</f>
        <v>YES</v>
      </c>
    </row>
    <row r="402" spans="2:36" ht="15" customHeight="1">
      <c r="B402" s="127" t="s">
        <v>26</v>
      </c>
      <c r="C402" s="127" t="s">
        <v>35</v>
      </c>
      <c r="D402" s="127" t="s">
        <v>208</v>
      </c>
      <c r="E402" s="28" t="s">
        <v>1885</v>
      </c>
      <c r="F402" s="127" t="s">
        <v>292</v>
      </c>
      <c r="G402" s="127" t="s">
        <v>208</v>
      </c>
      <c r="H402" s="253" t="s">
        <v>1886</v>
      </c>
      <c r="I402" s="127" t="s">
        <v>271</v>
      </c>
      <c r="J402" s="127" t="s">
        <v>1250</v>
      </c>
      <c r="K402" s="129">
        <v>46189.376481481479</v>
      </c>
      <c r="L402" s="129" t="s">
        <v>1887</v>
      </c>
      <c r="M402" s="129">
        <v>46190.354189814818</v>
      </c>
      <c r="N402" s="129">
        <v>46190.410497685189</v>
      </c>
      <c r="O402" s="129"/>
      <c r="P402" s="129"/>
      <c r="Q402" s="127" t="s">
        <v>1276</v>
      </c>
      <c r="R402" s="127" t="s">
        <v>267</v>
      </c>
      <c r="S402" s="127" t="s">
        <v>155</v>
      </c>
      <c r="T402" s="127"/>
      <c r="U402" s="127" t="s">
        <v>371</v>
      </c>
      <c r="Z402" s="169">
        <f t="shared" ca="1" si="48"/>
        <v>0.40901620371005265</v>
      </c>
      <c r="AA402" s="170">
        <f t="shared" ca="1" si="49"/>
        <v>1.0907098765601404</v>
      </c>
      <c r="AB402" s="169">
        <f t="shared" ca="1" si="50"/>
        <v>5.6307870370801538E-2</v>
      </c>
      <c r="AC402" s="170">
        <f t="shared" ca="1" si="51"/>
        <v>0.1501543209888041</v>
      </c>
      <c r="AD402" s="169">
        <f t="shared" ca="1" si="52"/>
        <v>0</v>
      </c>
      <c r="AE402" s="169">
        <f t="shared" ca="1" si="55"/>
        <v>5.6307870370801538E-2</v>
      </c>
      <c r="AF402" s="170">
        <f t="shared" ca="1" si="53"/>
        <v>0.1501543209888041</v>
      </c>
      <c r="AG402" s="170">
        <f t="shared" ca="1" si="54"/>
        <v>0.1501543209888041</v>
      </c>
      <c r="AH402" s="28" t="str" cm="1">
        <f t="array" aca="1" ref="AH402" ca="1">IF((AD402) &lt; (INDEX(ResponseSLA[#All],(MATCH((G402),ResponseSLA[Priority],0))+1,3)),"YES","No")</f>
        <v>YES</v>
      </c>
      <c r="AI402" s="28" t="str">
        <f ca="1">_xlfn.IFNA(IF(AE402 &lt; (INDEX(SLATable[Minimum SLA],MATCH(G402,SLATable[Priority],0))),"YES","NO"),"")</f>
        <v>YES</v>
      </c>
      <c r="AJ402" s="28" t="str">
        <f ca="1">_xlfn.IFNA(IF(AE402 &lt; (INDEX(SLATable[Maximum SLA],MATCH(G402,SLATable[Priority],0))),"YES","NO"),"")</f>
        <v>YES</v>
      </c>
    </row>
    <row r="403" spans="2:36" ht="15" customHeight="1">
      <c r="B403" s="127" t="s">
        <v>26</v>
      </c>
      <c r="C403" s="127" t="s">
        <v>35</v>
      </c>
      <c r="D403" s="127" t="s">
        <v>208</v>
      </c>
      <c r="E403" s="28" t="s">
        <v>1888</v>
      </c>
      <c r="F403" s="127" t="s">
        <v>289</v>
      </c>
      <c r="G403" s="127" t="s">
        <v>208</v>
      </c>
      <c r="H403" s="253" t="s">
        <v>1889</v>
      </c>
      <c r="I403" s="127" t="s">
        <v>271</v>
      </c>
      <c r="J403" s="127" t="s">
        <v>1250</v>
      </c>
      <c r="K403" s="129">
        <v>46196.375856481478</v>
      </c>
      <c r="L403" s="129" t="s">
        <v>1890</v>
      </c>
      <c r="M403" s="129">
        <v>46196.533206018517</v>
      </c>
      <c r="N403" s="129">
        <v>46197.575486111113</v>
      </c>
      <c r="O403" s="129"/>
      <c r="P403" s="129"/>
      <c r="Q403" s="127" t="s">
        <v>1891</v>
      </c>
      <c r="R403" s="127" t="s">
        <v>267</v>
      </c>
      <c r="S403" s="127" t="s">
        <v>155</v>
      </c>
      <c r="T403" s="127"/>
      <c r="U403" s="127" t="s">
        <v>371</v>
      </c>
      <c r="Z403" s="169">
        <f t="shared" ca="1" si="48"/>
        <v>0.57462962963472819</v>
      </c>
      <c r="AA403" s="170">
        <f t="shared" ca="1" si="49"/>
        <v>1.5323456790259418</v>
      </c>
      <c r="AB403" s="169">
        <f t="shared" ca="1" si="50"/>
        <v>0.41728009259531973</v>
      </c>
      <c r="AC403" s="170">
        <f t="shared" ca="1" si="51"/>
        <v>1.1127469135875192</v>
      </c>
      <c r="AD403" s="169">
        <f t="shared" ca="1" si="52"/>
        <v>0</v>
      </c>
      <c r="AE403" s="169">
        <f t="shared" ca="1" si="55"/>
        <v>0.41728009259531973</v>
      </c>
      <c r="AF403" s="170">
        <f t="shared" ca="1" si="53"/>
        <v>1.1127469135875192</v>
      </c>
      <c r="AG403" s="170">
        <f t="shared" ca="1" si="54"/>
        <v>1.1127469135875192</v>
      </c>
      <c r="AH403" s="28" t="str" cm="1">
        <f t="array" aca="1" ref="AH403" ca="1">IF((AD403) &lt; (INDEX(ResponseSLA[#All],(MATCH((G403),ResponseSLA[Priority],0))+1,3)),"YES","No")</f>
        <v>YES</v>
      </c>
      <c r="AI403" s="28" t="str">
        <f ca="1">_xlfn.IFNA(IF(AE403 &lt; (INDEX(SLATable[Minimum SLA],MATCH(G403,SLATable[Priority],0))),"YES","NO"),"")</f>
        <v>YES</v>
      </c>
      <c r="AJ403" s="28" t="str">
        <f ca="1">_xlfn.IFNA(IF(AE403 &lt; (INDEX(SLATable[Maximum SLA],MATCH(G403,SLATable[Priority],0))),"YES","NO"),"")</f>
        <v>YES</v>
      </c>
    </row>
    <row r="404" spans="2:36" ht="15" customHeight="1">
      <c r="B404" s="127" t="s">
        <v>26</v>
      </c>
      <c r="C404" s="127" t="s">
        <v>35</v>
      </c>
      <c r="D404" s="127" t="s">
        <v>208</v>
      </c>
      <c r="E404" s="28" t="s">
        <v>1892</v>
      </c>
      <c r="F404" s="127" t="s">
        <v>289</v>
      </c>
      <c r="G404" s="127" t="s">
        <v>208</v>
      </c>
      <c r="H404" s="253" t="s">
        <v>1855</v>
      </c>
      <c r="I404" s="127" t="s">
        <v>271</v>
      </c>
      <c r="J404" s="127" t="s">
        <v>1250</v>
      </c>
      <c r="K404" s="129">
        <v>46196.376087962963</v>
      </c>
      <c r="L404" s="129" t="s">
        <v>1893</v>
      </c>
      <c r="M404" s="129">
        <v>46196.529861111114</v>
      </c>
      <c r="N404" s="129">
        <v>46197.578425925924</v>
      </c>
      <c r="O404" s="129"/>
      <c r="P404" s="129"/>
      <c r="Q404" s="127" t="s">
        <v>1104</v>
      </c>
      <c r="R404" s="127" t="s">
        <v>267</v>
      </c>
      <c r="S404" s="127" t="s">
        <v>155</v>
      </c>
      <c r="T404" s="127"/>
      <c r="U404" s="127" t="s">
        <v>371</v>
      </c>
      <c r="Z404" s="169">
        <f t="shared" ca="1" si="48"/>
        <v>0.57733796296088258</v>
      </c>
      <c r="AA404" s="170">
        <f t="shared" ca="1" si="49"/>
        <v>1.5395679012290202</v>
      </c>
      <c r="AB404" s="169">
        <f t="shared" ca="1" si="50"/>
        <v>0.42356481480965158</v>
      </c>
      <c r="AC404" s="170">
        <f t="shared" ca="1" si="51"/>
        <v>1.1295061728257376</v>
      </c>
      <c r="AD404" s="169">
        <f t="shared" ca="1" si="52"/>
        <v>0</v>
      </c>
      <c r="AE404" s="169">
        <f t="shared" ca="1" si="55"/>
        <v>0.42356481480965158</v>
      </c>
      <c r="AF404" s="170">
        <f t="shared" ca="1" si="53"/>
        <v>1.1295061728257376</v>
      </c>
      <c r="AG404" s="170">
        <f t="shared" ca="1" si="54"/>
        <v>1.1295061728257376</v>
      </c>
      <c r="AH404" s="28" t="str" cm="1">
        <f t="array" aca="1" ref="AH404" ca="1">IF((AD404) &lt; (INDEX(ResponseSLA[#All],(MATCH((G404),ResponseSLA[Priority],0))+1,3)),"YES","No")</f>
        <v>YES</v>
      </c>
      <c r="AI404" s="28" t="str">
        <f ca="1">_xlfn.IFNA(IF(AE404 &lt; (INDEX(SLATable[Minimum SLA],MATCH(G404,SLATable[Priority],0))),"YES","NO"),"")</f>
        <v>YES</v>
      </c>
      <c r="AJ404" s="28" t="str">
        <f ca="1">_xlfn.IFNA(IF(AE404 &lt; (INDEX(SLATable[Maximum SLA],MATCH(G404,SLATable[Priority],0))),"YES","NO"),"")</f>
        <v>YES</v>
      </c>
    </row>
    <row r="405" spans="2:36" ht="15" customHeight="1">
      <c r="B405" s="127" t="s">
        <v>26</v>
      </c>
      <c r="C405" s="127" t="s">
        <v>35</v>
      </c>
      <c r="D405" s="127" t="s">
        <v>208</v>
      </c>
      <c r="E405" s="28" t="s">
        <v>1894</v>
      </c>
      <c r="F405" s="127" t="s">
        <v>289</v>
      </c>
      <c r="G405" s="127" t="s">
        <v>208</v>
      </c>
      <c r="H405" s="253" t="s">
        <v>1895</v>
      </c>
      <c r="I405" s="127" t="s">
        <v>271</v>
      </c>
      <c r="J405" s="127" t="s">
        <v>1250</v>
      </c>
      <c r="K405" s="129">
        <v>46196.376284722224</v>
      </c>
      <c r="L405" s="129" t="s">
        <v>1896</v>
      </c>
      <c r="M405" s="129">
        <v>46196.525289351855</v>
      </c>
      <c r="N405" s="129">
        <v>46197.572824074072</v>
      </c>
      <c r="O405" s="129"/>
      <c r="P405" s="129"/>
      <c r="Q405" s="127" t="s">
        <v>1068</v>
      </c>
      <c r="R405" s="127" t="s">
        <v>267</v>
      </c>
      <c r="S405" s="127" t="s">
        <v>155</v>
      </c>
      <c r="T405" s="127"/>
      <c r="U405" s="127" t="s">
        <v>371</v>
      </c>
      <c r="Z405" s="169">
        <f t="shared" ca="1" si="48"/>
        <v>0.57153935184760485</v>
      </c>
      <c r="AA405" s="170">
        <f t="shared" ca="1" si="49"/>
        <v>1.5241049382602796</v>
      </c>
      <c r="AB405" s="169">
        <f t="shared" ca="1" si="50"/>
        <v>0.42253472221636912</v>
      </c>
      <c r="AC405" s="170">
        <f t="shared" ca="1" si="51"/>
        <v>1.1267592592436511</v>
      </c>
      <c r="AD405" s="169">
        <f t="shared" ca="1" si="52"/>
        <v>0</v>
      </c>
      <c r="AE405" s="169">
        <f t="shared" ca="1" si="55"/>
        <v>0.42253472221636912</v>
      </c>
      <c r="AF405" s="170">
        <f t="shared" ca="1" si="53"/>
        <v>1.1267592592436511</v>
      </c>
      <c r="AG405" s="170">
        <f t="shared" ca="1" si="54"/>
        <v>1.1267592592436511</v>
      </c>
      <c r="AH405" s="28" t="str" cm="1">
        <f t="array" aca="1" ref="AH405" ca="1">IF((AD405) &lt; (INDEX(ResponseSLA[#All],(MATCH((G405),ResponseSLA[Priority],0))+1,3)),"YES","No")</f>
        <v>YES</v>
      </c>
      <c r="AI405" s="28" t="str">
        <f ca="1">_xlfn.IFNA(IF(AE405 &lt; (INDEX(SLATable[Minimum SLA],MATCH(G405,SLATable[Priority],0))),"YES","NO"),"")</f>
        <v>YES</v>
      </c>
      <c r="AJ405" s="28" t="str">
        <f ca="1">_xlfn.IFNA(IF(AE405 &lt; (INDEX(SLATable[Maximum SLA],MATCH(G405,SLATable[Priority],0))),"YES","NO"),"")</f>
        <v>YES</v>
      </c>
    </row>
    <row r="406" spans="2:36" ht="15" customHeight="1">
      <c r="B406" s="127" t="s">
        <v>26</v>
      </c>
      <c r="C406" s="127" t="s">
        <v>35</v>
      </c>
      <c r="D406" s="127" t="s">
        <v>208</v>
      </c>
      <c r="E406" s="28" t="s">
        <v>1897</v>
      </c>
      <c r="F406" s="127" t="s">
        <v>289</v>
      </c>
      <c r="G406" s="127" t="s">
        <v>208</v>
      </c>
      <c r="H406" s="253" t="s">
        <v>1898</v>
      </c>
      <c r="I406" s="127" t="s">
        <v>271</v>
      </c>
      <c r="J406" s="127" t="s">
        <v>1250</v>
      </c>
      <c r="K406" s="129">
        <v>46196.376319444447</v>
      </c>
      <c r="L406" s="129" t="s">
        <v>1899</v>
      </c>
      <c r="M406" s="129">
        <v>46196.524305555555</v>
      </c>
      <c r="N406" s="129">
        <v>46197.571886574071</v>
      </c>
      <c r="O406" s="129"/>
      <c r="P406" s="129"/>
      <c r="Q406" s="28" t="s">
        <v>1431</v>
      </c>
      <c r="R406" s="127" t="s">
        <v>267</v>
      </c>
      <c r="S406" s="127" t="s">
        <v>155</v>
      </c>
      <c r="T406" s="127"/>
      <c r="U406" s="127" t="s">
        <v>371</v>
      </c>
      <c r="Z406" s="169">
        <f t="shared" ca="1" si="48"/>
        <v>0.57056712962366873</v>
      </c>
      <c r="AA406" s="170">
        <f t="shared" ca="1" si="49"/>
        <v>1.5215123456631165</v>
      </c>
      <c r="AB406" s="169">
        <f t="shared" ca="1" si="50"/>
        <v>0.42258101851621177</v>
      </c>
      <c r="AC406" s="170">
        <f t="shared" ca="1" si="51"/>
        <v>1.1268827160432313</v>
      </c>
      <c r="AD406" s="169">
        <f t="shared" ca="1" si="52"/>
        <v>0</v>
      </c>
      <c r="AE406" s="169">
        <f t="shared" ca="1" si="55"/>
        <v>0.42258101851621177</v>
      </c>
      <c r="AF406" s="170">
        <f t="shared" ca="1" si="53"/>
        <v>1.1268827160432313</v>
      </c>
      <c r="AG406" s="170">
        <f t="shared" ca="1" si="54"/>
        <v>1.1268827160432313</v>
      </c>
      <c r="AH406" s="28" t="str" cm="1">
        <f t="array" aca="1" ref="AH406" ca="1">IF((AD406) &lt; (INDEX(ResponseSLA[#All],(MATCH((G406),ResponseSLA[Priority],0))+1,3)),"YES","No")</f>
        <v>YES</v>
      </c>
      <c r="AI406" s="28" t="str">
        <f ca="1">_xlfn.IFNA(IF(AE406 &lt; (INDEX(SLATable[Minimum SLA],MATCH(G406,SLATable[Priority],0))),"YES","NO"),"")</f>
        <v>YES</v>
      </c>
      <c r="AJ406" s="28" t="str">
        <f ca="1">_xlfn.IFNA(IF(AE406 &lt; (INDEX(SLATable[Maximum SLA],MATCH(G406,SLATable[Priority],0))),"YES","NO"),"")</f>
        <v>YES</v>
      </c>
    </row>
    <row r="407" spans="2:36" ht="15" customHeight="1">
      <c r="B407" s="127" t="s">
        <v>26</v>
      </c>
      <c r="C407" s="127" t="s">
        <v>35</v>
      </c>
      <c r="D407" s="127" t="s">
        <v>207</v>
      </c>
      <c r="E407" s="28" t="s">
        <v>1900</v>
      </c>
      <c r="F407" s="28" t="s">
        <v>296</v>
      </c>
      <c r="G407" s="28">
        <v>3</v>
      </c>
      <c r="H407" s="28" t="s">
        <v>1901</v>
      </c>
      <c r="I407" s="28" t="s">
        <v>271</v>
      </c>
      <c r="J407" s="254" t="s">
        <v>1200</v>
      </c>
      <c r="K407" s="129">
        <v>46180.398715277777</v>
      </c>
      <c r="L407" s="129" t="s">
        <v>1902</v>
      </c>
      <c r="M407" s="129" t="s">
        <v>1903</v>
      </c>
      <c r="N407" s="129">
        <v>46182.263252314813</v>
      </c>
      <c r="O407" s="129"/>
      <c r="P407" s="129"/>
      <c r="Q407" s="28" t="s">
        <v>1049</v>
      </c>
      <c r="R407" s="127" t="s">
        <v>267</v>
      </c>
      <c r="S407" s="127" t="s">
        <v>167</v>
      </c>
      <c r="T407" s="127"/>
      <c r="U407" s="127" t="s">
        <v>371</v>
      </c>
      <c r="Z407" s="169">
        <f t="shared" ref="Z407:Z454" ca="1" si="56">IF(NOT(OR(G407=1,G407=2)),MAX(0,_xlfn.IFS(AND(K407&lt;&gt;"",N407&lt;&gt;""),((MAX(NETWORKDAYS(K407,N407,UKBankHolidays)-1,0))*(TIME(17,0,0)-TIME(8,0,0))+IF(NETWORKDAYS(N407,N407,UKBankHolidays)&gt;0,MEDIAN(TIME(8,0,0),MOD(N407,1),TIME(17,0,0)),TIME(8,0,0))-IF(NETWORKDAYS(K407,K407,UKBankHolidays)&gt;0,MEDIAN(TIME(8,0,0),MOD(K407,1),TIME(17,0,0)),TIME(8,0,0)))-IF(AND(O407&lt;&gt;"",P407&lt;&gt;""),((MAX(NETWORKDAYS(O407,P407,UKBankHolidays)-1,0))*(TIME(17,0,0)-TIME(8,0,0))+IF(NETWORKDAYS(P407,P407,UKBankHolidays)&gt;0,MEDIAN(TIME(8,0,0),MOD(P407,1),TIME(17,0,0)),TIME(8,0,0))-IF(NETWORKDAYS(O407,O407,UKBankHolidays)&gt;0,MEDIAN(TIME(8,0,0),MOD(O407,1),TIME(17,0,0)),TIME(8,0,0))),0),AND(K407&lt;&gt;"",N407=""),((MAX(NETWORKDAYS(K407,NOW(),UKBankHolidays)-1,0))*(TIME(17,0,0)-TIME(8,0,0))+IF(NETWORKDAYS(NOW(),NOW(),UKBankHolidays)&gt;0,MEDIAN(TIME(8,0,0),MOD(NOW(),1),TIME(17,0,0)),TIME(8,0,0))-IF(NETWORKDAYS(K407,K407,UKBankHolidays)&gt;0,MEDIAN(TIME(8,0,0),MOD(K407,1),TIME(17,0,0)),TIME(8,0,0))))),IF(N407="",NOW()-K407,N407-K407))</f>
        <v>0.37500000000000006</v>
      </c>
      <c r="AA407" s="170">
        <f t="shared" ref="AA407:AA454" ca="1" si="57">(Z407*24)/9</f>
        <v>1.0000000000000002</v>
      </c>
      <c r="AB407" s="169">
        <f t="shared" ref="AB407:AB454" ca="1" si="58">IF(NOT(OR(G407=1,G407=2)),MAX(0,_xlfn.IFS(AND(K407&lt;&gt;"",N407&lt;&gt;""),(((MAX(NETWORKDAYS(L407,N407,UKBankHolidays)-1,0))*(TIME(17,0,0)-TIME(8,0,0)))+IF(NETWORKDAYS(N407,N407,UKBankHolidays)&gt;0,MEDIAN(TIME(8,0,0),MOD(N407,1),TIME(17,0,0)),TIME(8,0,0))-IF(NETWORKDAYS(L407,L407,UKBankHolidays)&gt;0,MEDIAN(TIME(8,0,0),MOD(L407,1),TIME(17,0,0)),TIME(8,0,0)))-IF(AND(O407&lt;&gt;"",P407&lt;&gt;""),(((MAX(NETWORKDAYS(O407,P407,UKBankHolidays)-1,0))*(TIME(17,0,0)-TIME(8,0,0)))+IF(NETWORKDAYS(P407,P407,UKBankHolidays)&gt;0,MEDIAN(TIME(8,0,0),MOD(P407,1),TIME(17,0,0)),TIME(8,0,0))-IF(NETWORKDAYS(O407,O407,UKBankHolidays)&gt;0,MEDIAN(TIME(8,0,0),MOD(O407,1),TIME(17,0,0)),TIME(8,0,0))),0),AND(L407&lt;&gt;"",N407="",O407=""),(((MAX(NETWORKDAYS(L407,NOW(),UKBankHolidays)-1,0))*(TIME(17,0,0)-TIME(8,0,0)))+IF(NETWORKDAYS(NOW(),NOW(),UKBankHolidays)&gt;0,MEDIAN(TIME(8,0,0),MOD(NOW(),1),TIME(17,0,0)),TIME(8,0,0))-IF(NETWORKDAYS(L407,L407,UKBankHolidays)&gt;0,MEDIAN(TIME(8,0,0),MOD(L407,1),TIME(17,0,0)),TIME(8,0,0)))-IF(AND(O407&lt;&gt;"",P407&lt;&gt;""),(((MAX(NETWORKDAYS(O407,P407,UKBankHolidays)-1,0))*(TIME(17,0,0)-TIME(8,0,0)))+IF(NETWORKDAYS(P407,P407,UKBankHolidays)&gt;0,MEDIAN(TIME(8,0,0),MOD(P407,1),TIME(17,0,0)),TIME(8,0,0))-IF(NETWORKDAYS(O407,O407,UKBankHolidays)&gt;0,MEDIAN(TIME(8,0,0),MOD(O407,1),TIME(17,0,0)),TIME(8,0,0))),0),AND(L407&lt;&gt;"",N407="",P407="",O407&lt;&gt;""),(((MAX(NETWORKDAYS(L407,O407,UKBankHolidays)-1,0))*(TIME(17,0,0)-TIME(8,0,0)))+IF(NETWORKDAYS(O407,O407,UKBankHolidays)&gt;0,MEDIAN(TIME(8,0,0),MOD(O407,1),TIME(17,0,0)),TIME(8,0,0))-IF(NETWORKDAYS(L407,L407,UKBankHolidays)&gt;0,MEDIAN(TIME(8,0,0),MOD(L407,1),TIME(17,0,0)),TIME(8,0,0))),ISBLANK(K407),"0")),IF(ISBLANK(N407),NOW()-L407,N407-L407))</f>
        <v>0.37500000000000006</v>
      </c>
      <c r="AC407" s="170">
        <f t="shared" ref="AC407:AC454" ca="1" si="59">(AB407*24)/9</f>
        <v>1.0000000000000002</v>
      </c>
      <c r="AD407" s="169">
        <f t="shared" ref="AD407:AD454" ca="1" si="60">MAX(0,IF(NOT(OR(G407=1,G407=2)),IF(M407&lt;&gt;"",((MAX(NETWORKDAYS(L407,M407,UKBankHolidays)-1,0))*(TIME(17,0,0)-TIME(8,0,0))+IF(NETWORKDAYS(M407,M407,UKBankHolidays)&gt;0,MEDIAN(TIME(8,0,0),MOD(M407,1),TIME(17,0,0)),TIME(8,0,0))-MEDIAN(TIME(8,0,0),MOD(L407,1),TIME(17,0,0))),((MAX(NETWORKDAYS(L407,NOW(),UKBankHolidays)-1,0))*(TIME(17,0,0)-TIME(8,0,0))+IF(NETWORKDAYS(NOW(),NOW(),UKBankHolidays)&gt;0,MEDIAN(TIME(8,0,0),MOD(NOW(),1),TIME(17,0,0)),TIME(8,0,0))-MEDIAN(TIME(8,0,0),MOD(L407,1),TIME(17,0,0)))),IF(M407&lt;&gt;"",M407-L407,NOW()-L407)))</f>
        <v>0</v>
      </c>
      <c r="AE407" s="169">
        <f t="shared" ca="1" si="55"/>
        <v>0.37500000000000006</v>
      </c>
      <c r="AF407" s="170">
        <f t="shared" ref="AF407:AF454" ca="1" si="61">(AE407*24)/9</f>
        <v>1.0000000000000002</v>
      </c>
      <c r="AG407" s="170">
        <f t="shared" ref="AG407:AG454" ca="1" si="62">AF407</f>
        <v>1.0000000000000002</v>
      </c>
      <c r="AH407" s="28" t="str" cm="1">
        <f t="array" aca="1" ref="AH407" ca="1">IF((AD407) &lt; (INDEX(ResponseSLA[#All],(MATCH((G407),ResponseSLA[Priority],0))+1,3)),"YES","No")</f>
        <v>YES</v>
      </c>
      <c r="AI407" s="28" t="str">
        <f ca="1">_xlfn.IFNA(IF(AE407 &lt; (INDEX(SLATable[Minimum SLA],MATCH(G407,SLATable[Priority],0))),"YES","NO"),"")</f>
        <v>NO</v>
      </c>
      <c r="AJ407" s="28" t="str">
        <f ca="1">_xlfn.IFNA(IF(AE407 &lt; (INDEX(SLATable[Maximum SLA],MATCH(G407,SLATable[Priority],0))),"YES","NO"),"")</f>
        <v>YES</v>
      </c>
    </row>
    <row r="408" spans="2:36" ht="15" customHeight="1">
      <c r="B408" s="127" t="s">
        <v>26</v>
      </c>
      <c r="C408" s="127" t="s">
        <v>35</v>
      </c>
      <c r="D408" s="127" t="s">
        <v>207</v>
      </c>
      <c r="E408" s="28" t="s">
        <v>1904</v>
      </c>
      <c r="F408" s="28" t="s">
        <v>295</v>
      </c>
      <c r="G408" s="28">
        <v>3</v>
      </c>
      <c r="H408" s="28" t="s">
        <v>1905</v>
      </c>
      <c r="I408" s="28" t="s">
        <v>271</v>
      </c>
      <c r="J408" s="254" t="s">
        <v>1200</v>
      </c>
      <c r="K408" s="129">
        <v>46182.480324074073</v>
      </c>
      <c r="L408" s="129" t="s">
        <v>1906</v>
      </c>
      <c r="M408" s="129" t="s">
        <v>1907</v>
      </c>
      <c r="N408" s="129">
        <v>46185.362303240741</v>
      </c>
      <c r="O408" s="129"/>
      <c r="P408" s="129"/>
      <c r="Q408" s="28" t="s">
        <v>1057</v>
      </c>
      <c r="R408" s="127" t="s">
        <v>267</v>
      </c>
      <c r="S408" s="127" t="s">
        <v>169</v>
      </c>
      <c r="T408" s="127"/>
      <c r="U408" s="127" t="s">
        <v>371</v>
      </c>
      <c r="Z408" s="169">
        <f t="shared" ca="1" si="56"/>
        <v>1.0069791666683161</v>
      </c>
      <c r="AA408" s="170">
        <f t="shared" ca="1" si="57"/>
        <v>2.6852777777821766</v>
      </c>
      <c r="AB408" s="169">
        <f t="shared" ca="1" si="58"/>
        <v>0.92858796296059176</v>
      </c>
      <c r="AC408" s="170">
        <f t="shared" ca="1" si="59"/>
        <v>2.4762345678949114</v>
      </c>
      <c r="AD408" s="169">
        <f t="shared" ca="1" si="60"/>
        <v>0.14961805555261287</v>
      </c>
      <c r="AE408" s="169">
        <f t="shared" ca="1" si="55"/>
        <v>0.92858796296059176</v>
      </c>
      <c r="AF408" s="170">
        <f t="shared" ca="1" si="61"/>
        <v>2.4762345678949114</v>
      </c>
      <c r="AG408" s="170">
        <f t="shared" ca="1" si="62"/>
        <v>2.4762345678949114</v>
      </c>
      <c r="AH408" s="28" t="str" cm="1">
        <f t="array" aca="1" ref="AH408" ca="1">IF((AD408) &lt; (INDEX(ResponseSLA[#All],(MATCH((G408),ResponseSLA[Priority],0))+1,3)),"YES","No")</f>
        <v>No</v>
      </c>
      <c r="AI408" s="28" t="str">
        <f ca="1">_xlfn.IFNA(IF(AE408 &lt; (INDEX(SLATable[Minimum SLA],MATCH(G408,SLATable[Priority],0))),"YES","NO"),"")</f>
        <v>NO</v>
      </c>
      <c r="AJ408" s="28" t="str">
        <f ca="1">_xlfn.IFNA(IF(AE408 &lt; (INDEX(SLATable[Maximum SLA],MATCH(G408,SLATable[Priority],0))),"YES","NO"),"")</f>
        <v>YES</v>
      </c>
    </row>
    <row r="409" spans="2:36" ht="15" customHeight="1">
      <c r="B409" s="127" t="s">
        <v>26</v>
      </c>
      <c r="C409" s="127" t="s">
        <v>35</v>
      </c>
      <c r="D409" s="127" t="s">
        <v>207</v>
      </c>
      <c r="E409" s="28" t="s">
        <v>1908</v>
      </c>
      <c r="F409" s="28" t="s">
        <v>295</v>
      </c>
      <c r="G409" s="28">
        <v>3</v>
      </c>
      <c r="H409" s="28" t="s">
        <v>1210</v>
      </c>
      <c r="I409" s="28" t="s">
        <v>271</v>
      </c>
      <c r="J409" s="254" t="s">
        <v>1200</v>
      </c>
      <c r="K409" s="129">
        <v>46180.093229166669</v>
      </c>
      <c r="L409" s="129" t="s">
        <v>1909</v>
      </c>
      <c r="M409" s="129" t="s">
        <v>1910</v>
      </c>
      <c r="N409" s="129">
        <v>46182.266967592594</v>
      </c>
      <c r="O409" s="129"/>
      <c r="P409" s="129"/>
      <c r="Q409" s="28" t="s">
        <v>1211</v>
      </c>
      <c r="R409" s="127" t="s">
        <v>267</v>
      </c>
      <c r="S409" s="127" t="s">
        <v>149</v>
      </c>
      <c r="T409" s="127"/>
      <c r="U409" s="127" t="s">
        <v>371</v>
      </c>
      <c r="Z409" s="169">
        <f t="shared" ca="1" si="56"/>
        <v>0.37500000000000006</v>
      </c>
      <c r="AA409" s="170">
        <f t="shared" ca="1" si="57"/>
        <v>1.0000000000000002</v>
      </c>
      <c r="AB409" s="169">
        <f t="shared" ca="1" si="58"/>
        <v>0.37500000000000006</v>
      </c>
      <c r="AC409" s="170">
        <f t="shared" ca="1" si="59"/>
        <v>1.0000000000000002</v>
      </c>
      <c r="AD409" s="169">
        <f t="shared" ca="1" si="60"/>
        <v>0</v>
      </c>
      <c r="AE409" s="169">
        <f t="shared" ca="1" si="55"/>
        <v>0.37500000000000006</v>
      </c>
      <c r="AF409" s="170">
        <f t="shared" ca="1" si="61"/>
        <v>1.0000000000000002</v>
      </c>
      <c r="AG409" s="170">
        <f t="shared" ca="1" si="62"/>
        <v>1.0000000000000002</v>
      </c>
      <c r="AH409" s="28" t="str" cm="1">
        <f t="array" aca="1" ref="AH409" ca="1">IF((AD409) &lt; (INDEX(ResponseSLA[#All],(MATCH((G409),ResponseSLA[Priority],0))+1,3)),"YES","No")</f>
        <v>YES</v>
      </c>
      <c r="AI409" s="28" t="str">
        <f ca="1">_xlfn.IFNA(IF(AE409 &lt; (INDEX(SLATable[Minimum SLA],MATCH(G409,SLATable[Priority],0))),"YES","NO"),"")</f>
        <v>NO</v>
      </c>
      <c r="AJ409" s="28" t="str">
        <f ca="1">_xlfn.IFNA(IF(AE409 &lt; (INDEX(SLATable[Maximum SLA],MATCH(G409,SLATable[Priority],0))),"YES","NO"),"")</f>
        <v>YES</v>
      </c>
    </row>
    <row r="410" spans="2:36" ht="15" customHeight="1">
      <c r="B410" s="127" t="s">
        <v>26</v>
      </c>
      <c r="C410" s="127" t="s">
        <v>35</v>
      </c>
      <c r="D410" s="127" t="s">
        <v>207</v>
      </c>
      <c r="E410" s="28" t="s">
        <v>1911</v>
      </c>
      <c r="F410" s="28" t="s">
        <v>295</v>
      </c>
      <c r="G410" s="28">
        <v>3</v>
      </c>
      <c r="H410" s="28" t="s">
        <v>1912</v>
      </c>
      <c r="I410" s="28" t="s">
        <v>271</v>
      </c>
      <c r="J410" s="254" t="s">
        <v>1200</v>
      </c>
      <c r="K410" s="129">
        <v>46195.528865740736</v>
      </c>
      <c r="L410" s="129" t="s">
        <v>1913</v>
      </c>
      <c r="M410" s="129" t="s">
        <v>1914</v>
      </c>
      <c r="N410" s="129">
        <v>46198.429027777784</v>
      </c>
      <c r="O410" s="129"/>
      <c r="P410" s="129"/>
      <c r="Q410" s="28" t="s">
        <v>1211</v>
      </c>
      <c r="R410" s="127" t="s">
        <v>267</v>
      </c>
      <c r="S410" s="127" t="s">
        <v>149</v>
      </c>
      <c r="T410" s="127"/>
      <c r="U410" s="127" t="s">
        <v>371</v>
      </c>
      <c r="Z410" s="169">
        <f t="shared" ca="1" si="56"/>
        <v>1.0251620370472667</v>
      </c>
      <c r="AA410" s="170">
        <f t="shared" ca="1" si="57"/>
        <v>2.7337654321260447</v>
      </c>
      <c r="AB410" s="169">
        <f t="shared" ca="1" si="58"/>
        <v>1.0250000000087314</v>
      </c>
      <c r="AC410" s="170">
        <f t="shared" ca="1" si="59"/>
        <v>2.733333333356617</v>
      </c>
      <c r="AD410" s="169">
        <f t="shared" ca="1" si="60"/>
        <v>0.36726851852290565</v>
      </c>
      <c r="AE410" s="169">
        <f t="shared" ca="1" si="55"/>
        <v>1.0250000000087314</v>
      </c>
      <c r="AF410" s="170">
        <f t="shared" ca="1" si="61"/>
        <v>2.733333333356617</v>
      </c>
      <c r="AG410" s="170">
        <f t="shared" ca="1" si="62"/>
        <v>2.733333333356617</v>
      </c>
      <c r="AH410" s="28" t="str" cm="1">
        <f t="array" aca="1" ref="AH410" ca="1">IF((AD410) &lt; (INDEX(ResponseSLA[#All],(MATCH((G410),ResponseSLA[Priority],0))+1,3)),"YES","No")</f>
        <v>No</v>
      </c>
      <c r="AI410" s="28" t="str">
        <f ca="1">_xlfn.IFNA(IF(AE410 &lt; (INDEX(SLATable[Minimum SLA],MATCH(G410,SLATable[Priority],0))),"YES","NO"),"")</f>
        <v>NO</v>
      </c>
      <c r="AJ410" s="28" t="str">
        <f ca="1">_xlfn.IFNA(IF(AE410 &lt; (INDEX(SLATable[Maximum SLA],MATCH(G410,SLATable[Priority],0))),"YES","NO"),"")</f>
        <v>YES</v>
      </c>
    </row>
    <row r="411" spans="2:36" ht="15" customHeight="1">
      <c r="B411" s="127" t="s">
        <v>26</v>
      </c>
      <c r="C411" s="127" t="s">
        <v>35</v>
      </c>
      <c r="D411" s="127" t="s">
        <v>207</v>
      </c>
      <c r="E411" s="28" t="s">
        <v>1915</v>
      </c>
      <c r="F411" s="28" t="s">
        <v>295</v>
      </c>
      <c r="G411" s="28">
        <v>3</v>
      </c>
      <c r="H411" s="28" t="s">
        <v>1210</v>
      </c>
      <c r="I411" s="28" t="s">
        <v>271</v>
      </c>
      <c r="J411" s="254" t="s">
        <v>1200</v>
      </c>
      <c r="K411" s="129">
        <v>46188.091967592591</v>
      </c>
      <c r="L411" s="129" t="s">
        <v>1916</v>
      </c>
      <c r="M411" s="129" t="s">
        <v>1917</v>
      </c>
      <c r="N411" s="129">
        <v>46190.453865740739</v>
      </c>
      <c r="O411" s="129"/>
      <c r="P411" s="129"/>
      <c r="Q411" s="28" t="s">
        <v>1211</v>
      </c>
      <c r="R411" s="127" t="s">
        <v>267</v>
      </c>
      <c r="S411" s="127" t="s">
        <v>149</v>
      </c>
      <c r="T411" s="127"/>
      <c r="U411" s="127" t="s">
        <v>371</v>
      </c>
      <c r="Z411" s="169">
        <f t="shared" ca="1" si="56"/>
        <v>0.87053240740594151</v>
      </c>
      <c r="AA411" s="170">
        <f t="shared" ca="1" si="57"/>
        <v>2.3214197530825107</v>
      </c>
      <c r="AB411" s="169">
        <f t="shared" ca="1" si="58"/>
        <v>0.87053240740594151</v>
      </c>
      <c r="AC411" s="170">
        <f t="shared" ca="1" si="59"/>
        <v>2.3214197530825107</v>
      </c>
      <c r="AD411" s="169">
        <f t="shared" ca="1" si="60"/>
        <v>0</v>
      </c>
      <c r="AE411" s="169">
        <f t="shared" ca="1" si="55"/>
        <v>0.87053240740594151</v>
      </c>
      <c r="AF411" s="170">
        <f t="shared" ca="1" si="61"/>
        <v>2.3214197530825107</v>
      </c>
      <c r="AG411" s="170">
        <f t="shared" ca="1" si="62"/>
        <v>2.3214197530825107</v>
      </c>
      <c r="AH411" s="28" t="str" cm="1">
        <f t="array" aca="1" ref="AH411" ca="1">IF((AD411) &lt; (INDEX(ResponseSLA[#All],(MATCH((G411),ResponseSLA[Priority],0))+1,3)),"YES","No")</f>
        <v>YES</v>
      </c>
      <c r="AI411" s="28" t="str">
        <f ca="1">_xlfn.IFNA(IF(AE411 &lt; (INDEX(SLATable[Minimum SLA],MATCH(G411,SLATable[Priority],0))),"YES","NO"),"")</f>
        <v>NO</v>
      </c>
      <c r="AJ411" s="28" t="str">
        <f ca="1">_xlfn.IFNA(IF(AE411 &lt; (INDEX(SLATable[Maximum SLA],MATCH(G411,SLATable[Priority],0))),"YES","NO"),"")</f>
        <v>YES</v>
      </c>
    </row>
    <row r="412" spans="2:36" ht="15" customHeight="1">
      <c r="B412" s="127" t="s">
        <v>26</v>
      </c>
      <c r="C412" s="127" t="s">
        <v>35</v>
      </c>
      <c r="D412" s="127" t="s">
        <v>207</v>
      </c>
      <c r="E412" s="28" t="s">
        <v>1918</v>
      </c>
      <c r="F412" s="28" t="s">
        <v>295</v>
      </c>
      <c r="G412" s="28">
        <v>3</v>
      </c>
      <c r="H412" s="28" t="s">
        <v>1210</v>
      </c>
      <c r="I412" s="28" t="s">
        <v>271</v>
      </c>
      <c r="J412" s="254" t="s">
        <v>1200</v>
      </c>
      <c r="K412" s="129">
        <v>46182.092824074083</v>
      </c>
      <c r="L412" s="129" t="s">
        <v>1919</v>
      </c>
      <c r="M412" s="129" t="s">
        <v>1920</v>
      </c>
      <c r="N412" s="129">
        <v>46182.442210648151</v>
      </c>
      <c r="O412" s="129"/>
      <c r="P412" s="129"/>
      <c r="Q412" s="28" t="s">
        <v>1211</v>
      </c>
      <c r="R412" s="127" t="s">
        <v>267</v>
      </c>
      <c r="S412" s="127" t="s">
        <v>149</v>
      </c>
      <c r="T412" s="127"/>
      <c r="U412" s="127" t="s">
        <v>371</v>
      </c>
      <c r="Z412" s="169">
        <f t="shared" ca="1" si="56"/>
        <v>0.10887731481731561</v>
      </c>
      <c r="AA412" s="170">
        <f t="shared" ca="1" si="57"/>
        <v>0.29033950617950827</v>
      </c>
      <c r="AB412" s="169">
        <f t="shared" ca="1" si="58"/>
        <v>0.10887731481731561</v>
      </c>
      <c r="AC412" s="170">
        <f t="shared" ca="1" si="59"/>
        <v>0.29033950617950827</v>
      </c>
      <c r="AD412" s="169">
        <f t="shared" ca="1" si="60"/>
        <v>0</v>
      </c>
      <c r="AE412" s="169">
        <f t="shared" ca="1" si="55"/>
        <v>0.10887731481731561</v>
      </c>
      <c r="AF412" s="170">
        <f t="shared" ca="1" si="61"/>
        <v>0.29033950617950827</v>
      </c>
      <c r="AG412" s="170">
        <f t="shared" ca="1" si="62"/>
        <v>0.29033950617950827</v>
      </c>
      <c r="AH412" s="28" t="str" cm="1">
        <f t="array" aca="1" ref="AH412" ca="1">IF((AD412) &lt; (INDEX(ResponseSLA[#All],(MATCH((G412),ResponseSLA[Priority],0))+1,3)),"YES","No")</f>
        <v>YES</v>
      </c>
      <c r="AI412" s="28" t="str">
        <f ca="1">_xlfn.IFNA(IF(AE412 &lt; (INDEX(SLATable[Minimum SLA],MATCH(G412,SLATable[Priority],0))),"YES","NO"),"")</f>
        <v>YES</v>
      </c>
      <c r="AJ412" s="28" t="str">
        <f ca="1">_xlfn.IFNA(IF(AE412 &lt; (INDEX(SLATable[Maximum SLA],MATCH(G412,SLATable[Priority],0))),"YES","NO"),"")</f>
        <v>YES</v>
      </c>
    </row>
    <row r="413" spans="2:36" ht="15" customHeight="1">
      <c r="B413" s="127" t="s">
        <v>26</v>
      </c>
      <c r="C413" s="127" t="s">
        <v>35</v>
      </c>
      <c r="D413" s="127" t="s">
        <v>207</v>
      </c>
      <c r="E413" s="28" t="s">
        <v>1921</v>
      </c>
      <c r="F413" s="28" t="s">
        <v>295</v>
      </c>
      <c r="G413" s="28">
        <v>4</v>
      </c>
      <c r="H413" s="28" t="s">
        <v>1922</v>
      </c>
      <c r="I413" s="28" t="s">
        <v>271</v>
      </c>
      <c r="J413" s="254" t="s">
        <v>1200</v>
      </c>
      <c r="K413" s="129">
        <v>46188.744803240741</v>
      </c>
      <c r="L413" s="129" t="s">
        <v>1923</v>
      </c>
      <c r="M413" s="129" t="s">
        <v>1924</v>
      </c>
      <c r="N413" s="129">
        <v>46190.454629629632</v>
      </c>
      <c r="O413" s="129"/>
      <c r="P413" s="129"/>
      <c r="Q413" s="28" t="s">
        <v>1211</v>
      </c>
      <c r="R413" s="127" t="s">
        <v>267</v>
      </c>
      <c r="S413" s="127" t="s">
        <v>149</v>
      </c>
      <c r="T413" s="127"/>
      <c r="U413" s="127" t="s">
        <v>371</v>
      </c>
      <c r="Z413" s="169">
        <f t="shared" ca="1" si="56"/>
        <v>0.49629629629877547</v>
      </c>
      <c r="AA413" s="170">
        <f t="shared" ca="1" si="57"/>
        <v>1.323456790130068</v>
      </c>
      <c r="AB413" s="169">
        <f t="shared" ca="1" si="58"/>
        <v>0.49629629629877547</v>
      </c>
      <c r="AC413" s="170">
        <f t="shared" ca="1" si="59"/>
        <v>1.323456790130068</v>
      </c>
      <c r="AD413" s="169">
        <f t="shared" ca="1" si="60"/>
        <v>0</v>
      </c>
      <c r="AE413" s="169">
        <f t="shared" ca="1" si="55"/>
        <v>0.49629629629877547</v>
      </c>
      <c r="AF413" s="170">
        <f t="shared" ca="1" si="61"/>
        <v>1.323456790130068</v>
      </c>
      <c r="AG413" s="170">
        <f t="shared" ca="1" si="62"/>
        <v>1.323456790130068</v>
      </c>
      <c r="AH413" s="28" t="str" cm="1">
        <f t="array" aca="1" ref="AH413" ca="1">IF((AD413) &lt; (INDEX(ResponseSLA[#All],(MATCH((G413),ResponseSLA[Priority],0))+1,3)),"YES","No")</f>
        <v>YES</v>
      </c>
      <c r="AI413" s="28" t="str">
        <f ca="1">_xlfn.IFNA(IF(AE413 &lt; (INDEX(SLATable[Minimum SLA],MATCH(G413,SLATable[Priority],0))),"YES","NO"),"")</f>
        <v>YES</v>
      </c>
      <c r="AJ413" s="28" t="str">
        <f ca="1">_xlfn.IFNA(IF(AE413 &lt; (INDEX(SLATable[Maximum SLA],MATCH(G413,SLATable[Priority],0))),"YES","NO"),"")</f>
        <v>YES</v>
      </c>
    </row>
    <row r="414" spans="2:36" ht="15" customHeight="1">
      <c r="B414" s="127" t="s">
        <v>26</v>
      </c>
      <c r="C414" s="127" t="s">
        <v>35</v>
      </c>
      <c r="D414" s="127" t="s">
        <v>207</v>
      </c>
      <c r="E414" s="28" t="s">
        <v>1925</v>
      </c>
      <c r="F414" s="28" t="s">
        <v>295</v>
      </c>
      <c r="G414" s="28">
        <v>4</v>
      </c>
      <c r="H414" s="28" t="s">
        <v>1926</v>
      </c>
      <c r="I414" s="28" t="s">
        <v>271</v>
      </c>
      <c r="J414" s="254" t="s">
        <v>1200</v>
      </c>
      <c r="K414" s="129">
        <v>46185.206296296303</v>
      </c>
      <c r="L414" s="129" t="s">
        <v>1927</v>
      </c>
      <c r="M414" s="129" t="s">
        <v>1928</v>
      </c>
      <c r="N414" s="129">
        <v>46189.478333333333</v>
      </c>
      <c r="O414" s="129"/>
      <c r="P414" s="129"/>
      <c r="Q414" s="28" t="s">
        <v>1203</v>
      </c>
      <c r="R414" s="127" t="s">
        <v>267</v>
      </c>
      <c r="S414" s="127" t="s">
        <v>149</v>
      </c>
      <c r="T414" s="127"/>
      <c r="U414" s="127" t="s">
        <v>371</v>
      </c>
      <c r="Z414" s="169">
        <f t="shared" ca="1" si="56"/>
        <v>0.89499999999922397</v>
      </c>
      <c r="AA414" s="170">
        <f t="shared" ca="1" si="57"/>
        <v>2.3866666666645973</v>
      </c>
      <c r="AB414" s="169">
        <f t="shared" ca="1" si="58"/>
        <v>0.89499999999922397</v>
      </c>
      <c r="AC414" s="170">
        <f t="shared" ca="1" si="59"/>
        <v>2.3866666666645973</v>
      </c>
      <c r="AD414" s="169">
        <f t="shared" ca="1" si="60"/>
        <v>0</v>
      </c>
      <c r="AE414" s="169">
        <f t="shared" ca="1" si="55"/>
        <v>0.89499999999922397</v>
      </c>
      <c r="AF414" s="170">
        <f t="shared" ca="1" si="61"/>
        <v>2.3866666666645973</v>
      </c>
      <c r="AG414" s="170">
        <f t="shared" ca="1" si="62"/>
        <v>2.3866666666645973</v>
      </c>
      <c r="AH414" s="28" t="str" cm="1">
        <f t="array" aca="1" ref="AH414" ca="1">IF((AD414) &lt; (INDEX(ResponseSLA[#All],(MATCH((G414),ResponseSLA[Priority],0))+1,3)),"YES","No")</f>
        <v>YES</v>
      </c>
      <c r="AI414" s="28" t="str">
        <f ca="1">_xlfn.IFNA(IF(AE414 &lt; (INDEX(SLATable[Minimum SLA],MATCH(G414,SLATable[Priority],0))),"YES","NO"),"")</f>
        <v>YES</v>
      </c>
      <c r="AJ414" s="28" t="str">
        <f ca="1">_xlfn.IFNA(IF(AE414 &lt; (INDEX(SLATable[Maximum SLA],MATCH(G414,SLATable[Priority],0))),"YES","NO"),"")</f>
        <v>YES</v>
      </c>
    </row>
    <row r="415" spans="2:36" ht="15" customHeight="1">
      <c r="B415" s="127" t="s">
        <v>26</v>
      </c>
      <c r="C415" s="127" t="s">
        <v>35</v>
      </c>
      <c r="D415" s="127" t="s">
        <v>207</v>
      </c>
      <c r="E415" s="28" t="s">
        <v>1929</v>
      </c>
      <c r="F415" s="28" t="s">
        <v>295</v>
      </c>
      <c r="G415" s="28">
        <v>4</v>
      </c>
      <c r="H415" s="28" t="s">
        <v>1930</v>
      </c>
      <c r="I415" s="28" t="s">
        <v>271</v>
      </c>
      <c r="J415" s="254" t="s">
        <v>1200</v>
      </c>
      <c r="K415" s="129">
        <v>46181.570868055547</v>
      </c>
      <c r="L415" s="129" t="s">
        <v>1931</v>
      </c>
      <c r="M415" s="129">
        <v>46182.311805555553</v>
      </c>
      <c r="N415" s="129">
        <v>46182.440995370373</v>
      </c>
      <c r="O415" s="129"/>
      <c r="P415" s="129"/>
      <c r="Q415" s="28" t="s">
        <v>1203</v>
      </c>
      <c r="R415" s="127" t="s">
        <v>267</v>
      </c>
      <c r="S415" s="127" t="s">
        <v>149</v>
      </c>
      <c r="T415" s="127"/>
      <c r="U415" s="127" t="s">
        <v>371</v>
      </c>
      <c r="Z415" s="169">
        <f t="shared" ca="1" si="56"/>
        <v>0.24512731482536765</v>
      </c>
      <c r="AA415" s="170">
        <f t="shared" ca="1" si="57"/>
        <v>0.65367283953431377</v>
      </c>
      <c r="AB415" s="169">
        <f t="shared" ca="1" si="58"/>
        <v>0.24456018518685596</v>
      </c>
      <c r="AC415" s="170">
        <f t="shared" ca="1" si="59"/>
        <v>0.6521604938316159</v>
      </c>
      <c r="AD415" s="169">
        <f t="shared" ca="1" si="60"/>
        <v>0.13689814814764156</v>
      </c>
      <c r="AE415" s="169">
        <f t="shared" ca="1" si="55"/>
        <v>0.24456018518685596</v>
      </c>
      <c r="AF415" s="170">
        <f t="shared" ca="1" si="61"/>
        <v>0.6521604938316159</v>
      </c>
      <c r="AG415" s="170">
        <f t="shared" ca="1" si="62"/>
        <v>0.6521604938316159</v>
      </c>
      <c r="AH415" s="28" t="str" cm="1">
        <f t="array" aca="1" ref="AH415" ca="1">IF((AD415) &lt; (INDEX(ResponseSLA[#All],(MATCH((G415),ResponseSLA[Priority],0))+1,3)),"YES","No")</f>
        <v>No</v>
      </c>
      <c r="AI415" s="28" t="str">
        <f ca="1">_xlfn.IFNA(IF(AE415 &lt; (INDEX(SLATable[Minimum SLA],MATCH(G415,SLATable[Priority],0))),"YES","NO"),"")</f>
        <v>YES</v>
      </c>
      <c r="AJ415" s="28" t="str">
        <f ca="1">_xlfn.IFNA(IF(AE415 &lt; (INDEX(SLATable[Maximum SLA],MATCH(G415,SLATable[Priority],0))),"YES","NO"),"")</f>
        <v>YES</v>
      </c>
    </row>
    <row r="416" spans="2:36" ht="15" customHeight="1">
      <c r="B416" s="127" t="s">
        <v>26</v>
      </c>
      <c r="C416" s="127" t="s">
        <v>35</v>
      </c>
      <c r="D416" s="127" t="s">
        <v>207</v>
      </c>
      <c r="E416" s="28" t="s">
        <v>1932</v>
      </c>
      <c r="F416" s="28" t="s">
        <v>295</v>
      </c>
      <c r="G416" s="28">
        <v>4</v>
      </c>
      <c r="H416" s="28" t="s">
        <v>1933</v>
      </c>
      <c r="I416" s="28" t="s">
        <v>271</v>
      </c>
      <c r="J416" s="254" t="s">
        <v>1200</v>
      </c>
      <c r="K416" s="129">
        <v>46182.715405092589</v>
      </c>
      <c r="L416" s="129" t="s">
        <v>1934</v>
      </c>
      <c r="M416" s="129" t="s">
        <v>1935</v>
      </c>
      <c r="N416" s="129">
        <v>46184.453553240739</v>
      </c>
      <c r="O416" s="129"/>
      <c r="P416" s="129"/>
      <c r="Q416" s="28" t="s">
        <v>1203</v>
      </c>
      <c r="R416" s="127" t="s">
        <v>267</v>
      </c>
      <c r="S416" s="127" t="s">
        <v>149</v>
      </c>
      <c r="T416" s="127"/>
      <c r="U416" s="127" t="s">
        <v>371</v>
      </c>
      <c r="Z416" s="169">
        <f t="shared" ca="1" si="56"/>
        <v>0.49521990740565036</v>
      </c>
      <c r="AA416" s="170">
        <f t="shared" ca="1" si="57"/>
        <v>1.320586419748401</v>
      </c>
      <c r="AB416" s="169">
        <f t="shared" ca="1" si="58"/>
        <v>0.49521990740565036</v>
      </c>
      <c r="AC416" s="170">
        <f t="shared" ca="1" si="59"/>
        <v>1.320586419748401</v>
      </c>
      <c r="AD416" s="169">
        <f t="shared" ca="1" si="60"/>
        <v>0</v>
      </c>
      <c r="AE416" s="169">
        <f t="shared" ca="1" si="55"/>
        <v>0.49521990740565036</v>
      </c>
      <c r="AF416" s="170">
        <f t="shared" ca="1" si="61"/>
        <v>1.320586419748401</v>
      </c>
      <c r="AG416" s="170">
        <f t="shared" ca="1" si="62"/>
        <v>1.320586419748401</v>
      </c>
      <c r="AH416" s="28" t="str" cm="1">
        <f t="array" aca="1" ref="AH416" ca="1">IF((AD416) &lt; (INDEX(ResponseSLA[#All],(MATCH((G416),ResponseSLA[Priority],0))+1,3)),"YES","No")</f>
        <v>YES</v>
      </c>
      <c r="AI416" s="28" t="str">
        <f ca="1">_xlfn.IFNA(IF(AE416 &lt; (INDEX(SLATable[Minimum SLA],MATCH(G416,SLATable[Priority],0))),"YES","NO"),"")</f>
        <v>YES</v>
      </c>
      <c r="AJ416" s="28" t="str">
        <f ca="1">_xlfn.IFNA(IF(AE416 &lt; (INDEX(SLATable[Maximum SLA],MATCH(G416,SLATable[Priority],0))),"YES","NO"),"")</f>
        <v>YES</v>
      </c>
    </row>
    <row r="417" spans="2:36" ht="15" customHeight="1">
      <c r="B417" s="127" t="s">
        <v>26</v>
      </c>
      <c r="C417" s="127" t="s">
        <v>35</v>
      </c>
      <c r="D417" s="127" t="s">
        <v>207</v>
      </c>
      <c r="E417" s="28" t="s">
        <v>1936</v>
      </c>
      <c r="F417" s="28" t="s">
        <v>295</v>
      </c>
      <c r="G417" s="28">
        <v>3</v>
      </c>
      <c r="H417" s="28" t="s">
        <v>1937</v>
      </c>
      <c r="I417" s="28" t="s">
        <v>271</v>
      </c>
      <c r="J417" s="254" t="s">
        <v>1200</v>
      </c>
      <c r="K417" s="129">
        <v>46178.039375</v>
      </c>
      <c r="L417" s="129" t="s">
        <v>1938</v>
      </c>
      <c r="M417" s="129" t="s">
        <v>1939</v>
      </c>
      <c r="N417" s="129">
        <v>46189.435601851852</v>
      </c>
      <c r="O417" s="129" t="s">
        <v>1940</v>
      </c>
      <c r="P417" s="129" t="s">
        <v>1941</v>
      </c>
      <c r="Q417" s="28" t="s">
        <v>1203</v>
      </c>
      <c r="R417" s="127" t="s">
        <v>267</v>
      </c>
      <c r="S417" s="127" t="s">
        <v>149</v>
      </c>
      <c r="T417" s="127"/>
      <c r="U417" s="127" t="s">
        <v>371</v>
      </c>
      <c r="Z417" s="169">
        <f t="shared" ca="1" si="56"/>
        <v>0.375</v>
      </c>
      <c r="AA417" s="170">
        <f t="shared" ca="1" si="57"/>
        <v>1</v>
      </c>
      <c r="AB417" s="169">
        <f t="shared" ca="1" si="58"/>
        <v>0.375</v>
      </c>
      <c r="AC417" s="170">
        <f t="shared" ca="1" si="59"/>
        <v>1</v>
      </c>
      <c r="AD417" s="169">
        <f t="shared" ca="1" si="60"/>
        <v>6.3333333334109454E-2</v>
      </c>
      <c r="AE417" s="169">
        <f t="shared" ca="1" si="55"/>
        <v>0.85128472222519713</v>
      </c>
      <c r="AF417" s="170">
        <f t="shared" ca="1" si="61"/>
        <v>2.2700925926005255</v>
      </c>
      <c r="AG417" s="170">
        <f t="shared" ca="1" si="62"/>
        <v>2.2700925926005255</v>
      </c>
      <c r="AH417" s="28" t="str" cm="1">
        <f t="array" aca="1" ref="AH417" ca="1">IF((AD417) &lt; (INDEX(ResponseSLA[#All],(MATCH((G417),ResponseSLA[Priority],0))+1,3)),"YES","No")</f>
        <v>YES</v>
      </c>
      <c r="AI417" s="28" t="str">
        <f ca="1">_xlfn.IFNA(IF(AE417 &lt; (INDEX(SLATable[Minimum SLA],MATCH(G417,SLATable[Priority],0))),"YES","NO"),"")</f>
        <v>NO</v>
      </c>
      <c r="AJ417" s="28" t="str">
        <f ca="1">_xlfn.IFNA(IF(AE417 &lt; (INDEX(SLATable[Maximum SLA],MATCH(G417,SLATable[Priority],0))),"YES","NO"),"")</f>
        <v>YES</v>
      </c>
    </row>
    <row r="418" spans="2:36" ht="15" customHeight="1">
      <c r="B418" s="127" t="s">
        <v>26</v>
      </c>
      <c r="C418" s="127" t="s">
        <v>35</v>
      </c>
      <c r="D418" s="127" t="s">
        <v>207</v>
      </c>
      <c r="E418" s="28" t="s">
        <v>1942</v>
      </c>
      <c r="F418" s="28" t="s">
        <v>295</v>
      </c>
      <c r="G418" s="28">
        <v>3</v>
      </c>
      <c r="H418" s="28" t="s">
        <v>1943</v>
      </c>
      <c r="I418" s="28" t="s">
        <v>271</v>
      </c>
      <c r="J418" s="254" t="s">
        <v>1200</v>
      </c>
      <c r="K418" s="129">
        <v>46174.784594907411</v>
      </c>
      <c r="L418" s="129" t="s">
        <v>1944</v>
      </c>
      <c r="M418" s="129" t="s">
        <v>1945</v>
      </c>
      <c r="N418" s="129">
        <v>46175.449652777781</v>
      </c>
      <c r="O418" s="129"/>
      <c r="P418" s="129"/>
      <c r="Q418" s="28" t="s">
        <v>1203</v>
      </c>
      <c r="R418" s="127" t="s">
        <v>267</v>
      </c>
      <c r="S418" s="127" t="s">
        <v>149</v>
      </c>
      <c r="T418" s="127"/>
      <c r="U418" s="127" t="s">
        <v>371</v>
      </c>
      <c r="Z418" s="169">
        <f t="shared" ca="1" si="56"/>
        <v>0.11631944444767817</v>
      </c>
      <c r="AA418" s="170">
        <f t="shared" ca="1" si="57"/>
        <v>0.31018518519380844</v>
      </c>
      <c r="AB418" s="169">
        <f t="shared" ca="1" si="58"/>
        <v>0.11631944444767817</v>
      </c>
      <c r="AC418" s="170">
        <f t="shared" ca="1" si="59"/>
        <v>0.31018518519380844</v>
      </c>
      <c r="AD418" s="169">
        <f t="shared" ca="1" si="60"/>
        <v>9.7430555552515785E-2</v>
      </c>
      <c r="AE418" s="169">
        <f t="shared" ca="1" si="55"/>
        <v>0.11631944444767817</v>
      </c>
      <c r="AF418" s="170">
        <f t="shared" ca="1" si="61"/>
        <v>0.31018518519380844</v>
      </c>
      <c r="AG418" s="170">
        <f t="shared" ca="1" si="62"/>
        <v>0.31018518519380844</v>
      </c>
      <c r="AH418" s="28" t="str" cm="1">
        <f t="array" aca="1" ref="AH418" ca="1">IF((AD418) &lt; (INDEX(ResponseSLA[#All],(MATCH((G418),ResponseSLA[Priority],0))+1,3)),"YES","No")</f>
        <v>No</v>
      </c>
      <c r="AI418" s="28" t="str">
        <f ca="1">_xlfn.IFNA(IF(AE418 &lt; (INDEX(SLATable[Minimum SLA],MATCH(G418,SLATable[Priority],0))),"YES","NO"),"")</f>
        <v>YES</v>
      </c>
      <c r="AJ418" s="28" t="str">
        <f ca="1">_xlfn.IFNA(IF(AE418 &lt; (INDEX(SLATable[Maximum SLA],MATCH(G418,SLATable[Priority],0))),"YES","NO"),"")</f>
        <v>YES</v>
      </c>
    </row>
    <row r="419" spans="2:36" ht="15" customHeight="1">
      <c r="B419" s="127" t="s">
        <v>26</v>
      </c>
      <c r="C419" s="127" t="s">
        <v>35</v>
      </c>
      <c r="D419" s="127" t="s">
        <v>207</v>
      </c>
      <c r="E419" s="28" t="s">
        <v>1946</v>
      </c>
      <c r="F419" s="28" t="s">
        <v>289</v>
      </c>
      <c r="G419" s="28">
        <v>3</v>
      </c>
      <c r="H419" s="28" t="s">
        <v>1947</v>
      </c>
      <c r="I419" s="28" t="s">
        <v>271</v>
      </c>
      <c r="J419" s="254" t="s">
        <v>1200</v>
      </c>
      <c r="K419" s="129">
        <v>46191.171527777777</v>
      </c>
      <c r="L419" s="129" t="s">
        <v>1948</v>
      </c>
      <c r="M419" s="129" t="s">
        <v>1949</v>
      </c>
      <c r="N419" s="129">
        <v>46196.417002314818</v>
      </c>
      <c r="O419" s="129"/>
      <c r="P419" s="129"/>
      <c r="Q419" s="28" t="s">
        <v>1065</v>
      </c>
      <c r="R419" s="127" t="s">
        <v>267</v>
      </c>
      <c r="S419" s="127" t="s">
        <v>149</v>
      </c>
      <c r="T419" s="127"/>
      <c r="U419" s="127" t="s">
        <v>371</v>
      </c>
      <c r="Z419" s="169">
        <f t="shared" ca="1" si="56"/>
        <v>1.2086689814847587</v>
      </c>
      <c r="AA419" s="170">
        <f t="shared" ca="1" si="57"/>
        <v>3.2231172839593563</v>
      </c>
      <c r="AB419" s="169">
        <f t="shared" ca="1" si="58"/>
        <v>1.2086689814847587</v>
      </c>
      <c r="AC419" s="170">
        <f t="shared" ca="1" si="59"/>
        <v>3.2231172839593563</v>
      </c>
      <c r="AD419" s="169">
        <f t="shared" ca="1" si="60"/>
        <v>0.75000000000000022</v>
      </c>
      <c r="AE419" s="169">
        <f t="shared" ca="1" si="55"/>
        <v>1.2086689814847587</v>
      </c>
      <c r="AF419" s="170">
        <f t="shared" ca="1" si="61"/>
        <v>3.2231172839593563</v>
      </c>
      <c r="AG419" s="170">
        <f t="shared" ca="1" si="62"/>
        <v>3.2231172839593563</v>
      </c>
      <c r="AH419" s="28" t="str" cm="1">
        <f t="array" aca="1" ref="AH419" ca="1">IF((AD419) &lt; (INDEX(ResponseSLA[#All],(MATCH((G419),ResponseSLA[Priority],0))+1,3)),"YES","No")</f>
        <v>No</v>
      </c>
      <c r="AI419" s="28" t="str">
        <f ca="1">_xlfn.IFNA(IF(AE419 &lt; (INDEX(SLATable[Minimum SLA],MATCH(G419,SLATable[Priority],0))),"YES","NO"),"")</f>
        <v>NO</v>
      </c>
      <c r="AJ419" s="28" t="str">
        <f ca="1">_xlfn.IFNA(IF(AE419 &lt; (INDEX(SLATable[Maximum SLA],MATCH(G419,SLATable[Priority],0))),"YES","NO"),"")</f>
        <v>YES</v>
      </c>
    </row>
    <row r="420" spans="2:36" ht="15" customHeight="1">
      <c r="B420" s="127" t="s">
        <v>26</v>
      </c>
      <c r="C420" s="127" t="s">
        <v>35</v>
      </c>
      <c r="D420" s="127" t="s">
        <v>207</v>
      </c>
      <c r="E420" s="28" t="s">
        <v>1950</v>
      </c>
      <c r="F420" s="28" t="s">
        <v>289</v>
      </c>
      <c r="G420" s="28">
        <v>4</v>
      </c>
      <c r="H420" s="28" t="s">
        <v>1951</v>
      </c>
      <c r="I420" s="28" t="s">
        <v>271</v>
      </c>
      <c r="J420" s="254" t="s">
        <v>1200</v>
      </c>
      <c r="K420" s="129">
        <v>46185.054560185177</v>
      </c>
      <c r="L420" s="129" t="s">
        <v>1952</v>
      </c>
      <c r="M420" s="129" t="s">
        <v>1953</v>
      </c>
      <c r="N420" s="129">
        <v>46188.268310185187</v>
      </c>
      <c r="O420" s="129"/>
      <c r="P420" s="129"/>
      <c r="Q420" s="28" t="s">
        <v>1065</v>
      </c>
      <c r="R420" s="127" t="s">
        <v>267</v>
      </c>
      <c r="S420" s="127" t="s">
        <v>149</v>
      </c>
      <c r="T420" s="127"/>
      <c r="U420" s="127" t="s">
        <v>371</v>
      </c>
      <c r="Z420" s="169">
        <f t="shared" ca="1" si="56"/>
        <v>0.37500000000000006</v>
      </c>
      <c r="AA420" s="170">
        <f t="shared" ca="1" si="57"/>
        <v>1.0000000000000002</v>
      </c>
      <c r="AB420" s="169">
        <f t="shared" ca="1" si="58"/>
        <v>0.37500000000000006</v>
      </c>
      <c r="AC420" s="170">
        <f t="shared" ca="1" si="59"/>
        <v>1.0000000000000002</v>
      </c>
      <c r="AD420" s="169">
        <f t="shared" ca="1" si="60"/>
        <v>0</v>
      </c>
      <c r="AE420" s="169">
        <f t="shared" ca="1" si="55"/>
        <v>0.37500000000000006</v>
      </c>
      <c r="AF420" s="170">
        <f t="shared" ca="1" si="61"/>
        <v>1.0000000000000002</v>
      </c>
      <c r="AG420" s="170">
        <f t="shared" ca="1" si="62"/>
        <v>1.0000000000000002</v>
      </c>
      <c r="AH420" s="28" t="str" cm="1">
        <f t="array" aca="1" ref="AH420" ca="1">IF((AD420) &lt; (INDEX(ResponseSLA[#All],(MATCH((G420),ResponseSLA[Priority],0))+1,3)),"YES","No")</f>
        <v>YES</v>
      </c>
      <c r="AI420" s="28" t="str">
        <f ca="1">_xlfn.IFNA(IF(AE420 &lt; (INDEX(SLATable[Minimum SLA],MATCH(G420,SLATable[Priority],0))),"YES","NO"),"")</f>
        <v>YES</v>
      </c>
      <c r="AJ420" s="28" t="str">
        <f ca="1">_xlfn.IFNA(IF(AE420 &lt; (INDEX(SLATable[Maximum SLA],MATCH(G420,SLATable[Priority],0))),"YES","NO"),"")</f>
        <v>YES</v>
      </c>
    </row>
    <row r="421" spans="2:36" ht="15" customHeight="1">
      <c r="B421" s="127" t="s">
        <v>26</v>
      </c>
      <c r="C421" s="127" t="s">
        <v>35</v>
      </c>
      <c r="D421" s="127" t="s">
        <v>207</v>
      </c>
      <c r="E421" s="28" t="s">
        <v>1954</v>
      </c>
      <c r="F421" s="28" t="s">
        <v>292</v>
      </c>
      <c r="G421" s="28">
        <v>4</v>
      </c>
      <c r="H421" s="28" t="s">
        <v>1955</v>
      </c>
      <c r="I421" s="28" t="s">
        <v>271</v>
      </c>
      <c r="J421" s="254" t="s">
        <v>1200</v>
      </c>
      <c r="K421" s="129">
        <v>46191.070509259262</v>
      </c>
      <c r="L421" s="129" t="s">
        <v>1956</v>
      </c>
      <c r="M421" s="129" t="s">
        <v>1957</v>
      </c>
      <c r="N421" s="129">
        <v>46196.421712962961</v>
      </c>
      <c r="O421" s="129"/>
      <c r="P421" s="129"/>
      <c r="Q421" s="28" t="s">
        <v>1073</v>
      </c>
      <c r="R421" s="127" t="s">
        <v>267</v>
      </c>
      <c r="S421" s="127" t="s">
        <v>149</v>
      </c>
      <c r="T421" s="127"/>
      <c r="U421" s="127" t="s">
        <v>371</v>
      </c>
      <c r="Z421" s="169">
        <f t="shared" ca="1" si="56"/>
        <v>1.2133796296281316</v>
      </c>
      <c r="AA421" s="170">
        <f t="shared" ca="1" si="57"/>
        <v>3.2356790123416843</v>
      </c>
      <c r="AB421" s="169">
        <f t="shared" ca="1" si="58"/>
        <v>1.2133796296281316</v>
      </c>
      <c r="AC421" s="170">
        <f t="shared" ca="1" si="59"/>
        <v>3.2356790123416843</v>
      </c>
      <c r="AD421" s="169">
        <f t="shared" ca="1" si="60"/>
        <v>0</v>
      </c>
      <c r="AE421" s="169">
        <f t="shared" ca="1" si="55"/>
        <v>1.2133796296281316</v>
      </c>
      <c r="AF421" s="170">
        <f t="shared" ca="1" si="61"/>
        <v>3.2356790123416843</v>
      </c>
      <c r="AG421" s="170">
        <f t="shared" ca="1" si="62"/>
        <v>3.2356790123416843</v>
      </c>
      <c r="AH421" s="28" t="str" cm="1">
        <f t="array" aca="1" ref="AH421" ca="1">IF((AD421) &lt; (INDEX(ResponseSLA[#All],(MATCH((G421),ResponseSLA[Priority],0))+1,3)),"YES","No")</f>
        <v>YES</v>
      </c>
      <c r="AI421" s="28" t="str">
        <f ca="1">_xlfn.IFNA(IF(AE421 &lt; (INDEX(SLATable[Minimum SLA],MATCH(G421,SLATable[Priority],0))),"YES","NO"),"")</f>
        <v>YES</v>
      </c>
      <c r="AJ421" s="28" t="str">
        <f ca="1">_xlfn.IFNA(IF(AE421 &lt; (INDEX(SLATable[Maximum SLA],MATCH(G421,SLATable[Priority],0))),"YES","NO"),"")</f>
        <v>YES</v>
      </c>
    </row>
    <row r="422" spans="2:36" ht="15" customHeight="1">
      <c r="B422" s="127" t="s">
        <v>26</v>
      </c>
      <c r="C422" s="127" t="s">
        <v>35</v>
      </c>
      <c r="D422" s="127" t="s">
        <v>207</v>
      </c>
      <c r="E422" s="28" t="s">
        <v>1958</v>
      </c>
      <c r="F422" s="28" t="s">
        <v>292</v>
      </c>
      <c r="G422" s="28">
        <v>4</v>
      </c>
      <c r="H422" s="28" t="s">
        <v>1959</v>
      </c>
      <c r="I422" s="28" t="s">
        <v>271</v>
      </c>
      <c r="J422" s="254" t="s">
        <v>1200</v>
      </c>
      <c r="K422" s="129">
        <v>46188.585636574076</v>
      </c>
      <c r="L422" s="129" t="s">
        <v>1960</v>
      </c>
      <c r="M422" s="129" t="s">
        <v>1961</v>
      </c>
      <c r="N422" s="129">
        <v>46190.450127314813</v>
      </c>
      <c r="O422" s="129"/>
      <c r="P422" s="129"/>
      <c r="Q422" s="28" t="s">
        <v>1073</v>
      </c>
      <c r="R422" s="127" t="s">
        <v>267</v>
      </c>
      <c r="S422" s="127" t="s">
        <v>149</v>
      </c>
      <c r="T422" s="127"/>
      <c r="U422" s="127" t="s">
        <v>371</v>
      </c>
      <c r="Z422" s="169">
        <f t="shared" ca="1" si="56"/>
        <v>0.61449074073607335</v>
      </c>
      <c r="AA422" s="170">
        <f t="shared" ca="1" si="57"/>
        <v>1.6386419752961956</v>
      </c>
      <c r="AB422" s="169">
        <f t="shared" ca="1" si="58"/>
        <v>0.58520833333022892</v>
      </c>
      <c r="AC422" s="170">
        <f t="shared" ca="1" si="59"/>
        <v>1.5605555555472772</v>
      </c>
      <c r="AD422" s="169">
        <f t="shared" ca="1" si="60"/>
        <v>9.3414351851000332E-2</v>
      </c>
      <c r="AE422" s="169">
        <f t="shared" ca="1" si="55"/>
        <v>0.58520833333022892</v>
      </c>
      <c r="AF422" s="170">
        <f t="shared" ca="1" si="61"/>
        <v>1.5605555555472772</v>
      </c>
      <c r="AG422" s="170">
        <f t="shared" ca="1" si="62"/>
        <v>1.5605555555472772</v>
      </c>
      <c r="AH422" s="28" t="str" cm="1">
        <f t="array" aca="1" ref="AH422" ca="1">IF((AD422) &lt; (INDEX(ResponseSLA[#All],(MATCH((G422),ResponseSLA[Priority],0))+1,3)),"YES","No")</f>
        <v>YES</v>
      </c>
      <c r="AI422" s="28" t="str">
        <f ca="1">_xlfn.IFNA(IF(AE422 &lt; (INDEX(SLATable[Minimum SLA],MATCH(G422,SLATable[Priority],0))),"YES","NO"),"")</f>
        <v>YES</v>
      </c>
      <c r="AJ422" s="28" t="str">
        <f ca="1">_xlfn.IFNA(IF(AE422 &lt; (INDEX(SLATable[Maximum SLA],MATCH(G422,SLATable[Priority],0))),"YES","NO"),"")</f>
        <v>YES</v>
      </c>
    </row>
    <row r="423" spans="2:36" ht="15" customHeight="1">
      <c r="B423" s="127" t="s">
        <v>26</v>
      </c>
      <c r="C423" s="127" t="s">
        <v>35</v>
      </c>
      <c r="D423" s="127" t="s">
        <v>207</v>
      </c>
      <c r="E423" s="28" t="s">
        <v>1962</v>
      </c>
      <c r="F423" s="28" t="s">
        <v>292</v>
      </c>
      <c r="G423" s="28">
        <v>3</v>
      </c>
      <c r="H423" s="28" t="s">
        <v>1963</v>
      </c>
      <c r="I423" s="28" t="s">
        <v>271</v>
      </c>
      <c r="J423" s="254" t="s">
        <v>1200</v>
      </c>
      <c r="K423" s="129">
        <v>46174.845810185187</v>
      </c>
      <c r="L423" s="129" t="s">
        <v>1964</v>
      </c>
      <c r="M423" s="129" t="s">
        <v>1965</v>
      </c>
      <c r="N423" s="129">
        <v>46176.310219907413</v>
      </c>
      <c r="O423" s="129"/>
      <c r="P423" s="129"/>
      <c r="Q423" s="28" t="s">
        <v>1073</v>
      </c>
      <c r="R423" s="127" t="s">
        <v>267</v>
      </c>
      <c r="S423" s="127" t="s">
        <v>149</v>
      </c>
      <c r="T423" s="127"/>
      <c r="U423" s="127" t="s">
        <v>371</v>
      </c>
      <c r="Z423" s="169">
        <f t="shared" ca="1" si="56"/>
        <v>0.37500000000000011</v>
      </c>
      <c r="AA423" s="170">
        <f t="shared" ca="1" si="57"/>
        <v>1.0000000000000004</v>
      </c>
      <c r="AB423" s="169">
        <f t="shared" ca="1" si="58"/>
        <v>0.37500000000000011</v>
      </c>
      <c r="AC423" s="170">
        <f t="shared" ca="1" si="59"/>
        <v>1.0000000000000004</v>
      </c>
      <c r="AD423" s="169">
        <f t="shared" ca="1" si="60"/>
        <v>1.5624999966045161E-3</v>
      </c>
      <c r="AE423" s="169">
        <f t="shared" ca="1" si="55"/>
        <v>0.37500000000000011</v>
      </c>
      <c r="AF423" s="170">
        <f t="shared" ca="1" si="61"/>
        <v>1.0000000000000004</v>
      </c>
      <c r="AG423" s="170">
        <f t="shared" ca="1" si="62"/>
        <v>1.0000000000000004</v>
      </c>
      <c r="AH423" s="28" t="str" cm="1">
        <f t="array" aca="1" ref="AH423" ca="1">IF((AD423) &lt; (INDEX(ResponseSLA[#All],(MATCH((G423),ResponseSLA[Priority],0))+1,3)),"YES","No")</f>
        <v>YES</v>
      </c>
      <c r="AI423" s="28" t="str">
        <f ca="1">_xlfn.IFNA(IF(AE423 &lt; (INDEX(SLATable[Minimum SLA],MATCH(G423,SLATable[Priority],0))),"YES","NO"),"")</f>
        <v>NO</v>
      </c>
      <c r="AJ423" s="28" t="str">
        <f ca="1">_xlfn.IFNA(IF(AE423 &lt; (INDEX(SLATable[Maximum SLA],MATCH(G423,SLATable[Priority],0))),"YES","NO"),"")</f>
        <v>YES</v>
      </c>
    </row>
    <row r="424" spans="2:36" ht="15" customHeight="1">
      <c r="B424" s="127" t="s">
        <v>26</v>
      </c>
      <c r="C424" s="127" t="s">
        <v>35</v>
      </c>
      <c r="D424" s="127" t="s">
        <v>207</v>
      </c>
      <c r="E424" s="28" t="s">
        <v>1966</v>
      </c>
      <c r="F424" s="28" t="s">
        <v>292</v>
      </c>
      <c r="G424" s="28">
        <v>4</v>
      </c>
      <c r="H424" s="28" t="s">
        <v>1967</v>
      </c>
      <c r="I424" s="28" t="s">
        <v>271</v>
      </c>
      <c r="J424" s="254" t="s">
        <v>1200</v>
      </c>
      <c r="K424" s="129">
        <v>46175.252754629633</v>
      </c>
      <c r="L424" s="129" t="s">
        <v>1968</v>
      </c>
      <c r="M424" s="129" t="s">
        <v>1969</v>
      </c>
      <c r="N424" s="129">
        <v>46184.436863425923</v>
      </c>
      <c r="O424" s="129"/>
      <c r="P424" s="129"/>
      <c r="Q424" s="28" t="s">
        <v>1073</v>
      </c>
      <c r="R424" s="127" t="s">
        <v>267</v>
      </c>
      <c r="S424" s="127" t="s">
        <v>149</v>
      </c>
      <c r="T424" s="127"/>
      <c r="U424" s="127" t="s">
        <v>371</v>
      </c>
      <c r="Z424" s="169">
        <f t="shared" ca="1" si="56"/>
        <v>2.7285300925893052</v>
      </c>
      <c r="AA424" s="170">
        <f t="shared" ca="1" si="57"/>
        <v>7.2760802469048134</v>
      </c>
      <c r="AB424" s="169">
        <f t="shared" ca="1" si="58"/>
        <v>1.9282407407372375</v>
      </c>
      <c r="AC424" s="170">
        <f t="shared" ca="1" si="59"/>
        <v>5.1419753086326336</v>
      </c>
      <c r="AD424" s="169">
        <f t="shared" ca="1" si="60"/>
        <v>1.3143634259249668</v>
      </c>
      <c r="AE424" s="169">
        <f t="shared" ca="1" si="55"/>
        <v>1.9282407407372375</v>
      </c>
      <c r="AF424" s="170">
        <f t="shared" ca="1" si="61"/>
        <v>5.1419753086326336</v>
      </c>
      <c r="AG424" s="170">
        <f t="shared" ca="1" si="62"/>
        <v>5.1419753086326336</v>
      </c>
      <c r="AH424" s="28" t="str" cm="1">
        <f t="array" aca="1" ref="AH424" ca="1">IF((AD424) &lt; (INDEX(ResponseSLA[#All],(MATCH((G424),ResponseSLA[Priority],0))+1,3)),"YES","No")</f>
        <v>No</v>
      </c>
      <c r="AI424" s="28" t="str">
        <f ca="1">_xlfn.IFNA(IF(AE424 &lt; (INDEX(SLATable[Minimum SLA],MATCH(G424,SLATable[Priority],0))),"YES","NO"),"")</f>
        <v>YES</v>
      </c>
      <c r="AJ424" s="28" t="str">
        <f ca="1">_xlfn.IFNA(IF(AE424 &lt; (INDEX(SLATable[Maximum SLA],MATCH(G424,SLATable[Priority],0))),"YES","NO"),"")</f>
        <v>YES</v>
      </c>
    </row>
    <row r="425" spans="2:36" ht="15" customHeight="1">
      <c r="B425" s="127" t="s">
        <v>26</v>
      </c>
      <c r="C425" s="127" t="s">
        <v>35</v>
      </c>
      <c r="D425" s="127" t="s">
        <v>207</v>
      </c>
      <c r="E425" s="28" t="s">
        <v>1970</v>
      </c>
      <c r="F425" s="28" t="s">
        <v>292</v>
      </c>
      <c r="G425" s="28">
        <v>3</v>
      </c>
      <c r="H425" s="28" t="s">
        <v>1971</v>
      </c>
      <c r="I425" s="28" t="s">
        <v>271</v>
      </c>
      <c r="J425" s="254" t="s">
        <v>1200</v>
      </c>
      <c r="K425" s="129">
        <v>46176.26734953704</v>
      </c>
      <c r="L425" s="129" t="s">
        <v>1972</v>
      </c>
      <c r="M425" s="129" t="s">
        <v>1973</v>
      </c>
      <c r="N425" s="129">
        <v>46182.584918981483</v>
      </c>
      <c r="O425" s="129"/>
      <c r="P425" s="129"/>
      <c r="Q425" s="28" t="s">
        <v>1073</v>
      </c>
      <c r="R425" s="127" t="s">
        <v>267</v>
      </c>
      <c r="S425" s="127" t="s">
        <v>149</v>
      </c>
      <c r="T425" s="127"/>
      <c r="U425" s="127" t="s">
        <v>371</v>
      </c>
      <c r="Z425" s="169">
        <f t="shared" ca="1" si="56"/>
        <v>1.7515856481501639</v>
      </c>
      <c r="AA425" s="170">
        <f t="shared" ca="1" si="57"/>
        <v>4.6708950617337699</v>
      </c>
      <c r="AB425" s="169">
        <f t="shared" ca="1" si="58"/>
        <v>1.3765856481501642</v>
      </c>
      <c r="AC425" s="170">
        <f t="shared" ca="1" si="59"/>
        <v>3.6708950617337712</v>
      </c>
      <c r="AD425" s="169">
        <f t="shared" ca="1" si="60"/>
        <v>0.43231481481295003</v>
      </c>
      <c r="AE425" s="169">
        <f t="shared" ca="1" si="55"/>
        <v>1.3765856481501642</v>
      </c>
      <c r="AF425" s="170">
        <f t="shared" ca="1" si="61"/>
        <v>3.6708950617337712</v>
      </c>
      <c r="AG425" s="170">
        <f t="shared" ca="1" si="62"/>
        <v>3.6708950617337712</v>
      </c>
      <c r="AH425" s="28" t="str" cm="1">
        <f t="array" aca="1" ref="AH425" ca="1">IF((AD425) &lt; (INDEX(ResponseSLA[#All],(MATCH((G425),ResponseSLA[Priority],0))+1,3)),"YES","No")</f>
        <v>No</v>
      </c>
      <c r="AI425" s="28" t="str">
        <f ca="1">_xlfn.IFNA(IF(AE425 &lt; (INDEX(SLATable[Minimum SLA],MATCH(G425,SLATable[Priority],0))),"YES","NO"),"")</f>
        <v>NO</v>
      </c>
      <c r="AJ425" s="28" t="str">
        <f ca="1">_xlfn.IFNA(IF(AE425 &lt; (INDEX(SLATable[Maximum SLA],MATCH(G425,SLATable[Priority],0))),"YES","NO"),"")</f>
        <v>YES</v>
      </c>
    </row>
    <row r="426" spans="2:36" ht="15" customHeight="1">
      <c r="B426" s="127" t="s">
        <v>26</v>
      </c>
      <c r="C426" s="127" t="s">
        <v>35</v>
      </c>
      <c r="D426" s="127" t="s">
        <v>207</v>
      </c>
      <c r="E426" s="28" t="s">
        <v>1974</v>
      </c>
      <c r="F426" s="28" t="s">
        <v>292</v>
      </c>
      <c r="G426" s="28">
        <v>4</v>
      </c>
      <c r="H426" s="28" t="s">
        <v>1975</v>
      </c>
      <c r="I426" s="28" t="s">
        <v>271</v>
      </c>
      <c r="J426" s="254" t="s">
        <v>1200</v>
      </c>
      <c r="K426" s="129">
        <v>46185.614999999998</v>
      </c>
      <c r="L426" s="129" t="s">
        <v>1976</v>
      </c>
      <c r="M426" s="129" t="s">
        <v>1977</v>
      </c>
      <c r="N426" s="129">
        <v>46189.47587962963</v>
      </c>
      <c r="O426" s="129"/>
      <c r="P426" s="129"/>
      <c r="Q426" s="28" t="s">
        <v>1073</v>
      </c>
      <c r="R426" s="127" t="s">
        <v>267</v>
      </c>
      <c r="S426" s="127" t="s">
        <v>149</v>
      </c>
      <c r="T426" s="127"/>
      <c r="U426" s="127" t="s">
        <v>371</v>
      </c>
      <c r="Z426" s="169">
        <f t="shared" ca="1" si="56"/>
        <v>0.61087962963210884</v>
      </c>
      <c r="AA426" s="170">
        <f t="shared" ca="1" si="57"/>
        <v>1.6290123456856236</v>
      </c>
      <c r="AB426" s="169">
        <f t="shared" ca="1" si="58"/>
        <v>0.60312500000145519</v>
      </c>
      <c r="AC426" s="170">
        <f t="shared" ca="1" si="59"/>
        <v>1.6083333333372138</v>
      </c>
      <c r="AD426" s="169">
        <f t="shared" ca="1" si="60"/>
        <v>0</v>
      </c>
      <c r="AE426" s="169">
        <f t="shared" ca="1" si="55"/>
        <v>0.60312500000145519</v>
      </c>
      <c r="AF426" s="170">
        <f t="shared" ca="1" si="61"/>
        <v>1.6083333333372138</v>
      </c>
      <c r="AG426" s="170">
        <f t="shared" ca="1" si="62"/>
        <v>1.6083333333372138</v>
      </c>
      <c r="AH426" s="28" t="str" cm="1">
        <f t="array" aca="1" ref="AH426" ca="1">IF((AD426) &lt; (INDEX(ResponseSLA[#All],(MATCH((G426),ResponseSLA[Priority],0))+1,3)),"YES","No")</f>
        <v>YES</v>
      </c>
      <c r="AI426" s="28" t="str">
        <f ca="1">_xlfn.IFNA(IF(AE426 &lt; (INDEX(SLATable[Minimum SLA],MATCH(G426,SLATable[Priority],0))),"YES","NO"),"")</f>
        <v>YES</v>
      </c>
      <c r="AJ426" s="28" t="str">
        <f ca="1">_xlfn.IFNA(IF(AE426 &lt; (INDEX(SLATable[Maximum SLA],MATCH(G426,SLATable[Priority],0))),"YES","NO"),"")</f>
        <v>YES</v>
      </c>
    </row>
    <row r="427" spans="2:36" ht="15" customHeight="1">
      <c r="B427" s="127" t="s">
        <v>26</v>
      </c>
      <c r="C427" s="127" t="s">
        <v>35</v>
      </c>
      <c r="D427" s="127" t="s">
        <v>207</v>
      </c>
      <c r="E427" s="28" t="s">
        <v>1978</v>
      </c>
      <c r="F427" s="28" t="s">
        <v>299</v>
      </c>
      <c r="G427" s="28">
        <v>4</v>
      </c>
      <c r="H427" s="28" t="s">
        <v>1979</v>
      </c>
      <c r="I427" s="28" t="s">
        <v>271</v>
      </c>
      <c r="J427" s="254" t="s">
        <v>1200</v>
      </c>
      <c r="K427" s="129">
        <v>46188.337465277778</v>
      </c>
      <c r="L427" s="129" t="s">
        <v>1980</v>
      </c>
      <c r="M427" s="129" t="s">
        <v>1981</v>
      </c>
      <c r="N427" s="129">
        <v>46190.452650462961</v>
      </c>
      <c r="O427" s="129"/>
      <c r="P427" s="129"/>
      <c r="Q427" s="28" t="s">
        <v>1208</v>
      </c>
      <c r="R427" s="127" t="s">
        <v>267</v>
      </c>
      <c r="S427" s="127" t="s">
        <v>149</v>
      </c>
      <c r="T427" s="127"/>
      <c r="U427" s="127" t="s">
        <v>371</v>
      </c>
      <c r="Z427" s="169">
        <f t="shared" ca="1" si="56"/>
        <v>0.86518518518278142</v>
      </c>
      <c r="AA427" s="170">
        <f t="shared" ca="1" si="57"/>
        <v>2.3071604938207506</v>
      </c>
      <c r="AB427" s="169">
        <f t="shared" ca="1" si="58"/>
        <v>0.86488425925927004</v>
      </c>
      <c r="AC427" s="170">
        <f t="shared" ca="1" si="59"/>
        <v>2.3063580246913866</v>
      </c>
      <c r="AD427" s="169">
        <f t="shared" ca="1" si="60"/>
        <v>1.4814814858254977E-3</v>
      </c>
      <c r="AE427" s="169">
        <f t="shared" ca="1" si="55"/>
        <v>0.86488425925927004</v>
      </c>
      <c r="AF427" s="170">
        <f t="shared" ca="1" si="61"/>
        <v>2.3063580246913866</v>
      </c>
      <c r="AG427" s="170">
        <f t="shared" ca="1" si="62"/>
        <v>2.3063580246913866</v>
      </c>
      <c r="AH427" s="28" t="str" cm="1">
        <f t="array" aca="1" ref="AH427" ca="1">IF((AD427) &lt; (INDEX(ResponseSLA[#All],(MATCH((G427),ResponseSLA[Priority],0))+1,3)),"YES","No")</f>
        <v>YES</v>
      </c>
      <c r="AI427" s="28" t="str">
        <f ca="1">_xlfn.IFNA(IF(AE427 &lt; (INDEX(SLATable[Minimum SLA],MATCH(G427,SLATable[Priority],0))),"YES","NO"),"")</f>
        <v>YES</v>
      </c>
      <c r="AJ427" s="28" t="str">
        <f ca="1">_xlfn.IFNA(IF(AE427 &lt; (INDEX(SLATable[Maximum SLA],MATCH(G427,SLATable[Priority],0))),"YES","NO"),"")</f>
        <v>YES</v>
      </c>
    </row>
    <row r="428" spans="2:36" ht="15" customHeight="1">
      <c r="B428" s="127" t="s">
        <v>26</v>
      </c>
      <c r="C428" s="127" t="s">
        <v>35</v>
      </c>
      <c r="D428" s="127" t="s">
        <v>207</v>
      </c>
      <c r="E428" s="28" t="s">
        <v>1982</v>
      </c>
      <c r="F428" s="28" t="s">
        <v>299</v>
      </c>
      <c r="G428" s="28">
        <v>4</v>
      </c>
      <c r="H428" s="28" t="s">
        <v>1983</v>
      </c>
      <c r="I428" s="28" t="s">
        <v>271</v>
      </c>
      <c r="J428" s="254" t="s">
        <v>1200</v>
      </c>
      <c r="K428" s="129">
        <v>46195.32335648148</v>
      </c>
      <c r="L428" s="129" t="s">
        <v>1984</v>
      </c>
      <c r="M428" s="129" t="s">
        <v>1985</v>
      </c>
      <c r="N428" s="129">
        <v>46198.456111111111</v>
      </c>
      <c r="O428" s="129"/>
      <c r="P428" s="129"/>
      <c r="Q428" s="28" t="s">
        <v>1208</v>
      </c>
      <c r="R428" s="127" t="s">
        <v>267</v>
      </c>
      <c r="S428" s="127" t="s">
        <v>149</v>
      </c>
      <c r="T428" s="127"/>
      <c r="U428" s="127" t="s">
        <v>371</v>
      </c>
      <c r="Z428" s="169">
        <f t="shared" ca="1" si="56"/>
        <v>1.2477777777773253</v>
      </c>
      <c r="AA428" s="170">
        <f t="shared" ca="1" si="57"/>
        <v>3.3274074074062008</v>
      </c>
      <c r="AB428" s="169">
        <f t="shared" ca="1" si="58"/>
        <v>1.2477777777773253</v>
      </c>
      <c r="AC428" s="170">
        <f t="shared" ca="1" si="59"/>
        <v>3.3274074074062008</v>
      </c>
      <c r="AD428" s="169">
        <f t="shared" ca="1" si="60"/>
        <v>0.59773148148330324</v>
      </c>
      <c r="AE428" s="169">
        <f t="shared" ca="1" si="55"/>
        <v>1.2477777777773253</v>
      </c>
      <c r="AF428" s="170">
        <f t="shared" ca="1" si="61"/>
        <v>3.3274074074062008</v>
      </c>
      <c r="AG428" s="170">
        <f t="shared" ca="1" si="62"/>
        <v>3.3274074074062008</v>
      </c>
      <c r="AH428" s="28" t="str" cm="1">
        <f t="array" aca="1" ref="AH428" ca="1">IF((AD428) &lt; (INDEX(ResponseSLA[#All],(MATCH((G428),ResponseSLA[Priority],0))+1,3)),"YES","No")</f>
        <v>No</v>
      </c>
      <c r="AI428" s="28" t="str">
        <f ca="1">_xlfn.IFNA(IF(AE428 &lt; (INDEX(SLATable[Minimum SLA],MATCH(G428,SLATable[Priority],0))),"YES","NO"),"")</f>
        <v>YES</v>
      </c>
      <c r="AJ428" s="28" t="str">
        <f ca="1">_xlfn.IFNA(IF(AE428 &lt; (INDEX(SLATable[Maximum SLA],MATCH(G428,SLATable[Priority],0))),"YES","NO"),"")</f>
        <v>YES</v>
      </c>
    </row>
    <row r="429" spans="2:36" ht="15" customHeight="1">
      <c r="B429" s="127" t="s">
        <v>26</v>
      </c>
      <c r="C429" s="127" t="s">
        <v>35</v>
      </c>
      <c r="D429" s="127" t="s">
        <v>207</v>
      </c>
      <c r="E429" s="28" t="s">
        <v>1986</v>
      </c>
      <c r="F429" s="28" t="s">
        <v>289</v>
      </c>
      <c r="G429" s="28">
        <v>4</v>
      </c>
      <c r="H429" s="28" t="s">
        <v>1987</v>
      </c>
      <c r="I429" s="28" t="s">
        <v>271</v>
      </c>
      <c r="J429" s="254" t="s">
        <v>1200</v>
      </c>
      <c r="K429" s="129">
        <v>46182.913252314807</v>
      </c>
      <c r="L429" s="129" t="s">
        <v>1988</v>
      </c>
      <c r="M429" s="129" t="s">
        <v>1989</v>
      </c>
      <c r="N429" s="129">
        <v>46189.32571759259</v>
      </c>
      <c r="O429" s="129"/>
      <c r="P429" s="129"/>
      <c r="Q429" s="28" t="s">
        <v>1101</v>
      </c>
      <c r="R429" s="127" t="s">
        <v>267</v>
      </c>
      <c r="S429" s="127" t="s">
        <v>199</v>
      </c>
      <c r="T429" s="127"/>
      <c r="U429" s="127" t="s">
        <v>371</v>
      </c>
      <c r="Z429" s="169">
        <f t="shared" ca="1" si="56"/>
        <v>1.5</v>
      </c>
      <c r="AA429" s="170">
        <f t="shared" ca="1" si="57"/>
        <v>4</v>
      </c>
      <c r="AB429" s="169">
        <f t="shared" ca="1" si="58"/>
        <v>1.5</v>
      </c>
      <c r="AC429" s="170">
        <f t="shared" ca="1" si="59"/>
        <v>4</v>
      </c>
      <c r="AD429" s="169">
        <f t="shared" ca="1" si="60"/>
        <v>0</v>
      </c>
      <c r="AE429" s="169">
        <f t="shared" ca="1" si="55"/>
        <v>1.5</v>
      </c>
      <c r="AF429" s="170">
        <f t="shared" ca="1" si="61"/>
        <v>4</v>
      </c>
      <c r="AG429" s="170">
        <f t="shared" ca="1" si="62"/>
        <v>4</v>
      </c>
      <c r="AH429" s="28" t="str" cm="1">
        <f t="array" aca="1" ref="AH429" ca="1">IF((AD429) &lt; (INDEX(ResponseSLA[#All],(MATCH((G429),ResponseSLA[Priority],0))+1,3)),"YES","No")</f>
        <v>YES</v>
      </c>
      <c r="AI429" s="28" t="str">
        <f ca="1">_xlfn.IFNA(IF(AE429 &lt; (INDEX(SLATable[Minimum SLA],MATCH(G429,SLATable[Priority],0))),"YES","NO"),"")</f>
        <v>YES</v>
      </c>
      <c r="AJ429" s="28" t="str">
        <f ca="1">_xlfn.IFNA(IF(AE429 &lt; (INDEX(SLATable[Maximum SLA],MATCH(G429,SLATable[Priority],0))),"YES","NO"),"")</f>
        <v>YES</v>
      </c>
    </row>
    <row r="430" spans="2:36" ht="15" customHeight="1">
      <c r="B430" s="127" t="s">
        <v>26</v>
      </c>
      <c r="C430" s="127" t="s">
        <v>35</v>
      </c>
      <c r="D430" s="127" t="s">
        <v>207</v>
      </c>
      <c r="E430" s="28" t="s">
        <v>1936</v>
      </c>
      <c r="F430" s="28" t="s">
        <v>295</v>
      </c>
      <c r="G430" s="28">
        <v>3</v>
      </c>
      <c r="H430" s="28" t="s">
        <v>1937</v>
      </c>
      <c r="I430" s="28" t="s">
        <v>271</v>
      </c>
      <c r="J430" s="254" t="s">
        <v>1200</v>
      </c>
      <c r="K430" s="129">
        <v>46178.034722222219</v>
      </c>
      <c r="L430" s="129">
        <v>46178.043634259258</v>
      </c>
      <c r="M430" s="129">
        <v>46178.396678240744</v>
      </c>
      <c r="N430" s="129">
        <v>46185.435243055559</v>
      </c>
      <c r="O430" s="129">
        <v>46181.434618055559</v>
      </c>
      <c r="P430" s="129">
        <v>46185.435243055559</v>
      </c>
      <c r="Q430" s="28" t="s">
        <v>1203</v>
      </c>
      <c r="R430" s="127" t="s">
        <v>267</v>
      </c>
      <c r="S430" s="127" t="s">
        <v>199</v>
      </c>
      <c r="T430" s="127"/>
      <c r="U430" s="127" t="s">
        <v>371</v>
      </c>
      <c r="Z430" s="169">
        <f ca="1">IF(NOT(OR(G430=1,G430=2)),MAX(0,_xlfn.IFS(AND(K430&lt;&gt;"",N430&lt;&gt;""),((MAX(NETWORKDAYS(K430,N430,UKBankHolidays)-1,0))*(TIME(17,0,0)-TIME(8,0,0))+IF(NETWORKDAYS(N430,N430,UKBankHolidays)&gt;0,MEDIAN(TIME(8,0,0),MOD(N430,1),TIME(17,0,0)),TIME(8,0,0))-IF(NETWORKDAYS(K430,K430,UKBankHolidays)&gt;0,MEDIAN(TIME(8,0,0),MOD(K430,1),TIME(17,0,0)),TIME(8,0,0)))-IF(AND(O430&lt;&gt;"",P430&lt;&gt;""),((MAX(NETWORKDAYS(O430,P430,UKBankHolidays)-1,0))*(TIME(17,0,0)-TIME(8,0,0))+IF(NETWORKDAYS(P430,P430,UKBankHolidays)&gt;0,MEDIAN(TIME(8,0,0),MOD(P430,1),TIME(17,0,0)),TIME(8,0,0))-IF(NETWORKDAYS(O430,O430,UKBankHolidays)&gt;0,MEDIAN(TIME(8,0,0),MOD(O430,1),TIME(17,0,0)),TIME(8,0,0))),0),AND(K430&lt;&gt;"",N430=""),((MAX(NETWORKDAYS(K430,NOW(),UKBankHolidays)-1,0))*(TIME(17,0,0)-TIME(8,0,0))+IF(NETWORKDAYS(NOW(),NOW(),UKBankHolidays)&gt;0,MEDIAN(TIME(8,0,0),MOD(NOW(),1),TIME(17,0,0)),TIME(8,0,0))-IF(NETWORKDAYS(K430,K430,UKBankHolidays)&gt;0,MEDIAN(TIME(8,0,0),MOD(K430,1),TIME(17,0,0)),TIME(8,0,0))))),IF(N430="",NOW()-K430,N430-K430))</f>
        <v>0.47628472222519713</v>
      </c>
      <c r="AA430" s="170">
        <f ca="1">(Z430*24)/9</f>
        <v>1.2700925926005258</v>
      </c>
      <c r="AB430" s="169">
        <f ca="1">IF(NOT(OR(G430=1,G430=2)),MAX(0,_xlfn.IFS(AND(K430&lt;&gt;"",N430&lt;&gt;""),(((MAX(NETWORKDAYS(L430,N430,UKBankHolidays)-1,0))*(TIME(17,0,0)-TIME(8,0,0)))+IF(NETWORKDAYS(N430,N430,UKBankHolidays)&gt;0,MEDIAN(TIME(8,0,0),MOD(N430,1),TIME(17,0,0)),TIME(8,0,0))-IF(NETWORKDAYS(L430,L430,UKBankHolidays)&gt;0,MEDIAN(TIME(8,0,0),MOD(L430,1),TIME(17,0,0)),TIME(8,0,0)))-IF(AND(O430&lt;&gt;"",P430&lt;&gt;""),(((MAX(NETWORKDAYS(O430,P430,UKBankHolidays)-1,0))*(TIME(17,0,0)-TIME(8,0,0)))+IF(NETWORKDAYS(P430,P430,UKBankHolidays)&gt;0,MEDIAN(TIME(8,0,0),MOD(P430,1),TIME(17,0,0)),TIME(8,0,0))-IF(NETWORKDAYS(O430,O430,UKBankHolidays)&gt;0,MEDIAN(TIME(8,0,0),MOD(O430,1),TIME(17,0,0)),TIME(8,0,0))),0),AND(L430&lt;&gt;"",N430="",O430=""),(((MAX(NETWORKDAYS(L430,NOW(),UKBankHolidays)-1,0))*(TIME(17,0,0)-TIME(8,0,0)))+IF(NETWORKDAYS(NOW(),NOW(),UKBankHolidays)&gt;0,MEDIAN(TIME(8,0,0),MOD(NOW(),1),TIME(17,0,0)),TIME(8,0,0))-IF(NETWORKDAYS(L430,L430,UKBankHolidays)&gt;0,MEDIAN(TIME(8,0,0),MOD(L430,1),TIME(17,0,0)),TIME(8,0,0)))-IF(AND(O430&lt;&gt;"",P430&lt;&gt;""),(((MAX(NETWORKDAYS(O430,P430,UKBankHolidays)-1,0))*(TIME(17,0,0)-TIME(8,0,0)))+IF(NETWORKDAYS(P430,P430,UKBankHolidays)&gt;0,MEDIAN(TIME(8,0,0),MOD(P430,1),TIME(17,0,0)),TIME(8,0,0))-IF(NETWORKDAYS(O430,O430,UKBankHolidays)&gt;0,MEDIAN(TIME(8,0,0),MOD(O430,1),TIME(17,0,0)),TIME(8,0,0))),0),AND(L430&lt;&gt;"",N430="",P430="",O430&lt;&gt;""),(((MAX(NETWORKDAYS(L430,O430,UKBankHolidays)-1,0))*(TIME(17,0,0)-TIME(8,0,0)))+IF(NETWORKDAYS(O430,O430,UKBankHolidays)&gt;0,MEDIAN(TIME(8,0,0),MOD(O430,1),TIME(17,0,0)),TIME(8,0,0))-IF(NETWORKDAYS(L430,L430,UKBankHolidays)&gt;0,MEDIAN(TIME(8,0,0),MOD(L430,1),TIME(17,0,0)),TIME(8,0,0))),ISBLANK(K430),"0")),IF(ISBLANK(N430),NOW()-L430,N430-L430))</f>
        <v>0.47628472222519713</v>
      </c>
      <c r="AC430" s="170">
        <f ca="1">(AB430*24)/9</f>
        <v>1.2700925926005258</v>
      </c>
      <c r="AD430" s="169">
        <f ca="1">MAX(0,IF(NOT(OR(G430=1,G430=2)),IF(M430&lt;&gt;"",((MAX(NETWORKDAYS(L430,M430,UKBankHolidays)-1,0))*(TIME(17,0,0)-TIME(8,0,0))+IF(NETWORKDAYS(M430,M430,UKBankHolidays)&gt;0,MEDIAN(TIME(8,0,0),MOD(M430,1),TIME(17,0,0)),TIME(8,0,0))-MEDIAN(TIME(8,0,0),MOD(L430,1),TIME(17,0,0))),((MAX(NETWORKDAYS(L430,NOW(),UKBankHolidays)-1,0))*(TIME(17,0,0)-TIME(8,0,0))+IF(NETWORKDAYS(NOW(),NOW(),UKBankHolidays)&gt;0,MEDIAN(TIME(8,0,0),MOD(NOW(),1),TIME(17,0,0)),TIME(8,0,0))-MEDIAN(TIME(8,0,0),MOD(L430,1),TIME(17,0,0)))),IF(M430&lt;&gt;"",M430-L430,NOW()-L430)))</f>
        <v>6.3344907410889106E-2</v>
      </c>
      <c r="AE430" s="169">
        <f t="shared" ca="1" si="55"/>
        <v>0.85128472222519713</v>
      </c>
      <c r="AF430" s="170">
        <f ca="1">(AE430*24)/9</f>
        <v>2.2700925926005255</v>
      </c>
      <c r="AG430" s="170">
        <f ca="1">AF430</f>
        <v>2.2700925926005255</v>
      </c>
      <c r="AH430" s="28" t="str" cm="1">
        <f t="array" aca="1" ref="AH430" ca="1">IF((AD430) &lt; (INDEX(ResponseSLA[#All],(MATCH((G430),ResponseSLA[Priority],0))+1,3)),"YES","No")</f>
        <v>YES</v>
      </c>
      <c r="AI430" s="28" t="str">
        <f ca="1">_xlfn.IFNA(IF(AE430 &lt; (INDEX(SLATable[Minimum SLA],MATCH(G430,SLATable[Priority],0))),"YES","NO"),"")</f>
        <v>NO</v>
      </c>
      <c r="AJ430" s="28" t="str">
        <f ca="1">_xlfn.IFNA(IF(AE430 &lt; (INDEX(SLATable[Maximum SLA],MATCH(G430,SLATable[Priority],0))),"YES","NO"),"")</f>
        <v>YES</v>
      </c>
    </row>
    <row r="431" spans="2:36" ht="15" customHeight="1">
      <c r="B431" s="127" t="s">
        <v>26</v>
      </c>
      <c r="C431" s="127" t="s">
        <v>35</v>
      </c>
      <c r="D431" s="127" t="s">
        <v>207</v>
      </c>
      <c r="E431" s="28" t="s">
        <v>1990</v>
      </c>
      <c r="F431" s="28" t="s">
        <v>296</v>
      </c>
      <c r="G431" s="28">
        <v>3</v>
      </c>
      <c r="H431" s="28" t="s">
        <v>1991</v>
      </c>
      <c r="I431" s="28" t="s">
        <v>266</v>
      </c>
      <c r="J431" s="254" t="s">
        <v>1200</v>
      </c>
      <c r="K431" s="129">
        <v>46177.366770833331</v>
      </c>
      <c r="L431" s="129" t="s">
        <v>1992</v>
      </c>
      <c r="M431" s="129" t="s">
        <v>1993</v>
      </c>
      <c r="N431" s="129"/>
      <c r="O431" s="129" t="s">
        <v>1994</v>
      </c>
      <c r="P431" s="129" t="s">
        <v>1995</v>
      </c>
      <c r="Q431" s="28" t="s">
        <v>1049</v>
      </c>
      <c r="R431" s="127"/>
      <c r="S431" s="127"/>
      <c r="T431" s="127"/>
      <c r="U431" s="127" t="s">
        <v>371</v>
      </c>
      <c r="Z431" s="169">
        <f t="shared" ca="1" si="56"/>
        <v>22.017203356481335</v>
      </c>
      <c r="AA431" s="170">
        <f t="shared" ca="1" si="57"/>
        <v>58.712542283950228</v>
      </c>
      <c r="AB431" s="169" t="e">
        <f t="shared" ca="1" si="58"/>
        <v>#N/A</v>
      </c>
      <c r="AC431" s="170" t="e">
        <f t="shared" ca="1" si="59"/>
        <v>#N/A</v>
      </c>
      <c r="AD431" s="169">
        <f t="shared" ca="1" si="60"/>
        <v>0.22899305555377703</v>
      </c>
      <c r="AE431" s="169" t="e">
        <f t="shared" ca="1" si="55"/>
        <v>#N/A</v>
      </c>
      <c r="AF431" s="170" t="e">
        <f t="shared" ca="1" si="61"/>
        <v>#N/A</v>
      </c>
      <c r="AG431" s="170" t="e">
        <f t="shared" ca="1" si="62"/>
        <v>#N/A</v>
      </c>
      <c r="AH431" s="28" t="str" cm="1">
        <f t="array" aca="1" ref="AH431" ca="1">IF((AD431) &lt; (INDEX(ResponseSLA[#All],(MATCH((G431),ResponseSLA[Priority],0))+1,3)),"YES","No")</f>
        <v>No</v>
      </c>
      <c r="AI431" s="28" t="str">
        <f ca="1">_xlfn.IFNA(IF(AE431 &lt; (INDEX(SLATable[Minimum SLA],MATCH(G431,SLATable[Priority],0))),"YES","NO"),"")</f>
        <v/>
      </c>
      <c r="AJ431" s="28" t="str">
        <f ca="1">_xlfn.IFNA(IF(AE431 &lt; (INDEX(SLATable[Maximum SLA],MATCH(G431,SLATable[Priority],0))),"YES","NO"),"")</f>
        <v/>
      </c>
    </row>
    <row r="432" spans="2:36" ht="15" customHeight="1">
      <c r="B432" s="127" t="s">
        <v>26</v>
      </c>
      <c r="C432" s="127" t="s">
        <v>35</v>
      </c>
      <c r="D432" s="127" t="s">
        <v>207</v>
      </c>
      <c r="E432" s="28" t="s">
        <v>1996</v>
      </c>
      <c r="F432" s="28" t="s">
        <v>296</v>
      </c>
      <c r="G432" s="28">
        <v>3</v>
      </c>
      <c r="H432" s="28" t="s">
        <v>1997</v>
      </c>
      <c r="I432" s="28" t="s">
        <v>260</v>
      </c>
      <c r="J432" s="254" t="s">
        <v>1200</v>
      </c>
      <c r="K432" s="129">
        <v>46199.597731481481</v>
      </c>
      <c r="L432" s="129" t="s">
        <v>1998</v>
      </c>
      <c r="M432" s="129" t="s">
        <v>1999</v>
      </c>
      <c r="N432" s="129"/>
      <c r="O432" s="129"/>
      <c r="P432" s="129"/>
      <c r="Q432" s="28" t="s">
        <v>1049</v>
      </c>
      <c r="R432" s="127"/>
      <c r="S432" s="127"/>
      <c r="T432" s="127"/>
      <c r="U432" s="127" t="s">
        <v>371</v>
      </c>
      <c r="Z432" s="169">
        <f t="shared" ca="1" si="56"/>
        <v>15.786242708330974</v>
      </c>
      <c r="AA432" s="170">
        <f t="shared" ca="1" si="57"/>
        <v>42.096647222215928</v>
      </c>
      <c r="AB432" s="169">
        <f t="shared" ca="1" si="58"/>
        <v>15.785953356476966</v>
      </c>
      <c r="AC432" s="170">
        <f t="shared" ca="1" si="59"/>
        <v>42.095875617271908</v>
      </c>
      <c r="AD432" s="169">
        <f t="shared" ca="1" si="60"/>
        <v>0.11031249999844783</v>
      </c>
      <c r="AE432" s="169">
        <f t="shared" ca="1" si="55"/>
        <v>15.785953356476966</v>
      </c>
      <c r="AF432" s="170">
        <f t="shared" ca="1" si="61"/>
        <v>42.095875617271908</v>
      </c>
      <c r="AG432" s="170">
        <f t="shared" ca="1" si="62"/>
        <v>42.095875617271908</v>
      </c>
      <c r="AH432" s="28" t="str" cm="1">
        <f t="array" aca="1" ref="AH432" ca="1">IF((AD432) &lt; (INDEX(ResponseSLA[#All],(MATCH((G432),ResponseSLA[Priority],0))+1,3)),"YES","No")</f>
        <v>No</v>
      </c>
      <c r="AI432" s="28" t="str">
        <f ca="1">_xlfn.IFNA(IF(AE432 &lt; (INDEX(SLATable[Minimum SLA],MATCH(G432,SLATable[Priority],0))),"YES","NO"),"")</f>
        <v>NO</v>
      </c>
      <c r="AJ432" s="28" t="str">
        <f ca="1">_xlfn.IFNA(IF(AE432 &lt; (INDEX(SLATable[Maximum SLA],MATCH(G432,SLATable[Priority],0))),"YES","NO"),"")</f>
        <v>NO</v>
      </c>
    </row>
    <row r="433" spans="2:36" ht="15" customHeight="1">
      <c r="B433" s="127" t="s">
        <v>26</v>
      </c>
      <c r="C433" s="127" t="s">
        <v>35</v>
      </c>
      <c r="D433" s="127" t="s">
        <v>207</v>
      </c>
      <c r="E433" s="28" t="s">
        <v>2000</v>
      </c>
      <c r="F433" s="28" t="s">
        <v>295</v>
      </c>
      <c r="G433" s="28">
        <v>3</v>
      </c>
      <c r="H433" s="28" t="s">
        <v>1210</v>
      </c>
      <c r="I433" s="28" t="s">
        <v>271</v>
      </c>
      <c r="J433" s="254" t="s">
        <v>1200</v>
      </c>
      <c r="K433" s="129">
        <v>46199.093344907407</v>
      </c>
      <c r="L433" s="129" t="s">
        <v>2001</v>
      </c>
      <c r="M433" s="129" t="s">
        <v>2002</v>
      </c>
      <c r="N433" s="129">
        <v>46203.43072916667</v>
      </c>
      <c r="O433" s="129"/>
      <c r="P433" s="129"/>
      <c r="Q433" s="28" t="s">
        <v>1211</v>
      </c>
      <c r="R433" s="127" t="s">
        <v>267</v>
      </c>
      <c r="S433" s="127" t="s">
        <v>199</v>
      </c>
      <c r="T433" s="127"/>
      <c r="U433" s="127" t="s">
        <v>371</v>
      </c>
      <c r="Z433" s="169">
        <f t="shared" ca="1" si="56"/>
        <v>0.84739583333672885</v>
      </c>
      <c r="AA433" s="170">
        <f t="shared" ca="1" si="57"/>
        <v>2.2597222222312769</v>
      </c>
      <c r="AB433" s="169">
        <f t="shared" ca="1" si="58"/>
        <v>0.84739583333672885</v>
      </c>
      <c r="AC433" s="170">
        <f t="shared" ca="1" si="59"/>
        <v>2.2597222222312769</v>
      </c>
      <c r="AD433" s="169">
        <f t="shared" ca="1" si="60"/>
        <v>5.1354166668412915E-2</v>
      </c>
      <c r="AE433" s="169">
        <f t="shared" ca="1" si="55"/>
        <v>0.84739583333672885</v>
      </c>
      <c r="AF433" s="170">
        <f t="shared" ca="1" si="61"/>
        <v>2.2597222222312769</v>
      </c>
      <c r="AG433" s="170">
        <f t="shared" ca="1" si="62"/>
        <v>2.2597222222312769</v>
      </c>
      <c r="AH433" s="28" t="str" cm="1">
        <f t="array" aca="1" ref="AH433" ca="1">IF((AD433) &lt; (INDEX(ResponseSLA[#All],(MATCH((G433),ResponseSLA[Priority],0))+1,3)),"YES","No")</f>
        <v>YES</v>
      </c>
      <c r="AI433" s="28" t="str">
        <f ca="1">_xlfn.IFNA(IF(AE433 &lt; (INDEX(SLATable[Minimum SLA],MATCH(G433,SLATable[Priority],0))),"YES","NO"),"")</f>
        <v>NO</v>
      </c>
      <c r="AJ433" s="28" t="str">
        <f ca="1">_xlfn.IFNA(IF(AE433 &lt; (INDEX(SLATable[Maximum SLA],MATCH(G433,SLATable[Priority],0))),"YES","NO"),"")</f>
        <v>YES</v>
      </c>
    </row>
    <row r="434" spans="2:36" ht="15" customHeight="1">
      <c r="B434" s="127" t="s">
        <v>26</v>
      </c>
      <c r="C434" s="127" t="s">
        <v>35</v>
      </c>
      <c r="D434" s="127" t="s">
        <v>207</v>
      </c>
      <c r="E434" s="28" t="s">
        <v>2003</v>
      </c>
      <c r="F434" s="28" t="s">
        <v>295</v>
      </c>
      <c r="G434" s="28">
        <v>4</v>
      </c>
      <c r="H434" s="28" t="s">
        <v>2004</v>
      </c>
      <c r="I434" s="28" t="s">
        <v>266</v>
      </c>
      <c r="J434" s="254" t="s">
        <v>1200</v>
      </c>
      <c r="K434" s="129">
        <v>46196.654189814813</v>
      </c>
      <c r="L434" s="129" t="s">
        <v>2005</v>
      </c>
      <c r="M434" s="129" t="s">
        <v>2006</v>
      </c>
      <c r="N434" s="129"/>
      <c r="O434" s="129" t="s">
        <v>2007</v>
      </c>
      <c r="P434" s="129"/>
      <c r="Q434" s="28" t="s">
        <v>1211</v>
      </c>
      <c r="R434" s="127"/>
      <c r="S434" s="127"/>
      <c r="T434" s="127"/>
      <c r="U434" s="127" t="s">
        <v>371</v>
      </c>
      <c r="Z434" s="169">
        <f t="shared" ca="1" si="56"/>
        <v>16.85478437499842</v>
      </c>
      <c r="AA434" s="170">
        <f t="shared" ca="1" si="57"/>
        <v>44.946091666662454</v>
      </c>
      <c r="AB434" s="169">
        <f t="shared" ca="1" si="58"/>
        <v>1.6499768518551718</v>
      </c>
      <c r="AC434" s="170">
        <f t="shared" ca="1" si="59"/>
        <v>4.3999382716137916</v>
      </c>
      <c r="AD434" s="169">
        <f t="shared" ca="1" si="60"/>
        <v>5.3900462965733253E-2</v>
      </c>
      <c r="AE434" s="169">
        <f t="shared" ca="1" si="55"/>
        <v>7.4807523148192558</v>
      </c>
      <c r="AF434" s="170">
        <f t="shared" ca="1" si="61"/>
        <v>19.948672839518014</v>
      </c>
      <c r="AG434" s="170">
        <f t="shared" ca="1" si="62"/>
        <v>19.948672839518014</v>
      </c>
      <c r="AH434" s="28" t="str" cm="1">
        <f t="array" aca="1" ref="AH434" ca="1">IF((AD434) &lt; (INDEX(ResponseSLA[#All],(MATCH((G434),ResponseSLA[Priority],0))+1,3)),"YES","No")</f>
        <v>YES</v>
      </c>
      <c r="AI434" s="28" t="str">
        <f ca="1">_xlfn.IFNA(IF(AE434 &lt; (INDEX(SLATable[Minimum SLA],MATCH(G434,SLATable[Priority],0))),"YES","NO"),"")</f>
        <v>NO</v>
      </c>
      <c r="AJ434" s="28" t="str">
        <f ca="1">_xlfn.IFNA(IF(AE434 &lt; (INDEX(SLATable[Maximum SLA],MATCH(G434,SLATable[Priority],0))),"YES","NO"),"")</f>
        <v>NO</v>
      </c>
    </row>
    <row r="435" spans="2:36" ht="15" customHeight="1">
      <c r="B435" s="127" t="s">
        <v>26</v>
      </c>
      <c r="C435" s="127" t="s">
        <v>35</v>
      </c>
      <c r="D435" s="127" t="s">
        <v>207</v>
      </c>
      <c r="E435" s="28" t="s">
        <v>2008</v>
      </c>
      <c r="F435" s="28" t="s">
        <v>295</v>
      </c>
      <c r="G435" s="28">
        <v>4</v>
      </c>
      <c r="H435" s="28" t="s">
        <v>2009</v>
      </c>
      <c r="I435" s="28" t="s">
        <v>266</v>
      </c>
      <c r="J435" s="254" t="s">
        <v>1200</v>
      </c>
      <c r="K435" s="129">
        <v>46196.652187500003</v>
      </c>
      <c r="L435" s="129" t="s">
        <v>2010</v>
      </c>
      <c r="M435" s="129" t="s">
        <v>2011</v>
      </c>
      <c r="N435" s="129"/>
      <c r="O435" s="129" t="s">
        <v>2012</v>
      </c>
      <c r="P435" s="129"/>
      <c r="Q435" s="28" t="s">
        <v>1211</v>
      </c>
      <c r="R435" s="127"/>
      <c r="S435" s="127"/>
      <c r="T435" s="127"/>
      <c r="U435" s="127" t="s">
        <v>371</v>
      </c>
      <c r="Z435" s="169">
        <f t="shared" ca="1" si="56"/>
        <v>16.856786689808363</v>
      </c>
      <c r="AA435" s="170">
        <f t="shared" ca="1" si="57"/>
        <v>44.951431172822303</v>
      </c>
      <c r="AB435" s="169">
        <f t="shared" ca="1" si="58"/>
        <v>0.18203703704057261</v>
      </c>
      <c r="AC435" s="170">
        <f t="shared" ca="1" si="59"/>
        <v>0.48543209877486032</v>
      </c>
      <c r="AD435" s="169">
        <f t="shared" ca="1" si="60"/>
        <v>5.5613425928944138E-2</v>
      </c>
      <c r="AE435" s="169">
        <f t="shared" ca="1" si="55"/>
        <v>0.364606481482042</v>
      </c>
      <c r="AF435" s="170">
        <f t="shared" ca="1" si="61"/>
        <v>0.9722839506187787</v>
      </c>
      <c r="AG435" s="170">
        <f t="shared" ca="1" si="62"/>
        <v>0.9722839506187787</v>
      </c>
      <c r="AH435" s="28" t="str" cm="1">
        <f t="array" aca="1" ref="AH435" ca="1">IF((AD435) &lt; (INDEX(ResponseSLA[#All],(MATCH((G435),ResponseSLA[Priority],0))+1,3)),"YES","No")</f>
        <v>YES</v>
      </c>
      <c r="AI435" s="28" t="str">
        <f ca="1">_xlfn.IFNA(IF(AE435 &lt; (INDEX(SLATable[Minimum SLA],MATCH(G435,SLATable[Priority],0))),"YES","NO"),"")</f>
        <v>YES</v>
      </c>
      <c r="AJ435" s="28" t="str">
        <f ca="1">_xlfn.IFNA(IF(AE435 &lt; (INDEX(SLATable[Maximum SLA],MATCH(G435,SLATable[Priority],0))),"YES","NO"),"")</f>
        <v>YES</v>
      </c>
    </row>
    <row r="436" spans="2:36" ht="15" customHeight="1">
      <c r="B436" s="127" t="s">
        <v>26</v>
      </c>
      <c r="C436" s="127" t="s">
        <v>35</v>
      </c>
      <c r="D436" s="127" t="s">
        <v>207</v>
      </c>
      <c r="E436" s="28" t="s">
        <v>2013</v>
      </c>
      <c r="F436" s="28" t="s">
        <v>295</v>
      </c>
      <c r="G436" s="28">
        <v>3</v>
      </c>
      <c r="H436" s="28" t="s">
        <v>2014</v>
      </c>
      <c r="I436" s="28" t="s">
        <v>266</v>
      </c>
      <c r="J436" s="254" t="s">
        <v>1200</v>
      </c>
      <c r="K436" s="129">
        <v>46195.828599537039</v>
      </c>
      <c r="L436" s="129" t="s">
        <v>2015</v>
      </c>
      <c r="M436" s="129" t="s">
        <v>2016</v>
      </c>
      <c r="N436" s="129"/>
      <c r="O436" s="129" t="s">
        <v>2017</v>
      </c>
      <c r="P436" s="129"/>
      <c r="Q436" s="28" t="s">
        <v>1211</v>
      </c>
      <c r="R436" s="127"/>
      <c r="S436" s="127"/>
      <c r="T436" s="127"/>
      <c r="U436" s="127" t="s">
        <v>371</v>
      </c>
      <c r="Z436" s="169">
        <f t="shared" ca="1" si="56"/>
        <v>17.175640856478523</v>
      </c>
      <c r="AA436" s="170">
        <f t="shared" ca="1" si="57"/>
        <v>45.801708950609395</v>
      </c>
      <c r="AB436" s="169">
        <f t="shared" ca="1" si="58"/>
        <v>1.5368287037053963</v>
      </c>
      <c r="AC436" s="170">
        <f t="shared" ca="1" si="59"/>
        <v>4.098209876547724</v>
      </c>
      <c r="AD436" s="169">
        <f t="shared" ca="1" si="60"/>
        <v>0.69593750000058208</v>
      </c>
      <c r="AE436" s="169">
        <f t="shared" ca="1" si="55"/>
        <v>3.0738310185261071</v>
      </c>
      <c r="AF436" s="170">
        <f t="shared" ca="1" si="61"/>
        <v>8.1968827160696183</v>
      </c>
      <c r="AG436" s="170">
        <f t="shared" ca="1" si="62"/>
        <v>8.1968827160696183</v>
      </c>
      <c r="AH436" s="28" t="str" cm="1">
        <f t="array" aca="1" ref="AH436" ca="1">IF((AD436) &lt; (INDEX(ResponseSLA[#All],(MATCH((G436),ResponseSLA[Priority],0))+1,3)),"YES","No")</f>
        <v>No</v>
      </c>
      <c r="AI436" s="28" t="str">
        <f ca="1">_xlfn.IFNA(IF(AE436 &lt; (INDEX(SLATable[Minimum SLA],MATCH(G436,SLATable[Priority],0))),"YES","NO"),"")</f>
        <v>NO</v>
      </c>
      <c r="AJ436" s="28" t="str">
        <f ca="1">_xlfn.IFNA(IF(AE436 &lt; (INDEX(SLATable[Maximum SLA],MATCH(G436,SLATable[Priority],0))),"YES","NO"),"")</f>
        <v>NO</v>
      </c>
    </row>
    <row r="437" spans="2:36" ht="15" customHeight="1">
      <c r="B437" s="127" t="s">
        <v>26</v>
      </c>
      <c r="C437" s="127" t="s">
        <v>35</v>
      </c>
      <c r="D437" s="127" t="s">
        <v>207</v>
      </c>
      <c r="E437" s="28" t="s">
        <v>2018</v>
      </c>
      <c r="F437" s="28" t="s">
        <v>295</v>
      </c>
      <c r="G437" s="28">
        <v>4</v>
      </c>
      <c r="H437" s="28" t="s">
        <v>2019</v>
      </c>
      <c r="I437" s="28" t="s">
        <v>266</v>
      </c>
      <c r="J437" s="254" t="s">
        <v>1200</v>
      </c>
      <c r="K437" s="129">
        <v>46189.457974537043</v>
      </c>
      <c r="L437" s="129" t="s">
        <v>2020</v>
      </c>
      <c r="M437" s="129" t="s">
        <v>2021</v>
      </c>
      <c r="N437" s="129"/>
      <c r="O437" s="129" t="s">
        <v>2022</v>
      </c>
      <c r="P437" s="129" t="s">
        <v>2023</v>
      </c>
      <c r="Q437" s="28" t="s">
        <v>2024</v>
      </c>
      <c r="R437" s="127"/>
      <c r="S437" s="127"/>
      <c r="T437" s="127"/>
      <c r="U437" s="127" t="s">
        <v>371</v>
      </c>
      <c r="Z437" s="169">
        <f t="shared" ca="1" si="56"/>
        <v>18.925999652768954</v>
      </c>
      <c r="AA437" s="170">
        <f t="shared" ca="1" si="57"/>
        <v>50.469332407383881</v>
      </c>
      <c r="AB437" s="169" t="e">
        <f t="shared" ca="1" si="58"/>
        <v>#N/A</v>
      </c>
      <c r="AC437" s="170" t="e">
        <f t="shared" ca="1" si="59"/>
        <v>#N/A</v>
      </c>
      <c r="AD437" s="169">
        <f t="shared" ca="1" si="60"/>
        <v>0.21856481481275603</v>
      </c>
      <c r="AE437" s="169" t="e">
        <f t="shared" ca="1" si="55"/>
        <v>#N/A</v>
      </c>
      <c r="AF437" s="170" t="e">
        <f t="shared" ca="1" si="61"/>
        <v>#N/A</v>
      </c>
      <c r="AG437" s="170" t="e">
        <f t="shared" ca="1" si="62"/>
        <v>#N/A</v>
      </c>
      <c r="AH437" s="28" t="str" cm="1">
        <f t="array" aca="1" ref="AH437" ca="1">IF((AD437) &lt; (INDEX(ResponseSLA[#All],(MATCH((G437),ResponseSLA[Priority],0))+1,3)),"YES","No")</f>
        <v>No</v>
      </c>
      <c r="AI437" s="28" t="str">
        <f ca="1">_xlfn.IFNA(IF(AE437 &lt; (INDEX(SLATable[Minimum SLA],MATCH(G437,SLATable[Priority],0))),"YES","NO"),"")</f>
        <v/>
      </c>
      <c r="AJ437" s="28" t="str">
        <f ca="1">_xlfn.IFNA(IF(AE437 &lt; (INDEX(SLATable[Maximum SLA],MATCH(G437,SLATable[Priority],0))),"YES","NO"),"")</f>
        <v/>
      </c>
    </row>
    <row r="438" spans="2:36" ht="15" customHeight="1">
      <c r="B438" s="127" t="s">
        <v>26</v>
      </c>
      <c r="C438" s="127" t="s">
        <v>35</v>
      </c>
      <c r="D438" s="127" t="s">
        <v>207</v>
      </c>
      <c r="E438" s="28" t="s">
        <v>2025</v>
      </c>
      <c r="F438" s="28" t="s">
        <v>295</v>
      </c>
      <c r="G438" s="28">
        <v>3</v>
      </c>
      <c r="H438" s="28" t="s">
        <v>2026</v>
      </c>
      <c r="I438" s="28" t="s">
        <v>260</v>
      </c>
      <c r="J438" s="254" t="s">
        <v>1200</v>
      </c>
      <c r="K438" s="129">
        <v>46198.390266203707</v>
      </c>
      <c r="L438" s="129" t="s">
        <v>2027</v>
      </c>
      <c r="M438" s="129" t="s">
        <v>2028</v>
      </c>
      <c r="N438" s="129"/>
      <c r="O438" s="129"/>
      <c r="P438" s="129"/>
      <c r="Q438" s="28" t="s">
        <v>2029</v>
      </c>
      <c r="R438" s="127"/>
      <c r="S438" s="127"/>
      <c r="T438" s="127"/>
      <c r="U438" s="127" t="s">
        <v>371</v>
      </c>
      <c r="Z438" s="169">
        <f t="shared" ca="1" si="56"/>
        <v>16.368707986104713</v>
      </c>
      <c r="AA438" s="170">
        <f t="shared" ca="1" si="57"/>
        <v>43.649887962945904</v>
      </c>
      <c r="AB438" s="169">
        <f t="shared" ca="1" si="58"/>
        <v>16.368025115734785</v>
      </c>
      <c r="AC438" s="170">
        <f t="shared" ca="1" si="59"/>
        <v>43.648066975292764</v>
      </c>
      <c r="AD438" s="169">
        <f t="shared" ca="1" si="60"/>
        <v>0.36393518518161727</v>
      </c>
      <c r="AE438" s="169">
        <f t="shared" ca="1" si="55"/>
        <v>18.185941782399219</v>
      </c>
      <c r="AF438" s="170">
        <f t="shared" ca="1" si="61"/>
        <v>48.495844753064581</v>
      </c>
      <c r="AG438" s="170">
        <f t="shared" ca="1" si="62"/>
        <v>48.495844753064581</v>
      </c>
      <c r="AH438" s="28" t="str" cm="1">
        <f t="array" aca="1" ref="AH438" ca="1">IF((AD438) &lt; (INDEX(ResponseSLA[#All],(MATCH((G438),ResponseSLA[Priority],0))+1,3)),"YES","No")</f>
        <v>No</v>
      </c>
      <c r="AI438" s="28" t="str">
        <f ca="1">_xlfn.IFNA(IF(AE438 &lt; (INDEX(SLATable[Minimum SLA],MATCH(G438,SLATable[Priority],0))),"YES","NO"),"")</f>
        <v>NO</v>
      </c>
      <c r="AJ438" s="28" t="str">
        <f ca="1">_xlfn.IFNA(IF(AE438 &lt; (INDEX(SLATable[Maximum SLA],MATCH(G438,SLATable[Priority],0))),"YES","NO"),"")</f>
        <v>NO</v>
      </c>
    </row>
    <row r="439" spans="2:36" ht="15" customHeight="1">
      <c r="B439" s="127" t="s">
        <v>26</v>
      </c>
      <c r="C439" s="127" t="s">
        <v>35</v>
      </c>
      <c r="D439" s="127" t="s">
        <v>207</v>
      </c>
      <c r="E439" s="28" t="s">
        <v>2030</v>
      </c>
      <c r="F439" s="28" t="s">
        <v>295</v>
      </c>
      <c r="G439" s="28">
        <v>3</v>
      </c>
      <c r="H439" s="28" t="s">
        <v>2031</v>
      </c>
      <c r="I439" s="28" t="s">
        <v>266</v>
      </c>
      <c r="J439" s="254" t="s">
        <v>1200</v>
      </c>
      <c r="K439" s="129">
        <v>46189.469837962963</v>
      </c>
      <c r="L439" s="129" t="s">
        <v>2032</v>
      </c>
      <c r="M439" s="129" t="s">
        <v>2033</v>
      </c>
      <c r="N439" s="129"/>
      <c r="O439" s="129" t="s">
        <v>2034</v>
      </c>
      <c r="P439" s="129"/>
      <c r="Q439" s="28" t="s">
        <v>2035</v>
      </c>
      <c r="R439" s="127"/>
      <c r="S439" s="127"/>
      <c r="T439" s="127"/>
      <c r="U439" s="127" t="s">
        <v>371</v>
      </c>
      <c r="Z439" s="169">
        <f t="shared" ca="1" si="56"/>
        <v>18.914136226849227</v>
      </c>
      <c r="AA439" s="170">
        <f t="shared" ca="1" si="57"/>
        <v>50.437696604931276</v>
      </c>
      <c r="AB439" s="169">
        <f t="shared" ca="1" si="58"/>
        <v>3.6404282407384017</v>
      </c>
      <c r="AC439" s="170">
        <f t="shared" ca="1" si="59"/>
        <v>9.7078086419690717</v>
      </c>
      <c r="AD439" s="169">
        <f t="shared" ca="1" si="60"/>
        <v>0.14847222222063772</v>
      </c>
      <c r="AE439" s="169">
        <f t="shared" ca="1" si="55"/>
        <v>3.6404282407384017</v>
      </c>
      <c r="AF439" s="170">
        <f t="shared" ca="1" si="61"/>
        <v>9.7078086419690717</v>
      </c>
      <c r="AG439" s="170">
        <f t="shared" ca="1" si="62"/>
        <v>9.7078086419690717</v>
      </c>
      <c r="AH439" s="28" t="str" cm="1">
        <f t="array" aca="1" ref="AH439" ca="1">IF((AD439) &lt; (INDEX(ResponseSLA[#All],(MATCH((G439),ResponseSLA[Priority],0))+1,3)),"YES","No")</f>
        <v>No</v>
      </c>
      <c r="AI439" s="28" t="str">
        <f ca="1">_xlfn.IFNA(IF(AE439 &lt; (INDEX(SLATable[Minimum SLA],MATCH(G439,SLATable[Priority],0))),"YES","NO"),"")</f>
        <v>NO</v>
      </c>
      <c r="AJ439" s="28" t="str">
        <f ca="1">_xlfn.IFNA(IF(AE439 &lt; (INDEX(SLATable[Maximum SLA],MATCH(G439,SLATable[Priority],0))),"YES","NO"),"")</f>
        <v>NO</v>
      </c>
    </row>
    <row r="440" spans="2:36" ht="15" customHeight="1">
      <c r="B440" s="127" t="s">
        <v>26</v>
      </c>
      <c r="C440" s="127" t="s">
        <v>35</v>
      </c>
      <c r="D440" s="127" t="s">
        <v>207</v>
      </c>
      <c r="E440" s="28" t="s">
        <v>2036</v>
      </c>
      <c r="F440" s="28" t="s">
        <v>301</v>
      </c>
      <c r="G440" s="28">
        <v>3</v>
      </c>
      <c r="H440" s="28" t="s">
        <v>2037</v>
      </c>
      <c r="I440" s="28" t="s">
        <v>266</v>
      </c>
      <c r="J440" s="254" t="s">
        <v>1200</v>
      </c>
      <c r="K440" s="129">
        <v>46202.31050925926</v>
      </c>
      <c r="L440" s="129" t="s">
        <v>2038</v>
      </c>
      <c r="M440" s="129" t="s">
        <v>2039</v>
      </c>
      <c r="N440" s="129"/>
      <c r="O440" s="129" t="s">
        <v>2040</v>
      </c>
      <c r="P440" s="129"/>
      <c r="Q440" s="28" t="s">
        <v>2041</v>
      </c>
      <c r="R440" s="127"/>
      <c r="S440" s="127"/>
      <c r="T440" s="127"/>
      <c r="U440" s="127" t="s">
        <v>371</v>
      </c>
      <c r="Z440" s="169">
        <f t="shared" ca="1" si="56"/>
        <v>15.675640856478518</v>
      </c>
      <c r="AA440" s="170">
        <f t="shared" ca="1" si="57"/>
        <v>41.801708950609381</v>
      </c>
      <c r="AB440" s="169">
        <f t="shared" ca="1" si="58"/>
        <v>5.9988425923317379E-2</v>
      </c>
      <c r="AC440" s="170">
        <f t="shared" ca="1" si="59"/>
        <v>0.159969135795513</v>
      </c>
      <c r="AD440" s="169">
        <f t="shared" ca="1" si="60"/>
        <v>0</v>
      </c>
      <c r="AE440" s="169">
        <f t="shared" ca="1" si="55"/>
        <v>0.11997685184663481</v>
      </c>
      <c r="AF440" s="170">
        <f t="shared" ca="1" si="61"/>
        <v>0.31993827159102617</v>
      </c>
      <c r="AG440" s="170">
        <f t="shared" ca="1" si="62"/>
        <v>0.31993827159102617</v>
      </c>
      <c r="AH440" s="28" t="str" cm="1">
        <f t="array" aca="1" ref="AH440" ca="1">IF((AD440) &lt; (INDEX(ResponseSLA[#All],(MATCH((G440),ResponseSLA[Priority],0))+1,3)),"YES","No")</f>
        <v>YES</v>
      </c>
      <c r="AI440" s="28" t="str">
        <f ca="1">_xlfn.IFNA(IF(AE440 &lt; (INDEX(SLATable[Minimum SLA],MATCH(G440,SLATable[Priority],0))),"YES","NO"),"")</f>
        <v>YES</v>
      </c>
      <c r="AJ440" s="28" t="str">
        <f ca="1">_xlfn.IFNA(IF(AE440 &lt; (INDEX(SLATable[Maximum SLA],MATCH(G440,SLATable[Priority],0))),"YES","NO"),"")</f>
        <v>YES</v>
      </c>
    </row>
    <row r="441" spans="2:36" ht="15" customHeight="1">
      <c r="B441" s="127" t="s">
        <v>26</v>
      </c>
      <c r="C441" s="127" t="s">
        <v>35</v>
      </c>
      <c r="D441" s="127" t="s">
        <v>207</v>
      </c>
      <c r="E441" s="28" t="s">
        <v>2042</v>
      </c>
      <c r="F441" s="28" t="s">
        <v>301</v>
      </c>
      <c r="G441" s="28">
        <v>2</v>
      </c>
      <c r="H441" s="28" t="s">
        <v>2043</v>
      </c>
      <c r="I441" s="28" t="s">
        <v>271</v>
      </c>
      <c r="J441" s="127" t="s">
        <v>1200</v>
      </c>
      <c r="K441" s="129">
        <v>46203.230416666673</v>
      </c>
      <c r="L441" s="129" t="s">
        <v>2044</v>
      </c>
      <c r="M441" s="129" t="s">
        <v>2045</v>
      </c>
      <c r="N441" s="129">
        <v>46203.359340277777</v>
      </c>
      <c r="O441" s="129"/>
      <c r="P441" s="129"/>
      <c r="Q441" s="28" t="s">
        <v>2041</v>
      </c>
      <c r="R441" s="127" t="s">
        <v>267</v>
      </c>
      <c r="S441" s="127" t="s">
        <v>169</v>
      </c>
      <c r="T441" s="127"/>
      <c r="U441" s="127" t="s">
        <v>371</v>
      </c>
      <c r="Z441" s="169">
        <f t="shared" ca="1" si="56"/>
        <v>0.12892361110425554</v>
      </c>
      <c r="AA441" s="170">
        <f t="shared" ca="1" si="57"/>
        <v>0.34379629627801478</v>
      </c>
      <c r="AB441" s="169">
        <f t="shared" ca="1" si="58"/>
        <v>0.12577546296233777</v>
      </c>
      <c r="AC441" s="170">
        <f t="shared" ca="1" si="59"/>
        <v>0.33540123456623405</v>
      </c>
      <c r="AD441" s="169">
        <f t="shared" ca="1" si="60"/>
        <v>7.2569444455439225E-3</v>
      </c>
      <c r="AE441" s="169">
        <f t="shared" ca="1" si="55"/>
        <v>0.12577546296233777</v>
      </c>
      <c r="AF441" s="170">
        <f t="shared" ca="1" si="61"/>
        <v>0.33540123456623405</v>
      </c>
      <c r="AG441" s="170">
        <f t="shared" ca="1" si="62"/>
        <v>0.33540123456623405</v>
      </c>
      <c r="AH441" s="28" t="str" cm="1">
        <f t="array" aca="1" ref="AH441" ca="1">IF((AD441) &lt; (INDEX(ResponseSLA[#All],(MATCH((G441),ResponseSLA[Priority],0))+1,3)),"YES","No")</f>
        <v>YES</v>
      </c>
      <c r="AI441" s="28" t="str">
        <f ca="1">_xlfn.IFNA(IF(AE441 &lt; (INDEX(SLATable[Minimum SLA],MATCH(G441,SLATable[Priority],0))),"YES","NO"),"")</f>
        <v>NO</v>
      </c>
      <c r="AJ441" s="28" t="str">
        <f ca="1">_xlfn.IFNA(IF(AE441 &lt; (INDEX(SLATable[Maximum SLA],MATCH(G441,SLATable[Priority],0))),"YES","NO"),"")</f>
        <v>YES</v>
      </c>
    </row>
    <row r="442" spans="2:36" ht="15" customHeight="1">
      <c r="B442" s="127" t="s">
        <v>26</v>
      </c>
      <c r="C442" s="127" t="s">
        <v>35</v>
      </c>
      <c r="D442" s="127" t="s">
        <v>207</v>
      </c>
      <c r="E442" s="28" t="s">
        <v>2046</v>
      </c>
      <c r="F442" s="28" t="s">
        <v>301</v>
      </c>
      <c r="G442" s="28">
        <v>3</v>
      </c>
      <c r="H442" s="28" t="s">
        <v>2047</v>
      </c>
      <c r="I442" s="28" t="s">
        <v>260</v>
      </c>
      <c r="J442" s="127" t="s">
        <v>1200</v>
      </c>
      <c r="K442" s="129">
        <v>46203.510787037027</v>
      </c>
      <c r="L442" s="129" t="s">
        <v>2048</v>
      </c>
      <c r="M442" s="129" t="s">
        <v>2049</v>
      </c>
      <c r="N442" s="129"/>
      <c r="O442" s="129"/>
      <c r="P442" s="129"/>
      <c r="Q442" s="28" t="s">
        <v>1304</v>
      </c>
      <c r="R442" s="127"/>
      <c r="S442" s="127"/>
      <c r="T442" s="127"/>
      <c r="U442" s="127" t="s">
        <v>371</v>
      </c>
      <c r="Z442" s="169">
        <f t="shared" ca="1" si="56"/>
        <v>15.123187152785251</v>
      </c>
      <c r="AA442" s="170">
        <f t="shared" ca="1" si="57"/>
        <v>40.328499074094005</v>
      </c>
      <c r="AB442" s="169">
        <f t="shared" ca="1" si="58"/>
        <v>15.106126967591992</v>
      </c>
      <c r="AC442" s="170">
        <f t="shared" ca="1" si="59"/>
        <v>40.283005246911983</v>
      </c>
      <c r="AD442" s="169">
        <f t="shared" ca="1" si="60"/>
        <v>1.2384259258396924E-2</v>
      </c>
      <c r="AE442" s="169">
        <f t="shared" ca="1" si="55"/>
        <v>15.779911689816801</v>
      </c>
      <c r="AF442" s="170">
        <f t="shared" ca="1" si="61"/>
        <v>42.079764506178137</v>
      </c>
      <c r="AG442" s="170">
        <f t="shared" ca="1" si="62"/>
        <v>42.079764506178137</v>
      </c>
      <c r="AH442" s="28" t="str" cm="1">
        <f t="array" aca="1" ref="AH442" ca="1">IF((AD442) &lt; (INDEX(ResponseSLA[#All],(MATCH((G442),ResponseSLA[Priority],0))+1,3)),"YES","No")</f>
        <v>YES</v>
      </c>
      <c r="AI442" s="28" t="str">
        <f ca="1">_xlfn.IFNA(IF(AE442 &lt; (INDEX(SLATable[Minimum SLA],MATCH(G442,SLATable[Priority],0))),"YES","NO"),"")</f>
        <v>NO</v>
      </c>
      <c r="AJ442" s="28" t="str">
        <f ca="1">_xlfn.IFNA(IF(AE442 &lt; (INDEX(SLATable[Maximum SLA],MATCH(G442,SLATable[Priority],0))),"YES","NO"),"")</f>
        <v>NO</v>
      </c>
    </row>
    <row r="443" spans="2:36" ht="15" customHeight="1">
      <c r="B443" s="127" t="s">
        <v>26</v>
      </c>
      <c r="C443" s="127" t="s">
        <v>35</v>
      </c>
      <c r="D443" s="127" t="s">
        <v>207</v>
      </c>
      <c r="E443" s="28" t="s">
        <v>2050</v>
      </c>
      <c r="F443" s="28" t="s">
        <v>295</v>
      </c>
      <c r="G443" s="28">
        <v>3</v>
      </c>
      <c r="H443" s="28" t="s">
        <v>2051</v>
      </c>
      <c r="I443" s="28" t="s">
        <v>260</v>
      </c>
      <c r="J443" s="127" t="s">
        <v>1200</v>
      </c>
      <c r="K443" s="129">
        <v>46192.602002314823</v>
      </c>
      <c r="L443" s="129" t="s">
        <v>2052</v>
      </c>
      <c r="M443" s="129" t="s">
        <v>2053</v>
      </c>
      <c r="N443" s="129"/>
      <c r="O443" s="129"/>
      <c r="P443" s="129"/>
      <c r="Q443" s="28" t="s">
        <v>695</v>
      </c>
      <c r="R443" s="127"/>
      <c r="S443" s="127"/>
      <c r="T443" s="127"/>
      <c r="U443" s="127" t="s">
        <v>371</v>
      </c>
      <c r="Z443" s="169">
        <f t="shared" ca="1" si="56"/>
        <v>17.656971874988816</v>
      </c>
      <c r="AA443" s="170">
        <f t="shared" ca="1" si="57"/>
        <v>47.085258333303514</v>
      </c>
      <c r="AB443" s="169">
        <f t="shared" ca="1" si="58"/>
        <v>17.656543634257108</v>
      </c>
      <c r="AC443" s="170">
        <f t="shared" ca="1" si="59"/>
        <v>47.08411635801896</v>
      </c>
      <c r="AD443" s="169">
        <f t="shared" ca="1" si="60"/>
        <v>0.48090277777858637</v>
      </c>
      <c r="AE443" s="169" t="e">
        <f t="shared" ca="1" si="55"/>
        <v>#N/A</v>
      </c>
      <c r="AF443" s="170" t="e">
        <f t="shared" ca="1" si="61"/>
        <v>#N/A</v>
      </c>
      <c r="AG443" s="170" t="e">
        <f t="shared" ca="1" si="62"/>
        <v>#N/A</v>
      </c>
      <c r="AH443" s="28" t="str" cm="1">
        <f t="array" aca="1" ref="AH443" ca="1">IF((AD443) &lt; (INDEX(ResponseSLA[#All],(MATCH((G443),ResponseSLA[Priority],0))+1,3)),"YES","No")</f>
        <v>No</v>
      </c>
      <c r="AI443" s="28" t="str">
        <f ca="1">_xlfn.IFNA(IF(AE443 &lt; (INDEX(SLATable[Minimum SLA],MATCH(G443,SLATable[Priority],0))),"YES","NO"),"")</f>
        <v/>
      </c>
      <c r="AJ443" s="28" t="str">
        <f ca="1">_xlfn.IFNA(IF(AE443 &lt; (INDEX(SLATable[Maximum SLA],MATCH(G443,SLATable[Priority],0))),"YES","NO"),"")</f>
        <v/>
      </c>
    </row>
    <row r="444" spans="2:36" ht="15" customHeight="1">
      <c r="B444" s="127" t="s">
        <v>26</v>
      </c>
      <c r="C444" s="127" t="s">
        <v>35</v>
      </c>
      <c r="D444" s="127" t="s">
        <v>207</v>
      </c>
      <c r="E444" s="253" t="s">
        <v>2054</v>
      </c>
      <c r="F444" s="253" t="s">
        <v>289</v>
      </c>
      <c r="G444" s="127">
        <v>3</v>
      </c>
      <c r="H444" s="253" t="s">
        <v>2055</v>
      </c>
      <c r="I444" s="253" t="s">
        <v>266</v>
      </c>
      <c r="J444" s="253" t="s">
        <v>1583</v>
      </c>
      <c r="K444" s="129">
        <v>46202.582650462966</v>
      </c>
      <c r="L444" s="129">
        <v>46203.300196759257</v>
      </c>
      <c r="M444" s="129">
        <v>46203.30028935185</v>
      </c>
      <c r="N444" s="129"/>
      <c r="O444" s="129"/>
      <c r="P444" s="129"/>
      <c r="Q444" s="253" t="s">
        <v>1113</v>
      </c>
      <c r="R444" s="127"/>
      <c r="S444" s="127"/>
      <c r="T444" s="127"/>
      <c r="U444" s="127" t="s">
        <v>371</v>
      </c>
      <c r="Z444" s="169">
        <f t="shared" ca="1" si="56"/>
        <v>15.426323726846022</v>
      </c>
      <c r="AA444" s="170">
        <f t="shared" ca="1" si="57"/>
        <v>41.136863271589391</v>
      </c>
      <c r="AB444" s="169">
        <f t="shared" ca="1" si="58"/>
        <v>15.30064085647852</v>
      </c>
      <c r="AC444" s="170">
        <f t="shared" ca="1" si="59"/>
        <v>40.801708950609381</v>
      </c>
      <c r="AD444" s="169">
        <f t="shared" ca="1" si="60"/>
        <v>0</v>
      </c>
      <c r="AE444" s="169">
        <f t="shared" ca="1" si="55"/>
        <v>15.30064085647852</v>
      </c>
      <c r="AF444" s="170">
        <f t="shared" ca="1" si="61"/>
        <v>40.801708950609381</v>
      </c>
      <c r="AG444" s="170">
        <f t="shared" ca="1" si="62"/>
        <v>40.801708950609381</v>
      </c>
      <c r="AH444" s="28" t="str" cm="1">
        <f t="array" aca="1" ref="AH444" ca="1">IF((AD444) &lt; (INDEX(ResponseSLA[#All],(MATCH((G444),ResponseSLA[Priority],0))+1,3)),"YES","No")</f>
        <v>YES</v>
      </c>
      <c r="AI444" s="28" t="str">
        <f ca="1">_xlfn.IFNA(IF(AE444 &lt; (INDEX(SLATable[Minimum SLA],MATCH(G444,SLATable[Priority],0))),"YES","NO"),"")</f>
        <v>NO</v>
      </c>
      <c r="AJ444" s="28" t="str">
        <f ca="1">_xlfn.IFNA(IF(AE444 &lt; (INDEX(SLATable[Maximum SLA],MATCH(G444,SLATable[Priority],0))),"YES","NO"),"")</f>
        <v>NO</v>
      </c>
    </row>
    <row r="445" spans="2:36" ht="15" customHeight="1">
      <c r="B445" s="127" t="s">
        <v>26</v>
      </c>
      <c r="C445" s="127" t="s">
        <v>35</v>
      </c>
      <c r="D445" s="127" t="s">
        <v>207</v>
      </c>
      <c r="E445" s="253" t="s">
        <v>2056</v>
      </c>
      <c r="F445" s="253" t="s">
        <v>295</v>
      </c>
      <c r="G445" s="127">
        <v>3</v>
      </c>
      <c r="H445" s="253" t="s">
        <v>825</v>
      </c>
      <c r="I445" s="253" t="s">
        <v>260</v>
      </c>
      <c r="J445" s="253" t="s">
        <v>1583</v>
      </c>
      <c r="K445" s="129">
        <v>46198.11859953704</v>
      </c>
      <c r="L445" s="129">
        <v>46198.307037037041</v>
      </c>
      <c r="M445" s="129">
        <v>46198.307037037041</v>
      </c>
      <c r="N445" s="129"/>
      <c r="O445" s="129"/>
      <c r="P445" s="129"/>
      <c r="Q445" s="253" t="s">
        <v>695</v>
      </c>
      <c r="R445" s="127"/>
      <c r="S445" s="127"/>
      <c r="T445" s="127"/>
      <c r="U445" s="127" t="s">
        <v>371</v>
      </c>
      <c r="Z445" s="169">
        <f t="shared" ca="1" si="56"/>
        <v>16.425640856478523</v>
      </c>
      <c r="AA445" s="170">
        <f t="shared" ca="1" si="57"/>
        <v>43.801708950609395</v>
      </c>
      <c r="AB445" s="169">
        <f t="shared" ca="1" si="58"/>
        <v>16.425640856478523</v>
      </c>
      <c r="AC445" s="170">
        <f t="shared" ca="1" si="59"/>
        <v>43.801708950609395</v>
      </c>
      <c r="AD445" s="169">
        <f t="shared" ca="1" si="60"/>
        <v>0</v>
      </c>
      <c r="AE445" s="169">
        <f t="shared" ca="1" si="55"/>
        <v>18.388927893514246</v>
      </c>
      <c r="AF445" s="170">
        <f t="shared" ca="1" si="61"/>
        <v>49.037141049371321</v>
      </c>
      <c r="AG445" s="170">
        <f t="shared" ca="1" si="62"/>
        <v>49.037141049371321</v>
      </c>
      <c r="AH445" s="28" t="str" cm="1">
        <f t="array" aca="1" ref="AH445" ca="1">IF((AD445) &lt; (INDEX(ResponseSLA[#All],(MATCH((G445),ResponseSLA[Priority],0))+1,3)),"YES","No")</f>
        <v>YES</v>
      </c>
      <c r="AI445" s="28" t="str">
        <f ca="1">_xlfn.IFNA(IF(AE445 &lt; (INDEX(SLATable[Minimum SLA],MATCH(G445,SLATable[Priority],0))),"YES","NO"),"")</f>
        <v>NO</v>
      </c>
      <c r="AJ445" s="28" t="str">
        <f ca="1">_xlfn.IFNA(IF(AE445 &lt; (INDEX(SLATable[Maximum SLA],MATCH(G445,SLATable[Priority],0))),"YES","NO"),"")</f>
        <v>NO</v>
      </c>
    </row>
    <row r="446" spans="2:36" ht="15" customHeight="1">
      <c r="B446" s="127" t="s">
        <v>26</v>
      </c>
      <c r="C446" s="127" t="s">
        <v>35</v>
      </c>
      <c r="D446" s="127" t="s">
        <v>207</v>
      </c>
      <c r="E446" s="253" t="s">
        <v>2057</v>
      </c>
      <c r="F446" s="253" t="s">
        <v>295</v>
      </c>
      <c r="G446" s="127">
        <v>3</v>
      </c>
      <c r="H446" s="253" t="s">
        <v>1777</v>
      </c>
      <c r="I446" s="253" t="s">
        <v>260</v>
      </c>
      <c r="J446" s="253" t="s">
        <v>1583</v>
      </c>
      <c r="K446" s="129">
        <v>46198.118576388886</v>
      </c>
      <c r="L446" s="129">
        <v>46198.118645833332</v>
      </c>
      <c r="M446" s="129">
        <v>46198.306828703702</v>
      </c>
      <c r="N446" s="129"/>
      <c r="O446" s="129"/>
      <c r="P446" s="129"/>
      <c r="Q446" s="253" t="s">
        <v>695</v>
      </c>
      <c r="R446" s="127"/>
      <c r="S446" s="127"/>
      <c r="T446" s="127"/>
      <c r="U446" s="127" t="s">
        <v>371</v>
      </c>
      <c r="Z446" s="169">
        <f t="shared" ca="1" si="56"/>
        <v>16.425640856478523</v>
      </c>
      <c r="AA446" s="170">
        <f t="shared" ca="1" si="57"/>
        <v>43.801708950609395</v>
      </c>
      <c r="AB446" s="169">
        <f t="shared" ca="1" si="58"/>
        <v>16.425640856478523</v>
      </c>
      <c r="AC446" s="170">
        <f t="shared" ca="1" si="59"/>
        <v>43.801708950609395</v>
      </c>
      <c r="AD446" s="169">
        <f t="shared" ca="1" si="60"/>
        <v>0</v>
      </c>
      <c r="AE446" s="169">
        <f t="shared" ca="1" si="55"/>
        <v>18.390085300923001</v>
      </c>
      <c r="AF446" s="170">
        <f t="shared" ca="1" si="61"/>
        <v>49.040227469127998</v>
      </c>
      <c r="AG446" s="170">
        <f t="shared" ca="1" si="62"/>
        <v>49.040227469127998</v>
      </c>
      <c r="AH446" s="28" t="str" cm="1">
        <f t="array" aca="1" ref="AH446" ca="1">IF((AD446) &lt; (INDEX(ResponseSLA[#All],(MATCH((G446),ResponseSLA[Priority],0))+1,3)),"YES","No")</f>
        <v>YES</v>
      </c>
      <c r="AI446" s="28" t="str">
        <f ca="1">_xlfn.IFNA(IF(AE446 &lt; (INDEX(SLATable[Minimum SLA],MATCH(G446,SLATable[Priority],0))),"YES","NO"),"")</f>
        <v>NO</v>
      </c>
      <c r="AJ446" s="28" t="str">
        <f ca="1">_xlfn.IFNA(IF(AE446 &lt; (INDEX(SLATable[Maximum SLA],MATCH(G446,SLATable[Priority],0))),"YES","NO"),"")</f>
        <v>NO</v>
      </c>
    </row>
    <row r="447" spans="2:36" ht="15" customHeight="1">
      <c r="B447" s="127" t="s">
        <v>26</v>
      </c>
      <c r="C447" s="127" t="s">
        <v>35</v>
      </c>
      <c r="D447" s="127" t="s">
        <v>207</v>
      </c>
      <c r="E447" s="253" t="s">
        <v>2058</v>
      </c>
      <c r="F447" s="253" t="s">
        <v>295</v>
      </c>
      <c r="G447" s="127">
        <v>3</v>
      </c>
      <c r="H447" s="253" t="s">
        <v>1773</v>
      </c>
      <c r="I447" s="253" t="s">
        <v>260</v>
      </c>
      <c r="J447" s="253" t="s">
        <v>1583</v>
      </c>
      <c r="K447" s="129">
        <v>46198.118495370371</v>
      </c>
      <c r="L447" s="129">
        <v>46198.118541666663</v>
      </c>
      <c r="M447" s="129">
        <v>46198.306608796294</v>
      </c>
      <c r="N447" s="129"/>
      <c r="O447" s="129"/>
      <c r="P447" s="129"/>
      <c r="Q447" s="253" t="s">
        <v>695</v>
      </c>
      <c r="R447" s="127"/>
      <c r="S447" s="127"/>
      <c r="T447" s="127"/>
      <c r="U447" s="127" t="s">
        <v>371</v>
      </c>
      <c r="Z447" s="169">
        <f t="shared" ca="1" si="56"/>
        <v>16.425640856478523</v>
      </c>
      <c r="AA447" s="170">
        <f t="shared" ca="1" si="57"/>
        <v>43.801708950609395</v>
      </c>
      <c r="AB447" s="169">
        <f t="shared" ca="1" si="58"/>
        <v>16.425640856478523</v>
      </c>
      <c r="AC447" s="170">
        <f t="shared" ca="1" si="59"/>
        <v>43.801708950609395</v>
      </c>
      <c r="AD447" s="169">
        <f t="shared" ca="1" si="60"/>
        <v>0</v>
      </c>
      <c r="AE447" s="169">
        <f t="shared" ca="1" si="55"/>
        <v>18.391080671293221</v>
      </c>
      <c r="AF447" s="170">
        <f t="shared" ca="1" si="61"/>
        <v>49.042881790115253</v>
      </c>
      <c r="AG447" s="170">
        <f t="shared" ca="1" si="62"/>
        <v>49.042881790115253</v>
      </c>
      <c r="AH447" s="28" t="str" cm="1">
        <f t="array" aca="1" ref="AH447" ca="1">IF((AD447) &lt; (INDEX(ResponseSLA[#All],(MATCH((G447),ResponseSLA[Priority],0))+1,3)),"YES","No")</f>
        <v>YES</v>
      </c>
      <c r="AI447" s="28" t="str">
        <f ca="1">_xlfn.IFNA(IF(AE447 &lt; (INDEX(SLATable[Minimum SLA],MATCH(G447,SLATable[Priority],0))),"YES","NO"),"")</f>
        <v>NO</v>
      </c>
      <c r="AJ447" s="28" t="str">
        <f ca="1">_xlfn.IFNA(IF(AE447 &lt; (INDEX(SLATable[Maximum SLA],MATCH(G447,SLATable[Priority],0))),"YES","NO"),"")</f>
        <v>NO</v>
      </c>
    </row>
    <row r="448" spans="2:36" ht="15" customHeight="1">
      <c r="B448" s="127" t="s">
        <v>26</v>
      </c>
      <c r="C448" s="127" t="s">
        <v>35</v>
      </c>
      <c r="D448" s="127" t="s">
        <v>207</v>
      </c>
      <c r="E448" s="253" t="s">
        <v>2059</v>
      </c>
      <c r="F448" s="253" t="s">
        <v>295</v>
      </c>
      <c r="G448" s="127">
        <v>3</v>
      </c>
      <c r="H448" s="253" t="s">
        <v>2060</v>
      </c>
      <c r="I448" s="253" t="s">
        <v>260</v>
      </c>
      <c r="J448" s="253" t="s">
        <v>1583</v>
      </c>
      <c r="K448" s="129">
        <v>46197.955381944441</v>
      </c>
      <c r="L448" s="129">
        <v>46197.962094907409</v>
      </c>
      <c r="M448" s="129">
        <v>46198.344537037039</v>
      </c>
      <c r="N448" s="129"/>
      <c r="O448" s="129"/>
      <c r="P448" s="129"/>
      <c r="Q448" s="253" t="s">
        <v>695</v>
      </c>
      <c r="R448" s="127"/>
      <c r="S448" s="127"/>
      <c r="T448" s="127"/>
      <c r="U448" s="127" t="s">
        <v>371</v>
      </c>
      <c r="Z448" s="169">
        <f t="shared" ca="1" si="56"/>
        <v>16.425640856478523</v>
      </c>
      <c r="AA448" s="170">
        <f t="shared" ca="1" si="57"/>
        <v>43.801708950609395</v>
      </c>
      <c r="AB448" s="169">
        <f t="shared" ca="1" si="58"/>
        <v>16.425640856478523</v>
      </c>
      <c r="AC448" s="170">
        <f t="shared" ca="1" si="59"/>
        <v>43.801708950609395</v>
      </c>
      <c r="AD448" s="169">
        <f t="shared" ca="1" si="60"/>
        <v>1.1203703705784052E-2</v>
      </c>
      <c r="AE448" s="169">
        <f t="shared" ca="1" si="55"/>
        <v>18.380571412034143</v>
      </c>
      <c r="AF448" s="170">
        <f t="shared" ca="1" si="61"/>
        <v>49.014857098757716</v>
      </c>
      <c r="AG448" s="170">
        <f t="shared" ca="1" si="62"/>
        <v>49.014857098757716</v>
      </c>
      <c r="AH448" s="28" t="str" cm="1">
        <f t="array" aca="1" ref="AH448" ca="1">IF((AD448) &lt; (INDEX(ResponseSLA[#All],(MATCH((G448),ResponseSLA[Priority],0))+1,3)),"YES","No")</f>
        <v>YES</v>
      </c>
      <c r="AI448" s="28" t="str">
        <f ca="1">_xlfn.IFNA(IF(AE448 &lt; (INDEX(SLATable[Minimum SLA],MATCH(G448,SLATable[Priority],0))),"YES","NO"),"")</f>
        <v>NO</v>
      </c>
      <c r="AJ448" s="28" t="str">
        <f ca="1">_xlfn.IFNA(IF(AE448 &lt; (INDEX(SLATable[Maximum SLA],MATCH(G448,SLATable[Priority],0))),"YES","NO"),"")</f>
        <v>NO</v>
      </c>
    </row>
    <row r="449" spans="2:36" ht="15" customHeight="1">
      <c r="B449" s="127" t="s">
        <v>26</v>
      </c>
      <c r="C449" s="127" t="s">
        <v>35</v>
      </c>
      <c r="D449" s="127" t="s">
        <v>207</v>
      </c>
      <c r="E449" s="253" t="s">
        <v>2061</v>
      </c>
      <c r="F449" s="253" t="s">
        <v>295</v>
      </c>
      <c r="G449" s="127">
        <v>3</v>
      </c>
      <c r="H449" s="253" t="s">
        <v>1051</v>
      </c>
      <c r="I449" s="253" t="s">
        <v>260</v>
      </c>
      <c r="J449" s="253" t="s">
        <v>1583</v>
      </c>
      <c r="K449" s="129">
        <v>46197.903634259259</v>
      </c>
      <c r="L449" s="129">
        <v>46197.911006944443</v>
      </c>
      <c r="M449" s="129">
        <v>46198.344259259262</v>
      </c>
      <c r="N449" s="129"/>
      <c r="O449" s="129"/>
      <c r="P449" s="129"/>
      <c r="Q449" s="253" t="s">
        <v>695</v>
      </c>
      <c r="R449" s="127"/>
      <c r="S449" s="127"/>
      <c r="T449" s="127"/>
      <c r="U449" s="127" t="s">
        <v>371</v>
      </c>
      <c r="Z449" s="169">
        <f t="shared" ca="1" si="56"/>
        <v>16.425640856478523</v>
      </c>
      <c r="AA449" s="170">
        <f t="shared" ca="1" si="57"/>
        <v>43.801708950609395</v>
      </c>
      <c r="AB449" s="169">
        <f t="shared" ca="1" si="58"/>
        <v>16.425640856478523</v>
      </c>
      <c r="AC449" s="170">
        <f t="shared" ca="1" si="59"/>
        <v>43.801708950609395</v>
      </c>
      <c r="AD449" s="169">
        <f t="shared" ca="1" si="60"/>
        <v>1.0925925928556013E-2</v>
      </c>
      <c r="AE449" s="169">
        <f t="shared" ca="1" si="55"/>
        <v>18.381497337958237</v>
      </c>
      <c r="AF449" s="170">
        <f t="shared" ca="1" si="61"/>
        <v>49.017326234555298</v>
      </c>
      <c r="AG449" s="170">
        <f t="shared" ca="1" si="62"/>
        <v>49.017326234555298</v>
      </c>
      <c r="AH449" s="28" t="str" cm="1">
        <f t="array" aca="1" ref="AH449" ca="1">IF((AD449) &lt; (INDEX(ResponseSLA[#All],(MATCH((G449),ResponseSLA[Priority],0))+1,3)),"YES","No")</f>
        <v>YES</v>
      </c>
      <c r="AI449" s="28" t="str">
        <f ca="1">_xlfn.IFNA(IF(AE449 &lt; (INDEX(SLATable[Minimum SLA],MATCH(G449,SLATable[Priority],0))),"YES","NO"),"")</f>
        <v>NO</v>
      </c>
      <c r="AJ449" s="28" t="str">
        <f ca="1">_xlfn.IFNA(IF(AE449 &lt; (INDEX(SLATable[Maximum SLA],MATCH(G449,SLATable[Priority],0))),"YES","NO"),"")</f>
        <v>NO</v>
      </c>
    </row>
    <row r="450" spans="2:36" ht="15" customHeight="1">
      <c r="B450" s="127" t="s">
        <v>26</v>
      </c>
      <c r="C450" s="127" t="s">
        <v>35</v>
      </c>
      <c r="D450" s="127" t="s">
        <v>207</v>
      </c>
      <c r="E450" s="253" t="s">
        <v>2062</v>
      </c>
      <c r="F450" s="253" t="s">
        <v>295</v>
      </c>
      <c r="G450" s="127">
        <v>4</v>
      </c>
      <c r="H450" s="253" t="s">
        <v>2063</v>
      </c>
      <c r="I450" s="253" t="s">
        <v>271</v>
      </c>
      <c r="J450" s="253" t="s">
        <v>1583</v>
      </c>
      <c r="K450" s="129">
        <v>46175.809120370373</v>
      </c>
      <c r="L450" s="129">
        <v>46175.809189814812</v>
      </c>
      <c r="M450" s="129">
        <v>46176.192164351851</v>
      </c>
      <c r="N450" s="129">
        <v>46203.298495370371</v>
      </c>
      <c r="O450" s="129">
        <v>46199.386296296296</v>
      </c>
      <c r="P450" s="129">
        <v>46202.90792824074</v>
      </c>
      <c r="Q450" s="253" t="s">
        <v>1113</v>
      </c>
      <c r="R450" s="127" t="s">
        <v>267</v>
      </c>
      <c r="S450" s="127" t="s">
        <v>149</v>
      </c>
      <c r="T450" s="127"/>
      <c r="U450" s="127" t="s">
        <v>371</v>
      </c>
      <c r="Z450" s="169">
        <f t="shared" ca="1" si="56"/>
        <v>6.427962962962436</v>
      </c>
      <c r="AA450" s="170">
        <f t="shared" ca="1" si="57"/>
        <v>17.141234567899829</v>
      </c>
      <c r="AB450" s="169">
        <f t="shared" ca="1" si="58"/>
        <v>6.427962962962436</v>
      </c>
      <c r="AC450" s="170">
        <f t="shared" ca="1" si="59"/>
        <v>17.141234567899829</v>
      </c>
      <c r="AD450" s="169">
        <f t="shared" ca="1" si="60"/>
        <v>0</v>
      </c>
      <c r="AE450" s="169">
        <f t="shared" ref="AE450:AE482" ca="1" si="63">SUMIFS(AB:AB,E:E,E450)</f>
        <v>6.427962962962436</v>
      </c>
      <c r="AF450" s="170">
        <f t="shared" ca="1" si="61"/>
        <v>17.141234567899829</v>
      </c>
      <c r="AG450" s="170">
        <f t="shared" ca="1" si="62"/>
        <v>17.141234567899829</v>
      </c>
      <c r="AH450" s="28" t="str" cm="1">
        <f t="array" aca="1" ref="AH450" ca="1">IF((AD450) &lt; (INDEX(ResponseSLA[#All],(MATCH((G450),ResponseSLA[Priority],0))+1,3)),"YES","No")</f>
        <v>YES</v>
      </c>
      <c r="AI450" s="28" t="str">
        <f ca="1">_xlfn.IFNA(IF(AE450 &lt; (INDEX(SLATable[Minimum SLA],MATCH(G450,SLATable[Priority],0))),"YES","NO"),"")</f>
        <v>NO</v>
      </c>
      <c r="AJ450" s="28" t="str">
        <f ca="1">_xlfn.IFNA(IF(AE450 &lt; (INDEX(SLATable[Maximum SLA],MATCH(G450,SLATable[Priority],0))),"YES","NO"),"")</f>
        <v>NO</v>
      </c>
    </row>
    <row r="451" spans="2:36" ht="15" customHeight="1">
      <c r="B451" s="127" t="s">
        <v>26</v>
      </c>
      <c r="C451" s="127" t="s">
        <v>35</v>
      </c>
      <c r="D451" s="127" t="s">
        <v>207</v>
      </c>
      <c r="E451" s="127" t="s">
        <v>2064</v>
      </c>
      <c r="F451" s="127" t="s">
        <v>292</v>
      </c>
      <c r="G451" s="127">
        <v>4</v>
      </c>
      <c r="H451" s="127" t="s">
        <v>2065</v>
      </c>
      <c r="I451" s="127" t="s">
        <v>271</v>
      </c>
      <c r="J451" s="127" t="s">
        <v>1033</v>
      </c>
      <c r="K451" s="129">
        <v>46182.438136574077</v>
      </c>
      <c r="L451" s="129">
        <v>46182.438136574077</v>
      </c>
      <c r="M451" s="129">
        <v>46182.451527777775</v>
      </c>
      <c r="N451" s="129">
        <v>46190.452476851853</v>
      </c>
      <c r="O451" s="129">
        <v>46182.451527777775</v>
      </c>
      <c r="P451" s="129">
        <v>46190.452476851853</v>
      </c>
      <c r="Q451" s="127" t="s">
        <v>1034</v>
      </c>
      <c r="R451" s="127" t="s">
        <v>276</v>
      </c>
      <c r="S451" s="127" t="s">
        <v>199</v>
      </c>
      <c r="T451" s="127" t="s">
        <v>297</v>
      </c>
      <c r="U451" s="127" t="s">
        <v>371</v>
      </c>
      <c r="Z451" s="169">
        <f t="shared" ca="1" si="56"/>
        <v>1.339120369812008E-2</v>
      </c>
      <c r="AA451" s="170">
        <f t="shared" ca="1" si="57"/>
        <v>3.5709876528320215E-2</v>
      </c>
      <c r="AB451" s="169">
        <f t="shared" ca="1" si="58"/>
        <v>1.339120369812008E-2</v>
      </c>
      <c r="AC451" s="170">
        <f t="shared" ca="1" si="59"/>
        <v>3.5709876528320215E-2</v>
      </c>
      <c r="AD451" s="169">
        <f t="shared" ca="1" si="60"/>
        <v>1.339120369812008E-2</v>
      </c>
      <c r="AE451" s="169">
        <f t="shared" ca="1" si="63"/>
        <v>1.339120369812008E-2</v>
      </c>
      <c r="AF451" s="170">
        <f t="shared" ca="1" si="61"/>
        <v>3.5709876528320215E-2</v>
      </c>
      <c r="AG451" s="170">
        <f t="shared" ca="1" si="62"/>
        <v>3.5709876528320215E-2</v>
      </c>
      <c r="AH451" s="28" t="str" cm="1">
        <f t="array" aca="1" ref="AH451" ca="1">IF((AD451) &lt; (INDEX(ResponseSLA[#All],(MATCH((G451),ResponseSLA[Priority],0))+1,3)),"YES","No")</f>
        <v>YES</v>
      </c>
      <c r="AI451" s="28" t="str">
        <f ca="1">_xlfn.IFNA(IF(AE451 &lt; (INDEX(SLATable[Minimum SLA],MATCH(G451,SLATable[Priority],0))),"YES","NO"),"")</f>
        <v>YES</v>
      </c>
      <c r="AJ451" s="28" t="str">
        <f ca="1">_xlfn.IFNA(IF(AE451 &lt; (INDEX(SLATable[Maximum SLA],MATCH(G451,SLATable[Priority],0))),"YES","NO"),"")</f>
        <v>YES</v>
      </c>
    </row>
    <row r="452" spans="2:36" ht="15" customHeight="1">
      <c r="B452" s="127" t="s">
        <v>26</v>
      </c>
      <c r="C452" s="127" t="s">
        <v>35</v>
      </c>
      <c r="D452" s="127" t="s">
        <v>207</v>
      </c>
      <c r="E452" s="127" t="s">
        <v>2066</v>
      </c>
      <c r="F452" s="127" t="s">
        <v>292</v>
      </c>
      <c r="G452" s="127">
        <v>4</v>
      </c>
      <c r="H452" s="127" t="s">
        <v>2067</v>
      </c>
      <c r="I452" s="127" t="s">
        <v>271</v>
      </c>
      <c r="J452" s="127" t="s">
        <v>1033</v>
      </c>
      <c r="K452" s="129">
        <v>46168.36791666667</v>
      </c>
      <c r="L452" s="129">
        <v>46168.414594907408</v>
      </c>
      <c r="M452" s="129">
        <v>46168.491527777776</v>
      </c>
      <c r="N452" s="129">
        <v>46171.839548611111</v>
      </c>
      <c r="O452" s="129">
        <v>46170.328472222223</v>
      </c>
      <c r="P452" s="129">
        <v>46171.839548611111</v>
      </c>
      <c r="Q452" s="127" t="s">
        <v>1034</v>
      </c>
      <c r="R452" s="127" t="s">
        <v>267</v>
      </c>
      <c r="S452" s="127" t="s">
        <v>195</v>
      </c>
      <c r="T452" s="127" t="s">
        <v>334</v>
      </c>
      <c r="U452" s="127" t="s">
        <v>371</v>
      </c>
      <c r="Z452" s="169">
        <f t="shared" ca="1" si="56"/>
        <v>0.71541666666356218</v>
      </c>
      <c r="AA452" s="170">
        <f t="shared" ca="1" si="57"/>
        <v>1.9077777777694993</v>
      </c>
      <c r="AB452" s="169">
        <f t="shared" ca="1" si="58"/>
        <v>0.66873842592516053</v>
      </c>
      <c r="AC452" s="170">
        <f t="shared" ca="1" si="59"/>
        <v>1.7833024691337616</v>
      </c>
      <c r="AD452" s="169">
        <f t="shared" ca="1" si="60"/>
        <v>7.6932870368182193E-2</v>
      </c>
      <c r="AE452" s="169">
        <f t="shared" ca="1" si="63"/>
        <v>0.66873842592516053</v>
      </c>
      <c r="AF452" s="170">
        <f t="shared" ca="1" si="61"/>
        <v>1.7833024691337616</v>
      </c>
      <c r="AG452" s="170">
        <f t="shared" ca="1" si="62"/>
        <v>1.7833024691337616</v>
      </c>
      <c r="AH452" s="28" t="str" cm="1">
        <f t="array" aca="1" ref="AH452" ca="1">IF((AD452) &lt; (INDEX(ResponseSLA[#All],(MATCH((G452),ResponseSLA[Priority],0))+1,3)),"YES","No")</f>
        <v>YES</v>
      </c>
      <c r="AI452" s="28" t="str">
        <f ca="1">_xlfn.IFNA(IF(AE452 &lt; (INDEX(SLATable[Minimum SLA],MATCH(G452,SLATable[Priority],0))),"YES","NO"),"")</f>
        <v>YES</v>
      </c>
      <c r="AJ452" s="28" t="str">
        <f ca="1">_xlfn.IFNA(IF(AE452 &lt; (INDEX(SLATable[Maximum SLA],MATCH(G452,SLATable[Priority],0))),"YES","NO"),"")</f>
        <v>YES</v>
      </c>
    </row>
    <row r="453" spans="2:36" ht="15" customHeight="1">
      <c r="B453" s="127" t="s">
        <v>26</v>
      </c>
      <c r="C453" s="127" t="s">
        <v>35</v>
      </c>
      <c r="D453" s="127" t="s">
        <v>208</v>
      </c>
      <c r="E453" s="127" t="s">
        <v>2068</v>
      </c>
      <c r="F453" s="127" t="s">
        <v>303</v>
      </c>
      <c r="G453" s="127" t="s">
        <v>208</v>
      </c>
      <c r="H453" s="127" t="s">
        <v>2069</v>
      </c>
      <c r="I453" s="127" t="s">
        <v>271</v>
      </c>
      <c r="J453" s="127" t="s">
        <v>1033</v>
      </c>
      <c r="K453" s="129">
        <v>46183.434733796297</v>
      </c>
      <c r="L453" s="129">
        <v>46190.463009259256</v>
      </c>
      <c r="M453" s="129">
        <v>46191.484571759262</v>
      </c>
      <c r="N453" s="129">
        <v>46202.451701388891</v>
      </c>
      <c r="O453" s="129"/>
      <c r="P453" s="129"/>
      <c r="Q453" s="127" t="s">
        <v>2070</v>
      </c>
      <c r="R453" s="127" t="s">
        <v>267</v>
      </c>
      <c r="S453" s="127" t="s">
        <v>179</v>
      </c>
      <c r="T453" s="127"/>
      <c r="U453" s="127" t="s">
        <v>371</v>
      </c>
      <c r="Z453" s="169">
        <f t="shared" ca="1" si="56"/>
        <v>4.8919675925935744</v>
      </c>
      <c r="AA453" s="170">
        <f t="shared" ca="1" si="57"/>
        <v>13.045246913582865</v>
      </c>
      <c r="AB453" s="169">
        <f t="shared" ca="1" si="58"/>
        <v>2.9886921296347286</v>
      </c>
      <c r="AC453" s="170">
        <f t="shared" ca="1" si="59"/>
        <v>7.9698456790259433</v>
      </c>
      <c r="AD453" s="169">
        <f t="shared" ca="1" si="60"/>
        <v>0.39656250000552973</v>
      </c>
      <c r="AE453" s="169">
        <f t="shared" ca="1" si="63"/>
        <v>2.9886921296347286</v>
      </c>
      <c r="AF453" s="170">
        <f t="shared" ca="1" si="61"/>
        <v>7.9698456790259433</v>
      </c>
      <c r="AG453" s="170">
        <f t="shared" ca="1" si="62"/>
        <v>7.9698456790259433</v>
      </c>
      <c r="AH453" s="28" t="str" cm="1">
        <f t="array" aca="1" ref="AH453" ca="1">IF((AD453) &lt; (INDEX(ResponseSLA[#All],(MATCH((G453),ResponseSLA[Priority],0))+1,3)),"YES","No")</f>
        <v>No</v>
      </c>
      <c r="AI453" s="28" t="str">
        <f ca="1">_xlfn.IFNA(IF(AE453 &lt; (INDEX(SLATable[Minimum SLA],MATCH(G453,SLATable[Priority],0))),"YES","NO"),"")</f>
        <v>NO</v>
      </c>
      <c r="AJ453" s="28" t="str">
        <f ca="1">_xlfn.IFNA(IF(AE453 &lt; (INDEX(SLATable[Maximum SLA],MATCH(G453,SLATable[Priority],0))),"YES","NO"),"")</f>
        <v>NO</v>
      </c>
    </row>
    <row r="454" spans="2:36" ht="15" customHeight="1">
      <c r="B454" s="127" t="s">
        <v>26</v>
      </c>
      <c r="C454" s="127" t="s">
        <v>35</v>
      </c>
      <c r="D454" s="127" t="s">
        <v>208</v>
      </c>
      <c r="E454" s="127" t="s">
        <v>2071</v>
      </c>
      <c r="F454" s="127" t="s">
        <v>303</v>
      </c>
      <c r="G454" s="127" t="s">
        <v>208</v>
      </c>
      <c r="H454" s="127" t="s">
        <v>2069</v>
      </c>
      <c r="I454" s="127" t="s">
        <v>271</v>
      </c>
      <c r="J454" s="127" t="s">
        <v>1033</v>
      </c>
      <c r="K454" s="129">
        <v>46183.429062499999</v>
      </c>
      <c r="L454" s="129">
        <v>46188.438240740739</v>
      </c>
      <c r="M454" s="129">
        <v>46189.331967592596</v>
      </c>
      <c r="N454" s="129">
        <v>46202.451840277776</v>
      </c>
      <c r="O454" s="129"/>
      <c r="P454" s="129"/>
      <c r="Q454" s="127" t="s">
        <v>2070</v>
      </c>
      <c r="R454" s="127" t="s">
        <v>267</v>
      </c>
      <c r="S454" s="127" t="s">
        <v>179</v>
      </c>
      <c r="T454" s="127"/>
      <c r="U454" s="127" t="s">
        <v>371</v>
      </c>
      <c r="Z454" s="169">
        <f t="shared" ca="1" si="56"/>
        <v>4.8977777777763558</v>
      </c>
      <c r="AA454" s="170">
        <f t="shared" ca="1" si="57"/>
        <v>13.06074074073695</v>
      </c>
      <c r="AB454" s="169">
        <f t="shared" ca="1" si="58"/>
        <v>3.7635995370364981</v>
      </c>
      <c r="AC454" s="170">
        <f t="shared" ca="1" si="59"/>
        <v>10.036265432097329</v>
      </c>
      <c r="AD454" s="169">
        <f t="shared" ca="1" si="60"/>
        <v>0.2700925925940586</v>
      </c>
      <c r="AE454" s="169">
        <f t="shared" ca="1" si="63"/>
        <v>3.7635995370364981</v>
      </c>
      <c r="AF454" s="170">
        <f t="shared" ca="1" si="61"/>
        <v>10.036265432097329</v>
      </c>
      <c r="AG454" s="170">
        <f t="shared" ca="1" si="62"/>
        <v>10.036265432097329</v>
      </c>
      <c r="AH454" s="28" t="str" cm="1">
        <f t="array" aca="1" ref="AH454" ca="1">IF((AD454) &lt; (INDEX(ResponseSLA[#All],(MATCH((G454),ResponseSLA[Priority],0))+1,3)),"YES","No")</f>
        <v>YES</v>
      </c>
      <c r="AI454" s="28" t="str">
        <f ca="1">_xlfn.IFNA(IF(AE454 &lt; (INDEX(SLATable[Minimum SLA],MATCH(G454,SLATable[Priority],0))),"YES","NO"),"")</f>
        <v>NO</v>
      </c>
      <c r="AJ454" s="28" t="str">
        <f ca="1">_xlfn.IFNA(IF(AE454 &lt; (INDEX(SLATable[Maximum SLA],MATCH(G454,SLATable[Priority],0))),"YES","NO"),"")</f>
        <v>NO</v>
      </c>
    </row>
    <row r="455" spans="2:36" ht="15" customHeight="1">
      <c r="B455" s="127" t="s">
        <v>26</v>
      </c>
      <c r="C455" s="127" t="s">
        <v>35</v>
      </c>
      <c r="D455" s="127" t="s">
        <v>207</v>
      </c>
      <c r="E455" s="253" t="s">
        <v>2072</v>
      </c>
      <c r="F455" s="253" t="s">
        <v>289</v>
      </c>
      <c r="G455" s="127">
        <v>3</v>
      </c>
      <c r="H455" s="253" t="s">
        <v>2073</v>
      </c>
      <c r="I455" s="127" t="s">
        <v>271</v>
      </c>
      <c r="J455" s="253" t="s">
        <v>1583</v>
      </c>
      <c r="K455" s="129">
        <v>46192.054502314815</v>
      </c>
      <c r="L455" s="129">
        <v>46192.054629629631</v>
      </c>
      <c r="M455" s="129">
        <v>46192.301770833335</v>
      </c>
      <c r="N455" s="129">
        <v>46196.212476851855</v>
      </c>
      <c r="O455" s="129"/>
      <c r="P455" s="129"/>
      <c r="Q455" s="253" t="s">
        <v>1065</v>
      </c>
      <c r="R455" s="127" t="s">
        <v>267</v>
      </c>
      <c r="S455" s="127" t="s">
        <v>149</v>
      </c>
      <c r="T455" s="403" t="s">
        <v>1519</v>
      </c>
      <c r="U455" s="127" t="s">
        <v>371</v>
      </c>
      <c r="Z455" s="169">
        <f t="shared" ref="Z455:Z482" ca="1" si="64">IF(NOT(OR(G455=1,G455=2)),MAX(0,_xlfn.IFS(AND(K455&lt;&gt;"",N455&lt;&gt;""),((MAX(NETWORKDAYS(K455,N455,UKBankHolidays)-1,0))*(TIME(17,0,0)-TIME(8,0,0))+IF(NETWORKDAYS(N455,N455,UKBankHolidays)&gt;0,MEDIAN(TIME(8,0,0),MOD(N455,1),TIME(17,0,0)),TIME(8,0,0))-IF(NETWORKDAYS(K455,K455,UKBankHolidays)&gt;0,MEDIAN(TIME(8,0,0),MOD(K455,1),TIME(17,0,0)),TIME(8,0,0)))-IF(AND(O455&lt;&gt;"",P455&lt;&gt;""),((MAX(NETWORKDAYS(O455,P455,UKBankHolidays)-1,0))*(TIME(17,0,0)-TIME(8,0,0))+IF(NETWORKDAYS(P455,P455,UKBankHolidays)&gt;0,MEDIAN(TIME(8,0,0),MOD(P455,1),TIME(17,0,0)),TIME(8,0,0))-IF(NETWORKDAYS(O455,O455,UKBankHolidays)&gt;0,MEDIAN(TIME(8,0,0),MOD(O455,1),TIME(17,0,0)),TIME(8,0,0))),0),AND(K455&lt;&gt;"",N455=""),((MAX(NETWORKDAYS(K455,NOW(),UKBankHolidays)-1,0))*(TIME(17,0,0)-TIME(8,0,0))+IF(NETWORKDAYS(NOW(),NOW(),UKBankHolidays)&gt;0,MEDIAN(TIME(8,0,0),MOD(NOW(),1),TIME(17,0,0)),TIME(8,0,0))-IF(NETWORKDAYS(K455,K455,UKBankHolidays)&gt;0,MEDIAN(TIME(8,0,0),MOD(K455,1),TIME(17,0,0)),TIME(8,0,0))))),IF(N455="",NOW()-K455,N455-K455))</f>
        <v>0.75000000000000022</v>
      </c>
      <c r="AA455" s="170">
        <f t="shared" ref="AA455:AA482" ca="1" si="65">(Z455*24)/9</f>
        <v>2.0000000000000009</v>
      </c>
      <c r="AB455" s="169">
        <f t="shared" ref="AB455:AB482" ca="1" si="66">IF(NOT(OR(G455=1,G455=2)),MAX(0,_xlfn.IFS(AND(K455&lt;&gt;"",N455&lt;&gt;""),(((MAX(NETWORKDAYS(L455,N455,UKBankHolidays)-1,0))*(TIME(17,0,0)-TIME(8,0,0)))+IF(NETWORKDAYS(N455,N455,UKBankHolidays)&gt;0,MEDIAN(TIME(8,0,0),MOD(N455,1),TIME(17,0,0)),TIME(8,0,0))-IF(NETWORKDAYS(L455,L455,UKBankHolidays)&gt;0,MEDIAN(TIME(8,0,0),MOD(L455,1),TIME(17,0,0)),TIME(8,0,0)))-IF(AND(O455&lt;&gt;"",P455&lt;&gt;""),(((MAX(NETWORKDAYS(O455,P455,UKBankHolidays)-1,0))*(TIME(17,0,0)-TIME(8,0,0)))+IF(NETWORKDAYS(P455,P455,UKBankHolidays)&gt;0,MEDIAN(TIME(8,0,0),MOD(P455,1),TIME(17,0,0)),TIME(8,0,0))-IF(NETWORKDAYS(O455,O455,UKBankHolidays)&gt;0,MEDIAN(TIME(8,0,0),MOD(O455,1),TIME(17,0,0)),TIME(8,0,0))),0),AND(L455&lt;&gt;"",N455="",O455=""),(((MAX(NETWORKDAYS(L455,NOW(),UKBankHolidays)-1,0))*(TIME(17,0,0)-TIME(8,0,0)))+IF(NETWORKDAYS(NOW(),NOW(),UKBankHolidays)&gt;0,MEDIAN(TIME(8,0,0),MOD(NOW(),1),TIME(17,0,0)),TIME(8,0,0))-IF(NETWORKDAYS(L455,L455,UKBankHolidays)&gt;0,MEDIAN(TIME(8,0,0),MOD(L455,1),TIME(17,0,0)),TIME(8,0,0)))-IF(AND(O455&lt;&gt;"",P455&lt;&gt;""),(((MAX(NETWORKDAYS(O455,P455,UKBankHolidays)-1,0))*(TIME(17,0,0)-TIME(8,0,0)))+IF(NETWORKDAYS(P455,P455,UKBankHolidays)&gt;0,MEDIAN(TIME(8,0,0),MOD(P455,1),TIME(17,0,0)),TIME(8,0,0))-IF(NETWORKDAYS(O455,O455,UKBankHolidays)&gt;0,MEDIAN(TIME(8,0,0),MOD(O455,1),TIME(17,0,0)),TIME(8,0,0))),0),AND(L455&lt;&gt;"",N455="",P455="",O455&lt;&gt;""),(((MAX(NETWORKDAYS(L455,O455,UKBankHolidays)-1,0))*(TIME(17,0,0)-TIME(8,0,0)))+IF(NETWORKDAYS(O455,O455,UKBankHolidays)&gt;0,MEDIAN(TIME(8,0,0),MOD(O455,1),TIME(17,0,0)),TIME(8,0,0))-IF(NETWORKDAYS(L455,L455,UKBankHolidays)&gt;0,MEDIAN(TIME(8,0,0),MOD(L455,1),TIME(17,0,0)),TIME(8,0,0))),ISBLANK(K455),"0")),IF(ISBLANK(N455),NOW()-L455,N455-L455))</f>
        <v>0.75000000000000022</v>
      </c>
      <c r="AC455" s="170">
        <f t="shared" ref="AC455:AC482" ca="1" si="67">(AB455*24)/9</f>
        <v>2.0000000000000009</v>
      </c>
      <c r="AD455" s="169">
        <f t="shared" ref="AD455:AD482" ca="1" si="68">MAX(0,IF(NOT(OR(G455=1,G455=2)),IF(M455&lt;&gt;"",((MAX(NETWORKDAYS(L455,M455,UKBankHolidays)-1,0))*(TIME(17,0,0)-TIME(8,0,0))+IF(NETWORKDAYS(M455,M455,UKBankHolidays)&gt;0,MEDIAN(TIME(8,0,0),MOD(M455,1),TIME(17,0,0)),TIME(8,0,0))-MEDIAN(TIME(8,0,0),MOD(L455,1),TIME(17,0,0))),((MAX(NETWORKDAYS(L455,NOW(),UKBankHolidays)-1,0))*(TIME(17,0,0)-TIME(8,0,0))+IF(NETWORKDAYS(NOW(),NOW(),UKBankHolidays)&gt;0,MEDIAN(TIME(8,0,0),MOD(NOW(),1),TIME(17,0,0)),TIME(8,0,0))-MEDIAN(TIME(8,0,0),MOD(L455,1),TIME(17,0,0)))),IF(M455&lt;&gt;"",M455-L455,NOW()-L455)))</f>
        <v>0</v>
      </c>
      <c r="AE455" s="169">
        <f t="shared" ca="1" si="63"/>
        <v>0.75000000000000022</v>
      </c>
      <c r="AF455" s="170">
        <f t="shared" ref="AF455:AF482" ca="1" si="69">(AE455*24)/9</f>
        <v>2.0000000000000009</v>
      </c>
      <c r="AG455" s="170">
        <f t="shared" ref="AG455:AG482" ca="1" si="70">AF455</f>
        <v>2.0000000000000009</v>
      </c>
      <c r="AH455" s="28" t="str" cm="1">
        <f t="array" aca="1" ref="AH455" ca="1">IF((AD455) &lt; (INDEX(ResponseSLA[#All],(MATCH((G455),ResponseSLA[Priority],0))+1,3)),"YES","No")</f>
        <v>YES</v>
      </c>
      <c r="AI455" s="28" t="str">
        <f ca="1">_xlfn.IFNA(IF(AE455 &lt; (INDEX(SLATable[Minimum SLA],MATCH(G455,SLATable[Priority],0))),"YES","NO"),"")</f>
        <v>NO</v>
      </c>
      <c r="AJ455" s="28" t="str">
        <f ca="1">_xlfn.IFNA(IF(AE455 &lt; (INDEX(SLATable[Maximum SLA],MATCH(G455,SLATable[Priority],0))),"YES","NO"),"")</f>
        <v>YES</v>
      </c>
    </row>
    <row r="456" spans="2:36" ht="15" customHeight="1">
      <c r="B456" s="127" t="s">
        <v>26</v>
      </c>
      <c r="C456" s="127" t="s">
        <v>35</v>
      </c>
      <c r="D456" s="127" t="s">
        <v>207</v>
      </c>
      <c r="E456" s="253" t="s">
        <v>2074</v>
      </c>
      <c r="F456" s="253" t="s">
        <v>289</v>
      </c>
      <c r="G456" s="127">
        <v>4</v>
      </c>
      <c r="H456" s="253" t="s">
        <v>2075</v>
      </c>
      <c r="I456" s="127" t="s">
        <v>271</v>
      </c>
      <c r="J456" s="253" t="s">
        <v>1583</v>
      </c>
      <c r="K456" s="129">
        <v>46191.464606481481</v>
      </c>
      <c r="L456" s="129">
        <v>46191.46471064815</v>
      </c>
      <c r="M456" s="129">
        <v>46191.482488425929</v>
      </c>
      <c r="N456" s="129">
        <v>46196.21125</v>
      </c>
      <c r="O456" s="129"/>
      <c r="P456" s="129"/>
      <c r="Q456" s="253" t="s">
        <v>1065</v>
      </c>
      <c r="R456" s="127" t="s">
        <v>267</v>
      </c>
      <c r="S456" s="127" t="s">
        <v>149</v>
      </c>
      <c r="T456" s="404" t="s">
        <v>1455</v>
      </c>
      <c r="U456" s="127" t="s">
        <v>371</v>
      </c>
      <c r="Z456" s="169">
        <f t="shared" ca="1" si="64"/>
        <v>0.99372685185274667</v>
      </c>
      <c r="AA456" s="170">
        <f t="shared" ca="1" si="65"/>
        <v>2.6499382716073243</v>
      </c>
      <c r="AB456" s="169">
        <f t="shared" ca="1" si="66"/>
        <v>0.99362268518355767</v>
      </c>
      <c r="AC456" s="170">
        <f t="shared" ca="1" si="67"/>
        <v>2.6496604938228203</v>
      </c>
      <c r="AD456" s="169">
        <f t="shared" ca="1" si="68"/>
        <v>1.7777777778974269E-2</v>
      </c>
      <c r="AE456" s="169">
        <f t="shared" ca="1" si="63"/>
        <v>0.99362268518355767</v>
      </c>
      <c r="AF456" s="170">
        <f t="shared" ca="1" si="69"/>
        <v>2.6496604938228203</v>
      </c>
      <c r="AG456" s="170">
        <f t="shared" ca="1" si="70"/>
        <v>2.6496604938228203</v>
      </c>
      <c r="AH456" s="28" t="str" cm="1">
        <f t="array" aca="1" ref="AH456" ca="1">IF((AD456) &lt; (INDEX(ResponseSLA[#All],(MATCH((G456),ResponseSLA[Priority],0))+1,3)),"YES","No")</f>
        <v>YES</v>
      </c>
      <c r="AI456" s="28" t="str">
        <f ca="1">_xlfn.IFNA(IF(AE456 &lt; (INDEX(SLATable[Minimum SLA],MATCH(G456,SLATable[Priority],0))),"YES","NO"),"")</f>
        <v>YES</v>
      </c>
      <c r="AJ456" s="28" t="str">
        <f ca="1">_xlfn.IFNA(IF(AE456 &lt; (INDEX(SLATable[Maximum SLA],MATCH(G456,SLATable[Priority],0))),"YES","NO"),"")</f>
        <v>YES</v>
      </c>
    </row>
    <row r="457" spans="2:36" ht="15" customHeight="1">
      <c r="B457" s="127" t="s">
        <v>26</v>
      </c>
      <c r="C457" s="127" t="s">
        <v>35</v>
      </c>
      <c r="D457" s="127" t="s">
        <v>207</v>
      </c>
      <c r="E457" s="253" t="s">
        <v>2076</v>
      </c>
      <c r="F457" s="253" t="s">
        <v>289</v>
      </c>
      <c r="G457" s="127">
        <v>4</v>
      </c>
      <c r="H457" s="253" t="s">
        <v>2077</v>
      </c>
      <c r="I457" s="127" t="s">
        <v>271</v>
      </c>
      <c r="J457" s="253" t="s">
        <v>1583</v>
      </c>
      <c r="K457" s="129">
        <v>46191.175879629627</v>
      </c>
      <c r="L457" s="129">
        <v>46192.745023148149</v>
      </c>
      <c r="M457" s="129">
        <v>46195.301585648151</v>
      </c>
      <c r="N457" s="129">
        <v>46196.21193287037</v>
      </c>
      <c r="O457" s="129"/>
      <c r="P457" s="129"/>
      <c r="Q457" s="253" t="s">
        <v>2078</v>
      </c>
      <c r="R457" s="127" t="s">
        <v>267</v>
      </c>
      <c r="S457" s="127" t="s">
        <v>149</v>
      </c>
      <c r="T457" s="404" t="s">
        <v>1455</v>
      </c>
      <c r="U457" s="127" t="s">
        <v>371</v>
      </c>
      <c r="Z457" s="169">
        <f t="shared" ca="1" si="64"/>
        <v>1.1250000000000002</v>
      </c>
      <c r="AA457" s="170">
        <f t="shared" ca="1" si="65"/>
        <v>3.0000000000000009</v>
      </c>
      <c r="AB457" s="169">
        <f t="shared" ca="1" si="66"/>
        <v>0.37500000000000011</v>
      </c>
      <c r="AC457" s="170">
        <f t="shared" ca="1" si="67"/>
        <v>1.0000000000000004</v>
      </c>
      <c r="AD457" s="169">
        <f t="shared" ca="1" si="68"/>
        <v>0</v>
      </c>
      <c r="AE457" s="169">
        <f t="shared" ca="1" si="63"/>
        <v>0.37500000000000011</v>
      </c>
      <c r="AF457" s="170">
        <f t="shared" ca="1" si="69"/>
        <v>1.0000000000000004</v>
      </c>
      <c r="AG457" s="170">
        <f t="shared" ca="1" si="70"/>
        <v>1.0000000000000004</v>
      </c>
      <c r="AH457" s="28" t="str" cm="1">
        <f t="array" aca="1" ref="AH457" ca="1">IF((AD457) &lt; (INDEX(ResponseSLA[#All],(MATCH((G457),ResponseSLA[Priority],0))+1,3)),"YES","No")</f>
        <v>YES</v>
      </c>
      <c r="AI457" s="28" t="str">
        <f ca="1">_xlfn.IFNA(IF(AE457 &lt; (INDEX(SLATable[Minimum SLA],MATCH(G457,SLATable[Priority],0))),"YES","NO"),"")</f>
        <v>YES</v>
      </c>
      <c r="AJ457" s="28" t="str">
        <f ca="1">_xlfn.IFNA(IF(AE457 &lt; (INDEX(SLATable[Maximum SLA],MATCH(G457,SLATable[Priority],0))),"YES","NO"),"")</f>
        <v>YES</v>
      </c>
    </row>
    <row r="458" spans="2:36" ht="15" customHeight="1">
      <c r="B458" s="127" t="s">
        <v>26</v>
      </c>
      <c r="C458" s="127" t="s">
        <v>35</v>
      </c>
      <c r="D458" s="127" t="s">
        <v>207</v>
      </c>
      <c r="E458" s="253" t="s">
        <v>2079</v>
      </c>
      <c r="F458" s="253" t="s">
        <v>289</v>
      </c>
      <c r="G458" s="127">
        <v>4</v>
      </c>
      <c r="H458" s="253" t="s">
        <v>2080</v>
      </c>
      <c r="I458" s="127" t="s">
        <v>271</v>
      </c>
      <c r="J458" s="253" t="s">
        <v>1583</v>
      </c>
      <c r="K458" s="129">
        <v>46191.107268518521</v>
      </c>
      <c r="L458" s="129">
        <v>46181.312060185184</v>
      </c>
      <c r="M458" s="129">
        <v>46181.312060185184</v>
      </c>
      <c r="N458" s="129">
        <v>46191.453333333331</v>
      </c>
      <c r="O458" s="129"/>
      <c r="P458" s="129"/>
      <c r="Q458" s="253" t="s">
        <v>1164</v>
      </c>
      <c r="R458" s="127" t="s">
        <v>267</v>
      </c>
      <c r="S458" s="127" t="s">
        <v>149</v>
      </c>
      <c r="T458" s="404" t="s">
        <v>1455</v>
      </c>
      <c r="U458" s="127" t="s">
        <v>371</v>
      </c>
      <c r="Z458" s="169">
        <f t="shared" ca="1" si="64"/>
        <v>0.11999999999776872</v>
      </c>
      <c r="AA458" s="170">
        <f t="shared" ca="1" si="65"/>
        <v>0.31999999999404993</v>
      </c>
      <c r="AB458" s="169">
        <f t="shared" ca="1" si="66"/>
        <v>3.119999999997769</v>
      </c>
      <c r="AC458" s="170">
        <f t="shared" ca="1" si="67"/>
        <v>8.3199999999940495</v>
      </c>
      <c r="AD458" s="169">
        <f t="shared" ca="1" si="68"/>
        <v>0</v>
      </c>
      <c r="AE458" s="169">
        <f t="shared" ca="1" si="63"/>
        <v>3.119999999997769</v>
      </c>
      <c r="AF458" s="170">
        <f t="shared" ca="1" si="69"/>
        <v>8.3199999999940495</v>
      </c>
      <c r="AG458" s="170">
        <f t="shared" ca="1" si="70"/>
        <v>8.3199999999940495</v>
      </c>
      <c r="AH458" s="28" t="str" cm="1">
        <f t="array" aca="1" ref="AH458" ca="1">IF((AD458) &lt; (INDEX(ResponseSLA[#All],(MATCH((G458),ResponseSLA[Priority],0))+1,3)),"YES","No")</f>
        <v>YES</v>
      </c>
      <c r="AI458" s="28" t="str">
        <f ca="1">_xlfn.IFNA(IF(AE458 &lt; (INDEX(SLATable[Minimum SLA],MATCH(G458,SLATable[Priority],0))),"YES","NO"),"")</f>
        <v>YES</v>
      </c>
      <c r="AJ458" s="28" t="str">
        <f ca="1">_xlfn.IFNA(IF(AE458 &lt; (INDEX(SLATable[Maximum SLA],MATCH(G458,SLATable[Priority],0))),"YES","NO"),"")</f>
        <v>YES</v>
      </c>
    </row>
    <row r="459" spans="2:36" ht="15" customHeight="1">
      <c r="B459" s="127" t="s">
        <v>26</v>
      </c>
      <c r="C459" s="127" t="s">
        <v>35</v>
      </c>
      <c r="D459" s="127" t="s">
        <v>207</v>
      </c>
      <c r="E459" s="253" t="s">
        <v>2081</v>
      </c>
      <c r="F459" s="253" t="s">
        <v>289</v>
      </c>
      <c r="G459" s="127">
        <v>3</v>
      </c>
      <c r="H459" s="253" t="s">
        <v>2082</v>
      </c>
      <c r="I459" s="127" t="s">
        <v>271</v>
      </c>
      <c r="J459" s="253" t="s">
        <v>1583</v>
      </c>
      <c r="K459" s="129">
        <v>46189.054247685184</v>
      </c>
      <c r="L459" s="129">
        <v>46189.054270833331</v>
      </c>
      <c r="M459" s="129">
        <v>46189.316261574073</v>
      </c>
      <c r="N459" s="129">
        <v>46190.385254629633</v>
      </c>
      <c r="O459" s="129"/>
      <c r="P459" s="129"/>
      <c r="Q459" s="253" t="s">
        <v>1065</v>
      </c>
      <c r="R459" s="127" t="s">
        <v>267</v>
      </c>
      <c r="S459" s="127" t="s">
        <v>149</v>
      </c>
      <c r="T459" s="404" t="s">
        <v>1455</v>
      </c>
      <c r="U459" s="127" t="s">
        <v>371</v>
      </c>
      <c r="Z459" s="169">
        <f t="shared" ca="1" si="64"/>
        <v>0.42692129629964864</v>
      </c>
      <c r="AA459" s="170">
        <f t="shared" ca="1" si="65"/>
        <v>1.1384567901323963</v>
      </c>
      <c r="AB459" s="169">
        <f t="shared" ca="1" si="66"/>
        <v>0.42692129629964864</v>
      </c>
      <c r="AC459" s="170">
        <f t="shared" ca="1" si="67"/>
        <v>1.1384567901323963</v>
      </c>
      <c r="AD459" s="169">
        <f t="shared" ca="1" si="68"/>
        <v>0</v>
      </c>
      <c r="AE459" s="169">
        <f t="shared" ca="1" si="63"/>
        <v>0.42692129629964864</v>
      </c>
      <c r="AF459" s="170">
        <f t="shared" ca="1" si="69"/>
        <v>1.1384567901323963</v>
      </c>
      <c r="AG459" s="170">
        <f t="shared" ca="1" si="70"/>
        <v>1.1384567901323963</v>
      </c>
      <c r="AH459" s="28" t="str" cm="1">
        <f t="array" aca="1" ref="AH459" ca="1">IF((AD459) &lt; (INDEX(ResponseSLA[#All],(MATCH((G459),ResponseSLA[Priority],0))+1,3)),"YES","No")</f>
        <v>YES</v>
      </c>
      <c r="AI459" s="28" t="str">
        <f ca="1">_xlfn.IFNA(IF(AE459 &lt; (INDEX(SLATable[Minimum SLA],MATCH(G459,SLATable[Priority],0))),"YES","NO"),"")</f>
        <v>NO</v>
      </c>
      <c r="AJ459" s="28" t="str">
        <f ca="1">_xlfn.IFNA(IF(AE459 &lt; (INDEX(SLATable[Maximum SLA],MATCH(G459,SLATable[Priority],0))),"YES","NO"),"")</f>
        <v>YES</v>
      </c>
    </row>
    <row r="460" spans="2:36" ht="15" customHeight="1">
      <c r="B460" s="127" t="s">
        <v>26</v>
      </c>
      <c r="C460" s="127" t="s">
        <v>35</v>
      </c>
      <c r="D460" s="127" t="s">
        <v>207</v>
      </c>
      <c r="E460" s="253" t="s">
        <v>2083</v>
      </c>
      <c r="F460" s="253" t="s">
        <v>289</v>
      </c>
      <c r="G460" s="127">
        <v>3</v>
      </c>
      <c r="H460" s="253" t="s">
        <v>2084</v>
      </c>
      <c r="I460" s="127" t="s">
        <v>271</v>
      </c>
      <c r="J460" s="253" t="s">
        <v>1583</v>
      </c>
      <c r="K460" s="129">
        <v>46188.557534722226</v>
      </c>
      <c r="L460" s="129">
        <v>46188.924930555557</v>
      </c>
      <c r="M460" s="129">
        <v>46190.313726851855</v>
      </c>
      <c r="N460" s="129">
        <v>46190.507106481484</v>
      </c>
      <c r="O460" s="129"/>
      <c r="P460" s="129"/>
      <c r="Q460" s="253" t="s">
        <v>1068</v>
      </c>
      <c r="R460" s="127" t="s">
        <v>267</v>
      </c>
      <c r="S460" s="127" t="s">
        <v>199</v>
      </c>
      <c r="T460" s="404" t="s">
        <v>1455</v>
      </c>
      <c r="U460" s="127" t="s">
        <v>371</v>
      </c>
      <c r="Z460" s="169">
        <f t="shared" ca="1" si="64"/>
        <v>0.69957175925810589</v>
      </c>
      <c r="AA460" s="170">
        <f t="shared" ca="1" si="65"/>
        <v>1.865524691354949</v>
      </c>
      <c r="AB460" s="169">
        <f t="shared" ca="1" si="66"/>
        <v>0.54877314815045486</v>
      </c>
      <c r="AC460" s="170">
        <f t="shared" ca="1" si="67"/>
        <v>1.4633950617345464</v>
      </c>
      <c r="AD460" s="169">
        <f t="shared" ca="1" si="68"/>
        <v>0.37500000000000011</v>
      </c>
      <c r="AE460" s="169">
        <f t="shared" ca="1" si="63"/>
        <v>0.54877314815045486</v>
      </c>
      <c r="AF460" s="170">
        <f t="shared" ca="1" si="69"/>
        <v>1.4633950617345464</v>
      </c>
      <c r="AG460" s="170">
        <f t="shared" ca="1" si="70"/>
        <v>1.4633950617345464</v>
      </c>
      <c r="AH460" s="28" t="str" cm="1">
        <f t="array" aca="1" ref="AH460" ca="1">IF((AD460) &lt; (INDEX(ResponseSLA[#All],(MATCH((G460),ResponseSLA[Priority],0))+1,3)),"YES","No")</f>
        <v>No</v>
      </c>
      <c r="AI460" s="28" t="str">
        <f ca="1">_xlfn.IFNA(IF(AE460 &lt; (INDEX(SLATable[Minimum SLA],MATCH(G460,SLATable[Priority],0))),"YES","NO"),"")</f>
        <v>NO</v>
      </c>
      <c r="AJ460" s="28" t="str">
        <f ca="1">_xlfn.IFNA(IF(AE460 &lt; (INDEX(SLATable[Maximum SLA],MATCH(G460,SLATable[Priority],0))),"YES","NO"),"")</f>
        <v>YES</v>
      </c>
    </row>
    <row r="461" spans="2:36" ht="15" customHeight="1">
      <c r="B461" s="127" t="s">
        <v>26</v>
      </c>
      <c r="C461" s="127" t="s">
        <v>35</v>
      </c>
      <c r="D461" s="127" t="s">
        <v>207</v>
      </c>
      <c r="E461" s="253" t="s">
        <v>2085</v>
      </c>
      <c r="F461" s="253" t="s">
        <v>289</v>
      </c>
      <c r="G461" s="127">
        <v>4</v>
      </c>
      <c r="H461" s="253" t="s">
        <v>2086</v>
      </c>
      <c r="I461" s="127" t="s">
        <v>271</v>
      </c>
      <c r="J461" s="253" t="s">
        <v>1583</v>
      </c>
      <c r="K461" s="129">
        <v>46188.506122685183</v>
      </c>
      <c r="L461" s="129">
        <v>46189.314583333333</v>
      </c>
      <c r="M461" s="129">
        <v>46189.314583333333</v>
      </c>
      <c r="N461" s="129">
        <v>46198.521238425928</v>
      </c>
      <c r="O461" s="129">
        <v>46198.374965277777</v>
      </c>
      <c r="P461" s="129">
        <v>46198.521238425928</v>
      </c>
      <c r="Q461" s="253" t="s">
        <v>1098</v>
      </c>
      <c r="R461" s="127" t="s">
        <v>276</v>
      </c>
      <c r="S461" s="127" t="s">
        <v>141</v>
      </c>
      <c r="T461" s="404" t="s">
        <v>1455</v>
      </c>
      <c r="U461" s="127" t="s">
        <v>371</v>
      </c>
      <c r="Z461" s="169">
        <f t="shared" ca="1" si="64"/>
        <v>2.868842592593865</v>
      </c>
      <c r="AA461" s="170">
        <f t="shared" ca="1" si="65"/>
        <v>7.65024691358364</v>
      </c>
      <c r="AB461" s="169">
        <f t="shared" ca="1" si="66"/>
        <v>2.666631944443604</v>
      </c>
      <c r="AC461" s="170">
        <f t="shared" ca="1" si="67"/>
        <v>7.1110185185162775</v>
      </c>
      <c r="AD461" s="169">
        <f t="shared" ca="1" si="68"/>
        <v>0</v>
      </c>
      <c r="AE461" s="169">
        <f t="shared" ca="1" si="63"/>
        <v>2.666631944443604</v>
      </c>
      <c r="AF461" s="170">
        <f t="shared" ca="1" si="69"/>
        <v>7.1110185185162775</v>
      </c>
      <c r="AG461" s="170">
        <f t="shared" ca="1" si="70"/>
        <v>7.1110185185162775</v>
      </c>
      <c r="AH461" s="28" t="str" cm="1">
        <f t="array" aca="1" ref="AH461" ca="1">IF((AD461) &lt; (INDEX(ResponseSLA[#All],(MATCH((G461),ResponseSLA[Priority],0))+1,3)),"YES","No")</f>
        <v>YES</v>
      </c>
      <c r="AI461" s="28" t="str">
        <f ca="1">_xlfn.IFNA(IF(AE461 &lt; (INDEX(SLATable[Minimum SLA],MATCH(G461,SLATable[Priority],0))),"YES","NO"),"")</f>
        <v>YES</v>
      </c>
      <c r="AJ461" s="28" t="str">
        <f ca="1">_xlfn.IFNA(IF(AE461 &lt; (INDEX(SLATable[Maximum SLA],MATCH(G461,SLATable[Priority],0))),"YES","NO"),"")</f>
        <v>YES</v>
      </c>
    </row>
    <row r="462" spans="2:36" ht="15" customHeight="1">
      <c r="B462" s="127" t="s">
        <v>26</v>
      </c>
      <c r="C462" s="127" t="s">
        <v>35</v>
      </c>
      <c r="D462" s="127" t="s">
        <v>207</v>
      </c>
      <c r="E462" s="253" t="s">
        <v>2087</v>
      </c>
      <c r="F462" s="253" t="s">
        <v>289</v>
      </c>
      <c r="G462" s="127">
        <v>4</v>
      </c>
      <c r="H462" s="253" t="s">
        <v>2088</v>
      </c>
      <c r="I462" s="127" t="s">
        <v>271</v>
      </c>
      <c r="J462" s="253" t="s">
        <v>1583</v>
      </c>
      <c r="K462" s="129">
        <v>46181.596597222226</v>
      </c>
      <c r="L462" s="129">
        <v>46181.614768518521</v>
      </c>
      <c r="M462" s="129">
        <v>46182.288055555553</v>
      </c>
      <c r="N462" s="129">
        <v>46189.422858796293</v>
      </c>
      <c r="O462" s="129">
        <v>46179.144259259258</v>
      </c>
      <c r="P462" s="129">
        <v>46189.20144675926</v>
      </c>
      <c r="Q462" s="253" t="s">
        <v>1343</v>
      </c>
      <c r="R462" s="127" t="s">
        <v>267</v>
      </c>
      <c r="S462" s="127" t="s">
        <v>141</v>
      </c>
      <c r="T462" s="404" t="s">
        <v>1455</v>
      </c>
      <c r="U462" s="127" t="s">
        <v>371</v>
      </c>
      <c r="Z462" s="169">
        <f t="shared" ca="1" si="64"/>
        <v>0</v>
      </c>
      <c r="AA462" s="170">
        <f t="shared" ca="1" si="65"/>
        <v>0</v>
      </c>
      <c r="AB462" s="169">
        <f t="shared" ca="1" si="66"/>
        <v>0</v>
      </c>
      <c r="AC462" s="170">
        <f t="shared" ca="1" si="67"/>
        <v>0</v>
      </c>
      <c r="AD462" s="169">
        <f t="shared" ca="1" si="68"/>
        <v>9.3564814812756025E-2</v>
      </c>
      <c r="AE462" s="169">
        <f t="shared" ca="1" si="63"/>
        <v>0</v>
      </c>
      <c r="AF462" s="170">
        <f t="shared" ca="1" si="69"/>
        <v>0</v>
      </c>
      <c r="AG462" s="170">
        <f t="shared" ca="1" si="70"/>
        <v>0</v>
      </c>
      <c r="AH462" s="28" t="str" cm="1">
        <f t="array" aca="1" ref="AH462" ca="1">IF((AD462) &lt; (INDEX(ResponseSLA[#All],(MATCH((G462),ResponseSLA[Priority],0))+1,3)),"YES","No")</f>
        <v>YES</v>
      </c>
      <c r="AI462" s="28" t="str">
        <f ca="1">_xlfn.IFNA(IF(AE462 &lt; (INDEX(SLATable[Minimum SLA],MATCH(G462,SLATable[Priority],0))),"YES","NO"),"")</f>
        <v>YES</v>
      </c>
      <c r="AJ462" s="28" t="str">
        <f ca="1">_xlfn.IFNA(IF(AE462 &lt; (INDEX(SLATable[Maximum SLA],MATCH(G462,SLATable[Priority],0))),"YES","NO"),"")</f>
        <v>YES</v>
      </c>
    </row>
    <row r="463" spans="2:36" ht="15" customHeight="1">
      <c r="B463" s="127" t="s">
        <v>26</v>
      </c>
      <c r="C463" s="127" t="s">
        <v>35</v>
      </c>
      <c r="D463" s="127" t="s">
        <v>207</v>
      </c>
      <c r="E463" s="253" t="s">
        <v>2089</v>
      </c>
      <c r="F463" s="253" t="s">
        <v>292</v>
      </c>
      <c r="G463" s="127">
        <v>4</v>
      </c>
      <c r="H463" s="253" t="s">
        <v>2090</v>
      </c>
      <c r="I463" s="127" t="s">
        <v>271</v>
      </c>
      <c r="J463" s="253" t="s">
        <v>1583</v>
      </c>
      <c r="K463" s="129">
        <v>46178.642870370371</v>
      </c>
      <c r="L463" s="129">
        <v>46181.282627314817</v>
      </c>
      <c r="M463" s="129">
        <v>46181.282627314817</v>
      </c>
      <c r="N463" s="129">
        <v>46189.481990740744</v>
      </c>
      <c r="O463" s="129">
        <v>46189.137418981481</v>
      </c>
      <c r="P463" s="129">
        <v>46189.481990740744</v>
      </c>
      <c r="Q463" s="253" t="s">
        <v>1073</v>
      </c>
      <c r="R463" s="127" t="s">
        <v>276</v>
      </c>
      <c r="S463" s="127" t="s">
        <v>199</v>
      </c>
      <c r="T463" s="404" t="s">
        <v>1455</v>
      </c>
      <c r="U463" s="127" t="s">
        <v>371</v>
      </c>
      <c r="Z463" s="169">
        <f t="shared" ca="1" si="64"/>
        <v>2.3154629629619503</v>
      </c>
      <c r="AA463" s="170">
        <f t="shared" ca="1" si="65"/>
        <v>6.1745679012318675</v>
      </c>
      <c r="AB463" s="169">
        <f t="shared" ca="1" si="66"/>
        <v>2.2500000000000004</v>
      </c>
      <c r="AC463" s="170">
        <f t="shared" ca="1" si="67"/>
        <v>6.0000000000000018</v>
      </c>
      <c r="AD463" s="169">
        <f t="shared" ca="1" si="68"/>
        <v>0</v>
      </c>
      <c r="AE463" s="169">
        <f t="shared" ca="1" si="63"/>
        <v>2.2500000000000004</v>
      </c>
      <c r="AF463" s="170">
        <f t="shared" ca="1" si="69"/>
        <v>6.0000000000000018</v>
      </c>
      <c r="AG463" s="170">
        <f t="shared" ca="1" si="70"/>
        <v>6.0000000000000018</v>
      </c>
      <c r="AH463" s="28" t="str" cm="1">
        <f t="array" aca="1" ref="AH463" ca="1">IF((AD463) &lt; (INDEX(ResponseSLA[#All],(MATCH((G463),ResponseSLA[Priority],0))+1,3)),"YES","No")</f>
        <v>YES</v>
      </c>
      <c r="AI463" s="28" t="str">
        <f ca="1">_xlfn.IFNA(IF(AE463 &lt; (INDEX(SLATable[Minimum SLA],MATCH(G463,SLATable[Priority],0))),"YES","NO"),"")</f>
        <v>YES</v>
      </c>
      <c r="AJ463" s="28" t="str">
        <f ca="1">_xlfn.IFNA(IF(AE463 &lt; (INDEX(SLATable[Maximum SLA],MATCH(G463,SLATable[Priority],0))),"YES","NO"),"")</f>
        <v>YES</v>
      </c>
    </row>
    <row r="464" spans="2:36" ht="15" customHeight="1">
      <c r="B464" s="127" t="s">
        <v>26</v>
      </c>
      <c r="C464" s="127" t="s">
        <v>35</v>
      </c>
      <c r="D464" s="127" t="s">
        <v>207</v>
      </c>
      <c r="E464" s="253" t="s">
        <v>2091</v>
      </c>
      <c r="F464" s="253" t="s">
        <v>289</v>
      </c>
      <c r="G464" s="127">
        <v>4</v>
      </c>
      <c r="H464" s="253" t="s">
        <v>2092</v>
      </c>
      <c r="I464" s="127" t="s">
        <v>271</v>
      </c>
      <c r="J464" s="253" t="s">
        <v>1583</v>
      </c>
      <c r="K464" s="129">
        <v>46178.054027777776</v>
      </c>
      <c r="L464" s="129">
        <v>46178.374988425923</v>
      </c>
      <c r="M464" s="129">
        <v>46178.374988425923</v>
      </c>
      <c r="N464" s="129">
        <v>46181.482835648145</v>
      </c>
      <c r="O464" s="129"/>
      <c r="P464" s="129"/>
      <c r="Q464" s="253" t="s">
        <v>1065</v>
      </c>
      <c r="R464" s="127" t="s">
        <v>267</v>
      </c>
      <c r="S464" s="127" t="s">
        <v>149</v>
      </c>
      <c r="T464" s="404" t="s">
        <v>1455</v>
      </c>
      <c r="U464" s="127" t="s">
        <v>371</v>
      </c>
      <c r="Z464" s="169">
        <f t="shared" ca="1" si="64"/>
        <v>0.5245023148114949</v>
      </c>
      <c r="AA464" s="170">
        <f t="shared" ca="1" si="65"/>
        <v>1.3986728394973198</v>
      </c>
      <c r="AB464" s="169">
        <f t="shared" ca="1" si="66"/>
        <v>0.48284722222160781</v>
      </c>
      <c r="AC464" s="170">
        <f t="shared" ca="1" si="67"/>
        <v>1.2875925925909542</v>
      </c>
      <c r="AD464" s="169">
        <f t="shared" ca="1" si="68"/>
        <v>0</v>
      </c>
      <c r="AE464" s="169">
        <f t="shared" ca="1" si="63"/>
        <v>0.48284722222160781</v>
      </c>
      <c r="AF464" s="170">
        <f t="shared" ca="1" si="69"/>
        <v>1.2875925925909542</v>
      </c>
      <c r="AG464" s="170">
        <f t="shared" ca="1" si="70"/>
        <v>1.2875925925909542</v>
      </c>
      <c r="AH464" s="28" t="str" cm="1">
        <f t="array" aca="1" ref="AH464" ca="1">IF((AD464) &lt; (INDEX(ResponseSLA[#All],(MATCH((G464),ResponseSLA[Priority],0))+1,3)),"YES","No")</f>
        <v>YES</v>
      </c>
      <c r="AI464" s="28" t="str">
        <f ca="1">_xlfn.IFNA(IF(AE464 &lt; (INDEX(SLATable[Minimum SLA],MATCH(G464,SLATable[Priority],0))),"YES","NO"),"")</f>
        <v>YES</v>
      </c>
      <c r="AJ464" s="28" t="str">
        <f ca="1">_xlfn.IFNA(IF(AE464 &lt; (INDEX(SLATable[Maximum SLA],MATCH(G464,SLATable[Priority],0))),"YES","NO"),"")</f>
        <v>YES</v>
      </c>
    </row>
    <row r="465" spans="2:36" ht="15" customHeight="1">
      <c r="B465" s="127" t="s">
        <v>26</v>
      </c>
      <c r="C465" s="127" t="s">
        <v>35</v>
      </c>
      <c r="D465" s="127" t="s">
        <v>207</v>
      </c>
      <c r="E465" s="253" t="s">
        <v>1606</v>
      </c>
      <c r="F465" s="253" t="s">
        <v>292</v>
      </c>
      <c r="G465" s="127">
        <v>4</v>
      </c>
      <c r="H465" s="253" t="s">
        <v>1607</v>
      </c>
      <c r="I465" s="127" t="s">
        <v>271</v>
      </c>
      <c r="J465" s="253" t="s">
        <v>1583</v>
      </c>
      <c r="K465" s="129">
        <v>46169.442627314813</v>
      </c>
      <c r="L465" s="129">
        <v>46169.618078703701</v>
      </c>
      <c r="M465" s="129">
        <v>46169.618078703701</v>
      </c>
      <c r="N465" s="129">
        <v>46176.456608796296</v>
      </c>
      <c r="O465" s="129">
        <v>46170.340636574074</v>
      </c>
      <c r="P465" s="129">
        <v>46175.776388888888</v>
      </c>
      <c r="Q465" s="253" t="s">
        <v>1073</v>
      </c>
      <c r="R465" s="127" t="s">
        <v>267</v>
      </c>
      <c r="S465" s="127" t="s">
        <v>190</v>
      </c>
      <c r="T465" s="404" t="s">
        <v>1455</v>
      </c>
      <c r="U465" s="127" t="s">
        <v>371</v>
      </c>
      <c r="Z465" s="169">
        <f t="shared" ca="1" si="64"/>
        <v>0.3962847222234509</v>
      </c>
      <c r="AA465" s="170">
        <f t="shared" ca="1" si="65"/>
        <v>1.0567592592625357</v>
      </c>
      <c r="AB465" s="169">
        <f t="shared" ca="1" si="66"/>
        <v>0.22083333333527344</v>
      </c>
      <c r="AC465" s="170">
        <f t="shared" ca="1" si="67"/>
        <v>0.58888888889406255</v>
      </c>
      <c r="AD465" s="169">
        <f t="shared" ca="1" si="68"/>
        <v>0</v>
      </c>
      <c r="AE465" s="169">
        <f t="shared" ca="1" si="63"/>
        <v>0.49371527778081736</v>
      </c>
      <c r="AF465" s="170">
        <f t="shared" ca="1" si="69"/>
        <v>1.3165740740821796</v>
      </c>
      <c r="AG465" s="170">
        <f t="shared" ca="1" si="70"/>
        <v>1.3165740740821796</v>
      </c>
      <c r="AH465" s="28" t="str" cm="1">
        <f t="array" aca="1" ref="AH465" ca="1">IF((AD465) &lt; (INDEX(ResponseSLA[#All],(MATCH((G465),ResponseSLA[Priority],0))+1,3)),"YES","No")</f>
        <v>YES</v>
      </c>
      <c r="AI465" s="28" t="str">
        <f ca="1">_xlfn.IFNA(IF(AE465 &lt; (INDEX(SLATable[Minimum SLA],MATCH(G465,SLATable[Priority],0))),"YES","NO"),"")</f>
        <v>YES</v>
      </c>
      <c r="AJ465" s="28" t="str">
        <f ca="1">_xlfn.IFNA(IF(AE465 &lt; (INDEX(SLATable[Maximum SLA],MATCH(G465,SLATable[Priority],0))),"YES","NO"),"")</f>
        <v>YES</v>
      </c>
    </row>
    <row r="466" spans="2:36" ht="15" customHeight="1">
      <c r="B466" s="127" t="s">
        <v>26</v>
      </c>
      <c r="C466" s="127" t="s">
        <v>35</v>
      </c>
      <c r="D466" s="127" t="s">
        <v>207</v>
      </c>
      <c r="E466" s="253" t="s">
        <v>1601</v>
      </c>
      <c r="F466" s="253" t="s">
        <v>292</v>
      </c>
      <c r="G466" s="127">
        <v>4</v>
      </c>
      <c r="H466" s="253" t="s">
        <v>1602</v>
      </c>
      <c r="I466" s="127" t="s">
        <v>271</v>
      </c>
      <c r="J466" s="253" t="s">
        <v>1583</v>
      </c>
      <c r="K466" s="129">
        <v>46168.640138888892</v>
      </c>
      <c r="L466" s="129">
        <v>46169.379166666666</v>
      </c>
      <c r="M466" s="129">
        <v>46169.379166666666</v>
      </c>
      <c r="N466" s="129">
        <v>46178.430960648147</v>
      </c>
      <c r="O466" s="129"/>
      <c r="P466" s="129"/>
      <c r="Q466" s="253" t="s">
        <v>1073</v>
      </c>
      <c r="R466" s="127" t="s">
        <v>267</v>
      </c>
      <c r="S466" s="127" t="s">
        <v>199</v>
      </c>
      <c r="T466" s="404" t="s">
        <v>1455</v>
      </c>
      <c r="U466" s="127" t="s">
        <v>371</v>
      </c>
      <c r="Z466" s="169">
        <f t="shared" ca="1" si="64"/>
        <v>2.790821759255778</v>
      </c>
      <c r="AA466" s="170">
        <f t="shared" ca="1" si="65"/>
        <v>7.4421913580154087</v>
      </c>
      <c r="AB466" s="169">
        <f t="shared" ca="1" si="66"/>
        <v>2.6767939814817514</v>
      </c>
      <c r="AC466" s="170">
        <f t="shared" ca="1" si="67"/>
        <v>7.1381172839513374</v>
      </c>
      <c r="AD466" s="169">
        <f t="shared" ca="1" si="68"/>
        <v>0</v>
      </c>
      <c r="AE466" s="169">
        <f t="shared" ca="1" si="63"/>
        <v>2.9357638888832303</v>
      </c>
      <c r="AF466" s="170">
        <f t="shared" ca="1" si="69"/>
        <v>7.828703703688614</v>
      </c>
      <c r="AG466" s="170">
        <f t="shared" ca="1" si="70"/>
        <v>7.828703703688614</v>
      </c>
      <c r="AH466" s="28" t="str" cm="1">
        <f t="array" aca="1" ref="AH466" ca="1">IF((AD466) &lt; (INDEX(ResponseSLA[#All],(MATCH((G466),ResponseSLA[Priority],0))+1,3)),"YES","No")</f>
        <v>YES</v>
      </c>
      <c r="AI466" s="28" t="str">
        <f ca="1">_xlfn.IFNA(IF(AE466 &lt; (INDEX(SLATable[Minimum SLA],MATCH(G466,SLATable[Priority],0))),"YES","NO"),"")</f>
        <v>YES</v>
      </c>
      <c r="AJ466" s="28" t="str">
        <f ca="1">_xlfn.IFNA(IF(AE466 &lt; (INDEX(SLATable[Maximum SLA],MATCH(G466,SLATable[Priority],0))),"YES","NO"),"")</f>
        <v>YES</v>
      </c>
    </row>
    <row r="467" spans="2:36" ht="15" customHeight="1">
      <c r="B467" s="127" t="s">
        <v>26</v>
      </c>
      <c r="C467" s="127" t="s">
        <v>35</v>
      </c>
      <c r="D467" s="127" t="s">
        <v>207</v>
      </c>
      <c r="E467" s="253" t="s">
        <v>1599</v>
      </c>
      <c r="F467" s="253" t="s">
        <v>292</v>
      </c>
      <c r="G467" s="127">
        <v>4</v>
      </c>
      <c r="H467" s="253" t="s">
        <v>1600</v>
      </c>
      <c r="I467" s="127" t="s">
        <v>271</v>
      </c>
      <c r="J467" s="253" t="s">
        <v>1583</v>
      </c>
      <c r="K467" s="129">
        <v>46168.563263888886</v>
      </c>
      <c r="L467" s="129">
        <v>46169.377800925926</v>
      </c>
      <c r="M467" s="129">
        <v>46169.377800925926</v>
      </c>
      <c r="N467" s="129">
        <v>46177.750405092593</v>
      </c>
      <c r="O467" s="129">
        <v>46176.458761574075</v>
      </c>
      <c r="P467" s="129">
        <v>46177.750405092593</v>
      </c>
      <c r="Q467" s="253" t="s">
        <v>1073</v>
      </c>
      <c r="R467" s="127" t="s">
        <v>267</v>
      </c>
      <c r="S467" s="127" t="s">
        <v>199</v>
      </c>
      <c r="T467" s="404" t="s">
        <v>1455</v>
      </c>
      <c r="U467" s="127" t="s">
        <v>371</v>
      </c>
      <c r="Z467" s="169">
        <f t="shared" ca="1" si="64"/>
        <v>2.1454976851891847</v>
      </c>
      <c r="AA467" s="170">
        <f t="shared" ca="1" si="65"/>
        <v>5.7213271605044929</v>
      </c>
      <c r="AB467" s="169">
        <f t="shared" ca="1" si="66"/>
        <v>1.9559606481489031</v>
      </c>
      <c r="AC467" s="170">
        <f t="shared" ca="1" si="67"/>
        <v>5.215895061730409</v>
      </c>
      <c r="AD467" s="169">
        <f t="shared" ca="1" si="68"/>
        <v>0</v>
      </c>
      <c r="AE467" s="169">
        <f t="shared" ca="1" si="63"/>
        <v>2.483692129630072</v>
      </c>
      <c r="AF467" s="170">
        <f t="shared" ca="1" si="69"/>
        <v>6.623179012346859</v>
      </c>
      <c r="AG467" s="170">
        <f t="shared" ca="1" si="70"/>
        <v>6.623179012346859</v>
      </c>
      <c r="AH467" s="28" t="str" cm="1">
        <f t="array" aca="1" ref="AH467" ca="1">IF((AD467) &lt; (INDEX(ResponseSLA[#All],(MATCH((G467),ResponseSLA[Priority],0))+1,3)),"YES","No")</f>
        <v>YES</v>
      </c>
      <c r="AI467" s="28" t="str">
        <f ca="1">_xlfn.IFNA(IF(AE467 &lt; (INDEX(SLATable[Minimum SLA],MATCH(G467,SLATable[Priority],0))),"YES","NO"),"")</f>
        <v>YES</v>
      </c>
      <c r="AJ467" s="28" t="str">
        <f ca="1">_xlfn.IFNA(IF(AE467 &lt; (INDEX(SLATable[Maximum SLA],MATCH(G467,SLATable[Priority],0))),"YES","NO"),"")</f>
        <v>YES</v>
      </c>
    </row>
    <row r="468" spans="2:36" ht="15" customHeight="1">
      <c r="B468" s="127" t="s">
        <v>26</v>
      </c>
      <c r="C468" s="127" t="s">
        <v>35</v>
      </c>
      <c r="D468" s="127" t="s">
        <v>207</v>
      </c>
      <c r="E468" s="253" t="s">
        <v>1603</v>
      </c>
      <c r="F468" s="253" t="s">
        <v>292</v>
      </c>
      <c r="G468" s="127">
        <v>4</v>
      </c>
      <c r="H468" s="253" t="s">
        <v>1604</v>
      </c>
      <c r="I468" s="127" t="s">
        <v>271</v>
      </c>
      <c r="J468" s="253" t="s">
        <v>1583</v>
      </c>
      <c r="K468" s="129">
        <v>46168.269571759258</v>
      </c>
      <c r="L468" s="129">
        <v>46168.269687499997</v>
      </c>
      <c r="M468" s="129">
        <v>46168.269687499997</v>
      </c>
      <c r="N468" s="129">
        <v>46175.750462962962</v>
      </c>
      <c r="O468" s="129"/>
      <c r="P468" s="129"/>
      <c r="Q468" s="253" t="s">
        <v>1605</v>
      </c>
      <c r="R468" s="127" t="s">
        <v>267</v>
      </c>
      <c r="S468" s="127" t="s">
        <v>199</v>
      </c>
      <c r="T468" s="403" t="s">
        <v>1519</v>
      </c>
      <c r="U468" s="127" t="s">
        <v>371</v>
      </c>
      <c r="Z468" s="169">
        <f t="shared" ca="1" si="64"/>
        <v>2.25</v>
      </c>
      <c r="AA468" s="170">
        <f t="shared" ca="1" si="65"/>
        <v>6</v>
      </c>
      <c r="AB468" s="169">
        <f t="shared" ca="1" si="66"/>
        <v>2.25</v>
      </c>
      <c r="AC468" s="170">
        <f t="shared" ca="1" si="67"/>
        <v>6</v>
      </c>
      <c r="AD468" s="169">
        <f t="shared" ca="1" si="68"/>
        <v>0</v>
      </c>
      <c r="AE468" s="169">
        <f t="shared" ca="1" si="63"/>
        <v>2.25</v>
      </c>
      <c r="AF468" s="170">
        <f t="shared" ca="1" si="69"/>
        <v>6</v>
      </c>
      <c r="AG468" s="170">
        <f t="shared" ca="1" si="70"/>
        <v>6</v>
      </c>
      <c r="AH468" s="28" t="str" cm="1">
        <f t="array" aca="1" ref="AH468" ca="1">IF((AD468) &lt; (INDEX(ResponseSLA[#All],(MATCH((G468),ResponseSLA[Priority],0))+1,3)),"YES","No")</f>
        <v>YES</v>
      </c>
      <c r="AI468" s="28" t="str">
        <f ca="1">_xlfn.IFNA(IF(AE468 &lt; (INDEX(SLATable[Minimum SLA],MATCH(G468,SLATable[Priority],0))),"YES","NO"),"")</f>
        <v>YES</v>
      </c>
      <c r="AJ468" s="28" t="str">
        <f ca="1">_xlfn.IFNA(IF(AE468 &lt; (INDEX(SLATable[Maximum SLA],MATCH(G468,SLATable[Priority],0))),"YES","NO"),"")</f>
        <v>YES</v>
      </c>
    </row>
    <row r="469" spans="2:36" ht="15" customHeight="1">
      <c r="B469" s="127" t="s">
        <v>26</v>
      </c>
      <c r="C469" s="127" t="s">
        <v>35</v>
      </c>
      <c r="D469" s="127" t="s">
        <v>207</v>
      </c>
      <c r="E469" s="253" t="s">
        <v>1595</v>
      </c>
      <c r="F469" s="253" t="s">
        <v>292</v>
      </c>
      <c r="G469" s="127">
        <v>4</v>
      </c>
      <c r="H469" s="253" t="s">
        <v>1596</v>
      </c>
      <c r="I469" s="127" t="s">
        <v>271</v>
      </c>
      <c r="J469" s="253" t="s">
        <v>1583</v>
      </c>
      <c r="K469" s="129">
        <v>46166.563657407409</v>
      </c>
      <c r="L469" s="129">
        <v>46171.172384259262</v>
      </c>
      <c r="M469" s="129">
        <v>46171.172384259262</v>
      </c>
      <c r="N469" s="129">
        <v>46177.413807870369</v>
      </c>
      <c r="O469" s="129">
        <v>46176.454930555556</v>
      </c>
      <c r="P469" s="129">
        <v>46177.413807870369</v>
      </c>
      <c r="Q469" s="253" t="s">
        <v>1073</v>
      </c>
      <c r="R469" s="127" t="s">
        <v>267</v>
      </c>
      <c r="S469" s="127" t="s">
        <v>199</v>
      </c>
      <c r="T469" s="404" t="s">
        <v>1455</v>
      </c>
      <c r="U469" s="127" t="s">
        <v>371</v>
      </c>
      <c r="Z469" s="169">
        <f t="shared" ca="1" si="64"/>
        <v>2.3715972222222872</v>
      </c>
      <c r="AA469" s="170">
        <f t="shared" ca="1" si="65"/>
        <v>6.3242592592594322</v>
      </c>
      <c r="AB469" s="169">
        <f t="shared" ca="1" si="66"/>
        <v>1.2465972222222872</v>
      </c>
      <c r="AC469" s="170">
        <f t="shared" ca="1" si="67"/>
        <v>3.3242592592594327</v>
      </c>
      <c r="AD469" s="169">
        <f t="shared" ca="1" si="68"/>
        <v>0</v>
      </c>
      <c r="AE469" s="169">
        <f t="shared" ca="1" si="63"/>
        <v>25.33596493055181</v>
      </c>
      <c r="AF469" s="170">
        <f t="shared" ca="1" si="69"/>
        <v>67.562573148138156</v>
      </c>
      <c r="AG469" s="170">
        <f t="shared" ca="1" si="70"/>
        <v>67.562573148138156</v>
      </c>
      <c r="AH469" s="28" t="str" cm="1">
        <f t="array" aca="1" ref="AH469" ca="1">IF((AD469) &lt; (INDEX(ResponseSLA[#All],(MATCH((G469),ResponseSLA[Priority],0))+1,3)),"YES","No")</f>
        <v>YES</v>
      </c>
      <c r="AI469" s="28" t="str">
        <f ca="1">_xlfn.IFNA(IF(AE469 &lt; (INDEX(SLATable[Minimum SLA],MATCH(G469,SLATable[Priority],0))),"YES","NO"),"")</f>
        <v>NO</v>
      </c>
      <c r="AJ469" s="28" t="str">
        <f ca="1">_xlfn.IFNA(IF(AE469 &lt; (INDEX(SLATable[Maximum SLA],MATCH(G469,SLATable[Priority],0))),"YES","NO"),"")</f>
        <v>NO</v>
      </c>
    </row>
    <row r="470" spans="2:36" ht="15" customHeight="1">
      <c r="B470" s="127" t="s">
        <v>26</v>
      </c>
      <c r="C470" s="127" t="s">
        <v>35</v>
      </c>
      <c r="D470" s="127" t="s">
        <v>207</v>
      </c>
      <c r="E470" s="127" t="s">
        <v>2093</v>
      </c>
      <c r="F470" s="127" t="s">
        <v>292</v>
      </c>
      <c r="G470" s="127">
        <v>4</v>
      </c>
      <c r="H470" s="127" t="s">
        <v>2094</v>
      </c>
      <c r="I470" s="127" t="s">
        <v>271</v>
      </c>
      <c r="J470" s="127" t="s">
        <v>1619</v>
      </c>
      <c r="K470" s="129">
        <v>46198.660555555558</v>
      </c>
      <c r="L470" s="129">
        <v>46198.66065972222</v>
      </c>
      <c r="M470" s="129">
        <v>46199.384166666663</v>
      </c>
      <c r="N470" s="129">
        <v>46210.750081018516</v>
      </c>
      <c r="O470" s="129">
        <v>46202.804201388892</v>
      </c>
      <c r="P470" s="129">
        <v>46210.750081018516</v>
      </c>
      <c r="Q470" s="127" t="s">
        <v>1073</v>
      </c>
      <c r="R470" s="127" t="s">
        <v>267</v>
      </c>
      <c r="S470" s="127" t="s">
        <v>199</v>
      </c>
      <c r="T470" s="127"/>
      <c r="U470" s="127" t="s">
        <v>371</v>
      </c>
      <c r="Z470" s="169">
        <f t="shared" ca="1" si="64"/>
        <v>0.79777777777538494</v>
      </c>
      <c r="AA470" s="170">
        <f t="shared" ca="1" si="65"/>
        <v>2.1274074074010265</v>
      </c>
      <c r="AB470" s="169">
        <f t="shared" ca="1" si="66"/>
        <v>0.7976736111134719</v>
      </c>
      <c r="AC470" s="170">
        <f t="shared" ca="1" si="67"/>
        <v>2.1271296296359252</v>
      </c>
      <c r="AD470" s="169">
        <f t="shared" ca="1" si="68"/>
        <v>9.8506944443215616E-2</v>
      </c>
      <c r="AE470" s="169">
        <f t="shared" ca="1" si="63"/>
        <v>0.7976736111134719</v>
      </c>
      <c r="AF470" s="170">
        <f t="shared" ca="1" si="69"/>
        <v>2.1271296296359252</v>
      </c>
      <c r="AG470" s="170">
        <f t="shared" ca="1" si="70"/>
        <v>2.1271296296359252</v>
      </c>
      <c r="AH470" s="28" t="str" cm="1">
        <f t="array" aca="1" ref="AH470" ca="1">IF((AD470) &lt; (INDEX(ResponseSLA[#All],(MATCH((G470),ResponseSLA[Priority],0))+1,3)),"YES","No")</f>
        <v>YES</v>
      </c>
      <c r="AI470" s="28" t="str">
        <f ca="1">_xlfn.IFNA(IF(AE470 &lt; (INDEX(SLATable[Minimum SLA],MATCH(G470,SLATable[Priority],0))),"YES","NO"),"")</f>
        <v>YES</v>
      </c>
      <c r="AJ470" s="28" t="str">
        <f ca="1">_xlfn.IFNA(IF(AE470 &lt; (INDEX(SLATable[Maximum SLA],MATCH(G470,SLATable[Priority],0))),"YES","NO"),"")</f>
        <v>YES</v>
      </c>
    </row>
    <row r="471" spans="2:36" ht="15" customHeight="1">
      <c r="B471" s="127" t="s">
        <v>26</v>
      </c>
      <c r="C471" s="127" t="s">
        <v>35</v>
      </c>
      <c r="D471" s="127" t="s">
        <v>207</v>
      </c>
      <c r="E471" s="127" t="s">
        <v>2095</v>
      </c>
      <c r="F471" s="127" t="s">
        <v>292</v>
      </c>
      <c r="G471" s="127">
        <v>4</v>
      </c>
      <c r="H471" s="127" t="s">
        <v>2096</v>
      </c>
      <c r="I471" s="127" t="s">
        <v>271</v>
      </c>
      <c r="J471" s="127" t="s">
        <v>1619</v>
      </c>
      <c r="K471" s="129">
        <v>46198.564085648148</v>
      </c>
      <c r="L471" s="129">
        <v>46198.564131944448</v>
      </c>
      <c r="M471" s="129">
        <v>46199.378576388888</v>
      </c>
      <c r="N471" s="129">
        <v>46210.750196759262</v>
      </c>
      <c r="O471" s="129">
        <v>46202.799722222226</v>
      </c>
      <c r="P471" s="129">
        <v>46210.750196759262</v>
      </c>
      <c r="Q471" s="127" t="s">
        <v>1073</v>
      </c>
      <c r="R471" s="127" t="s">
        <v>267</v>
      </c>
      <c r="S471" s="127" t="s">
        <v>199</v>
      </c>
      <c r="T471" s="127"/>
      <c r="U471" s="127" t="s">
        <v>371</v>
      </c>
      <c r="Z471" s="169">
        <f t="shared" ca="1" si="64"/>
        <v>0.89424768518559494</v>
      </c>
      <c r="AA471" s="170">
        <f t="shared" ca="1" si="65"/>
        <v>2.3846604938282532</v>
      </c>
      <c r="AB471" s="169">
        <f t="shared" ca="1" si="66"/>
        <v>0.89420138888575229</v>
      </c>
      <c r="AC471" s="170">
        <f t="shared" ca="1" si="67"/>
        <v>2.3845370370286729</v>
      </c>
      <c r="AD471" s="169">
        <f t="shared" ca="1" si="68"/>
        <v>0.18944444444059627</v>
      </c>
      <c r="AE471" s="169">
        <f t="shared" ca="1" si="63"/>
        <v>0.89420138888575229</v>
      </c>
      <c r="AF471" s="170">
        <f t="shared" ca="1" si="69"/>
        <v>2.3845370370286729</v>
      </c>
      <c r="AG471" s="170">
        <f t="shared" ca="1" si="70"/>
        <v>2.3845370370286729</v>
      </c>
      <c r="AH471" s="28" t="str" cm="1">
        <f t="array" aca="1" ref="AH471" ca="1">IF((AD471) &lt; (INDEX(ResponseSLA[#All],(MATCH((G471),ResponseSLA[Priority],0))+1,3)),"YES","No")</f>
        <v>No</v>
      </c>
      <c r="AI471" s="28" t="str">
        <f ca="1">_xlfn.IFNA(IF(AE471 &lt; (INDEX(SLATable[Minimum SLA],MATCH(G471,SLATable[Priority],0))),"YES","NO"),"")</f>
        <v>YES</v>
      </c>
      <c r="AJ471" s="28" t="str">
        <f ca="1">_xlfn.IFNA(IF(AE471 &lt; (INDEX(SLATable[Maximum SLA],MATCH(G471,SLATable[Priority],0))),"YES","NO"),"")</f>
        <v>YES</v>
      </c>
    </row>
    <row r="472" spans="2:36" ht="15" customHeight="1">
      <c r="B472" s="127" t="s">
        <v>26</v>
      </c>
      <c r="C472" s="127" t="s">
        <v>35</v>
      </c>
      <c r="D472" s="127" t="s">
        <v>207</v>
      </c>
      <c r="E472" s="127" t="s">
        <v>2097</v>
      </c>
      <c r="F472" s="127" t="s">
        <v>292</v>
      </c>
      <c r="G472" s="127">
        <v>3</v>
      </c>
      <c r="H472" s="127" t="s">
        <v>2098</v>
      </c>
      <c r="I472" s="127" t="s">
        <v>271</v>
      </c>
      <c r="J472" s="127" t="s">
        <v>1619</v>
      </c>
      <c r="K472" s="129">
        <v>46195.293969907405</v>
      </c>
      <c r="L472" s="129">
        <v>46195.307025462964</v>
      </c>
      <c r="M472" s="129">
        <v>46196.240902777776</v>
      </c>
      <c r="N472" s="129">
        <v>46204.46980324074</v>
      </c>
      <c r="O472" s="129">
        <v>46198.458067129628</v>
      </c>
      <c r="P472" s="129">
        <v>46203.793414351851</v>
      </c>
      <c r="Q472" s="127" t="s">
        <v>1073</v>
      </c>
      <c r="R472" s="127" t="s">
        <v>267</v>
      </c>
      <c r="S472" s="127" t="s">
        <v>190</v>
      </c>
      <c r="T472" s="127"/>
      <c r="U472" s="127" t="s">
        <v>371</v>
      </c>
      <c r="Z472" s="169">
        <f t="shared" ca="1" si="64"/>
        <v>1.3862037037009336</v>
      </c>
      <c r="AA472" s="170">
        <f t="shared" ca="1" si="65"/>
        <v>3.696543209869156</v>
      </c>
      <c r="AB472" s="169">
        <f t="shared" ca="1" si="66"/>
        <v>1.3862037037009336</v>
      </c>
      <c r="AC472" s="170">
        <f t="shared" ca="1" si="67"/>
        <v>3.696543209869156</v>
      </c>
      <c r="AD472" s="169">
        <f t="shared" ca="1" si="68"/>
        <v>0.37500000000000006</v>
      </c>
      <c r="AE472" s="169">
        <f t="shared" ca="1" si="63"/>
        <v>1.3862037037009336</v>
      </c>
      <c r="AF472" s="170">
        <f t="shared" ca="1" si="69"/>
        <v>3.696543209869156</v>
      </c>
      <c r="AG472" s="170">
        <f t="shared" ca="1" si="70"/>
        <v>3.696543209869156</v>
      </c>
      <c r="AH472" s="28" t="str" cm="1">
        <f t="array" aca="1" ref="AH472" ca="1">IF((AD472) &lt; (INDEX(ResponseSLA[#All],(MATCH((G472),ResponseSLA[Priority],0))+1,3)),"YES","No")</f>
        <v>No</v>
      </c>
      <c r="AI472" s="28" t="str">
        <f ca="1">_xlfn.IFNA(IF(AE472 &lt; (INDEX(SLATable[Minimum SLA],MATCH(G472,SLATable[Priority],0))),"YES","NO"),"")</f>
        <v>NO</v>
      </c>
      <c r="AJ472" s="28" t="str">
        <f ca="1">_xlfn.IFNA(IF(AE472 &lt; (INDEX(SLATable[Maximum SLA],MATCH(G472,SLATable[Priority],0))),"YES","NO"),"")</f>
        <v>YES</v>
      </c>
    </row>
    <row r="473" spans="2:36" ht="15" customHeight="1">
      <c r="B473" s="127" t="s">
        <v>26</v>
      </c>
      <c r="C473" s="127" t="s">
        <v>35</v>
      </c>
      <c r="D473" s="127" t="s">
        <v>207</v>
      </c>
      <c r="E473" s="127" t="s">
        <v>2099</v>
      </c>
      <c r="F473" s="127" t="s">
        <v>289</v>
      </c>
      <c r="G473" s="127">
        <v>4</v>
      </c>
      <c r="H473" s="127" t="s">
        <v>2100</v>
      </c>
      <c r="I473" s="127" t="s">
        <v>271</v>
      </c>
      <c r="J473" s="127" t="s">
        <v>1619</v>
      </c>
      <c r="K473" s="129">
        <v>46193.36241898148</v>
      </c>
      <c r="L473" s="129">
        <v>46193.362488425926</v>
      </c>
      <c r="M473" s="129">
        <v>46196.552361111113</v>
      </c>
      <c r="N473" s="129">
        <v>46212.493576388886</v>
      </c>
      <c r="O473" s="129">
        <v>46203.438611111109</v>
      </c>
      <c r="P473" s="129">
        <v>46212.493576388886</v>
      </c>
      <c r="Q473" s="127" t="s">
        <v>1101</v>
      </c>
      <c r="R473" s="127" t="s">
        <v>267</v>
      </c>
      <c r="S473" s="127" t="s">
        <v>199</v>
      </c>
      <c r="T473" s="127"/>
      <c r="U473" s="127" t="s">
        <v>371</v>
      </c>
      <c r="Z473" s="169">
        <f t="shared" ca="1" si="64"/>
        <v>2.3552777777755796</v>
      </c>
      <c r="AA473" s="170">
        <f t="shared" ca="1" si="65"/>
        <v>6.2807407407348785</v>
      </c>
      <c r="AB473" s="169">
        <f t="shared" ca="1" si="66"/>
        <v>2.3552777777755796</v>
      </c>
      <c r="AC473" s="170">
        <f t="shared" ca="1" si="67"/>
        <v>6.2807407407348785</v>
      </c>
      <c r="AD473" s="169">
        <f t="shared" ca="1" si="68"/>
        <v>0.56487268518685596</v>
      </c>
      <c r="AE473" s="169">
        <f t="shared" ca="1" si="63"/>
        <v>2.3552777777755796</v>
      </c>
      <c r="AF473" s="170">
        <f t="shared" ca="1" si="69"/>
        <v>6.2807407407348785</v>
      </c>
      <c r="AG473" s="170">
        <f t="shared" ca="1" si="70"/>
        <v>6.2807407407348785</v>
      </c>
      <c r="AH473" s="28" t="str" cm="1">
        <f t="array" aca="1" ref="AH473" ca="1">IF((AD473) &lt; (INDEX(ResponseSLA[#All],(MATCH((G473),ResponseSLA[Priority],0))+1,3)),"YES","No")</f>
        <v>No</v>
      </c>
      <c r="AI473" s="28" t="str">
        <f ca="1">_xlfn.IFNA(IF(AE473 &lt; (INDEX(SLATable[Minimum SLA],MATCH(G473,SLATable[Priority],0))),"YES","NO"),"")</f>
        <v>YES</v>
      </c>
      <c r="AJ473" s="28" t="str">
        <f ca="1">_xlfn.IFNA(IF(AE473 &lt; (INDEX(SLATable[Maximum SLA],MATCH(G473,SLATable[Priority],0))),"YES","NO"),"")</f>
        <v>YES</v>
      </c>
    </row>
    <row r="474" spans="2:36" ht="15" customHeight="1">
      <c r="B474" s="127" t="s">
        <v>26</v>
      </c>
      <c r="C474" s="127" t="s">
        <v>35</v>
      </c>
      <c r="D474" s="127" t="s">
        <v>207</v>
      </c>
      <c r="E474" s="127" t="s">
        <v>2101</v>
      </c>
      <c r="F474" s="127" t="s">
        <v>292</v>
      </c>
      <c r="G474" s="127">
        <v>4</v>
      </c>
      <c r="H474" s="127" t="s">
        <v>2102</v>
      </c>
      <c r="I474" s="127" t="s">
        <v>271</v>
      </c>
      <c r="J474" s="127" t="s">
        <v>1619</v>
      </c>
      <c r="K474" s="129">
        <v>46192.919907407406</v>
      </c>
      <c r="L474" s="129">
        <v>46195.479409722226</v>
      </c>
      <c r="M474" s="129">
        <v>46195.528194444443</v>
      </c>
      <c r="N474" s="129">
        <v>46210.434155092589</v>
      </c>
      <c r="O474" s="129">
        <v>46198.425925925927</v>
      </c>
      <c r="P474" s="129">
        <v>46206.522604166668</v>
      </c>
      <c r="Q474" s="127" t="s">
        <v>1073</v>
      </c>
      <c r="R474" s="127" t="s">
        <v>267</v>
      </c>
      <c r="S474" s="127" t="s">
        <v>190</v>
      </c>
      <c r="T474" s="127"/>
      <c r="U474" s="127" t="s">
        <v>371</v>
      </c>
      <c r="Z474" s="169">
        <f t="shared" ca="1" si="64"/>
        <v>1.8791435185145633</v>
      </c>
      <c r="AA474" s="170">
        <f t="shared" ca="1" si="65"/>
        <v>5.0110493827055018</v>
      </c>
      <c r="AB474" s="169">
        <f t="shared" ca="1" si="66"/>
        <v>1.733067129622214</v>
      </c>
      <c r="AC474" s="170">
        <f t="shared" ca="1" si="67"/>
        <v>4.6215123456592373</v>
      </c>
      <c r="AD474" s="169">
        <f t="shared" ca="1" si="68"/>
        <v>4.8784722217533272E-2</v>
      </c>
      <c r="AE474" s="169">
        <f t="shared" ca="1" si="63"/>
        <v>1.733067129622214</v>
      </c>
      <c r="AF474" s="170">
        <f t="shared" ca="1" si="69"/>
        <v>4.6215123456592373</v>
      </c>
      <c r="AG474" s="170">
        <f t="shared" ca="1" si="70"/>
        <v>4.6215123456592373</v>
      </c>
      <c r="AH474" s="28" t="str" cm="1">
        <f t="array" aca="1" ref="AH474" ca="1">IF((AD474) &lt; (INDEX(ResponseSLA[#All],(MATCH((G474),ResponseSLA[Priority],0))+1,3)),"YES","No")</f>
        <v>YES</v>
      </c>
      <c r="AI474" s="28" t="str">
        <f ca="1">_xlfn.IFNA(IF(AE474 &lt; (INDEX(SLATable[Minimum SLA],MATCH(G474,SLATable[Priority],0))),"YES","NO"),"")</f>
        <v>YES</v>
      </c>
      <c r="AJ474" s="28" t="str">
        <f ca="1">_xlfn.IFNA(IF(AE474 &lt; (INDEX(SLATable[Maximum SLA],MATCH(G474,SLATable[Priority],0))),"YES","NO"),"")</f>
        <v>YES</v>
      </c>
    </row>
    <row r="475" spans="2:36" ht="15" customHeight="1">
      <c r="B475" s="127" t="s">
        <v>26</v>
      </c>
      <c r="C475" s="127" t="s">
        <v>35</v>
      </c>
      <c r="D475" s="127" t="s">
        <v>207</v>
      </c>
      <c r="E475" s="127" t="s">
        <v>2103</v>
      </c>
      <c r="F475" s="127" t="s">
        <v>295</v>
      </c>
      <c r="G475" s="127">
        <v>3</v>
      </c>
      <c r="H475" s="127" t="s">
        <v>2104</v>
      </c>
      <c r="I475" s="127" t="s">
        <v>271</v>
      </c>
      <c r="J475" s="127" t="s">
        <v>1619</v>
      </c>
      <c r="K475" s="129">
        <v>46185.053124999999</v>
      </c>
      <c r="L475" s="129">
        <v>46185.058275462965</v>
      </c>
      <c r="M475" s="129">
        <v>46185.294004629628</v>
      </c>
      <c r="N475" s="129">
        <v>46196.750277777777</v>
      </c>
      <c r="O475" s="129">
        <v>46189.17591435185</v>
      </c>
      <c r="P475" s="129">
        <v>46196.750277777777</v>
      </c>
      <c r="Q475" s="127" t="s">
        <v>1203</v>
      </c>
      <c r="R475" s="127" t="s">
        <v>267</v>
      </c>
      <c r="S475" s="127" t="s">
        <v>2105</v>
      </c>
      <c r="T475" s="127"/>
      <c r="U475" s="127" t="s">
        <v>371</v>
      </c>
      <c r="Z475" s="169">
        <f t="shared" ca="1" si="64"/>
        <v>0.75000000000000044</v>
      </c>
      <c r="AA475" s="170">
        <f t="shared" ca="1" si="65"/>
        <v>2.0000000000000013</v>
      </c>
      <c r="AB475" s="169">
        <f t="shared" ca="1" si="66"/>
        <v>0.75000000000000044</v>
      </c>
      <c r="AC475" s="170">
        <f t="shared" ca="1" si="67"/>
        <v>2.0000000000000013</v>
      </c>
      <c r="AD475" s="169">
        <f t="shared" ca="1" si="68"/>
        <v>0</v>
      </c>
      <c r="AE475" s="169">
        <f t="shared" ca="1" si="63"/>
        <v>0.75000000000000044</v>
      </c>
      <c r="AF475" s="170">
        <f t="shared" ca="1" si="69"/>
        <v>2.0000000000000013</v>
      </c>
      <c r="AG475" s="170">
        <f t="shared" ca="1" si="70"/>
        <v>2.0000000000000013</v>
      </c>
      <c r="AH475" s="28" t="str" cm="1">
        <f t="array" aca="1" ref="AH475" ca="1">IF((AD475) &lt; (INDEX(ResponseSLA[#All],(MATCH((G475),ResponseSLA[Priority],0))+1,3)),"YES","No")</f>
        <v>YES</v>
      </c>
      <c r="AI475" s="28" t="str">
        <f ca="1">_xlfn.IFNA(IF(AE475 &lt; (INDEX(SLATable[Minimum SLA],MATCH(G475,SLATable[Priority],0))),"YES","NO"),"")</f>
        <v>NO</v>
      </c>
      <c r="AJ475" s="28" t="str">
        <f ca="1">_xlfn.IFNA(IF(AE475 &lt; (INDEX(SLATable[Maximum SLA],MATCH(G475,SLATable[Priority],0))),"YES","NO"),"")</f>
        <v>YES</v>
      </c>
    </row>
    <row r="476" spans="2:36" ht="15" customHeight="1">
      <c r="B476" s="127" t="s">
        <v>26</v>
      </c>
      <c r="C476" s="127" t="s">
        <v>35</v>
      </c>
      <c r="D476" s="127" t="s">
        <v>207</v>
      </c>
      <c r="E476" s="127" t="s">
        <v>2106</v>
      </c>
      <c r="F476" s="127" t="s">
        <v>292</v>
      </c>
      <c r="G476" s="127">
        <v>4</v>
      </c>
      <c r="H476" s="127" t="s">
        <v>2107</v>
      </c>
      <c r="I476" s="127" t="s">
        <v>271</v>
      </c>
      <c r="J476" s="127" t="s">
        <v>1619</v>
      </c>
      <c r="K476" s="129">
        <v>46174.702534722222</v>
      </c>
      <c r="L476" s="129">
        <v>46174.702604166669</v>
      </c>
      <c r="M476" s="129">
        <v>46175.339930555558</v>
      </c>
      <c r="N476" s="129">
        <v>46177.45008101852</v>
      </c>
      <c r="O476" s="129"/>
      <c r="P476" s="129"/>
      <c r="Q476" s="127" t="s">
        <v>1073</v>
      </c>
      <c r="R476" s="127" t="s">
        <v>267</v>
      </c>
      <c r="S476" s="127" t="s">
        <v>149</v>
      </c>
      <c r="T476" s="127"/>
      <c r="U476" s="127" t="s">
        <v>371</v>
      </c>
      <c r="Z476" s="169">
        <f t="shared" ca="1" si="64"/>
        <v>0.87254629629751457</v>
      </c>
      <c r="AA476" s="170">
        <f t="shared" ca="1" si="65"/>
        <v>2.326790123460039</v>
      </c>
      <c r="AB476" s="169">
        <f t="shared" ca="1" si="66"/>
        <v>0.87247685185138857</v>
      </c>
      <c r="AC476" s="170">
        <f t="shared" ca="1" si="67"/>
        <v>2.3266049382703695</v>
      </c>
      <c r="AD476" s="169">
        <f t="shared" ca="1" si="68"/>
        <v>1.2326388889050577E-2</v>
      </c>
      <c r="AE476" s="169">
        <f t="shared" ca="1" si="63"/>
        <v>0.87247685185138857</v>
      </c>
      <c r="AF476" s="170">
        <f t="shared" ca="1" si="69"/>
        <v>2.3266049382703695</v>
      </c>
      <c r="AG476" s="170">
        <f t="shared" ca="1" si="70"/>
        <v>2.3266049382703695</v>
      </c>
      <c r="AH476" s="28" t="str" cm="1">
        <f t="array" aca="1" ref="AH476" ca="1">IF((AD476) &lt; (INDEX(ResponseSLA[#All],(MATCH((G476),ResponseSLA[Priority],0))+1,3)),"YES","No")</f>
        <v>YES</v>
      </c>
      <c r="AI476" s="28" t="str">
        <f ca="1">_xlfn.IFNA(IF(AE476 &lt; (INDEX(SLATable[Minimum SLA],MATCH(G476,SLATable[Priority],0))),"YES","NO"),"")</f>
        <v>YES</v>
      </c>
      <c r="AJ476" s="28" t="str">
        <f ca="1">_xlfn.IFNA(IF(AE476 &lt; (INDEX(SLATable[Maximum SLA],MATCH(G476,SLATable[Priority],0))),"YES","NO"),"")</f>
        <v>YES</v>
      </c>
    </row>
    <row r="477" spans="2:36" ht="15" customHeight="1">
      <c r="B477" s="127" t="s">
        <v>26</v>
      </c>
      <c r="C477" s="127" t="s">
        <v>35</v>
      </c>
      <c r="D477" s="127" t="s">
        <v>207</v>
      </c>
      <c r="E477" s="255" t="s">
        <v>2108</v>
      </c>
      <c r="F477" s="255" t="s">
        <v>296</v>
      </c>
      <c r="G477" s="255">
        <v>4</v>
      </c>
      <c r="H477" s="255" t="s">
        <v>2109</v>
      </c>
      <c r="I477" s="127" t="s">
        <v>271</v>
      </c>
      <c r="J477" s="127" t="s">
        <v>1365</v>
      </c>
      <c r="K477" s="129">
        <v>46195.630624999998</v>
      </c>
      <c r="L477" s="129">
        <v>46195.631145833337</v>
      </c>
      <c r="M477" s="129">
        <v>46195.716203703705</v>
      </c>
      <c r="N477" s="129">
        <v>46196.43787037037</v>
      </c>
      <c r="O477" s="129"/>
      <c r="P477" s="129"/>
      <c r="Q477" s="255" t="s">
        <v>1049</v>
      </c>
      <c r="R477" s="127" t="s">
        <v>267</v>
      </c>
      <c r="S477" s="127" t="s">
        <v>167</v>
      </c>
      <c r="T477" s="127"/>
      <c r="U477" s="127" t="s">
        <v>371</v>
      </c>
      <c r="Z477" s="169">
        <f t="shared" ca="1" si="64"/>
        <v>0.18224537037167465</v>
      </c>
      <c r="AA477" s="170">
        <f t="shared" ca="1" si="65"/>
        <v>0.48598765432446572</v>
      </c>
      <c r="AB477" s="169">
        <f t="shared" ca="1" si="66"/>
        <v>0.18172453703300562</v>
      </c>
      <c r="AC477" s="170">
        <f t="shared" ca="1" si="67"/>
        <v>0.48459876542134833</v>
      </c>
      <c r="AD477" s="169">
        <f t="shared" ca="1" si="68"/>
        <v>7.7187499996701603E-2</v>
      </c>
      <c r="AE477" s="169">
        <f t="shared" ca="1" si="63"/>
        <v>0.18172453703300562</v>
      </c>
      <c r="AF477" s="170">
        <f t="shared" ca="1" si="69"/>
        <v>0.48459876542134833</v>
      </c>
      <c r="AG477" s="170">
        <f t="shared" ca="1" si="70"/>
        <v>0.48459876542134833</v>
      </c>
      <c r="AH477" s="28" t="str" cm="1">
        <f t="array" aca="1" ref="AH477" ca="1">IF((AD477) &lt; (INDEX(ResponseSLA[#All],(MATCH((G477),ResponseSLA[Priority],0))+1,3)),"YES","No")</f>
        <v>YES</v>
      </c>
      <c r="AI477" s="28" t="str">
        <f ca="1">_xlfn.IFNA(IF(AE477 &lt; (INDEX(SLATable[Minimum SLA],MATCH(G477,SLATable[Priority],0))),"YES","NO"),"")</f>
        <v>YES</v>
      </c>
      <c r="AJ477" s="28" t="str">
        <f ca="1">_xlfn.IFNA(IF(AE477 &lt; (INDEX(SLATable[Maximum SLA],MATCH(G477,SLATable[Priority],0))),"YES","NO"),"")</f>
        <v>YES</v>
      </c>
    </row>
    <row r="478" spans="2:36" ht="15" customHeight="1">
      <c r="B478" s="127" t="s">
        <v>26</v>
      </c>
      <c r="C478" s="127" t="s">
        <v>35</v>
      </c>
      <c r="D478" s="127" t="s">
        <v>207</v>
      </c>
      <c r="E478" s="255" t="s">
        <v>2110</v>
      </c>
      <c r="F478" s="255" t="s">
        <v>299</v>
      </c>
      <c r="G478" s="255">
        <v>4</v>
      </c>
      <c r="H478" s="255" t="s">
        <v>2111</v>
      </c>
      <c r="I478" s="127" t="s">
        <v>271</v>
      </c>
      <c r="J478" s="127" t="s">
        <v>1365</v>
      </c>
      <c r="K478" s="129">
        <v>46190.665810185186</v>
      </c>
      <c r="L478" s="129">
        <v>46190.667141203703</v>
      </c>
      <c r="M478" s="129">
        <v>46195.48332175926</v>
      </c>
      <c r="N478" s="129">
        <v>46195.65552083333</v>
      </c>
      <c r="O478" s="129"/>
      <c r="P478" s="129"/>
      <c r="Q478" s="255" t="s">
        <v>1208</v>
      </c>
      <c r="R478" s="127" t="s">
        <v>267</v>
      </c>
      <c r="S478" s="127" t="s">
        <v>149</v>
      </c>
      <c r="T478" s="127"/>
      <c r="U478" s="127" t="s">
        <v>371</v>
      </c>
      <c r="Z478" s="169">
        <f t="shared" ca="1" si="64"/>
        <v>1.1147106481439553</v>
      </c>
      <c r="AA478" s="170">
        <f t="shared" ca="1" si="65"/>
        <v>2.972561728383881</v>
      </c>
      <c r="AB478" s="169">
        <f t="shared" ca="1" si="66"/>
        <v>1.1133796296271614</v>
      </c>
      <c r="AC478" s="170">
        <f t="shared" ca="1" si="67"/>
        <v>2.9690123456724304</v>
      </c>
      <c r="AD478" s="169">
        <f t="shared" ca="1" si="68"/>
        <v>0.94118055555736668</v>
      </c>
      <c r="AE478" s="169">
        <f t="shared" ca="1" si="63"/>
        <v>1.1133796296271614</v>
      </c>
      <c r="AF478" s="170">
        <f t="shared" ca="1" si="69"/>
        <v>2.9690123456724304</v>
      </c>
      <c r="AG478" s="170">
        <f t="shared" ca="1" si="70"/>
        <v>2.9690123456724304</v>
      </c>
      <c r="AH478" s="28" t="str" cm="1">
        <f t="array" aca="1" ref="AH478" ca="1">IF((AD478) &lt; (INDEX(ResponseSLA[#All],(MATCH((G478),ResponseSLA[Priority],0))+1,3)),"YES","No")</f>
        <v>No</v>
      </c>
      <c r="AI478" s="28" t="str">
        <f ca="1">_xlfn.IFNA(IF(AE478 &lt; (INDEX(SLATable[Minimum SLA],MATCH(G478,SLATable[Priority],0))),"YES","NO"),"")</f>
        <v>YES</v>
      </c>
      <c r="AJ478" s="28" t="str">
        <f ca="1">_xlfn.IFNA(IF(AE478 &lt; (INDEX(SLATable[Maximum SLA],MATCH(G478,SLATable[Priority],0))),"YES","NO"),"")</f>
        <v>YES</v>
      </c>
    </row>
    <row r="479" spans="2:36" ht="15" customHeight="1">
      <c r="B479" s="127" t="s">
        <v>26</v>
      </c>
      <c r="C479" s="127" t="s">
        <v>35</v>
      </c>
      <c r="D479" s="127" t="s">
        <v>207</v>
      </c>
      <c r="E479" s="255" t="s">
        <v>2112</v>
      </c>
      <c r="F479" s="255" t="s">
        <v>296</v>
      </c>
      <c r="G479" s="255">
        <v>3</v>
      </c>
      <c r="H479" s="255" t="s">
        <v>2113</v>
      </c>
      <c r="I479" s="127" t="s">
        <v>271</v>
      </c>
      <c r="J479" s="127" t="s">
        <v>1365</v>
      </c>
      <c r="K479" s="129">
        <v>46185.775011574071</v>
      </c>
      <c r="L479" s="129">
        <v>46185.77511574074</v>
      </c>
      <c r="M479" s="129">
        <v>46187.667650462965</v>
      </c>
      <c r="N479" s="129">
        <v>46196.598298611112</v>
      </c>
      <c r="O479" s="129"/>
      <c r="P479" s="129"/>
      <c r="Q479" s="255" t="s">
        <v>1049</v>
      </c>
      <c r="R479" s="127" t="s">
        <v>267</v>
      </c>
      <c r="S479" s="127" t="s">
        <v>190</v>
      </c>
      <c r="T479" s="127"/>
      <c r="U479" s="127" t="s">
        <v>371</v>
      </c>
      <c r="Z479" s="169">
        <f t="shared" ca="1" si="64"/>
        <v>2.5149652777787805</v>
      </c>
      <c r="AA479" s="170">
        <f t="shared" ca="1" si="65"/>
        <v>6.7065740740767481</v>
      </c>
      <c r="AB479" s="169">
        <f t="shared" ca="1" si="66"/>
        <v>2.5149652777787805</v>
      </c>
      <c r="AC479" s="170">
        <f t="shared" ca="1" si="67"/>
        <v>6.7065740740767481</v>
      </c>
      <c r="AD479" s="169">
        <f t="shared" ca="1" si="68"/>
        <v>0</v>
      </c>
      <c r="AE479" s="169">
        <f t="shared" ca="1" si="63"/>
        <v>2.5149652777787805</v>
      </c>
      <c r="AF479" s="170">
        <f t="shared" ca="1" si="69"/>
        <v>6.7065740740767481</v>
      </c>
      <c r="AG479" s="170">
        <f t="shared" ca="1" si="70"/>
        <v>6.7065740740767481</v>
      </c>
      <c r="AH479" s="28" t="str" cm="1">
        <f t="array" aca="1" ref="AH479" ca="1">IF((AD479) &lt; (INDEX(ResponseSLA[#All],(MATCH((G479),ResponseSLA[Priority],0))+1,3)),"YES","No")</f>
        <v>YES</v>
      </c>
      <c r="AI479" s="28" t="str">
        <f ca="1">_xlfn.IFNA(IF(AE479 &lt; (INDEX(SLATable[Minimum SLA],MATCH(G479,SLATable[Priority],0))),"YES","NO"),"")</f>
        <v>NO</v>
      </c>
      <c r="AJ479" s="28" t="str">
        <f ca="1">_xlfn.IFNA(IF(AE479 &lt; (INDEX(SLATable[Maximum SLA],MATCH(G479,SLATable[Priority],0))),"YES","NO"),"")</f>
        <v>NO</v>
      </c>
    </row>
    <row r="480" spans="2:36" ht="15" customHeight="1">
      <c r="B480" s="127" t="s">
        <v>26</v>
      </c>
      <c r="C480" s="127" t="s">
        <v>35</v>
      </c>
      <c r="D480" s="127" t="s">
        <v>207</v>
      </c>
      <c r="E480" s="255" t="s">
        <v>2114</v>
      </c>
      <c r="F480" s="255" t="s">
        <v>301</v>
      </c>
      <c r="G480" s="255">
        <v>3</v>
      </c>
      <c r="H480" s="255" t="s">
        <v>2115</v>
      </c>
      <c r="I480" s="127" t="s">
        <v>271</v>
      </c>
      <c r="J480" s="127" t="s">
        <v>1365</v>
      </c>
      <c r="K480" s="129">
        <v>46184.68068287037</v>
      </c>
      <c r="L480" s="129">
        <v>46185.607638888891</v>
      </c>
      <c r="M480" s="129">
        <v>46185.616006944445</v>
      </c>
      <c r="N480" s="129">
        <v>46191.620613425926</v>
      </c>
      <c r="O480" s="129"/>
      <c r="P480" s="129"/>
      <c r="Q480" s="255" t="s">
        <v>1304</v>
      </c>
      <c r="R480" s="127" t="s">
        <v>267</v>
      </c>
      <c r="S480" s="127" t="s">
        <v>2105</v>
      </c>
      <c r="T480" s="127"/>
      <c r="U480" s="127" t="s">
        <v>371</v>
      </c>
      <c r="Z480" s="169">
        <f t="shared" ca="1" si="64"/>
        <v>1.8149305555562023</v>
      </c>
      <c r="AA480" s="170">
        <f t="shared" ca="1" si="65"/>
        <v>4.8398148148165392</v>
      </c>
      <c r="AB480" s="169">
        <f t="shared" ca="1" si="66"/>
        <v>1.512974537035916</v>
      </c>
      <c r="AC480" s="170">
        <f t="shared" ca="1" si="67"/>
        <v>4.0345987654291093</v>
      </c>
      <c r="AD480" s="169">
        <f t="shared" ca="1" si="68"/>
        <v>8.3680555544560775E-3</v>
      </c>
      <c r="AE480" s="169">
        <f t="shared" ca="1" si="63"/>
        <v>1.512974537035916</v>
      </c>
      <c r="AF480" s="170">
        <f t="shared" ca="1" si="69"/>
        <v>4.0345987654291093</v>
      </c>
      <c r="AG480" s="170">
        <f t="shared" ca="1" si="70"/>
        <v>4.0345987654291093</v>
      </c>
      <c r="AH480" s="28" t="str" cm="1">
        <f t="array" aca="1" ref="AH480" ca="1">IF((AD480) &lt; (INDEX(ResponseSLA[#All],(MATCH((G480),ResponseSLA[Priority],0))+1,3)),"YES","No")</f>
        <v>YES</v>
      </c>
      <c r="AI480" s="28" t="str">
        <f ca="1">_xlfn.IFNA(IF(AE480 &lt; (INDEX(SLATable[Minimum SLA],MATCH(G480,SLATable[Priority],0))),"YES","NO"),"")</f>
        <v>NO</v>
      </c>
      <c r="AJ480" s="28" t="str">
        <f ca="1">_xlfn.IFNA(IF(AE480 &lt; (INDEX(SLATable[Maximum SLA],MATCH(G480,SLATable[Priority],0))),"YES","NO"),"")</f>
        <v>YES</v>
      </c>
    </row>
    <row r="481" spans="2:36" ht="15" customHeight="1">
      <c r="B481" s="127" t="s">
        <v>26</v>
      </c>
      <c r="C481" s="127" t="s">
        <v>35</v>
      </c>
      <c r="D481" s="127" t="s">
        <v>207</v>
      </c>
      <c r="E481" s="255" t="s">
        <v>2116</v>
      </c>
      <c r="F481" s="255" t="s">
        <v>299</v>
      </c>
      <c r="G481" s="255">
        <v>3</v>
      </c>
      <c r="H481" s="255" t="s">
        <v>2117</v>
      </c>
      <c r="I481" s="127" t="s">
        <v>271</v>
      </c>
      <c r="J481" s="127" t="s">
        <v>1365</v>
      </c>
      <c r="K481" s="129">
        <v>46183.571250000001</v>
      </c>
      <c r="L481" s="129">
        <v>46183.572210648148</v>
      </c>
      <c r="M481" s="129">
        <v>46184.504386574074</v>
      </c>
      <c r="N481" s="129">
        <v>46184.640648148146</v>
      </c>
      <c r="O481" s="129"/>
      <c r="P481" s="129"/>
      <c r="Q481" s="255" t="s">
        <v>1208</v>
      </c>
      <c r="R481" s="127" t="s">
        <v>267</v>
      </c>
      <c r="S481" s="127" t="s">
        <v>149</v>
      </c>
      <c r="T481" s="127"/>
      <c r="U481" s="127" t="s">
        <v>371</v>
      </c>
      <c r="Z481" s="169">
        <f t="shared" ca="1" si="64"/>
        <v>0.44439814814541023</v>
      </c>
      <c r="AA481" s="170">
        <f t="shared" ca="1" si="65"/>
        <v>1.1850617283877607</v>
      </c>
      <c r="AB481" s="169">
        <f t="shared" ca="1" si="66"/>
        <v>0.44343749999825377</v>
      </c>
      <c r="AC481" s="170">
        <f t="shared" ca="1" si="67"/>
        <v>1.1824999999953434</v>
      </c>
      <c r="AD481" s="169">
        <f t="shared" ca="1" si="68"/>
        <v>0.30717592592554865</v>
      </c>
      <c r="AE481" s="169">
        <f t="shared" ca="1" si="63"/>
        <v>0.44343749999825377</v>
      </c>
      <c r="AF481" s="170">
        <f t="shared" ca="1" si="69"/>
        <v>1.1824999999953434</v>
      </c>
      <c r="AG481" s="170">
        <f t="shared" ca="1" si="70"/>
        <v>1.1824999999953434</v>
      </c>
      <c r="AH481" s="28" t="str" cm="1">
        <f t="array" aca="1" ref="AH481" ca="1">IF((AD481) &lt; (INDEX(ResponseSLA[#All],(MATCH((G481),ResponseSLA[Priority],0))+1,3)),"YES","No")</f>
        <v>No</v>
      </c>
      <c r="AI481" s="28" t="str">
        <f ca="1">_xlfn.IFNA(IF(AE481 &lt; (INDEX(SLATable[Minimum SLA],MATCH(G481,SLATable[Priority],0))),"YES","NO"),"")</f>
        <v>NO</v>
      </c>
      <c r="AJ481" s="28" t="str">
        <f ca="1">_xlfn.IFNA(IF(AE481 &lt; (INDEX(SLATable[Maximum SLA],MATCH(G481,SLATable[Priority],0))),"YES","NO"),"")</f>
        <v>YES</v>
      </c>
    </row>
    <row r="482" spans="2:36" ht="15" customHeight="1">
      <c r="B482" s="127" t="s">
        <v>26</v>
      </c>
      <c r="C482" s="127" t="s">
        <v>35</v>
      </c>
      <c r="D482" s="127" t="s">
        <v>207</v>
      </c>
      <c r="E482" s="255" t="s">
        <v>2118</v>
      </c>
      <c r="F482" s="255" t="s">
        <v>295</v>
      </c>
      <c r="G482" s="255">
        <v>3</v>
      </c>
      <c r="H482" s="255" t="s">
        <v>1213</v>
      </c>
      <c r="I482" s="127" t="s">
        <v>271</v>
      </c>
      <c r="J482" s="127" t="s">
        <v>1365</v>
      </c>
      <c r="K482" s="129">
        <v>46179.506053240744</v>
      </c>
      <c r="L482" s="129">
        <v>46179.51321759259</v>
      </c>
      <c r="M482" s="129">
        <v>46179.542280092595</v>
      </c>
      <c r="N482" s="129">
        <v>46179.542280092595</v>
      </c>
      <c r="O482" s="129"/>
      <c r="P482" s="129"/>
      <c r="Q482" s="255" t="s">
        <v>1211</v>
      </c>
      <c r="R482" s="127" t="s">
        <v>267</v>
      </c>
      <c r="S482" s="127" t="s">
        <v>1379</v>
      </c>
      <c r="T482" s="127"/>
      <c r="U482" s="127" t="s">
        <v>371</v>
      </c>
      <c r="Z482" s="169">
        <f t="shared" ca="1" si="64"/>
        <v>0</v>
      </c>
      <c r="AA482" s="170">
        <f t="shared" ca="1" si="65"/>
        <v>0</v>
      </c>
      <c r="AB482" s="169">
        <f t="shared" ca="1" si="66"/>
        <v>0</v>
      </c>
      <c r="AC482" s="170">
        <f t="shared" ca="1" si="67"/>
        <v>0</v>
      </c>
      <c r="AD482" s="169">
        <f t="shared" ca="1" si="68"/>
        <v>0</v>
      </c>
      <c r="AE482" s="169">
        <f t="shared" ca="1" si="63"/>
        <v>0</v>
      </c>
      <c r="AF482" s="170">
        <f t="shared" ca="1" si="69"/>
        <v>0</v>
      </c>
      <c r="AG482" s="170">
        <f t="shared" ca="1" si="70"/>
        <v>0</v>
      </c>
      <c r="AH482" s="28" t="str" cm="1">
        <f t="array" aca="1" ref="AH482" ca="1">IF((AD482) &lt; (INDEX(ResponseSLA[#All],(MATCH((G482),ResponseSLA[Priority],0))+1,3)),"YES","No")</f>
        <v>YES</v>
      </c>
      <c r="AI482" s="28" t="str">
        <f ca="1">_xlfn.IFNA(IF(AE482 &lt; (INDEX(SLATable[Minimum SLA],MATCH(G482,SLATable[Priority],0))),"YES","NO"),"")</f>
        <v>YES</v>
      </c>
      <c r="AJ482" s="28" t="str">
        <f ca="1">_xlfn.IFNA(IF(AE482 &lt; (INDEX(SLATable[Maximum SLA],MATCH(G482,SLATable[Priority],0))),"YES","NO"),"")</f>
        <v>YES</v>
      </c>
    </row>
    <row r="483" spans="2:36" ht="15" customHeight="1">
      <c r="B483" s="127" t="s">
        <v>26</v>
      </c>
      <c r="C483" s="127" t="s">
        <v>35</v>
      </c>
      <c r="D483" s="127" t="s">
        <v>207</v>
      </c>
      <c r="E483" s="255" t="s">
        <v>2119</v>
      </c>
      <c r="F483" s="255" t="s">
        <v>295</v>
      </c>
      <c r="G483" s="255">
        <v>2</v>
      </c>
      <c r="H483" s="255" t="s">
        <v>2120</v>
      </c>
      <c r="I483" s="127" t="s">
        <v>271</v>
      </c>
      <c r="J483" s="127" t="s">
        <v>1365</v>
      </c>
      <c r="K483" s="129">
        <v>46179.428587962961</v>
      </c>
      <c r="L483" s="129">
        <v>46179.465127314812</v>
      </c>
      <c r="M483" s="129">
        <v>46180.57371527778</v>
      </c>
      <c r="N483" s="129">
        <v>46182.614085648151</v>
      </c>
      <c r="O483" s="129"/>
      <c r="P483" s="129"/>
      <c r="Q483" s="255" t="s">
        <v>1211</v>
      </c>
      <c r="R483" s="127" t="s">
        <v>267</v>
      </c>
      <c r="S483" s="127" t="s">
        <v>149</v>
      </c>
      <c r="T483" s="127"/>
      <c r="U483" s="127" t="s">
        <v>371</v>
      </c>
      <c r="Z483" s="169"/>
      <c r="AA483" s="170"/>
      <c r="AB483" s="169"/>
      <c r="AC483" s="170"/>
      <c r="AD483" s="169"/>
      <c r="AE483" s="169"/>
      <c r="AF483" s="170"/>
      <c r="AG483" s="170"/>
      <c r="AH483" s="28"/>
      <c r="AI483" s="28"/>
      <c r="AJ483" s="28"/>
    </row>
    <row r="484" spans="2:36" ht="15" customHeight="1">
      <c r="B484" s="127" t="s">
        <v>26</v>
      </c>
      <c r="C484" s="127" t="s">
        <v>35</v>
      </c>
      <c r="D484" s="127" t="s">
        <v>207</v>
      </c>
      <c r="E484" s="256" t="s">
        <v>2121</v>
      </c>
      <c r="F484" s="127" t="s">
        <v>295</v>
      </c>
      <c r="G484" s="127">
        <v>4</v>
      </c>
      <c r="H484" s="256" t="s">
        <v>2122</v>
      </c>
      <c r="I484" s="127" t="s">
        <v>260</v>
      </c>
      <c r="J484" s="255" t="s">
        <v>1408</v>
      </c>
      <c r="K484" s="129">
        <v>46195.614131944443</v>
      </c>
      <c r="L484" s="129">
        <v>46195.615011574075</v>
      </c>
      <c r="M484" s="129">
        <v>46196.244004629632</v>
      </c>
      <c r="N484" s="129"/>
      <c r="O484" s="129"/>
      <c r="P484" s="129"/>
      <c r="Q484" s="256" t="s">
        <v>1113</v>
      </c>
      <c r="R484" s="127"/>
      <c r="S484" s="127"/>
      <c r="T484" s="256"/>
      <c r="U484" s="127" t="s">
        <v>371</v>
      </c>
      <c r="Z484" s="169">
        <f t="shared" ref="Z484:Z533" ca="1" si="71">IF(NOT(OR(G484=1,G484=2)),MAX(0,_xlfn.IFS(AND(K484&lt;&gt;"",N484&lt;&gt;""),((MAX(NETWORKDAYS(K484,N484,UKBankHolidays)-1,0))*(TIME(17,0,0)-TIME(8,0,0))+IF(NETWORKDAYS(N484,N484,UKBankHolidays)&gt;0,MEDIAN(TIME(8,0,0),MOD(N484,1),TIME(17,0,0)),TIME(8,0,0))-IF(NETWORKDAYS(K484,K484,UKBankHolidays)&gt;0,MEDIAN(TIME(8,0,0),MOD(K484,1),TIME(17,0,0)),TIME(8,0,0)))-IF(AND(O484&lt;&gt;"",P484&lt;&gt;""),((MAX(NETWORKDAYS(O484,P484,UKBankHolidays)-1,0))*(TIME(17,0,0)-TIME(8,0,0))+IF(NETWORKDAYS(P484,P484,UKBankHolidays)&gt;0,MEDIAN(TIME(8,0,0),MOD(P484,1),TIME(17,0,0)),TIME(8,0,0))-IF(NETWORKDAYS(O484,O484,UKBankHolidays)&gt;0,MEDIAN(TIME(8,0,0),MOD(O484,1),TIME(17,0,0)),TIME(8,0,0))),0),AND(K484&lt;&gt;"",N484=""),((MAX(NETWORKDAYS(K484,NOW(),UKBankHolidays)-1,0))*(TIME(17,0,0)-TIME(8,0,0))+IF(NETWORKDAYS(NOW(),NOW(),UKBankHolidays)&gt;0,MEDIAN(TIME(8,0,0),MOD(NOW(),1),TIME(17,0,0)),TIME(8,0,0))-IF(NETWORKDAYS(K484,K484,UKBankHolidays)&gt;0,MEDIAN(TIME(8,0,0),MOD(K484,1),TIME(17,0,0)),TIME(8,0,0))))),IF(N484="",NOW()-K484,N484-K484))</f>
        <v>17.26984224536864</v>
      </c>
      <c r="AA484" s="170">
        <f t="shared" ref="AA484:AA533" ca="1" si="72">(Z484*24)/9</f>
        <v>46.052912654316373</v>
      </c>
      <c r="AB484" s="169">
        <f t="shared" ref="AB484:AB533" ca="1" si="73">IF(NOT(OR(G484=1,G484=2)),MAX(0,_xlfn.IFS(AND(K484&lt;&gt;"",N484&lt;&gt;""),(((MAX(NETWORKDAYS(L484,N484,UKBankHolidays)-1,0))*(TIME(17,0,0)-TIME(8,0,0)))+IF(NETWORKDAYS(N484,N484,UKBankHolidays)&gt;0,MEDIAN(TIME(8,0,0),MOD(N484,1),TIME(17,0,0)),TIME(8,0,0))-IF(NETWORKDAYS(L484,L484,UKBankHolidays)&gt;0,MEDIAN(TIME(8,0,0),MOD(L484,1),TIME(17,0,0)),TIME(8,0,0)))-IF(AND(O484&lt;&gt;"",P484&lt;&gt;""),(((MAX(NETWORKDAYS(O484,P484,UKBankHolidays)-1,0))*(TIME(17,0,0)-TIME(8,0,0)))+IF(NETWORKDAYS(P484,P484,UKBankHolidays)&gt;0,MEDIAN(TIME(8,0,0),MOD(P484,1),TIME(17,0,0)),TIME(8,0,0))-IF(NETWORKDAYS(O484,O484,UKBankHolidays)&gt;0,MEDIAN(TIME(8,0,0),MOD(O484,1),TIME(17,0,0)),TIME(8,0,0))),0),AND(L484&lt;&gt;"",N484="",O484=""),(((MAX(NETWORKDAYS(L484,NOW(),UKBankHolidays)-1,0))*(TIME(17,0,0)-TIME(8,0,0)))+IF(NETWORKDAYS(NOW(),NOW(),UKBankHolidays)&gt;0,MEDIAN(TIME(8,0,0),MOD(NOW(),1),TIME(17,0,0)),TIME(8,0,0))-IF(NETWORKDAYS(L484,L484,UKBankHolidays)&gt;0,MEDIAN(TIME(8,0,0),MOD(L484,1),TIME(17,0,0)),TIME(8,0,0)))-IF(AND(O484&lt;&gt;"",P484&lt;&gt;""),(((MAX(NETWORKDAYS(O484,P484,UKBankHolidays)-1,0))*(TIME(17,0,0)-TIME(8,0,0)))+IF(NETWORKDAYS(P484,P484,UKBankHolidays)&gt;0,MEDIAN(TIME(8,0,0),MOD(P484,1),TIME(17,0,0)),TIME(8,0,0))-IF(NETWORKDAYS(O484,O484,UKBankHolidays)&gt;0,MEDIAN(TIME(8,0,0),MOD(O484,1),TIME(17,0,0)),TIME(8,0,0))),0),AND(L484&lt;&gt;"",N484="",P484="",O484&lt;&gt;""),(((MAX(NETWORKDAYS(L484,O484,UKBankHolidays)-1,0))*(TIME(17,0,0)-TIME(8,0,0)))+IF(NETWORKDAYS(O484,O484,UKBankHolidays)&gt;0,MEDIAN(TIME(8,0,0),MOD(O484,1),TIME(17,0,0)),TIME(8,0,0))-IF(NETWORKDAYS(L484,L484,UKBankHolidays)&gt;0,MEDIAN(TIME(8,0,0),MOD(L484,1),TIME(17,0,0)),TIME(8,0,0))),ISBLANK(K484),"0")),IF(ISBLANK(N484),NOW()-L484,N484-L484))</f>
        <v>17.268962615737113</v>
      </c>
      <c r="AC484" s="170">
        <f t="shared" ref="AC484:AC533" ca="1" si="74">(AB484*24)/9</f>
        <v>46.05056697529897</v>
      </c>
      <c r="AD484" s="169">
        <f t="shared" ref="AD484:AD533" ca="1" si="75">MAX(0,IF(NOT(OR(G484=1,G484=2)),IF(M484&lt;&gt;"",((MAX(NETWORKDAYS(L484,M484,UKBankHolidays)-1,0))*(TIME(17,0,0)-TIME(8,0,0))+IF(NETWORKDAYS(M484,M484,UKBankHolidays)&gt;0,MEDIAN(TIME(8,0,0),MOD(M484,1),TIME(17,0,0)),TIME(8,0,0))-MEDIAN(TIME(8,0,0),MOD(L484,1),TIME(17,0,0))),((MAX(NETWORKDAYS(L484,NOW(),UKBankHolidays)-1,0))*(TIME(17,0,0)-TIME(8,0,0))+IF(NETWORKDAYS(NOW(),NOW(),UKBankHolidays)&gt;0,MEDIAN(TIME(8,0,0),MOD(NOW(),1),TIME(17,0,0)),TIME(8,0,0))-MEDIAN(TIME(8,0,0),MOD(L484,1),TIME(17,0,0)))),IF(M484&lt;&gt;"",M484-L484,NOW()-L484)))</f>
        <v>9.3321759258590986E-2</v>
      </c>
      <c r="AE484" s="169">
        <f t="shared" ref="AE484:AE515" ca="1" si="76">SUMIFS(AB:AB,E:E,E484)</f>
        <v>21.884078356473768</v>
      </c>
      <c r="AF484" s="170">
        <f t="shared" ref="AF484:AF533" ca="1" si="77">(AE484*24)/9</f>
        <v>58.357542283930051</v>
      </c>
      <c r="AG484" s="170">
        <f t="shared" ref="AG484:AG533" ca="1" si="78">AF484</f>
        <v>58.357542283930051</v>
      </c>
      <c r="AH484" s="28" t="str" cm="1">
        <f t="array" aca="1" ref="AH484" ca="1">IF((AD484) &lt; (INDEX(ResponseSLA[#All],(MATCH((G484),ResponseSLA[Priority],0))+1,3)),"YES","No")</f>
        <v>YES</v>
      </c>
      <c r="AI484" s="28" t="str">
        <f ca="1">_xlfn.IFNA(IF(AE484 &lt; (INDEX(SLATable[Minimum SLA],MATCH(G484,SLATable[Priority],0))),"YES","NO"),"")</f>
        <v>NO</v>
      </c>
      <c r="AJ484" s="28" t="str">
        <f ca="1">_xlfn.IFNA(IF(AE484 &lt; (INDEX(SLATable[Maximum SLA],MATCH(G484,SLATable[Priority],0))),"YES","NO"),"")</f>
        <v>NO</v>
      </c>
    </row>
    <row r="485" spans="2:36" ht="15" customHeight="1">
      <c r="B485" s="127" t="s">
        <v>26</v>
      </c>
      <c r="C485" s="127" t="s">
        <v>35</v>
      </c>
      <c r="D485" s="127" t="s">
        <v>207</v>
      </c>
      <c r="E485" s="256" t="s">
        <v>2123</v>
      </c>
      <c r="F485" s="127" t="s">
        <v>295</v>
      </c>
      <c r="G485" s="127">
        <v>3</v>
      </c>
      <c r="H485" s="256" t="s">
        <v>818</v>
      </c>
      <c r="I485" s="127" t="s">
        <v>260</v>
      </c>
      <c r="J485" s="255" t="s">
        <v>1408</v>
      </c>
      <c r="K485" s="129">
        <v>46196.118611111109</v>
      </c>
      <c r="L485" s="129">
        <v>46196.130462962959</v>
      </c>
      <c r="M485" s="129">
        <v>46196.233668981484</v>
      </c>
      <c r="N485" s="129"/>
      <c r="O485" s="129"/>
      <c r="P485" s="129"/>
      <c r="Q485" s="256" t="s">
        <v>695</v>
      </c>
      <c r="R485" s="127"/>
      <c r="S485" s="127"/>
      <c r="T485" s="256"/>
      <c r="U485" s="127" t="s">
        <v>371</v>
      </c>
      <c r="Z485" s="169">
        <f t="shared" ca="1" si="71"/>
        <v>17.175640856478523</v>
      </c>
      <c r="AA485" s="170">
        <f t="shared" ca="1" si="72"/>
        <v>45.801708950609395</v>
      </c>
      <c r="AB485" s="169">
        <f t="shared" ca="1" si="73"/>
        <v>17.175640856478523</v>
      </c>
      <c r="AC485" s="170">
        <f t="shared" ca="1" si="74"/>
        <v>45.801708950609395</v>
      </c>
      <c r="AD485" s="169">
        <f t="shared" ca="1" si="75"/>
        <v>0</v>
      </c>
      <c r="AE485" s="169">
        <f t="shared" ca="1" si="76"/>
        <v>19.800640856478523</v>
      </c>
      <c r="AF485" s="170">
        <f t="shared" ca="1" si="77"/>
        <v>52.801708950609395</v>
      </c>
      <c r="AG485" s="170">
        <f t="shared" ca="1" si="78"/>
        <v>52.801708950609395</v>
      </c>
      <c r="AH485" s="28" t="str" cm="1">
        <f t="array" aca="1" ref="AH485" ca="1">IF((AD485) &lt; (INDEX(ResponseSLA[#All],(MATCH((G485),ResponseSLA[Priority],0))+1,3)),"YES","No")</f>
        <v>YES</v>
      </c>
      <c r="AI485" s="28" t="str">
        <f ca="1">_xlfn.IFNA(IF(AE485 &lt; (INDEX(SLATable[Minimum SLA],MATCH(G485,SLATable[Priority],0))),"YES","NO"),"")</f>
        <v>NO</v>
      </c>
      <c r="AJ485" s="28" t="str">
        <f ca="1">_xlfn.IFNA(IF(AE485 &lt; (INDEX(SLATable[Maximum SLA],MATCH(G485,SLATable[Priority],0))),"YES","NO"),"")</f>
        <v>NO</v>
      </c>
    </row>
    <row r="486" spans="2:36" ht="15" customHeight="1">
      <c r="B486" s="127" t="s">
        <v>26</v>
      </c>
      <c r="C486" s="127" t="s">
        <v>35</v>
      </c>
      <c r="D486" s="127" t="s">
        <v>207</v>
      </c>
      <c r="E486" s="256" t="s">
        <v>2124</v>
      </c>
      <c r="F486" s="127" t="s">
        <v>295</v>
      </c>
      <c r="G486" s="127">
        <v>3</v>
      </c>
      <c r="H486" s="256" t="s">
        <v>822</v>
      </c>
      <c r="I486" s="127" t="s">
        <v>260</v>
      </c>
      <c r="J486" s="255" t="s">
        <v>1408</v>
      </c>
      <c r="K486" s="129">
        <v>46196.118611111109</v>
      </c>
      <c r="L486" s="129">
        <v>46196.119131944448</v>
      </c>
      <c r="M486" s="129">
        <v>46197.285127314812</v>
      </c>
      <c r="N486" s="129"/>
      <c r="O486" s="129"/>
      <c r="P486" s="129"/>
      <c r="Q486" s="256" t="s">
        <v>695</v>
      </c>
      <c r="R486" s="127"/>
      <c r="S486" s="127"/>
      <c r="T486" s="256"/>
      <c r="U486" s="127" t="s">
        <v>371</v>
      </c>
      <c r="Z486" s="169">
        <f t="shared" ca="1" si="71"/>
        <v>17.175640856478523</v>
      </c>
      <c r="AA486" s="170">
        <f t="shared" ca="1" si="72"/>
        <v>45.801708950609395</v>
      </c>
      <c r="AB486" s="169">
        <f t="shared" ca="1" si="73"/>
        <v>17.175640856478523</v>
      </c>
      <c r="AC486" s="170">
        <f t="shared" ca="1" si="74"/>
        <v>45.801708950609395</v>
      </c>
      <c r="AD486" s="169">
        <f t="shared" ca="1" si="75"/>
        <v>0.37500000000000006</v>
      </c>
      <c r="AE486" s="169">
        <f t="shared" ca="1" si="76"/>
        <v>19.800640856478523</v>
      </c>
      <c r="AF486" s="170">
        <f t="shared" ca="1" si="77"/>
        <v>52.801708950609395</v>
      </c>
      <c r="AG486" s="170">
        <f t="shared" ca="1" si="78"/>
        <v>52.801708950609395</v>
      </c>
      <c r="AH486" s="28" t="str" cm="1">
        <f t="array" aca="1" ref="AH486" ca="1">IF((AD486) &lt; (INDEX(ResponseSLA[#All],(MATCH((G486),ResponseSLA[Priority],0))+1,3)),"YES","No")</f>
        <v>No</v>
      </c>
      <c r="AI486" s="28" t="str">
        <f ca="1">_xlfn.IFNA(IF(AE486 &lt; (INDEX(SLATable[Minimum SLA],MATCH(G486,SLATable[Priority],0))),"YES","NO"),"")</f>
        <v>NO</v>
      </c>
      <c r="AJ486" s="28" t="str">
        <f ca="1">_xlfn.IFNA(IF(AE486 &lt; (INDEX(SLATable[Maximum SLA],MATCH(G486,SLATable[Priority],0))),"YES","NO"),"")</f>
        <v>NO</v>
      </c>
    </row>
    <row r="487" spans="2:36" ht="15" customHeight="1">
      <c r="B487" s="127" t="s">
        <v>26</v>
      </c>
      <c r="C487" s="127" t="s">
        <v>35</v>
      </c>
      <c r="D487" s="127" t="s">
        <v>207</v>
      </c>
      <c r="E487" s="256" t="s">
        <v>2125</v>
      </c>
      <c r="F487" s="127" t="s">
        <v>295</v>
      </c>
      <c r="G487" s="127">
        <v>3</v>
      </c>
      <c r="H487" s="256" t="s">
        <v>2126</v>
      </c>
      <c r="I487" s="127" t="s">
        <v>260</v>
      </c>
      <c r="J487" s="255" t="s">
        <v>1408</v>
      </c>
      <c r="K487" s="129">
        <v>46197.903622685182</v>
      </c>
      <c r="L487" s="129">
        <v>46197.910474537035</v>
      </c>
      <c r="M487" s="129">
        <v>46198.345578703702</v>
      </c>
      <c r="N487" s="129"/>
      <c r="O487" s="129"/>
      <c r="P487" s="129"/>
      <c r="Q487" s="256" t="s">
        <v>695</v>
      </c>
      <c r="R487" s="127"/>
      <c r="S487" s="127"/>
      <c r="T487" s="256"/>
      <c r="U487" s="127" t="s">
        <v>371</v>
      </c>
      <c r="Z487" s="169">
        <f t="shared" ca="1" si="71"/>
        <v>16.425640856478523</v>
      </c>
      <c r="AA487" s="170">
        <f t="shared" ca="1" si="72"/>
        <v>43.801708950609395</v>
      </c>
      <c r="AB487" s="169">
        <f t="shared" ca="1" si="73"/>
        <v>16.425640856478523</v>
      </c>
      <c r="AC487" s="170">
        <f t="shared" ca="1" si="74"/>
        <v>43.801708950609395</v>
      </c>
      <c r="AD487" s="169">
        <f t="shared" ca="1" si="75"/>
        <v>1.2245370368570208E-2</v>
      </c>
      <c r="AE487" s="169">
        <f t="shared" ca="1" si="76"/>
        <v>17.925640856478523</v>
      </c>
      <c r="AF487" s="170">
        <f t="shared" ca="1" si="77"/>
        <v>47.801708950609395</v>
      </c>
      <c r="AG487" s="170">
        <f t="shared" ca="1" si="78"/>
        <v>47.801708950609395</v>
      </c>
      <c r="AH487" s="28" t="str" cm="1">
        <f t="array" aca="1" ref="AH487" ca="1">IF((AD487) &lt; (INDEX(ResponseSLA[#All],(MATCH((G487),ResponseSLA[Priority],0))+1,3)),"YES","No")</f>
        <v>YES</v>
      </c>
      <c r="AI487" s="28" t="str">
        <f ca="1">_xlfn.IFNA(IF(AE487 &lt; (INDEX(SLATable[Minimum SLA],MATCH(G487,SLATable[Priority],0))),"YES","NO"),"")</f>
        <v>NO</v>
      </c>
      <c r="AJ487" s="28" t="str">
        <f ca="1">_xlfn.IFNA(IF(AE487 &lt; (INDEX(SLATable[Maximum SLA],MATCH(G487,SLATable[Priority],0))),"YES","NO"),"")</f>
        <v>NO</v>
      </c>
    </row>
    <row r="488" spans="2:36" ht="15" customHeight="1">
      <c r="B488" s="127" t="s">
        <v>26</v>
      </c>
      <c r="C488" s="127" t="s">
        <v>35</v>
      </c>
      <c r="D488" s="127" t="s">
        <v>207</v>
      </c>
      <c r="E488" s="256" t="s">
        <v>2127</v>
      </c>
      <c r="F488" s="127" t="s">
        <v>295</v>
      </c>
      <c r="G488" s="127">
        <v>3</v>
      </c>
      <c r="H488" s="256" t="s">
        <v>2128</v>
      </c>
      <c r="I488" s="127" t="s">
        <v>260</v>
      </c>
      <c r="J488" s="255" t="s">
        <v>1408</v>
      </c>
      <c r="K488" s="129">
        <v>46197.903634259259</v>
      </c>
      <c r="L488" s="129">
        <v>46197.912569444445</v>
      </c>
      <c r="M488" s="129">
        <v>46198.344884259262</v>
      </c>
      <c r="N488" s="129"/>
      <c r="O488" s="129"/>
      <c r="P488" s="129"/>
      <c r="Q488" s="256" t="s">
        <v>695</v>
      </c>
      <c r="R488" s="127"/>
      <c r="S488" s="127"/>
      <c r="T488" s="256"/>
      <c r="U488" s="127" t="s">
        <v>371</v>
      </c>
      <c r="Z488" s="169">
        <f t="shared" ca="1" si="71"/>
        <v>16.425640856478523</v>
      </c>
      <c r="AA488" s="170">
        <f t="shared" ca="1" si="72"/>
        <v>43.801708950609395</v>
      </c>
      <c r="AB488" s="169">
        <f t="shared" ca="1" si="73"/>
        <v>16.425640856478523</v>
      </c>
      <c r="AC488" s="170">
        <f t="shared" ca="1" si="74"/>
        <v>43.801708950609395</v>
      </c>
      <c r="AD488" s="169">
        <f t="shared" ca="1" si="75"/>
        <v>1.1550925929138089E-2</v>
      </c>
      <c r="AE488" s="169">
        <f t="shared" ca="1" si="76"/>
        <v>17.925640856478523</v>
      </c>
      <c r="AF488" s="170">
        <f t="shared" ca="1" si="77"/>
        <v>47.801708950609395</v>
      </c>
      <c r="AG488" s="170">
        <f t="shared" ca="1" si="78"/>
        <v>47.801708950609395</v>
      </c>
      <c r="AH488" s="28" t="str" cm="1">
        <f t="array" aca="1" ref="AH488" ca="1">IF((AD488) &lt; (INDEX(ResponseSLA[#All],(MATCH((G488),ResponseSLA[Priority],0))+1,3)),"YES","No")</f>
        <v>YES</v>
      </c>
      <c r="AI488" s="28" t="str">
        <f ca="1">_xlfn.IFNA(IF(AE488 &lt; (INDEX(SLATable[Minimum SLA],MATCH(G488,SLATable[Priority],0))),"YES","NO"),"")</f>
        <v>NO</v>
      </c>
      <c r="AJ488" s="28" t="str">
        <f ca="1">_xlfn.IFNA(IF(AE488 &lt; (INDEX(SLATable[Maximum SLA],MATCH(G488,SLATable[Priority],0))),"YES","NO"),"")</f>
        <v>NO</v>
      </c>
    </row>
    <row r="489" spans="2:36" ht="15" customHeight="1">
      <c r="B489" s="127" t="s">
        <v>26</v>
      </c>
      <c r="C489" s="127" t="s">
        <v>35</v>
      </c>
      <c r="D489" s="127" t="s">
        <v>207</v>
      </c>
      <c r="E489" s="256" t="s">
        <v>2129</v>
      </c>
      <c r="F489" s="127" t="s">
        <v>295</v>
      </c>
      <c r="G489" s="127">
        <v>3</v>
      </c>
      <c r="H489" s="256" t="s">
        <v>2130</v>
      </c>
      <c r="I489" s="127" t="s">
        <v>260</v>
      </c>
      <c r="J489" s="255" t="s">
        <v>1408</v>
      </c>
      <c r="K489" s="129">
        <v>46203.346678240741</v>
      </c>
      <c r="L489" s="129">
        <v>46203.463796296295</v>
      </c>
      <c r="M489" s="129">
        <v>46203.489814814813</v>
      </c>
      <c r="N489" s="129"/>
      <c r="O489" s="129"/>
      <c r="P489" s="129"/>
      <c r="Q489" s="256" t="s">
        <v>1113</v>
      </c>
      <c r="R489" s="127"/>
      <c r="S489" s="127"/>
      <c r="T489" s="256"/>
      <c r="U489" s="127" t="s">
        <v>371</v>
      </c>
      <c r="Z489" s="169">
        <f t="shared" ca="1" si="71"/>
        <v>15.287295949070542</v>
      </c>
      <c r="AA489" s="170">
        <f t="shared" ca="1" si="72"/>
        <v>40.76612253085478</v>
      </c>
      <c r="AB489" s="169">
        <f t="shared" ca="1" si="73"/>
        <v>15.170177893516668</v>
      </c>
      <c r="AC489" s="170">
        <f t="shared" ca="1" si="74"/>
        <v>40.453807716044452</v>
      </c>
      <c r="AD489" s="169">
        <f t="shared" ca="1" si="75"/>
        <v>2.6018518517958E-2</v>
      </c>
      <c r="AE489" s="169">
        <f t="shared" ca="1" si="76"/>
        <v>20.289576041662563</v>
      </c>
      <c r="AF489" s="170">
        <f t="shared" ca="1" si="77"/>
        <v>54.105536111100172</v>
      </c>
      <c r="AG489" s="170">
        <f t="shared" ca="1" si="78"/>
        <v>54.105536111100172</v>
      </c>
      <c r="AH489" s="28" t="str" cm="1">
        <f t="array" aca="1" ref="AH489" ca="1">IF((AD489) &lt; (INDEX(ResponseSLA[#All],(MATCH((G489),ResponseSLA[Priority],0))+1,3)),"YES","No")</f>
        <v>YES</v>
      </c>
      <c r="AI489" s="28" t="str">
        <f ca="1">_xlfn.IFNA(IF(AE489 &lt; (INDEX(SLATable[Minimum SLA],MATCH(G489,SLATable[Priority],0))),"YES","NO"),"")</f>
        <v>NO</v>
      </c>
      <c r="AJ489" s="28" t="str">
        <f ca="1">_xlfn.IFNA(IF(AE489 &lt; (INDEX(SLATable[Maximum SLA],MATCH(G489,SLATable[Priority],0))),"YES","NO"),"")</f>
        <v>NO</v>
      </c>
    </row>
    <row r="490" spans="2:36" ht="15" customHeight="1">
      <c r="B490" s="127" t="s">
        <v>26</v>
      </c>
      <c r="C490" s="127" t="s">
        <v>35</v>
      </c>
      <c r="D490" s="127" t="s">
        <v>207</v>
      </c>
      <c r="E490" s="256" t="s">
        <v>1429</v>
      </c>
      <c r="F490" s="127" t="s">
        <v>289</v>
      </c>
      <c r="G490" s="127">
        <v>4</v>
      </c>
      <c r="H490" s="256" t="s">
        <v>1430</v>
      </c>
      <c r="I490" s="127" t="s">
        <v>271</v>
      </c>
      <c r="J490" s="255" t="s">
        <v>1408</v>
      </c>
      <c r="K490" s="129">
        <v>46162.328993055555</v>
      </c>
      <c r="L490" s="129">
        <v>46162.40483796296</v>
      </c>
      <c r="M490" s="129">
        <v>46162.410162037035</v>
      </c>
      <c r="N490" s="129">
        <v>46188.750277777777</v>
      </c>
      <c r="O490" s="129">
        <v>46167.449699074074</v>
      </c>
      <c r="P490" s="129">
        <v>46168.392280092594</v>
      </c>
      <c r="Q490" s="256" t="s">
        <v>1065</v>
      </c>
      <c r="R490" s="127" t="s">
        <v>267</v>
      </c>
      <c r="S490" s="127" t="s">
        <v>199</v>
      </c>
      <c r="T490" s="256"/>
      <c r="U490" s="127" t="s">
        <v>371</v>
      </c>
      <c r="Z490" s="169">
        <f t="shared" ca="1" si="71"/>
        <v>6.6910532407394694</v>
      </c>
      <c r="AA490" s="170">
        <f t="shared" ca="1" si="72"/>
        <v>17.842808641971917</v>
      </c>
      <c r="AB490" s="169">
        <f t="shared" ca="1" si="73"/>
        <v>6.6195486111125019</v>
      </c>
      <c r="AC490" s="170">
        <f t="shared" ca="1" si="74"/>
        <v>17.652129629633336</v>
      </c>
      <c r="AD490" s="169">
        <f t="shared" ca="1" si="75"/>
        <v>5.324074074451346E-3</v>
      </c>
      <c r="AE490" s="169">
        <f t="shared" ca="1" si="76"/>
        <v>8.3551273148138243</v>
      </c>
      <c r="AF490" s="170">
        <f t="shared" ca="1" si="77"/>
        <v>22.280339506170197</v>
      </c>
      <c r="AG490" s="170">
        <f t="shared" ca="1" si="78"/>
        <v>22.280339506170197</v>
      </c>
      <c r="AH490" s="28" t="str" cm="1">
        <f t="array" aca="1" ref="AH490" ca="1">IF((AD490) &lt; (INDEX(ResponseSLA[#All],(MATCH((G490),ResponseSLA[Priority],0))+1,3)),"YES","No")</f>
        <v>YES</v>
      </c>
      <c r="AI490" s="28" t="str">
        <f ca="1">_xlfn.IFNA(IF(AE490 &lt; (INDEX(SLATable[Minimum SLA],MATCH(G490,SLATable[Priority],0))),"YES","NO"),"")</f>
        <v>NO</v>
      </c>
      <c r="AJ490" s="28" t="str">
        <f ca="1">_xlfn.IFNA(IF(AE490 &lt; (INDEX(SLATable[Maximum SLA],MATCH(G490,SLATable[Priority],0))),"YES","NO"),"")</f>
        <v>NO</v>
      </c>
    </row>
    <row r="491" spans="2:36" ht="15" customHeight="1">
      <c r="B491" s="127" t="s">
        <v>26</v>
      </c>
      <c r="C491" s="127" t="s">
        <v>35</v>
      </c>
      <c r="D491" s="127" t="s">
        <v>207</v>
      </c>
      <c r="E491" s="256" t="s">
        <v>1425</v>
      </c>
      <c r="F491" s="127" t="s">
        <v>295</v>
      </c>
      <c r="G491" s="127">
        <v>3</v>
      </c>
      <c r="H491" s="256" t="s">
        <v>1426</v>
      </c>
      <c r="I491" s="127" t="s">
        <v>271</v>
      </c>
      <c r="J491" s="255" t="s">
        <v>1408</v>
      </c>
      <c r="K491" s="129">
        <v>46162.502835648149</v>
      </c>
      <c r="L491" s="129">
        <v>46163.671238425923</v>
      </c>
      <c r="M491" s="129">
        <v>46164.296400462961</v>
      </c>
      <c r="N491" s="129">
        <v>46176.476724537039</v>
      </c>
      <c r="O491" s="129">
        <v>46168.328946759262</v>
      </c>
      <c r="P491" s="129">
        <v>46176.476724537039</v>
      </c>
      <c r="Q491" s="256" t="s">
        <v>1113</v>
      </c>
      <c r="R491" s="127" t="s">
        <v>267</v>
      </c>
      <c r="S491" s="127" t="s">
        <v>190</v>
      </c>
      <c r="T491" s="256"/>
      <c r="U491" s="127" t="s">
        <v>371</v>
      </c>
      <c r="Z491" s="169">
        <f t="shared" ca="1" si="71"/>
        <v>0.95549768518443079</v>
      </c>
      <c r="AA491" s="170">
        <f t="shared" ca="1" si="72"/>
        <v>2.5479938271584821</v>
      </c>
      <c r="AB491" s="169">
        <f t="shared" ca="1" si="73"/>
        <v>0.41209490741069521</v>
      </c>
      <c r="AC491" s="170">
        <f t="shared" ca="1" si="74"/>
        <v>1.0989197530951873</v>
      </c>
      <c r="AD491" s="169">
        <f t="shared" ca="1" si="75"/>
        <v>3.7094907410695099E-2</v>
      </c>
      <c r="AE491" s="169">
        <f t="shared" ca="1" si="76"/>
        <v>0.82459490741409081</v>
      </c>
      <c r="AF491" s="170">
        <f t="shared" ca="1" si="77"/>
        <v>2.1989197531042421</v>
      </c>
      <c r="AG491" s="170">
        <f t="shared" ca="1" si="78"/>
        <v>2.1989197531042421</v>
      </c>
      <c r="AH491" s="28" t="str" cm="1">
        <f t="array" aca="1" ref="AH491" ca="1">IF((AD491) &lt; (INDEX(ResponseSLA[#All],(MATCH((G491),ResponseSLA[Priority],0))+1,3)),"YES","No")</f>
        <v>YES</v>
      </c>
      <c r="AI491" s="28" t="str">
        <f ca="1">_xlfn.IFNA(IF(AE491 &lt; (INDEX(SLATable[Minimum SLA],MATCH(G491,SLATable[Priority],0))),"YES","NO"),"")</f>
        <v>NO</v>
      </c>
      <c r="AJ491" s="28" t="str">
        <f ca="1">_xlfn.IFNA(IF(AE491 &lt; (INDEX(SLATable[Maximum SLA],MATCH(G491,SLATable[Priority],0))),"YES","NO"),"")</f>
        <v>YES</v>
      </c>
    </row>
    <row r="492" spans="2:36" ht="15" customHeight="1">
      <c r="B492" s="127" t="s">
        <v>26</v>
      </c>
      <c r="C492" s="127" t="s">
        <v>35</v>
      </c>
      <c r="D492" s="127" t="s">
        <v>207</v>
      </c>
      <c r="E492" s="256" t="s">
        <v>1432</v>
      </c>
      <c r="F492" s="127" t="s">
        <v>292</v>
      </c>
      <c r="G492" s="127">
        <v>3</v>
      </c>
      <c r="H492" s="256" t="s">
        <v>1433</v>
      </c>
      <c r="I492" s="127" t="s">
        <v>271</v>
      </c>
      <c r="J492" s="255" t="s">
        <v>1408</v>
      </c>
      <c r="K492" s="129">
        <v>46167.392326388886</v>
      </c>
      <c r="L492" s="129">
        <v>46167.39329861111</v>
      </c>
      <c r="M492" s="129">
        <v>46167.402256944442</v>
      </c>
      <c r="N492" s="129">
        <v>46175.750277777777</v>
      </c>
      <c r="O492" s="129"/>
      <c r="P492" s="129"/>
      <c r="Q492" s="256" t="s">
        <v>1073</v>
      </c>
      <c r="R492" s="127" t="s">
        <v>267</v>
      </c>
      <c r="S492" s="127" t="s">
        <v>190</v>
      </c>
      <c r="T492" s="256"/>
      <c r="U492" s="127" t="s">
        <v>371</v>
      </c>
      <c r="Z492" s="169">
        <f t="shared" ca="1" si="71"/>
        <v>2.25</v>
      </c>
      <c r="AA492" s="170">
        <f t="shared" ca="1" si="72"/>
        <v>6</v>
      </c>
      <c r="AB492" s="169">
        <f t="shared" ca="1" si="73"/>
        <v>2.25</v>
      </c>
      <c r="AC492" s="170">
        <f t="shared" ca="1" si="74"/>
        <v>6</v>
      </c>
      <c r="AD492" s="169">
        <f t="shared" ca="1" si="75"/>
        <v>0</v>
      </c>
      <c r="AE492" s="169">
        <f t="shared" ca="1" si="76"/>
        <v>2.25</v>
      </c>
      <c r="AF492" s="170">
        <f t="shared" ca="1" si="77"/>
        <v>6</v>
      </c>
      <c r="AG492" s="170">
        <f t="shared" ca="1" si="78"/>
        <v>6</v>
      </c>
      <c r="AH492" s="28" t="str" cm="1">
        <f t="array" aca="1" ref="AH492" ca="1">IF((AD492) &lt; (INDEX(ResponseSLA[#All],(MATCH((G492),ResponseSLA[Priority],0))+1,3)),"YES","No")</f>
        <v>YES</v>
      </c>
      <c r="AI492" s="28" t="str">
        <f ca="1">_xlfn.IFNA(IF(AE492 &lt; (INDEX(SLATable[Minimum SLA],MATCH(G492,SLATable[Priority],0))),"YES","NO"),"")</f>
        <v>NO</v>
      </c>
      <c r="AJ492" s="28" t="str">
        <f ca="1">_xlfn.IFNA(IF(AE492 &lt; (INDEX(SLATable[Maximum SLA],MATCH(G492,SLATable[Priority],0))),"YES","NO"),"")</f>
        <v>NO</v>
      </c>
    </row>
    <row r="493" spans="2:36" ht="15" customHeight="1">
      <c r="B493" s="127" t="s">
        <v>26</v>
      </c>
      <c r="C493" s="127" t="s">
        <v>35</v>
      </c>
      <c r="D493" s="127" t="s">
        <v>207</v>
      </c>
      <c r="E493" s="256" t="s">
        <v>1436</v>
      </c>
      <c r="F493" s="127" t="s">
        <v>292</v>
      </c>
      <c r="G493" s="127">
        <v>4</v>
      </c>
      <c r="H493" s="256" t="s">
        <v>1437</v>
      </c>
      <c r="I493" s="127" t="s">
        <v>271</v>
      </c>
      <c r="J493" s="255" t="s">
        <v>1408</v>
      </c>
      <c r="K493" s="129">
        <v>46168.39199074074</v>
      </c>
      <c r="L493" s="129">
        <v>46168.392256944448</v>
      </c>
      <c r="M493" s="129">
        <v>46168.452175925922</v>
      </c>
      <c r="N493" s="129">
        <v>46171.19085648148</v>
      </c>
      <c r="O493" s="129">
        <v>46169.344270833331</v>
      </c>
      <c r="P493" s="129">
        <v>46169.381122685183</v>
      </c>
      <c r="Q493" s="256" t="s">
        <v>1073</v>
      </c>
      <c r="R493" s="127" t="s">
        <v>267</v>
      </c>
      <c r="S493" s="127" t="s">
        <v>190</v>
      </c>
      <c r="T493" s="256"/>
      <c r="U493" s="127" t="s">
        <v>371</v>
      </c>
      <c r="Z493" s="169">
        <f t="shared" ca="1" si="71"/>
        <v>1.0294907407417973</v>
      </c>
      <c r="AA493" s="170">
        <f t="shared" ca="1" si="72"/>
        <v>2.7453086419781259</v>
      </c>
      <c r="AB493" s="169">
        <f t="shared" ca="1" si="73"/>
        <v>1.0292245370340729</v>
      </c>
      <c r="AC493" s="170">
        <f t="shared" ca="1" si="74"/>
        <v>2.7445987654241946</v>
      </c>
      <c r="AD493" s="169">
        <f t="shared" ca="1" si="75"/>
        <v>5.9918981474766042E-2</v>
      </c>
      <c r="AE493" s="169">
        <f t="shared" ca="1" si="76"/>
        <v>2.0958912036973443</v>
      </c>
      <c r="AF493" s="170">
        <f t="shared" ca="1" si="77"/>
        <v>5.589043209859585</v>
      </c>
      <c r="AG493" s="170">
        <f t="shared" ca="1" si="78"/>
        <v>5.589043209859585</v>
      </c>
      <c r="AH493" s="28" t="str" cm="1">
        <f t="array" aca="1" ref="AH493" ca="1">IF((AD493) &lt; (INDEX(ResponseSLA[#All],(MATCH((G493),ResponseSLA[Priority],0))+1,3)),"YES","No")</f>
        <v>YES</v>
      </c>
      <c r="AI493" s="28" t="str">
        <f ca="1">_xlfn.IFNA(IF(AE493 &lt; (INDEX(SLATable[Minimum SLA],MATCH(G493,SLATable[Priority],0))),"YES","NO"),"")</f>
        <v>YES</v>
      </c>
      <c r="AJ493" s="28" t="str">
        <f ca="1">_xlfn.IFNA(IF(AE493 &lt; (INDEX(SLATable[Maximum SLA],MATCH(G493,SLATable[Priority],0))),"YES","NO"),"")</f>
        <v>YES</v>
      </c>
    </row>
    <row r="494" spans="2:36" ht="15" customHeight="1">
      <c r="B494" s="127" t="s">
        <v>26</v>
      </c>
      <c r="C494" s="127" t="s">
        <v>35</v>
      </c>
      <c r="D494" s="127" t="s">
        <v>207</v>
      </c>
      <c r="E494" s="256" t="s">
        <v>1423</v>
      </c>
      <c r="F494" s="127" t="s">
        <v>292</v>
      </c>
      <c r="G494" s="127">
        <v>3</v>
      </c>
      <c r="H494" s="256" t="s">
        <v>1424</v>
      </c>
      <c r="I494" s="127" t="s">
        <v>271</v>
      </c>
      <c r="J494" s="255" t="s">
        <v>1408</v>
      </c>
      <c r="K494" s="129">
        <v>46168.399618055555</v>
      </c>
      <c r="L494" s="129">
        <v>46168.509988425925</v>
      </c>
      <c r="M494" s="129">
        <v>46169.374814814815</v>
      </c>
      <c r="N494" s="129">
        <v>46171.19</v>
      </c>
      <c r="O494" s="129">
        <v>46169.641562500001</v>
      </c>
      <c r="P494" s="129">
        <v>46170.617627314816</v>
      </c>
      <c r="Q494" s="256" t="s">
        <v>1073</v>
      </c>
      <c r="R494" s="127" t="s">
        <v>267</v>
      </c>
      <c r="S494" s="127" t="s">
        <v>190</v>
      </c>
      <c r="T494" s="256"/>
      <c r="U494" s="127" t="s">
        <v>371</v>
      </c>
      <c r="Z494" s="169">
        <f t="shared" ca="1" si="71"/>
        <v>0.70765046296340506</v>
      </c>
      <c r="AA494" s="170">
        <f t="shared" ca="1" si="72"/>
        <v>1.8870679012357467</v>
      </c>
      <c r="AB494" s="169">
        <f t="shared" ca="1" si="73"/>
        <v>0.5972800925931856</v>
      </c>
      <c r="AC494" s="170">
        <f t="shared" ca="1" si="74"/>
        <v>1.5927469135818282</v>
      </c>
      <c r="AD494" s="169">
        <f t="shared" ca="1" si="75"/>
        <v>0.23982638888992369</v>
      </c>
      <c r="AE494" s="169">
        <f t="shared" ca="1" si="76"/>
        <v>1.1948263888868196</v>
      </c>
      <c r="AF494" s="170">
        <f t="shared" ca="1" si="77"/>
        <v>3.1862037036981854</v>
      </c>
      <c r="AG494" s="170">
        <f t="shared" ca="1" si="78"/>
        <v>3.1862037036981854</v>
      </c>
      <c r="AH494" s="28" t="str" cm="1">
        <f t="array" aca="1" ref="AH494" ca="1">IF((AD494) &lt; (INDEX(ResponseSLA[#All],(MATCH((G494),ResponseSLA[Priority],0))+1,3)),"YES","No")</f>
        <v>No</v>
      </c>
      <c r="AI494" s="28" t="str">
        <f ca="1">_xlfn.IFNA(IF(AE494 &lt; (INDEX(SLATable[Minimum SLA],MATCH(G494,SLATable[Priority],0))),"YES","NO"),"")</f>
        <v>NO</v>
      </c>
      <c r="AJ494" s="28" t="str">
        <f ca="1">_xlfn.IFNA(IF(AE494 &lt; (INDEX(SLATable[Maximum SLA],MATCH(G494,SLATable[Priority],0))),"YES","NO"),"")</f>
        <v>YES</v>
      </c>
    </row>
    <row r="495" spans="2:36" ht="15" customHeight="1">
      <c r="B495" s="127" t="s">
        <v>26</v>
      </c>
      <c r="C495" s="127" t="s">
        <v>35</v>
      </c>
      <c r="D495" s="127" t="s">
        <v>207</v>
      </c>
      <c r="E495" s="256" t="s">
        <v>1434</v>
      </c>
      <c r="F495" s="127" t="s">
        <v>292</v>
      </c>
      <c r="G495" s="127">
        <v>3</v>
      </c>
      <c r="H495" s="256" t="s">
        <v>1435</v>
      </c>
      <c r="I495" s="127" t="s">
        <v>271</v>
      </c>
      <c r="J495" s="255" t="s">
        <v>1408</v>
      </c>
      <c r="K495" s="129">
        <v>46168.569907407407</v>
      </c>
      <c r="L495" s="129">
        <v>46168.570833333331</v>
      </c>
      <c r="M495" s="129">
        <v>46169.378391203703</v>
      </c>
      <c r="N495" s="129">
        <v>46177.750150462962</v>
      </c>
      <c r="O495" s="129">
        <v>46169.298981481479</v>
      </c>
      <c r="P495" s="129">
        <v>46177.750150462962</v>
      </c>
      <c r="Q495" s="256" t="s">
        <v>1073</v>
      </c>
      <c r="R495" s="127" t="s">
        <v>267</v>
      </c>
      <c r="S495" s="127" t="s">
        <v>190</v>
      </c>
      <c r="T495" s="256"/>
      <c r="U495" s="127" t="s">
        <v>371</v>
      </c>
      <c r="Z495" s="169">
        <f t="shared" ca="1" si="71"/>
        <v>0.13842592592603387</v>
      </c>
      <c r="AA495" s="170">
        <f t="shared" ca="1" si="72"/>
        <v>0.36913580246942362</v>
      </c>
      <c r="AB495" s="169">
        <f t="shared" ca="1" si="73"/>
        <v>0.1375000000019404</v>
      </c>
      <c r="AC495" s="170">
        <f t="shared" ca="1" si="74"/>
        <v>0.36666666667184106</v>
      </c>
      <c r="AD495" s="169">
        <f t="shared" ca="1" si="75"/>
        <v>0.18255787037196569</v>
      </c>
      <c r="AE495" s="169">
        <f t="shared" ca="1" si="76"/>
        <v>0.65000000000388081</v>
      </c>
      <c r="AF495" s="170">
        <f t="shared" ca="1" si="77"/>
        <v>1.7333333333436822</v>
      </c>
      <c r="AG495" s="170">
        <f t="shared" ca="1" si="78"/>
        <v>1.7333333333436822</v>
      </c>
      <c r="AH495" s="28" t="str" cm="1">
        <f t="array" aca="1" ref="AH495" ca="1">IF((AD495) &lt; (INDEX(ResponseSLA[#All],(MATCH((G495),ResponseSLA[Priority],0))+1,3)),"YES","No")</f>
        <v>No</v>
      </c>
      <c r="AI495" s="28" t="str">
        <f ca="1">_xlfn.IFNA(IF(AE495 &lt; (INDEX(SLATable[Minimum SLA],MATCH(G495,SLATable[Priority],0))),"YES","NO"),"")</f>
        <v>NO</v>
      </c>
      <c r="AJ495" s="28" t="str">
        <f ca="1">_xlfn.IFNA(IF(AE495 &lt; (INDEX(SLATable[Maximum SLA],MATCH(G495,SLATable[Priority],0))),"YES","NO"),"")</f>
        <v>YES</v>
      </c>
    </row>
    <row r="496" spans="2:36" ht="15" customHeight="1">
      <c r="B496" s="127" t="s">
        <v>26</v>
      </c>
      <c r="C496" s="127" t="s">
        <v>35</v>
      </c>
      <c r="D496" s="127" t="s">
        <v>207</v>
      </c>
      <c r="E496" s="256" t="s">
        <v>1440</v>
      </c>
      <c r="F496" s="127" t="s">
        <v>292</v>
      </c>
      <c r="G496" s="127">
        <v>3</v>
      </c>
      <c r="H496" s="256" t="s">
        <v>1441</v>
      </c>
      <c r="I496" s="127" t="s">
        <v>271</v>
      </c>
      <c r="J496" s="255" t="s">
        <v>1408</v>
      </c>
      <c r="K496" s="129">
        <v>46169.45107638889</v>
      </c>
      <c r="L496" s="129">
        <v>46169.503784722219</v>
      </c>
      <c r="M496" s="129">
        <v>46171.174166666664</v>
      </c>
      <c r="N496" s="129">
        <v>46178.750138888892</v>
      </c>
      <c r="O496" s="129">
        <v>46171.191759259258</v>
      </c>
      <c r="P496" s="129">
        <v>46178.750138888892</v>
      </c>
      <c r="Q496" s="256" t="s">
        <v>1073</v>
      </c>
      <c r="R496" s="127" t="s">
        <v>267</v>
      </c>
      <c r="S496" s="127" t="s">
        <v>190</v>
      </c>
      <c r="T496" s="256"/>
      <c r="U496" s="127" t="s">
        <v>371</v>
      </c>
      <c r="Z496" s="169">
        <f t="shared" ca="1" si="71"/>
        <v>0.6322569444431192</v>
      </c>
      <c r="AA496" s="170">
        <f t="shared" ca="1" si="72"/>
        <v>1.6860185185149845</v>
      </c>
      <c r="AB496" s="169">
        <f t="shared" ca="1" si="73"/>
        <v>0.57954861111405442</v>
      </c>
      <c r="AC496" s="170">
        <f t="shared" ca="1" si="74"/>
        <v>1.5454629629708119</v>
      </c>
      <c r="AD496" s="169">
        <f t="shared" ca="1" si="75"/>
        <v>0.57954861111405398</v>
      </c>
      <c r="AE496" s="169">
        <f t="shared" ca="1" si="76"/>
        <v>1.1594097222283994</v>
      </c>
      <c r="AF496" s="170">
        <f t="shared" ca="1" si="77"/>
        <v>3.0917592592757317</v>
      </c>
      <c r="AG496" s="170">
        <f t="shared" ca="1" si="78"/>
        <v>3.0917592592757317</v>
      </c>
      <c r="AH496" s="28" t="str" cm="1">
        <f t="array" aca="1" ref="AH496" ca="1">IF((AD496) &lt; (INDEX(ResponseSLA[#All],(MATCH((G496),ResponseSLA[Priority],0))+1,3)),"YES","No")</f>
        <v>No</v>
      </c>
      <c r="AI496" s="28" t="str">
        <f ca="1">_xlfn.IFNA(IF(AE496 &lt; (INDEX(SLATable[Minimum SLA],MATCH(G496,SLATable[Priority],0))),"YES","NO"),"")</f>
        <v>NO</v>
      </c>
      <c r="AJ496" s="28" t="str">
        <f ca="1">_xlfn.IFNA(IF(AE496 &lt; (INDEX(SLATable[Maximum SLA],MATCH(G496,SLATable[Priority],0))),"YES","NO"),"")</f>
        <v>YES</v>
      </c>
    </row>
    <row r="497" spans="2:36" ht="15" customHeight="1">
      <c r="B497" s="127" t="s">
        <v>26</v>
      </c>
      <c r="C497" s="127" t="s">
        <v>35</v>
      </c>
      <c r="D497" s="127" t="s">
        <v>207</v>
      </c>
      <c r="E497" s="256" t="s">
        <v>2131</v>
      </c>
      <c r="F497" s="127" t="s">
        <v>289</v>
      </c>
      <c r="G497" s="127">
        <v>3</v>
      </c>
      <c r="H497" s="256" t="s">
        <v>2132</v>
      </c>
      <c r="I497" s="127" t="s">
        <v>271</v>
      </c>
      <c r="J497" s="255" t="s">
        <v>1408</v>
      </c>
      <c r="K497" s="129">
        <v>46182.439085648148</v>
      </c>
      <c r="L497" s="129">
        <v>46182.439386574071</v>
      </c>
      <c r="M497" s="129">
        <v>46182.447743055556</v>
      </c>
      <c r="N497" s="129">
        <v>46199.391180555554</v>
      </c>
      <c r="O497" s="129">
        <v>46183.317361111112</v>
      </c>
      <c r="P497" s="129">
        <v>46192.409641203703</v>
      </c>
      <c r="Q497" s="256" t="s">
        <v>1098</v>
      </c>
      <c r="R497" s="127" t="s">
        <v>267</v>
      </c>
      <c r="S497" s="127" t="s">
        <v>190</v>
      </c>
      <c r="T497" s="256"/>
      <c r="U497" s="127" t="s">
        <v>371</v>
      </c>
      <c r="Z497" s="169">
        <f t="shared" ca="1" si="71"/>
        <v>2.1257870370366927</v>
      </c>
      <c r="AA497" s="170">
        <f t="shared" ca="1" si="72"/>
        <v>5.6687654320978469</v>
      </c>
      <c r="AB497" s="169">
        <f t="shared" ca="1" si="73"/>
        <v>2.1254861111131813</v>
      </c>
      <c r="AC497" s="170">
        <f t="shared" ca="1" si="74"/>
        <v>5.6679629629684838</v>
      </c>
      <c r="AD497" s="169">
        <f t="shared" ca="1" si="75"/>
        <v>8.3564814849523827E-3</v>
      </c>
      <c r="AE497" s="169">
        <f t="shared" ca="1" si="76"/>
        <v>2.1254861111131813</v>
      </c>
      <c r="AF497" s="170">
        <f t="shared" ca="1" si="77"/>
        <v>5.6679629629684838</v>
      </c>
      <c r="AG497" s="170">
        <f t="shared" ca="1" si="78"/>
        <v>5.6679629629684838</v>
      </c>
      <c r="AH497" s="28" t="str" cm="1">
        <f t="array" aca="1" ref="AH497" ca="1">IF((AD497) &lt; (INDEX(ResponseSLA[#All],(MATCH((G497),ResponseSLA[Priority],0))+1,3)),"YES","No")</f>
        <v>YES</v>
      </c>
      <c r="AI497" s="28" t="str">
        <f ca="1">_xlfn.IFNA(IF(AE497 &lt; (INDEX(SLATable[Minimum SLA],MATCH(G497,SLATable[Priority],0))),"YES","NO"),"")</f>
        <v>NO</v>
      </c>
      <c r="AJ497" s="28" t="str">
        <f ca="1">_xlfn.IFNA(IF(AE497 &lt; (INDEX(SLATable[Maximum SLA],MATCH(G497,SLATable[Priority],0))),"YES","NO"),"")</f>
        <v>NO</v>
      </c>
    </row>
    <row r="498" spans="2:36" ht="15" customHeight="1">
      <c r="B498" s="127" t="s">
        <v>26</v>
      </c>
      <c r="C498" s="127" t="s">
        <v>35</v>
      </c>
      <c r="D498" s="127" t="s">
        <v>207</v>
      </c>
      <c r="E498" s="256" t="s">
        <v>2133</v>
      </c>
      <c r="F498" s="127" t="s">
        <v>289</v>
      </c>
      <c r="G498" s="127">
        <v>4</v>
      </c>
      <c r="H498" s="256" t="s">
        <v>2134</v>
      </c>
      <c r="I498" s="127" t="s">
        <v>271</v>
      </c>
      <c r="J498" s="255" t="s">
        <v>1408</v>
      </c>
      <c r="K498" s="129">
        <v>46182.800312500003</v>
      </c>
      <c r="L498" s="129">
        <v>46182.801319444443</v>
      </c>
      <c r="M498" s="129">
        <v>46183.274872685186</v>
      </c>
      <c r="N498" s="129">
        <v>46191.7500462963</v>
      </c>
      <c r="O498" s="129">
        <v>46184.26289351852</v>
      </c>
      <c r="P498" s="129">
        <v>46191.7500462963</v>
      </c>
      <c r="Q498" s="256" t="s">
        <v>1098</v>
      </c>
      <c r="R498" s="127" t="s">
        <v>267</v>
      </c>
      <c r="S498" s="127" t="s">
        <v>199</v>
      </c>
      <c r="T498" s="256"/>
      <c r="U498" s="127" t="s">
        <v>371</v>
      </c>
      <c r="Z498" s="169">
        <f t="shared" ca="1" si="71"/>
        <v>0.37500000000000044</v>
      </c>
      <c r="AA498" s="170">
        <f t="shared" ca="1" si="72"/>
        <v>1.0000000000000011</v>
      </c>
      <c r="AB498" s="169">
        <f t="shared" ca="1" si="73"/>
        <v>0.37500000000000044</v>
      </c>
      <c r="AC498" s="170">
        <f t="shared" ca="1" si="74"/>
        <v>1.0000000000000011</v>
      </c>
      <c r="AD498" s="169">
        <f t="shared" ca="1" si="75"/>
        <v>0</v>
      </c>
      <c r="AE498" s="169">
        <f t="shared" ca="1" si="76"/>
        <v>0.37500000000000044</v>
      </c>
      <c r="AF498" s="170">
        <f t="shared" ca="1" si="77"/>
        <v>1.0000000000000011</v>
      </c>
      <c r="AG498" s="170">
        <f t="shared" ca="1" si="78"/>
        <v>1.0000000000000011</v>
      </c>
      <c r="AH498" s="28" t="str" cm="1">
        <f t="array" aca="1" ref="AH498" ca="1">IF((AD498) &lt; (INDEX(ResponseSLA[#All],(MATCH((G498),ResponseSLA[Priority],0))+1,3)),"YES","No")</f>
        <v>YES</v>
      </c>
      <c r="AI498" s="28" t="str">
        <f ca="1">_xlfn.IFNA(IF(AE498 &lt; (INDEX(SLATable[Minimum SLA],MATCH(G498,SLATable[Priority],0))),"YES","NO"),"")</f>
        <v>YES</v>
      </c>
      <c r="AJ498" s="28" t="str">
        <f ca="1">_xlfn.IFNA(IF(AE498 &lt; (INDEX(SLATable[Maximum SLA],MATCH(G498,SLATable[Priority],0))),"YES","NO"),"")</f>
        <v>YES</v>
      </c>
    </row>
    <row r="499" spans="2:36" ht="15" customHeight="1">
      <c r="B499" s="127" t="s">
        <v>26</v>
      </c>
      <c r="C499" s="127" t="s">
        <v>35</v>
      </c>
      <c r="D499" s="127" t="s">
        <v>207</v>
      </c>
      <c r="E499" s="256" t="s">
        <v>2135</v>
      </c>
      <c r="F499" s="127" t="s">
        <v>289</v>
      </c>
      <c r="G499" s="127">
        <v>4</v>
      </c>
      <c r="H499" s="256" t="s">
        <v>2136</v>
      </c>
      <c r="I499" s="127" t="s">
        <v>271</v>
      </c>
      <c r="J499" s="255" t="s">
        <v>1408</v>
      </c>
      <c r="K499" s="129">
        <v>46187.672349537039</v>
      </c>
      <c r="L499" s="129">
        <v>46187.672743055555</v>
      </c>
      <c r="M499" s="129">
        <v>46188.321203703701</v>
      </c>
      <c r="N499" s="129">
        <v>46191.452638888892</v>
      </c>
      <c r="O499" s="129"/>
      <c r="P499" s="129"/>
      <c r="Q499" s="256" t="s">
        <v>1104</v>
      </c>
      <c r="R499" s="127" t="s">
        <v>267</v>
      </c>
      <c r="S499" s="127" t="s">
        <v>199</v>
      </c>
      <c r="T499" s="256"/>
      <c r="U499" s="127" t="s">
        <v>371</v>
      </c>
      <c r="Z499" s="169">
        <f t="shared" ca="1" si="71"/>
        <v>1.2443055555583369</v>
      </c>
      <c r="AA499" s="170">
        <f t="shared" ca="1" si="72"/>
        <v>3.318148148155565</v>
      </c>
      <c r="AB499" s="169">
        <f t="shared" ca="1" si="73"/>
        <v>1.2443055555583369</v>
      </c>
      <c r="AC499" s="170">
        <f t="shared" ca="1" si="74"/>
        <v>3.318148148155565</v>
      </c>
      <c r="AD499" s="169">
        <f t="shared" ca="1" si="75"/>
        <v>0</v>
      </c>
      <c r="AE499" s="169">
        <f t="shared" ca="1" si="76"/>
        <v>1.2443055555583369</v>
      </c>
      <c r="AF499" s="170">
        <f t="shared" ca="1" si="77"/>
        <v>3.318148148155565</v>
      </c>
      <c r="AG499" s="170">
        <f t="shared" ca="1" si="78"/>
        <v>3.318148148155565</v>
      </c>
      <c r="AH499" s="28" t="str" cm="1">
        <f t="array" aca="1" ref="AH499" ca="1">IF((AD499) &lt; (INDEX(ResponseSLA[#All],(MATCH((G499),ResponseSLA[Priority],0))+1,3)),"YES","No")</f>
        <v>YES</v>
      </c>
      <c r="AI499" s="28" t="str">
        <f ca="1">_xlfn.IFNA(IF(AE499 &lt; (INDEX(SLATable[Minimum SLA],MATCH(G499,SLATable[Priority],0))),"YES","NO"),"")</f>
        <v>YES</v>
      </c>
      <c r="AJ499" s="28" t="str">
        <f ca="1">_xlfn.IFNA(IF(AE499 &lt; (INDEX(SLATable[Maximum SLA],MATCH(G499,SLATable[Priority],0))),"YES","NO"),"")</f>
        <v>YES</v>
      </c>
    </row>
    <row r="500" spans="2:36" ht="15" customHeight="1">
      <c r="B500" s="127" t="s">
        <v>26</v>
      </c>
      <c r="C500" s="127" t="s">
        <v>35</v>
      </c>
      <c r="D500" s="127" t="s">
        <v>207</v>
      </c>
      <c r="E500" s="256" t="s">
        <v>2137</v>
      </c>
      <c r="F500" s="127" t="s">
        <v>289</v>
      </c>
      <c r="G500" s="127">
        <v>3</v>
      </c>
      <c r="H500" s="256" t="s">
        <v>2138</v>
      </c>
      <c r="I500" s="127" t="s">
        <v>271</v>
      </c>
      <c r="J500" s="255" t="s">
        <v>1408</v>
      </c>
      <c r="K500" s="129">
        <v>46190.029004629629</v>
      </c>
      <c r="L500" s="129">
        <v>46190.029328703706</v>
      </c>
      <c r="M500" s="129">
        <v>46190.321099537039</v>
      </c>
      <c r="N500" s="129">
        <v>46191.254606481481</v>
      </c>
      <c r="O500" s="129"/>
      <c r="P500" s="129"/>
      <c r="Q500" s="256" t="s">
        <v>2139</v>
      </c>
      <c r="R500" s="127" t="s">
        <v>267</v>
      </c>
      <c r="S500" s="127" t="s">
        <v>149</v>
      </c>
      <c r="T500" s="256"/>
      <c r="U500" s="127" t="s">
        <v>371</v>
      </c>
      <c r="Z500" s="169">
        <f t="shared" ca="1" si="71"/>
        <v>0.37500000000000006</v>
      </c>
      <c r="AA500" s="170">
        <f t="shared" ca="1" si="72"/>
        <v>1.0000000000000002</v>
      </c>
      <c r="AB500" s="169">
        <f t="shared" ca="1" si="73"/>
        <v>0.37500000000000006</v>
      </c>
      <c r="AC500" s="170">
        <f t="shared" ca="1" si="74"/>
        <v>1.0000000000000002</v>
      </c>
      <c r="AD500" s="169">
        <f t="shared" ca="1" si="75"/>
        <v>0</v>
      </c>
      <c r="AE500" s="169">
        <f t="shared" ca="1" si="76"/>
        <v>0.37500000000000006</v>
      </c>
      <c r="AF500" s="170">
        <f t="shared" ca="1" si="77"/>
        <v>1.0000000000000002</v>
      </c>
      <c r="AG500" s="170">
        <f t="shared" ca="1" si="78"/>
        <v>1.0000000000000002</v>
      </c>
      <c r="AH500" s="28" t="str" cm="1">
        <f t="array" aca="1" ref="AH500" ca="1">IF((AD500) &lt; (INDEX(ResponseSLA[#All],(MATCH((G500),ResponseSLA[Priority],0))+1,3)),"YES","No")</f>
        <v>YES</v>
      </c>
      <c r="AI500" s="28" t="str">
        <f ca="1">_xlfn.IFNA(IF(AE500 &lt; (INDEX(SLATable[Minimum SLA],MATCH(G500,SLATable[Priority],0))),"YES","NO"),"")</f>
        <v>NO</v>
      </c>
      <c r="AJ500" s="28" t="str">
        <f ca="1">_xlfn.IFNA(IF(AE500 &lt; (INDEX(SLATable[Maximum SLA],MATCH(G500,SLATable[Priority],0))),"YES","NO"),"")</f>
        <v>YES</v>
      </c>
    </row>
    <row r="501" spans="2:36" ht="15" customHeight="1">
      <c r="B501" s="127" t="s">
        <v>26</v>
      </c>
      <c r="C501" s="127" t="s">
        <v>35</v>
      </c>
      <c r="D501" s="127" t="s">
        <v>207</v>
      </c>
      <c r="E501" s="256" t="s">
        <v>2140</v>
      </c>
      <c r="F501" s="127" t="s">
        <v>289</v>
      </c>
      <c r="G501" s="127">
        <v>4</v>
      </c>
      <c r="H501" s="256" t="s">
        <v>2141</v>
      </c>
      <c r="I501" s="127" t="s">
        <v>271</v>
      </c>
      <c r="J501" s="255" t="s">
        <v>1408</v>
      </c>
      <c r="K501" s="129">
        <v>46190.630324074074</v>
      </c>
      <c r="L501" s="129">
        <v>46190.63076388889</v>
      </c>
      <c r="M501" s="129">
        <v>46191.306203703702</v>
      </c>
      <c r="N501" s="129">
        <v>46196.467974537038</v>
      </c>
      <c r="O501" s="129"/>
      <c r="P501" s="129"/>
      <c r="Q501" s="256" t="s">
        <v>1062</v>
      </c>
      <c r="R501" s="127" t="s">
        <v>267</v>
      </c>
      <c r="S501" s="127" t="s">
        <v>137</v>
      </c>
      <c r="T501" s="256"/>
      <c r="U501" s="127" t="s">
        <v>371</v>
      </c>
      <c r="Z501" s="169">
        <f t="shared" ca="1" si="71"/>
        <v>1.3376504629632111</v>
      </c>
      <c r="AA501" s="170">
        <f t="shared" ca="1" si="72"/>
        <v>3.5670679012352298</v>
      </c>
      <c r="AB501" s="169">
        <f t="shared" ca="1" si="73"/>
        <v>1.3372106481474477</v>
      </c>
      <c r="AC501" s="170">
        <f t="shared" ca="1" si="74"/>
        <v>3.5658950617265273</v>
      </c>
      <c r="AD501" s="169">
        <f t="shared" ca="1" si="75"/>
        <v>7.756944444311864E-2</v>
      </c>
      <c r="AE501" s="169">
        <f t="shared" ca="1" si="76"/>
        <v>1.3372106481474477</v>
      </c>
      <c r="AF501" s="170">
        <f t="shared" ca="1" si="77"/>
        <v>3.5658950617265273</v>
      </c>
      <c r="AG501" s="170">
        <f t="shared" ca="1" si="78"/>
        <v>3.5658950617265273</v>
      </c>
      <c r="AH501" s="28" t="str" cm="1">
        <f t="array" aca="1" ref="AH501" ca="1">IF((AD501) &lt; (INDEX(ResponseSLA[#All],(MATCH((G501),ResponseSLA[Priority],0))+1,3)),"YES","No")</f>
        <v>YES</v>
      </c>
      <c r="AI501" s="28" t="str">
        <f ca="1">_xlfn.IFNA(IF(AE501 &lt; (INDEX(SLATable[Minimum SLA],MATCH(G501,SLATable[Priority],0))),"YES","NO"),"")</f>
        <v>YES</v>
      </c>
      <c r="AJ501" s="28" t="str">
        <f ca="1">_xlfn.IFNA(IF(AE501 &lt; (INDEX(SLATable[Maximum SLA],MATCH(G501,SLATable[Priority],0))),"YES","NO"),"")</f>
        <v>YES</v>
      </c>
    </row>
    <row r="502" spans="2:36" ht="15" customHeight="1">
      <c r="B502" s="127" t="s">
        <v>26</v>
      </c>
      <c r="C502" s="127" t="s">
        <v>35</v>
      </c>
      <c r="D502" s="127" t="s">
        <v>207</v>
      </c>
      <c r="E502" s="256" t="s">
        <v>2142</v>
      </c>
      <c r="F502" s="127" t="s">
        <v>295</v>
      </c>
      <c r="G502" s="127">
        <v>3</v>
      </c>
      <c r="H502" s="256" t="s">
        <v>2143</v>
      </c>
      <c r="I502" s="127" t="s">
        <v>271</v>
      </c>
      <c r="J502" s="255" t="s">
        <v>1408</v>
      </c>
      <c r="K502" s="129">
        <v>46192.498483796298</v>
      </c>
      <c r="L502" s="129">
        <v>46192.498969907407</v>
      </c>
      <c r="M502" s="129">
        <v>46196.524178240739</v>
      </c>
      <c r="N502" s="129">
        <v>46198.351979166669</v>
      </c>
      <c r="O502" s="129"/>
      <c r="P502" s="129"/>
      <c r="Q502" s="256" t="s">
        <v>1203</v>
      </c>
      <c r="R502" s="127" t="s">
        <v>267</v>
      </c>
      <c r="S502" s="127" t="s">
        <v>149</v>
      </c>
      <c r="T502" s="256"/>
      <c r="U502" s="127" t="s">
        <v>371</v>
      </c>
      <c r="Z502" s="169">
        <f t="shared" ca="1" si="71"/>
        <v>1.3534953703710928</v>
      </c>
      <c r="AA502" s="170">
        <f t="shared" ca="1" si="72"/>
        <v>3.6093209876562478</v>
      </c>
      <c r="AB502" s="169">
        <f t="shared" ca="1" si="73"/>
        <v>1.3530092592627627</v>
      </c>
      <c r="AC502" s="170">
        <f t="shared" ca="1" si="74"/>
        <v>3.6080246913673673</v>
      </c>
      <c r="AD502" s="169">
        <f t="shared" ca="1" si="75"/>
        <v>0.77520833333255723</v>
      </c>
      <c r="AE502" s="169">
        <f t="shared" ca="1" si="76"/>
        <v>1.3530092592627627</v>
      </c>
      <c r="AF502" s="170">
        <f t="shared" ca="1" si="77"/>
        <v>3.6080246913673673</v>
      </c>
      <c r="AG502" s="170">
        <f t="shared" ca="1" si="78"/>
        <v>3.6080246913673673</v>
      </c>
      <c r="AH502" s="28" t="str" cm="1">
        <f t="array" aca="1" ref="AH502" ca="1">IF((AD502) &lt; (INDEX(ResponseSLA[#All],(MATCH((G502),ResponseSLA[Priority],0))+1,3)),"YES","No")</f>
        <v>No</v>
      </c>
      <c r="AI502" s="28" t="str">
        <f ca="1">_xlfn.IFNA(IF(AE502 &lt; (INDEX(SLATable[Minimum SLA],MATCH(G502,SLATable[Priority],0))),"YES","NO"),"")</f>
        <v>NO</v>
      </c>
      <c r="AJ502" s="28" t="str">
        <f ca="1">_xlfn.IFNA(IF(AE502 &lt; (INDEX(SLATable[Maximum SLA],MATCH(G502,SLATable[Priority],0))),"YES","NO"),"")</f>
        <v>YES</v>
      </c>
    </row>
    <row r="503" spans="2:36" ht="15" customHeight="1">
      <c r="B503" s="127" t="s">
        <v>26</v>
      </c>
      <c r="C503" s="127" t="s">
        <v>35</v>
      </c>
      <c r="D503" s="127" t="s">
        <v>208</v>
      </c>
      <c r="E503" s="127" t="s">
        <v>2144</v>
      </c>
      <c r="F503" s="127" t="s">
        <v>289</v>
      </c>
      <c r="G503" s="127" t="s">
        <v>208</v>
      </c>
      <c r="H503" s="127" t="s">
        <v>1889</v>
      </c>
      <c r="I503" s="127" t="s">
        <v>271</v>
      </c>
      <c r="J503" s="255" t="s">
        <v>1408</v>
      </c>
      <c r="K503" s="129">
        <v>46177.335081018522</v>
      </c>
      <c r="L503" s="129">
        <v>46177.335196759261</v>
      </c>
      <c r="M503" s="129">
        <v>46178.386666666665</v>
      </c>
      <c r="N503" s="129">
        <v>46182.447291666664</v>
      </c>
      <c r="O503" s="129"/>
      <c r="P503" s="129"/>
      <c r="Q503" s="127" t="s">
        <v>1891</v>
      </c>
      <c r="R503" s="127" t="s">
        <v>267</v>
      </c>
      <c r="S503" s="127" t="s">
        <v>155</v>
      </c>
      <c r="T503" s="127"/>
      <c r="U503" s="127" t="s">
        <v>371</v>
      </c>
      <c r="Z503" s="169">
        <f t="shared" ca="1" si="71"/>
        <v>1.237210648141627</v>
      </c>
      <c r="AA503" s="170">
        <f t="shared" ca="1" si="72"/>
        <v>3.2992283950443388</v>
      </c>
      <c r="AB503" s="169">
        <f t="shared" ca="1" si="73"/>
        <v>1.2370949074029343</v>
      </c>
      <c r="AC503" s="170">
        <f t="shared" ca="1" si="74"/>
        <v>3.2989197530744914</v>
      </c>
      <c r="AD503" s="169">
        <f t="shared" ca="1" si="75"/>
        <v>0.42646990740468027</v>
      </c>
      <c r="AE503" s="169">
        <f t="shared" ca="1" si="76"/>
        <v>1.2370949074029343</v>
      </c>
      <c r="AF503" s="170">
        <f t="shared" ca="1" si="77"/>
        <v>3.2989197530744914</v>
      </c>
      <c r="AG503" s="170">
        <f t="shared" ca="1" si="78"/>
        <v>3.2989197530744914</v>
      </c>
      <c r="AH503" s="28" t="str" cm="1">
        <f t="array" aca="1" ref="AH503" ca="1">IF((AD503) &lt; (INDEX(ResponseSLA[#All],(MATCH((G503),ResponseSLA[Priority],0))+1,3)),"YES","No")</f>
        <v>No</v>
      </c>
      <c r="AI503" s="28" t="str">
        <f ca="1">_xlfn.IFNA(IF(AE503 &lt; (INDEX(SLATable[Minimum SLA],MATCH(G503,SLATable[Priority],0))),"YES","NO"),"")</f>
        <v>NO</v>
      </c>
      <c r="AJ503" s="28" t="str">
        <f ca="1">_xlfn.IFNA(IF(AE503 &lt; (INDEX(SLATable[Maximum SLA],MATCH(G503,SLATable[Priority],0))),"YES","NO"),"")</f>
        <v>NO</v>
      </c>
    </row>
    <row r="504" spans="2:36" ht="15" customHeight="1">
      <c r="B504" s="127" t="s">
        <v>26</v>
      </c>
      <c r="C504" s="127" t="s">
        <v>35</v>
      </c>
      <c r="D504" s="127" t="s">
        <v>207</v>
      </c>
      <c r="E504" s="127" t="s">
        <v>2145</v>
      </c>
      <c r="F504" s="127" t="s">
        <v>295</v>
      </c>
      <c r="G504" s="127">
        <v>3</v>
      </c>
      <c r="H504" s="127" t="s">
        <v>2146</v>
      </c>
      <c r="I504" s="127" t="s">
        <v>271</v>
      </c>
      <c r="J504" s="127" t="s">
        <v>1454</v>
      </c>
      <c r="K504" s="129">
        <v>46192.089085648149</v>
      </c>
      <c r="L504" s="129">
        <v>46192.089085648149</v>
      </c>
      <c r="M504" s="129">
        <v>46192.306620370371</v>
      </c>
      <c r="N504" s="129">
        <v>46196.416238425925</v>
      </c>
      <c r="O504" s="129"/>
      <c r="P504" s="129"/>
      <c r="Q504" s="127" t="s">
        <v>1203</v>
      </c>
      <c r="R504" s="127" t="s">
        <v>267</v>
      </c>
      <c r="S504" s="127" t="s">
        <v>149</v>
      </c>
      <c r="T504" s="127"/>
      <c r="U504" s="127" t="s">
        <v>371</v>
      </c>
      <c r="Z504" s="169">
        <f t="shared" ca="1" si="71"/>
        <v>0.83290509259192436</v>
      </c>
      <c r="AA504" s="170">
        <f t="shared" ca="1" si="72"/>
        <v>2.2210802469117983</v>
      </c>
      <c r="AB504" s="169">
        <f t="shared" ca="1" si="73"/>
        <v>0.83290509259192436</v>
      </c>
      <c r="AC504" s="170">
        <f t="shared" ca="1" si="74"/>
        <v>2.2210802469117983</v>
      </c>
      <c r="AD504" s="169" t="e">
        <f ca="1">MAX(0,IF(NOT(OR(G504=1,G504=2)),IF(#REF!&lt;&gt;"",((MAX(NETWORKDAYS(L504,#REF!,UKBankHolidays)-1,0))*(TIME(17,0,0)-TIME(8,0,0))+IF(NETWORKDAYS(#REF!,#REF!,UKBankHolidays)&gt;0,MEDIAN(TIME(8,0,0),MOD(#REF!,1),TIME(17,0,0)),TIME(8,0,0))-MEDIAN(TIME(8,0,0),MOD(L504,1),TIME(17,0,0))),((MAX(NETWORKDAYS(L504,NOW(),UKBankHolidays)-1,0))*(TIME(17,0,0)-TIME(8,0,0))+IF(NETWORKDAYS(NOW(),NOW(),UKBankHolidays)&gt;0,MEDIAN(TIME(8,0,0),MOD(NOW(),1),TIME(17,0,0)),TIME(8,0,0))-MEDIAN(TIME(8,0,0),MOD(L504,1),TIME(17,0,0)))),IF(#REF!&lt;&gt;"",#REF!-L504,NOW()-L504)))</f>
        <v>#REF!</v>
      </c>
      <c r="AE504" s="169">
        <f t="shared" ca="1" si="76"/>
        <v>0.83290509259192436</v>
      </c>
      <c r="AF504" s="170">
        <f t="shared" ca="1" si="77"/>
        <v>2.2210802469117983</v>
      </c>
      <c r="AG504" s="170">
        <f t="shared" ca="1" si="78"/>
        <v>2.2210802469117983</v>
      </c>
      <c r="AH504" s="28" t="e" cm="1">
        <f t="array" aca="1" ref="AH504" ca="1">IF((AD504) &lt; (INDEX(ResponseSLA[#All],(MATCH((G504),ResponseSLA[Priority],0))+1,3)),"YES","No")</f>
        <v>#REF!</v>
      </c>
      <c r="AI504" s="28" t="str">
        <f ca="1">_xlfn.IFNA(IF(AE504 &lt; (INDEX(SLATable[Minimum SLA],MATCH(G504,SLATable[Priority],0))),"YES","NO"),"")</f>
        <v>NO</v>
      </c>
      <c r="AJ504" s="28" t="str">
        <f ca="1">_xlfn.IFNA(IF(AE504 &lt; (INDEX(SLATable[Maximum SLA],MATCH(G504,SLATable[Priority],0))),"YES","NO"),"")</f>
        <v>YES</v>
      </c>
    </row>
    <row r="505" spans="2:36" ht="15" customHeight="1">
      <c r="B505" s="127" t="s">
        <v>26</v>
      </c>
      <c r="C505" s="127" t="s">
        <v>35</v>
      </c>
      <c r="D505" s="127" t="s">
        <v>207</v>
      </c>
      <c r="E505" s="127" t="s">
        <v>2147</v>
      </c>
      <c r="F505" s="127" t="s">
        <v>295</v>
      </c>
      <c r="G505" s="127">
        <v>3</v>
      </c>
      <c r="H505" s="127" t="s">
        <v>2148</v>
      </c>
      <c r="I505" s="127" t="s">
        <v>271</v>
      </c>
      <c r="J505" s="127" t="s">
        <v>1454</v>
      </c>
      <c r="K505" s="129">
        <v>46191.979826388888</v>
      </c>
      <c r="L505" s="129">
        <v>46191.979826388888</v>
      </c>
      <c r="M505" s="129">
        <v>46192.305289351854</v>
      </c>
      <c r="N505" s="129">
        <v>46196.373333333337</v>
      </c>
      <c r="O505" s="129"/>
      <c r="P505" s="129"/>
      <c r="Q505" s="127" t="s">
        <v>1203</v>
      </c>
      <c r="R505" s="127" t="s">
        <v>267</v>
      </c>
      <c r="S505" s="127" t="s">
        <v>149</v>
      </c>
      <c r="T505" s="127"/>
      <c r="U505" s="127" t="s">
        <v>371</v>
      </c>
      <c r="Z505" s="169">
        <f t="shared" ca="1" si="71"/>
        <v>0.79000000000329862</v>
      </c>
      <c r="AA505" s="170">
        <f t="shared" ca="1" si="72"/>
        <v>2.106666666675463</v>
      </c>
      <c r="AB505" s="169">
        <f t="shared" ca="1" si="73"/>
        <v>0.79000000000329862</v>
      </c>
      <c r="AC505" s="170">
        <f t="shared" ca="1" si="74"/>
        <v>2.106666666675463</v>
      </c>
      <c r="AD505" s="169" t="e">
        <f ca="1">MAX(0,IF(NOT(OR(G505=1,G505=2)),IF(#REF!&lt;&gt;"",((MAX(NETWORKDAYS(L505,#REF!,UKBankHolidays)-1,0))*(TIME(17,0,0)-TIME(8,0,0))+IF(NETWORKDAYS(#REF!,#REF!,UKBankHolidays)&gt;0,MEDIAN(TIME(8,0,0),MOD(#REF!,1),TIME(17,0,0)),TIME(8,0,0))-MEDIAN(TIME(8,0,0),MOD(L505,1),TIME(17,0,0))),((MAX(NETWORKDAYS(L505,NOW(),UKBankHolidays)-1,0))*(TIME(17,0,0)-TIME(8,0,0))+IF(NETWORKDAYS(NOW(),NOW(),UKBankHolidays)&gt;0,MEDIAN(TIME(8,0,0),MOD(NOW(),1),TIME(17,0,0)),TIME(8,0,0))-MEDIAN(TIME(8,0,0),MOD(L505,1),TIME(17,0,0)))),IF(#REF!&lt;&gt;"",#REF!-L505,NOW()-L505)))</f>
        <v>#REF!</v>
      </c>
      <c r="AE505" s="169">
        <f t="shared" ca="1" si="76"/>
        <v>0.79000000000329862</v>
      </c>
      <c r="AF505" s="170">
        <f t="shared" ca="1" si="77"/>
        <v>2.106666666675463</v>
      </c>
      <c r="AG505" s="170">
        <f t="shared" ca="1" si="78"/>
        <v>2.106666666675463</v>
      </c>
      <c r="AH505" s="28" t="e" cm="1">
        <f t="array" aca="1" ref="AH505" ca="1">IF((AD505) &lt; (INDEX(ResponseSLA[#All],(MATCH((G505),ResponseSLA[Priority],0))+1,3)),"YES","No")</f>
        <v>#REF!</v>
      </c>
      <c r="AI505" s="28" t="str">
        <f ca="1">_xlfn.IFNA(IF(AE505 &lt; (INDEX(SLATable[Minimum SLA],MATCH(G505,SLATable[Priority],0))),"YES","NO"),"")</f>
        <v>NO</v>
      </c>
      <c r="AJ505" s="28" t="str">
        <f ca="1">_xlfn.IFNA(IF(AE505 &lt; (INDEX(SLATable[Maximum SLA],MATCH(G505,SLATable[Priority],0))),"YES","NO"),"")</f>
        <v>YES</v>
      </c>
    </row>
    <row r="506" spans="2:36" ht="15" customHeight="1">
      <c r="B506" s="127" t="s">
        <v>26</v>
      </c>
      <c r="C506" s="127" t="s">
        <v>35</v>
      </c>
      <c r="D506" s="127" t="s">
        <v>207</v>
      </c>
      <c r="E506" s="127" t="s">
        <v>2149</v>
      </c>
      <c r="F506" s="127" t="s">
        <v>295</v>
      </c>
      <c r="G506" s="127">
        <v>4</v>
      </c>
      <c r="H506" s="127" t="s">
        <v>2150</v>
      </c>
      <c r="I506" s="127" t="s">
        <v>271</v>
      </c>
      <c r="J506" s="127" t="s">
        <v>1454</v>
      </c>
      <c r="K506" s="129">
        <v>46189.149826388886</v>
      </c>
      <c r="L506" s="129">
        <v>46189.149826388886</v>
      </c>
      <c r="M506" s="129">
        <v>46189.317662037036</v>
      </c>
      <c r="N506" s="129">
        <v>46191.456446759257</v>
      </c>
      <c r="O506" s="129"/>
      <c r="P506" s="129"/>
      <c r="Q506" s="127" t="s">
        <v>1203</v>
      </c>
      <c r="R506" s="127" t="s">
        <v>267</v>
      </c>
      <c r="S506" s="127" t="s">
        <v>149</v>
      </c>
      <c r="T506" s="127"/>
      <c r="U506" s="127" t="s">
        <v>371</v>
      </c>
      <c r="Z506" s="169">
        <f t="shared" ca="1" si="71"/>
        <v>0.87311342592389951</v>
      </c>
      <c r="AA506" s="170">
        <f t="shared" ca="1" si="72"/>
        <v>2.3283024691303984</v>
      </c>
      <c r="AB506" s="169">
        <f t="shared" ca="1" si="73"/>
        <v>0.87311342592389951</v>
      </c>
      <c r="AC506" s="170">
        <f t="shared" ca="1" si="74"/>
        <v>2.3283024691303984</v>
      </c>
      <c r="AD506" s="169" t="e">
        <f ca="1">MAX(0,IF(NOT(OR(G506=1,G506=2)),IF(#REF!&lt;&gt;"",((MAX(NETWORKDAYS(L506,#REF!,UKBankHolidays)-1,0))*(TIME(17,0,0)-TIME(8,0,0))+IF(NETWORKDAYS(#REF!,#REF!,UKBankHolidays)&gt;0,MEDIAN(TIME(8,0,0),MOD(#REF!,1),TIME(17,0,0)),TIME(8,0,0))-MEDIAN(TIME(8,0,0),MOD(L506,1),TIME(17,0,0))),((MAX(NETWORKDAYS(L506,NOW(),UKBankHolidays)-1,0))*(TIME(17,0,0)-TIME(8,0,0))+IF(NETWORKDAYS(NOW(),NOW(),UKBankHolidays)&gt;0,MEDIAN(TIME(8,0,0),MOD(NOW(),1),TIME(17,0,0)),TIME(8,0,0))-MEDIAN(TIME(8,0,0),MOD(L506,1),TIME(17,0,0)))),IF(#REF!&lt;&gt;"",#REF!-L506,NOW()-L506)))</f>
        <v>#REF!</v>
      </c>
      <c r="AE506" s="169">
        <f t="shared" ca="1" si="76"/>
        <v>0.87311342592389951</v>
      </c>
      <c r="AF506" s="170">
        <f t="shared" ca="1" si="77"/>
        <v>2.3283024691303984</v>
      </c>
      <c r="AG506" s="170">
        <f t="shared" ca="1" si="78"/>
        <v>2.3283024691303984</v>
      </c>
      <c r="AH506" s="28" t="e" cm="1">
        <f t="array" aca="1" ref="AH506" ca="1">IF((AD506) &lt; (INDEX(ResponseSLA[#All],(MATCH((G506),ResponseSLA[Priority],0))+1,3)),"YES","No")</f>
        <v>#REF!</v>
      </c>
      <c r="AI506" s="28" t="str">
        <f ca="1">_xlfn.IFNA(IF(AE506 &lt; (INDEX(SLATable[Minimum SLA],MATCH(G506,SLATable[Priority],0))),"YES","NO"),"")</f>
        <v>YES</v>
      </c>
      <c r="AJ506" s="28" t="str">
        <f ca="1">_xlfn.IFNA(IF(AE506 &lt; (INDEX(SLATable[Maximum SLA],MATCH(G506,SLATable[Priority],0))),"YES","NO"),"")</f>
        <v>YES</v>
      </c>
    </row>
    <row r="507" spans="2:36" ht="15" customHeight="1">
      <c r="B507" s="127" t="s">
        <v>26</v>
      </c>
      <c r="C507" s="127" t="s">
        <v>35</v>
      </c>
      <c r="D507" s="127" t="s">
        <v>207</v>
      </c>
      <c r="E507" s="127" t="s">
        <v>2151</v>
      </c>
      <c r="F507" s="127" t="s">
        <v>292</v>
      </c>
      <c r="G507" s="127">
        <v>4</v>
      </c>
      <c r="H507" s="127" t="s">
        <v>2152</v>
      </c>
      <c r="I507" s="127" t="s">
        <v>271</v>
      </c>
      <c r="J507" s="127" t="s">
        <v>1454</v>
      </c>
      <c r="K507" s="129">
        <v>46185.12158564815</v>
      </c>
      <c r="L507" s="129">
        <v>46185.127581018518</v>
      </c>
      <c r="M507" s="129">
        <v>46185.281076388892</v>
      </c>
      <c r="N507" s="129">
        <v>46189.476666666669</v>
      </c>
      <c r="O507" s="129"/>
      <c r="P507" s="129"/>
      <c r="Q507" s="127" t="s">
        <v>1073</v>
      </c>
      <c r="R507" s="127" t="s">
        <v>267</v>
      </c>
      <c r="S507" s="127" t="s">
        <v>149</v>
      </c>
      <c r="T507" s="127"/>
      <c r="U507" s="127" t="s">
        <v>371</v>
      </c>
      <c r="Z507" s="169">
        <f t="shared" ca="1" si="71"/>
        <v>0.89333333333585574</v>
      </c>
      <c r="AA507" s="170">
        <f t="shared" ca="1" si="72"/>
        <v>2.3822222222289486</v>
      </c>
      <c r="AB507" s="169">
        <f t="shared" ca="1" si="73"/>
        <v>0.89333333333585574</v>
      </c>
      <c r="AC507" s="170">
        <f t="shared" ca="1" si="74"/>
        <v>2.3822222222289486</v>
      </c>
      <c r="AD507" s="169" t="e">
        <f ca="1">MAX(0,IF(NOT(OR(G507=1,G507=2)),IF(#REF!&lt;&gt;"",((MAX(NETWORKDAYS(L507,#REF!,UKBankHolidays)-1,0))*(TIME(17,0,0)-TIME(8,0,0))+IF(NETWORKDAYS(#REF!,#REF!,UKBankHolidays)&gt;0,MEDIAN(TIME(8,0,0),MOD(#REF!,1),TIME(17,0,0)),TIME(8,0,0))-MEDIAN(TIME(8,0,0),MOD(L507,1),TIME(17,0,0))),((MAX(NETWORKDAYS(L507,NOW(),UKBankHolidays)-1,0))*(TIME(17,0,0)-TIME(8,0,0))+IF(NETWORKDAYS(NOW(),NOW(),UKBankHolidays)&gt;0,MEDIAN(TIME(8,0,0),MOD(NOW(),1),TIME(17,0,0)),TIME(8,0,0))-MEDIAN(TIME(8,0,0),MOD(L507,1),TIME(17,0,0)))),IF(#REF!&lt;&gt;"",#REF!-L507,NOW()-L507)))</f>
        <v>#REF!</v>
      </c>
      <c r="AE507" s="169">
        <f t="shared" ca="1" si="76"/>
        <v>0.89333333333585574</v>
      </c>
      <c r="AF507" s="170">
        <f t="shared" ca="1" si="77"/>
        <v>2.3822222222289486</v>
      </c>
      <c r="AG507" s="170">
        <f t="shared" ca="1" si="78"/>
        <v>2.3822222222289486</v>
      </c>
      <c r="AH507" s="28" t="e" cm="1">
        <f t="array" aca="1" ref="AH507" ca="1">IF((AD507) &lt; (INDEX(ResponseSLA[#All],(MATCH((G507),ResponseSLA[Priority],0))+1,3)),"YES","No")</f>
        <v>#REF!</v>
      </c>
      <c r="AI507" s="28" t="str">
        <f ca="1">_xlfn.IFNA(IF(AE507 &lt; (INDEX(SLATable[Minimum SLA],MATCH(G507,SLATable[Priority],0))),"YES","NO"),"")</f>
        <v>YES</v>
      </c>
      <c r="AJ507" s="28" t="str">
        <f ca="1">_xlfn.IFNA(IF(AE507 &lt; (INDEX(SLATable[Maximum SLA],MATCH(G507,SLATable[Priority],0))),"YES","NO"),"")</f>
        <v>YES</v>
      </c>
    </row>
    <row r="508" spans="2:36" ht="15" customHeight="1">
      <c r="B508" s="127" t="s">
        <v>26</v>
      </c>
      <c r="C508" s="127" t="s">
        <v>35</v>
      </c>
      <c r="D508" s="127" t="s">
        <v>207</v>
      </c>
      <c r="E508" s="127" t="s">
        <v>2153</v>
      </c>
      <c r="F508" s="127" t="s">
        <v>303</v>
      </c>
      <c r="G508" s="127">
        <v>3</v>
      </c>
      <c r="H508" s="127" t="s">
        <v>2154</v>
      </c>
      <c r="I508" s="127" t="s">
        <v>271</v>
      </c>
      <c r="J508" s="127" t="s">
        <v>1454</v>
      </c>
      <c r="K508" s="129">
        <v>46176.522187499999</v>
      </c>
      <c r="L508" s="129">
        <v>46176.52244212963</v>
      </c>
      <c r="M508" s="129">
        <v>46178.397118055553</v>
      </c>
      <c r="N508" s="129">
        <v>46189.421886574077</v>
      </c>
      <c r="O508" s="129"/>
      <c r="P508" s="129"/>
      <c r="Q508" s="127" t="s">
        <v>1247</v>
      </c>
      <c r="R508" s="127" t="s">
        <v>267</v>
      </c>
      <c r="S508" s="127" t="s">
        <v>2155</v>
      </c>
      <c r="T508" s="127"/>
      <c r="U508" s="127" t="s">
        <v>371</v>
      </c>
      <c r="Z508" s="169">
        <f t="shared" ca="1" si="71"/>
        <v>3.2746990740779442</v>
      </c>
      <c r="AA508" s="170">
        <f t="shared" ca="1" si="72"/>
        <v>8.7325308642078525</v>
      </c>
      <c r="AB508" s="169">
        <f t="shared" ca="1" si="73"/>
        <v>3.2744444444469996</v>
      </c>
      <c r="AC508" s="170">
        <f t="shared" ca="1" si="74"/>
        <v>8.7318518518586661</v>
      </c>
      <c r="AD508" s="169" t="e">
        <f ca="1">MAX(0,IF(NOT(OR(G508=1,G508=2)),IF(#REF!&lt;&gt;"",((MAX(NETWORKDAYS(L508,#REF!,UKBankHolidays)-1,0))*(TIME(17,0,0)-TIME(8,0,0))+IF(NETWORKDAYS(#REF!,#REF!,UKBankHolidays)&gt;0,MEDIAN(TIME(8,0,0),MOD(#REF!,1),TIME(17,0,0)),TIME(8,0,0))-MEDIAN(TIME(8,0,0),MOD(L508,1),TIME(17,0,0))),((MAX(NETWORKDAYS(L508,NOW(),UKBankHolidays)-1,0))*(TIME(17,0,0)-TIME(8,0,0))+IF(NETWORKDAYS(NOW(),NOW(),UKBankHolidays)&gt;0,MEDIAN(TIME(8,0,0),MOD(NOW(),1),TIME(17,0,0)),TIME(8,0,0))-MEDIAN(TIME(8,0,0),MOD(L508,1),TIME(17,0,0)))),IF(#REF!&lt;&gt;"",#REF!-L508,NOW()-L508)))</f>
        <v>#REF!</v>
      </c>
      <c r="AE508" s="169">
        <f t="shared" ca="1" si="76"/>
        <v>3.2744444444469996</v>
      </c>
      <c r="AF508" s="170">
        <f t="shared" ca="1" si="77"/>
        <v>8.7318518518586661</v>
      </c>
      <c r="AG508" s="170">
        <f t="shared" ca="1" si="78"/>
        <v>8.7318518518586661</v>
      </c>
      <c r="AH508" s="28" t="e" cm="1">
        <f t="array" aca="1" ref="AH508" ca="1">IF((AD508) &lt; (INDEX(ResponseSLA[#All],(MATCH((G508),ResponseSLA[Priority],0))+1,3)),"YES","No")</f>
        <v>#REF!</v>
      </c>
      <c r="AI508" s="28" t="str">
        <f ca="1">_xlfn.IFNA(IF(AE508 &lt; (INDEX(SLATable[Minimum SLA],MATCH(G508,SLATable[Priority],0))),"YES","NO"),"")</f>
        <v>NO</v>
      </c>
      <c r="AJ508" s="28" t="str">
        <f ca="1">_xlfn.IFNA(IF(AE508 &lt; (INDEX(SLATable[Maximum SLA],MATCH(G508,SLATable[Priority],0))),"YES","NO"),"")</f>
        <v>NO</v>
      </c>
    </row>
    <row r="509" spans="2:36" ht="15" customHeight="1">
      <c r="B509" s="127" t="s">
        <v>26</v>
      </c>
      <c r="C509" s="127" t="s">
        <v>35</v>
      </c>
      <c r="D509" s="127" t="s">
        <v>207</v>
      </c>
      <c r="E509" s="127" t="s">
        <v>2156</v>
      </c>
      <c r="F509" s="127" t="s">
        <v>295</v>
      </c>
      <c r="G509" s="127">
        <v>4</v>
      </c>
      <c r="H509" s="127" t="s">
        <v>2157</v>
      </c>
      <c r="I509" s="127" t="s">
        <v>271</v>
      </c>
      <c r="J509" s="127" t="s">
        <v>1454</v>
      </c>
      <c r="K509" s="129">
        <v>46174.460138888891</v>
      </c>
      <c r="L509" s="129">
        <v>46174.678067129629</v>
      </c>
      <c r="M509" s="129">
        <v>46175.32613425926</v>
      </c>
      <c r="N509" s="129">
        <v>46183.427662037036</v>
      </c>
      <c r="O509" s="129"/>
      <c r="P509" s="129"/>
      <c r="Q509" s="127" t="s">
        <v>1211</v>
      </c>
      <c r="R509" s="127" t="s">
        <v>267</v>
      </c>
      <c r="S509" s="127" t="s">
        <v>141</v>
      </c>
      <c r="T509" s="127"/>
      <c r="U509" s="127" t="s">
        <v>371</v>
      </c>
      <c r="Z509" s="169">
        <f t="shared" ca="1" si="71"/>
        <v>2.5925231481451196</v>
      </c>
      <c r="AA509" s="170">
        <f t="shared" ca="1" si="72"/>
        <v>6.913395061720319</v>
      </c>
      <c r="AB509" s="169">
        <f t="shared" ca="1" si="73"/>
        <v>2.3745949074073001</v>
      </c>
      <c r="AC509" s="170">
        <f t="shared" ca="1" si="74"/>
        <v>6.3322530864194668</v>
      </c>
      <c r="AD509" s="169" t="e">
        <f ca="1">MAX(0,IF(NOT(OR(G509=1,G509=2)),IF(#REF!&lt;&gt;"",((MAX(NETWORKDAYS(L509,#REF!,UKBankHolidays)-1,0))*(TIME(17,0,0)-TIME(8,0,0))+IF(NETWORKDAYS(#REF!,#REF!,UKBankHolidays)&gt;0,MEDIAN(TIME(8,0,0),MOD(#REF!,1),TIME(17,0,0)),TIME(8,0,0))-MEDIAN(TIME(8,0,0),MOD(L509,1),TIME(17,0,0))),((MAX(NETWORKDAYS(L509,NOW(),UKBankHolidays)-1,0))*(TIME(17,0,0)-TIME(8,0,0))+IF(NETWORKDAYS(NOW(),NOW(),UKBankHolidays)&gt;0,MEDIAN(TIME(8,0,0),MOD(NOW(),1),TIME(17,0,0)),TIME(8,0,0))-MEDIAN(TIME(8,0,0),MOD(L509,1),TIME(17,0,0)))),IF(#REF!&lt;&gt;"",#REF!-L509,NOW()-L509)))</f>
        <v>#REF!</v>
      </c>
      <c r="AE509" s="169">
        <f t="shared" ca="1" si="76"/>
        <v>2.3745949074073001</v>
      </c>
      <c r="AF509" s="170">
        <f t="shared" ca="1" si="77"/>
        <v>6.3322530864194668</v>
      </c>
      <c r="AG509" s="170">
        <f t="shared" ca="1" si="78"/>
        <v>6.3322530864194668</v>
      </c>
      <c r="AH509" s="28" t="e" cm="1">
        <f t="array" aca="1" ref="AH509" ca="1">IF((AD509) &lt; (INDEX(ResponseSLA[#All],(MATCH((G509),ResponseSLA[Priority],0))+1,3)),"YES","No")</f>
        <v>#REF!</v>
      </c>
      <c r="AI509" s="28" t="str">
        <f ca="1">_xlfn.IFNA(IF(AE509 &lt; (INDEX(SLATable[Minimum SLA],MATCH(G509,SLATable[Priority],0))),"YES","NO"),"")</f>
        <v>YES</v>
      </c>
      <c r="AJ509" s="28" t="str">
        <f ca="1">_xlfn.IFNA(IF(AE509 &lt; (INDEX(SLATable[Maximum SLA],MATCH(G509,SLATable[Priority],0))),"YES","NO"),"")</f>
        <v>YES</v>
      </c>
    </row>
    <row r="510" spans="2:36" ht="15" customHeight="1">
      <c r="B510" s="127" t="s">
        <v>26</v>
      </c>
      <c r="C510" s="127" t="s">
        <v>35</v>
      </c>
      <c r="D510" s="127" t="s">
        <v>207</v>
      </c>
      <c r="E510" s="127" t="s">
        <v>2158</v>
      </c>
      <c r="F510" s="127" t="s">
        <v>295</v>
      </c>
      <c r="G510" s="127">
        <v>3</v>
      </c>
      <c r="H510" s="127" t="s">
        <v>2159</v>
      </c>
      <c r="I510" s="127" t="s">
        <v>271</v>
      </c>
      <c r="J510" s="127" t="s">
        <v>1454</v>
      </c>
      <c r="K510" s="129">
        <v>46174.212731481479</v>
      </c>
      <c r="L510" s="129">
        <v>46174.212731481479</v>
      </c>
      <c r="M510" s="129">
        <v>46175.294976851852</v>
      </c>
      <c r="N510" s="129">
        <v>46182.486967592595</v>
      </c>
      <c r="O510" s="129"/>
      <c r="P510" s="129"/>
      <c r="Q510" s="127" t="s">
        <v>1581</v>
      </c>
      <c r="R510" s="127" t="s">
        <v>267</v>
      </c>
      <c r="S510" s="127" t="s">
        <v>149</v>
      </c>
      <c r="T510" s="127"/>
      <c r="U510" s="127" t="s">
        <v>371</v>
      </c>
      <c r="Z510" s="169">
        <f t="shared" ca="1" si="71"/>
        <v>2.4036342592614046</v>
      </c>
      <c r="AA510" s="170">
        <f t="shared" ca="1" si="72"/>
        <v>6.409691358030412</v>
      </c>
      <c r="AB510" s="169">
        <f t="shared" ca="1" si="73"/>
        <v>2.4036342592614046</v>
      </c>
      <c r="AC510" s="170">
        <f t="shared" ca="1" si="74"/>
        <v>6.409691358030412</v>
      </c>
      <c r="AD510" s="169" t="e">
        <f ca="1">MAX(0,IF(NOT(OR(G510=1,G510=2)),IF(#REF!&lt;&gt;"",((MAX(NETWORKDAYS(L510,#REF!,UKBankHolidays)-1,0))*(TIME(17,0,0)-TIME(8,0,0))+IF(NETWORKDAYS(#REF!,#REF!,UKBankHolidays)&gt;0,MEDIAN(TIME(8,0,0),MOD(#REF!,1),TIME(17,0,0)),TIME(8,0,0))-MEDIAN(TIME(8,0,0),MOD(L510,1),TIME(17,0,0))),((MAX(NETWORKDAYS(L510,NOW(),UKBankHolidays)-1,0))*(TIME(17,0,0)-TIME(8,0,0))+IF(NETWORKDAYS(NOW(),NOW(),UKBankHolidays)&gt;0,MEDIAN(TIME(8,0,0),MOD(NOW(),1),TIME(17,0,0)),TIME(8,0,0))-MEDIAN(TIME(8,0,0),MOD(L510,1),TIME(17,0,0)))),IF(#REF!&lt;&gt;"",#REF!-L510,NOW()-L510)))</f>
        <v>#REF!</v>
      </c>
      <c r="AE510" s="169">
        <f t="shared" ca="1" si="76"/>
        <v>2.4036342592614046</v>
      </c>
      <c r="AF510" s="170">
        <f t="shared" ca="1" si="77"/>
        <v>6.409691358030412</v>
      </c>
      <c r="AG510" s="170">
        <f t="shared" ca="1" si="78"/>
        <v>6.409691358030412</v>
      </c>
      <c r="AH510" s="28" t="e" cm="1">
        <f t="array" aca="1" ref="AH510" ca="1">IF((AD510) &lt; (INDEX(ResponseSLA[#All],(MATCH((G510),ResponseSLA[Priority],0))+1,3)),"YES","No")</f>
        <v>#REF!</v>
      </c>
      <c r="AI510" s="28" t="str">
        <f ca="1">_xlfn.IFNA(IF(AE510 &lt; (INDEX(SLATable[Minimum SLA],MATCH(G510,SLATable[Priority],0))),"YES","NO"),"")</f>
        <v>NO</v>
      </c>
      <c r="AJ510" s="28" t="str">
        <f ca="1">_xlfn.IFNA(IF(AE510 &lt; (INDEX(SLATable[Maximum SLA],MATCH(G510,SLATable[Priority],0))),"YES","NO"),"")</f>
        <v>NO</v>
      </c>
    </row>
    <row r="511" spans="2:36" ht="15" customHeight="1">
      <c r="B511" s="127" t="s">
        <v>26</v>
      </c>
      <c r="C511" s="127" t="s">
        <v>35</v>
      </c>
      <c r="D511" s="127" t="s">
        <v>207</v>
      </c>
      <c r="E511" s="127" t="s">
        <v>2160</v>
      </c>
      <c r="F511" s="127" t="s">
        <v>295</v>
      </c>
      <c r="G511" s="127">
        <v>3</v>
      </c>
      <c r="H511" s="127" t="s">
        <v>2161</v>
      </c>
      <c r="I511" s="127" t="s">
        <v>271</v>
      </c>
      <c r="J511" s="127" t="s">
        <v>1454</v>
      </c>
      <c r="K511" s="129">
        <v>46178.203136574077</v>
      </c>
      <c r="L511" s="129">
        <v>46178.203136574077</v>
      </c>
      <c r="M511" s="129">
        <v>46178.375590277778</v>
      </c>
      <c r="N511" s="129">
        <v>46182.484120370369</v>
      </c>
      <c r="O511" s="129"/>
      <c r="P511" s="129"/>
      <c r="Q511" s="127" t="s">
        <v>1581</v>
      </c>
      <c r="R511" s="127" t="s">
        <v>267</v>
      </c>
      <c r="S511" s="127" t="s">
        <v>141</v>
      </c>
      <c r="T511" s="127"/>
      <c r="U511" s="127" t="s">
        <v>371</v>
      </c>
      <c r="Z511" s="169">
        <f t="shared" ca="1" si="71"/>
        <v>0.90078703703572205</v>
      </c>
      <c r="AA511" s="170">
        <f t="shared" ca="1" si="72"/>
        <v>2.4020987654285921</v>
      </c>
      <c r="AB511" s="169">
        <f t="shared" ca="1" si="73"/>
        <v>0.90078703703572205</v>
      </c>
      <c r="AC511" s="170">
        <f t="shared" ca="1" si="74"/>
        <v>2.4020987654285921</v>
      </c>
      <c r="AD511" s="169" t="e">
        <f ca="1">MAX(0,IF(NOT(OR(G511=1,G511=2)),IF(#REF!&lt;&gt;"",((MAX(NETWORKDAYS(L511,#REF!,UKBankHolidays)-1,0))*(TIME(17,0,0)-TIME(8,0,0))+IF(NETWORKDAYS(#REF!,#REF!,UKBankHolidays)&gt;0,MEDIAN(TIME(8,0,0),MOD(#REF!,1),TIME(17,0,0)),TIME(8,0,0))-MEDIAN(TIME(8,0,0),MOD(L511,1),TIME(17,0,0))),((MAX(NETWORKDAYS(L511,NOW(),UKBankHolidays)-1,0))*(TIME(17,0,0)-TIME(8,0,0))+IF(NETWORKDAYS(NOW(),NOW(),UKBankHolidays)&gt;0,MEDIAN(TIME(8,0,0),MOD(NOW(),1),TIME(17,0,0)),TIME(8,0,0))-MEDIAN(TIME(8,0,0),MOD(L511,1),TIME(17,0,0)))),IF(#REF!&lt;&gt;"",#REF!-L511,NOW()-L511)))</f>
        <v>#REF!</v>
      </c>
      <c r="AE511" s="169">
        <f t="shared" ca="1" si="76"/>
        <v>0.90078703703572205</v>
      </c>
      <c r="AF511" s="170">
        <f t="shared" ca="1" si="77"/>
        <v>2.4020987654285921</v>
      </c>
      <c r="AG511" s="170">
        <f t="shared" ca="1" si="78"/>
        <v>2.4020987654285921</v>
      </c>
      <c r="AH511" s="28" t="e" cm="1">
        <f t="array" aca="1" ref="AH511" ca="1">IF((AD511) &lt; (INDEX(ResponseSLA[#All],(MATCH((G511),ResponseSLA[Priority],0))+1,3)),"YES","No")</f>
        <v>#REF!</v>
      </c>
      <c r="AI511" s="28" t="str">
        <f ca="1">_xlfn.IFNA(IF(AE511 &lt; (INDEX(SLATable[Minimum SLA],MATCH(G511,SLATable[Priority],0))),"YES","NO"),"")</f>
        <v>NO</v>
      </c>
      <c r="AJ511" s="28" t="str">
        <f ca="1">_xlfn.IFNA(IF(AE511 &lt; (INDEX(SLATable[Maximum SLA],MATCH(G511,SLATable[Priority],0))),"YES","NO"),"")</f>
        <v>YES</v>
      </c>
    </row>
    <row r="512" spans="2:36" ht="15" customHeight="1">
      <c r="B512" s="127" t="s">
        <v>26</v>
      </c>
      <c r="C512" s="127" t="s">
        <v>35</v>
      </c>
      <c r="D512" s="127" t="s">
        <v>207</v>
      </c>
      <c r="E512" s="257" t="s">
        <v>1524</v>
      </c>
      <c r="F512" s="127" t="s">
        <v>295</v>
      </c>
      <c r="G512" s="127">
        <v>3</v>
      </c>
      <c r="H512" s="127" t="s">
        <v>2162</v>
      </c>
      <c r="I512" s="127" t="s">
        <v>271</v>
      </c>
      <c r="J512" s="127" t="s">
        <v>1454</v>
      </c>
      <c r="K512" s="129">
        <v>46170.206041666665</v>
      </c>
      <c r="L512" s="129">
        <v>46170.206041666665</v>
      </c>
      <c r="M512" s="129">
        <v>46170.251956018517</v>
      </c>
      <c r="N512" s="129">
        <v>46182.483437499999</v>
      </c>
      <c r="O512" s="129"/>
      <c r="P512" s="129"/>
      <c r="Q512" s="127" t="s">
        <v>1581</v>
      </c>
      <c r="R512" s="127" t="s">
        <v>267</v>
      </c>
      <c r="S512" s="127" t="s">
        <v>141</v>
      </c>
      <c r="T512" s="127"/>
      <c r="U512" s="127" t="s">
        <v>371</v>
      </c>
      <c r="Z512" s="169">
        <f t="shared" ca="1" si="71"/>
        <v>3.1501041666657938</v>
      </c>
      <c r="AA512" s="170">
        <f t="shared" ca="1" si="72"/>
        <v>8.4002777777754503</v>
      </c>
      <c r="AB512" s="169">
        <f t="shared" ca="1" si="73"/>
        <v>3.1501041666657938</v>
      </c>
      <c r="AC512" s="170">
        <f t="shared" ca="1" si="74"/>
        <v>8.4002777777754503</v>
      </c>
      <c r="AD512" s="169" t="e">
        <f ca="1">MAX(0,IF(NOT(OR(G512=1,G512=2)),IF(#REF!&lt;&gt;"",((MAX(NETWORKDAYS(L512,#REF!,UKBankHolidays)-1,0))*(TIME(17,0,0)-TIME(8,0,0))+IF(NETWORKDAYS(#REF!,#REF!,UKBankHolidays)&gt;0,MEDIAN(TIME(8,0,0),MOD(#REF!,1),TIME(17,0,0)),TIME(8,0,0))-MEDIAN(TIME(8,0,0),MOD(L512,1),TIME(17,0,0))),((MAX(NETWORKDAYS(L512,NOW(),UKBankHolidays)-1,0))*(TIME(17,0,0)-TIME(8,0,0))+IF(NETWORKDAYS(NOW(),NOW(),UKBankHolidays)&gt;0,MEDIAN(TIME(8,0,0),MOD(NOW(),1),TIME(17,0,0)),TIME(8,0,0))-MEDIAN(TIME(8,0,0),MOD(L512,1),TIME(17,0,0)))),IF(#REF!&lt;&gt;"",#REF!-L512,NOW()-L512)))</f>
        <v>#REF!</v>
      </c>
      <c r="AE512" s="169">
        <f t="shared" ca="1" si="76"/>
        <v>27.075745023144318</v>
      </c>
      <c r="AF512" s="170">
        <f t="shared" ca="1" si="77"/>
        <v>72.201986728384838</v>
      </c>
      <c r="AG512" s="170">
        <f t="shared" ca="1" si="78"/>
        <v>72.201986728384838</v>
      </c>
      <c r="AH512" s="28" t="e" cm="1">
        <f t="array" aca="1" ref="AH512" ca="1">IF((AD512) &lt; (INDEX(ResponseSLA[#All],(MATCH((G512),ResponseSLA[Priority],0))+1,3)),"YES","No")</f>
        <v>#REF!</v>
      </c>
      <c r="AI512" s="28" t="str">
        <f ca="1">_xlfn.IFNA(IF(AE512 &lt; (INDEX(SLATable[Minimum SLA],MATCH(G512,SLATable[Priority],0))),"YES","NO"),"")</f>
        <v>NO</v>
      </c>
      <c r="AJ512" s="28" t="str">
        <f ca="1">_xlfn.IFNA(IF(AE512 &lt; (INDEX(SLATable[Maximum SLA],MATCH(G512,SLATable[Priority],0))),"YES","NO"),"")</f>
        <v>NO</v>
      </c>
    </row>
    <row r="513" spans="2:36" ht="15" customHeight="1">
      <c r="B513" s="127" t="s">
        <v>26</v>
      </c>
      <c r="C513" s="127" t="s">
        <v>35</v>
      </c>
      <c r="D513" s="127" t="s">
        <v>207</v>
      </c>
      <c r="E513" s="127" t="s">
        <v>2163</v>
      </c>
      <c r="F513" s="127" t="s">
        <v>295</v>
      </c>
      <c r="G513" s="127">
        <v>3</v>
      </c>
      <c r="H513" s="127" t="s">
        <v>1210</v>
      </c>
      <c r="I513" s="127" t="s">
        <v>271</v>
      </c>
      <c r="J513" s="127" t="s">
        <v>1454</v>
      </c>
      <c r="K513" s="129">
        <v>46177.092835648145</v>
      </c>
      <c r="L513" s="129">
        <v>46177.092835648145</v>
      </c>
      <c r="M513" s="129">
        <v>46177.423888888887</v>
      </c>
      <c r="N513" s="129">
        <v>46177.442164351851</v>
      </c>
      <c r="O513" s="129"/>
      <c r="P513" s="129"/>
      <c r="Q513" s="127" t="s">
        <v>1211</v>
      </c>
      <c r="R513" s="127" t="s">
        <v>267</v>
      </c>
      <c r="S513" s="127" t="s">
        <v>141</v>
      </c>
      <c r="T513" s="127"/>
      <c r="U513" s="127" t="s">
        <v>371</v>
      </c>
      <c r="Z513" s="169">
        <f t="shared" ca="1" si="71"/>
        <v>0.10883101851747295</v>
      </c>
      <c r="AA513" s="170">
        <f t="shared" ca="1" si="72"/>
        <v>0.2902160493799279</v>
      </c>
      <c r="AB513" s="169">
        <f t="shared" ca="1" si="73"/>
        <v>0.10883101851747295</v>
      </c>
      <c r="AC513" s="170">
        <f t="shared" ca="1" si="74"/>
        <v>0.2902160493799279</v>
      </c>
      <c r="AD513" s="169" t="e">
        <f ca="1">MAX(0,IF(NOT(OR(G513=1,G513=2)),IF(#REF!&lt;&gt;"",((MAX(NETWORKDAYS(L513,#REF!,UKBankHolidays)-1,0))*(TIME(17,0,0)-TIME(8,0,0))+IF(NETWORKDAYS(#REF!,#REF!,UKBankHolidays)&gt;0,MEDIAN(TIME(8,0,0),MOD(#REF!,1),TIME(17,0,0)),TIME(8,0,0))-MEDIAN(TIME(8,0,0),MOD(L513,1),TIME(17,0,0))),((MAX(NETWORKDAYS(L513,NOW(),UKBankHolidays)-1,0))*(TIME(17,0,0)-TIME(8,0,0))+IF(NETWORKDAYS(NOW(),NOW(),UKBankHolidays)&gt;0,MEDIAN(TIME(8,0,0),MOD(NOW(),1),TIME(17,0,0)),TIME(8,0,0))-MEDIAN(TIME(8,0,0),MOD(L513,1),TIME(17,0,0)))),IF(#REF!&lt;&gt;"",#REF!-L513,NOW()-L513)))</f>
        <v>#REF!</v>
      </c>
      <c r="AE513" s="169">
        <f t="shared" ca="1" si="76"/>
        <v>0.10883101851747295</v>
      </c>
      <c r="AF513" s="170">
        <f t="shared" ca="1" si="77"/>
        <v>0.2902160493799279</v>
      </c>
      <c r="AG513" s="170">
        <f t="shared" ca="1" si="78"/>
        <v>0.2902160493799279</v>
      </c>
      <c r="AH513" s="28" t="e" cm="1">
        <f t="array" aca="1" ref="AH513" ca="1">IF((AD513) &lt; (INDEX(ResponseSLA[#All],(MATCH((G513),ResponseSLA[Priority],0))+1,3)),"YES","No")</f>
        <v>#REF!</v>
      </c>
      <c r="AI513" s="28" t="str">
        <f ca="1">_xlfn.IFNA(IF(AE513 &lt; (INDEX(SLATable[Minimum SLA],MATCH(G513,SLATable[Priority],0))),"YES","NO"),"")</f>
        <v>YES</v>
      </c>
      <c r="AJ513" s="28" t="str">
        <f ca="1">_xlfn.IFNA(IF(AE513 &lt; (INDEX(SLATable[Maximum SLA],MATCH(G513,SLATable[Priority],0))),"YES","NO"),"")</f>
        <v>YES</v>
      </c>
    </row>
    <row r="514" spans="2:36" ht="15" customHeight="1">
      <c r="B514" s="127" t="s">
        <v>26</v>
      </c>
      <c r="C514" s="127" t="s">
        <v>35</v>
      </c>
      <c r="D514" s="127" t="s">
        <v>207</v>
      </c>
      <c r="E514" s="127" t="s">
        <v>2164</v>
      </c>
      <c r="F514" s="127" t="s">
        <v>295</v>
      </c>
      <c r="G514" s="127">
        <v>3</v>
      </c>
      <c r="H514" s="127" t="s">
        <v>1213</v>
      </c>
      <c r="I514" s="127" t="s">
        <v>271</v>
      </c>
      <c r="J514" s="127" t="s">
        <v>1454</v>
      </c>
      <c r="K514" s="129">
        <v>46174.0858912037</v>
      </c>
      <c r="L514" s="129">
        <v>46174.091331018521</v>
      </c>
      <c r="M514" s="129">
        <v>46174.137372685182</v>
      </c>
      <c r="N514" s="129">
        <v>46175.424305555556</v>
      </c>
      <c r="O514" s="129"/>
      <c r="P514" s="129"/>
      <c r="Q514" s="127" t="s">
        <v>1211</v>
      </c>
      <c r="R514" s="127" t="s">
        <v>267</v>
      </c>
      <c r="S514" s="127" t="s">
        <v>141</v>
      </c>
      <c r="T514" s="127"/>
      <c r="U514" s="127" t="s">
        <v>371</v>
      </c>
      <c r="Z514" s="169">
        <f t="shared" ca="1" si="71"/>
        <v>0.46597222222286899</v>
      </c>
      <c r="AA514" s="170">
        <f t="shared" ca="1" si="72"/>
        <v>1.2425925925943173</v>
      </c>
      <c r="AB514" s="169">
        <f t="shared" ca="1" si="73"/>
        <v>0.46597222222286899</v>
      </c>
      <c r="AC514" s="170">
        <f t="shared" ca="1" si="74"/>
        <v>1.2425925925943173</v>
      </c>
      <c r="AD514" s="169" t="e">
        <f ca="1">MAX(0,IF(NOT(OR(G514=1,G514=2)),IF(#REF!&lt;&gt;"",((MAX(NETWORKDAYS(L514,#REF!,UKBankHolidays)-1,0))*(TIME(17,0,0)-TIME(8,0,0))+IF(NETWORKDAYS(#REF!,#REF!,UKBankHolidays)&gt;0,MEDIAN(TIME(8,0,0),MOD(#REF!,1),TIME(17,0,0)),TIME(8,0,0))-MEDIAN(TIME(8,0,0),MOD(L514,1),TIME(17,0,0))),((MAX(NETWORKDAYS(L514,NOW(),UKBankHolidays)-1,0))*(TIME(17,0,0)-TIME(8,0,0))+IF(NETWORKDAYS(NOW(),NOW(),UKBankHolidays)&gt;0,MEDIAN(TIME(8,0,0),MOD(NOW(),1),TIME(17,0,0)),TIME(8,0,0))-MEDIAN(TIME(8,0,0),MOD(L514,1),TIME(17,0,0)))),IF(#REF!&lt;&gt;"",#REF!-L514,NOW()-L514)))</f>
        <v>#REF!</v>
      </c>
      <c r="AE514" s="169">
        <f t="shared" ca="1" si="76"/>
        <v>0.46597222222286899</v>
      </c>
      <c r="AF514" s="170">
        <f t="shared" ca="1" si="77"/>
        <v>1.2425925925943173</v>
      </c>
      <c r="AG514" s="170">
        <f t="shared" ca="1" si="78"/>
        <v>1.2425925925943173</v>
      </c>
      <c r="AH514" s="28" t="e" cm="1">
        <f t="array" aca="1" ref="AH514" ca="1">IF((AD514) &lt; (INDEX(ResponseSLA[#All],(MATCH((G514),ResponseSLA[Priority],0))+1,3)),"YES","No")</f>
        <v>#REF!</v>
      </c>
      <c r="AI514" s="28" t="str">
        <f ca="1">_xlfn.IFNA(IF(AE514 &lt; (INDEX(SLATable[Minimum SLA],MATCH(G514,SLATable[Priority],0))),"YES","NO"),"")</f>
        <v>NO</v>
      </c>
      <c r="AJ514" s="28" t="str">
        <f ca="1">_xlfn.IFNA(IF(AE514 &lt; (INDEX(SLATable[Maximum SLA],MATCH(G514,SLATable[Priority],0))),"YES","NO"),"")</f>
        <v>YES</v>
      </c>
    </row>
    <row r="515" spans="2:36" ht="15" customHeight="1">
      <c r="B515" s="127" t="s">
        <v>26</v>
      </c>
      <c r="C515" s="127" t="s">
        <v>35</v>
      </c>
      <c r="D515" s="127" t="s">
        <v>207</v>
      </c>
      <c r="E515" s="127" t="s">
        <v>2165</v>
      </c>
      <c r="F515" s="127" t="s">
        <v>295</v>
      </c>
      <c r="G515" s="127">
        <v>3</v>
      </c>
      <c r="H515" s="127" t="s">
        <v>1224</v>
      </c>
      <c r="I515" s="127" t="s">
        <v>271</v>
      </c>
      <c r="J515" s="127" t="s">
        <v>1454</v>
      </c>
      <c r="K515" s="129">
        <v>46173.214837962965</v>
      </c>
      <c r="L515" s="129">
        <v>46173.219155092593</v>
      </c>
      <c r="M515" s="129">
        <v>46173.221238425926</v>
      </c>
      <c r="N515" s="129">
        <v>46174.185347222221</v>
      </c>
      <c r="O515" s="129"/>
      <c r="P515" s="129"/>
      <c r="Q515" s="127" t="s">
        <v>1211</v>
      </c>
      <c r="R515" s="127" t="s">
        <v>267</v>
      </c>
      <c r="S515" s="127" t="s">
        <v>2155</v>
      </c>
      <c r="T515" s="127"/>
      <c r="U515" s="127" t="s">
        <v>371</v>
      </c>
      <c r="Z515" s="169">
        <f t="shared" ca="1" si="71"/>
        <v>0</v>
      </c>
      <c r="AA515" s="170">
        <f t="shared" ca="1" si="72"/>
        <v>0</v>
      </c>
      <c r="AB515" s="169">
        <f t="shared" ca="1" si="73"/>
        <v>0</v>
      </c>
      <c r="AC515" s="170">
        <f t="shared" ca="1" si="74"/>
        <v>0</v>
      </c>
      <c r="AD515" s="169" t="e">
        <f ca="1">MAX(0,IF(NOT(OR(G515=1,G515=2)),IF(#REF!&lt;&gt;"",((MAX(NETWORKDAYS(L515,#REF!,UKBankHolidays)-1,0))*(TIME(17,0,0)-TIME(8,0,0))+IF(NETWORKDAYS(#REF!,#REF!,UKBankHolidays)&gt;0,MEDIAN(TIME(8,0,0),MOD(#REF!,1),TIME(17,0,0)),TIME(8,0,0))-MEDIAN(TIME(8,0,0),MOD(L515,1),TIME(17,0,0))),((MAX(NETWORKDAYS(L515,NOW(),UKBankHolidays)-1,0))*(TIME(17,0,0)-TIME(8,0,0))+IF(NETWORKDAYS(NOW(),NOW(),UKBankHolidays)&gt;0,MEDIAN(TIME(8,0,0),MOD(NOW(),1),TIME(17,0,0)),TIME(8,0,0))-MEDIAN(TIME(8,0,0),MOD(L515,1),TIME(17,0,0)))),IF(#REF!&lt;&gt;"",#REF!-L515,NOW()-L515)))</f>
        <v>#REF!</v>
      </c>
      <c r="AE515" s="169">
        <f t="shared" ca="1" si="76"/>
        <v>0</v>
      </c>
      <c r="AF515" s="170">
        <f t="shared" ca="1" si="77"/>
        <v>0</v>
      </c>
      <c r="AG515" s="170">
        <f t="shared" ca="1" si="78"/>
        <v>0</v>
      </c>
      <c r="AH515" s="28" t="e" cm="1">
        <f t="array" aca="1" ref="AH515" ca="1">IF((AD515) &lt; (INDEX(ResponseSLA[#All],(MATCH((G515),ResponseSLA[Priority],0))+1,3)),"YES","No")</f>
        <v>#REF!</v>
      </c>
      <c r="AI515" s="28" t="str">
        <f ca="1">_xlfn.IFNA(IF(AE515 &lt; (INDEX(SLATable[Minimum SLA],MATCH(G515,SLATable[Priority],0))),"YES","NO"),"")</f>
        <v>YES</v>
      </c>
      <c r="AJ515" s="28" t="str">
        <f ca="1">_xlfn.IFNA(IF(AE515 &lt; (INDEX(SLATable[Maximum SLA],MATCH(G515,SLATable[Priority],0))),"YES","NO"),"")</f>
        <v>YES</v>
      </c>
    </row>
    <row r="516" spans="2:36" ht="15" customHeight="1">
      <c r="B516" s="127" t="s">
        <v>26</v>
      </c>
      <c r="C516" s="127" t="s">
        <v>35</v>
      </c>
      <c r="D516" s="127" t="s">
        <v>207</v>
      </c>
      <c r="E516" s="257" t="s">
        <v>1496</v>
      </c>
      <c r="F516" s="127" t="s">
        <v>295</v>
      </c>
      <c r="G516" s="127">
        <v>3</v>
      </c>
      <c r="H516" s="127" t="s">
        <v>1213</v>
      </c>
      <c r="I516" s="127" t="s">
        <v>271</v>
      </c>
      <c r="J516" s="127" t="s">
        <v>1454</v>
      </c>
      <c r="K516" s="129">
        <v>46172.06145833333</v>
      </c>
      <c r="L516" s="129">
        <v>46172.064965277779</v>
      </c>
      <c r="M516" s="129">
        <v>46172.182222222225</v>
      </c>
      <c r="N516" s="129">
        <v>46173.259641203702</v>
      </c>
      <c r="O516" s="129"/>
      <c r="P516" s="129"/>
      <c r="Q516" s="127" t="s">
        <v>1211</v>
      </c>
      <c r="R516" s="127" t="s">
        <v>267</v>
      </c>
      <c r="S516" s="127" t="s">
        <v>2155</v>
      </c>
      <c r="T516" s="127"/>
      <c r="U516" s="127" t="s">
        <v>371</v>
      </c>
      <c r="Z516" s="169">
        <f t="shared" ca="1" si="71"/>
        <v>0</v>
      </c>
      <c r="AA516" s="170">
        <f t="shared" ca="1" si="72"/>
        <v>0</v>
      </c>
      <c r="AB516" s="169">
        <f t="shared" ca="1" si="73"/>
        <v>0</v>
      </c>
      <c r="AC516" s="170">
        <f t="shared" ca="1" si="74"/>
        <v>0</v>
      </c>
      <c r="AD516" s="169" t="e">
        <f ca="1">MAX(0,IF(NOT(OR(G516=1,G516=2)),IF(#REF!&lt;&gt;"",((MAX(NETWORKDAYS(L516,#REF!,UKBankHolidays)-1,0))*(TIME(17,0,0)-TIME(8,0,0))+IF(NETWORKDAYS(#REF!,#REF!,UKBankHolidays)&gt;0,MEDIAN(TIME(8,0,0),MOD(#REF!,1),TIME(17,0,0)),TIME(8,0,0))-MEDIAN(TIME(8,0,0),MOD(L516,1),TIME(17,0,0))),((MAX(NETWORKDAYS(L516,NOW(),UKBankHolidays)-1,0))*(TIME(17,0,0)-TIME(8,0,0))+IF(NETWORKDAYS(NOW(),NOW(),UKBankHolidays)&gt;0,MEDIAN(TIME(8,0,0),MOD(NOW(),1),TIME(17,0,0)),TIME(8,0,0))-MEDIAN(TIME(8,0,0),MOD(L516,1),TIME(17,0,0)))),IF(#REF!&lt;&gt;"",#REF!-L516,NOW()-L516)))</f>
        <v>#REF!</v>
      </c>
      <c r="AE516" s="169">
        <f t="shared" ref="AE516:AE547" ca="1" si="79">SUMIFS(AB:AB,E:E,E516)</f>
        <v>0</v>
      </c>
      <c r="AF516" s="170">
        <f t="shared" ca="1" si="77"/>
        <v>0</v>
      </c>
      <c r="AG516" s="170">
        <f t="shared" ca="1" si="78"/>
        <v>0</v>
      </c>
      <c r="AH516" s="28" t="e" cm="1">
        <f t="array" aca="1" ref="AH516" ca="1">IF((AD516) &lt; (INDEX(ResponseSLA[#All],(MATCH((G516),ResponseSLA[Priority],0))+1,3)),"YES","No")</f>
        <v>#REF!</v>
      </c>
      <c r="AI516" s="28" t="str">
        <f ca="1">_xlfn.IFNA(IF(AE516 &lt; (INDEX(SLATable[Minimum SLA],MATCH(G516,SLATable[Priority],0))),"YES","NO"),"")</f>
        <v>YES</v>
      </c>
      <c r="AJ516" s="28" t="str">
        <f ca="1">_xlfn.IFNA(IF(AE516 &lt; (INDEX(SLATable[Maximum SLA],MATCH(G516,SLATable[Priority],0))),"YES","NO"),"")</f>
        <v>YES</v>
      </c>
    </row>
    <row r="517" spans="2:36" ht="15" customHeight="1">
      <c r="B517" s="127" t="s">
        <v>26</v>
      </c>
      <c r="C517" s="127" t="s">
        <v>35</v>
      </c>
      <c r="D517" s="127" t="s">
        <v>207</v>
      </c>
      <c r="E517" s="127" t="s">
        <v>1495</v>
      </c>
      <c r="F517" s="127" t="s">
        <v>295</v>
      </c>
      <c r="G517" s="127">
        <v>3</v>
      </c>
      <c r="H517" s="127" t="s">
        <v>1224</v>
      </c>
      <c r="I517" s="127" t="s">
        <v>271</v>
      </c>
      <c r="J517" s="127" t="s">
        <v>1454</v>
      </c>
      <c r="K517" s="129">
        <v>46172.215173611112</v>
      </c>
      <c r="L517" s="129">
        <v>46172.21979166667</v>
      </c>
      <c r="M517" s="129">
        <v>46172.22284722222</v>
      </c>
      <c r="N517" s="129">
        <v>46173.258217592593</v>
      </c>
      <c r="O517" s="129"/>
      <c r="P517" s="129"/>
      <c r="Q517" s="127" t="s">
        <v>1211</v>
      </c>
      <c r="R517" s="127" t="s">
        <v>267</v>
      </c>
      <c r="S517" s="127" t="s">
        <v>2155</v>
      </c>
      <c r="T517" s="127"/>
      <c r="U517" s="127" t="s">
        <v>371</v>
      </c>
      <c r="Z517" s="169">
        <f t="shared" ca="1" si="71"/>
        <v>0</v>
      </c>
      <c r="AA517" s="170">
        <f t="shared" ca="1" si="72"/>
        <v>0</v>
      </c>
      <c r="AB517" s="169">
        <f t="shared" ca="1" si="73"/>
        <v>0</v>
      </c>
      <c r="AC517" s="170">
        <f t="shared" ca="1" si="74"/>
        <v>0</v>
      </c>
      <c r="AD517" s="169" t="e">
        <f ca="1">MAX(0,IF(NOT(OR(G517=1,G517=2)),IF(#REF!&lt;&gt;"",((MAX(NETWORKDAYS(L517,#REF!,UKBankHolidays)-1,0))*(TIME(17,0,0)-TIME(8,0,0))+IF(NETWORKDAYS(#REF!,#REF!,UKBankHolidays)&gt;0,MEDIAN(TIME(8,0,0),MOD(#REF!,1),TIME(17,0,0)),TIME(8,0,0))-MEDIAN(TIME(8,0,0),MOD(L517,1),TIME(17,0,0))),((MAX(NETWORKDAYS(L517,NOW(),UKBankHolidays)-1,0))*(TIME(17,0,0)-TIME(8,0,0))+IF(NETWORKDAYS(NOW(),NOW(),UKBankHolidays)&gt;0,MEDIAN(TIME(8,0,0),MOD(NOW(),1),TIME(17,0,0)),TIME(8,0,0))-MEDIAN(TIME(8,0,0),MOD(L517,1),TIME(17,0,0)))),IF(#REF!&lt;&gt;"",#REF!-L517,NOW()-L517)))</f>
        <v>#REF!</v>
      </c>
      <c r="AE517" s="169">
        <f t="shared" ca="1" si="79"/>
        <v>0</v>
      </c>
      <c r="AF517" s="170">
        <f t="shared" ca="1" si="77"/>
        <v>0</v>
      </c>
      <c r="AG517" s="170">
        <f t="shared" ca="1" si="78"/>
        <v>0</v>
      </c>
      <c r="AH517" s="28" t="e" cm="1">
        <f t="array" aca="1" ref="AH517" ca="1">IF((AD517) &lt; (INDEX(ResponseSLA[#All],(MATCH((G517),ResponseSLA[Priority],0))+1,3)),"YES","No")</f>
        <v>#REF!</v>
      </c>
      <c r="AI517" s="28" t="str">
        <f ca="1">_xlfn.IFNA(IF(AE517 &lt; (INDEX(SLATable[Minimum SLA],MATCH(G517,SLATable[Priority],0))),"YES","NO"),"")</f>
        <v>YES</v>
      </c>
      <c r="AJ517" s="28" t="str">
        <f ca="1">_xlfn.IFNA(IF(AE517 &lt; (INDEX(SLATable[Maximum SLA],MATCH(G517,SLATable[Priority],0))),"YES","NO"),"")</f>
        <v>YES</v>
      </c>
    </row>
    <row r="518" spans="2:36" ht="15" customHeight="1">
      <c r="B518" s="127" t="s">
        <v>26</v>
      </c>
      <c r="C518" s="127" t="s">
        <v>35</v>
      </c>
      <c r="D518" s="127" t="s">
        <v>207</v>
      </c>
      <c r="E518" s="127" t="s">
        <v>1517</v>
      </c>
      <c r="F518" s="127" t="s">
        <v>292</v>
      </c>
      <c r="G518" s="127">
        <v>4</v>
      </c>
      <c r="H518" s="127" t="s">
        <v>1518</v>
      </c>
      <c r="I518" s="127" t="s">
        <v>271</v>
      </c>
      <c r="J518" s="127" t="s">
        <v>1454</v>
      </c>
      <c r="K518" s="129">
        <v>46167.526365740741</v>
      </c>
      <c r="L518" s="129">
        <v>46167.527430555558</v>
      </c>
      <c r="M518" s="129">
        <v>46168.376956018517</v>
      </c>
      <c r="N518" s="129">
        <v>46173.256898148145</v>
      </c>
      <c r="O518" s="129"/>
      <c r="P518" s="129"/>
      <c r="Q518" s="127" t="s">
        <v>1073</v>
      </c>
      <c r="R518" s="127" t="s">
        <v>267</v>
      </c>
      <c r="S518" s="127" t="s">
        <v>2155</v>
      </c>
      <c r="T518" s="127"/>
      <c r="U518" s="127" t="s">
        <v>371</v>
      </c>
      <c r="Z518" s="169">
        <f t="shared" ca="1" si="71"/>
        <v>1.1250000000000002</v>
      </c>
      <c r="AA518" s="170">
        <f t="shared" ca="1" si="72"/>
        <v>3.0000000000000009</v>
      </c>
      <c r="AB518" s="169">
        <f t="shared" ca="1" si="73"/>
        <v>1.1250000000000002</v>
      </c>
      <c r="AC518" s="170">
        <f t="shared" ca="1" si="74"/>
        <v>3.0000000000000009</v>
      </c>
      <c r="AD518" s="169" t="e">
        <f ca="1">MAX(0,IF(NOT(OR(G518=1,G518=2)),IF(#REF!&lt;&gt;"",((MAX(NETWORKDAYS(L518,#REF!,UKBankHolidays)-1,0))*(TIME(17,0,0)-TIME(8,0,0))+IF(NETWORKDAYS(#REF!,#REF!,UKBankHolidays)&gt;0,MEDIAN(TIME(8,0,0),MOD(#REF!,1),TIME(17,0,0)),TIME(8,0,0))-MEDIAN(TIME(8,0,0),MOD(L518,1),TIME(17,0,0))),((MAX(NETWORKDAYS(L518,NOW(),UKBankHolidays)-1,0))*(TIME(17,0,0)-TIME(8,0,0))+IF(NETWORKDAYS(NOW(),NOW(),UKBankHolidays)&gt;0,MEDIAN(TIME(8,0,0),MOD(NOW(),1),TIME(17,0,0)),TIME(8,0,0))-MEDIAN(TIME(8,0,0),MOD(L518,1),TIME(17,0,0)))),IF(#REF!&lt;&gt;"",#REF!-L518,NOW()-L518)))</f>
        <v>#REF!</v>
      </c>
      <c r="AE518" s="169">
        <f t="shared" ca="1" si="79"/>
        <v>1.24803240740827</v>
      </c>
      <c r="AF518" s="170">
        <f t="shared" ca="1" si="77"/>
        <v>3.3280864197553868</v>
      </c>
      <c r="AG518" s="170">
        <f t="shared" ca="1" si="78"/>
        <v>3.3280864197553868</v>
      </c>
      <c r="AH518" s="28" t="e" cm="1">
        <f t="array" aca="1" ref="AH518" ca="1">IF((AD518) &lt; (INDEX(ResponseSLA[#All],(MATCH((G518),ResponseSLA[Priority],0))+1,3)),"YES","No")</f>
        <v>#REF!</v>
      </c>
      <c r="AI518" s="28" t="str">
        <f ca="1">_xlfn.IFNA(IF(AE518 &lt; (INDEX(SLATable[Minimum SLA],MATCH(G518,SLATable[Priority],0))),"YES","NO"),"")</f>
        <v>YES</v>
      </c>
      <c r="AJ518" s="28" t="str">
        <f ca="1">_xlfn.IFNA(IF(AE518 &lt; (INDEX(SLATable[Maximum SLA],MATCH(G518,SLATable[Priority],0))),"YES","NO"),"")</f>
        <v>YES</v>
      </c>
    </row>
    <row r="519" spans="2:36" ht="15" customHeight="1">
      <c r="B519" s="127" t="s">
        <v>26</v>
      </c>
      <c r="C519" s="127" t="s">
        <v>35</v>
      </c>
      <c r="D519" s="127" t="s">
        <v>207</v>
      </c>
      <c r="E519" s="127" t="s">
        <v>1520</v>
      </c>
      <c r="F519" s="127" t="s">
        <v>292</v>
      </c>
      <c r="G519" s="127">
        <v>4</v>
      </c>
      <c r="H519" s="127" t="s">
        <v>1521</v>
      </c>
      <c r="I519" s="127" t="s">
        <v>271</v>
      </c>
      <c r="J519" s="127" t="s">
        <v>1454</v>
      </c>
      <c r="K519" s="129">
        <v>46167.504513888889</v>
      </c>
      <c r="L519" s="129">
        <v>46167.504513888889</v>
      </c>
      <c r="M519" s="129">
        <v>46168.298217592594</v>
      </c>
      <c r="N519" s="129">
        <v>46173.25613425926</v>
      </c>
      <c r="O519" s="129"/>
      <c r="P519" s="129"/>
      <c r="Q519" s="127" t="s">
        <v>1073</v>
      </c>
      <c r="R519" s="127" t="s">
        <v>267</v>
      </c>
      <c r="S519" s="127" t="s">
        <v>2155</v>
      </c>
      <c r="T519" s="127"/>
      <c r="U519" s="127" t="s">
        <v>371</v>
      </c>
      <c r="Z519" s="169">
        <f t="shared" ca="1" si="71"/>
        <v>1.1250000000000002</v>
      </c>
      <c r="AA519" s="170">
        <f t="shared" ca="1" si="72"/>
        <v>3.0000000000000009</v>
      </c>
      <c r="AB519" s="169">
        <f t="shared" ca="1" si="73"/>
        <v>1.1250000000000002</v>
      </c>
      <c r="AC519" s="170">
        <f t="shared" ca="1" si="74"/>
        <v>3.0000000000000009</v>
      </c>
      <c r="AD519" s="169" t="e">
        <f ca="1">MAX(0,IF(NOT(OR(G519=1,G519=2)),IF(#REF!&lt;&gt;"",((MAX(NETWORKDAYS(L519,#REF!,UKBankHolidays)-1,0))*(TIME(17,0,0)-TIME(8,0,0))+IF(NETWORKDAYS(#REF!,#REF!,UKBankHolidays)&gt;0,MEDIAN(TIME(8,0,0),MOD(#REF!,1),TIME(17,0,0)),TIME(8,0,0))-MEDIAN(TIME(8,0,0),MOD(L519,1),TIME(17,0,0))),((MAX(NETWORKDAYS(L519,NOW(),UKBankHolidays)-1,0))*(TIME(17,0,0)-TIME(8,0,0))+IF(NETWORKDAYS(NOW(),NOW(),UKBankHolidays)&gt;0,MEDIAN(TIME(8,0,0),MOD(NOW(),1),TIME(17,0,0)),TIME(8,0,0))-MEDIAN(TIME(8,0,0),MOD(L519,1),TIME(17,0,0)))),IF(#REF!&lt;&gt;"",#REF!-L519,NOW()-L519)))</f>
        <v>#REF!</v>
      </c>
      <c r="AE519" s="169">
        <f t="shared" ca="1" si="79"/>
        <v>1.1250000000000002</v>
      </c>
      <c r="AF519" s="170">
        <f t="shared" ca="1" si="77"/>
        <v>3.0000000000000009</v>
      </c>
      <c r="AG519" s="170">
        <f t="shared" ca="1" si="78"/>
        <v>3.0000000000000009</v>
      </c>
      <c r="AH519" s="28" t="e" cm="1">
        <f t="array" aca="1" ref="AH519" ca="1">IF((AD519) &lt; (INDEX(ResponseSLA[#All],(MATCH((G519),ResponseSLA[Priority],0))+1,3)),"YES","No")</f>
        <v>#REF!</v>
      </c>
      <c r="AI519" s="28" t="str">
        <f ca="1">_xlfn.IFNA(IF(AE519 &lt; (INDEX(SLATable[Minimum SLA],MATCH(G519,SLATable[Priority],0))),"YES","NO"),"")</f>
        <v>YES</v>
      </c>
      <c r="AJ519" s="28" t="str">
        <f ca="1">_xlfn.IFNA(IF(AE519 &lt; (INDEX(SLATable[Maximum SLA],MATCH(G519,SLATable[Priority],0))),"YES","NO"),"")</f>
        <v>YES</v>
      </c>
    </row>
    <row r="520" spans="2:36" ht="15" customHeight="1">
      <c r="B520" s="127" t="s">
        <v>26</v>
      </c>
      <c r="C520" s="127" t="s">
        <v>35</v>
      </c>
      <c r="D520" s="127" t="s">
        <v>207</v>
      </c>
      <c r="E520" s="127" t="s">
        <v>1515</v>
      </c>
      <c r="F520" s="127" t="s">
        <v>292</v>
      </c>
      <c r="G520" s="127">
        <v>4</v>
      </c>
      <c r="H520" s="127" t="s">
        <v>1516</v>
      </c>
      <c r="I520" s="127" t="s">
        <v>271</v>
      </c>
      <c r="J520" s="127" t="s">
        <v>1454</v>
      </c>
      <c r="K520" s="129">
        <v>46168.375902777778</v>
      </c>
      <c r="L520" s="129">
        <v>46168.375902777778</v>
      </c>
      <c r="M520" s="129">
        <v>46168.379444444443</v>
      </c>
      <c r="N520" s="129">
        <v>46171.661851851852</v>
      </c>
      <c r="O520" s="129"/>
      <c r="P520" s="129"/>
      <c r="Q520" s="127" t="s">
        <v>1073</v>
      </c>
      <c r="R520" s="127" t="s">
        <v>267</v>
      </c>
      <c r="S520" s="127" t="s">
        <v>141</v>
      </c>
      <c r="T520" s="127"/>
      <c r="U520" s="127" t="s">
        <v>371</v>
      </c>
      <c r="Z520" s="169">
        <f t="shared" ca="1" si="71"/>
        <v>1.4109490740738695</v>
      </c>
      <c r="AA520" s="170">
        <f t="shared" ca="1" si="72"/>
        <v>3.7625308641969855</v>
      </c>
      <c r="AB520" s="169">
        <f t="shared" ca="1" si="73"/>
        <v>1.4109490740738695</v>
      </c>
      <c r="AC520" s="170">
        <f t="shared" ca="1" si="74"/>
        <v>3.7625308641969855</v>
      </c>
      <c r="AD520" s="169" t="e">
        <f ca="1">MAX(0,IF(NOT(OR(G520=1,G520=2)),IF(#REF!&lt;&gt;"",((MAX(NETWORKDAYS(L520,#REF!,UKBankHolidays)-1,0))*(TIME(17,0,0)-TIME(8,0,0))+IF(NETWORKDAYS(#REF!,#REF!,UKBankHolidays)&gt;0,MEDIAN(TIME(8,0,0),MOD(#REF!,1),TIME(17,0,0)),TIME(8,0,0))-MEDIAN(TIME(8,0,0),MOD(L520,1),TIME(17,0,0))),((MAX(NETWORKDAYS(L520,NOW(),UKBankHolidays)-1,0))*(TIME(17,0,0)-TIME(8,0,0))+IF(NETWORKDAYS(NOW(),NOW(),UKBankHolidays)&gt;0,MEDIAN(TIME(8,0,0),MOD(NOW(),1),TIME(17,0,0)),TIME(8,0,0))-MEDIAN(TIME(8,0,0),MOD(L520,1),TIME(17,0,0)))),IF(#REF!&lt;&gt;"",#REF!-L520,NOW()-L520)))</f>
        <v>#REF!</v>
      </c>
      <c r="AE520" s="169">
        <f t="shared" ca="1" si="79"/>
        <v>1.4938888888937074</v>
      </c>
      <c r="AF520" s="170">
        <f t="shared" ca="1" si="77"/>
        <v>3.9837037037165532</v>
      </c>
      <c r="AG520" s="170">
        <f t="shared" ca="1" si="78"/>
        <v>3.9837037037165532</v>
      </c>
      <c r="AH520" s="28" t="e" cm="1">
        <f t="array" aca="1" ref="AH520" ca="1">IF((AD520) &lt; (INDEX(ResponseSLA[#All],(MATCH((G520),ResponseSLA[Priority],0))+1,3)),"YES","No")</f>
        <v>#REF!</v>
      </c>
      <c r="AI520" s="28" t="str">
        <f ca="1">_xlfn.IFNA(IF(AE520 &lt; (INDEX(SLATable[Minimum SLA],MATCH(G520,SLATable[Priority],0))),"YES","NO"),"")</f>
        <v>YES</v>
      </c>
      <c r="AJ520" s="28" t="str">
        <f ca="1">_xlfn.IFNA(IF(AE520 &lt; (INDEX(SLATable[Maximum SLA],MATCH(G520,SLATable[Priority],0))),"YES","NO"),"")</f>
        <v>YES</v>
      </c>
    </row>
    <row r="521" spans="2:36" ht="15" customHeight="1">
      <c r="B521" s="127" t="s">
        <v>26</v>
      </c>
      <c r="C521" s="127" t="s">
        <v>35</v>
      </c>
      <c r="D521" s="127" t="s">
        <v>207</v>
      </c>
      <c r="E521" s="127" t="s">
        <v>1497</v>
      </c>
      <c r="F521" s="127" t="s">
        <v>301</v>
      </c>
      <c r="G521" s="127">
        <v>2</v>
      </c>
      <c r="H521" s="127" t="s">
        <v>1498</v>
      </c>
      <c r="I521" s="127" t="s">
        <v>271</v>
      </c>
      <c r="J521" s="127" t="s">
        <v>1454</v>
      </c>
      <c r="K521" s="129">
        <v>46171.536539351851</v>
      </c>
      <c r="L521" s="129">
        <v>46171.543634259258</v>
      </c>
      <c r="M521" s="129">
        <v>46171.622858796298</v>
      </c>
      <c r="N521" s="129">
        <v>46171.633958333332</v>
      </c>
      <c r="O521" s="129"/>
      <c r="P521" s="129"/>
      <c r="Q521" s="127" t="s">
        <v>1499</v>
      </c>
      <c r="R521" s="127" t="s">
        <v>267</v>
      </c>
      <c r="S521" s="127" t="s">
        <v>141</v>
      </c>
      <c r="T521" s="127"/>
      <c r="U521" s="127" t="s">
        <v>371</v>
      </c>
      <c r="Z521" s="169">
        <f t="shared" ca="1" si="71"/>
        <v>9.7418981480586808E-2</v>
      </c>
      <c r="AA521" s="170">
        <f t="shared" ca="1" si="72"/>
        <v>0.25978395061489817</v>
      </c>
      <c r="AB521" s="169">
        <f t="shared" ca="1" si="73"/>
        <v>9.0324074073578231E-2</v>
      </c>
      <c r="AC521" s="170">
        <f t="shared" ca="1" si="74"/>
        <v>0.24086419752954194</v>
      </c>
      <c r="AD521" s="169" t="e">
        <f ca="1">MAX(0,IF(NOT(OR(G521=1,G521=2)),IF(#REF!&lt;&gt;"",((MAX(NETWORKDAYS(L521,#REF!,UKBankHolidays)-1,0))*(TIME(17,0,0)-TIME(8,0,0))+IF(NETWORKDAYS(#REF!,#REF!,UKBankHolidays)&gt;0,MEDIAN(TIME(8,0,0),MOD(#REF!,1),TIME(17,0,0)),TIME(8,0,0))-MEDIAN(TIME(8,0,0),MOD(L521,1),TIME(17,0,0))),((MAX(NETWORKDAYS(L521,NOW(),UKBankHolidays)-1,0))*(TIME(17,0,0)-TIME(8,0,0))+IF(NETWORKDAYS(NOW(),NOW(),UKBankHolidays)&gt;0,MEDIAN(TIME(8,0,0),MOD(NOW(),1),TIME(17,0,0)),TIME(8,0,0))-MEDIAN(TIME(8,0,0),MOD(L521,1),TIME(17,0,0)))),IF(#REF!&lt;&gt;"",#REF!-L521,NOW()-L521)))</f>
        <v>#REF!</v>
      </c>
      <c r="AE521" s="169">
        <f t="shared" ca="1" si="79"/>
        <v>0.16427083333110204</v>
      </c>
      <c r="AF521" s="170">
        <f t="shared" ca="1" si="77"/>
        <v>0.43805555554960546</v>
      </c>
      <c r="AG521" s="170">
        <f t="shared" ca="1" si="78"/>
        <v>0.43805555554960546</v>
      </c>
      <c r="AH521" s="28" t="e" cm="1">
        <f t="array" aca="1" ref="AH521" ca="1">IF((AD521) &lt; (INDEX(ResponseSLA[#All],(MATCH((G521),ResponseSLA[Priority],0))+1,3)),"YES","No")</f>
        <v>#REF!</v>
      </c>
      <c r="AI521" s="28" t="str">
        <f ca="1">_xlfn.IFNA(IF(AE521 &lt; (INDEX(SLATable[Minimum SLA],MATCH(G521,SLATable[Priority],0))),"YES","NO"),"")</f>
        <v>NO</v>
      </c>
      <c r="AJ521" s="28" t="str">
        <f ca="1">_xlfn.IFNA(IF(AE521 &lt; (INDEX(SLATable[Maximum SLA],MATCH(G521,SLATable[Priority],0))),"YES","NO"),"")</f>
        <v>YES</v>
      </c>
    </row>
    <row r="522" spans="2:36" ht="15" customHeight="1">
      <c r="B522" s="127" t="s">
        <v>26</v>
      </c>
      <c r="C522" s="127" t="s">
        <v>35</v>
      </c>
      <c r="D522" s="127" t="s">
        <v>207</v>
      </c>
      <c r="E522" s="127" t="s">
        <v>1500</v>
      </c>
      <c r="F522" s="127" t="s">
        <v>295</v>
      </c>
      <c r="G522" s="127">
        <v>2</v>
      </c>
      <c r="H522" s="127" t="s">
        <v>1501</v>
      </c>
      <c r="I522" s="127" t="s">
        <v>271</v>
      </c>
      <c r="J522" s="127" t="s">
        <v>1454</v>
      </c>
      <c r="K522" s="129">
        <v>46171.311064814814</v>
      </c>
      <c r="L522" s="129">
        <v>46171.311064814814</v>
      </c>
      <c r="M522" s="129">
        <v>46171.387523148151</v>
      </c>
      <c r="N522" s="129">
        <v>46171.400324074071</v>
      </c>
      <c r="O522" s="129"/>
      <c r="P522" s="129"/>
      <c r="Q522" s="127" t="s">
        <v>1113</v>
      </c>
      <c r="R522" s="127" t="s">
        <v>267</v>
      </c>
      <c r="S522" s="127" t="s">
        <v>141</v>
      </c>
      <c r="T522" s="127"/>
      <c r="U522" s="127" t="s">
        <v>371</v>
      </c>
      <c r="Z522" s="169">
        <f t="shared" ca="1" si="71"/>
        <v>8.925925925723277E-2</v>
      </c>
      <c r="AA522" s="170">
        <f t="shared" ca="1" si="72"/>
        <v>0.23802469135262072</v>
      </c>
      <c r="AB522" s="169">
        <f t="shared" ca="1" si="73"/>
        <v>8.925925925723277E-2</v>
      </c>
      <c r="AC522" s="170">
        <f t="shared" ca="1" si="74"/>
        <v>0.23802469135262072</v>
      </c>
      <c r="AD522" s="169" t="e">
        <f ca="1">MAX(0,IF(NOT(OR(G522=1,G522=2)),IF(#REF!&lt;&gt;"",((MAX(NETWORKDAYS(L522,#REF!,UKBankHolidays)-1,0))*(TIME(17,0,0)-TIME(8,0,0))+IF(NETWORKDAYS(#REF!,#REF!,UKBankHolidays)&gt;0,MEDIAN(TIME(8,0,0),MOD(#REF!,1),TIME(17,0,0)),TIME(8,0,0))-MEDIAN(TIME(8,0,0),MOD(L522,1),TIME(17,0,0))),((MAX(NETWORKDAYS(L522,NOW(),UKBankHolidays)-1,0))*(TIME(17,0,0)-TIME(8,0,0))+IF(NETWORKDAYS(NOW(),NOW(),UKBankHolidays)&gt;0,MEDIAN(TIME(8,0,0),MOD(NOW(),1),TIME(17,0,0)),TIME(8,0,0))-MEDIAN(TIME(8,0,0),MOD(L522,1),TIME(17,0,0)))),IF(#REF!&lt;&gt;"",#REF!-L522,NOW()-L522)))</f>
        <v>#REF!</v>
      </c>
      <c r="AE522" s="169">
        <f t="shared" ca="1" si="79"/>
        <v>0.17848379629140254</v>
      </c>
      <c r="AF522" s="170">
        <f t="shared" ca="1" si="77"/>
        <v>0.47595679011040676</v>
      </c>
      <c r="AG522" s="170">
        <f t="shared" ca="1" si="78"/>
        <v>0.47595679011040676</v>
      </c>
      <c r="AH522" s="28" t="e" cm="1">
        <f t="array" aca="1" ref="AH522" ca="1">IF((AD522) &lt; (INDEX(ResponseSLA[#All],(MATCH((G522),ResponseSLA[Priority],0))+1,3)),"YES","No")</f>
        <v>#REF!</v>
      </c>
      <c r="AI522" s="28" t="str">
        <f ca="1">_xlfn.IFNA(IF(AE522 &lt; (INDEX(SLATable[Minimum SLA],MATCH(G522,SLATable[Priority],0))),"YES","NO"),"")</f>
        <v>NO</v>
      </c>
      <c r="AJ522" s="28" t="str">
        <f ca="1">_xlfn.IFNA(IF(AE522 &lt; (INDEX(SLATable[Maximum SLA],MATCH(G522,SLATable[Priority],0))),"YES","NO"),"")</f>
        <v>YES</v>
      </c>
    </row>
    <row r="523" spans="2:36" ht="15" customHeight="1">
      <c r="B523" s="127" t="s">
        <v>26</v>
      </c>
      <c r="C523" s="127" t="s">
        <v>35</v>
      </c>
      <c r="D523" s="127" t="s">
        <v>207</v>
      </c>
      <c r="E523" s="127" t="s">
        <v>2166</v>
      </c>
      <c r="F523" s="127" t="s">
        <v>295</v>
      </c>
      <c r="G523" s="127">
        <v>3</v>
      </c>
      <c r="H523" s="127" t="s">
        <v>2167</v>
      </c>
      <c r="I523" s="127" t="s">
        <v>260</v>
      </c>
      <c r="J523" s="127" t="s">
        <v>1454</v>
      </c>
      <c r="K523" s="129">
        <v>46203.642708333333</v>
      </c>
      <c r="L523" s="129">
        <v>46203.642708333333</v>
      </c>
      <c r="M523" s="129">
        <v>46204.297858796293</v>
      </c>
      <c r="N523" s="129"/>
      <c r="O523" s="129"/>
      <c r="P523" s="129"/>
      <c r="Q523" s="127" t="s">
        <v>2035</v>
      </c>
      <c r="R523" s="127"/>
      <c r="S523" s="127"/>
      <c r="T523" s="127"/>
      <c r="U523" s="127" t="s">
        <v>371</v>
      </c>
      <c r="Z523" s="169">
        <f t="shared" ca="1" si="71"/>
        <v>14.991265856479005</v>
      </c>
      <c r="AA523" s="170">
        <f t="shared" ca="1" si="72"/>
        <v>39.976708950610686</v>
      </c>
      <c r="AB523" s="169">
        <f t="shared" ca="1" si="73"/>
        <v>14.991265856479005</v>
      </c>
      <c r="AC523" s="170">
        <f t="shared" ca="1" si="74"/>
        <v>39.976708950610686</v>
      </c>
      <c r="AD523" s="169" t="e">
        <f ca="1">MAX(0,IF(NOT(OR(G523=1,G523=2)),IF(#REF!&lt;&gt;"",((MAX(NETWORKDAYS(L523,#REF!,UKBankHolidays)-1,0))*(TIME(17,0,0)-TIME(8,0,0))+IF(NETWORKDAYS(#REF!,#REF!,UKBankHolidays)&gt;0,MEDIAN(TIME(8,0,0),MOD(#REF!,1),TIME(17,0,0)),TIME(8,0,0))-MEDIAN(TIME(8,0,0),MOD(L523,1),TIME(17,0,0))),((MAX(NETWORKDAYS(L523,NOW(),UKBankHolidays)-1,0))*(TIME(17,0,0)-TIME(8,0,0))+IF(NETWORKDAYS(NOW(),NOW(),UKBankHolidays)&gt;0,MEDIAN(TIME(8,0,0),MOD(NOW(),1),TIME(17,0,0)),TIME(8,0,0))-MEDIAN(TIME(8,0,0),MOD(L523,1),TIME(17,0,0)))),IF(#REF!&lt;&gt;"",#REF!-L523,NOW()-L523)))</f>
        <v>#REF!</v>
      </c>
      <c r="AE523" s="169">
        <f t="shared" ca="1" si="79"/>
        <v>14.991265856479005</v>
      </c>
      <c r="AF523" s="170">
        <f t="shared" ca="1" si="77"/>
        <v>39.976708950610686</v>
      </c>
      <c r="AG523" s="170">
        <f t="shared" ca="1" si="78"/>
        <v>39.976708950610686</v>
      </c>
      <c r="AH523" s="28" t="e" cm="1">
        <f t="array" aca="1" ref="AH523" ca="1">IF((AD523) &lt; (INDEX(ResponseSLA[#All],(MATCH((G523),ResponseSLA[Priority],0))+1,3)),"YES","No")</f>
        <v>#REF!</v>
      </c>
      <c r="AI523" s="28" t="str">
        <f ca="1">_xlfn.IFNA(IF(AE523 &lt; (INDEX(SLATable[Minimum SLA],MATCH(G523,SLATable[Priority],0))),"YES","NO"),"")</f>
        <v>NO</v>
      </c>
      <c r="AJ523" s="28" t="str">
        <f ca="1">_xlfn.IFNA(IF(AE523 &lt; (INDEX(SLATable[Maximum SLA],MATCH(G523,SLATable[Priority],0))),"YES","NO"),"")</f>
        <v>NO</v>
      </c>
    </row>
    <row r="524" spans="2:36" ht="15" customHeight="1">
      <c r="B524" s="127" t="s">
        <v>26</v>
      </c>
      <c r="C524" s="127" t="s">
        <v>35</v>
      </c>
      <c r="D524" s="127" t="s">
        <v>208</v>
      </c>
      <c r="E524" s="127" t="s">
        <v>2168</v>
      </c>
      <c r="F524" s="127" t="s">
        <v>289</v>
      </c>
      <c r="G524" s="127" t="s">
        <v>208</v>
      </c>
      <c r="H524" s="127" t="s">
        <v>1877</v>
      </c>
      <c r="I524" s="127" t="s">
        <v>271</v>
      </c>
      <c r="J524" s="127" t="s">
        <v>1454</v>
      </c>
      <c r="K524" s="129">
        <v>46196.375972222224</v>
      </c>
      <c r="L524" s="129">
        <v>46196.375972222224</v>
      </c>
      <c r="M524" s="129">
        <v>46196.530902777777</v>
      </c>
      <c r="N524" s="129">
        <v>46203.37835648148</v>
      </c>
      <c r="O524" s="129"/>
      <c r="P524" s="129"/>
      <c r="Q524" s="127" t="s">
        <v>1879</v>
      </c>
      <c r="R524" s="127" t="s">
        <v>267</v>
      </c>
      <c r="S524" s="127" t="s">
        <v>155</v>
      </c>
      <c r="T524" s="127"/>
      <c r="U524" s="127" t="s">
        <v>371</v>
      </c>
      <c r="Z524" s="169">
        <f t="shared" ca="1" si="71"/>
        <v>1.8773842592563597</v>
      </c>
      <c r="AA524" s="170">
        <f t="shared" ca="1" si="72"/>
        <v>5.0063580246836255</v>
      </c>
      <c r="AB524" s="169">
        <f t="shared" ca="1" si="73"/>
        <v>1.8773842592563597</v>
      </c>
      <c r="AC524" s="170">
        <f t="shared" ca="1" si="74"/>
        <v>5.0063580246836255</v>
      </c>
      <c r="AD524" s="169" t="e">
        <f ca="1">MAX(0,IF(NOT(OR(G524=1,G524=2)),IF(#REF!&lt;&gt;"",((MAX(NETWORKDAYS(L524,#REF!,UKBankHolidays)-1,0))*(TIME(17,0,0)-TIME(8,0,0))+IF(NETWORKDAYS(#REF!,#REF!,UKBankHolidays)&gt;0,MEDIAN(TIME(8,0,0),MOD(#REF!,1),TIME(17,0,0)),TIME(8,0,0))-MEDIAN(TIME(8,0,0),MOD(L524,1),TIME(17,0,0))),((MAX(NETWORKDAYS(L524,NOW(),UKBankHolidays)-1,0))*(TIME(17,0,0)-TIME(8,0,0))+IF(NETWORKDAYS(NOW(),NOW(),UKBankHolidays)&gt;0,MEDIAN(TIME(8,0,0),MOD(NOW(),1),TIME(17,0,0)),TIME(8,0,0))-MEDIAN(TIME(8,0,0),MOD(L524,1),TIME(17,0,0)))),IF(#REF!&lt;&gt;"",#REF!-L524,NOW()-L524)))</f>
        <v>#REF!</v>
      </c>
      <c r="AE524" s="169">
        <f t="shared" ca="1" si="79"/>
        <v>1.8773842592563597</v>
      </c>
      <c r="AF524" s="170">
        <f t="shared" ca="1" si="77"/>
        <v>5.0063580246836255</v>
      </c>
      <c r="AG524" s="170">
        <f t="shared" ca="1" si="78"/>
        <v>5.0063580246836255</v>
      </c>
      <c r="AH524" s="28" t="e" cm="1">
        <f t="array" aca="1" ref="AH524" ca="1">IF((AD524) &lt; (INDEX(ResponseSLA[#All],(MATCH((G524),ResponseSLA[Priority],0))+1,3)),"YES","No")</f>
        <v>#REF!</v>
      </c>
      <c r="AI524" s="28" t="str">
        <f ca="1">_xlfn.IFNA(IF(AE524 &lt; (INDEX(SLATable[Minimum SLA],MATCH(G524,SLATable[Priority],0))),"YES","NO"),"")</f>
        <v>NO</v>
      </c>
      <c r="AJ524" s="28" t="str">
        <f ca="1">_xlfn.IFNA(IF(AE524 &lt; (INDEX(SLATable[Maximum SLA],MATCH(G524,SLATable[Priority],0))),"YES","NO"),"")</f>
        <v>NO</v>
      </c>
    </row>
    <row r="525" spans="2:36" ht="15" customHeight="1">
      <c r="B525" s="127" t="s">
        <v>26</v>
      </c>
      <c r="C525" s="127" t="s">
        <v>35</v>
      </c>
      <c r="D525" s="127" t="s">
        <v>208</v>
      </c>
      <c r="E525" s="127" t="s">
        <v>2169</v>
      </c>
      <c r="F525" s="127" t="s">
        <v>295</v>
      </c>
      <c r="G525" s="127" t="s">
        <v>208</v>
      </c>
      <c r="H525" s="127" t="s">
        <v>1681</v>
      </c>
      <c r="I525" s="127" t="s">
        <v>271</v>
      </c>
      <c r="J525" s="127" t="s">
        <v>1454</v>
      </c>
      <c r="K525" s="129">
        <v>46196.375891203701</v>
      </c>
      <c r="L525" s="129">
        <v>46196.375891203701</v>
      </c>
      <c r="M525" s="129">
        <v>46196.53125</v>
      </c>
      <c r="N525" s="129">
        <v>46203.377974537034</v>
      </c>
      <c r="O525" s="129"/>
      <c r="P525" s="129"/>
      <c r="Q525" s="127" t="s">
        <v>1160</v>
      </c>
      <c r="R525" s="127" t="s">
        <v>267</v>
      </c>
      <c r="S525" s="127" t="s">
        <v>155</v>
      </c>
      <c r="T525" s="127"/>
      <c r="U525" s="127" t="s">
        <v>371</v>
      </c>
      <c r="Z525" s="169">
        <f t="shared" ca="1" si="71"/>
        <v>1.8770833333328483</v>
      </c>
      <c r="AA525" s="170">
        <f t="shared" ca="1" si="72"/>
        <v>5.0055555555542623</v>
      </c>
      <c r="AB525" s="169">
        <f t="shared" ca="1" si="73"/>
        <v>1.8770833333328483</v>
      </c>
      <c r="AC525" s="170">
        <f t="shared" ca="1" si="74"/>
        <v>5.0055555555542623</v>
      </c>
      <c r="AD525" s="169" t="e">
        <f ca="1">MAX(0,IF(NOT(OR(G525=1,G525=2)),IF(#REF!&lt;&gt;"",((MAX(NETWORKDAYS(L525,#REF!,UKBankHolidays)-1,0))*(TIME(17,0,0)-TIME(8,0,0))+IF(NETWORKDAYS(#REF!,#REF!,UKBankHolidays)&gt;0,MEDIAN(TIME(8,0,0),MOD(#REF!,1),TIME(17,0,0)),TIME(8,0,0))-MEDIAN(TIME(8,0,0),MOD(L525,1),TIME(17,0,0))),((MAX(NETWORKDAYS(L525,NOW(),UKBankHolidays)-1,0))*(TIME(17,0,0)-TIME(8,0,0))+IF(NETWORKDAYS(NOW(),NOW(),UKBankHolidays)&gt;0,MEDIAN(TIME(8,0,0),MOD(NOW(),1),TIME(17,0,0)),TIME(8,0,0))-MEDIAN(TIME(8,0,0),MOD(L525,1),TIME(17,0,0)))),IF(#REF!&lt;&gt;"",#REF!-L525,NOW()-L525)))</f>
        <v>#REF!</v>
      </c>
      <c r="AE525" s="169">
        <f t="shared" ca="1" si="79"/>
        <v>1.8770833333328483</v>
      </c>
      <c r="AF525" s="170">
        <f t="shared" ca="1" si="77"/>
        <v>5.0055555555542623</v>
      </c>
      <c r="AG525" s="170">
        <f t="shared" ca="1" si="78"/>
        <v>5.0055555555542623</v>
      </c>
      <c r="AH525" s="28" t="e" cm="1">
        <f t="array" aca="1" ref="AH525" ca="1">IF((AD525) &lt; (INDEX(ResponseSLA[#All],(MATCH((G525),ResponseSLA[Priority],0))+1,3)),"YES","No")</f>
        <v>#REF!</v>
      </c>
      <c r="AI525" s="28" t="str">
        <f ca="1">_xlfn.IFNA(IF(AE525 &lt; (INDEX(SLATable[Minimum SLA],MATCH(G525,SLATable[Priority],0))),"YES","NO"),"")</f>
        <v>NO</v>
      </c>
      <c r="AJ525" s="28" t="str">
        <f ca="1">_xlfn.IFNA(IF(AE525 &lt; (INDEX(SLATable[Maximum SLA],MATCH(G525,SLATable[Priority],0))),"YES","NO"),"")</f>
        <v>NO</v>
      </c>
    </row>
    <row r="526" spans="2:36" ht="15" customHeight="1">
      <c r="B526" s="127" t="s">
        <v>26</v>
      </c>
      <c r="C526" s="127" t="s">
        <v>35</v>
      </c>
      <c r="D526" s="127" t="s">
        <v>208</v>
      </c>
      <c r="E526" s="127" t="s">
        <v>2170</v>
      </c>
      <c r="F526" s="127" t="s">
        <v>289</v>
      </c>
      <c r="G526" s="127" t="s">
        <v>208</v>
      </c>
      <c r="H526" s="127" t="s">
        <v>1895</v>
      </c>
      <c r="I526" s="127" t="s">
        <v>271</v>
      </c>
      <c r="J526" s="127" t="s">
        <v>1454</v>
      </c>
      <c r="K526" s="129">
        <v>46189.376064814816</v>
      </c>
      <c r="L526" s="129">
        <v>46189.376064814816</v>
      </c>
      <c r="M526" s="129">
        <v>46190.357442129629</v>
      </c>
      <c r="N526" s="129">
        <v>46191.454722222225</v>
      </c>
      <c r="O526" s="129"/>
      <c r="P526" s="129"/>
      <c r="Q526" s="127" t="s">
        <v>1068</v>
      </c>
      <c r="R526" s="127" t="s">
        <v>267</v>
      </c>
      <c r="S526" s="127" t="s">
        <v>155</v>
      </c>
      <c r="T526" s="127"/>
      <c r="U526" s="127" t="s">
        <v>371</v>
      </c>
      <c r="Z526" s="169">
        <f t="shared" ca="1" si="71"/>
        <v>0.82865740740817273</v>
      </c>
      <c r="AA526" s="170">
        <f t="shared" ca="1" si="72"/>
        <v>2.2097530864217938</v>
      </c>
      <c r="AB526" s="169">
        <f t="shared" ca="1" si="73"/>
        <v>0.82865740740817273</v>
      </c>
      <c r="AC526" s="170">
        <f t="shared" ca="1" si="74"/>
        <v>2.2097530864217938</v>
      </c>
      <c r="AD526" s="169" t="e">
        <f ca="1">MAX(0,IF(NOT(OR(G526=1,G526=2)),IF(#REF!&lt;&gt;"",((MAX(NETWORKDAYS(L526,#REF!,UKBankHolidays)-1,0))*(TIME(17,0,0)-TIME(8,0,0))+IF(NETWORKDAYS(#REF!,#REF!,UKBankHolidays)&gt;0,MEDIAN(TIME(8,0,0),MOD(#REF!,1),TIME(17,0,0)),TIME(8,0,0))-MEDIAN(TIME(8,0,0),MOD(L526,1),TIME(17,0,0))),((MAX(NETWORKDAYS(L526,NOW(),UKBankHolidays)-1,0))*(TIME(17,0,0)-TIME(8,0,0))+IF(NETWORKDAYS(NOW(),NOW(),UKBankHolidays)&gt;0,MEDIAN(TIME(8,0,0),MOD(NOW(),1),TIME(17,0,0)),TIME(8,0,0))-MEDIAN(TIME(8,0,0),MOD(L526,1),TIME(17,0,0)))),IF(#REF!&lt;&gt;"",#REF!-L526,NOW()-L526)))</f>
        <v>#REF!</v>
      </c>
      <c r="AE526" s="169">
        <f t="shared" ca="1" si="79"/>
        <v>0.82865740740817273</v>
      </c>
      <c r="AF526" s="170">
        <f t="shared" ca="1" si="77"/>
        <v>2.2097530864217938</v>
      </c>
      <c r="AG526" s="170">
        <f t="shared" ca="1" si="78"/>
        <v>2.2097530864217938</v>
      </c>
      <c r="AH526" s="28" t="e" cm="1">
        <f t="array" aca="1" ref="AH526" ca="1">IF((AD526) &lt; (INDEX(ResponseSLA[#All],(MATCH((G526),ResponseSLA[Priority],0))+1,3)),"YES","No")</f>
        <v>#REF!</v>
      </c>
      <c r="AI526" s="28" t="str">
        <f ca="1">_xlfn.IFNA(IF(AE526 &lt; (INDEX(SLATable[Minimum SLA],MATCH(G526,SLATable[Priority],0))),"YES","NO"),"")</f>
        <v>NO</v>
      </c>
      <c r="AJ526" s="28" t="str">
        <f ca="1">_xlfn.IFNA(IF(AE526 &lt; (INDEX(SLATable[Maximum SLA],MATCH(G526,SLATable[Priority],0))),"YES","NO"),"")</f>
        <v>NO</v>
      </c>
    </row>
    <row r="527" spans="2:36" ht="15" customHeight="1">
      <c r="B527" s="127" t="s">
        <v>26</v>
      </c>
      <c r="C527" s="127" t="s">
        <v>35</v>
      </c>
      <c r="D527" s="127" t="s">
        <v>208</v>
      </c>
      <c r="E527" s="257" t="s">
        <v>1547</v>
      </c>
      <c r="F527" s="127" t="s">
        <v>303</v>
      </c>
      <c r="G527" s="127" t="s">
        <v>208</v>
      </c>
      <c r="H527" s="127" t="s">
        <v>1548</v>
      </c>
      <c r="I527" s="127" t="s">
        <v>271</v>
      </c>
      <c r="J527" s="127" t="s">
        <v>1454</v>
      </c>
      <c r="K527" s="129">
        <v>46167.258356481485</v>
      </c>
      <c r="L527" s="129">
        <v>46167.258356481485</v>
      </c>
      <c r="M527" s="129">
        <v>46167.472245370373</v>
      </c>
      <c r="N527" s="129">
        <v>46189.425995370373</v>
      </c>
      <c r="O527" s="129"/>
      <c r="P527" s="129"/>
      <c r="Q527" s="127" t="s">
        <v>1534</v>
      </c>
      <c r="R527" s="127" t="s">
        <v>267</v>
      </c>
      <c r="S527" s="127" t="s">
        <v>179</v>
      </c>
      <c r="T527" s="127"/>
      <c r="U527" s="127" t="s">
        <v>371</v>
      </c>
      <c r="Z527" s="169">
        <f t="shared" ca="1" si="71"/>
        <v>5.7176620370397977</v>
      </c>
      <c r="AA527" s="170">
        <f t="shared" ca="1" si="72"/>
        <v>15.247098765439461</v>
      </c>
      <c r="AB527" s="169">
        <f t="shared" ca="1" si="73"/>
        <v>5.7176620370397977</v>
      </c>
      <c r="AC527" s="170">
        <f t="shared" ca="1" si="74"/>
        <v>15.247098765439461</v>
      </c>
      <c r="AD527" s="169" t="e">
        <f ca="1">MAX(0,IF(NOT(OR(G527=1,G527=2)),IF(#REF!&lt;&gt;"",((MAX(NETWORKDAYS(L527,#REF!,UKBankHolidays)-1,0))*(TIME(17,0,0)-TIME(8,0,0))+IF(NETWORKDAYS(#REF!,#REF!,UKBankHolidays)&gt;0,MEDIAN(TIME(8,0,0),MOD(#REF!,1),TIME(17,0,0)),TIME(8,0,0))-MEDIAN(TIME(8,0,0),MOD(L527,1),TIME(17,0,0))),((MAX(NETWORKDAYS(L527,NOW(),UKBankHolidays)-1,0))*(TIME(17,0,0)-TIME(8,0,0))+IF(NETWORKDAYS(NOW(),NOW(),UKBankHolidays)&gt;0,MEDIAN(TIME(8,0,0),MOD(NOW(),1),TIME(17,0,0)),TIME(8,0,0))-MEDIAN(TIME(8,0,0),MOD(L527,1),TIME(17,0,0)))),IF(#REF!&lt;&gt;"",#REF!-L527,NOW()-L527)))</f>
        <v>#REF!</v>
      </c>
      <c r="AE527" s="169">
        <f t="shared" ca="1" si="79"/>
        <v>30.393302893518321</v>
      </c>
      <c r="AF527" s="170">
        <f t="shared" ca="1" si="77"/>
        <v>81.048807716048856</v>
      </c>
      <c r="AG527" s="170">
        <f t="shared" ca="1" si="78"/>
        <v>81.048807716048856</v>
      </c>
      <c r="AH527" s="28" t="e" cm="1">
        <f t="array" aca="1" ref="AH527" ca="1">IF((AD527) &lt; (INDEX(ResponseSLA[#All],(MATCH((G527),ResponseSLA[Priority],0))+1,3)),"YES","No")</f>
        <v>#REF!</v>
      </c>
      <c r="AI527" s="28" t="str">
        <f ca="1">_xlfn.IFNA(IF(AE527 &lt; (INDEX(SLATable[Minimum SLA],MATCH(G527,SLATable[Priority],0))),"YES","NO"),"")</f>
        <v>NO</v>
      </c>
      <c r="AJ527" s="28" t="str">
        <f ca="1">_xlfn.IFNA(IF(AE527 &lt; (INDEX(SLATable[Maximum SLA],MATCH(G527,SLATable[Priority],0))),"YES","NO"),"")</f>
        <v>NO</v>
      </c>
    </row>
    <row r="528" spans="2:36" ht="15" customHeight="1">
      <c r="B528" s="127" t="s">
        <v>26</v>
      </c>
      <c r="C528" s="127" t="s">
        <v>35</v>
      </c>
      <c r="D528" s="127" t="s">
        <v>208</v>
      </c>
      <c r="E528" s="257" t="s">
        <v>1549</v>
      </c>
      <c r="F528" s="127" t="s">
        <v>303</v>
      </c>
      <c r="G528" s="127" t="s">
        <v>208</v>
      </c>
      <c r="H528" s="127" t="s">
        <v>1550</v>
      </c>
      <c r="I528" s="127" t="s">
        <v>271</v>
      </c>
      <c r="J528" s="127" t="s">
        <v>1454</v>
      </c>
      <c r="K528" s="129">
        <v>46167.256724537037</v>
      </c>
      <c r="L528" s="129">
        <v>46167.256724537037</v>
      </c>
      <c r="M528" s="129">
        <v>46167.470648148148</v>
      </c>
      <c r="N528" s="129">
        <v>46177.440138888887</v>
      </c>
      <c r="O528" s="129"/>
      <c r="P528" s="129"/>
      <c r="Q528" s="127" t="s">
        <v>1257</v>
      </c>
      <c r="R528" s="127" t="s">
        <v>267</v>
      </c>
      <c r="S528" s="127" t="s">
        <v>179</v>
      </c>
      <c r="T528" s="127"/>
      <c r="U528" s="127" t="s">
        <v>371</v>
      </c>
      <c r="Z528" s="169">
        <f t="shared" ca="1" si="71"/>
        <v>2.7318055555539713</v>
      </c>
      <c r="AA528" s="170">
        <f t="shared" ca="1" si="72"/>
        <v>7.2848148148105896</v>
      </c>
      <c r="AB528" s="169">
        <f t="shared" ca="1" si="73"/>
        <v>2.7318055555539713</v>
      </c>
      <c r="AC528" s="170">
        <f t="shared" ca="1" si="74"/>
        <v>7.2848148148105896</v>
      </c>
      <c r="AD528" s="169" t="e">
        <f ca="1">MAX(0,IF(NOT(OR(G528=1,G528=2)),IF(#REF!&lt;&gt;"",((MAX(NETWORKDAYS(L528,#REF!,UKBankHolidays)-1,0))*(TIME(17,0,0)-TIME(8,0,0))+IF(NETWORKDAYS(#REF!,#REF!,UKBankHolidays)&gt;0,MEDIAN(TIME(8,0,0),MOD(#REF!,1),TIME(17,0,0)),TIME(8,0,0))-MEDIAN(TIME(8,0,0),MOD(L528,1),TIME(17,0,0))),((MAX(NETWORKDAYS(L528,NOW(),UKBankHolidays)-1,0))*(TIME(17,0,0)-TIME(8,0,0))+IF(NETWORKDAYS(NOW(),NOW(),UKBankHolidays)&gt;0,MEDIAN(TIME(8,0,0),MOD(NOW(),1),TIME(17,0,0)),TIME(8,0,0))-MEDIAN(TIME(8,0,0),MOD(L528,1),TIME(17,0,0)))),IF(#REF!&lt;&gt;"",#REF!-L528,NOW()-L528)))</f>
        <v>#REF!</v>
      </c>
      <c r="AE528" s="169">
        <f t="shared" ca="1" si="79"/>
        <v>27.407446412032495</v>
      </c>
      <c r="AF528" s="170">
        <f t="shared" ca="1" si="77"/>
        <v>73.086523765419983</v>
      </c>
      <c r="AG528" s="170">
        <f t="shared" ca="1" si="78"/>
        <v>73.086523765419983</v>
      </c>
      <c r="AH528" s="28" t="e" cm="1">
        <f t="array" aca="1" ref="AH528" ca="1">IF((AD528) &lt; (INDEX(ResponseSLA[#All],(MATCH((G528),ResponseSLA[Priority],0))+1,3)),"YES","No")</f>
        <v>#REF!</v>
      </c>
      <c r="AI528" s="28" t="str">
        <f ca="1">_xlfn.IFNA(IF(AE528 &lt; (INDEX(SLATable[Minimum SLA],MATCH(G528,SLATable[Priority],0))),"YES","NO"),"")</f>
        <v>NO</v>
      </c>
      <c r="AJ528" s="28" t="str">
        <f ca="1">_xlfn.IFNA(IF(AE528 &lt; (INDEX(SLATable[Maximum SLA],MATCH(G528,SLATable[Priority],0))),"YES","NO"),"")</f>
        <v>NO</v>
      </c>
    </row>
    <row r="529" spans="2:36" ht="15" customHeight="1">
      <c r="B529" s="127" t="s">
        <v>26</v>
      </c>
      <c r="C529" s="127" t="s">
        <v>35</v>
      </c>
      <c r="D529" s="127" t="s">
        <v>208</v>
      </c>
      <c r="E529" s="127" t="s">
        <v>1551</v>
      </c>
      <c r="F529" s="127" t="s">
        <v>303</v>
      </c>
      <c r="G529" s="127" t="s">
        <v>208</v>
      </c>
      <c r="H529" s="127" t="s">
        <v>1552</v>
      </c>
      <c r="I529" s="127" t="s">
        <v>271</v>
      </c>
      <c r="J529" s="127" t="s">
        <v>1454</v>
      </c>
      <c r="K529" s="129">
        <v>46167.255208333336</v>
      </c>
      <c r="L529" s="129">
        <v>46167.255208333336</v>
      </c>
      <c r="M529" s="129">
        <v>46167.466099537036</v>
      </c>
      <c r="N529" s="129">
        <v>46189.426562499997</v>
      </c>
      <c r="O529" s="129"/>
      <c r="P529" s="129"/>
      <c r="Q529" s="127" t="s">
        <v>1260</v>
      </c>
      <c r="R529" s="127" t="s">
        <v>267</v>
      </c>
      <c r="S529" s="127" t="s">
        <v>179</v>
      </c>
      <c r="T529" s="127"/>
      <c r="U529" s="127" t="s">
        <v>371</v>
      </c>
      <c r="Z529" s="169">
        <f t="shared" ca="1" si="71"/>
        <v>5.7182291666637575</v>
      </c>
      <c r="AA529" s="170">
        <f t="shared" ca="1" si="72"/>
        <v>15.248611111103353</v>
      </c>
      <c r="AB529" s="169">
        <f t="shared" ca="1" si="73"/>
        <v>5.7182291666637575</v>
      </c>
      <c r="AC529" s="170">
        <f t="shared" ca="1" si="74"/>
        <v>15.248611111103353</v>
      </c>
      <c r="AD529" s="169" t="e">
        <f ca="1">MAX(0,IF(NOT(OR(G529=1,G529=2)),IF(#REF!&lt;&gt;"",((MAX(NETWORKDAYS(L529,#REF!,UKBankHolidays)-1,0))*(TIME(17,0,0)-TIME(8,0,0))+IF(NETWORKDAYS(#REF!,#REF!,UKBankHolidays)&gt;0,MEDIAN(TIME(8,0,0),MOD(#REF!,1),TIME(17,0,0)),TIME(8,0,0))-MEDIAN(TIME(8,0,0),MOD(L529,1),TIME(17,0,0))),((MAX(NETWORKDAYS(L529,NOW(),UKBankHolidays)-1,0))*(TIME(17,0,0)-TIME(8,0,0))+IF(NETWORKDAYS(NOW(),NOW(),UKBankHolidays)&gt;0,MEDIAN(TIME(8,0,0),MOD(NOW(),1),TIME(17,0,0)),TIME(8,0,0))-MEDIAN(TIME(8,0,0),MOD(L529,1),TIME(17,0,0)))),IF(#REF!&lt;&gt;"",#REF!-L529,NOW()-L529)))</f>
        <v>#REF!</v>
      </c>
      <c r="AE529" s="169">
        <f t="shared" ca="1" si="79"/>
        <v>30.393870023142281</v>
      </c>
      <c r="AF529" s="170">
        <f t="shared" ca="1" si="77"/>
        <v>81.050320061712739</v>
      </c>
      <c r="AG529" s="170">
        <f t="shared" ca="1" si="78"/>
        <v>81.050320061712739</v>
      </c>
      <c r="AH529" s="28" t="e" cm="1">
        <f t="array" aca="1" ref="AH529" ca="1">IF((AD529) &lt; (INDEX(ResponseSLA[#All],(MATCH((G529),ResponseSLA[Priority],0))+1,3)),"YES","No")</f>
        <v>#REF!</v>
      </c>
      <c r="AI529" s="28" t="str">
        <f ca="1">_xlfn.IFNA(IF(AE529 &lt; (INDEX(SLATable[Minimum SLA],MATCH(G529,SLATable[Priority],0))),"YES","NO"),"")</f>
        <v>NO</v>
      </c>
      <c r="AJ529" s="28" t="str">
        <f ca="1">_xlfn.IFNA(IF(AE529 &lt; (INDEX(SLATable[Maximum SLA],MATCH(G529,SLATable[Priority],0))),"YES","NO"),"")</f>
        <v>NO</v>
      </c>
    </row>
    <row r="530" spans="2:36" ht="15" customHeight="1">
      <c r="B530" s="127" t="s">
        <v>26</v>
      </c>
      <c r="C530" s="127" t="s">
        <v>35</v>
      </c>
      <c r="D530" s="127" t="s">
        <v>208</v>
      </c>
      <c r="E530" s="127" t="s">
        <v>1553</v>
      </c>
      <c r="F530" s="127" t="s">
        <v>303</v>
      </c>
      <c r="G530" s="127" t="s">
        <v>208</v>
      </c>
      <c r="H530" s="127" t="s">
        <v>1554</v>
      </c>
      <c r="I530" s="127" t="s">
        <v>271</v>
      </c>
      <c r="J530" s="127" t="s">
        <v>1454</v>
      </c>
      <c r="K530" s="129">
        <v>46164.402731481481</v>
      </c>
      <c r="L530" s="129">
        <v>46164.402731481481</v>
      </c>
      <c r="M530" s="129">
        <v>46167.465694444443</v>
      </c>
      <c r="N530" s="129">
        <v>46182.475960648146</v>
      </c>
      <c r="O530" s="129"/>
      <c r="P530" s="129"/>
      <c r="Q530" s="127" t="s">
        <v>1534</v>
      </c>
      <c r="R530" s="127" t="s">
        <v>267</v>
      </c>
      <c r="S530" s="127" t="s">
        <v>179</v>
      </c>
      <c r="T530" s="127"/>
      <c r="U530" s="127" t="s">
        <v>371</v>
      </c>
      <c r="Z530" s="169">
        <f t="shared" ca="1" si="71"/>
        <v>4.1982291666645333</v>
      </c>
      <c r="AA530" s="170">
        <f t="shared" ca="1" si="72"/>
        <v>11.195277777772089</v>
      </c>
      <c r="AB530" s="169">
        <f t="shared" ca="1" si="73"/>
        <v>4.1982291666645333</v>
      </c>
      <c r="AC530" s="170">
        <f t="shared" ca="1" si="74"/>
        <v>11.195277777772089</v>
      </c>
      <c r="AD530" s="169" t="e">
        <f ca="1">MAX(0,IF(NOT(OR(G530=1,G530=2)),IF(#REF!&lt;&gt;"",((MAX(NETWORKDAYS(L530,#REF!,UKBankHolidays)-1,0))*(TIME(17,0,0)-TIME(8,0,0))+IF(NETWORKDAYS(#REF!,#REF!,UKBankHolidays)&gt;0,MEDIAN(TIME(8,0,0),MOD(#REF!,1),TIME(17,0,0)),TIME(8,0,0))-MEDIAN(TIME(8,0,0),MOD(L530,1),TIME(17,0,0))),((MAX(NETWORKDAYS(L530,NOW(),UKBankHolidays)-1,0))*(TIME(17,0,0)-TIME(8,0,0))+IF(NETWORKDAYS(NOW(),NOW(),UKBankHolidays)&gt;0,MEDIAN(TIME(8,0,0),MOD(NOW(),1),TIME(17,0,0)),TIME(8,0,0))-MEDIAN(TIME(8,0,0),MOD(L530,1),TIME(17,0,0)))),IF(#REF!&lt;&gt;"",#REF!-L530,NOW()-L530)))</f>
        <v>#REF!</v>
      </c>
      <c r="AE530" s="169">
        <f t="shared" ca="1" si="79"/>
        <v>29.179471874995219</v>
      </c>
      <c r="AF530" s="170">
        <f t="shared" ca="1" si="77"/>
        <v>77.811924999987255</v>
      </c>
      <c r="AG530" s="170">
        <f t="shared" ca="1" si="78"/>
        <v>77.811924999987255</v>
      </c>
      <c r="AH530" s="28" t="e" cm="1">
        <f t="array" aca="1" ref="AH530" ca="1">IF((AD530) &lt; (INDEX(ResponseSLA[#All],(MATCH((G530),ResponseSLA[Priority],0))+1,3)),"YES","No")</f>
        <v>#REF!</v>
      </c>
      <c r="AI530" s="28" t="str">
        <f ca="1">_xlfn.IFNA(IF(AE530 &lt; (INDEX(SLATable[Minimum SLA],MATCH(G530,SLATable[Priority],0))),"YES","NO"),"")</f>
        <v>NO</v>
      </c>
      <c r="AJ530" s="28" t="str">
        <f ca="1">_xlfn.IFNA(IF(AE530 &lt; (INDEX(SLATable[Maximum SLA],MATCH(G530,SLATable[Priority],0))),"YES","NO"),"")</f>
        <v>NO</v>
      </c>
    </row>
    <row r="531" spans="2:36" ht="15" customHeight="1">
      <c r="B531" s="127" t="s">
        <v>26</v>
      </c>
      <c r="C531" s="127" t="s">
        <v>35</v>
      </c>
      <c r="D531" s="127" t="s">
        <v>208</v>
      </c>
      <c r="E531" s="127" t="s">
        <v>1555</v>
      </c>
      <c r="F531" s="127" t="s">
        <v>303</v>
      </c>
      <c r="G531" s="127" t="s">
        <v>208</v>
      </c>
      <c r="H531" s="127" t="s">
        <v>1556</v>
      </c>
      <c r="I531" s="127" t="s">
        <v>271</v>
      </c>
      <c r="J531" s="127" t="s">
        <v>1454</v>
      </c>
      <c r="K531" s="129">
        <v>46164.401342592595</v>
      </c>
      <c r="L531" s="129">
        <v>46164.401342592595</v>
      </c>
      <c r="M531" s="129">
        <v>46167.464131944442</v>
      </c>
      <c r="N531" s="129">
        <v>46189.427384259259</v>
      </c>
      <c r="O531" s="129"/>
      <c r="P531" s="129"/>
      <c r="Q531" s="127" t="s">
        <v>1251</v>
      </c>
      <c r="R531" s="127" t="s">
        <v>267</v>
      </c>
      <c r="S531" s="127" t="s">
        <v>179</v>
      </c>
      <c r="T531" s="127"/>
      <c r="U531" s="127" t="s">
        <v>371</v>
      </c>
      <c r="Z531" s="169">
        <f t="shared" ca="1" si="71"/>
        <v>6.0260416666642422</v>
      </c>
      <c r="AA531" s="170">
        <f t="shared" ca="1" si="72"/>
        <v>16.06944444443798</v>
      </c>
      <c r="AB531" s="169">
        <f t="shared" ca="1" si="73"/>
        <v>6.0260416666642422</v>
      </c>
      <c r="AC531" s="170">
        <f t="shared" ca="1" si="74"/>
        <v>16.06944444443798</v>
      </c>
      <c r="AD531" s="169" t="e">
        <f ca="1">MAX(0,IF(NOT(OR(G531=1,G531=2)),IF(#REF!&lt;&gt;"",((MAX(NETWORKDAYS(L531,#REF!,UKBankHolidays)-1,0))*(TIME(17,0,0)-TIME(8,0,0))+IF(NETWORKDAYS(#REF!,#REF!,UKBankHolidays)&gt;0,MEDIAN(TIME(8,0,0),MOD(#REF!,1),TIME(17,0,0)),TIME(8,0,0))-MEDIAN(TIME(8,0,0),MOD(L531,1),TIME(17,0,0))),((MAX(NETWORKDAYS(L531,NOW(),UKBankHolidays)-1,0))*(TIME(17,0,0)-TIME(8,0,0))+IF(NETWORKDAYS(NOW(),NOW(),UKBankHolidays)&gt;0,MEDIAN(TIME(8,0,0),MOD(NOW(),1),TIME(17,0,0)),TIME(8,0,0))-MEDIAN(TIME(8,0,0),MOD(L531,1),TIME(17,0,0)))),IF(#REF!&lt;&gt;"",#REF!-L531,NOW()-L531)))</f>
        <v>#REF!</v>
      </c>
      <c r="AE531" s="169">
        <f t="shared" ca="1" si="79"/>
        <v>31.008673263881068</v>
      </c>
      <c r="AF531" s="170">
        <f t="shared" ca="1" si="77"/>
        <v>82.689795370349515</v>
      </c>
      <c r="AG531" s="170">
        <f t="shared" ca="1" si="78"/>
        <v>82.689795370349515</v>
      </c>
      <c r="AH531" s="28" t="e" cm="1">
        <f t="array" aca="1" ref="AH531" ca="1">IF((AD531) &lt; (INDEX(ResponseSLA[#All],(MATCH((G531),ResponseSLA[Priority],0))+1,3)),"YES","No")</f>
        <v>#REF!</v>
      </c>
      <c r="AI531" s="28" t="str">
        <f ca="1">_xlfn.IFNA(IF(AE531 &lt; (INDEX(SLATable[Minimum SLA],MATCH(G531,SLATable[Priority],0))),"YES","NO"),"")</f>
        <v>NO</v>
      </c>
      <c r="AJ531" s="28" t="str">
        <f ca="1">_xlfn.IFNA(IF(AE531 &lt; (INDEX(SLATable[Maximum SLA],MATCH(G531,SLATable[Priority],0))),"YES","NO"),"")</f>
        <v>NO</v>
      </c>
    </row>
    <row r="532" spans="2:36" ht="15" customHeight="1">
      <c r="B532" s="127" t="s">
        <v>26</v>
      </c>
      <c r="C532" s="127" t="s">
        <v>35</v>
      </c>
      <c r="D532" s="127" t="s">
        <v>208</v>
      </c>
      <c r="E532" s="127" t="s">
        <v>1557</v>
      </c>
      <c r="F532" s="127" t="s">
        <v>303</v>
      </c>
      <c r="G532" s="127" t="s">
        <v>208</v>
      </c>
      <c r="H532" s="127" t="s">
        <v>1558</v>
      </c>
      <c r="I532" s="127" t="s">
        <v>271</v>
      </c>
      <c r="J532" s="127" t="s">
        <v>1454</v>
      </c>
      <c r="K532" s="129">
        <v>46164.399178240739</v>
      </c>
      <c r="L532" s="129">
        <v>46164.399178240739</v>
      </c>
      <c r="M532" s="129">
        <v>46167.463807870372</v>
      </c>
      <c r="N532" s="129">
        <v>46177.438703703701</v>
      </c>
      <c r="O532" s="129"/>
      <c r="P532" s="129"/>
      <c r="Q532" s="127" t="s">
        <v>1257</v>
      </c>
      <c r="R532" s="127" t="s">
        <v>267</v>
      </c>
      <c r="S532" s="127" t="s">
        <v>179</v>
      </c>
      <c r="T532" s="127"/>
      <c r="U532" s="127" t="s">
        <v>371</v>
      </c>
      <c r="Z532" s="169">
        <f t="shared" ca="1" si="71"/>
        <v>3.0395254629620472</v>
      </c>
      <c r="AA532" s="170">
        <f t="shared" ca="1" si="72"/>
        <v>8.1054012345654591</v>
      </c>
      <c r="AB532" s="169">
        <f t="shared" ca="1" si="73"/>
        <v>3.0395254629620472</v>
      </c>
      <c r="AC532" s="170">
        <f t="shared" ca="1" si="74"/>
        <v>8.1054012345654591</v>
      </c>
      <c r="AD532" s="169" t="e">
        <f ca="1">MAX(0,IF(NOT(OR(G532=1,G532=2)),IF(#REF!&lt;&gt;"",((MAX(NETWORKDAYS(L532,#REF!,UKBankHolidays)-1,0))*(TIME(17,0,0)-TIME(8,0,0))+IF(NETWORKDAYS(#REF!,#REF!,UKBankHolidays)&gt;0,MEDIAN(TIME(8,0,0),MOD(#REF!,1),TIME(17,0,0)),TIME(8,0,0))-MEDIAN(TIME(8,0,0),MOD(L532,1),TIME(17,0,0))),((MAX(NETWORKDAYS(L532,NOW(),UKBankHolidays)-1,0))*(TIME(17,0,0)-TIME(8,0,0))+IF(NETWORKDAYS(NOW(),NOW(),UKBankHolidays)&gt;0,MEDIAN(TIME(8,0,0),MOD(NOW(),1),TIME(17,0,0)),TIME(8,0,0))-MEDIAN(TIME(8,0,0),MOD(L532,1),TIME(17,0,0)))),IF(#REF!&lt;&gt;"",#REF!-L532,NOW()-L532)))</f>
        <v>#REF!</v>
      </c>
      <c r="AE532" s="169">
        <f t="shared" ca="1" si="79"/>
        <v>28.024321412034627</v>
      </c>
      <c r="AF532" s="170">
        <f t="shared" ca="1" si="77"/>
        <v>74.731523765425678</v>
      </c>
      <c r="AG532" s="170">
        <f t="shared" ca="1" si="78"/>
        <v>74.731523765425678</v>
      </c>
      <c r="AH532" s="28" t="e" cm="1">
        <f t="array" aca="1" ref="AH532" ca="1">IF((AD532) &lt; (INDEX(ResponseSLA[#All],(MATCH((G532),ResponseSLA[Priority],0))+1,3)),"YES","No")</f>
        <v>#REF!</v>
      </c>
      <c r="AI532" s="28" t="str">
        <f ca="1">_xlfn.IFNA(IF(AE532 &lt; (INDEX(SLATable[Minimum SLA],MATCH(G532,SLATable[Priority],0))),"YES","NO"),"")</f>
        <v>NO</v>
      </c>
      <c r="AJ532" s="28" t="str">
        <f ca="1">_xlfn.IFNA(IF(AE532 &lt; (INDEX(SLATable[Maximum SLA],MATCH(G532,SLATable[Priority],0))),"YES","NO"),"")</f>
        <v>NO</v>
      </c>
    </row>
    <row r="533" spans="2:36" ht="15" customHeight="1">
      <c r="B533" s="127" t="s">
        <v>26</v>
      </c>
      <c r="C533" s="127" t="s">
        <v>35</v>
      </c>
      <c r="D533" s="127" t="s">
        <v>207</v>
      </c>
      <c r="E533" s="127" t="s">
        <v>2171</v>
      </c>
      <c r="F533" s="127" t="s">
        <v>301</v>
      </c>
      <c r="G533" s="127">
        <v>1</v>
      </c>
      <c r="H533" s="127" t="s">
        <v>2172</v>
      </c>
      <c r="I533" s="127" t="s">
        <v>271</v>
      </c>
      <c r="J533" s="127" t="s">
        <v>1365</v>
      </c>
      <c r="K533" s="129">
        <v>46176.634282407409</v>
      </c>
      <c r="L533" s="129">
        <v>46176.634386574071</v>
      </c>
      <c r="M533" s="246">
        <v>46176.640960648147</v>
      </c>
      <c r="N533" s="129">
        <v>46176.715312499997</v>
      </c>
      <c r="O533" s="129"/>
      <c r="P533" s="129"/>
      <c r="Q533" s="127" t="s">
        <v>2173</v>
      </c>
      <c r="R533" s="127" t="s">
        <v>267</v>
      </c>
      <c r="S533" s="127" t="s">
        <v>149</v>
      </c>
      <c r="T533" s="127"/>
      <c r="U533" s="127" t="s">
        <v>371</v>
      </c>
      <c r="Z533" s="169">
        <f t="shared" ca="1" si="71"/>
        <v>8.1030092587752733E-2</v>
      </c>
      <c r="AA533" s="170">
        <f t="shared" ca="1" si="72"/>
        <v>0.21608024690067396</v>
      </c>
      <c r="AB533" s="169">
        <f t="shared" ca="1" si="73"/>
        <v>8.0925925925839692E-2</v>
      </c>
      <c r="AC533" s="170">
        <f t="shared" ca="1" si="74"/>
        <v>0.21580246913557252</v>
      </c>
      <c r="AD533" s="169">
        <f t="shared" ca="1" si="75"/>
        <v>6.5740740756154992E-3</v>
      </c>
      <c r="AE533" s="169">
        <f t="shared" ca="1" si="79"/>
        <v>8.0925925925839692E-2</v>
      </c>
      <c r="AF533" s="170">
        <f t="shared" ca="1" si="77"/>
        <v>0.21580246913557252</v>
      </c>
      <c r="AG533" s="170">
        <f t="shared" ca="1" si="78"/>
        <v>0.21580246913557252</v>
      </c>
      <c r="AH533" s="28" t="str" cm="1">
        <f t="array" aca="1" ref="AH533" ca="1">IF((AD533) &lt; (INDEX(ResponseSLA[#All],(MATCH((G533),ResponseSLA[Priority],0))+1,3)),"YES","No")</f>
        <v>No</v>
      </c>
      <c r="AI533" s="28" t="str">
        <f ca="1">_xlfn.IFNA(IF(AE533 &lt; (INDEX(SLATable[Minimum SLA],MATCH(G533,SLATable[Priority],0))),"YES","NO"),"")</f>
        <v>NO</v>
      </c>
      <c r="AJ533" s="28" t="str">
        <f ca="1">_xlfn.IFNA(IF(AE533 &lt; (INDEX(SLATable[Maximum SLA],MATCH(G533,SLATable[Priority],0))),"YES","NO"),"")</f>
        <v>YES</v>
      </c>
    </row>
    <row r="534" spans="2:36" ht="15" customHeight="1">
      <c r="B534" s="127" t="s">
        <v>26</v>
      </c>
      <c r="C534" s="127" t="s">
        <v>35</v>
      </c>
      <c r="D534" s="256" t="s">
        <v>208</v>
      </c>
      <c r="E534" s="127" t="s">
        <v>2174</v>
      </c>
      <c r="F534" s="127" t="s">
        <v>289</v>
      </c>
      <c r="G534" s="127" t="s">
        <v>208</v>
      </c>
      <c r="H534" s="127" t="s">
        <v>2175</v>
      </c>
      <c r="I534" s="127" t="s">
        <v>1175</v>
      </c>
      <c r="J534" s="127" t="s">
        <v>1120</v>
      </c>
      <c r="K534" s="129">
        <v>46192.428472222222</v>
      </c>
      <c r="L534" s="129">
        <v>46192.663194444445</v>
      </c>
      <c r="M534" s="129">
        <v>46195.550694444442</v>
      </c>
      <c r="N534" s="129"/>
      <c r="O534" s="131"/>
      <c r="P534" s="131"/>
      <c r="Q534" s="127" t="s">
        <v>695</v>
      </c>
      <c r="R534" s="127"/>
      <c r="S534" s="127"/>
      <c r="T534" s="127"/>
      <c r="U534" s="127" t="s">
        <v>371</v>
      </c>
      <c r="Z534" s="169">
        <f t="shared" ref="Z534:Z593" ca="1" si="80">IF(NOT(OR(G534=1,G534=2)),MAX(0,_xlfn.IFS(AND(K534&lt;&gt;"",N534&lt;&gt;""),((MAX(NETWORKDAYS(K534,N534,UKBankHolidays)-1,0))*(TIME(17,0,0)-TIME(8,0,0))+IF(NETWORKDAYS(N534,N534,UKBankHolidays)&gt;0,MEDIAN(TIME(8,0,0),MOD(N534,1),TIME(17,0,0)),TIME(8,0,0))-IF(NETWORKDAYS(K534,K534,UKBankHolidays)&gt;0,MEDIAN(TIME(8,0,0),MOD(K534,1),TIME(17,0,0)),TIME(8,0,0)))-IF(AND(O534&lt;&gt;"",P534&lt;&gt;""),((MAX(NETWORKDAYS(O534,P534,UKBankHolidays)-1,0))*(TIME(17,0,0)-TIME(8,0,0))+IF(NETWORKDAYS(P534,P534,UKBankHolidays)&gt;0,MEDIAN(TIME(8,0,0),MOD(P534,1),TIME(17,0,0)),TIME(8,0,0))-IF(NETWORKDAYS(O534,O534,UKBankHolidays)&gt;0,MEDIAN(TIME(8,0,0),MOD(O534,1),TIME(17,0,0)),TIME(8,0,0))),0),AND(K534&lt;&gt;"",N534=""),((MAX(NETWORKDAYS(K534,NOW(),UKBankHolidays)-1,0))*(TIME(17,0,0)-TIME(8,0,0))+IF(NETWORKDAYS(NOW(),NOW(),UKBankHolidays)&gt;0,MEDIAN(TIME(8,0,0),MOD(NOW(),1),TIME(17,0,0)),TIME(8,0,0))-IF(NETWORKDAYS(K534,K534,UKBankHolidays)&gt;0,MEDIAN(TIME(8,0,0),MOD(K534,1),TIME(17,0,0)),TIME(8,0,0))))),IF(N534="",NOW()-K534,N534-K534))</f>
        <v>17.830501967589957</v>
      </c>
      <c r="AA534" s="170">
        <f t="shared" ref="AA534:AA593" ca="1" si="81">(Z534*24)/9</f>
        <v>47.548005246906555</v>
      </c>
      <c r="AB534" s="169">
        <f t="shared" ref="AB534:AB593" ca="1" si="82">IF(NOT(OR(G534=1,G534=2)),MAX(0,_xlfn.IFS(AND(K534&lt;&gt;"",N534&lt;&gt;""),(((MAX(NETWORKDAYS(L534,N534,UKBankHolidays)-1,0))*(TIME(17,0,0)-TIME(8,0,0)))+IF(NETWORKDAYS(N534,N534,UKBankHolidays)&gt;0,MEDIAN(TIME(8,0,0),MOD(N534,1),TIME(17,0,0)),TIME(8,0,0))-IF(NETWORKDAYS(L534,L534,UKBankHolidays)&gt;0,MEDIAN(TIME(8,0,0),MOD(L534,1),TIME(17,0,0)),TIME(8,0,0)))-IF(AND(O534&lt;&gt;"",P534&lt;&gt;""),(((MAX(NETWORKDAYS(O534,P534,UKBankHolidays)-1,0))*(TIME(17,0,0)-TIME(8,0,0)))+IF(NETWORKDAYS(P534,P534,UKBankHolidays)&gt;0,MEDIAN(TIME(8,0,0),MOD(P534,1),TIME(17,0,0)),TIME(8,0,0))-IF(NETWORKDAYS(O534,O534,UKBankHolidays)&gt;0,MEDIAN(TIME(8,0,0),MOD(O534,1),TIME(17,0,0)),TIME(8,0,0))),0),AND(L534&lt;&gt;"",N534="",O534=""),(((MAX(NETWORKDAYS(L534,NOW(),UKBankHolidays)-1,0))*(TIME(17,0,0)-TIME(8,0,0)))+IF(NETWORKDAYS(NOW(),NOW(),UKBankHolidays)&gt;0,MEDIAN(TIME(8,0,0),MOD(NOW(),1),TIME(17,0,0)),TIME(8,0,0))-IF(NETWORKDAYS(L534,L534,UKBankHolidays)&gt;0,MEDIAN(TIME(8,0,0),MOD(L534,1),TIME(17,0,0)),TIME(8,0,0)))-IF(AND(O534&lt;&gt;"",P534&lt;&gt;""),(((MAX(NETWORKDAYS(O534,P534,UKBankHolidays)-1,0))*(TIME(17,0,0)-TIME(8,0,0)))+IF(NETWORKDAYS(P534,P534,UKBankHolidays)&gt;0,MEDIAN(TIME(8,0,0),MOD(P534,1),TIME(17,0,0)),TIME(8,0,0))-IF(NETWORKDAYS(O534,O534,UKBankHolidays)&gt;0,MEDIAN(TIME(8,0,0),MOD(O534,1),TIME(17,0,0)),TIME(8,0,0))),0),AND(L534&lt;&gt;"",N534="",P534="",O534&lt;&gt;""),(((MAX(NETWORKDAYS(L534,O534,UKBankHolidays)-1,0))*(TIME(17,0,0)-TIME(8,0,0)))+IF(NETWORKDAYS(O534,O534,UKBankHolidays)&gt;0,MEDIAN(TIME(8,0,0),MOD(O534,1),TIME(17,0,0)),TIME(8,0,0))-IF(NETWORKDAYS(L534,L534,UKBankHolidays)&gt;0,MEDIAN(TIME(8,0,0),MOD(L534,1),TIME(17,0,0)),TIME(8,0,0))),ISBLANK(K534),"0")),IF(ISBLANK(N534),NOW()-L534,N534-L534))</f>
        <v>17.595779745366602</v>
      </c>
      <c r="AC534" s="170">
        <f t="shared" ref="AC534:AC593" ca="1" si="83">(AB534*24)/9</f>
        <v>46.922079320977609</v>
      </c>
      <c r="AD534" s="169">
        <f t="shared" ref="AD534:AD593" ca="1" si="84">MAX(0,IF(NOT(OR(G534=1,G534=2)),IF(M534&lt;&gt;"",((MAX(NETWORKDAYS(L534,M534,UKBankHolidays)-1,0))*(TIME(17,0,0)-TIME(8,0,0))+IF(NETWORKDAYS(M534,M534,UKBankHolidays)&gt;0,MEDIAN(TIME(8,0,0),MOD(M534,1),TIME(17,0,0)),TIME(8,0,0))-MEDIAN(TIME(8,0,0),MOD(L534,1),TIME(17,0,0))),((MAX(NETWORKDAYS(L534,NOW(),UKBankHolidays)-1,0))*(TIME(17,0,0)-TIME(8,0,0))+IF(NETWORKDAYS(NOW(),NOW(),UKBankHolidays)&gt;0,MEDIAN(TIME(8,0,0),MOD(NOW(),1),TIME(17,0,0)),TIME(8,0,0))-MEDIAN(TIME(8,0,0),MOD(L534,1),TIME(17,0,0)))),IF(M534&lt;&gt;"",M534-L534,NOW()-L534)))</f>
        <v>0.26249999999708962</v>
      </c>
      <c r="AE534" s="169">
        <f t="shared" ca="1" si="79"/>
        <v>17.595779745366602</v>
      </c>
      <c r="AF534" s="170">
        <f t="shared" ref="AF534:AF593" ca="1" si="85">(AE534*24)/9</f>
        <v>46.922079320977609</v>
      </c>
      <c r="AG534" s="170">
        <f t="shared" ref="AG534:AG593" ca="1" si="86">AF534</f>
        <v>46.922079320977609</v>
      </c>
      <c r="AH534" s="28" t="str" cm="1">
        <f t="array" aca="1" ref="AH534" ca="1">IF((AD534) &lt; (INDEX(ResponseSLA[#All],(MATCH((G534),ResponseSLA[Priority],0))+1,3)),"YES","No")</f>
        <v>YES</v>
      </c>
      <c r="AI534" s="28" t="str">
        <f ca="1">_xlfn.IFNA(IF(AE534 &lt; (INDEX(SLATable[Minimum SLA],MATCH(G534,SLATable[Priority],0))),"YES","NO"),"")</f>
        <v>NO</v>
      </c>
      <c r="AJ534" s="28" t="str">
        <f ca="1">_xlfn.IFNA(IF(AE534 &lt; (INDEX(SLATable[Maximum SLA],MATCH(G534,SLATable[Priority],0))),"YES","NO"),"")</f>
        <v>NO</v>
      </c>
    </row>
    <row r="535" spans="2:36" ht="15" customHeight="1">
      <c r="B535" s="127" t="s">
        <v>26</v>
      </c>
      <c r="C535" s="127" t="s">
        <v>35</v>
      </c>
      <c r="D535" s="256" t="s">
        <v>208</v>
      </c>
      <c r="E535" s="127" t="s">
        <v>2176</v>
      </c>
      <c r="F535" s="127" t="s">
        <v>289</v>
      </c>
      <c r="G535" s="127" t="s">
        <v>208</v>
      </c>
      <c r="H535" s="127" t="s">
        <v>2177</v>
      </c>
      <c r="I535" s="127" t="s">
        <v>271</v>
      </c>
      <c r="J535" s="127" t="s">
        <v>1092</v>
      </c>
      <c r="K535" s="129">
        <v>46202.270833333336</v>
      </c>
      <c r="L535" s="129">
        <v>46202.270833333336</v>
      </c>
      <c r="M535" s="129">
        <v>46202.352083333331</v>
      </c>
      <c r="N535" s="129"/>
      <c r="O535" s="131"/>
      <c r="P535" s="131"/>
      <c r="Q535" s="127" t="s">
        <v>2178</v>
      </c>
      <c r="R535" s="127"/>
      <c r="S535" s="127"/>
      <c r="T535" s="127"/>
      <c r="U535" s="127" t="s">
        <v>371</v>
      </c>
      <c r="Z535" s="169">
        <f t="shared" ca="1" si="80"/>
        <v>15.675640856478518</v>
      </c>
      <c r="AA535" s="170">
        <f t="shared" ca="1" si="81"/>
        <v>41.801708950609381</v>
      </c>
      <c r="AB535" s="169">
        <f t="shared" ca="1" si="82"/>
        <v>15.675640856478518</v>
      </c>
      <c r="AC535" s="170">
        <f t="shared" ca="1" si="83"/>
        <v>41.801708950609381</v>
      </c>
      <c r="AD535" s="169">
        <f t="shared" ca="1" si="84"/>
        <v>1.8749999998059763E-2</v>
      </c>
      <c r="AE535" s="169">
        <f t="shared" ca="1" si="79"/>
        <v>15.675640856478518</v>
      </c>
      <c r="AF535" s="170">
        <f t="shared" ca="1" si="85"/>
        <v>41.801708950609381</v>
      </c>
      <c r="AG535" s="170">
        <f t="shared" ca="1" si="86"/>
        <v>41.801708950609381</v>
      </c>
      <c r="AH535" s="28" t="str" cm="1">
        <f t="array" aca="1" ref="AH535" ca="1">IF((AD535) &lt; (INDEX(ResponseSLA[#All],(MATCH((G535),ResponseSLA[Priority],0))+1,3)),"YES","No")</f>
        <v>YES</v>
      </c>
      <c r="AI535" s="28" t="str">
        <f ca="1">_xlfn.IFNA(IF(AE535 &lt; (INDEX(SLATable[Minimum SLA],MATCH(G535,SLATable[Priority],0))),"YES","NO"),"")</f>
        <v>NO</v>
      </c>
      <c r="AJ535" s="28" t="str">
        <f ca="1">_xlfn.IFNA(IF(AE535 &lt; (INDEX(SLATable[Maximum SLA],MATCH(G535,SLATable[Priority],0))),"YES","NO"),"")</f>
        <v>NO</v>
      </c>
    </row>
    <row r="536" spans="2:36" ht="15" customHeight="1">
      <c r="B536" s="127" t="s">
        <v>26</v>
      </c>
      <c r="C536" s="127" t="s">
        <v>35</v>
      </c>
      <c r="D536" s="256" t="s">
        <v>208</v>
      </c>
      <c r="E536" s="127" t="s">
        <v>2179</v>
      </c>
      <c r="F536" s="127" t="s">
        <v>289</v>
      </c>
      <c r="G536" s="127" t="s">
        <v>208</v>
      </c>
      <c r="H536" s="127" t="s">
        <v>2180</v>
      </c>
      <c r="I536" s="127" t="s">
        <v>271</v>
      </c>
      <c r="J536" s="127" t="s">
        <v>1092</v>
      </c>
      <c r="K536" s="129">
        <v>46202.270833333336</v>
      </c>
      <c r="L536" s="129">
        <v>46202.270833333336</v>
      </c>
      <c r="M536" s="129">
        <v>46202.352777777778</v>
      </c>
      <c r="N536" s="129"/>
      <c r="O536" s="131"/>
      <c r="P536" s="131"/>
      <c r="Q536" s="127" t="s">
        <v>1062</v>
      </c>
      <c r="R536" s="127"/>
      <c r="S536" s="127"/>
      <c r="T536" s="127"/>
      <c r="U536" s="127" t="s">
        <v>371</v>
      </c>
      <c r="Z536" s="169">
        <f t="shared" ca="1" si="80"/>
        <v>15.675640856478518</v>
      </c>
      <c r="AA536" s="170">
        <f t="shared" ca="1" si="81"/>
        <v>41.801708950609381</v>
      </c>
      <c r="AB536" s="169">
        <f t="shared" ca="1" si="82"/>
        <v>15.675640856478518</v>
      </c>
      <c r="AC536" s="170">
        <f t="shared" ca="1" si="83"/>
        <v>41.801708950609381</v>
      </c>
      <c r="AD536" s="169">
        <f t="shared" ca="1" si="84"/>
        <v>1.9444444444767839E-2</v>
      </c>
      <c r="AE536" s="169">
        <f t="shared" ca="1" si="79"/>
        <v>15.675640856478518</v>
      </c>
      <c r="AF536" s="170">
        <f t="shared" ca="1" si="85"/>
        <v>41.801708950609381</v>
      </c>
      <c r="AG536" s="170">
        <f t="shared" ca="1" si="86"/>
        <v>41.801708950609381</v>
      </c>
      <c r="AH536" s="28" t="str" cm="1">
        <f t="array" aca="1" ref="AH536" ca="1">IF((AD536) &lt; (INDEX(ResponseSLA[#All],(MATCH((G536),ResponseSLA[Priority],0))+1,3)),"YES","No")</f>
        <v>YES</v>
      </c>
      <c r="AI536" s="28" t="str">
        <f ca="1">_xlfn.IFNA(IF(AE536 &lt; (INDEX(SLATable[Minimum SLA],MATCH(G536,SLATable[Priority],0))),"YES","NO"),"")</f>
        <v>NO</v>
      </c>
      <c r="AJ536" s="28" t="str">
        <f ca="1">_xlfn.IFNA(IF(AE536 &lt; (INDEX(SLATable[Maximum SLA],MATCH(G536,SLATable[Priority],0))),"YES","NO"),"")</f>
        <v>NO</v>
      </c>
    </row>
    <row r="537" spans="2:36" ht="15" customHeight="1">
      <c r="B537" s="127" t="s">
        <v>26</v>
      </c>
      <c r="C537" s="127" t="s">
        <v>35</v>
      </c>
      <c r="D537" s="256" t="s">
        <v>208</v>
      </c>
      <c r="E537" s="127" t="s">
        <v>2181</v>
      </c>
      <c r="F537" s="127" t="s">
        <v>295</v>
      </c>
      <c r="G537" s="127" t="s">
        <v>208</v>
      </c>
      <c r="H537" s="127" t="s">
        <v>2182</v>
      </c>
      <c r="I537" s="127" t="s">
        <v>271</v>
      </c>
      <c r="J537" s="127" t="s">
        <v>1092</v>
      </c>
      <c r="K537" s="129">
        <v>46202.260416666664</v>
      </c>
      <c r="L537" s="129">
        <v>46202.260416666664</v>
      </c>
      <c r="M537" s="129">
        <v>46202.342361111114</v>
      </c>
      <c r="N537" s="129"/>
      <c r="O537" s="131"/>
      <c r="P537" s="131"/>
      <c r="Q537" s="127" t="s">
        <v>1211</v>
      </c>
      <c r="R537" s="127"/>
      <c r="S537" s="127"/>
      <c r="T537" s="127"/>
      <c r="U537" s="127" t="s">
        <v>371</v>
      </c>
      <c r="Z537" s="169">
        <f t="shared" ca="1" si="80"/>
        <v>15.675640856478518</v>
      </c>
      <c r="AA537" s="170">
        <f t="shared" ca="1" si="81"/>
        <v>41.801708950609381</v>
      </c>
      <c r="AB537" s="169">
        <f t="shared" ca="1" si="82"/>
        <v>15.675640856478518</v>
      </c>
      <c r="AC537" s="170">
        <f t="shared" ca="1" si="83"/>
        <v>41.801708950609381</v>
      </c>
      <c r="AD537" s="169">
        <f t="shared" ca="1" si="84"/>
        <v>9.0277777805264914E-3</v>
      </c>
      <c r="AE537" s="169">
        <f t="shared" ca="1" si="79"/>
        <v>15.675640856478518</v>
      </c>
      <c r="AF537" s="170">
        <f t="shared" ca="1" si="85"/>
        <v>41.801708950609381</v>
      </c>
      <c r="AG537" s="170">
        <f t="shared" ca="1" si="86"/>
        <v>41.801708950609381</v>
      </c>
      <c r="AH537" s="28" t="str" cm="1">
        <f t="array" aca="1" ref="AH537" ca="1">IF((AD537) &lt; (INDEX(ResponseSLA[#All],(MATCH((G537),ResponseSLA[Priority],0))+1,3)),"YES","No")</f>
        <v>YES</v>
      </c>
      <c r="AI537" s="28" t="str">
        <f ca="1">_xlfn.IFNA(IF(AE537 &lt; (INDEX(SLATable[Minimum SLA],MATCH(G537,SLATable[Priority],0))),"YES","NO"),"")</f>
        <v>NO</v>
      </c>
      <c r="AJ537" s="28" t="str">
        <f ca="1">_xlfn.IFNA(IF(AE537 &lt; (INDEX(SLATable[Maximum SLA],MATCH(G537,SLATable[Priority],0))),"YES","NO"),"")</f>
        <v>NO</v>
      </c>
    </row>
    <row r="538" spans="2:36" ht="15" customHeight="1">
      <c r="B538" s="127" t="s">
        <v>26</v>
      </c>
      <c r="C538" s="127" t="s">
        <v>35</v>
      </c>
      <c r="D538" s="256" t="s">
        <v>208</v>
      </c>
      <c r="E538" s="127" t="s">
        <v>2183</v>
      </c>
      <c r="F538" s="127" t="s">
        <v>292</v>
      </c>
      <c r="G538" s="127" t="s">
        <v>208</v>
      </c>
      <c r="H538" s="127" t="s">
        <v>2184</v>
      </c>
      <c r="I538" s="127" t="s">
        <v>271</v>
      </c>
      <c r="J538" s="127" t="s">
        <v>1092</v>
      </c>
      <c r="K538" s="129">
        <v>46202.270138888889</v>
      </c>
      <c r="L538" s="129">
        <v>46202.270138888889</v>
      </c>
      <c r="M538" s="129">
        <v>46202.344444444447</v>
      </c>
      <c r="N538" s="129"/>
      <c r="O538" s="131"/>
      <c r="P538" s="131"/>
      <c r="Q538" s="127" t="s">
        <v>1605</v>
      </c>
      <c r="R538" s="127"/>
      <c r="S538" s="127"/>
      <c r="T538" s="127"/>
      <c r="U538" s="127" t="s">
        <v>371</v>
      </c>
      <c r="Z538" s="169">
        <f t="shared" ca="1" si="80"/>
        <v>15.675640856478518</v>
      </c>
      <c r="AA538" s="170">
        <f t="shared" ca="1" si="81"/>
        <v>41.801708950609381</v>
      </c>
      <c r="AB538" s="169">
        <f t="shared" ca="1" si="82"/>
        <v>15.675640856478518</v>
      </c>
      <c r="AC538" s="170">
        <f t="shared" ca="1" si="83"/>
        <v>41.801708950609381</v>
      </c>
      <c r="AD538" s="169">
        <f t="shared" ca="1" si="84"/>
        <v>1.1111111113374761E-2</v>
      </c>
      <c r="AE538" s="169">
        <f t="shared" ca="1" si="79"/>
        <v>15.675640856478518</v>
      </c>
      <c r="AF538" s="170">
        <f t="shared" ca="1" si="85"/>
        <v>41.801708950609381</v>
      </c>
      <c r="AG538" s="170">
        <f t="shared" ca="1" si="86"/>
        <v>41.801708950609381</v>
      </c>
      <c r="AH538" s="28" t="str" cm="1">
        <f t="array" aca="1" ref="AH538" ca="1">IF((AD538) &lt; (INDEX(ResponseSLA[#All],(MATCH((G538),ResponseSLA[Priority],0))+1,3)),"YES","No")</f>
        <v>YES</v>
      </c>
      <c r="AI538" s="28" t="str">
        <f ca="1">_xlfn.IFNA(IF(AE538 &lt; (INDEX(SLATable[Minimum SLA],MATCH(G538,SLATable[Priority],0))),"YES","NO"),"")</f>
        <v>NO</v>
      </c>
      <c r="AJ538" s="28" t="str">
        <f ca="1">_xlfn.IFNA(IF(AE538 &lt; (INDEX(SLATable[Maximum SLA],MATCH(G538,SLATable[Priority],0))),"YES","NO"),"")</f>
        <v>NO</v>
      </c>
    </row>
    <row r="539" spans="2:36" ht="15" customHeight="1">
      <c r="B539" s="127" t="s">
        <v>26</v>
      </c>
      <c r="C539" s="127" t="s">
        <v>35</v>
      </c>
      <c r="D539" s="256" t="s">
        <v>208</v>
      </c>
      <c r="E539" s="127" t="s">
        <v>2185</v>
      </c>
      <c r="F539" s="127" t="s">
        <v>289</v>
      </c>
      <c r="G539" s="127" t="s">
        <v>208</v>
      </c>
      <c r="H539" s="127" t="s">
        <v>2186</v>
      </c>
      <c r="I539" s="127" t="s">
        <v>271</v>
      </c>
      <c r="J539" s="127" t="s">
        <v>1092</v>
      </c>
      <c r="K539" s="129">
        <v>46202.270833333336</v>
      </c>
      <c r="L539" s="129">
        <v>46202.270833333336</v>
      </c>
      <c r="M539" s="129">
        <v>46202.353472222225</v>
      </c>
      <c r="N539" s="129"/>
      <c r="O539" s="131"/>
      <c r="P539" s="131"/>
      <c r="Q539" s="127" t="s">
        <v>1879</v>
      </c>
      <c r="R539" s="127"/>
      <c r="S539" s="127"/>
      <c r="T539" s="127"/>
      <c r="U539" s="127" t="s">
        <v>371</v>
      </c>
      <c r="Z539" s="169">
        <f t="shared" ca="1" si="80"/>
        <v>15.675640856478518</v>
      </c>
      <c r="AA539" s="170">
        <f t="shared" ca="1" si="81"/>
        <v>41.801708950609381</v>
      </c>
      <c r="AB539" s="169">
        <f t="shared" ca="1" si="82"/>
        <v>15.675640856478518</v>
      </c>
      <c r="AC539" s="170">
        <f t="shared" ca="1" si="83"/>
        <v>41.801708950609381</v>
      </c>
      <c r="AD539" s="169">
        <f t="shared" ca="1" si="84"/>
        <v>2.0138888891475915E-2</v>
      </c>
      <c r="AE539" s="169">
        <f t="shared" ca="1" si="79"/>
        <v>15.675640856478518</v>
      </c>
      <c r="AF539" s="170">
        <f t="shared" ca="1" si="85"/>
        <v>41.801708950609381</v>
      </c>
      <c r="AG539" s="170">
        <f t="shared" ca="1" si="86"/>
        <v>41.801708950609381</v>
      </c>
      <c r="AH539" s="28" t="str" cm="1">
        <f t="array" aca="1" ref="AH539" ca="1">IF((AD539) &lt; (INDEX(ResponseSLA[#All],(MATCH((G539),ResponseSLA[Priority],0))+1,3)),"YES","No")</f>
        <v>YES</v>
      </c>
      <c r="AI539" s="28" t="str">
        <f ca="1">_xlfn.IFNA(IF(AE539 &lt; (INDEX(SLATable[Minimum SLA],MATCH(G539,SLATable[Priority],0))),"YES","NO"),"")</f>
        <v>NO</v>
      </c>
      <c r="AJ539" s="28" t="str">
        <f ca="1">_xlfn.IFNA(IF(AE539 &lt; (INDEX(SLATable[Maximum SLA],MATCH(G539,SLATable[Priority],0))),"YES","NO"),"")</f>
        <v>NO</v>
      </c>
    </row>
    <row r="540" spans="2:36" ht="15" customHeight="1">
      <c r="B540" s="127" t="s">
        <v>26</v>
      </c>
      <c r="C540" s="127" t="s">
        <v>35</v>
      </c>
      <c r="D540" s="256" t="s">
        <v>208</v>
      </c>
      <c r="E540" s="127" t="s">
        <v>2187</v>
      </c>
      <c r="F540" s="127" t="s">
        <v>289</v>
      </c>
      <c r="G540" s="127" t="s">
        <v>208</v>
      </c>
      <c r="H540" s="127" t="s">
        <v>2188</v>
      </c>
      <c r="I540" s="127" t="s">
        <v>271</v>
      </c>
      <c r="J540" s="127" t="s">
        <v>1092</v>
      </c>
      <c r="K540" s="129">
        <v>46202.265972222223</v>
      </c>
      <c r="L540" s="129">
        <v>46202.265972222223</v>
      </c>
      <c r="M540" s="129">
        <v>46202.356944444444</v>
      </c>
      <c r="N540" s="129"/>
      <c r="O540" s="131"/>
      <c r="P540" s="131"/>
      <c r="Q540" s="127" t="s">
        <v>2189</v>
      </c>
      <c r="R540" s="127"/>
      <c r="S540" s="127"/>
      <c r="T540" s="127"/>
      <c r="U540" s="127" t="s">
        <v>371</v>
      </c>
      <c r="Z540" s="169">
        <f t="shared" ca="1" si="80"/>
        <v>15.675640856478518</v>
      </c>
      <c r="AA540" s="170">
        <f t="shared" ca="1" si="81"/>
        <v>41.801708950609381</v>
      </c>
      <c r="AB540" s="169">
        <f t="shared" ca="1" si="82"/>
        <v>15.675640856478518</v>
      </c>
      <c r="AC540" s="170">
        <f t="shared" ca="1" si="83"/>
        <v>41.801708950609381</v>
      </c>
      <c r="AD540" s="169">
        <f t="shared" ca="1" si="84"/>
        <v>2.3611111110464378E-2</v>
      </c>
      <c r="AE540" s="169">
        <f t="shared" ca="1" si="79"/>
        <v>15.675640856478518</v>
      </c>
      <c r="AF540" s="170">
        <f t="shared" ca="1" si="85"/>
        <v>41.801708950609381</v>
      </c>
      <c r="AG540" s="170">
        <f t="shared" ca="1" si="86"/>
        <v>41.801708950609381</v>
      </c>
      <c r="AH540" s="28" t="str" cm="1">
        <f t="array" aca="1" ref="AH540" ca="1">IF((AD540) &lt; (INDEX(ResponseSLA[#All],(MATCH((G540),ResponseSLA[Priority],0))+1,3)),"YES","No")</f>
        <v>YES</v>
      </c>
      <c r="AI540" s="28" t="str">
        <f ca="1">_xlfn.IFNA(IF(AE540 &lt; (INDEX(SLATable[Minimum SLA],MATCH(G540,SLATable[Priority],0))),"YES","NO"),"")</f>
        <v>NO</v>
      </c>
      <c r="AJ540" s="28" t="str">
        <f ca="1">_xlfn.IFNA(IF(AE540 &lt; (INDEX(SLATable[Maximum SLA],MATCH(G540,SLATable[Priority],0))),"YES","NO"),"")</f>
        <v>NO</v>
      </c>
    </row>
    <row r="541" spans="2:36" ht="15" customHeight="1">
      <c r="B541" s="127" t="s">
        <v>26</v>
      </c>
      <c r="C541" s="127" t="s">
        <v>35</v>
      </c>
      <c r="D541" s="256" t="s">
        <v>208</v>
      </c>
      <c r="E541" s="127" t="s">
        <v>2190</v>
      </c>
      <c r="F541" s="127" t="s">
        <v>289</v>
      </c>
      <c r="G541" s="127" t="s">
        <v>208</v>
      </c>
      <c r="H541" s="127" t="s">
        <v>1266</v>
      </c>
      <c r="I541" s="127" t="s">
        <v>271</v>
      </c>
      <c r="J541" s="127" t="s">
        <v>1092</v>
      </c>
      <c r="K541" s="129">
        <v>46202.706944444442</v>
      </c>
      <c r="L541" s="129">
        <v>46202.72152777778</v>
      </c>
      <c r="M541" s="129">
        <v>46203.384027777778</v>
      </c>
      <c r="N541" s="129"/>
      <c r="O541" s="131">
        <v>46203.457638888889</v>
      </c>
      <c r="P541" s="131"/>
      <c r="Q541" s="127" t="s">
        <v>2191</v>
      </c>
      <c r="R541" s="127"/>
      <c r="S541" s="127"/>
      <c r="T541" s="127"/>
      <c r="U541" s="127" t="s">
        <v>371</v>
      </c>
      <c r="Z541" s="169">
        <f t="shared" ca="1" si="80"/>
        <v>15.302029745369509</v>
      </c>
      <c r="AA541" s="170">
        <f t="shared" ca="1" si="81"/>
        <v>40.805412654318694</v>
      </c>
      <c r="AB541" s="169">
        <f t="shared" ca="1" si="82"/>
        <v>0.12430555555571721</v>
      </c>
      <c r="AC541" s="170">
        <f t="shared" ca="1" si="83"/>
        <v>0.33148148148191253</v>
      </c>
      <c r="AD541" s="169">
        <f t="shared" ca="1" si="84"/>
        <v>5.0694444444767783E-2</v>
      </c>
      <c r="AE541" s="169">
        <f t="shared" ca="1" si="79"/>
        <v>1.003217592592895</v>
      </c>
      <c r="AF541" s="170">
        <f t="shared" ca="1" si="85"/>
        <v>2.6752469135810535</v>
      </c>
      <c r="AG541" s="170">
        <f t="shared" ca="1" si="86"/>
        <v>2.6752469135810535</v>
      </c>
      <c r="AH541" s="28" t="str" cm="1">
        <f t="array" aca="1" ref="AH541" ca="1">IF((AD541) &lt; (INDEX(ResponseSLA[#All],(MATCH((G541),ResponseSLA[Priority],0))+1,3)),"YES","No")</f>
        <v>YES</v>
      </c>
      <c r="AI541" s="28" t="str">
        <f ca="1">_xlfn.IFNA(IF(AE541 &lt; (INDEX(SLATable[Minimum SLA],MATCH(G541,SLATable[Priority],0))),"YES","NO"),"")</f>
        <v>NO</v>
      </c>
      <c r="AJ541" s="28" t="str">
        <f ca="1">_xlfn.IFNA(IF(AE541 &lt; (INDEX(SLATable[Maximum SLA],MATCH(G541,SLATable[Priority],0))),"YES","NO"),"")</f>
        <v>NO</v>
      </c>
    </row>
    <row r="542" spans="2:36" ht="15" customHeight="1">
      <c r="B542" s="127" t="s">
        <v>26</v>
      </c>
      <c r="C542" s="127" t="s">
        <v>35</v>
      </c>
      <c r="D542" s="256" t="s">
        <v>208</v>
      </c>
      <c r="E542" s="127" t="s">
        <v>2192</v>
      </c>
      <c r="F542" s="127" t="s">
        <v>295</v>
      </c>
      <c r="G542" s="127" t="s">
        <v>208</v>
      </c>
      <c r="H542" s="127" t="s">
        <v>2193</v>
      </c>
      <c r="I542" s="127" t="s">
        <v>271</v>
      </c>
      <c r="J542" s="127" t="s">
        <v>1092</v>
      </c>
      <c r="K542" s="129">
        <v>46202.257638888892</v>
      </c>
      <c r="L542" s="129">
        <v>46202.257638888892</v>
      </c>
      <c r="M542" s="129">
        <v>46202.341666666667</v>
      </c>
      <c r="N542" s="129"/>
      <c r="O542" s="131"/>
      <c r="P542" s="131"/>
      <c r="Q542" s="127" t="s">
        <v>1137</v>
      </c>
      <c r="R542" s="127"/>
      <c r="S542" s="127"/>
      <c r="T542" s="127"/>
      <c r="U542" s="127" t="s">
        <v>371</v>
      </c>
      <c r="Z542" s="169">
        <f t="shared" ca="1" si="80"/>
        <v>15.675640856478518</v>
      </c>
      <c r="AA542" s="170">
        <f t="shared" ca="1" si="81"/>
        <v>41.801708950609381</v>
      </c>
      <c r="AB542" s="169">
        <f t="shared" ca="1" si="82"/>
        <v>15.675640856478518</v>
      </c>
      <c r="AC542" s="170">
        <f t="shared" ca="1" si="83"/>
        <v>41.801708950609381</v>
      </c>
      <c r="AD542" s="169">
        <f t="shared" ca="1" si="84"/>
        <v>8.3333333338184157E-3</v>
      </c>
      <c r="AE542" s="169">
        <f t="shared" ca="1" si="79"/>
        <v>15.675640856478518</v>
      </c>
      <c r="AF542" s="170">
        <f t="shared" ca="1" si="85"/>
        <v>41.801708950609381</v>
      </c>
      <c r="AG542" s="170">
        <f t="shared" ca="1" si="86"/>
        <v>41.801708950609381</v>
      </c>
      <c r="AH542" s="28" t="str" cm="1">
        <f t="array" aca="1" ref="AH542" ca="1">IF((AD542) &lt; (INDEX(ResponseSLA[#All],(MATCH((G542),ResponseSLA[Priority],0))+1,3)),"YES","No")</f>
        <v>YES</v>
      </c>
      <c r="AI542" s="28" t="str">
        <f ca="1">_xlfn.IFNA(IF(AE542 &lt; (INDEX(SLATable[Minimum SLA],MATCH(G542,SLATable[Priority],0))),"YES","NO"),"")</f>
        <v>NO</v>
      </c>
      <c r="AJ542" s="28" t="str">
        <f ca="1">_xlfn.IFNA(IF(AE542 &lt; (INDEX(SLATable[Maximum SLA],MATCH(G542,SLATable[Priority],0))),"YES","NO"),"")</f>
        <v>NO</v>
      </c>
    </row>
    <row r="543" spans="2:36" ht="15" customHeight="1">
      <c r="B543" s="127" t="s">
        <v>26</v>
      </c>
      <c r="C543" s="127" t="s">
        <v>35</v>
      </c>
      <c r="D543" s="256" t="s">
        <v>208</v>
      </c>
      <c r="E543" s="127" t="s">
        <v>2194</v>
      </c>
      <c r="F543" s="127" t="s">
        <v>295</v>
      </c>
      <c r="G543" s="127" t="s">
        <v>208</v>
      </c>
      <c r="H543" s="127" t="s">
        <v>2195</v>
      </c>
      <c r="I543" s="127" t="s">
        <v>271</v>
      </c>
      <c r="J543" s="127" t="s">
        <v>1092</v>
      </c>
      <c r="K543" s="129">
        <v>46202.265277777777</v>
      </c>
      <c r="L543" s="129">
        <v>46202.265277777777</v>
      </c>
      <c r="M543" s="129">
        <v>46202.344444444447</v>
      </c>
      <c r="N543" s="129"/>
      <c r="O543" s="131"/>
      <c r="P543" s="131"/>
      <c r="Q543" s="127" t="s">
        <v>1566</v>
      </c>
      <c r="R543" s="127"/>
      <c r="S543" s="127"/>
      <c r="T543" s="127"/>
      <c r="U543" s="127" t="s">
        <v>371</v>
      </c>
      <c r="Z543" s="169">
        <f t="shared" ca="1" si="80"/>
        <v>15.675640856478518</v>
      </c>
      <c r="AA543" s="170">
        <f t="shared" ca="1" si="81"/>
        <v>41.801708950609381</v>
      </c>
      <c r="AB543" s="169">
        <f t="shared" ca="1" si="82"/>
        <v>15.675640856478518</v>
      </c>
      <c r="AC543" s="170">
        <f t="shared" ca="1" si="83"/>
        <v>41.801708950609381</v>
      </c>
      <c r="AD543" s="169">
        <f t="shared" ca="1" si="84"/>
        <v>1.1111111113374761E-2</v>
      </c>
      <c r="AE543" s="169">
        <f t="shared" ca="1" si="79"/>
        <v>15.675640856478518</v>
      </c>
      <c r="AF543" s="170">
        <f t="shared" ca="1" si="85"/>
        <v>41.801708950609381</v>
      </c>
      <c r="AG543" s="170">
        <f t="shared" ca="1" si="86"/>
        <v>41.801708950609381</v>
      </c>
      <c r="AH543" s="28" t="str" cm="1">
        <f t="array" aca="1" ref="AH543" ca="1">IF((AD543) &lt; (INDEX(ResponseSLA[#All],(MATCH((G543),ResponseSLA[Priority],0))+1,3)),"YES","No")</f>
        <v>YES</v>
      </c>
      <c r="AI543" s="28" t="str">
        <f ca="1">_xlfn.IFNA(IF(AE543 &lt; (INDEX(SLATable[Minimum SLA],MATCH(G543,SLATable[Priority],0))),"YES","NO"),"")</f>
        <v>NO</v>
      </c>
      <c r="AJ543" s="28" t="str">
        <f ca="1">_xlfn.IFNA(IF(AE543 &lt; (INDEX(SLATable[Maximum SLA],MATCH(G543,SLATable[Priority],0))),"YES","NO"),"")</f>
        <v>NO</v>
      </c>
    </row>
    <row r="544" spans="2:36" ht="15" customHeight="1">
      <c r="B544" s="127" t="s">
        <v>26</v>
      </c>
      <c r="C544" s="127" t="s">
        <v>35</v>
      </c>
      <c r="D544" s="256" t="s">
        <v>208</v>
      </c>
      <c r="E544" s="127" t="s">
        <v>2196</v>
      </c>
      <c r="F544" s="127" t="s">
        <v>289</v>
      </c>
      <c r="G544" s="127" t="s">
        <v>208</v>
      </c>
      <c r="H544" s="127" t="s">
        <v>2197</v>
      </c>
      <c r="I544" s="127" t="s">
        <v>271</v>
      </c>
      <c r="J544" s="127" t="s">
        <v>1092</v>
      </c>
      <c r="K544" s="129">
        <v>46202.269444444442</v>
      </c>
      <c r="L544" s="129">
        <v>46202.269444444442</v>
      </c>
      <c r="M544" s="129">
        <v>46202.354861111111</v>
      </c>
      <c r="N544" s="129"/>
      <c r="O544" s="131"/>
      <c r="P544" s="131"/>
      <c r="Q544" s="127" t="s">
        <v>1343</v>
      </c>
      <c r="R544" s="127"/>
      <c r="S544" s="127"/>
      <c r="T544" s="127"/>
      <c r="U544" s="127" t="s">
        <v>371</v>
      </c>
      <c r="Z544" s="169">
        <f t="shared" ca="1" si="80"/>
        <v>15.675640856478518</v>
      </c>
      <c r="AA544" s="170">
        <f t="shared" ca="1" si="81"/>
        <v>41.801708950609381</v>
      </c>
      <c r="AB544" s="169">
        <f t="shared" ca="1" si="82"/>
        <v>15.675640856478518</v>
      </c>
      <c r="AC544" s="170">
        <f t="shared" ca="1" si="83"/>
        <v>41.801708950609381</v>
      </c>
      <c r="AD544" s="169">
        <f t="shared" ca="1" si="84"/>
        <v>2.1527777777616108E-2</v>
      </c>
      <c r="AE544" s="169">
        <f t="shared" ca="1" si="79"/>
        <v>15.675640856478518</v>
      </c>
      <c r="AF544" s="170">
        <f t="shared" ca="1" si="85"/>
        <v>41.801708950609381</v>
      </c>
      <c r="AG544" s="170">
        <f t="shared" ca="1" si="86"/>
        <v>41.801708950609381</v>
      </c>
      <c r="AH544" s="28" t="str" cm="1">
        <f t="array" aca="1" ref="AH544" ca="1">IF((AD544) &lt; (INDEX(ResponseSLA[#All],(MATCH((G544),ResponseSLA[Priority],0))+1,3)),"YES","No")</f>
        <v>YES</v>
      </c>
      <c r="AI544" s="28" t="str">
        <f ca="1">_xlfn.IFNA(IF(AE544 &lt; (INDEX(SLATable[Minimum SLA],MATCH(G544,SLATable[Priority],0))),"YES","NO"),"")</f>
        <v>NO</v>
      </c>
      <c r="AJ544" s="28" t="str">
        <f ca="1">_xlfn.IFNA(IF(AE544 &lt; (INDEX(SLATable[Maximum SLA],MATCH(G544,SLATable[Priority],0))),"YES","NO"),"")</f>
        <v>NO</v>
      </c>
    </row>
    <row r="545" spans="2:36" ht="15" customHeight="1">
      <c r="B545" s="127" t="s">
        <v>26</v>
      </c>
      <c r="C545" s="127" t="s">
        <v>35</v>
      </c>
      <c r="D545" s="256" t="s">
        <v>208</v>
      </c>
      <c r="E545" s="127" t="s">
        <v>2198</v>
      </c>
      <c r="F545" s="127" t="s">
        <v>295</v>
      </c>
      <c r="G545" s="127" t="s">
        <v>208</v>
      </c>
      <c r="H545" s="127" t="s">
        <v>2199</v>
      </c>
      <c r="I545" s="127" t="s">
        <v>271</v>
      </c>
      <c r="J545" s="127" t="s">
        <v>1092</v>
      </c>
      <c r="K545" s="129">
        <v>46193.611805555556</v>
      </c>
      <c r="L545" s="129">
        <v>46198.411805555559</v>
      </c>
      <c r="M545" s="129">
        <v>46202.347916666666</v>
      </c>
      <c r="N545" s="129"/>
      <c r="O545" s="131"/>
      <c r="P545" s="131"/>
      <c r="Q545" s="127" t="s">
        <v>2200</v>
      </c>
      <c r="R545" s="127"/>
      <c r="S545" s="127"/>
      <c r="T545" s="127"/>
      <c r="U545" s="127" t="s">
        <v>371</v>
      </c>
      <c r="Z545" s="169">
        <f t="shared" ca="1" si="80"/>
        <v>17.550640856478523</v>
      </c>
      <c r="AA545" s="170">
        <f t="shared" ca="1" si="81"/>
        <v>46.801708950609395</v>
      </c>
      <c r="AB545" s="169">
        <f t="shared" ca="1" si="82"/>
        <v>16.347168634252743</v>
      </c>
      <c r="AC545" s="170">
        <f t="shared" ca="1" si="83"/>
        <v>43.592449691340647</v>
      </c>
      <c r="AD545" s="169">
        <f t="shared" ca="1" si="84"/>
        <v>0.68611111110658385</v>
      </c>
      <c r="AE545" s="169">
        <f t="shared" ca="1" si="79"/>
        <v>18.899981134253423</v>
      </c>
      <c r="AF545" s="170">
        <f t="shared" ca="1" si="85"/>
        <v>50.399949691342464</v>
      </c>
      <c r="AG545" s="170">
        <f t="shared" ca="1" si="86"/>
        <v>50.399949691342464</v>
      </c>
      <c r="AH545" s="28" t="str" cm="1">
        <f t="array" aca="1" ref="AH545" ca="1">IF((AD545) &lt; (INDEX(ResponseSLA[#All],(MATCH((G545),ResponseSLA[Priority],0))+1,3)),"YES","No")</f>
        <v>No</v>
      </c>
      <c r="AI545" s="28" t="str">
        <f ca="1">_xlfn.IFNA(IF(AE545 &lt; (INDEX(SLATable[Minimum SLA],MATCH(G545,SLATable[Priority],0))),"YES","NO"),"")</f>
        <v>NO</v>
      </c>
      <c r="AJ545" s="28" t="str">
        <f ca="1">_xlfn.IFNA(IF(AE545 &lt; (INDEX(SLATable[Maximum SLA],MATCH(G545,SLATable[Priority],0))),"YES","NO"),"")</f>
        <v>NO</v>
      </c>
    </row>
    <row r="546" spans="2:36" ht="15" customHeight="1">
      <c r="B546" s="127" t="s">
        <v>26</v>
      </c>
      <c r="C546" s="127" t="s">
        <v>35</v>
      </c>
      <c r="D546" s="256" t="s">
        <v>208</v>
      </c>
      <c r="E546" s="127" t="s">
        <v>2201</v>
      </c>
      <c r="F546" s="127" t="s">
        <v>289</v>
      </c>
      <c r="G546" s="127" t="s">
        <v>208</v>
      </c>
      <c r="H546" s="127" t="s">
        <v>2175</v>
      </c>
      <c r="I546" s="127" t="s">
        <v>271</v>
      </c>
      <c r="J546" s="127" t="s">
        <v>1092</v>
      </c>
      <c r="K546" s="129">
        <v>46181.671527777777</v>
      </c>
      <c r="L546" s="129">
        <v>46183.927083333336</v>
      </c>
      <c r="M546" s="129">
        <v>46185.556944444441</v>
      </c>
      <c r="N546" s="129"/>
      <c r="O546" s="131">
        <v>46189.415277777778</v>
      </c>
      <c r="P546" s="131"/>
      <c r="Q546" s="127" t="s">
        <v>695</v>
      </c>
      <c r="R546" s="127"/>
      <c r="S546" s="127"/>
      <c r="T546" s="127"/>
      <c r="U546" s="127" t="s">
        <v>371</v>
      </c>
      <c r="Z546" s="169">
        <f t="shared" ca="1" si="80"/>
        <v>20.962446412035209</v>
      </c>
      <c r="AA546" s="170">
        <f t="shared" ca="1" si="81"/>
        <v>55.899857098760563</v>
      </c>
      <c r="AB546" s="169">
        <f t="shared" ca="1" si="82"/>
        <v>1.2069444444447681</v>
      </c>
      <c r="AC546" s="170">
        <f t="shared" ca="1" si="83"/>
        <v>3.2185185185193816</v>
      </c>
      <c r="AD546" s="169">
        <f t="shared" ca="1" si="84"/>
        <v>0.59861111110755394</v>
      </c>
      <c r="AE546" s="169">
        <f t="shared" ca="1" si="79"/>
        <v>2.4143749999978663</v>
      </c>
      <c r="AF546" s="170">
        <f t="shared" ca="1" si="85"/>
        <v>6.4383333333276438</v>
      </c>
      <c r="AG546" s="170">
        <f t="shared" ca="1" si="86"/>
        <v>6.4383333333276438</v>
      </c>
      <c r="AH546" s="28" t="str" cm="1">
        <f t="array" aca="1" ref="AH546" ca="1">IF((AD546) &lt; (INDEX(ResponseSLA[#All],(MATCH((G546),ResponseSLA[Priority],0))+1,3)),"YES","No")</f>
        <v>No</v>
      </c>
      <c r="AI546" s="28" t="str">
        <f ca="1">_xlfn.IFNA(IF(AE546 &lt; (INDEX(SLATable[Minimum SLA],MATCH(G546,SLATable[Priority],0))),"YES","NO"),"")</f>
        <v>NO</v>
      </c>
      <c r="AJ546" s="28" t="str">
        <f ca="1">_xlfn.IFNA(IF(AE546 &lt; (INDEX(SLATable[Maximum SLA],MATCH(G546,SLATable[Priority],0))),"YES","NO"),"")</f>
        <v>NO</v>
      </c>
    </row>
    <row r="547" spans="2:36" ht="15" customHeight="1">
      <c r="B547" s="127" t="s">
        <v>26</v>
      </c>
      <c r="C547" s="127" t="s">
        <v>35</v>
      </c>
      <c r="D547" s="256" t="s">
        <v>208</v>
      </c>
      <c r="E547" s="127" t="s">
        <v>2202</v>
      </c>
      <c r="F547" s="127" t="s">
        <v>303</v>
      </c>
      <c r="G547" s="127" t="s">
        <v>208</v>
      </c>
      <c r="H547" s="127" t="s">
        <v>2203</v>
      </c>
      <c r="I547" s="127" t="s">
        <v>260</v>
      </c>
      <c r="J547" s="127" t="s">
        <v>1250</v>
      </c>
      <c r="K547" s="129">
        <v>46174.254166666666</v>
      </c>
      <c r="L547" s="129">
        <v>46175.443229166667</v>
      </c>
      <c r="M547" s="129">
        <v>46175.443229166667</v>
      </c>
      <c r="N547" s="129"/>
      <c r="O547" s="131"/>
      <c r="P547" s="131"/>
      <c r="Q547" s="127" t="s">
        <v>2204</v>
      </c>
      <c r="R547" s="127"/>
      <c r="S547" s="127"/>
      <c r="T547" s="127"/>
      <c r="U547" s="127" t="s">
        <v>371</v>
      </c>
      <c r="Z547" s="169">
        <f t="shared" ca="1" si="80"/>
        <v>23.175640856478523</v>
      </c>
      <c r="AA547" s="170">
        <f t="shared" ca="1" si="81"/>
        <v>61.801708950609395</v>
      </c>
      <c r="AB547" s="169">
        <f t="shared" ca="1" si="82"/>
        <v>22.690745023144704</v>
      </c>
      <c r="AC547" s="170">
        <f t="shared" ca="1" si="83"/>
        <v>60.508653395052548</v>
      </c>
      <c r="AD547" s="169">
        <f t="shared" ca="1" si="84"/>
        <v>0</v>
      </c>
      <c r="AE547" s="169">
        <f t="shared" ca="1" si="79"/>
        <v>33.272770486105102</v>
      </c>
      <c r="AF547" s="170">
        <f t="shared" ca="1" si="85"/>
        <v>88.727387962946935</v>
      </c>
      <c r="AG547" s="170">
        <f t="shared" ca="1" si="86"/>
        <v>88.727387962946935</v>
      </c>
      <c r="AH547" s="28" t="str" cm="1">
        <f t="array" aca="1" ref="AH547" ca="1">IF((AD547) &lt; (INDEX(ResponseSLA[#All],(MATCH((G547),ResponseSLA[Priority],0))+1,3)),"YES","No")</f>
        <v>YES</v>
      </c>
      <c r="AI547" s="28" t="str">
        <f ca="1">_xlfn.IFNA(IF(AE547 &lt; (INDEX(SLATable[Minimum SLA],MATCH(G547,SLATable[Priority],0))),"YES","NO"),"")</f>
        <v>NO</v>
      </c>
      <c r="AJ547" s="28" t="str">
        <f ca="1">_xlfn.IFNA(IF(AE547 &lt; (INDEX(SLATable[Maximum SLA],MATCH(G547,SLATable[Priority],0))),"YES","NO"),"")</f>
        <v>NO</v>
      </c>
    </row>
    <row r="548" spans="2:36" ht="15" customHeight="1">
      <c r="B548" s="127" t="s">
        <v>26</v>
      </c>
      <c r="C548" s="127" t="s">
        <v>35</v>
      </c>
      <c r="D548" s="256" t="s">
        <v>208</v>
      </c>
      <c r="E548" s="127" t="s">
        <v>2205</v>
      </c>
      <c r="F548" s="127" t="s">
        <v>303</v>
      </c>
      <c r="G548" s="127" t="s">
        <v>208</v>
      </c>
      <c r="H548" s="127" t="s">
        <v>2206</v>
      </c>
      <c r="I548" s="127" t="s">
        <v>260</v>
      </c>
      <c r="J548" s="127" t="s">
        <v>1250</v>
      </c>
      <c r="K548" s="129">
        <v>46181.254166666666</v>
      </c>
      <c r="L548" s="129">
        <v>46181.56177083333</v>
      </c>
      <c r="M548" s="129">
        <v>46181.56177083333</v>
      </c>
      <c r="N548" s="129"/>
      <c r="O548" s="131"/>
      <c r="P548" s="131"/>
      <c r="Q548" s="127" t="s">
        <v>1849</v>
      </c>
      <c r="R548" s="127"/>
      <c r="S548" s="127"/>
      <c r="T548" s="127"/>
      <c r="U548" s="127" t="s">
        <v>371</v>
      </c>
      <c r="Z548" s="169">
        <f t="shared" ca="1" si="80"/>
        <v>21.300640856478523</v>
      </c>
      <c r="AA548" s="170">
        <f t="shared" ca="1" si="81"/>
        <v>56.801708950609395</v>
      </c>
      <c r="AB548" s="169">
        <f t="shared" ca="1" si="82"/>
        <v>21.072203356481626</v>
      </c>
      <c r="AC548" s="170">
        <f t="shared" ca="1" si="83"/>
        <v>56.192542283951006</v>
      </c>
      <c r="AD548" s="169">
        <f t="shared" ca="1" si="84"/>
        <v>0</v>
      </c>
      <c r="AE548" s="169">
        <f t="shared" ref="AE548:AE584" ca="1" si="87">SUMIFS(AB:AB,E:E,E548)</f>
        <v>29.780698726851071</v>
      </c>
      <c r="AF548" s="170">
        <f t="shared" ca="1" si="85"/>
        <v>79.415196604936185</v>
      </c>
      <c r="AG548" s="170">
        <f t="shared" ca="1" si="86"/>
        <v>79.415196604936185</v>
      </c>
      <c r="AH548" s="28" t="str" cm="1">
        <f t="array" aca="1" ref="AH548" ca="1">IF((AD548) &lt; (INDEX(ResponseSLA[#All],(MATCH((G548),ResponseSLA[Priority],0))+1,3)),"YES","No")</f>
        <v>YES</v>
      </c>
      <c r="AI548" s="28" t="str">
        <f ca="1">_xlfn.IFNA(IF(AE548 &lt; (INDEX(SLATable[Minimum SLA],MATCH(G548,SLATable[Priority],0))),"YES","NO"),"")</f>
        <v>NO</v>
      </c>
      <c r="AJ548" s="28" t="str">
        <f ca="1">_xlfn.IFNA(IF(AE548 &lt; (INDEX(SLATable[Maximum SLA],MATCH(G548,SLATable[Priority],0))),"YES","NO"),"")</f>
        <v>NO</v>
      </c>
    </row>
    <row r="549" spans="2:36" ht="15" customHeight="1">
      <c r="B549" s="127" t="s">
        <v>26</v>
      </c>
      <c r="C549" s="127" t="s">
        <v>35</v>
      </c>
      <c r="D549" s="256" t="s">
        <v>208</v>
      </c>
      <c r="E549" s="127" t="s">
        <v>2207</v>
      </c>
      <c r="F549" s="127" t="s">
        <v>303</v>
      </c>
      <c r="G549" s="127" t="s">
        <v>208</v>
      </c>
      <c r="H549" s="127" t="s">
        <v>2208</v>
      </c>
      <c r="I549" s="127" t="s">
        <v>260</v>
      </c>
      <c r="J549" s="127" t="s">
        <v>1250</v>
      </c>
      <c r="K549" s="129">
        <v>46181.256249999999</v>
      </c>
      <c r="L549" s="129">
        <v>46181.562916666669</v>
      </c>
      <c r="M549" s="129">
        <v>46181.562916666669</v>
      </c>
      <c r="N549" s="129"/>
      <c r="O549" s="131"/>
      <c r="P549" s="131"/>
      <c r="Q549" s="127" t="s">
        <v>1847</v>
      </c>
      <c r="R549" s="127"/>
      <c r="S549" s="127"/>
      <c r="T549" s="127"/>
      <c r="U549" s="127" t="s">
        <v>371</v>
      </c>
      <c r="Z549" s="169">
        <f t="shared" ca="1" si="80"/>
        <v>21.300640856478523</v>
      </c>
      <c r="AA549" s="170">
        <f t="shared" ca="1" si="81"/>
        <v>56.801708950609395</v>
      </c>
      <c r="AB549" s="169">
        <f t="shared" ca="1" si="82"/>
        <v>21.071057523142375</v>
      </c>
      <c r="AC549" s="170">
        <f t="shared" ca="1" si="83"/>
        <v>56.18948672837967</v>
      </c>
      <c r="AD549" s="169">
        <f t="shared" ca="1" si="84"/>
        <v>0</v>
      </c>
      <c r="AE549" s="169">
        <f t="shared" ca="1" si="87"/>
        <v>30.071057523142379</v>
      </c>
      <c r="AF549" s="170">
        <f t="shared" ca="1" si="85"/>
        <v>80.189486728379677</v>
      </c>
      <c r="AG549" s="170">
        <f t="shared" ca="1" si="86"/>
        <v>80.189486728379677</v>
      </c>
      <c r="AH549" s="28" t="str" cm="1">
        <f t="array" aca="1" ref="AH549" ca="1">IF((AD549) &lt; (INDEX(ResponseSLA[#All],(MATCH((G549),ResponseSLA[Priority],0))+1,3)),"YES","No")</f>
        <v>YES</v>
      </c>
      <c r="AI549" s="28" t="str">
        <f ca="1">_xlfn.IFNA(IF(AE549 &lt; (INDEX(SLATable[Minimum SLA],MATCH(G549,SLATable[Priority],0))),"YES","NO"),"")</f>
        <v>NO</v>
      </c>
      <c r="AJ549" s="28" t="str">
        <f ca="1">_xlfn.IFNA(IF(AE549 &lt; (INDEX(SLATable[Maximum SLA],MATCH(G549,SLATable[Priority],0))),"YES","NO"),"")</f>
        <v>NO</v>
      </c>
    </row>
    <row r="550" spans="2:36" ht="15" customHeight="1">
      <c r="B550" s="127" t="s">
        <v>26</v>
      </c>
      <c r="C550" s="127" t="s">
        <v>35</v>
      </c>
      <c r="D550" s="256" t="s">
        <v>208</v>
      </c>
      <c r="E550" s="127" t="s">
        <v>2209</v>
      </c>
      <c r="F550" s="127" t="s">
        <v>303</v>
      </c>
      <c r="G550" s="127" t="s">
        <v>208</v>
      </c>
      <c r="H550" s="127" t="s">
        <v>2210</v>
      </c>
      <c r="I550" s="127" t="s">
        <v>260</v>
      </c>
      <c r="J550" s="127" t="s">
        <v>1250</v>
      </c>
      <c r="K550" s="129">
        <v>46188.253472222219</v>
      </c>
      <c r="L550" s="129">
        <v>46189.329768518517</v>
      </c>
      <c r="M550" s="129">
        <v>46189.329768518517</v>
      </c>
      <c r="N550" s="129"/>
      <c r="O550" s="131"/>
      <c r="P550" s="131"/>
      <c r="Q550" s="127" t="s">
        <v>1849</v>
      </c>
      <c r="R550" s="127"/>
      <c r="S550" s="127"/>
      <c r="T550" s="127"/>
      <c r="U550" s="127" t="s">
        <v>371</v>
      </c>
      <c r="Z550" s="169">
        <f t="shared" ca="1" si="80"/>
        <v>19.425640856478523</v>
      </c>
      <c r="AA550" s="170">
        <f t="shared" ca="1" si="81"/>
        <v>51.801708950609395</v>
      </c>
      <c r="AB550" s="169">
        <f t="shared" ca="1" si="82"/>
        <v>19.050640856478523</v>
      </c>
      <c r="AC550" s="170">
        <f t="shared" ca="1" si="83"/>
        <v>50.801708950609395</v>
      </c>
      <c r="AD550" s="169">
        <f t="shared" ca="1" si="84"/>
        <v>0</v>
      </c>
      <c r="AE550" s="169">
        <f t="shared" ca="1" si="87"/>
        <v>25.877909374995706</v>
      </c>
      <c r="AF550" s="170">
        <f t="shared" ca="1" si="85"/>
        <v>69.007758333321874</v>
      </c>
      <c r="AG550" s="170">
        <f t="shared" ca="1" si="86"/>
        <v>69.007758333321874</v>
      </c>
      <c r="AH550" s="28" t="str" cm="1">
        <f t="array" aca="1" ref="AH550" ca="1">IF((AD550) &lt; (INDEX(ResponseSLA[#All],(MATCH((G550),ResponseSLA[Priority],0))+1,3)),"YES","No")</f>
        <v>YES</v>
      </c>
      <c r="AI550" s="28" t="str">
        <f ca="1">_xlfn.IFNA(IF(AE550 &lt; (INDEX(SLATable[Minimum SLA],MATCH(G550,SLATable[Priority],0))),"YES","NO"),"")</f>
        <v>NO</v>
      </c>
      <c r="AJ550" s="28" t="str">
        <f ca="1">_xlfn.IFNA(IF(AE550 &lt; (INDEX(SLATable[Maximum SLA],MATCH(G550,SLATable[Priority],0))),"YES","NO"),"")</f>
        <v>NO</v>
      </c>
    </row>
    <row r="551" spans="2:36" ht="15" customHeight="1">
      <c r="B551" s="127" t="s">
        <v>26</v>
      </c>
      <c r="C551" s="127" t="s">
        <v>35</v>
      </c>
      <c r="D551" s="256" t="s">
        <v>208</v>
      </c>
      <c r="E551" s="127" t="s">
        <v>2211</v>
      </c>
      <c r="F551" s="127" t="s">
        <v>303</v>
      </c>
      <c r="G551" s="127" t="s">
        <v>208</v>
      </c>
      <c r="H551" s="127" t="s">
        <v>2212</v>
      </c>
      <c r="I551" s="127" t="s">
        <v>260</v>
      </c>
      <c r="J551" s="127" t="s">
        <v>1250</v>
      </c>
      <c r="K551" s="129">
        <v>46188.256944444445</v>
      </c>
      <c r="L551" s="129">
        <v>46189.329363425924</v>
      </c>
      <c r="M551" s="129">
        <v>46189.329363425924</v>
      </c>
      <c r="N551" s="129"/>
      <c r="O551" s="131"/>
      <c r="P551" s="131"/>
      <c r="Q551" s="127" t="s">
        <v>1847</v>
      </c>
      <c r="R551" s="127"/>
      <c r="S551" s="127"/>
      <c r="T551" s="127"/>
      <c r="U551" s="127" t="s">
        <v>371</v>
      </c>
      <c r="Z551" s="169">
        <f t="shared" ca="1" si="80"/>
        <v>19.425640856478523</v>
      </c>
      <c r="AA551" s="170">
        <f t="shared" ca="1" si="81"/>
        <v>51.801708950609395</v>
      </c>
      <c r="AB551" s="169">
        <f t="shared" ca="1" si="82"/>
        <v>19.050640856478523</v>
      </c>
      <c r="AC551" s="170">
        <f t="shared" ca="1" si="83"/>
        <v>50.801708950609395</v>
      </c>
      <c r="AD551" s="169">
        <f t="shared" ca="1" si="84"/>
        <v>0</v>
      </c>
      <c r="AE551" s="169">
        <f t="shared" ca="1" si="87"/>
        <v>26.175640856478523</v>
      </c>
      <c r="AF551" s="170">
        <f t="shared" ca="1" si="85"/>
        <v>69.801708950609395</v>
      </c>
      <c r="AG551" s="170">
        <f t="shared" ca="1" si="86"/>
        <v>69.801708950609395</v>
      </c>
      <c r="AH551" s="28" t="str" cm="1">
        <f t="array" aca="1" ref="AH551" ca="1">IF((AD551) &lt; (INDEX(ResponseSLA[#All],(MATCH((G551),ResponseSLA[Priority],0))+1,3)),"YES","No")</f>
        <v>YES</v>
      </c>
      <c r="AI551" s="28" t="str">
        <f ca="1">_xlfn.IFNA(IF(AE551 &lt; (INDEX(SLATable[Minimum SLA],MATCH(G551,SLATable[Priority],0))),"YES","NO"),"")</f>
        <v>NO</v>
      </c>
      <c r="AJ551" s="28" t="str">
        <f ca="1">_xlfn.IFNA(IF(AE551 &lt; (INDEX(SLATable[Maximum SLA],MATCH(G551,SLATable[Priority],0))),"YES","NO"),"")</f>
        <v>NO</v>
      </c>
    </row>
    <row r="552" spans="2:36" ht="15" customHeight="1">
      <c r="B552" s="127" t="s">
        <v>26</v>
      </c>
      <c r="C552" s="127" t="s">
        <v>35</v>
      </c>
      <c r="D552" s="256" t="s">
        <v>208</v>
      </c>
      <c r="E552" s="127" t="s">
        <v>2213</v>
      </c>
      <c r="F552" s="127" t="s">
        <v>303</v>
      </c>
      <c r="G552" s="127" t="s">
        <v>208</v>
      </c>
      <c r="H552" s="127" t="s">
        <v>2214</v>
      </c>
      <c r="I552" s="127" t="s">
        <v>260</v>
      </c>
      <c r="J552" s="127" t="s">
        <v>1250</v>
      </c>
      <c r="K552" s="129">
        <v>46195.256249999999</v>
      </c>
      <c r="L552" s="129">
        <v>46195.54791666667</v>
      </c>
      <c r="M552" s="129">
        <v>46195.54791666667</v>
      </c>
      <c r="N552" s="129"/>
      <c r="O552" s="131"/>
      <c r="P552" s="131"/>
      <c r="Q552" s="127" t="s">
        <v>1863</v>
      </c>
      <c r="R552" s="127"/>
      <c r="S552" s="127"/>
      <c r="T552" s="127"/>
      <c r="U552" s="127" t="s">
        <v>371</v>
      </c>
      <c r="Z552" s="169">
        <f t="shared" ca="1" si="80"/>
        <v>17.550640856478523</v>
      </c>
      <c r="AA552" s="170">
        <f t="shared" ca="1" si="81"/>
        <v>46.801708950609395</v>
      </c>
      <c r="AB552" s="169">
        <f t="shared" ca="1" si="82"/>
        <v>17.336057523141793</v>
      </c>
      <c r="AC552" s="170">
        <f t="shared" ca="1" si="83"/>
        <v>46.22948672837812</v>
      </c>
      <c r="AD552" s="169">
        <f t="shared" ca="1" si="84"/>
        <v>0</v>
      </c>
      <c r="AE552" s="169">
        <f t="shared" ca="1" si="87"/>
        <v>22.663210300920284</v>
      </c>
      <c r="AF552" s="170">
        <f t="shared" ca="1" si="85"/>
        <v>60.435227469120754</v>
      </c>
      <c r="AG552" s="170">
        <f t="shared" ca="1" si="86"/>
        <v>60.435227469120754</v>
      </c>
      <c r="AH552" s="28" t="str" cm="1">
        <f t="array" aca="1" ref="AH552" ca="1">IF((AD552) &lt; (INDEX(ResponseSLA[#All],(MATCH((G552),ResponseSLA[Priority],0))+1,3)),"YES","No")</f>
        <v>YES</v>
      </c>
      <c r="AI552" s="28" t="str">
        <f ca="1">_xlfn.IFNA(IF(AE552 &lt; (INDEX(SLATable[Minimum SLA],MATCH(G552,SLATable[Priority],0))),"YES","NO"),"")</f>
        <v>NO</v>
      </c>
      <c r="AJ552" s="28" t="str">
        <f ca="1">_xlfn.IFNA(IF(AE552 &lt; (INDEX(SLATable[Maximum SLA],MATCH(G552,SLATable[Priority],0))),"YES","NO"),"")</f>
        <v>NO</v>
      </c>
    </row>
    <row r="553" spans="2:36" ht="15" customHeight="1">
      <c r="B553" s="127" t="s">
        <v>26</v>
      </c>
      <c r="C553" s="127" t="s">
        <v>35</v>
      </c>
      <c r="D553" s="256" t="s">
        <v>208</v>
      </c>
      <c r="E553" s="127" t="s">
        <v>2215</v>
      </c>
      <c r="F553" s="127" t="s">
        <v>303</v>
      </c>
      <c r="G553" s="127" t="s">
        <v>208</v>
      </c>
      <c r="H553" s="127" t="s">
        <v>2216</v>
      </c>
      <c r="I553" s="127" t="s">
        <v>260</v>
      </c>
      <c r="J553" s="127" t="s">
        <v>1250</v>
      </c>
      <c r="K553" s="129">
        <v>46195.256249999999</v>
      </c>
      <c r="L553" s="129">
        <v>46195.546620370369</v>
      </c>
      <c r="M553" s="129">
        <v>46195.546620370369</v>
      </c>
      <c r="N553" s="129"/>
      <c r="O553" s="131"/>
      <c r="P553" s="131"/>
      <c r="Q553" s="127" t="s">
        <v>1851</v>
      </c>
      <c r="R553" s="127"/>
      <c r="S553" s="127"/>
      <c r="T553" s="127"/>
      <c r="U553" s="127" t="s">
        <v>371</v>
      </c>
      <c r="Z553" s="169">
        <f t="shared" ca="1" si="80"/>
        <v>17.550640856478523</v>
      </c>
      <c r="AA553" s="170">
        <f t="shared" ca="1" si="81"/>
        <v>46.801708950609395</v>
      </c>
      <c r="AB553" s="169">
        <f t="shared" ca="1" si="82"/>
        <v>17.3373538194428</v>
      </c>
      <c r="AC553" s="170">
        <f t="shared" ca="1" si="83"/>
        <v>46.232943518514134</v>
      </c>
      <c r="AD553" s="169">
        <f t="shared" ca="1" si="84"/>
        <v>0</v>
      </c>
      <c r="AE553" s="169">
        <f t="shared" ca="1" si="87"/>
        <v>22.60670567129516</v>
      </c>
      <c r="AF553" s="170">
        <f t="shared" ca="1" si="85"/>
        <v>60.284548456787093</v>
      </c>
      <c r="AG553" s="170">
        <f t="shared" ca="1" si="86"/>
        <v>60.284548456787093</v>
      </c>
      <c r="AH553" s="28" t="str" cm="1">
        <f t="array" aca="1" ref="AH553" ca="1">IF((AD553) &lt; (INDEX(ResponseSLA[#All],(MATCH((G553),ResponseSLA[Priority],0))+1,3)),"YES","No")</f>
        <v>YES</v>
      </c>
      <c r="AI553" s="28" t="str">
        <f ca="1">_xlfn.IFNA(IF(AE553 &lt; (INDEX(SLATable[Minimum SLA],MATCH(G553,SLATable[Priority],0))),"YES","NO"),"")</f>
        <v>NO</v>
      </c>
      <c r="AJ553" s="28" t="str">
        <f ca="1">_xlfn.IFNA(IF(AE553 &lt; (INDEX(SLATable[Maximum SLA],MATCH(G553,SLATable[Priority],0))),"YES","NO"),"")</f>
        <v>NO</v>
      </c>
    </row>
    <row r="554" spans="2:36" ht="15" customHeight="1">
      <c r="B554" s="127" t="s">
        <v>26</v>
      </c>
      <c r="C554" s="127" t="s">
        <v>35</v>
      </c>
      <c r="D554" s="256" t="s">
        <v>208</v>
      </c>
      <c r="E554" s="127" t="s">
        <v>2217</v>
      </c>
      <c r="F554" s="127" t="s">
        <v>303</v>
      </c>
      <c r="G554" s="127" t="s">
        <v>208</v>
      </c>
      <c r="H554" s="127" t="s">
        <v>2218</v>
      </c>
      <c r="I554" s="127" t="s">
        <v>260</v>
      </c>
      <c r="J554" s="127" t="s">
        <v>1250</v>
      </c>
      <c r="K554" s="129">
        <v>46195.256944444445</v>
      </c>
      <c r="L554" s="129">
        <v>46195.548252314817</v>
      </c>
      <c r="M554" s="129">
        <v>46195.548252314817</v>
      </c>
      <c r="N554" s="129"/>
      <c r="O554" s="131"/>
      <c r="P554" s="131"/>
      <c r="Q554" s="127" t="s">
        <v>1847</v>
      </c>
      <c r="R554" s="127"/>
      <c r="S554" s="127"/>
      <c r="T554" s="127"/>
      <c r="U554" s="127" t="s">
        <v>371</v>
      </c>
      <c r="Z554" s="169">
        <f t="shared" ca="1" si="80"/>
        <v>17.550640856478523</v>
      </c>
      <c r="AA554" s="170">
        <f t="shared" ca="1" si="81"/>
        <v>46.801708950609395</v>
      </c>
      <c r="AB554" s="169">
        <f t="shared" ca="1" si="82"/>
        <v>17.335721874995219</v>
      </c>
      <c r="AC554" s="170">
        <f t="shared" ca="1" si="83"/>
        <v>46.228591666653919</v>
      </c>
      <c r="AD554" s="169">
        <f t="shared" ca="1" si="84"/>
        <v>0</v>
      </c>
      <c r="AE554" s="169">
        <f t="shared" ca="1" si="87"/>
        <v>22.585721874995219</v>
      </c>
      <c r="AF554" s="170">
        <f t="shared" ca="1" si="85"/>
        <v>60.228591666653919</v>
      </c>
      <c r="AG554" s="170">
        <f t="shared" ca="1" si="86"/>
        <v>60.228591666653919</v>
      </c>
      <c r="AH554" s="28" t="str" cm="1">
        <f t="array" aca="1" ref="AH554" ca="1">IF((AD554) &lt; (INDEX(ResponseSLA[#All],(MATCH((G554),ResponseSLA[Priority],0))+1,3)),"YES","No")</f>
        <v>YES</v>
      </c>
      <c r="AI554" s="28" t="str">
        <f ca="1">_xlfn.IFNA(IF(AE554 &lt; (INDEX(SLATable[Minimum SLA],MATCH(G554,SLATable[Priority],0))),"YES","NO"),"")</f>
        <v>NO</v>
      </c>
      <c r="AJ554" s="28" t="str">
        <f ca="1">_xlfn.IFNA(IF(AE554 &lt; (INDEX(SLATable[Maximum SLA],MATCH(G554,SLATable[Priority],0))),"YES","NO"),"")</f>
        <v>NO</v>
      </c>
    </row>
    <row r="555" spans="2:36" ht="15" customHeight="1">
      <c r="B555" s="127" t="s">
        <v>26</v>
      </c>
      <c r="C555" s="127" t="s">
        <v>35</v>
      </c>
      <c r="D555" s="256" t="s">
        <v>208</v>
      </c>
      <c r="E555" s="127" t="s">
        <v>2219</v>
      </c>
      <c r="F555" s="127" t="s">
        <v>303</v>
      </c>
      <c r="G555" s="127" t="s">
        <v>208</v>
      </c>
      <c r="H555" s="127" t="s">
        <v>2220</v>
      </c>
      <c r="I555" s="127" t="s">
        <v>260</v>
      </c>
      <c r="J555" s="127" t="s">
        <v>1250</v>
      </c>
      <c r="K555" s="129">
        <v>46202.256944444445</v>
      </c>
      <c r="L555" s="129">
        <v>46202.34171296296</v>
      </c>
      <c r="M555" s="129">
        <v>46202.34171296296</v>
      </c>
      <c r="N555" s="129"/>
      <c r="O555" s="131"/>
      <c r="P555" s="131"/>
      <c r="Q555" s="127" t="s">
        <v>2221</v>
      </c>
      <c r="R555" s="127"/>
      <c r="S555" s="127"/>
      <c r="T555" s="127"/>
      <c r="U555" s="127" t="s">
        <v>371</v>
      </c>
      <c r="Z555" s="169">
        <f t="shared" ca="1" si="80"/>
        <v>15.675640856478518</v>
      </c>
      <c r="AA555" s="170">
        <f t="shared" ca="1" si="81"/>
        <v>41.801708950609381</v>
      </c>
      <c r="AB555" s="169">
        <f t="shared" ca="1" si="82"/>
        <v>15.667261226852133</v>
      </c>
      <c r="AC555" s="170">
        <f t="shared" ca="1" si="83"/>
        <v>41.779363271605689</v>
      </c>
      <c r="AD555" s="169">
        <f t="shared" ca="1" si="84"/>
        <v>0</v>
      </c>
      <c r="AE555" s="169">
        <f t="shared" ca="1" si="87"/>
        <v>31.342901504630085</v>
      </c>
      <c r="AF555" s="170">
        <f t="shared" ca="1" si="85"/>
        <v>83.581070679013564</v>
      </c>
      <c r="AG555" s="170">
        <f t="shared" ca="1" si="86"/>
        <v>83.581070679013564</v>
      </c>
      <c r="AH555" s="28" t="str" cm="1">
        <f t="array" aca="1" ref="AH555" ca="1">IF((AD555) &lt; (INDEX(ResponseSLA[#All],(MATCH((G555),ResponseSLA[Priority],0))+1,3)),"YES","No")</f>
        <v>YES</v>
      </c>
      <c r="AI555" s="28" t="str">
        <f ca="1">_xlfn.IFNA(IF(AE555 &lt; (INDEX(SLATable[Minimum SLA],MATCH(G555,SLATable[Priority],0))),"YES","NO"),"")</f>
        <v>NO</v>
      </c>
      <c r="AJ555" s="28" t="str">
        <f ca="1">_xlfn.IFNA(IF(AE555 &lt; (INDEX(SLATable[Maximum SLA],MATCH(G555,SLATable[Priority],0))),"YES","NO"),"")</f>
        <v>NO</v>
      </c>
    </row>
    <row r="556" spans="2:36" ht="15" customHeight="1">
      <c r="B556" s="127" t="s">
        <v>26</v>
      </c>
      <c r="C556" s="127" t="s">
        <v>35</v>
      </c>
      <c r="D556" s="256" t="s">
        <v>208</v>
      </c>
      <c r="E556" s="127" t="s">
        <v>2222</v>
      </c>
      <c r="F556" s="127" t="s">
        <v>303</v>
      </c>
      <c r="G556" s="127" t="s">
        <v>208</v>
      </c>
      <c r="H556" s="127" t="s">
        <v>2223</v>
      </c>
      <c r="I556" s="127" t="s">
        <v>260</v>
      </c>
      <c r="J556" s="127" t="s">
        <v>1250</v>
      </c>
      <c r="K556" s="129">
        <v>46202.257638888892</v>
      </c>
      <c r="L556" s="129">
        <v>46202.341446759259</v>
      </c>
      <c r="M556" s="129">
        <v>46202.341446759259</v>
      </c>
      <c r="N556" s="129"/>
      <c r="O556" s="131"/>
      <c r="P556" s="131"/>
      <c r="Q556" s="127" t="s">
        <v>1853</v>
      </c>
      <c r="R556" s="127"/>
      <c r="S556" s="127"/>
      <c r="T556" s="127"/>
      <c r="U556" s="127" t="s">
        <v>371</v>
      </c>
      <c r="Z556" s="169">
        <f t="shared" ca="1" si="80"/>
        <v>15.675640856478518</v>
      </c>
      <c r="AA556" s="170">
        <f t="shared" ca="1" si="81"/>
        <v>41.801708950609381</v>
      </c>
      <c r="AB556" s="169">
        <f t="shared" ca="1" si="82"/>
        <v>15.667527430552582</v>
      </c>
      <c r="AC556" s="170">
        <f t="shared" ca="1" si="83"/>
        <v>41.780073148140218</v>
      </c>
      <c r="AD556" s="169">
        <f t="shared" ca="1" si="84"/>
        <v>0</v>
      </c>
      <c r="AE556" s="169">
        <f t="shared" ca="1" si="87"/>
        <v>31.343167708330533</v>
      </c>
      <c r="AF556" s="170">
        <f t="shared" ca="1" si="85"/>
        <v>83.581780555548093</v>
      </c>
      <c r="AG556" s="170">
        <f t="shared" ca="1" si="86"/>
        <v>83.581780555548093</v>
      </c>
      <c r="AH556" s="28" t="str" cm="1">
        <f t="array" aca="1" ref="AH556" ca="1">IF((AD556) &lt; (INDEX(ResponseSLA[#All],(MATCH((G556),ResponseSLA[Priority],0))+1,3)),"YES","No")</f>
        <v>YES</v>
      </c>
      <c r="AI556" s="28" t="str">
        <f ca="1">_xlfn.IFNA(IF(AE556 &lt; (INDEX(SLATable[Minimum SLA],MATCH(G556,SLATable[Priority],0))),"YES","NO"),"")</f>
        <v>NO</v>
      </c>
      <c r="AJ556" s="28" t="str">
        <f ca="1">_xlfn.IFNA(IF(AE556 &lt; (INDEX(SLATable[Maximum SLA],MATCH(G556,SLATable[Priority],0))),"YES","NO"),"")</f>
        <v>NO</v>
      </c>
    </row>
    <row r="557" spans="2:36" ht="15" customHeight="1">
      <c r="B557" s="127" t="s">
        <v>26</v>
      </c>
      <c r="C557" s="127" t="s">
        <v>35</v>
      </c>
      <c r="D557" s="256" t="s">
        <v>208</v>
      </c>
      <c r="E557" s="127" t="s">
        <v>2224</v>
      </c>
      <c r="F557" s="127" t="s">
        <v>303</v>
      </c>
      <c r="G557" s="127" t="s">
        <v>208</v>
      </c>
      <c r="H557" s="127" t="s">
        <v>2225</v>
      </c>
      <c r="I557" s="127" t="s">
        <v>260</v>
      </c>
      <c r="J557" s="127" t="s">
        <v>1250</v>
      </c>
      <c r="K557" s="129">
        <v>46202.259027777778</v>
      </c>
      <c r="L557" s="129">
        <v>46202.341226851851</v>
      </c>
      <c r="M557" s="129">
        <v>46202.341226851851</v>
      </c>
      <c r="N557" s="129"/>
      <c r="O557" s="131"/>
      <c r="P557" s="131"/>
      <c r="Q557" s="127" t="s">
        <v>1849</v>
      </c>
      <c r="R557" s="127"/>
      <c r="S557" s="127"/>
      <c r="T557" s="127"/>
      <c r="U557" s="127" t="s">
        <v>371</v>
      </c>
      <c r="Z557" s="169">
        <f t="shared" ca="1" si="80"/>
        <v>15.675640856478518</v>
      </c>
      <c r="AA557" s="170">
        <f t="shared" ca="1" si="81"/>
        <v>41.801708950609381</v>
      </c>
      <c r="AB557" s="169">
        <f t="shared" ca="1" si="82"/>
        <v>15.667747337960463</v>
      </c>
      <c r="AC557" s="170">
        <f t="shared" ca="1" si="83"/>
        <v>41.780659567894567</v>
      </c>
      <c r="AD557" s="169">
        <f t="shared" ca="1" si="84"/>
        <v>0</v>
      </c>
      <c r="AE557" s="169">
        <f t="shared" ca="1" si="87"/>
        <v>31.343387615738415</v>
      </c>
      <c r="AF557" s="170">
        <f t="shared" ca="1" si="85"/>
        <v>83.582366975302449</v>
      </c>
      <c r="AG557" s="170">
        <f t="shared" ca="1" si="86"/>
        <v>83.582366975302449</v>
      </c>
      <c r="AH557" s="28" t="str" cm="1">
        <f t="array" aca="1" ref="AH557" ca="1">IF((AD557) &lt; (INDEX(ResponseSLA[#All],(MATCH((G557),ResponseSLA[Priority],0))+1,3)),"YES","No")</f>
        <v>YES</v>
      </c>
      <c r="AI557" s="28" t="str">
        <f ca="1">_xlfn.IFNA(IF(AE557 &lt; (INDEX(SLATable[Minimum SLA],MATCH(G557,SLATable[Priority],0))),"YES","NO"),"")</f>
        <v>NO</v>
      </c>
      <c r="AJ557" s="28" t="str">
        <f ca="1">_xlfn.IFNA(IF(AE557 &lt; (INDEX(SLATable[Maximum SLA],MATCH(G557,SLATable[Priority],0))),"YES","NO"),"")</f>
        <v>NO</v>
      </c>
    </row>
    <row r="558" spans="2:36" ht="15" customHeight="1">
      <c r="B558" s="127" t="s">
        <v>26</v>
      </c>
      <c r="C558" s="127" t="s">
        <v>35</v>
      </c>
      <c r="D558" s="256" t="s">
        <v>208</v>
      </c>
      <c r="E558" s="127" t="s">
        <v>2226</v>
      </c>
      <c r="F558" s="127" t="s">
        <v>303</v>
      </c>
      <c r="G558" s="127" t="s">
        <v>208</v>
      </c>
      <c r="H558" s="127" t="s">
        <v>2227</v>
      </c>
      <c r="I558" s="127" t="s">
        <v>260</v>
      </c>
      <c r="J558" s="127" t="s">
        <v>1250</v>
      </c>
      <c r="K558" s="129">
        <v>46202.259027777778</v>
      </c>
      <c r="L558" s="129">
        <v>46202.340833333335</v>
      </c>
      <c r="M558" s="129">
        <v>46202.340833333335</v>
      </c>
      <c r="N558" s="129"/>
      <c r="O558" s="131"/>
      <c r="P558" s="131"/>
      <c r="Q558" s="127" t="s">
        <v>1851</v>
      </c>
      <c r="R558" s="127"/>
      <c r="S558" s="127"/>
      <c r="T558" s="127"/>
      <c r="U558" s="127" t="s">
        <v>371</v>
      </c>
      <c r="Z558" s="169">
        <f t="shared" ca="1" si="80"/>
        <v>15.675640856478518</v>
      </c>
      <c r="AA558" s="170">
        <f t="shared" ca="1" si="81"/>
        <v>41.801708950609381</v>
      </c>
      <c r="AB558" s="169">
        <f t="shared" ca="1" si="82"/>
        <v>15.668140856476384</v>
      </c>
      <c r="AC558" s="170">
        <f t="shared" ca="1" si="83"/>
        <v>41.781708950603694</v>
      </c>
      <c r="AD558" s="169">
        <f t="shared" ca="1" si="84"/>
        <v>0</v>
      </c>
      <c r="AE558" s="169">
        <f t="shared" ca="1" si="87"/>
        <v>19.061289004627422</v>
      </c>
      <c r="AF558" s="170">
        <f t="shared" ca="1" si="85"/>
        <v>50.830104012339788</v>
      </c>
      <c r="AG558" s="170">
        <f t="shared" ca="1" si="86"/>
        <v>50.830104012339788</v>
      </c>
      <c r="AH558" s="28" t="str" cm="1">
        <f t="array" aca="1" ref="AH558" ca="1">IF((AD558) &lt; (INDEX(ResponseSLA[#All],(MATCH((G558),ResponseSLA[Priority],0))+1,3)),"YES","No")</f>
        <v>YES</v>
      </c>
      <c r="AI558" s="28" t="str">
        <f ca="1">_xlfn.IFNA(IF(AE558 &lt; (INDEX(SLATable[Minimum SLA],MATCH(G558,SLATable[Priority],0))),"YES","NO"),"")</f>
        <v>NO</v>
      </c>
      <c r="AJ558" s="28" t="str">
        <f ca="1">_xlfn.IFNA(IF(AE558 &lt; (INDEX(SLATable[Maximum SLA],MATCH(G558,SLATable[Priority],0))),"YES","NO"),"")</f>
        <v>NO</v>
      </c>
    </row>
    <row r="559" spans="2:36" ht="15" customHeight="1">
      <c r="B559" s="127" t="s">
        <v>26</v>
      </c>
      <c r="C559" s="127" t="s">
        <v>35</v>
      </c>
      <c r="D559" s="256" t="s">
        <v>208</v>
      </c>
      <c r="E559" s="127" t="s">
        <v>2228</v>
      </c>
      <c r="F559" s="127" t="s">
        <v>303</v>
      </c>
      <c r="G559" s="127" t="s">
        <v>208</v>
      </c>
      <c r="H559" s="127" t="s">
        <v>2229</v>
      </c>
      <c r="I559" s="127" t="s">
        <v>260</v>
      </c>
      <c r="J559" s="127" t="s">
        <v>1250</v>
      </c>
      <c r="K559" s="129">
        <v>46202.260416666664</v>
      </c>
      <c r="L559" s="129">
        <v>46202.340590277781</v>
      </c>
      <c r="M559" s="129">
        <v>46202.340590277781</v>
      </c>
      <c r="N559" s="129"/>
      <c r="O559" s="131"/>
      <c r="P559" s="131"/>
      <c r="Q559" s="127" t="s">
        <v>1851</v>
      </c>
      <c r="R559" s="127"/>
      <c r="S559" s="127"/>
      <c r="T559" s="127"/>
      <c r="U559" s="127" t="s">
        <v>371</v>
      </c>
      <c r="Z559" s="169">
        <f t="shared" ca="1" si="80"/>
        <v>15.675640856478518</v>
      </c>
      <c r="AA559" s="170">
        <f t="shared" ca="1" si="81"/>
        <v>41.801708950609381</v>
      </c>
      <c r="AB559" s="169">
        <f t="shared" ca="1" si="82"/>
        <v>15.668383912030549</v>
      </c>
      <c r="AC559" s="170">
        <f t="shared" ca="1" si="83"/>
        <v>41.782357098748129</v>
      </c>
      <c r="AD559" s="169">
        <f t="shared" ca="1" si="84"/>
        <v>0</v>
      </c>
      <c r="AE559" s="169">
        <f t="shared" ca="1" si="87"/>
        <v>19.060212615734297</v>
      </c>
      <c r="AF559" s="170">
        <f t="shared" ca="1" si="85"/>
        <v>50.827233641958124</v>
      </c>
      <c r="AG559" s="170">
        <f t="shared" ca="1" si="86"/>
        <v>50.827233641958124</v>
      </c>
      <c r="AH559" s="28" t="str" cm="1">
        <f t="array" aca="1" ref="AH559" ca="1">IF((AD559) &lt; (INDEX(ResponseSLA[#All],(MATCH((G559),ResponseSLA[Priority],0))+1,3)),"YES","No")</f>
        <v>YES</v>
      </c>
      <c r="AI559" s="28" t="str">
        <f ca="1">_xlfn.IFNA(IF(AE559 &lt; (INDEX(SLATable[Minimum SLA],MATCH(G559,SLATable[Priority],0))),"YES","NO"),"")</f>
        <v>NO</v>
      </c>
      <c r="AJ559" s="28" t="str">
        <f ca="1">_xlfn.IFNA(IF(AE559 &lt; (INDEX(SLATable[Maximum SLA],MATCH(G559,SLATable[Priority],0))),"YES","NO"),"")</f>
        <v>NO</v>
      </c>
    </row>
    <row r="560" spans="2:36" ht="15" customHeight="1">
      <c r="B560" s="127" t="s">
        <v>26</v>
      </c>
      <c r="C560" s="127" t="s">
        <v>35</v>
      </c>
      <c r="D560" s="256" t="s">
        <v>208</v>
      </c>
      <c r="E560" s="127" t="s">
        <v>2230</v>
      </c>
      <c r="F560" s="127" t="s">
        <v>303</v>
      </c>
      <c r="G560" s="127" t="s">
        <v>208</v>
      </c>
      <c r="H560" s="127" t="s">
        <v>2231</v>
      </c>
      <c r="I560" s="127" t="s">
        <v>260</v>
      </c>
      <c r="J560" s="127" t="s">
        <v>1250</v>
      </c>
      <c r="K560" s="129">
        <v>46202.261111111111</v>
      </c>
      <c r="L560" s="129">
        <v>46202.340370370373</v>
      </c>
      <c r="M560" s="129">
        <v>46202.340370370373</v>
      </c>
      <c r="N560" s="129"/>
      <c r="O560" s="131"/>
      <c r="P560" s="131"/>
      <c r="Q560" s="127" t="s">
        <v>1847</v>
      </c>
      <c r="R560" s="127"/>
      <c r="S560" s="127"/>
      <c r="T560" s="127"/>
      <c r="U560" s="127" t="s">
        <v>371</v>
      </c>
      <c r="Z560" s="169">
        <f t="shared" ca="1" si="80"/>
        <v>15.675640856478518</v>
      </c>
      <c r="AA560" s="170">
        <f t="shared" ca="1" si="81"/>
        <v>41.801708950609381</v>
      </c>
      <c r="AB560" s="169">
        <f t="shared" ca="1" si="82"/>
        <v>15.668603819438431</v>
      </c>
      <c r="AC560" s="170">
        <f t="shared" ca="1" si="83"/>
        <v>41.782943518502485</v>
      </c>
      <c r="AD560" s="169">
        <f t="shared" ca="1" si="84"/>
        <v>0</v>
      </c>
      <c r="AE560" s="169">
        <f t="shared" ca="1" si="87"/>
        <v>19.043603819438431</v>
      </c>
      <c r="AF560" s="170">
        <f t="shared" ca="1" si="85"/>
        <v>50.782943518502485</v>
      </c>
      <c r="AG560" s="170">
        <f t="shared" ca="1" si="86"/>
        <v>50.782943518502485</v>
      </c>
      <c r="AH560" s="28" t="str" cm="1">
        <f t="array" aca="1" ref="AH560" ca="1">IF((AD560) &lt; (INDEX(ResponseSLA[#All],(MATCH((G560),ResponseSLA[Priority],0))+1,3)),"YES","No")</f>
        <v>YES</v>
      </c>
      <c r="AI560" s="28" t="str">
        <f ca="1">_xlfn.IFNA(IF(AE560 &lt; (INDEX(SLATable[Minimum SLA],MATCH(G560,SLATable[Priority],0))),"YES","NO"),"")</f>
        <v>NO</v>
      </c>
      <c r="AJ560" s="28" t="str">
        <f ca="1">_xlfn.IFNA(IF(AE560 &lt; (INDEX(SLATable[Maximum SLA],MATCH(G560,SLATable[Priority],0))),"YES","NO"),"")</f>
        <v>NO</v>
      </c>
    </row>
    <row r="561" spans="2:36" ht="15" customHeight="1">
      <c r="B561" s="127" t="s">
        <v>26</v>
      </c>
      <c r="C561" s="127" t="s">
        <v>35</v>
      </c>
      <c r="D561" s="256" t="s">
        <v>208</v>
      </c>
      <c r="E561" s="127" t="s">
        <v>2232</v>
      </c>
      <c r="F561" s="127" t="s">
        <v>303</v>
      </c>
      <c r="G561" s="127" t="s">
        <v>208</v>
      </c>
      <c r="H561" s="127" t="s">
        <v>2233</v>
      </c>
      <c r="I561" s="127" t="s">
        <v>260</v>
      </c>
      <c r="J561" s="127" t="s">
        <v>1250</v>
      </c>
      <c r="K561" s="129">
        <v>46202.261111111111</v>
      </c>
      <c r="L561" s="129">
        <v>46202.340081018519</v>
      </c>
      <c r="M561" s="129">
        <v>46202.340081018519</v>
      </c>
      <c r="N561" s="129"/>
      <c r="O561" s="131"/>
      <c r="P561" s="131"/>
      <c r="Q561" s="127" t="s">
        <v>1863</v>
      </c>
      <c r="R561" s="127"/>
      <c r="S561" s="127"/>
      <c r="T561" s="127"/>
      <c r="U561" s="127" t="s">
        <v>371</v>
      </c>
      <c r="Z561" s="169">
        <f t="shared" ca="1" si="80"/>
        <v>15.675640856478518</v>
      </c>
      <c r="AA561" s="170">
        <f t="shared" ca="1" si="81"/>
        <v>41.801708950609381</v>
      </c>
      <c r="AB561" s="169">
        <f t="shared" ca="1" si="82"/>
        <v>15.668893171292439</v>
      </c>
      <c r="AC561" s="170">
        <f t="shared" ca="1" si="83"/>
        <v>41.783715123446505</v>
      </c>
      <c r="AD561" s="169">
        <f t="shared" ca="1" si="84"/>
        <v>0</v>
      </c>
      <c r="AE561" s="169">
        <f t="shared" ca="1" si="87"/>
        <v>19.119900115738954</v>
      </c>
      <c r="AF561" s="170">
        <f t="shared" ca="1" si="85"/>
        <v>50.986400308637208</v>
      </c>
      <c r="AG561" s="170">
        <f t="shared" ca="1" si="86"/>
        <v>50.986400308637208</v>
      </c>
      <c r="AH561" s="28" t="str" cm="1">
        <f t="array" aca="1" ref="AH561" ca="1">IF((AD561) &lt; (INDEX(ResponseSLA[#All],(MATCH((G561),ResponseSLA[Priority],0))+1,3)),"YES","No")</f>
        <v>YES</v>
      </c>
      <c r="AI561" s="28" t="str">
        <f ca="1">_xlfn.IFNA(IF(AE561 &lt; (INDEX(SLATable[Minimum SLA],MATCH(G561,SLATable[Priority],0))),"YES","NO"),"")</f>
        <v>NO</v>
      </c>
      <c r="AJ561" s="28" t="str">
        <f ca="1">_xlfn.IFNA(IF(AE561 &lt; (INDEX(SLATable[Maximum SLA],MATCH(G561,SLATable[Priority],0))),"YES","NO"),"")</f>
        <v>NO</v>
      </c>
    </row>
    <row r="562" spans="2:36" ht="15" customHeight="1">
      <c r="B562" s="127" t="s">
        <v>26</v>
      </c>
      <c r="C562" s="127" t="s">
        <v>35</v>
      </c>
      <c r="D562" s="256" t="s">
        <v>208</v>
      </c>
      <c r="E562" s="127" t="s">
        <v>2234</v>
      </c>
      <c r="F562" s="127" t="s">
        <v>303</v>
      </c>
      <c r="G562" s="127" t="s">
        <v>208</v>
      </c>
      <c r="H562" s="127" t="s">
        <v>2235</v>
      </c>
      <c r="I562" s="127" t="s">
        <v>260</v>
      </c>
      <c r="J562" s="127" t="s">
        <v>1250</v>
      </c>
      <c r="K562" s="129">
        <v>46202.261805555558</v>
      </c>
      <c r="L562" s="129">
        <v>46202.339872685188</v>
      </c>
      <c r="M562" s="129">
        <v>46202.339872685188</v>
      </c>
      <c r="N562" s="129"/>
      <c r="O562" s="131"/>
      <c r="P562" s="131"/>
      <c r="Q562" s="127" t="s">
        <v>1863</v>
      </c>
      <c r="R562" s="127"/>
      <c r="S562" s="127"/>
      <c r="T562" s="127"/>
      <c r="U562" s="127" t="s">
        <v>371</v>
      </c>
      <c r="Z562" s="169">
        <f t="shared" ca="1" si="80"/>
        <v>15.675640856478518</v>
      </c>
      <c r="AA562" s="170">
        <f t="shared" ca="1" si="81"/>
        <v>41.801708950609381</v>
      </c>
      <c r="AB562" s="169">
        <f t="shared" ca="1" si="82"/>
        <v>15.669101504623541</v>
      </c>
      <c r="AC562" s="170">
        <f t="shared" ca="1" si="83"/>
        <v>41.784270678996108</v>
      </c>
      <c r="AD562" s="169">
        <f t="shared" ca="1" si="84"/>
        <v>0</v>
      </c>
      <c r="AE562" s="169">
        <f t="shared" ca="1" si="87"/>
        <v>31.344741782401492</v>
      </c>
      <c r="AF562" s="170">
        <f t="shared" ca="1" si="85"/>
        <v>83.585978086403983</v>
      </c>
      <c r="AG562" s="170">
        <f t="shared" ca="1" si="86"/>
        <v>83.585978086403983</v>
      </c>
      <c r="AH562" s="28" t="str" cm="1">
        <f t="array" aca="1" ref="AH562" ca="1">IF((AD562) &lt; (INDEX(ResponseSLA[#All],(MATCH((G562),ResponseSLA[Priority],0))+1,3)),"YES","No")</f>
        <v>YES</v>
      </c>
      <c r="AI562" s="28" t="str">
        <f ca="1">_xlfn.IFNA(IF(AE562 &lt; (INDEX(SLATable[Minimum SLA],MATCH(G562,SLATable[Priority],0))),"YES","NO"),"")</f>
        <v>NO</v>
      </c>
      <c r="AJ562" s="28" t="str">
        <f ca="1">_xlfn.IFNA(IF(AE562 &lt; (INDEX(SLATable[Maximum SLA],MATCH(G562,SLATable[Priority],0))),"YES","NO"),"")</f>
        <v>NO</v>
      </c>
    </row>
    <row r="563" spans="2:36" ht="15" customHeight="1">
      <c r="B563" s="127" t="s">
        <v>26</v>
      </c>
      <c r="C563" s="127" t="s">
        <v>35</v>
      </c>
      <c r="D563" s="256" t="s">
        <v>208</v>
      </c>
      <c r="E563" s="127" t="s">
        <v>2236</v>
      </c>
      <c r="F563" s="127" t="s">
        <v>289</v>
      </c>
      <c r="G563" s="127" t="s">
        <v>208</v>
      </c>
      <c r="H563" s="127" t="s">
        <v>1898</v>
      </c>
      <c r="I563" s="127" t="s">
        <v>260</v>
      </c>
      <c r="J563" s="127" t="s">
        <v>1250</v>
      </c>
      <c r="K563" s="129">
        <v>46203.375694444447</v>
      </c>
      <c r="L563" s="129">
        <v>46203.385752314818</v>
      </c>
      <c r="M563" s="129">
        <v>46203.385752314818</v>
      </c>
      <c r="N563" s="129"/>
      <c r="O563" s="131"/>
      <c r="P563" s="131"/>
      <c r="Q563" s="127" t="s">
        <v>1431</v>
      </c>
      <c r="R563" s="127"/>
      <c r="S563" s="127"/>
      <c r="T563" s="127"/>
      <c r="U563" s="127" t="s">
        <v>371</v>
      </c>
      <c r="Z563" s="169">
        <f t="shared" ca="1" si="80"/>
        <v>15.258279745365146</v>
      </c>
      <c r="AA563" s="170">
        <f t="shared" ca="1" si="81"/>
        <v>40.688745987640388</v>
      </c>
      <c r="AB563" s="169">
        <f t="shared" ca="1" si="82"/>
        <v>15.248221874993762</v>
      </c>
      <c r="AC563" s="170">
        <f t="shared" ca="1" si="83"/>
        <v>40.66192499998337</v>
      </c>
      <c r="AD563" s="169">
        <f t="shared" ca="1" si="84"/>
        <v>0</v>
      </c>
      <c r="AE563" s="169">
        <f t="shared" ca="1" si="87"/>
        <v>16.450235763884852</v>
      </c>
      <c r="AF563" s="170">
        <f t="shared" ca="1" si="85"/>
        <v>43.867295370359606</v>
      </c>
      <c r="AG563" s="170">
        <f t="shared" ca="1" si="86"/>
        <v>43.867295370359606</v>
      </c>
      <c r="AH563" s="28" t="str" cm="1">
        <f t="array" aca="1" ref="AH563" ca="1">IF((AD563) &lt; (INDEX(ResponseSLA[#All],(MATCH((G563),ResponseSLA[Priority],0))+1,3)),"YES","No")</f>
        <v>YES</v>
      </c>
      <c r="AI563" s="28" t="str">
        <f ca="1">_xlfn.IFNA(IF(AE563 &lt; (INDEX(SLATable[Minimum SLA],MATCH(G563,SLATable[Priority],0))),"YES","NO"),"")</f>
        <v>NO</v>
      </c>
      <c r="AJ563" s="28" t="str">
        <f ca="1">_xlfn.IFNA(IF(AE563 &lt; (INDEX(SLATable[Maximum SLA],MATCH(G563,SLATable[Priority],0))),"YES","NO"),"")</f>
        <v>NO</v>
      </c>
    </row>
    <row r="564" spans="2:36" ht="15" customHeight="1">
      <c r="B564" s="127" t="s">
        <v>26</v>
      </c>
      <c r="C564" s="127" t="s">
        <v>35</v>
      </c>
      <c r="D564" s="256" t="s">
        <v>208</v>
      </c>
      <c r="E564" s="127" t="s">
        <v>2237</v>
      </c>
      <c r="F564" s="127" t="s">
        <v>289</v>
      </c>
      <c r="G564" s="127" t="s">
        <v>208</v>
      </c>
      <c r="H564" s="127" t="s">
        <v>1889</v>
      </c>
      <c r="I564" s="127" t="s">
        <v>260</v>
      </c>
      <c r="J564" s="127" t="s">
        <v>1250</v>
      </c>
      <c r="K564" s="129">
        <v>46203.375694444447</v>
      </c>
      <c r="L564" s="129">
        <v>46203.385972222219</v>
      </c>
      <c r="M564" s="129">
        <v>46203.385972222219</v>
      </c>
      <c r="N564" s="129"/>
      <c r="O564" s="131"/>
      <c r="P564" s="131"/>
      <c r="Q564" s="127" t="s">
        <v>1891</v>
      </c>
      <c r="R564" s="127"/>
      <c r="S564" s="127"/>
      <c r="T564" s="127"/>
      <c r="U564" s="127" t="s">
        <v>371</v>
      </c>
      <c r="Z564" s="169">
        <f t="shared" ca="1" si="80"/>
        <v>15.258279745365146</v>
      </c>
      <c r="AA564" s="170">
        <f t="shared" ca="1" si="81"/>
        <v>40.688745987640388</v>
      </c>
      <c r="AB564" s="169">
        <f t="shared" ca="1" si="82"/>
        <v>15.248001967593156</v>
      </c>
      <c r="AC564" s="170">
        <f t="shared" ca="1" si="83"/>
        <v>40.661338580248419</v>
      </c>
      <c r="AD564" s="169">
        <f t="shared" ca="1" si="84"/>
        <v>0</v>
      </c>
      <c r="AE564" s="169">
        <f t="shared" ca="1" si="87"/>
        <v>16.450397800930663</v>
      </c>
      <c r="AF564" s="170">
        <f t="shared" ca="1" si="85"/>
        <v>43.867727469148434</v>
      </c>
      <c r="AG564" s="170">
        <f t="shared" ca="1" si="86"/>
        <v>43.867727469148434</v>
      </c>
      <c r="AH564" s="28" t="str" cm="1">
        <f t="array" aca="1" ref="AH564" ca="1">IF((AD564) &lt; (INDEX(ResponseSLA[#All],(MATCH((G564),ResponseSLA[Priority],0))+1,3)),"YES","No")</f>
        <v>YES</v>
      </c>
      <c r="AI564" s="28" t="str">
        <f ca="1">_xlfn.IFNA(IF(AE564 &lt; (INDEX(SLATable[Minimum SLA],MATCH(G564,SLATable[Priority],0))),"YES","NO"),"")</f>
        <v>NO</v>
      </c>
      <c r="AJ564" s="28" t="str">
        <f ca="1">_xlfn.IFNA(IF(AE564 &lt; (INDEX(SLATable[Maximum SLA],MATCH(G564,SLATable[Priority],0))),"YES","NO"),"")</f>
        <v>NO</v>
      </c>
    </row>
    <row r="565" spans="2:36" ht="15" customHeight="1">
      <c r="B565" s="127" t="s">
        <v>26</v>
      </c>
      <c r="C565" s="127" t="s">
        <v>35</v>
      </c>
      <c r="D565" s="256" t="s">
        <v>208</v>
      </c>
      <c r="E565" s="127" t="s">
        <v>2238</v>
      </c>
      <c r="F565" s="127" t="s">
        <v>292</v>
      </c>
      <c r="G565" s="127" t="s">
        <v>208</v>
      </c>
      <c r="H565" s="127" t="s">
        <v>2239</v>
      </c>
      <c r="I565" s="127" t="s">
        <v>260</v>
      </c>
      <c r="J565" s="127" t="s">
        <v>1250</v>
      </c>
      <c r="K565" s="129">
        <v>46203.376388888886</v>
      </c>
      <c r="L565" s="129">
        <v>46203.386608796296</v>
      </c>
      <c r="M565" s="129">
        <v>46203.386608796296</v>
      </c>
      <c r="N565" s="129"/>
      <c r="O565" s="131"/>
      <c r="P565" s="131"/>
      <c r="Q565" s="127" t="s">
        <v>1073</v>
      </c>
      <c r="R565" s="127"/>
      <c r="S565" s="127"/>
      <c r="T565" s="127"/>
      <c r="U565" s="127" t="s">
        <v>371</v>
      </c>
      <c r="Z565" s="169">
        <f t="shared" ca="1" si="80"/>
        <v>15.257585300925713</v>
      </c>
      <c r="AA565" s="170">
        <f t="shared" ca="1" si="81"/>
        <v>40.686894135801907</v>
      </c>
      <c r="AB565" s="169">
        <f t="shared" ca="1" si="82"/>
        <v>15.247365393515794</v>
      </c>
      <c r="AC565" s="170">
        <f t="shared" ca="1" si="83"/>
        <v>40.659641049375452</v>
      </c>
      <c r="AD565" s="169">
        <f t="shared" ca="1" si="84"/>
        <v>0</v>
      </c>
      <c r="AE565" s="169">
        <f t="shared" ca="1" si="87"/>
        <v>16.45043252314645</v>
      </c>
      <c r="AF565" s="170">
        <f t="shared" ca="1" si="85"/>
        <v>43.867820061723869</v>
      </c>
      <c r="AG565" s="170">
        <f t="shared" ca="1" si="86"/>
        <v>43.867820061723869</v>
      </c>
      <c r="AH565" s="28" t="str" cm="1">
        <f t="array" aca="1" ref="AH565" ca="1">IF((AD565) &lt; (INDEX(ResponseSLA[#All],(MATCH((G565),ResponseSLA[Priority],0))+1,3)),"YES","No")</f>
        <v>YES</v>
      </c>
      <c r="AI565" s="28" t="str">
        <f ca="1">_xlfn.IFNA(IF(AE565 &lt; (INDEX(SLATable[Minimum SLA],MATCH(G565,SLATable[Priority],0))),"YES","NO"),"")</f>
        <v>NO</v>
      </c>
      <c r="AJ565" s="28" t="str">
        <f ca="1">_xlfn.IFNA(IF(AE565 &lt; (INDEX(SLATable[Maximum SLA],MATCH(G565,SLATable[Priority],0))),"YES","NO"),"")</f>
        <v>NO</v>
      </c>
    </row>
    <row r="566" spans="2:36" ht="15" customHeight="1">
      <c r="B566" s="127" t="s">
        <v>26</v>
      </c>
      <c r="C566" s="127" t="s">
        <v>35</v>
      </c>
      <c r="D566" s="256" t="s">
        <v>208</v>
      </c>
      <c r="E566" s="127" t="s">
        <v>2240</v>
      </c>
      <c r="F566" s="127" t="s">
        <v>292</v>
      </c>
      <c r="G566" s="127" t="s">
        <v>208</v>
      </c>
      <c r="H566" s="127" t="s">
        <v>1174</v>
      </c>
      <c r="I566" s="127" t="s">
        <v>271</v>
      </c>
      <c r="J566" s="127" t="s">
        <v>1619</v>
      </c>
      <c r="K566" s="129">
        <v>46189.648611111108</v>
      </c>
      <c r="L566" s="129">
        <v>46189.78402777778</v>
      </c>
      <c r="M566" s="129">
        <v>46190.352083333331</v>
      </c>
      <c r="N566" s="129">
        <v>46225.484293981484</v>
      </c>
      <c r="O566" s="131">
        <v>46210.4841087963</v>
      </c>
      <c r="P566" s="131">
        <v>46225.484293981484</v>
      </c>
      <c r="Q566" s="127" t="s">
        <v>1073</v>
      </c>
      <c r="R566" s="127" t="s">
        <v>267</v>
      </c>
      <c r="S566" s="127" t="s">
        <v>179</v>
      </c>
      <c r="T566" s="127"/>
      <c r="U566" s="127" t="s">
        <v>371</v>
      </c>
      <c r="Z566" s="169">
        <f t="shared" ca="1" si="80"/>
        <v>5.4604976851915135</v>
      </c>
      <c r="AA566" s="170">
        <f t="shared" ca="1" si="81"/>
        <v>14.561327160510704</v>
      </c>
      <c r="AB566" s="169">
        <f t="shared" ca="1" si="82"/>
        <v>5.4007754629662186</v>
      </c>
      <c r="AC566" s="170">
        <f t="shared" ca="1" si="83"/>
        <v>14.40206790124325</v>
      </c>
      <c r="AD566" s="169">
        <f t="shared" ca="1" si="84"/>
        <v>1.8749999998059708E-2</v>
      </c>
      <c r="AE566" s="169">
        <f t="shared" ca="1" si="87"/>
        <v>5.4007754629662186</v>
      </c>
      <c r="AF566" s="170">
        <f t="shared" ca="1" si="85"/>
        <v>14.40206790124325</v>
      </c>
      <c r="AG566" s="170">
        <f t="shared" ca="1" si="86"/>
        <v>14.40206790124325</v>
      </c>
      <c r="AH566" s="28" t="str" cm="1">
        <f t="array" aca="1" ref="AH566" ca="1">IF((AD566) &lt; (INDEX(ResponseSLA[#All],(MATCH((G566),ResponseSLA[Priority],0))+1,3)),"YES","No")</f>
        <v>YES</v>
      </c>
      <c r="AI566" s="28" t="str">
        <f ca="1">_xlfn.IFNA(IF(AE566 &lt; (INDEX(SLATable[Minimum SLA],MATCH(G566,SLATable[Priority],0))),"YES","NO"),"")</f>
        <v>NO</v>
      </c>
      <c r="AJ566" s="28" t="str">
        <f ca="1">_xlfn.IFNA(IF(AE566 &lt; (INDEX(SLATable[Maximum SLA],MATCH(G566,SLATable[Priority],0))),"YES","NO"),"")</f>
        <v>NO</v>
      </c>
    </row>
    <row r="567" spans="2:36" ht="15" customHeight="1">
      <c r="B567" s="127" t="s">
        <v>26</v>
      </c>
      <c r="C567" s="127" t="s">
        <v>35</v>
      </c>
      <c r="D567" s="256" t="s">
        <v>208</v>
      </c>
      <c r="E567" s="127" t="s">
        <v>2241</v>
      </c>
      <c r="F567" s="127" t="s">
        <v>292</v>
      </c>
      <c r="G567" s="127" t="s">
        <v>208</v>
      </c>
      <c r="H567" s="127" t="s">
        <v>2242</v>
      </c>
      <c r="I567" s="127" t="s">
        <v>271</v>
      </c>
      <c r="J567" s="127" t="s">
        <v>1619</v>
      </c>
      <c r="K567" s="129">
        <v>46198.526388888888</v>
      </c>
      <c r="L567" s="129">
        <v>46198.527083333334</v>
      </c>
      <c r="M567" s="129">
        <v>46202.34652777778</v>
      </c>
      <c r="N567" s="129">
        <v>46218.454409722224</v>
      </c>
      <c r="O567" s="131">
        <v>46203.453472222223</v>
      </c>
      <c r="P567" s="131">
        <v>46218.454409722224</v>
      </c>
      <c r="Q567" s="127" t="s">
        <v>1073</v>
      </c>
      <c r="R567" s="127" t="s">
        <v>267</v>
      </c>
      <c r="S567" s="127" t="s">
        <v>139</v>
      </c>
      <c r="T567" s="127"/>
      <c r="U567" s="127" t="s">
        <v>371</v>
      </c>
      <c r="Z567" s="169">
        <f t="shared" ca="1" si="80"/>
        <v>1.0520833333357587</v>
      </c>
      <c r="AA567" s="170">
        <f t="shared" ca="1" si="81"/>
        <v>2.8055555555620231</v>
      </c>
      <c r="AB567" s="169">
        <f t="shared" ca="1" si="82"/>
        <v>1.0513888888890506</v>
      </c>
      <c r="AC567" s="170">
        <f t="shared" ca="1" si="83"/>
        <v>2.803703703704135</v>
      </c>
      <c r="AD567" s="169">
        <f t="shared" ca="1" si="84"/>
        <v>0.56944444444525288</v>
      </c>
      <c r="AE567" s="169">
        <f t="shared" ca="1" si="87"/>
        <v>1.0513888888890506</v>
      </c>
      <c r="AF567" s="170">
        <f t="shared" ca="1" si="85"/>
        <v>2.803703703704135</v>
      </c>
      <c r="AG567" s="170">
        <f t="shared" ca="1" si="86"/>
        <v>2.803703703704135</v>
      </c>
      <c r="AH567" s="28" t="str" cm="1">
        <f t="array" aca="1" ref="AH567" ca="1">IF((AD567) &lt; (INDEX(ResponseSLA[#All],(MATCH((G567),ResponseSLA[Priority],0))+1,3)),"YES","No")</f>
        <v>No</v>
      </c>
      <c r="AI567" s="28" t="str">
        <f ca="1">_xlfn.IFNA(IF(AE567 &lt; (INDEX(SLATable[Minimum SLA],MATCH(G567,SLATable[Priority],0))),"YES","NO"),"")</f>
        <v>NO</v>
      </c>
      <c r="AJ567" s="28" t="str">
        <f ca="1">_xlfn.IFNA(IF(AE567 &lt; (INDEX(SLATable[Maximum SLA],MATCH(G567,SLATable[Priority],0))),"YES","NO"),"")</f>
        <v>NO</v>
      </c>
    </row>
    <row r="568" spans="2:36" ht="15" customHeight="1">
      <c r="B568" s="127" t="s">
        <v>26</v>
      </c>
      <c r="C568" s="127" t="s">
        <v>35</v>
      </c>
      <c r="D568" s="256" t="s">
        <v>208</v>
      </c>
      <c r="E568" s="127" t="s">
        <v>2243</v>
      </c>
      <c r="F568" s="127" t="s">
        <v>289</v>
      </c>
      <c r="G568" s="127" t="s">
        <v>208</v>
      </c>
      <c r="H568" s="127" t="s">
        <v>2244</v>
      </c>
      <c r="I568" s="127" t="s">
        <v>260</v>
      </c>
      <c r="J568" s="127" t="s">
        <v>1408</v>
      </c>
      <c r="K568" s="129">
        <v>46195.262499999997</v>
      </c>
      <c r="L568" s="129">
        <v>46195.262499999997</v>
      </c>
      <c r="M568" s="129">
        <v>46195.547222222223</v>
      </c>
      <c r="N568" s="129"/>
      <c r="O568" s="131"/>
      <c r="P568" s="131"/>
      <c r="Q568" s="127" t="s">
        <v>2245</v>
      </c>
      <c r="R568" s="127"/>
      <c r="S568" s="127"/>
      <c r="T568" s="127"/>
      <c r="U568" s="127" t="s">
        <v>371</v>
      </c>
      <c r="Z568" s="169">
        <f t="shared" ca="1" si="80"/>
        <v>17.550640856478523</v>
      </c>
      <c r="AA568" s="170">
        <f t="shared" ca="1" si="81"/>
        <v>46.801708950609395</v>
      </c>
      <c r="AB568" s="169">
        <f t="shared" ca="1" si="82"/>
        <v>17.550640856478523</v>
      </c>
      <c r="AC568" s="170">
        <f t="shared" ca="1" si="83"/>
        <v>46.801708950609395</v>
      </c>
      <c r="AD568" s="169">
        <f t="shared" ca="1" si="84"/>
        <v>0.21388888889002072</v>
      </c>
      <c r="AE568" s="169">
        <f t="shared" ca="1" si="87"/>
        <v>17.550640856478523</v>
      </c>
      <c r="AF568" s="170">
        <f t="shared" ca="1" si="85"/>
        <v>46.801708950609395</v>
      </c>
      <c r="AG568" s="170">
        <f t="shared" ca="1" si="86"/>
        <v>46.801708950609395</v>
      </c>
      <c r="AH568" s="28" t="str" cm="1">
        <f t="array" aca="1" ref="AH568" ca="1">IF((AD568) &lt; (INDEX(ResponseSLA[#All],(MATCH((G568),ResponseSLA[Priority],0))+1,3)),"YES","No")</f>
        <v>YES</v>
      </c>
      <c r="AI568" s="28" t="str">
        <f ca="1">_xlfn.IFNA(IF(AE568 &lt; (INDEX(SLATable[Minimum SLA],MATCH(G568,SLATable[Priority],0))),"YES","NO"),"")</f>
        <v>NO</v>
      </c>
      <c r="AJ568" s="28" t="str">
        <f ca="1">_xlfn.IFNA(IF(AE568 &lt; (INDEX(SLATable[Maximum SLA],MATCH(G568,SLATable[Priority],0))),"YES","NO"),"")</f>
        <v>NO</v>
      </c>
    </row>
    <row r="569" spans="2:36" ht="15" customHeight="1">
      <c r="B569" s="127" t="s">
        <v>26</v>
      </c>
      <c r="C569" s="127" t="s">
        <v>35</v>
      </c>
      <c r="D569" s="256" t="s">
        <v>208</v>
      </c>
      <c r="E569" s="127" t="s">
        <v>2246</v>
      </c>
      <c r="F569" s="127" t="s">
        <v>295</v>
      </c>
      <c r="G569" s="127" t="s">
        <v>208</v>
      </c>
      <c r="H569" s="127" t="s">
        <v>2247</v>
      </c>
      <c r="I569" s="127" t="s">
        <v>260</v>
      </c>
      <c r="J569" s="127" t="s">
        <v>1408</v>
      </c>
      <c r="K569" s="129">
        <v>46195.254861111112</v>
      </c>
      <c r="L569" s="129">
        <v>46195.254861111112</v>
      </c>
      <c r="M569" s="129">
        <v>46195.554861111108</v>
      </c>
      <c r="N569" s="129"/>
      <c r="O569" s="131"/>
      <c r="P569" s="131"/>
      <c r="Q569" s="127" t="s">
        <v>1574</v>
      </c>
      <c r="R569" s="127"/>
      <c r="S569" s="127"/>
      <c r="T569" s="127"/>
      <c r="U569" s="127" t="s">
        <v>371</v>
      </c>
      <c r="Z569" s="169">
        <f t="shared" ca="1" si="80"/>
        <v>17.550640856478523</v>
      </c>
      <c r="AA569" s="170">
        <f t="shared" ca="1" si="81"/>
        <v>46.801708950609395</v>
      </c>
      <c r="AB569" s="169">
        <f t="shared" ca="1" si="82"/>
        <v>17.550640856478523</v>
      </c>
      <c r="AC569" s="170">
        <f t="shared" ca="1" si="83"/>
        <v>46.801708950609395</v>
      </c>
      <c r="AD569" s="169">
        <f t="shared" ca="1" si="84"/>
        <v>0.22152777777470573</v>
      </c>
      <c r="AE569" s="169">
        <f t="shared" ca="1" si="87"/>
        <v>17.550640856478523</v>
      </c>
      <c r="AF569" s="170">
        <f t="shared" ca="1" si="85"/>
        <v>46.801708950609395</v>
      </c>
      <c r="AG569" s="170">
        <f t="shared" ca="1" si="86"/>
        <v>46.801708950609395</v>
      </c>
      <c r="AH569" s="28" t="str" cm="1">
        <f t="array" aca="1" ref="AH569" ca="1">IF((AD569) &lt; (INDEX(ResponseSLA[#All],(MATCH((G569),ResponseSLA[Priority],0))+1,3)),"YES","No")</f>
        <v>YES</v>
      </c>
      <c r="AI569" s="28" t="str">
        <f ca="1">_xlfn.IFNA(IF(AE569 &lt; (INDEX(SLATable[Minimum SLA],MATCH(G569,SLATable[Priority],0))),"YES","NO"),"")</f>
        <v>NO</v>
      </c>
      <c r="AJ569" s="28" t="str">
        <f ca="1">_xlfn.IFNA(IF(AE569 &lt; (INDEX(SLATable[Maximum SLA],MATCH(G569,SLATable[Priority],0))),"YES","NO"),"")</f>
        <v>NO</v>
      </c>
    </row>
    <row r="570" spans="2:36" ht="15" customHeight="1">
      <c r="B570" s="127" t="s">
        <v>26</v>
      </c>
      <c r="C570" s="127" t="s">
        <v>35</v>
      </c>
      <c r="D570" s="256" t="s">
        <v>208</v>
      </c>
      <c r="E570" s="127" t="s">
        <v>2248</v>
      </c>
      <c r="F570" s="127" t="s">
        <v>292</v>
      </c>
      <c r="G570" s="127" t="s">
        <v>208</v>
      </c>
      <c r="H570" s="127" t="s">
        <v>2249</v>
      </c>
      <c r="I570" s="127" t="s">
        <v>266</v>
      </c>
      <c r="J570" s="127" t="s">
        <v>1408</v>
      </c>
      <c r="K570" s="129">
        <v>46193.424305555556</v>
      </c>
      <c r="L570" s="129">
        <v>46193.442361111112</v>
      </c>
      <c r="M570" s="129">
        <v>46195.556250000001</v>
      </c>
      <c r="N570" s="129"/>
      <c r="O570" s="131">
        <v>46202.466666666667</v>
      </c>
      <c r="P570" s="131"/>
      <c r="Q570" s="127" t="s">
        <v>1073</v>
      </c>
      <c r="R570" s="127"/>
      <c r="S570" s="127"/>
      <c r="T570" s="127"/>
      <c r="U570" s="127" t="s">
        <v>371</v>
      </c>
      <c r="Z570" s="169">
        <f t="shared" ca="1" si="80"/>
        <v>17.550640856478523</v>
      </c>
      <c r="AA570" s="170">
        <f t="shared" ca="1" si="81"/>
        <v>46.801708950609395</v>
      </c>
      <c r="AB570" s="169">
        <f t="shared" ca="1" si="82"/>
        <v>2.0083333333338182</v>
      </c>
      <c r="AC570" s="170">
        <f t="shared" ca="1" si="83"/>
        <v>5.3555555555568493</v>
      </c>
      <c r="AD570" s="169">
        <f t="shared" ca="1" si="84"/>
        <v>0.11388888888905058</v>
      </c>
      <c r="AE570" s="169">
        <f t="shared" ca="1" si="87"/>
        <v>5.0083333333338196</v>
      </c>
      <c r="AF570" s="170">
        <f t="shared" ca="1" si="85"/>
        <v>13.355555555556853</v>
      </c>
      <c r="AG570" s="170">
        <f t="shared" ca="1" si="86"/>
        <v>13.355555555556853</v>
      </c>
      <c r="AH570" s="28" t="str" cm="1">
        <f t="array" aca="1" ref="AH570" ca="1">IF((AD570) &lt; (INDEX(ResponseSLA[#All],(MATCH((G570),ResponseSLA[Priority],0))+1,3)),"YES","No")</f>
        <v>YES</v>
      </c>
      <c r="AI570" s="28" t="str">
        <f ca="1">_xlfn.IFNA(IF(AE570 &lt; (INDEX(SLATable[Minimum SLA],MATCH(G570,SLATable[Priority],0))),"YES","NO"),"")</f>
        <v>NO</v>
      </c>
      <c r="AJ570" s="28" t="str">
        <f ca="1">_xlfn.IFNA(IF(AE570 &lt; (INDEX(SLATable[Maximum SLA],MATCH(G570,SLATable[Priority],0))),"YES","NO"),"")</f>
        <v>NO</v>
      </c>
    </row>
    <row r="571" spans="2:36" ht="15" customHeight="1">
      <c r="B571" s="127" t="s">
        <v>26</v>
      </c>
      <c r="C571" s="127" t="s">
        <v>35</v>
      </c>
      <c r="D571" s="256" t="s">
        <v>208</v>
      </c>
      <c r="E571" s="127" t="s">
        <v>2250</v>
      </c>
      <c r="F571" s="127" t="s">
        <v>295</v>
      </c>
      <c r="G571" s="127" t="s">
        <v>208</v>
      </c>
      <c r="H571" s="127" t="s">
        <v>2251</v>
      </c>
      <c r="I571" s="127" t="s">
        <v>266</v>
      </c>
      <c r="J571" s="127" t="s">
        <v>1408</v>
      </c>
      <c r="K571" s="129">
        <v>46185.474999999999</v>
      </c>
      <c r="L571" s="129">
        <v>46185.497916666667</v>
      </c>
      <c r="M571" s="129">
        <v>46185.594444444447</v>
      </c>
      <c r="N571" s="129"/>
      <c r="O571" s="131">
        <v>46189.336111111108</v>
      </c>
      <c r="P571" s="131"/>
      <c r="Q571" s="127" t="s">
        <v>2252</v>
      </c>
      <c r="R571" s="127"/>
      <c r="S571" s="127"/>
      <c r="T571" s="127"/>
      <c r="U571" s="127" t="s">
        <v>371</v>
      </c>
      <c r="Z571" s="169">
        <f t="shared" ca="1" si="80"/>
        <v>19.658974189813311</v>
      </c>
      <c r="AA571" s="170">
        <f t="shared" ca="1" si="81"/>
        <v>52.423931172835495</v>
      </c>
      <c r="AB571" s="169">
        <f t="shared" ca="1" si="82"/>
        <v>0.58819444444088731</v>
      </c>
      <c r="AC571" s="170">
        <f t="shared" ca="1" si="83"/>
        <v>1.5685185185090329</v>
      </c>
      <c r="AD571" s="169">
        <f t="shared" ca="1" si="84"/>
        <v>9.6527777779556345E-2</v>
      </c>
      <c r="AE571" s="169">
        <f t="shared" ca="1" si="87"/>
        <v>0.58819444444088731</v>
      </c>
      <c r="AF571" s="170">
        <f t="shared" ca="1" si="85"/>
        <v>1.5685185185090329</v>
      </c>
      <c r="AG571" s="170">
        <f t="shared" ca="1" si="86"/>
        <v>1.5685185185090329</v>
      </c>
      <c r="AH571" s="28" t="str" cm="1">
        <f t="array" aca="1" ref="AH571" ca="1">IF((AD571) &lt; (INDEX(ResponseSLA[#All],(MATCH((G571),ResponseSLA[Priority],0))+1,3)),"YES","No")</f>
        <v>YES</v>
      </c>
      <c r="AI571" s="28" t="str">
        <f ca="1">_xlfn.IFNA(IF(AE571 &lt; (INDEX(SLATable[Minimum SLA],MATCH(G571,SLATable[Priority],0))),"YES","NO"),"")</f>
        <v>YES</v>
      </c>
      <c r="AJ571" s="28" t="str">
        <f ca="1">_xlfn.IFNA(IF(AE571 &lt; (INDEX(SLATable[Maximum SLA],MATCH(G571,SLATable[Priority],0))),"YES","NO"),"")</f>
        <v>YES</v>
      </c>
    </row>
    <row r="572" spans="2:36" s="200" customFormat="1" ht="15" customHeight="1">
      <c r="B572" s="200" t="s">
        <v>26</v>
      </c>
      <c r="C572" s="200" t="s">
        <v>35</v>
      </c>
      <c r="D572" s="200" t="s">
        <v>207</v>
      </c>
      <c r="E572" s="272"/>
      <c r="F572" s="272"/>
      <c r="G572" s="238"/>
      <c r="H572" s="270"/>
      <c r="J572" s="271"/>
      <c r="K572" s="402"/>
      <c r="L572" s="402"/>
      <c r="M572" s="402"/>
      <c r="N572" s="402"/>
      <c r="O572" s="201"/>
      <c r="P572" s="201"/>
      <c r="Z572" s="243" t="e">
        <f t="shared" ca="1" si="80"/>
        <v>#N/A</v>
      </c>
      <c r="AA572" s="244" t="e">
        <f t="shared" ca="1" si="81"/>
        <v>#N/A</v>
      </c>
      <c r="AB572" s="243">
        <f t="shared" ca="1" si="82"/>
        <v>0</v>
      </c>
      <c r="AC572" s="244">
        <f t="shared" ca="1" si="83"/>
        <v>0</v>
      </c>
      <c r="AD572" s="243">
        <f t="shared" ca="1" si="84"/>
        <v>12388.425640740741</v>
      </c>
      <c r="AE572" s="243">
        <f t="shared" si="87"/>
        <v>0</v>
      </c>
      <c r="AF572" s="244">
        <f t="shared" si="85"/>
        <v>0</v>
      </c>
      <c r="AG572" s="244">
        <f t="shared" si="86"/>
        <v>0</v>
      </c>
      <c r="AH572" s="245" t="e" cm="1">
        <f t="array" aca="1" ref="AH572" ca="1">IF((AD572) &lt; (INDEX(ResponseSLA[#All],(MATCH((G572),ResponseSLA[Priority],0))+1,3)),"YES","No")</f>
        <v>#N/A</v>
      </c>
      <c r="AI572" s="245" t="str">
        <f>_xlfn.IFNA(IF(AE572 &lt; (INDEX(SLATable[Minimum SLA],MATCH(G572,SLATable[Priority],0))),"YES","NO"),"")</f>
        <v/>
      </c>
      <c r="AJ572" s="245" t="str">
        <f>_xlfn.IFNA(IF(AE572 &lt; (INDEX(SLATable[Maximum SLA],MATCH(G572,SLATable[Priority],0))),"YES","NO"),"")</f>
        <v/>
      </c>
    </row>
    <row r="573" spans="2:36" s="58" customFormat="1">
      <c r="B573" s="58" t="s">
        <v>26</v>
      </c>
      <c r="C573" s="58" t="s">
        <v>35</v>
      </c>
      <c r="D573" s="58" t="s">
        <v>207</v>
      </c>
      <c r="E573" s="58" t="s">
        <v>2253</v>
      </c>
      <c r="F573" s="58" t="s">
        <v>299</v>
      </c>
      <c r="G573" s="58">
        <v>3</v>
      </c>
      <c r="H573" s="127" t="s">
        <v>2254</v>
      </c>
      <c r="I573" s="58" t="s">
        <v>271</v>
      </c>
      <c r="J573" s="127" t="s">
        <v>1365</v>
      </c>
      <c r="K573" s="307" t="s">
        <v>2255</v>
      </c>
      <c r="L573" s="307" t="s">
        <v>2255</v>
      </c>
      <c r="M573" s="307">
        <v>46213.465277777781</v>
      </c>
      <c r="N573" s="307">
        <v>46213.525266203702</v>
      </c>
      <c r="O573" s="307"/>
      <c r="P573" s="307"/>
      <c r="Q573" s="58" t="s">
        <v>1378</v>
      </c>
      <c r="R573" s="58" t="s">
        <v>267</v>
      </c>
      <c r="S573" s="58" t="s">
        <v>199</v>
      </c>
      <c r="U573" s="58" t="s">
        <v>371</v>
      </c>
      <c r="Z573" s="169" t="e">
        <f t="shared" ca="1" si="80"/>
        <v>#VALUE!</v>
      </c>
      <c r="AA573" s="170" t="e">
        <f t="shared" ca="1" si="81"/>
        <v>#VALUE!</v>
      </c>
      <c r="AB573" s="169" t="e">
        <f t="shared" ca="1" si="82"/>
        <v>#VALUE!</v>
      </c>
      <c r="AC573" s="170" t="e">
        <f t="shared" ca="1" si="83"/>
        <v>#VALUE!</v>
      </c>
      <c r="AD573" s="169" t="e">
        <f t="shared" ca="1" si="84"/>
        <v>#VALUE!</v>
      </c>
      <c r="AE573" s="169" t="e">
        <f t="shared" ca="1" si="87"/>
        <v>#VALUE!</v>
      </c>
      <c r="AF573" s="170" t="e">
        <f t="shared" ca="1" si="85"/>
        <v>#VALUE!</v>
      </c>
      <c r="AG573" s="170" t="e">
        <f t="shared" ca="1" si="86"/>
        <v>#VALUE!</v>
      </c>
      <c r="AH573" s="28" t="e" cm="1">
        <f t="array" aca="1" ref="AH573" ca="1">IF((AD573) &lt; (INDEX(ResponseSLA[#All],(MATCH((G573),ResponseSLA[Priority],0))+1,3)),"YES","No")</f>
        <v>#VALUE!</v>
      </c>
      <c r="AI573" s="28" t="e">
        <f ca="1">_xlfn.IFNA(IF(AE573 &lt; (INDEX(SLATable[Minimum SLA],MATCH(G573,SLATable[Priority],0))),"YES","NO"),"")</f>
        <v>#VALUE!</v>
      </c>
      <c r="AJ573" s="28" t="e">
        <f ca="1">_xlfn.IFNA(IF(AE573 &lt; (INDEX(SLATable[Maximum SLA],MATCH(G573,SLATable[Priority],0))),"YES","NO"),"")</f>
        <v>#VALUE!</v>
      </c>
    </row>
    <row r="574" spans="2:36" s="58" customFormat="1">
      <c r="B574" s="58" t="s">
        <v>26</v>
      </c>
      <c r="C574" s="58" t="s">
        <v>35</v>
      </c>
      <c r="D574" s="58" t="s">
        <v>207</v>
      </c>
      <c r="E574" s="58" t="s">
        <v>2256</v>
      </c>
      <c r="F574" s="58" t="s">
        <v>299</v>
      </c>
      <c r="G574" s="58">
        <v>4</v>
      </c>
      <c r="H574" s="127" t="s">
        <v>2257</v>
      </c>
      <c r="I574" s="58" t="s">
        <v>271</v>
      </c>
      <c r="J574" s="127" t="s">
        <v>1365</v>
      </c>
      <c r="K574" s="307">
        <v>46212.449363425927</v>
      </c>
      <c r="L574" s="129">
        <v>46212.449467592596</v>
      </c>
      <c r="M574" s="129">
        <v>46213.470486111109</v>
      </c>
      <c r="N574" s="129">
        <v>46213.526226851849</v>
      </c>
      <c r="O574" s="307"/>
      <c r="P574" s="307"/>
      <c r="Q574" s="58" t="s">
        <v>1378</v>
      </c>
      <c r="R574" s="58" t="s">
        <v>267</v>
      </c>
      <c r="S574" s="58" t="s">
        <v>199</v>
      </c>
      <c r="U574" s="58" t="s">
        <v>371</v>
      </c>
      <c r="Z574" s="169">
        <f t="shared" ca="1" si="80"/>
        <v>0.45186342592205619</v>
      </c>
      <c r="AA574" s="170">
        <f t="shared" ca="1" si="81"/>
        <v>1.2049691357921499</v>
      </c>
      <c r="AB574" s="169">
        <f t="shared" ca="1" si="82"/>
        <v>0.4517592592528672</v>
      </c>
      <c r="AC574" s="170">
        <f t="shared" ca="1" si="83"/>
        <v>1.2046913580076459</v>
      </c>
      <c r="AD574" s="169">
        <f t="shared" ca="1" si="84"/>
        <v>0.39601851851330139</v>
      </c>
      <c r="AE574" s="169">
        <f t="shared" ca="1" si="87"/>
        <v>0.4517592592528672</v>
      </c>
      <c r="AF574" s="170">
        <f t="shared" ca="1" si="85"/>
        <v>1.2046913580076459</v>
      </c>
      <c r="AG574" s="170">
        <f t="shared" ca="1" si="86"/>
        <v>1.2046913580076459</v>
      </c>
      <c r="AH574" s="28" t="str" cm="1">
        <f t="array" aca="1" ref="AH574" ca="1">IF((AD574) &lt; (INDEX(ResponseSLA[#All],(MATCH((G574),ResponseSLA[Priority],0))+1,3)),"YES","No")</f>
        <v>No</v>
      </c>
      <c r="AI574" s="28" t="str">
        <f ca="1">_xlfn.IFNA(IF(AE574 &lt; (INDEX(SLATable[Minimum SLA],MATCH(G574,SLATable[Priority],0))),"YES","NO"),"")</f>
        <v>YES</v>
      </c>
      <c r="AJ574" s="28" t="str">
        <f ca="1">_xlfn.IFNA(IF(AE574 &lt; (INDEX(SLATable[Maximum SLA],MATCH(G574,SLATable[Priority],0))),"YES","NO"),"")</f>
        <v>YES</v>
      </c>
    </row>
    <row r="575" spans="2:36" s="58" customFormat="1">
      <c r="B575" s="58" t="s">
        <v>26</v>
      </c>
      <c r="C575" s="58" t="s">
        <v>35</v>
      </c>
      <c r="D575" s="58" t="s">
        <v>207</v>
      </c>
      <c r="E575" s="58" t="s">
        <v>2258</v>
      </c>
      <c r="F575" s="58" t="s">
        <v>289</v>
      </c>
      <c r="G575" s="58">
        <v>4</v>
      </c>
      <c r="H575" s="127" t="s">
        <v>2259</v>
      </c>
      <c r="I575" s="58" t="s">
        <v>271</v>
      </c>
      <c r="J575" s="127" t="s">
        <v>1365</v>
      </c>
      <c r="K575" s="307">
        <v>46211.484710648147</v>
      </c>
      <c r="L575" s="129">
        <v>46211.487916666665</v>
      </c>
      <c r="M575" s="129">
        <v>46211.867442129631</v>
      </c>
      <c r="N575" s="129">
        <v>46216.648136574076</v>
      </c>
      <c r="O575" s="307"/>
      <c r="P575" s="307"/>
      <c r="Q575" s="58" t="s">
        <v>1164</v>
      </c>
      <c r="R575" s="58" t="s">
        <v>267</v>
      </c>
      <c r="S575" s="58" t="s">
        <v>193</v>
      </c>
      <c r="U575" s="58" t="s">
        <v>371</v>
      </c>
      <c r="Z575" s="169">
        <f t="shared" ca="1" si="80"/>
        <v>1.2884259259299145</v>
      </c>
      <c r="AA575" s="170">
        <f t="shared" ca="1" si="81"/>
        <v>3.4358024691464388</v>
      </c>
      <c r="AB575" s="169">
        <f t="shared" ca="1" si="82"/>
        <v>1.2852199074113744</v>
      </c>
      <c r="AC575" s="170">
        <f t="shared" ca="1" si="83"/>
        <v>3.4272530864303317</v>
      </c>
      <c r="AD575" s="169">
        <f t="shared" ca="1" si="84"/>
        <v>0.22041666666821891</v>
      </c>
      <c r="AE575" s="169">
        <f t="shared" ca="1" si="87"/>
        <v>1.2852199074113744</v>
      </c>
      <c r="AF575" s="170">
        <f t="shared" ca="1" si="85"/>
        <v>3.4272530864303317</v>
      </c>
      <c r="AG575" s="170">
        <f t="shared" ca="1" si="86"/>
        <v>3.4272530864303317</v>
      </c>
      <c r="AH575" s="28" t="str" cm="1">
        <f t="array" aca="1" ref="AH575" ca="1">IF((AD575) &lt; (INDEX(ResponseSLA[#All],(MATCH((G575),ResponseSLA[Priority],0))+1,3)),"YES","No")</f>
        <v>No</v>
      </c>
      <c r="AI575" s="28" t="str">
        <f ca="1">_xlfn.IFNA(IF(AE575 &lt; (INDEX(SLATable[Minimum SLA],MATCH(G575,SLATable[Priority],0))),"YES","NO"),"")</f>
        <v>YES</v>
      </c>
      <c r="AJ575" s="28" t="str">
        <f ca="1">_xlfn.IFNA(IF(AE575 &lt; (INDEX(SLATable[Maximum SLA],MATCH(G575,SLATable[Priority],0))),"YES","NO"),"")</f>
        <v>YES</v>
      </c>
    </row>
    <row r="576" spans="2:36" s="58" customFormat="1">
      <c r="B576" s="58" t="s">
        <v>26</v>
      </c>
      <c r="C576" s="58" t="s">
        <v>35</v>
      </c>
      <c r="D576" s="58" t="s">
        <v>207</v>
      </c>
      <c r="E576" s="58" t="s">
        <v>2260</v>
      </c>
      <c r="F576" s="58" t="s">
        <v>299</v>
      </c>
      <c r="G576" s="58">
        <v>4</v>
      </c>
      <c r="H576" s="127" t="s">
        <v>2261</v>
      </c>
      <c r="I576" s="58" t="s">
        <v>271</v>
      </c>
      <c r="J576" s="127" t="s">
        <v>1365</v>
      </c>
      <c r="K576" s="307">
        <v>46205.525717592594</v>
      </c>
      <c r="L576" s="129">
        <v>46205.525833333333</v>
      </c>
      <c r="M576" s="129">
        <v>46205.600613425922</v>
      </c>
      <c r="N576" s="129">
        <v>46205.605891203704</v>
      </c>
      <c r="O576" s="307"/>
      <c r="P576" s="307"/>
      <c r="Q576" s="58" t="s">
        <v>1378</v>
      </c>
      <c r="R576" s="58" t="s">
        <v>267</v>
      </c>
      <c r="S576" s="58" t="s">
        <v>199</v>
      </c>
      <c r="U576" s="58" t="s">
        <v>371</v>
      </c>
      <c r="Z576" s="169">
        <f t="shared" ca="1" si="80"/>
        <v>8.017361110978527E-2</v>
      </c>
      <c r="AA576" s="170">
        <f t="shared" ca="1" si="81"/>
        <v>0.21379629629276073</v>
      </c>
      <c r="AB576" s="169">
        <f t="shared" ca="1" si="82"/>
        <v>8.0057870371092577E-2</v>
      </c>
      <c r="AC576" s="170">
        <f t="shared" ca="1" si="83"/>
        <v>0.21348765432291353</v>
      </c>
      <c r="AD576" s="169">
        <f t="shared" ca="1" si="84"/>
        <v>7.4780092589207925E-2</v>
      </c>
      <c r="AE576" s="169">
        <f t="shared" ca="1" si="87"/>
        <v>8.0057870371092577E-2</v>
      </c>
      <c r="AF576" s="170">
        <f t="shared" ca="1" si="85"/>
        <v>0.21348765432291353</v>
      </c>
      <c r="AG576" s="170">
        <f t="shared" ca="1" si="86"/>
        <v>0.21348765432291353</v>
      </c>
      <c r="AH576" s="28" t="str" cm="1">
        <f t="array" aca="1" ref="AH576" ca="1">IF((AD576) &lt; (INDEX(ResponseSLA[#All],(MATCH((G576),ResponseSLA[Priority],0))+1,3)),"YES","No")</f>
        <v>YES</v>
      </c>
      <c r="AI576" s="28" t="str">
        <f ca="1">_xlfn.IFNA(IF(AE576 &lt; (INDEX(SLATable[Minimum SLA],MATCH(G576,SLATable[Priority],0))),"YES","NO"),"")</f>
        <v>YES</v>
      </c>
      <c r="AJ576" s="28" t="str">
        <f ca="1">_xlfn.IFNA(IF(AE576 &lt; (INDEX(SLATable[Maximum SLA],MATCH(G576,SLATable[Priority],0))),"YES","NO"),"")</f>
        <v>YES</v>
      </c>
    </row>
    <row r="577" spans="2:36" s="58" customFormat="1">
      <c r="B577" s="58" t="s">
        <v>26</v>
      </c>
      <c r="C577" s="58" t="s">
        <v>35</v>
      </c>
      <c r="D577" s="58" t="s">
        <v>207</v>
      </c>
      <c r="E577" s="58" t="s">
        <v>2262</v>
      </c>
      <c r="F577" s="58" t="s">
        <v>296</v>
      </c>
      <c r="G577" s="58">
        <v>4</v>
      </c>
      <c r="H577" s="127" t="s">
        <v>2263</v>
      </c>
      <c r="I577" s="58" t="s">
        <v>271</v>
      </c>
      <c r="J577" s="127" t="s">
        <v>1365</v>
      </c>
      <c r="K577" s="307">
        <v>46204.675057870372</v>
      </c>
      <c r="L577" s="129">
        <v>46204.675000000003</v>
      </c>
      <c r="M577" s="129">
        <v>46204.789097222223</v>
      </c>
      <c r="N577" s="129">
        <v>46210.594467592593</v>
      </c>
      <c r="O577" s="307"/>
      <c r="P577" s="307"/>
      <c r="Q577" s="58" t="s">
        <v>2264</v>
      </c>
      <c r="R577" s="58" t="s">
        <v>267</v>
      </c>
      <c r="S577" s="58" t="s">
        <v>190</v>
      </c>
      <c r="U577" s="58" t="s">
        <v>371</v>
      </c>
      <c r="Z577" s="169">
        <f t="shared" ca="1" si="80"/>
        <v>1.4194097222207347</v>
      </c>
      <c r="AA577" s="170">
        <f t="shared" ca="1" si="81"/>
        <v>3.7850925925886258</v>
      </c>
      <c r="AB577" s="169">
        <f t="shared" ca="1" si="82"/>
        <v>1.419467592590081</v>
      </c>
      <c r="AC577" s="170">
        <f t="shared" ca="1" si="83"/>
        <v>3.7852469135735496</v>
      </c>
      <c r="AD577" s="169">
        <f t="shared" ca="1" si="84"/>
        <v>3.3333333330422987E-2</v>
      </c>
      <c r="AE577" s="169">
        <f t="shared" ca="1" si="87"/>
        <v>1.419467592590081</v>
      </c>
      <c r="AF577" s="170">
        <f t="shared" ca="1" si="85"/>
        <v>3.7852469135735496</v>
      </c>
      <c r="AG577" s="170">
        <f t="shared" ca="1" si="86"/>
        <v>3.7852469135735496</v>
      </c>
      <c r="AH577" s="28" t="str" cm="1">
        <f t="array" aca="1" ref="AH577" ca="1">IF((AD577) &lt; (INDEX(ResponseSLA[#All],(MATCH((G577),ResponseSLA[Priority],0))+1,3)),"YES","No")</f>
        <v>YES</v>
      </c>
      <c r="AI577" s="28" t="str">
        <f ca="1">_xlfn.IFNA(IF(AE577 &lt; (INDEX(SLATable[Minimum SLA],MATCH(G577,SLATable[Priority],0))),"YES","NO"),"")</f>
        <v>YES</v>
      </c>
      <c r="AJ577" s="28" t="str">
        <f ca="1">_xlfn.IFNA(IF(AE577 &lt; (INDEX(SLATable[Maximum SLA],MATCH(G577,SLATable[Priority],0))),"YES","NO"),"")</f>
        <v>YES</v>
      </c>
    </row>
    <row r="578" spans="2:36" s="58" customFormat="1">
      <c r="B578" s="58" t="s">
        <v>26</v>
      </c>
      <c r="C578" s="58" t="s">
        <v>35</v>
      </c>
      <c r="D578" s="58" t="s">
        <v>207</v>
      </c>
      <c r="E578" s="58" t="s">
        <v>2265</v>
      </c>
      <c r="F578" s="58" t="s">
        <v>295</v>
      </c>
      <c r="G578" s="58">
        <v>3</v>
      </c>
      <c r="H578" s="127" t="s">
        <v>2266</v>
      </c>
      <c r="I578" s="58" t="s">
        <v>271</v>
      </c>
      <c r="J578" s="127" t="s">
        <v>1454</v>
      </c>
      <c r="K578" s="307">
        <v>46216.863807870373</v>
      </c>
      <c r="L578" s="307">
        <v>46216.863807870373</v>
      </c>
      <c r="M578" s="307">
        <v>46217.277071759258</v>
      </c>
      <c r="N578" s="307">
        <v>46219.475115740737</v>
      </c>
      <c r="O578" s="307"/>
      <c r="P578" s="307"/>
      <c r="Q578" s="58" t="s">
        <v>1203</v>
      </c>
      <c r="R578" s="58" t="s">
        <v>267</v>
      </c>
      <c r="S578" s="58" t="s">
        <v>149</v>
      </c>
      <c r="U578" s="58" t="s">
        <v>371</v>
      </c>
      <c r="Z578" s="169">
        <f t="shared" ca="1" si="80"/>
        <v>0.89178240740390435</v>
      </c>
      <c r="AA578" s="170">
        <f t="shared" ca="1" si="81"/>
        <v>2.3780864197437448</v>
      </c>
      <c r="AB578" s="169">
        <f t="shared" ca="1" si="82"/>
        <v>0.89178240740390435</v>
      </c>
      <c r="AC578" s="170">
        <f t="shared" ca="1" si="83"/>
        <v>2.3780864197437448</v>
      </c>
      <c r="AD578" s="169">
        <f t="shared" ca="1" si="84"/>
        <v>0</v>
      </c>
      <c r="AE578" s="169">
        <f t="shared" ca="1" si="87"/>
        <v>0.89178240740390435</v>
      </c>
      <c r="AF578" s="170">
        <f t="shared" ca="1" si="85"/>
        <v>2.3780864197437448</v>
      </c>
      <c r="AG578" s="170">
        <f t="shared" ca="1" si="86"/>
        <v>2.3780864197437448</v>
      </c>
      <c r="AH578" s="28" t="str" cm="1">
        <f t="array" aca="1" ref="AH578" ca="1">IF((AD578) &lt; (INDEX(ResponseSLA[#All],(MATCH((G578),ResponseSLA[Priority],0))+1,3)),"YES","No")</f>
        <v>YES</v>
      </c>
      <c r="AI578" s="28" t="str">
        <f ca="1">_xlfn.IFNA(IF(AE578 &lt; (INDEX(SLATable[Minimum SLA],MATCH(G578,SLATable[Priority],0))),"YES","NO"),"")</f>
        <v>NO</v>
      </c>
      <c r="AJ578" s="28" t="str">
        <f ca="1">_xlfn.IFNA(IF(AE578 &lt; (INDEX(SLATable[Maximum SLA],MATCH(G578,SLATable[Priority],0))),"YES","NO"),"")</f>
        <v>YES</v>
      </c>
    </row>
    <row r="579" spans="2:36" s="58" customFormat="1">
      <c r="B579" s="58" t="s">
        <v>26</v>
      </c>
      <c r="C579" s="58" t="s">
        <v>35</v>
      </c>
      <c r="D579" s="58" t="s">
        <v>207</v>
      </c>
      <c r="E579" s="58" t="s">
        <v>2267</v>
      </c>
      <c r="F579" s="58" t="s">
        <v>303</v>
      </c>
      <c r="G579" s="58">
        <v>3</v>
      </c>
      <c r="H579" s="127" t="s">
        <v>2268</v>
      </c>
      <c r="I579" s="58" t="s">
        <v>271</v>
      </c>
      <c r="J579" s="127" t="s">
        <v>1454</v>
      </c>
      <c r="K579" s="307">
        <v>46194.621134259258</v>
      </c>
      <c r="L579" s="307">
        <v>46194.630358796298</v>
      </c>
      <c r="M579" s="307">
        <v>46195.296307870369</v>
      </c>
      <c r="N579" s="307">
        <v>46205.463159722225</v>
      </c>
      <c r="O579" s="307"/>
      <c r="P579" s="307"/>
      <c r="Q579" s="58" t="s">
        <v>1247</v>
      </c>
      <c r="R579" s="58" t="s">
        <v>267</v>
      </c>
      <c r="S579" s="58" t="s">
        <v>1502</v>
      </c>
      <c r="U579" s="58" t="s">
        <v>371</v>
      </c>
      <c r="Z579" s="169">
        <f t="shared" ca="1" si="80"/>
        <v>3.1298263888917672</v>
      </c>
      <c r="AA579" s="170">
        <f t="shared" ca="1" si="81"/>
        <v>8.3462037037113781</v>
      </c>
      <c r="AB579" s="169">
        <f t="shared" ca="1" si="82"/>
        <v>3.1298263888917672</v>
      </c>
      <c r="AC579" s="170">
        <f t="shared" ca="1" si="83"/>
        <v>8.3462037037113781</v>
      </c>
      <c r="AD579" s="169">
        <f t="shared" ca="1" si="84"/>
        <v>0</v>
      </c>
      <c r="AE579" s="169">
        <f t="shared" ca="1" si="87"/>
        <v>3.1298263888917672</v>
      </c>
      <c r="AF579" s="170">
        <f t="shared" ca="1" si="85"/>
        <v>8.3462037037113781</v>
      </c>
      <c r="AG579" s="170">
        <f t="shared" ca="1" si="86"/>
        <v>8.3462037037113781</v>
      </c>
      <c r="AH579" s="28" t="str" cm="1">
        <f t="array" aca="1" ref="AH579" ca="1">IF((AD579) &lt; (INDEX(ResponseSLA[#All],(MATCH((G579),ResponseSLA[Priority],0))+1,3)),"YES","No")</f>
        <v>YES</v>
      </c>
      <c r="AI579" s="28" t="str">
        <f ca="1">_xlfn.IFNA(IF(AE579 &lt; (INDEX(SLATable[Minimum SLA],MATCH(G579,SLATable[Priority],0))),"YES","NO"),"")</f>
        <v>NO</v>
      </c>
      <c r="AJ579" s="28" t="str">
        <f ca="1">_xlfn.IFNA(IF(AE579 &lt; (INDEX(SLATable[Maximum SLA],MATCH(G579,SLATable[Priority],0))),"YES","NO"),"")</f>
        <v>NO</v>
      </c>
    </row>
    <row r="580" spans="2:36" s="58" customFormat="1">
      <c r="B580" s="58" t="s">
        <v>26</v>
      </c>
      <c r="C580" s="58" t="s">
        <v>35</v>
      </c>
      <c r="D580" s="58" t="s">
        <v>207</v>
      </c>
      <c r="E580" s="58" t="s">
        <v>2269</v>
      </c>
      <c r="F580" s="58" t="s">
        <v>292</v>
      </c>
      <c r="G580" s="58">
        <v>3</v>
      </c>
      <c r="H580" s="127" t="s">
        <v>2270</v>
      </c>
      <c r="I580" s="58" t="s">
        <v>271</v>
      </c>
      <c r="J580" s="127" t="s">
        <v>1454</v>
      </c>
      <c r="K580" s="307">
        <v>46205.10429398148</v>
      </c>
      <c r="L580" s="307">
        <v>46205.10429398148</v>
      </c>
      <c r="M580" s="307">
        <v>46205.315532407411</v>
      </c>
      <c r="N580" s="307">
        <v>46205.443067129629</v>
      </c>
      <c r="O580" s="307"/>
      <c r="P580" s="307"/>
      <c r="Q580" s="58" t="s">
        <v>1073</v>
      </c>
      <c r="R580" s="58" t="s">
        <v>267</v>
      </c>
      <c r="S580" s="58" t="s">
        <v>149</v>
      </c>
      <c r="U580" s="58" t="s">
        <v>371</v>
      </c>
      <c r="Z580" s="169">
        <f t="shared" ca="1" si="80"/>
        <v>0.10973379629528307</v>
      </c>
      <c r="AA580" s="170">
        <f t="shared" ca="1" si="81"/>
        <v>0.29262345678742152</v>
      </c>
      <c r="AB580" s="169">
        <f t="shared" ca="1" si="82"/>
        <v>0.10973379629528307</v>
      </c>
      <c r="AC580" s="170">
        <f t="shared" ca="1" si="83"/>
        <v>0.29262345678742152</v>
      </c>
      <c r="AD580" s="169">
        <f t="shared" ca="1" si="84"/>
        <v>0</v>
      </c>
      <c r="AE580" s="169">
        <f t="shared" ca="1" si="87"/>
        <v>0.10973379629528307</v>
      </c>
      <c r="AF580" s="170">
        <f t="shared" ca="1" si="85"/>
        <v>0.29262345678742152</v>
      </c>
      <c r="AG580" s="170">
        <f t="shared" ca="1" si="86"/>
        <v>0.29262345678742152</v>
      </c>
      <c r="AH580" s="28" t="str" cm="1">
        <f t="array" aca="1" ref="AH580" ca="1">IF((AD580) &lt; (INDEX(ResponseSLA[#All],(MATCH((G580),ResponseSLA[Priority],0))+1,3)),"YES","No")</f>
        <v>YES</v>
      </c>
      <c r="AI580" s="28" t="str">
        <f ca="1">_xlfn.IFNA(IF(AE580 &lt; (INDEX(SLATable[Minimum SLA],MATCH(G580,SLATable[Priority],0))),"YES","NO"),"")</f>
        <v>YES</v>
      </c>
      <c r="AJ580" s="28" t="str">
        <f ca="1">_xlfn.IFNA(IF(AE580 &lt; (INDEX(SLATable[Maximum SLA],MATCH(G580,SLATable[Priority],0))),"YES","NO"),"")</f>
        <v>YES</v>
      </c>
    </row>
    <row r="581" spans="2:36" s="58" customFormat="1">
      <c r="B581" s="58" t="s">
        <v>26</v>
      </c>
      <c r="C581" s="58" t="s">
        <v>35</v>
      </c>
      <c r="D581" s="58" t="s">
        <v>207</v>
      </c>
      <c r="E581" s="58" t="s">
        <v>2271</v>
      </c>
      <c r="F581" s="58" t="s">
        <v>295</v>
      </c>
      <c r="G581" s="58">
        <v>3</v>
      </c>
      <c r="H581" s="127" t="s">
        <v>2272</v>
      </c>
      <c r="I581" s="58" t="s">
        <v>271</v>
      </c>
      <c r="J581" s="127" t="s">
        <v>1454</v>
      </c>
      <c r="K581" s="307">
        <v>46194.446273148147</v>
      </c>
      <c r="L581" s="307">
        <v>46194.446273148147</v>
      </c>
      <c r="M581" s="307">
        <v>46196.541701388887</v>
      </c>
      <c r="N581" s="307">
        <v>46203.380115740743</v>
      </c>
      <c r="O581" s="307"/>
      <c r="P581" s="307"/>
      <c r="Q581" s="58" t="s">
        <v>1203</v>
      </c>
      <c r="R581" s="58" t="s">
        <v>267</v>
      </c>
      <c r="S581" s="58" t="s">
        <v>149</v>
      </c>
      <c r="U581" s="58" t="s">
        <v>371</v>
      </c>
      <c r="Z581" s="169">
        <f t="shared" ca="1" si="80"/>
        <v>2.2967824074100163</v>
      </c>
      <c r="AA581" s="170">
        <f t="shared" ca="1" si="81"/>
        <v>6.1247530864267103</v>
      </c>
      <c r="AB581" s="169">
        <f t="shared" ca="1" si="82"/>
        <v>2.2967824074100163</v>
      </c>
      <c r="AC581" s="170">
        <f t="shared" ca="1" si="83"/>
        <v>6.1247530864267103</v>
      </c>
      <c r="AD581" s="169">
        <f t="shared" ca="1" si="84"/>
        <v>0.47042824074014788</v>
      </c>
      <c r="AE581" s="169">
        <f t="shared" ca="1" si="87"/>
        <v>2.2967824074100163</v>
      </c>
      <c r="AF581" s="170">
        <f t="shared" ca="1" si="85"/>
        <v>6.1247530864267103</v>
      </c>
      <c r="AG581" s="170">
        <f t="shared" ca="1" si="86"/>
        <v>6.1247530864267103</v>
      </c>
      <c r="AH581" s="28" t="str" cm="1">
        <f t="array" aca="1" ref="AH581" ca="1">IF((AD581) &lt; (INDEX(ResponseSLA[#All],(MATCH((G581),ResponseSLA[Priority],0))+1,3)),"YES","No")</f>
        <v>No</v>
      </c>
      <c r="AI581" s="28" t="str">
        <f ca="1">_xlfn.IFNA(IF(AE581 &lt; (INDEX(SLATable[Minimum SLA],MATCH(G581,SLATable[Priority],0))),"YES","NO"),"")</f>
        <v>NO</v>
      </c>
      <c r="AJ581" s="28" t="str">
        <f ca="1">_xlfn.IFNA(IF(AE581 &lt; (INDEX(SLATable[Maximum SLA],MATCH(G581,SLATable[Priority],0))),"YES","NO"),"")</f>
        <v>NO</v>
      </c>
    </row>
    <row r="582" spans="2:36" s="58" customFormat="1">
      <c r="B582" s="58" t="s">
        <v>26</v>
      </c>
      <c r="C582" s="58" t="s">
        <v>35</v>
      </c>
      <c r="D582" s="58" t="s">
        <v>208</v>
      </c>
      <c r="E582" s="58" t="s">
        <v>2273</v>
      </c>
      <c r="F582" s="58" t="s">
        <v>303</v>
      </c>
      <c r="G582" s="58" t="s">
        <v>208</v>
      </c>
      <c r="H582" s="127" t="s">
        <v>2274</v>
      </c>
      <c r="I582" s="58" t="s">
        <v>271</v>
      </c>
      <c r="J582" s="127" t="s">
        <v>1454</v>
      </c>
      <c r="K582" s="307">
        <v>46167.256655092591</v>
      </c>
      <c r="L582" s="307">
        <v>46167.256655092591</v>
      </c>
      <c r="M582" s="307">
        <v>46167.466817129629</v>
      </c>
      <c r="N582" s="307">
        <v>46212.412361111114</v>
      </c>
      <c r="O582" s="307"/>
      <c r="P582" s="307"/>
      <c r="Q582" s="58" t="s">
        <v>2070</v>
      </c>
      <c r="R582" s="58" t="s">
        <v>267</v>
      </c>
      <c r="S582" s="58" t="s">
        <v>159</v>
      </c>
      <c r="U582" s="58" t="s">
        <v>371</v>
      </c>
      <c r="Z582" s="169">
        <f t="shared" ca="1" si="80"/>
        <v>12.079027777780237</v>
      </c>
      <c r="AA582" s="170">
        <f t="shared" ca="1" si="81"/>
        <v>32.210740740747298</v>
      </c>
      <c r="AB582" s="169">
        <f t="shared" ca="1" si="82"/>
        <v>12.079027777780237</v>
      </c>
      <c r="AC582" s="170">
        <f t="shared" ca="1" si="83"/>
        <v>32.210740740747298</v>
      </c>
      <c r="AD582" s="169">
        <f t="shared" ca="1" si="84"/>
        <v>0</v>
      </c>
      <c r="AE582" s="169">
        <f t="shared" ca="1" si="87"/>
        <v>12.079027777780237</v>
      </c>
      <c r="AF582" s="170">
        <f t="shared" ca="1" si="85"/>
        <v>32.210740740747298</v>
      </c>
      <c r="AG582" s="170">
        <f t="shared" ca="1" si="86"/>
        <v>32.210740740747298</v>
      </c>
      <c r="AH582" s="28" t="str" cm="1">
        <f t="array" aca="1" ref="AH582" ca="1">IF((AD582) &lt; (INDEX(ResponseSLA[#All],(MATCH((G582),ResponseSLA[Priority],0))+1,3)),"YES","No")</f>
        <v>YES</v>
      </c>
      <c r="AI582" s="28" t="str">
        <f ca="1">_xlfn.IFNA(IF(AE582 &lt; (INDEX(SLATable[Minimum SLA],MATCH(G582,SLATable[Priority],0))),"YES","NO"),"")</f>
        <v>NO</v>
      </c>
      <c r="AJ582" s="28" t="str">
        <f ca="1">_xlfn.IFNA(IF(AE582 &lt; (INDEX(SLATable[Maximum SLA],MATCH(G582,SLATable[Priority],0))),"YES","NO"),"")</f>
        <v>NO</v>
      </c>
    </row>
    <row r="583" spans="2:36" s="58" customFormat="1">
      <c r="B583" s="58" t="s">
        <v>26</v>
      </c>
      <c r="C583" s="58" t="s">
        <v>35</v>
      </c>
      <c r="D583" s="58" t="s">
        <v>207</v>
      </c>
      <c r="E583" s="58" t="s">
        <v>2275</v>
      </c>
      <c r="F583" s="58" t="s">
        <v>295</v>
      </c>
      <c r="G583" s="58">
        <v>3</v>
      </c>
      <c r="H583" s="127" t="s">
        <v>2276</v>
      </c>
      <c r="I583" s="58" t="s">
        <v>271</v>
      </c>
      <c r="J583" s="127" t="s">
        <v>1454</v>
      </c>
      <c r="K583" s="307">
        <v>46222.481400462966</v>
      </c>
      <c r="L583" s="307">
        <v>46222.481400462966</v>
      </c>
      <c r="M583" s="307">
        <v>46223.323877314811</v>
      </c>
      <c r="N583" s="307">
        <v>46227.129826388889</v>
      </c>
      <c r="O583" s="307"/>
      <c r="P583" s="307"/>
      <c r="Q583" s="58" t="s">
        <v>1203</v>
      </c>
      <c r="R583" s="58" t="s">
        <v>267</v>
      </c>
      <c r="S583" s="58" t="s">
        <v>149</v>
      </c>
      <c r="U583" s="58" t="s">
        <v>371</v>
      </c>
      <c r="Z583" s="169">
        <f t="shared" ca="1" si="80"/>
        <v>1.5000000000000002</v>
      </c>
      <c r="AA583" s="170">
        <f t="shared" ca="1" si="81"/>
        <v>4.0000000000000009</v>
      </c>
      <c r="AB583" s="169">
        <f t="shared" ca="1" si="82"/>
        <v>1.5000000000000002</v>
      </c>
      <c r="AC583" s="170">
        <f t="shared" ca="1" si="83"/>
        <v>4.0000000000000009</v>
      </c>
      <c r="AD583" s="169">
        <f t="shared" ca="1" si="84"/>
        <v>0</v>
      </c>
      <c r="AE583" s="169">
        <f t="shared" ca="1" si="87"/>
        <v>1.5000000000000002</v>
      </c>
      <c r="AF583" s="170">
        <f t="shared" ca="1" si="85"/>
        <v>4.0000000000000009</v>
      </c>
      <c r="AG583" s="170">
        <f t="shared" ca="1" si="86"/>
        <v>4.0000000000000009</v>
      </c>
      <c r="AH583" s="28" t="str" cm="1">
        <f t="array" aca="1" ref="AH583" ca="1">IF((AD583) &lt; (INDEX(ResponseSLA[#All],(MATCH((G583),ResponseSLA[Priority],0))+1,3)),"YES","No")</f>
        <v>YES</v>
      </c>
      <c r="AI583" s="28" t="str">
        <f ca="1">_xlfn.IFNA(IF(AE583 &lt; (INDEX(SLATable[Minimum SLA],MATCH(G583,SLATable[Priority],0))),"YES","NO"),"")</f>
        <v>NO</v>
      </c>
      <c r="AJ583" s="28" t="str">
        <f ca="1">_xlfn.IFNA(IF(AE583 &lt; (INDEX(SLATable[Maximum SLA],MATCH(G583,SLATable[Priority],0))),"YES","NO"),"")</f>
        <v>YES</v>
      </c>
    </row>
    <row r="584" spans="2:36" s="58" customFormat="1">
      <c r="B584" s="58" t="s">
        <v>26</v>
      </c>
      <c r="C584" s="58" t="s">
        <v>35</v>
      </c>
      <c r="D584" s="58" t="s">
        <v>207</v>
      </c>
      <c r="E584" s="58" t="s">
        <v>2277</v>
      </c>
      <c r="F584" s="58" t="s">
        <v>292</v>
      </c>
      <c r="G584" s="58">
        <v>3</v>
      </c>
      <c r="H584" s="127" t="s">
        <v>2278</v>
      </c>
      <c r="I584" s="58" t="s">
        <v>271</v>
      </c>
      <c r="J584" s="127" t="s">
        <v>1454</v>
      </c>
      <c r="K584" s="307">
        <v>46213.817858796298</v>
      </c>
      <c r="L584" s="307">
        <v>46216.314456018517</v>
      </c>
      <c r="M584" s="307">
        <v>46217.278807870367</v>
      </c>
      <c r="N584" s="307">
        <v>46225.485543981478</v>
      </c>
      <c r="O584" s="307">
        <v>46217.485358796293</v>
      </c>
      <c r="P584" s="307">
        <v>46225.485543981478</v>
      </c>
      <c r="Q584" s="58" t="s">
        <v>1073</v>
      </c>
      <c r="R584" s="58" t="s">
        <v>267</v>
      </c>
      <c r="S584" s="58" t="s">
        <v>190</v>
      </c>
      <c r="U584" s="58" t="s">
        <v>371</v>
      </c>
      <c r="Z584" s="169">
        <f t="shared" ca="1" si="80"/>
        <v>0.52702546296010633</v>
      </c>
      <c r="AA584" s="170">
        <f t="shared" ca="1" si="81"/>
        <v>1.4054012345602835</v>
      </c>
      <c r="AB584" s="169">
        <f t="shared" ca="1" si="82"/>
        <v>0.52702546296010633</v>
      </c>
      <c r="AC584" s="170">
        <f t="shared" ca="1" si="83"/>
        <v>1.4054012345602835</v>
      </c>
      <c r="AD584" s="169">
        <f t="shared" ca="1" si="84"/>
        <v>0.37500000000000006</v>
      </c>
      <c r="AE584" s="169">
        <f t="shared" ca="1" si="87"/>
        <v>0.52702546296010633</v>
      </c>
      <c r="AF584" s="170">
        <f t="shared" ca="1" si="85"/>
        <v>1.4054012345602835</v>
      </c>
      <c r="AG584" s="170">
        <f t="shared" ca="1" si="86"/>
        <v>1.4054012345602835</v>
      </c>
      <c r="AH584" s="28" t="str" cm="1">
        <f t="array" aca="1" ref="AH584" ca="1">IF((AD584) &lt; (INDEX(ResponseSLA[#All],(MATCH((G584),ResponseSLA[Priority],0))+1,3)),"YES","No")</f>
        <v>No</v>
      </c>
      <c r="AI584" s="28" t="str">
        <f ca="1">_xlfn.IFNA(IF(AE584 &lt; (INDEX(SLATable[Minimum SLA],MATCH(G584,SLATable[Priority],0))),"YES","NO"),"")</f>
        <v>NO</v>
      </c>
      <c r="AJ584" s="28" t="str">
        <f ca="1">_xlfn.IFNA(IF(AE584 &lt; (INDEX(SLATable[Maximum SLA],MATCH(G584,SLATable[Priority],0))),"YES","NO"),"")</f>
        <v>YES</v>
      </c>
    </row>
    <row r="585" spans="2:36" s="58" customFormat="1">
      <c r="B585" s="58" t="s">
        <v>26</v>
      </c>
      <c r="C585" s="58" t="s">
        <v>35</v>
      </c>
      <c r="D585" s="58" t="s">
        <v>207</v>
      </c>
      <c r="E585" s="58" t="s">
        <v>2279</v>
      </c>
      <c r="F585" s="58" t="s">
        <v>295</v>
      </c>
      <c r="G585" s="58">
        <v>3</v>
      </c>
      <c r="H585" s="127" t="s">
        <v>2280</v>
      </c>
      <c r="I585" s="58" t="s">
        <v>271</v>
      </c>
      <c r="J585" s="127" t="s">
        <v>1454</v>
      </c>
      <c r="K585" s="307">
        <v>46229.149699074071</v>
      </c>
      <c r="L585" s="307">
        <v>46229.149699074071</v>
      </c>
      <c r="M585" s="307">
        <v>46230.287407407406</v>
      </c>
      <c r="N585" s="307">
        <v>46233.456736111111</v>
      </c>
      <c r="O585" s="307"/>
      <c r="P585" s="307"/>
      <c r="Q585" s="58" t="s">
        <v>1203</v>
      </c>
      <c r="R585" s="58" t="s">
        <v>267</v>
      </c>
      <c r="S585" s="58" t="s">
        <v>149</v>
      </c>
      <c r="U585" s="58" t="s">
        <v>371</v>
      </c>
      <c r="Z585" s="169"/>
      <c r="AA585" s="170"/>
      <c r="AB585" s="169"/>
      <c r="AC585" s="170"/>
      <c r="AD585" s="169"/>
      <c r="AE585" s="169"/>
      <c r="AF585" s="170"/>
      <c r="AG585" s="170"/>
      <c r="AH585" s="28"/>
      <c r="AI585" s="28"/>
      <c r="AJ585" s="28"/>
    </row>
    <row r="586" spans="2:36" s="58" customFormat="1">
      <c r="B586" s="58" t="s">
        <v>26</v>
      </c>
      <c r="C586" s="58" t="s">
        <v>35</v>
      </c>
      <c r="D586" s="58" t="s">
        <v>207</v>
      </c>
      <c r="E586" s="58" t="s">
        <v>2281</v>
      </c>
      <c r="F586" s="58" t="s">
        <v>295</v>
      </c>
      <c r="G586" s="58">
        <v>3</v>
      </c>
      <c r="H586" s="127" t="s">
        <v>2282</v>
      </c>
      <c r="I586" s="58" t="s">
        <v>271</v>
      </c>
      <c r="J586" s="127" t="s">
        <v>1454</v>
      </c>
      <c r="K586" s="307">
        <v>46230.149305555555</v>
      </c>
      <c r="L586" s="307">
        <v>46230.149722222224</v>
      </c>
      <c r="M586" s="307">
        <v>46230.30195601852</v>
      </c>
      <c r="N586" s="307">
        <v>46233.456192129626</v>
      </c>
      <c r="O586" s="307"/>
      <c r="P586" s="307"/>
      <c r="Q586" s="58" t="s">
        <v>1203</v>
      </c>
      <c r="R586" s="58" t="s">
        <v>267</v>
      </c>
      <c r="S586" s="58" t="s">
        <v>149</v>
      </c>
      <c r="U586" s="58" t="s">
        <v>371</v>
      </c>
      <c r="Z586" s="169"/>
      <c r="AA586" s="170"/>
      <c r="AB586" s="169"/>
      <c r="AC586" s="170"/>
      <c r="AD586" s="169"/>
      <c r="AE586" s="169"/>
      <c r="AF586" s="170"/>
      <c r="AG586" s="170"/>
      <c r="AH586" s="28"/>
      <c r="AI586" s="28"/>
      <c r="AJ586" s="28"/>
    </row>
    <row r="587" spans="2:36" s="58" customFormat="1">
      <c r="B587" s="58" t="s">
        <v>26</v>
      </c>
      <c r="C587" s="58" t="s">
        <v>35</v>
      </c>
      <c r="D587" s="58" t="s">
        <v>208</v>
      </c>
      <c r="E587" s="58" t="s">
        <v>2283</v>
      </c>
      <c r="F587" s="58" t="s">
        <v>303</v>
      </c>
      <c r="G587" s="58" t="s">
        <v>208</v>
      </c>
      <c r="H587" s="127" t="s">
        <v>2284</v>
      </c>
      <c r="I587" s="58" t="s">
        <v>1175</v>
      </c>
      <c r="J587" s="127" t="s">
        <v>1454</v>
      </c>
      <c r="K587" s="307">
        <v>46230.257916666669</v>
      </c>
      <c r="L587" s="307">
        <v>46230.409803240742</v>
      </c>
      <c r="M587" s="307">
        <v>46230.409803240742</v>
      </c>
      <c r="N587" s="307"/>
      <c r="O587" s="307"/>
      <c r="P587" s="307"/>
      <c r="Q587" s="58" t="s">
        <v>1251</v>
      </c>
      <c r="U587" s="58" t="s">
        <v>371</v>
      </c>
      <c r="Z587" s="169">
        <f t="shared" ca="1" si="80"/>
        <v>8.1756408564785179</v>
      </c>
      <c r="AA587" s="170">
        <f t="shared" ca="1" si="81"/>
        <v>21.801708950609381</v>
      </c>
      <c r="AB587" s="169">
        <f t="shared" ca="1" si="82"/>
        <v>8.0991709490699577</v>
      </c>
      <c r="AC587" s="170">
        <f t="shared" ca="1" si="83"/>
        <v>21.597789197519887</v>
      </c>
      <c r="AD587" s="169">
        <f t="shared" ca="1" si="84"/>
        <v>0</v>
      </c>
      <c r="AE587" s="169">
        <f ca="1">SUMIFS(AB:AB,E:E,E587)</f>
        <v>8.0991709490699577</v>
      </c>
      <c r="AF587" s="170">
        <f t="shared" ca="1" si="85"/>
        <v>21.597789197519887</v>
      </c>
      <c r="AG587" s="170">
        <f t="shared" ca="1" si="86"/>
        <v>21.597789197519887</v>
      </c>
      <c r="AH587" s="28" t="str" cm="1">
        <f t="array" aca="1" ref="AH587" ca="1">IF((AD587) &lt; (INDEX(ResponseSLA[#All],(MATCH((G587),ResponseSLA[Priority],0))+1,3)),"YES","No")</f>
        <v>YES</v>
      </c>
      <c r="AI587" s="28" t="str">
        <f ca="1">_xlfn.IFNA(IF(AE587 &lt; (INDEX(SLATable[Minimum SLA],MATCH(G587,SLATable[Priority],0))),"YES","NO"),"")</f>
        <v>NO</v>
      </c>
      <c r="AJ587" s="28" t="str">
        <f ca="1">_xlfn.IFNA(IF(AE587 &lt; (INDEX(SLATable[Maximum SLA],MATCH(G587,SLATable[Priority],0))),"YES","NO"),"")</f>
        <v>NO</v>
      </c>
    </row>
    <row r="588" spans="2:36" s="58" customFormat="1">
      <c r="B588" s="58" t="s">
        <v>26</v>
      </c>
      <c r="C588" s="58" t="s">
        <v>35</v>
      </c>
      <c r="D588" s="58" t="s">
        <v>208</v>
      </c>
      <c r="E588" s="58" t="s">
        <v>2285</v>
      </c>
      <c r="F588" s="58" t="s">
        <v>303</v>
      </c>
      <c r="G588" s="58" t="s">
        <v>208</v>
      </c>
      <c r="H588" s="127" t="s">
        <v>2286</v>
      </c>
      <c r="I588" s="58" t="s">
        <v>1175</v>
      </c>
      <c r="J588" s="127" t="s">
        <v>1454</v>
      </c>
      <c r="K588" s="307">
        <v>46230.255868055552</v>
      </c>
      <c r="L588" s="307">
        <v>46230.255868055552</v>
      </c>
      <c r="M588" s="307">
        <v>46230.409247685187</v>
      </c>
      <c r="N588" s="307"/>
      <c r="O588" s="307"/>
      <c r="P588" s="307"/>
      <c r="Q588" s="58" t="s">
        <v>1247</v>
      </c>
      <c r="U588" s="58" t="s">
        <v>371</v>
      </c>
      <c r="Z588" s="169">
        <f t="shared" ca="1" si="80"/>
        <v>8.1756408564785179</v>
      </c>
      <c r="AA588" s="170">
        <f t="shared" ca="1" si="81"/>
        <v>21.801708950609381</v>
      </c>
      <c r="AB588" s="169">
        <f t="shared" ca="1" si="82"/>
        <v>8.1756408564785179</v>
      </c>
      <c r="AC588" s="170">
        <f t="shared" ca="1" si="83"/>
        <v>21.801708950609381</v>
      </c>
      <c r="AD588" s="169">
        <f t="shared" ca="1" si="84"/>
        <v>7.5914351854104722E-2</v>
      </c>
      <c r="AE588" s="169">
        <f ca="1">SUMIFS(AB:AB,E:E,E588)</f>
        <v>8.1756408564785179</v>
      </c>
      <c r="AF588" s="170">
        <f t="shared" ca="1" si="85"/>
        <v>21.801708950609381</v>
      </c>
      <c r="AG588" s="170">
        <f t="shared" ca="1" si="86"/>
        <v>21.801708950609381</v>
      </c>
      <c r="AH588" s="28" t="str" cm="1">
        <f t="array" aca="1" ref="AH588" ca="1">IF((AD588) &lt; (INDEX(ResponseSLA[#All],(MATCH((G588),ResponseSLA[Priority],0))+1,3)),"YES","No")</f>
        <v>YES</v>
      </c>
      <c r="AI588" s="28" t="str">
        <f ca="1">_xlfn.IFNA(IF(AE588 &lt; (INDEX(SLATable[Minimum SLA],MATCH(G588,SLATable[Priority],0))),"YES","NO"),"")</f>
        <v>NO</v>
      </c>
      <c r="AJ588" s="28" t="str">
        <f ca="1">_xlfn.IFNA(IF(AE588 &lt; (INDEX(SLATable[Maximum SLA],MATCH(G588,SLATable[Priority],0))),"YES","NO"),"")</f>
        <v>NO</v>
      </c>
    </row>
    <row r="589" spans="2:36" s="58" customFormat="1">
      <c r="B589" s="58" t="s">
        <v>26</v>
      </c>
      <c r="C589" s="58" t="s">
        <v>35</v>
      </c>
      <c r="D589" s="58" t="s">
        <v>208</v>
      </c>
      <c r="E589" s="58" t="s">
        <v>2287</v>
      </c>
      <c r="F589" s="58" t="s">
        <v>303</v>
      </c>
      <c r="G589" s="58" t="s">
        <v>208</v>
      </c>
      <c r="H589" s="127" t="s">
        <v>2288</v>
      </c>
      <c r="I589" s="58" t="s">
        <v>1175</v>
      </c>
      <c r="J589" s="127" t="s">
        <v>1454</v>
      </c>
      <c r="K589" s="307">
        <v>46223.256689814814</v>
      </c>
      <c r="L589" s="307">
        <v>46223.256689814814</v>
      </c>
      <c r="M589" s="307">
        <v>46224.300370370373</v>
      </c>
      <c r="N589" s="307"/>
      <c r="O589" s="307"/>
      <c r="P589" s="307"/>
      <c r="Q589" s="58" t="s">
        <v>1257</v>
      </c>
      <c r="U589" s="58" t="s">
        <v>371</v>
      </c>
      <c r="Z589" s="169">
        <f t="shared" ca="1" si="80"/>
        <v>10.05064085647852</v>
      </c>
      <c r="AA589" s="170">
        <f t="shared" ca="1" si="81"/>
        <v>26.801708950609385</v>
      </c>
      <c r="AB589" s="169">
        <f t="shared" ca="1" si="82"/>
        <v>10.05064085647852</v>
      </c>
      <c r="AC589" s="170">
        <f t="shared" ca="1" si="83"/>
        <v>26.801708950609385</v>
      </c>
      <c r="AD589" s="169">
        <f t="shared" ca="1" si="84"/>
        <v>0.37500000000000006</v>
      </c>
      <c r="AE589" s="169">
        <f ca="1">SUMIFS(AB:AB,E:E,E589)</f>
        <v>10.05064085647852</v>
      </c>
      <c r="AF589" s="170">
        <f t="shared" ca="1" si="85"/>
        <v>26.801708950609385</v>
      </c>
      <c r="AG589" s="170">
        <f t="shared" ca="1" si="86"/>
        <v>26.801708950609385</v>
      </c>
      <c r="AH589" s="28" t="str" cm="1">
        <f t="array" aca="1" ref="AH589" ca="1">IF((AD589) &lt; (INDEX(ResponseSLA[#All],(MATCH((G589),ResponseSLA[Priority],0))+1,3)),"YES","No")</f>
        <v>No</v>
      </c>
      <c r="AI589" s="28" t="str">
        <f ca="1">_xlfn.IFNA(IF(AE589 &lt; (INDEX(SLATable[Minimum SLA],MATCH(G589,SLATable[Priority],0))),"YES","NO"),"")</f>
        <v>NO</v>
      </c>
      <c r="AJ589" s="28" t="str">
        <f ca="1">_xlfn.IFNA(IF(AE589 &lt; (INDEX(SLATable[Maximum SLA],MATCH(G589,SLATable[Priority],0))),"YES","NO"),"")</f>
        <v>NO</v>
      </c>
    </row>
    <row r="590" spans="2:36" s="58" customFormat="1">
      <c r="B590" s="58" t="s">
        <v>26</v>
      </c>
      <c r="C590" s="58" t="s">
        <v>35</v>
      </c>
      <c r="D590" s="58" t="s">
        <v>208</v>
      </c>
      <c r="E590" s="58" t="s">
        <v>2289</v>
      </c>
      <c r="F590" s="58" t="s">
        <v>303</v>
      </c>
      <c r="G590" s="58" t="s">
        <v>208</v>
      </c>
      <c r="H590" s="127" t="s">
        <v>2290</v>
      </c>
      <c r="I590" s="58" t="s">
        <v>1175</v>
      </c>
      <c r="J590" s="127" t="s">
        <v>1454</v>
      </c>
      <c r="K590" s="307">
        <v>46223.255497685182</v>
      </c>
      <c r="L590" s="307">
        <v>46223.255497685182</v>
      </c>
      <c r="M590" s="307">
        <v>46224.301180555558</v>
      </c>
      <c r="N590" s="307"/>
      <c r="O590" s="307"/>
      <c r="P590" s="307"/>
      <c r="Q590" s="58" t="s">
        <v>1247</v>
      </c>
      <c r="U590" s="58" t="s">
        <v>371</v>
      </c>
      <c r="Z590" s="169">
        <f t="shared" ca="1" si="80"/>
        <v>10.05064085647852</v>
      </c>
      <c r="AA590" s="170">
        <f t="shared" ca="1" si="81"/>
        <v>26.801708950609385</v>
      </c>
      <c r="AB590" s="169">
        <f t="shared" ca="1" si="82"/>
        <v>10.05064085647852</v>
      </c>
      <c r="AC590" s="170">
        <f t="shared" ca="1" si="83"/>
        <v>26.801708950609385</v>
      </c>
      <c r="AD590" s="169">
        <f t="shared" ca="1" si="84"/>
        <v>0.37500000000000006</v>
      </c>
      <c r="AE590" s="169">
        <f ca="1">SUMIFS(AB:AB,E:E,E590)</f>
        <v>10.05064085647852</v>
      </c>
      <c r="AF590" s="170">
        <f t="shared" ca="1" si="85"/>
        <v>26.801708950609385</v>
      </c>
      <c r="AG590" s="170">
        <f t="shared" ca="1" si="86"/>
        <v>26.801708950609385</v>
      </c>
      <c r="AH590" s="28" t="str" cm="1">
        <f t="array" aca="1" ref="AH590" ca="1">IF((AD590) &lt; (INDEX(ResponseSLA[#All],(MATCH((G590),ResponseSLA[Priority],0))+1,3)),"YES","No")</f>
        <v>No</v>
      </c>
      <c r="AI590" s="28" t="str">
        <f ca="1">_xlfn.IFNA(IF(AE590 &lt; (INDEX(SLATable[Minimum SLA],MATCH(G590,SLATable[Priority],0))),"YES","NO"),"")</f>
        <v>NO</v>
      </c>
      <c r="AJ590" s="28" t="str">
        <f ca="1">_xlfn.IFNA(IF(AE590 &lt; (INDEX(SLATable[Maximum SLA],MATCH(G590,SLATable[Priority],0))),"YES","NO"),"")</f>
        <v>NO</v>
      </c>
    </row>
    <row r="591" spans="2:36" s="58" customFormat="1">
      <c r="B591" s="58" t="s">
        <v>26</v>
      </c>
      <c r="C591" s="58" t="s">
        <v>35</v>
      </c>
      <c r="D591" s="58" t="s">
        <v>208</v>
      </c>
      <c r="E591" s="58" t="s">
        <v>2291</v>
      </c>
      <c r="F591" s="58" t="s">
        <v>303</v>
      </c>
      <c r="G591" s="58" t="s">
        <v>208</v>
      </c>
      <c r="H591" s="127" t="s">
        <v>2292</v>
      </c>
      <c r="I591" s="58" t="s">
        <v>1175</v>
      </c>
      <c r="J591" s="127" t="s">
        <v>1454</v>
      </c>
      <c r="K591" s="307">
        <v>46223.255289351851</v>
      </c>
      <c r="L591" s="307">
        <v>46223.255289351851</v>
      </c>
      <c r="M591" s="307">
        <v>46224.300810185188</v>
      </c>
      <c r="N591" s="307"/>
      <c r="O591" s="307"/>
      <c r="P591" s="307"/>
      <c r="Q591" s="58" t="s">
        <v>1260</v>
      </c>
      <c r="U591" s="58" t="s">
        <v>371</v>
      </c>
      <c r="Z591" s="169"/>
      <c r="AA591" s="170"/>
      <c r="AB591" s="169"/>
      <c r="AC591" s="170"/>
      <c r="AD591" s="169"/>
      <c r="AE591" s="169"/>
      <c r="AF591" s="170"/>
      <c r="AG591" s="170"/>
      <c r="AH591" s="28"/>
      <c r="AI591" s="28"/>
      <c r="AJ591" s="28"/>
    </row>
    <row r="592" spans="2:36" s="58" customFormat="1">
      <c r="B592" s="58" t="s">
        <v>26</v>
      </c>
      <c r="C592" s="58" t="s">
        <v>35</v>
      </c>
      <c r="D592" s="58" t="s">
        <v>208</v>
      </c>
      <c r="E592" s="58" t="s">
        <v>2293</v>
      </c>
      <c r="F592" s="58" t="s">
        <v>303</v>
      </c>
      <c r="G592" s="58" t="s">
        <v>208</v>
      </c>
      <c r="H592" s="127" t="s">
        <v>2294</v>
      </c>
      <c r="I592" s="58" t="s">
        <v>1175</v>
      </c>
      <c r="J592" s="127" t="s">
        <v>1454</v>
      </c>
      <c r="K592" s="307">
        <v>46216.254479166666</v>
      </c>
      <c r="L592" s="307">
        <v>46216.254479166666</v>
      </c>
      <c r="M592" s="307">
        <v>46216.32304398148</v>
      </c>
      <c r="N592" s="307"/>
      <c r="O592" s="307"/>
      <c r="P592" s="307"/>
      <c r="Q592" s="58" t="s">
        <v>1247</v>
      </c>
      <c r="U592" s="58" t="s">
        <v>371</v>
      </c>
      <c r="Z592" s="169"/>
      <c r="AA592" s="170"/>
      <c r="AB592" s="169"/>
      <c r="AC592" s="170"/>
      <c r="AD592" s="169"/>
      <c r="AE592" s="169"/>
      <c r="AF592" s="170"/>
      <c r="AG592" s="170"/>
      <c r="AH592" s="28"/>
      <c r="AI592" s="28"/>
      <c r="AJ592" s="28"/>
    </row>
    <row r="593" spans="2:36" s="58" customFormat="1">
      <c r="B593" s="58" t="s">
        <v>26</v>
      </c>
      <c r="C593" s="58" t="s">
        <v>35</v>
      </c>
      <c r="D593" s="58" t="s">
        <v>207</v>
      </c>
      <c r="E593" s="313" t="s">
        <v>2295</v>
      </c>
      <c r="F593" s="58" t="s">
        <v>289</v>
      </c>
      <c r="G593" s="58">
        <v>4</v>
      </c>
      <c r="H593" s="313" t="s">
        <v>2296</v>
      </c>
      <c r="I593" s="58" t="s">
        <v>271</v>
      </c>
      <c r="J593" s="313" t="s">
        <v>1092</v>
      </c>
      <c r="K593" s="307">
        <v>46207.867071759261</v>
      </c>
      <c r="L593" s="314">
        <v>46207.867280092592</v>
      </c>
      <c r="M593" s="314">
        <v>46209.288055555553</v>
      </c>
      <c r="N593" s="314">
        <v>46211.606377314813</v>
      </c>
      <c r="O593" s="313"/>
      <c r="P593" s="313"/>
      <c r="Q593" s="313" t="s">
        <v>1104</v>
      </c>
      <c r="R593" s="58" t="s">
        <v>267</v>
      </c>
      <c r="S593" s="58" t="s">
        <v>199</v>
      </c>
      <c r="U593" s="58" t="s">
        <v>371</v>
      </c>
      <c r="Z593" s="169">
        <f t="shared" ca="1" si="80"/>
        <v>1.0230439814792287</v>
      </c>
      <c r="AA593" s="170">
        <f t="shared" ca="1" si="81"/>
        <v>2.7281172839446097</v>
      </c>
      <c r="AB593" s="169">
        <f t="shared" ca="1" si="82"/>
        <v>1.0230439814792287</v>
      </c>
      <c r="AC593" s="170">
        <f t="shared" ca="1" si="83"/>
        <v>2.7281172839446097</v>
      </c>
      <c r="AD593" s="169">
        <f t="shared" ca="1" si="84"/>
        <v>0</v>
      </c>
      <c r="AE593" s="169">
        <f t="shared" ref="AE593:AE623" ca="1" si="88">SUMIFS(AB:AB,E:E,E593)</f>
        <v>1.0230439814792287</v>
      </c>
      <c r="AF593" s="170">
        <f t="shared" ca="1" si="85"/>
        <v>2.7281172839446097</v>
      </c>
      <c r="AG593" s="170">
        <f t="shared" ca="1" si="86"/>
        <v>2.7281172839446097</v>
      </c>
      <c r="AH593" s="28" t="str" cm="1">
        <f t="array" aca="1" ref="AH593" ca="1">IF((AD593) &lt; (INDEX(ResponseSLA[#All],(MATCH((G593),ResponseSLA[Priority],0))+1,3)),"YES","No")</f>
        <v>YES</v>
      </c>
      <c r="AI593" s="28" t="str">
        <f ca="1">_xlfn.IFNA(IF(AE593 &lt; (INDEX(SLATable[Minimum SLA],MATCH(G593,SLATable[Priority],0))),"YES","NO"),"")</f>
        <v>YES</v>
      </c>
      <c r="AJ593" s="28" t="str">
        <f ca="1">_xlfn.IFNA(IF(AE593 &lt; (INDEX(SLATable[Maximum SLA],MATCH(G593,SLATable[Priority],0))),"YES","NO"),"")</f>
        <v>YES</v>
      </c>
    </row>
    <row r="594" spans="2:36" s="58" customFormat="1">
      <c r="B594" s="58" t="s">
        <v>26</v>
      </c>
      <c r="C594" s="58" t="s">
        <v>35</v>
      </c>
      <c r="D594" s="58" t="s">
        <v>207</v>
      </c>
      <c r="E594" s="313" t="s">
        <v>1741</v>
      </c>
      <c r="F594" s="58" t="s">
        <v>289</v>
      </c>
      <c r="G594" s="58">
        <v>4</v>
      </c>
      <c r="H594" s="313" t="s">
        <v>1742</v>
      </c>
      <c r="I594" s="58" t="s">
        <v>271</v>
      </c>
      <c r="J594" s="313" t="s">
        <v>1092</v>
      </c>
      <c r="K594" s="314">
        <v>46202.488854166666</v>
      </c>
      <c r="L594" s="314">
        <v>46202.489004629628</v>
      </c>
      <c r="M594" s="314">
        <v>46202.497164351851</v>
      </c>
      <c r="N594" s="314">
        <v>46212.501909722225</v>
      </c>
      <c r="O594" s="314">
        <v>46204.500902777778</v>
      </c>
      <c r="P594" s="314">
        <v>46212.501909722225</v>
      </c>
      <c r="Q594" s="313" t="s">
        <v>1068</v>
      </c>
      <c r="R594" s="58" t="s">
        <v>267</v>
      </c>
      <c r="S594" s="58" t="s">
        <v>190</v>
      </c>
      <c r="U594" s="58" t="s">
        <v>371</v>
      </c>
      <c r="Z594" s="169">
        <f t="shared" ref="Z594:Z644" ca="1" si="89">IF(NOT(OR(G594=1,G594=2)),MAX(0,_xlfn.IFS(AND(K594&lt;&gt;"",N594&lt;&gt;""),((MAX(NETWORKDAYS(K594,N594,UKBankHolidays)-1,0))*(TIME(17,0,0)-TIME(8,0,0))+IF(NETWORKDAYS(N594,N594,UKBankHolidays)&gt;0,MEDIAN(TIME(8,0,0),MOD(N594,1),TIME(17,0,0)),TIME(8,0,0))-IF(NETWORKDAYS(K594,K594,UKBankHolidays)&gt;0,MEDIAN(TIME(8,0,0),MOD(K594,1),TIME(17,0,0)),TIME(8,0,0)))-IF(AND(O594&lt;&gt;"",P594&lt;&gt;""),((MAX(NETWORKDAYS(O594,P594,UKBankHolidays)-1,0))*(TIME(17,0,0)-TIME(8,0,0))+IF(NETWORKDAYS(P594,P594,UKBankHolidays)&gt;0,MEDIAN(TIME(8,0,0),MOD(P594,1),TIME(17,0,0)),TIME(8,0,0))-IF(NETWORKDAYS(O594,O594,UKBankHolidays)&gt;0,MEDIAN(TIME(8,0,0),MOD(O594,1),TIME(17,0,0)),TIME(8,0,0))),0),AND(K594&lt;&gt;"",N594=""),((MAX(NETWORKDAYS(K594,NOW(),UKBankHolidays)-1,0))*(TIME(17,0,0)-TIME(8,0,0))+IF(NETWORKDAYS(NOW(),NOW(),UKBankHolidays)&gt;0,MEDIAN(TIME(8,0,0),MOD(NOW(),1),TIME(17,0,0)),TIME(8,0,0))-IF(NETWORKDAYS(K594,K594,UKBankHolidays)&gt;0,MEDIAN(TIME(8,0,0),MOD(K594,1),TIME(17,0,0)),TIME(8,0,0))))),IF(N594="",NOW()-K594,N594-K594))</f>
        <v>0.76204861111182254</v>
      </c>
      <c r="AA594" s="170">
        <f t="shared" ref="AA594:AA644" ca="1" si="90">(Z594*24)/9</f>
        <v>2.0321296296315268</v>
      </c>
      <c r="AB594" s="169">
        <f t="shared" ref="AB594:AB644" ca="1" si="91">IF(NOT(OR(G594=1,G594=2)),MAX(0,_xlfn.IFS(AND(K594&lt;&gt;"",N594&lt;&gt;""),(((MAX(NETWORKDAYS(L594,N594,UKBankHolidays)-1,0))*(TIME(17,0,0)-TIME(8,0,0)))+IF(NETWORKDAYS(N594,N594,UKBankHolidays)&gt;0,MEDIAN(TIME(8,0,0),MOD(N594,1),TIME(17,0,0)),TIME(8,0,0))-IF(NETWORKDAYS(L594,L594,UKBankHolidays)&gt;0,MEDIAN(TIME(8,0,0),MOD(L594,1),TIME(17,0,0)),TIME(8,0,0)))-IF(AND(O594&lt;&gt;"",P594&lt;&gt;""),(((MAX(NETWORKDAYS(O594,P594,UKBankHolidays)-1,0))*(TIME(17,0,0)-TIME(8,0,0)))+IF(NETWORKDAYS(P594,P594,UKBankHolidays)&gt;0,MEDIAN(TIME(8,0,0),MOD(P594,1),TIME(17,0,0)),TIME(8,0,0))-IF(NETWORKDAYS(O594,O594,UKBankHolidays)&gt;0,MEDIAN(TIME(8,0,0),MOD(O594,1),TIME(17,0,0)),TIME(8,0,0))),0),AND(L594&lt;&gt;"",N594="",O594=""),(((MAX(NETWORKDAYS(L594,NOW(),UKBankHolidays)-1,0))*(TIME(17,0,0)-TIME(8,0,0)))+IF(NETWORKDAYS(NOW(),NOW(),UKBankHolidays)&gt;0,MEDIAN(TIME(8,0,0),MOD(NOW(),1),TIME(17,0,0)),TIME(8,0,0))-IF(NETWORKDAYS(L594,L594,UKBankHolidays)&gt;0,MEDIAN(TIME(8,0,0),MOD(L594,1),TIME(17,0,0)),TIME(8,0,0)))-IF(AND(O594&lt;&gt;"",P594&lt;&gt;""),(((MAX(NETWORKDAYS(O594,P594,UKBankHolidays)-1,0))*(TIME(17,0,0)-TIME(8,0,0)))+IF(NETWORKDAYS(P594,P594,UKBankHolidays)&gt;0,MEDIAN(TIME(8,0,0),MOD(P594,1),TIME(17,0,0)),TIME(8,0,0))-IF(NETWORKDAYS(O594,O594,UKBankHolidays)&gt;0,MEDIAN(TIME(8,0,0),MOD(O594,1),TIME(17,0,0)),TIME(8,0,0))),0),AND(L594&lt;&gt;"",N594="",P594="",O594&lt;&gt;""),(((MAX(NETWORKDAYS(L594,O594,UKBankHolidays)-1,0))*(TIME(17,0,0)-TIME(8,0,0)))+IF(NETWORKDAYS(O594,O594,UKBankHolidays)&gt;0,MEDIAN(TIME(8,0,0),MOD(O594,1),TIME(17,0,0)),TIME(8,0,0))-IF(NETWORKDAYS(L594,L594,UKBankHolidays)&gt;0,MEDIAN(TIME(8,0,0),MOD(L594,1),TIME(17,0,0)),TIME(8,0,0))),ISBLANK(K594),"0")),IF(ISBLANK(N594),NOW()-L594,N594-L594))</f>
        <v>0.76189814815006685</v>
      </c>
      <c r="AC594" s="170">
        <f t="shared" ref="AC594:AC644" ca="1" si="92">(AB594*24)/9</f>
        <v>2.0317283950668448</v>
      </c>
      <c r="AD594" s="169">
        <f t="shared" ref="AD594:AD644" ca="1" si="93">MAX(0,IF(NOT(OR(G594=1,G594=2)),IF(M594&lt;&gt;"",((MAX(NETWORKDAYS(L594,M594,UKBankHolidays)-1,0))*(TIME(17,0,0)-TIME(8,0,0))+IF(NETWORKDAYS(M594,M594,UKBankHolidays)&gt;0,MEDIAN(TIME(8,0,0),MOD(M594,1),TIME(17,0,0)),TIME(8,0,0))-MEDIAN(TIME(8,0,0),MOD(L594,1),TIME(17,0,0))),((MAX(NETWORKDAYS(L594,NOW(),UKBankHolidays)-1,0))*(TIME(17,0,0)-TIME(8,0,0))+IF(NETWORKDAYS(NOW(),NOW(),UKBankHolidays)&gt;0,MEDIAN(TIME(8,0,0),MOD(NOW(),1),TIME(17,0,0)),TIME(8,0,0))-MEDIAN(TIME(8,0,0),MOD(L594,1),TIME(17,0,0)))),IF(M594&lt;&gt;"",M594-L594,NOW()-L594)))</f>
        <v>8.1597222233540379E-3</v>
      </c>
      <c r="AE594" s="169">
        <f t="shared" ca="1" si="88"/>
        <v>16.281867708334175</v>
      </c>
      <c r="AF594" s="170">
        <f t="shared" ref="AF594:AF644" ca="1" si="94">(AE594*24)/9</f>
        <v>43.418313888891134</v>
      </c>
      <c r="AG594" s="170">
        <f t="shared" ref="AG594:AG644" ca="1" si="95">AF594</f>
        <v>43.418313888891134</v>
      </c>
      <c r="AH594" s="28" t="str" cm="1">
        <f t="array" aca="1" ref="AH594" ca="1">IF((AD594) &lt; (INDEX(ResponseSLA[#All],(MATCH((G594),ResponseSLA[Priority],0))+1,3)),"YES","No")</f>
        <v>YES</v>
      </c>
      <c r="AI594" s="28" t="str">
        <f ca="1">_xlfn.IFNA(IF(AE594 &lt; (INDEX(SLATable[Minimum SLA],MATCH(G594,SLATable[Priority],0))),"YES","NO"),"")</f>
        <v>NO</v>
      </c>
      <c r="AJ594" s="28" t="str">
        <f ca="1">_xlfn.IFNA(IF(AE594 &lt; (INDEX(SLATable[Maximum SLA],MATCH(G594,SLATable[Priority],0))),"YES","NO"),"")</f>
        <v>NO</v>
      </c>
    </row>
    <row r="595" spans="2:36" s="58" customFormat="1">
      <c r="B595" s="58" t="s">
        <v>26</v>
      </c>
      <c r="C595" s="58" t="s">
        <v>35</v>
      </c>
      <c r="D595" s="58" t="s">
        <v>207</v>
      </c>
      <c r="E595" s="313" t="s">
        <v>1762</v>
      </c>
      <c r="F595" s="58" t="s">
        <v>289</v>
      </c>
      <c r="G595" s="58">
        <v>3</v>
      </c>
      <c r="H595" s="313" t="s">
        <v>1763</v>
      </c>
      <c r="I595" s="58" t="s">
        <v>271</v>
      </c>
      <c r="J595" s="313" t="s">
        <v>1092</v>
      </c>
      <c r="K595" s="314">
        <v>46199.76421296296</v>
      </c>
      <c r="L595" s="314">
        <v>46199.765370370369</v>
      </c>
      <c r="M595" s="314">
        <v>46202.357083333336</v>
      </c>
      <c r="N595" s="314">
        <v>46211.455729166664</v>
      </c>
      <c r="O595" s="313"/>
      <c r="P595" s="313"/>
      <c r="Q595" s="313" t="s">
        <v>1113</v>
      </c>
      <c r="R595" s="58" t="s">
        <v>267</v>
      </c>
      <c r="S595" s="58" t="s">
        <v>190</v>
      </c>
      <c r="U595" s="58" t="s">
        <v>371</v>
      </c>
      <c r="Z595" s="169">
        <f t="shared" ca="1" si="89"/>
        <v>2.7473958333309083</v>
      </c>
      <c r="AA595" s="170">
        <f t="shared" ca="1" si="90"/>
        <v>7.3263888888824216</v>
      </c>
      <c r="AB595" s="169">
        <f t="shared" ca="1" si="91"/>
        <v>2.7473958333309083</v>
      </c>
      <c r="AC595" s="170">
        <f t="shared" ca="1" si="92"/>
        <v>7.3263888888824216</v>
      </c>
      <c r="AD595" s="169">
        <f t="shared" ca="1" si="93"/>
        <v>2.3750000002716321E-2</v>
      </c>
      <c r="AE595" s="169">
        <f t="shared" ca="1" si="88"/>
        <v>3.2441087962918878</v>
      </c>
      <c r="AF595" s="170">
        <f t="shared" ca="1" si="94"/>
        <v>8.6509567901116995</v>
      </c>
      <c r="AG595" s="170">
        <f t="shared" ca="1" si="95"/>
        <v>8.6509567901116995</v>
      </c>
      <c r="AH595" s="28" t="str" cm="1">
        <f t="array" aca="1" ref="AH595" ca="1">IF((AD595) &lt; (INDEX(ResponseSLA[#All],(MATCH((G595),ResponseSLA[Priority],0))+1,3)),"YES","No")</f>
        <v>YES</v>
      </c>
      <c r="AI595" s="28" t="str">
        <f ca="1">_xlfn.IFNA(IF(AE595 &lt; (INDEX(SLATable[Minimum SLA],MATCH(G595,SLATable[Priority],0))),"YES","NO"),"")</f>
        <v>NO</v>
      </c>
      <c r="AJ595" s="28" t="str">
        <f ca="1">_xlfn.IFNA(IF(AE595 &lt; (INDEX(SLATable[Maximum SLA],MATCH(G595,SLATable[Priority],0))),"YES","NO"),"")</f>
        <v>NO</v>
      </c>
    </row>
    <row r="596" spans="2:36" s="58" customFormat="1">
      <c r="B596" s="58" t="s">
        <v>26</v>
      </c>
      <c r="C596" s="58" t="s">
        <v>35</v>
      </c>
      <c r="D596" s="58" t="s">
        <v>207</v>
      </c>
      <c r="E596" s="313" t="s">
        <v>2127</v>
      </c>
      <c r="F596" s="127" t="s">
        <v>295</v>
      </c>
      <c r="G596" s="58">
        <v>3</v>
      </c>
      <c r="H596" s="313" t="s">
        <v>2128</v>
      </c>
      <c r="I596" s="58" t="s">
        <v>271</v>
      </c>
      <c r="J596" s="313" t="s">
        <v>1408</v>
      </c>
      <c r="K596" s="314">
        <v>46197.903634259259</v>
      </c>
      <c r="L596" s="314">
        <v>46197.912569444445</v>
      </c>
      <c r="M596" s="314">
        <v>46198.344884259262</v>
      </c>
      <c r="N596" s="314">
        <v>46204.290868055556</v>
      </c>
      <c r="O596" s="313"/>
      <c r="P596" s="313"/>
      <c r="Q596" s="313" t="s">
        <v>695</v>
      </c>
      <c r="R596" s="58" t="s">
        <v>267</v>
      </c>
      <c r="S596" s="58" t="s">
        <v>149</v>
      </c>
      <c r="U596" s="58" t="s">
        <v>371</v>
      </c>
      <c r="Z596" s="169">
        <f t="shared" ca="1" si="89"/>
        <v>1.5</v>
      </c>
      <c r="AA596" s="170">
        <f t="shared" ca="1" si="90"/>
        <v>4</v>
      </c>
      <c r="AB596" s="169">
        <f t="shared" ca="1" si="91"/>
        <v>1.5</v>
      </c>
      <c r="AC596" s="170">
        <f t="shared" ca="1" si="92"/>
        <v>4</v>
      </c>
      <c r="AD596" s="169">
        <f t="shared" ca="1" si="93"/>
        <v>1.1550925929138089E-2</v>
      </c>
      <c r="AE596" s="169">
        <f t="shared" ca="1" si="88"/>
        <v>17.925640856478523</v>
      </c>
      <c r="AF596" s="170">
        <f t="shared" ca="1" si="94"/>
        <v>47.801708950609395</v>
      </c>
      <c r="AG596" s="170">
        <f t="shared" ca="1" si="95"/>
        <v>47.801708950609395</v>
      </c>
      <c r="AH596" s="28" t="str" cm="1">
        <f t="array" aca="1" ref="AH596" ca="1">IF((AD596) &lt; (INDEX(ResponseSLA[#All],(MATCH((G596),ResponseSLA[Priority],0))+1,3)),"YES","No")</f>
        <v>YES</v>
      </c>
      <c r="AI596" s="28" t="str">
        <f ca="1">_xlfn.IFNA(IF(AE596 &lt; (INDEX(SLATable[Minimum SLA],MATCH(G596,SLATable[Priority],0))),"YES","NO"),"")</f>
        <v>NO</v>
      </c>
      <c r="AJ596" s="28" t="str">
        <f ca="1">_xlfn.IFNA(IF(AE596 &lt; (INDEX(SLATable[Maximum SLA],MATCH(G596,SLATable[Priority],0))),"YES","NO"),"")</f>
        <v>NO</v>
      </c>
    </row>
    <row r="597" spans="2:36" s="58" customFormat="1">
      <c r="B597" s="58" t="s">
        <v>26</v>
      </c>
      <c r="C597" s="58" t="s">
        <v>35</v>
      </c>
      <c r="D597" s="58" t="s">
        <v>207</v>
      </c>
      <c r="E597" s="313" t="s">
        <v>2125</v>
      </c>
      <c r="F597" s="127" t="s">
        <v>295</v>
      </c>
      <c r="G597" s="58">
        <v>3</v>
      </c>
      <c r="H597" s="313" t="s">
        <v>2126</v>
      </c>
      <c r="I597" s="58" t="s">
        <v>271</v>
      </c>
      <c r="J597" s="313" t="s">
        <v>1408</v>
      </c>
      <c r="K597" s="314">
        <v>46197.903622685182</v>
      </c>
      <c r="L597" s="314">
        <v>46197.910474537035</v>
      </c>
      <c r="M597" s="314">
        <v>46198.345578703702</v>
      </c>
      <c r="N597" s="314">
        <v>46204.292002314818</v>
      </c>
      <c r="O597" s="313"/>
      <c r="P597" s="313"/>
      <c r="Q597" s="313" t="s">
        <v>695</v>
      </c>
      <c r="R597" s="58" t="s">
        <v>267</v>
      </c>
      <c r="S597" s="58" t="s">
        <v>149</v>
      </c>
      <c r="U597" s="58" t="s">
        <v>371</v>
      </c>
      <c r="Z597" s="169">
        <f t="shared" ca="1" si="89"/>
        <v>1.5</v>
      </c>
      <c r="AA597" s="170">
        <f t="shared" ca="1" si="90"/>
        <v>4</v>
      </c>
      <c r="AB597" s="169">
        <f t="shared" ca="1" si="91"/>
        <v>1.5</v>
      </c>
      <c r="AC597" s="170">
        <f t="shared" ca="1" si="92"/>
        <v>4</v>
      </c>
      <c r="AD597" s="169">
        <f t="shared" ca="1" si="93"/>
        <v>1.2245370368570208E-2</v>
      </c>
      <c r="AE597" s="169">
        <f t="shared" ca="1" si="88"/>
        <v>17.925640856478523</v>
      </c>
      <c r="AF597" s="170">
        <f t="shared" ca="1" si="94"/>
        <v>47.801708950609395</v>
      </c>
      <c r="AG597" s="170">
        <f t="shared" ca="1" si="95"/>
        <v>47.801708950609395</v>
      </c>
      <c r="AH597" s="28" t="str" cm="1">
        <f t="array" aca="1" ref="AH597" ca="1">IF((AD597) &lt; (INDEX(ResponseSLA[#All],(MATCH((G597),ResponseSLA[Priority],0))+1,3)),"YES","No")</f>
        <v>YES</v>
      </c>
      <c r="AI597" s="28" t="str">
        <f ca="1">_xlfn.IFNA(IF(AE597 &lt; (INDEX(SLATable[Minimum SLA],MATCH(G597,SLATable[Priority],0))),"YES","NO"),"")</f>
        <v>NO</v>
      </c>
      <c r="AJ597" s="28" t="str">
        <f ca="1">_xlfn.IFNA(IF(AE597 &lt; (INDEX(SLATable[Maximum SLA],MATCH(G597,SLATable[Priority],0))),"YES","NO"),"")</f>
        <v>NO</v>
      </c>
    </row>
    <row r="598" spans="2:36" s="58" customFormat="1">
      <c r="B598" s="58" t="s">
        <v>26</v>
      </c>
      <c r="C598" s="58" t="s">
        <v>35</v>
      </c>
      <c r="D598" s="58" t="s">
        <v>207</v>
      </c>
      <c r="E598" s="313" t="s">
        <v>1747</v>
      </c>
      <c r="F598" s="58" t="s">
        <v>289</v>
      </c>
      <c r="G598" s="58">
        <v>4</v>
      </c>
      <c r="H598" s="313" t="s">
        <v>1748</v>
      </c>
      <c r="I598" s="58" t="s">
        <v>271</v>
      </c>
      <c r="J598" s="313" t="s">
        <v>1092</v>
      </c>
      <c r="K598" s="314">
        <v>46197.61990740741</v>
      </c>
      <c r="L598" s="314">
        <v>46197.620729166665</v>
      </c>
      <c r="M598" s="314">
        <v>46198.35125</v>
      </c>
      <c r="N598" s="314">
        <v>46212.444641203707</v>
      </c>
      <c r="O598" s="314">
        <v>46211.591770833336</v>
      </c>
      <c r="P598" s="314">
        <v>46212.444641203707</v>
      </c>
      <c r="Q598" s="313" t="s">
        <v>1098</v>
      </c>
      <c r="R598" s="58" t="s">
        <v>267</v>
      </c>
      <c r="S598" s="58" t="s">
        <v>199</v>
      </c>
      <c r="U598" s="58" t="s">
        <v>371</v>
      </c>
      <c r="Z598" s="169">
        <f t="shared" ca="1" si="89"/>
        <v>3.7218634259261316</v>
      </c>
      <c r="AA598" s="170">
        <f t="shared" ca="1" si="90"/>
        <v>9.9249691358030177</v>
      </c>
      <c r="AB598" s="169">
        <f t="shared" ca="1" si="91"/>
        <v>3.7210416666712272</v>
      </c>
      <c r="AC598" s="170">
        <f t="shared" ca="1" si="92"/>
        <v>9.9227777777899391</v>
      </c>
      <c r="AD598" s="169">
        <f t="shared" ca="1" si="93"/>
        <v>0.1055208333345945</v>
      </c>
      <c r="AE598" s="169">
        <f t="shared" ca="1" si="88"/>
        <v>20.234286689817967</v>
      </c>
      <c r="AF598" s="170">
        <f t="shared" ca="1" si="94"/>
        <v>53.958097839514579</v>
      </c>
      <c r="AG598" s="170">
        <f t="shared" ca="1" si="95"/>
        <v>53.958097839514579</v>
      </c>
      <c r="AH598" s="28" t="str" cm="1">
        <f t="array" aca="1" ref="AH598" ca="1">IF((AD598) &lt; (INDEX(ResponseSLA[#All],(MATCH((G598),ResponseSLA[Priority],0))+1,3)),"YES","No")</f>
        <v>YES</v>
      </c>
      <c r="AI598" s="28" t="str">
        <f ca="1">_xlfn.IFNA(IF(AE598 &lt; (INDEX(SLATable[Minimum SLA],MATCH(G598,SLATable[Priority],0))),"YES","NO"),"")</f>
        <v>NO</v>
      </c>
      <c r="AJ598" s="28" t="str">
        <f ca="1">_xlfn.IFNA(IF(AE598 &lt; (INDEX(SLATable[Maximum SLA],MATCH(G598,SLATable[Priority],0))),"YES","NO"),"")</f>
        <v>NO</v>
      </c>
    </row>
    <row r="599" spans="2:36" s="58" customFormat="1">
      <c r="B599" s="58" t="s">
        <v>26</v>
      </c>
      <c r="C599" s="58" t="s">
        <v>35</v>
      </c>
      <c r="D599" s="58" t="s">
        <v>207</v>
      </c>
      <c r="E599" s="313" t="s">
        <v>1753</v>
      </c>
      <c r="F599" s="58" t="s">
        <v>289</v>
      </c>
      <c r="G599" s="58">
        <v>4</v>
      </c>
      <c r="H599" s="313" t="s">
        <v>1754</v>
      </c>
      <c r="I599" s="58" t="s">
        <v>271</v>
      </c>
      <c r="J599" s="313" t="s">
        <v>1092</v>
      </c>
      <c r="K599" s="314">
        <v>46197.618217592593</v>
      </c>
      <c r="L599" s="314">
        <v>46197.618483796294</v>
      </c>
      <c r="M599" s="314">
        <v>46198.349733796298</v>
      </c>
      <c r="N599" s="314">
        <v>46213.529236111113</v>
      </c>
      <c r="O599" s="314">
        <v>46205.528333333335</v>
      </c>
      <c r="P599" s="314">
        <v>46213.529236111113</v>
      </c>
      <c r="Q599" s="313" t="s">
        <v>1098</v>
      </c>
      <c r="R599" s="58" t="s">
        <v>267</v>
      </c>
      <c r="S599" s="58" t="s">
        <v>199</v>
      </c>
      <c r="U599" s="58" t="s">
        <v>371</v>
      </c>
      <c r="Z599" s="169">
        <f t="shared" ca="1" si="89"/>
        <v>2.1601157407421856</v>
      </c>
      <c r="AA599" s="170">
        <f t="shared" ca="1" si="90"/>
        <v>5.7603086419791616</v>
      </c>
      <c r="AB599" s="169">
        <f t="shared" ca="1" si="91"/>
        <v>2.1598495370417372</v>
      </c>
      <c r="AC599" s="170">
        <f t="shared" ca="1" si="92"/>
        <v>5.7595987654446326</v>
      </c>
      <c r="AD599" s="169">
        <f t="shared" ca="1" si="93"/>
        <v>0.10625000000436557</v>
      </c>
      <c r="AE599" s="169">
        <f t="shared" ca="1" si="88"/>
        <v>18.675339930559861</v>
      </c>
      <c r="AF599" s="170">
        <f t="shared" ca="1" si="94"/>
        <v>49.800906481492966</v>
      </c>
      <c r="AG599" s="170">
        <f t="shared" ca="1" si="95"/>
        <v>49.800906481492966</v>
      </c>
      <c r="AH599" s="28" t="str" cm="1">
        <f t="array" aca="1" ref="AH599" ca="1">IF((AD599) &lt; (INDEX(ResponseSLA[#All],(MATCH((G599),ResponseSLA[Priority],0))+1,3)),"YES","No")</f>
        <v>YES</v>
      </c>
      <c r="AI599" s="28" t="str">
        <f ca="1">_xlfn.IFNA(IF(AE599 &lt; (INDEX(SLATable[Minimum SLA],MATCH(G599,SLATable[Priority],0))),"YES","NO"),"")</f>
        <v>NO</v>
      </c>
      <c r="AJ599" s="28" t="str">
        <f ca="1">_xlfn.IFNA(IF(AE599 &lt; (INDEX(SLATable[Maximum SLA],MATCH(G599,SLATable[Priority],0))),"YES","NO"),"")</f>
        <v>NO</v>
      </c>
    </row>
    <row r="600" spans="2:36" s="58" customFormat="1">
      <c r="B600" s="58" t="s">
        <v>26</v>
      </c>
      <c r="C600" s="58" t="s">
        <v>35</v>
      </c>
      <c r="D600" s="58" t="s">
        <v>207</v>
      </c>
      <c r="E600" s="313" t="s">
        <v>1770</v>
      </c>
      <c r="F600" s="58" t="s">
        <v>289</v>
      </c>
      <c r="G600" s="58">
        <v>4</v>
      </c>
      <c r="H600" s="313" t="s">
        <v>1771</v>
      </c>
      <c r="I600" s="58" t="s">
        <v>271</v>
      </c>
      <c r="J600" s="313" t="s">
        <v>1092</v>
      </c>
      <c r="K600" s="314">
        <v>46197.615729166668</v>
      </c>
      <c r="L600" s="314">
        <v>46197.616018518522</v>
      </c>
      <c r="M600" s="314">
        <v>46198.346284722225</v>
      </c>
      <c r="N600" s="314">
        <v>46206.569849537038</v>
      </c>
      <c r="O600" s="314">
        <v>46204.50545138889</v>
      </c>
      <c r="P600" s="314">
        <v>46206.569849537038</v>
      </c>
      <c r="Q600" s="313" t="s">
        <v>1098</v>
      </c>
      <c r="R600" s="58" t="s">
        <v>267</v>
      </c>
      <c r="S600" s="58" t="s">
        <v>199</v>
      </c>
      <c r="U600" s="58" t="s">
        <v>371</v>
      </c>
      <c r="Z600" s="169">
        <f t="shared" ca="1" si="89"/>
        <v>1.7647222222221903</v>
      </c>
      <c r="AA600" s="170">
        <f t="shared" ca="1" si="90"/>
        <v>4.7059259259258415</v>
      </c>
      <c r="AB600" s="169">
        <f t="shared" ca="1" si="91"/>
        <v>1.7644328703681826</v>
      </c>
      <c r="AC600" s="170">
        <f t="shared" ca="1" si="92"/>
        <v>4.705154320981821</v>
      </c>
      <c r="AD600" s="169">
        <f t="shared" ca="1" si="93"/>
        <v>0.10526620370364981</v>
      </c>
      <c r="AE600" s="169">
        <f t="shared" ca="1" si="88"/>
        <v>2.0927777777687884</v>
      </c>
      <c r="AF600" s="170">
        <f t="shared" ca="1" si="94"/>
        <v>5.5807407407167693</v>
      </c>
      <c r="AG600" s="170">
        <f t="shared" ca="1" si="95"/>
        <v>5.5807407407167693</v>
      </c>
      <c r="AH600" s="28" t="str" cm="1">
        <f t="array" aca="1" ref="AH600" ca="1">IF((AD600) &lt; (INDEX(ResponseSLA[#All],(MATCH((G600),ResponseSLA[Priority],0))+1,3)),"YES","No")</f>
        <v>YES</v>
      </c>
      <c r="AI600" s="28" t="str">
        <f ca="1">_xlfn.IFNA(IF(AE600 &lt; (INDEX(SLATable[Minimum SLA],MATCH(G600,SLATable[Priority],0))),"YES","NO"),"")</f>
        <v>YES</v>
      </c>
      <c r="AJ600" s="28" t="str">
        <f ca="1">_xlfn.IFNA(IF(AE600 &lt; (INDEX(SLATable[Maximum SLA],MATCH(G600,SLATable[Priority],0))),"YES","NO"),"")</f>
        <v>YES</v>
      </c>
    </row>
    <row r="601" spans="2:36" s="58" customFormat="1">
      <c r="B601" s="58" t="s">
        <v>26</v>
      </c>
      <c r="C601" s="58" t="s">
        <v>35</v>
      </c>
      <c r="D601" s="58" t="s">
        <v>207</v>
      </c>
      <c r="E601" s="313" t="s">
        <v>1755</v>
      </c>
      <c r="F601" s="58" t="s">
        <v>289</v>
      </c>
      <c r="G601" s="58">
        <v>4</v>
      </c>
      <c r="H601" s="313" t="s">
        <v>1756</v>
      </c>
      <c r="I601" s="58" t="s">
        <v>271</v>
      </c>
      <c r="J601" s="313" t="s">
        <v>1092</v>
      </c>
      <c r="K601" s="314">
        <v>46197.613912037035</v>
      </c>
      <c r="L601" s="314">
        <v>46197.614340277774</v>
      </c>
      <c r="M601" s="314">
        <v>46198.349016203705</v>
      </c>
      <c r="N601" s="314">
        <v>46212.44190972222</v>
      </c>
      <c r="O601" s="313"/>
      <c r="P601" s="313"/>
      <c r="Q601" s="313" t="s">
        <v>1098</v>
      </c>
      <c r="R601" s="58" t="s">
        <v>267</v>
      </c>
      <c r="S601" s="58" t="s">
        <v>199</v>
      </c>
      <c r="U601" s="58" t="s">
        <v>371</v>
      </c>
      <c r="Z601" s="169">
        <f t="shared" ca="1" si="89"/>
        <v>3.9529976851845285</v>
      </c>
      <c r="AA601" s="170">
        <f t="shared" ca="1" si="90"/>
        <v>10.541327160492077</v>
      </c>
      <c r="AB601" s="169">
        <f t="shared" ca="1" si="91"/>
        <v>3.9525694444455448</v>
      </c>
      <c r="AC601" s="170">
        <f t="shared" ca="1" si="92"/>
        <v>10.54018518518812</v>
      </c>
      <c r="AD601" s="169">
        <f t="shared" ca="1" si="93"/>
        <v>0.10967592593078734</v>
      </c>
      <c r="AE601" s="169">
        <f t="shared" ca="1" si="88"/>
        <v>20.472203356483082</v>
      </c>
      <c r="AF601" s="170">
        <f t="shared" ca="1" si="94"/>
        <v>54.592542283954884</v>
      </c>
      <c r="AG601" s="170">
        <f t="shared" ca="1" si="95"/>
        <v>54.592542283954884</v>
      </c>
      <c r="AH601" s="28" t="str" cm="1">
        <f t="array" aca="1" ref="AH601" ca="1">IF((AD601) &lt; (INDEX(ResponseSLA[#All],(MATCH((G601),ResponseSLA[Priority],0))+1,3)),"YES","No")</f>
        <v>YES</v>
      </c>
      <c r="AI601" s="28" t="str">
        <f ca="1">_xlfn.IFNA(IF(AE601 &lt; (INDEX(SLATable[Minimum SLA],MATCH(G601,SLATable[Priority],0))),"YES","NO"),"")</f>
        <v>NO</v>
      </c>
      <c r="AJ601" s="28" t="str">
        <f ca="1">_xlfn.IFNA(IF(AE601 &lt; (INDEX(SLATable[Maximum SLA],MATCH(G601,SLATable[Priority],0))),"YES","NO"),"")</f>
        <v>NO</v>
      </c>
    </row>
    <row r="602" spans="2:36" s="58" customFormat="1">
      <c r="B602" s="58" t="s">
        <v>26</v>
      </c>
      <c r="C602" s="58" t="s">
        <v>35</v>
      </c>
      <c r="D602" s="58" t="s">
        <v>207</v>
      </c>
      <c r="E602" s="313" t="s">
        <v>1757</v>
      </c>
      <c r="F602" s="58" t="s">
        <v>289</v>
      </c>
      <c r="G602" s="58">
        <v>4</v>
      </c>
      <c r="H602" s="313" t="s">
        <v>1758</v>
      </c>
      <c r="I602" s="58" t="s">
        <v>271</v>
      </c>
      <c r="J602" s="313" t="s">
        <v>1092</v>
      </c>
      <c r="K602" s="314">
        <v>46197.613067129627</v>
      </c>
      <c r="L602" s="314">
        <v>46197.613391203704</v>
      </c>
      <c r="M602" s="314">
        <v>46198.348391203705</v>
      </c>
      <c r="N602" s="314">
        <v>46205.31</v>
      </c>
      <c r="O602" s="313"/>
      <c r="P602" s="313"/>
      <c r="Q602" s="313" t="s">
        <v>1098</v>
      </c>
      <c r="R602" s="58" t="s">
        <v>267</v>
      </c>
      <c r="S602" s="58" t="s">
        <v>199</v>
      </c>
      <c r="U602" s="58" t="s">
        <v>371</v>
      </c>
      <c r="Z602" s="169">
        <f t="shared" ca="1" si="89"/>
        <v>1.9702662037064638</v>
      </c>
      <c r="AA602" s="170">
        <f t="shared" ca="1" si="90"/>
        <v>5.2540432098839034</v>
      </c>
      <c r="AB602" s="169">
        <f t="shared" ca="1" si="91"/>
        <v>1.9699421296293931</v>
      </c>
      <c r="AC602" s="170">
        <f t="shared" ca="1" si="92"/>
        <v>5.2531790123450479</v>
      </c>
      <c r="AD602" s="169">
        <f t="shared" ca="1" si="93"/>
        <v>0.11000000000058208</v>
      </c>
      <c r="AE602" s="169">
        <f t="shared" ca="1" si="88"/>
        <v>18.490525115737306</v>
      </c>
      <c r="AF602" s="170">
        <f t="shared" ca="1" si="94"/>
        <v>49.308066975299482</v>
      </c>
      <c r="AG602" s="170">
        <f t="shared" ca="1" si="95"/>
        <v>49.308066975299482</v>
      </c>
      <c r="AH602" s="28" t="str" cm="1">
        <f t="array" aca="1" ref="AH602" ca="1">IF((AD602) &lt; (INDEX(ResponseSLA[#All],(MATCH((G602),ResponseSLA[Priority],0))+1,3)),"YES","No")</f>
        <v>YES</v>
      </c>
      <c r="AI602" s="28" t="str">
        <f ca="1">_xlfn.IFNA(IF(AE602 &lt; (INDEX(SLATable[Minimum SLA],MATCH(G602,SLATable[Priority],0))),"YES","NO"),"")</f>
        <v>NO</v>
      </c>
      <c r="AJ602" s="28" t="str">
        <f ca="1">_xlfn.IFNA(IF(AE602 &lt; (INDEX(SLATable[Maximum SLA],MATCH(G602,SLATable[Priority],0))),"YES","NO"),"")</f>
        <v>NO</v>
      </c>
    </row>
    <row r="603" spans="2:36" s="58" customFormat="1">
      <c r="B603" s="58" t="s">
        <v>26</v>
      </c>
      <c r="C603" s="58" t="s">
        <v>35</v>
      </c>
      <c r="D603" s="58" t="s">
        <v>207</v>
      </c>
      <c r="E603" s="313" t="s">
        <v>1759</v>
      </c>
      <c r="F603" s="58" t="s">
        <v>289</v>
      </c>
      <c r="G603" s="58">
        <v>4</v>
      </c>
      <c r="H603" s="313" t="s">
        <v>1661</v>
      </c>
      <c r="I603" s="58" t="s">
        <v>271</v>
      </c>
      <c r="J603" s="313" t="s">
        <v>1092</v>
      </c>
      <c r="K603" s="314">
        <v>46197.610231481478</v>
      </c>
      <c r="L603" s="314">
        <v>46197.610671296294</v>
      </c>
      <c r="M603" s="314">
        <v>46198.355266203704</v>
      </c>
      <c r="N603" s="314">
        <v>46211.559201388889</v>
      </c>
      <c r="O603" s="313"/>
      <c r="P603" s="313"/>
      <c r="Q603" s="313" t="s">
        <v>1098</v>
      </c>
      <c r="R603" s="58" t="s">
        <v>267</v>
      </c>
      <c r="S603" s="58" t="s">
        <v>199</v>
      </c>
      <c r="U603" s="58" t="s">
        <v>371</v>
      </c>
      <c r="Z603" s="169">
        <f t="shared" ca="1" si="89"/>
        <v>3.6989699074110831</v>
      </c>
      <c r="AA603" s="170">
        <f t="shared" ca="1" si="90"/>
        <v>9.863919753096221</v>
      </c>
      <c r="AB603" s="169">
        <f t="shared" ca="1" si="91"/>
        <v>3.6985300925953197</v>
      </c>
      <c r="AC603" s="170">
        <f t="shared" ca="1" si="92"/>
        <v>9.8627469135875199</v>
      </c>
      <c r="AD603" s="169">
        <f t="shared" ca="1" si="93"/>
        <v>0.11959490740991896</v>
      </c>
      <c r="AE603" s="169">
        <f t="shared" ca="1" si="88"/>
        <v>5.146238425928459</v>
      </c>
      <c r="AF603" s="170">
        <f t="shared" ca="1" si="94"/>
        <v>13.723302469142558</v>
      </c>
      <c r="AG603" s="170">
        <f t="shared" ca="1" si="95"/>
        <v>13.723302469142558</v>
      </c>
      <c r="AH603" s="28" t="str" cm="1">
        <f t="array" aca="1" ref="AH603" ca="1">IF((AD603) &lt; (INDEX(ResponseSLA[#All],(MATCH((G603),ResponseSLA[Priority],0))+1,3)),"YES","No")</f>
        <v>YES</v>
      </c>
      <c r="AI603" s="28" t="str">
        <f ca="1">_xlfn.IFNA(IF(AE603 &lt; (INDEX(SLATable[Minimum SLA],MATCH(G603,SLATable[Priority],0))),"YES","NO"),"")</f>
        <v>NO</v>
      </c>
      <c r="AJ603" s="28" t="str">
        <f ca="1">_xlfn.IFNA(IF(AE603 &lt; (INDEX(SLATable[Maximum SLA],MATCH(G603,SLATable[Priority],0))),"YES","NO"),"")</f>
        <v>YES</v>
      </c>
    </row>
    <row r="604" spans="2:36" s="58" customFormat="1">
      <c r="B604" s="58" t="s">
        <v>26</v>
      </c>
      <c r="C604" s="58" t="s">
        <v>35</v>
      </c>
      <c r="D604" s="58" t="s">
        <v>207</v>
      </c>
      <c r="E604" s="313" t="s">
        <v>1776</v>
      </c>
      <c r="F604" s="127" t="s">
        <v>295</v>
      </c>
      <c r="G604" s="58">
        <v>3</v>
      </c>
      <c r="H604" s="313" t="s">
        <v>1777</v>
      </c>
      <c r="I604" s="58" t="s">
        <v>271</v>
      </c>
      <c r="J604" s="313" t="s">
        <v>1092</v>
      </c>
      <c r="K604" s="314">
        <v>46197.11859953704</v>
      </c>
      <c r="L604" s="314">
        <v>46197.118900462963</v>
      </c>
      <c r="M604" s="314">
        <v>46197.285729166666</v>
      </c>
      <c r="N604" s="314">
        <v>46203.356423611112</v>
      </c>
      <c r="O604" s="313"/>
      <c r="P604" s="313"/>
      <c r="Q604" s="313" t="s">
        <v>695</v>
      </c>
      <c r="R604" s="58" t="s">
        <v>267</v>
      </c>
      <c r="S604" s="58" t="s">
        <v>149</v>
      </c>
      <c r="U604" s="58" t="s">
        <v>371</v>
      </c>
      <c r="Z604" s="169">
        <f t="shared" ca="1" si="89"/>
        <v>1.5230902777790716</v>
      </c>
      <c r="AA604" s="170">
        <f t="shared" ca="1" si="90"/>
        <v>4.0615740740775239</v>
      </c>
      <c r="AB604" s="169">
        <f t="shared" ca="1" si="91"/>
        <v>1.5230902777790716</v>
      </c>
      <c r="AC604" s="170">
        <f t="shared" ca="1" si="92"/>
        <v>4.0615740740775239</v>
      </c>
      <c r="AD604" s="169">
        <f t="shared" ca="1" si="93"/>
        <v>0</v>
      </c>
      <c r="AE604" s="169">
        <f t="shared" ca="1" si="88"/>
        <v>3.0461805555581432</v>
      </c>
      <c r="AF604" s="170">
        <f t="shared" ca="1" si="94"/>
        <v>8.1231481481550478</v>
      </c>
      <c r="AG604" s="170">
        <f t="shared" ca="1" si="95"/>
        <v>8.1231481481550478</v>
      </c>
      <c r="AH604" s="28" t="str" cm="1">
        <f t="array" aca="1" ref="AH604" ca="1">IF((AD604) &lt; (INDEX(ResponseSLA[#All],(MATCH((G604),ResponseSLA[Priority],0))+1,3)),"YES","No")</f>
        <v>YES</v>
      </c>
      <c r="AI604" s="28" t="str">
        <f ca="1">_xlfn.IFNA(IF(AE604 &lt; (INDEX(SLATable[Minimum SLA],MATCH(G604,SLATable[Priority],0))),"YES","NO"),"")</f>
        <v>NO</v>
      </c>
      <c r="AJ604" s="28" t="str">
        <f ca="1">_xlfn.IFNA(IF(AE604 &lt; (INDEX(SLATable[Maximum SLA],MATCH(G604,SLATable[Priority],0))),"YES","NO"),"")</f>
        <v>NO</v>
      </c>
    </row>
    <row r="605" spans="2:36" s="58" customFormat="1">
      <c r="B605" s="58" t="s">
        <v>26</v>
      </c>
      <c r="C605" s="58" t="s">
        <v>35</v>
      </c>
      <c r="D605" s="58" t="s">
        <v>207</v>
      </c>
      <c r="E605" s="313" t="s">
        <v>1768</v>
      </c>
      <c r="F605" s="127" t="s">
        <v>295</v>
      </c>
      <c r="G605" s="58">
        <v>3</v>
      </c>
      <c r="H605" s="313" t="s">
        <v>1769</v>
      </c>
      <c r="I605" s="58" t="s">
        <v>271</v>
      </c>
      <c r="J605" s="313" t="s">
        <v>1092</v>
      </c>
      <c r="K605" s="314">
        <v>46196.414814814816</v>
      </c>
      <c r="L605" s="314">
        <v>46196.415034722224</v>
      </c>
      <c r="M605" s="314">
        <v>46196.536817129629</v>
      </c>
      <c r="N605" s="314">
        <v>46209.750219907408</v>
      </c>
      <c r="O605" s="313"/>
      <c r="P605" s="313"/>
      <c r="Q605" s="313" t="s">
        <v>1151</v>
      </c>
      <c r="R605" s="58" t="s">
        <v>267</v>
      </c>
      <c r="S605" s="58" t="s">
        <v>149</v>
      </c>
      <c r="U605" s="58" t="s">
        <v>371</v>
      </c>
      <c r="Z605" s="169">
        <f t="shared" ca="1" si="89"/>
        <v>3.6685185185172795</v>
      </c>
      <c r="AA605" s="170">
        <f t="shared" ca="1" si="90"/>
        <v>9.7827160493794114</v>
      </c>
      <c r="AB605" s="169">
        <f t="shared" ca="1" si="91"/>
        <v>3.6682986111093978</v>
      </c>
      <c r="AC605" s="170">
        <f t="shared" ca="1" si="92"/>
        <v>9.7821296296250608</v>
      </c>
      <c r="AD605" s="169">
        <f t="shared" ca="1" si="93"/>
        <v>0.12178240740468027</v>
      </c>
      <c r="AE605" s="169">
        <f t="shared" ca="1" si="88"/>
        <v>5.0865972222187956</v>
      </c>
      <c r="AF605" s="170">
        <f t="shared" ca="1" si="94"/>
        <v>13.564259259250122</v>
      </c>
      <c r="AG605" s="170">
        <f t="shared" ca="1" si="95"/>
        <v>13.564259259250122</v>
      </c>
      <c r="AH605" s="28" t="str" cm="1">
        <f t="array" aca="1" ref="AH605" ca="1">IF((AD605) &lt; (INDEX(ResponseSLA[#All],(MATCH((G605),ResponseSLA[Priority],0))+1,3)),"YES","No")</f>
        <v>No</v>
      </c>
      <c r="AI605" s="28" t="str">
        <f ca="1">_xlfn.IFNA(IF(AE605 &lt; (INDEX(SLATable[Minimum SLA],MATCH(G605,SLATable[Priority],0))),"YES","NO"),"")</f>
        <v>NO</v>
      </c>
      <c r="AJ605" s="28" t="str">
        <f ca="1">_xlfn.IFNA(IF(AE605 &lt; (INDEX(SLATable[Maximum SLA],MATCH(G605,SLATable[Priority],0))),"YES","NO"),"")</f>
        <v>NO</v>
      </c>
    </row>
    <row r="606" spans="2:36" s="58" customFormat="1">
      <c r="B606" s="58" t="s">
        <v>26</v>
      </c>
      <c r="C606" s="58" t="s">
        <v>35</v>
      </c>
      <c r="D606" s="58" t="s">
        <v>207</v>
      </c>
      <c r="E606" s="313" t="s">
        <v>2124</v>
      </c>
      <c r="F606" s="127" t="s">
        <v>295</v>
      </c>
      <c r="G606" s="58">
        <v>3</v>
      </c>
      <c r="H606" s="313" t="s">
        <v>822</v>
      </c>
      <c r="I606" s="58" t="s">
        <v>271</v>
      </c>
      <c r="J606" s="313" t="s">
        <v>1408</v>
      </c>
      <c r="K606" s="314">
        <v>46196.118611111109</v>
      </c>
      <c r="L606" s="314">
        <v>46196.119131944448</v>
      </c>
      <c r="M606" s="314">
        <v>46197.285127314812</v>
      </c>
      <c r="N606" s="314">
        <v>46205.30976851852</v>
      </c>
      <c r="O606" s="313"/>
      <c r="P606" s="313"/>
      <c r="Q606" s="313" t="s">
        <v>695</v>
      </c>
      <c r="R606" s="58" t="s">
        <v>267</v>
      </c>
      <c r="S606" s="58" t="s">
        <v>149</v>
      </c>
      <c r="U606" s="58" t="s">
        <v>371</v>
      </c>
      <c r="Z606" s="169">
        <f t="shared" ca="1" si="89"/>
        <v>2.6250000000000004</v>
      </c>
      <c r="AA606" s="170">
        <f t="shared" ca="1" si="90"/>
        <v>7.0000000000000018</v>
      </c>
      <c r="AB606" s="169">
        <f t="shared" ca="1" si="91"/>
        <v>2.6250000000000004</v>
      </c>
      <c r="AC606" s="170">
        <f t="shared" ca="1" si="92"/>
        <v>7.0000000000000018</v>
      </c>
      <c r="AD606" s="169">
        <f t="shared" ca="1" si="93"/>
        <v>0.37500000000000006</v>
      </c>
      <c r="AE606" s="169">
        <f t="shared" ca="1" si="88"/>
        <v>19.800640856478523</v>
      </c>
      <c r="AF606" s="170">
        <f t="shared" ca="1" si="94"/>
        <v>52.801708950609395</v>
      </c>
      <c r="AG606" s="170">
        <f t="shared" ca="1" si="95"/>
        <v>52.801708950609395</v>
      </c>
      <c r="AH606" s="28" t="str" cm="1">
        <f t="array" aca="1" ref="AH606" ca="1">IF((AD606) &lt; (INDEX(ResponseSLA[#All],(MATCH((G606),ResponseSLA[Priority],0))+1,3)),"YES","No")</f>
        <v>No</v>
      </c>
      <c r="AI606" s="28" t="str">
        <f ca="1">_xlfn.IFNA(IF(AE606 &lt; (INDEX(SLATable[Minimum SLA],MATCH(G606,SLATable[Priority],0))),"YES","NO"),"")</f>
        <v>NO</v>
      </c>
      <c r="AJ606" s="28" t="str">
        <f ca="1">_xlfn.IFNA(IF(AE606 &lt; (INDEX(SLATable[Maximum SLA],MATCH(G606,SLATable[Priority],0))),"YES","NO"),"")</f>
        <v>NO</v>
      </c>
    </row>
    <row r="607" spans="2:36" s="58" customFormat="1">
      <c r="B607" s="58" t="s">
        <v>26</v>
      </c>
      <c r="C607" s="58" t="s">
        <v>35</v>
      </c>
      <c r="D607" s="58" t="s">
        <v>207</v>
      </c>
      <c r="E607" s="313" t="s">
        <v>2123</v>
      </c>
      <c r="F607" s="127" t="s">
        <v>295</v>
      </c>
      <c r="G607" s="58">
        <v>3</v>
      </c>
      <c r="H607" s="313" t="s">
        <v>818</v>
      </c>
      <c r="I607" s="58" t="s">
        <v>271</v>
      </c>
      <c r="J607" s="313" t="s">
        <v>1408</v>
      </c>
      <c r="K607" s="314">
        <v>46196.118611111109</v>
      </c>
      <c r="L607" s="314">
        <v>46196.130462962959</v>
      </c>
      <c r="M607" s="314">
        <v>46196.233668981484</v>
      </c>
      <c r="N607" s="314">
        <v>46205.308530092596</v>
      </c>
      <c r="O607" s="313"/>
      <c r="P607" s="313"/>
      <c r="Q607" s="313" t="s">
        <v>695</v>
      </c>
      <c r="R607" s="58" t="s">
        <v>267</v>
      </c>
      <c r="S607" s="58" t="s">
        <v>149</v>
      </c>
      <c r="U607" s="58" t="s">
        <v>371</v>
      </c>
      <c r="Z607" s="169">
        <f t="shared" ca="1" si="89"/>
        <v>2.6250000000000004</v>
      </c>
      <c r="AA607" s="170">
        <f t="shared" ca="1" si="90"/>
        <v>7.0000000000000018</v>
      </c>
      <c r="AB607" s="169">
        <f t="shared" ca="1" si="91"/>
        <v>2.6250000000000004</v>
      </c>
      <c r="AC607" s="170">
        <f t="shared" ca="1" si="92"/>
        <v>7.0000000000000018</v>
      </c>
      <c r="AD607" s="169">
        <f t="shared" ca="1" si="93"/>
        <v>0</v>
      </c>
      <c r="AE607" s="169">
        <f t="shared" ca="1" si="88"/>
        <v>19.800640856478523</v>
      </c>
      <c r="AF607" s="170">
        <f t="shared" ca="1" si="94"/>
        <v>52.801708950609395</v>
      </c>
      <c r="AG607" s="170">
        <f t="shared" ca="1" si="95"/>
        <v>52.801708950609395</v>
      </c>
      <c r="AH607" s="28" t="str" cm="1">
        <f t="array" aca="1" ref="AH607" ca="1">IF((AD607) &lt; (INDEX(ResponseSLA[#All],(MATCH((G607),ResponseSLA[Priority],0))+1,3)),"YES","No")</f>
        <v>YES</v>
      </c>
      <c r="AI607" s="28" t="str">
        <f ca="1">_xlfn.IFNA(IF(AE607 &lt; (INDEX(SLATable[Minimum SLA],MATCH(G607,SLATable[Priority],0))),"YES","NO"),"")</f>
        <v>NO</v>
      </c>
      <c r="AJ607" s="28" t="str">
        <f ca="1">_xlfn.IFNA(IF(AE607 &lt; (INDEX(SLATable[Maximum SLA],MATCH(G607,SLATable[Priority],0))),"YES","NO"),"")</f>
        <v>NO</v>
      </c>
    </row>
    <row r="608" spans="2:36" s="58" customFormat="1">
      <c r="B608" s="58" t="s">
        <v>26</v>
      </c>
      <c r="C608" s="58" t="s">
        <v>35</v>
      </c>
      <c r="D608" s="58" t="s">
        <v>207</v>
      </c>
      <c r="E608" s="313" t="s">
        <v>1772</v>
      </c>
      <c r="F608" s="127" t="s">
        <v>295</v>
      </c>
      <c r="G608" s="58">
        <v>3</v>
      </c>
      <c r="H608" s="313" t="s">
        <v>1773</v>
      </c>
      <c r="I608" s="58" t="s">
        <v>271</v>
      </c>
      <c r="J608" s="313" t="s">
        <v>1092</v>
      </c>
      <c r="K608" s="314">
        <v>46196.11859953704</v>
      </c>
      <c r="L608" s="314">
        <v>46196.119108796294</v>
      </c>
      <c r="M608" s="314">
        <v>46197.284861111111</v>
      </c>
      <c r="N608" s="314">
        <v>46203.357511574075</v>
      </c>
      <c r="O608" s="313"/>
      <c r="P608" s="313"/>
      <c r="Q608" s="313" t="s">
        <v>695</v>
      </c>
      <c r="R608" s="58" t="s">
        <v>267</v>
      </c>
      <c r="S608" s="58" t="s">
        <v>149</v>
      </c>
      <c r="U608" s="58" t="s">
        <v>371</v>
      </c>
      <c r="Z608" s="169">
        <f t="shared" ca="1" si="89"/>
        <v>1.8991782407417002</v>
      </c>
      <c r="AA608" s="170">
        <f t="shared" ca="1" si="90"/>
        <v>5.0644753086445338</v>
      </c>
      <c r="AB608" s="169">
        <f t="shared" ca="1" si="91"/>
        <v>1.8991782407417002</v>
      </c>
      <c r="AC608" s="170">
        <f t="shared" ca="1" si="92"/>
        <v>5.0644753086445338</v>
      </c>
      <c r="AD608" s="169">
        <f t="shared" ca="1" si="93"/>
        <v>0.37500000000000006</v>
      </c>
      <c r="AE608" s="169">
        <f t="shared" ca="1" si="88"/>
        <v>3.7983564814834003</v>
      </c>
      <c r="AF608" s="170">
        <f t="shared" ca="1" si="94"/>
        <v>10.128950617289068</v>
      </c>
      <c r="AG608" s="170">
        <f t="shared" ca="1" si="95"/>
        <v>10.128950617289068</v>
      </c>
      <c r="AH608" s="28" t="str" cm="1">
        <f t="array" aca="1" ref="AH608" ca="1">IF((AD608) &lt; (INDEX(ResponseSLA[#All],(MATCH((G608),ResponseSLA[Priority],0))+1,3)),"YES","No")</f>
        <v>No</v>
      </c>
      <c r="AI608" s="28" t="str">
        <f ca="1">_xlfn.IFNA(IF(AE608 &lt; (INDEX(SLATable[Minimum SLA],MATCH(G608,SLATable[Priority],0))),"YES","NO"),"")</f>
        <v>NO</v>
      </c>
      <c r="AJ608" s="28" t="str">
        <f ca="1">_xlfn.IFNA(IF(AE608 &lt; (INDEX(SLATable[Maximum SLA],MATCH(G608,SLATable[Priority],0))),"YES","NO"),"")</f>
        <v>NO</v>
      </c>
    </row>
    <row r="609" spans="2:36" s="58" customFormat="1">
      <c r="B609" s="58" t="s">
        <v>26</v>
      </c>
      <c r="C609" s="58" t="s">
        <v>35</v>
      </c>
      <c r="D609" s="58" t="s">
        <v>207</v>
      </c>
      <c r="E609" s="313" t="s">
        <v>1766</v>
      </c>
      <c r="F609" s="58" t="s">
        <v>289</v>
      </c>
      <c r="G609" s="58">
        <v>3</v>
      </c>
      <c r="H609" s="313" t="s">
        <v>1767</v>
      </c>
      <c r="I609" s="58" t="s">
        <v>271</v>
      </c>
      <c r="J609" s="313" t="s">
        <v>1092</v>
      </c>
      <c r="K609" s="314">
        <v>46195.825162037036</v>
      </c>
      <c r="L609" s="314">
        <v>46196.402962962966</v>
      </c>
      <c r="M609" s="314">
        <v>46198.348425925928</v>
      </c>
      <c r="N609" s="314">
        <v>46209.750300925924</v>
      </c>
      <c r="O609" s="313"/>
      <c r="P609" s="313"/>
      <c r="Q609" s="313" t="s">
        <v>1098</v>
      </c>
      <c r="R609" s="58" t="s">
        <v>267</v>
      </c>
      <c r="S609" s="58" t="s">
        <v>199</v>
      </c>
      <c r="U609" s="58" t="s">
        <v>371</v>
      </c>
      <c r="Z609" s="169">
        <f t="shared" ca="1" si="89"/>
        <v>3.7500000000000004</v>
      </c>
      <c r="AA609" s="170">
        <f t="shared" ca="1" si="90"/>
        <v>10.000000000000002</v>
      </c>
      <c r="AB609" s="169">
        <f t="shared" ca="1" si="91"/>
        <v>3.6803703703675037</v>
      </c>
      <c r="AC609" s="170">
        <f t="shared" ca="1" si="92"/>
        <v>9.8143209876466759</v>
      </c>
      <c r="AD609" s="169">
        <f t="shared" ca="1" si="93"/>
        <v>0.69546296296175569</v>
      </c>
      <c r="AE609" s="169">
        <f t="shared" ca="1" si="88"/>
        <v>5.1284606481397841</v>
      </c>
      <c r="AF609" s="170">
        <f t="shared" ca="1" si="94"/>
        <v>13.675895061706091</v>
      </c>
      <c r="AG609" s="170">
        <f t="shared" ca="1" si="95"/>
        <v>13.675895061706091</v>
      </c>
      <c r="AH609" s="28" t="str" cm="1">
        <f t="array" aca="1" ref="AH609" ca="1">IF((AD609) &lt; (INDEX(ResponseSLA[#All],(MATCH((G609),ResponseSLA[Priority],0))+1,3)),"YES","No")</f>
        <v>No</v>
      </c>
      <c r="AI609" s="28" t="str">
        <f ca="1">_xlfn.IFNA(IF(AE609 &lt; (INDEX(SLATable[Minimum SLA],MATCH(G609,SLATable[Priority],0))),"YES","NO"),"")</f>
        <v>NO</v>
      </c>
      <c r="AJ609" s="28" t="str">
        <f ca="1">_xlfn.IFNA(IF(AE609 &lt; (INDEX(SLATable[Maximum SLA],MATCH(G609,SLATable[Priority],0))),"YES","NO"),"")</f>
        <v>NO</v>
      </c>
    </row>
    <row r="610" spans="2:36" s="58" customFormat="1">
      <c r="B610" s="58" t="s">
        <v>26</v>
      </c>
      <c r="C610" s="58" t="s">
        <v>35</v>
      </c>
      <c r="D610" s="58" t="s">
        <v>207</v>
      </c>
      <c r="E610" s="313" t="s">
        <v>2121</v>
      </c>
      <c r="F610" s="127" t="s">
        <v>295</v>
      </c>
      <c r="G610" s="58">
        <v>4</v>
      </c>
      <c r="H610" s="313" t="s">
        <v>2122</v>
      </c>
      <c r="I610" s="58" t="s">
        <v>271</v>
      </c>
      <c r="J610" s="313" t="s">
        <v>1408</v>
      </c>
      <c r="K610" s="314">
        <v>46195.614131944443</v>
      </c>
      <c r="L610" s="314">
        <v>46195.615011574075</v>
      </c>
      <c r="M610" s="314">
        <v>46196.244004629632</v>
      </c>
      <c r="N610" s="314">
        <v>46212.750451388885</v>
      </c>
      <c r="O610" s="314">
        <v>46198.355127314811</v>
      </c>
      <c r="P610" s="314">
        <v>46200.410196759258</v>
      </c>
      <c r="Q610" s="313" t="s">
        <v>1113</v>
      </c>
      <c r="R610" s="58" t="s">
        <v>267</v>
      </c>
      <c r="S610" s="58" t="s">
        <v>190</v>
      </c>
      <c r="U610" s="58" t="s">
        <v>371</v>
      </c>
      <c r="Z610" s="169">
        <f t="shared" ca="1" si="89"/>
        <v>4.6159953703681831</v>
      </c>
      <c r="AA610" s="170">
        <f t="shared" ca="1" si="90"/>
        <v>12.309320987648489</v>
      </c>
      <c r="AB610" s="169">
        <f t="shared" ca="1" si="91"/>
        <v>4.6151157407366563</v>
      </c>
      <c r="AC610" s="170">
        <f t="shared" ca="1" si="92"/>
        <v>12.306975308631085</v>
      </c>
      <c r="AD610" s="169">
        <f t="shared" ca="1" si="93"/>
        <v>9.3321759258590986E-2</v>
      </c>
      <c r="AE610" s="169">
        <f t="shared" ca="1" si="88"/>
        <v>21.884078356473768</v>
      </c>
      <c r="AF610" s="170">
        <f t="shared" ca="1" si="94"/>
        <v>58.357542283930051</v>
      </c>
      <c r="AG610" s="170">
        <f t="shared" ca="1" si="95"/>
        <v>58.357542283930051</v>
      </c>
      <c r="AH610" s="28" t="str" cm="1">
        <f t="array" aca="1" ref="AH610" ca="1">IF((AD610) &lt; (INDEX(ResponseSLA[#All],(MATCH((G610),ResponseSLA[Priority],0))+1,3)),"YES","No")</f>
        <v>YES</v>
      </c>
      <c r="AI610" s="28" t="str">
        <f ca="1">_xlfn.IFNA(IF(AE610 &lt; (INDEX(SLATable[Minimum SLA],MATCH(G610,SLATable[Priority],0))),"YES","NO"),"")</f>
        <v>NO</v>
      </c>
      <c r="AJ610" s="28" t="str">
        <f ca="1">_xlfn.IFNA(IF(AE610 &lt; (INDEX(SLATable[Maximum SLA],MATCH(G610,SLATable[Priority],0))),"YES","NO"),"")</f>
        <v>NO</v>
      </c>
    </row>
    <row r="611" spans="2:36" s="58" customFormat="1">
      <c r="B611" s="58" t="s">
        <v>26</v>
      </c>
      <c r="C611" s="58" t="s">
        <v>35</v>
      </c>
      <c r="D611" s="58" t="s">
        <v>207</v>
      </c>
      <c r="E611" s="313" t="s">
        <v>1774</v>
      </c>
      <c r="F611" s="58" t="s">
        <v>289</v>
      </c>
      <c r="G611" s="58">
        <v>4</v>
      </c>
      <c r="H611" s="313" t="s">
        <v>1775</v>
      </c>
      <c r="I611" s="58" t="s">
        <v>271</v>
      </c>
      <c r="J611" s="313" t="s">
        <v>1092</v>
      </c>
      <c r="K611" s="314">
        <v>46195.292337962965</v>
      </c>
      <c r="L611" s="314">
        <v>46195.29283564815</v>
      </c>
      <c r="M611" s="314">
        <v>46197.280717592592</v>
      </c>
      <c r="N611" s="314">
        <v>46203.356886574074</v>
      </c>
      <c r="O611" s="313"/>
      <c r="P611" s="313"/>
      <c r="Q611" s="313" t="s">
        <v>1065</v>
      </c>
      <c r="R611" s="58" t="s">
        <v>267</v>
      </c>
      <c r="S611" s="58" t="s">
        <v>149</v>
      </c>
      <c r="U611" s="58" t="s">
        <v>371</v>
      </c>
      <c r="Z611" s="169">
        <f t="shared" ca="1" si="89"/>
        <v>2.2735532407411183</v>
      </c>
      <c r="AA611" s="170">
        <f t="shared" ca="1" si="90"/>
        <v>6.0628086419763152</v>
      </c>
      <c r="AB611" s="169">
        <f t="shared" ca="1" si="91"/>
        <v>2.2735532407411183</v>
      </c>
      <c r="AC611" s="170">
        <f t="shared" ca="1" si="92"/>
        <v>6.0628086419763152</v>
      </c>
      <c r="AD611" s="169">
        <f t="shared" ca="1" si="93"/>
        <v>0.75000000000000022</v>
      </c>
      <c r="AE611" s="169">
        <f t="shared" ca="1" si="88"/>
        <v>4.5471064814822366</v>
      </c>
      <c r="AF611" s="170">
        <f t="shared" ca="1" si="94"/>
        <v>12.12561728395263</v>
      </c>
      <c r="AG611" s="170">
        <f t="shared" ca="1" si="95"/>
        <v>12.12561728395263</v>
      </c>
      <c r="AH611" s="28" t="str" cm="1">
        <f t="array" aca="1" ref="AH611" ca="1">IF((AD611) &lt; (INDEX(ResponseSLA[#All],(MATCH((G611),ResponseSLA[Priority],0))+1,3)),"YES","No")</f>
        <v>No</v>
      </c>
      <c r="AI611" s="28" t="str">
        <f ca="1">_xlfn.IFNA(IF(AE611 &lt; (INDEX(SLATable[Minimum SLA],MATCH(G611,SLATable[Priority],0))),"YES","NO"),"")</f>
        <v>NO</v>
      </c>
      <c r="AJ611" s="28" t="str">
        <f ca="1">_xlfn.IFNA(IF(AE611 &lt; (INDEX(SLATable[Maximum SLA],MATCH(G611,SLATable[Priority],0))),"YES","NO"),"")</f>
        <v>YES</v>
      </c>
    </row>
    <row r="612" spans="2:36" s="58" customFormat="1">
      <c r="B612" s="58" t="s">
        <v>26</v>
      </c>
      <c r="C612" s="58" t="s">
        <v>35</v>
      </c>
      <c r="D612" s="58" t="s">
        <v>207</v>
      </c>
      <c r="E612" s="313" t="s">
        <v>1760</v>
      </c>
      <c r="F612" s="58" t="s">
        <v>289</v>
      </c>
      <c r="G612" s="58">
        <v>3</v>
      </c>
      <c r="H612" s="313" t="s">
        <v>1761</v>
      </c>
      <c r="I612" s="58" t="s">
        <v>271</v>
      </c>
      <c r="J612" s="313" t="s">
        <v>1092</v>
      </c>
      <c r="K612" s="314">
        <v>46191.407395833332</v>
      </c>
      <c r="L612" s="314">
        <v>46191.453460648147</v>
      </c>
      <c r="M612" s="314">
        <v>46195.29996527778</v>
      </c>
      <c r="N612" s="314">
        <v>46209.427187499998</v>
      </c>
      <c r="O612" s="314">
        <v>46199.426412037035</v>
      </c>
      <c r="P612" s="314">
        <v>46209.427187499998</v>
      </c>
      <c r="Q612" s="313" t="s">
        <v>1098</v>
      </c>
      <c r="R612" s="58" t="s">
        <v>267</v>
      </c>
      <c r="S612" s="58" t="s">
        <v>199</v>
      </c>
      <c r="U612" s="58" t="s">
        <v>371</v>
      </c>
      <c r="Z612" s="169">
        <f t="shared" ca="1" si="89"/>
        <v>2.2690162037033592</v>
      </c>
      <c r="AA612" s="170">
        <f t="shared" ca="1" si="90"/>
        <v>6.0507098765422915</v>
      </c>
      <c r="AB612" s="169">
        <f t="shared" ca="1" si="91"/>
        <v>2.22295138888876</v>
      </c>
      <c r="AC612" s="170">
        <f t="shared" ca="1" si="92"/>
        <v>5.9278703703700266</v>
      </c>
      <c r="AD612" s="169">
        <f t="shared" ca="1" si="93"/>
        <v>0.6298726851867591</v>
      </c>
      <c r="AE612" s="169">
        <f t="shared" ca="1" si="88"/>
        <v>4.44590277777752</v>
      </c>
      <c r="AF612" s="170">
        <f t="shared" ca="1" si="94"/>
        <v>11.855740740740053</v>
      </c>
      <c r="AG612" s="170">
        <f t="shared" ca="1" si="95"/>
        <v>11.855740740740053</v>
      </c>
      <c r="AH612" s="28" t="str" cm="1">
        <f t="array" aca="1" ref="AH612" ca="1">IF((AD612) &lt; (INDEX(ResponseSLA[#All],(MATCH((G612),ResponseSLA[Priority],0))+1,3)),"YES","No")</f>
        <v>No</v>
      </c>
      <c r="AI612" s="28" t="str">
        <f ca="1">_xlfn.IFNA(IF(AE612 &lt; (INDEX(SLATable[Minimum SLA],MATCH(G612,SLATable[Priority],0))),"YES","NO"),"")</f>
        <v>NO</v>
      </c>
      <c r="AJ612" s="28" t="str">
        <f ca="1">_xlfn.IFNA(IF(AE612 &lt; (INDEX(SLATable[Maximum SLA],MATCH(G612,SLATable[Priority],0))),"YES","NO"),"")</f>
        <v>NO</v>
      </c>
    </row>
    <row r="613" spans="2:36" s="58" customFormat="1">
      <c r="B613" s="58" t="s">
        <v>26</v>
      </c>
      <c r="C613" s="58" t="s">
        <v>35</v>
      </c>
      <c r="D613" s="58" t="s">
        <v>207</v>
      </c>
      <c r="E613" s="313" t="s">
        <v>1764</v>
      </c>
      <c r="F613" s="58" t="s">
        <v>289</v>
      </c>
      <c r="G613" s="58">
        <v>3</v>
      </c>
      <c r="H613" s="313" t="s">
        <v>1765</v>
      </c>
      <c r="I613" s="58" t="s">
        <v>271</v>
      </c>
      <c r="J613" s="313" t="s">
        <v>1092</v>
      </c>
      <c r="K613" s="314">
        <v>46190.445960648147</v>
      </c>
      <c r="L613" s="314">
        <v>46192.619745370372</v>
      </c>
      <c r="M613" s="314">
        <v>46192.872685185182</v>
      </c>
      <c r="N613" s="314">
        <v>46204.431215277778</v>
      </c>
      <c r="O613" s="313"/>
      <c r="P613" s="313"/>
      <c r="Q613" s="313" t="s">
        <v>1098</v>
      </c>
      <c r="R613" s="58" t="s">
        <v>267</v>
      </c>
      <c r="S613" s="58" t="s">
        <v>199</v>
      </c>
      <c r="U613" s="58" t="s">
        <v>371</v>
      </c>
      <c r="Z613" s="169">
        <f t="shared" ca="1" si="89"/>
        <v>3.7352546296315268</v>
      </c>
      <c r="AA613" s="170">
        <f t="shared" ca="1" si="90"/>
        <v>9.960679012350738</v>
      </c>
      <c r="AB613" s="169">
        <f t="shared" ca="1" si="91"/>
        <v>2.811469907406718</v>
      </c>
      <c r="AC613" s="170">
        <f t="shared" ca="1" si="92"/>
        <v>7.4972530864179152</v>
      </c>
      <c r="AD613" s="169">
        <f t="shared" ca="1" si="93"/>
        <v>8.8587962961658717E-2</v>
      </c>
      <c r="AE613" s="169">
        <f t="shared" ca="1" si="88"/>
        <v>5.2717708333293567</v>
      </c>
      <c r="AF613" s="170">
        <f t="shared" ca="1" si="94"/>
        <v>14.058055555544952</v>
      </c>
      <c r="AG613" s="170">
        <f t="shared" ca="1" si="95"/>
        <v>14.058055555544952</v>
      </c>
      <c r="AH613" s="28" t="str" cm="1">
        <f t="array" aca="1" ref="AH613" ca="1">IF((AD613) &lt; (INDEX(ResponseSLA[#All],(MATCH((G613),ResponseSLA[Priority],0))+1,3)),"YES","No")</f>
        <v>No</v>
      </c>
      <c r="AI613" s="28" t="str">
        <f ca="1">_xlfn.IFNA(IF(AE613 &lt; (INDEX(SLATable[Minimum SLA],MATCH(G613,SLATable[Priority],0))),"YES","NO"),"")</f>
        <v>NO</v>
      </c>
      <c r="AJ613" s="28" t="str">
        <f ca="1">_xlfn.IFNA(IF(AE613 &lt; (INDEX(SLATable[Maximum SLA],MATCH(G613,SLATable[Priority],0))),"YES","NO"),"")</f>
        <v>NO</v>
      </c>
    </row>
    <row r="614" spans="2:36" s="58" customFormat="1">
      <c r="B614" s="58" t="s">
        <v>26</v>
      </c>
      <c r="C614" s="58" t="s">
        <v>35</v>
      </c>
      <c r="D614" s="58" t="s">
        <v>208</v>
      </c>
      <c r="E614" s="313" t="s">
        <v>2198</v>
      </c>
      <c r="F614" s="127" t="s">
        <v>295</v>
      </c>
      <c r="G614" s="58" t="s">
        <v>208</v>
      </c>
      <c r="H614" s="313" t="s">
        <v>2199</v>
      </c>
      <c r="I614" s="58" t="s">
        <v>271</v>
      </c>
      <c r="J614" s="313" t="s">
        <v>1092</v>
      </c>
      <c r="K614" s="314">
        <v>46193.612488425926</v>
      </c>
      <c r="L614" s="314">
        <v>46198.41233796296</v>
      </c>
      <c r="M614" s="314">
        <v>46202.348356481481</v>
      </c>
      <c r="N614" s="314">
        <v>46216.592557870368</v>
      </c>
      <c r="O614" s="314">
        <v>46206.455925925926</v>
      </c>
      <c r="P614" s="308">
        <v>46216.210370370369</v>
      </c>
      <c r="Q614" s="313" t="s">
        <v>2297</v>
      </c>
      <c r="R614" s="58" t="s">
        <v>267</v>
      </c>
      <c r="S614" s="58" t="s">
        <v>199</v>
      </c>
      <c r="U614" s="58" t="s">
        <v>371</v>
      </c>
      <c r="Z614" s="169">
        <f t="shared" ca="1" si="89"/>
        <v>3.7568171296273558</v>
      </c>
      <c r="AA614" s="170">
        <f t="shared" ca="1" si="90"/>
        <v>10.018179012339615</v>
      </c>
      <c r="AB614" s="169">
        <f t="shared" ca="1" si="91"/>
        <v>2.5528125000006794</v>
      </c>
      <c r="AC614" s="170">
        <f t="shared" ca="1" si="92"/>
        <v>6.807500000001812</v>
      </c>
      <c r="AD614" s="169">
        <f t="shared" ca="1" si="93"/>
        <v>0.68601851852145046</v>
      </c>
      <c r="AE614" s="169">
        <f t="shared" ca="1" si="88"/>
        <v>18.899981134253423</v>
      </c>
      <c r="AF614" s="170">
        <f t="shared" ca="1" si="94"/>
        <v>50.399949691342464</v>
      </c>
      <c r="AG614" s="170">
        <f t="shared" ca="1" si="95"/>
        <v>50.399949691342464</v>
      </c>
      <c r="AH614" s="28" t="str" cm="1">
        <f t="array" aca="1" ref="AH614" ca="1">IF((AD614) &lt; (INDEX(ResponseSLA[#All],(MATCH((G614),ResponseSLA[Priority],0))+1,3)),"YES","No")</f>
        <v>No</v>
      </c>
      <c r="AI614" s="28" t="str">
        <f ca="1">_xlfn.IFNA(IF(AE614 &lt; (INDEX(SLATable[Minimum SLA],MATCH(G614,SLATable[Priority],0))),"YES","NO"),"")</f>
        <v>NO</v>
      </c>
      <c r="AJ614" s="28" t="str">
        <f ca="1">_xlfn.IFNA(IF(AE614 &lt; (INDEX(SLATable[Maximum SLA],MATCH(G614,SLATable[Priority],0))),"YES","NO"),"")</f>
        <v>NO</v>
      </c>
    </row>
    <row r="615" spans="2:36" s="58" customFormat="1">
      <c r="B615" s="58" t="s">
        <v>26</v>
      </c>
      <c r="C615" s="58" t="s">
        <v>35</v>
      </c>
      <c r="D615" s="58" t="s">
        <v>208</v>
      </c>
      <c r="E615" s="313" t="s">
        <v>2190</v>
      </c>
      <c r="F615" s="58" t="s">
        <v>289</v>
      </c>
      <c r="G615" s="58" t="s">
        <v>208</v>
      </c>
      <c r="H615" s="313" t="s">
        <v>1266</v>
      </c>
      <c r="I615" s="58" t="s">
        <v>271</v>
      </c>
      <c r="J615" s="313" t="s">
        <v>1092</v>
      </c>
      <c r="K615" s="314">
        <v>46202.707175925927</v>
      </c>
      <c r="L615" s="314">
        <v>46202.722233796296</v>
      </c>
      <c r="M615" s="314">
        <v>46203.384166666663</v>
      </c>
      <c r="N615" s="314">
        <v>46218.458634259259</v>
      </c>
      <c r="O615" s="314">
        <v>46205.462245370371</v>
      </c>
      <c r="P615" s="314">
        <v>46218.458634259259</v>
      </c>
      <c r="Q615" s="313" t="s">
        <v>1113</v>
      </c>
      <c r="R615" s="58" t="s">
        <v>267</v>
      </c>
      <c r="S615" s="58" t="s">
        <v>199</v>
      </c>
      <c r="U615" s="58" t="s">
        <v>371</v>
      </c>
      <c r="Z615" s="169">
        <f t="shared" ca="1" si="89"/>
        <v>0.8800694444435071</v>
      </c>
      <c r="AA615" s="170">
        <f t="shared" ca="1" si="90"/>
        <v>2.3468518518493524</v>
      </c>
      <c r="AB615" s="169">
        <f t="shared" ca="1" si="91"/>
        <v>0.87891203703717791</v>
      </c>
      <c r="AC615" s="170">
        <f t="shared" ca="1" si="92"/>
        <v>2.3437654320991412</v>
      </c>
      <c r="AD615" s="169">
        <f t="shared" ca="1" si="93"/>
        <v>5.0833333329743824E-2</v>
      </c>
      <c r="AE615" s="169">
        <f t="shared" ca="1" si="88"/>
        <v>1.003217592592895</v>
      </c>
      <c r="AF615" s="170">
        <f t="shared" ca="1" si="94"/>
        <v>2.6752469135810535</v>
      </c>
      <c r="AG615" s="170">
        <f t="shared" ca="1" si="95"/>
        <v>2.6752469135810535</v>
      </c>
      <c r="AH615" s="28" t="str" cm="1">
        <f t="array" aca="1" ref="AH615" ca="1">IF((AD615) &lt; (INDEX(ResponseSLA[#All],(MATCH((G615),ResponseSLA[Priority],0))+1,3)),"YES","No")</f>
        <v>YES</v>
      </c>
      <c r="AI615" s="28" t="str">
        <f ca="1">_xlfn.IFNA(IF(AE615 &lt; (INDEX(SLATable[Minimum SLA],MATCH(G615,SLATable[Priority],0))),"YES","NO"),"")</f>
        <v>NO</v>
      </c>
      <c r="AJ615" s="28" t="str">
        <f ca="1">_xlfn.IFNA(IF(AE615 &lt; (INDEX(SLATable[Maximum SLA],MATCH(G615,SLATable[Priority],0))),"YES","NO"),"")</f>
        <v>NO</v>
      </c>
    </row>
    <row r="616" spans="2:36" s="58" customFormat="1">
      <c r="B616" s="58" t="s">
        <v>26</v>
      </c>
      <c r="C616" s="58" t="s">
        <v>35</v>
      </c>
      <c r="D616" s="58" t="s">
        <v>208</v>
      </c>
      <c r="E616" s="313" t="s">
        <v>2248</v>
      </c>
      <c r="F616" s="58" t="s">
        <v>292</v>
      </c>
      <c r="G616" s="58" t="s">
        <v>208</v>
      </c>
      <c r="H616" s="313" t="s">
        <v>2249</v>
      </c>
      <c r="I616" s="58" t="s">
        <v>271</v>
      </c>
      <c r="J616" s="313" t="s">
        <v>1408</v>
      </c>
      <c r="K616" s="314">
        <v>46193.424537037034</v>
      </c>
      <c r="L616" s="314">
        <v>46193.442650462966</v>
      </c>
      <c r="M616" s="314">
        <v>46195.556689814817</v>
      </c>
      <c r="N616" s="314">
        <v>46217.46733796296</v>
      </c>
      <c r="O616" s="314">
        <v>46205.322048611109</v>
      </c>
      <c r="P616" s="314">
        <v>46217.46733796296</v>
      </c>
      <c r="Q616" s="127" t="s">
        <v>1073</v>
      </c>
      <c r="R616" s="58" t="s">
        <v>267</v>
      </c>
      <c r="S616" s="58" t="s">
        <v>199</v>
      </c>
      <c r="U616" s="58" t="s">
        <v>371</v>
      </c>
      <c r="Z616" s="169">
        <f t="shared" ca="1" si="89"/>
        <v>3.0000000000000009</v>
      </c>
      <c r="AA616" s="170">
        <f t="shared" ca="1" si="90"/>
        <v>8.0000000000000036</v>
      </c>
      <c r="AB616" s="169">
        <f t="shared" ca="1" si="91"/>
        <v>3.0000000000000009</v>
      </c>
      <c r="AC616" s="170">
        <f t="shared" ca="1" si="92"/>
        <v>8.0000000000000036</v>
      </c>
      <c r="AD616" s="169">
        <f t="shared" ca="1" si="93"/>
        <v>0.11403935185080627</v>
      </c>
      <c r="AE616" s="169">
        <f t="shared" ca="1" si="88"/>
        <v>5.0083333333338196</v>
      </c>
      <c r="AF616" s="170">
        <f t="shared" ca="1" si="94"/>
        <v>13.355555555556853</v>
      </c>
      <c r="AG616" s="170">
        <f t="shared" ca="1" si="95"/>
        <v>13.355555555556853</v>
      </c>
      <c r="AH616" s="28" t="str" cm="1">
        <f t="array" aca="1" ref="AH616" ca="1">IF((AD616) &lt; (INDEX(ResponseSLA[#All],(MATCH((G616),ResponseSLA[Priority],0))+1,3)),"YES","No")</f>
        <v>YES</v>
      </c>
      <c r="AI616" s="28" t="str">
        <f ca="1">_xlfn.IFNA(IF(AE616 &lt; (INDEX(SLATable[Minimum SLA],MATCH(G616,SLATable[Priority],0))),"YES","NO"),"")</f>
        <v>NO</v>
      </c>
      <c r="AJ616" s="28" t="str">
        <f ca="1">_xlfn.IFNA(IF(AE616 &lt; (INDEX(SLATable[Maximum SLA],MATCH(G616,SLATable[Priority],0))),"YES","NO"),"")</f>
        <v>NO</v>
      </c>
    </row>
    <row r="617" spans="2:36" s="58" customFormat="1">
      <c r="B617" s="58" t="s">
        <v>26</v>
      </c>
      <c r="C617" s="58" t="s">
        <v>35</v>
      </c>
      <c r="D617" s="58" t="s">
        <v>208</v>
      </c>
      <c r="E617" s="313" t="s">
        <v>2201</v>
      </c>
      <c r="F617" s="58" t="s">
        <v>289</v>
      </c>
      <c r="G617" s="58" t="s">
        <v>208</v>
      </c>
      <c r="H617" s="313" t="s">
        <v>2175</v>
      </c>
      <c r="I617" s="58" t="s">
        <v>271</v>
      </c>
      <c r="J617" s="313" t="s">
        <v>1092</v>
      </c>
      <c r="K617" s="314">
        <v>46181.671909722223</v>
      </c>
      <c r="L617" s="314">
        <v>46183.928032407406</v>
      </c>
      <c r="M617" s="314">
        <v>46185.557152777779</v>
      </c>
      <c r="N617" s="314">
        <v>46204.416620370372</v>
      </c>
      <c r="O617" s="314">
        <v>46189.415763888886</v>
      </c>
      <c r="P617" s="314">
        <v>46204.416620370372</v>
      </c>
      <c r="Q617" s="313" t="s">
        <v>695</v>
      </c>
      <c r="R617" s="58" t="s">
        <v>267</v>
      </c>
      <c r="S617" s="58" t="s">
        <v>199</v>
      </c>
      <c r="U617" s="58" t="s">
        <v>371</v>
      </c>
      <c r="Z617" s="169">
        <f t="shared" ca="1" si="89"/>
        <v>1.9938541666633682</v>
      </c>
      <c r="AA617" s="170">
        <f t="shared" ca="1" si="90"/>
        <v>5.3169444444356486</v>
      </c>
      <c r="AB617" s="169">
        <f t="shared" ca="1" si="91"/>
        <v>1.2074305555530982</v>
      </c>
      <c r="AC617" s="170">
        <f t="shared" ca="1" si="92"/>
        <v>3.2198148148082617</v>
      </c>
      <c r="AD617" s="169">
        <f t="shared" ca="1" si="93"/>
        <v>0.59881944444593194</v>
      </c>
      <c r="AE617" s="169">
        <f t="shared" ca="1" si="88"/>
        <v>2.4143749999978663</v>
      </c>
      <c r="AF617" s="170">
        <f t="shared" ca="1" si="94"/>
        <v>6.4383333333276438</v>
      </c>
      <c r="AG617" s="170">
        <f t="shared" ca="1" si="95"/>
        <v>6.4383333333276438</v>
      </c>
      <c r="AH617" s="28" t="str" cm="1">
        <f t="array" aca="1" ref="AH617" ca="1">IF((AD617) &lt; (INDEX(ResponseSLA[#All],(MATCH((G617),ResponseSLA[Priority],0))+1,3)),"YES","No")</f>
        <v>No</v>
      </c>
      <c r="AI617" s="28" t="str">
        <f ca="1">_xlfn.IFNA(IF(AE617 &lt; (INDEX(SLATable[Minimum SLA],MATCH(G617,SLATable[Priority],0))),"YES","NO"),"")</f>
        <v>NO</v>
      </c>
      <c r="AJ617" s="28" t="str">
        <f ca="1">_xlfn.IFNA(IF(AE617 &lt; (INDEX(SLATable[Maximum SLA],MATCH(G617,SLATable[Priority],0))),"YES","NO"),"")</f>
        <v>NO</v>
      </c>
    </row>
    <row r="618" spans="2:36" s="58" customFormat="1">
      <c r="B618" s="58" t="s">
        <v>26</v>
      </c>
      <c r="C618" s="58" t="s">
        <v>35</v>
      </c>
      <c r="D618" s="58" t="s">
        <v>207</v>
      </c>
      <c r="E618" s="58" t="s">
        <v>2298</v>
      </c>
      <c r="F618" s="58" t="s">
        <v>295</v>
      </c>
      <c r="G618" s="58">
        <v>3</v>
      </c>
      <c r="H618" s="127" t="s">
        <v>2299</v>
      </c>
      <c r="I618" s="58" t="s">
        <v>266</v>
      </c>
      <c r="J618" s="127" t="s">
        <v>1365</v>
      </c>
      <c r="K618" s="307">
        <v>46232.792349537034</v>
      </c>
      <c r="L618" s="307">
        <v>46232.792407407411</v>
      </c>
      <c r="M618" s="314">
        <v>46232.792407407411</v>
      </c>
      <c r="N618" s="307"/>
      <c r="O618" s="307">
        <v>46233.62295138889</v>
      </c>
      <c r="P618" s="307"/>
      <c r="Q618" s="58" t="s">
        <v>1304</v>
      </c>
      <c r="R618" s="58" t="s">
        <v>267</v>
      </c>
      <c r="S618" s="58" t="s">
        <v>199</v>
      </c>
      <c r="U618" s="58" t="s">
        <v>371</v>
      </c>
      <c r="Z618" s="169">
        <f t="shared" ca="1" si="89"/>
        <v>7.0506408564785197</v>
      </c>
      <c r="AA618" s="170">
        <f t="shared" ca="1" si="90"/>
        <v>18.801708950609385</v>
      </c>
      <c r="AB618" s="169">
        <f t="shared" ca="1" si="91"/>
        <v>0.28961805555688136</v>
      </c>
      <c r="AC618" s="170">
        <f t="shared" ca="1" si="92"/>
        <v>0.77231481481835029</v>
      </c>
      <c r="AD618" s="169">
        <f t="shared" ca="1" si="93"/>
        <v>0</v>
      </c>
      <c r="AE618" s="169">
        <f t="shared" ca="1" si="88"/>
        <v>1.9303240740773617</v>
      </c>
      <c r="AF618" s="170">
        <f t="shared" ca="1" si="94"/>
        <v>5.1475308642062982</v>
      </c>
      <c r="AG618" s="170">
        <f t="shared" ca="1" si="95"/>
        <v>5.1475308642062982</v>
      </c>
      <c r="AH618" s="28" t="str" cm="1">
        <f t="array" aca="1" ref="AH618" ca="1">IF((AD618) &lt; (INDEX(ResponseSLA[#All],(MATCH((G618),ResponseSLA[Priority],0))+1,3)),"YES","No")</f>
        <v>YES</v>
      </c>
      <c r="AI618" s="28" t="str">
        <f ca="1">_xlfn.IFNA(IF(AE618 &lt; (INDEX(SLATable[Minimum SLA],MATCH(G618,SLATable[Priority],0))),"YES","NO"),"")</f>
        <v>NO</v>
      </c>
      <c r="AJ618" s="28" t="str">
        <f ca="1">_xlfn.IFNA(IF(AE618 &lt; (INDEX(SLATable[Maximum SLA],MATCH(G618,SLATable[Priority],0))),"YES","NO"),"")</f>
        <v>NO</v>
      </c>
    </row>
    <row r="619" spans="2:36" s="58" customFormat="1">
      <c r="B619" s="58" t="s">
        <v>26</v>
      </c>
      <c r="C619" s="58" t="s">
        <v>35</v>
      </c>
      <c r="D619" s="58" t="s">
        <v>207</v>
      </c>
      <c r="E619" s="58" t="s">
        <v>2300</v>
      </c>
      <c r="F619" s="58" t="s">
        <v>295</v>
      </c>
      <c r="G619" s="58">
        <v>3</v>
      </c>
      <c r="H619" s="127" t="s">
        <v>2301</v>
      </c>
      <c r="I619" s="58" t="s">
        <v>266</v>
      </c>
      <c r="J619" s="127" t="s">
        <v>1365</v>
      </c>
      <c r="K619" s="307">
        <v>46232.791203703702</v>
      </c>
      <c r="L619" s="307">
        <v>46232.792141203703</v>
      </c>
      <c r="M619" s="307">
        <v>46233.449189814812</v>
      </c>
      <c r="N619" s="307"/>
      <c r="O619" s="307">
        <v>46233.623402777775</v>
      </c>
      <c r="P619" s="307"/>
      <c r="Q619" s="58" t="s">
        <v>301</v>
      </c>
      <c r="R619" s="58" t="s">
        <v>267</v>
      </c>
      <c r="S619" s="58" t="s">
        <v>199</v>
      </c>
      <c r="U619" s="58" t="s">
        <v>371</v>
      </c>
      <c r="Z619" s="169">
        <f t="shared" ca="1" si="89"/>
        <v>7.0506408564785197</v>
      </c>
      <c r="AA619" s="170">
        <f t="shared" ca="1" si="90"/>
        <v>18.801708950609385</v>
      </c>
      <c r="AB619" s="169">
        <f t="shared" ca="1" si="91"/>
        <v>0.29006944444214844</v>
      </c>
      <c r="AC619" s="170">
        <f t="shared" ca="1" si="92"/>
        <v>0.77351851851239584</v>
      </c>
      <c r="AD619" s="169">
        <f t="shared" ca="1" si="93"/>
        <v>0.11585648147835548</v>
      </c>
      <c r="AE619" s="169">
        <f t="shared" ca="1" si="88"/>
        <v>2.0485763888815809</v>
      </c>
      <c r="AF619" s="170">
        <f t="shared" ca="1" si="94"/>
        <v>5.4628703703508821</v>
      </c>
      <c r="AG619" s="170">
        <f t="shared" ca="1" si="95"/>
        <v>5.4628703703508821</v>
      </c>
      <c r="AH619" s="28" t="str" cm="1">
        <f t="array" aca="1" ref="AH619" ca="1">IF((AD619) &lt; (INDEX(ResponseSLA[#All],(MATCH((G619),ResponseSLA[Priority],0))+1,3)),"YES","No")</f>
        <v>No</v>
      </c>
      <c r="AI619" s="28" t="str">
        <f ca="1">_xlfn.IFNA(IF(AE619 &lt; (INDEX(SLATable[Minimum SLA],MATCH(G619,SLATable[Priority],0))),"YES","NO"),"")</f>
        <v>NO</v>
      </c>
      <c r="AJ619" s="28" t="str">
        <f ca="1">_xlfn.IFNA(IF(AE619 &lt; (INDEX(SLATable[Maximum SLA],MATCH(G619,SLATable[Priority],0))),"YES","NO"),"")</f>
        <v>NO</v>
      </c>
    </row>
    <row r="620" spans="2:36" s="58" customFormat="1">
      <c r="B620" s="58" t="s">
        <v>26</v>
      </c>
      <c r="C620" s="58" t="s">
        <v>35</v>
      </c>
      <c r="D620" s="58" t="s">
        <v>207</v>
      </c>
      <c r="E620" s="58" t="s">
        <v>2302</v>
      </c>
      <c r="F620" s="58" t="s">
        <v>289</v>
      </c>
      <c r="G620" s="58">
        <v>4</v>
      </c>
      <c r="H620" s="127" t="s">
        <v>2303</v>
      </c>
      <c r="I620" s="58" t="s">
        <v>266</v>
      </c>
      <c r="J620" s="127" t="s">
        <v>1365</v>
      </c>
      <c r="K620" s="307">
        <v>46229.546886574077</v>
      </c>
      <c r="L620" s="307">
        <v>46229.550254629627</v>
      </c>
      <c r="M620" s="307">
        <v>46230.541030092594</v>
      </c>
      <c r="N620" s="307"/>
      <c r="O620" s="307">
        <v>46233.631469907406</v>
      </c>
      <c r="P620" s="307"/>
      <c r="Q620" s="58" t="s">
        <v>1043</v>
      </c>
      <c r="R620" s="58" t="s">
        <v>267</v>
      </c>
      <c r="S620" s="58" t="s">
        <v>181</v>
      </c>
      <c r="U620" s="58" t="s">
        <v>371</v>
      </c>
      <c r="Z620" s="169">
        <f t="shared" ca="1" si="89"/>
        <v>8.1756408564785179</v>
      </c>
      <c r="AA620" s="170">
        <f t="shared" ca="1" si="90"/>
        <v>21.801708950609381</v>
      </c>
      <c r="AB620" s="169">
        <f t="shared" ca="1" si="91"/>
        <v>1.4231365740730935</v>
      </c>
      <c r="AC620" s="170">
        <f t="shared" ca="1" si="92"/>
        <v>3.7950308641949158</v>
      </c>
      <c r="AD620" s="169">
        <f t="shared" ca="1" si="93"/>
        <v>0</v>
      </c>
      <c r="AE620" s="169">
        <f t="shared" ca="1" si="88"/>
        <v>3.4673842592601432</v>
      </c>
      <c r="AF620" s="170">
        <f t="shared" ca="1" si="94"/>
        <v>9.2463580246937145</v>
      </c>
      <c r="AG620" s="170">
        <f t="shared" ca="1" si="95"/>
        <v>9.2463580246937145</v>
      </c>
      <c r="AH620" s="28" t="str" cm="1">
        <f t="array" aca="1" ref="AH620" ca="1">IF((AD620) &lt; (INDEX(ResponseSLA[#All],(MATCH((G620),ResponseSLA[Priority],0))+1,3)),"YES","No")</f>
        <v>YES</v>
      </c>
      <c r="AI620" s="28" t="str">
        <f ca="1">_xlfn.IFNA(IF(AE620 &lt; (INDEX(SLATable[Minimum SLA],MATCH(G620,SLATable[Priority],0))),"YES","NO"),"")</f>
        <v>YES</v>
      </c>
      <c r="AJ620" s="28" t="str">
        <f ca="1">_xlfn.IFNA(IF(AE620 &lt; (INDEX(SLATable[Maximum SLA],MATCH(G620,SLATable[Priority],0))),"YES","NO"),"")</f>
        <v>YES</v>
      </c>
    </row>
    <row r="621" spans="2:36" s="58" customFormat="1">
      <c r="B621" s="58" t="s">
        <v>26</v>
      </c>
      <c r="C621" s="58" t="s">
        <v>35</v>
      </c>
      <c r="D621" s="58" t="s">
        <v>207</v>
      </c>
      <c r="E621" s="58" t="s">
        <v>2304</v>
      </c>
      <c r="F621" s="58" t="s">
        <v>296</v>
      </c>
      <c r="G621" s="58">
        <v>3</v>
      </c>
      <c r="H621" s="127" t="s">
        <v>2305</v>
      </c>
      <c r="I621" s="58" t="s">
        <v>271</v>
      </c>
      <c r="J621" s="127" t="s">
        <v>1365</v>
      </c>
      <c r="K621" s="307">
        <v>46224.43037037037</v>
      </c>
      <c r="L621" s="307">
        <v>46224.430636574078</v>
      </c>
      <c r="M621" s="307">
        <v>46224.701168981483</v>
      </c>
      <c r="N621" s="307">
        <v>46233.626030092593</v>
      </c>
      <c r="O621" s="307"/>
      <c r="P621" s="307"/>
      <c r="Q621" s="58" t="s">
        <v>2264</v>
      </c>
      <c r="R621" s="58" t="s">
        <v>267</v>
      </c>
      <c r="S621" s="58" t="s">
        <v>199</v>
      </c>
      <c r="U621" s="58" t="s">
        <v>371</v>
      </c>
      <c r="Z621" s="169">
        <f t="shared" ca="1" si="89"/>
        <v>2.8206597222233545</v>
      </c>
      <c r="AA621" s="170">
        <f t="shared" ca="1" si="90"/>
        <v>7.5217592592622786</v>
      </c>
      <c r="AB621" s="169">
        <f t="shared" ca="1" si="91"/>
        <v>2.8203935185156301</v>
      </c>
      <c r="AC621" s="170">
        <f t="shared" ca="1" si="92"/>
        <v>7.5210493827083473</v>
      </c>
      <c r="AD621" s="169">
        <f t="shared" ca="1" si="93"/>
        <v>0.27053240740497131</v>
      </c>
      <c r="AE621" s="169">
        <f t="shared" ca="1" si="88"/>
        <v>5.370254629626289</v>
      </c>
      <c r="AF621" s="170">
        <f t="shared" ca="1" si="94"/>
        <v>14.320679012336772</v>
      </c>
      <c r="AG621" s="170">
        <f t="shared" ca="1" si="95"/>
        <v>14.320679012336772</v>
      </c>
      <c r="AH621" s="28" t="str" cm="1">
        <f t="array" aca="1" ref="AH621" ca="1">IF((AD621) &lt; (INDEX(ResponseSLA[#All],(MATCH((G621),ResponseSLA[Priority],0))+1,3)),"YES","No")</f>
        <v>No</v>
      </c>
      <c r="AI621" s="28" t="str">
        <f ca="1">_xlfn.IFNA(IF(AE621 &lt; (INDEX(SLATable[Minimum SLA],MATCH(G621,SLATable[Priority],0))),"YES","NO"),"")</f>
        <v>NO</v>
      </c>
      <c r="AJ621" s="28" t="str">
        <f ca="1">_xlfn.IFNA(IF(AE621 &lt; (INDEX(SLATable[Maximum SLA],MATCH(G621,SLATable[Priority],0))),"YES","NO"),"")</f>
        <v>NO</v>
      </c>
    </row>
    <row r="622" spans="2:36" s="58" customFormat="1">
      <c r="B622" s="58" t="s">
        <v>26</v>
      </c>
      <c r="C622" s="58" t="s">
        <v>35</v>
      </c>
      <c r="D622" s="58" t="s">
        <v>207</v>
      </c>
      <c r="E622" s="58" t="s">
        <v>2306</v>
      </c>
      <c r="F622" s="58" t="s">
        <v>296</v>
      </c>
      <c r="G622" s="58">
        <v>3</v>
      </c>
      <c r="H622" s="127" t="s">
        <v>2307</v>
      </c>
      <c r="I622" s="58" t="s">
        <v>271</v>
      </c>
      <c r="J622" s="127" t="s">
        <v>1365</v>
      </c>
      <c r="K622" s="307">
        <v>46222.799108796295</v>
      </c>
      <c r="L622" s="307">
        <v>46222.799212962964</v>
      </c>
      <c r="M622" s="307">
        <v>46223.468564814815</v>
      </c>
      <c r="N622" s="307">
        <v>46231.590740740743</v>
      </c>
      <c r="O622" s="307"/>
      <c r="P622" s="307"/>
      <c r="Q622" s="58" t="s">
        <v>2264</v>
      </c>
      <c r="R622" s="58" t="s">
        <v>267</v>
      </c>
      <c r="S622" s="58" t="s">
        <v>199</v>
      </c>
      <c r="U622" s="58" t="s">
        <v>371</v>
      </c>
      <c r="Z622" s="169">
        <f t="shared" ca="1" si="89"/>
        <v>2.5074074074097252</v>
      </c>
      <c r="AA622" s="170">
        <f t="shared" ca="1" si="90"/>
        <v>6.6864197530926006</v>
      </c>
      <c r="AB622" s="169">
        <f t="shared" ca="1" si="91"/>
        <v>2.5074074074097252</v>
      </c>
      <c r="AC622" s="170">
        <f t="shared" ca="1" si="92"/>
        <v>6.6864197530926006</v>
      </c>
      <c r="AD622" s="169">
        <f t="shared" ca="1" si="93"/>
        <v>0</v>
      </c>
      <c r="AE622" s="169">
        <f t="shared" ca="1" si="88"/>
        <v>2.5074074074097252</v>
      </c>
      <c r="AF622" s="170">
        <f t="shared" ca="1" si="94"/>
        <v>6.6864197530926006</v>
      </c>
      <c r="AG622" s="170">
        <f t="shared" ca="1" si="95"/>
        <v>6.6864197530926006</v>
      </c>
      <c r="AH622" s="28" t="str" cm="1">
        <f t="array" aca="1" ref="AH622" ca="1">IF((AD622) &lt; (INDEX(ResponseSLA[#All],(MATCH((G622),ResponseSLA[Priority],0))+1,3)),"YES","No")</f>
        <v>YES</v>
      </c>
      <c r="AI622" s="28" t="str">
        <f ca="1">_xlfn.IFNA(IF(AE622 &lt; (INDEX(SLATable[Minimum SLA],MATCH(G622,SLATable[Priority],0))),"YES","NO"),"")</f>
        <v>NO</v>
      </c>
      <c r="AJ622" s="28" t="str">
        <f ca="1">_xlfn.IFNA(IF(AE622 &lt; (INDEX(SLATable[Maximum SLA],MATCH(G622,SLATable[Priority],0))),"YES","NO"),"")</f>
        <v>NO</v>
      </c>
    </row>
    <row r="623" spans="2:36" s="58" customFormat="1">
      <c r="B623" s="58" t="s">
        <v>26</v>
      </c>
      <c r="C623" s="58" t="s">
        <v>35</v>
      </c>
      <c r="D623" s="58" t="s">
        <v>207</v>
      </c>
      <c r="E623" s="315" t="s">
        <v>2308</v>
      </c>
      <c r="F623" s="58" t="s">
        <v>296</v>
      </c>
      <c r="G623" s="58">
        <v>4</v>
      </c>
      <c r="H623" s="127" t="s">
        <v>2309</v>
      </c>
      <c r="I623" s="58" t="s">
        <v>271</v>
      </c>
      <c r="J623" s="127" t="s">
        <v>1365</v>
      </c>
      <c r="K623" s="307">
        <v>46216.71634259259</v>
      </c>
      <c r="L623" s="307">
        <v>46216.716446759259</v>
      </c>
      <c r="M623" s="307">
        <v>46217.458854166667</v>
      </c>
      <c r="N623" s="307">
        <v>46233.620775462965</v>
      </c>
      <c r="O623" s="307"/>
      <c r="P623" s="307"/>
      <c r="Q623" s="58" t="s">
        <v>2264</v>
      </c>
      <c r="R623" s="58" t="s">
        <v>267</v>
      </c>
      <c r="S623" s="58" t="s">
        <v>181</v>
      </c>
      <c r="U623" s="58" t="s">
        <v>371</v>
      </c>
      <c r="Z623" s="169">
        <f t="shared" ca="1" si="89"/>
        <v>4.787442129631625</v>
      </c>
      <c r="AA623" s="170">
        <f t="shared" ca="1" si="90"/>
        <v>12.766512345684333</v>
      </c>
      <c r="AB623" s="169">
        <f t="shared" ca="1" si="91"/>
        <v>4.787442129631625</v>
      </c>
      <c r="AC623" s="170">
        <f t="shared" ca="1" si="92"/>
        <v>12.766512345684333</v>
      </c>
      <c r="AD623" s="169">
        <f t="shared" ca="1" si="93"/>
        <v>0.12552083333381836</v>
      </c>
      <c r="AE623" s="169">
        <f t="shared" ca="1" si="88"/>
        <v>15.296689814822459</v>
      </c>
      <c r="AF623" s="170">
        <f t="shared" ca="1" si="94"/>
        <v>40.79117283952656</v>
      </c>
      <c r="AG623" s="170">
        <f t="shared" ca="1" si="95"/>
        <v>40.79117283952656</v>
      </c>
      <c r="AH623" s="28" t="str" cm="1">
        <f t="array" aca="1" ref="AH623" ca="1">IF((AD623) &lt; (INDEX(ResponseSLA[#All],(MATCH((G623),ResponseSLA[Priority],0))+1,3)),"YES","No")</f>
        <v>No</v>
      </c>
      <c r="AI623" s="28" t="str">
        <f ca="1">_xlfn.IFNA(IF(AE623 &lt; (INDEX(SLATable[Minimum SLA],MATCH(G623,SLATable[Priority],0))),"YES","NO"),"")</f>
        <v>NO</v>
      </c>
      <c r="AJ623" s="28" t="str">
        <f ca="1">_xlfn.IFNA(IF(AE623 &lt; (INDEX(SLATable[Maximum SLA],MATCH(G623,SLATable[Priority],0))),"YES","NO"),"")</f>
        <v>NO</v>
      </c>
    </row>
    <row r="624" spans="2:36" s="58" customFormat="1">
      <c r="B624" s="58" t="s">
        <v>26</v>
      </c>
      <c r="C624" s="58" t="s">
        <v>35</v>
      </c>
      <c r="D624" s="58" t="s">
        <v>207</v>
      </c>
      <c r="E624" s="315" t="s">
        <v>2310</v>
      </c>
      <c r="F624" s="58" t="s">
        <v>299</v>
      </c>
      <c r="G624" s="58">
        <v>4</v>
      </c>
      <c r="H624" s="127" t="s">
        <v>2311</v>
      </c>
      <c r="I624" s="58" t="s">
        <v>271</v>
      </c>
      <c r="J624" s="127" t="s">
        <v>1365</v>
      </c>
      <c r="K624" s="307">
        <v>46224.51059027778</v>
      </c>
      <c r="L624" s="307">
        <v>46224.510694444441</v>
      </c>
      <c r="M624" s="307">
        <v>46224.648379629631</v>
      </c>
      <c r="N624" s="307">
        <v>46224.732048611113</v>
      </c>
      <c r="O624" s="307"/>
      <c r="P624" s="307"/>
      <c r="Q624" s="58" t="s">
        <v>1378</v>
      </c>
      <c r="R624" s="58" t="s">
        <v>267</v>
      </c>
      <c r="S624" s="58" t="s">
        <v>199</v>
      </c>
      <c r="U624" s="58" t="s">
        <v>371</v>
      </c>
      <c r="Z624" s="169"/>
      <c r="AA624" s="170"/>
      <c r="AB624" s="169"/>
      <c r="AC624" s="170"/>
      <c r="AD624" s="169"/>
      <c r="AE624" s="169"/>
      <c r="AF624" s="170"/>
      <c r="AG624" s="170"/>
      <c r="AH624" s="28"/>
      <c r="AI624" s="28"/>
      <c r="AJ624" s="28"/>
    </row>
    <row r="625" spans="2:36" s="58" customFormat="1">
      <c r="B625" s="58" t="s">
        <v>26</v>
      </c>
      <c r="C625" s="58" t="s">
        <v>35</v>
      </c>
      <c r="D625" s="58" t="s">
        <v>208</v>
      </c>
      <c r="E625" s="315" t="s">
        <v>2312</v>
      </c>
      <c r="F625" s="58" t="s">
        <v>295</v>
      </c>
      <c r="G625" s="58" t="s">
        <v>208</v>
      </c>
      <c r="H625" s="127" t="s">
        <v>2313</v>
      </c>
      <c r="I625" s="58" t="s">
        <v>260</v>
      </c>
      <c r="J625" s="127" t="s">
        <v>1365</v>
      </c>
      <c r="K625" s="307">
        <v>46205.721400462964</v>
      </c>
      <c r="L625" s="307">
        <v>46205.721539351849</v>
      </c>
      <c r="M625" s="307">
        <v>46206.545416666668</v>
      </c>
      <c r="N625" s="307"/>
      <c r="O625" s="307"/>
      <c r="P625" s="307"/>
      <c r="Q625" s="58" t="s">
        <v>2314</v>
      </c>
      <c r="U625" s="58" t="s">
        <v>371</v>
      </c>
      <c r="Z625" s="169">
        <f t="shared" ca="1" si="89"/>
        <v>14.17564085647852</v>
      </c>
      <c r="AA625" s="170">
        <f t="shared" ca="1" si="90"/>
        <v>37.801708950609381</v>
      </c>
      <c r="AB625" s="169">
        <f t="shared" ca="1" si="91"/>
        <v>14.17564085647852</v>
      </c>
      <c r="AC625" s="170">
        <f t="shared" ca="1" si="92"/>
        <v>37.801708950609381</v>
      </c>
      <c r="AD625" s="169">
        <f t="shared" ca="1" si="93"/>
        <v>0.21208333333440044</v>
      </c>
      <c r="AE625" s="169">
        <f t="shared" ref="AE625:AE688" ca="1" si="96">SUMIFS(AB:AB,E:E,E625)</f>
        <v>14.17564085647852</v>
      </c>
      <c r="AF625" s="170">
        <f t="shared" ca="1" si="94"/>
        <v>37.801708950609381</v>
      </c>
      <c r="AG625" s="170">
        <f t="shared" ca="1" si="95"/>
        <v>37.801708950609381</v>
      </c>
      <c r="AH625" s="28" t="str" cm="1">
        <f t="array" aca="1" ref="AH625" ca="1">IF((AD625) &lt; (INDEX(ResponseSLA[#All],(MATCH((G625),ResponseSLA[Priority],0))+1,3)),"YES","No")</f>
        <v>YES</v>
      </c>
      <c r="AI625" s="28" t="str">
        <f ca="1">_xlfn.IFNA(IF(AE625 &lt; (INDEX(SLATable[Minimum SLA],MATCH(G625,SLATable[Priority],0))),"YES","NO"),"")</f>
        <v>NO</v>
      </c>
      <c r="AJ625" s="28" t="str">
        <f ca="1">_xlfn.IFNA(IF(AE625 &lt; (INDEX(SLATable[Maximum SLA],MATCH(G625,SLATable[Priority],0))),"YES","NO"),"")</f>
        <v>NO</v>
      </c>
    </row>
    <row r="626" spans="2:36" s="58" customFormat="1">
      <c r="B626" s="58" t="s">
        <v>26</v>
      </c>
      <c r="C626" s="58" t="s">
        <v>35</v>
      </c>
      <c r="D626" s="58" t="s">
        <v>207</v>
      </c>
      <c r="E626" s="313" t="s">
        <v>2315</v>
      </c>
      <c r="F626" s="58" t="s">
        <v>289</v>
      </c>
      <c r="G626" s="58">
        <v>3</v>
      </c>
      <c r="H626" s="313" t="s">
        <v>2316</v>
      </c>
      <c r="I626" s="58" t="s">
        <v>271</v>
      </c>
      <c r="J626" s="313" t="s">
        <v>1408</v>
      </c>
      <c r="K626" s="307">
        <v>46225.522916666669</v>
      </c>
      <c r="L626" s="316">
        <v>46225.558333333334</v>
      </c>
      <c r="M626" s="316">
        <v>46226.257638888892</v>
      </c>
      <c r="N626" s="316">
        <v>46231.339583333334</v>
      </c>
      <c r="O626" s="211" t="s">
        <v>2317</v>
      </c>
      <c r="P626" s="211" t="s">
        <v>2318</v>
      </c>
      <c r="Q626" s="313" t="s">
        <v>1098</v>
      </c>
      <c r="R626" s="58" t="s">
        <v>267</v>
      </c>
      <c r="S626" s="58" t="s">
        <v>199</v>
      </c>
      <c r="U626" s="58" t="s">
        <v>371</v>
      </c>
      <c r="Z626" s="169">
        <f ca="1">IF(NOT(OR(G626=1,G626=2)),MAX(0,_xlfn.IFS(AND(K626&lt;&gt;"",N626&lt;&gt;""),((MAX(NETWORKDAYS(K626,N626,UKBankHolidays)-1,0))*(TIME(17,0,0)-TIME(8,0,0))+IF(NETWORKDAYS(N626,N626,UKBankHolidays)&gt;0,MEDIAN(TIME(8,0,0),MOD(N626,1),TIME(17,0,0)),TIME(8,0,0))-IF(NETWORKDAYS(K626,K626,UKBankHolidays)&gt;0,MEDIAN(TIME(8,0,0),MOD(K626,1),TIME(17,0,0)),TIME(8,0,0)))-IF(AND(O626&lt;&gt;"",P626&lt;&gt;""),((MAX(NETWORKDAYS(O626,P626,UKBankHolidays)-1,0))*(TIME(17,0,0)-TIME(8,0,0))+IF(NETWORKDAYS(P626,P626,UKBankHolidays)&gt;0,MEDIAN(TIME(8,0,0),MOD(P626,1),TIME(17,0,0)),TIME(8,0,0))-IF(NETWORKDAYS(O626,O626,UKBankHolidays)&gt;0,MEDIAN(TIME(8,0,0),MOD(O626,1),TIME(17,0,0)),TIME(8,0,0))),0),AND(K626&lt;&gt;"",N626=""),((MAX(NETWORKDAYS(K626,NOW(),UKBankHolidays)-1,0))*(TIME(17,0,0)-TIME(8,0,0))+IF(NETWORKDAYS(NOW(),NOW(),UKBankHolidays)&gt;0,MEDIAN(TIME(8,0,0),MOD(NOW(),1),TIME(17,0,0)),TIME(8,0,0))-IF(NETWORKDAYS(K626,K626,UKBankHolidays)&gt;0,MEDIAN(TIME(8,0,0),MOD(K626,1),TIME(17,0,0)),TIME(8,0,0))))),IF(N626="",NOW()-K626,N626-K626))</f>
        <v>0.51526620370714249</v>
      </c>
      <c r="AA626" s="170">
        <f t="shared" ca="1" si="90"/>
        <v>1.3740432098857134</v>
      </c>
      <c r="AB626" s="169">
        <f t="shared" ca="1" si="91"/>
        <v>0.47984953704144595</v>
      </c>
      <c r="AC626" s="170">
        <f t="shared" ca="1" si="92"/>
        <v>1.2795987654438559</v>
      </c>
      <c r="AD626" s="169">
        <f t="shared" ca="1" si="93"/>
        <v>0.14999999999902991</v>
      </c>
      <c r="AE626" s="169">
        <f t="shared" ca="1" si="96"/>
        <v>0.47984953704144595</v>
      </c>
      <c r="AF626" s="170">
        <f t="shared" ca="1" si="94"/>
        <v>1.2795987654438559</v>
      </c>
      <c r="AG626" s="170">
        <f t="shared" ca="1" si="95"/>
        <v>1.2795987654438559</v>
      </c>
      <c r="AH626" s="28" t="str" cm="1">
        <f t="array" aca="1" ref="AH626" ca="1">IF((AD626) &lt; (INDEX(ResponseSLA[#All],(MATCH((G626),ResponseSLA[Priority],0))+1,3)),"YES","No")</f>
        <v>No</v>
      </c>
      <c r="AI626" s="28" t="str">
        <f ca="1">_xlfn.IFNA(IF(AE626 &lt; (INDEX(SLATable[Minimum SLA],MATCH(G626,SLATable[Priority],0))),"YES","NO"),"")</f>
        <v>NO</v>
      </c>
      <c r="AJ626" s="28" t="str">
        <f ca="1">_xlfn.IFNA(IF(AE626 &lt; (INDEX(SLATable[Maximum SLA],MATCH(G626,SLATable[Priority],0))),"YES","NO"),"")</f>
        <v>YES</v>
      </c>
    </row>
    <row r="627" spans="2:36" s="58" customFormat="1">
      <c r="B627" s="58" t="s">
        <v>26</v>
      </c>
      <c r="C627" s="58" t="s">
        <v>35</v>
      </c>
      <c r="D627" s="58" t="s">
        <v>207</v>
      </c>
      <c r="E627" s="313" t="s">
        <v>2129</v>
      </c>
      <c r="F627" s="313" t="s">
        <v>295</v>
      </c>
      <c r="G627" s="58">
        <v>3</v>
      </c>
      <c r="H627" s="313" t="s">
        <v>2130</v>
      </c>
      <c r="I627" s="58" t="s">
        <v>271</v>
      </c>
      <c r="J627" s="313" t="s">
        <v>1408</v>
      </c>
      <c r="K627" s="316" t="s">
        <v>2319</v>
      </c>
      <c r="L627" s="316" t="s">
        <v>2320</v>
      </c>
      <c r="M627" s="316" t="s">
        <v>2321</v>
      </c>
      <c r="N627" s="316" t="s">
        <v>2322</v>
      </c>
      <c r="O627" s="211" t="s">
        <v>2323</v>
      </c>
      <c r="P627" s="211" t="s">
        <v>2324</v>
      </c>
      <c r="Q627" s="313" t="s">
        <v>1113</v>
      </c>
      <c r="R627" s="58" t="s">
        <v>267</v>
      </c>
      <c r="S627" s="58" t="s">
        <v>190</v>
      </c>
      <c r="U627" s="58" t="s">
        <v>371</v>
      </c>
      <c r="Z627" s="169">
        <f t="shared" ca="1" si="89"/>
        <v>5.2366550925920219</v>
      </c>
      <c r="AA627" s="170">
        <f t="shared" ca="1" si="90"/>
        <v>13.964413580245392</v>
      </c>
      <c r="AB627" s="169">
        <f t="shared" ca="1" si="91"/>
        <v>5.1193981481458959</v>
      </c>
      <c r="AC627" s="170">
        <f t="shared" ca="1" si="92"/>
        <v>13.651728395055722</v>
      </c>
      <c r="AD627" s="169">
        <f t="shared" ca="1" si="93"/>
        <v>2.5879629625706002E-2</v>
      </c>
      <c r="AE627" s="169">
        <f t="shared" ca="1" si="96"/>
        <v>20.289576041662563</v>
      </c>
      <c r="AF627" s="170">
        <f t="shared" ca="1" si="94"/>
        <v>54.105536111100172</v>
      </c>
      <c r="AG627" s="170">
        <f t="shared" ca="1" si="95"/>
        <v>54.105536111100172</v>
      </c>
      <c r="AH627" s="28" t="str" cm="1">
        <f t="array" aca="1" ref="AH627" ca="1">IF((AD627) &lt; (INDEX(ResponseSLA[#All],(MATCH((G627),ResponseSLA[Priority],0))+1,3)),"YES","No")</f>
        <v>YES</v>
      </c>
      <c r="AI627" s="28" t="str">
        <f ca="1">_xlfn.IFNA(IF(AE627 &lt; (INDEX(SLATable[Minimum SLA],MATCH(G627,SLATable[Priority],0))),"YES","NO"),"")</f>
        <v>NO</v>
      </c>
      <c r="AJ627" s="28" t="str">
        <f ca="1">_xlfn.IFNA(IF(AE627 &lt; (INDEX(SLATable[Maximum SLA],MATCH(G627,SLATable[Priority],0))),"YES","NO"),"")</f>
        <v>NO</v>
      </c>
    </row>
    <row r="628" spans="2:36" s="58" customFormat="1">
      <c r="B628" s="58" t="s">
        <v>26</v>
      </c>
      <c r="C628" s="58" t="s">
        <v>35</v>
      </c>
      <c r="D628" s="58" t="s">
        <v>207</v>
      </c>
      <c r="E628" s="313" t="s">
        <v>2325</v>
      </c>
      <c r="F628" s="58" t="s">
        <v>289</v>
      </c>
      <c r="G628" s="58">
        <v>3</v>
      </c>
      <c r="H628" s="313" t="s">
        <v>2326</v>
      </c>
      <c r="I628" s="58" t="s">
        <v>271</v>
      </c>
      <c r="J628" s="313" t="s">
        <v>1408</v>
      </c>
      <c r="K628" s="307">
        <v>46225.015277777777</v>
      </c>
      <c r="L628" s="316">
        <v>46225.015972222223</v>
      </c>
      <c r="M628" s="316">
        <v>46225.28402777778</v>
      </c>
      <c r="N628" s="316">
        <v>46226.469444444447</v>
      </c>
      <c r="O628" s="211"/>
      <c r="P628" s="211"/>
      <c r="Q628" s="313" t="s">
        <v>1164</v>
      </c>
      <c r="R628" s="58" t="s">
        <v>267</v>
      </c>
      <c r="S628" s="58" t="s">
        <v>199</v>
      </c>
      <c r="U628" s="58" t="s">
        <v>371</v>
      </c>
      <c r="Z628" s="169">
        <f t="shared" ca="1" si="89"/>
        <v>0.51111111111337482</v>
      </c>
      <c r="AA628" s="170">
        <f t="shared" ca="1" si="90"/>
        <v>1.3629629629689994</v>
      </c>
      <c r="AB628" s="169">
        <f t="shared" ca="1" si="91"/>
        <v>0.51111111111337482</v>
      </c>
      <c r="AC628" s="170">
        <f t="shared" ca="1" si="92"/>
        <v>1.3629629629689994</v>
      </c>
      <c r="AD628" s="169">
        <f t="shared" ca="1" si="93"/>
        <v>0</v>
      </c>
      <c r="AE628" s="169">
        <f t="shared" ca="1" si="96"/>
        <v>0.51111111111337482</v>
      </c>
      <c r="AF628" s="170">
        <f t="shared" ca="1" si="94"/>
        <v>1.3629629629689994</v>
      </c>
      <c r="AG628" s="170">
        <f t="shared" ca="1" si="95"/>
        <v>1.3629629629689994</v>
      </c>
      <c r="AH628" s="28" t="str" cm="1">
        <f t="array" aca="1" ref="AH628" ca="1">IF((AD628) &lt; (INDEX(ResponseSLA[#All],(MATCH((G628),ResponseSLA[Priority],0))+1,3)),"YES","No")</f>
        <v>YES</v>
      </c>
      <c r="AI628" s="28" t="str">
        <f ca="1">_xlfn.IFNA(IF(AE628 &lt; (INDEX(SLATable[Minimum SLA],MATCH(G628,SLATable[Priority],0))),"YES","NO"),"")</f>
        <v>NO</v>
      </c>
      <c r="AJ628" s="28" t="str">
        <f ca="1">_xlfn.IFNA(IF(AE628 &lt; (INDEX(SLATable[Maximum SLA],MATCH(G628,SLATable[Priority],0))),"YES","NO"),"")</f>
        <v>YES</v>
      </c>
    </row>
    <row r="629" spans="2:36" s="58" customFormat="1">
      <c r="B629" s="58" t="s">
        <v>26</v>
      </c>
      <c r="C629" s="58" t="s">
        <v>35</v>
      </c>
      <c r="D629" s="58" t="s">
        <v>207</v>
      </c>
      <c r="E629" s="313" t="s">
        <v>2327</v>
      </c>
      <c r="F629" s="313" t="s">
        <v>295</v>
      </c>
      <c r="G629" s="58">
        <v>4</v>
      </c>
      <c r="H629" s="313" t="s">
        <v>2328</v>
      </c>
      <c r="I629" s="58" t="s">
        <v>271</v>
      </c>
      <c r="J629" s="313" t="s">
        <v>1408</v>
      </c>
      <c r="K629" s="307">
        <v>46226.409722222219</v>
      </c>
      <c r="L629" s="316">
        <v>46226.410416666666</v>
      </c>
      <c r="M629" s="316">
        <v>46226.62777777778</v>
      </c>
      <c r="N629" s="316">
        <v>46233.45</v>
      </c>
      <c r="O629" s="211"/>
      <c r="P629" s="211"/>
      <c r="Q629" s="313" t="s">
        <v>2329</v>
      </c>
      <c r="R629" s="58" t="s">
        <v>267</v>
      </c>
      <c r="S629" s="58" t="s">
        <v>199</v>
      </c>
      <c r="U629" s="58" t="s">
        <v>371</v>
      </c>
      <c r="Z629" s="169">
        <f t="shared" ca="1" si="89"/>
        <v>1.9152777777781012</v>
      </c>
      <c r="AA629" s="170">
        <f t="shared" ca="1" si="90"/>
        <v>5.10740740740827</v>
      </c>
      <c r="AB629" s="169">
        <f t="shared" ca="1" si="91"/>
        <v>1.9145833333313931</v>
      </c>
      <c r="AC629" s="170">
        <f t="shared" ca="1" si="92"/>
        <v>5.1055555555503815</v>
      </c>
      <c r="AD629" s="169">
        <f t="shared" ca="1" si="93"/>
        <v>0.21736111111385981</v>
      </c>
      <c r="AE629" s="169">
        <f t="shared" ca="1" si="96"/>
        <v>1.9145833333313931</v>
      </c>
      <c r="AF629" s="170">
        <f t="shared" ca="1" si="94"/>
        <v>5.1055555555503815</v>
      </c>
      <c r="AG629" s="170">
        <f t="shared" ca="1" si="95"/>
        <v>5.1055555555503815</v>
      </c>
      <c r="AH629" s="28" t="str" cm="1">
        <f t="array" aca="1" ref="AH629" ca="1">IF((AD629) &lt; (INDEX(ResponseSLA[#All],(MATCH((G629),ResponseSLA[Priority],0))+1,3)),"YES","No")</f>
        <v>No</v>
      </c>
      <c r="AI629" s="28" t="str">
        <f ca="1">_xlfn.IFNA(IF(AE629 &lt; (INDEX(SLATable[Minimum SLA],MATCH(G629,SLATable[Priority],0))),"YES","NO"),"")</f>
        <v>YES</v>
      </c>
      <c r="AJ629" s="28" t="str">
        <f ca="1">_xlfn.IFNA(IF(AE629 &lt; (INDEX(SLATable[Maximum SLA],MATCH(G629,SLATable[Priority],0))),"YES","NO"),"")</f>
        <v>YES</v>
      </c>
    </row>
    <row r="630" spans="2:36" s="58" customFormat="1">
      <c r="B630" s="58" t="s">
        <v>26</v>
      </c>
      <c r="C630" s="58" t="s">
        <v>35</v>
      </c>
      <c r="D630" s="58" t="s">
        <v>207</v>
      </c>
      <c r="E630" s="313" t="s">
        <v>2330</v>
      </c>
      <c r="F630" s="58" t="s">
        <v>289</v>
      </c>
      <c r="G630" s="58">
        <v>4</v>
      </c>
      <c r="H630" s="313" t="s">
        <v>2331</v>
      </c>
      <c r="I630" s="58" t="s">
        <v>271</v>
      </c>
      <c r="J630" s="313" t="s">
        <v>1408</v>
      </c>
      <c r="K630" s="316">
        <v>46221.813888888886</v>
      </c>
      <c r="L630" s="316" t="s">
        <v>2332</v>
      </c>
      <c r="M630" s="316">
        <v>46223.313194444447</v>
      </c>
      <c r="N630" s="316">
        <v>46232.436805555553</v>
      </c>
      <c r="O630" s="316">
        <v>46224.436805555553</v>
      </c>
      <c r="P630" s="316">
        <v>46232.436805555553</v>
      </c>
      <c r="Q630" s="313" t="s">
        <v>1104</v>
      </c>
      <c r="R630" s="58" t="s">
        <v>267</v>
      </c>
      <c r="S630" s="58" t="s">
        <v>199</v>
      </c>
      <c r="U630" s="58" t="s">
        <v>371</v>
      </c>
      <c r="Z630" s="169">
        <f t="shared" ca="1" si="89"/>
        <v>0.47847222221995844</v>
      </c>
      <c r="AA630" s="170">
        <f t="shared" ca="1" si="90"/>
        <v>1.2759259259198892</v>
      </c>
      <c r="AB630" s="169">
        <f t="shared" ca="1" si="91"/>
        <v>0.47847222221995844</v>
      </c>
      <c r="AC630" s="170">
        <f t="shared" ca="1" si="92"/>
        <v>1.2759259259198892</v>
      </c>
      <c r="AD630" s="169">
        <f t="shared" ca="1" si="93"/>
        <v>0</v>
      </c>
      <c r="AE630" s="169">
        <f t="shared" ca="1" si="96"/>
        <v>0.47847222221995844</v>
      </c>
      <c r="AF630" s="170">
        <f t="shared" ca="1" si="94"/>
        <v>1.2759259259198892</v>
      </c>
      <c r="AG630" s="170">
        <f t="shared" ca="1" si="95"/>
        <v>1.2759259259198892</v>
      </c>
      <c r="AH630" s="28" t="str" cm="1">
        <f t="array" aca="1" ref="AH630" ca="1">IF((AD630) &lt; (INDEX(ResponseSLA[#All],(MATCH((G630),ResponseSLA[Priority],0))+1,3)),"YES","No")</f>
        <v>YES</v>
      </c>
      <c r="AI630" s="28" t="str">
        <f ca="1">_xlfn.IFNA(IF(AE630 &lt; (INDEX(SLATable[Minimum SLA],MATCH(G630,SLATable[Priority],0))),"YES","NO"),"")</f>
        <v>YES</v>
      </c>
      <c r="AJ630" s="28" t="str">
        <f ca="1">_xlfn.IFNA(IF(AE630 &lt; (INDEX(SLATable[Maximum SLA],MATCH(G630,SLATable[Priority],0))),"YES","NO"),"")</f>
        <v>YES</v>
      </c>
    </row>
    <row r="631" spans="2:36" s="58" customFormat="1">
      <c r="B631" s="58" t="s">
        <v>26</v>
      </c>
      <c r="C631" s="58" t="s">
        <v>35</v>
      </c>
      <c r="D631" s="58" t="s">
        <v>208</v>
      </c>
      <c r="E631" s="315" t="s">
        <v>2333</v>
      </c>
      <c r="F631" s="58" t="s">
        <v>289</v>
      </c>
      <c r="G631" s="58" t="s">
        <v>208</v>
      </c>
      <c r="H631" s="309" t="s">
        <v>2334</v>
      </c>
      <c r="I631" s="58" t="s">
        <v>260</v>
      </c>
      <c r="J631" s="313" t="s">
        <v>1408</v>
      </c>
      <c r="K631" s="307">
        <v>46224.464571759258</v>
      </c>
      <c r="L631" s="307">
        <v>46224.505682870367</v>
      </c>
      <c r="M631" s="307">
        <v>46226.273101851853</v>
      </c>
      <c r="N631" s="307"/>
      <c r="O631" s="307"/>
      <c r="P631" s="307"/>
      <c r="Q631" s="58" t="s">
        <v>1148</v>
      </c>
      <c r="R631" s="58" t="s">
        <v>267</v>
      </c>
      <c r="S631" s="58" t="s">
        <v>190</v>
      </c>
      <c r="U631" s="58" t="s">
        <v>371</v>
      </c>
      <c r="Z631" s="169">
        <f t="shared" ca="1" si="89"/>
        <v>9.544402314815672</v>
      </c>
      <c r="AA631" s="170">
        <f t="shared" ca="1" si="90"/>
        <v>25.451739506175127</v>
      </c>
      <c r="AB631" s="169">
        <f t="shared" ca="1" si="91"/>
        <v>9.5032913194445445</v>
      </c>
      <c r="AC631" s="170">
        <f t="shared" ca="1" si="92"/>
        <v>25.342110185185454</v>
      </c>
      <c r="AD631" s="169">
        <f t="shared" ca="1" si="93"/>
        <v>0.5776504629660244</v>
      </c>
      <c r="AE631" s="169">
        <f t="shared" ca="1" si="96"/>
        <v>9.5032913194445445</v>
      </c>
      <c r="AF631" s="170">
        <f t="shared" ca="1" si="94"/>
        <v>25.342110185185454</v>
      </c>
      <c r="AG631" s="170">
        <f t="shared" ca="1" si="95"/>
        <v>25.342110185185454</v>
      </c>
      <c r="AH631" s="28" t="str" cm="1">
        <f t="array" aca="1" ref="AH631" ca="1">IF((AD631) &lt; (INDEX(ResponseSLA[#All],(MATCH((G631),ResponseSLA[Priority],0))+1,3)),"YES","No")</f>
        <v>No</v>
      </c>
      <c r="AI631" s="28" t="str">
        <f ca="1">_xlfn.IFNA(IF(AE631 &lt; (INDEX(SLATable[Minimum SLA],MATCH(G631,SLATable[Priority],0))),"YES","NO"),"")</f>
        <v>NO</v>
      </c>
      <c r="AJ631" s="28" t="str">
        <f ca="1">_xlfn.IFNA(IF(AE631 &lt; (INDEX(SLATable[Maximum SLA],MATCH(G631,SLATable[Priority],0))),"YES","NO"),"")</f>
        <v>NO</v>
      </c>
    </row>
    <row r="632" spans="2:36" s="58" customFormat="1">
      <c r="B632" s="58" t="s">
        <v>26</v>
      </c>
      <c r="C632" s="58" t="s">
        <v>35</v>
      </c>
      <c r="D632" s="58" t="s">
        <v>207</v>
      </c>
      <c r="E632" s="58" t="s">
        <v>2335</v>
      </c>
      <c r="F632" s="58" t="s">
        <v>301</v>
      </c>
      <c r="G632" s="58">
        <v>3</v>
      </c>
      <c r="H632" s="127" t="s">
        <v>2336</v>
      </c>
      <c r="I632" s="58" t="s">
        <v>271</v>
      </c>
      <c r="J632" s="127" t="s">
        <v>2337</v>
      </c>
      <c r="K632" s="307">
        <v>46217.621678240743</v>
      </c>
      <c r="L632" s="307">
        <v>46218.28460648148</v>
      </c>
      <c r="M632" s="307">
        <v>46218.28460648148</v>
      </c>
      <c r="N632" s="307">
        <v>46220.552418981482</v>
      </c>
      <c r="O632" s="307">
        <v>46219.765138888892</v>
      </c>
      <c r="P632" s="307">
        <v>46220.326018518521</v>
      </c>
      <c r="Q632" s="58" t="s">
        <v>1628</v>
      </c>
      <c r="R632" s="58" t="s">
        <v>267</v>
      </c>
      <c r="S632" s="58" t="s">
        <v>190</v>
      </c>
      <c r="U632" s="58" t="s">
        <v>371</v>
      </c>
      <c r="Z632" s="169">
        <f t="shared" ca="1" si="89"/>
        <v>1.055740740739566</v>
      </c>
      <c r="AA632" s="170">
        <f t="shared" ca="1" si="90"/>
        <v>2.8153086419721762</v>
      </c>
      <c r="AB632" s="169">
        <f t="shared" ca="1" si="91"/>
        <v>0.96908564814899978</v>
      </c>
      <c r="AC632" s="170">
        <f t="shared" ca="1" si="92"/>
        <v>2.5842283950639993</v>
      </c>
      <c r="AD632" s="169">
        <f t="shared" ca="1" si="93"/>
        <v>0</v>
      </c>
      <c r="AE632" s="169">
        <f t="shared" ca="1" si="96"/>
        <v>0.96908564814899978</v>
      </c>
      <c r="AF632" s="170">
        <f t="shared" ca="1" si="94"/>
        <v>2.5842283950639993</v>
      </c>
      <c r="AG632" s="170">
        <f t="shared" ca="1" si="95"/>
        <v>2.5842283950639993</v>
      </c>
      <c r="AH632" s="28" t="str" cm="1">
        <f t="array" aca="1" ref="AH632" ca="1">IF((AD632) &lt; (INDEX(ResponseSLA[#All],(MATCH((G632),ResponseSLA[Priority],0))+1,3)),"YES","No")</f>
        <v>YES</v>
      </c>
      <c r="AI632" s="28" t="str">
        <f ca="1">_xlfn.IFNA(IF(AE632 &lt; (INDEX(SLATable[Minimum SLA],MATCH(G632,SLATable[Priority],0))),"YES","NO"),"")</f>
        <v>NO</v>
      </c>
      <c r="AJ632" s="28" t="str">
        <f ca="1">_xlfn.IFNA(IF(AE632 &lt; (INDEX(SLATable[Maximum SLA],MATCH(G632,SLATable[Priority],0))),"YES","NO"),"")</f>
        <v>YES</v>
      </c>
    </row>
    <row r="633" spans="2:36" s="58" customFormat="1">
      <c r="B633" s="58" t="s">
        <v>26</v>
      </c>
      <c r="C633" s="58" t="s">
        <v>35</v>
      </c>
      <c r="D633" s="58" t="s">
        <v>207</v>
      </c>
      <c r="E633" s="58" t="s">
        <v>2338</v>
      </c>
      <c r="F633" s="58" t="s">
        <v>301</v>
      </c>
      <c r="G633" s="58">
        <v>4</v>
      </c>
      <c r="H633" s="127" t="s">
        <v>2339</v>
      </c>
      <c r="I633" s="58" t="s">
        <v>271</v>
      </c>
      <c r="J633" s="127" t="s">
        <v>2337</v>
      </c>
      <c r="K633" s="307">
        <v>46218.577893518515</v>
      </c>
      <c r="L633" s="307">
        <v>46219.275995370372</v>
      </c>
      <c r="M633" s="307">
        <v>46219.275995370372</v>
      </c>
      <c r="N633" s="307">
        <v>46230.544409722221</v>
      </c>
      <c r="O633" s="307">
        <v>46220.544293981482</v>
      </c>
      <c r="P633" s="307">
        <v>46230.544409722221</v>
      </c>
      <c r="Q633" s="58" t="s">
        <v>1628</v>
      </c>
      <c r="R633" s="58" t="s">
        <v>267</v>
      </c>
      <c r="S633" s="58" t="s">
        <v>190</v>
      </c>
      <c r="U633" s="58" t="s">
        <v>371</v>
      </c>
      <c r="Z633" s="169">
        <f t="shared" ca="1" si="89"/>
        <v>0.71640046296670334</v>
      </c>
      <c r="AA633" s="170">
        <f t="shared" ca="1" si="90"/>
        <v>1.9104012345778756</v>
      </c>
      <c r="AB633" s="169">
        <f t="shared" ca="1" si="91"/>
        <v>0.58596064814870852</v>
      </c>
      <c r="AC633" s="170">
        <f t="shared" ca="1" si="92"/>
        <v>1.562561728396556</v>
      </c>
      <c r="AD633" s="169">
        <f t="shared" ca="1" si="93"/>
        <v>0</v>
      </c>
      <c r="AE633" s="169">
        <f t="shared" ca="1" si="96"/>
        <v>0.58596064814870852</v>
      </c>
      <c r="AF633" s="170">
        <f t="shared" ca="1" si="94"/>
        <v>1.562561728396556</v>
      </c>
      <c r="AG633" s="170">
        <f t="shared" ca="1" si="95"/>
        <v>1.562561728396556</v>
      </c>
      <c r="AH633" s="28" t="str" cm="1">
        <f t="array" aca="1" ref="AH633" ca="1">IF((AD633) &lt; (INDEX(ResponseSLA[#All],(MATCH((G633),ResponseSLA[Priority],0))+1,3)),"YES","No")</f>
        <v>YES</v>
      </c>
      <c r="AI633" s="28" t="str">
        <f ca="1">_xlfn.IFNA(IF(AE633 &lt; (INDEX(SLATable[Minimum SLA],MATCH(G633,SLATable[Priority],0))),"YES","NO"),"")</f>
        <v>YES</v>
      </c>
      <c r="AJ633" s="28" t="str">
        <f ca="1">_xlfn.IFNA(IF(AE633 &lt; (INDEX(SLATable[Maximum SLA],MATCH(G633,SLATable[Priority],0))),"YES","NO"),"")</f>
        <v>YES</v>
      </c>
    </row>
    <row r="634" spans="2:36" s="58" customFormat="1">
      <c r="B634" s="58" t="s">
        <v>26</v>
      </c>
      <c r="C634" s="58" t="s">
        <v>35</v>
      </c>
      <c r="D634" s="58" t="s">
        <v>207</v>
      </c>
      <c r="E634" s="58" t="s">
        <v>2340</v>
      </c>
      <c r="F634" s="58" t="s">
        <v>292</v>
      </c>
      <c r="G634" s="58">
        <v>4</v>
      </c>
      <c r="H634" s="127" t="s">
        <v>1598</v>
      </c>
      <c r="I634" s="58" t="s">
        <v>266</v>
      </c>
      <c r="J634" s="127" t="s">
        <v>1250</v>
      </c>
      <c r="K634" s="307">
        <v>46232.341273148151</v>
      </c>
      <c r="L634" s="310">
        <v>46232.341354166667</v>
      </c>
      <c r="M634" s="310">
        <v>46233.255902777775</v>
      </c>
      <c r="N634" s="310"/>
      <c r="O634" s="310">
        <v>46233.480543981481</v>
      </c>
      <c r="P634" s="307"/>
      <c r="Q634" s="58" t="s">
        <v>1073</v>
      </c>
      <c r="Z634" s="169">
        <f t="shared" ca="1" si="89"/>
        <v>7.417700925921964</v>
      </c>
      <c r="AA634" s="170">
        <f t="shared" ca="1" si="90"/>
        <v>19.780535802458573</v>
      </c>
      <c r="AB634" s="169">
        <f t="shared" ca="1" si="91"/>
        <v>0.51418981481401715</v>
      </c>
      <c r="AC634" s="170">
        <f t="shared" ca="1" si="92"/>
        <v>1.3711728395040457</v>
      </c>
      <c r="AD634" s="169">
        <f t="shared" ca="1" si="93"/>
        <v>0.36697916666647268</v>
      </c>
      <c r="AE634" s="169">
        <f t="shared" ca="1" si="96"/>
        <v>0.51418981481401715</v>
      </c>
      <c r="AF634" s="170">
        <f t="shared" ca="1" si="94"/>
        <v>1.3711728395040457</v>
      </c>
      <c r="AG634" s="170">
        <f t="shared" ca="1" si="95"/>
        <v>1.3711728395040457</v>
      </c>
      <c r="AH634" s="28" t="str" cm="1">
        <f t="array" aca="1" ref="AH634" ca="1">IF((AD634) &lt; (INDEX(ResponseSLA[#All],(MATCH((G634),ResponseSLA[Priority],0))+1,3)),"YES","No")</f>
        <v>No</v>
      </c>
      <c r="AI634" s="28" t="str">
        <f ca="1">_xlfn.IFNA(IF(AE634 &lt; (INDEX(SLATable[Minimum SLA],MATCH(G634,SLATable[Priority],0))),"YES","NO"),"")</f>
        <v>YES</v>
      </c>
      <c r="AJ634" s="28" t="str">
        <f ca="1">_xlfn.IFNA(IF(AE634 &lt; (INDEX(SLATable[Maximum SLA],MATCH(G634,SLATable[Priority],0))),"YES","NO"),"")</f>
        <v>YES</v>
      </c>
    </row>
    <row r="635" spans="2:36" s="58" customFormat="1">
      <c r="B635" s="58" t="s">
        <v>26</v>
      </c>
      <c r="C635" s="58" t="s">
        <v>35</v>
      </c>
      <c r="D635" s="58" t="s">
        <v>207</v>
      </c>
      <c r="E635" s="315" t="s">
        <v>2341</v>
      </c>
      <c r="F635" s="58" t="s">
        <v>295</v>
      </c>
      <c r="G635" s="58">
        <v>3</v>
      </c>
      <c r="H635" s="315" t="s">
        <v>2342</v>
      </c>
      <c r="I635" s="58" t="s">
        <v>271</v>
      </c>
      <c r="J635" s="127" t="s">
        <v>1250</v>
      </c>
      <c r="K635" s="307">
        <v>46217.120451388888</v>
      </c>
      <c r="L635" s="311">
        <v>46217.120729166665</v>
      </c>
      <c r="M635" s="311">
        <v>46217.26662037037</v>
      </c>
      <c r="N635" s="311">
        <v>46217.359398148146</v>
      </c>
      <c r="O635" s="307"/>
      <c r="P635" s="307"/>
      <c r="Q635" s="312" t="s">
        <v>1211</v>
      </c>
      <c r="R635" s="58" t="s">
        <v>267</v>
      </c>
      <c r="S635" s="58" t="s">
        <v>149</v>
      </c>
      <c r="U635" s="58" t="s">
        <v>371</v>
      </c>
      <c r="Z635" s="169">
        <f t="shared" ca="1" si="89"/>
        <v>2.6064814812950032E-2</v>
      </c>
      <c r="AA635" s="170">
        <f t="shared" ca="1" si="90"/>
        <v>6.950617283453342E-2</v>
      </c>
      <c r="AB635" s="169">
        <f t="shared" ca="1" si="91"/>
        <v>2.6064814812950032E-2</v>
      </c>
      <c r="AC635" s="170">
        <f t="shared" ca="1" si="92"/>
        <v>6.950617283453342E-2</v>
      </c>
      <c r="AD635" s="169">
        <f t="shared" ca="1" si="93"/>
        <v>0</v>
      </c>
      <c r="AE635" s="169">
        <f t="shared" ca="1" si="96"/>
        <v>2.6064814812950032E-2</v>
      </c>
      <c r="AF635" s="170">
        <f t="shared" ca="1" si="94"/>
        <v>6.950617283453342E-2</v>
      </c>
      <c r="AG635" s="170">
        <f t="shared" ca="1" si="95"/>
        <v>6.950617283453342E-2</v>
      </c>
      <c r="AH635" s="28" t="str" cm="1">
        <f t="array" aca="1" ref="AH635" ca="1">IF((AD635) &lt; (INDEX(ResponseSLA[#All],(MATCH((G635),ResponseSLA[Priority],0))+1,3)),"YES","No")</f>
        <v>YES</v>
      </c>
      <c r="AI635" s="28" t="str">
        <f ca="1">_xlfn.IFNA(IF(AE635 &lt; (INDEX(SLATable[Minimum SLA],MATCH(G635,SLATable[Priority],0))),"YES","NO"),"")</f>
        <v>YES</v>
      </c>
      <c r="AJ635" s="28" t="str">
        <f ca="1">_xlfn.IFNA(IF(AE635 &lt; (INDEX(SLATable[Maximum SLA],MATCH(G635,SLATable[Priority],0))),"YES","NO"),"")</f>
        <v>YES</v>
      </c>
    </row>
    <row r="636" spans="2:36" s="58" customFormat="1">
      <c r="B636" s="58" t="s">
        <v>26</v>
      </c>
      <c r="C636" s="58" t="s">
        <v>35</v>
      </c>
      <c r="D636" s="58" t="s">
        <v>207</v>
      </c>
      <c r="E636" s="315" t="s">
        <v>2343</v>
      </c>
      <c r="F636" s="58" t="s">
        <v>295</v>
      </c>
      <c r="G636" s="58">
        <v>3</v>
      </c>
      <c r="H636" s="315" t="s">
        <v>2342</v>
      </c>
      <c r="I636" s="58" t="s">
        <v>271</v>
      </c>
      <c r="J636" s="127" t="s">
        <v>1250</v>
      </c>
      <c r="K636" s="307">
        <v>46214.074178240742</v>
      </c>
      <c r="L636" s="311">
        <v>46214.074247685188</v>
      </c>
      <c r="M636" s="311">
        <v>46216.277118055557</v>
      </c>
      <c r="N636" s="311">
        <v>46216.533171296294</v>
      </c>
      <c r="O636" s="307"/>
      <c r="P636" s="307"/>
      <c r="Q636" s="312" t="s">
        <v>1211</v>
      </c>
      <c r="R636" s="58" t="s">
        <v>267</v>
      </c>
      <c r="S636" s="58" t="s">
        <v>149</v>
      </c>
      <c r="U636" s="58" t="s">
        <v>371</v>
      </c>
      <c r="Z636" s="169">
        <f t="shared" ca="1" si="89"/>
        <v>0.19983796296097961</v>
      </c>
      <c r="AA636" s="170">
        <f t="shared" ca="1" si="90"/>
        <v>0.53290123456261229</v>
      </c>
      <c r="AB636" s="169">
        <f t="shared" ca="1" si="91"/>
        <v>0.19983796296097961</v>
      </c>
      <c r="AC636" s="170">
        <f t="shared" ca="1" si="92"/>
        <v>0.53290123456261229</v>
      </c>
      <c r="AD636" s="169">
        <f t="shared" ca="1" si="93"/>
        <v>0</v>
      </c>
      <c r="AE636" s="169">
        <f t="shared" ca="1" si="96"/>
        <v>0.19983796296097961</v>
      </c>
      <c r="AF636" s="170">
        <f t="shared" ca="1" si="94"/>
        <v>0.53290123456261229</v>
      </c>
      <c r="AG636" s="170">
        <f t="shared" ca="1" si="95"/>
        <v>0.53290123456261229</v>
      </c>
      <c r="AH636" s="28" t="str" cm="1">
        <f t="array" aca="1" ref="AH636" ca="1">IF((AD636) &lt; (INDEX(ResponseSLA[#All],(MATCH((G636),ResponseSLA[Priority],0))+1,3)),"YES","No")</f>
        <v>YES</v>
      </c>
      <c r="AI636" s="28" t="str">
        <f ca="1">_xlfn.IFNA(IF(AE636 &lt; (INDEX(SLATable[Minimum SLA],MATCH(G636,SLATable[Priority],0))),"YES","NO"),"")</f>
        <v>YES</v>
      </c>
      <c r="AJ636" s="28" t="str">
        <f ca="1">_xlfn.IFNA(IF(AE636 &lt; (INDEX(SLATable[Maximum SLA],MATCH(G636,SLATable[Priority],0))),"YES","NO"),"")</f>
        <v>YES</v>
      </c>
    </row>
    <row r="637" spans="2:36" s="58" customFormat="1">
      <c r="B637" s="58" t="s">
        <v>26</v>
      </c>
      <c r="C637" s="58" t="s">
        <v>35</v>
      </c>
      <c r="D637" s="58" t="s">
        <v>207</v>
      </c>
      <c r="E637" s="315" t="s">
        <v>2344</v>
      </c>
      <c r="F637" s="58" t="s">
        <v>295</v>
      </c>
      <c r="G637" s="58">
        <v>3</v>
      </c>
      <c r="H637" s="315" t="s">
        <v>2342</v>
      </c>
      <c r="I637" s="58" t="s">
        <v>271</v>
      </c>
      <c r="J637" s="127" t="s">
        <v>1250</v>
      </c>
      <c r="K637" s="307">
        <v>46207.095011574071</v>
      </c>
      <c r="L637" s="311">
        <v>46207.095069444447</v>
      </c>
      <c r="M637" s="311">
        <v>46209.27547453704</v>
      </c>
      <c r="N637" s="311">
        <v>46209.280543981484</v>
      </c>
      <c r="O637" s="307"/>
      <c r="P637" s="307"/>
      <c r="Q637" s="312" t="s">
        <v>1211</v>
      </c>
      <c r="R637" s="58" t="s">
        <v>267</v>
      </c>
      <c r="S637" s="58" t="s">
        <v>149</v>
      </c>
      <c r="U637" s="58" t="s">
        <v>371</v>
      </c>
      <c r="Z637" s="169">
        <f t="shared" ca="1" si="89"/>
        <v>0</v>
      </c>
      <c r="AA637" s="170">
        <f t="shared" ca="1" si="90"/>
        <v>0</v>
      </c>
      <c r="AB637" s="169">
        <f t="shared" ca="1" si="91"/>
        <v>0</v>
      </c>
      <c r="AC637" s="170">
        <f t="shared" ca="1" si="92"/>
        <v>0</v>
      </c>
      <c r="AD637" s="169">
        <f t="shared" ca="1" si="93"/>
        <v>0</v>
      </c>
      <c r="AE637" s="169">
        <f t="shared" ca="1" si="96"/>
        <v>0</v>
      </c>
      <c r="AF637" s="170">
        <f t="shared" ca="1" si="94"/>
        <v>0</v>
      </c>
      <c r="AG637" s="170">
        <f t="shared" ca="1" si="95"/>
        <v>0</v>
      </c>
      <c r="AH637" s="28" t="str" cm="1">
        <f t="array" aca="1" ref="AH637" ca="1">IF((AD637) &lt; (INDEX(ResponseSLA[#All],(MATCH((G637),ResponseSLA[Priority],0))+1,3)),"YES","No")</f>
        <v>YES</v>
      </c>
      <c r="AI637" s="28" t="str">
        <f ca="1">_xlfn.IFNA(IF(AE637 &lt; (INDEX(SLATable[Minimum SLA],MATCH(G637,SLATable[Priority],0))),"YES","NO"),"")</f>
        <v>YES</v>
      </c>
      <c r="AJ637" s="28" t="str">
        <f ca="1">_xlfn.IFNA(IF(AE637 &lt; (INDEX(SLATable[Maximum SLA],MATCH(G637,SLATable[Priority],0))),"YES","NO"),"")</f>
        <v>YES</v>
      </c>
    </row>
    <row r="638" spans="2:36" s="58" customFormat="1">
      <c r="B638" s="58" t="s">
        <v>26</v>
      </c>
      <c r="C638" s="58" t="s">
        <v>35</v>
      </c>
      <c r="D638" s="58" t="s">
        <v>207</v>
      </c>
      <c r="E638" s="315" t="s">
        <v>2345</v>
      </c>
      <c r="F638" s="58" t="s">
        <v>295</v>
      </c>
      <c r="G638" s="58">
        <v>3</v>
      </c>
      <c r="H638" s="315" t="s">
        <v>1210</v>
      </c>
      <c r="I638" s="58" t="s">
        <v>271</v>
      </c>
      <c r="J638" s="127" t="s">
        <v>1250</v>
      </c>
      <c r="K638" s="307">
        <v>46210.093344907407</v>
      </c>
      <c r="L638" s="311">
        <v>46210.093449074076</v>
      </c>
      <c r="M638" s="311">
        <v>46210.300706018519</v>
      </c>
      <c r="N638" s="311">
        <v>46210.307604166665</v>
      </c>
      <c r="O638" s="307"/>
      <c r="P638" s="307"/>
      <c r="Q638" s="312" t="s">
        <v>1211</v>
      </c>
      <c r="R638" s="58" t="s">
        <v>267</v>
      </c>
      <c r="S638" s="58" t="s">
        <v>149</v>
      </c>
      <c r="U638" s="58" t="s">
        <v>371</v>
      </c>
      <c r="Z638" s="169">
        <f t="shared" ca="1" si="89"/>
        <v>0</v>
      </c>
      <c r="AA638" s="170">
        <f t="shared" ca="1" si="90"/>
        <v>0</v>
      </c>
      <c r="AB638" s="169">
        <f t="shared" ca="1" si="91"/>
        <v>0</v>
      </c>
      <c r="AC638" s="170">
        <f t="shared" ca="1" si="92"/>
        <v>0</v>
      </c>
      <c r="AD638" s="169">
        <f t="shared" ca="1" si="93"/>
        <v>0</v>
      </c>
      <c r="AE638" s="169">
        <f t="shared" ca="1" si="96"/>
        <v>0</v>
      </c>
      <c r="AF638" s="170">
        <f t="shared" ca="1" si="94"/>
        <v>0</v>
      </c>
      <c r="AG638" s="170">
        <f t="shared" ca="1" si="95"/>
        <v>0</v>
      </c>
      <c r="AH638" s="28" t="str" cm="1">
        <f t="array" aca="1" ref="AH638" ca="1">IF((AD638) &lt; (INDEX(ResponseSLA[#All],(MATCH((G638),ResponseSLA[Priority],0))+1,3)),"YES","No")</f>
        <v>YES</v>
      </c>
      <c r="AI638" s="28" t="str">
        <f ca="1">_xlfn.IFNA(IF(AE638 &lt; (INDEX(SLATable[Minimum SLA],MATCH(G638,SLATable[Priority],0))),"YES","NO"),"")</f>
        <v>YES</v>
      </c>
      <c r="AJ638" s="28" t="str">
        <f ca="1">_xlfn.IFNA(IF(AE638 &lt; (INDEX(SLATable[Maximum SLA],MATCH(G638,SLATable[Priority],0))),"YES","NO"),"")</f>
        <v>YES</v>
      </c>
    </row>
    <row r="639" spans="2:36" s="58" customFormat="1">
      <c r="B639" s="58" t="s">
        <v>26</v>
      </c>
      <c r="C639" s="58" t="s">
        <v>35</v>
      </c>
      <c r="D639" s="58" t="s">
        <v>207</v>
      </c>
      <c r="E639" s="315" t="s">
        <v>2346</v>
      </c>
      <c r="F639" s="58" t="s">
        <v>295</v>
      </c>
      <c r="G639" s="58">
        <v>3</v>
      </c>
      <c r="H639" s="315" t="s">
        <v>1210</v>
      </c>
      <c r="I639" s="58" t="s">
        <v>271</v>
      </c>
      <c r="J639" s="127" t="s">
        <v>1250</v>
      </c>
      <c r="K639" s="307">
        <v>46211.091504629629</v>
      </c>
      <c r="L639" s="311">
        <v>46211.091608796298</v>
      </c>
      <c r="M639" s="311">
        <v>46211.225104166668</v>
      </c>
      <c r="N639" s="311">
        <v>46211.329305555555</v>
      </c>
      <c r="O639" s="307"/>
      <c r="P639" s="307"/>
      <c r="Q639" s="312" t="s">
        <v>1211</v>
      </c>
      <c r="R639" s="58" t="s">
        <v>267</v>
      </c>
      <c r="S639" s="58" t="s">
        <v>149</v>
      </c>
      <c r="U639" s="58" t="s">
        <v>371</v>
      </c>
      <c r="Z639" s="169">
        <f t="shared" ca="1" si="89"/>
        <v>0</v>
      </c>
      <c r="AA639" s="170">
        <f t="shared" ca="1" si="90"/>
        <v>0</v>
      </c>
      <c r="AB639" s="169">
        <f t="shared" ca="1" si="91"/>
        <v>0</v>
      </c>
      <c r="AC639" s="170">
        <f t="shared" ca="1" si="92"/>
        <v>0</v>
      </c>
      <c r="AD639" s="169">
        <f t="shared" ca="1" si="93"/>
        <v>0</v>
      </c>
      <c r="AE639" s="169">
        <f t="shared" ca="1" si="96"/>
        <v>0</v>
      </c>
      <c r="AF639" s="170">
        <f t="shared" ca="1" si="94"/>
        <v>0</v>
      </c>
      <c r="AG639" s="170">
        <f t="shared" ca="1" si="95"/>
        <v>0</v>
      </c>
      <c r="AH639" s="28" t="str" cm="1">
        <f t="array" aca="1" ref="AH639" ca="1">IF((AD639) &lt; (INDEX(ResponseSLA[#All],(MATCH((G639),ResponseSLA[Priority],0))+1,3)),"YES","No")</f>
        <v>YES</v>
      </c>
      <c r="AI639" s="28" t="str">
        <f ca="1">_xlfn.IFNA(IF(AE639 &lt; (INDEX(SLATable[Minimum SLA],MATCH(G639,SLATable[Priority],0))),"YES","NO"),"")</f>
        <v>YES</v>
      </c>
      <c r="AJ639" s="28" t="str">
        <f ca="1">_xlfn.IFNA(IF(AE639 &lt; (INDEX(SLATable[Maximum SLA],MATCH(G639,SLATable[Priority],0))),"YES","NO"),"")</f>
        <v>YES</v>
      </c>
    </row>
    <row r="640" spans="2:36" s="58" customFormat="1">
      <c r="B640" s="58" t="s">
        <v>26</v>
      </c>
      <c r="C640" s="58" t="s">
        <v>35</v>
      </c>
      <c r="D640" s="58" t="s">
        <v>207</v>
      </c>
      <c r="E640" s="315" t="s">
        <v>2347</v>
      </c>
      <c r="F640" s="58" t="s">
        <v>295</v>
      </c>
      <c r="G640" s="58">
        <v>3</v>
      </c>
      <c r="H640" s="315" t="s">
        <v>1210</v>
      </c>
      <c r="I640" s="58" t="s">
        <v>271</v>
      </c>
      <c r="J640" s="127" t="s">
        <v>1250</v>
      </c>
      <c r="K640" s="307">
        <v>46212.09337962963</v>
      </c>
      <c r="L640" s="311">
        <v>46212.093576388892</v>
      </c>
      <c r="M640" s="311">
        <v>46212.260844907411</v>
      </c>
      <c r="N640" s="311">
        <v>46212.355578703704</v>
      </c>
      <c r="O640" s="307"/>
      <c r="P640" s="307"/>
      <c r="Q640" s="312" t="s">
        <v>1211</v>
      </c>
      <c r="R640" s="58" t="s">
        <v>267</v>
      </c>
      <c r="S640" s="58" t="s">
        <v>149</v>
      </c>
      <c r="U640" s="58" t="s">
        <v>371</v>
      </c>
      <c r="Z640" s="169">
        <f t="shared" ca="1" si="89"/>
        <v>2.2245370370607531E-2</v>
      </c>
      <c r="AA640" s="170">
        <f t="shared" ca="1" si="90"/>
        <v>5.9320987654953417E-2</v>
      </c>
      <c r="AB640" s="169">
        <f t="shared" ca="1" si="91"/>
        <v>2.2245370370607531E-2</v>
      </c>
      <c r="AC640" s="170">
        <f t="shared" ca="1" si="92"/>
        <v>5.9320987654953417E-2</v>
      </c>
      <c r="AD640" s="169">
        <f t="shared" ca="1" si="93"/>
        <v>0</v>
      </c>
      <c r="AE640" s="169">
        <f t="shared" ca="1" si="96"/>
        <v>2.2245370370607531E-2</v>
      </c>
      <c r="AF640" s="170">
        <f t="shared" ca="1" si="94"/>
        <v>5.9320987654953417E-2</v>
      </c>
      <c r="AG640" s="170">
        <f t="shared" ca="1" si="95"/>
        <v>5.9320987654953417E-2</v>
      </c>
      <c r="AH640" s="28" t="str" cm="1">
        <f t="array" aca="1" ref="AH640" ca="1">IF((AD640) &lt; (INDEX(ResponseSLA[#All],(MATCH((G640),ResponseSLA[Priority],0))+1,3)),"YES","No")</f>
        <v>YES</v>
      </c>
      <c r="AI640" s="28" t="str">
        <f ca="1">_xlfn.IFNA(IF(AE640 &lt; (INDEX(SLATable[Minimum SLA],MATCH(G640,SLATable[Priority],0))),"YES","NO"),"")</f>
        <v>YES</v>
      </c>
      <c r="AJ640" s="28" t="str">
        <f ca="1">_xlfn.IFNA(IF(AE640 &lt; (INDEX(SLATable[Maximum SLA],MATCH(G640,SLATable[Priority],0))),"YES","NO"),"")</f>
        <v>YES</v>
      </c>
    </row>
    <row r="641" spans="2:36" s="58" customFormat="1">
      <c r="B641" s="58" t="s">
        <v>26</v>
      </c>
      <c r="C641" s="58" t="s">
        <v>35</v>
      </c>
      <c r="D641" s="58" t="s">
        <v>207</v>
      </c>
      <c r="E641" s="315" t="s">
        <v>2348</v>
      </c>
      <c r="F641" s="58" t="s">
        <v>295</v>
      </c>
      <c r="G641" s="58">
        <v>3</v>
      </c>
      <c r="H641" s="315" t="s">
        <v>1210</v>
      </c>
      <c r="I641" s="58" t="s">
        <v>271</v>
      </c>
      <c r="J641" s="127" t="s">
        <v>1250</v>
      </c>
      <c r="K641" s="307">
        <v>46216.091967592591</v>
      </c>
      <c r="L641" s="311">
        <v>46216.092060185183</v>
      </c>
      <c r="M641" s="311">
        <v>46216.278726851851</v>
      </c>
      <c r="N641" s="311">
        <v>46216.534097222226</v>
      </c>
      <c r="O641" s="307"/>
      <c r="P641" s="307"/>
      <c r="Q641" s="312" t="s">
        <v>1211</v>
      </c>
      <c r="R641" s="58" t="s">
        <v>267</v>
      </c>
      <c r="S641" s="58" t="s">
        <v>149</v>
      </c>
      <c r="U641" s="58" t="s">
        <v>371</v>
      </c>
      <c r="Z641" s="169">
        <f t="shared" ca="1" si="89"/>
        <v>0.20076388889234903</v>
      </c>
      <c r="AA641" s="170">
        <f t="shared" ca="1" si="90"/>
        <v>0.53537037037959734</v>
      </c>
      <c r="AB641" s="169">
        <f t="shared" ca="1" si="91"/>
        <v>0.20076388889234903</v>
      </c>
      <c r="AC641" s="170">
        <f t="shared" ca="1" si="92"/>
        <v>0.53537037037959734</v>
      </c>
      <c r="AD641" s="169">
        <f t="shared" ca="1" si="93"/>
        <v>0</v>
      </c>
      <c r="AE641" s="169">
        <f t="shared" ca="1" si="96"/>
        <v>0.20076388889234903</v>
      </c>
      <c r="AF641" s="170">
        <f t="shared" ca="1" si="94"/>
        <v>0.53537037037959734</v>
      </c>
      <c r="AG641" s="170">
        <f t="shared" ca="1" si="95"/>
        <v>0.53537037037959734</v>
      </c>
      <c r="AH641" s="28" t="str" cm="1">
        <f t="array" aca="1" ref="AH641" ca="1">IF((AD641) &lt; (INDEX(ResponseSLA[#All],(MATCH((G641),ResponseSLA[Priority],0))+1,3)),"YES","No")</f>
        <v>YES</v>
      </c>
      <c r="AI641" s="28" t="str">
        <f ca="1">_xlfn.IFNA(IF(AE641 &lt; (INDEX(SLATable[Minimum SLA],MATCH(G641,SLATable[Priority],0))),"YES","NO"),"")</f>
        <v>YES</v>
      </c>
      <c r="AJ641" s="28" t="str">
        <f ca="1">_xlfn.IFNA(IF(AE641 &lt; (INDEX(SLATable[Maximum SLA],MATCH(G641,SLATable[Priority],0))),"YES","NO"),"")</f>
        <v>YES</v>
      </c>
    </row>
    <row r="642" spans="2:36" s="58" customFormat="1">
      <c r="B642" s="58" t="s">
        <v>26</v>
      </c>
      <c r="C642" s="58" t="s">
        <v>35</v>
      </c>
      <c r="D642" s="58" t="s">
        <v>207</v>
      </c>
      <c r="E642" s="315" t="s">
        <v>1842</v>
      </c>
      <c r="F642" s="58" t="s">
        <v>295</v>
      </c>
      <c r="G642" s="58">
        <v>3</v>
      </c>
      <c r="H642" s="315" t="s">
        <v>1843</v>
      </c>
      <c r="I642" s="58" t="s">
        <v>271</v>
      </c>
      <c r="J642" s="127" t="s">
        <v>1250</v>
      </c>
      <c r="K642" s="311">
        <v>46198.118587962963</v>
      </c>
      <c r="L642" s="311">
        <v>46198.163217592592</v>
      </c>
      <c r="M642" s="311">
        <v>46198.343692129631</v>
      </c>
      <c r="N642" s="311">
        <v>46204.3675</v>
      </c>
      <c r="O642" s="307"/>
      <c r="P642" s="307"/>
      <c r="Q642" s="312" t="s">
        <v>695</v>
      </c>
      <c r="R642" s="58" t="s">
        <v>267</v>
      </c>
      <c r="S642" s="58" t="s">
        <v>193</v>
      </c>
      <c r="U642" s="58" t="s">
        <v>371</v>
      </c>
      <c r="Z642" s="169">
        <f t="shared" ca="1" si="89"/>
        <v>1.534166666666958</v>
      </c>
      <c r="AA642" s="170">
        <f t="shared" ca="1" si="90"/>
        <v>4.0911111111118883</v>
      </c>
      <c r="AB642" s="169">
        <f t="shared" ca="1" si="91"/>
        <v>1.534166666666958</v>
      </c>
      <c r="AC642" s="170">
        <f t="shared" ca="1" si="92"/>
        <v>4.0911111111118883</v>
      </c>
      <c r="AD642" s="169">
        <f t="shared" ca="1" si="93"/>
        <v>1.0358796297320338E-2</v>
      </c>
      <c r="AE642" s="169">
        <f t="shared" ca="1" si="96"/>
        <v>17.959807523145482</v>
      </c>
      <c r="AF642" s="170">
        <f t="shared" ca="1" si="94"/>
        <v>47.892820061721281</v>
      </c>
      <c r="AG642" s="170">
        <f t="shared" ca="1" si="95"/>
        <v>47.892820061721281</v>
      </c>
      <c r="AH642" s="28" t="str" cm="1">
        <f t="array" aca="1" ref="AH642" ca="1">IF((AD642) &lt; (INDEX(ResponseSLA[#All],(MATCH((G642),ResponseSLA[Priority],0))+1,3)),"YES","No")</f>
        <v>YES</v>
      </c>
      <c r="AI642" s="28" t="str">
        <f ca="1">_xlfn.IFNA(IF(AE642 &lt; (INDEX(SLATable[Minimum SLA],MATCH(G642,SLATable[Priority],0))),"YES","NO"),"")</f>
        <v>NO</v>
      </c>
      <c r="AJ642" s="28" t="str">
        <f ca="1">_xlfn.IFNA(IF(AE642 &lt; (INDEX(SLATable[Maximum SLA],MATCH(G642,SLATable[Priority],0))),"YES","NO"),"")</f>
        <v>NO</v>
      </c>
    </row>
    <row r="643" spans="2:36" s="58" customFormat="1">
      <c r="B643" s="58" t="s">
        <v>26</v>
      </c>
      <c r="C643" s="58" t="s">
        <v>35</v>
      </c>
      <c r="D643" s="58" t="s">
        <v>207</v>
      </c>
      <c r="E643" s="315" t="s">
        <v>1844</v>
      </c>
      <c r="F643" s="58" t="s">
        <v>295</v>
      </c>
      <c r="G643" s="58">
        <v>3</v>
      </c>
      <c r="H643" s="315" t="s">
        <v>820</v>
      </c>
      <c r="I643" s="58" t="s">
        <v>271</v>
      </c>
      <c r="J643" s="127" t="s">
        <v>1250</v>
      </c>
      <c r="K643" s="311">
        <v>46196.118587962963</v>
      </c>
      <c r="L643" s="311">
        <v>46196.118657407409</v>
      </c>
      <c r="M643" s="311">
        <v>46197.283101851855</v>
      </c>
      <c r="N643" s="311">
        <v>46204.368923611109</v>
      </c>
      <c r="O643" s="307"/>
      <c r="P643" s="307"/>
      <c r="Q643" s="312" t="s">
        <v>695</v>
      </c>
      <c r="R643" s="58" t="s">
        <v>267</v>
      </c>
      <c r="S643" s="58" t="s">
        <v>193</v>
      </c>
      <c r="U643" s="58" t="s">
        <v>371</v>
      </c>
      <c r="Z643" s="169">
        <f t="shared" ca="1" si="89"/>
        <v>2.2855902777761612</v>
      </c>
      <c r="AA643" s="170">
        <f t="shared" ca="1" si="90"/>
        <v>6.0949074074030962</v>
      </c>
      <c r="AB643" s="169">
        <f t="shared" ca="1" si="91"/>
        <v>2.2855902777761612</v>
      </c>
      <c r="AC643" s="170">
        <f t="shared" ca="1" si="92"/>
        <v>6.0949074074030962</v>
      </c>
      <c r="AD643" s="169">
        <f t="shared" ca="1" si="93"/>
        <v>0.37500000000000006</v>
      </c>
      <c r="AE643" s="169">
        <f t="shared" ca="1" si="96"/>
        <v>19.461231134254685</v>
      </c>
      <c r="AF643" s="170">
        <f t="shared" ca="1" si="94"/>
        <v>51.896616358012494</v>
      </c>
      <c r="AG643" s="170">
        <f t="shared" ca="1" si="95"/>
        <v>51.896616358012494</v>
      </c>
      <c r="AH643" s="28" t="str" cm="1">
        <f t="array" aca="1" ref="AH643" ca="1">IF((AD643) &lt; (INDEX(ResponseSLA[#All],(MATCH((G643),ResponseSLA[Priority],0))+1,3)),"YES","No")</f>
        <v>No</v>
      </c>
      <c r="AI643" s="28" t="str">
        <f ca="1">_xlfn.IFNA(IF(AE643 &lt; (INDEX(SLATable[Minimum SLA],MATCH(G643,SLATable[Priority],0))),"YES","NO"),"")</f>
        <v>NO</v>
      </c>
      <c r="AJ643" s="28" t="str">
        <f ca="1">_xlfn.IFNA(IF(AE643 &lt; (INDEX(SLATable[Maximum SLA],MATCH(G643,SLATable[Priority],0))),"YES","NO"),"")</f>
        <v>NO</v>
      </c>
    </row>
    <row r="644" spans="2:36" s="58" customFormat="1">
      <c r="B644" s="58" t="s">
        <v>26</v>
      </c>
      <c r="C644" s="58" t="s">
        <v>35</v>
      </c>
      <c r="D644" s="58" t="s">
        <v>207</v>
      </c>
      <c r="E644" s="315" t="s">
        <v>1845</v>
      </c>
      <c r="F644" s="58" t="s">
        <v>295</v>
      </c>
      <c r="G644" s="58">
        <v>3</v>
      </c>
      <c r="H644" s="315" t="s">
        <v>1773</v>
      </c>
      <c r="I644" s="58" t="s">
        <v>271</v>
      </c>
      <c r="J644" s="127" t="s">
        <v>1250</v>
      </c>
      <c r="K644" s="311">
        <v>46197.118576388886</v>
      </c>
      <c r="L644" s="311">
        <v>46197.118645833332</v>
      </c>
      <c r="M644" s="311">
        <v>46197.285393518519</v>
      </c>
      <c r="N644" s="311">
        <v>46204.370092592595</v>
      </c>
      <c r="O644" s="307"/>
      <c r="P644" s="307"/>
      <c r="Q644" s="312" t="s">
        <v>695</v>
      </c>
      <c r="R644" s="58" t="s">
        <v>267</v>
      </c>
      <c r="S644" s="58" t="s">
        <v>193</v>
      </c>
      <c r="U644" s="58" t="s">
        <v>371</v>
      </c>
      <c r="Z644" s="169">
        <f t="shared" ca="1" si="89"/>
        <v>1.9117592592616954</v>
      </c>
      <c r="AA644" s="170">
        <f t="shared" ca="1" si="90"/>
        <v>5.0980246913645209</v>
      </c>
      <c r="AB644" s="169">
        <f t="shared" ca="1" si="91"/>
        <v>1.9117592592616954</v>
      </c>
      <c r="AC644" s="170">
        <f t="shared" ca="1" si="92"/>
        <v>5.0980246913645209</v>
      </c>
      <c r="AD644" s="169">
        <f t="shared" ca="1" si="93"/>
        <v>0</v>
      </c>
      <c r="AE644" s="169">
        <f t="shared" ca="1" si="96"/>
        <v>18.71240011574022</v>
      </c>
      <c r="AF644" s="170">
        <f t="shared" ca="1" si="94"/>
        <v>49.899733641973917</v>
      </c>
      <c r="AG644" s="170">
        <f t="shared" ca="1" si="95"/>
        <v>49.899733641973917</v>
      </c>
      <c r="AH644" s="28" t="str" cm="1">
        <f t="array" aca="1" ref="AH644" ca="1">IF((AD644) &lt; (INDEX(ResponseSLA[#All],(MATCH((G644),ResponseSLA[Priority],0))+1,3)),"YES","No")</f>
        <v>YES</v>
      </c>
      <c r="AI644" s="28" t="str">
        <f ca="1">_xlfn.IFNA(IF(AE644 &lt; (INDEX(SLATable[Minimum SLA],MATCH(G644,SLATable[Priority],0))),"YES","NO"),"")</f>
        <v>NO</v>
      </c>
      <c r="AJ644" s="28" t="str">
        <f ca="1">_xlfn.IFNA(IF(AE644 &lt; (INDEX(SLATable[Maximum SLA],MATCH(G644,SLATable[Priority],0))),"YES","NO"),"")</f>
        <v>NO</v>
      </c>
    </row>
    <row r="645" spans="2:36" s="58" customFormat="1">
      <c r="B645" s="58" t="s">
        <v>26</v>
      </c>
      <c r="C645" s="58" t="s">
        <v>35</v>
      </c>
      <c r="D645" s="58" t="s">
        <v>207</v>
      </c>
      <c r="E645" s="315" t="s">
        <v>2349</v>
      </c>
      <c r="F645" s="58" t="s">
        <v>292</v>
      </c>
      <c r="G645" s="58">
        <v>3</v>
      </c>
      <c r="H645" s="315" t="s">
        <v>2350</v>
      </c>
      <c r="I645" s="58" t="s">
        <v>271</v>
      </c>
      <c r="J645" s="127" t="s">
        <v>1250</v>
      </c>
      <c r="K645" s="311">
        <v>46199.636701388888</v>
      </c>
      <c r="L645" s="311">
        <v>46199.64634259259</v>
      </c>
      <c r="M645" s="311">
        <v>46206.439212962963</v>
      </c>
      <c r="N645" s="311">
        <v>46206.459837962961</v>
      </c>
      <c r="O645" s="307"/>
      <c r="P645" s="307"/>
      <c r="Q645" s="312" t="s">
        <v>1073</v>
      </c>
      <c r="R645" s="58" t="s">
        <v>267</v>
      </c>
      <c r="S645" s="58" t="s">
        <v>149</v>
      </c>
      <c r="U645" s="58" t="s">
        <v>371</v>
      </c>
      <c r="Z645" s="169">
        <f t="shared" ref="Z645:Z771" ca="1" si="97">IF(NOT(OR(G645=1,G645=2)),MAX(0,_xlfn.IFS(AND(K645&lt;&gt;"",N645&lt;&gt;""),((MAX(NETWORKDAYS(K645,N645,UKBankHolidays)-1,0))*(TIME(17,0,0)-TIME(8,0,0))+IF(NETWORKDAYS(N645,N645,UKBankHolidays)&gt;0,MEDIAN(TIME(8,0,0),MOD(N645,1),TIME(17,0,0)),TIME(8,0,0))-IF(NETWORKDAYS(K645,K645,UKBankHolidays)&gt;0,MEDIAN(TIME(8,0,0),MOD(K645,1),TIME(17,0,0)),TIME(8,0,0)))-IF(AND(O645&lt;&gt;"",P645&lt;&gt;""),((MAX(NETWORKDAYS(O645,P645,UKBankHolidays)-1,0))*(TIME(17,0,0)-TIME(8,0,0))+IF(NETWORKDAYS(P645,P645,UKBankHolidays)&gt;0,MEDIAN(TIME(8,0,0),MOD(P645,1),TIME(17,0,0)),TIME(8,0,0))-IF(NETWORKDAYS(O645,O645,UKBankHolidays)&gt;0,MEDIAN(TIME(8,0,0),MOD(O645,1),TIME(17,0,0)),TIME(8,0,0))),0),AND(K645&lt;&gt;"",N645=""),((MAX(NETWORKDAYS(K645,NOW(),UKBankHolidays)-1,0))*(TIME(17,0,0)-TIME(8,0,0))+IF(NETWORKDAYS(NOW(),NOW(),UKBankHolidays)&gt;0,MEDIAN(TIME(8,0,0),MOD(NOW(),1),TIME(17,0,0)),TIME(8,0,0))-IF(NETWORKDAYS(K645,K645,UKBankHolidays)&gt;0,MEDIAN(TIME(8,0,0),MOD(K645,1),TIME(17,0,0)),TIME(8,0,0))))),IF(N645="",NOW()-K645,N645-K645))</f>
        <v>1.698136574072123</v>
      </c>
      <c r="AA645" s="170">
        <f t="shared" ref="AA645:AA771" ca="1" si="98">(Z645*24)/9</f>
        <v>4.5283641975256614</v>
      </c>
      <c r="AB645" s="169">
        <f t="shared" ref="AB645:AB771" ca="1" si="99">IF(NOT(OR(G645=1,G645=2)),MAX(0,_xlfn.IFS(AND(K645&lt;&gt;"",N645&lt;&gt;""),(((MAX(NETWORKDAYS(L645,N645,UKBankHolidays)-1,0))*(TIME(17,0,0)-TIME(8,0,0)))+IF(NETWORKDAYS(N645,N645,UKBankHolidays)&gt;0,MEDIAN(TIME(8,0,0),MOD(N645,1),TIME(17,0,0)),TIME(8,0,0))-IF(NETWORKDAYS(L645,L645,UKBankHolidays)&gt;0,MEDIAN(TIME(8,0,0),MOD(L645,1),TIME(17,0,0)),TIME(8,0,0)))-IF(AND(O645&lt;&gt;"",P645&lt;&gt;""),(((MAX(NETWORKDAYS(O645,P645,UKBankHolidays)-1,0))*(TIME(17,0,0)-TIME(8,0,0)))+IF(NETWORKDAYS(P645,P645,UKBankHolidays)&gt;0,MEDIAN(TIME(8,0,0),MOD(P645,1),TIME(17,0,0)),TIME(8,0,0))-IF(NETWORKDAYS(O645,O645,UKBankHolidays)&gt;0,MEDIAN(TIME(8,0,0),MOD(O645,1),TIME(17,0,0)),TIME(8,0,0))),0),AND(L645&lt;&gt;"",N645="",O645=""),(((MAX(NETWORKDAYS(L645,NOW(),UKBankHolidays)-1,0))*(TIME(17,0,0)-TIME(8,0,0)))+IF(NETWORKDAYS(NOW(),NOW(),UKBankHolidays)&gt;0,MEDIAN(TIME(8,0,0),MOD(NOW(),1),TIME(17,0,0)),TIME(8,0,0))-IF(NETWORKDAYS(L645,L645,UKBankHolidays)&gt;0,MEDIAN(TIME(8,0,0),MOD(L645,1),TIME(17,0,0)),TIME(8,0,0)))-IF(AND(O645&lt;&gt;"",P645&lt;&gt;""),(((MAX(NETWORKDAYS(O645,P645,UKBankHolidays)-1,0))*(TIME(17,0,0)-TIME(8,0,0)))+IF(NETWORKDAYS(P645,P645,UKBankHolidays)&gt;0,MEDIAN(TIME(8,0,0),MOD(P645,1),TIME(17,0,0)),TIME(8,0,0))-IF(NETWORKDAYS(O645,O645,UKBankHolidays)&gt;0,MEDIAN(TIME(8,0,0),MOD(O645,1),TIME(17,0,0)),TIME(8,0,0))),0),AND(L645&lt;&gt;"",N645="",P645="",O645&lt;&gt;""),(((MAX(NETWORKDAYS(L645,O645,UKBankHolidays)-1,0))*(TIME(17,0,0)-TIME(8,0,0)))+IF(NETWORKDAYS(O645,O645,UKBankHolidays)&gt;0,MEDIAN(TIME(8,0,0),MOD(O645,1),TIME(17,0,0)),TIME(8,0,0))-IF(NETWORKDAYS(L645,L645,UKBankHolidays)&gt;0,MEDIAN(TIME(8,0,0),MOD(L645,1),TIME(17,0,0)),TIME(8,0,0))),ISBLANK(K645),"0")),IF(ISBLANK(N645),NOW()-L645,N645-L645))</f>
        <v>1.6884953703702195</v>
      </c>
      <c r="AC645" s="170">
        <f t="shared" ref="AC645:AC771" ca="1" si="100">(AB645*24)/9</f>
        <v>4.5026543209872516</v>
      </c>
      <c r="AD645" s="169">
        <f t="shared" ref="AD645:AD771" ca="1" si="101">MAX(0,IF(NOT(OR(G645=1,G645=2)),IF(M645&lt;&gt;"",((MAX(NETWORKDAYS(L645,M645,UKBankHolidays)-1,0))*(TIME(17,0,0)-TIME(8,0,0))+IF(NETWORKDAYS(M645,M645,UKBankHolidays)&gt;0,MEDIAN(TIME(8,0,0),MOD(M645,1),TIME(17,0,0)),TIME(8,0,0))-MEDIAN(TIME(8,0,0),MOD(L645,1),TIME(17,0,0))),((MAX(NETWORKDAYS(L645,NOW(),UKBankHolidays)-1,0))*(TIME(17,0,0)-TIME(8,0,0))+IF(NETWORKDAYS(NOW(),NOW(),UKBankHolidays)&gt;0,MEDIAN(TIME(8,0,0),MOD(NOW(),1),TIME(17,0,0)),TIME(8,0,0))-MEDIAN(TIME(8,0,0),MOD(L645,1),TIME(17,0,0)))),IF(M645&lt;&gt;"",M645-L645,NOW()-L645)))</f>
        <v>1.6678703703728388</v>
      </c>
      <c r="AE645" s="169">
        <f t="shared" ca="1" si="96"/>
        <v>1.6884953703702195</v>
      </c>
      <c r="AF645" s="170">
        <f t="shared" ref="AF645:AF771" ca="1" si="102">(AE645*24)/9</f>
        <v>4.5026543209872516</v>
      </c>
      <c r="AG645" s="170">
        <f t="shared" ref="AG645:AG771" ca="1" si="103">AF645</f>
        <v>4.5026543209872516</v>
      </c>
      <c r="AH645" s="28" t="str" cm="1">
        <f t="array" aca="1" ref="AH645" ca="1">IF((AD645) &lt; (INDEX(ResponseSLA[#All],(MATCH((G645),ResponseSLA[Priority],0))+1,3)),"YES","No")</f>
        <v>No</v>
      </c>
      <c r="AI645" s="28" t="str">
        <f ca="1">_xlfn.IFNA(IF(AE645 &lt; (INDEX(SLATable[Minimum SLA],MATCH(G645,SLATable[Priority],0))),"YES","NO"),"")</f>
        <v>NO</v>
      </c>
      <c r="AJ645" s="28" t="str">
        <f ca="1">_xlfn.IFNA(IF(AE645 &lt; (INDEX(SLATable[Maximum SLA],MATCH(G645,SLATable[Priority],0))),"YES","NO"),"")</f>
        <v>YES</v>
      </c>
    </row>
    <row r="646" spans="2:36" s="58" customFormat="1">
      <c r="B646" s="58" t="s">
        <v>26</v>
      </c>
      <c r="C646" s="58" t="s">
        <v>35</v>
      </c>
      <c r="D646" s="58" t="s">
        <v>207</v>
      </c>
      <c r="E646" s="315" t="s">
        <v>2351</v>
      </c>
      <c r="F646" s="58" t="s">
        <v>292</v>
      </c>
      <c r="G646" s="58">
        <v>3</v>
      </c>
      <c r="H646" s="315" t="s">
        <v>2352</v>
      </c>
      <c r="I646" s="58" t="s">
        <v>271</v>
      </c>
      <c r="J646" s="127" t="s">
        <v>1250</v>
      </c>
      <c r="K646" s="307">
        <v>46204.210243055553</v>
      </c>
      <c r="L646" s="311">
        <v>46204.402800925927</v>
      </c>
      <c r="M646" s="311">
        <v>46206.372685185182</v>
      </c>
      <c r="N646" s="311">
        <v>46206.442349537036</v>
      </c>
      <c r="O646" s="307"/>
      <c r="P646" s="307"/>
      <c r="Q646" s="312" t="s">
        <v>1073</v>
      </c>
      <c r="R646" s="58" t="s">
        <v>267</v>
      </c>
      <c r="S646" s="58" t="s">
        <v>149</v>
      </c>
      <c r="U646" s="58" t="s">
        <v>371</v>
      </c>
      <c r="Z646" s="169">
        <f t="shared" ca="1" si="97"/>
        <v>0.8590162037022917</v>
      </c>
      <c r="AA646" s="170">
        <f t="shared" ca="1" si="98"/>
        <v>2.2907098765394442</v>
      </c>
      <c r="AB646" s="169">
        <f t="shared" ca="1" si="99"/>
        <v>0.78954861110833008</v>
      </c>
      <c r="AC646" s="170">
        <f t="shared" ca="1" si="100"/>
        <v>2.105462962955547</v>
      </c>
      <c r="AD646" s="169">
        <f t="shared" ca="1" si="101"/>
        <v>0.7198842592551955</v>
      </c>
      <c r="AE646" s="169">
        <f t="shared" ca="1" si="96"/>
        <v>0.78954861110833008</v>
      </c>
      <c r="AF646" s="170">
        <f t="shared" ca="1" si="102"/>
        <v>2.105462962955547</v>
      </c>
      <c r="AG646" s="170">
        <f t="shared" ca="1" si="103"/>
        <v>2.105462962955547</v>
      </c>
      <c r="AH646" s="28" t="str" cm="1">
        <f t="array" aca="1" ref="AH646" ca="1">IF((AD646) &lt; (INDEX(ResponseSLA[#All],(MATCH((G646),ResponseSLA[Priority],0))+1,3)),"YES","No")</f>
        <v>No</v>
      </c>
      <c r="AI646" s="28" t="str">
        <f ca="1">_xlfn.IFNA(IF(AE646 &lt; (INDEX(SLATable[Minimum SLA],MATCH(G646,SLATable[Priority],0))),"YES","NO"),"")</f>
        <v>NO</v>
      </c>
      <c r="AJ646" s="28" t="str">
        <f ca="1">_xlfn.IFNA(IF(AE646 &lt; (INDEX(SLATable[Maximum SLA],MATCH(G646,SLATable[Priority],0))),"YES","NO"),"")</f>
        <v>YES</v>
      </c>
    </row>
    <row r="647" spans="2:36" s="58" customFormat="1">
      <c r="B647" s="58" t="s">
        <v>26</v>
      </c>
      <c r="C647" s="58" t="s">
        <v>35</v>
      </c>
      <c r="D647" s="58" t="s">
        <v>207</v>
      </c>
      <c r="E647" s="315" t="s">
        <v>2353</v>
      </c>
      <c r="F647" s="58" t="s">
        <v>292</v>
      </c>
      <c r="G647" s="58">
        <v>3</v>
      </c>
      <c r="H647" s="315" t="s">
        <v>2354</v>
      </c>
      <c r="I647" s="58" t="s">
        <v>271</v>
      </c>
      <c r="J647" s="127" t="s">
        <v>1250</v>
      </c>
      <c r="K647" s="307">
        <v>46204.216874999998</v>
      </c>
      <c r="L647" s="311">
        <v>46204.404097222221</v>
      </c>
      <c r="M647" s="311">
        <v>46206.373935185184</v>
      </c>
      <c r="N647" s="311">
        <v>46206.443194444444</v>
      </c>
      <c r="O647" s="307"/>
      <c r="P647" s="307"/>
      <c r="Q647" s="312" t="s">
        <v>1073</v>
      </c>
      <c r="R647" s="58" t="s">
        <v>267</v>
      </c>
      <c r="S647" s="58" t="s">
        <v>149</v>
      </c>
      <c r="U647" s="58" t="s">
        <v>371</v>
      </c>
      <c r="Z647" s="169">
        <f t="shared" ca="1" si="97"/>
        <v>0.85986111111075547</v>
      </c>
      <c r="AA647" s="170">
        <f t="shared" ca="1" si="98"/>
        <v>2.2929629629620143</v>
      </c>
      <c r="AB647" s="169">
        <f t="shared" ca="1" si="99"/>
        <v>0.789097222223063</v>
      </c>
      <c r="AC647" s="170">
        <f t="shared" ca="1" si="100"/>
        <v>2.1042592592615015</v>
      </c>
      <c r="AD647" s="169">
        <f t="shared" ca="1" si="101"/>
        <v>0.71983796296262881</v>
      </c>
      <c r="AE647" s="169">
        <f t="shared" ca="1" si="96"/>
        <v>0.789097222223063</v>
      </c>
      <c r="AF647" s="170">
        <f t="shared" ca="1" si="102"/>
        <v>2.1042592592615015</v>
      </c>
      <c r="AG647" s="170">
        <f t="shared" ca="1" si="103"/>
        <v>2.1042592592615015</v>
      </c>
      <c r="AH647" s="28" t="str" cm="1">
        <f t="array" aca="1" ref="AH647" ca="1">IF((AD647) &lt; (INDEX(ResponseSLA[#All],(MATCH((G647),ResponseSLA[Priority],0))+1,3)),"YES","No")</f>
        <v>No</v>
      </c>
      <c r="AI647" s="28" t="str">
        <f ca="1">_xlfn.IFNA(IF(AE647 &lt; (INDEX(SLATable[Minimum SLA],MATCH(G647,SLATable[Priority],0))),"YES","NO"),"")</f>
        <v>NO</v>
      </c>
      <c r="AJ647" s="28" t="str">
        <f ca="1">_xlfn.IFNA(IF(AE647 &lt; (INDEX(SLATable[Maximum SLA],MATCH(G647,SLATable[Priority],0))),"YES","NO"),"")</f>
        <v>YES</v>
      </c>
    </row>
    <row r="648" spans="2:36" s="58" customFormat="1">
      <c r="B648" s="58" t="s">
        <v>26</v>
      </c>
      <c r="C648" s="58" t="s">
        <v>35</v>
      </c>
      <c r="D648" s="58" t="s">
        <v>207</v>
      </c>
      <c r="E648" s="315" t="s">
        <v>2355</v>
      </c>
      <c r="F648" s="58" t="s">
        <v>292</v>
      </c>
      <c r="G648" s="58">
        <v>3</v>
      </c>
      <c r="H648" s="315" t="s">
        <v>2356</v>
      </c>
      <c r="I648" s="58" t="s">
        <v>271</v>
      </c>
      <c r="J648" s="127" t="s">
        <v>1250</v>
      </c>
      <c r="K648" s="307">
        <v>46205.090381944443</v>
      </c>
      <c r="L648" s="311">
        <v>46205.117974537039</v>
      </c>
      <c r="M648" s="311">
        <v>46205.433148148149</v>
      </c>
      <c r="N648" s="311">
        <v>46206.469236111108</v>
      </c>
      <c r="O648" s="307"/>
      <c r="P648" s="307"/>
      <c r="Q648" s="312" t="s">
        <v>1073</v>
      </c>
      <c r="R648" s="58" t="s">
        <v>267</v>
      </c>
      <c r="S648" s="58" t="s">
        <v>149</v>
      </c>
      <c r="U648" s="58" t="s">
        <v>371</v>
      </c>
      <c r="Z648" s="169">
        <f t="shared" ca="1" si="97"/>
        <v>0.51090277777499682</v>
      </c>
      <c r="AA648" s="170">
        <f t="shared" ca="1" si="98"/>
        <v>1.3624074073999914</v>
      </c>
      <c r="AB648" s="169">
        <f t="shared" ca="1" si="99"/>
        <v>0.51090277777499682</v>
      </c>
      <c r="AC648" s="170">
        <f t="shared" ca="1" si="100"/>
        <v>1.3624074073999914</v>
      </c>
      <c r="AD648" s="169">
        <f t="shared" ca="1" si="101"/>
        <v>9.9814814816151454E-2</v>
      </c>
      <c r="AE648" s="169">
        <f t="shared" ca="1" si="96"/>
        <v>0.51090277777499682</v>
      </c>
      <c r="AF648" s="170">
        <f t="shared" ca="1" si="102"/>
        <v>1.3624074073999914</v>
      </c>
      <c r="AG648" s="170">
        <f t="shared" ca="1" si="103"/>
        <v>1.3624074073999914</v>
      </c>
      <c r="AH648" s="28" t="str" cm="1">
        <f t="array" aca="1" ref="AH648" ca="1">IF((AD648) &lt; (INDEX(ResponseSLA[#All],(MATCH((G648),ResponseSLA[Priority],0))+1,3)),"YES","No")</f>
        <v>No</v>
      </c>
      <c r="AI648" s="28" t="str">
        <f ca="1">_xlfn.IFNA(IF(AE648 &lt; (INDEX(SLATable[Minimum SLA],MATCH(G648,SLATable[Priority],0))),"YES","NO"),"")</f>
        <v>NO</v>
      </c>
      <c r="AJ648" s="28" t="str">
        <f ca="1">_xlfn.IFNA(IF(AE648 &lt; (INDEX(SLATable[Maximum SLA],MATCH(G648,SLATable[Priority],0))),"YES","NO"),"")</f>
        <v>YES</v>
      </c>
    </row>
    <row r="649" spans="2:36" s="58" customFormat="1">
      <c r="B649" s="58" t="s">
        <v>26</v>
      </c>
      <c r="C649" s="58" t="s">
        <v>35</v>
      </c>
      <c r="D649" s="58" t="s">
        <v>207</v>
      </c>
      <c r="E649" s="315" t="s">
        <v>2357</v>
      </c>
      <c r="F649" s="58" t="s">
        <v>292</v>
      </c>
      <c r="G649" s="58">
        <v>3</v>
      </c>
      <c r="H649" s="315" t="s">
        <v>2358</v>
      </c>
      <c r="I649" s="58" t="s">
        <v>271</v>
      </c>
      <c r="J649" s="127" t="s">
        <v>1250</v>
      </c>
      <c r="K649" s="307">
        <v>46205.821435185186</v>
      </c>
      <c r="L649" s="311">
        <v>46205.821539351855</v>
      </c>
      <c r="M649" s="311">
        <v>46206.300428240742</v>
      </c>
      <c r="N649" s="311">
        <v>46209.777800925927</v>
      </c>
      <c r="O649" s="307"/>
      <c r="P649" s="307"/>
      <c r="Q649" s="312" t="s">
        <v>695</v>
      </c>
      <c r="R649" s="58" t="s">
        <v>267</v>
      </c>
      <c r="S649" s="58" t="s">
        <v>149</v>
      </c>
      <c r="U649" s="58" t="s">
        <v>371</v>
      </c>
      <c r="Z649" s="169">
        <f t="shared" ca="1" si="97"/>
        <v>0.75000000000000011</v>
      </c>
      <c r="AA649" s="170">
        <f t="shared" ca="1" si="98"/>
        <v>2.0000000000000004</v>
      </c>
      <c r="AB649" s="169">
        <f t="shared" ca="1" si="99"/>
        <v>0.75000000000000011</v>
      </c>
      <c r="AC649" s="170">
        <f t="shared" ca="1" si="100"/>
        <v>2.0000000000000004</v>
      </c>
      <c r="AD649" s="169">
        <f t="shared" ca="1" si="101"/>
        <v>0</v>
      </c>
      <c r="AE649" s="169">
        <f t="shared" ca="1" si="96"/>
        <v>0.75000000000000011</v>
      </c>
      <c r="AF649" s="170">
        <f t="shared" ca="1" si="102"/>
        <v>2.0000000000000004</v>
      </c>
      <c r="AG649" s="170">
        <f t="shared" ca="1" si="103"/>
        <v>2.0000000000000004</v>
      </c>
      <c r="AH649" s="28" t="str" cm="1">
        <f t="array" aca="1" ref="AH649" ca="1">IF((AD649) &lt; (INDEX(ResponseSLA[#All],(MATCH((G649),ResponseSLA[Priority],0))+1,3)),"YES","No")</f>
        <v>YES</v>
      </c>
      <c r="AI649" s="28" t="str">
        <f ca="1">_xlfn.IFNA(IF(AE649 &lt; (INDEX(SLATable[Minimum SLA],MATCH(G649,SLATable[Priority],0))),"YES","NO"),"")</f>
        <v>NO</v>
      </c>
      <c r="AJ649" s="28" t="str">
        <f ca="1">_xlfn.IFNA(IF(AE649 &lt; (INDEX(SLATable[Maximum SLA],MATCH(G649,SLATable[Priority],0))),"YES","NO"),"")</f>
        <v>YES</v>
      </c>
    </row>
    <row r="650" spans="2:36" s="58" customFormat="1">
      <c r="B650" s="58" t="s">
        <v>26</v>
      </c>
      <c r="C650" s="58" t="s">
        <v>35</v>
      </c>
      <c r="D650" s="58" t="s">
        <v>207</v>
      </c>
      <c r="E650" s="315" t="s">
        <v>2359</v>
      </c>
      <c r="F650" s="58" t="s">
        <v>292</v>
      </c>
      <c r="G650" s="58">
        <v>4</v>
      </c>
      <c r="H650" s="315" t="s">
        <v>2360</v>
      </c>
      <c r="I650" s="58" t="s">
        <v>271</v>
      </c>
      <c r="J650" s="127" t="s">
        <v>1250</v>
      </c>
      <c r="K650" s="307">
        <v>46206.090416666666</v>
      </c>
      <c r="L650" s="311">
        <v>46206.106168981481</v>
      </c>
      <c r="M650" s="311">
        <v>46206.298310185186</v>
      </c>
      <c r="N650" s="311">
        <v>46209.25440972222</v>
      </c>
      <c r="O650" s="307"/>
      <c r="P650" s="307"/>
      <c r="Q650" s="312" t="s">
        <v>1073</v>
      </c>
      <c r="R650" s="58" t="s">
        <v>267</v>
      </c>
      <c r="S650" s="58" t="s">
        <v>149</v>
      </c>
      <c r="U650" s="58" t="s">
        <v>371</v>
      </c>
      <c r="Z650" s="169">
        <f t="shared" ca="1" si="97"/>
        <v>0.37500000000000006</v>
      </c>
      <c r="AA650" s="170">
        <f t="shared" ca="1" si="98"/>
        <v>1.0000000000000002</v>
      </c>
      <c r="AB650" s="169">
        <f t="shared" ca="1" si="99"/>
        <v>0.37500000000000006</v>
      </c>
      <c r="AC650" s="170">
        <f t="shared" ca="1" si="100"/>
        <v>1.0000000000000002</v>
      </c>
      <c r="AD650" s="169">
        <f t="shared" ca="1" si="101"/>
        <v>0</v>
      </c>
      <c r="AE650" s="169">
        <f t="shared" ca="1" si="96"/>
        <v>0.37500000000000006</v>
      </c>
      <c r="AF650" s="170">
        <f t="shared" ca="1" si="102"/>
        <v>1.0000000000000002</v>
      </c>
      <c r="AG650" s="170">
        <f t="shared" ca="1" si="103"/>
        <v>1.0000000000000002</v>
      </c>
      <c r="AH650" s="28" t="str" cm="1">
        <f t="array" aca="1" ref="AH650" ca="1">IF((AD650) &lt; (INDEX(ResponseSLA[#All],(MATCH((G650),ResponseSLA[Priority],0))+1,3)),"YES","No")</f>
        <v>YES</v>
      </c>
      <c r="AI650" s="28" t="str">
        <f ca="1">_xlfn.IFNA(IF(AE650 &lt; (INDEX(SLATable[Minimum SLA],MATCH(G650,SLATable[Priority],0))),"YES","NO"),"")</f>
        <v>YES</v>
      </c>
      <c r="AJ650" s="28" t="str">
        <f ca="1">_xlfn.IFNA(IF(AE650 &lt; (INDEX(SLATable[Maximum SLA],MATCH(G650,SLATable[Priority],0))),"YES","NO"),"")</f>
        <v>YES</v>
      </c>
    </row>
    <row r="651" spans="2:36" s="58" customFormat="1">
      <c r="B651" s="58" t="s">
        <v>26</v>
      </c>
      <c r="C651" s="58" t="s">
        <v>35</v>
      </c>
      <c r="D651" s="58" t="s">
        <v>207</v>
      </c>
      <c r="E651" s="315" t="s">
        <v>1839</v>
      </c>
      <c r="F651" s="58" t="s">
        <v>295</v>
      </c>
      <c r="G651" s="58">
        <v>3</v>
      </c>
      <c r="H651" s="315" t="s">
        <v>1840</v>
      </c>
      <c r="I651" s="58" t="s">
        <v>271</v>
      </c>
      <c r="J651" s="127" t="s">
        <v>1250</v>
      </c>
      <c r="K651" s="311">
        <v>46191.378761574073</v>
      </c>
      <c r="L651" s="311">
        <v>46191.378819444442</v>
      </c>
      <c r="M651" s="311">
        <v>46191.483402777776</v>
      </c>
      <c r="N651" s="311">
        <v>46210.443252314813</v>
      </c>
      <c r="O651" s="311">
        <v>46196.292800925927</v>
      </c>
      <c r="P651" s="311">
        <v>46210.443252314813</v>
      </c>
      <c r="Q651" s="312" t="s">
        <v>1113</v>
      </c>
      <c r="R651" s="58" t="s">
        <v>267</v>
      </c>
      <c r="S651" s="58" t="s">
        <v>169</v>
      </c>
      <c r="U651" s="58" t="s">
        <v>371</v>
      </c>
      <c r="Z651" s="169">
        <f t="shared" ca="1" si="97"/>
        <v>1.0795717592603382</v>
      </c>
      <c r="AA651" s="170">
        <f t="shared" ca="1" si="98"/>
        <v>2.8788580246942352</v>
      </c>
      <c r="AB651" s="169">
        <f t="shared" ca="1" si="99"/>
        <v>1.0795138888909919</v>
      </c>
      <c r="AC651" s="170">
        <f t="shared" ca="1" si="100"/>
        <v>2.8787037037093115</v>
      </c>
      <c r="AD651" s="169">
        <f t="shared" ca="1" si="101"/>
        <v>0.10458333333372138</v>
      </c>
      <c r="AE651" s="169">
        <f t="shared" ca="1" si="96"/>
        <v>3.7683217592615028</v>
      </c>
      <c r="AF651" s="170">
        <f t="shared" ca="1" si="102"/>
        <v>10.04885802469734</v>
      </c>
      <c r="AG651" s="170">
        <f t="shared" ca="1" si="103"/>
        <v>10.04885802469734</v>
      </c>
      <c r="AH651" s="28" t="str" cm="1">
        <f t="array" aca="1" ref="AH651" ca="1">IF((AD651) &lt; (INDEX(ResponseSLA[#All],(MATCH((G651),ResponseSLA[Priority],0))+1,3)),"YES","No")</f>
        <v>No</v>
      </c>
      <c r="AI651" s="28" t="str">
        <f ca="1">_xlfn.IFNA(IF(AE651 &lt; (INDEX(SLATable[Minimum SLA],MATCH(G651,SLATable[Priority],0))),"YES","NO"),"")</f>
        <v>NO</v>
      </c>
      <c r="AJ651" s="28" t="str">
        <f ca="1">_xlfn.IFNA(IF(AE651 &lt; (INDEX(SLATable[Maximum SLA],MATCH(G651,SLATable[Priority],0))),"YES","NO"),"")</f>
        <v>NO</v>
      </c>
    </row>
    <row r="652" spans="2:36" s="58" customFormat="1">
      <c r="B652" s="58" t="s">
        <v>26</v>
      </c>
      <c r="C652" s="58" t="s">
        <v>35</v>
      </c>
      <c r="D652" s="58" t="s">
        <v>207</v>
      </c>
      <c r="E652" s="315" t="s">
        <v>2361</v>
      </c>
      <c r="F652" s="58" t="s">
        <v>292</v>
      </c>
      <c r="G652" s="58">
        <v>3</v>
      </c>
      <c r="H652" s="315" t="s">
        <v>1312</v>
      </c>
      <c r="I652" s="58" t="s">
        <v>271</v>
      </c>
      <c r="J652" s="127" t="s">
        <v>1250</v>
      </c>
      <c r="K652" s="307">
        <v>46205.055949074071</v>
      </c>
      <c r="L652" s="311">
        <v>46205.056076388886</v>
      </c>
      <c r="M652" s="311">
        <v>46205.311851851853</v>
      </c>
      <c r="N652" s="311">
        <v>46206.45140046296</v>
      </c>
      <c r="O652" s="311"/>
      <c r="P652" s="311"/>
      <c r="Q652" s="312" t="s">
        <v>1073</v>
      </c>
      <c r="R652" s="58" t="s">
        <v>267</v>
      </c>
      <c r="S652" s="58" t="s">
        <v>149</v>
      </c>
      <c r="U652" s="58" t="s">
        <v>371</v>
      </c>
      <c r="Z652" s="169">
        <f t="shared" ca="1" si="97"/>
        <v>0.49306712962667615</v>
      </c>
      <c r="AA652" s="170">
        <f t="shared" ca="1" si="98"/>
        <v>1.3148456790044696</v>
      </c>
      <c r="AB652" s="169">
        <f t="shared" ca="1" si="99"/>
        <v>0.49306712962667615</v>
      </c>
      <c r="AC652" s="170">
        <f t="shared" ca="1" si="100"/>
        <v>1.3148456790044696</v>
      </c>
      <c r="AD652" s="169">
        <f t="shared" ca="1" si="101"/>
        <v>0</v>
      </c>
      <c r="AE652" s="169">
        <f t="shared" ca="1" si="96"/>
        <v>0.49306712962667615</v>
      </c>
      <c r="AF652" s="170">
        <f t="shared" ca="1" si="102"/>
        <v>1.3148456790044696</v>
      </c>
      <c r="AG652" s="170">
        <f t="shared" ca="1" si="103"/>
        <v>1.3148456790044696</v>
      </c>
      <c r="AH652" s="28" t="str" cm="1">
        <f t="array" aca="1" ref="AH652" ca="1">IF((AD652) &lt; (INDEX(ResponseSLA[#All],(MATCH((G652),ResponseSLA[Priority],0))+1,3)),"YES","No")</f>
        <v>YES</v>
      </c>
      <c r="AI652" s="28" t="str">
        <f ca="1">_xlfn.IFNA(IF(AE652 &lt; (INDEX(SLATable[Minimum SLA],MATCH(G652,SLATable[Priority],0))),"YES","NO"),"")</f>
        <v>NO</v>
      </c>
      <c r="AJ652" s="28" t="str">
        <f ca="1">_xlfn.IFNA(IF(AE652 &lt; (INDEX(SLATable[Maximum SLA],MATCH(G652,SLATable[Priority],0))),"YES","NO"),"")</f>
        <v>YES</v>
      </c>
    </row>
    <row r="653" spans="2:36" s="58" customFormat="1">
      <c r="B653" s="58" t="s">
        <v>26</v>
      </c>
      <c r="C653" s="58" t="s">
        <v>35</v>
      </c>
      <c r="D653" s="58" t="s">
        <v>207</v>
      </c>
      <c r="E653" s="315" t="s">
        <v>2362</v>
      </c>
      <c r="F653" s="58" t="s">
        <v>292</v>
      </c>
      <c r="G653" s="58">
        <v>4</v>
      </c>
      <c r="H653" s="315" t="s">
        <v>2363</v>
      </c>
      <c r="I653" s="58" t="s">
        <v>271</v>
      </c>
      <c r="J653" s="127" t="s">
        <v>1250</v>
      </c>
      <c r="K653" s="307">
        <v>46201.62773148148</v>
      </c>
      <c r="L653" s="311">
        <v>46205.056076388886</v>
      </c>
      <c r="M653" s="311">
        <v>46205.311851851853</v>
      </c>
      <c r="N653" s="311">
        <v>46206.362002314818</v>
      </c>
      <c r="O653" s="311"/>
      <c r="P653" s="311"/>
      <c r="Q653" s="312" t="s">
        <v>1073</v>
      </c>
      <c r="R653" s="58" t="s">
        <v>267</v>
      </c>
      <c r="S653" s="58" t="s">
        <v>190</v>
      </c>
      <c r="U653" s="58" t="s">
        <v>371</v>
      </c>
      <c r="Z653" s="169">
        <f t="shared" ca="1" si="97"/>
        <v>1.5286689814844676</v>
      </c>
      <c r="AA653" s="170">
        <f t="shared" ca="1" si="98"/>
        <v>4.0764506172919139</v>
      </c>
      <c r="AB653" s="169">
        <f t="shared" ca="1" si="99"/>
        <v>0.40366898148446734</v>
      </c>
      <c r="AC653" s="170">
        <f t="shared" ca="1" si="100"/>
        <v>1.0764506172919128</v>
      </c>
      <c r="AD653" s="169">
        <f t="shared" ca="1" si="101"/>
        <v>0</v>
      </c>
      <c r="AE653" s="169">
        <f t="shared" ca="1" si="96"/>
        <v>0.40366898148446734</v>
      </c>
      <c r="AF653" s="170">
        <f t="shared" ca="1" si="102"/>
        <v>1.0764506172919128</v>
      </c>
      <c r="AG653" s="170">
        <f t="shared" ca="1" si="103"/>
        <v>1.0764506172919128</v>
      </c>
      <c r="AH653" s="28" t="str" cm="1">
        <f t="array" aca="1" ref="AH653" ca="1">IF((AD653) &lt; (INDEX(ResponseSLA[#All],(MATCH((G653),ResponseSLA[Priority],0))+1,3)),"YES","No")</f>
        <v>YES</v>
      </c>
      <c r="AI653" s="28" t="str">
        <f ca="1">_xlfn.IFNA(IF(AE653 &lt; (INDEX(SLATable[Minimum SLA],MATCH(G653,SLATable[Priority],0))),"YES","NO"),"")</f>
        <v>YES</v>
      </c>
      <c r="AJ653" s="28" t="str">
        <f ca="1">_xlfn.IFNA(IF(AE653 &lt; (INDEX(SLATable[Maximum SLA],MATCH(G653,SLATable[Priority],0))),"YES","NO"),"")</f>
        <v>YES</v>
      </c>
    </row>
    <row r="654" spans="2:36" s="58" customFormat="1">
      <c r="B654" s="58" t="s">
        <v>26</v>
      </c>
      <c r="C654" s="58" t="s">
        <v>35</v>
      </c>
      <c r="D654" s="58" t="s">
        <v>207</v>
      </c>
      <c r="E654" s="312" t="s">
        <v>2364</v>
      </c>
      <c r="F654" s="58" t="s">
        <v>295</v>
      </c>
      <c r="G654" s="58">
        <v>3</v>
      </c>
      <c r="H654" s="312" t="s">
        <v>2342</v>
      </c>
      <c r="I654" s="58" t="s">
        <v>271</v>
      </c>
      <c r="J654" s="127" t="s">
        <v>1250</v>
      </c>
      <c r="K654" s="307">
        <v>46219.092650462961</v>
      </c>
      <c r="L654" s="311">
        <v>46219.09275462963</v>
      </c>
      <c r="M654" s="311">
        <v>46219.260300925926</v>
      </c>
      <c r="N654" s="311">
        <v>46220.295810185184</v>
      </c>
      <c r="O654" s="311"/>
      <c r="P654" s="311"/>
      <c r="Q654" s="312" t="s">
        <v>1211</v>
      </c>
      <c r="R654" s="58" t="s">
        <v>267</v>
      </c>
      <c r="S654" s="58" t="s">
        <v>149</v>
      </c>
      <c r="U654" s="58" t="s">
        <v>371</v>
      </c>
      <c r="Z654" s="169">
        <f t="shared" ca="1" si="97"/>
        <v>0.37500000000000006</v>
      </c>
      <c r="AA654" s="170">
        <f t="shared" ca="1" si="98"/>
        <v>1.0000000000000002</v>
      </c>
      <c r="AB654" s="169">
        <f t="shared" ca="1" si="99"/>
        <v>0.37500000000000006</v>
      </c>
      <c r="AC654" s="170">
        <f t="shared" ca="1" si="100"/>
        <v>1.0000000000000002</v>
      </c>
      <c r="AD654" s="169">
        <f t="shared" ca="1" si="101"/>
        <v>0</v>
      </c>
      <c r="AE654" s="169">
        <f t="shared" ca="1" si="96"/>
        <v>0.37500000000000006</v>
      </c>
      <c r="AF654" s="170">
        <f t="shared" ca="1" si="102"/>
        <v>1.0000000000000002</v>
      </c>
      <c r="AG654" s="170">
        <f t="shared" ca="1" si="103"/>
        <v>1.0000000000000002</v>
      </c>
      <c r="AH654" s="28" t="str" cm="1">
        <f t="array" aca="1" ref="AH654" ca="1">IF((AD654) &lt; (INDEX(ResponseSLA[#All],(MATCH((G654),ResponseSLA[Priority],0))+1,3)),"YES","No")</f>
        <v>YES</v>
      </c>
      <c r="AI654" s="28" t="str">
        <f ca="1">_xlfn.IFNA(IF(AE654 &lt; (INDEX(SLATable[Minimum SLA],MATCH(G654,SLATable[Priority],0))),"YES","NO"),"")</f>
        <v>NO</v>
      </c>
      <c r="AJ654" s="28" t="str">
        <f ca="1">_xlfn.IFNA(IF(AE654 &lt; (INDEX(SLATable[Maximum SLA],MATCH(G654,SLATable[Priority],0))),"YES","NO"),"")</f>
        <v>YES</v>
      </c>
    </row>
    <row r="655" spans="2:36" s="58" customFormat="1">
      <c r="B655" s="58" t="s">
        <v>26</v>
      </c>
      <c r="C655" s="58" t="s">
        <v>35</v>
      </c>
      <c r="D655" s="58" t="s">
        <v>207</v>
      </c>
      <c r="E655" s="312" t="s">
        <v>2365</v>
      </c>
      <c r="F655" s="58" t="s">
        <v>292</v>
      </c>
      <c r="G655" s="58">
        <v>4</v>
      </c>
      <c r="H655" s="312" t="s">
        <v>2366</v>
      </c>
      <c r="I655" s="58" t="s">
        <v>271</v>
      </c>
      <c r="J655" s="127" t="s">
        <v>1250</v>
      </c>
      <c r="K655" s="307">
        <v>46212.648182870369</v>
      </c>
      <c r="L655" s="311">
        <v>46213.452581018515</v>
      </c>
      <c r="M655" s="311">
        <v>46216.317314814813</v>
      </c>
      <c r="N655" s="311">
        <v>46220.432395833333</v>
      </c>
      <c r="O655" s="311">
        <v>46216.331689814811</v>
      </c>
      <c r="P655" s="311">
        <v>46219.423194444447</v>
      </c>
      <c r="Q655" s="312" t="s">
        <v>1073</v>
      </c>
      <c r="R655" s="58" t="s">
        <v>267</v>
      </c>
      <c r="S655" s="58" t="s">
        <v>190</v>
      </c>
      <c r="U655" s="58" t="s">
        <v>371</v>
      </c>
      <c r="Z655" s="169">
        <f t="shared" ca="1" si="97"/>
        <v>0.81935185185041837</v>
      </c>
      <c r="AA655" s="170">
        <f t="shared" ca="1" si="98"/>
        <v>2.1849382716011156</v>
      </c>
      <c r="AB655" s="169">
        <f t="shared" ca="1" si="99"/>
        <v>0.63995370370442561</v>
      </c>
      <c r="AC655" s="170">
        <f t="shared" ca="1" si="100"/>
        <v>1.7065432098784683</v>
      </c>
      <c r="AD655" s="169">
        <f t="shared" ca="1" si="101"/>
        <v>0.25575231481828575</v>
      </c>
      <c r="AE655" s="169">
        <f t="shared" ca="1" si="96"/>
        <v>0.63995370370442561</v>
      </c>
      <c r="AF655" s="170">
        <f t="shared" ca="1" si="102"/>
        <v>1.7065432098784683</v>
      </c>
      <c r="AG655" s="170">
        <f t="shared" ca="1" si="103"/>
        <v>1.7065432098784683</v>
      </c>
      <c r="AH655" s="28" t="str" cm="1">
        <f t="array" aca="1" ref="AH655" ca="1">IF((AD655) &lt; (INDEX(ResponseSLA[#All],(MATCH((G655),ResponseSLA[Priority],0))+1,3)),"YES","No")</f>
        <v>No</v>
      </c>
      <c r="AI655" s="28" t="str">
        <f ca="1">_xlfn.IFNA(IF(AE655 &lt; (INDEX(SLATable[Minimum SLA],MATCH(G655,SLATable[Priority],0))),"YES","NO"),"")</f>
        <v>YES</v>
      </c>
      <c r="AJ655" s="28" t="str">
        <f ca="1">_xlfn.IFNA(IF(AE655 &lt; (INDEX(SLATable[Maximum SLA],MATCH(G655,SLATable[Priority],0))),"YES","NO"),"")</f>
        <v>YES</v>
      </c>
    </row>
    <row r="656" spans="2:36" s="58" customFormat="1">
      <c r="B656" s="58" t="s">
        <v>26</v>
      </c>
      <c r="C656" s="58" t="s">
        <v>35</v>
      </c>
      <c r="D656" s="58" t="s">
        <v>207</v>
      </c>
      <c r="E656" s="312" t="s">
        <v>2367</v>
      </c>
      <c r="F656" s="58" t="s">
        <v>295</v>
      </c>
      <c r="G656" s="58">
        <v>3</v>
      </c>
      <c r="H656" s="312" t="s">
        <v>2368</v>
      </c>
      <c r="I656" s="58" t="s">
        <v>271</v>
      </c>
      <c r="J656" s="127" t="s">
        <v>1250</v>
      </c>
      <c r="K656" s="307">
        <v>46218.055613425924</v>
      </c>
      <c r="L656" s="311">
        <v>46218.055706018517</v>
      </c>
      <c r="M656" s="311">
        <v>46218.272592592592</v>
      </c>
      <c r="N656" s="311">
        <v>46218.458449074074</v>
      </c>
      <c r="O656" s="311"/>
      <c r="P656" s="311"/>
      <c r="Q656" s="312" t="s">
        <v>1148</v>
      </c>
      <c r="R656" s="58" t="s">
        <v>267</v>
      </c>
      <c r="S656" s="58" t="s">
        <v>149</v>
      </c>
      <c r="U656" s="58" t="s">
        <v>371</v>
      </c>
      <c r="Z656" s="169">
        <f t="shared" ca="1" si="97"/>
        <v>0.12511574074111803</v>
      </c>
      <c r="AA656" s="170">
        <f t="shared" ca="1" si="98"/>
        <v>0.33364197530964806</v>
      </c>
      <c r="AB656" s="169">
        <f t="shared" ca="1" si="99"/>
        <v>0.12511574074111803</v>
      </c>
      <c r="AC656" s="170">
        <f t="shared" ca="1" si="100"/>
        <v>0.33364197530964806</v>
      </c>
      <c r="AD656" s="169">
        <f t="shared" ca="1" si="101"/>
        <v>0</v>
      </c>
      <c r="AE656" s="169">
        <f t="shared" ca="1" si="96"/>
        <v>0.12511574074111803</v>
      </c>
      <c r="AF656" s="170">
        <f t="shared" ca="1" si="102"/>
        <v>0.33364197530964806</v>
      </c>
      <c r="AG656" s="170">
        <f t="shared" ca="1" si="103"/>
        <v>0.33364197530964806</v>
      </c>
      <c r="AH656" s="28" t="str" cm="1">
        <f t="array" aca="1" ref="AH656" ca="1">IF((AD656) &lt; (INDEX(ResponseSLA[#All],(MATCH((G656),ResponseSLA[Priority],0))+1,3)),"YES","No")</f>
        <v>YES</v>
      </c>
      <c r="AI656" s="28" t="str">
        <f ca="1">_xlfn.IFNA(IF(AE656 &lt; (INDEX(SLATable[Minimum SLA],MATCH(G656,SLATable[Priority],0))),"YES","NO"),"")</f>
        <v>YES</v>
      </c>
      <c r="AJ656" s="28" t="str">
        <f ca="1">_xlfn.IFNA(IF(AE656 &lt; (INDEX(SLATable[Maximum SLA],MATCH(G656,SLATable[Priority],0))),"YES","NO"),"")</f>
        <v>YES</v>
      </c>
    </row>
    <row r="657" spans="2:36" s="58" customFormat="1">
      <c r="B657" s="58" t="s">
        <v>26</v>
      </c>
      <c r="C657" s="58" t="s">
        <v>35</v>
      </c>
      <c r="D657" s="58" t="s">
        <v>207</v>
      </c>
      <c r="E657" s="312" t="s">
        <v>2369</v>
      </c>
      <c r="F657" s="58" t="s">
        <v>295</v>
      </c>
      <c r="G657" s="58">
        <v>3</v>
      </c>
      <c r="H657" s="312" t="s">
        <v>2370</v>
      </c>
      <c r="I657" s="58" t="s">
        <v>271</v>
      </c>
      <c r="J657" s="127" t="s">
        <v>1250</v>
      </c>
      <c r="K657" s="307">
        <v>46218.055960648147</v>
      </c>
      <c r="L657" s="311">
        <v>46218.056076388886</v>
      </c>
      <c r="M657" s="311">
        <v>46218.276273148149</v>
      </c>
      <c r="N657" s="311">
        <v>46218.459282407406</v>
      </c>
      <c r="O657" s="311"/>
      <c r="P657" s="311"/>
      <c r="Q657" s="312" t="s">
        <v>1148</v>
      </c>
      <c r="R657" s="58" t="s">
        <v>267</v>
      </c>
      <c r="S657" s="58" t="s">
        <v>149</v>
      </c>
      <c r="U657" s="58" t="s">
        <v>371</v>
      </c>
      <c r="Z657" s="169">
        <f t="shared" ca="1" si="97"/>
        <v>0.12594907407280215</v>
      </c>
      <c r="AA657" s="170">
        <f t="shared" ca="1" si="98"/>
        <v>0.33586419752747237</v>
      </c>
      <c r="AB657" s="169">
        <f t="shared" ca="1" si="99"/>
        <v>0.12594907407280215</v>
      </c>
      <c r="AC657" s="170">
        <f t="shared" ca="1" si="100"/>
        <v>0.33586419752747237</v>
      </c>
      <c r="AD657" s="169">
        <f t="shared" ca="1" si="101"/>
        <v>0</v>
      </c>
      <c r="AE657" s="169">
        <f t="shared" ca="1" si="96"/>
        <v>0.12594907407280215</v>
      </c>
      <c r="AF657" s="170">
        <f t="shared" ca="1" si="102"/>
        <v>0.33586419752747237</v>
      </c>
      <c r="AG657" s="170">
        <f t="shared" ca="1" si="103"/>
        <v>0.33586419752747237</v>
      </c>
      <c r="AH657" s="28" t="str" cm="1">
        <f t="array" aca="1" ref="AH657" ca="1">IF((AD657) &lt; (INDEX(ResponseSLA[#All],(MATCH((G657),ResponseSLA[Priority],0))+1,3)),"YES","No")</f>
        <v>YES</v>
      </c>
      <c r="AI657" s="28" t="str">
        <f ca="1">_xlfn.IFNA(IF(AE657 &lt; (INDEX(SLATable[Minimum SLA],MATCH(G657,SLATable[Priority],0))),"YES","NO"),"")</f>
        <v>YES</v>
      </c>
      <c r="AJ657" s="28" t="str">
        <f ca="1">_xlfn.IFNA(IF(AE657 &lt; (INDEX(SLATable[Maximum SLA],MATCH(G657,SLATable[Priority],0))),"YES","NO"),"")</f>
        <v>YES</v>
      </c>
    </row>
    <row r="658" spans="2:36" s="58" customFormat="1">
      <c r="B658" s="58" t="s">
        <v>26</v>
      </c>
      <c r="C658" s="58" t="s">
        <v>35</v>
      </c>
      <c r="D658" s="58" t="s">
        <v>207</v>
      </c>
      <c r="E658" s="312" t="s">
        <v>2371</v>
      </c>
      <c r="F658" s="58" t="s">
        <v>289</v>
      </c>
      <c r="G658" s="58">
        <v>3</v>
      </c>
      <c r="H658" s="312" t="s">
        <v>2372</v>
      </c>
      <c r="I658" s="58" t="s">
        <v>271</v>
      </c>
      <c r="J658" s="127" t="s">
        <v>1250</v>
      </c>
      <c r="K658" s="307">
        <v>46219.033888888887</v>
      </c>
      <c r="L658" s="311">
        <v>46219.033912037034</v>
      </c>
      <c r="M658" s="311">
        <v>46219.261666666665</v>
      </c>
      <c r="N658" s="311">
        <v>46220.447812500002</v>
      </c>
      <c r="O658" s="311"/>
      <c r="P658" s="311"/>
      <c r="Q658" s="312" t="s">
        <v>1164</v>
      </c>
      <c r="R658" s="58" t="s">
        <v>267</v>
      </c>
      <c r="S658" s="58" t="s">
        <v>149</v>
      </c>
      <c r="U658" s="58" t="s">
        <v>371</v>
      </c>
      <c r="Z658" s="169">
        <f t="shared" ref="Z658:Z689" ca="1" si="104">IF(NOT(OR(G658=1,G658=2)),MAX(0,_xlfn.IFS(AND(K658&lt;&gt;"",N658&lt;&gt;""),((MAX(NETWORKDAYS(K658,N658,UKBankHolidays)-1,0))*(TIME(17,0,0)-TIME(8,0,0))+IF(NETWORKDAYS(N658,N658,UKBankHolidays)&gt;0,MEDIAN(TIME(8,0,0),MOD(N658,1),TIME(17,0,0)),TIME(8,0,0))-IF(NETWORKDAYS(K658,K658,UKBankHolidays)&gt;0,MEDIAN(TIME(8,0,0),MOD(K658,1),TIME(17,0,0)),TIME(8,0,0)))-IF(AND(O658&lt;&gt;"",P658&lt;&gt;""),((MAX(NETWORKDAYS(O658,P658,UKBankHolidays)-1,0))*(TIME(17,0,0)-TIME(8,0,0))+IF(NETWORKDAYS(P658,P658,UKBankHolidays)&gt;0,MEDIAN(TIME(8,0,0),MOD(P658,1),TIME(17,0,0)),TIME(8,0,0))-IF(NETWORKDAYS(O658,O658,UKBankHolidays)&gt;0,MEDIAN(TIME(8,0,0),MOD(O658,1),TIME(17,0,0)),TIME(8,0,0))),0),AND(K658&lt;&gt;"",N658=""),((MAX(NETWORKDAYS(K658,NOW(),UKBankHolidays)-1,0))*(TIME(17,0,0)-TIME(8,0,0))+IF(NETWORKDAYS(NOW(),NOW(),UKBankHolidays)&gt;0,MEDIAN(TIME(8,0,0),MOD(NOW(),1),TIME(17,0,0)),TIME(8,0,0))-IF(NETWORKDAYS(K658,K658,UKBankHolidays)&gt;0,MEDIAN(TIME(8,0,0),MOD(K658,1),TIME(17,0,0)),TIME(8,0,0))))),IF(N658="",NOW()-K658,N658-K658))</f>
        <v>0.48947916666899499</v>
      </c>
      <c r="AA658" s="170">
        <f t="shared" ref="AA658:AA689" ca="1" si="105">(Z658*24)/9</f>
        <v>1.3052777777839866</v>
      </c>
      <c r="AB658" s="169">
        <f t="shared" ref="AB658:AB689" ca="1" si="106">IF(NOT(OR(G658=1,G658=2)),MAX(0,_xlfn.IFS(AND(K658&lt;&gt;"",N658&lt;&gt;""),(((MAX(NETWORKDAYS(L658,N658,UKBankHolidays)-1,0))*(TIME(17,0,0)-TIME(8,0,0)))+IF(NETWORKDAYS(N658,N658,UKBankHolidays)&gt;0,MEDIAN(TIME(8,0,0),MOD(N658,1),TIME(17,0,0)),TIME(8,0,0))-IF(NETWORKDAYS(L658,L658,UKBankHolidays)&gt;0,MEDIAN(TIME(8,0,0),MOD(L658,1),TIME(17,0,0)),TIME(8,0,0)))-IF(AND(O658&lt;&gt;"",P658&lt;&gt;""),(((MAX(NETWORKDAYS(O658,P658,UKBankHolidays)-1,0))*(TIME(17,0,0)-TIME(8,0,0)))+IF(NETWORKDAYS(P658,P658,UKBankHolidays)&gt;0,MEDIAN(TIME(8,0,0),MOD(P658,1),TIME(17,0,0)),TIME(8,0,0))-IF(NETWORKDAYS(O658,O658,UKBankHolidays)&gt;0,MEDIAN(TIME(8,0,0),MOD(O658,1),TIME(17,0,0)),TIME(8,0,0))),0),AND(L658&lt;&gt;"",N658="",O658=""),(((MAX(NETWORKDAYS(L658,NOW(),UKBankHolidays)-1,0))*(TIME(17,0,0)-TIME(8,0,0)))+IF(NETWORKDAYS(NOW(),NOW(),UKBankHolidays)&gt;0,MEDIAN(TIME(8,0,0),MOD(NOW(),1),TIME(17,0,0)),TIME(8,0,0))-IF(NETWORKDAYS(L658,L658,UKBankHolidays)&gt;0,MEDIAN(TIME(8,0,0),MOD(L658,1),TIME(17,0,0)),TIME(8,0,0)))-IF(AND(O658&lt;&gt;"",P658&lt;&gt;""),(((MAX(NETWORKDAYS(O658,P658,UKBankHolidays)-1,0))*(TIME(17,0,0)-TIME(8,0,0)))+IF(NETWORKDAYS(P658,P658,UKBankHolidays)&gt;0,MEDIAN(TIME(8,0,0),MOD(P658,1),TIME(17,0,0)),TIME(8,0,0))-IF(NETWORKDAYS(O658,O658,UKBankHolidays)&gt;0,MEDIAN(TIME(8,0,0),MOD(O658,1),TIME(17,0,0)),TIME(8,0,0))),0),AND(L658&lt;&gt;"",N658="",P658="",O658&lt;&gt;""),(((MAX(NETWORKDAYS(L658,O658,UKBankHolidays)-1,0))*(TIME(17,0,0)-TIME(8,0,0)))+IF(NETWORKDAYS(O658,O658,UKBankHolidays)&gt;0,MEDIAN(TIME(8,0,0),MOD(O658,1),TIME(17,0,0)),TIME(8,0,0))-IF(NETWORKDAYS(L658,L658,UKBankHolidays)&gt;0,MEDIAN(TIME(8,0,0),MOD(L658,1),TIME(17,0,0)),TIME(8,0,0))),ISBLANK(K658),"0")),IF(ISBLANK(N658),NOW()-L658,N658-L658))</f>
        <v>0.48947916666899499</v>
      </c>
      <c r="AC658" s="170">
        <f t="shared" ref="AC658:AC689" ca="1" si="107">(AB658*24)/9</f>
        <v>1.3052777777839866</v>
      </c>
      <c r="AD658" s="169">
        <f t="shared" ref="AD658:AD689" ca="1" si="108">MAX(0,IF(NOT(OR(G658=1,G658=2)),IF(M658&lt;&gt;"",((MAX(NETWORKDAYS(L658,M658,UKBankHolidays)-1,0))*(TIME(17,0,0)-TIME(8,0,0))+IF(NETWORKDAYS(M658,M658,UKBankHolidays)&gt;0,MEDIAN(TIME(8,0,0),MOD(M658,1),TIME(17,0,0)),TIME(8,0,0))-MEDIAN(TIME(8,0,0),MOD(L658,1),TIME(17,0,0))),((MAX(NETWORKDAYS(L658,NOW(),UKBankHolidays)-1,0))*(TIME(17,0,0)-TIME(8,0,0))+IF(NETWORKDAYS(NOW(),NOW(),UKBankHolidays)&gt;0,MEDIAN(TIME(8,0,0),MOD(NOW(),1),TIME(17,0,0)),TIME(8,0,0))-MEDIAN(TIME(8,0,0),MOD(L658,1),TIME(17,0,0)))),IF(M658&lt;&gt;"",M658-L658,NOW()-L658)))</f>
        <v>0</v>
      </c>
      <c r="AE658" s="169">
        <f t="shared" ca="1" si="96"/>
        <v>0.48947916666899499</v>
      </c>
      <c r="AF658" s="170">
        <f t="shared" ref="AF658:AF689" ca="1" si="109">(AE658*24)/9</f>
        <v>1.3052777777839866</v>
      </c>
      <c r="AG658" s="170">
        <f t="shared" ref="AG658:AG689" ca="1" si="110">AF658</f>
        <v>1.3052777777839866</v>
      </c>
      <c r="AH658" s="28" t="str" cm="1">
        <f t="array" aca="1" ref="AH658" ca="1">IF((AD658) &lt; (INDEX(ResponseSLA[#All],(MATCH((G658),ResponseSLA[Priority],0))+1,3)),"YES","No")</f>
        <v>YES</v>
      </c>
      <c r="AI658" s="28" t="str">
        <f ca="1">_xlfn.IFNA(IF(AE658 &lt; (INDEX(SLATable[Minimum SLA],MATCH(G658,SLATable[Priority],0))),"YES","NO"),"")</f>
        <v>NO</v>
      </c>
      <c r="AJ658" s="28"/>
    </row>
    <row r="659" spans="2:36" s="58" customFormat="1">
      <c r="B659" s="58" t="s">
        <v>26</v>
      </c>
      <c r="C659" s="58" t="s">
        <v>35</v>
      </c>
      <c r="D659" s="58" t="s">
        <v>207</v>
      </c>
      <c r="E659" s="312" t="s">
        <v>2373</v>
      </c>
      <c r="F659" s="58" t="s">
        <v>289</v>
      </c>
      <c r="G659" s="58">
        <v>3</v>
      </c>
      <c r="H659" s="312" t="s">
        <v>2374</v>
      </c>
      <c r="I659" s="58" t="s">
        <v>271</v>
      </c>
      <c r="J659" s="127" t="s">
        <v>1250</v>
      </c>
      <c r="K659" s="307">
        <v>46219.041238425925</v>
      </c>
      <c r="L659" s="311">
        <v>46219.049664351849</v>
      </c>
      <c r="M659" s="311">
        <v>46219.269490740742</v>
      </c>
      <c r="N659" s="311">
        <v>46219.308680555558</v>
      </c>
      <c r="O659" s="311"/>
      <c r="P659" s="311"/>
      <c r="Q659" s="312" t="s">
        <v>1062</v>
      </c>
      <c r="R659" s="58" t="s">
        <v>267</v>
      </c>
      <c r="S659" s="58" t="s">
        <v>149</v>
      </c>
      <c r="U659" s="58" t="s">
        <v>371</v>
      </c>
      <c r="Z659" s="169">
        <f t="shared" ca="1" si="104"/>
        <v>0</v>
      </c>
      <c r="AA659" s="170">
        <f t="shared" ca="1" si="105"/>
        <v>0</v>
      </c>
      <c r="AB659" s="169">
        <f t="shared" ca="1" si="106"/>
        <v>0</v>
      </c>
      <c r="AC659" s="170">
        <f t="shared" ca="1" si="107"/>
        <v>0</v>
      </c>
      <c r="AD659" s="169">
        <f t="shared" ca="1" si="108"/>
        <v>0</v>
      </c>
      <c r="AE659" s="169">
        <f t="shared" ca="1" si="96"/>
        <v>0</v>
      </c>
      <c r="AF659" s="170">
        <f t="shared" ca="1" si="109"/>
        <v>0</v>
      </c>
      <c r="AG659" s="170">
        <f t="shared" ca="1" si="110"/>
        <v>0</v>
      </c>
      <c r="AH659" s="28" t="str" cm="1">
        <f t="array" aca="1" ref="AH659" ca="1">IF((AD659) &lt; (INDEX(ResponseSLA[#All],(MATCH((G659),ResponseSLA[Priority],0))+1,3)),"YES","No")</f>
        <v>YES</v>
      </c>
      <c r="AI659" s="28" t="str">
        <f ca="1">_xlfn.IFNA(IF(AE659 &lt; (INDEX(SLATable[Minimum SLA],MATCH(G659,SLATable[Priority],0))),"YES","NO"),"")</f>
        <v>YES</v>
      </c>
      <c r="AJ659" s="28"/>
    </row>
    <row r="660" spans="2:36" s="58" customFormat="1">
      <c r="B660" s="58" t="s">
        <v>26</v>
      </c>
      <c r="C660" s="58" t="s">
        <v>35</v>
      </c>
      <c r="D660" s="58" t="s">
        <v>207</v>
      </c>
      <c r="E660" s="312" t="s">
        <v>2375</v>
      </c>
      <c r="F660" s="58" t="s">
        <v>289</v>
      </c>
      <c r="G660" s="58">
        <v>3</v>
      </c>
      <c r="H660" s="312" t="s">
        <v>2376</v>
      </c>
      <c r="I660" s="58" t="s">
        <v>271</v>
      </c>
      <c r="J660" s="127" t="s">
        <v>1250</v>
      </c>
      <c r="K660" s="307">
        <v>46219.035173611112</v>
      </c>
      <c r="L660" s="311">
        <v>46219.035231481481</v>
      </c>
      <c r="M660" s="311">
        <v>46219.263333333336</v>
      </c>
      <c r="N660" s="311">
        <v>46220.446238425924</v>
      </c>
      <c r="O660" s="311"/>
      <c r="P660" s="311"/>
      <c r="Q660" s="312" t="s">
        <v>1164</v>
      </c>
      <c r="R660" s="58" t="s">
        <v>267</v>
      </c>
      <c r="S660" s="58" t="s">
        <v>149</v>
      </c>
      <c r="U660" s="58" t="s">
        <v>371</v>
      </c>
      <c r="Z660" s="169">
        <f t="shared" ca="1" si="104"/>
        <v>0.48790509259076015</v>
      </c>
      <c r="AA660" s="170">
        <f t="shared" ca="1" si="105"/>
        <v>1.3010802469086937</v>
      </c>
      <c r="AB660" s="169">
        <f t="shared" ca="1" si="106"/>
        <v>0.48790509259076015</v>
      </c>
      <c r="AC660" s="170">
        <f t="shared" ca="1" si="107"/>
        <v>1.3010802469086937</v>
      </c>
      <c r="AD660" s="169">
        <f t="shared" ca="1" si="108"/>
        <v>0</v>
      </c>
      <c r="AE660" s="169">
        <f t="shared" ca="1" si="96"/>
        <v>0.48790509259076015</v>
      </c>
      <c r="AF660" s="170">
        <f t="shared" ca="1" si="109"/>
        <v>1.3010802469086937</v>
      </c>
      <c r="AG660" s="170">
        <f t="shared" ca="1" si="110"/>
        <v>1.3010802469086937</v>
      </c>
      <c r="AH660" s="28" t="str" cm="1">
        <f t="array" aca="1" ref="AH660" ca="1">IF((AD660) &lt; (INDEX(ResponseSLA[#All],(MATCH((G660),ResponseSLA[Priority],0))+1,3)),"YES","No")</f>
        <v>YES</v>
      </c>
      <c r="AI660" s="28" t="str">
        <f ca="1">_xlfn.IFNA(IF(AE660 &lt; (INDEX(SLATable[Minimum SLA],MATCH(G660,SLATable[Priority],0))),"YES","NO"),"")</f>
        <v>NO</v>
      </c>
      <c r="AJ660" s="28"/>
    </row>
    <row r="661" spans="2:36" s="58" customFormat="1">
      <c r="B661" s="58" t="s">
        <v>26</v>
      </c>
      <c r="C661" s="58" t="s">
        <v>35</v>
      </c>
      <c r="D661" s="58" t="s">
        <v>207</v>
      </c>
      <c r="E661" s="312" t="s">
        <v>2377</v>
      </c>
      <c r="F661" s="58" t="s">
        <v>292</v>
      </c>
      <c r="G661" s="58">
        <v>4</v>
      </c>
      <c r="H661" s="312" t="s">
        <v>1598</v>
      </c>
      <c r="I661" s="58" t="s">
        <v>271</v>
      </c>
      <c r="J661" s="127" t="s">
        <v>1250</v>
      </c>
      <c r="K661" s="311">
        <v>46215.361805555556</v>
      </c>
      <c r="L661" s="311">
        <v>46363.361805555556</v>
      </c>
      <c r="M661" s="311">
        <v>46216.275000000001</v>
      </c>
      <c r="N661" s="311">
        <v>46224.288888888892</v>
      </c>
      <c r="O661" s="311">
        <v>46220.43472222222</v>
      </c>
      <c r="P661" s="311">
        <v>46224.288888888892</v>
      </c>
      <c r="Q661" s="312" t="s">
        <v>1073</v>
      </c>
      <c r="R661" s="58" t="s">
        <v>267</v>
      </c>
      <c r="S661" s="58" t="s">
        <v>190</v>
      </c>
      <c r="U661" s="58" t="s">
        <v>371</v>
      </c>
      <c r="Z661" s="169">
        <f t="shared" ca="1" si="104"/>
        <v>1.6013888888871106</v>
      </c>
      <c r="AA661" s="170">
        <f t="shared" ca="1" si="105"/>
        <v>4.2703703703656286</v>
      </c>
      <c r="AB661" s="169">
        <f t="shared" ca="1" si="106"/>
        <v>0</v>
      </c>
      <c r="AC661" s="170">
        <f t="shared" ca="1" si="107"/>
        <v>0</v>
      </c>
      <c r="AD661" s="169">
        <f t="shared" ca="1" si="108"/>
        <v>0</v>
      </c>
      <c r="AE661" s="169">
        <f t="shared" ca="1" si="96"/>
        <v>0</v>
      </c>
      <c r="AF661" s="170">
        <f t="shared" ca="1" si="109"/>
        <v>0</v>
      </c>
      <c r="AG661" s="170">
        <f t="shared" ca="1" si="110"/>
        <v>0</v>
      </c>
      <c r="AH661" s="28" t="str" cm="1">
        <f t="array" aca="1" ref="AH661" ca="1">IF((AD661) &lt; (INDEX(ResponseSLA[#All],(MATCH((G661),ResponseSLA[Priority],0))+1,3)),"YES","No")</f>
        <v>YES</v>
      </c>
      <c r="AI661" s="28" t="str">
        <f ca="1">_xlfn.IFNA(IF(AE661 &lt; (INDEX(SLATable[Minimum SLA],MATCH(G661,SLATable[Priority],0))),"YES","NO"),"")</f>
        <v>YES</v>
      </c>
      <c r="AJ661" s="28"/>
    </row>
    <row r="662" spans="2:36" s="58" customFormat="1">
      <c r="B662" s="58" t="s">
        <v>26</v>
      </c>
      <c r="C662" s="58" t="s">
        <v>35</v>
      </c>
      <c r="D662" s="58" t="s">
        <v>207</v>
      </c>
      <c r="E662" s="312" t="s">
        <v>815</v>
      </c>
      <c r="F662" s="58" t="s">
        <v>295</v>
      </c>
      <c r="G662" s="58">
        <v>3</v>
      </c>
      <c r="H662" s="312" t="s">
        <v>816</v>
      </c>
      <c r="I662" s="58" t="s">
        <v>271</v>
      </c>
      <c r="J662" s="127" t="s">
        <v>1250</v>
      </c>
      <c r="K662" s="307">
        <v>46220.118055555555</v>
      </c>
      <c r="L662" s="311">
        <v>46220.118750000001</v>
      </c>
      <c r="M662" s="311">
        <v>46220.244444444441</v>
      </c>
      <c r="N662" s="311">
        <v>46224.31527777778</v>
      </c>
      <c r="O662" s="311"/>
      <c r="P662" s="311"/>
      <c r="Q662" s="312" t="s">
        <v>695</v>
      </c>
      <c r="R662" s="58" t="s">
        <v>267</v>
      </c>
      <c r="S662" s="58" t="s">
        <v>193</v>
      </c>
      <c r="U662" s="58" t="s">
        <v>371</v>
      </c>
      <c r="Z662" s="169">
        <f t="shared" ca="1" si="104"/>
        <v>0.75000000000000022</v>
      </c>
      <c r="AA662" s="170">
        <f t="shared" ca="1" si="105"/>
        <v>2.0000000000000009</v>
      </c>
      <c r="AB662" s="169">
        <f t="shared" ca="1" si="106"/>
        <v>0.75000000000000022</v>
      </c>
      <c r="AC662" s="170">
        <f t="shared" ca="1" si="107"/>
        <v>2.0000000000000009</v>
      </c>
      <c r="AD662" s="169">
        <f t="shared" ca="1" si="108"/>
        <v>0</v>
      </c>
      <c r="AE662" s="169">
        <f t="shared" ca="1" si="96"/>
        <v>0.75000000000000022</v>
      </c>
      <c r="AF662" s="170">
        <f t="shared" ca="1" si="109"/>
        <v>2.0000000000000009</v>
      </c>
      <c r="AG662" s="170">
        <f t="shared" ca="1" si="110"/>
        <v>2.0000000000000009</v>
      </c>
      <c r="AH662" s="28" t="str" cm="1">
        <f t="array" aca="1" ref="AH662" ca="1">IF((AD662) &lt; (INDEX(ResponseSLA[#All],(MATCH((G662),ResponseSLA[Priority],0))+1,3)),"YES","No")</f>
        <v>YES</v>
      </c>
      <c r="AI662" s="28" t="str">
        <f ca="1">_xlfn.IFNA(IF(AE662 &lt; (INDEX(SLATable[Minimum SLA],MATCH(G662,SLATable[Priority],0))),"YES","NO"),"")</f>
        <v>NO</v>
      </c>
      <c r="AJ662" s="28"/>
    </row>
    <row r="663" spans="2:36" s="58" customFormat="1">
      <c r="B663" s="58" t="s">
        <v>26</v>
      </c>
      <c r="C663" s="58" t="s">
        <v>35</v>
      </c>
      <c r="D663" s="58" t="s">
        <v>207</v>
      </c>
      <c r="E663" s="312" t="s">
        <v>817</v>
      </c>
      <c r="F663" s="58" t="s">
        <v>295</v>
      </c>
      <c r="G663" s="58">
        <v>3</v>
      </c>
      <c r="H663" s="312" t="s">
        <v>818</v>
      </c>
      <c r="I663" s="58" t="s">
        <v>271</v>
      </c>
      <c r="J663" s="127" t="s">
        <v>1250</v>
      </c>
      <c r="K663" s="307">
        <v>46220.118055555555</v>
      </c>
      <c r="L663" s="311">
        <v>46220.185416666667</v>
      </c>
      <c r="M663" s="311">
        <v>46220.251388888886</v>
      </c>
      <c r="N663" s="311">
        <v>46224.315972222219</v>
      </c>
      <c r="O663" s="311"/>
      <c r="P663" s="311"/>
      <c r="Q663" s="312" t="s">
        <v>695</v>
      </c>
      <c r="R663" s="58" t="s">
        <v>267</v>
      </c>
      <c r="S663" s="58" t="s">
        <v>193</v>
      </c>
      <c r="U663" s="58" t="s">
        <v>371</v>
      </c>
      <c r="Z663" s="169">
        <f t="shared" ca="1" si="104"/>
        <v>0.75000000000000022</v>
      </c>
      <c r="AA663" s="170">
        <f t="shared" ca="1" si="105"/>
        <v>2.0000000000000009</v>
      </c>
      <c r="AB663" s="169">
        <f t="shared" ca="1" si="106"/>
        <v>0.75000000000000022</v>
      </c>
      <c r="AC663" s="170">
        <f t="shared" ca="1" si="107"/>
        <v>2.0000000000000009</v>
      </c>
      <c r="AD663" s="169">
        <f t="shared" ca="1" si="108"/>
        <v>0</v>
      </c>
      <c r="AE663" s="169">
        <f t="shared" ca="1" si="96"/>
        <v>0.75000000000000022</v>
      </c>
      <c r="AF663" s="170">
        <f t="shared" ca="1" si="109"/>
        <v>2.0000000000000009</v>
      </c>
      <c r="AG663" s="170">
        <f t="shared" ca="1" si="110"/>
        <v>2.0000000000000009</v>
      </c>
      <c r="AH663" s="28" t="str" cm="1">
        <f t="array" aca="1" ref="AH663" ca="1">IF((AD663) &lt; (INDEX(ResponseSLA[#All],(MATCH((G663),ResponseSLA[Priority],0))+1,3)),"YES","No")</f>
        <v>YES</v>
      </c>
      <c r="AI663" s="28" t="str">
        <f ca="1">_xlfn.IFNA(IF(AE663 &lt; (INDEX(SLATable[Minimum SLA],MATCH(G663,SLATable[Priority],0))),"YES","NO"),"")</f>
        <v>NO</v>
      </c>
      <c r="AJ663" s="28"/>
    </row>
    <row r="664" spans="2:36" s="58" customFormat="1">
      <c r="B664" s="58" t="s">
        <v>26</v>
      </c>
      <c r="C664" s="58" t="s">
        <v>35</v>
      </c>
      <c r="D664" s="58" t="s">
        <v>207</v>
      </c>
      <c r="E664" s="312" t="s">
        <v>819</v>
      </c>
      <c r="F664" s="58" t="s">
        <v>295</v>
      </c>
      <c r="G664" s="58">
        <v>3</v>
      </c>
      <c r="H664" s="312" t="s">
        <v>820</v>
      </c>
      <c r="I664" s="58" t="s">
        <v>271</v>
      </c>
      <c r="J664" s="127" t="s">
        <v>1250</v>
      </c>
      <c r="K664" s="307">
        <v>46220.118055555555</v>
      </c>
      <c r="L664" s="311">
        <v>46220.118750000001</v>
      </c>
      <c r="M664" s="311">
        <v>46220.245138888888</v>
      </c>
      <c r="N664" s="311">
        <v>46224.315972222219</v>
      </c>
      <c r="O664" s="311"/>
      <c r="P664" s="311"/>
      <c r="Q664" s="312" t="s">
        <v>695</v>
      </c>
      <c r="R664" s="58" t="s">
        <v>267</v>
      </c>
      <c r="S664" s="58" t="s">
        <v>193</v>
      </c>
      <c r="U664" s="58" t="s">
        <v>371</v>
      </c>
      <c r="Z664" s="169">
        <f t="shared" ca="1" si="104"/>
        <v>0.75000000000000022</v>
      </c>
      <c r="AA664" s="170">
        <f t="shared" ca="1" si="105"/>
        <v>2.0000000000000009</v>
      </c>
      <c r="AB664" s="169">
        <f t="shared" ca="1" si="106"/>
        <v>0.75000000000000022</v>
      </c>
      <c r="AC664" s="170">
        <f t="shared" ca="1" si="107"/>
        <v>2.0000000000000009</v>
      </c>
      <c r="AD664" s="169">
        <f t="shared" ca="1" si="108"/>
        <v>0</v>
      </c>
      <c r="AE664" s="169">
        <f t="shared" ca="1" si="96"/>
        <v>0.75000000000000022</v>
      </c>
      <c r="AF664" s="170">
        <f t="shared" ca="1" si="109"/>
        <v>2.0000000000000009</v>
      </c>
      <c r="AG664" s="170">
        <f t="shared" ca="1" si="110"/>
        <v>2.0000000000000009</v>
      </c>
      <c r="AH664" s="28" t="str" cm="1">
        <f t="array" aca="1" ref="AH664" ca="1">IF((AD664) &lt; (INDEX(ResponseSLA[#All],(MATCH((G664),ResponseSLA[Priority],0))+1,3)),"YES","No")</f>
        <v>YES</v>
      </c>
      <c r="AI664" s="28" t="str">
        <f ca="1">_xlfn.IFNA(IF(AE664 &lt; (INDEX(SLATable[Minimum SLA],MATCH(G664,SLATable[Priority],0))),"YES","NO"),"")</f>
        <v>NO</v>
      </c>
      <c r="AJ664" s="28"/>
    </row>
    <row r="665" spans="2:36" s="58" customFormat="1">
      <c r="B665" s="58" t="s">
        <v>26</v>
      </c>
      <c r="C665" s="58" t="s">
        <v>35</v>
      </c>
      <c r="D665" s="58" t="s">
        <v>207</v>
      </c>
      <c r="E665" s="312" t="s">
        <v>821</v>
      </c>
      <c r="F665" s="58" t="s">
        <v>295</v>
      </c>
      <c r="G665" s="58">
        <v>3</v>
      </c>
      <c r="H665" s="312" t="s">
        <v>822</v>
      </c>
      <c r="I665" s="58" t="s">
        <v>271</v>
      </c>
      <c r="J665" s="127" t="s">
        <v>1250</v>
      </c>
      <c r="K665" s="307">
        <v>46220.118055555555</v>
      </c>
      <c r="L665" s="311">
        <v>46220.118750000001</v>
      </c>
      <c r="M665" s="311">
        <v>46220.245833333334</v>
      </c>
      <c r="N665" s="311">
        <v>46224.309027777781</v>
      </c>
      <c r="O665" s="311"/>
      <c r="P665" s="311"/>
      <c r="Q665" s="312" t="s">
        <v>695</v>
      </c>
      <c r="R665" s="58" t="s">
        <v>267</v>
      </c>
      <c r="S665" s="58" t="s">
        <v>193</v>
      </c>
      <c r="U665" s="58" t="s">
        <v>371</v>
      </c>
      <c r="Z665" s="169">
        <f t="shared" ca="1" si="104"/>
        <v>0.75000000000000022</v>
      </c>
      <c r="AA665" s="170">
        <f t="shared" ca="1" si="105"/>
        <v>2.0000000000000009</v>
      </c>
      <c r="AB665" s="169">
        <f t="shared" ca="1" si="106"/>
        <v>0.75000000000000022</v>
      </c>
      <c r="AC665" s="170">
        <f t="shared" ca="1" si="107"/>
        <v>2.0000000000000009</v>
      </c>
      <c r="AD665" s="169">
        <f t="shared" ca="1" si="108"/>
        <v>0</v>
      </c>
      <c r="AE665" s="169">
        <f t="shared" ca="1" si="96"/>
        <v>0.75000000000000022</v>
      </c>
      <c r="AF665" s="170">
        <f t="shared" ca="1" si="109"/>
        <v>2.0000000000000009</v>
      </c>
      <c r="AG665" s="170">
        <f t="shared" ca="1" si="110"/>
        <v>2.0000000000000009</v>
      </c>
      <c r="AH665" s="28" t="str" cm="1">
        <f t="array" aca="1" ref="AH665" ca="1">IF((AD665) &lt; (INDEX(ResponseSLA[#All],(MATCH((G665),ResponseSLA[Priority],0))+1,3)),"YES","No")</f>
        <v>YES</v>
      </c>
      <c r="AI665" s="28" t="str">
        <f ca="1">_xlfn.IFNA(IF(AE665 &lt; (INDEX(SLATable[Minimum SLA],MATCH(G665,SLATable[Priority],0))),"YES","NO"),"")</f>
        <v>NO</v>
      </c>
      <c r="AJ665" s="28"/>
    </row>
    <row r="666" spans="2:36" s="58" customFormat="1">
      <c r="B666" s="58" t="s">
        <v>26</v>
      </c>
      <c r="C666" s="58" t="s">
        <v>35</v>
      </c>
      <c r="D666" s="58" t="s">
        <v>207</v>
      </c>
      <c r="E666" s="312" t="s">
        <v>2378</v>
      </c>
      <c r="F666" s="58" t="s">
        <v>295</v>
      </c>
      <c r="G666" s="58">
        <v>3</v>
      </c>
      <c r="H666" s="312" t="s">
        <v>1210</v>
      </c>
      <c r="I666" s="58" t="s">
        <v>271</v>
      </c>
      <c r="J666" s="127" t="s">
        <v>1250</v>
      </c>
      <c r="K666" s="307">
        <v>46226.093055555553</v>
      </c>
      <c r="L666" s="311">
        <v>46226.093055555553</v>
      </c>
      <c r="M666" s="311">
        <v>46226.246527777781</v>
      </c>
      <c r="N666" s="311">
        <v>46227.436805555553</v>
      </c>
      <c r="O666" s="311"/>
      <c r="P666" s="311"/>
      <c r="Q666" s="312" t="s">
        <v>1211</v>
      </c>
      <c r="R666" s="58" t="s">
        <v>267</v>
      </c>
      <c r="S666" s="58" t="s">
        <v>149</v>
      </c>
      <c r="U666" s="58" t="s">
        <v>371</v>
      </c>
      <c r="Z666" s="169">
        <f t="shared" ca="1" si="104"/>
        <v>0.47847222221995861</v>
      </c>
      <c r="AA666" s="170">
        <f t="shared" ca="1" si="105"/>
        <v>1.2759259259198896</v>
      </c>
      <c r="AB666" s="169">
        <f t="shared" ca="1" si="106"/>
        <v>0.47847222221995861</v>
      </c>
      <c r="AC666" s="170">
        <f t="shared" ca="1" si="107"/>
        <v>1.2759259259198896</v>
      </c>
      <c r="AD666" s="169">
        <f t="shared" ca="1" si="108"/>
        <v>0</v>
      </c>
      <c r="AE666" s="169">
        <f t="shared" ca="1" si="96"/>
        <v>0.47847222221995861</v>
      </c>
      <c r="AF666" s="170">
        <f t="shared" ca="1" si="109"/>
        <v>1.2759259259198896</v>
      </c>
      <c r="AG666" s="170">
        <f t="shared" ca="1" si="110"/>
        <v>1.2759259259198896</v>
      </c>
      <c r="AH666" s="28" t="str" cm="1">
        <f t="array" aca="1" ref="AH666" ca="1">IF((AD666) &lt; (INDEX(ResponseSLA[#All],(MATCH((G666),ResponseSLA[Priority],0))+1,3)),"YES","No")</f>
        <v>YES</v>
      </c>
      <c r="AI666" s="28" t="str">
        <f ca="1">_xlfn.IFNA(IF(AE666 &lt; (INDEX(SLATable[Minimum SLA],MATCH(G666,SLATable[Priority],0))),"YES","NO"),"")</f>
        <v>NO</v>
      </c>
      <c r="AJ666" s="28"/>
    </row>
    <row r="667" spans="2:36" s="58" customFormat="1">
      <c r="B667" s="58" t="s">
        <v>26</v>
      </c>
      <c r="C667" s="58" t="s">
        <v>35</v>
      </c>
      <c r="D667" s="58" t="s">
        <v>207</v>
      </c>
      <c r="E667" s="312" t="s">
        <v>2379</v>
      </c>
      <c r="F667" s="58" t="s">
        <v>289</v>
      </c>
      <c r="G667" s="58">
        <v>4</v>
      </c>
      <c r="H667" s="312" t="s">
        <v>2380</v>
      </c>
      <c r="I667" s="58" t="s">
        <v>271</v>
      </c>
      <c r="J667" s="127" t="s">
        <v>1250</v>
      </c>
      <c r="K667" s="307">
        <v>46224.759722222225</v>
      </c>
      <c r="L667" s="311">
        <v>46224.760416666664</v>
      </c>
      <c r="M667" s="311">
        <v>46225.286111111112</v>
      </c>
      <c r="N667" s="311">
        <v>46233.263194444444</v>
      </c>
      <c r="O667" s="311"/>
      <c r="P667" s="311"/>
      <c r="Q667" s="312" t="s">
        <v>1104</v>
      </c>
      <c r="R667" s="58" t="s">
        <v>267</v>
      </c>
      <c r="S667" s="58" t="s">
        <v>199</v>
      </c>
      <c r="U667" s="58" t="s">
        <v>371</v>
      </c>
      <c r="Z667" s="169">
        <f t="shared" ca="1" si="104"/>
        <v>2.2500000000000004</v>
      </c>
      <c r="AA667" s="170">
        <f t="shared" ca="1" si="105"/>
        <v>6.0000000000000018</v>
      </c>
      <c r="AB667" s="169">
        <f t="shared" ca="1" si="106"/>
        <v>2.2500000000000004</v>
      </c>
      <c r="AC667" s="170">
        <f t="shared" ca="1" si="107"/>
        <v>6.0000000000000018</v>
      </c>
      <c r="AD667" s="169">
        <f t="shared" ca="1" si="108"/>
        <v>0</v>
      </c>
      <c r="AE667" s="169">
        <f t="shared" ca="1" si="96"/>
        <v>2.2500000000000004</v>
      </c>
      <c r="AF667" s="170">
        <f t="shared" ca="1" si="109"/>
        <v>6.0000000000000018</v>
      </c>
      <c r="AG667" s="170">
        <f t="shared" ca="1" si="110"/>
        <v>6.0000000000000018</v>
      </c>
      <c r="AH667" s="28" t="str" cm="1">
        <f t="array" aca="1" ref="AH667" ca="1">IF((AD667) &lt; (INDEX(ResponseSLA[#All],(MATCH((G667),ResponseSLA[Priority],0))+1,3)),"YES","No")</f>
        <v>YES</v>
      </c>
      <c r="AI667" s="28" t="str">
        <f ca="1">_xlfn.IFNA(IF(AE667 &lt; (INDEX(SLATable[Minimum SLA],MATCH(G667,SLATable[Priority],0))),"YES","NO"),"")</f>
        <v>YES</v>
      </c>
      <c r="AJ667" s="28"/>
    </row>
    <row r="668" spans="2:36" s="58" customFormat="1">
      <c r="B668" s="58" t="s">
        <v>26</v>
      </c>
      <c r="C668" s="58" t="s">
        <v>35</v>
      </c>
      <c r="D668" s="58" t="s">
        <v>207</v>
      </c>
      <c r="E668" s="312" t="s">
        <v>2381</v>
      </c>
      <c r="F668" s="58" t="s">
        <v>295</v>
      </c>
      <c r="G668" s="58">
        <v>3</v>
      </c>
      <c r="H668" s="312" t="s">
        <v>2382</v>
      </c>
      <c r="I668" s="58" t="s">
        <v>271</v>
      </c>
      <c r="J668" s="127" t="s">
        <v>1250</v>
      </c>
      <c r="K668" s="307">
        <v>46229.811805555553</v>
      </c>
      <c r="L668" s="311">
        <v>46229.811805555553</v>
      </c>
      <c r="M668" s="311">
        <v>46230.294444444444</v>
      </c>
      <c r="N668" s="311">
        <v>46231.425000000003</v>
      </c>
      <c r="O668" s="311"/>
      <c r="P668" s="311"/>
      <c r="Q668" s="312" t="s">
        <v>1203</v>
      </c>
      <c r="R668" s="58" t="s">
        <v>267</v>
      </c>
      <c r="S668" s="58" t="s">
        <v>149</v>
      </c>
      <c r="U668" s="58" t="s">
        <v>371</v>
      </c>
      <c r="Z668" s="169">
        <f t="shared" ca="1" si="104"/>
        <v>0.46666666666957707</v>
      </c>
      <c r="AA668" s="170">
        <f t="shared" ca="1" si="105"/>
        <v>1.2444444444522054</v>
      </c>
      <c r="AB668" s="169">
        <f t="shared" ca="1" si="106"/>
        <v>0.46666666666957707</v>
      </c>
      <c r="AC668" s="170">
        <f t="shared" ca="1" si="107"/>
        <v>1.2444444444522054</v>
      </c>
      <c r="AD668" s="169">
        <f t="shared" ca="1" si="108"/>
        <v>0</v>
      </c>
      <c r="AE668" s="169">
        <f t="shared" ca="1" si="96"/>
        <v>0.46666666666957707</v>
      </c>
      <c r="AF668" s="170">
        <f t="shared" ca="1" si="109"/>
        <v>1.2444444444522054</v>
      </c>
      <c r="AG668" s="170">
        <f t="shared" ca="1" si="110"/>
        <v>1.2444444444522054</v>
      </c>
      <c r="AH668" s="28" t="str" cm="1">
        <f t="array" aca="1" ref="AH668" ca="1">IF((AD668) &lt; (INDEX(ResponseSLA[#All],(MATCH((G668),ResponseSLA[Priority],0))+1,3)),"YES","No")</f>
        <v>YES</v>
      </c>
      <c r="AI668" s="28" t="str">
        <f ca="1">_xlfn.IFNA(IF(AE668 &lt; (INDEX(SLATable[Minimum SLA],MATCH(G668,SLATable[Priority],0))),"YES","NO"),"")</f>
        <v>NO</v>
      </c>
      <c r="AJ668" s="28"/>
    </row>
    <row r="669" spans="2:36" s="58" customFormat="1">
      <c r="B669" s="58" t="s">
        <v>26</v>
      </c>
      <c r="C669" s="58" t="s">
        <v>35</v>
      </c>
      <c r="D669" s="58" t="s">
        <v>207</v>
      </c>
      <c r="E669" s="312" t="s">
        <v>2383</v>
      </c>
      <c r="F669" s="58" t="s">
        <v>295</v>
      </c>
      <c r="G669" s="58">
        <v>3</v>
      </c>
      <c r="H669" s="312" t="s">
        <v>2342</v>
      </c>
      <c r="I669" s="58" t="s">
        <v>271</v>
      </c>
      <c r="J669" s="127" t="s">
        <v>1250</v>
      </c>
      <c r="K669" s="307">
        <v>46230.26458333333</v>
      </c>
      <c r="L669" s="311">
        <v>46230.26458333333</v>
      </c>
      <c r="M669" s="311">
        <v>46230.302083333336</v>
      </c>
      <c r="N669" s="311">
        <v>46231.431944444441</v>
      </c>
      <c r="O669" s="311"/>
      <c r="P669" s="311"/>
      <c r="Q669" s="312" t="s">
        <v>1211</v>
      </c>
      <c r="R669" s="58" t="s">
        <v>267</v>
      </c>
      <c r="S669" s="58" t="s">
        <v>149</v>
      </c>
      <c r="U669" s="58" t="s">
        <v>371</v>
      </c>
      <c r="Z669" s="169">
        <f t="shared" ca="1" si="104"/>
        <v>0.47361111110755399</v>
      </c>
      <c r="AA669" s="170">
        <f t="shared" ca="1" si="105"/>
        <v>1.2629629629534773</v>
      </c>
      <c r="AB669" s="169">
        <f t="shared" ca="1" si="106"/>
        <v>0.47361111110755399</v>
      </c>
      <c r="AC669" s="170">
        <f t="shared" ca="1" si="107"/>
        <v>1.2629629629534773</v>
      </c>
      <c r="AD669" s="169">
        <f t="shared" ca="1" si="108"/>
        <v>0</v>
      </c>
      <c r="AE669" s="169">
        <f t="shared" ca="1" si="96"/>
        <v>0.47361111110755399</v>
      </c>
      <c r="AF669" s="170">
        <f t="shared" ca="1" si="109"/>
        <v>1.2629629629534773</v>
      </c>
      <c r="AG669" s="170">
        <f t="shared" ca="1" si="110"/>
        <v>1.2629629629534773</v>
      </c>
      <c r="AH669" s="28" t="str" cm="1">
        <f t="array" aca="1" ref="AH669" ca="1">IF((AD669) &lt; (INDEX(ResponseSLA[#All],(MATCH((G669),ResponseSLA[Priority],0))+1,3)),"YES","No")</f>
        <v>YES</v>
      </c>
      <c r="AI669" s="28" t="str">
        <f ca="1">_xlfn.IFNA(IF(AE669 &lt; (INDEX(SLATable[Minimum SLA],MATCH(G669,SLATable[Priority],0))),"YES","NO"),"")</f>
        <v>NO</v>
      </c>
      <c r="AJ669" s="28"/>
    </row>
    <row r="670" spans="2:36" s="58" customFormat="1">
      <c r="B670" s="58" t="s">
        <v>26</v>
      </c>
      <c r="C670" s="58" t="s">
        <v>35</v>
      </c>
      <c r="D670" s="58" t="s">
        <v>207</v>
      </c>
      <c r="E670" s="312" t="s">
        <v>2384</v>
      </c>
      <c r="F670" s="58" t="s">
        <v>292</v>
      </c>
      <c r="G670" s="58">
        <v>3</v>
      </c>
      <c r="H670" s="312" t="s">
        <v>1312</v>
      </c>
      <c r="I670" s="58" t="s">
        <v>271</v>
      </c>
      <c r="J670" s="127" t="s">
        <v>1250</v>
      </c>
      <c r="K670" s="307">
        <v>46230.473611111112</v>
      </c>
      <c r="L670" s="311">
        <v>46230.473611111112</v>
      </c>
      <c r="M670" s="311">
        <v>46230.48541666667</v>
      </c>
      <c r="N670" s="311">
        <v>46232.50277777778</v>
      </c>
      <c r="O670" s="311"/>
      <c r="P670" s="311"/>
      <c r="Q670" s="312" t="s">
        <v>1073</v>
      </c>
      <c r="R670" s="58" t="s">
        <v>267</v>
      </c>
      <c r="S670" s="58" t="s">
        <v>149</v>
      </c>
      <c r="U670" s="58" t="s">
        <v>371</v>
      </c>
      <c r="Z670" s="169">
        <f t="shared" ca="1" si="104"/>
        <v>0.77916666666715173</v>
      </c>
      <c r="AA670" s="170">
        <f t="shared" ca="1" si="105"/>
        <v>2.0777777777790711</v>
      </c>
      <c r="AB670" s="169">
        <f t="shared" ca="1" si="106"/>
        <v>0.77916666666715173</v>
      </c>
      <c r="AC670" s="170">
        <f t="shared" ca="1" si="107"/>
        <v>2.0777777777790711</v>
      </c>
      <c r="AD670" s="169">
        <f t="shared" ca="1" si="108"/>
        <v>1.1805555557657499E-2</v>
      </c>
      <c r="AE670" s="169">
        <f t="shared" ca="1" si="96"/>
        <v>0.77916666666715173</v>
      </c>
      <c r="AF670" s="170">
        <f t="shared" ca="1" si="109"/>
        <v>2.0777777777790711</v>
      </c>
      <c r="AG670" s="170">
        <f t="shared" ca="1" si="110"/>
        <v>2.0777777777790711</v>
      </c>
      <c r="AH670" s="28" t="str" cm="1">
        <f t="array" aca="1" ref="AH670" ca="1">IF((AD670) &lt; (INDEX(ResponseSLA[#All],(MATCH((G670),ResponseSLA[Priority],0))+1,3)),"YES","No")</f>
        <v>YES</v>
      </c>
      <c r="AI670" s="28" t="str">
        <f ca="1">_xlfn.IFNA(IF(AE670 &lt; (INDEX(SLATable[Minimum SLA],MATCH(G670,SLATable[Priority],0))),"YES","NO"),"")</f>
        <v>NO</v>
      </c>
      <c r="AJ670" s="28"/>
    </row>
    <row r="671" spans="2:36" s="58" customFormat="1">
      <c r="B671" s="58" t="s">
        <v>26</v>
      </c>
      <c r="C671" s="58" t="s">
        <v>35</v>
      </c>
      <c r="D671" s="58" t="s">
        <v>207</v>
      </c>
      <c r="E671" s="312" t="s">
        <v>2385</v>
      </c>
      <c r="F671" s="58" t="s">
        <v>295</v>
      </c>
      <c r="G671" s="58">
        <v>3</v>
      </c>
      <c r="H671" s="312" t="s">
        <v>2386</v>
      </c>
      <c r="I671" s="58" t="s">
        <v>271</v>
      </c>
      <c r="J671" s="127" t="s">
        <v>1250</v>
      </c>
      <c r="K671" s="307">
        <v>46231.149305555555</v>
      </c>
      <c r="L671" s="311">
        <v>46231.149305555555</v>
      </c>
      <c r="M671" s="311">
        <v>46231.297222222223</v>
      </c>
      <c r="N671" s="311">
        <v>46231.428472222222</v>
      </c>
      <c r="O671" s="311"/>
      <c r="P671" s="311"/>
      <c r="Q671" s="312" t="s">
        <v>1203</v>
      </c>
      <c r="R671" s="58" t="s">
        <v>267</v>
      </c>
      <c r="S671" s="58" t="s">
        <v>149</v>
      </c>
      <c r="U671" s="58" t="s">
        <v>371</v>
      </c>
      <c r="Z671" s="169">
        <f t="shared" ca="1" si="104"/>
        <v>9.5138888888565531E-2</v>
      </c>
      <c r="AA671" s="170">
        <f t="shared" ca="1" si="105"/>
        <v>0.2537037037028414</v>
      </c>
      <c r="AB671" s="169">
        <f t="shared" ca="1" si="106"/>
        <v>9.5138888888565531E-2</v>
      </c>
      <c r="AC671" s="170">
        <f t="shared" ca="1" si="107"/>
        <v>0.2537037037028414</v>
      </c>
      <c r="AD671" s="169">
        <f t="shared" ca="1" si="108"/>
        <v>0</v>
      </c>
      <c r="AE671" s="169">
        <f t="shared" ca="1" si="96"/>
        <v>9.5138888888565531E-2</v>
      </c>
      <c r="AF671" s="170">
        <f t="shared" ca="1" si="109"/>
        <v>0.2537037037028414</v>
      </c>
      <c r="AG671" s="170">
        <f t="shared" ca="1" si="110"/>
        <v>0.2537037037028414</v>
      </c>
      <c r="AH671" s="28" t="str" cm="1">
        <f t="array" aca="1" ref="AH671" ca="1">IF((AD671) &lt; (INDEX(ResponseSLA[#All],(MATCH((G671),ResponseSLA[Priority],0))+1,3)),"YES","No")</f>
        <v>YES</v>
      </c>
      <c r="AI671" s="28" t="str">
        <f ca="1">_xlfn.IFNA(IF(AE671 &lt; (INDEX(SLATable[Minimum SLA],MATCH(G671,SLATable[Priority],0))),"YES","NO"),"")</f>
        <v>YES</v>
      </c>
      <c r="AJ671" s="28"/>
    </row>
    <row r="672" spans="2:36" s="58" customFormat="1">
      <c r="B672" s="58" t="s">
        <v>26</v>
      </c>
      <c r="C672" s="58" t="s">
        <v>35</v>
      </c>
      <c r="D672" s="58" t="s">
        <v>207</v>
      </c>
      <c r="E672" s="312" t="s">
        <v>2387</v>
      </c>
      <c r="F672" s="58" t="s">
        <v>292</v>
      </c>
      <c r="G672" s="58">
        <v>3</v>
      </c>
      <c r="H672" s="312" t="s">
        <v>2388</v>
      </c>
      <c r="I672" s="58" t="s">
        <v>271</v>
      </c>
      <c r="J672" s="127" t="s">
        <v>1250</v>
      </c>
      <c r="K672" s="307">
        <v>46232.686805555553</v>
      </c>
      <c r="L672" s="311">
        <v>46232.6875</v>
      </c>
      <c r="M672" s="311">
        <v>46233.259027777778</v>
      </c>
      <c r="N672" s="311">
        <v>46233.477083333331</v>
      </c>
      <c r="O672" s="311"/>
      <c r="P672" s="311"/>
      <c r="Q672" s="312" t="s">
        <v>1073</v>
      </c>
      <c r="R672" s="58" t="s">
        <v>267</v>
      </c>
      <c r="S672" s="58" t="s">
        <v>149</v>
      </c>
      <c r="U672" s="58" t="s">
        <v>371</v>
      </c>
      <c r="Z672" s="169">
        <f t="shared" ca="1" si="104"/>
        <v>0.16527777777810115</v>
      </c>
      <c r="AA672" s="170">
        <f t="shared" ca="1" si="105"/>
        <v>0.44074074074160308</v>
      </c>
      <c r="AB672" s="169">
        <f t="shared" ca="1" si="106"/>
        <v>0.16458333333139308</v>
      </c>
      <c r="AC672" s="170">
        <f t="shared" ca="1" si="107"/>
        <v>0.43888888888371486</v>
      </c>
      <c r="AD672" s="169">
        <f t="shared" ca="1" si="108"/>
        <v>2.083333333333337E-2</v>
      </c>
      <c r="AE672" s="169">
        <f t="shared" ca="1" si="96"/>
        <v>0.16458333333139308</v>
      </c>
      <c r="AF672" s="170">
        <f t="shared" ca="1" si="109"/>
        <v>0.43888888888371486</v>
      </c>
      <c r="AG672" s="170">
        <f t="shared" ca="1" si="110"/>
        <v>0.43888888888371486</v>
      </c>
      <c r="AH672" s="28" t="str" cm="1">
        <f t="array" aca="1" ref="AH672" ca="1">IF((AD672) &lt; (INDEX(ResponseSLA[#All],(MATCH((G672),ResponseSLA[Priority],0))+1,3)),"YES","No")</f>
        <v>YES</v>
      </c>
      <c r="AI672" s="28" t="str">
        <f ca="1">_xlfn.IFNA(IF(AE672 &lt; (INDEX(SLATable[Minimum SLA],MATCH(G672,SLATable[Priority],0))),"YES","NO"),"")</f>
        <v>YES</v>
      </c>
      <c r="AJ672" s="28"/>
    </row>
    <row r="673" spans="2:36" s="58" customFormat="1">
      <c r="B673" s="58" t="s">
        <v>26</v>
      </c>
      <c r="C673" s="58" t="s">
        <v>35</v>
      </c>
      <c r="D673" s="58" t="s">
        <v>208</v>
      </c>
      <c r="E673" s="312" t="s">
        <v>2202</v>
      </c>
      <c r="F673" s="58" t="s">
        <v>303</v>
      </c>
      <c r="G673" s="58" t="s">
        <v>208</v>
      </c>
      <c r="H673" s="312" t="s">
        <v>2203</v>
      </c>
      <c r="I673" s="58" t="s">
        <v>271</v>
      </c>
      <c r="J673" s="127" t="s">
        <v>1250</v>
      </c>
      <c r="K673" s="311">
        <v>46174.254166666666</v>
      </c>
      <c r="L673" s="311">
        <v>46174.254189814812</v>
      </c>
      <c r="M673" s="311">
        <v>46175.443055555559</v>
      </c>
      <c r="N673" s="311">
        <v>46212.415358796294</v>
      </c>
      <c r="O673" s="311"/>
      <c r="P673" s="311"/>
      <c r="Q673" s="312" t="s">
        <v>1247</v>
      </c>
      <c r="R673" s="58" t="s">
        <v>267</v>
      </c>
      <c r="S673" s="58" t="s">
        <v>179</v>
      </c>
      <c r="U673" s="58" t="s">
        <v>371</v>
      </c>
      <c r="Z673" s="169">
        <f t="shared" ca="1" si="104"/>
        <v>10.582025462960399</v>
      </c>
      <c r="AA673" s="170">
        <f t="shared" ca="1" si="105"/>
        <v>28.218734567894398</v>
      </c>
      <c r="AB673" s="169">
        <f t="shared" ca="1" si="106"/>
        <v>10.582025462960399</v>
      </c>
      <c r="AC673" s="170">
        <f t="shared" ca="1" si="107"/>
        <v>28.218734567894398</v>
      </c>
      <c r="AD673" s="169">
        <f t="shared" ca="1" si="108"/>
        <v>0.48472222222577938</v>
      </c>
      <c r="AE673" s="169">
        <f t="shared" ca="1" si="96"/>
        <v>33.272770486105102</v>
      </c>
      <c r="AF673" s="170">
        <f t="shared" ca="1" si="109"/>
        <v>88.727387962946935</v>
      </c>
      <c r="AG673" s="170">
        <f t="shared" ca="1" si="110"/>
        <v>88.727387962946935</v>
      </c>
      <c r="AH673" s="28" t="str" cm="1">
        <f t="array" aca="1" ref="AH673" ca="1">IF((AD673) &lt; (INDEX(ResponseSLA[#All],(MATCH((G673),ResponseSLA[Priority],0))+1,3)),"YES","No")</f>
        <v>No</v>
      </c>
      <c r="AI673" s="28" t="str">
        <f ca="1">_xlfn.IFNA(IF(AE673 &lt; (INDEX(SLATable[Minimum SLA],MATCH(G673,SLATable[Priority],0))),"YES","NO"),"")</f>
        <v>NO</v>
      </c>
      <c r="AJ673" s="28"/>
    </row>
    <row r="674" spans="2:36" s="58" customFormat="1">
      <c r="B674" s="58" t="s">
        <v>26</v>
      </c>
      <c r="C674" s="58" t="s">
        <v>35</v>
      </c>
      <c r="D674" s="58" t="s">
        <v>208</v>
      </c>
      <c r="E674" s="312" t="s">
        <v>2205</v>
      </c>
      <c r="F674" s="58" t="s">
        <v>303</v>
      </c>
      <c r="G674" s="58" t="s">
        <v>208</v>
      </c>
      <c r="H674" s="312" t="s">
        <v>2206</v>
      </c>
      <c r="I674" s="58" t="s">
        <v>271</v>
      </c>
      <c r="J674" s="127" t="s">
        <v>1250</v>
      </c>
      <c r="K674" s="311">
        <v>46181.254166666666</v>
      </c>
      <c r="L674" s="311">
        <v>46181.254166666666</v>
      </c>
      <c r="M674" s="311">
        <v>46181.561111111114</v>
      </c>
      <c r="N674" s="311">
        <v>46212.416828703703</v>
      </c>
      <c r="O674" s="311"/>
      <c r="P674" s="311"/>
      <c r="Q674" s="312" t="s">
        <v>1247</v>
      </c>
      <c r="R674" s="58" t="s">
        <v>267</v>
      </c>
      <c r="S674" s="58" t="s">
        <v>179</v>
      </c>
      <c r="U674" s="58" t="s">
        <v>371</v>
      </c>
      <c r="Z674" s="169">
        <f t="shared" ca="1" si="104"/>
        <v>8.7084953703694445</v>
      </c>
      <c r="AA674" s="170">
        <f t="shared" ca="1" si="105"/>
        <v>23.222654320985185</v>
      </c>
      <c r="AB674" s="169">
        <f t="shared" ca="1" si="106"/>
        <v>8.7084953703694445</v>
      </c>
      <c r="AC674" s="170">
        <f t="shared" ca="1" si="107"/>
        <v>23.222654320985185</v>
      </c>
      <c r="AD674" s="169">
        <f t="shared" ca="1" si="108"/>
        <v>0.22777777778052649</v>
      </c>
      <c r="AE674" s="169">
        <f t="shared" ca="1" si="96"/>
        <v>29.780698726851071</v>
      </c>
      <c r="AF674" s="170">
        <f t="shared" ca="1" si="109"/>
        <v>79.415196604936185</v>
      </c>
      <c r="AG674" s="170">
        <f t="shared" ca="1" si="110"/>
        <v>79.415196604936185</v>
      </c>
      <c r="AH674" s="28" t="str" cm="1">
        <f t="array" aca="1" ref="AH674" ca="1">IF((AD674) &lt; (INDEX(ResponseSLA[#All],(MATCH((G674),ResponseSLA[Priority],0))+1,3)),"YES","No")</f>
        <v>YES</v>
      </c>
      <c r="AI674" s="28" t="str">
        <f ca="1">_xlfn.IFNA(IF(AE674 &lt; (INDEX(SLATable[Minimum SLA],MATCH(G674,SLATable[Priority],0))),"YES","NO"),"")</f>
        <v>NO</v>
      </c>
      <c r="AJ674" s="28"/>
    </row>
    <row r="675" spans="2:36" s="58" customFormat="1">
      <c r="B675" s="58" t="s">
        <v>26</v>
      </c>
      <c r="C675" s="58" t="s">
        <v>35</v>
      </c>
      <c r="D675" s="58" t="s">
        <v>208</v>
      </c>
      <c r="E675" s="312" t="s">
        <v>2207</v>
      </c>
      <c r="F675" s="58" t="s">
        <v>303</v>
      </c>
      <c r="G675" s="58" t="s">
        <v>208</v>
      </c>
      <c r="H675" s="312" t="s">
        <v>2208</v>
      </c>
      <c r="I675" s="58" t="s">
        <v>271</v>
      </c>
      <c r="J675" s="127" t="s">
        <v>1250</v>
      </c>
      <c r="K675" s="311">
        <v>46181.256249999999</v>
      </c>
      <c r="L675" s="311">
        <v>46181.256712962961</v>
      </c>
      <c r="M675" s="311">
        <v>46181.5625</v>
      </c>
      <c r="N675" s="311">
        <v>46213.321134259262</v>
      </c>
      <c r="O675" s="311"/>
      <c r="P675" s="311"/>
      <c r="Q675" s="312" t="s">
        <v>1251</v>
      </c>
      <c r="R675" s="58" t="s">
        <v>267</v>
      </c>
      <c r="S675" s="58" t="s">
        <v>179</v>
      </c>
      <c r="U675" s="58" t="s">
        <v>371</v>
      </c>
      <c r="Z675" s="169">
        <f t="shared" ca="1" si="104"/>
        <v>9.0000000000000018</v>
      </c>
      <c r="AA675" s="170">
        <f t="shared" ca="1" si="105"/>
        <v>24.000000000000007</v>
      </c>
      <c r="AB675" s="169">
        <f t="shared" ca="1" si="106"/>
        <v>9.0000000000000018</v>
      </c>
      <c r="AC675" s="170">
        <f t="shared" ca="1" si="107"/>
        <v>24.000000000000007</v>
      </c>
      <c r="AD675" s="169">
        <f t="shared" ca="1" si="108"/>
        <v>0.22916666666666669</v>
      </c>
      <c r="AE675" s="169">
        <f t="shared" ca="1" si="96"/>
        <v>30.071057523142379</v>
      </c>
      <c r="AF675" s="170">
        <f t="shared" ca="1" si="109"/>
        <v>80.189486728379677</v>
      </c>
      <c r="AG675" s="170">
        <f t="shared" ca="1" si="110"/>
        <v>80.189486728379677</v>
      </c>
      <c r="AH675" s="28" t="str" cm="1">
        <f t="array" aca="1" ref="AH675" ca="1">IF((AD675) &lt; (INDEX(ResponseSLA[#All],(MATCH((G675),ResponseSLA[Priority],0))+1,3)),"YES","No")</f>
        <v>YES</v>
      </c>
      <c r="AI675" s="28" t="str">
        <f ca="1">_xlfn.IFNA(IF(AE675 &lt; (INDEX(SLATable[Minimum SLA],MATCH(G675,SLATable[Priority],0))),"YES","NO"),"")</f>
        <v>NO</v>
      </c>
      <c r="AJ675" s="28"/>
    </row>
    <row r="676" spans="2:36" s="58" customFormat="1">
      <c r="B676" s="58" t="s">
        <v>26</v>
      </c>
      <c r="C676" s="58" t="s">
        <v>35</v>
      </c>
      <c r="D676" s="58" t="s">
        <v>208</v>
      </c>
      <c r="E676" s="312" t="s">
        <v>2209</v>
      </c>
      <c r="F676" s="58" t="s">
        <v>303</v>
      </c>
      <c r="G676" s="58" t="s">
        <v>208</v>
      </c>
      <c r="H676" s="312" t="s">
        <v>2210</v>
      </c>
      <c r="I676" s="58" t="s">
        <v>271</v>
      </c>
      <c r="J676" s="127" t="s">
        <v>1250</v>
      </c>
      <c r="K676" s="311">
        <v>46188.253472222219</v>
      </c>
      <c r="L676" s="311">
        <v>46188.253958333335</v>
      </c>
      <c r="M676" s="311">
        <v>46189.32916666667</v>
      </c>
      <c r="N676" s="311">
        <v>46212.410601851851</v>
      </c>
      <c r="O676" s="311"/>
      <c r="P676" s="311"/>
      <c r="Q676" s="312" t="s">
        <v>1247</v>
      </c>
      <c r="R676" s="58" t="s">
        <v>267</v>
      </c>
      <c r="S676" s="58" t="s">
        <v>179</v>
      </c>
      <c r="U676" s="58" t="s">
        <v>371</v>
      </c>
      <c r="Z676" s="169">
        <f t="shared" ca="1" si="104"/>
        <v>6.8272685185171831</v>
      </c>
      <c r="AA676" s="170">
        <f t="shared" ca="1" si="105"/>
        <v>18.206049382712489</v>
      </c>
      <c r="AB676" s="169">
        <f t="shared" ca="1" si="106"/>
        <v>6.8272685185171831</v>
      </c>
      <c r="AC676" s="170">
        <f t="shared" ca="1" si="107"/>
        <v>18.206049382712489</v>
      </c>
      <c r="AD676" s="169">
        <f t="shared" ca="1" si="108"/>
        <v>0.37500000000000006</v>
      </c>
      <c r="AE676" s="169">
        <f t="shared" ca="1" si="96"/>
        <v>25.877909374995706</v>
      </c>
      <c r="AF676" s="170">
        <f t="shared" ca="1" si="109"/>
        <v>69.007758333321874</v>
      </c>
      <c r="AG676" s="170">
        <f t="shared" ca="1" si="110"/>
        <v>69.007758333321874</v>
      </c>
      <c r="AH676" s="28" t="str" cm="1">
        <f t="array" aca="1" ref="AH676" ca="1">IF((AD676) &lt; (INDEX(ResponseSLA[#All],(MATCH((G676),ResponseSLA[Priority],0))+1,3)),"YES","No")</f>
        <v>No</v>
      </c>
      <c r="AI676" s="28" t="str">
        <f ca="1">_xlfn.IFNA(IF(AE676 &lt; (INDEX(SLATable[Minimum SLA],MATCH(G676,SLATable[Priority],0))),"YES","NO"),"")</f>
        <v>NO</v>
      </c>
      <c r="AJ676" s="28"/>
    </row>
    <row r="677" spans="2:36" s="58" customFormat="1">
      <c r="B677" s="58" t="s">
        <v>26</v>
      </c>
      <c r="C677" s="58" t="s">
        <v>35</v>
      </c>
      <c r="D677" s="58" t="s">
        <v>208</v>
      </c>
      <c r="E677" s="312" t="s">
        <v>2211</v>
      </c>
      <c r="F677" s="58" t="s">
        <v>303</v>
      </c>
      <c r="G677" s="58" t="s">
        <v>208</v>
      </c>
      <c r="H677" s="312" t="s">
        <v>2212</v>
      </c>
      <c r="I677" s="58" t="s">
        <v>271</v>
      </c>
      <c r="J677" s="127" t="s">
        <v>1250</v>
      </c>
      <c r="K677" s="311">
        <v>46188.256944444445</v>
      </c>
      <c r="L677" s="311">
        <v>46188.257152777776</v>
      </c>
      <c r="M677" s="311">
        <v>46189.32916666667</v>
      </c>
      <c r="N677" s="311">
        <v>46213.322326388887</v>
      </c>
      <c r="O677" s="311"/>
      <c r="P677" s="311"/>
      <c r="Q677" s="312" t="s">
        <v>1251</v>
      </c>
      <c r="R677" s="58" t="s">
        <v>267</v>
      </c>
      <c r="S677" s="58" t="s">
        <v>179</v>
      </c>
      <c r="U677" s="58" t="s">
        <v>371</v>
      </c>
      <c r="Z677" s="169">
        <f t="shared" ca="1" si="104"/>
        <v>7.1250000000000009</v>
      </c>
      <c r="AA677" s="170">
        <f t="shared" ca="1" si="105"/>
        <v>19.000000000000004</v>
      </c>
      <c r="AB677" s="169">
        <f t="shared" ca="1" si="106"/>
        <v>7.1250000000000009</v>
      </c>
      <c r="AC677" s="170">
        <f t="shared" ca="1" si="107"/>
        <v>19.000000000000004</v>
      </c>
      <c r="AD677" s="169">
        <f t="shared" ca="1" si="108"/>
        <v>0.37500000000000006</v>
      </c>
      <c r="AE677" s="169">
        <f t="shared" ca="1" si="96"/>
        <v>26.175640856478523</v>
      </c>
      <c r="AF677" s="170">
        <f t="shared" ca="1" si="109"/>
        <v>69.801708950609395</v>
      </c>
      <c r="AG677" s="170">
        <f t="shared" ca="1" si="110"/>
        <v>69.801708950609395</v>
      </c>
      <c r="AH677" s="28" t="str" cm="1">
        <f t="array" aca="1" ref="AH677" ca="1">IF((AD677) &lt; (INDEX(ResponseSLA[#All],(MATCH((G677),ResponseSLA[Priority],0))+1,3)),"YES","No")</f>
        <v>No</v>
      </c>
      <c r="AI677" s="28" t="str">
        <f ca="1">_xlfn.IFNA(IF(AE677 &lt; (INDEX(SLATable[Minimum SLA],MATCH(G677,SLATable[Priority],0))),"YES","NO"),"")</f>
        <v>NO</v>
      </c>
      <c r="AJ677" s="28"/>
    </row>
    <row r="678" spans="2:36" s="58" customFormat="1">
      <c r="B678" s="58" t="s">
        <v>26</v>
      </c>
      <c r="C678" s="58" t="s">
        <v>35</v>
      </c>
      <c r="D678" s="58" t="s">
        <v>208</v>
      </c>
      <c r="E678" s="312" t="s">
        <v>2213</v>
      </c>
      <c r="F678" s="58" t="s">
        <v>303</v>
      </c>
      <c r="G678" s="58" t="s">
        <v>208</v>
      </c>
      <c r="H678" s="312" t="s">
        <v>2214</v>
      </c>
      <c r="I678" s="58" t="s">
        <v>271</v>
      </c>
      <c r="J678" s="127" t="s">
        <v>1250</v>
      </c>
      <c r="K678" s="311">
        <v>46195.256249999999</v>
      </c>
      <c r="L678" s="311">
        <v>46195.256712962961</v>
      </c>
      <c r="M678" s="311">
        <v>46195.54791666667</v>
      </c>
      <c r="N678" s="311">
        <v>46213.410486111112</v>
      </c>
      <c r="O678" s="311"/>
      <c r="P678" s="311"/>
      <c r="Q678" s="312" t="s">
        <v>1534</v>
      </c>
      <c r="R678" s="58" t="s">
        <v>267</v>
      </c>
      <c r="S678" s="58" t="s">
        <v>179</v>
      </c>
      <c r="U678" s="58" t="s">
        <v>371</v>
      </c>
      <c r="Z678" s="169">
        <f t="shared" ca="1" si="104"/>
        <v>5.3271527777784904</v>
      </c>
      <c r="AA678" s="170">
        <f t="shared" ca="1" si="105"/>
        <v>14.205740740742641</v>
      </c>
      <c r="AB678" s="169">
        <f t="shared" ca="1" si="106"/>
        <v>5.3271527777784904</v>
      </c>
      <c r="AC678" s="170">
        <f t="shared" ca="1" si="107"/>
        <v>14.205740740742641</v>
      </c>
      <c r="AD678" s="169">
        <f t="shared" ca="1" si="108"/>
        <v>0.2145833333367288</v>
      </c>
      <c r="AE678" s="169">
        <f t="shared" ca="1" si="96"/>
        <v>22.663210300920284</v>
      </c>
      <c r="AF678" s="170">
        <f t="shared" ca="1" si="109"/>
        <v>60.435227469120754</v>
      </c>
      <c r="AG678" s="170">
        <f t="shared" ca="1" si="110"/>
        <v>60.435227469120754</v>
      </c>
      <c r="AH678" s="28" t="str" cm="1">
        <f t="array" aca="1" ref="AH678" ca="1">IF((AD678) &lt; (INDEX(ResponseSLA[#All],(MATCH((G678),ResponseSLA[Priority],0))+1,3)),"YES","No")</f>
        <v>YES</v>
      </c>
      <c r="AI678" s="28" t="str">
        <f ca="1">_xlfn.IFNA(IF(AE678 &lt; (INDEX(SLATable[Minimum SLA],MATCH(G678,SLATable[Priority],0))),"YES","NO"),"")</f>
        <v>NO</v>
      </c>
      <c r="AJ678" s="28"/>
    </row>
    <row r="679" spans="2:36" s="58" customFormat="1">
      <c r="B679" s="58" t="s">
        <v>26</v>
      </c>
      <c r="C679" s="58" t="s">
        <v>35</v>
      </c>
      <c r="D679" s="58" t="s">
        <v>208</v>
      </c>
      <c r="E679" s="312" t="s">
        <v>2215</v>
      </c>
      <c r="F679" s="58" t="s">
        <v>303</v>
      </c>
      <c r="G679" s="58" t="s">
        <v>208</v>
      </c>
      <c r="H679" s="312" t="s">
        <v>2216</v>
      </c>
      <c r="I679" s="58" t="s">
        <v>271</v>
      </c>
      <c r="J679" s="127" t="s">
        <v>1250</v>
      </c>
      <c r="K679" s="311">
        <v>46195.256249999999</v>
      </c>
      <c r="L679" s="311">
        <v>46195.256898148145</v>
      </c>
      <c r="M679" s="311">
        <v>46195.546527777777</v>
      </c>
      <c r="N679" s="311">
        <v>46213.352685185186</v>
      </c>
      <c r="O679" s="311"/>
      <c r="P679" s="311"/>
      <c r="Q679" s="312" t="s">
        <v>1257</v>
      </c>
      <c r="R679" s="58" t="s">
        <v>267</v>
      </c>
      <c r="S679" s="58" t="s">
        <v>179</v>
      </c>
      <c r="U679" s="58" t="s">
        <v>371</v>
      </c>
      <c r="Z679" s="169">
        <f t="shared" ca="1" si="104"/>
        <v>5.2693518518523597</v>
      </c>
      <c r="AA679" s="170">
        <f t="shared" ca="1" si="105"/>
        <v>14.051604938272959</v>
      </c>
      <c r="AB679" s="169">
        <f t="shared" ca="1" si="106"/>
        <v>5.2693518518523597</v>
      </c>
      <c r="AC679" s="170">
        <f t="shared" ca="1" si="107"/>
        <v>14.051604938272959</v>
      </c>
      <c r="AD679" s="169">
        <f t="shared" ca="1" si="108"/>
        <v>0.21319444444331265</v>
      </c>
      <c r="AE679" s="169">
        <f t="shared" ca="1" si="96"/>
        <v>22.60670567129516</v>
      </c>
      <c r="AF679" s="170">
        <f t="shared" ca="1" si="109"/>
        <v>60.284548456787093</v>
      </c>
      <c r="AG679" s="170">
        <f t="shared" ca="1" si="110"/>
        <v>60.284548456787093</v>
      </c>
      <c r="AH679" s="28" t="str" cm="1">
        <f t="array" aca="1" ref="AH679" ca="1">IF((AD679) &lt; (INDEX(ResponseSLA[#All],(MATCH((G679),ResponseSLA[Priority],0))+1,3)),"YES","No")</f>
        <v>YES</v>
      </c>
      <c r="AI679" s="28" t="str">
        <f ca="1">_xlfn.IFNA(IF(AE679 &lt; (INDEX(SLATable[Minimum SLA],MATCH(G679,SLATable[Priority],0))),"YES","NO"),"")</f>
        <v>NO</v>
      </c>
      <c r="AJ679" s="28"/>
    </row>
    <row r="680" spans="2:36" s="58" customFormat="1">
      <c r="B680" s="58" t="s">
        <v>26</v>
      </c>
      <c r="C680" s="58" t="s">
        <v>35</v>
      </c>
      <c r="D680" s="58" t="s">
        <v>208</v>
      </c>
      <c r="E680" s="312" t="s">
        <v>2217</v>
      </c>
      <c r="F680" s="58" t="s">
        <v>303</v>
      </c>
      <c r="G680" s="58" t="s">
        <v>208</v>
      </c>
      <c r="H680" s="312" t="s">
        <v>2218</v>
      </c>
      <c r="I680" s="58" t="s">
        <v>271</v>
      </c>
      <c r="J680" s="127" t="s">
        <v>1250</v>
      </c>
      <c r="K680" s="311">
        <v>46195.256944444445</v>
      </c>
      <c r="L680" s="311">
        <v>46195.257592592592</v>
      </c>
      <c r="M680" s="311">
        <v>46195.54791666667</v>
      </c>
      <c r="N680" s="311">
        <v>46213.324062500003</v>
      </c>
      <c r="O680" s="311"/>
      <c r="P680" s="311"/>
      <c r="Q680" s="312" t="s">
        <v>1251</v>
      </c>
      <c r="R680" s="58" t="s">
        <v>267</v>
      </c>
      <c r="S680" s="58" t="s">
        <v>179</v>
      </c>
      <c r="U680" s="58" t="s">
        <v>371</v>
      </c>
      <c r="Z680" s="169">
        <f t="shared" ca="1" si="104"/>
        <v>5.2500000000000009</v>
      </c>
      <c r="AA680" s="170">
        <f t="shared" ca="1" si="105"/>
        <v>14.000000000000004</v>
      </c>
      <c r="AB680" s="169">
        <f t="shared" ca="1" si="106"/>
        <v>5.2500000000000009</v>
      </c>
      <c r="AC680" s="170">
        <f t="shared" ca="1" si="107"/>
        <v>14.000000000000004</v>
      </c>
      <c r="AD680" s="169">
        <f t="shared" ca="1" si="108"/>
        <v>0.2145833333367288</v>
      </c>
      <c r="AE680" s="169">
        <f t="shared" ca="1" si="96"/>
        <v>22.585721874995219</v>
      </c>
      <c r="AF680" s="170">
        <f t="shared" ca="1" si="109"/>
        <v>60.228591666653919</v>
      </c>
      <c r="AG680" s="170">
        <f t="shared" ca="1" si="110"/>
        <v>60.228591666653919</v>
      </c>
      <c r="AH680" s="28" t="str" cm="1">
        <f t="array" aca="1" ref="AH680" ca="1">IF((AD680) &lt; (INDEX(ResponseSLA[#All],(MATCH((G680),ResponseSLA[Priority],0))+1,3)),"YES","No")</f>
        <v>YES</v>
      </c>
      <c r="AI680" s="28" t="str">
        <f ca="1">_xlfn.IFNA(IF(AE680 &lt; (INDEX(SLATable[Minimum SLA],MATCH(G680,SLATable[Priority],0))),"YES","NO"),"")</f>
        <v>NO</v>
      </c>
      <c r="AJ680" s="28"/>
    </row>
    <row r="681" spans="2:36" s="58" customFormat="1">
      <c r="B681" s="58" t="s">
        <v>26</v>
      </c>
      <c r="C681" s="58" t="s">
        <v>35</v>
      </c>
      <c r="D681" s="58" t="s">
        <v>208</v>
      </c>
      <c r="E681" s="312" t="s">
        <v>2226</v>
      </c>
      <c r="F681" s="58" t="s">
        <v>303</v>
      </c>
      <c r="G681" s="58" t="s">
        <v>208</v>
      </c>
      <c r="H681" s="312" t="s">
        <v>2227</v>
      </c>
      <c r="I681" s="58" t="s">
        <v>271</v>
      </c>
      <c r="J681" s="127" t="s">
        <v>1250</v>
      </c>
      <c r="K681" s="311">
        <v>46202.259027777778</v>
      </c>
      <c r="L681" s="311">
        <v>46202.259027777778</v>
      </c>
      <c r="M681" s="311">
        <v>46202.340277777781</v>
      </c>
      <c r="N681" s="311">
        <v>46213.351481481484</v>
      </c>
      <c r="O681" s="311"/>
      <c r="P681" s="311"/>
      <c r="Q681" s="312" t="s">
        <v>1257</v>
      </c>
      <c r="R681" s="58" t="s">
        <v>267</v>
      </c>
      <c r="S681" s="58" t="s">
        <v>179</v>
      </c>
      <c r="U681" s="58" t="s">
        <v>371</v>
      </c>
      <c r="Z681" s="169">
        <f t="shared" ca="1" si="104"/>
        <v>3.3931481481510373</v>
      </c>
      <c r="AA681" s="170">
        <f t="shared" ca="1" si="105"/>
        <v>9.0483950617360982</v>
      </c>
      <c r="AB681" s="169">
        <f t="shared" ca="1" si="106"/>
        <v>3.3931481481510373</v>
      </c>
      <c r="AC681" s="170">
        <f t="shared" ca="1" si="107"/>
        <v>9.0483950617360982</v>
      </c>
      <c r="AD681" s="169">
        <f t="shared" ca="1" si="108"/>
        <v>6.9444444476782219E-3</v>
      </c>
      <c r="AE681" s="169">
        <f t="shared" ca="1" si="96"/>
        <v>19.061289004627422</v>
      </c>
      <c r="AF681" s="170">
        <f t="shared" ca="1" si="109"/>
        <v>50.830104012339788</v>
      </c>
      <c r="AG681" s="170">
        <f t="shared" ca="1" si="110"/>
        <v>50.830104012339788</v>
      </c>
      <c r="AH681" s="28" t="str" cm="1">
        <f t="array" aca="1" ref="AH681" ca="1">IF((AD681) &lt; (INDEX(ResponseSLA[#All],(MATCH((G681),ResponseSLA[Priority],0))+1,3)),"YES","No")</f>
        <v>YES</v>
      </c>
      <c r="AI681" s="28" t="str">
        <f ca="1">_xlfn.IFNA(IF(AE681 &lt; (INDEX(SLATable[Minimum SLA],MATCH(G681,SLATable[Priority],0))),"YES","NO"),"")</f>
        <v>NO</v>
      </c>
      <c r="AJ681" s="28"/>
    </row>
    <row r="682" spans="2:36" s="58" customFormat="1">
      <c r="B682" s="58" t="s">
        <v>26</v>
      </c>
      <c r="C682" s="58" t="s">
        <v>35</v>
      </c>
      <c r="D682" s="58" t="s">
        <v>208</v>
      </c>
      <c r="E682" s="312" t="s">
        <v>2228</v>
      </c>
      <c r="F682" s="58" t="s">
        <v>303</v>
      </c>
      <c r="G682" s="58" t="s">
        <v>208</v>
      </c>
      <c r="H682" s="312" t="s">
        <v>2229</v>
      </c>
      <c r="I682" s="58" t="s">
        <v>271</v>
      </c>
      <c r="J682" s="127" t="s">
        <v>1250</v>
      </c>
      <c r="K682" s="311">
        <v>46202.260416666664</v>
      </c>
      <c r="L682" s="311">
        <v>46202.260416666664</v>
      </c>
      <c r="M682" s="311">
        <v>46202.340277777781</v>
      </c>
      <c r="N682" s="311">
        <v>46213.350162037037</v>
      </c>
      <c r="O682" s="311"/>
      <c r="P682" s="311"/>
      <c r="Q682" s="312" t="s">
        <v>1257</v>
      </c>
      <c r="R682" s="58" t="s">
        <v>267</v>
      </c>
      <c r="S682" s="58" t="s">
        <v>179</v>
      </c>
      <c r="U682" s="58" t="s">
        <v>371</v>
      </c>
      <c r="Z682" s="169">
        <f t="shared" ca="1" si="104"/>
        <v>3.3918287037037471</v>
      </c>
      <c r="AA682" s="170">
        <f t="shared" ca="1" si="105"/>
        <v>9.0448765432099911</v>
      </c>
      <c r="AB682" s="169">
        <f t="shared" ca="1" si="106"/>
        <v>3.3918287037037471</v>
      </c>
      <c r="AC682" s="170">
        <f t="shared" ca="1" si="107"/>
        <v>9.0448765432099911</v>
      </c>
      <c r="AD682" s="169">
        <f t="shared" ca="1" si="108"/>
        <v>6.9444444476782219E-3</v>
      </c>
      <c r="AE682" s="169">
        <f t="shared" ca="1" si="96"/>
        <v>19.060212615734297</v>
      </c>
      <c r="AF682" s="170">
        <f t="shared" ca="1" si="109"/>
        <v>50.827233641958124</v>
      </c>
      <c r="AG682" s="170">
        <f t="shared" ca="1" si="110"/>
        <v>50.827233641958124</v>
      </c>
      <c r="AH682" s="28" t="str" cm="1">
        <f t="array" aca="1" ref="AH682" ca="1">IF((AD682) &lt; (INDEX(ResponseSLA[#All],(MATCH((G682),ResponseSLA[Priority],0))+1,3)),"YES","No")</f>
        <v>YES</v>
      </c>
      <c r="AI682" s="28" t="str">
        <f ca="1">_xlfn.IFNA(IF(AE682 &lt; (INDEX(SLATable[Minimum SLA],MATCH(G682,SLATable[Priority],0))),"YES","NO"),"")</f>
        <v>NO</v>
      </c>
      <c r="AJ682" s="28"/>
    </row>
    <row r="683" spans="2:36" s="58" customFormat="1">
      <c r="B683" s="58" t="s">
        <v>26</v>
      </c>
      <c r="C683" s="58" t="s">
        <v>35</v>
      </c>
      <c r="D683" s="58" t="s">
        <v>208</v>
      </c>
      <c r="E683" s="312" t="s">
        <v>2230</v>
      </c>
      <c r="F683" s="58" t="s">
        <v>303</v>
      </c>
      <c r="G683" s="58" t="s">
        <v>208</v>
      </c>
      <c r="H683" s="312" t="s">
        <v>2231</v>
      </c>
      <c r="I683" s="58" t="s">
        <v>271</v>
      </c>
      <c r="J683" s="127" t="s">
        <v>1250</v>
      </c>
      <c r="K683" s="311">
        <v>46202.261111111111</v>
      </c>
      <c r="L683" s="311">
        <v>46202.261111111111</v>
      </c>
      <c r="M683" s="311">
        <v>46202.340277777781</v>
      </c>
      <c r="N683" s="311">
        <v>46213.325231481482</v>
      </c>
      <c r="O683" s="311"/>
      <c r="P683" s="311"/>
      <c r="Q683" s="312" t="s">
        <v>1251</v>
      </c>
      <c r="R683" s="58" t="s">
        <v>267</v>
      </c>
      <c r="S683" s="58" t="s">
        <v>179</v>
      </c>
      <c r="U683" s="58" t="s">
        <v>371</v>
      </c>
      <c r="Z683" s="169">
        <f t="shared" ca="1" si="104"/>
        <v>3.3750000000000004</v>
      </c>
      <c r="AA683" s="170">
        <f t="shared" ca="1" si="105"/>
        <v>9.0000000000000018</v>
      </c>
      <c r="AB683" s="169">
        <f t="shared" ca="1" si="106"/>
        <v>3.3750000000000004</v>
      </c>
      <c r="AC683" s="170">
        <f t="shared" ca="1" si="107"/>
        <v>9.0000000000000018</v>
      </c>
      <c r="AD683" s="169">
        <f t="shared" ca="1" si="108"/>
        <v>6.9444444476782219E-3</v>
      </c>
      <c r="AE683" s="169">
        <f t="shared" ca="1" si="96"/>
        <v>19.043603819438431</v>
      </c>
      <c r="AF683" s="170">
        <f t="shared" ca="1" si="109"/>
        <v>50.782943518502485</v>
      </c>
      <c r="AG683" s="170">
        <f t="shared" ca="1" si="110"/>
        <v>50.782943518502485</v>
      </c>
      <c r="AH683" s="28" t="str" cm="1">
        <f t="array" aca="1" ref="AH683" ca="1">IF((AD683) &lt; (INDEX(ResponseSLA[#All],(MATCH((G683),ResponseSLA[Priority],0))+1,3)),"YES","No")</f>
        <v>YES</v>
      </c>
      <c r="AI683" s="28" t="str">
        <f ca="1">_xlfn.IFNA(IF(AE683 &lt; (INDEX(SLATable[Minimum SLA],MATCH(G683,SLATable[Priority],0))),"YES","NO"),"")</f>
        <v>NO</v>
      </c>
      <c r="AJ683" s="28"/>
    </row>
    <row r="684" spans="2:36" s="58" customFormat="1">
      <c r="B684" s="58" t="s">
        <v>26</v>
      </c>
      <c r="C684" s="58" t="s">
        <v>35</v>
      </c>
      <c r="D684" s="58" t="s">
        <v>208</v>
      </c>
      <c r="E684" s="312" t="s">
        <v>2232</v>
      </c>
      <c r="F684" s="58" t="s">
        <v>303</v>
      </c>
      <c r="G684" s="58" t="s">
        <v>208</v>
      </c>
      <c r="H684" s="312" t="s">
        <v>2233</v>
      </c>
      <c r="I684" s="58" t="s">
        <v>271</v>
      </c>
      <c r="J684" s="127" t="s">
        <v>1250</v>
      </c>
      <c r="K684" s="311">
        <v>46202.261111111111</v>
      </c>
      <c r="L684" s="311">
        <v>46202.261111111111</v>
      </c>
      <c r="M684" s="311">
        <v>46202.339583333334</v>
      </c>
      <c r="N684" s="311">
        <v>46213.40934027778</v>
      </c>
      <c r="O684" s="311"/>
      <c r="P684" s="311"/>
      <c r="Q684" s="312" t="s">
        <v>1534</v>
      </c>
      <c r="R684" s="58" t="s">
        <v>267</v>
      </c>
      <c r="S684" s="58" t="s">
        <v>179</v>
      </c>
      <c r="U684" s="58" t="s">
        <v>371</v>
      </c>
      <c r="Z684" s="169">
        <f t="shared" ca="1" si="104"/>
        <v>3.4510069444465143</v>
      </c>
      <c r="AA684" s="170">
        <f t="shared" ca="1" si="105"/>
        <v>9.2026851851907043</v>
      </c>
      <c r="AB684" s="169">
        <f t="shared" ca="1" si="106"/>
        <v>3.4510069444465143</v>
      </c>
      <c r="AC684" s="170">
        <f t="shared" ca="1" si="107"/>
        <v>9.2026851851907043</v>
      </c>
      <c r="AD684" s="169">
        <f t="shared" ca="1" si="108"/>
        <v>6.2500000009701462E-3</v>
      </c>
      <c r="AE684" s="169">
        <f t="shared" ca="1" si="96"/>
        <v>19.119900115738954</v>
      </c>
      <c r="AF684" s="170">
        <f t="shared" ca="1" si="109"/>
        <v>50.986400308637208</v>
      </c>
      <c r="AG684" s="170">
        <f t="shared" ca="1" si="110"/>
        <v>50.986400308637208</v>
      </c>
      <c r="AH684" s="28" t="str" cm="1">
        <f t="array" aca="1" ref="AH684" ca="1">IF((AD684) &lt; (INDEX(ResponseSLA[#All],(MATCH((G684),ResponseSLA[Priority],0))+1,3)),"YES","No")</f>
        <v>YES</v>
      </c>
      <c r="AI684" s="28" t="str">
        <f ca="1">_xlfn.IFNA(IF(AE684 &lt; (INDEX(SLATable[Minimum SLA],MATCH(G684,SLATable[Priority],0))),"YES","NO"),"")</f>
        <v>NO</v>
      </c>
      <c r="AJ684" s="28"/>
    </row>
    <row r="685" spans="2:36" s="58" customFormat="1">
      <c r="B685" s="58" t="s">
        <v>26</v>
      </c>
      <c r="C685" s="58" t="s">
        <v>35</v>
      </c>
      <c r="D685" s="58" t="s">
        <v>208</v>
      </c>
      <c r="E685" s="312" t="s">
        <v>2236</v>
      </c>
      <c r="F685" s="58" t="s">
        <v>289</v>
      </c>
      <c r="G685" s="58" t="s">
        <v>208</v>
      </c>
      <c r="H685" s="312" t="s">
        <v>1898</v>
      </c>
      <c r="I685" s="58" t="s">
        <v>271</v>
      </c>
      <c r="J685" s="127" t="s">
        <v>1250</v>
      </c>
      <c r="K685" s="311">
        <v>46203.375694444447</v>
      </c>
      <c r="L685" s="311">
        <v>46203.376388888886</v>
      </c>
      <c r="M685" s="311">
        <v>46203.385416666664</v>
      </c>
      <c r="N685" s="311">
        <v>46206.453402777777</v>
      </c>
      <c r="O685" s="311"/>
      <c r="P685" s="311"/>
      <c r="Q685" s="312" t="s">
        <v>1431</v>
      </c>
      <c r="R685" s="58" t="s">
        <v>267</v>
      </c>
      <c r="S685" s="58" t="s">
        <v>179</v>
      </c>
      <c r="U685" s="58" t="s">
        <v>371</v>
      </c>
      <c r="Z685" s="169">
        <f t="shared" ca="1" si="104"/>
        <v>1.2027083333305202</v>
      </c>
      <c r="AA685" s="170">
        <f t="shared" ca="1" si="105"/>
        <v>3.2072222222147206</v>
      </c>
      <c r="AB685" s="169">
        <f t="shared" ca="1" si="106"/>
        <v>1.2020138888910881</v>
      </c>
      <c r="AC685" s="170">
        <f t="shared" ca="1" si="107"/>
        <v>3.2053703703762348</v>
      </c>
      <c r="AD685" s="169">
        <f t="shared" ca="1" si="108"/>
        <v>9.0277777781011537E-3</v>
      </c>
      <c r="AE685" s="169">
        <f t="shared" ca="1" si="96"/>
        <v>16.450235763884852</v>
      </c>
      <c r="AF685" s="170">
        <f t="shared" ca="1" si="109"/>
        <v>43.867295370359606</v>
      </c>
      <c r="AG685" s="170">
        <f t="shared" ca="1" si="110"/>
        <v>43.867295370359606</v>
      </c>
      <c r="AH685" s="28" t="str" cm="1">
        <f t="array" aca="1" ref="AH685" ca="1">IF((AD685) &lt; (INDEX(ResponseSLA[#All],(MATCH((G685),ResponseSLA[Priority],0))+1,3)),"YES","No")</f>
        <v>YES</v>
      </c>
      <c r="AI685" s="28" t="str">
        <f ca="1">_xlfn.IFNA(IF(AE685 &lt; (INDEX(SLATable[Minimum SLA],MATCH(G685,SLATable[Priority],0))),"YES","NO"),"")</f>
        <v>NO</v>
      </c>
      <c r="AJ685" s="28"/>
    </row>
    <row r="686" spans="2:36" s="58" customFormat="1">
      <c r="B686" s="58" t="s">
        <v>26</v>
      </c>
      <c r="C686" s="58" t="s">
        <v>35</v>
      </c>
      <c r="D686" s="58" t="s">
        <v>208</v>
      </c>
      <c r="E686" s="312" t="s">
        <v>2237</v>
      </c>
      <c r="F686" s="58" t="s">
        <v>289</v>
      </c>
      <c r="G686" s="58" t="s">
        <v>208</v>
      </c>
      <c r="H686" s="312" t="s">
        <v>1889</v>
      </c>
      <c r="I686" s="58" t="s">
        <v>271</v>
      </c>
      <c r="J686" s="127" t="s">
        <v>1250</v>
      </c>
      <c r="K686" s="311">
        <v>46203.375694444447</v>
      </c>
      <c r="L686" s="311">
        <v>46203.376388888886</v>
      </c>
      <c r="M686" s="311">
        <v>46203.385416666664</v>
      </c>
      <c r="N686" s="311">
        <v>46206.453784722224</v>
      </c>
      <c r="O686" s="311"/>
      <c r="P686" s="311"/>
      <c r="Q686" s="312" t="s">
        <v>1891</v>
      </c>
      <c r="R686" s="58" t="s">
        <v>267</v>
      </c>
      <c r="S686" s="58" t="s">
        <v>155</v>
      </c>
      <c r="U686" s="58" t="s">
        <v>371</v>
      </c>
      <c r="Z686" s="169">
        <f t="shared" ca="1" si="104"/>
        <v>1.2030902777769372</v>
      </c>
      <c r="AA686" s="170">
        <f t="shared" ca="1" si="105"/>
        <v>3.2082407407384994</v>
      </c>
      <c r="AB686" s="169">
        <f t="shared" ca="1" si="106"/>
        <v>1.2023958333375051</v>
      </c>
      <c r="AC686" s="170">
        <f t="shared" ca="1" si="107"/>
        <v>3.2063888889000136</v>
      </c>
      <c r="AD686" s="169">
        <f t="shared" ca="1" si="108"/>
        <v>9.0277777781011537E-3</v>
      </c>
      <c r="AE686" s="169">
        <f t="shared" ca="1" si="96"/>
        <v>16.450397800930663</v>
      </c>
      <c r="AF686" s="170">
        <f t="shared" ca="1" si="109"/>
        <v>43.867727469148434</v>
      </c>
      <c r="AG686" s="170">
        <f t="shared" ca="1" si="110"/>
        <v>43.867727469148434</v>
      </c>
      <c r="AH686" s="28" t="str" cm="1">
        <f t="array" aca="1" ref="AH686" ca="1">IF((AD686) &lt; (INDEX(ResponseSLA[#All],(MATCH((G686),ResponseSLA[Priority],0))+1,3)),"YES","No")</f>
        <v>YES</v>
      </c>
      <c r="AI686" s="28" t="str">
        <f ca="1">_xlfn.IFNA(IF(AE686 &lt; (INDEX(SLATable[Minimum SLA],MATCH(G686,SLATable[Priority],0))),"YES","NO"),"")</f>
        <v>NO</v>
      </c>
      <c r="AJ686" s="28"/>
    </row>
    <row r="687" spans="2:36" s="58" customFormat="1">
      <c r="B687" s="58" t="s">
        <v>26</v>
      </c>
      <c r="C687" s="58" t="s">
        <v>35</v>
      </c>
      <c r="D687" s="58" t="s">
        <v>208</v>
      </c>
      <c r="E687" s="312" t="s">
        <v>2238</v>
      </c>
      <c r="F687" s="58" t="s">
        <v>292</v>
      </c>
      <c r="G687" s="58" t="s">
        <v>208</v>
      </c>
      <c r="H687" s="312" t="s">
        <v>2239</v>
      </c>
      <c r="I687" s="58" t="s">
        <v>271</v>
      </c>
      <c r="J687" s="127" t="s">
        <v>1250</v>
      </c>
      <c r="K687" s="311">
        <v>46203.376388888886</v>
      </c>
      <c r="L687" s="311">
        <v>46203.376388888886</v>
      </c>
      <c r="M687" s="311">
        <v>46203.386111111111</v>
      </c>
      <c r="N687" s="311">
        <v>46206.454456018517</v>
      </c>
      <c r="O687" s="311"/>
      <c r="P687" s="311"/>
      <c r="Q687" s="312" t="s">
        <v>1073</v>
      </c>
      <c r="R687" s="58" t="s">
        <v>267</v>
      </c>
      <c r="S687" s="58" t="s">
        <v>155</v>
      </c>
      <c r="U687" s="58" t="s">
        <v>371</v>
      </c>
      <c r="Z687" s="169">
        <f t="shared" ca="1" si="104"/>
        <v>1.2030671296306539</v>
      </c>
      <c r="AA687" s="170">
        <f t="shared" ca="1" si="105"/>
        <v>3.2081790123484106</v>
      </c>
      <c r="AB687" s="169">
        <f t="shared" ca="1" si="106"/>
        <v>1.2030671296306539</v>
      </c>
      <c r="AC687" s="170">
        <f t="shared" ca="1" si="107"/>
        <v>3.2081790123484106</v>
      </c>
      <c r="AD687" s="169">
        <f t="shared" ca="1" si="108"/>
        <v>9.7222222248092294E-3</v>
      </c>
      <c r="AE687" s="169">
        <f t="shared" ca="1" si="96"/>
        <v>16.45043252314645</v>
      </c>
      <c r="AF687" s="170">
        <f t="shared" ca="1" si="109"/>
        <v>43.867820061723869</v>
      </c>
      <c r="AG687" s="170">
        <f t="shared" ca="1" si="110"/>
        <v>43.867820061723869</v>
      </c>
      <c r="AH687" s="28" t="str" cm="1">
        <f t="array" aca="1" ref="AH687" ca="1">IF((AD687) &lt; (INDEX(ResponseSLA[#All],(MATCH((G687),ResponseSLA[Priority],0))+1,3)),"YES","No")</f>
        <v>YES</v>
      </c>
      <c r="AI687" s="28" t="str">
        <f ca="1">_xlfn.IFNA(IF(AE687 &lt; (INDEX(SLATable[Minimum SLA],MATCH(G687,SLATable[Priority],0))),"YES","NO"),"")</f>
        <v>NO</v>
      </c>
      <c r="AJ687" s="28"/>
    </row>
    <row r="688" spans="2:36" s="58" customFormat="1">
      <c r="B688" s="58" t="s">
        <v>26</v>
      </c>
      <c r="C688" s="58" t="s">
        <v>35</v>
      </c>
      <c r="D688" s="58" t="s">
        <v>208</v>
      </c>
      <c r="E688" s="312" t="s">
        <v>2389</v>
      </c>
      <c r="F688" s="58" t="s">
        <v>295</v>
      </c>
      <c r="G688" s="58" t="s">
        <v>208</v>
      </c>
      <c r="H688" s="312" t="s">
        <v>2390</v>
      </c>
      <c r="I688" s="58" t="s">
        <v>271</v>
      </c>
      <c r="J688" s="127" t="s">
        <v>1250</v>
      </c>
      <c r="K688" s="311">
        <v>46206.519444444442</v>
      </c>
      <c r="L688" s="311">
        <v>46272.436805555553</v>
      </c>
      <c r="M688" s="311">
        <v>46213.289583333331</v>
      </c>
      <c r="N688" s="311">
        <v>46227.513067129628</v>
      </c>
      <c r="O688" s="311"/>
      <c r="P688" s="311"/>
      <c r="Q688" s="312" t="s">
        <v>695</v>
      </c>
      <c r="R688" s="58" t="s">
        <v>267</v>
      </c>
      <c r="S688" s="58" t="s">
        <v>155</v>
      </c>
      <c r="U688" s="58" t="s">
        <v>371</v>
      </c>
      <c r="Z688" s="169">
        <f t="shared" ca="1" si="104"/>
        <v>5.6186226851859837</v>
      </c>
      <c r="AA688" s="170">
        <f t="shared" ca="1" si="105"/>
        <v>14.982993827162623</v>
      </c>
      <c r="AB688" s="169">
        <f t="shared" ca="1" si="106"/>
        <v>7.6261574075033423E-2</v>
      </c>
      <c r="AC688" s="170">
        <f t="shared" ca="1" si="107"/>
        <v>0.20336419753342247</v>
      </c>
      <c r="AD688" s="169">
        <f t="shared" ca="1" si="108"/>
        <v>0</v>
      </c>
      <c r="AE688" s="169">
        <f t="shared" ca="1" si="96"/>
        <v>7.6261574075033423E-2</v>
      </c>
      <c r="AF688" s="170">
        <f t="shared" ca="1" si="109"/>
        <v>0.20336419753342247</v>
      </c>
      <c r="AG688" s="170">
        <f t="shared" ca="1" si="110"/>
        <v>0.20336419753342247</v>
      </c>
      <c r="AH688" s="28" t="str" cm="1">
        <f t="array" aca="1" ref="AH688" ca="1">IF((AD688) &lt; (INDEX(ResponseSLA[#All],(MATCH((G688),ResponseSLA[Priority],0))+1,3)),"YES","No")</f>
        <v>YES</v>
      </c>
      <c r="AI688" s="28" t="str">
        <f ca="1">_xlfn.IFNA(IF(AE688 &lt; (INDEX(SLATable[Minimum SLA],MATCH(G688,SLATable[Priority],0))),"YES","NO"),"")</f>
        <v>YES</v>
      </c>
      <c r="AJ688" s="28"/>
    </row>
    <row r="689" spans="2:36" s="58" customFormat="1">
      <c r="B689" s="58" t="s">
        <v>26</v>
      </c>
      <c r="C689" s="58" t="s">
        <v>35</v>
      </c>
      <c r="D689" s="58" t="s">
        <v>208</v>
      </c>
      <c r="E689" s="312" t="s">
        <v>2391</v>
      </c>
      <c r="F689" s="58" t="s">
        <v>289</v>
      </c>
      <c r="G689" s="58" t="s">
        <v>208</v>
      </c>
      <c r="H689" s="312" t="s">
        <v>1889</v>
      </c>
      <c r="I689" s="58" t="s">
        <v>271</v>
      </c>
      <c r="J689" s="127" t="s">
        <v>1250</v>
      </c>
      <c r="K689" s="307">
        <v>46210.388888888891</v>
      </c>
      <c r="L689" s="311">
        <v>46210.388888888891</v>
      </c>
      <c r="M689" s="311">
        <v>46210.466666666667</v>
      </c>
      <c r="N689" s="311">
        <v>46212.342847222222</v>
      </c>
      <c r="O689" s="311"/>
      <c r="P689" s="311"/>
      <c r="Q689" s="312" t="s">
        <v>1891</v>
      </c>
      <c r="R689" s="58" t="s">
        <v>267</v>
      </c>
      <c r="S689" s="58" t="s">
        <v>155</v>
      </c>
      <c r="U689" s="58" t="s">
        <v>371</v>
      </c>
      <c r="Z689" s="169">
        <f t="shared" ca="1" si="104"/>
        <v>0.70395833333168412</v>
      </c>
      <c r="AA689" s="170">
        <f t="shared" ca="1" si="105"/>
        <v>1.8772222222178243</v>
      </c>
      <c r="AB689" s="169">
        <f t="shared" ca="1" si="106"/>
        <v>0.70395833333168412</v>
      </c>
      <c r="AC689" s="170">
        <f t="shared" ca="1" si="107"/>
        <v>1.8772222222178243</v>
      </c>
      <c r="AD689" s="169">
        <f t="shared" ca="1" si="108"/>
        <v>7.7777777776645962E-2</v>
      </c>
      <c r="AE689" s="169">
        <f t="shared" ref="AE689:AE752" ca="1" si="111">SUMIFS(AB:AB,E:E,E689)</f>
        <v>0.70395833333168412</v>
      </c>
      <c r="AF689" s="170">
        <f t="shared" ca="1" si="109"/>
        <v>1.8772222222178243</v>
      </c>
      <c r="AG689" s="170">
        <f t="shared" ca="1" si="110"/>
        <v>1.8772222222178243</v>
      </c>
      <c r="AH689" s="28" t="str" cm="1">
        <f t="array" aca="1" ref="AH689" ca="1">IF((AD689) &lt; (INDEX(ResponseSLA[#All],(MATCH((G689),ResponseSLA[Priority],0))+1,3)),"YES","No")</f>
        <v>YES</v>
      </c>
      <c r="AI689" s="28" t="str">
        <f ca="1">_xlfn.IFNA(IF(AE689 &lt; (INDEX(SLATable[Minimum SLA],MATCH(G689,SLATable[Priority],0))),"YES","NO"),"")</f>
        <v>YES</v>
      </c>
      <c r="AJ689" s="28"/>
    </row>
    <row r="690" spans="2:36" s="58" customFormat="1">
      <c r="B690" s="58" t="s">
        <v>26</v>
      </c>
      <c r="C690" s="58" t="s">
        <v>35</v>
      </c>
      <c r="D690" s="58" t="s">
        <v>208</v>
      </c>
      <c r="E690" s="312" t="s">
        <v>2392</v>
      </c>
      <c r="F690" s="58" t="s">
        <v>289</v>
      </c>
      <c r="G690" s="58" t="s">
        <v>208</v>
      </c>
      <c r="H690" s="312" t="s">
        <v>1855</v>
      </c>
      <c r="I690" s="58" t="s">
        <v>271</v>
      </c>
      <c r="J690" s="127" t="s">
        <v>1250</v>
      </c>
      <c r="K690" s="307">
        <v>46210.388888888891</v>
      </c>
      <c r="L690" s="311">
        <v>46210.388888888891</v>
      </c>
      <c r="M690" s="311">
        <v>46210.466666666667</v>
      </c>
      <c r="N690" s="311">
        <v>46212.345555555556</v>
      </c>
      <c r="O690" s="311"/>
      <c r="P690" s="311"/>
      <c r="Q690" s="312" t="s">
        <v>1104</v>
      </c>
      <c r="R690" s="58" t="s">
        <v>267</v>
      </c>
      <c r="S690" s="58" t="s">
        <v>155</v>
      </c>
      <c r="U690" s="58" t="s">
        <v>371</v>
      </c>
      <c r="Z690" s="169">
        <f t="shared" ref="Z690:Z718" ca="1" si="112">IF(NOT(OR(G690=1,G690=2)),MAX(0,_xlfn.IFS(AND(K690&lt;&gt;"",N690&lt;&gt;""),((MAX(NETWORKDAYS(K690,N690,UKBankHolidays)-1,0))*(TIME(17,0,0)-TIME(8,0,0))+IF(NETWORKDAYS(N690,N690,UKBankHolidays)&gt;0,MEDIAN(TIME(8,0,0),MOD(N690,1),TIME(17,0,0)),TIME(8,0,0))-IF(NETWORKDAYS(K690,K690,UKBankHolidays)&gt;0,MEDIAN(TIME(8,0,0),MOD(K690,1),TIME(17,0,0)),TIME(8,0,0)))-IF(AND(O690&lt;&gt;"",P690&lt;&gt;""),((MAX(NETWORKDAYS(O690,P690,UKBankHolidays)-1,0))*(TIME(17,0,0)-TIME(8,0,0))+IF(NETWORKDAYS(P690,P690,UKBankHolidays)&gt;0,MEDIAN(TIME(8,0,0),MOD(P690,1),TIME(17,0,0)),TIME(8,0,0))-IF(NETWORKDAYS(O690,O690,UKBankHolidays)&gt;0,MEDIAN(TIME(8,0,0),MOD(O690,1),TIME(17,0,0)),TIME(8,0,0))),0),AND(K690&lt;&gt;"",N690=""),((MAX(NETWORKDAYS(K690,NOW(),UKBankHolidays)-1,0))*(TIME(17,0,0)-TIME(8,0,0))+IF(NETWORKDAYS(NOW(),NOW(),UKBankHolidays)&gt;0,MEDIAN(TIME(8,0,0),MOD(NOW(),1),TIME(17,0,0)),TIME(8,0,0))-IF(NETWORKDAYS(K690,K690,UKBankHolidays)&gt;0,MEDIAN(TIME(8,0,0),MOD(K690,1),TIME(17,0,0)),TIME(8,0,0))))),IF(N690="",NOW()-K690,N690-K690))</f>
        <v>0.70666666666511446</v>
      </c>
      <c r="AA690" s="170">
        <f t="shared" ref="AA690:AA718" ca="1" si="113">(Z690*24)/9</f>
        <v>1.8844444444403052</v>
      </c>
      <c r="AB690" s="169">
        <f t="shared" ref="AB690:AB718" ca="1" si="114">IF(NOT(OR(G690=1,G690=2)),MAX(0,_xlfn.IFS(AND(K690&lt;&gt;"",N690&lt;&gt;""),(((MAX(NETWORKDAYS(L690,N690,UKBankHolidays)-1,0))*(TIME(17,0,0)-TIME(8,0,0)))+IF(NETWORKDAYS(N690,N690,UKBankHolidays)&gt;0,MEDIAN(TIME(8,0,0),MOD(N690,1),TIME(17,0,0)),TIME(8,0,0))-IF(NETWORKDAYS(L690,L690,UKBankHolidays)&gt;0,MEDIAN(TIME(8,0,0),MOD(L690,1),TIME(17,0,0)),TIME(8,0,0)))-IF(AND(O690&lt;&gt;"",P690&lt;&gt;""),(((MAX(NETWORKDAYS(O690,P690,UKBankHolidays)-1,0))*(TIME(17,0,0)-TIME(8,0,0)))+IF(NETWORKDAYS(P690,P690,UKBankHolidays)&gt;0,MEDIAN(TIME(8,0,0),MOD(P690,1),TIME(17,0,0)),TIME(8,0,0))-IF(NETWORKDAYS(O690,O690,UKBankHolidays)&gt;0,MEDIAN(TIME(8,0,0),MOD(O690,1),TIME(17,0,0)),TIME(8,0,0))),0),AND(L690&lt;&gt;"",N690="",O690=""),(((MAX(NETWORKDAYS(L690,NOW(),UKBankHolidays)-1,0))*(TIME(17,0,0)-TIME(8,0,0)))+IF(NETWORKDAYS(NOW(),NOW(),UKBankHolidays)&gt;0,MEDIAN(TIME(8,0,0),MOD(NOW(),1),TIME(17,0,0)),TIME(8,0,0))-IF(NETWORKDAYS(L690,L690,UKBankHolidays)&gt;0,MEDIAN(TIME(8,0,0),MOD(L690,1),TIME(17,0,0)),TIME(8,0,0)))-IF(AND(O690&lt;&gt;"",P690&lt;&gt;""),(((MAX(NETWORKDAYS(O690,P690,UKBankHolidays)-1,0))*(TIME(17,0,0)-TIME(8,0,0)))+IF(NETWORKDAYS(P690,P690,UKBankHolidays)&gt;0,MEDIAN(TIME(8,0,0),MOD(P690,1),TIME(17,0,0)),TIME(8,0,0))-IF(NETWORKDAYS(O690,O690,UKBankHolidays)&gt;0,MEDIAN(TIME(8,0,0),MOD(O690,1),TIME(17,0,0)),TIME(8,0,0))),0),AND(L690&lt;&gt;"",N690="",P690="",O690&lt;&gt;""),(((MAX(NETWORKDAYS(L690,O690,UKBankHolidays)-1,0))*(TIME(17,0,0)-TIME(8,0,0)))+IF(NETWORKDAYS(O690,O690,UKBankHolidays)&gt;0,MEDIAN(TIME(8,0,0),MOD(O690,1),TIME(17,0,0)),TIME(8,0,0))-IF(NETWORKDAYS(L690,L690,UKBankHolidays)&gt;0,MEDIAN(TIME(8,0,0),MOD(L690,1),TIME(17,0,0)),TIME(8,0,0))),ISBLANK(K690),"0")),IF(ISBLANK(N690),NOW()-L690,N690-L690))</f>
        <v>0.70666666666511446</v>
      </c>
      <c r="AC690" s="170">
        <f t="shared" ref="AC690:AC718" ca="1" si="115">(AB690*24)/9</f>
        <v>1.8844444444403052</v>
      </c>
      <c r="AD690" s="169">
        <f t="shared" ref="AD690:AD718" ca="1" si="116">MAX(0,IF(NOT(OR(G690=1,G690=2)),IF(M690&lt;&gt;"",((MAX(NETWORKDAYS(L690,M690,UKBankHolidays)-1,0))*(TIME(17,0,0)-TIME(8,0,0))+IF(NETWORKDAYS(M690,M690,UKBankHolidays)&gt;0,MEDIAN(TIME(8,0,0),MOD(M690,1),TIME(17,0,0)),TIME(8,0,0))-MEDIAN(TIME(8,0,0),MOD(L690,1),TIME(17,0,0))),((MAX(NETWORKDAYS(L690,NOW(),UKBankHolidays)-1,0))*(TIME(17,0,0)-TIME(8,0,0))+IF(NETWORKDAYS(NOW(),NOW(),UKBankHolidays)&gt;0,MEDIAN(TIME(8,0,0),MOD(NOW(),1),TIME(17,0,0)),TIME(8,0,0))-MEDIAN(TIME(8,0,0),MOD(L690,1),TIME(17,0,0)))),IF(M690&lt;&gt;"",M690-L690,NOW()-L690)))</f>
        <v>7.7777777776645962E-2</v>
      </c>
      <c r="AE690" s="169">
        <f t="shared" ca="1" si="111"/>
        <v>0.70666666666511446</v>
      </c>
      <c r="AF690" s="170">
        <f t="shared" ref="AF690:AF718" ca="1" si="117">(AE690*24)/9</f>
        <v>1.8844444444403052</v>
      </c>
      <c r="AG690" s="170">
        <f t="shared" ref="AG690:AG718" ca="1" si="118">AF690</f>
        <v>1.8844444444403052</v>
      </c>
      <c r="AH690" s="28" t="str" cm="1">
        <f t="array" aca="1" ref="AH690" ca="1">IF((AD690) &lt; (INDEX(ResponseSLA[#All],(MATCH((G690),ResponseSLA[Priority],0))+1,3)),"YES","No")</f>
        <v>YES</v>
      </c>
      <c r="AI690" s="28" t="str">
        <f ca="1">_xlfn.IFNA(IF(AE690 &lt; (INDEX(SLATable[Minimum SLA],MATCH(G690,SLATable[Priority],0))),"YES","NO"),"")</f>
        <v>YES</v>
      </c>
      <c r="AJ690" s="28"/>
    </row>
    <row r="691" spans="2:36" s="58" customFormat="1">
      <c r="B691" s="58" t="s">
        <v>26</v>
      </c>
      <c r="C691" s="58" t="s">
        <v>35</v>
      </c>
      <c r="D691" s="58" t="s">
        <v>208</v>
      </c>
      <c r="E691" s="312" t="s">
        <v>2393</v>
      </c>
      <c r="F691" s="58" t="s">
        <v>289</v>
      </c>
      <c r="G691" s="58" t="s">
        <v>208</v>
      </c>
      <c r="H691" s="312" t="s">
        <v>1881</v>
      </c>
      <c r="I691" s="58" t="s">
        <v>271</v>
      </c>
      <c r="J691" s="127" t="s">
        <v>1250</v>
      </c>
      <c r="K691" s="307">
        <v>46210.388888888891</v>
      </c>
      <c r="L691" s="311">
        <v>46210.388888888891</v>
      </c>
      <c r="M691" s="311">
        <v>46210.466666666667</v>
      </c>
      <c r="N691" s="311">
        <v>46212.344861111109</v>
      </c>
      <c r="O691" s="311"/>
      <c r="P691" s="311"/>
      <c r="Q691" s="312" t="s">
        <v>1796</v>
      </c>
      <c r="R691" s="58" t="s">
        <v>267</v>
      </c>
      <c r="S691" s="58" t="s">
        <v>155</v>
      </c>
      <c r="U691" s="58" t="s">
        <v>371</v>
      </c>
      <c r="Z691" s="169">
        <f t="shared" ca="1" si="112"/>
        <v>0.70597222221840639</v>
      </c>
      <c r="AA691" s="170">
        <f t="shared" ca="1" si="113"/>
        <v>1.882592592582417</v>
      </c>
      <c r="AB691" s="169">
        <f t="shared" ca="1" si="114"/>
        <v>0.70597222221840639</v>
      </c>
      <c r="AC691" s="170">
        <f t="shared" ca="1" si="115"/>
        <v>1.882592592582417</v>
      </c>
      <c r="AD691" s="169">
        <f t="shared" ca="1" si="116"/>
        <v>7.7777777776645962E-2</v>
      </c>
      <c r="AE691" s="169">
        <f t="shared" ca="1" si="111"/>
        <v>0.70597222221840639</v>
      </c>
      <c r="AF691" s="170">
        <f t="shared" ca="1" si="117"/>
        <v>1.882592592582417</v>
      </c>
      <c r="AG691" s="170">
        <f t="shared" ca="1" si="118"/>
        <v>1.882592592582417</v>
      </c>
      <c r="AH691" s="28" t="str" cm="1">
        <f t="array" aca="1" ref="AH691" ca="1">IF((AD691) &lt; (INDEX(ResponseSLA[#All],(MATCH((G691),ResponseSLA[Priority],0))+1,3)),"YES","No")</f>
        <v>YES</v>
      </c>
      <c r="AI691" s="28" t="str">
        <f ca="1">_xlfn.IFNA(IF(AE691 &lt; (INDEX(SLATable[Minimum SLA],MATCH(G691,SLATable[Priority],0))),"YES","NO"),"")</f>
        <v>YES</v>
      </c>
      <c r="AJ691" s="28"/>
    </row>
    <row r="692" spans="2:36" s="58" customFormat="1">
      <c r="B692" s="58" t="s">
        <v>26</v>
      </c>
      <c r="C692" s="58" t="s">
        <v>35</v>
      </c>
      <c r="D692" s="58" t="s">
        <v>208</v>
      </c>
      <c r="E692" s="312" t="s">
        <v>2394</v>
      </c>
      <c r="F692" s="58" t="s">
        <v>289</v>
      </c>
      <c r="G692" s="58" t="s">
        <v>208</v>
      </c>
      <c r="H692" s="312" t="s">
        <v>2395</v>
      </c>
      <c r="I692" s="58" t="s">
        <v>271</v>
      </c>
      <c r="J692" s="127" t="s">
        <v>1250</v>
      </c>
      <c r="K692" s="307">
        <v>46210.388888888891</v>
      </c>
      <c r="L692" s="311">
        <v>46210.38958333333</v>
      </c>
      <c r="M692" s="311">
        <v>46210.466666666667</v>
      </c>
      <c r="N692" s="311">
        <v>46212.346898148149</v>
      </c>
      <c r="O692" s="311"/>
      <c r="P692" s="311"/>
      <c r="Q692" s="312" t="s">
        <v>1164</v>
      </c>
      <c r="R692" s="58" t="s">
        <v>267</v>
      </c>
      <c r="S692" s="58" t="s">
        <v>155</v>
      </c>
      <c r="U692" s="58" t="s">
        <v>371</v>
      </c>
      <c r="Z692" s="169">
        <f t="shared" ca="1" si="112"/>
        <v>0.70800925925868796</v>
      </c>
      <c r="AA692" s="170">
        <f t="shared" ca="1" si="113"/>
        <v>1.8880246913565013</v>
      </c>
      <c r="AB692" s="169">
        <f t="shared" ca="1" si="114"/>
        <v>0.70731481481925584</v>
      </c>
      <c r="AC692" s="170">
        <f t="shared" ca="1" si="115"/>
        <v>1.8861728395180155</v>
      </c>
      <c r="AD692" s="169">
        <f t="shared" ca="1" si="116"/>
        <v>7.7083333337213844E-2</v>
      </c>
      <c r="AE692" s="169">
        <f t="shared" ca="1" si="111"/>
        <v>0.70731481481925584</v>
      </c>
      <c r="AF692" s="170">
        <f t="shared" ca="1" si="117"/>
        <v>1.8861728395180155</v>
      </c>
      <c r="AG692" s="170">
        <f t="shared" ca="1" si="118"/>
        <v>1.8861728395180155</v>
      </c>
      <c r="AH692" s="28" t="str" cm="1">
        <f t="array" aca="1" ref="AH692" ca="1">IF((AD692) &lt; (INDEX(ResponseSLA[#All],(MATCH((G692),ResponseSLA[Priority],0))+1,3)),"YES","No")</f>
        <v>YES</v>
      </c>
      <c r="AI692" s="28" t="str">
        <f ca="1">_xlfn.IFNA(IF(AE692 &lt; (INDEX(SLATable[Minimum SLA],MATCH(G692,SLATable[Priority],0))),"YES","NO"),"")</f>
        <v>YES</v>
      </c>
      <c r="AJ692" s="28"/>
    </row>
    <row r="693" spans="2:36" s="58" customFormat="1">
      <c r="B693" s="58" t="s">
        <v>26</v>
      </c>
      <c r="C693" s="58" t="s">
        <v>35</v>
      </c>
      <c r="D693" s="58" t="s">
        <v>208</v>
      </c>
      <c r="E693" s="312" t="s">
        <v>2396</v>
      </c>
      <c r="F693" s="58" t="s">
        <v>289</v>
      </c>
      <c r="G693" s="58" t="s">
        <v>208</v>
      </c>
      <c r="H693" s="312" t="s">
        <v>1865</v>
      </c>
      <c r="I693" s="58" t="s">
        <v>271</v>
      </c>
      <c r="J693" s="127" t="s">
        <v>1250</v>
      </c>
      <c r="K693" s="307">
        <v>46210.388888888891</v>
      </c>
      <c r="L693" s="311">
        <v>46210.38958333333</v>
      </c>
      <c r="M693" s="311">
        <v>46210.466666666667</v>
      </c>
      <c r="N693" s="311">
        <v>46212.347569444442</v>
      </c>
      <c r="O693" s="311"/>
      <c r="P693" s="311"/>
      <c r="Q693" s="312" t="s">
        <v>1101</v>
      </c>
      <c r="R693" s="58" t="s">
        <v>267</v>
      </c>
      <c r="S693" s="58" t="s">
        <v>155</v>
      </c>
      <c r="U693" s="58" t="s">
        <v>371</v>
      </c>
      <c r="Z693" s="169">
        <f t="shared" ca="1" si="112"/>
        <v>0.70868055555183673</v>
      </c>
      <c r="AA693" s="170">
        <f t="shared" ca="1" si="113"/>
        <v>1.8898148148048979</v>
      </c>
      <c r="AB693" s="169">
        <f t="shared" ca="1" si="114"/>
        <v>0.70798611111240461</v>
      </c>
      <c r="AC693" s="170">
        <f t="shared" ca="1" si="115"/>
        <v>1.8879629629664123</v>
      </c>
      <c r="AD693" s="169">
        <f t="shared" ca="1" si="116"/>
        <v>7.7083333337213844E-2</v>
      </c>
      <c r="AE693" s="169">
        <f t="shared" ca="1" si="111"/>
        <v>0.70798611111240461</v>
      </c>
      <c r="AF693" s="170">
        <f t="shared" ca="1" si="117"/>
        <v>1.8879629629664123</v>
      </c>
      <c r="AG693" s="170">
        <f t="shared" ca="1" si="118"/>
        <v>1.8879629629664123</v>
      </c>
      <c r="AH693" s="28" t="str" cm="1">
        <f t="array" aca="1" ref="AH693" ca="1">IF((AD693) &lt; (INDEX(ResponseSLA[#All],(MATCH((G693),ResponseSLA[Priority],0))+1,3)),"YES","No")</f>
        <v>YES</v>
      </c>
      <c r="AI693" s="28" t="str">
        <f ca="1">_xlfn.IFNA(IF(AE693 &lt; (INDEX(SLATable[Minimum SLA],MATCH(G693,SLATable[Priority],0))),"YES","NO"),"")</f>
        <v>YES</v>
      </c>
      <c r="AJ693" s="28"/>
    </row>
    <row r="694" spans="2:36" s="58" customFormat="1">
      <c r="B694" s="58" t="s">
        <v>26</v>
      </c>
      <c r="C694" s="58" t="s">
        <v>35</v>
      </c>
      <c r="D694" s="58" t="s">
        <v>208</v>
      </c>
      <c r="E694" s="312" t="s">
        <v>2397</v>
      </c>
      <c r="F694" s="58" t="s">
        <v>289</v>
      </c>
      <c r="G694" s="58" t="s">
        <v>208</v>
      </c>
      <c r="H694" s="312" t="s">
        <v>1810</v>
      </c>
      <c r="I694" s="58" t="s">
        <v>271</v>
      </c>
      <c r="J694" s="127" t="s">
        <v>1250</v>
      </c>
      <c r="K694" s="307">
        <v>46210.388888888891</v>
      </c>
      <c r="L694" s="311">
        <v>46210.38958333333</v>
      </c>
      <c r="M694" s="311">
        <v>46210.466666666667</v>
      </c>
      <c r="N694" s="311">
        <v>46212.343634259261</v>
      </c>
      <c r="O694" s="311"/>
      <c r="P694" s="311"/>
      <c r="Q694" s="312" t="s">
        <v>1811</v>
      </c>
      <c r="R694" s="58" t="s">
        <v>267</v>
      </c>
      <c r="S694" s="58" t="s">
        <v>155</v>
      </c>
      <c r="U694" s="58" t="s">
        <v>371</v>
      </c>
      <c r="Z694" s="169">
        <f t="shared" ca="1" si="112"/>
        <v>0.70474537037080154</v>
      </c>
      <c r="AA694" s="170">
        <f t="shared" ca="1" si="113"/>
        <v>1.8793209876554708</v>
      </c>
      <c r="AB694" s="169">
        <f t="shared" ca="1" si="114"/>
        <v>0.70405092593136942</v>
      </c>
      <c r="AC694" s="170">
        <f t="shared" ca="1" si="115"/>
        <v>1.877469135816985</v>
      </c>
      <c r="AD694" s="169">
        <f t="shared" ca="1" si="116"/>
        <v>7.7083333337213844E-2</v>
      </c>
      <c r="AE694" s="169">
        <f t="shared" ca="1" si="111"/>
        <v>0.70405092593136942</v>
      </c>
      <c r="AF694" s="170">
        <f t="shared" ca="1" si="117"/>
        <v>1.877469135816985</v>
      </c>
      <c r="AG694" s="170">
        <f t="shared" ca="1" si="118"/>
        <v>1.877469135816985</v>
      </c>
      <c r="AH694" s="28" t="str" cm="1">
        <f t="array" aca="1" ref="AH694" ca="1">IF((AD694) &lt; (INDEX(ResponseSLA[#All],(MATCH((G694),ResponseSLA[Priority],0))+1,3)),"YES","No")</f>
        <v>YES</v>
      </c>
      <c r="AI694" s="28" t="str">
        <f ca="1">_xlfn.IFNA(IF(AE694 &lt; (INDEX(SLATable[Minimum SLA],MATCH(G694,SLATable[Priority],0))),"YES","NO"),"")</f>
        <v>YES</v>
      </c>
      <c r="AJ694" s="28"/>
    </row>
    <row r="695" spans="2:36" s="58" customFormat="1">
      <c r="B695" s="58" t="s">
        <v>26</v>
      </c>
      <c r="C695" s="58" t="s">
        <v>35</v>
      </c>
      <c r="D695" s="58" t="s">
        <v>208</v>
      </c>
      <c r="E695" s="312" t="s">
        <v>2398</v>
      </c>
      <c r="F695" s="58" t="s">
        <v>289</v>
      </c>
      <c r="G695" s="58" t="s">
        <v>208</v>
      </c>
      <c r="H695" s="312" t="s">
        <v>2399</v>
      </c>
      <c r="I695" s="58" t="s">
        <v>271</v>
      </c>
      <c r="J695" s="127" t="s">
        <v>1250</v>
      </c>
      <c r="K695" s="307">
        <v>46210.388888888891</v>
      </c>
      <c r="L695" s="311">
        <v>46210.38958333333</v>
      </c>
      <c r="M695" s="311">
        <v>46210.466666666667</v>
      </c>
      <c r="N695" s="311">
        <v>46212.346273148149</v>
      </c>
      <c r="O695" s="311"/>
      <c r="P695" s="311"/>
      <c r="Q695" s="312" t="s">
        <v>1062</v>
      </c>
      <c r="R695" s="58" t="s">
        <v>267</v>
      </c>
      <c r="S695" s="58" t="s">
        <v>155</v>
      </c>
      <c r="U695" s="58" t="s">
        <v>371</v>
      </c>
      <c r="Z695" s="169">
        <f t="shared" ca="1" si="112"/>
        <v>0.70738425925810589</v>
      </c>
      <c r="AA695" s="170">
        <f t="shared" ca="1" si="113"/>
        <v>1.8863580246882823</v>
      </c>
      <c r="AB695" s="169">
        <f t="shared" ca="1" si="114"/>
        <v>0.70668981481867377</v>
      </c>
      <c r="AC695" s="170">
        <f t="shared" ca="1" si="115"/>
        <v>1.8845061728497967</v>
      </c>
      <c r="AD695" s="169">
        <f t="shared" ca="1" si="116"/>
        <v>7.7083333337213844E-2</v>
      </c>
      <c r="AE695" s="169">
        <f t="shared" ca="1" si="111"/>
        <v>0.70668981481867377</v>
      </c>
      <c r="AF695" s="170">
        <f t="shared" ca="1" si="117"/>
        <v>1.8845061728497967</v>
      </c>
      <c r="AG695" s="170">
        <f t="shared" ca="1" si="118"/>
        <v>1.8845061728497967</v>
      </c>
      <c r="AH695" s="28" t="str" cm="1">
        <f t="array" aca="1" ref="AH695" ca="1">IF((AD695) &lt; (INDEX(ResponseSLA[#All],(MATCH((G695),ResponseSLA[Priority],0))+1,3)),"YES","No")</f>
        <v>YES</v>
      </c>
      <c r="AI695" s="28" t="str">
        <f ca="1">_xlfn.IFNA(IF(AE695 &lt; (INDEX(SLATable[Minimum SLA],MATCH(G695,SLATable[Priority],0))),"YES","NO"),"")</f>
        <v>YES</v>
      </c>
      <c r="AJ695" s="28"/>
    </row>
    <row r="696" spans="2:36" s="58" customFormat="1">
      <c r="B696" s="58" t="s">
        <v>26</v>
      </c>
      <c r="C696" s="58" t="s">
        <v>35</v>
      </c>
      <c r="D696" s="58" t="s">
        <v>208</v>
      </c>
      <c r="E696" s="312" t="s">
        <v>2400</v>
      </c>
      <c r="F696" s="58" t="s">
        <v>292</v>
      </c>
      <c r="G696" s="58" t="s">
        <v>208</v>
      </c>
      <c r="H696" s="312" t="s">
        <v>2239</v>
      </c>
      <c r="I696" s="58" t="s">
        <v>271</v>
      </c>
      <c r="J696" s="127" t="s">
        <v>1250</v>
      </c>
      <c r="K696" s="307">
        <v>46217.375694444447</v>
      </c>
      <c r="L696" s="311">
        <v>46217.377083333333</v>
      </c>
      <c r="M696" s="311">
        <v>46217.396527777775</v>
      </c>
      <c r="N696" s="311">
        <v>46224.319374999999</v>
      </c>
      <c r="O696" s="311"/>
      <c r="P696" s="311"/>
      <c r="Q696" s="312" t="s">
        <v>1073</v>
      </c>
      <c r="R696" s="58" t="s">
        <v>267</v>
      </c>
      <c r="S696" s="58" t="s">
        <v>155</v>
      </c>
      <c r="U696" s="58" t="s">
        <v>371</v>
      </c>
      <c r="Z696" s="169">
        <f t="shared" ca="1" si="112"/>
        <v>1.8326388888866254</v>
      </c>
      <c r="AA696" s="170">
        <f t="shared" ca="1" si="113"/>
        <v>4.8870370370310008</v>
      </c>
      <c r="AB696" s="169">
        <f t="shared" ca="1" si="114"/>
        <v>1.8312500000004852</v>
      </c>
      <c r="AC696" s="170">
        <f t="shared" ca="1" si="115"/>
        <v>4.8833333333346269</v>
      </c>
      <c r="AD696" s="169">
        <f t="shared" ca="1" si="116"/>
        <v>1.9444444442342501E-2</v>
      </c>
      <c r="AE696" s="169">
        <f t="shared" ca="1" si="111"/>
        <v>1.8312500000004852</v>
      </c>
      <c r="AF696" s="170">
        <f t="shared" ca="1" si="117"/>
        <v>4.8833333333346269</v>
      </c>
      <c r="AG696" s="170">
        <f t="shared" ca="1" si="118"/>
        <v>4.8833333333346269</v>
      </c>
      <c r="AH696" s="28" t="str" cm="1">
        <f t="array" aca="1" ref="AH696" ca="1">IF((AD696) &lt; (INDEX(ResponseSLA[#All],(MATCH((G696),ResponseSLA[Priority],0))+1,3)),"YES","No")</f>
        <v>YES</v>
      </c>
      <c r="AI696" s="28" t="str">
        <f ca="1">_xlfn.IFNA(IF(AE696 &lt; (INDEX(SLATable[Minimum SLA],MATCH(G696,SLATable[Priority],0))),"YES","NO"),"")</f>
        <v>NO</v>
      </c>
      <c r="AJ696" s="28"/>
    </row>
    <row r="697" spans="2:36" s="58" customFormat="1">
      <c r="B697" s="58" t="s">
        <v>26</v>
      </c>
      <c r="C697" s="58" t="s">
        <v>35</v>
      </c>
      <c r="D697" s="58" t="s">
        <v>208</v>
      </c>
      <c r="E697" s="312" t="s">
        <v>2401</v>
      </c>
      <c r="F697" s="58" t="s">
        <v>289</v>
      </c>
      <c r="G697" s="58" t="s">
        <v>208</v>
      </c>
      <c r="H697" s="312" t="s">
        <v>1855</v>
      </c>
      <c r="I697" s="58" t="s">
        <v>271</v>
      </c>
      <c r="J697" s="127" t="s">
        <v>1250</v>
      </c>
      <c r="K697" s="307">
        <v>46217.375694444447</v>
      </c>
      <c r="L697" s="311">
        <v>46217.376388888886</v>
      </c>
      <c r="M697" s="311">
        <v>46217.396527777775</v>
      </c>
      <c r="N697" s="311">
        <v>46224.321064814816</v>
      </c>
      <c r="O697" s="311"/>
      <c r="P697" s="311"/>
      <c r="Q697" s="312" t="s">
        <v>1104</v>
      </c>
      <c r="R697" s="58" t="s">
        <v>267</v>
      </c>
      <c r="S697" s="58" t="s">
        <v>155</v>
      </c>
      <c r="U697" s="58" t="s">
        <v>371</v>
      </c>
      <c r="Z697" s="169">
        <f t="shared" ca="1" si="112"/>
        <v>1.8326388888866254</v>
      </c>
      <c r="AA697" s="170">
        <f t="shared" ca="1" si="113"/>
        <v>4.8870370370310008</v>
      </c>
      <c r="AB697" s="169">
        <f t="shared" ca="1" si="114"/>
        <v>1.8319444444471933</v>
      </c>
      <c r="AC697" s="170">
        <f t="shared" ca="1" si="115"/>
        <v>4.8851851851925154</v>
      </c>
      <c r="AD697" s="169">
        <f t="shared" ca="1" si="116"/>
        <v>2.0138888889050577E-2</v>
      </c>
      <c r="AE697" s="169">
        <f t="shared" ca="1" si="111"/>
        <v>1.8319444444471933</v>
      </c>
      <c r="AF697" s="170">
        <f t="shared" ca="1" si="117"/>
        <v>4.8851851851925154</v>
      </c>
      <c r="AG697" s="170">
        <f t="shared" ca="1" si="118"/>
        <v>4.8851851851925154</v>
      </c>
      <c r="AH697" s="28" t="str" cm="1">
        <f t="array" aca="1" ref="AH697" ca="1">IF((AD697) &lt; (INDEX(ResponseSLA[#All],(MATCH((G697),ResponseSLA[Priority],0))+1,3)),"YES","No")</f>
        <v>YES</v>
      </c>
      <c r="AI697" s="28" t="str">
        <f ca="1">_xlfn.IFNA(IF(AE697 &lt; (INDEX(SLATable[Minimum SLA],MATCH(G697,SLATable[Priority],0))),"YES","NO"),"")</f>
        <v>NO</v>
      </c>
      <c r="AJ697" s="28"/>
    </row>
    <row r="698" spans="2:36" s="58" customFormat="1">
      <c r="B698" s="58" t="s">
        <v>26</v>
      </c>
      <c r="C698" s="58" t="s">
        <v>35</v>
      </c>
      <c r="D698" s="58" t="s">
        <v>208</v>
      </c>
      <c r="E698" s="312" t="s">
        <v>2402</v>
      </c>
      <c r="F698" s="58" t="s">
        <v>289</v>
      </c>
      <c r="G698" s="58" t="s">
        <v>208</v>
      </c>
      <c r="H698" s="312" t="s">
        <v>1865</v>
      </c>
      <c r="I698" s="58" t="s">
        <v>271</v>
      </c>
      <c r="J698" s="127" t="s">
        <v>1250</v>
      </c>
      <c r="K698" s="307">
        <v>46217.375694444447</v>
      </c>
      <c r="L698" s="311">
        <v>46217.376388888886</v>
      </c>
      <c r="M698" s="311">
        <v>46217.397222222222</v>
      </c>
      <c r="N698" s="311">
        <v>46224.320520833331</v>
      </c>
      <c r="O698" s="311"/>
      <c r="P698" s="311"/>
      <c r="Q698" s="312" t="s">
        <v>1101</v>
      </c>
      <c r="R698" s="58" t="s">
        <v>267</v>
      </c>
      <c r="S698" s="58" t="s">
        <v>155</v>
      </c>
      <c r="U698" s="58" t="s">
        <v>371</v>
      </c>
      <c r="Z698" s="169">
        <f t="shared" ca="1" si="112"/>
        <v>1.8326388888866254</v>
      </c>
      <c r="AA698" s="170">
        <f t="shared" ca="1" si="113"/>
        <v>4.8870370370310008</v>
      </c>
      <c r="AB698" s="169">
        <f t="shared" ca="1" si="114"/>
        <v>1.8319444444471933</v>
      </c>
      <c r="AC698" s="170">
        <f t="shared" ca="1" si="115"/>
        <v>4.8851851851925154</v>
      </c>
      <c r="AD698" s="169">
        <f t="shared" ca="1" si="116"/>
        <v>2.0833333335758653E-2</v>
      </c>
      <c r="AE698" s="169">
        <f t="shared" ca="1" si="111"/>
        <v>1.8319444444471933</v>
      </c>
      <c r="AF698" s="170">
        <f t="shared" ca="1" si="117"/>
        <v>4.8851851851925154</v>
      </c>
      <c r="AG698" s="170">
        <f t="shared" ca="1" si="118"/>
        <v>4.8851851851925154</v>
      </c>
      <c r="AH698" s="28" t="str" cm="1">
        <f t="array" aca="1" ref="AH698" ca="1">IF((AD698) &lt; (INDEX(ResponseSLA[#All],(MATCH((G698),ResponseSLA[Priority],0))+1,3)),"YES","No")</f>
        <v>YES</v>
      </c>
      <c r="AI698" s="28" t="str">
        <f ca="1">_xlfn.IFNA(IF(AE698 &lt; (INDEX(SLATable[Minimum SLA],MATCH(G698,SLATable[Priority],0))),"YES","NO"),"")</f>
        <v>NO</v>
      </c>
      <c r="AJ698" s="28"/>
    </row>
    <row r="699" spans="2:36" s="58" customFormat="1">
      <c r="B699" s="58" t="s">
        <v>26</v>
      </c>
      <c r="C699" s="58" t="s">
        <v>35</v>
      </c>
      <c r="D699" s="58" t="s">
        <v>208</v>
      </c>
      <c r="E699" s="312" t="s">
        <v>2403</v>
      </c>
      <c r="F699" s="58" t="s">
        <v>289</v>
      </c>
      <c r="G699" s="58" t="s">
        <v>208</v>
      </c>
      <c r="H699" s="312" t="s">
        <v>1877</v>
      </c>
      <c r="I699" s="58" t="s">
        <v>271</v>
      </c>
      <c r="J699" s="127" t="s">
        <v>1250</v>
      </c>
      <c r="K699" s="307">
        <v>46217.375694444447</v>
      </c>
      <c r="L699" s="311">
        <v>46217.376388888886</v>
      </c>
      <c r="M699" s="311">
        <v>46217.397222222222</v>
      </c>
      <c r="N699" s="311">
        <v>46224.353113425925</v>
      </c>
      <c r="O699" s="311"/>
      <c r="P699" s="311"/>
      <c r="Q699" s="312" t="s">
        <v>1879</v>
      </c>
      <c r="R699" s="58" t="s">
        <v>267</v>
      </c>
      <c r="S699" s="58" t="s">
        <v>155</v>
      </c>
      <c r="U699" s="58" t="s">
        <v>371</v>
      </c>
      <c r="Z699" s="169">
        <f t="shared" ca="1" si="112"/>
        <v>1.8524189814779675</v>
      </c>
      <c r="AA699" s="170">
        <f t="shared" ca="1" si="113"/>
        <v>4.9397839506079135</v>
      </c>
      <c r="AB699" s="169">
        <f t="shared" ca="1" si="114"/>
        <v>1.8517245370385353</v>
      </c>
      <c r="AC699" s="170">
        <f t="shared" ca="1" si="115"/>
        <v>4.9379320987694273</v>
      </c>
      <c r="AD699" s="169">
        <f t="shared" ca="1" si="116"/>
        <v>2.0833333335758653E-2</v>
      </c>
      <c r="AE699" s="169">
        <f t="shared" ca="1" si="111"/>
        <v>1.8517245370385353</v>
      </c>
      <c r="AF699" s="170">
        <f t="shared" ca="1" si="117"/>
        <v>4.9379320987694273</v>
      </c>
      <c r="AG699" s="170">
        <f t="shared" ca="1" si="118"/>
        <v>4.9379320987694273</v>
      </c>
      <c r="AH699" s="28" t="str" cm="1">
        <f t="array" aca="1" ref="AH699" ca="1">IF((AD699) &lt; (INDEX(ResponseSLA[#All],(MATCH((G699),ResponseSLA[Priority],0))+1,3)),"YES","No")</f>
        <v>YES</v>
      </c>
      <c r="AI699" s="28" t="str">
        <f ca="1">_xlfn.IFNA(IF(AE699 &lt; (INDEX(SLATable[Minimum SLA],MATCH(G699,SLATable[Priority],0))),"YES","NO"),"")</f>
        <v>NO</v>
      </c>
      <c r="AJ699" s="28"/>
    </row>
    <row r="700" spans="2:36" s="58" customFormat="1">
      <c r="B700" s="58" t="s">
        <v>26</v>
      </c>
      <c r="C700" s="58" t="s">
        <v>35</v>
      </c>
      <c r="D700" s="58" t="s">
        <v>208</v>
      </c>
      <c r="E700" s="312" t="s">
        <v>2404</v>
      </c>
      <c r="F700" s="58" t="s">
        <v>289</v>
      </c>
      <c r="G700" s="58" t="s">
        <v>208</v>
      </c>
      <c r="H700" s="312" t="s">
        <v>1810</v>
      </c>
      <c r="I700" s="58" t="s">
        <v>271</v>
      </c>
      <c r="J700" s="127" t="s">
        <v>1250</v>
      </c>
      <c r="K700" s="307">
        <v>46217.376388888886</v>
      </c>
      <c r="L700" s="311">
        <v>46217.376388888886</v>
      </c>
      <c r="M700" s="311">
        <v>46217.397916666669</v>
      </c>
      <c r="N700" s="311">
        <v>46224.352627314816</v>
      </c>
      <c r="O700" s="311"/>
      <c r="P700" s="311"/>
      <c r="Q700" s="312" t="s">
        <v>1811</v>
      </c>
      <c r="R700" s="58" t="s">
        <v>267</v>
      </c>
      <c r="S700" s="58" t="s">
        <v>155</v>
      </c>
      <c r="U700" s="58" t="s">
        <v>371</v>
      </c>
      <c r="Z700" s="169">
        <f t="shared" ca="1" si="112"/>
        <v>1.8512384259302053</v>
      </c>
      <c r="AA700" s="170">
        <f t="shared" ca="1" si="113"/>
        <v>4.9366358024805477</v>
      </c>
      <c r="AB700" s="169">
        <f t="shared" ca="1" si="114"/>
        <v>1.8512384259302053</v>
      </c>
      <c r="AC700" s="170">
        <f t="shared" ca="1" si="115"/>
        <v>4.9366358024805477</v>
      </c>
      <c r="AD700" s="169">
        <f t="shared" ca="1" si="116"/>
        <v>2.1527777782466728E-2</v>
      </c>
      <c r="AE700" s="169">
        <f t="shared" ca="1" si="111"/>
        <v>1.8512384259302053</v>
      </c>
      <c r="AF700" s="170">
        <f t="shared" ca="1" si="117"/>
        <v>4.9366358024805477</v>
      </c>
      <c r="AG700" s="170">
        <f t="shared" ca="1" si="118"/>
        <v>4.9366358024805477</v>
      </c>
      <c r="AH700" s="28" t="str" cm="1">
        <f t="array" aca="1" ref="AH700" ca="1">IF((AD700) &lt; (INDEX(ResponseSLA[#All],(MATCH((G700),ResponseSLA[Priority],0))+1,3)),"YES","No")</f>
        <v>YES</v>
      </c>
      <c r="AI700" s="28" t="str">
        <f ca="1">_xlfn.IFNA(IF(AE700 &lt; (INDEX(SLATable[Minimum SLA],MATCH(G700,SLATable[Priority],0))),"YES","NO"),"")</f>
        <v>NO</v>
      </c>
      <c r="AJ700" s="28"/>
    </row>
    <row r="701" spans="2:36" s="58" customFormat="1">
      <c r="B701" s="58" t="s">
        <v>26</v>
      </c>
      <c r="C701" s="58" t="s">
        <v>35</v>
      </c>
      <c r="D701" s="58" t="s">
        <v>208</v>
      </c>
      <c r="E701" s="312" t="s">
        <v>2405</v>
      </c>
      <c r="F701" s="58" t="s">
        <v>289</v>
      </c>
      <c r="G701" s="58" t="s">
        <v>208</v>
      </c>
      <c r="H701" s="312" t="s">
        <v>1889</v>
      </c>
      <c r="I701" s="58" t="s">
        <v>271</v>
      </c>
      <c r="J701" s="127" t="s">
        <v>1250</v>
      </c>
      <c r="K701" s="307">
        <v>46217.376388888886</v>
      </c>
      <c r="L701" s="311">
        <v>46217.377083333333</v>
      </c>
      <c r="M701" s="311">
        <v>46217.397916666669</v>
      </c>
      <c r="N701" s="311">
        <v>46224.352152777778</v>
      </c>
      <c r="O701" s="311"/>
      <c r="P701" s="311"/>
      <c r="Q701" s="312" t="s">
        <v>1891</v>
      </c>
      <c r="R701" s="58" t="s">
        <v>267</v>
      </c>
      <c r="S701" s="58" t="s">
        <v>155</v>
      </c>
      <c r="U701" s="58" t="s">
        <v>371</v>
      </c>
      <c r="Z701" s="169">
        <f t="shared" ca="1" si="112"/>
        <v>1.8507638888913789</v>
      </c>
      <c r="AA701" s="170">
        <f t="shared" ca="1" si="113"/>
        <v>4.9353703703770107</v>
      </c>
      <c r="AB701" s="169">
        <f t="shared" ca="1" si="114"/>
        <v>1.8500694444446708</v>
      </c>
      <c r="AC701" s="170">
        <f t="shared" ca="1" si="115"/>
        <v>4.9335185185191222</v>
      </c>
      <c r="AD701" s="169">
        <f t="shared" ca="1" si="116"/>
        <v>2.0833333335758653E-2</v>
      </c>
      <c r="AE701" s="169">
        <f t="shared" ca="1" si="111"/>
        <v>1.8500694444446708</v>
      </c>
      <c r="AF701" s="170">
        <f t="shared" ca="1" si="117"/>
        <v>4.9335185185191222</v>
      </c>
      <c r="AG701" s="170">
        <f t="shared" ca="1" si="118"/>
        <v>4.9335185185191222</v>
      </c>
      <c r="AH701" s="28" t="str" cm="1">
        <f t="array" aca="1" ref="AH701" ca="1">IF((AD701) &lt; (INDEX(ResponseSLA[#All],(MATCH((G701),ResponseSLA[Priority],0))+1,3)),"YES","No")</f>
        <v>YES</v>
      </c>
      <c r="AI701" s="28" t="str">
        <f ca="1">_xlfn.IFNA(IF(AE701 &lt; (INDEX(SLATable[Minimum SLA],MATCH(G701,SLATable[Priority],0))),"YES","NO"),"")</f>
        <v>NO</v>
      </c>
      <c r="AJ701" s="28"/>
    </row>
    <row r="702" spans="2:36" s="58" customFormat="1">
      <c r="B702" s="58" t="s">
        <v>26</v>
      </c>
      <c r="C702" s="58" t="s">
        <v>35</v>
      </c>
      <c r="D702" s="58" t="s">
        <v>208</v>
      </c>
      <c r="E702" s="312" t="s">
        <v>2406</v>
      </c>
      <c r="F702" s="58" t="s">
        <v>292</v>
      </c>
      <c r="G702" s="58" t="s">
        <v>208</v>
      </c>
      <c r="H702" s="312" t="s">
        <v>1886</v>
      </c>
      <c r="I702" s="58" t="s">
        <v>271</v>
      </c>
      <c r="J702" s="127" t="s">
        <v>1250</v>
      </c>
      <c r="K702" s="307">
        <v>46217.37777777778</v>
      </c>
      <c r="L702" s="311">
        <v>46217.378472222219</v>
      </c>
      <c r="M702" s="311">
        <v>46217.401388888888</v>
      </c>
      <c r="N702" s="311">
        <v>46224.351643518516</v>
      </c>
      <c r="O702" s="311"/>
      <c r="P702" s="311"/>
      <c r="Q702" s="312" t="s">
        <v>1276</v>
      </c>
      <c r="R702" s="58" t="s">
        <v>267</v>
      </c>
      <c r="S702" s="58" t="s">
        <v>155</v>
      </c>
      <c r="U702" s="58" t="s">
        <v>371</v>
      </c>
      <c r="Z702" s="169">
        <f t="shared" ca="1" si="112"/>
        <v>1.8488657407360733</v>
      </c>
      <c r="AA702" s="170">
        <f t="shared" ca="1" si="113"/>
        <v>4.9303086419628626</v>
      </c>
      <c r="AB702" s="169">
        <f t="shared" ca="1" si="114"/>
        <v>1.8481712962966412</v>
      </c>
      <c r="AC702" s="170">
        <f t="shared" ca="1" si="115"/>
        <v>4.9284567901243763</v>
      </c>
      <c r="AD702" s="169">
        <f t="shared" ca="1" si="116"/>
        <v>2.2916666668606922E-2</v>
      </c>
      <c r="AE702" s="169">
        <f t="shared" ca="1" si="111"/>
        <v>1.8481712962966412</v>
      </c>
      <c r="AF702" s="170">
        <f t="shared" ca="1" si="117"/>
        <v>4.9284567901243763</v>
      </c>
      <c r="AG702" s="170">
        <f t="shared" ca="1" si="118"/>
        <v>4.9284567901243763</v>
      </c>
      <c r="AH702" s="28" t="str" cm="1">
        <f t="array" aca="1" ref="AH702" ca="1">IF((AD702) &lt; (INDEX(ResponseSLA[#All],(MATCH((G702),ResponseSLA[Priority],0))+1,3)),"YES","No")</f>
        <v>YES</v>
      </c>
      <c r="AI702" s="28" t="str">
        <f ca="1">_xlfn.IFNA(IF(AE702 &lt; (INDEX(SLATable[Minimum SLA],MATCH(G702,SLATable[Priority],0))),"YES","NO"),"")</f>
        <v>NO</v>
      </c>
      <c r="AJ702" s="28"/>
    </row>
    <row r="703" spans="2:36" s="58" customFormat="1">
      <c r="B703" s="58" t="s">
        <v>26</v>
      </c>
      <c r="C703" s="58" t="s">
        <v>35</v>
      </c>
      <c r="D703" s="58" t="s">
        <v>208</v>
      </c>
      <c r="E703" s="312" t="s">
        <v>2407</v>
      </c>
      <c r="F703" s="58" t="s">
        <v>289</v>
      </c>
      <c r="G703" s="58" t="s">
        <v>208</v>
      </c>
      <c r="H703" s="312" t="s">
        <v>1895</v>
      </c>
      <c r="I703" s="58" t="s">
        <v>271</v>
      </c>
      <c r="J703" s="127" t="s">
        <v>1250</v>
      </c>
      <c r="K703" s="307">
        <v>46217.37777777778</v>
      </c>
      <c r="L703" s="311">
        <v>46217.378472222219</v>
      </c>
      <c r="M703" s="311">
        <v>46217.402083333334</v>
      </c>
      <c r="N703" s="311">
        <v>46224.31994212963</v>
      </c>
      <c r="O703" s="311"/>
      <c r="P703" s="311"/>
      <c r="Q703" s="312" t="s">
        <v>1068</v>
      </c>
      <c r="R703" s="58" t="s">
        <v>267</v>
      </c>
      <c r="S703" s="58" t="s">
        <v>155</v>
      </c>
      <c r="U703" s="58" t="s">
        <v>371</v>
      </c>
      <c r="Z703" s="169">
        <f t="shared" ca="1" si="112"/>
        <v>1.8305555555537771</v>
      </c>
      <c r="AA703" s="170">
        <f t="shared" ca="1" si="113"/>
        <v>4.8814814814767384</v>
      </c>
      <c r="AB703" s="169">
        <f t="shared" ca="1" si="114"/>
        <v>1.829861111114345</v>
      </c>
      <c r="AC703" s="170">
        <f t="shared" ca="1" si="115"/>
        <v>4.8796296296382531</v>
      </c>
      <c r="AD703" s="169">
        <f t="shared" ca="1" si="116"/>
        <v>2.3611111115314998E-2</v>
      </c>
      <c r="AE703" s="169">
        <f t="shared" ca="1" si="111"/>
        <v>1.829861111114345</v>
      </c>
      <c r="AF703" s="170">
        <f t="shared" ca="1" si="117"/>
        <v>4.8796296296382531</v>
      </c>
      <c r="AG703" s="170">
        <f t="shared" ca="1" si="118"/>
        <v>4.8796296296382531</v>
      </c>
      <c r="AH703" s="28" t="str" cm="1">
        <f t="array" aca="1" ref="AH703" ca="1">IF((AD703) &lt; (INDEX(ResponseSLA[#All],(MATCH((G703),ResponseSLA[Priority],0))+1,3)),"YES","No")</f>
        <v>YES</v>
      </c>
      <c r="AI703" s="28" t="str">
        <f ca="1">_xlfn.IFNA(IF(AE703 &lt; (INDEX(SLATable[Minimum SLA],MATCH(G703,SLATable[Priority],0))),"YES","NO"),"")</f>
        <v>NO</v>
      </c>
      <c r="AJ703" s="28"/>
    </row>
    <row r="704" spans="2:36" s="58" customFormat="1">
      <c r="B704" s="58" t="s">
        <v>26</v>
      </c>
      <c r="C704" s="58" t="s">
        <v>35</v>
      </c>
      <c r="D704" s="58" t="s">
        <v>208</v>
      </c>
      <c r="E704" s="312" t="s">
        <v>2408</v>
      </c>
      <c r="F704" s="58" t="s">
        <v>292</v>
      </c>
      <c r="G704" s="58" t="s">
        <v>208</v>
      </c>
      <c r="H704" s="312" t="s">
        <v>1886</v>
      </c>
      <c r="I704" s="58" t="s">
        <v>271</v>
      </c>
      <c r="J704" s="127" t="s">
        <v>1250</v>
      </c>
      <c r="K704" s="307">
        <v>46224.375694444447</v>
      </c>
      <c r="L704" s="311">
        <v>46224.376388888886</v>
      </c>
      <c r="M704" s="311">
        <v>46226.352777777778</v>
      </c>
      <c r="N704" s="311">
        <v>46227.516550925924</v>
      </c>
      <c r="O704" s="311"/>
      <c r="P704" s="311"/>
      <c r="Q704" s="312" t="s">
        <v>1276</v>
      </c>
      <c r="R704" s="58" t="s">
        <v>267</v>
      </c>
      <c r="S704" s="58" t="s">
        <v>155</v>
      </c>
      <c r="U704" s="58" t="s">
        <v>371</v>
      </c>
      <c r="Z704" s="169">
        <f t="shared" ca="1" si="112"/>
        <v>1.2658564814773856</v>
      </c>
      <c r="AA704" s="170">
        <f t="shared" ca="1" si="113"/>
        <v>3.375617283939695</v>
      </c>
      <c r="AB704" s="169">
        <f t="shared" ca="1" si="114"/>
        <v>1.2651620370379535</v>
      </c>
      <c r="AC704" s="170">
        <f t="shared" ca="1" si="115"/>
        <v>3.3737654321012096</v>
      </c>
      <c r="AD704" s="169">
        <f t="shared" ca="1" si="116"/>
        <v>0.72638888889196096</v>
      </c>
      <c r="AE704" s="169">
        <f t="shared" ca="1" si="111"/>
        <v>1.2651620370379535</v>
      </c>
      <c r="AF704" s="170">
        <f t="shared" ca="1" si="117"/>
        <v>3.3737654321012096</v>
      </c>
      <c r="AG704" s="170">
        <f t="shared" ca="1" si="118"/>
        <v>3.3737654321012096</v>
      </c>
      <c r="AH704" s="28" t="str" cm="1">
        <f t="array" aca="1" ref="AH704" ca="1">IF((AD704) &lt; (INDEX(ResponseSLA[#All],(MATCH((G704),ResponseSLA[Priority],0))+1,3)),"YES","No")</f>
        <v>No</v>
      </c>
      <c r="AI704" s="28" t="str">
        <f ca="1">_xlfn.IFNA(IF(AE704 &lt; (INDEX(SLATable[Minimum SLA],MATCH(G704,SLATable[Priority],0))),"YES","NO"),"")</f>
        <v>NO</v>
      </c>
      <c r="AJ704" s="28"/>
    </row>
    <row r="705" spans="2:36" s="58" customFormat="1">
      <c r="B705" s="58" t="s">
        <v>26</v>
      </c>
      <c r="C705" s="58" t="s">
        <v>35</v>
      </c>
      <c r="D705" s="58" t="s">
        <v>208</v>
      </c>
      <c r="E705" s="312" t="s">
        <v>2409</v>
      </c>
      <c r="F705" s="58" t="s">
        <v>289</v>
      </c>
      <c r="G705" s="58" t="s">
        <v>208</v>
      </c>
      <c r="H705" s="312" t="s">
        <v>2395</v>
      </c>
      <c r="I705" s="58" t="s">
        <v>271</v>
      </c>
      <c r="J705" s="127" t="s">
        <v>1250</v>
      </c>
      <c r="K705" s="307">
        <v>46224.375694444447</v>
      </c>
      <c r="L705" s="311">
        <v>46224.376388888886</v>
      </c>
      <c r="M705" s="311">
        <v>46226.35833333333</v>
      </c>
      <c r="N705" s="311">
        <v>46227.517939814818</v>
      </c>
      <c r="O705" s="311"/>
      <c r="P705" s="311"/>
      <c r="Q705" s="312" t="s">
        <v>1164</v>
      </c>
      <c r="R705" s="58" t="s">
        <v>267</v>
      </c>
      <c r="S705" s="58" t="s">
        <v>155</v>
      </c>
      <c r="U705" s="58" t="s">
        <v>371</v>
      </c>
      <c r="Z705" s="169">
        <f t="shared" ca="1" si="112"/>
        <v>1.2672453703708018</v>
      </c>
      <c r="AA705" s="170">
        <f t="shared" ca="1" si="113"/>
        <v>3.3793209876554715</v>
      </c>
      <c r="AB705" s="169">
        <f t="shared" ca="1" si="114"/>
        <v>1.2665509259313696</v>
      </c>
      <c r="AC705" s="170">
        <f t="shared" ca="1" si="115"/>
        <v>3.3774691358169857</v>
      </c>
      <c r="AD705" s="169">
        <f t="shared" ca="1" si="116"/>
        <v>0.73194444444379769</v>
      </c>
      <c r="AE705" s="169">
        <f t="shared" ca="1" si="111"/>
        <v>1.2665509259313696</v>
      </c>
      <c r="AF705" s="170">
        <f t="shared" ca="1" si="117"/>
        <v>3.3774691358169857</v>
      </c>
      <c r="AG705" s="170">
        <f t="shared" ca="1" si="118"/>
        <v>3.3774691358169857</v>
      </c>
      <c r="AH705" s="28" t="str" cm="1">
        <f t="array" aca="1" ref="AH705" ca="1">IF((AD705) &lt; (INDEX(ResponseSLA[#All],(MATCH((G705),ResponseSLA[Priority],0))+1,3)),"YES","No")</f>
        <v>No</v>
      </c>
      <c r="AI705" s="28" t="str">
        <f ca="1">_xlfn.IFNA(IF(AE705 &lt; (INDEX(SLATable[Minimum SLA],MATCH(G705,SLATable[Priority],0))),"YES","NO"),"")</f>
        <v>NO</v>
      </c>
      <c r="AJ705" s="28"/>
    </row>
    <row r="706" spans="2:36" s="58" customFormat="1">
      <c r="B706" s="58" t="s">
        <v>26</v>
      </c>
      <c r="C706" s="58" t="s">
        <v>35</v>
      </c>
      <c r="D706" s="58" t="s">
        <v>208</v>
      </c>
      <c r="E706" s="312" t="s">
        <v>2410</v>
      </c>
      <c r="F706" s="58" t="s">
        <v>289</v>
      </c>
      <c r="G706" s="58" t="s">
        <v>208</v>
      </c>
      <c r="H706" s="312" t="s">
        <v>1810</v>
      </c>
      <c r="I706" s="58" t="s">
        <v>271</v>
      </c>
      <c r="J706" s="127" t="s">
        <v>1250</v>
      </c>
      <c r="K706" s="307">
        <v>46224.376388888886</v>
      </c>
      <c r="L706" s="311">
        <v>46224.376388888886</v>
      </c>
      <c r="M706" s="311">
        <v>46226.356249999997</v>
      </c>
      <c r="N706" s="311">
        <v>46227.518935185188</v>
      </c>
      <c r="O706" s="311"/>
      <c r="P706" s="311"/>
      <c r="Q706" s="312" t="s">
        <v>1811</v>
      </c>
      <c r="R706" s="58" t="s">
        <v>267</v>
      </c>
      <c r="S706" s="58" t="s">
        <v>155</v>
      </c>
      <c r="U706" s="58" t="s">
        <v>371</v>
      </c>
      <c r="Z706" s="169">
        <f t="shared" ca="1" si="112"/>
        <v>1.2675462963015891</v>
      </c>
      <c r="AA706" s="170">
        <f t="shared" ca="1" si="113"/>
        <v>3.3801234568042378</v>
      </c>
      <c r="AB706" s="169">
        <f t="shared" ca="1" si="114"/>
        <v>1.2675462963015891</v>
      </c>
      <c r="AC706" s="170">
        <f t="shared" ca="1" si="115"/>
        <v>3.3801234568042378</v>
      </c>
      <c r="AD706" s="169">
        <f t="shared" ca="1" si="116"/>
        <v>0.72986111111094942</v>
      </c>
      <c r="AE706" s="169">
        <f t="shared" ca="1" si="111"/>
        <v>1.2675462963015891</v>
      </c>
      <c r="AF706" s="170">
        <f t="shared" ca="1" si="117"/>
        <v>3.3801234568042378</v>
      </c>
      <c r="AG706" s="170">
        <f t="shared" ca="1" si="118"/>
        <v>3.3801234568042378</v>
      </c>
      <c r="AH706" s="28" t="str" cm="1">
        <f t="array" aca="1" ref="AH706" ca="1">IF((AD706) &lt; (INDEX(ResponseSLA[#All],(MATCH((G706),ResponseSLA[Priority],0))+1,3)),"YES","No")</f>
        <v>No</v>
      </c>
      <c r="AI706" s="28" t="str">
        <f ca="1">_xlfn.IFNA(IF(AE706 &lt; (INDEX(SLATable[Minimum SLA],MATCH(G706,SLATable[Priority],0))),"YES","NO"),"")</f>
        <v>NO</v>
      </c>
      <c r="AJ706" s="28"/>
    </row>
    <row r="707" spans="2:36" s="58" customFormat="1">
      <c r="B707" s="58" t="s">
        <v>26</v>
      </c>
      <c r="C707" s="58" t="s">
        <v>35</v>
      </c>
      <c r="D707" s="58" t="s">
        <v>208</v>
      </c>
      <c r="E707" s="312" t="s">
        <v>2411</v>
      </c>
      <c r="F707" s="58" t="s">
        <v>292</v>
      </c>
      <c r="G707" s="58" t="s">
        <v>208</v>
      </c>
      <c r="H707" s="312" t="s">
        <v>1886</v>
      </c>
      <c r="I707" s="58" t="s">
        <v>271</v>
      </c>
      <c r="J707" s="127" t="s">
        <v>1250</v>
      </c>
      <c r="K707" s="307">
        <v>46231.375694444447</v>
      </c>
      <c r="L707" s="311">
        <v>46231.375694444447</v>
      </c>
      <c r="M707" s="311">
        <v>46231.503472222219</v>
      </c>
      <c r="N707" s="311">
        <v>46233.416608796295</v>
      </c>
      <c r="O707" s="311"/>
      <c r="P707" s="311"/>
      <c r="Q707" s="312" t="s">
        <v>1276</v>
      </c>
      <c r="R707" s="58" t="s">
        <v>267</v>
      </c>
      <c r="S707" s="58" t="s">
        <v>155</v>
      </c>
      <c r="U707" s="58" t="s">
        <v>371</v>
      </c>
      <c r="Z707" s="169">
        <f t="shared" ca="1" si="112"/>
        <v>0.79091435184818693</v>
      </c>
      <c r="AA707" s="170">
        <f t="shared" ca="1" si="113"/>
        <v>2.1091049382618317</v>
      </c>
      <c r="AB707" s="169">
        <f t="shared" ca="1" si="114"/>
        <v>0.79091435184818693</v>
      </c>
      <c r="AC707" s="170">
        <f t="shared" ca="1" si="115"/>
        <v>2.1091049382618317</v>
      </c>
      <c r="AD707" s="169">
        <f t="shared" ca="1" si="116"/>
        <v>0.12777777777228039</v>
      </c>
      <c r="AE707" s="169">
        <f t="shared" ca="1" si="111"/>
        <v>0.79091435184818693</v>
      </c>
      <c r="AF707" s="170">
        <f t="shared" ca="1" si="117"/>
        <v>2.1091049382618317</v>
      </c>
      <c r="AG707" s="170">
        <f t="shared" ca="1" si="118"/>
        <v>2.1091049382618317</v>
      </c>
      <c r="AH707" s="28" t="str" cm="1">
        <f t="array" aca="1" ref="AH707" ca="1">IF((AD707) &lt; (INDEX(ResponseSLA[#All],(MATCH((G707),ResponseSLA[Priority],0))+1,3)),"YES","No")</f>
        <v>YES</v>
      </c>
      <c r="AI707" s="28" t="str">
        <f ca="1">_xlfn.IFNA(IF(AE707 &lt; (INDEX(SLATable[Minimum SLA],MATCH(G707,SLATable[Priority],0))),"YES","NO"),"")</f>
        <v>NO</v>
      </c>
      <c r="AJ707" s="28"/>
    </row>
    <row r="708" spans="2:36" s="58" customFormat="1">
      <c r="B708" s="58" t="s">
        <v>26</v>
      </c>
      <c r="C708" s="58" t="s">
        <v>35</v>
      </c>
      <c r="D708" s="58" t="s">
        <v>208</v>
      </c>
      <c r="E708" s="312" t="s">
        <v>2412</v>
      </c>
      <c r="F708" s="58" t="s">
        <v>289</v>
      </c>
      <c r="G708" s="58" t="s">
        <v>208</v>
      </c>
      <c r="H708" s="312" t="s">
        <v>1898</v>
      </c>
      <c r="I708" s="58" t="s">
        <v>271</v>
      </c>
      <c r="J708" s="127" t="s">
        <v>1250</v>
      </c>
      <c r="K708" s="307">
        <v>46231.375694444447</v>
      </c>
      <c r="L708" s="311">
        <v>46231.375694444447</v>
      </c>
      <c r="M708" s="311">
        <v>46231.50277777778</v>
      </c>
      <c r="N708" s="311">
        <v>46233.416932870372</v>
      </c>
      <c r="O708" s="311"/>
      <c r="P708" s="311"/>
      <c r="Q708" s="312" t="s">
        <v>1431</v>
      </c>
      <c r="R708" s="58" t="s">
        <v>267</v>
      </c>
      <c r="S708" s="58" t="s">
        <v>155</v>
      </c>
      <c r="U708" s="58" t="s">
        <v>371</v>
      </c>
      <c r="Z708" s="169">
        <f t="shared" ca="1" si="112"/>
        <v>0.79123842592525762</v>
      </c>
      <c r="AA708" s="170">
        <f t="shared" ca="1" si="113"/>
        <v>2.1099691358006871</v>
      </c>
      <c r="AB708" s="169">
        <f t="shared" ca="1" si="114"/>
        <v>0.79123842592525762</v>
      </c>
      <c r="AC708" s="170">
        <f t="shared" ca="1" si="115"/>
        <v>2.1099691358006871</v>
      </c>
      <c r="AD708" s="169">
        <f t="shared" ca="1" si="116"/>
        <v>0.12708333333284827</v>
      </c>
      <c r="AE708" s="169">
        <f t="shared" ca="1" si="111"/>
        <v>0.79123842592525762</v>
      </c>
      <c r="AF708" s="170">
        <f t="shared" ca="1" si="117"/>
        <v>2.1099691358006871</v>
      </c>
      <c r="AG708" s="170">
        <f t="shared" ca="1" si="118"/>
        <v>2.1099691358006871</v>
      </c>
      <c r="AH708" s="28" t="str" cm="1">
        <f t="array" aca="1" ref="AH708" ca="1">IF((AD708) &lt; (INDEX(ResponseSLA[#All],(MATCH((G708),ResponseSLA[Priority],0))+1,3)),"YES","No")</f>
        <v>YES</v>
      </c>
      <c r="AI708" s="28" t="str">
        <f ca="1">_xlfn.IFNA(IF(AE708 &lt; (INDEX(SLATable[Minimum SLA],MATCH(G708,SLATable[Priority],0))),"YES","NO"),"")</f>
        <v>NO</v>
      </c>
      <c r="AJ708" s="28"/>
    </row>
    <row r="709" spans="2:36" s="58" customFormat="1">
      <c r="B709" s="58" t="s">
        <v>26</v>
      </c>
      <c r="C709" s="58" t="s">
        <v>35</v>
      </c>
      <c r="D709" s="58" t="s">
        <v>208</v>
      </c>
      <c r="E709" s="312" t="s">
        <v>2219</v>
      </c>
      <c r="F709" s="58" t="s">
        <v>303</v>
      </c>
      <c r="G709" s="58" t="s">
        <v>208</v>
      </c>
      <c r="H709" s="312" t="s">
        <v>2220</v>
      </c>
      <c r="I709" s="58" t="s">
        <v>260</v>
      </c>
      <c r="J709" s="127" t="s">
        <v>1250</v>
      </c>
      <c r="K709" s="311">
        <v>46202.256944444445</v>
      </c>
      <c r="L709" s="311">
        <v>46202.256944444445</v>
      </c>
      <c r="M709" s="311">
        <v>46202.341666666667</v>
      </c>
      <c r="N709" s="311"/>
      <c r="O709" s="311"/>
      <c r="P709" s="311"/>
      <c r="Q709" s="312" t="s">
        <v>1247</v>
      </c>
      <c r="Z709" s="169">
        <f t="shared" ca="1" si="112"/>
        <v>15.675640277777953</v>
      </c>
      <c r="AA709" s="170">
        <f t="shared" ca="1" si="113"/>
        <v>41.801707407407875</v>
      </c>
      <c r="AB709" s="169">
        <f t="shared" ca="1" si="114"/>
        <v>15.675640277777953</v>
      </c>
      <c r="AC709" s="170">
        <f t="shared" ca="1" si="115"/>
        <v>41.801707407407875</v>
      </c>
      <c r="AD709" s="169">
        <f t="shared" ca="1" si="116"/>
        <v>8.3333333338184157E-3</v>
      </c>
      <c r="AE709" s="169">
        <f t="shared" ca="1" si="111"/>
        <v>31.342901504630085</v>
      </c>
      <c r="AF709" s="170">
        <f t="shared" ca="1" si="117"/>
        <v>83.581070679013564</v>
      </c>
      <c r="AG709" s="170">
        <f t="shared" ca="1" si="118"/>
        <v>83.581070679013564</v>
      </c>
      <c r="AH709" s="28" t="str" cm="1">
        <f t="array" aca="1" ref="AH709" ca="1">IF((AD709) &lt; (INDEX(ResponseSLA[#All],(MATCH((G709),ResponseSLA[Priority],0))+1,3)),"YES","No")</f>
        <v>YES</v>
      </c>
      <c r="AI709" s="28" t="str">
        <f ca="1">_xlfn.IFNA(IF(AE709 &lt; (INDEX(SLATable[Minimum SLA],MATCH(G709,SLATable[Priority],0))),"YES","NO"),"")</f>
        <v>NO</v>
      </c>
      <c r="AJ709" s="28"/>
    </row>
    <row r="710" spans="2:36" s="58" customFormat="1">
      <c r="B710" s="58" t="s">
        <v>26</v>
      </c>
      <c r="C710" s="58" t="s">
        <v>35</v>
      </c>
      <c r="D710" s="58" t="s">
        <v>208</v>
      </c>
      <c r="E710" s="312" t="s">
        <v>2222</v>
      </c>
      <c r="F710" s="58" t="s">
        <v>303</v>
      </c>
      <c r="G710" s="58" t="s">
        <v>208</v>
      </c>
      <c r="H710" s="312" t="s">
        <v>2223</v>
      </c>
      <c r="I710" s="58" t="s">
        <v>260</v>
      </c>
      <c r="J710" s="127" t="s">
        <v>1250</v>
      </c>
      <c r="K710" s="311">
        <v>46202.257638888892</v>
      </c>
      <c r="L710" s="311">
        <v>46202.257638888892</v>
      </c>
      <c r="M710" s="311">
        <v>46202.34097222222</v>
      </c>
      <c r="N710" s="311"/>
      <c r="O710" s="311"/>
      <c r="P710" s="311"/>
      <c r="Q710" s="312" t="s">
        <v>1260</v>
      </c>
      <c r="Z710" s="169">
        <f t="shared" ca="1" si="112"/>
        <v>15.675640277777953</v>
      </c>
      <c r="AA710" s="170">
        <f t="shared" ca="1" si="113"/>
        <v>41.801707407407875</v>
      </c>
      <c r="AB710" s="169">
        <f t="shared" ca="1" si="114"/>
        <v>15.675640277777953</v>
      </c>
      <c r="AC710" s="170">
        <f t="shared" ca="1" si="115"/>
        <v>41.801707407407875</v>
      </c>
      <c r="AD710" s="169">
        <f t="shared" ca="1" si="116"/>
        <v>7.63888888711034E-3</v>
      </c>
      <c r="AE710" s="169">
        <f t="shared" ca="1" si="111"/>
        <v>31.343167708330533</v>
      </c>
      <c r="AF710" s="170">
        <f t="shared" ca="1" si="117"/>
        <v>83.581780555548093</v>
      </c>
      <c r="AG710" s="170">
        <f t="shared" ca="1" si="118"/>
        <v>83.581780555548093</v>
      </c>
      <c r="AH710" s="28" t="str" cm="1">
        <f t="array" aca="1" ref="AH710" ca="1">IF((AD710) &lt; (INDEX(ResponseSLA[#All],(MATCH((G710),ResponseSLA[Priority],0))+1,3)),"YES","No")</f>
        <v>YES</v>
      </c>
      <c r="AI710" s="28" t="str">
        <f ca="1">_xlfn.IFNA(IF(AE710 &lt; (INDEX(SLATable[Minimum SLA],MATCH(G710,SLATable[Priority],0))),"YES","NO"),"")</f>
        <v>NO</v>
      </c>
      <c r="AJ710" s="28"/>
    </row>
    <row r="711" spans="2:36" s="58" customFormat="1">
      <c r="B711" s="58" t="s">
        <v>26</v>
      </c>
      <c r="C711" s="58" t="s">
        <v>35</v>
      </c>
      <c r="D711" s="58" t="s">
        <v>208</v>
      </c>
      <c r="E711" s="312" t="s">
        <v>2224</v>
      </c>
      <c r="F711" s="58" t="s">
        <v>303</v>
      </c>
      <c r="G711" s="58" t="s">
        <v>208</v>
      </c>
      <c r="H711" s="312" t="s">
        <v>2225</v>
      </c>
      <c r="I711" s="58" t="s">
        <v>260</v>
      </c>
      <c r="J711" s="127" t="s">
        <v>1250</v>
      </c>
      <c r="K711" s="311">
        <v>46202.259027777778</v>
      </c>
      <c r="L711" s="311">
        <v>46202.259027777778</v>
      </c>
      <c r="M711" s="311">
        <v>46202.34097222222</v>
      </c>
      <c r="N711" s="311"/>
      <c r="O711" s="311"/>
      <c r="P711" s="311"/>
      <c r="Q711" s="312" t="s">
        <v>1247</v>
      </c>
      <c r="Z711" s="169">
        <f t="shared" ca="1" si="112"/>
        <v>15.675640277777953</v>
      </c>
      <c r="AA711" s="170">
        <f t="shared" ca="1" si="113"/>
        <v>41.801707407407875</v>
      </c>
      <c r="AB711" s="169">
        <f t="shared" ca="1" si="114"/>
        <v>15.675640277777953</v>
      </c>
      <c r="AC711" s="170">
        <f t="shared" ca="1" si="115"/>
        <v>41.801707407407875</v>
      </c>
      <c r="AD711" s="169">
        <f t="shared" ca="1" si="116"/>
        <v>7.63888888711034E-3</v>
      </c>
      <c r="AE711" s="169">
        <f t="shared" ca="1" si="111"/>
        <v>31.343387615738415</v>
      </c>
      <c r="AF711" s="170">
        <f t="shared" ca="1" si="117"/>
        <v>83.582366975302449</v>
      </c>
      <c r="AG711" s="170">
        <f t="shared" ca="1" si="118"/>
        <v>83.582366975302449</v>
      </c>
      <c r="AH711" s="28" t="str" cm="1">
        <f t="array" aca="1" ref="AH711" ca="1">IF((AD711) &lt; (INDEX(ResponseSLA[#All],(MATCH((G711),ResponseSLA[Priority],0))+1,3)),"YES","No")</f>
        <v>YES</v>
      </c>
      <c r="AI711" s="28" t="str">
        <f ca="1">_xlfn.IFNA(IF(AE711 &lt; (INDEX(SLATable[Minimum SLA],MATCH(G711,SLATable[Priority],0))),"YES","NO"),"")</f>
        <v>NO</v>
      </c>
      <c r="AJ711" s="28"/>
    </row>
    <row r="712" spans="2:36" s="58" customFormat="1">
      <c r="B712" s="58" t="s">
        <v>26</v>
      </c>
      <c r="C712" s="58" t="s">
        <v>35</v>
      </c>
      <c r="D712" s="58" t="s">
        <v>208</v>
      </c>
      <c r="E712" s="312" t="s">
        <v>2234</v>
      </c>
      <c r="F712" s="58" t="s">
        <v>303</v>
      </c>
      <c r="G712" s="58" t="s">
        <v>208</v>
      </c>
      <c r="H712" s="312" t="s">
        <v>2235</v>
      </c>
      <c r="I712" s="58" t="s">
        <v>260</v>
      </c>
      <c r="J712" s="127" t="s">
        <v>1250</v>
      </c>
      <c r="K712" s="311">
        <v>46202.261805555558</v>
      </c>
      <c r="L712" s="311">
        <v>46202.261805555558</v>
      </c>
      <c r="M712" s="311">
        <v>46202.339583333334</v>
      </c>
      <c r="N712" s="311"/>
      <c r="O712" s="311"/>
      <c r="P712" s="311"/>
      <c r="Q712" s="312" t="s">
        <v>1534</v>
      </c>
      <c r="Z712" s="169">
        <f t="shared" ca="1" si="112"/>
        <v>15.675640277777953</v>
      </c>
      <c r="AA712" s="170">
        <f t="shared" ca="1" si="113"/>
        <v>41.801707407407875</v>
      </c>
      <c r="AB712" s="169">
        <f t="shared" ca="1" si="114"/>
        <v>15.675640277777953</v>
      </c>
      <c r="AC712" s="170">
        <f t="shared" ca="1" si="115"/>
        <v>41.801707407407875</v>
      </c>
      <c r="AD712" s="169">
        <f t="shared" ca="1" si="116"/>
        <v>6.2500000009701462E-3</v>
      </c>
      <c r="AE712" s="169">
        <f t="shared" ca="1" si="111"/>
        <v>31.344741782401492</v>
      </c>
      <c r="AF712" s="170">
        <f t="shared" ca="1" si="117"/>
        <v>83.585978086403983</v>
      </c>
      <c r="AG712" s="170">
        <f t="shared" ca="1" si="118"/>
        <v>83.585978086403983</v>
      </c>
      <c r="AH712" s="28" t="str" cm="1">
        <f t="array" aca="1" ref="AH712" ca="1">IF((AD712) &lt; (INDEX(ResponseSLA[#All],(MATCH((G712),ResponseSLA[Priority],0))+1,3)),"YES","No")</f>
        <v>YES</v>
      </c>
      <c r="AI712" s="28" t="str">
        <f ca="1">_xlfn.IFNA(IF(AE712 &lt; (INDEX(SLATable[Minimum SLA],MATCH(G712,SLATable[Priority],0))),"YES","NO"),"")</f>
        <v>NO</v>
      </c>
      <c r="AJ712" s="28"/>
    </row>
    <row r="713" spans="2:36" s="58" customFormat="1">
      <c r="B713" s="58" t="s">
        <v>26</v>
      </c>
      <c r="C713" s="58" t="s">
        <v>35</v>
      </c>
      <c r="D713" s="58" t="s">
        <v>208</v>
      </c>
      <c r="E713" s="312" t="s">
        <v>2413</v>
      </c>
      <c r="F713" s="58" t="s">
        <v>303</v>
      </c>
      <c r="G713" s="58" t="s">
        <v>208</v>
      </c>
      <c r="H713" s="312" t="s">
        <v>2414</v>
      </c>
      <c r="I713" s="58" t="s">
        <v>260</v>
      </c>
      <c r="J713" s="127" t="s">
        <v>1250</v>
      </c>
      <c r="K713" s="307">
        <v>46209.254166666666</v>
      </c>
      <c r="L713" s="311">
        <v>46209.254166666666</v>
      </c>
      <c r="M713" s="311">
        <v>46209.380555555559</v>
      </c>
      <c r="N713" s="311"/>
      <c r="O713" s="311"/>
      <c r="P713" s="311"/>
      <c r="Q713" s="312" t="s">
        <v>1260</v>
      </c>
      <c r="Z713" s="169">
        <f t="shared" ca="1" si="112"/>
        <v>13.800640277777955</v>
      </c>
      <c r="AA713" s="170">
        <f t="shared" ca="1" si="113"/>
        <v>36.801707407407875</v>
      </c>
      <c r="AB713" s="169">
        <f t="shared" ca="1" si="114"/>
        <v>13.800640277777955</v>
      </c>
      <c r="AC713" s="170">
        <f t="shared" ca="1" si="115"/>
        <v>36.801707407407875</v>
      </c>
      <c r="AD713" s="169">
        <f t="shared" ca="1" si="116"/>
        <v>4.7222222225779376E-2</v>
      </c>
      <c r="AE713" s="169">
        <f t="shared" ca="1" si="111"/>
        <v>13.800640277777955</v>
      </c>
      <c r="AF713" s="170">
        <f t="shared" ca="1" si="117"/>
        <v>36.801707407407875</v>
      </c>
      <c r="AG713" s="170">
        <f t="shared" ca="1" si="118"/>
        <v>36.801707407407875</v>
      </c>
      <c r="AH713" s="28" t="str" cm="1">
        <f t="array" aca="1" ref="AH713" ca="1">IF((AD713) &lt; (INDEX(ResponseSLA[#All],(MATCH((G713),ResponseSLA[Priority],0))+1,3)),"YES","No")</f>
        <v>YES</v>
      </c>
      <c r="AI713" s="28" t="str">
        <f ca="1">_xlfn.IFNA(IF(AE713 &lt; (INDEX(SLATable[Minimum SLA],MATCH(G713,SLATable[Priority],0))),"YES","NO"),"")</f>
        <v>NO</v>
      </c>
      <c r="AJ713" s="28"/>
    </row>
    <row r="714" spans="2:36" s="58" customFormat="1">
      <c r="B714" s="58" t="s">
        <v>26</v>
      </c>
      <c r="C714" s="58" t="s">
        <v>35</v>
      </c>
      <c r="D714" s="58" t="s">
        <v>208</v>
      </c>
      <c r="E714" s="312" t="s">
        <v>2415</v>
      </c>
      <c r="F714" s="58" t="s">
        <v>303</v>
      </c>
      <c r="G714" s="58" t="s">
        <v>208</v>
      </c>
      <c r="H714" s="312" t="s">
        <v>2416</v>
      </c>
      <c r="I714" s="58" t="s">
        <v>260</v>
      </c>
      <c r="J714" s="127" t="s">
        <v>1250</v>
      </c>
      <c r="K714" s="307">
        <v>46209.256249999999</v>
      </c>
      <c r="L714" s="311">
        <v>46209.256249999999</v>
      </c>
      <c r="M714" s="311">
        <v>46209.380555555559</v>
      </c>
      <c r="N714" s="311"/>
      <c r="O714" s="311"/>
      <c r="P714" s="311"/>
      <c r="Q714" s="312" t="s">
        <v>1257</v>
      </c>
      <c r="Z714" s="169">
        <f t="shared" ca="1" si="112"/>
        <v>13.800640277777955</v>
      </c>
      <c r="AA714" s="170">
        <f t="shared" ca="1" si="113"/>
        <v>36.801707407407875</v>
      </c>
      <c r="AB714" s="169">
        <f t="shared" ca="1" si="114"/>
        <v>13.800640277777955</v>
      </c>
      <c r="AC714" s="170">
        <f t="shared" ca="1" si="115"/>
        <v>36.801707407407875</v>
      </c>
      <c r="AD714" s="169">
        <f t="shared" ca="1" si="116"/>
        <v>4.7222222225779376E-2</v>
      </c>
      <c r="AE714" s="169">
        <f t="shared" ca="1" si="111"/>
        <v>13.800640277777955</v>
      </c>
      <c r="AF714" s="170">
        <f t="shared" ca="1" si="117"/>
        <v>36.801707407407875</v>
      </c>
      <c r="AG714" s="170">
        <f t="shared" ca="1" si="118"/>
        <v>36.801707407407875</v>
      </c>
      <c r="AH714" s="28" t="str" cm="1">
        <f t="array" aca="1" ref="AH714" ca="1">IF((AD714) &lt; (INDEX(ResponseSLA[#All],(MATCH((G714),ResponseSLA[Priority],0))+1,3)),"YES","No")</f>
        <v>YES</v>
      </c>
      <c r="AI714" s="28" t="str">
        <f ca="1">_xlfn.IFNA(IF(AE714 &lt; (INDEX(SLATable[Minimum SLA],MATCH(G714,SLATable[Priority],0))),"YES","NO"),"")</f>
        <v>NO</v>
      </c>
      <c r="AJ714" s="28"/>
    </row>
    <row r="715" spans="2:36" s="58" customFormat="1">
      <c r="B715" s="58" t="s">
        <v>26</v>
      </c>
      <c r="C715" s="58" t="s">
        <v>35</v>
      </c>
      <c r="D715" s="58" t="s">
        <v>208</v>
      </c>
      <c r="E715" s="312" t="s">
        <v>2417</v>
      </c>
      <c r="F715" s="58" t="s">
        <v>303</v>
      </c>
      <c r="G715" s="58" t="s">
        <v>208</v>
      </c>
      <c r="H715" s="312" t="s">
        <v>2418</v>
      </c>
      <c r="I715" s="58" t="s">
        <v>260</v>
      </c>
      <c r="J715" s="127" t="s">
        <v>1250</v>
      </c>
      <c r="K715" s="307">
        <v>46209.256944444445</v>
      </c>
      <c r="L715" s="311">
        <v>46209.256944444445</v>
      </c>
      <c r="M715" s="311">
        <v>46209.381249999999</v>
      </c>
      <c r="N715" s="311"/>
      <c r="O715" s="311"/>
      <c r="P715" s="311"/>
      <c r="Q715" s="312" t="s">
        <v>1251</v>
      </c>
      <c r="Z715" s="169">
        <f t="shared" ca="1" si="112"/>
        <v>13.800640277777955</v>
      </c>
      <c r="AA715" s="170">
        <f t="shared" ca="1" si="113"/>
        <v>36.801707407407875</v>
      </c>
      <c r="AB715" s="169">
        <f t="shared" ca="1" si="114"/>
        <v>13.800640277777955</v>
      </c>
      <c r="AC715" s="170">
        <f t="shared" ca="1" si="115"/>
        <v>36.801707407407875</v>
      </c>
      <c r="AD715" s="169">
        <f t="shared" ca="1" si="116"/>
        <v>4.7916666665211494E-2</v>
      </c>
      <c r="AE715" s="169">
        <f t="shared" ca="1" si="111"/>
        <v>13.800640277777955</v>
      </c>
      <c r="AF715" s="170">
        <f t="shared" ca="1" si="117"/>
        <v>36.801707407407875</v>
      </c>
      <c r="AG715" s="170">
        <f t="shared" ca="1" si="118"/>
        <v>36.801707407407875</v>
      </c>
      <c r="AH715" s="28" t="str" cm="1">
        <f t="array" aca="1" ref="AH715" ca="1">IF((AD715) &lt; (INDEX(ResponseSLA[#All],(MATCH((G715),ResponseSLA[Priority],0))+1,3)),"YES","No")</f>
        <v>YES</v>
      </c>
      <c r="AI715" s="28" t="str">
        <f ca="1">_xlfn.IFNA(IF(AE715 &lt; (INDEX(SLATable[Minimum SLA],MATCH(G715,SLATable[Priority],0))),"YES","NO"),"")</f>
        <v>NO</v>
      </c>
      <c r="AJ715" s="28"/>
    </row>
    <row r="716" spans="2:36" s="58" customFormat="1">
      <c r="B716" s="58" t="s">
        <v>26</v>
      </c>
      <c r="C716" s="58" t="s">
        <v>35</v>
      </c>
      <c r="D716" s="58" t="s">
        <v>208</v>
      </c>
      <c r="E716" s="312" t="s">
        <v>2419</v>
      </c>
      <c r="F716" s="58" t="s">
        <v>289</v>
      </c>
      <c r="G716" s="58" t="s">
        <v>208</v>
      </c>
      <c r="H716" s="312" t="s">
        <v>2420</v>
      </c>
      <c r="I716" s="58" t="s">
        <v>260</v>
      </c>
      <c r="J716" s="127" t="s">
        <v>1250</v>
      </c>
      <c r="K716" s="307">
        <v>46225.310416666667</v>
      </c>
      <c r="L716" s="311">
        <v>46225.518750000003</v>
      </c>
      <c r="M716" s="311">
        <v>46226.349305555559</v>
      </c>
      <c r="N716" s="311"/>
      <c r="O716" s="311"/>
      <c r="P716" s="311"/>
      <c r="Q716" s="312" t="s">
        <v>1113</v>
      </c>
      <c r="Z716" s="169">
        <f t="shared" ca="1" si="112"/>
        <v>9.3006402777779549</v>
      </c>
      <c r="AA716" s="170">
        <f t="shared" ca="1" si="113"/>
        <v>24.801707407407878</v>
      </c>
      <c r="AB716" s="169">
        <f t="shared" ca="1" si="114"/>
        <v>9.1152236111083784</v>
      </c>
      <c r="AC716" s="170">
        <f t="shared" ca="1" si="115"/>
        <v>24.307262962955676</v>
      </c>
      <c r="AD716" s="169">
        <f t="shared" ca="1" si="116"/>
        <v>0.20555555555620231</v>
      </c>
      <c r="AE716" s="169">
        <f t="shared" ca="1" si="111"/>
        <v>9.1152236111083784</v>
      </c>
      <c r="AF716" s="170">
        <f t="shared" ca="1" si="117"/>
        <v>24.307262962955676</v>
      </c>
      <c r="AG716" s="170">
        <f t="shared" ca="1" si="118"/>
        <v>24.307262962955676</v>
      </c>
      <c r="AH716" s="28" t="str" cm="1">
        <f t="array" aca="1" ref="AH716" ca="1">IF((AD716) &lt; (INDEX(ResponseSLA[#All],(MATCH((G716),ResponseSLA[Priority],0))+1,3)),"YES","No")</f>
        <v>YES</v>
      </c>
      <c r="AI716" s="28" t="str">
        <f ca="1">_xlfn.IFNA(IF(AE716 &lt; (INDEX(SLATable[Minimum SLA],MATCH(G716,SLATable[Priority],0))),"YES","NO"),"")</f>
        <v>NO</v>
      </c>
      <c r="AJ716" s="28"/>
    </row>
    <row r="717" spans="2:36" s="58" customFormat="1">
      <c r="B717" s="58" t="s">
        <v>26</v>
      </c>
      <c r="C717" s="58" t="s">
        <v>35</v>
      </c>
      <c r="D717" s="58" t="s">
        <v>208</v>
      </c>
      <c r="E717" s="312" t="s">
        <v>2421</v>
      </c>
      <c r="F717" s="58" t="s">
        <v>289</v>
      </c>
      <c r="G717" s="58" t="s">
        <v>208</v>
      </c>
      <c r="H717" s="312" t="s">
        <v>2422</v>
      </c>
      <c r="I717" s="58" t="s">
        <v>260</v>
      </c>
      <c r="J717" s="127" t="s">
        <v>1250</v>
      </c>
      <c r="K717" s="307">
        <v>46227.591666666667</v>
      </c>
      <c r="L717" s="311">
        <v>46233.544444444444</v>
      </c>
      <c r="M717" s="311">
        <v>46234.260416666664</v>
      </c>
      <c r="N717" s="311"/>
      <c r="O717" s="311"/>
      <c r="P717" s="311"/>
      <c r="Q717" s="312" t="s">
        <v>1113</v>
      </c>
      <c r="Z717" s="169">
        <f t="shared" ca="1" si="112"/>
        <v>8.2923069444441371</v>
      </c>
      <c r="AA717" s="170">
        <f t="shared" ca="1" si="113"/>
        <v>22.112818518517699</v>
      </c>
      <c r="AB717" s="169">
        <f t="shared" ca="1" si="114"/>
        <v>6.8395291666674902</v>
      </c>
      <c r="AC717" s="170">
        <f t="shared" ca="1" si="115"/>
        <v>18.238744444446642</v>
      </c>
      <c r="AD717" s="169">
        <f t="shared" ca="1" si="116"/>
        <v>0.16388888888953568</v>
      </c>
      <c r="AE717" s="169">
        <f t="shared" ca="1" si="111"/>
        <v>6.8395291666674902</v>
      </c>
      <c r="AF717" s="170">
        <f t="shared" ca="1" si="117"/>
        <v>18.238744444446642</v>
      </c>
      <c r="AG717" s="170">
        <f t="shared" ca="1" si="118"/>
        <v>18.238744444446642</v>
      </c>
      <c r="AH717" s="28" t="str" cm="1">
        <f t="array" aca="1" ref="AH717" ca="1">IF((AD717) &lt; (INDEX(ResponseSLA[#All],(MATCH((G717),ResponseSLA[Priority],0))+1,3)),"YES","No")</f>
        <v>YES</v>
      </c>
      <c r="AI717" s="28" t="str">
        <f ca="1">_xlfn.IFNA(IF(AE717 &lt; (INDEX(SLATable[Minimum SLA],MATCH(G717,SLATable[Priority],0))),"YES","NO"),"")</f>
        <v>NO</v>
      </c>
      <c r="AJ717" s="28"/>
    </row>
    <row r="718" spans="2:36" s="58" customFormat="1">
      <c r="B718" s="58" t="s">
        <v>26</v>
      </c>
      <c r="C718" s="58" t="s">
        <v>35</v>
      </c>
      <c r="D718" s="58" t="s">
        <v>208</v>
      </c>
      <c r="E718" s="312" t="s">
        <v>2423</v>
      </c>
      <c r="F718" s="58" t="s">
        <v>295</v>
      </c>
      <c r="G718" s="58" t="s">
        <v>208</v>
      </c>
      <c r="H718" s="312" t="s">
        <v>2175</v>
      </c>
      <c r="I718" s="58" t="s">
        <v>260</v>
      </c>
      <c r="J718" s="127" t="s">
        <v>1250</v>
      </c>
      <c r="K718" s="307">
        <v>46230.574999999997</v>
      </c>
      <c r="L718" s="311">
        <v>46233.394444444442</v>
      </c>
      <c r="M718" s="311">
        <v>46234.258333333331</v>
      </c>
      <c r="N718" s="311"/>
      <c r="O718" s="311"/>
      <c r="P718" s="311"/>
      <c r="Q718" s="312" t="s">
        <v>695</v>
      </c>
      <c r="Z718" s="169">
        <f t="shared" ca="1" si="112"/>
        <v>7.9339736111141974</v>
      </c>
      <c r="AA718" s="170">
        <f t="shared" ca="1" si="113"/>
        <v>21.157262962971192</v>
      </c>
      <c r="AB718" s="169">
        <f t="shared" ca="1" si="114"/>
        <v>6.9895291666689454</v>
      </c>
      <c r="AC718" s="170">
        <f t="shared" ca="1" si="115"/>
        <v>18.638744444450523</v>
      </c>
      <c r="AD718" s="169">
        <f t="shared" ca="1" si="116"/>
        <v>0.31388888889099087</v>
      </c>
      <c r="AE718" s="169">
        <f t="shared" ca="1" si="111"/>
        <v>6.9895291666689454</v>
      </c>
      <c r="AF718" s="170">
        <f t="shared" ca="1" si="117"/>
        <v>18.638744444450523</v>
      </c>
      <c r="AG718" s="170">
        <f t="shared" ca="1" si="118"/>
        <v>18.638744444450523</v>
      </c>
      <c r="AH718" s="28" t="str" cm="1">
        <f t="array" aca="1" ref="AH718" ca="1">IF((AD718) &lt; (INDEX(ResponseSLA[#All],(MATCH((G718),ResponseSLA[Priority],0))+1,3)),"YES","No")</f>
        <v>YES</v>
      </c>
      <c r="AI718" s="28" t="str">
        <f ca="1">_xlfn.IFNA(IF(AE718 &lt; (INDEX(SLATable[Minimum SLA],MATCH(G718,SLATable[Priority],0))),"YES","NO"),"")</f>
        <v>NO</v>
      </c>
      <c r="AJ718" s="28"/>
    </row>
    <row r="719" spans="2:36" s="58" customFormat="1">
      <c r="B719" s="58" t="s">
        <v>26</v>
      </c>
      <c r="C719" s="58" t="s">
        <v>35</v>
      </c>
      <c r="D719" s="58" t="s">
        <v>207</v>
      </c>
      <c r="E719" s="313" t="s">
        <v>2424</v>
      </c>
      <c r="F719" s="58" t="s">
        <v>295</v>
      </c>
      <c r="G719" s="58">
        <v>3</v>
      </c>
      <c r="H719" s="313" t="s">
        <v>2425</v>
      </c>
      <c r="I719" s="58" t="s">
        <v>271</v>
      </c>
      <c r="J719" s="313" t="s">
        <v>1200</v>
      </c>
      <c r="K719" s="307">
        <v>46209.600532407407</v>
      </c>
      <c r="L719" s="314">
        <v>46209.600590277776</v>
      </c>
      <c r="M719" s="314">
        <v>46210.303981481484</v>
      </c>
      <c r="N719" s="314">
        <v>46216.258090277777</v>
      </c>
      <c r="O719" s="314">
        <v>46210.412118055552</v>
      </c>
      <c r="P719" s="314">
        <v>46213.711516203701</v>
      </c>
      <c r="Q719" s="313" t="s">
        <v>2024</v>
      </c>
      <c r="R719" s="58" t="s">
        <v>267</v>
      </c>
      <c r="S719" s="58" t="s">
        <v>169</v>
      </c>
      <c r="Z719" s="169">
        <f t="shared" ca="1" si="97"/>
        <v>0.18658564814541023</v>
      </c>
      <c r="AA719" s="170">
        <f t="shared" ca="1" si="98"/>
        <v>0.49756172838776064</v>
      </c>
      <c r="AB719" s="169">
        <f t="shared" ca="1" si="99"/>
        <v>0.18652777777606389</v>
      </c>
      <c r="AC719" s="170">
        <f t="shared" ca="1" si="100"/>
        <v>0.49740740740283701</v>
      </c>
      <c r="AD719" s="169">
        <f t="shared" ca="1" si="101"/>
        <v>0.10774305555726948</v>
      </c>
      <c r="AE719" s="169">
        <f t="shared" ca="1" si="111"/>
        <v>0.18652777777606389</v>
      </c>
      <c r="AF719" s="170">
        <f t="shared" ca="1" si="102"/>
        <v>0.49740740740283701</v>
      </c>
      <c r="AG719" s="170">
        <f t="shared" ca="1" si="103"/>
        <v>0.49740740740283701</v>
      </c>
      <c r="AH719" s="28" t="str" cm="1">
        <f t="array" aca="1" ref="AH719" ca="1">IF((AD719) &lt; (INDEX(ResponseSLA[#All],(MATCH((G719),ResponseSLA[Priority],0))+1,3)),"YES","No")</f>
        <v>No</v>
      </c>
      <c r="AI719" s="28" t="str">
        <f ca="1">_xlfn.IFNA(IF(AE719 &lt; (INDEX(SLATable[Minimum SLA],MATCH(G719,SLATable[Priority],0))),"YES","NO"),"")</f>
        <v>YES</v>
      </c>
      <c r="AJ719" s="28" t="str">
        <f ca="1">_xlfn.IFNA(IF(AE719 &lt; (INDEX(SLATable[Maximum SLA],MATCH(G719,SLATable[Priority],0))),"YES","NO"),"")</f>
        <v>YES</v>
      </c>
    </row>
    <row r="720" spans="2:36" s="58" customFormat="1">
      <c r="B720" s="58" t="s">
        <v>26</v>
      </c>
      <c r="C720" s="58" t="s">
        <v>35</v>
      </c>
      <c r="D720" s="58" t="s">
        <v>207</v>
      </c>
      <c r="E720" s="313" t="s">
        <v>2025</v>
      </c>
      <c r="F720" s="58" t="s">
        <v>295</v>
      </c>
      <c r="G720" s="58">
        <v>3</v>
      </c>
      <c r="H720" s="313" t="s">
        <v>2026</v>
      </c>
      <c r="I720" s="58" t="s">
        <v>271</v>
      </c>
      <c r="J720" s="313" t="s">
        <v>1200</v>
      </c>
      <c r="K720" s="314">
        <v>46198.390266203707</v>
      </c>
      <c r="L720" s="314">
        <v>46198.390416666669</v>
      </c>
      <c r="M720" s="314">
        <v>46199.379884259259</v>
      </c>
      <c r="N720" s="314">
        <v>46212.750324074077</v>
      </c>
      <c r="O720" s="314">
        <v>46205.2733912037</v>
      </c>
      <c r="P720" s="314">
        <v>46212.750324074077</v>
      </c>
      <c r="Q720" s="313" t="s">
        <v>2029</v>
      </c>
      <c r="R720" s="58" t="s">
        <v>267</v>
      </c>
      <c r="S720" s="58" t="s">
        <v>199</v>
      </c>
      <c r="Z720" s="169">
        <f t="shared" ca="1" si="97"/>
        <v>1.8180671296261917</v>
      </c>
      <c r="AA720" s="170">
        <f t="shared" ca="1" si="98"/>
        <v>4.8481790123365114</v>
      </c>
      <c r="AB720" s="169">
        <f t="shared" ca="1" si="99"/>
        <v>1.817916666664436</v>
      </c>
      <c r="AC720" s="170">
        <f t="shared" ca="1" si="100"/>
        <v>4.8477777777718289</v>
      </c>
      <c r="AD720" s="169">
        <f t="shared" ca="1" si="101"/>
        <v>0.36446759258979</v>
      </c>
      <c r="AE720" s="169">
        <f t="shared" ca="1" si="111"/>
        <v>18.185941782399219</v>
      </c>
      <c r="AF720" s="170">
        <f t="shared" ca="1" si="102"/>
        <v>48.495844753064581</v>
      </c>
      <c r="AG720" s="170">
        <f t="shared" ca="1" si="103"/>
        <v>48.495844753064581</v>
      </c>
      <c r="AH720" s="28" t="str" cm="1">
        <f t="array" aca="1" ref="AH720" ca="1">IF((AD720) &lt; (INDEX(ResponseSLA[#All],(MATCH((G720),ResponseSLA[Priority],0))+1,3)),"YES","No")</f>
        <v>No</v>
      </c>
      <c r="AI720" s="28" t="str">
        <f ca="1">_xlfn.IFNA(IF(AE720 &lt; (INDEX(SLATable[Minimum SLA],MATCH(G720,SLATable[Priority],0))),"YES","NO"),"")</f>
        <v>NO</v>
      </c>
      <c r="AJ720" s="28" t="str">
        <f ca="1">_xlfn.IFNA(IF(AE720 &lt; (INDEX(SLATable[Maximum SLA],MATCH(G720,SLATable[Priority],0))),"YES","NO"),"")</f>
        <v>NO</v>
      </c>
    </row>
    <row r="721" spans="2:36" s="58" customFormat="1">
      <c r="B721" s="58" t="s">
        <v>26</v>
      </c>
      <c r="C721" s="58" t="s">
        <v>35</v>
      </c>
      <c r="D721" s="58" t="s">
        <v>207</v>
      </c>
      <c r="E721" s="313" t="s">
        <v>2426</v>
      </c>
      <c r="F721" s="58" t="s">
        <v>295</v>
      </c>
      <c r="G721" s="58">
        <v>4</v>
      </c>
      <c r="H721" s="313" t="s">
        <v>2427</v>
      </c>
      <c r="I721" s="58" t="s">
        <v>271</v>
      </c>
      <c r="J721" s="313" t="s">
        <v>1200</v>
      </c>
      <c r="K721" s="307">
        <v>46193.467268518521</v>
      </c>
      <c r="L721" s="314">
        <v>46204.998969907407</v>
      </c>
      <c r="M721" s="314">
        <v>46195.300752314812</v>
      </c>
      <c r="N721" s="314">
        <v>46212.7503125</v>
      </c>
      <c r="O721" s="314">
        <v>46202.541851851849</v>
      </c>
      <c r="P721" s="314">
        <v>46202.619768518518</v>
      </c>
      <c r="Q721" s="313" t="s">
        <v>2428</v>
      </c>
      <c r="R721" s="58" t="s">
        <v>267</v>
      </c>
      <c r="S721" s="58" t="s">
        <v>199</v>
      </c>
      <c r="Z721" s="169">
        <f t="shared" ca="1" si="97"/>
        <v>5.1720833333311029</v>
      </c>
      <c r="AA721" s="170">
        <f t="shared" ca="1" si="98"/>
        <v>13.792222222216274</v>
      </c>
      <c r="AB721" s="169">
        <f t="shared" ca="1" si="99"/>
        <v>2.1720833333311025</v>
      </c>
      <c r="AC721" s="170">
        <f t="shared" ca="1" si="100"/>
        <v>5.7922222222162736</v>
      </c>
      <c r="AD721" s="169">
        <f t="shared" ca="1" si="101"/>
        <v>0</v>
      </c>
      <c r="AE721" s="169">
        <f t="shared" ca="1" si="111"/>
        <v>2.1720833333311025</v>
      </c>
      <c r="AF721" s="170">
        <f t="shared" ca="1" si="102"/>
        <v>5.7922222222162736</v>
      </c>
      <c r="AG721" s="170">
        <f t="shared" ca="1" si="103"/>
        <v>5.7922222222162736</v>
      </c>
      <c r="AH721" s="28" t="str" cm="1">
        <f t="array" aca="1" ref="AH721" ca="1">IF((AD721) &lt; (INDEX(ResponseSLA[#All],(MATCH((G721),ResponseSLA[Priority],0))+1,3)),"YES","No")</f>
        <v>YES</v>
      </c>
      <c r="AI721" s="28" t="str">
        <f ca="1">_xlfn.IFNA(IF(AE721 &lt; (INDEX(SLATable[Minimum SLA],MATCH(G721,SLATable[Priority],0))),"YES","NO"),"")</f>
        <v>YES</v>
      </c>
      <c r="AJ721" s="28" t="str">
        <f ca="1">_xlfn.IFNA(IF(AE721 &lt; (INDEX(SLATable[Maximum SLA],MATCH(G721,SLATable[Priority],0))),"YES","NO"),"")</f>
        <v>YES</v>
      </c>
    </row>
    <row r="722" spans="2:36" s="58" customFormat="1">
      <c r="B722" s="58" t="s">
        <v>26</v>
      </c>
      <c r="C722" s="58" t="s">
        <v>35</v>
      </c>
      <c r="D722" s="58" t="s">
        <v>207</v>
      </c>
      <c r="E722" s="313" t="s">
        <v>2429</v>
      </c>
      <c r="F722" s="58" t="s">
        <v>295</v>
      </c>
      <c r="G722" s="58">
        <v>4</v>
      </c>
      <c r="H722" s="313" t="s">
        <v>2430</v>
      </c>
      <c r="I722" s="58" t="s">
        <v>271</v>
      </c>
      <c r="J722" s="313" t="s">
        <v>1200</v>
      </c>
      <c r="K722" s="307">
        <v>46204.843321759261</v>
      </c>
      <c r="L722" s="314">
        <v>46204.843321759261</v>
      </c>
      <c r="M722" s="314">
        <v>46205.437615740739</v>
      </c>
      <c r="N722" s="314">
        <v>46212.259571759256</v>
      </c>
      <c r="O722" s="313"/>
      <c r="P722" s="313"/>
      <c r="Q722" s="313" t="s">
        <v>695</v>
      </c>
      <c r="R722" s="58" t="s">
        <v>267</v>
      </c>
      <c r="S722" s="58" t="s">
        <v>193</v>
      </c>
      <c r="Z722" s="169">
        <f t="shared" ca="1" si="97"/>
        <v>1.8750000000000004</v>
      </c>
      <c r="AA722" s="170">
        <f t="shared" ca="1" si="98"/>
        <v>5.0000000000000018</v>
      </c>
      <c r="AB722" s="169">
        <f t="shared" ca="1" si="99"/>
        <v>1.8750000000000004</v>
      </c>
      <c r="AC722" s="170">
        <f t="shared" ca="1" si="100"/>
        <v>5.0000000000000018</v>
      </c>
      <c r="AD722" s="169">
        <f t="shared" ca="1" si="101"/>
        <v>0.10428240740535932</v>
      </c>
      <c r="AE722" s="169">
        <f t="shared" ca="1" si="111"/>
        <v>1.8750000000000004</v>
      </c>
      <c r="AF722" s="170">
        <f t="shared" ca="1" si="102"/>
        <v>5.0000000000000018</v>
      </c>
      <c r="AG722" s="170">
        <f t="shared" ca="1" si="103"/>
        <v>5.0000000000000018</v>
      </c>
      <c r="AH722" s="28" t="str" cm="1">
        <f t="array" aca="1" ref="AH722" ca="1">IF((AD722) &lt; (INDEX(ResponseSLA[#All],(MATCH((G722),ResponseSLA[Priority],0))+1,3)),"YES","No")</f>
        <v>YES</v>
      </c>
      <c r="AI722" s="28" t="str">
        <f ca="1">_xlfn.IFNA(IF(AE722 &lt; (INDEX(SLATable[Minimum SLA],MATCH(G722,SLATable[Priority],0))),"YES","NO"),"")</f>
        <v>YES</v>
      </c>
      <c r="AJ722" s="28" t="str">
        <f ca="1">_xlfn.IFNA(IF(AE722 &lt; (INDEX(SLATable[Maximum SLA],MATCH(G722,SLATable[Priority],0))),"YES","NO"),"")</f>
        <v>YES</v>
      </c>
    </row>
    <row r="723" spans="2:36" s="58" customFormat="1">
      <c r="B723" s="58" t="s">
        <v>26</v>
      </c>
      <c r="C723" s="58" t="s">
        <v>35</v>
      </c>
      <c r="D723" s="58" t="s">
        <v>207</v>
      </c>
      <c r="E723" s="313" t="s">
        <v>2431</v>
      </c>
      <c r="F723" s="58" t="s">
        <v>295</v>
      </c>
      <c r="G723" s="58">
        <v>3</v>
      </c>
      <c r="H723" s="313" t="s">
        <v>2432</v>
      </c>
      <c r="I723" s="58" t="s">
        <v>271</v>
      </c>
      <c r="J723" s="313" t="s">
        <v>1200</v>
      </c>
      <c r="K723" s="307">
        <v>46207.530405092592</v>
      </c>
      <c r="L723" s="314">
        <v>46207.530601851853</v>
      </c>
      <c r="M723" s="314">
        <v>46207.542071759257</v>
      </c>
      <c r="N723" s="314">
        <v>46210.443611111114</v>
      </c>
      <c r="O723" s="314">
        <v>46207.547048611108</v>
      </c>
      <c r="P723" s="314">
        <v>46207.752615740741</v>
      </c>
      <c r="Q723" s="313" t="s">
        <v>1113</v>
      </c>
      <c r="R723" s="58" t="s">
        <v>267</v>
      </c>
      <c r="S723" s="58" t="s">
        <v>199</v>
      </c>
      <c r="Z723" s="169">
        <f t="shared" ca="1" si="97"/>
        <v>0.48527777778023545</v>
      </c>
      <c r="AA723" s="170">
        <f t="shared" ca="1" si="98"/>
        <v>1.2940740740806278</v>
      </c>
      <c r="AB723" s="169">
        <f t="shared" ca="1" si="99"/>
        <v>0.48527777778023545</v>
      </c>
      <c r="AC723" s="170">
        <f t="shared" ca="1" si="100"/>
        <v>1.2940740740806278</v>
      </c>
      <c r="AD723" s="169">
        <f t="shared" ca="1" si="101"/>
        <v>0</v>
      </c>
      <c r="AE723" s="169">
        <f t="shared" ca="1" si="111"/>
        <v>0.48527777778023545</v>
      </c>
      <c r="AF723" s="170">
        <f t="shared" ca="1" si="102"/>
        <v>1.2940740740806278</v>
      </c>
      <c r="AG723" s="170">
        <f t="shared" ca="1" si="103"/>
        <v>1.2940740740806278</v>
      </c>
      <c r="AH723" s="28" t="str" cm="1">
        <f t="array" aca="1" ref="AH723" ca="1">IF((AD723) &lt; (INDEX(ResponseSLA[#All],(MATCH((G723),ResponseSLA[Priority],0))+1,3)),"YES","No")</f>
        <v>YES</v>
      </c>
      <c r="AI723" s="28" t="str">
        <f ca="1">_xlfn.IFNA(IF(AE723 &lt; (INDEX(SLATable[Minimum SLA],MATCH(G723,SLATable[Priority],0))),"YES","NO"),"")</f>
        <v>NO</v>
      </c>
      <c r="AJ723" s="28" t="str">
        <f ca="1">_xlfn.IFNA(IF(AE723 &lt; (INDEX(SLATable[Maximum SLA],MATCH(G723,SLATable[Priority],0))),"YES","NO"),"")</f>
        <v>YES</v>
      </c>
    </row>
    <row r="724" spans="2:36" s="58" customFormat="1">
      <c r="B724" s="58" t="s">
        <v>26</v>
      </c>
      <c r="C724" s="58" t="s">
        <v>35</v>
      </c>
      <c r="D724" s="58" t="s">
        <v>207</v>
      </c>
      <c r="E724" s="313" t="s">
        <v>2013</v>
      </c>
      <c r="F724" s="58" t="s">
        <v>295</v>
      </c>
      <c r="G724" s="58">
        <v>3</v>
      </c>
      <c r="H724" s="313" t="s">
        <v>2014</v>
      </c>
      <c r="I724" s="58" t="s">
        <v>271</v>
      </c>
      <c r="J724" s="313" t="s">
        <v>1200</v>
      </c>
      <c r="K724" s="314">
        <v>46195.828599537039</v>
      </c>
      <c r="L724" s="314">
        <v>46196.401319444441</v>
      </c>
      <c r="M724" s="314">
        <v>46198.347430555557</v>
      </c>
      <c r="N724" s="314">
        <v>46210.43855324074</v>
      </c>
      <c r="O724" s="314">
        <v>46202.438321759262</v>
      </c>
      <c r="P724" s="314">
        <v>46210.43855324074</v>
      </c>
      <c r="Q724" s="313" t="s">
        <v>1211</v>
      </c>
      <c r="R724" s="58" t="s">
        <v>267</v>
      </c>
      <c r="S724" s="58" t="s">
        <v>199</v>
      </c>
      <c r="Z724" s="169">
        <f t="shared" ca="1" si="97"/>
        <v>1.6049884259288474</v>
      </c>
      <c r="AA724" s="170">
        <f t="shared" ca="1" si="98"/>
        <v>4.2799691358102594</v>
      </c>
      <c r="AB724" s="169">
        <f t="shared" ca="1" si="99"/>
        <v>1.5370023148207106</v>
      </c>
      <c r="AC724" s="170">
        <f t="shared" ca="1" si="100"/>
        <v>4.0986728395218943</v>
      </c>
      <c r="AD724" s="169">
        <f t="shared" ca="1" si="101"/>
        <v>0.69611111111589707</v>
      </c>
      <c r="AE724" s="169">
        <f t="shared" ca="1" si="111"/>
        <v>3.0738310185261071</v>
      </c>
      <c r="AF724" s="170">
        <f t="shared" ca="1" si="102"/>
        <v>8.1968827160696183</v>
      </c>
      <c r="AG724" s="170">
        <f t="shared" ca="1" si="103"/>
        <v>8.1968827160696183</v>
      </c>
      <c r="AH724" s="28" t="str" cm="1">
        <f t="array" aca="1" ref="AH724" ca="1">IF((AD724) &lt; (INDEX(ResponseSLA[#All],(MATCH((G724),ResponseSLA[Priority],0))+1,3)),"YES","No")</f>
        <v>No</v>
      </c>
      <c r="AI724" s="28" t="str">
        <f ca="1">_xlfn.IFNA(IF(AE724 &lt; (INDEX(SLATable[Minimum SLA],MATCH(G724,SLATable[Priority],0))),"YES","NO"),"")</f>
        <v>NO</v>
      </c>
      <c r="AJ724" s="28" t="str">
        <f ca="1">_xlfn.IFNA(IF(AE724 &lt; (INDEX(SLATable[Maximum SLA],MATCH(G724,SLATable[Priority],0))),"YES","NO"),"")</f>
        <v>NO</v>
      </c>
    </row>
    <row r="725" spans="2:36" s="58" customFormat="1">
      <c r="B725" s="58" t="s">
        <v>26</v>
      </c>
      <c r="C725" s="58" t="s">
        <v>35</v>
      </c>
      <c r="D725" s="58" t="s">
        <v>207</v>
      </c>
      <c r="E725" s="313" t="s">
        <v>2036</v>
      </c>
      <c r="F725" s="58" t="s">
        <v>301</v>
      </c>
      <c r="G725" s="58">
        <v>3</v>
      </c>
      <c r="H725" s="313" t="s">
        <v>2037</v>
      </c>
      <c r="I725" s="58" t="s">
        <v>271</v>
      </c>
      <c r="J725" s="313" t="s">
        <v>1200</v>
      </c>
      <c r="K725" s="314">
        <v>46202.31050925926</v>
      </c>
      <c r="L725" s="314">
        <v>46202.32435185185</v>
      </c>
      <c r="M725" s="314">
        <v>46202.32849537037</v>
      </c>
      <c r="N725" s="314">
        <v>46206.278761574074</v>
      </c>
      <c r="O725" s="314">
        <v>46202.393321759257</v>
      </c>
      <c r="P725" s="314">
        <v>46206.278761574074</v>
      </c>
      <c r="Q725" s="313" t="s">
        <v>2041</v>
      </c>
      <c r="R725" s="58" t="s">
        <v>267</v>
      </c>
      <c r="S725" s="58" t="s">
        <v>169</v>
      </c>
      <c r="Z725" s="169">
        <f t="shared" ca="1" si="97"/>
        <v>5.9988425923317434E-2</v>
      </c>
      <c r="AA725" s="170">
        <f t="shared" ca="1" si="98"/>
        <v>0.15996913579551317</v>
      </c>
      <c r="AB725" s="169">
        <f t="shared" ca="1" si="99"/>
        <v>5.9988425923317434E-2</v>
      </c>
      <c r="AC725" s="170">
        <f t="shared" ca="1" si="100"/>
        <v>0.15996913579551317</v>
      </c>
      <c r="AD725" s="169">
        <f t="shared" ca="1" si="101"/>
        <v>0</v>
      </c>
      <c r="AE725" s="169">
        <f t="shared" ca="1" si="111"/>
        <v>0.11997685184663481</v>
      </c>
      <c r="AF725" s="170">
        <f t="shared" ca="1" si="102"/>
        <v>0.31993827159102617</v>
      </c>
      <c r="AG725" s="170">
        <f t="shared" ca="1" si="103"/>
        <v>0.31993827159102617</v>
      </c>
      <c r="AH725" s="28" t="str" cm="1">
        <f t="array" aca="1" ref="AH725" ca="1">IF((AD725) &lt; (INDEX(ResponseSLA[#All],(MATCH((G725),ResponseSLA[Priority],0))+1,3)),"YES","No")</f>
        <v>YES</v>
      </c>
      <c r="AI725" s="28" t="str">
        <f ca="1">_xlfn.IFNA(IF(AE725 &lt; (INDEX(SLATable[Minimum SLA],MATCH(G725,SLATable[Priority],0))),"YES","NO"),"")</f>
        <v>YES</v>
      </c>
      <c r="AJ725" s="28" t="str">
        <f ca="1">_xlfn.IFNA(IF(AE725 &lt; (INDEX(SLATable[Maximum SLA],MATCH(G725,SLATable[Priority],0))),"YES","NO"),"")</f>
        <v>YES</v>
      </c>
    </row>
    <row r="726" spans="2:36" s="58" customFormat="1">
      <c r="B726" s="58" t="s">
        <v>26</v>
      </c>
      <c r="C726" s="58" t="s">
        <v>35</v>
      </c>
      <c r="D726" s="58" t="s">
        <v>207</v>
      </c>
      <c r="E726" s="313" t="s">
        <v>2046</v>
      </c>
      <c r="F726" s="58" t="s">
        <v>301</v>
      </c>
      <c r="G726" s="58">
        <v>3</v>
      </c>
      <c r="H726" s="313" t="s">
        <v>2047</v>
      </c>
      <c r="I726" s="58" t="s">
        <v>271</v>
      </c>
      <c r="J726" s="313" t="s">
        <v>1200</v>
      </c>
      <c r="K726" s="314">
        <v>46203.510787037034</v>
      </c>
      <c r="L726" s="314">
        <v>46203.540231481478</v>
      </c>
      <c r="M726" s="314">
        <v>46203.540231481478</v>
      </c>
      <c r="N726" s="314">
        <v>46205.464016203703</v>
      </c>
      <c r="O726" s="313"/>
      <c r="P726" s="313"/>
      <c r="Q726" s="313" t="s">
        <v>1304</v>
      </c>
      <c r="R726" s="58" t="s">
        <v>267</v>
      </c>
      <c r="S726" s="58" t="s">
        <v>141</v>
      </c>
      <c r="Z726" s="169">
        <f t="shared" ca="1" si="97"/>
        <v>0.703229166669189</v>
      </c>
      <c r="AA726" s="170">
        <f t="shared" ca="1" si="98"/>
        <v>1.875277777784504</v>
      </c>
      <c r="AB726" s="169">
        <f t="shared" ca="1" si="99"/>
        <v>0.67378472222480923</v>
      </c>
      <c r="AC726" s="170">
        <f t="shared" ca="1" si="100"/>
        <v>1.7967592592661579</v>
      </c>
      <c r="AD726" s="169">
        <f t="shared" ca="1" si="101"/>
        <v>0</v>
      </c>
      <c r="AE726" s="169">
        <f t="shared" ca="1" si="111"/>
        <v>15.779911689816801</v>
      </c>
      <c r="AF726" s="170">
        <f t="shared" ca="1" si="102"/>
        <v>42.079764506178137</v>
      </c>
      <c r="AG726" s="170">
        <f t="shared" ca="1" si="103"/>
        <v>42.079764506178137</v>
      </c>
      <c r="AH726" s="28" t="str" cm="1">
        <f t="array" aca="1" ref="AH726" ca="1">IF((AD726) &lt; (INDEX(ResponseSLA[#All],(MATCH((G726),ResponseSLA[Priority],0))+1,3)),"YES","No")</f>
        <v>YES</v>
      </c>
      <c r="AI726" s="28" t="str">
        <f ca="1">_xlfn.IFNA(IF(AE726 &lt; (INDEX(SLATable[Minimum SLA],MATCH(G726,SLATable[Priority],0))),"YES","NO"),"")</f>
        <v>NO</v>
      </c>
      <c r="AJ726" s="28" t="str">
        <f ca="1">_xlfn.IFNA(IF(AE726 &lt; (INDEX(SLATable[Maximum SLA],MATCH(G726,SLATable[Priority],0))),"YES","NO"),"")</f>
        <v>NO</v>
      </c>
    </row>
    <row r="727" spans="2:36" s="58" customFormat="1">
      <c r="B727" s="58" t="s">
        <v>26</v>
      </c>
      <c r="C727" s="58" t="s">
        <v>35</v>
      </c>
      <c r="D727" s="58" t="s">
        <v>207</v>
      </c>
      <c r="E727" s="313" t="s">
        <v>2433</v>
      </c>
      <c r="F727" s="58" t="s">
        <v>295</v>
      </c>
      <c r="G727" s="58">
        <v>3</v>
      </c>
      <c r="H727" s="313" t="s">
        <v>1210</v>
      </c>
      <c r="I727" s="58" t="s">
        <v>271</v>
      </c>
      <c r="J727" s="313" t="s">
        <v>1200</v>
      </c>
      <c r="K727" s="307">
        <v>46204.093402777777</v>
      </c>
      <c r="L727" s="314">
        <v>46204.093530092592</v>
      </c>
      <c r="M727" s="314">
        <v>46204.296423611115</v>
      </c>
      <c r="N727" s="314">
        <v>46205.461469907408</v>
      </c>
      <c r="O727" s="313"/>
      <c r="P727" s="313"/>
      <c r="Q727" s="313" t="s">
        <v>1211</v>
      </c>
      <c r="R727" s="58" t="s">
        <v>267</v>
      </c>
      <c r="S727" s="58" t="s">
        <v>149</v>
      </c>
      <c r="Z727" s="169">
        <f t="shared" ca="1" si="97"/>
        <v>0.50313657407483947</v>
      </c>
      <c r="AA727" s="170">
        <f t="shared" ca="1" si="98"/>
        <v>1.3416975308662387</v>
      </c>
      <c r="AB727" s="169">
        <f t="shared" ca="1" si="99"/>
        <v>0.50313657407483947</v>
      </c>
      <c r="AC727" s="170">
        <f t="shared" ca="1" si="100"/>
        <v>1.3416975308662387</v>
      </c>
      <c r="AD727" s="169">
        <f t="shared" ca="1" si="101"/>
        <v>0</v>
      </c>
      <c r="AE727" s="169">
        <f t="shared" ca="1" si="111"/>
        <v>0.50313657407483947</v>
      </c>
      <c r="AF727" s="170">
        <f t="shared" ca="1" si="102"/>
        <v>1.3416975308662387</v>
      </c>
      <c r="AG727" s="170">
        <f t="shared" ca="1" si="103"/>
        <v>1.3416975308662387</v>
      </c>
      <c r="AH727" s="28" t="str" cm="1">
        <f t="array" aca="1" ref="AH727" ca="1">IF((AD727) &lt; (INDEX(ResponseSLA[#All],(MATCH((G727),ResponseSLA[Priority],0))+1,3)),"YES","No")</f>
        <v>YES</v>
      </c>
      <c r="AI727" s="28" t="str">
        <f ca="1">_xlfn.IFNA(IF(AE727 &lt; (INDEX(SLATable[Minimum SLA],MATCH(G727,SLATable[Priority],0))),"YES","NO"),"")</f>
        <v>NO</v>
      </c>
      <c r="AJ727" s="28" t="str">
        <f ca="1">_xlfn.IFNA(IF(AE727 &lt; (INDEX(SLATable[Maximum SLA],MATCH(G727,SLATable[Priority],0))),"YES","NO"),"")</f>
        <v>YES</v>
      </c>
    </row>
    <row r="728" spans="2:36" s="58" customFormat="1">
      <c r="B728" s="58" t="s">
        <v>26</v>
      </c>
      <c r="C728" s="58" t="s">
        <v>35</v>
      </c>
      <c r="D728" s="58" t="s">
        <v>207</v>
      </c>
      <c r="E728" s="313" t="s">
        <v>2008</v>
      </c>
      <c r="F728" s="58" t="s">
        <v>295</v>
      </c>
      <c r="G728" s="58">
        <v>4</v>
      </c>
      <c r="H728" s="313" t="s">
        <v>2009</v>
      </c>
      <c r="I728" s="58" t="s">
        <v>271</v>
      </c>
      <c r="J728" s="313" t="s">
        <v>1200</v>
      </c>
      <c r="K728" s="314">
        <v>46196.652187500003</v>
      </c>
      <c r="L728" s="314">
        <v>46196.652187500003</v>
      </c>
      <c r="M728" s="314">
        <v>46197.288912037038</v>
      </c>
      <c r="N728" s="314">
        <v>46205.460659722223</v>
      </c>
      <c r="O728" s="314">
        <v>46197.459756944445</v>
      </c>
      <c r="P728" s="314">
        <v>46205.460659722223</v>
      </c>
      <c r="Q728" s="313" t="s">
        <v>1211</v>
      </c>
      <c r="R728" s="58" t="s">
        <v>267</v>
      </c>
      <c r="S728" s="58" t="s">
        <v>199</v>
      </c>
      <c r="Z728" s="169">
        <f t="shared" ca="1" si="97"/>
        <v>0.18256944444146939</v>
      </c>
      <c r="AA728" s="170">
        <f t="shared" ca="1" si="98"/>
        <v>0.48685185184391838</v>
      </c>
      <c r="AB728" s="169">
        <f t="shared" ca="1" si="99"/>
        <v>0.18256944444146939</v>
      </c>
      <c r="AC728" s="170">
        <f t="shared" ca="1" si="100"/>
        <v>0.48685185184391838</v>
      </c>
      <c r="AD728" s="169">
        <f t="shared" ca="1" si="101"/>
        <v>5.6145833329840911E-2</v>
      </c>
      <c r="AE728" s="169">
        <f t="shared" ca="1" si="111"/>
        <v>0.364606481482042</v>
      </c>
      <c r="AF728" s="170">
        <f t="shared" ca="1" si="102"/>
        <v>0.9722839506187787</v>
      </c>
      <c r="AG728" s="170">
        <f t="shared" ca="1" si="103"/>
        <v>0.9722839506187787</v>
      </c>
      <c r="AH728" s="28" t="str" cm="1">
        <f t="array" aca="1" ref="AH728" ca="1">IF((AD728) &lt; (INDEX(ResponseSLA[#All],(MATCH((G728),ResponseSLA[Priority],0))+1,3)),"YES","No")</f>
        <v>YES</v>
      </c>
      <c r="AI728" s="28" t="str">
        <f ca="1">_xlfn.IFNA(IF(AE728 &lt; (INDEX(SLATable[Minimum SLA],MATCH(G728,SLATable[Priority],0))),"YES","NO"),"")</f>
        <v>YES</v>
      </c>
      <c r="AJ728" s="28" t="str">
        <f ca="1">_xlfn.IFNA(IF(AE728 &lt; (INDEX(SLATable[Maximum SLA],MATCH(G728,SLATable[Priority],0))),"YES","NO"),"")</f>
        <v>YES</v>
      </c>
    </row>
    <row r="729" spans="2:36" s="58" customFormat="1">
      <c r="B729" s="58" t="s">
        <v>26</v>
      </c>
      <c r="C729" s="58" t="s">
        <v>35</v>
      </c>
      <c r="D729" s="58" t="s">
        <v>207</v>
      </c>
      <c r="E729" s="313" t="s">
        <v>2434</v>
      </c>
      <c r="F729" s="58" t="s">
        <v>289</v>
      </c>
      <c r="G729" s="58">
        <v>4</v>
      </c>
      <c r="H729" s="313" t="s">
        <v>2435</v>
      </c>
      <c r="I729" s="58" t="s">
        <v>271</v>
      </c>
      <c r="J729" s="313" t="s">
        <v>1200</v>
      </c>
      <c r="K729" s="307">
        <v>46207.454756944448</v>
      </c>
      <c r="L729" s="314">
        <v>46207.454872685186</v>
      </c>
      <c r="M729" s="314">
        <v>46209.291770833333</v>
      </c>
      <c r="N729" s="314">
        <v>46218.421111111114</v>
      </c>
      <c r="O729" s="314">
        <v>46210.420902777776</v>
      </c>
      <c r="P729" s="314">
        <v>46218.421111111114</v>
      </c>
      <c r="Q729" s="313" t="s">
        <v>1101</v>
      </c>
      <c r="R729" s="58" t="s">
        <v>267</v>
      </c>
      <c r="S729" s="58" t="s">
        <v>199</v>
      </c>
      <c r="Z729" s="169">
        <f t="shared" ca="1" si="97"/>
        <v>0.4625694444427304</v>
      </c>
      <c r="AA729" s="170">
        <f t="shared" ca="1" si="98"/>
        <v>1.2335185185139477</v>
      </c>
      <c r="AB729" s="169">
        <f t="shared" ca="1" si="99"/>
        <v>0.4625694444427304</v>
      </c>
      <c r="AC729" s="170">
        <f t="shared" ca="1" si="100"/>
        <v>1.2335185185139477</v>
      </c>
      <c r="AD729" s="169">
        <f t="shared" ca="1" si="101"/>
        <v>0</v>
      </c>
      <c r="AE729" s="169">
        <f t="shared" ca="1" si="111"/>
        <v>0.4625694444427304</v>
      </c>
      <c r="AF729" s="170">
        <f t="shared" ca="1" si="102"/>
        <v>1.2335185185139477</v>
      </c>
      <c r="AG729" s="170">
        <f t="shared" ca="1" si="103"/>
        <v>1.2335185185139477</v>
      </c>
      <c r="AH729" s="28" t="str" cm="1">
        <f t="array" aca="1" ref="AH729" ca="1">IF((AD729) &lt; (INDEX(ResponseSLA[#All],(MATCH((G729),ResponseSLA[Priority],0))+1,3)),"YES","No")</f>
        <v>YES</v>
      </c>
      <c r="AI729" s="28" t="str">
        <f ca="1">_xlfn.IFNA(IF(AE729 &lt; (INDEX(SLATable[Minimum SLA],MATCH(G729,SLATable[Priority],0))),"YES","NO"),"")</f>
        <v>YES</v>
      </c>
      <c r="AJ729" s="28" t="str">
        <f ca="1">_xlfn.IFNA(IF(AE729 &lt; (INDEX(SLATable[Maximum SLA],MATCH(G729,SLATable[Priority],0))),"YES","NO"),"")</f>
        <v>YES</v>
      </c>
    </row>
    <row r="730" spans="2:36" s="58" customFormat="1">
      <c r="B730" s="58" t="s">
        <v>26</v>
      </c>
      <c r="C730" s="58" t="s">
        <v>35</v>
      </c>
      <c r="D730" s="58" t="s">
        <v>207</v>
      </c>
      <c r="E730" s="313" t="s">
        <v>2436</v>
      </c>
      <c r="F730" s="58" t="s">
        <v>289</v>
      </c>
      <c r="G730" s="58">
        <v>3</v>
      </c>
      <c r="H730" s="313" t="s">
        <v>2437</v>
      </c>
      <c r="I730" s="58" t="s">
        <v>271</v>
      </c>
      <c r="J730" s="313" t="s">
        <v>1200</v>
      </c>
      <c r="K730" s="307">
        <v>46205.573240740741</v>
      </c>
      <c r="L730" s="314">
        <v>46205.573240740741</v>
      </c>
      <c r="M730" s="314">
        <v>46206.302939814814</v>
      </c>
      <c r="N730" s="314">
        <v>46218.420162037037</v>
      </c>
      <c r="O730" s="314">
        <v>46210.419247685182</v>
      </c>
      <c r="P730" s="314">
        <v>46218.420162037037</v>
      </c>
      <c r="Q730" s="313" t="s">
        <v>1101</v>
      </c>
      <c r="R730" s="58" t="s">
        <v>267</v>
      </c>
      <c r="S730" s="58" t="s">
        <v>199</v>
      </c>
      <c r="Z730" s="169">
        <f t="shared" ca="1" si="97"/>
        <v>0.97100694444088731</v>
      </c>
      <c r="AA730" s="170">
        <f t="shared" ca="1" si="98"/>
        <v>2.5893518518423662</v>
      </c>
      <c r="AB730" s="169">
        <f t="shared" ca="1" si="99"/>
        <v>0.97100694444088731</v>
      </c>
      <c r="AC730" s="170">
        <f t="shared" ca="1" si="100"/>
        <v>2.5893518518423662</v>
      </c>
      <c r="AD730" s="169">
        <f t="shared" ca="1" si="101"/>
        <v>0.13509259259202133</v>
      </c>
      <c r="AE730" s="169">
        <f t="shared" ca="1" si="111"/>
        <v>0.97100694444088731</v>
      </c>
      <c r="AF730" s="170">
        <f t="shared" ca="1" si="102"/>
        <v>2.5893518518423662</v>
      </c>
      <c r="AG730" s="170">
        <f t="shared" ca="1" si="103"/>
        <v>2.5893518518423662</v>
      </c>
      <c r="AH730" s="28" t="str" cm="1">
        <f t="array" aca="1" ref="AH730" ca="1">IF((AD730) &lt; (INDEX(ResponseSLA[#All],(MATCH((G730),ResponseSLA[Priority],0))+1,3)),"YES","No")</f>
        <v>No</v>
      </c>
      <c r="AI730" s="28" t="str">
        <f ca="1">_xlfn.IFNA(IF(AE730 &lt; (INDEX(SLATable[Minimum SLA],MATCH(G730,SLATable[Priority],0))),"YES","NO"),"")</f>
        <v>NO</v>
      </c>
      <c r="AJ730" s="28" t="str">
        <f ca="1">_xlfn.IFNA(IF(AE730 &lt; (INDEX(SLATable[Maximum SLA],MATCH(G730,SLATable[Priority],0))),"YES","NO"),"")</f>
        <v>YES</v>
      </c>
    </row>
    <row r="731" spans="2:36" s="58" customFormat="1">
      <c r="B731" s="58" t="s">
        <v>26</v>
      </c>
      <c r="C731" s="58" t="s">
        <v>35</v>
      </c>
      <c r="D731" s="58" t="s">
        <v>207</v>
      </c>
      <c r="E731" s="313" t="s">
        <v>2438</v>
      </c>
      <c r="F731" s="58" t="s">
        <v>296</v>
      </c>
      <c r="G731" s="58">
        <v>4</v>
      </c>
      <c r="H731" s="313" t="s">
        <v>2439</v>
      </c>
      <c r="I731" s="58" t="s">
        <v>271</v>
      </c>
      <c r="J731" s="313" t="s">
        <v>1200</v>
      </c>
      <c r="K731" s="307">
        <v>46217.633240740739</v>
      </c>
      <c r="L731" s="314">
        <v>46217.634456018517</v>
      </c>
      <c r="M731" s="314">
        <v>46218.287592592591</v>
      </c>
      <c r="N731" s="314">
        <v>46218.305405092593</v>
      </c>
      <c r="O731" s="313"/>
      <c r="P731" s="313"/>
      <c r="Q731" s="313" t="s">
        <v>1049</v>
      </c>
      <c r="R731" s="58" t="s">
        <v>267</v>
      </c>
      <c r="S731" s="58" t="s">
        <v>190</v>
      </c>
      <c r="Z731" s="169">
        <f t="shared" ca="1" si="97"/>
        <v>7.5092592594349639E-2</v>
      </c>
      <c r="AA731" s="170">
        <f t="shared" ca="1" si="98"/>
        <v>0.20024691358493238</v>
      </c>
      <c r="AB731" s="169">
        <f t="shared" ca="1" si="99"/>
        <v>7.3877314816248485E-2</v>
      </c>
      <c r="AC731" s="170">
        <f t="shared" ca="1" si="100"/>
        <v>0.1970061728433293</v>
      </c>
      <c r="AD731" s="169">
        <f t="shared" ca="1" si="101"/>
        <v>7.3877314816248485E-2</v>
      </c>
      <c r="AE731" s="169">
        <f t="shared" ca="1" si="111"/>
        <v>7.3877314816248485E-2</v>
      </c>
      <c r="AF731" s="170">
        <f t="shared" ca="1" si="102"/>
        <v>0.1970061728433293</v>
      </c>
      <c r="AG731" s="170">
        <f t="shared" ca="1" si="103"/>
        <v>0.1970061728433293</v>
      </c>
      <c r="AH731" s="28" t="str" cm="1">
        <f t="array" aca="1" ref="AH731" ca="1">IF((AD731) &lt; (INDEX(ResponseSLA[#All],(MATCH((G731),ResponseSLA[Priority],0))+1,3)),"YES","No")</f>
        <v>YES</v>
      </c>
      <c r="AI731" s="28" t="str">
        <f ca="1">_xlfn.IFNA(IF(AE731 &lt; (INDEX(SLATable[Minimum SLA],MATCH(G731,SLATable[Priority],0))),"YES","NO"),"")</f>
        <v>YES</v>
      </c>
      <c r="AJ731" s="28" t="str">
        <f ca="1">_xlfn.IFNA(IF(AE731 &lt; (INDEX(SLATable[Maximum SLA],MATCH(G731,SLATable[Priority],0))),"YES","NO"),"")</f>
        <v>YES</v>
      </c>
    </row>
    <row r="732" spans="2:36" s="58" customFormat="1">
      <c r="B732" s="58" t="s">
        <v>26</v>
      </c>
      <c r="C732" s="58" t="s">
        <v>35</v>
      </c>
      <c r="D732" s="58" t="s">
        <v>207</v>
      </c>
      <c r="E732" s="313" t="s">
        <v>2440</v>
      </c>
      <c r="F732" s="58" t="s">
        <v>299</v>
      </c>
      <c r="G732" s="58">
        <v>4</v>
      </c>
      <c r="H732" s="313" t="s">
        <v>2441</v>
      </c>
      <c r="I732" s="58" t="s">
        <v>271</v>
      </c>
      <c r="J732" s="313" t="s">
        <v>1200</v>
      </c>
      <c r="K732" s="307">
        <v>46227.385648148149</v>
      </c>
      <c r="L732" s="314">
        <v>46227.385879629626</v>
      </c>
      <c r="M732" s="314">
        <v>46227.479050925926</v>
      </c>
      <c r="N732" s="314">
        <v>46231.284108796295</v>
      </c>
      <c r="O732" s="313"/>
      <c r="P732" s="313"/>
      <c r="Q732" s="313" t="s">
        <v>1208</v>
      </c>
      <c r="R732" s="58" t="s">
        <v>267</v>
      </c>
      <c r="S732" s="58" t="s">
        <v>149</v>
      </c>
      <c r="Z732" s="169">
        <f t="shared" ca="1" si="97"/>
        <v>0.69768518518443079</v>
      </c>
      <c r="AA732" s="170">
        <f t="shared" ca="1" si="98"/>
        <v>1.8604938271584821</v>
      </c>
      <c r="AB732" s="169">
        <f t="shared" ca="1" si="99"/>
        <v>0.6974537037070454</v>
      </c>
      <c r="AC732" s="170">
        <f t="shared" ca="1" si="100"/>
        <v>1.8598765432187878</v>
      </c>
      <c r="AD732" s="169">
        <f t="shared" ca="1" si="101"/>
        <v>9.3171296299260575E-2</v>
      </c>
      <c r="AE732" s="169">
        <f t="shared" ca="1" si="111"/>
        <v>0.6974537037070454</v>
      </c>
      <c r="AF732" s="170">
        <f t="shared" ca="1" si="102"/>
        <v>1.8598765432187878</v>
      </c>
      <c r="AG732" s="170">
        <f t="shared" ca="1" si="103"/>
        <v>1.8598765432187878</v>
      </c>
      <c r="AH732" s="28" t="str" cm="1">
        <f t="array" aca="1" ref="AH732" ca="1">IF((AD732) &lt; (INDEX(ResponseSLA[#All],(MATCH((G732),ResponseSLA[Priority],0))+1,3)),"YES","No")</f>
        <v>YES</v>
      </c>
      <c r="AI732" s="28" t="str">
        <f ca="1">_xlfn.IFNA(IF(AE732 &lt; (INDEX(SLATable[Minimum SLA],MATCH(G732,SLATable[Priority],0))),"YES","NO"),"")</f>
        <v>YES</v>
      </c>
      <c r="AJ732" s="28" t="str">
        <f ca="1">_xlfn.IFNA(IF(AE732 &lt; (INDEX(SLATable[Maximum SLA],MATCH(G732,SLATable[Priority],0))),"YES","NO"),"")</f>
        <v>YES</v>
      </c>
    </row>
    <row r="733" spans="2:36" s="58" customFormat="1">
      <c r="B733" s="58" t="s">
        <v>26</v>
      </c>
      <c r="C733" s="58" t="s">
        <v>35</v>
      </c>
      <c r="D733" s="58" t="s">
        <v>207</v>
      </c>
      <c r="E733" s="313" t="s">
        <v>2442</v>
      </c>
      <c r="F733" s="58" t="s">
        <v>295</v>
      </c>
      <c r="G733" s="58">
        <v>3</v>
      </c>
      <c r="H733" s="313" t="s">
        <v>2342</v>
      </c>
      <c r="I733" s="58" t="s">
        <v>271</v>
      </c>
      <c r="J733" s="313" t="s">
        <v>1200</v>
      </c>
      <c r="K733" s="307">
        <v>46230.152349537035</v>
      </c>
      <c r="L733" s="314">
        <v>46230.152650462966</v>
      </c>
      <c r="M733" s="314"/>
      <c r="N733" s="314">
        <v>46231.279409722221</v>
      </c>
      <c r="O733" s="313"/>
      <c r="P733" s="313"/>
      <c r="Q733" s="313" t="s">
        <v>1211</v>
      </c>
      <c r="R733" s="58" t="s">
        <v>267</v>
      </c>
      <c r="S733" s="58" t="s">
        <v>149</v>
      </c>
      <c r="Z733" s="169">
        <f t="shared" ca="1" si="97"/>
        <v>0.37500000000000006</v>
      </c>
      <c r="AA733" s="170">
        <f t="shared" ca="1" si="98"/>
        <v>1.0000000000000002</v>
      </c>
      <c r="AB733" s="169">
        <f t="shared" ca="1" si="99"/>
        <v>0.37500000000000006</v>
      </c>
      <c r="AC733" s="170">
        <f t="shared" ca="1" si="100"/>
        <v>1.0000000000000002</v>
      </c>
      <c r="AD733" s="169">
        <f t="shared" ca="1" si="101"/>
        <v>8.1756408564785179</v>
      </c>
      <c r="AE733" s="169">
        <f t="shared" ca="1" si="111"/>
        <v>0.37500000000000006</v>
      </c>
      <c r="AF733" s="170">
        <f t="shared" ca="1" si="102"/>
        <v>1.0000000000000002</v>
      </c>
      <c r="AG733" s="170">
        <f t="shared" ca="1" si="103"/>
        <v>1.0000000000000002</v>
      </c>
      <c r="AH733" s="28" t="str" cm="1">
        <f t="array" aca="1" ref="AH733" ca="1">IF((AD733) &lt; (INDEX(ResponseSLA[#All],(MATCH((G733),ResponseSLA[Priority],0))+1,3)),"YES","No")</f>
        <v>No</v>
      </c>
      <c r="AI733" s="28" t="str">
        <f ca="1">_xlfn.IFNA(IF(AE733 &lt; (INDEX(SLATable[Minimum SLA],MATCH(G733,SLATable[Priority],0))),"YES","NO"),"")</f>
        <v>NO</v>
      </c>
      <c r="AJ733" s="28" t="str">
        <f ca="1">_xlfn.IFNA(IF(AE733 &lt; (INDEX(SLATable[Maximum SLA],MATCH(G733,SLATable[Priority],0))),"YES","NO"),"")</f>
        <v>YES</v>
      </c>
    </row>
    <row r="734" spans="2:36" s="58" customFormat="1">
      <c r="B734" s="58" t="s">
        <v>26</v>
      </c>
      <c r="C734" s="58" t="s">
        <v>35</v>
      </c>
      <c r="D734" s="58" t="s">
        <v>207</v>
      </c>
      <c r="E734" s="313" t="s">
        <v>2443</v>
      </c>
      <c r="F734" s="58" t="s">
        <v>289</v>
      </c>
      <c r="G734" s="58">
        <v>4</v>
      </c>
      <c r="H734" s="313" t="s">
        <v>2444</v>
      </c>
      <c r="I734" s="58" t="s">
        <v>271</v>
      </c>
      <c r="J734" s="313" t="s">
        <v>1200</v>
      </c>
      <c r="K734" s="307">
        <v>46215.475474537037</v>
      </c>
      <c r="L734" s="314">
        <v>46215.475613425922</v>
      </c>
      <c r="M734" s="314">
        <v>46216.274525462963</v>
      </c>
      <c r="N734" s="314">
        <v>46231.268599537034</v>
      </c>
      <c r="O734" s="314">
        <v>46224.445590277777</v>
      </c>
      <c r="P734" s="314">
        <v>46226.449953703705</v>
      </c>
      <c r="Q734" s="313" t="s">
        <v>1104</v>
      </c>
      <c r="R734" s="58" t="s">
        <v>267</v>
      </c>
      <c r="S734" s="58" t="s">
        <v>199</v>
      </c>
      <c r="Z734" s="169">
        <f t="shared" ca="1" si="97"/>
        <v>3.370636574072706</v>
      </c>
      <c r="AA734" s="170">
        <f t="shared" ca="1" si="98"/>
        <v>8.9883641975272166</v>
      </c>
      <c r="AB734" s="169">
        <f t="shared" ca="1" si="99"/>
        <v>3.370636574072706</v>
      </c>
      <c r="AC734" s="170">
        <f t="shared" ca="1" si="100"/>
        <v>8.9883641975272166</v>
      </c>
      <c r="AD734" s="169">
        <f t="shared" ca="1" si="101"/>
        <v>0</v>
      </c>
      <c r="AE734" s="169">
        <f t="shared" ca="1" si="111"/>
        <v>3.370636574072706</v>
      </c>
      <c r="AF734" s="170">
        <f t="shared" ca="1" si="102"/>
        <v>8.9883641975272166</v>
      </c>
      <c r="AG734" s="170">
        <f t="shared" ca="1" si="103"/>
        <v>8.9883641975272166</v>
      </c>
      <c r="AH734" s="28" t="str" cm="1">
        <f t="array" aca="1" ref="AH734" ca="1">IF((AD734) &lt; (INDEX(ResponseSLA[#All],(MATCH((G734),ResponseSLA[Priority],0))+1,3)),"YES","No")</f>
        <v>YES</v>
      </c>
      <c r="AI734" s="28" t="str">
        <f ca="1">_xlfn.IFNA(IF(AE734 &lt; (INDEX(SLATable[Minimum SLA],MATCH(G734,SLATable[Priority],0))),"YES","NO"),"")</f>
        <v>YES</v>
      </c>
      <c r="AJ734" s="28" t="str">
        <f ca="1">_xlfn.IFNA(IF(AE734 &lt; (INDEX(SLATable[Maximum SLA],MATCH(G734,SLATable[Priority],0))),"YES","NO"),"")</f>
        <v>YES</v>
      </c>
    </row>
    <row r="735" spans="2:36" s="58" customFormat="1">
      <c r="B735" s="58" t="s">
        <v>26</v>
      </c>
      <c r="C735" s="58" t="s">
        <v>35</v>
      </c>
      <c r="D735" s="58" t="s">
        <v>207</v>
      </c>
      <c r="E735" s="313" t="s">
        <v>2445</v>
      </c>
      <c r="F735" s="58" t="s">
        <v>295</v>
      </c>
      <c r="G735" s="58">
        <v>3</v>
      </c>
      <c r="H735" s="313" t="s">
        <v>2342</v>
      </c>
      <c r="I735" s="58" t="s">
        <v>271</v>
      </c>
      <c r="J735" s="313" t="s">
        <v>1200</v>
      </c>
      <c r="K735" s="307">
        <v>46227.111516203702</v>
      </c>
      <c r="L735" s="314">
        <v>46227.112384259257</v>
      </c>
      <c r="M735" s="314">
        <v>46227.286562499998</v>
      </c>
      <c r="N735" s="314">
        <v>46230.471250000002</v>
      </c>
      <c r="O735" s="313"/>
      <c r="P735" s="313"/>
      <c r="Q735" s="313" t="s">
        <v>1211</v>
      </c>
      <c r="R735" s="58" t="s">
        <v>267</v>
      </c>
      <c r="S735" s="58" t="s">
        <v>149</v>
      </c>
      <c r="Z735" s="169">
        <f t="shared" ca="1" si="97"/>
        <v>0.51291666666899505</v>
      </c>
      <c r="AA735" s="170">
        <f t="shared" ca="1" si="98"/>
        <v>1.3677777777839868</v>
      </c>
      <c r="AB735" s="169">
        <f t="shared" ca="1" si="99"/>
        <v>0.51291666666899505</v>
      </c>
      <c r="AC735" s="170">
        <f t="shared" ca="1" si="100"/>
        <v>1.3677777777839868</v>
      </c>
      <c r="AD735" s="169">
        <f t="shared" ca="1" si="101"/>
        <v>0</v>
      </c>
      <c r="AE735" s="169">
        <f t="shared" ca="1" si="111"/>
        <v>0.51291666666899505</v>
      </c>
      <c r="AF735" s="170">
        <f t="shared" ca="1" si="102"/>
        <v>1.3677777777839868</v>
      </c>
      <c r="AG735" s="170">
        <f t="shared" ca="1" si="103"/>
        <v>1.3677777777839868</v>
      </c>
      <c r="AH735" s="28" t="str" cm="1">
        <f t="array" aca="1" ref="AH735" ca="1">IF((AD735) &lt; (INDEX(ResponseSLA[#All],(MATCH((G735),ResponseSLA[Priority],0))+1,3)),"YES","No")</f>
        <v>YES</v>
      </c>
      <c r="AI735" s="28" t="str">
        <f ca="1">_xlfn.IFNA(IF(AE735 &lt; (INDEX(SLATable[Minimum SLA],MATCH(G735,SLATable[Priority],0))),"YES","NO"),"")</f>
        <v>NO</v>
      </c>
      <c r="AJ735" s="28" t="str">
        <f ca="1">_xlfn.IFNA(IF(AE735 &lt; (INDEX(SLATable[Maximum SLA],MATCH(G735,SLATable[Priority],0))),"YES","NO"),"")</f>
        <v>YES</v>
      </c>
    </row>
    <row r="736" spans="2:36" s="58" customFormat="1">
      <c r="B736" s="58" t="s">
        <v>26</v>
      </c>
      <c r="C736" s="58" t="s">
        <v>35</v>
      </c>
      <c r="D736" s="58" t="s">
        <v>207</v>
      </c>
      <c r="E736" s="313" t="s">
        <v>2446</v>
      </c>
      <c r="F736" s="58" t="s">
        <v>295</v>
      </c>
      <c r="G736" s="58">
        <v>3</v>
      </c>
      <c r="H736" s="313" t="s">
        <v>2342</v>
      </c>
      <c r="I736" s="58" t="s">
        <v>271</v>
      </c>
      <c r="J736" s="313" t="s">
        <v>1200</v>
      </c>
      <c r="K736" s="307">
        <v>46226.072546296295</v>
      </c>
      <c r="L736" s="314">
        <v>46226.073182870372</v>
      </c>
      <c r="M736" s="314">
        <v>46226.245740740742</v>
      </c>
      <c r="N736" s="314">
        <v>46226.407731481479</v>
      </c>
      <c r="O736" s="313"/>
      <c r="P736" s="313"/>
      <c r="Q736" s="313" t="s">
        <v>1211</v>
      </c>
      <c r="R736" s="58" t="s">
        <v>267</v>
      </c>
      <c r="S736" s="58" t="s">
        <v>149</v>
      </c>
      <c r="Z736" s="169">
        <f t="shared" ca="1" si="97"/>
        <v>7.4398148145216225E-2</v>
      </c>
      <c r="AA736" s="170">
        <f t="shared" ca="1" si="98"/>
        <v>0.19839506172057661</v>
      </c>
      <c r="AB736" s="169">
        <f t="shared" ca="1" si="99"/>
        <v>7.4398148145216225E-2</v>
      </c>
      <c r="AC736" s="170">
        <f t="shared" ca="1" si="100"/>
        <v>0.19839506172057661</v>
      </c>
      <c r="AD736" s="169">
        <f t="shared" ca="1" si="101"/>
        <v>0</v>
      </c>
      <c r="AE736" s="169">
        <f t="shared" ca="1" si="111"/>
        <v>7.4398148145216225E-2</v>
      </c>
      <c r="AF736" s="170">
        <f t="shared" ca="1" si="102"/>
        <v>0.19839506172057661</v>
      </c>
      <c r="AG736" s="170">
        <f t="shared" ca="1" si="103"/>
        <v>0.19839506172057661</v>
      </c>
      <c r="AH736" s="28" t="str" cm="1">
        <f t="array" aca="1" ref="AH736" ca="1">IF((AD736) &lt; (INDEX(ResponseSLA[#All],(MATCH((G736),ResponseSLA[Priority],0))+1,3)),"YES","No")</f>
        <v>YES</v>
      </c>
      <c r="AI736" s="28" t="str">
        <f ca="1">_xlfn.IFNA(IF(AE736 &lt; (INDEX(SLATable[Minimum SLA],MATCH(G736,SLATable[Priority],0))),"YES","NO"),"")</f>
        <v>YES</v>
      </c>
      <c r="AJ736" s="28" t="str">
        <f ca="1">_xlfn.IFNA(IF(AE736 &lt; (INDEX(SLATable[Maximum SLA],MATCH(G736,SLATable[Priority],0))),"YES","NO"),"")</f>
        <v>YES</v>
      </c>
    </row>
    <row r="737" spans="2:36" s="58" customFormat="1">
      <c r="B737" s="58" t="s">
        <v>26</v>
      </c>
      <c r="C737" s="58" t="s">
        <v>35</v>
      </c>
      <c r="D737" s="58" t="s">
        <v>207</v>
      </c>
      <c r="E737" s="313" t="s">
        <v>2447</v>
      </c>
      <c r="F737" s="58" t="s">
        <v>289</v>
      </c>
      <c r="G737" s="58">
        <v>3</v>
      </c>
      <c r="H737" s="313" t="s">
        <v>2448</v>
      </c>
      <c r="I737" s="58" t="s">
        <v>271</v>
      </c>
      <c r="J737" s="313" t="s">
        <v>1200</v>
      </c>
      <c r="K737" s="307">
        <v>46215.580416666664</v>
      </c>
      <c r="L737" s="314">
        <v>46215.77238425926</v>
      </c>
      <c r="M737" s="314">
        <v>46216.320335648146</v>
      </c>
      <c r="N737" s="314">
        <v>46227.426851851851</v>
      </c>
      <c r="O737" s="314">
        <v>46219.426689814813</v>
      </c>
      <c r="P737" s="314">
        <v>46227.426851851851</v>
      </c>
      <c r="Q737" s="313" t="s">
        <v>1101</v>
      </c>
      <c r="R737" s="58" t="s">
        <v>267</v>
      </c>
      <c r="S737" s="58" t="s">
        <v>199</v>
      </c>
      <c r="Z737" s="169">
        <f t="shared" ca="1" si="97"/>
        <v>1.2183564814792285</v>
      </c>
      <c r="AA737" s="170">
        <f t="shared" ca="1" si="98"/>
        <v>3.2489506172779428</v>
      </c>
      <c r="AB737" s="169">
        <f t="shared" ca="1" si="99"/>
        <v>1.2183564814792285</v>
      </c>
      <c r="AC737" s="170">
        <f t="shared" ca="1" si="100"/>
        <v>3.2489506172779428</v>
      </c>
      <c r="AD737" s="169">
        <f t="shared" ca="1" si="101"/>
        <v>0</v>
      </c>
      <c r="AE737" s="169">
        <f t="shared" ca="1" si="111"/>
        <v>1.2183564814792285</v>
      </c>
      <c r="AF737" s="170">
        <f t="shared" ca="1" si="102"/>
        <v>3.2489506172779428</v>
      </c>
      <c r="AG737" s="170">
        <f t="shared" ca="1" si="103"/>
        <v>3.2489506172779428</v>
      </c>
      <c r="AH737" s="28" t="str" cm="1">
        <f t="array" aca="1" ref="AH737" ca="1">IF((AD737) &lt; (INDEX(ResponseSLA[#All],(MATCH((G737),ResponseSLA[Priority],0))+1,3)),"YES","No")</f>
        <v>YES</v>
      </c>
      <c r="AI737" s="28" t="str">
        <f ca="1">_xlfn.IFNA(IF(AE737 &lt; (INDEX(SLATable[Minimum SLA],MATCH(G737,SLATable[Priority],0))),"YES","NO"),"")</f>
        <v>NO</v>
      </c>
      <c r="AJ737" s="28" t="str">
        <f ca="1">_xlfn.IFNA(IF(AE737 &lt; (INDEX(SLATable[Maximum SLA],MATCH(G737,SLATable[Priority],0))),"YES","NO"),"")</f>
        <v>YES</v>
      </c>
    </row>
    <row r="738" spans="2:36" s="58" customFormat="1">
      <c r="B738" s="58" t="s">
        <v>26</v>
      </c>
      <c r="C738" s="58" t="s">
        <v>35</v>
      </c>
      <c r="D738" s="58" t="s">
        <v>207</v>
      </c>
      <c r="E738" s="313" t="s">
        <v>2018</v>
      </c>
      <c r="F738" s="58" t="s">
        <v>295</v>
      </c>
      <c r="G738" s="58">
        <v>4</v>
      </c>
      <c r="H738" s="313" t="s">
        <v>2019</v>
      </c>
      <c r="I738" s="58" t="s">
        <v>271</v>
      </c>
      <c r="J738" s="313" t="s">
        <v>1200</v>
      </c>
      <c r="K738" s="314">
        <v>46189.457974537036</v>
      </c>
      <c r="L738" s="314">
        <v>46189.457974537036</v>
      </c>
      <c r="M738" s="314">
        <v>46190.31689814815</v>
      </c>
      <c r="N738" s="314">
        <v>46226.436261574076</v>
      </c>
      <c r="O738" s="314">
        <v>46218.435995370368</v>
      </c>
      <c r="P738" s="314">
        <v>46224.489050925928</v>
      </c>
      <c r="Q738" s="313" t="s">
        <v>2024</v>
      </c>
      <c r="R738" s="58" t="s">
        <v>267</v>
      </c>
      <c r="S738" s="58" t="s">
        <v>181</v>
      </c>
      <c r="Z738" s="169">
        <f t="shared" ca="1" si="97"/>
        <v>8.5502314814802975</v>
      </c>
      <c r="AA738" s="170">
        <f t="shared" ca="1" si="98"/>
        <v>22.80061728394746</v>
      </c>
      <c r="AB738" s="169">
        <f t="shared" ca="1" si="99"/>
        <v>8.5502314814802975</v>
      </c>
      <c r="AC738" s="170">
        <f t="shared" ca="1" si="100"/>
        <v>22.80061728394746</v>
      </c>
      <c r="AD738" s="169">
        <f t="shared" ca="1" si="101"/>
        <v>0.25035879629770841</v>
      </c>
      <c r="AE738" s="169" t="e">
        <f t="shared" ca="1" si="111"/>
        <v>#N/A</v>
      </c>
      <c r="AF738" s="170" t="e">
        <f t="shared" ca="1" si="102"/>
        <v>#N/A</v>
      </c>
      <c r="AG738" s="170" t="e">
        <f t="shared" ca="1" si="103"/>
        <v>#N/A</v>
      </c>
      <c r="AH738" s="28" t="str" cm="1">
        <f t="array" aca="1" ref="AH738" ca="1">IF((AD738) &lt; (INDEX(ResponseSLA[#All],(MATCH((G738),ResponseSLA[Priority],0))+1,3)),"YES","No")</f>
        <v>No</v>
      </c>
      <c r="AI738" s="28" t="str">
        <f ca="1">_xlfn.IFNA(IF(AE738 &lt; (INDEX(SLATable[Minimum SLA],MATCH(G738,SLATable[Priority],0))),"YES","NO"),"")</f>
        <v/>
      </c>
      <c r="AJ738" s="28" t="str">
        <f ca="1">_xlfn.IFNA(IF(AE738 &lt; (INDEX(SLATable[Maximum SLA],MATCH(G738,SLATable[Priority],0))),"YES","NO"),"")</f>
        <v/>
      </c>
    </row>
    <row r="739" spans="2:36" s="58" customFormat="1">
      <c r="B739" s="58" t="s">
        <v>26</v>
      </c>
      <c r="C739" s="58" t="s">
        <v>35</v>
      </c>
      <c r="D739" s="58" t="s">
        <v>207</v>
      </c>
      <c r="E739" s="313" t="s">
        <v>2449</v>
      </c>
      <c r="F739" s="58" t="s">
        <v>289</v>
      </c>
      <c r="G739" s="58">
        <v>3</v>
      </c>
      <c r="H739" s="313" t="s">
        <v>2450</v>
      </c>
      <c r="I739" s="58" t="s">
        <v>271</v>
      </c>
      <c r="J739" s="313" t="s">
        <v>1200</v>
      </c>
      <c r="K739" s="307">
        <v>46215.314756944441</v>
      </c>
      <c r="L739" s="314">
        <v>46216.4921412037</v>
      </c>
      <c r="M739" s="314">
        <v>46217.360821759263</v>
      </c>
      <c r="N739" s="314">
        <v>46226.443368055552</v>
      </c>
      <c r="O739" s="314">
        <v>46218.443078703705</v>
      </c>
      <c r="P739" s="314">
        <v>46226.443368055552</v>
      </c>
      <c r="Q739" s="313" t="s">
        <v>1098</v>
      </c>
      <c r="R739" s="58" t="s">
        <v>267</v>
      </c>
      <c r="S739" s="58" t="s">
        <v>199</v>
      </c>
      <c r="Z739" s="169">
        <f t="shared" ca="1" si="97"/>
        <v>0.85974537037206256</v>
      </c>
      <c r="AA739" s="170">
        <f t="shared" ca="1" si="98"/>
        <v>2.2926543209921668</v>
      </c>
      <c r="AB739" s="169">
        <f t="shared" ca="1" si="99"/>
        <v>0.70093750000523869</v>
      </c>
      <c r="AC739" s="170">
        <f t="shared" ca="1" si="100"/>
        <v>1.8691666666806366</v>
      </c>
      <c r="AD739" s="169">
        <f t="shared" ca="1" si="101"/>
        <v>0.24368055556260515</v>
      </c>
      <c r="AE739" s="169">
        <f t="shared" ca="1" si="111"/>
        <v>0.70093750000523869</v>
      </c>
      <c r="AF739" s="170">
        <f t="shared" ca="1" si="102"/>
        <v>1.8691666666806366</v>
      </c>
      <c r="AG739" s="170">
        <f t="shared" ca="1" si="103"/>
        <v>1.8691666666806366</v>
      </c>
      <c r="AH739" s="28" t="str" cm="1">
        <f t="array" aca="1" ref="AH739" ca="1">IF((AD739) &lt; (INDEX(ResponseSLA[#All],(MATCH((G739),ResponseSLA[Priority],0))+1,3)),"YES","No")</f>
        <v>No</v>
      </c>
      <c r="AI739" s="28" t="str">
        <f ca="1">_xlfn.IFNA(IF(AE739 &lt; (INDEX(SLATable[Minimum SLA],MATCH(G739,SLATable[Priority],0))),"YES","NO"),"")</f>
        <v>NO</v>
      </c>
      <c r="AJ739" s="28" t="str">
        <f ca="1">_xlfn.IFNA(IF(AE739 &lt; (INDEX(SLATable[Maximum SLA],MATCH(G739,SLATable[Priority],0))),"YES","NO"),"")</f>
        <v>YES</v>
      </c>
    </row>
    <row r="740" spans="2:36" s="58" customFormat="1">
      <c r="B740" s="58" t="s">
        <v>26</v>
      </c>
      <c r="C740" s="58" t="s">
        <v>35</v>
      </c>
      <c r="D740" s="58" t="s">
        <v>207</v>
      </c>
      <c r="E740" s="313" t="s">
        <v>2451</v>
      </c>
      <c r="F740" s="58" t="s">
        <v>299</v>
      </c>
      <c r="G740" s="58">
        <v>4</v>
      </c>
      <c r="H740" s="313" t="s">
        <v>2452</v>
      </c>
      <c r="I740" s="58" t="s">
        <v>271</v>
      </c>
      <c r="J740" s="313" t="s">
        <v>1200</v>
      </c>
      <c r="K740" s="307">
        <v>46225.353032407409</v>
      </c>
      <c r="L740" s="314">
        <v>46225.353217592594</v>
      </c>
      <c r="M740" s="314">
        <v>46225.41605324074</v>
      </c>
      <c r="N740" s="314">
        <v>46226.411851851852</v>
      </c>
      <c r="O740" s="313"/>
      <c r="P740" s="313"/>
      <c r="Q740" s="313" t="s">
        <v>1208</v>
      </c>
      <c r="R740" s="58" t="s">
        <v>267</v>
      </c>
      <c r="S740" s="58" t="s">
        <v>149</v>
      </c>
      <c r="Z740" s="169">
        <f t="shared" ca="1" si="97"/>
        <v>0.43381944444263354</v>
      </c>
      <c r="AA740" s="170">
        <f t="shared" ca="1" si="98"/>
        <v>1.1568518518470228</v>
      </c>
      <c r="AB740" s="169">
        <f t="shared" ca="1" si="99"/>
        <v>0.43363425925781485</v>
      </c>
      <c r="AC740" s="170">
        <f t="shared" ca="1" si="100"/>
        <v>1.1563580246875063</v>
      </c>
      <c r="AD740" s="169">
        <f t="shared" ca="1" si="101"/>
        <v>6.2835648146574385E-2</v>
      </c>
      <c r="AE740" s="169">
        <f t="shared" ca="1" si="111"/>
        <v>0.43363425925781485</v>
      </c>
      <c r="AF740" s="170">
        <f t="shared" ca="1" si="102"/>
        <v>1.1563580246875063</v>
      </c>
      <c r="AG740" s="170">
        <f t="shared" ca="1" si="103"/>
        <v>1.1563580246875063</v>
      </c>
      <c r="AH740" s="28" t="str" cm="1">
        <f t="array" aca="1" ref="AH740" ca="1">IF((AD740) &lt; (INDEX(ResponseSLA[#All],(MATCH((G740),ResponseSLA[Priority],0))+1,3)),"YES","No")</f>
        <v>YES</v>
      </c>
      <c r="AI740" s="28" t="str">
        <f ca="1">_xlfn.IFNA(IF(AE740 &lt; (INDEX(SLATable[Minimum SLA],MATCH(G740,SLATable[Priority],0))),"YES","NO"),"")</f>
        <v>YES</v>
      </c>
      <c r="AJ740" s="28" t="str">
        <f ca="1">_xlfn.IFNA(IF(AE740 &lt; (INDEX(SLATable[Maximum SLA],MATCH(G740,SLATable[Priority],0))),"YES","NO"),"")</f>
        <v>YES</v>
      </c>
    </row>
    <row r="741" spans="2:36" s="58" customFormat="1">
      <c r="B741" s="58" t="s">
        <v>26</v>
      </c>
      <c r="C741" s="58" t="s">
        <v>35</v>
      </c>
      <c r="D741" s="58" t="s">
        <v>207</v>
      </c>
      <c r="E741" s="313" t="s">
        <v>2453</v>
      </c>
      <c r="F741" s="58" t="s">
        <v>295</v>
      </c>
      <c r="G741" s="58">
        <v>4</v>
      </c>
      <c r="H741" s="313" t="s">
        <v>2454</v>
      </c>
      <c r="I741" s="58" t="s">
        <v>271</v>
      </c>
      <c r="J741" s="313" t="s">
        <v>1200</v>
      </c>
      <c r="K741" s="307">
        <v>46216.708912037036</v>
      </c>
      <c r="L741" s="314">
        <v>46216.709155092591</v>
      </c>
      <c r="M741" s="314">
        <v>46217.270752314813</v>
      </c>
      <c r="N741" s="314">
        <v>46225.750069444446</v>
      </c>
      <c r="O741" s="314">
        <v>46218.303020833337</v>
      </c>
      <c r="P741" s="314">
        <v>46225.750069444446</v>
      </c>
      <c r="Q741" s="313" t="s">
        <v>1113</v>
      </c>
      <c r="R741" s="58" t="s">
        <v>267</v>
      </c>
      <c r="S741" s="58" t="s">
        <v>190</v>
      </c>
      <c r="Z741" s="169">
        <f t="shared" ca="1" si="97"/>
        <v>0.37500000000000044</v>
      </c>
      <c r="AA741" s="170">
        <f t="shared" ca="1" si="98"/>
        <v>1.0000000000000011</v>
      </c>
      <c r="AB741" s="169">
        <f t="shared" ca="1" si="99"/>
        <v>0.37500000000000044</v>
      </c>
      <c r="AC741" s="170">
        <f t="shared" ca="1" si="100"/>
        <v>1.0000000000000011</v>
      </c>
      <c r="AD741" s="169">
        <f t="shared" ca="1" si="101"/>
        <v>0</v>
      </c>
      <c r="AE741" s="169">
        <f t="shared" ca="1" si="111"/>
        <v>0.37500000000000044</v>
      </c>
      <c r="AF741" s="170">
        <f t="shared" ca="1" si="102"/>
        <v>1.0000000000000011</v>
      </c>
      <c r="AG741" s="170">
        <f t="shared" ca="1" si="103"/>
        <v>1.0000000000000011</v>
      </c>
      <c r="AH741" s="28" t="str" cm="1">
        <f t="array" aca="1" ref="AH741" ca="1">IF((AD741) &lt; (INDEX(ResponseSLA[#All],(MATCH((G741),ResponseSLA[Priority],0))+1,3)),"YES","No")</f>
        <v>YES</v>
      </c>
      <c r="AI741" s="28" t="str">
        <f ca="1">_xlfn.IFNA(IF(AE741 &lt; (INDEX(SLATable[Minimum SLA],MATCH(G741,SLATable[Priority],0))),"YES","NO"),"")</f>
        <v>YES</v>
      </c>
      <c r="AJ741" s="28" t="str">
        <f ca="1">_xlfn.IFNA(IF(AE741 &lt; (INDEX(SLATable[Maximum SLA],MATCH(G741,SLATable[Priority],0))),"YES","NO"),"")</f>
        <v>YES</v>
      </c>
    </row>
    <row r="742" spans="2:36" s="58" customFormat="1">
      <c r="B742" s="58" t="s">
        <v>26</v>
      </c>
      <c r="C742" s="58" t="s">
        <v>35</v>
      </c>
      <c r="D742" s="58" t="s">
        <v>207</v>
      </c>
      <c r="E742" s="313" t="s">
        <v>2003</v>
      </c>
      <c r="F742" s="58" t="s">
        <v>295</v>
      </c>
      <c r="G742" s="58">
        <v>4</v>
      </c>
      <c r="H742" s="313" t="s">
        <v>2004</v>
      </c>
      <c r="I742" s="58" t="s">
        <v>271</v>
      </c>
      <c r="J742" s="313" t="s">
        <v>1200</v>
      </c>
      <c r="K742" s="314">
        <v>46196.654189814813</v>
      </c>
      <c r="L742" s="314">
        <v>46196.654189814813</v>
      </c>
      <c r="M742" s="314">
        <v>46197.2893287037</v>
      </c>
      <c r="N742" s="314">
        <v>46225.51059027778</v>
      </c>
      <c r="O742" s="314">
        <v>46203.429409722223</v>
      </c>
      <c r="P742" s="314">
        <v>46210.455034722225</v>
      </c>
      <c r="Q742" s="313" t="s">
        <v>1211</v>
      </c>
      <c r="R742" s="58" t="s">
        <v>267</v>
      </c>
      <c r="S742" s="58" t="s">
        <v>199</v>
      </c>
      <c r="Z742" s="169">
        <f t="shared" ca="1" si="97"/>
        <v>5.830775462964084</v>
      </c>
      <c r="AA742" s="170">
        <f t="shared" ca="1" si="98"/>
        <v>15.548734567904225</v>
      </c>
      <c r="AB742" s="169">
        <f t="shared" ca="1" si="99"/>
        <v>5.830775462964084</v>
      </c>
      <c r="AC742" s="170">
        <f t="shared" ca="1" si="100"/>
        <v>15.548734567904225</v>
      </c>
      <c r="AD742" s="169">
        <f t="shared" ca="1" si="101"/>
        <v>5.4143518519898293E-2</v>
      </c>
      <c r="AE742" s="169">
        <f t="shared" ca="1" si="111"/>
        <v>7.4807523148192558</v>
      </c>
      <c r="AF742" s="170">
        <f t="shared" ca="1" si="102"/>
        <v>19.948672839518014</v>
      </c>
      <c r="AG742" s="170">
        <f t="shared" ca="1" si="103"/>
        <v>19.948672839518014</v>
      </c>
      <c r="AH742" s="28" t="str" cm="1">
        <f t="array" aca="1" ref="AH742" ca="1">IF((AD742) &lt; (INDEX(ResponseSLA[#All],(MATCH((G742),ResponseSLA[Priority],0))+1,3)),"YES","No")</f>
        <v>YES</v>
      </c>
      <c r="AI742" s="28" t="str">
        <f ca="1">_xlfn.IFNA(IF(AE742 &lt; (INDEX(SLATable[Minimum SLA],MATCH(G742,SLATable[Priority],0))),"YES","NO"),"")</f>
        <v>NO</v>
      </c>
      <c r="AJ742" s="28" t="str">
        <f ca="1">_xlfn.IFNA(IF(AE742 &lt; (INDEX(SLATable[Maximum SLA],MATCH(G742,SLATable[Priority],0))),"YES","NO"),"")</f>
        <v>NO</v>
      </c>
    </row>
    <row r="743" spans="2:36" s="58" customFormat="1">
      <c r="B743" s="58" t="s">
        <v>26</v>
      </c>
      <c r="C743" s="58" t="s">
        <v>35</v>
      </c>
      <c r="D743" s="58" t="s">
        <v>207</v>
      </c>
      <c r="E743" s="313" t="s">
        <v>2455</v>
      </c>
      <c r="F743" s="58" t="s">
        <v>295</v>
      </c>
      <c r="G743" s="58">
        <v>3</v>
      </c>
      <c r="H743" s="313" t="s">
        <v>2342</v>
      </c>
      <c r="I743" s="58" t="s">
        <v>271</v>
      </c>
      <c r="J743" s="313" t="s">
        <v>1200</v>
      </c>
      <c r="K743" s="307">
        <v>46225.107291666667</v>
      </c>
      <c r="L743" s="314">
        <v>46225.107488425929</v>
      </c>
      <c r="M743" s="314">
        <v>46225.285891203705</v>
      </c>
      <c r="N743" s="314">
        <v>46225.313831018517</v>
      </c>
      <c r="O743" s="313"/>
      <c r="P743" s="313"/>
      <c r="Q743" s="313" t="s">
        <v>1211</v>
      </c>
      <c r="R743" s="58" t="s">
        <v>267</v>
      </c>
      <c r="S743" s="58" t="s">
        <v>149</v>
      </c>
      <c r="Z743" s="169">
        <f t="shared" ca="1" si="97"/>
        <v>0</v>
      </c>
      <c r="AA743" s="170">
        <f t="shared" ca="1" si="98"/>
        <v>0</v>
      </c>
      <c r="AB743" s="169">
        <f t="shared" ca="1" si="99"/>
        <v>0</v>
      </c>
      <c r="AC743" s="170">
        <f t="shared" ca="1" si="100"/>
        <v>0</v>
      </c>
      <c r="AD743" s="169">
        <f t="shared" ca="1" si="101"/>
        <v>0</v>
      </c>
      <c r="AE743" s="169">
        <f t="shared" ca="1" si="111"/>
        <v>0</v>
      </c>
      <c r="AF743" s="170">
        <f t="shared" ca="1" si="102"/>
        <v>0</v>
      </c>
      <c r="AG743" s="170">
        <f t="shared" ca="1" si="103"/>
        <v>0</v>
      </c>
      <c r="AH743" s="28" t="str" cm="1">
        <f t="array" aca="1" ref="AH743" ca="1">IF((AD743) &lt; (INDEX(ResponseSLA[#All],(MATCH((G743),ResponseSLA[Priority],0))+1,3)),"YES","No")</f>
        <v>YES</v>
      </c>
      <c r="AI743" s="28" t="str">
        <f ca="1">_xlfn.IFNA(IF(AE743 &lt; (INDEX(SLATable[Minimum SLA],MATCH(G743,SLATable[Priority],0))),"YES","NO"),"")</f>
        <v>YES</v>
      </c>
      <c r="AJ743" s="28" t="str">
        <f ca="1">_xlfn.IFNA(IF(AE743 &lt; (INDEX(SLATable[Maximum SLA],MATCH(G743,SLATable[Priority],0))),"YES","NO"),"")</f>
        <v>YES</v>
      </c>
    </row>
    <row r="744" spans="2:36" s="58" customFormat="1">
      <c r="B744" s="58" t="s">
        <v>26</v>
      </c>
      <c r="C744" s="58" t="s">
        <v>35</v>
      </c>
      <c r="D744" s="58" t="s">
        <v>207</v>
      </c>
      <c r="E744" s="313" t="s">
        <v>2456</v>
      </c>
      <c r="F744" s="58" t="s">
        <v>292</v>
      </c>
      <c r="G744" s="58">
        <v>4</v>
      </c>
      <c r="H744" s="313" t="s">
        <v>2457</v>
      </c>
      <c r="I744" s="58" t="s">
        <v>271</v>
      </c>
      <c r="J744" s="313" t="s">
        <v>1200</v>
      </c>
      <c r="K744" s="307">
        <v>46219.722025462965</v>
      </c>
      <c r="L744" s="314">
        <v>46224.610393518517</v>
      </c>
      <c r="M744" s="314">
        <v>46224.633125</v>
      </c>
      <c r="N744" s="314">
        <v>46225.279444444444</v>
      </c>
      <c r="O744" s="314">
        <v>46224.634131944447</v>
      </c>
      <c r="P744" s="314">
        <v>46224.773541666669</v>
      </c>
      <c r="Q744" s="313" t="s">
        <v>1073</v>
      </c>
      <c r="R744" s="58" t="s">
        <v>267</v>
      </c>
      <c r="S744" s="58" t="s">
        <v>190</v>
      </c>
      <c r="Z744" s="169">
        <f t="shared" ca="1" si="97"/>
        <v>1.0507986111139567</v>
      </c>
      <c r="AA744" s="170">
        <f t="shared" ca="1" si="98"/>
        <v>2.8021296296372178</v>
      </c>
      <c r="AB744" s="169">
        <f t="shared" ca="1" si="99"/>
        <v>2.3738425930787344E-2</v>
      </c>
      <c r="AC744" s="170">
        <f t="shared" ca="1" si="100"/>
        <v>6.3302469148766249E-2</v>
      </c>
      <c r="AD744" s="169">
        <f t="shared" ca="1" si="101"/>
        <v>2.273148148378823E-2</v>
      </c>
      <c r="AE744" s="169">
        <f t="shared" ca="1" si="111"/>
        <v>2.3738425930787344E-2</v>
      </c>
      <c r="AF744" s="170">
        <f t="shared" ca="1" si="102"/>
        <v>6.3302469148766249E-2</v>
      </c>
      <c r="AG744" s="170">
        <f t="shared" ca="1" si="103"/>
        <v>6.3302469148766249E-2</v>
      </c>
      <c r="AH744" s="28" t="str" cm="1">
        <f t="array" aca="1" ref="AH744" ca="1">IF((AD744) &lt; (INDEX(ResponseSLA[#All],(MATCH((G744),ResponseSLA[Priority],0))+1,3)),"YES","No")</f>
        <v>YES</v>
      </c>
      <c r="AI744" s="28" t="str">
        <f ca="1">_xlfn.IFNA(IF(AE744 &lt; (INDEX(SLATable[Minimum SLA],MATCH(G744,SLATable[Priority],0))),"YES","NO"),"")</f>
        <v>YES</v>
      </c>
      <c r="AJ744" s="28" t="str">
        <f ca="1">_xlfn.IFNA(IF(AE744 &lt; (INDEX(SLATable[Maximum SLA],MATCH(G744,SLATable[Priority],0))),"YES","NO"),"")</f>
        <v>YES</v>
      </c>
    </row>
    <row r="745" spans="2:36" s="58" customFormat="1">
      <c r="B745" s="58" t="s">
        <v>26</v>
      </c>
      <c r="C745" s="58" t="s">
        <v>35</v>
      </c>
      <c r="D745" s="58" t="s">
        <v>207</v>
      </c>
      <c r="E745" s="313" t="s">
        <v>2458</v>
      </c>
      <c r="F745" s="58" t="s">
        <v>292</v>
      </c>
      <c r="G745" s="58">
        <v>4</v>
      </c>
      <c r="H745" s="313" t="s">
        <v>2459</v>
      </c>
      <c r="I745" s="58" t="s">
        <v>271</v>
      </c>
      <c r="J745" s="313" t="s">
        <v>1200</v>
      </c>
      <c r="K745" s="307">
        <v>46224.102800925924</v>
      </c>
      <c r="L745" s="314">
        <v>46224.150567129633</v>
      </c>
      <c r="M745" s="314">
        <v>46224.635081018518</v>
      </c>
      <c r="N745" s="314">
        <v>46224.638020833336</v>
      </c>
      <c r="O745" s="313"/>
      <c r="P745" s="313"/>
      <c r="Q745" s="313" t="s">
        <v>1073</v>
      </c>
      <c r="R745" s="58" t="s">
        <v>267</v>
      </c>
      <c r="S745" s="58" t="s">
        <v>149</v>
      </c>
      <c r="Z745" s="169">
        <f t="shared" ca="1" si="97"/>
        <v>0.30468750000242534</v>
      </c>
      <c r="AA745" s="170">
        <f t="shared" ca="1" si="98"/>
        <v>0.81250000000646749</v>
      </c>
      <c r="AB745" s="169">
        <f t="shared" ca="1" si="99"/>
        <v>0.30468750000242534</v>
      </c>
      <c r="AC745" s="170">
        <f t="shared" ca="1" si="100"/>
        <v>0.81250000000646749</v>
      </c>
      <c r="AD745" s="169">
        <f t="shared" ca="1" si="101"/>
        <v>0.30174768518433365</v>
      </c>
      <c r="AE745" s="169">
        <f t="shared" ca="1" si="111"/>
        <v>0.30468750000242534</v>
      </c>
      <c r="AF745" s="170">
        <f t="shared" ca="1" si="102"/>
        <v>0.81250000000646749</v>
      </c>
      <c r="AG745" s="170">
        <f t="shared" ca="1" si="103"/>
        <v>0.81250000000646749</v>
      </c>
      <c r="AH745" s="28" t="str" cm="1">
        <f t="array" aca="1" ref="AH745" ca="1">IF((AD745) &lt; (INDEX(ResponseSLA[#All],(MATCH((G745),ResponseSLA[Priority],0))+1,3)),"YES","No")</f>
        <v>No</v>
      </c>
      <c r="AI745" s="28" t="str">
        <f ca="1">_xlfn.IFNA(IF(AE745 &lt; (INDEX(SLATable[Minimum SLA],MATCH(G745,SLATable[Priority],0))),"YES","NO"),"")</f>
        <v>YES</v>
      </c>
      <c r="AJ745" s="28" t="str">
        <f ca="1">_xlfn.IFNA(IF(AE745 &lt; (INDEX(SLATable[Maximum SLA],MATCH(G745,SLATable[Priority],0))),"YES","NO"),"")</f>
        <v>YES</v>
      </c>
    </row>
    <row r="746" spans="2:36" s="58" customFormat="1">
      <c r="B746" s="58" t="s">
        <v>26</v>
      </c>
      <c r="C746" s="58" t="s">
        <v>35</v>
      </c>
      <c r="D746" s="58" t="s">
        <v>207</v>
      </c>
      <c r="E746" s="313" t="s">
        <v>2460</v>
      </c>
      <c r="F746" s="58" t="s">
        <v>295</v>
      </c>
      <c r="G746" s="58">
        <v>3</v>
      </c>
      <c r="H746" s="313" t="s">
        <v>2342</v>
      </c>
      <c r="I746" s="58" t="s">
        <v>271</v>
      </c>
      <c r="J746" s="313" t="s">
        <v>1200</v>
      </c>
      <c r="K746" s="307">
        <v>46224.112893518519</v>
      </c>
      <c r="L746" s="314">
        <v>46224.113344907404</v>
      </c>
      <c r="M746" s="314">
        <v>46224.286516203705</v>
      </c>
      <c r="N746" s="314">
        <v>46224.397118055553</v>
      </c>
      <c r="O746" s="313"/>
      <c r="P746" s="313"/>
      <c r="Q746" s="313" t="s">
        <v>1211</v>
      </c>
      <c r="R746" s="58" t="s">
        <v>267</v>
      </c>
      <c r="S746" s="58" t="s">
        <v>149</v>
      </c>
      <c r="Z746" s="169">
        <f t="shared" ca="1" si="97"/>
        <v>6.3784722219376533E-2</v>
      </c>
      <c r="AA746" s="170">
        <f t="shared" ca="1" si="98"/>
        <v>0.17009259258500409</v>
      </c>
      <c r="AB746" s="169">
        <f t="shared" ca="1" si="99"/>
        <v>6.3784722219376533E-2</v>
      </c>
      <c r="AC746" s="170">
        <f t="shared" ca="1" si="100"/>
        <v>0.17009259258500409</v>
      </c>
      <c r="AD746" s="169">
        <f t="shared" ca="1" si="101"/>
        <v>0</v>
      </c>
      <c r="AE746" s="169">
        <f t="shared" ca="1" si="111"/>
        <v>6.3784722219376533E-2</v>
      </c>
      <c r="AF746" s="170">
        <f t="shared" ca="1" si="102"/>
        <v>0.17009259258500409</v>
      </c>
      <c r="AG746" s="170">
        <f t="shared" ca="1" si="103"/>
        <v>0.17009259258500409</v>
      </c>
      <c r="AH746" s="28" t="str" cm="1">
        <f t="array" aca="1" ref="AH746" ca="1">IF((AD746) &lt; (INDEX(ResponseSLA[#All],(MATCH((G746),ResponseSLA[Priority],0))+1,3)),"YES","No")</f>
        <v>YES</v>
      </c>
      <c r="AI746" s="28" t="str">
        <f ca="1">_xlfn.IFNA(IF(AE746 &lt; (INDEX(SLATable[Minimum SLA],MATCH(G746,SLATable[Priority],0))),"YES","NO"),"")</f>
        <v>YES</v>
      </c>
      <c r="AJ746" s="28" t="str">
        <f ca="1">_xlfn.IFNA(IF(AE746 &lt; (INDEX(SLATable[Maximum SLA],MATCH(G746,SLATable[Priority],0))),"YES","NO"),"")</f>
        <v>YES</v>
      </c>
    </row>
    <row r="747" spans="2:36" s="58" customFormat="1">
      <c r="B747" s="58" t="s">
        <v>26</v>
      </c>
      <c r="C747" s="58" t="s">
        <v>35</v>
      </c>
      <c r="D747" s="58" t="s">
        <v>207</v>
      </c>
      <c r="E747" s="313" t="s">
        <v>2461</v>
      </c>
      <c r="F747" s="58" t="s">
        <v>289</v>
      </c>
      <c r="G747" s="58">
        <v>4</v>
      </c>
      <c r="H747" s="313" t="s">
        <v>2462</v>
      </c>
      <c r="I747" s="58" t="s">
        <v>271</v>
      </c>
      <c r="J747" s="313" t="s">
        <v>1200</v>
      </c>
      <c r="K747" s="307">
        <v>46217.565358796295</v>
      </c>
      <c r="L747" s="314">
        <v>46217.566122685188</v>
      </c>
      <c r="M747" s="314">
        <v>46218.283333333333</v>
      </c>
      <c r="N747" s="314">
        <v>46224.292986111112</v>
      </c>
      <c r="O747" s="313"/>
      <c r="P747" s="313"/>
      <c r="Q747" s="313" t="s">
        <v>1062</v>
      </c>
      <c r="R747" s="58" t="s">
        <v>267</v>
      </c>
      <c r="S747" s="58" t="s">
        <v>199</v>
      </c>
      <c r="Z747" s="169">
        <f t="shared" ca="1" si="97"/>
        <v>1.6429745370381474</v>
      </c>
      <c r="AA747" s="170">
        <f t="shared" ca="1" si="98"/>
        <v>4.3812654321017259</v>
      </c>
      <c r="AB747" s="169">
        <f t="shared" ca="1" si="99"/>
        <v>1.6422106481453134</v>
      </c>
      <c r="AC747" s="170">
        <f t="shared" ca="1" si="100"/>
        <v>4.3792283950541684</v>
      </c>
      <c r="AD747" s="169">
        <f t="shared" ca="1" si="101"/>
        <v>0.14221064814531326</v>
      </c>
      <c r="AE747" s="169">
        <f t="shared" ca="1" si="111"/>
        <v>1.6422106481453134</v>
      </c>
      <c r="AF747" s="170">
        <f t="shared" ca="1" si="102"/>
        <v>4.3792283950541684</v>
      </c>
      <c r="AG747" s="170">
        <f t="shared" ca="1" si="103"/>
        <v>4.3792283950541684</v>
      </c>
      <c r="AH747" s="28" t="str" cm="1">
        <f t="array" aca="1" ref="AH747" ca="1">IF((AD747) &lt; (INDEX(ResponseSLA[#All],(MATCH((G747),ResponseSLA[Priority],0))+1,3)),"YES","No")</f>
        <v>No</v>
      </c>
      <c r="AI747" s="28" t="str">
        <f ca="1">_xlfn.IFNA(IF(AE747 &lt; (INDEX(SLATable[Minimum SLA],MATCH(G747,SLATable[Priority],0))),"YES","NO"),"")</f>
        <v>YES</v>
      </c>
      <c r="AJ747" s="28" t="str">
        <f ca="1">_xlfn.IFNA(IF(AE747 &lt; (INDEX(SLATable[Maximum SLA],MATCH(G747,SLATable[Priority],0))),"YES","NO"),"")</f>
        <v>YES</v>
      </c>
    </row>
    <row r="748" spans="2:36" s="58" customFormat="1">
      <c r="B748" s="58" t="s">
        <v>26</v>
      </c>
      <c r="C748" s="58" t="s">
        <v>35</v>
      </c>
      <c r="D748" s="58" t="s">
        <v>207</v>
      </c>
      <c r="E748" s="313" t="s">
        <v>2463</v>
      </c>
      <c r="F748" s="58" t="s">
        <v>295</v>
      </c>
      <c r="G748" s="58">
        <v>3</v>
      </c>
      <c r="H748" s="313" t="s">
        <v>2464</v>
      </c>
      <c r="I748" s="58" t="s">
        <v>271</v>
      </c>
      <c r="J748" s="313" t="s">
        <v>1200</v>
      </c>
      <c r="K748" s="307">
        <v>46222.387141203704</v>
      </c>
      <c r="L748" s="314">
        <v>46222.392384259256</v>
      </c>
      <c r="M748" s="314">
        <v>46223.324930555558</v>
      </c>
      <c r="N748" s="314">
        <v>46223.580787037034</v>
      </c>
      <c r="O748" s="313"/>
      <c r="P748" s="313"/>
      <c r="Q748" s="313" t="s">
        <v>1073</v>
      </c>
      <c r="R748" s="58" t="s">
        <v>267</v>
      </c>
      <c r="S748" s="58" t="s">
        <v>149</v>
      </c>
      <c r="Z748" s="169">
        <f t="shared" ref="Z748:Z754" ca="1" si="119">IF(NOT(OR(G748=1,G748=2)),MAX(0,_xlfn.IFS(AND(K748&lt;&gt;"",N748&lt;&gt;""),((MAX(NETWORKDAYS(K748,N748,UKBankHolidays)-1,0))*(TIME(17,0,0)-TIME(8,0,0))+IF(NETWORKDAYS(N748,N748,UKBankHolidays)&gt;0,MEDIAN(TIME(8,0,0),MOD(N748,1),TIME(17,0,0)),TIME(8,0,0))-IF(NETWORKDAYS(K748,K748,UKBankHolidays)&gt;0,MEDIAN(TIME(8,0,0),MOD(K748,1),TIME(17,0,0)),TIME(8,0,0)))-IF(AND(O748&lt;&gt;"",P748&lt;&gt;""),((MAX(NETWORKDAYS(O748,P748,UKBankHolidays)-1,0))*(TIME(17,0,0)-TIME(8,0,0))+IF(NETWORKDAYS(P748,P748,UKBankHolidays)&gt;0,MEDIAN(TIME(8,0,0),MOD(P748,1),TIME(17,0,0)),TIME(8,0,0))-IF(NETWORKDAYS(O748,O748,UKBankHolidays)&gt;0,MEDIAN(TIME(8,0,0),MOD(O748,1),TIME(17,0,0)),TIME(8,0,0))),0),AND(K748&lt;&gt;"",N748=""),((MAX(NETWORKDAYS(K748,NOW(),UKBankHolidays)-1,0))*(TIME(17,0,0)-TIME(8,0,0))+IF(NETWORKDAYS(NOW(),NOW(),UKBankHolidays)&gt;0,MEDIAN(TIME(8,0,0),MOD(NOW(),1),TIME(17,0,0)),TIME(8,0,0))-IF(NETWORKDAYS(K748,K748,UKBankHolidays)&gt;0,MEDIAN(TIME(8,0,0),MOD(K748,1),TIME(17,0,0)),TIME(8,0,0))))),IF(N748="",NOW()-K748,N748-K748))</f>
        <v>0.24745370370025438</v>
      </c>
      <c r="AA748" s="170">
        <f t="shared" ref="AA748:AA754" ca="1" si="120">(Z748*24)/9</f>
        <v>0.65987654320067834</v>
      </c>
      <c r="AB748" s="169">
        <f t="shared" ref="AB748:AB754" ca="1" si="121">IF(NOT(OR(G748=1,G748=2)),MAX(0,_xlfn.IFS(AND(K748&lt;&gt;"",N748&lt;&gt;""),(((MAX(NETWORKDAYS(L748,N748,UKBankHolidays)-1,0))*(TIME(17,0,0)-TIME(8,0,0)))+IF(NETWORKDAYS(N748,N748,UKBankHolidays)&gt;0,MEDIAN(TIME(8,0,0),MOD(N748,1),TIME(17,0,0)),TIME(8,0,0))-IF(NETWORKDAYS(L748,L748,UKBankHolidays)&gt;0,MEDIAN(TIME(8,0,0),MOD(L748,1),TIME(17,0,0)),TIME(8,0,0)))-IF(AND(O748&lt;&gt;"",P748&lt;&gt;""),(((MAX(NETWORKDAYS(O748,P748,UKBankHolidays)-1,0))*(TIME(17,0,0)-TIME(8,0,0)))+IF(NETWORKDAYS(P748,P748,UKBankHolidays)&gt;0,MEDIAN(TIME(8,0,0),MOD(P748,1),TIME(17,0,0)),TIME(8,0,0))-IF(NETWORKDAYS(O748,O748,UKBankHolidays)&gt;0,MEDIAN(TIME(8,0,0),MOD(O748,1),TIME(17,0,0)),TIME(8,0,0))),0),AND(L748&lt;&gt;"",N748="",O748=""),(((MAX(NETWORKDAYS(L748,NOW(),UKBankHolidays)-1,0))*(TIME(17,0,0)-TIME(8,0,0)))+IF(NETWORKDAYS(NOW(),NOW(),UKBankHolidays)&gt;0,MEDIAN(TIME(8,0,0),MOD(NOW(),1),TIME(17,0,0)),TIME(8,0,0))-IF(NETWORKDAYS(L748,L748,UKBankHolidays)&gt;0,MEDIAN(TIME(8,0,0),MOD(L748,1),TIME(17,0,0)),TIME(8,0,0)))-IF(AND(O748&lt;&gt;"",P748&lt;&gt;""),(((MAX(NETWORKDAYS(O748,P748,UKBankHolidays)-1,0))*(TIME(17,0,0)-TIME(8,0,0)))+IF(NETWORKDAYS(P748,P748,UKBankHolidays)&gt;0,MEDIAN(TIME(8,0,0),MOD(P748,1),TIME(17,0,0)),TIME(8,0,0))-IF(NETWORKDAYS(O748,O748,UKBankHolidays)&gt;0,MEDIAN(TIME(8,0,0),MOD(O748,1),TIME(17,0,0)),TIME(8,0,0))),0),AND(L748&lt;&gt;"",N748="",P748="",O748&lt;&gt;""),(((MAX(NETWORKDAYS(L748,O748,UKBankHolidays)-1,0))*(TIME(17,0,0)-TIME(8,0,0)))+IF(NETWORKDAYS(O748,O748,UKBankHolidays)&gt;0,MEDIAN(TIME(8,0,0),MOD(O748,1),TIME(17,0,0)),TIME(8,0,0))-IF(NETWORKDAYS(L748,L748,UKBankHolidays)&gt;0,MEDIAN(TIME(8,0,0),MOD(L748,1),TIME(17,0,0)),TIME(8,0,0))),ISBLANK(K748),"0")),IF(ISBLANK(N748),NOW()-L748,N748-L748))</f>
        <v>0.24745370370025438</v>
      </c>
      <c r="AC748" s="170">
        <f t="shared" ref="AC748:AC754" ca="1" si="122">(AB748*24)/9</f>
        <v>0.65987654320067834</v>
      </c>
      <c r="AD748" s="169">
        <f t="shared" ref="AD748:AD754" ca="1" si="123">MAX(0,IF(NOT(OR(G748=1,G748=2)),IF(M748&lt;&gt;"",((MAX(NETWORKDAYS(L748,M748,UKBankHolidays)-1,0))*(TIME(17,0,0)-TIME(8,0,0))+IF(NETWORKDAYS(M748,M748,UKBankHolidays)&gt;0,MEDIAN(TIME(8,0,0),MOD(M748,1),TIME(17,0,0)),TIME(8,0,0))-MEDIAN(TIME(8,0,0),MOD(L748,1),TIME(17,0,0))),((MAX(NETWORKDAYS(L748,NOW(),UKBankHolidays)-1,0))*(TIME(17,0,0)-TIME(8,0,0))+IF(NETWORKDAYS(NOW(),NOW(),UKBankHolidays)&gt;0,MEDIAN(TIME(8,0,0),MOD(NOW(),1),TIME(17,0,0)),TIME(8,0,0))-MEDIAN(TIME(8,0,0),MOD(L748,1),TIME(17,0,0)))),IF(M748&lt;&gt;"",M748-L748,NOW()-L748)))</f>
        <v>0</v>
      </c>
      <c r="AE748" s="169">
        <f t="shared" ca="1" si="111"/>
        <v>0.24745370370025438</v>
      </c>
      <c r="AF748" s="170">
        <f t="shared" ref="AF748:AF754" ca="1" si="124">(AE748*24)/9</f>
        <v>0.65987654320067834</v>
      </c>
      <c r="AG748" s="170">
        <f t="shared" ref="AG748:AG754" ca="1" si="125">AF748</f>
        <v>0.65987654320067834</v>
      </c>
      <c r="AH748" s="28" t="str" cm="1">
        <f t="array" aca="1" ref="AH748" ca="1">IF((AD748) &lt; (INDEX(ResponseSLA[#All],(MATCH((G748),ResponseSLA[Priority],0))+1,3)),"YES","No")</f>
        <v>YES</v>
      </c>
      <c r="AI748" s="28" t="str">
        <f ca="1">_xlfn.IFNA(IF(AE748 &lt; (INDEX(SLATable[Minimum SLA],MATCH(G748,SLATable[Priority],0))),"YES","NO"),"")</f>
        <v>YES</v>
      </c>
      <c r="AJ748" s="28"/>
    </row>
    <row r="749" spans="2:36" s="58" customFormat="1">
      <c r="B749" s="58" t="s">
        <v>26</v>
      </c>
      <c r="C749" s="58" t="s">
        <v>35</v>
      </c>
      <c r="D749" s="58" t="s">
        <v>207</v>
      </c>
      <c r="E749" s="313" t="s">
        <v>823</v>
      </c>
      <c r="F749" s="58" t="s">
        <v>295</v>
      </c>
      <c r="G749" s="58">
        <v>3</v>
      </c>
      <c r="H749" s="313" t="s">
        <v>693</v>
      </c>
      <c r="I749" s="58" t="s">
        <v>271</v>
      </c>
      <c r="J749" s="313" t="s">
        <v>1200</v>
      </c>
      <c r="K749" s="307">
        <v>46221.092650462961</v>
      </c>
      <c r="L749" s="314">
        <v>46221.106168981481</v>
      </c>
      <c r="M749" s="314">
        <v>46223.327210648145</v>
      </c>
      <c r="N749" s="314">
        <v>46223.572997685187</v>
      </c>
      <c r="O749" s="313"/>
      <c r="P749" s="313"/>
      <c r="Q749" s="313" t="s">
        <v>695</v>
      </c>
      <c r="R749" s="58" t="s">
        <v>267</v>
      </c>
      <c r="S749" s="58" t="s">
        <v>193</v>
      </c>
      <c r="Z749" s="169">
        <f t="shared" ca="1" si="119"/>
        <v>0.23966435185381368</v>
      </c>
      <c r="AA749" s="170">
        <f t="shared" ca="1" si="120"/>
        <v>0.63910493827683645</v>
      </c>
      <c r="AB749" s="169">
        <f t="shared" ca="1" si="121"/>
        <v>0.23966435185381368</v>
      </c>
      <c r="AC749" s="170">
        <f t="shared" ca="1" si="122"/>
        <v>0.63910493827683645</v>
      </c>
      <c r="AD749" s="169">
        <f t="shared" ca="1" si="123"/>
        <v>0</v>
      </c>
      <c r="AE749" s="169">
        <f t="shared" ca="1" si="111"/>
        <v>0.23966435185381368</v>
      </c>
      <c r="AF749" s="170">
        <f t="shared" ca="1" si="124"/>
        <v>0.63910493827683645</v>
      </c>
      <c r="AG749" s="170">
        <f t="shared" ca="1" si="125"/>
        <v>0.63910493827683645</v>
      </c>
      <c r="AH749" s="28" t="str" cm="1">
        <f t="array" aca="1" ref="AH749" ca="1">IF((AD749) &lt; (INDEX(ResponseSLA[#All],(MATCH((G749),ResponseSLA[Priority],0))+1,3)),"YES","No")</f>
        <v>YES</v>
      </c>
      <c r="AI749" s="28" t="str">
        <f ca="1">_xlfn.IFNA(IF(AE749 &lt; (INDEX(SLATable[Minimum SLA],MATCH(G749,SLATable[Priority],0))),"YES","NO"),"")</f>
        <v>YES</v>
      </c>
      <c r="AJ749" s="28"/>
    </row>
    <row r="750" spans="2:36" s="58" customFormat="1">
      <c r="B750" s="58" t="s">
        <v>26</v>
      </c>
      <c r="C750" s="58" t="s">
        <v>35</v>
      </c>
      <c r="D750" s="58" t="s">
        <v>207</v>
      </c>
      <c r="E750" s="313" t="s">
        <v>824</v>
      </c>
      <c r="F750" s="58" t="s">
        <v>295</v>
      </c>
      <c r="G750" s="58">
        <v>3</v>
      </c>
      <c r="H750" s="313" t="s">
        <v>825</v>
      </c>
      <c r="I750" s="58" t="s">
        <v>271</v>
      </c>
      <c r="J750" s="313" t="s">
        <v>1200</v>
      </c>
      <c r="K750" s="307">
        <v>46221.118541666663</v>
      </c>
      <c r="L750" s="314">
        <v>46221.118541666663</v>
      </c>
      <c r="M750" s="314">
        <v>46223.311840277776</v>
      </c>
      <c r="N750" s="314">
        <v>46223.570150462961</v>
      </c>
      <c r="O750" s="313"/>
      <c r="P750" s="313"/>
      <c r="Q750" s="313" t="s">
        <v>695</v>
      </c>
      <c r="R750" s="58" t="s">
        <v>267</v>
      </c>
      <c r="S750" s="58" t="s">
        <v>193</v>
      </c>
      <c r="Z750" s="169">
        <f t="shared" ca="1" si="119"/>
        <v>0.23681712962813134</v>
      </c>
      <c r="AA750" s="170">
        <f t="shared" ca="1" si="120"/>
        <v>0.63151234567501691</v>
      </c>
      <c r="AB750" s="169">
        <f t="shared" ca="1" si="121"/>
        <v>0.23681712962813134</v>
      </c>
      <c r="AC750" s="170">
        <f t="shared" ca="1" si="122"/>
        <v>0.63151234567501691</v>
      </c>
      <c r="AD750" s="169">
        <f t="shared" ca="1" si="123"/>
        <v>0</v>
      </c>
      <c r="AE750" s="169">
        <f t="shared" ca="1" si="111"/>
        <v>0.23681712962813134</v>
      </c>
      <c r="AF750" s="170">
        <f t="shared" ca="1" si="124"/>
        <v>0.63151234567501691</v>
      </c>
      <c r="AG750" s="170">
        <f t="shared" ca="1" si="125"/>
        <v>0.63151234567501691</v>
      </c>
      <c r="AH750" s="28" t="str" cm="1">
        <f t="array" aca="1" ref="AH750" ca="1">IF((AD750) &lt; (INDEX(ResponseSLA[#All],(MATCH((G750),ResponseSLA[Priority],0))+1,3)),"YES","No")</f>
        <v>YES</v>
      </c>
      <c r="AI750" s="28" t="str">
        <f ca="1">_xlfn.IFNA(IF(AE750 &lt; (INDEX(SLATable[Minimum SLA],MATCH(G750,SLATable[Priority],0))),"YES","NO"),"")</f>
        <v>YES</v>
      </c>
      <c r="AJ750" s="28"/>
    </row>
    <row r="751" spans="2:36" s="58" customFormat="1">
      <c r="B751" s="58" t="s">
        <v>26</v>
      </c>
      <c r="C751" s="58" t="s">
        <v>35</v>
      </c>
      <c r="D751" s="58" t="s">
        <v>207</v>
      </c>
      <c r="E751" s="313" t="s">
        <v>2465</v>
      </c>
      <c r="F751" s="58" t="s">
        <v>295</v>
      </c>
      <c r="G751" s="58">
        <v>3</v>
      </c>
      <c r="H751" s="313" t="s">
        <v>2342</v>
      </c>
      <c r="I751" s="58" t="s">
        <v>271</v>
      </c>
      <c r="J751" s="313" t="s">
        <v>1200</v>
      </c>
      <c r="K751" s="307">
        <v>46221.069085648145</v>
      </c>
      <c r="L751" s="314">
        <v>46221.069085648145</v>
      </c>
      <c r="M751" s="314">
        <v>46223.279560185183</v>
      </c>
      <c r="N751" s="314">
        <v>46223.45957175926</v>
      </c>
      <c r="O751" s="313"/>
      <c r="P751" s="313"/>
      <c r="Q751" s="313" t="s">
        <v>1211</v>
      </c>
      <c r="R751" s="58" t="s">
        <v>267</v>
      </c>
      <c r="S751" s="58" t="s">
        <v>149</v>
      </c>
      <c r="Z751" s="169">
        <f t="shared" ca="1" si="119"/>
        <v>0.12623842592680984</v>
      </c>
      <c r="AA751" s="170">
        <f t="shared" ca="1" si="120"/>
        <v>0.33663580247149288</v>
      </c>
      <c r="AB751" s="169">
        <f t="shared" ca="1" si="121"/>
        <v>0.12623842592680984</v>
      </c>
      <c r="AC751" s="170">
        <f t="shared" ca="1" si="122"/>
        <v>0.33663580247149288</v>
      </c>
      <c r="AD751" s="169">
        <f t="shared" ca="1" si="123"/>
        <v>0</v>
      </c>
      <c r="AE751" s="169">
        <f t="shared" ca="1" si="111"/>
        <v>0.12623842592680984</v>
      </c>
      <c r="AF751" s="170">
        <f t="shared" ca="1" si="124"/>
        <v>0.33663580247149288</v>
      </c>
      <c r="AG751" s="170">
        <f t="shared" ca="1" si="125"/>
        <v>0.33663580247149288</v>
      </c>
      <c r="AH751" s="28" t="str" cm="1">
        <f t="array" aca="1" ref="AH751" ca="1">IF((AD751) &lt; (INDEX(ResponseSLA[#All],(MATCH((G751),ResponseSLA[Priority],0))+1,3)),"YES","No")</f>
        <v>YES</v>
      </c>
      <c r="AI751" s="28" t="str">
        <f ca="1">_xlfn.IFNA(IF(AE751 &lt; (INDEX(SLATable[Minimum SLA],MATCH(G751,SLATable[Priority],0))),"YES","NO"),"")</f>
        <v>YES</v>
      </c>
      <c r="AJ751" s="28"/>
    </row>
    <row r="752" spans="2:36" s="58" customFormat="1">
      <c r="B752" s="58" t="s">
        <v>26</v>
      </c>
      <c r="C752" s="58" t="s">
        <v>35</v>
      </c>
      <c r="D752" s="58" t="s">
        <v>207</v>
      </c>
      <c r="E752" s="313" t="s">
        <v>2466</v>
      </c>
      <c r="F752" s="58" t="s">
        <v>295</v>
      </c>
      <c r="G752" s="58">
        <v>4</v>
      </c>
      <c r="H752" s="313" t="s">
        <v>2467</v>
      </c>
      <c r="I752" s="58" t="s">
        <v>271</v>
      </c>
      <c r="J752" s="313" t="s">
        <v>1200</v>
      </c>
      <c r="K752" s="307">
        <v>46231.236284722225</v>
      </c>
      <c r="L752" s="314">
        <v>46231.236527777779</v>
      </c>
      <c r="M752" s="314">
        <v>46231.295671296299</v>
      </c>
      <c r="N752" s="314">
        <v>46233.222071759257</v>
      </c>
      <c r="O752" s="307"/>
      <c r="P752" s="307"/>
      <c r="Q752" s="313" t="s">
        <v>1203</v>
      </c>
      <c r="R752" s="58" t="s">
        <v>267</v>
      </c>
      <c r="S752" s="58" t="s">
        <v>149</v>
      </c>
      <c r="Z752" s="169">
        <f t="shared" ca="1" si="119"/>
        <v>0.75000000000000022</v>
      </c>
      <c r="AA752" s="170">
        <f t="shared" ca="1" si="120"/>
        <v>2.0000000000000009</v>
      </c>
      <c r="AB752" s="169">
        <f t="shared" ca="1" si="121"/>
        <v>0.75000000000000022</v>
      </c>
      <c r="AC752" s="170">
        <f t="shared" ca="1" si="122"/>
        <v>2.0000000000000009</v>
      </c>
      <c r="AD752" s="169">
        <f t="shared" ca="1" si="123"/>
        <v>0</v>
      </c>
      <c r="AE752" s="169">
        <f t="shared" ca="1" si="111"/>
        <v>0.75000000000000022</v>
      </c>
      <c r="AF752" s="170">
        <f t="shared" ca="1" si="124"/>
        <v>2.0000000000000009</v>
      </c>
      <c r="AG752" s="170">
        <f t="shared" ca="1" si="125"/>
        <v>2.0000000000000009</v>
      </c>
      <c r="AH752" s="28" t="str" cm="1">
        <f t="array" aca="1" ref="AH752" ca="1">IF((AD752) &lt; (INDEX(ResponseSLA[#All],(MATCH((G752),ResponseSLA[Priority],0))+1,3)),"YES","No")</f>
        <v>YES</v>
      </c>
      <c r="AI752" s="28" t="str">
        <f ca="1">_xlfn.IFNA(IF(AE752 &lt; (INDEX(SLATable[Minimum SLA],MATCH(G752,SLATable[Priority],0))),"YES","NO"),"")</f>
        <v>YES</v>
      </c>
      <c r="AJ752" s="28"/>
    </row>
    <row r="753" spans="2:36" s="58" customFormat="1">
      <c r="B753" s="58" t="s">
        <v>26</v>
      </c>
      <c r="C753" s="58" t="s">
        <v>35</v>
      </c>
      <c r="D753" s="58" t="s">
        <v>207</v>
      </c>
      <c r="E753" s="313" t="s">
        <v>2468</v>
      </c>
      <c r="F753" s="58" t="s">
        <v>295</v>
      </c>
      <c r="G753" s="58">
        <v>3</v>
      </c>
      <c r="H753" s="313" t="s">
        <v>2469</v>
      </c>
      <c r="I753" s="58" t="s">
        <v>271</v>
      </c>
      <c r="J753" s="313" t="s">
        <v>1200</v>
      </c>
      <c r="K753" s="307">
        <v>46220.196851851855</v>
      </c>
      <c r="L753" s="314">
        <v>46220.197916666664</v>
      </c>
      <c r="M753" s="314">
        <v>46223.417500000003</v>
      </c>
      <c r="N753" s="314">
        <v>46232.457303240742</v>
      </c>
      <c r="O753" s="314">
        <v>46224.457175925927</v>
      </c>
      <c r="P753" s="314">
        <v>46232.457303240742</v>
      </c>
      <c r="Q753" s="313" t="s">
        <v>1054</v>
      </c>
      <c r="R753" s="58" t="s">
        <v>267</v>
      </c>
      <c r="S753" s="58" t="s">
        <v>190</v>
      </c>
      <c r="Z753" s="169">
        <f t="shared" ca="1" si="119"/>
        <v>0.87384259259367036</v>
      </c>
      <c r="AA753" s="170">
        <f t="shared" ca="1" si="120"/>
        <v>2.330246913583121</v>
      </c>
      <c r="AB753" s="169">
        <f t="shared" ca="1" si="121"/>
        <v>0.87384259259367036</v>
      </c>
      <c r="AC753" s="170">
        <f t="shared" ca="1" si="122"/>
        <v>2.330246913583121</v>
      </c>
      <c r="AD753" s="169">
        <f t="shared" ca="1" si="123"/>
        <v>0.45916666666986811</v>
      </c>
      <c r="AE753" s="169">
        <f t="shared" ref="AE753:AE816" ca="1" si="126">SUMIFS(AB:AB,E:E,E753)</f>
        <v>0.87384259259367036</v>
      </c>
      <c r="AF753" s="170">
        <f t="shared" ca="1" si="124"/>
        <v>2.330246913583121</v>
      </c>
      <c r="AG753" s="170">
        <f t="shared" ca="1" si="125"/>
        <v>2.330246913583121</v>
      </c>
      <c r="AH753" s="28" t="str" cm="1">
        <f t="array" aca="1" ref="AH753" ca="1">IF((AD753) &lt; (INDEX(ResponseSLA[#All],(MATCH((G753),ResponseSLA[Priority],0))+1,3)),"YES","No")</f>
        <v>No</v>
      </c>
      <c r="AI753" s="28" t="str">
        <f ca="1">_xlfn.IFNA(IF(AE753 &lt; (INDEX(SLATable[Minimum SLA],MATCH(G753,SLATable[Priority],0))),"YES","NO"),"")</f>
        <v>NO</v>
      </c>
      <c r="AJ753" s="28"/>
    </row>
    <row r="754" spans="2:36" s="58" customFormat="1">
      <c r="B754" s="58" t="s">
        <v>26</v>
      </c>
      <c r="C754" s="58" t="s">
        <v>35</v>
      </c>
      <c r="D754" s="58" t="s">
        <v>207</v>
      </c>
      <c r="E754" s="313" t="s">
        <v>2470</v>
      </c>
      <c r="F754" s="58" t="s">
        <v>295</v>
      </c>
      <c r="G754" s="58">
        <v>4</v>
      </c>
      <c r="H754" s="313" t="s">
        <v>2471</v>
      </c>
      <c r="I754" s="58" t="s">
        <v>271</v>
      </c>
      <c r="J754" s="313" t="s">
        <v>1200</v>
      </c>
      <c r="K754" s="307">
        <v>46228.574479166666</v>
      </c>
      <c r="L754" s="314">
        <v>46228.574988425928</v>
      </c>
      <c r="M754" s="314">
        <v>46230.298321759263</v>
      </c>
      <c r="N754" s="314">
        <v>46231.623761574076</v>
      </c>
      <c r="O754" s="307"/>
      <c r="P754" s="307"/>
      <c r="Q754" s="313" t="s">
        <v>2472</v>
      </c>
      <c r="R754" s="58" t="s">
        <v>267</v>
      </c>
      <c r="S754" s="58" t="s">
        <v>190</v>
      </c>
      <c r="Z754" s="169">
        <f t="shared" ca="1" si="119"/>
        <v>0.66542824074228224</v>
      </c>
      <c r="AA754" s="170">
        <f t="shared" ca="1" si="120"/>
        <v>1.774475308646086</v>
      </c>
      <c r="AB754" s="169">
        <f t="shared" ca="1" si="121"/>
        <v>0.66542824074228224</v>
      </c>
      <c r="AC754" s="170">
        <f t="shared" ca="1" si="122"/>
        <v>1.774475308646086</v>
      </c>
      <c r="AD754" s="169">
        <f t="shared" ca="1" si="123"/>
        <v>0</v>
      </c>
      <c r="AE754" s="169">
        <f t="shared" ca="1" si="126"/>
        <v>0.66542824074228224</v>
      </c>
      <c r="AF754" s="170">
        <f t="shared" ca="1" si="124"/>
        <v>1.774475308646086</v>
      </c>
      <c r="AG754" s="170">
        <f t="shared" ca="1" si="125"/>
        <v>1.774475308646086</v>
      </c>
      <c r="AH754" s="28" t="str" cm="1">
        <f t="array" aca="1" ref="AH754" ca="1">IF((AD754) &lt; (INDEX(ResponseSLA[#All],(MATCH((G754),ResponseSLA[Priority],0))+1,3)),"YES","No")</f>
        <v>YES</v>
      </c>
      <c r="AI754" s="28" t="str">
        <f ca="1">_xlfn.IFNA(IF(AE754 &lt; (INDEX(SLATable[Minimum SLA],MATCH(G754,SLATable[Priority],0))),"YES","NO"),"")</f>
        <v>YES</v>
      </c>
      <c r="AJ754" s="28"/>
    </row>
    <row r="755" spans="2:36" s="58" customFormat="1">
      <c r="B755" s="58" t="s">
        <v>26</v>
      </c>
      <c r="C755" s="58" t="s">
        <v>35</v>
      </c>
      <c r="D755" s="58" t="s">
        <v>207</v>
      </c>
      <c r="E755" s="313" t="s">
        <v>2473</v>
      </c>
      <c r="F755" s="58" t="s">
        <v>289</v>
      </c>
      <c r="G755" s="58">
        <v>4</v>
      </c>
      <c r="H755" s="313" t="s">
        <v>2474</v>
      </c>
      <c r="I755" s="58" t="s">
        <v>271</v>
      </c>
      <c r="J755" s="313" t="s">
        <v>1200</v>
      </c>
      <c r="K755" s="307">
        <v>46230.073680555557</v>
      </c>
      <c r="L755" s="314">
        <v>46230.077592592592</v>
      </c>
      <c r="M755" s="314">
        <v>46230.350115740737</v>
      </c>
      <c r="N755" s="314">
        <v>46231.596238425926</v>
      </c>
      <c r="O755" s="310"/>
      <c r="P755" s="310"/>
      <c r="Q755" s="313" t="s">
        <v>1065</v>
      </c>
      <c r="R755" s="58" t="s">
        <v>267</v>
      </c>
      <c r="S755" s="58" t="s">
        <v>149</v>
      </c>
      <c r="Z755" s="169">
        <f t="shared" ca="1" si="97"/>
        <v>0.63790509259221539</v>
      </c>
      <c r="AA755" s="170">
        <f t="shared" ca="1" si="98"/>
        <v>1.7010802469125743</v>
      </c>
      <c r="AB755" s="169">
        <f t="shared" ca="1" si="99"/>
        <v>0.63790509259221539</v>
      </c>
      <c r="AC755" s="170">
        <f t="shared" ca="1" si="100"/>
        <v>1.7010802469125743</v>
      </c>
      <c r="AD755" s="169">
        <f t="shared" ca="1" si="101"/>
        <v>1.6782407403904187E-2</v>
      </c>
      <c r="AE755" s="169">
        <f t="shared" ca="1" si="126"/>
        <v>0.63790509259221539</v>
      </c>
      <c r="AF755" s="170">
        <f t="shared" ca="1" si="102"/>
        <v>1.7010802469125743</v>
      </c>
      <c r="AG755" s="170">
        <f t="shared" ca="1" si="103"/>
        <v>1.7010802469125743</v>
      </c>
      <c r="AH755" s="28" t="str" cm="1">
        <f t="array" aca="1" ref="AH755" ca="1">IF((AD755) &lt; (INDEX(ResponseSLA[#All],(MATCH((G755),ResponseSLA[Priority],0))+1,3)),"YES","No")</f>
        <v>YES</v>
      </c>
      <c r="AI755" s="28" t="str">
        <f ca="1">_xlfn.IFNA(IF(AE755 &lt; (INDEX(SLATable[Minimum SLA],MATCH(G755,SLATable[Priority],0))),"YES","NO"),"")</f>
        <v>YES</v>
      </c>
      <c r="AJ755" s="28" t="str">
        <f ca="1">_xlfn.IFNA(IF(AE755 &lt; (INDEX(SLATable[Maximum SLA],MATCH(G755,SLATable[Priority],0))),"YES","NO"),"")</f>
        <v>YES</v>
      </c>
    </row>
    <row r="756" spans="2:36" s="58" customFormat="1">
      <c r="B756" s="58" t="s">
        <v>26</v>
      </c>
      <c r="C756" s="58" t="s">
        <v>35</v>
      </c>
      <c r="D756" s="58" t="s">
        <v>207</v>
      </c>
      <c r="E756" s="313" t="s">
        <v>2050</v>
      </c>
      <c r="F756" s="58" t="s">
        <v>295</v>
      </c>
      <c r="G756" s="58">
        <v>3</v>
      </c>
      <c r="H756" s="313" t="s">
        <v>2051</v>
      </c>
      <c r="I756" s="58" t="s">
        <v>266</v>
      </c>
      <c r="J756" s="313" t="s">
        <v>1200</v>
      </c>
      <c r="K756" s="314">
        <v>46192.602002314816</v>
      </c>
      <c r="L756" s="314">
        <v>46192.602002314816</v>
      </c>
      <c r="M756" s="314">
        <v>46196.245069444441</v>
      </c>
      <c r="N756" s="310"/>
      <c r="O756" s="314">
        <v>46224.443449074075</v>
      </c>
      <c r="P756" s="314">
        <v>46234.424675925926</v>
      </c>
      <c r="Q756" s="313" t="s">
        <v>695</v>
      </c>
      <c r="R756" s="58" t="s">
        <v>267</v>
      </c>
      <c r="S756" s="58" t="s">
        <v>175</v>
      </c>
      <c r="Z756" s="169">
        <f t="shared" ref="Z756:Z761" ca="1" si="127">IF(NOT(OR(G756=1,G756=2)),MAX(0,_xlfn.IFS(AND(K756&lt;&gt;"",N756&lt;&gt;""),((MAX(NETWORKDAYS(K756,N756,UKBankHolidays)-1,0))*(TIME(17,0,0)-TIME(8,0,0))+IF(NETWORKDAYS(N756,N756,UKBankHolidays)&gt;0,MEDIAN(TIME(8,0,0),MOD(N756,1),TIME(17,0,0)),TIME(8,0,0))-IF(NETWORKDAYS(K756,K756,UKBankHolidays)&gt;0,MEDIAN(TIME(8,0,0),MOD(K756,1),TIME(17,0,0)),TIME(8,0,0)))-IF(AND(O756&lt;&gt;"",P756&lt;&gt;""),((MAX(NETWORKDAYS(O756,P756,UKBankHolidays)-1,0))*(TIME(17,0,0)-TIME(8,0,0))+IF(NETWORKDAYS(P756,P756,UKBankHolidays)&gt;0,MEDIAN(TIME(8,0,0),MOD(P756,1),TIME(17,0,0)),TIME(8,0,0))-IF(NETWORKDAYS(O756,O756,UKBankHolidays)&gt;0,MEDIAN(TIME(8,0,0),MOD(O756,1),TIME(17,0,0)),TIME(8,0,0))),0),AND(K756&lt;&gt;"",N756=""),((MAX(NETWORKDAYS(K756,NOW(),UKBankHolidays)-1,0))*(TIME(17,0,0)-TIME(8,0,0))+IF(NETWORKDAYS(NOW(),NOW(),UKBankHolidays)&gt;0,MEDIAN(TIME(8,0,0),MOD(NOW(),1),TIME(17,0,0)),TIME(8,0,0))-IF(NETWORKDAYS(K756,K756,UKBankHolidays)&gt;0,MEDIAN(TIME(8,0,0),MOD(K756,1),TIME(17,0,0)),TIME(8,0,0))))),IF(N756="",NOW()-K756,N756-K756))</f>
        <v>17.656971296295527</v>
      </c>
      <c r="AA756" s="170">
        <f t="shared" ref="AA756:AA761" ca="1" si="128">(Z756*24)/9</f>
        <v>47.085256790121406</v>
      </c>
      <c r="AB756" s="169" t="e">
        <f t="shared" ref="AB756:AB761" ca="1" si="129">IF(NOT(OR(G756=1,G756=2)),MAX(0,_xlfn.IFS(AND(K756&lt;&gt;"",N756&lt;&gt;""),(((MAX(NETWORKDAYS(L756,N756,UKBankHolidays)-1,0))*(TIME(17,0,0)-TIME(8,0,0)))+IF(NETWORKDAYS(N756,N756,UKBankHolidays)&gt;0,MEDIAN(TIME(8,0,0),MOD(N756,1),TIME(17,0,0)),TIME(8,0,0))-IF(NETWORKDAYS(L756,L756,UKBankHolidays)&gt;0,MEDIAN(TIME(8,0,0),MOD(L756,1),TIME(17,0,0)),TIME(8,0,0)))-IF(AND(O756&lt;&gt;"",P756&lt;&gt;""),(((MAX(NETWORKDAYS(O756,P756,UKBankHolidays)-1,0))*(TIME(17,0,0)-TIME(8,0,0)))+IF(NETWORKDAYS(P756,P756,UKBankHolidays)&gt;0,MEDIAN(TIME(8,0,0),MOD(P756,1),TIME(17,0,0)),TIME(8,0,0))-IF(NETWORKDAYS(O756,O756,UKBankHolidays)&gt;0,MEDIAN(TIME(8,0,0),MOD(O756,1),TIME(17,0,0)),TIME(8,0,0))),0),AND(L756&lt;&gt;"",N756="",O756=""),(((MAX(NETWORKDAYS(L756,NOW(),UKBankHolidays)-1,0))*(TIME(17,0,0)-TIME(8,0,0)))+IF(NETWORKDAYS(NOW(),NOW(),UKBankHolidays)&gt;0,MEDIAN(TIME(8,0,0),MOD(NOW(),1),TIME(17,0,0)),TIME(8,0,0))-IF(NETWORKDAYS(L756,L756,UKBankHolidays)&gt;0,MEDIAN(TIME(8,0,0),MOD(L756,1),TIME(17,0,0)),TIME(8,0,0)))-IF(AND(O756&lt;&gt;"",P756&lt;&gt;""),(((MAX(NETWORKDAYS(O756,P756,UKBankHolidays)-1,0))*(TIME(17,0,0)-TIME(8,0,0)))+IF(NETWORKDAYS(P756,P756,UKBankHolidays)&gt;0,MEDIAN(TIME(8,0,0),MOD(P756,1),TIME(17,0,0)),TIME(8,0,0))-IF(NETWORKDAYS(O756,O756,UKBankHolidays)&gt;0,MEDIAN(TIME(8,0,0),MOD(O756,1),TIME(17,0,0)),TIME(8,0,0))),0),AND(L756&lt;&gt;"",N756="",P756="",O756&lt;&gt;""),(((MAX(NETWORKDAYS(L756,O756,UKBankHolidays)-1,0))*(TIME(17,0,0)-TIME(8,0,0)))+IF(NETWORKDAYS(O756,O756,UKBankHolidays)&gt;0,MEDIAN(TIME(8,0,0),MOD(O756,1),TIME(17,0,0)),TIME(8,0,0))-IF(NETWORKDAYS(L756,L756,UKBankHolidays)&gt;0,MEDIAN(TIME(8,0,0),MOD(L756,1),TIME(17,0,0)),TIME(8,0,0))),ISBLANK(K756),"0")),IF(ISBLANK(N756),NOW()-L756,N756-L756))</f>
        <v>#N/A</v>
      </c>
      <c r="AC756" s="170" t="e">
        <f t="shared" ref="AC756:AC761" ca="1" si="130">(AB756*24)/9</f>
        <v>#N/A</v>
      </c>
      <c r="AD756" s="169">
        <f t="shared" ref="AD756:AD761" ca="1" si="131">MAX(0,IF(NOT(OR(G756=1,G756=2)),IF(M756&lt;&gt;"",((MAX(NETWORKDAYS(L756,M756,UKBankHolidays)-1,0))*(TIME(17,0,0)-TIME(8,0,0))+IF(NETWORKDAYS(M756,M756,UKBankHolidays)&gt;0,MEDIAN(TIME(8,0,0),MOD(M756,1),TIME(17,0,0)),TIME(8,0,0))-MEDIAN(TIME(8,0,0),MOD(L756,1),TIME(17,0,0))),((MAX(NETWORKDAYS(L756,NOW(),UKBankHolidays)-1,0))*(TIME(17,0,0)-TIME(8,0,0))+IF(NETWORKDAYS(NOW(),NOW(),UKBankHolidays)&gt;0,MEDIAN(TIME(8,0,0),MOD(NOW(),1),TIME(17,0,0)),TIME(8,0,0))-MEDIAN(TIME(8,0,0),MOD(L756,1),TIME(17,0,0)))),IF(M756&lt;&gt;"",M756-L756,NOW()-L756)))</f>
        <v>0.4813310185175701</v>
      </c>
      <c r="AE756" s="169" t="e">
        <f t="shared" ca="1" si="126"/>
        <v>#N/A</v>
      </c>
      <c r="AF756" s="170" t="e">
        <f t="shared" ref="AF756:AF761" ca="1" si="132">(AE756*24)/9</f>
        <v>#N/A</v>
      </c>
      <c r="AG756" s="170" t="e">
        <f t="shared" ref="AG756:AG761" ca="1" si="133">AF756</f>
        <v>#N/A</v>
      </c>
      <c r="AH756" s="28" t="str" cm="1">
        <f t="array" aca="1" ref="AH756" ca="1">IF((AD756) &lt; (INDEX(ResponseSLA[#All],(MATCH((G756),ResponseSLA[Priority],0))+1,3)),"YES","No")</f>
        <v>No</v>
      </c>
      <c r="AI756" s="28" t="str">
        <f ca="1">_xlfn.IFNA(IF(AE756 &lt; (INDEX(SLATable[Minimum SLA],MATCH(G756,SLATable[Priority],0))),"YES","NO"),"")</f>
        <v/>
      </c>
      <c r="AJ756" s="28"/>
    </row>
    <row r="757" spans="2:36" s="58" customFormat="1">
      <c r="B757" s="58" t="s">
        <v>26</v>
      </c>
      <c r="C757" s="58" t="s">
        <v>35</v>
      </c>
      <c r="D757" s="58" t="s">
        <v>207</v>
      </c>
      <c r="E757" s="313" t="s">
        <v>2475</v>
      </c>
      <c r="F757" s="58" t="s">
        <v>289</v>
      </c>
      <c r="G757" s="58">
        <v>4</v>
      </c>
      <c r="H757" s="313" t="s">
        <v>2476</v>
      </c>
      <c r="I757" s="58" t="s">
        <v>260</v>
      </c>
      <c r="J757" s="313" t="s">
        <v>1200</v>
      </c>
      <c r="K757" s="307">
        <v>46234.184988425928</v>
      </c>
      <c r="L757" s="314">
        <v>46234.185162037036</v>
      </c>
      <c r="M757" s="314">
        <v>46234.245949074073</v>
      </c>
      <c r="N757" s="310"/>
      <c r="O757" s="313"/>
      <c r="P757" s="313"/>
      <c r="Q757" s="313" t="s">
        <v>1101</v>
      </c>
      <c r="Z757" s="169">
        <f t="shared" ca="1" si="127"/>
        <v>6.6756402777779549</v>
      </c>
      <c r="AA757" s="170">
        <f t="shared" ca="1" si="128"/>
        <v>17.801707407407878</v>
      </c>
      <c r="AB757" s="169">
        <f t="shared" ca="1" si="129"/>
        <v>6.6756402777779549</v>
      </c>
      <c r="AC757" s="170">
        <f t="shared" ca="1" si="130"/>
        <v>17.801707407407878</v>
      </c>
      <c r="AD757" s="169">
        <f t="shared" ca="1" si="131"/>
        <v>0</v>
      </c>
      <c r="AE757" s="169">
        <f t="shared" ca="1" si="126"/>
        <v>6.6756402777779549</v>
      </c>
      <c r="AF757" s="170">
        <f t="shared" ca="1" si="132"/>
        <v>17.801707407407878</v>
      </c>
      <c r="AG757" s="170">
        <f t="shared" ca="1" si="133"/>
        <v>17.801707407407878</v>
      </c>
      <c r="AH757" s="28" t="str" cm="1">
        <f t="array" aca="1" ref="AH757" ca="1">IF((AD757) &lt; (INDEX(ResponseSLA[#All],(MATCH((G757),ResponseSLA[Priority],0))+1,3)),"YES","No")</f>
        <v>YES</v>
      </c>
      <c r="AI757" s="28" t="str">
        <f ca="1">_xlfn.IFNA(IF(AE757 &lt; (INDEX(SLATable[Minimum SLA],MATCH(G757,SLATable[Priority],0))),"YES","NO"),"")</f>
        <v>NO</v>
      </c>
      <c r="AJ757" s="28"/>
    </row>
    <row r="758" spans="2:36" s="58" customFormat="1">
      <c r="B758" s="58" t="s">
        <v>26</v>
      </c>
      <c r="C758" s="58" t="s">
        <v>35</v>
      </c>
      <c r="D758" s="58" t="s">
        <v>207</v>
      </c>
      <c r="E758" s="313" t="s">
        <v>2477</v>
      </c>
      <c r="F758" s="58" t="s">
        <v>295</v>
      </c>
      <c r="G758" s="58">
        <v>3</v>
      </c>
      <c r="H758" s="313" t="s">
        <v>2478</v>
      </c>
      <c r="I758" s="58" t="s">
        <v>266</v>
      </c>
      <c r="J758" s="313" t="s">
        <v>1200</v>
      </c>
      <c r="K758" s="307">
        <v>46229.642094907409</v>
      </c>
      <c r="L758" s="314">
        <v>46229.643020833333</v>
      </c>
      <c r="M758" s="314">
        <v>46230.351134259261</v>
      </c>
      <c r="N758" s="310"/>
      <c r="O758" s="314">
        <v>46231.269583333335</v>
      </c>
      <c r="P758" s="313"/>
      <c r="Q758" s="313" t="s">
        <v>2024</v>
      </c>
      <c r="Z758" s="169">
        <f t="shared" ca="1" si="127"/>
        <v>8.1756402777779531</v>
      </c>
      <c r="AA758" s="170">
        <f t="shared" ca="1" si="128"/>
        <v>21.801707407407875</v>
      </c>
      <c r="AB758" s="169">
        <f t="shared" ca="1" si="129"/>
        <v>0.37500000000000006</v>
      </c>
      <c r="AC758" s="170">
        <f t="shared" ca="1" si="130"/>
        <v>1.0000000000000002</v>
      </c>
      <c r="AD758" s="169">
        <f t="shared" ca="1" si="131"/>
        <v>0</v>
      </c>
      <c r="AE758" s="169">
        <f t="shared" ca="1" si="126"/>
        <v>3.0000000000000004</v>
      </c>
      <c r="AF758" s="170">
        <f t="shared" ca="1" si="132"/>
        <v>8.0000000000000018</v>
      </c>
      <c r="AG758" s="170">
        <f t="shared" ca="1" si="133"/>
        <v>8.0000000000000018</v>
      </c>
      <c r="AH758" s="28" t="str" cm="1">
        <f t="array" aca="1" ref="AH758" ca="1">IF((AD758) &lt; (INDEX(ResponseSLA[#All],(MATCH((G758),ResponseSLA[Priority],0))+1,3)),"YES","No")</f>
        <v>YES</v>
      </c>
      <c r="AI758" s="28" t="str">
        <f ca="1">_xlfn.IFNA(IF(AE758 &lt; (INDEX(SLATable[Minimum SLA],MATCH(G758,SLATable[Priority],0))),"YES","NO"),"")</f>
        <v>NO</v>
      </c>
      <c r="AJ758" s="28"/>
    </row>
    <row r="759" spans="2:36" s="58" customFormat="1">
      <c r="B759" s="58" t="s">
        <v>26</v>
      </c>
      <c r="C759" s="58" t="s">
        <v>35</v>
      </c>
      <c r="D759" s="58" t="s">
        <v>207</v>
      </c>
      <c r="E759" s="313" t="s">
        <v>2479</v>
      </c>
      <c r="F759" s="58" t="s">
        <v>295</v>
      </c>
      <c r="G759" s="58">
        <v>3</v>
      </c>
      <c r="H759" s="313" t="s">
        <v>2055</v>
      </c>
      <c r="I759" s="58" t="s">
        <v>260</v>
      </c>
      <c r="J759" s="313" t="s">
        <v>1200</v>
      </c>
      <c r="K759" s="307">
        <v>46188.293402777781</v>
      </c>
      <c r="L759" s="314">
        <v>46218.373553240737</v>
      </c>
      <c r="M759" s="314">
        <v>46218.502604166664</v>
      </c>
      <c r="N759" s="310"/>
      <c r="O759" s="313"/>
      <c r="P759" s="313"/>
      <c r="Q759" s="313" t="s">
        <v>1113</v>
      </c>
      <c r="Z759" s="169">
        <f t="shared" ca="1" si="127"/>
        <v>19.425640277777958</v>
      </c>
      <c r="AA759" s="170">
        <f t="shared" ca="1" si="128"/>
        <v>51.801707407407889</v>
      </c>
      <c r="AB759" s="169">
        <f t="shared" ca="1" si="129"/>
        <v>11.135420370374051</v>
      </c>
      <c r="AC759" s="170">
        <f t="shared" ca="1" si="130"/>
        <v>29.694454320997473</v>
      </c>
      <c r="AD759" s="169">
        <f t="shared" ca="1" si="131"/>
        <v>0.12905092592700385</v>
      </c>
      <c r="AE759" s="169">
        <f t="shared" ca="1" si="126"/>
        <v>18.019309259267178</v>
      </c>
      <c r="AF759" s="170">
        <f t="shared" ca="1" si="132"/>
        <v>48.051491358045809</v>
      </c>
      <c r="AG759" s="170">
        <f t="shared" ca="1" si="133"/>
        <v>48.051491358045809</v>
      </c>
      <c r="AH759" s="28" t="str" cm="1">
        <f t="array" aca="1" ref="AH759" ca="1">IF((AD759) &lt; (INDEX(ResponseSLA[#All],(MATCH((G759),ResponseSLA[Priority],0))+1,3)),"YES","No")</f>
        <v>No</v>
      </c>
      <c r="AI759" s="28" t="str">
        <f ca="1">_xlfn.IFNA(IF(AE759 &lt; (INDEX(SLATable[Minimum SLA],MATCH(G759,SLATable[Priority],0))),"YES","NO"),"")</f>
        <v>NO</v>
      </c>
      <c r="AJ759" s="28"/>
    </row>
    <row r="760" spans="2:36" s="58" customFormat="1">
      <c r="B760" s="58" t="s">
        <v>26</v>
      </c>
      <c r="C760" s="58" t="s">
        <v>35</v>
      </c>
      <c r="D760" s="58" t="s">
        <v>208</v>
      </c>
      <c r="E760" s="315" t="s">
        <v>2480</v>
      </c>
      <c r="F760" s="58" t="s">
        <v>295</v>
      </c>
      <c r="G760" s="58" t="s">
        <v>208</v>
      </c>
      <c r="H760" s="315" t="s">
        <v>2481</v>
      </c>
      <c r="I760" s="58" t="s">
        <v>260</v>
      </c>
      <c r="J760" s="313" t="s">
        <v>1200</v>
      </c>
      <c r="K760" s="307">
        <v>46223.389722222222</v>
      </c>
      <c r="L760" s="310">
        <v>46223.389722222222</v>
      </c>
      <c r="M760" s="310">
        <v>46224.296423611115</v>
      </c>
      <c r="N760" s="310"/>
      <c r="O760" s="310">
        <v>46224.298020833332</v>
      </c>
      <c r="P760" s="310">
        <v>46224.697465277779</v>
      </c>
      <c r="Q760" s="313" t="s">
        <v>1113</v>
      </c>
      <c r="Z760" s="169">
        <f t="shared" ca="1" si="127"/>
        <v>9.9942513888890989</v>
      </c>
      <c r="AA760" s="170">
        <f t="shared" ca="1" si="128"/>
        <v>26.651337037037599</v>
      </c>
      <c r="AB760" s="169" t="e">
        <f t="shared" ca="1" si="129"/>
        <v>#N/A</v>
      </c>
      <c r="AC760" s="170" t="e">
        <f t="shared" ca="1" si="130"/>
        <v>#N/A</v>
      </c>
      <c r="AD760" s="169">
        <f t="shared" ca="1" si="131"/>
        <v>0.31861111111114349</v>
      </c>
      <c r="AE760" s="169" t="e">
        <f t="shared" ca="1" si="126"/>
        <v>#N/A</v>
      </c>
      <c r="AF760" s="170" t="e">
        <f t="shared" ca="1" si="132"/>
        <v>#N/A</v>
      </c>
      <c r="AG760" s="170" t="e">
        <f t="shared" ca="1" si="133"/>
        <v>#N/A</v>
      </c>
      <c r="AH760" s="28" t="str" cm="1">
        <f t="array" aca="1" ref="AH760" ca="1">IF((AD760) &lt; (INDEX(ResponseSLA[#All],(MATCH((G760),ResponseSLA[Priority],0))+1,3)),"YES","No")</f>
        <v>YES</v>
      </c>
      <c r="AI760" s="28" t="str">
        <f ca="1">_xlfn.IFNA(IF(AE760 &lt; (INDEX(SLATable[Minimum SLA],MATCH(G760,SLATable[Priority],0))),"YES","NO"),"")</f>
        <v/>
      </c>
      <c r="AJ760" s="28"/>
    </row>
    <row r="761" spans="2:36" s="58" customFormat="1">
      <c r="B761" s="58" t="s">
        <v>26</v>
      </c>
      <c r="C761" s="58" t="s">
        <v>35</v>
      </c>
      <c r="D761" s="58" t="s">
        <v>208</v>
      </c>
      <c r="E761" s="315" t="s">
        <v>2482</v>
      </c>
      <c r="F761" s="58" t="s">
        <v>295</v>
      </c>
      <c r="G761" s="58" t="s">
        <v>208</v>
      </c>
      <c r="H761" s="315" t="s">
        <v>1266</v>
      </c>
      <c r="I761" s="58" t="s">
        <v>266</v>
      </c>
      <c r="J761" s="313" t="s">
        <v>1200</v>
      </c>
      <c r="K761" s="307">
        <v>46224.334108796298</v>
      </c>
      <c r="L761" s="310">
        <v>46225.593090277776</v>
      </c>
      <c r="M761" s="310">
        <v>46226.272523148145</v>
      </c>
      <c r="N761" s="310"/>
      <c r="O761" s="310">
        <v>46232.504212962966</v>
      </c>
      <c r="P761" s="310"/>
      <c r="Q761" s="313" t="s">
        <v>1113</v>
      </c>
      <c r="Z761" s="169">
        <f t="shared" ca="1" si="127"/>
        <v>9.6748648148131924</v>
      </c>
      <c r="AA761" s="170">
        <f t="shared" ca="1" si="128"/>
        <v>25.799639506168514</v>
      </c>
      <c r="AB761" s="169">
        <f t="shared" ca="1" si="129"/>
        <v>1.7861226851891843</v>
      </c>
      <c r="AC761" s="170">
        <f t="shared" ca="1" si="130"/>
        <v>4.762993827171158</v>
      </c>
      <c r="AD761" s="169">
        <f t="shared" ca="1" si="131"/>
        <v>0.11524305555697845</v>
      </c>
      <c r="AE761" s="169">
        <f t="shared" ca="1" si="126"/>
        <v>1.7861226851891843</v>
      </c>
      <c r="AF761" s="170">
        <f t="shared" ca="1" si="132"/>
        <v>4.762993827171158</v>
      </c>
      <c r="AG761" s="170">
        <f t="shared" ca="1" si="133"/>
        <v>4.762993827171158</v>
      </c>
      <c r="AH761" s="28" t="str" cm="1">
        <f t="array" aca="1" ref="AH761" ca="1">IF((AD761) &lt; (INDEX(ResponseSLA[#All],(MATCH((G761),ResponseSLA[Priority],0))+1,3)),"YES","No")</f>
        <v>YES</v>
      </c>
      <c r="AI761" s="28" t="str">
        <f ca="1">_xlfn.IFNA(IF(AE761 &lt; (INDEX(SLATable[Minimum SLA],MATCH(G761,SLATable[Priority],0))),"YES","NO"),"")</f>
        <v>NO</v>
      </c>
      <c r="AJ761" s="28"/>
    </row>
    <row r="762" spans="2:36" s="58" customFormat="1">
      <c r="B762" s="58" t="s">
        <v>26</v>
      </c>
      <c r="C762" s="58" t="s">
        <v>35</v>
      </c>
      <c r="D762" s="58" t="s">
        <v>207</v>
      </c>
      <c r="E762" s="315" t="s">
        <v>2483</v>
      </c>
      <c r="F762" s="315" t="s">
        <v>289</v>
      </c>
      <c r="G762" s="58">
        <v>4</v>
      </c>
      <c r="H762" s="315" t="s">
        <v>2484</v>
      </c>
      <c r="I762" s="58" t="s">
        <v>271</v>
      </c>
      <c r="J762" s="315" t="s">
        <v>1583</v>
      </c>
      <c r="K762" s="307">
        <v>46214.602719907409</v>
      </c>
      <c r="L762" s="310">
        <v>46216.282349537039</v>
      </c>
      <c r="M762" s="310">
        <v>46216.282361111109</v>
      </c>
      <c r="N762" s="310">
        <v>46216.282349537039</v>
      </c>
      <c r="O762" s="310">
        <v>46216.282349537039</v>
      </c>
      <c r="P762" s="310">
        <v>46216.282349537039</v>
      </c>
      <c r="Q762" s="315" t="s">
        <v>1104</v>
      </c>
      <c r="R762" s="58" t="s">
        <v>267</v>
      </c>
      <c r="S762" s="58" t="s">
        <v>149</v>
      </c>
      <c r="Z762" s="169">
        <f t="shared" ca="1" si="97"/>
        <v>0</v>
      </c>
      <c r="AA762" s="170">
        <f t="shared" ca="1" si="98"/>
        <v>0</v>
      </c>
      <c r="AB762" s="169">
        <f t="shared" ca="1" si="99"/>
        <v>0</v>
      </c>
      <c r="AC762" s="170">
        <f t="shared" ca="1" si="100"/>
        <v>0</v>
      </c>
      <c r="AD762" s="169">
        <f t="shared" ca="1" si="101"/>
        <v>0</v>
      </c>
      <c r="AE762" s="169">
        <f t="shared" ca="1" si="126"/>
        <v>0.44524305555629934</v>
      </c>
      <c r="AF762" s="170">
        <f t="shared" ca="1" si="102"/>
        <v>1.1873148148167982</v>
      </c>
      <c r="AG762" s="170">
        <f t="shared" ca="1" si="103"/>
        <v>1.1873148148167982</v>
      </c>
      <c r="AH762" s="28" t="str" cm="1">
        <f t="array" aca="1" ref="AH762" ca="1">IF((AD762) &lt; (INDEX(ResponseSLA[#All],(MATCH((G762),ResponseSLA[Priority],0))+1,3)),"YES","No")</f>
        <v>YES</v>
      </c>
      <c r="AI762" s="28" t="str">
        <f ca="1">_xlfn.IFNA(IF(AE762 &lt; (INDEX(SLATable[Minimum SLA],MATCH(G762,SLATable[Priority],0))),"YES","NO"),"")</f>
        <v>YES</v>
      </c>
      <c r="AJ762" s="28" t="str">
        <f ca="1">_xlfn.IFNA(IF(AE762 &lt; (INDEX(SLATable[Maximum SLA],MATCH(G762,SLATable[Priority],0))),"YES","NO"),"")</f>
        <v>YES</v>
      </c>
    </row>
    <row r="763" spans="2:36" s="58" customFormat="1">
      <c r="B763" s="58" t="s">
        <v>26</v>
      </c>
      <c r="C763" s="58" t="s">
        <v>35</v>
      </c>
      <c r="D763" s="58" t="s">
        <v>207</v>
      </c>
      <c r="E763" s="315" t="s">
        <v>2485</v>
      </c>
      <c r="F763" s="315" t="s">
        <v>289</v>
      </c>
      <c r="G763" s="58">
        <v>4</v>
      </c>
      <c r="H763" s="315" t="s">
        <v>2486</v>
      </c>
      <c r="I763" s="58" t="s">
        <v>271</v>
      </c>
      <c r="J763" s="315" t="s">
        <v>1583</v>
      </c>
      <c r="K763" s="307">
        <v>46204.756527777776</v>
      </c>
      <c r="L763" s="310">
        <v>46205.306331018517</v>
      </c>
      <c r="M763" s="310">
        <v>46205.306388888886</v>
      </c>
      <c r="N763" s="310">
        <v>46213.447106481479</v>
      </c>
      <c r="O763" s="310">
        <v>46212.348923611113</v>
      </c>
      <c r="P763" s="310">
        <v>46213.447106481479</v>
      </c>
      <c r="Q763" s="315" t="s">
        <v>1098</v>
      </c>
      <c r="R763" s="58" t="s">
        <v>267</v>
      </c>
      <c r="S763" s="58" t="s">
        <v>149</v>
      </c>
      <c r="Z763" s="169">
        <f t="shared" ca="1" si="97"/>
        <v>1.8905902777793626</v>
      </c>
      <c r="AA763" s="170">
        <f t="shared" ca="1" si="98"/>
        <v>5.0415740740783006</v>
      </c>
      <c r="AB763" s="169">
        <f t="shared" ca="1" si="99"/>
        <v>1.8905902777793626</v>
      </c>
      <c r="AC763" s="170">
        <f t="shared" ca="1" si="100"/>
        <v>5.0415740740783006</v>
      </c>
      <c r="AD763" s="169">
        <f t="shared" ca="1" si="101"/>
        <v>0</v>
      </c>
      <c r="AE763" s="169">
        <f t="shared" ca="1" si="126"/>
        <v>3.7811805555587252</v>
      </c>
      <c r="AF763" s="170">
        <f t="shared" ca="1" si="102"/>
        <v>10.083148148156601</v>
      </c>
      <c r="AG763" s="170">
        <f t="shared" ca="1" si="103"/>
        <v>10.083148148156601</v>
      </c>
      <c r="AH763" s="28" t="str" cm="1">
        <f t="array" aca="1" ref="AH763" ca="1">IF((AD763) &lt; (INDEX(ResponseSLA[#All],(MATCH((G763),ResponseSLA[Priority],0))+1,3)),"YES","No")</f>
        <v>YES</v>
      </c>
      <c r="AI763" s="28" t="str">
        <f ca="1">_xlfn.IFNA(IF(AE763 &lt; (INDEX(SLATable[Minimum SLA],MATCH(G763,SLATable[Priority],0))),"YES","NO"),"")</f>
        <v>NO</v>
      </c>
      <c r="AJ763" s="28" t="str">
        <f ca="1">_xlfn.IFNA(IF(AE763 &lt; (INDEX(SLATable[Maximum SLA],MATCH(G763,SLATable[Priority],0))),"YES","NO"),"")</f>
        <v>YES</v>
      </c>
    </row>
    <row r="764" spans="2:36" s="58" customFormat="1">
      <c r="B764" s="58" t="s">
        <v>26</v>
      </c>
      <c r="C764" s="58" t="s">
        <v>35</v>
      </c>
      <c r="D764" s="58" t="s">
        <v>207</v>
      </c>
      <c r="E764" s="315" t="s">
        <v>2056</v>
      </c>
      <c r="F764" s="315" t="s">
        <v>295</v>
      </c>
      <c r="G764" s="58">
        <v>3</v>
      </c>
      <c r="H764" s="315" t="s">
        <v>825</v>
      </c>
      <c r="I764" s="58" t="s">
        <v>271</v>
      </c>
      <c r="J764" s="315" t="s">
        <v>1583</v>
      </c>
      <c r="K764" s="310">
        <v>46198.11859953704</v>
      </c>
      <c r="L764" s="310">
        <v>46198.307037037041</v>
      </c>
      <c r="M764" s="310">
        <v>46205.421620370369</v>
      </c>
      <c r="N764" s="310">
        <v>46205.421620370369</v>
      </c>
      <c r="O764" s="310"/>
      <c r="P764" s="310"/>
      <c r="Q764" s="315" t="s">
        <v>695</v>
      </c>
      <c r="R764" s="58" t="s">
        <v>267</v>
      </c>
      <c r="S764" s="58" t="s">
        <v>190</v>
      </c>
      <c r="Z764" s="169">
        <f t="shared" ca="1" si="97"/>
        <v>1.963287037035722</v>
      </c>
      <c r="AA764" s="170">
        <f t="shared" ca="1" si="98"/>
        <v>5.2354320987619252</v>
      </c>
      <c r="AB764" s="169">
        <f t="shared" ca="1" si="99"/>
        <v>1.963287037035722</v>
      </c>
      <c r="AC764" s="170">
        <f t="shared" ca="1" si="100"/>
        <v>5.2354320987619252</v>
      </c>
      <c r="AD764" s="169">
        <f t="shared" ca="1" si="101"/>
        <v>1.963287037035722</v>
      </c>
      <c r="AE764" s="169">
        <f t="shared" ca="1" si="126"/>
        <v>18.388927893514246</v>
      </c>
      <c r="AF764" s="170">
        <f t="shared" ca="1" si="102"/>
        <v>49.037141049371321</v>
      </c>
      <c r="AG764" s="170">
        <f t="shared" ca="1" si="103"/>
        <v>49.037141049371321</v>
      </c>
      <c r="AH764" s="28" t="str" cm="1">
        <f t="array" aca="1" ref="AH764" ca="1">IF((AD764) &lt; (INDEX(ResponseSLA[#All],(MATCH((G764),ResponseSLA[Priority],0))+1,3)),"YES","No")</f>
        <v>No</v>
      </c>
      <c r="AI764" s="28" t="str">
        <f ca="1">_xlfn.IFNA(IF(AE764 &lt; (INDEX(SLATable[Minimum SLA],MATCH(G764,SLATable[Priority],0))),"YES","NO"),"")</f>
        <v>NO</v>
      </c>
      <c r="AJ764" s="28" t="str">
        <f ca="1">_xlfn.IFNA(IF(AE764 &lt; (INDEX(SLATable[Maximum SLA],MATCH(G764,SLATable[Priority],0))),"YES","NO"),"")</f>
        <v>NO</v>
      </c>
    </row>
    <row r="765" spans="2:36" s="58" customFormat="1">
      <c r="B765" s="58" t="s">
        <v>26</v>
      </c>
      <c r="C765" s="58" t="s">
        <v>35</v>
      </c>
      <c r="D765" s="58" t="s">
        <v>207</v>
      </c>
      <c r="E765" s="315" t="s">
        <v>2057</v>
      </c>
      <c r="F765" s="315" t="s">
        <v>295</v>
      </c>
      <c r="G765" s="58">
        <v>3</v>
      </c>
      <c r="H765" s="315" t="s">
        <v>1777</v>
      </c>
      <c r="I765" s="58" t="s">
        <v>271</v>
      </c>
      <c r="J765" s="315" t="s">
        <v>1583</v>
      </c>
      <c r="K765" s="310">
        <v>46198.118576388886</v>
      </c>
      <c r="L765" s="310">
        <v>46198.306828703702</v>
      </c>
      <c r="M765" s="310">
        <v>46205.422777777778</v>
      </c>
      <c r="N765" s="310">
        <v>46205.422777777778</v>
      </c>
      <c r="O765" s="310"/>
      <c r="P765" s="310"/>
      <c r="Q765" s="315" t="s">
        <v>695</v>
      </c>
      <c r="R765" s="58" t="s">
        <v>267</v>
      </c>
      <c r="S765" s="58" t="s">
        <v>190</v>
      </c>
      <c r="Z765" s="169">
        <f t="shared" ca="1" si="97"/>
        <v>1.9644444444444769</v>
      </c>
      <c r="AA765" s="170">
        <f t="shared" ca="1" si="98"/>
        <v>5.2385185185186049</v>
      </c>
      <c r="AB765" s="169">
        <f t="shared" ca="1" si="99"/>
        <v>1.9644444444444769</v>
      </c>
      <c r="AC765" s="170">
        <f t="shared" ca="1" si="100"/>
        <v>5.2385185185186049</v>
      </c>
      <c r="AD765" s="169">
        <f t="shared" ca="1" si="101"/>
        <v>1.9644444444444769</v>
      </c>
      <c r="AE765" s="169">
        <f t="shared" ca="1" si="126"/>
        <v>18.390085300923001</v>
      </c>
      <c r="AF765" s="170">
        <f t="shared" ca="1" si="102"/>
        <v>49.040227469127998</v>
      </c>
      <c r="AG765" s="170">
        <f t="shared" ca="1" si="103"/>
        <v>49.040227469127998</v>
      </c>
      <c r="AH765" s="28" t="str" cm="1">
        <f t="array" aca="1" ref="AH765" ca="1">IF((AD765) &lt; (INDEX(ResponseSLA[#All],(MATCH((G765),ResponseSLA[Priority],0))+1,3)),"YES","No")</f>
        <v>No</v>
      </c>
      <c r="AI765" s="28" t="str">
        <f ca="1">_xlfn.IFNA(IF(AE765 &lt; (INDEX(SLATable[Minimum SLA],MATCH(G765,SLATable[Priority],0))),"YES","NO"),"")</f>
        <v>NO</v>
      </c>
      <c r="AJ765" s="28" t="str">
        <f ca="1">_xlfn.IFNA(IF(AE765 &lt; (INDEX(SLATable[Maximum SLA],MATCH(G765,SLATable[Priority],0))),"YES","NO"),"")</f>
        <v>NO</v>
      </c>
    </row>
    <row r="766" spans="2:36" s="58" customFormat="1">
      <c r="B766" s="58" t="s">
        <v>26</v>
      </c>
      <c r="C766" s="58" t="s">
        <v>35</v>
      </c>
      <c r="D766" s="58" t="s">
        <v>207</v>
      </c>
      <c r="E766" s="315" t="s">
        <v>2058</v>
      </c>
      <c r="F766" s="315" t="s">
        <v>295</v>
      </c>
      <c r="G766" s="58">
        <v>3</v>
      </c>
      <c r="H766" s="315" t="s">
        <v>1773</v>
      </c>
      <c r="I766" s="58" t="s">
        <v>271</v>
      </c>
      <c r="J766" s="315" t="s">
        <v>1583</v>
      </c>
      <c r="K766" s="310">
        <v>46198.118495370371</v>
      </c>
      <c r="L766" s="310">
        <v>46198.306608796294</v>
      </c>
      <c r="M766" s="310">
        <v>46198.306608796294</v>
      </c>
      <c r="N766" s="310">
        <v>46205.423773148148</v>
      </c>
      <c r="O766" s="310"/>
      <c r="P766" s="310"/>
      <c r="Q766" s="315" t="s">
        <v>695</v>
      </c>
      <c r="R766" s="58" t="s">
        <v>267</v>
      </c>
      <c r="S766" s="58" t="s">
        <v>149</v>
      </c>
      <c r="Z766" s="169">
        <f t="shared" ca="1" si="97"/>
        <v>1.9654398148146963</v>
      </c>
      <c r="AA766" s="170">
        <f t="shared" ca="1" si="98"/>
        <v>5.2411728395058566</v>
      </c>
      <c r="AB766" s="169">
        <f t="shared" ca="1" si="99"/>
        <v>1.9654398148146963</v>
      </c>
      <c r="AC766" s="170">
        <f t="shared" ca="1" si="100"/>
        <v>5.2411728395058566</v>
      </c>
      <c r="AD766" s="169">
        <f t="shared" ca="1" si="101"/>
        <v>0</v>
      </c>
      <c r="AE766" s="169">
        <f t="shared" ca="1" si="126"/>
        <v>18.391080671293221</v>
      </c>
      <c r="AF766" s="170">
        <f t="shared" ca="1" si="102"/>
        <v>49.042881790115253</v>
      </c>
      <c r="AG766" s="170">
        <f t="shared" ca="1" si="103"/>
        <v>49.042881790115253</v>
      </c>
      <c r="AH766" s="28" t="str" cm="1">
        <f t="array" aca="1" ref="AH766" ca="1">IF((AD766) &lt; (INDEX(ResponseSLA[#All],(MATCH((G766),ResponseSLA[Priority],0))+1,3)),"YES","No")</f>
        <v>YES</v>
      </c>
      <c r="AI766" s="28" t="str">
        <f ca="1">_xlfn.IFNA(IF(AE766 &lt; (INDEX(SLATable[Minimum SLA],MATCH(G766,SLATable[Priority],0))),"YES","NO"),"")</f>
        <v>NO</v>
      </c>
      <c r="AJ766" s="28" t="str">
        <f ca="1">_xlfn.IFNA(IF(AE766 &lt; (INDEX(SLATable[Maximum SLA],MATCH(G766,SLATable[Priority],0))),"YES","NO"),"")</f>
        <v>NO</v>
      </c>
    </row>
    <row r="767" spans="2:36" s="58" customFormat="1">
      <c r="B767" s="58" t="s">
        <v>26</v>
      </c>
      <c r="C767" s="58" t="s">
        <v>35</v>
      </c>
      <c r="D767" s="58" t="s">
        <v>207</v>
      </c>
      <c r="E767" s="315" t="s">
        <v>2059</v>
      </c>
      <c r="F767" s="315" t="s">
        <v>295</v>
      </c>
      <c r="G767" s="58">
        <v>3</v>
      </c>
      <c r="H767" s="315" t="s">
        <v>2060</v>
      </c>
      <c r="I767" s="58" t="s">
        <v>271</v>
      </c>
      <c r="J767" s="315" t="s">
        <v>1583</v>
      </c>
      <c r="K767" s="310">
        <v>46197.955381944441</v>
      </c>
      <c r="L767" s="310">
        <v>46198.344537037039</v>
      </c>
      <c r="M767" s="310">
        <v>46198.344537037039</v>
      </c>
      <c r="N767" s="310">
        <v>46205.424467592595</v>
      </c>
      <c r="O767" s="310"/>
      <c r="P767" s="310"/>
      <c r="Q767" s="315" t="s">
        <v>695</v>
      </c>
      <c r="R767" s="58" t="s">
        <v>267</v>
      </c>
      <c r="S767" s="58" t="s">
        <v>190</v>
      </c>
      <c r="Z767" s="169">
        <f t="shared" ca="1" si="97"/>
        <v>1.9661342592614046</v>
      </c>
      <c r="AA767" s="170">
        <f t="shared" ca="1" si="98"/>
        <v>5.2430246913637459</v>
      </c>
      <c r="AB767" s="169">
        <f t="shared" ca="1" si="99"/>
        <v>1.9549305555556202</v>
      </c>
      <c r="AC767" s="170">
        <f t="shared" ca="1" si="100"/>
        <v>5.2131481481483206</v>
      </c>
      <c r="AD767" s="169">
        <f t="shared" ca="1" si="101"/>
        <v>0</v>
      </c>
      <c r="AE767" s="169">
        <f t="shared" ca="1" si="126"/>
        <v>18.380571412034143</v>
      </c>
      <c r="AF767" s="170">
        <f t="shared" ca="1" si="102"/>
        <v>49.014857098757716</v>
      </c>
      <c r="AG767" s="170">
        <f t="shared" ca="1" si="103"/>
        <v>49.014857098757716</v>
      </c>
      <c r="AH767" s="28" t="str" cm="1">
        <f t="array" aca="1" ref="AH767" ca="1">IF((AD767) &lt; (INDEX(ResponseSLA[#All],(MATCH((G767),ResponseSLA[Priority],0))+1,3)),"YES","No")</f>
        <v>YES</v>
      </c>
      <c r="AI767" s="28" t="str">
        <f ca="1">_xlfn.IFNA(IF(AE767 &lt; (INDEX(SLATable[Minimum SLA],MATCH(G767,SLATable[Priority],0))),"YES","NO"),"")</f>
        <v>NO</v>
      </c>
      <c r="AJ767" s="28" t="str">
        <f ca="1">_xlfn.IFNA(IF(AE767 &lt; (INDEX(SLATable[Maximum SLA],MATCH(G767,SLATable[Priority],0))),"YES","NO"),"")</f>
        <v>NO</v>
      </c>
    </row>
    <row r="768" spans="2:36" s="58" customFormat="1">
      <c r="B768" s="58" t="s">
        <v>26</v>
      </c>
      <c r="C768" s="58" t="s">
        <v>35</v>
      </c>
      <c r="D768" s="58" t="s">
        <v>207</v>
      </c>
      <c r="E768" s="315" t="s">
        <v>2061</v>
      </c>
      <c r="F768" s="315" t="s">
        <v>295</v>
      </c>
      <c r="G768" s="58">
        <v>3</v>
      </c>
      <c r="H768" s="315" t="s">
        <v>1051</v>
      </c>
      <c r="I768" s="58" t="s">
        <v>271</v>
      </c>
      <c r="J768" s="315" t="s">
        <v>1583</v>
      </c>
      <c r="K768" s="310">
        <v>46197.903634259259</v>
      </c>
      <c r="L768" s="310">
        <v>46198.344259259262</v>
      </c>
      <c r="M768" s="310">
        <v>46198.344259259262</v>
      </c>
      <c r="N768" s="310">
        <v>46205.425115740742</v>
      </c>
      <c r="O768" s="310"/>
      <c r="P768" s="310"/>
      <c r="Q768" s="315" t="s">
        <v>695</v>
      </c>
      <c r="R768" s="58" t="s">
        <v>267</v>
      </c>
      <c r="S768" s="58" t="s">
        <v>190</v>
      </c>
      <c r="Z768" s="169">
        <f t="shared" ca="1" si="97"/>
        <v>1.96678240740827</v>
      </c>
      <c r="AA768" s="170">
        <f t="shared" ca="1" si="98"/>
        <v>5.2447530864220537</v>
      </c>
      <c r="AB768" s="169">
        <f t="shared" ca="1" si="99"/>
        <v>1.9558564814797137</v>
      </c>
      <c r="AC768" s="170">
        <f t="shared" ca="1" si="100"/>
        <v>5.2156172839459032</v>
      </c>
      <c r="AD768" s="169">
        <f t="shared" ca="1" si="101"/>
        <v>0</v>
      </c>
      <c r="AE768" s="169">
        <f t="shared" ca="1" si="126"/>
        <v>18.381497337958237</v>
      </c>
      <c r="AF768" s="170">
        <f t="shared" ca="1" si="102"/>
        <v>49.017326234555298</v>
      </c>
      <c r="AG768" s="170">
        <f t="shared" ca="1" si="103"/>
        <v>49.017326234555298</v>
      </c>
      <c r="AH768" s="28" t="str" cm="1">
        <f t="array" aca="1" ref="AH768" ca="1">IF((AD768) &lt; (INDEX(ResponseSLA[#All],(MATCH((G768),ResponseSLA[Priority],0))+1,3)),"YES","No")</f>
        <v>YES</v>
      </c>
      <c r="AI768" s="28" t="str">
        <f ca="1">_xlfn.IFNA(IF(AE768 &lt; (INDEX(SLATable[Minimum SLA],MATCH(G768,SLATable[Priority],0))),"YES","NO"),"")</f>
        <v>NO</v>
      </c>
      <c r="AJ768" s="28" t="str">
        <f ca="1">_xlfn.IFNA(IF(AE768 &lt; (INDEX(SLATable[Maximum SLA],MATCH(G768,SLATable[Priority],0))),"YES","NO"),"")</f>
        <v>NO</v>
      </c>
    </row>
    <row r="769" spans="2:36" s="58" customFormat="1">
      <c r="B769" s="58" t="s">
        <v>26</v>
      </c>
      <c r="C769" s="58" t="s">
        <v>35</v>
      </c>
      <c r="D769" s="58" t="s">
        <v>207</v>
      </c>
      <c r="E769" s="58" t="s">
        <v>2487</v>
      </c>
      <c r="F769" s="58" t="s">
        <v>292</v>
      </c>
      <c r="G769" s="58">
        <v>4</v>
      </c>
      <c r="H769" s="127" t="s">
        <v>2488</v>
      </c>
      <c r="I769" s="58" t="s">
        <v>271</v>
      </c>
      <c r="J769" s="127" t="s">
        <v>1619</v>
      </c>
      <c r="K769" s="307">
        <v>46213.629861111112</v>
      </c>
      <c r="L769" s="307">
        <v>46218.488275462965</v>
      </c>
      <c r="M769" s="307">
        <v>46218.503379629627</v>
      </c>
      <c r="N769" s="307">
        <v>46225.533634259256</v>
      </c>
      <c r="O769" s="307">
        <v>46219.415995370371</v>
      </c>
      <c r="P769" s="307">
        <v>46224.747199074074</v>
      </c>
      <c r="Q769" s="58" t="s">
        <v>1073</v>
      </c>
      <c r="R769" s="58" t="s">
        <v>267</v>
      </c>
      <c r="S769" s="58" t="s">
        <v>190</v>
      </c>
      <c r="U769" s="58" t="s">
        <v>371</v>
      </c>
      <c r="Z769" s="169">
        <f t="shared" ca="1" si="97"/>
        <v>1.4864351851817146</v>
      </c>
      <c r="AA769" s="170">
        <f t="shared" ca="1" si="98"/>
        <v>3.9638271604845721</v>
      </c>
      <c r="AB769" s="169">
        <f t="shared" ca="1" si="99"/>
        <v>0.5030208333288706</v>
      </c>
      <c r="AC769" s="170">
        <f t="shared" ca="1" si="100"/>
        <v>1.3413888888769883</v>
      </c>
      <c r="AD769" s="169">
        <f t="shared" ca="1" si="101"/>
        <v>1.5104166661330964E-2</v>
      </c>
      <c r="AE769" s="169">
        <f t="shared" ca="1" si="126"/>
        <v>0.5030208333288706</v>
      </c>
      <c r="AF769" s="170">
        <f t="shared" ca="1" si="102"/>
        <v>1.3413888888769883</v>
      </c>
      <c r="AG769" s="170">
        <f t="shared" ca="1" si="103"/>
        <v>1.3413888888769883</v>
      </c>
      <c r="AH769" s="28" t="str" cm="1">
        <f t="array" aca="1" ref="AH769" ca="1">IF((AD769) &lt; (INDEX(ResponseSLA[#All],(MATCH((G769),ResponseSLA[Priority],0))+1,3)),"YES","No")</f>
        <v>YES</v>
      </c>
      <c r="AI769" s="28" t="str">
        <f ca="1">_xlfn.IFNA(IF(AE769 &lt; (INDEX(SLATable[Minimum SLA],MATCH(G769,SLATable[Priority],0))),"YES","NO"),"")</f>
        <v>YES</v>
      </c>
      <c r="AJ769" s="28" t="str">
        <f ca="1">_xlfn.IFNA(IF(AE769 &lt; (INDEX(SLATable[Maximum SLA],MATCH(G769,SLATable[Priority],0))),"YES","NO"),"")</f>
        <v>YES</v>
      </c>
    </row>
    <row r="770" spans="2:36" s="58" customFormat="1">
      <c r="B770" s="58" t="s">
        <v>26</v>
      </c>
      <c r="C770" s="58" t="s">
        <v>35</v>
      </c>
      <c r="D770" s="58" t="s">
        <v>207</v>
      </c>
      <c r="E770" s="58" t="s">
        <v>2489</v>
      </c>
      <c r="F770" s="58" t="s">
        <v>292</v>
      </c>
      <c r="G770" s="58">
        <v>4</v>
      </c>
      <c r="H770" s="127" t="s">
        <v>2490</v>
      </c>
      <c r="I770" s="58" t="s">
        <v>271</v>
      </c>
      <c r="J770" s="127" t="s">
        <v>1619</v>
      </c>
      <c r="K770" s="307">
        <v>46205.553703703707</v>
      </c>
      <c r="L770" s="307">
        <v>46218.486030092594</v>
      </c>
      <c r="M770" s="307">
        <v>46218.503703703704</v>
      </c>
      <c r="N770" s="307">
        <v>46227.414097222223</v>
      </c>
      <c r="O770" s="307">
        <v>46219.413773148146</v>
      </c>
      <c r="P770" s="307">
        <v>46227.414097222223</v>
      </c>
      <c r="Q770" s="58" t="s">
        <v>1073</v>
      </c>
      <c r="R770" s="58" t="s">
        <v>267</v>
      </c>
      <c r="S770" s="58" t="s">
        <v>190</v>
      </c>
      <c r="U770" s="58" t="s">
        <v>371</v>
      </c>
      <c r="Z770" s="169">
        <f t="shared" ca="1" si="97"/>
        <v>3.6100694444394326</v>
      </c>
      <c r="AA770" s="170">
        <f t="shared" ca="1" si="98"/>
        <v>9.626851851838488</v>
      </c>
      <c r="AB770" s="169">
        <f t="shared" ca="1" si="99"/>
        <v>0.30274305555212777</v>
      </c>
      <c r="AC770" s="170">
        <f t="shared" ca="1" si="100"/>
        <v>0.80731481480567402</v>
      </c>
      <c r="AD770" s="169">
        <f t="shared" ca="1" si="101"/>
        <v>1.767361110978527E-2</v>
      </c>
      <c r="AE770" s="169">
        <f t="shared" ca="1" si="126"/>
        <v>0.30274305555212777</v>
      </c>
      <c r="AF770" s="170">
        <f t="shared" ca="1" si="102"/>
        <v>0.80731481480567402</v>
      </c>
      <c r="AG770" s="170">
        <f t="shared" ca="1" si="103"/>
        <v>0.80731481480567402</v>
      </c>
      <c r="AH770" s="28" t="str" cm="1">
        <f t="array" aca="1" ref="AH770" ca="1">IF((AD770) &lt; (INDEX(ResponseSLA[#All],(MATCH((G770),ResponseSLA[Priority],0))+1,3)),"YES","No")</f>
        <v>YES</v>
      </c>
      <c r="AI770" s="28" t="str">
        <f ca="1">_xlfn.IFNA(IF(AE770 &lt; (INDEX(SLATable[Minimum SLA],MATCH(G770,SLATable[Priority],0))),"YES","NO"),"")</f>
        <v>YES</v>
      </c>
      <c r="AJ770" s="28" t="str">
        <f ca="1">_xlfn.IFNA(IF(AE770 &lt; (INDEX(SLATable[Maximum SLA],MATCH(G770,SLATable[Priority],0))),"YES","NO"),"")</f>
        <v>YES</v>
      </c>
    </row>
    <row r="771" spans="2:36" s="58" customFormat="1">
      <c r="B771" s="58" t="s">
        <v>26</v>
      </c>
      <c r="C771" s="58" t="s">
        <v>35</v>
      </c>
      <c r="D771" s="58" t="s">
        <v>208</v>
      </c>
      <c r="E771" s="58" t="s">
        <v>2491</v>
      </c>
      <c r="F771" s="58" t="s">
        <v>292</v>
      </c>
      <c r="G771" s="58" t="s">
        <v>208</v>
      </c>
      <c r="H771" s="127" t="s">
        <v>2492</v>
      </c>
      <c r="I771" s="58" t="s">
        <v>271</v>
      </c>
      <c r="J771" s="127" t="s">
        <v>1619</v>
      </c>
      <c r="K771" s="307">
        <v>46216.450254629628</v>
      </c>
      <c r="L771" s="307">
        <v>46216.450370370374</v>
      </c>
      <c r="M771" s="307">
        <v>46217.297743055555</v>
      </c>
      <c r="N771" s="307">
        <v>46220.56994212963</v>
      </c>
      <c r="O771" s="307">
        <v>46219.467557870368</v>
      </c>
      <c r="P771" s="307">
        <v>46220.56994212963</v>
      </c>
      <c r="Q771" s="58" t="s">
        <v>1276</v>
      </c>
      <c r="R771" s="58" t="s">
        <v>267</v>
      </c>
      <c r="S771" s="58" t="s">
        <v>179</v>
      </c>
      <c r="Z771" s="169">
        <f t="shared" ca="1" si="97"/>
        <v>1.1423032407401479</v>
      </c>
      <c r="AA771" s="170">
        <f t="shared" ca="1" si="98"/>
        <v>3.0461419753070609</v>
      </c>
      <c r="AB771" s="169">
        <f t="shared" ca="1" si="99"/>
        <v>1.1421874999941792</v>
      </c>
      <c r="AC771" s="170">
        <f t="shared" ca="1" si="100"/>
        <v>3.0458333333178111</v>
      </c>
      <c r="AD771" s="169">
        <f t="shared" ca="1" si="101"/>
        <v>0.25796296295933041</v>
      </c>
      <c r="AE771" s="169">
        <f t="shared" ca="1" si="126"/>
        <v>1.1421874999941792</v>
      </c>
      <c r="AF771" s="170">
        <f t="shared" ca="1" si="102"/>
        <v>3.0458333333178111</v>
      </c>
      <c r="AG771" s="170">
        <f t="shared" ca="1" si="103"/>
        <v>3.0458333333178111</v>
      </c>
      <c r="AH771" s="28" t="str" cm="1">
        <f t="array" aca="1" ref="AH771" ca="1">IF((AD771) &lt; (INDEX(ResponseSLA[#All],(MATCH((G771),ResponseSLA[Priority],0))+1,3)),"YES","No")</f>
        <v>YES</v>
      </c>
      <c r="AI771" s="28" t="str">
        <f ca="1">_xlfn.IFNA(IF(AE771 &lt; (INDEX(SLATable[Minimum SLA],MATCH(G771,SLATable[Priority],0))),"YES","NO"),"")</f>
        <v>NO</v>
      </c>
      <c r="AJ771" s="28" t="str">
        <f ca="1">_xlfn.IFNA(IF(AE771 &lt; (INDEX(SLATable[Maximum SLA],MATCH(G771,SLATable[Priority],0))),"YES","NO"),"")</f>
        <v>NO</v>
      </c>
    </row>
    <row r="772" spans="2:36" s="58" customFormat="1">
      <c r="B772" s="58" t="s">
        <v>26</v>
      </c>
      <c r="C772" s="58" t="s">
        <v>35</v>
      </c>
      <c r="D772" s="58" t="s">
        <v>207</v>
      </c>
      <c r="E772" s="312" t="s">
        <v>2493</v>
      </c>
      <c r="F772" s="58" t="s">
        <v>295</v>
      </c>
      <c r="G772" s="58">
        <v>4</v>
      </c>
      <c r="H772" s="315" t="s">
        <v>2342</v>
      </c>
      <c r="I772" s="58" t="s">
        <v>271</v>
      </c>
      <c r="J772" s="315" t="s">
        <v>1583</v>
      </c>
      <c r="K772" s="307">
        <v>46218.155138888891</v>
      </c>
      <c r="L772" s="310">
        <v>46218.268738425926</v>
      </c>
      <c r="M772" s="310">
        <v>46218.268750000003</v>
      </c>
      <c r="N772" s="310">
        <v>46219.426192129627</v>
      </c>
      <c r="O772" s="310"/>
      <c r="P772" s="307"/>
      <c r="Q772" s="315" t="s">
        <v>1211</v>
      </c>
      <c r="R772" s="58" t="s">
        <v>267</v>
      </c>
      <c r="S772" s="58" t="s">
        <v>149</v>
      </c>
      <c r="U772" s="58" t="s">
        <v>371</v>
      </c>
      <c r="Z772" s="169">
        <f t="shared" ref="Z772:Z811" ca="1" si="134">IF(NOT(OR(G772=1,G772=2)),MAX(0,_xlfn.IFS(AND(K772&lt;&gt;"",N772&lt;&gt;""),((MAX(NETWORKDAYS(K772,N772,UKBankHolidays)-1,0))*(TIME(17,0,0)-TIME(8,0,0))+IF(NETWORKDAYS(N772,N772,UKBankHolidays)&gt;0,MEDIAN(TIME(8,0,0),MOD(N772,1),TIME(17,0,0)),TIME(8,0,0))-IF(NETWORKDAYS(K772,K772,UKBankHolidays)&gt;0,MEDIAN(TIME(8,0,0),MOD(K772,1),TIME(17,0,0)),TIME(8,0,0)))-IF(AND(O772&lt;&gt;"",P772&lt;&gt;""),((MAX(NETWORKDAYS(O772,P772,UKBankHolidays)-1,0))*(TIME(17,0,0)-TIME(8,0,0))+IF(NETWORKDAYS(P772,P772,UKBankHolidays)&gt;0,MEDIAN(TIME(8,0,0),MOD(P772,1),TIME(17,0,0)),TIME(8,0,0))-IF(NETWORKDAYS(O772,O772,UKBankHolidays)&gt;0,MEDIAN(TIME(8,0,0),MOD(O772,1),TIME(17,0,0)),TIME(8,0,0))),0),AND(K772&lt;&gt;"",N772=""),((MAX(NETWORKDAYS(K772,NOW(),UKBankHolidays)-1,0))*(TIME(17,0,0)-TIME(8,0,0))+IF(NETWORKDAYS(NOW(),NOW(),UKBankHolidays)&gt;0,MEDIAN(TIME(8,0,0),MOD(NOW(),1),TIME(17,0,0)),TIME(8,0,0))-IF(NETWORKDAYS(K772,K772,UKBankHolidays)&gt;0,MEDIAN(TIME(8,0,0),MOD(K772,1),TIME(17,0,0)),TIME(8,0,0))))),IF(N772="",NOW()-K772,N772-K772))</f>
        <v>0.46785879629411892</v>
      </c>
      <c r="AA772" s="170">
        <f t="shared" ref="AA772:AA811" ca="1" si="135">(Z772*24)/9</f>
        <v>1.247623456784317</v>
      </c>
      <c r="AB772" s="169">
        <f t="shared" ref="AB772:AB811" ca="1" si="136">IF(NOT(OR(G772=1,G772=2)),MAX(0,_xlfn.IFS(AND(K772&lt;&gt;"",N772&lt;&gt;""),(((MAX(NETWORKDAYS(L772,N772,UKBankHolidays)-1,0))*(TIME(17,0,0)-TIME(8,0,0)))+IF(NETWORKDAYS(N772,N772,UKBankHolidays)&gt;0,MEDIAN(TIME(8,0,0),MOD(N772,1),TIME(17,0,0)),TIME(8,0,0))-IF(NETWORKDAYS(L772,L772,UKBankHolidays)&gt;0,MEDIAN(TIME(8,0,0),MOD(L772,1),TIME(17,0,0)),TIME(8,0,0)))-IF(AND(O772&lt;&gt;"",P772&lt;&gt;""),(((MAX(NETWORKDAYS(O772,P772,UKBankHolidays)-1,0))*(TIME(17,0,0)-TIME(8,0,0)))+IF(NETWORKDAYS(P772,P772,UKBankHolidays)&gt;0,MEDIAN(TIME(8,0,0),MOD(P772,1),TIME(17,0,0)),TIME(8,0,0))-IF(NETWORKDAYS(O772,O772,UKBankHolidays)&gt;0,MEDIAN(TIME(8,0,0),MOD(O772,1),TIME(17,0,0)),TIME(8,0,0))),0),AND(L772&lt;&gt;"",N772="",O772=""),(((MAX(NETWORKDAYS(L772,NOW(),UKBankHolidays)-1,0))*(TIME(17,0,0)-TIME(8,0,0)))+IF(NETWORKDAYS(NOW(),NOW(),UKBankHolidays)&gt;0,MEDIAN(TIME(8,0,0),MOD(NOW(),1),TIME(17,0,0)),TIME(8,0,0))-IF(NETWORKDAYS(L772,L772,UKBankHolidays)&gt;0,MEDIAN(TIME(8,0,0),MOD(L772,1),TIME(17,0,0)),TIME(8,0,0)))-IF(AND(O772&lt;&gt;"",P772&lt;&gt;""),(((MAX(NETWORKDAYS(O772,P772,UKBankHolidays)-1,0))*(TIME(17,0,0)-TIME(8,0,0)))+IF(NETWORKDAYS(P772,P772,UKBankHolidays)&gt;0,MEDIAN(TIME(8,0,0),MOD(P772,1),TIME(17,0,0)),TIME(8,0,0))-IF(NETWORKDAYS(O772,O772,UKBankHolidays)&gt;0,MEDIAN(TIME(8,0,0),MOD(O772,1),TIME(17,0,0)),TIME(8,0,0))),0),AND(L772&lt;&gt;"",N772="",P772="",O772&lt;&gt;""),(((MAX(NETWORKDAYS(L772,O772,UKBankHolidays)-1,0))*(TIME(17,0,0)-TIME(8,0,0)))+IF(NETWORKDAYS(O772,O772,UKBankHolidays)&gt;0,MEDIAN(TIME(8,0,0),MOD(O772,1),TIME(17,0,0)),TIME(8,0,0))-IF(NETWORKDAYS(L772,L772,UKBankHolidays)&gt;0,MEDIAN(TIME(8,0,0),MOD(L772,1),TIME(17,0,0)),TIME(8,0,0))),ISBLANK(K772),"0")),IF(ISBLANK(N772),NOW()-L772,N772-L772))</f>
        <v>0.46785879629411892</v>
      </c>
      <c r="AC772" s="170">
        <f t="shared" ref="AC772:AC811" ca="1" si="137">(AB772*24)/9</f>
        <v>1.247623456784317</v>
      </c>
      <c r="AD772" s="169">
        <f t="shared" ref="AD772:AD811" ca="1" si="138">MAX(0,IF(NOT(OR(G772=1,G772=2)),IF(M772&lt;&gt;"",((MAX(NETWORKDAYS(L772,M772,UKBankHolidays)-1,0))*(TIME(17,0,0)-TIME(8,0,0))+IF(NETWORKDAYS(M772,M772,UKBankHolidays)&gt;0,MEDIAN(TIME(8,0,0),MOD(M772,1),TIME(17,0,0)),TIME(8,0,0))-MEDIAN(TIME(8,0,0),MOD(L772,1),TIME(17,0,0))),((MAX(NETWORKDAYS(L772,NOW(),UKBankHolidays)-1,0))*(TIME(17,0,0)-TIME(8,0,0))+IF(NETWORKDAYS(NOW(),NOW(),UKBankHolidays)&gt;0,MEDIAN(TIME(8,0,0),MOD(NOW(),1),TIME(17,0,0)),TIME(8,0,0))-MEDIAN(TIME(8,0,0),MOD(L772,1),TIME(17,0,0)))),IF(M772&lt;&gt;"",M772-L772,NOW()-L772)))</f>
        <v>0</v>
      </c>
      <c r="AE772" s="169">
        <f t="shared" ca="1" si="126"/>
        <v>0.46785879629411892</v>
      </c>
      <c r="AF772" s="170">
        <f t="shared" ref="AF772:AF811" ca="1" si="139">(AE772*24)/9</f>
        <v>1.247623456784317</v>
      </c>
      <c r="AG772" s="170">
        <f t="shared" ref="AG772:AG811" ca="1" si="140">AF772</f>
        <v>1.247623456784317</v>
      </c>
      <c r="AH772" s="28" t="str" cm="1">
        <f t="array" aca="1" ref="AH772" ca="1">IF((AD772) &lt; (INDEX(ResponseSLA[#All],(MATCH((G772),ResponseSLA[Priority],0))+1,3)),"YES","No")</f>
        <v>YES</v>
      </c>
      <c r="AI772" s="28" t="str">
        <f ca="1">_xlfn.IFNA(IF(AE772 &lt; (INDEX(SLATable[Minimum SLA],MATCH(G772,SLATable[Priority],0))),"YES","NO"),"")</f>
        <v>YES</v>
      </c>
      <c r="AJ772" s="28" t="str">
        <f ca="1">_xlfn.IFNA(IF(AE772 &lt; (INDEX(SLATable[Maximum SLA],MATCH(G772,SLATable[Priority],0))),"YES","NO"),"")</f>
        <v>YES</v>
      </c>
    </row>
    <row r="773" spans="2:36" s="58" customFormat="1">
      <c r="B773" s="58" t="s">
        <v>26</v>
      </c>
      <c r="C773" s="58" t="s">
        <v>35</v>
      </c>
      <c r="D773" s="58" t="s">
        <v>207</v>
      </c>
      <c r="E773" s="312" t="s">
        <v>2494</v>
      </c>
      <c r="F773" s="58" t="s">
        <v>295</v>
      </c>
      <c r="G773" s="58">
        <v>3</v>
      </c>
      <c r="H773" s="315" t="s">
        <v>2495</v>
      </c>
      <c r="I773" s="58" t="s">
        <v>271</v>
      </c>
      <c r="J773" s="315" t="s">
        <v>1583</v>
      </c>
      <c r="K773" s="307">
        <v>46218.055925925924</v>
      </c>
      <c r="L773" s="310">
        <v>46218.274201388886</v>
      </c>
      <c r="M773" s="310">
        <v>46218.274212962962</v>
      </c>
      <c r="N773" s="310">
        <v>46219.427164351851</v>
      </c>
      <c r="O773" s="310"/>
      <c r="P773" s="307"/>
      <c r="Q773" s="315" t="s">
        <v>1148</v>
      </c>
      <c r="R773" s="58" t="s">
        <v>267</v>
      </c>
      <c r="S773" s="58" t="s">
        <v>149</v>
      </c>
      <c r="U773" s="58" t="s">
        <v>371</v>
      </c>
      <c r="Z773" s="169">
        <f t="shared" ca="1" si="134"/>
        <v>0.46883101851805503</v>
      </c>
      <c r="AA773" s="170">
        <f t="shared" ca="1" si="135"/>
        <v>1.25021604938148</v>
      </c>
      <c r="AB773" s="169">
        <f t="shared" ca="1" si="136"/>
        <v>0.46883101851805503</v>
      </c>
      <c r="AC773" s="170">
        <f t="shared" ca="1" si="137"/>
        <v>1.25021604938148</v>
      </c>
      <c r="AD773" s="169">
        <f t="shared" ca="1" si="138"/>
        <v>0</v>
      </c>
      <c r="AE773" s="169">
        <f t="shared" ca="1" si="126"/>
        <v>0.46883101851805503</v>
      </c>
      <c r="AF773" s="170">
        <f t="shared" ca="1" si="139"/>
        <v>1.25021604938148</v>
      </c>
      <c r="AG773" s="170">
        <f t="shared" ca="1" si="140"/>
        <v>1.25021604938148</v>
      </c>
      <c r="AH773" s="28" t="str" cm="1">
        <f t="array" aca="1" ref="AH773" ca="1">IF((AD773) &lt; (INDEX(ResponseSLA[#All],(MATCH((G773),ResponseSLA[Priority],0))+1,3)),"YES","No")</f>
        <v>YES</v>
      </c>
      <c r="AI773" s="28" t="str">
        <f ca="1">_xlfn.IFNA(IF(AE773 &lt; (INDEX(SLATable[Minimum SLA],MATCH(G773,SLATable[Priority],0))),"YES","NO"),"")</f>
        <v>NO</v>
      </c>
      <c r="AJ773" s="28" t="str">
        <f ca="1">_xlfn.IFNA(IF(AE773 &lt; (INDEX(SLATable[Maximum SLA],MATCH(G773,SLATable[Priority],0))),"YES","NO"),"")</f>
        <v>YES</v>
      </c>
    </row>
    <row r="774" spans="2:36" s="58" customFormat="1">
      <c r="B774" s="58" t="s">
        <v>26</v>
      </c>
      <c r="C774" s="58" t="s">
        <v>35</v>
      </c>
      <c r="D774" s="58" t="s">
        <v>207</v>
      </c>
      <c r="E774" s="312" t="s">
        <v>2496</v>
      </c>
      <c r="F774" s="58" t="s">
        <v>289</v>
      </c>
      <c r="G774" s="58">
        <v>4</v>
      </c>
      <c r="H774" s="315" t="s">
        <v>2497</v>
      </c>
      <c r="I774" s="58" t="s">
        <v>271</v>
      </c>
      <c r="J774" s="315" t="s">
        <v>1583</v>
      </c>
      <c r="K774" s="307">
        <v>46217.054537037038</v>
      </c>
      <c r="L774" s="310">
        <v>46217.269872685189</v>
      </c>
      <c r="M774" s="310">
        <v>46217.269884259258</v>
      </c>
      <c r="N774" s="310">
        <v>46217.40587962963</v>
      </c>
      <c r="O774" s="310"/>
      <c r="P774" s="307"/>
      <c r="Q774" s="315" t="s">
        <v>1065</v>
      </c>
      <c r="R774" s="58" t="s">
        <v>267</v>
      </c>
      <c r="S774" s="58" t="s">
        <v>161</v>
      </c>
      <c r="U774" s="58" t="s">
        <v>371</v>
      </c>
      <c r="Z774" s="169">
        <f t="shared" ca="1" si="134"/>
        <v>7.25462962970293E-2</v>
      </c>
      <c r="AA774" s="170">
        <f t="shared" ca="1" si="135"/>
        <v>0.19345679012541148</v>
      </c>
      <c r="AB774" s="169">
        <f t="shared" ca="1" si="136"/>
        <v>7.25462962970293E-2</v>
      </c>
      <c r="AC774" s="170">
        <f t="shared" ca="1" si="137"/>
        <v>0.19345679012541148</v>
      </c>
      <c r="AD774" s="169">
        <f t="shared" ca="1" si="138"/>
        <v>0</v>
      </c>
      <c r="AE774" s="169">
        <f t="shared" ca="1" si="126"/>
        <v>7.25462962970293E-2</v>
      </c>
      <c r="AF774" s="170">
        <f t="shared" ca="1" si="139"/>
        <v>0.19345679012541148</v>
      </c>
      <c r="AG774" s="170">
        <f t="shared" ca="1" si="140"/>
        <v>0.19345679012541148</v>
      </c>
      <c r="AH774" s="28" t="str" cm="1">
        <f t="array" aca="1" ref="AH774" ca="1">IF((AD774) &lt; (INDEX(ResponseSLA[#All],(MATCH((G774),ResponseSLA[Priority],0))+1,3)),"YES","No")</f>
        <v>YES</v>
      </c>
      <c r="AI774" s="28" t="str">
        <f ca="1">_xlfn.IFNA(IF(AE774 &lt; (INDEX(SLATable[Minimum SLA],MATCH(G774,SLATable[Priority],0))),"YES","NO"),"")</f>
        <v>YES</v>
      </c>
      <c r="AJ774" s="28" t="str">
        <f ca="1">_xlfn.IFNA(IF(AE774 &lt; (INDEX(SLATable[Maximum SLA],MATCH(G774,SLATable[Priority],0))),"YES","NO"),"")</f>
        <v>YES</v>
      </c>
    </row>
    <row r="775" spans="2:36" s="58" customFormat="1">
      <c r="B775" s="58" t="s">
        <v>26</v>
      </c>
      <c r="C775" s="58" t="s">
        <v>35</v>
      </c>
      <c r="D775" s="58" t="s">
        <v>207</v>
      </c>
      <c r="E775" s="312" t="s">
        <v>2483</v>
      </c>
      <c r="F775" s="58" t="s">
        <v>289</v>
      </c>
      <c r="G775" s="58">
        <v>4</v>
      </c>
      <c r="H775" s="315" t="s">
        <v>2484</v>
      </c>
      <c r="I775" s="58" t="s">
        <v>271</v>
      </c>
      <c r="J775" s="315" t="s">
        <v>1583</v>
      </c>
      <c r="K775" s="307">
        <v>46214.602719907409</v>
      </c>
      <c r="L775" s="310">
        <v>46216.282349537039</v>
      </c>
      <c r="M775" s="310">
        <v>46216.282407407409</v>
      </c>
      <c r="N775" s="310">
        <v>46217.40357638889</v>
      </c>
      <c r="O775" s="310"/>
      <c r="P775" s="307"/>
      <c r="Q775" s="315" t="s">
        <v>1104</v>
      </c>
      <c r="R775" s="58" t="s">
        <v>267</v>
      </c>
      <c r="S775" s="58" t="s">
        <v>149</v>
      </c>
      <c r="U775" s="58" t="s">
        <v>371</v>
      </c>
      <c r="Z775" s="169">
        <f t="shared" ca="1" si="134"/>
        <v>0.44524305555629934</v>
      </c>
      <c r="AA775" s="170">
        <f t="shared" ca="1" si="135"/>
        <v>1.1873148148167982</v>
      </c>
      <c r="AB775" s="169">
        <f t="shared" ca="1" si="136"/>
        <v>0.44524305555629934</v>
      </c>
      <c r="AC775" s="170">
        <f t="shared" ca="1" si="137"/>
        <v>1.1873148148167982</v>
      </c>
      <c r="AD775" s="169">
        <f t="shared" ca="1" si="138"/>
        <v>0</v>
      </c>
      <c r="AE775" s="169">
        <f t="shared" ca="1" si="126"/>
        <v>0.44524305555629934</v>
      </c>
      <c r="AF775" s="170">
        <f t="shared" ca="1" si="139"/>
        <v>1.1873148148167982</v>
      </c>
      <c r="AG775" s="170">
        <f t="shared" ca="1" si="140"/>
        <v>1.1873148148167982</v>
      </c>
      <c r="AH775" s="28" t="str" cm="1">
        <f t="array" aca="1" ref="AH775" ca="1">IF((AD775) &lt; (INDEX(ResponseSLA[#All],(MATCH((G775),ResponseSLA[Priority],0))+1,3)),"YES","No")</f>
        <v>YES</v>
      </c>
      <c r="AI775" s="28" t="str">
        <f ca="1">_xlfn.IFNA(IF(AE775 &lt; (INDEX(SLATable[Minimum SLA],MATCH(G775,SLATable[Priority],0))),"YES","NO"),"")</f>
        <v>YES</v>
      </c>
      <c r="AJ775" s="28" t="str">
        <f ca="1">_xlfn.IFNA(IF(AE775 &lt; (INDEX(SLATable[Maximum SLA],MATCH(G775,SLATable[Priority],0))),"YES","NO"),"")</f>
        <v>YES</v>
      </c>
    </row>
    <row r="776" spans="2:36" s="58" customFormat="1">
      <c r="B776" s="58" t="s">
        <v>26</v>
      </c>
      <c r="C776" s="58" t="s">
        <v>35</v>
      </c>
      <c r="D776" s="58" t="s">
        <v>207</v>
      </c>
      <c r="E776" s="312" t="s">
        <v>2485</v>
      </c>
      <c r="F776" s="58" t="s">
        <v>289</v>
      </c>
      <c r="G776" s="58">
        <v>4</v>
      </c>
      <c r="H776" s="315" t="s">
        <v>2486</v>
      </c>
      <c r="I776" s="58" t="s">
        <v>271</v>
      </c>
      <c r="J776" s="315" t="s">
        <v>1583</v>
      </c>
      <c r="K776" s="307">
        <v>46204.756527777776</v>
      </c>
      <c r="L776" s="310">
        <v>46205.306331018517</v>
      </c>
      <c r="M776" s="310">
        <v>46205.306388888886</v>
      </c>
      <c r="N776" s="310">
        <v>46213.447106481479</v>
      </c>
      <c r="O776" s="310">
        <v>46212.348923611113</v>
      </c>
      <c r="P776" s="310">
        <v>46213.447106481479</v>
      </c>
      <c r="Q776" s="315" t="s">
        <v>1098</v>
      </c>
      <c r="R776" s="58" t="s">
        <v>267</v>
      </c>
      <c r="S776" s="58" t="s">
        <v>169</v>
      </c>
      <c r="U776" s="58" t="s">
        <v>371</v>
      </c>
      <c r="Z776" s="169">
        <f t="shared" ca="1" si="134"/>
        <v>1.8905902777793626</v>
      </c>
      <c r="AA776" s="170">
        <f t="shared" ca="1" si="135"/>
        <v>5.0415740740783006</v>
      </c>
      <c r="AB776" s="169">
        <f t="shared" ca="1" si="136"/>
        <v>1.8905902777793626</v>
      </c>
      <c r="AC776" s="170">
        <f t="shared" ca="1" si="137"/>
        <v>5.0415740740783006</v>
      </c>
      <c r="AD776" s="169">
        <f t="shared" ca="1" si="138"/>
        <v>0</v>
      </c>
      <c r="AE776" s="169">
        <f t="shared" ca="1" si="126"/>
        <v>3.7811805555587252</v>
      </c>
      <c r="AF776" s="170">
        <f t="shared" ca="1" si="139"/>
        <v>10.083148148156601</v>
      </c>
      <c r="AG776" s="170">
        <f t="shared" ca="1" si="140"/>
        <v>10.083148148156601</v>
      </c>
      <c r="AH776" s="28" t="str" cm="1">
        <f t="array" aca="1" ref="AH776" ca="1">IF((AD776) &lt; (INDEX(ResponseSLA[#All],(MATCH((G776),ResponseSLA[Priority],0))+1,3)),"YES","No")</f>
        <v>YES</v>
      </c>
      <c r="AI776" s="28" t="str">
        <f ca="1">_xlfn.IFNA(IF(AE776 &lt; (INDEX(SLATable[Minimum SLA],MATCH(G776,SLATable[Priority],0))),"YES","NO"),"")</f>
        <v>NO</v>
      </c>
      <c r="AJ776" s="28" t="str">
        <f ca="1">_xlfn.IFNA(IF(AE776 &lt; (INDEX(SLATable[Maximum SLA],MATCH(G776,SLATable[Priority],0))),"YES","NO"),"")</f>
        <v>YES</v>
      </c>
    </row>
    <row r="777" spans="2:36" s="58" customFormat="1">
      <c r="B777" s="58" t="s">
        <v>26</v>
      </c>
      <c r="C777" s="58" t="s">
        <v>35</v>
      </c>
      <c r="D777" s="58" t="s">
        <v>207</v>
      </c>
      <c r="E777" s="58" t="s">
        <v>2498</v>
      </c>
      <c r="F777" s="58" t="s">
        <v>303</v>
      </c>
      <c r="G777" s="58">
        <v>4</v>
      </c>
      <c r="H777" s="127" t="s">
        <v>2499</v>
      </c>
      <c r="I777" s="58" t="s">
        <v>271</v>
      </c>
      <c r="J777" s="127" t="s">
        <v>1033</v>
      </c>
      <c r="K777" s="307">
        <v>46213.572789351849</v>
      </c>
      <c r="L777" s="307">
        <v>46213.572789351849</v>
      </c>
      <c r="M777" s="307">
        <v>46216.276064814818</v>
      </c>
      <c r="N777" s="307">
        <v>46231.750092592592</v>
      </c>
      <c r="O777" s="307">
        <v>46224.36990740741</v>
      </c>
      <c r="P777" s="307">
        <v>46231.750092592592</v>
      </c>
      <c r="Q777" s="58" t="s">
        <v>1247</v>
      </c>
      <c r="R777" s="58" t="s">
        <v>272</v>
      </c>
      <c r="S777" s="58" t="s">
        <v>203</v>
      </c>
      <c r="U777" s="58" t="s">
        <v>371</v>
      </c>
      <c r="Z777" s="169">
        <f t="shared" ca="1" si="134"/>
        <v>2.4221180555614414</v>
      </c>
      <c r="AA777" s="170">
        <f t="shared" ca="1" si="135"/>
        <v>6.4589814814971778</v>
      </c>
      <c r="AB777" s="169">
        <f t="shared" ca="1" si="136"/>
        <v>2.4221180555614414</v>
      </c>
      <c r="AC777" s="170">
        <f t="shared" ca="1" si="137"/>
        <v>6.4589814814971778</v>
      </c>
      <c r="AD777" s="169">
        <f t="shared" ca="1" si="138"/>
        <v>0.13554398148456437</v>
      </c>
      <c r="AE777" s="169">
        <f t="shared" ca="1" si="126"/>
        <v>2.4221180555614414</v>
      </c>
      <c r="AF777" s="170">
        <f t="shared" ca="1" si="139"/>
        <v>6.4589814814971778</v>
      </c>
      <c r="AG777" s="170">
        <f t="shared" ca="1" si="140"/>
        <v>6.4589814814971778</v>
      </c>
      <c r="AH777" s="28" t="str" cm="1">
        <f t="array" aca="1" ref="AH777" ca="1">IF((AD777) &lt; (INDEX(ResponseSLA[#All],(MATCH((G777),ResponseSLA[Priority],0))+1,3)),"YES","No")</f>
        <v>No</v>
      </c>
      <c r="AI777" s="28" t="str">
        <f ca="1">_xlfn.IFNA(IF(AE777 &lt; (INDEX(SLATable[Minimum SLA],MATCH(G777,SLATable[Priority],0))),"YES","NO"),"")</f>
        <v>YES</v>
      </c>
      <c r="AJ777" s="28" t="str">
        <f ca="1">_xlfn.IFNA(IF(AE777 &lt; (INDEX(SLATable[Maximum SLA],MATCH(G777,SLATable[Priority],0))),"YES","NO"),"")</f>
        <v>YES</v>
      </c>
    </row>
    <row r="778" spans="2:36" s="58" customFormat="1">
      <c r="B778" s="58" t="s">
        <v>26</v>
      </c>
      <c r="C778" s="58" t="s">
        <v>35</v>
      </c>
      <c r="D778" s="58" t="s">
        <v>207</v>
      </c>
      <c r="E778" s="58" t="s">
        <v>2500</v>
      </c>
      <c r="F778" s="58" t="s">
        <v>303</v>
      </c>
      <c r="G778" s="58">
        <v>4</v>
      </c>
      <c r="H778" s="127" t="s">
        <v>2501</v>
      </c>
      <c r="I778" s="58" t="s">
        <v>271</v>
      </c>
      <c r="J778" s="127" t="s">
        <v>1033</v>
      </c>
      <c r="K778" s="307">
        <v>46218.383437500001</v>
      </c>
      <c r="L778" s="307">
        <v>46218.383437500001</v>
      </c>
      <c r="M778" s="307">
        <v>46218.462071759262</v>
      </c>
      <c r="N778" s="307">
        <v>46232.375914351855</v>
      </c>
      <c r="O778" s="307">
        <v>46224.37572916667</v>
      </c>
      <c r="P778" s="307">
        <v>46232.375914351855</v>
      </c>
      <c r="Q778" s="58" t="s">
        <v>1247</v>
      </c>
      <c r="U778" s="58" t="s">
        <v>371</v>
      </c>
      <c r="Z778" s="169">
        <f t="shared" ca="1" si="134"/>
        <v>1.4922916666691886</v>
      </c>
      <c r="AA778" s="170">
        <f t="shared" ca="1" si="135"/>
        <v>3.9794444444511692</v>
      </c>
      <c r="AB778" s="169">
        <f t="shared" ca="1" si="136"/>
        <v>1.4922916666691886</v>
      </c>
      <c r="AC778" s="170">
        <f t="shared" ca="1" si="137"/>
        <v>3.9794444444511692</v>
      </c>
      <c r="AD778" s="169">
        <f t="shared" ca="1" si="138"/>
        <v>7.8634259261889383E-2</v>
      </c>
      <c r="AE778" s="169">
        <f t="shared" ca="1" si="126"/>
        <v>1.4922916666691886</v>
      </c>
      <c r="AF778" s="170">
        <f t="shared" ca="1" si="139"/>
        <v>3.9794444444511692</v>
      </c>
      <c r="AG778" s="170">
        <f t="shared" ca="1" si="140"/>
        <v>3.9794444444511692</v>
      </c>
      <c r="AH778" s="28" t="str" cm="1">
        <f t="array" aca="1" ref="AH778" ca="1">IF((AD778) &lt; (INDEX(ResponseSLA[#All],(MATCH((G778),ResponseSLA[Priority],0))+1,3)),"YES","No")</f>
        <v>YES</v>
      </c>
      <c r="AI778" s="28" t="str">
        <f ca="1">_xlfn.IFNA(IF(AE778 &lt; (INDEX(SLATable[Minimum SLA],MATCH(G778,SLATable[Priority],0))),"YES","NO"),"")</f>
        <v>YES</v>
      </c>
      <c r="AJ778" s="28" t="str">
        <f ca="1">_xlfn.IFNA(IF(AE778 &lt; (INDEX(SLATable[Maximum SLA],MATCH(G778,SLATable[Priority],0))),"YES","NO"),"")</f>
        <v>YES</v>
      </c>
    </row>
    <row r="779" spans="2:36" s="58" customFormat="1">
      <c r="B779" s="58" t="s">
        <v>26</v>
      </c>
      <c r="C779" s="58" t="s">
        <v>35</v>
      </c>
      <c r="D779" s="58" t="s">
        <v>208</v>
      </c>
      <c r="E779" s="58" t="s">
        <v>2502</v>
      </c>
      <c r="F779" s="58" t="s">
        <v>292</v>
      </c>
      <c r="G779" s="58" t="s">
        <v>208</v>
      </c>
      <c r="H779" s="127" t="s">
        <v>2503</v>
      </c>
      <c r="I779" s="58" t="s">
        <v>271</v>
      </c>
      <c r="J779" s="127" t="s">
        <v>1033</v>
      </c>
      <c r="K779" s="307">
        <v>46188.391504629632</v>
      </c>
      <c r="L779" s="307">
        <v>46189.438344907408</v>
      </c>
      <c r="M779" s="307">
        <v>46189.438344907408</v>
      </c>
      <c r="N779" s="307">
        <v>46227.459328703706</v>
      </c>
      <c r="O779" s="307">
        <v>46226.449143518519</v>
      </c>
      <c r="P779" s="307">
        <v>46227.459328703706</v>
      </c>
      <c r="Q779" s="58" t="s">
        <v>1073</v>
      </c>
      <c r="R779" s="58" t="s">
        <v>267</v>
      </c>
      <c r="S779" s="58" t="s">
        <v>147</v>
      </c>
      <c r="Z779" s="169">
        <f t="shared" ca="1" si="134"/>
        <v>10.557638888887597</v>
      </c>
      <c r="AA779" s="170">
        <f t="shared" ca="1" si="135"/>
        <v>28.153703703700259</v>
      </c>
      <c r="AB779" s="169">
        <f t="shared" ca="1" si="136"/>
        <v>10.13579861111066</v>
      </c>
      <c r="AC779" s="170">
        <f t="shared" ca="1" si="137"/>
        <v>27.028796296295095</v>
      </c>
      <c r="AD779" s="169">
        <f t="shared" ca="1" si="138"/>
        <v>0</v>
      </c>
      <c r="AE779" s="169">
        <f t="shared" ca="1" si="126"/>
        <v>10.13579861111066</v>
      </c>
      <c r="AF779" s="170">
        <f t="shared" ca="1" si="139"/>
        <v>27.028796296295095</v>
      </c>
      <c r="AG779" s="170">
        <f t="shared" ca="1" si="140"/>
        <v>27.028796296295095</v>
      </c>
      <c r="AH779" s="28" t="str" cm="1">
        <f t="array" aca="1" ref="AH779" ca="1">IF((AD779) &lt; (INDEX(ResponseSLA[#All],(MATCH((G779),ResponseSLA[Priority],0))+1,3)),"YES","No")</f>
        <v>YES</v>
      </c>
      <c r="AI779" s="28" t="str">
        <f ca="1">_xlfn.IFNA(IF(AE779 &lt; (INDEX(SLATable[Minimum SLA],MATCH(G779,SLATable[Priority],0))),"YES","NO"),"")</f>
        <v>NO</v>
      </c>
      <c r="AJ779" s="28" t="str">
        <f ca="1">_xlfn.IFNA(IF(AE779 &lt; (INDEX(SLATable[Maximum SLA],MATCH(G779,SLATable[Priority],0))),"YES","NO"),"")</f>
        <v>NO</v>
      </c>
    </row>
    <row r="780" spans="2:36" s="58" customFormat="1">
      <c r="B780" s="58" t="s">
        <v>26</v>
      </c>
      <c r="C780" s="58" t="s">
        <v>35</v>
      </c>
      <c r="D780" s="58" t="s">
        <v>207</v>
      </c>
      <c r="E780" s="315" t="s">
        <v>2504</v>
      </c>
      <c r="F780" s="58" t="s">
        <v>289</v>
      </c>
      <c r="G780" s="58">
        <v>3</v>
      </c>
      <c r="H780" s="315" t="s">
        <v>2505</v>
      </c>
      <c r="I780" s="58" t="s">
        <v>271</v>
      </c>
      <c r="J780" s="315" t="s">
        <v>1583</v>
      </c>
      <c r="K780" s="307">
        <v>46213.42728009259</v>
      </c>
      <c r="L780" s="307">
        <v>46218.504826388889</v>
      </c>
      <c r="M780" s="307">
        <v>46218.504872685182</v>
      </c>
      <c r="N780" s="310">
        <v>46227.750057870369</v>
      </c>
      <c r="O780" s="307">
        <v>46227.513287037036</v>
      </c>
      <c r="P780" s="307">
        <v>46227.750057870369</v>
      </c>
      <c r="Q780" s="315" t="s">
        <v>1113</v>
      </c>
      <c r="R780" s="58" t="s">
        <v>267</v>
      </c>
      <c r="S780" s="58" t="s">
        <v>169</v>
      </c>
      <c r="U780" s="58" t="s">
        <v>371</v>
      </c>
      <c r="Z780" s="169">
        <f t="shared" ca="1" si="134"/>
        <v>3.8360069444461264</v>
      </c>
      <c r="AA780" s="170">
        <f t="shared" ca="1" si="135"/>
        <v>10.229351851856338</v>
      </c>
      <c r="AB780" s="169">
        <f t="shared" ca="1" si="136"/>
        <v>2.6334606481468659</v>
      </c>
      <c r="AC780" s="170">
        <f t="shared" ca="1" si="137"/>
        <v>7.0225617283916426</v>
      </c>
      <c r="AD780" s="169">
        <f t="shared" ca="1" si="138"/>
        <v>4.6296292566694319E-5</v>
      </c>
      <c r="AE780" s="169">
        <f t="shared" ca="1" si="126"/>
        <v>2.6334606481468659</v>
      </c>
      <c r="AF780" s="170">
        <f t="shared" ca="1" si="139"/>
        <v>7.0225617283916426</v>
      </c>
      <c r="AG780" s="170">
        <f t="shared" ca="1" si="140"/>
        <v>7.0225617283916426</v>
      </c>
      <c r="AH780" s="28" t="str" cm="1">
        <f t="array" aca="1" ref="AH780" ca="1">IF((AD780) &lt; (INDEX(ResponseSLA[#All],(MATCH((G780),ResponseSLA[Priority],0))+1,3)),"YES","No")</f>
        <v>YES</v>
      </c>
      <c r="AI780" s="28" t="str">
        <f ca="1">_xlfn.IFNA(IF(AE780 &lt; (INDEX(SLATable[Minimum SLA],MATCH(G780,SLATable[Priority],0))),"YES","NO"),"")</f>
        <v>NO</v>
      </c>
      <c r="AJ780" s="28" t="str">
        <f ca="1">_xlfn.IFNA(IF(AE780 &lt; (INDEX(SLATable[Maximum SLA],MATCH(G780,SLATable[Priority],0))),"YES","NO"),"")</f>
        <v>NO</v>
      </c>
    </row>
    <row r="781" spans="2:36" s="58" customFormat="1">
      <c r="B781" s="58" t="s">
        <v>26</v>
      </c>
      <c r="C781" s="58" t="s">
        <v>35</v>
      </c>
      <c r="D781" s="58" t="s">
        <v>207</v>
      </c>
      <c r="E781" s="315" t="s">
        <v>2506</v>
      </c>
      <c r="F781" s="58" t="s">
        <v>292</v>
      </c>
      <c r="G781" s="58">
        <v>4</v>
      </c>
      <c r="H781" s="315" t="s">
        <v>2507</v>
      </c>
      <c r="I781" s="58" t="s">
        <v>271</v>
      </c>
      <c r="J781" s="315" t="s">
        <v>1583</v>
      </c>
      <c r="K781" s="307">
        <v>46213.660613425927</v>
      </c>
      <c r="L781" s="307">
        <v>46220.529988425929</v>
      </c>
      <c r="M781" s="307">
        <v>46220.530069444445</v>
      </c>
      <c r="N781" s="310">
        <v>46224.269675925927</v>
      </c>
      <c r="O781" s="307"/>
      <c r="P781" s="307"/>
      <c r="Q781" s="315" t="s">
        <v>1073</v>
      </c>
      <c r="R781" s="58" t="s">
        <v>267</v>
      </c>
      <c r="S781" s="58" t="s">
        <v>199</v>
      </c>
      <c r="U781" s="58" t="s">
        <v>371</v>
      </c>
      <c r="Z781" s="169">
        <f t="shared" ca="1" si="134"/>
        <v>2.297719907406039</v>
      </c>
      <c r="AA781" s="170">
        <f t="shared" ca="1" si="135"/>
        <v>6.1272530864161041</v>
      </c>
      <c r="AB781" s="169">
        <f t="shared" ca="1" si="136"/>
        <v>0.55334490740400133</v>
      </c>
      <c r="AC781" s="170">
        <f t="shared" ca="1" si="137"/>
        <v>1.4755864197440036</v>
      </c>
      <c r="AD781" s="169">
        <f t="shared" ca="1" si="138"/>
        <v>8.1018515629693866E-5</v>
      </c>
      <c r="AE781" s="169">
        <f t="shared" ca="1" si="126"/>
        <v>0.55334490740400133</v>
      </c>
      <c r="AF781" s="170">
        <f t="shared" ca="1" si="139"/>
        <v>1.4755864197440036</v>
      </c>
      <c r="AG781" s="170">
        <f t="shared" ca="1" si="140"/>
        <v>1.4755864197440036</v>
      </c>
      <c r="AH781" s="28" t="str" cm="1">
        <f t="array" aca="1" ref="AH781" ca="1">IF((AD781) &lt; (INDEX(ResponseSLA[#All],(MATCH((G781),ResponseSLA[Priority],0))+1,3)),"YES","No")</f>
        <v>YES</v>
      </c>
      <c r="AI781" s="28" t="str">
        <f ca="1">_xlfn.IFNA(IF(AE781 &lt; (INDEX(SLATable[Minimum SLA],MATCH(G781,SLATable[Priority],0))),"YES","NO"),"")</f>
        <v>YES</v>
      </c>
      <c r="AJ781" s="28" t="str">
        <f ca="1">_xlfn.IFNA(IF(AE781 &lt; (INDEX(SLATable[Maximum SLA],MATCH(G781,SLATable[Priority],0))),"YES","NO"),"")</f>
        <v>YES</v>
      </c>
    </row>
    <row r="782" spans="2:36" s="58" customFormat="1">
      <c r="B782" s="58" t="s">
        <v>26</v>
      </c>
      <c r="C782" s="58" t="s">
        <v>35</v>
      </c>
      <c r="D782" s="58" t="s">
        <v>207</v>
      </c>
      <c r="E782" s="315" t="s">
        <v>2508</v>
      </c>
      <c r="F782" s="58" t="s">
        <v>295</v>
      </c>
      <c r="G782" s="58">
        <v>4</v>
      </c>
      <c r="H782" s="315" t="s">
        <v>2342</v>
      </c>
      <c r="I782" s="58" t="s">
        <v>271</v>
      </c>
      <c r="J782" s="315" t="s">
        <v>1583</v>
      </c>
      <c r="K782" s="307">
        <v>46220.076701388891</v>
      </c>
      <c r="L782" s="307">
        <v>46220.242951388886</v>
      </c>
      <c r="M782" s="307">
        <v>46224.264745370368</v>
      </c>
      <c r="N782" s="310">
        <v>46224.264745370368</v>
      </c>
      <c r="O782" s="307"/>
      <c r="P782" s="307"/>
      <c r="Q782" s="315" t="s">
        <v>1211</v>
      </c>
      <c r="R782" s="58" t="s">
        <v>267</v>
      </c>
      <c r="S782" s="58" t="s">
        <v>187</v>
      </c>
      <c r="U782" s="58" t="s">
        <v>371</v>
      </c>
      <c r="Z782" s="169">
        <f t="shared" ca="1" si="134"/>
        <v>0.75000000000000022</v>
      </c>
      <c r="AA782" s="170">
        <f t="shared" ca="1" si="135"/>
        <v>2.0000000000000009</v>
      </c>
      <c r="AB782" s="169">
        <f t="shared" ca="1" si="136"/>
        <v>0.75000000000000022</v>
      </c>
      <c r="AC782" s="170">
        <f t="shared" ca="1" si="137"/>
        <v>2.0000000000000009</v>
      </c>
      <c r="AD782" s="169">
        <f t="shared" ca="1" si="138"/>
        <v>0.75000000000000022</v>
      </c>
      <c r="AE782" s="169">
        <f t="shared" ca="1" si="126"/>
        <v>0.75000000000000022</v>
      </c>
      <c r="AF782" s="170">
        <f t="shared" ca="1" si="139"/>
        <v>2.0000000000000009</v>
      </c>
      <c r="AG782" s="170">
        <f t="shared" ca="1" si="140"/>
        <v>2.0000000000000009</v>
      </c>
      <c r="AH782" s="28" t="str" cm="1">
        <f t="array" aca="1" ref="AH782" ca="1">IF((AD782) &lt; (INDEX(ResponseSLA[#All],(MATCH((G782),ResponseSLA[Priority],0))+1,3)),"YES","No")</f>
        <v>No</v>
      </c>
      <c r="AI782" s="28" t="str">
        <f ca="1">_xlfn.IFNA(IF(AE782 &lt; (INDEX(SLATable[Minimum SLA],MATCH(G782,SLATable[Priority],0))),"YES","NO"),"")</f>
        <v>YES</v>
      </c>
      <c r="AJ782" s="28" t="str">
        <f ca="1">_xlfn.IFNA(IF(AE782 &lt; (INDEX(SLATable[Maximum SLA],MATCH(G782,SLATable[Priority],0))),"YES","NO"),"")</f>
        <v>YES</v>
      </c>
    </row>
    <row r="783" spans="2:36" s="58" customFormat="1">
      <c r="B783" s="58" t="s">
        <v>26</v>
      </c>
      <c r="C783" s="58" t="s">
        <v>35</v>
      </c>
      <c r="D783" s="58" t="s">
        <v>208</v>
      </c>
      <c r="E783" s="315" t="s">
        <v>2509</v>
      </c>
      <c r="F783" s="58" t="s">
        <v>289</v>
      </c>
      <c r="G783" s="58" t="s">
        <v>208</v>
      </c>
      <c r="H783" s="315" t="s">
        <v>2510</v>
      </c>
      <c r="I783" s="58" t="s">
        <v>271</v>
      </c>
      <c r="J783" s="315" t="s">
        <v>1583</v>
      </c>
      <c r="K783" s="307">
        <v>46231.617569444446</v>
      </c>
      <c r="L783" s="307">
        <v>46232.305023148147</v>
      </c>
      <c r="M783" s="307">
        <v>46232.305127314816</v>
      </c>
      <c r="N783" s="310">
        <v>46233.341817129629</v>
      </c>
      <c r="O783" s="307"/>
      <c r="P783" s="307"/>
      <c r="Q783" s="58" t="s">
        <v>2511</v>
      </c>
      <c r="R783" s="58" t="s">
        <v>267</v>
      </c>
      <c r="S783" s="58" t="s">
        <v>155</v>
      </c>
      <c r="U783" s="58" t="s">
        <v>371</v>
      </c>
      <c r="Z783" s="169">
        <f t="shared" ca="1" si="134"/>
        <v>0.47424768518249039</v>
      </c>
      <c r="AA783" s="170">
        <f t="shared" ca="1" si="135"/>
        <v>1.2646604938199744</v>
      </c>
      <c r="AB783" s="169">
        <f t="shared" ca="1" si="136"/>
        <v>0.38348379629557411</v>
      </c>
      <c r="AC783" s="170">
        <f t="shared" ca="1" si="137"/>
        <v>1.0226234567881975</v>
      </c>
      <c r="AD783" s="169">
        <f t="shared" ca="1" si="138"/>
        <v>0</v>
      </c>
      <c r="AE783" s="169">
        <f t="shared" ca="1" si="126"/>
        <v>0.38348379629557411</v>
      </c>
      <c r="AF783" s="170">
        <f t="shared" ca="1" si="139"/>
        <v>1.0226234567881975</v>
      </c>
      <c r="AG783" s="170">
        <f t="shared" ca="1" si="140"/>
        <v>1.0226234567881975</v>
      </c>
      <c r="AH783" s="28" t="str" cm="1">
        <f t="array" aca="1" ref="AH783" ca="1">IF((AD783) &lt; (INDEX(ResponseSLA[#All],(MATCH((G783),ResponseSLA[Priority],0))+1,3)),"YES","No")</f>
        <v>YES</v>
      </c>
      <c r="AI783" s="28" t="str">
        <f ca="1">_xlfn.IFNA(IF(AE783 &lt; (INDEX(SLATable[Minimum SLA],MATCH(G783,SLATable[Priority],0))),"YES","NO"),"")</f>
        <v>YES</v>
      </c>
      <c r="AJ783" s="28" t="str">
        <f ca="1">_xlfn.IFNA(IF(AE783 &lt; (INDEX(SLATable[Maximum SLA],MATCH(G783,SLATable[Priority],0))),"YES","NO"),"")</f>
        <v>YES</v>
      </c>
    </row>
    <row r="784" spans="2:36" s="58" customFormat="1">
      <c r="B784" s="58" t="s">
        <v>26</v>
      </c>
      <c r="C784" s="58" t="s">
        <v>35</v>
      </c>
      <c r="D784" s="58" t="s">
        <v>208</v>
      </c>
      <c r="E784" s="315" t="s">
        <v>2512</v>
      </c>
      <c r="F784" s="58" t="s">
        <v>289</v>
      </c>
      <c r="G784" s="58" t="s">
        <v>208</v>
      </c>
      <c r="H784" s="315" t="s">
        <v>1810</v>
      </c>
      <c r="I784" s="58" t="s">
        <v>271</v>
      </c>
      <c r="J784" s="315" t="s">
        <v>1583</v>
      </c>
      <c r="K784" s="307">
        <v>46231.376759259256</v>
      </c>
      <c r="L784" s="307">
        <v>46231.501180555555</v>
      </c>
      <c r="M784" s="307">
        <v>46231.501296296294</v>
      </c>
      <c r="N784" s="310">
        <v>46233.342662037037</v>
      </c>
      <c r="O784" s="307"/>
      <c r="P784" s="307"/>
      <c r="Q784" s="315" t="s">
        <v>1811</v>
      </c>
      <c r="R784" s="58" t="s">
        <v>267</v>
      </c>
      <c r="S784" s="58" t="s">
        <v>151</v>
      </c>
      <c r="U784" s="58" t="s">
        <v>371</v>
      </c>
      <c r="Z784" s="169">
        <f t="shared" ca="1" si="134"/>
        <v>0.71590277778159361</v>
      </c>
      <c r="AA784" s="170">
        <f t="shared" ca="1" si="135"/>
        <v>1.9090740740842496</v>
      </c>
      <c r="AB784" s="169">
        <f t="shared" ca="1" si="136"/>
        <v>0.59148148148233304</v>
      </c>
      <c r="AC784" s="170">
        <f t="shared" ca="1" si="137"/>
        <v>1.5772839506195548</v>
      </c>
      <c r="AD784" s="169">
        <f t="shared" ca="1" si="138"/>
        <v>1.1574073869269341E-4</v>
      </c>
      <c r="AE784" s="169">
        <f t="shared" ca="1" si="126"/>
        <v>0.59148148148233304</v>
      </c>
      <c r="AF784" s="170">
        <f t="shared" ca="1" si="139"/>
        <v>1.5772839506195548</v>
      </c>
      <c r="AG784" s="170">
        <f t="shared" ca="1" si="140"/>
        <v>1.5772839506195548</v>
      </c>
      <c r="AH784" s="28" t="str" cm="1">
        <f t="array" aca="1" ref="AH784" ca="1">IF((AD784) &lt; (INDEX(ResponseSLA[#All],(MATCH((G784),ResponseSLA[Priority],0))+1,3)),"YES","No")</f>
        <v>YES</v>
      </c>
      <c r="AI784" s="28" t="str">
        <f ca="1">_xlfn.IFNA(IF(AE784 &lt; (INDEX(SLATable[Minimum SLA],MATCH(G784,SLATable[Priority],0))),"YES","NO"),"")</f>
        <v>YES</v>
      </c>
      <c r="AJ784" s="28" t="str">
        <f ca="1">_xlfn.IFNA(IF(AE784 &lt; (INDEX(SLATable[Maximum SLA],MATCH(G784,SLATable[Priority],0))),"YES","NO"),"")</f>
        <v>YES</v>
      </c>
    </row>
    <row r="785" spans="2:36" s="58" customFormat="1">
      <c r="B785" s="58" t="s">
        <v>26</v>
      </c>
      <c r="C785" s="58" t="s">
        <v>35</v>
      </c>
      <c r="D785" s="58" t="s">
        <v>208</v>
      </c>
      <c r="E785" s="315" t="s">
        <v>2513</v>
      </c>
      <c r="F785" s="58" t="s">
        <v>289</v>
      </c>
      <c r="G785" s="58" t="s">
        <v>208</v>
      </c>
      <c r="H785" s="315" t="s">
        <v>1865</v>
      </c>
      <c r="I785" s="58" t="s">
        <v>271</v>
      </c>
      <c r="J785" s="315" t="s">
        <v>1583</v>
      </c>
      <c r="K785" s="307">
        <v>46224.376377314817</v>
      </c>
      <c r="L785" s="307">
        <v>46226.354386574072</v>
      </c>
      <c r="M785" s="307">
        <v>46226.354629629626</v>
      </c>
      <c r="N785" s="310">
        <v>46227.521620370368</v>
      </c>
      <c r="O785" s="307"/>
      <c r="P785" s="307"/>
      <c r="Q785" s="315" t="s">
        <v>1101</v>
      </c>
      <c r="R785" s="58" t="s">
        <v>267</v>
      </c>
      <c r="S785" s="58" t="s">
        <v>151</v>
      </c>
      <c r="U785" s="58" t="s">
        <v>371</v>
      </c>
      <c r="Z785" s="169">
        <f t="shared" ca="1" si="134"/>
        <v>1.2702430555509638</v>
      </c>
      <c r="AA785" s="170">
        <f t="shared" ca="1" si="135"/>
        <v>3.3873148148025702</v>
      </c>
      <c r="AB785" s="169">
        <f t="shared" ca="1" si="136"/>
        <v>0.54223379629547708</v>
      </c>
      <c r="AC785" s="170">
        <f t="shared" ca="1" si="137"/>
        <v>1.4459567901212722</v>
      </c>
      <c r="AD785" s="169">
        <f t="shared" ca="1" si="138"/>
        <v>2.4305555416503921E-4</v>
      </c>
      <c r="AE785" s="169">
        <f t="shared" ca="1" si="126"/>
        <v>0.54223379629547708</v>
      </c>
      <c r="AF785" s="170">
        <f t="shared" ca="1" si="139"/>
        <v>1.4459567901212722</v>
      </c>
      <c r="AG785" s="170">
        <f t="shared" ca="1" si="140"/>
        <v>1.4459567901212722</v>
      </c>
      <c r="AH785" s="28" t="str" cm="1">
        <f t="array" aca="1" ref="AH785" ca="1">IF((AD785) &lt; (INDEX(ResponseSLA[#All],(MATCH((G785),ResponseSLA[Priority],0))+1,3)),"YES","No")</f>
        <v>YES</v>
      </c>
      <c r="AI785" s="28" t="str">
        <f ca="1">_xlfn.IFNA(IF(AE785 &lt; (INDEX(SLATable[Minimum SLA],MATCH(G785,SLATable[Priority],0))),"YES","NO"),"")</f>
        <v>YES</v>
      </c>
      <c r="AJ785" s="28" t="str">
        <f ca="1">_xlfn.IFNA(IF(AE785 &lt; (INDEX(SLATable[Maximum SLA],MATCH(G785,SLATable[Priority],0))),"YES","NO"),"")</f>
        <v>YES</v>
      </c>
    </row>
    <row r="786" spans="2:36" s="58" customFormat="1">
      <c r="B786" s="58" t="s">
        <v>26</v>
      </c>
      <c r="C786" s="58" t="s">
        <v>35</v>
      </c>
      <c r="D786" s="58" t="s">
        <v>208</v>
      </c>
      <c r="E786" s="315" t="s">
        <v>2514</v>
      </c>
      <c r="F786" s="58" t="s">
        <v>289</v>
      </c>
      <c r="G786" s="58" t="s">
        <v>208</v>
      </c>
      <c r="H786" s="315" t="s">
        <v>1898</v>
      </c>
      <c r="I786" s="58" t="s">
        <v>271</v>
      </c>
      <c r="J786" s="315" t="s">
        <v>1583</v>
      </c>
      <c r="K786" s="307">
        <v>46224.376296296294</v>
      </c>
      <c r="L786" s="307">
        <v>46226.359722222223</v>
      </c>
      <c r="M786" s="307">
        <v>46226.359976851854</v>
      </c>
      <c r="N786" s="310">
        <v>46227.52275462963</v>
      </c>
      <c r="O786" s="307"/>
      <c r="P786" s="307"/>
      <c r="Q786" s="315" t="s">
        <v>1431</v>
      </c>
      <c r="R786" s="58" t="s">
        <v>267</v>
      </c>
      <c r="S786" s="58" t="s">
        <v>147</v>
      </c>
      <c r="U786" s="58" t="s">
        <v>371</v>
      </c>
      <c r="Z786" s="169">
        <f t="shared" ca="1" si="134"/>
        <v>1.271458333336341</v>
      </c>
      <c r="AA786" s="170">
        <f t="shared" ca="1" si="135"/>
        <v>3.390555555563576</v>
      </c>
      <c r="AB786" s="169">
        <f t="shared" ca="1" si="136"/>
        <v>0.53803240740671754</v>
      </c>
      <c r="AC786" s="170">
        <f t="shared" ca="1" si="137"/>
        <v>1.4347530864179134</v>
      </c>
      <c r="AD786" s="169">
        <f t="shared" ca="1" si="138"/>
        <v>2.546296309446916E-4</v>
      </c>
      <c r="AE786" s="169">
        <f t="shared" ca="1" si="126"/>
        <v>0.53803240740671754</v>
      </c>
      <c r="AF786" s="170">
        <f t="shared" ca="1" si="139"/>
        <v>1.4347530864179134</v>
      </c>
      <c r="AG786" s="170">
        <f t="shared" ca="1" si="140"/>
        <v>1.4347530864179134</v>
      </c>
      <c r="AH786" s="28" t="str" cm="1">
        <f t="array" aca="1" ref="AH786" ca="1">IF((AD786) &lt; (INDEX(ResponseSLA[#All],(MATCH((G786),ResponseSLA[Priority],0))+1,3)),"YES","No")</f>
        <v>YES</v>
      </c>
      <c r="AI786" s="28" t="str">
        <f ca="1">_xlfn.IFNA(IF(AE786 &lt; (INDEX(SLATable[Minimum SLA],MATCH(G786,SLATable[Priority],0))),"YES","NO"),"")</f>
        <v>YES</v>
      </c>
      <c r="AJ786" s="28" t="str">
        <f ca="1">_xlfn.IFNA(IF(AE786 &lt; (INDEX(SLATable[Maximum SLA],MATCH(G786,SLATable[Priority],0))),"YES","NO"),"")</f>
        <v>YES</v>
      </c>
    </row>
    <row r="787" spans="2:36" s="58" customFormat="1">
      <c r="B787" s="58" t="s">
        <v>26</v>
      </c>
      <c r="C787" s="58" t="s">
        <v>35</v>
      </c>
      <c r="D787" s="58" t="s">
        <v>208</v>
      </c>
      <c r="E787" s="315" t="s">
        <v>2515</v>
      </c>
      <c r="F787" s="58" t="s">
        <v>289</v>
      </c>
      <c r="G787" s="58" t="s">
        <v>208</v>
      </c>
      <c r="H787" s="315" t="s">
        <v>2516</v>
      </c>
      <c r="I787" s="58" t="s">
        <v>271</v>
      </c>
      <c r="J787" s="315" t="s">
        <v>1583</v>
      </c>
      <c r="K787" s="307">
        <v>46223.641597222224</v>
      </c>
      <c r="L787" s="307">
        <v>46226.346446759257</v>
      </c>
      <c r="M787" s="307">
        <v>46226.346562500003</v>
      </c>
      <c r="N787" s="310">
        <v>46227.524710648147</v>
      </c>
      <c r="O787" s="307"/>
      <c r="P787" s="307"/>
      <c r="Q787" s="58" t="s">
        <v>2511</v>
      </c>
      <c r="R787" s="58" t="s">
        <v>267</v>
      </c>
      <c r="S787" s="58" t="s">
        <v>155</v>
      </c>
      <c r="U787" s="58" t="s">
        <v>371</v>
      </c>
      <c r="Z787" s="169">
        <f t="shared" ca="1" si="134"/>
        <v>1.3831134259235114</v>
      </c>
      <c r="AA787" s="170">
        <f t="shared" ca="1" si="135"/>
        <v>3.6883024691293635</v>
      </c>
      <c r="AB787" s="169">
        <f t="shared" ca="1" si="136"/>
        <v>0.55326388889079681</v>
      </c>
      <c r="AC787" s="170">
        <f t="shared" ca="1" si="137"/>
        <v>1.4753703703754582</v>
      </c>
      <c r="AD787" s="169">
        <f t="shared" ca="1" si="138"/>
        <v>1.1574074596865103E-4</v>
      </c>
      <c r="AE787" s="169">
        <f t="shared" ca="1" si="126"/>
        <v>0.55326388889079681</v>
      </c>
      <c r="AF787" s="170">
        <f t="shared" ca="1" si="139"/>
        <v>1.4753703703754582</v>
      </c>
      <c r="AG787" s="170">
        <f t="shared" ca="1" si="140"/>
        <v>1.4753703703754582</v>
      </c>
      <c r="AH787" s="28" t="str" cm="1">
        <f t="array" aca="1" ref="AH787" ca="1">IF((AD787) &lt; (INDEX(ResponseSLA[#All],(MATCH((G787),ResponseSLA[Priority],0))+1,3)),"YES","No")</f>
        <v>YES</v>
      </c>
      <c r="AI787" s="28" t="str">
        <f ca="1">_xlfn.IFNA(IF(AE787 &lt; (INDEX(SLATable[Minimum SLA],MATCH(G787,SLATable[Priority],0))),"YES","NO"),"")</f>
        <v>YES</v>
      </c>
      <c r="AJ787" s="28" t="str">
        <f ca="1">_xlfn.IFNA(IF(AE787 &lt; (INDEX(SLATable[Maximum SLA],MATCH(G787,SLATable[Priority],0))),"YES","NO"),"")</f>
        <v>YES</v>
      </c>
    </row>
    <row r="788" spans="2:36" s="58" customFormat="1">
      <c r="B788" s="58" t="s">
        <v>26</v>
      </c>
      <c r="C788" s="58" t="s">
        <v>35</v>
      </c>
      <c r="D788" s="58" t="s">
        <v>207</v>
      </c>
      <c r="E788" s="58" t="s">
        <v>2517</v>
      </c>
      <c r="F788" s="58" t="s">
        <v>289</v>
      </c>
      <c r="G788" s="58">
        <v>4</v>
      </c>
      <c r="H788" s="127" t="s">
        <v>2518</v>
      </c>
      <c r="I788" s="58" t="s">
        <v>271</v>
      </c>
      <c r="J788" s="127" t="s">
        <v>1092</v>
      </c>
      <c r="K788" s="316">
        <v>46212.466087962966</v>
      </c>
      <c r="L788" s="316">
        <v>46272.466319444437</v>
      </c>
      <c r="M788" s="316">
        <v>46213.282592592594</v>
      </c>
      <c r="N788" s="307"/>
      <c r="O788" s="316">
        <v>46216.448831018519</v>
      </c>
      <c r="P788" s="316">
        <v>46224.44902777778</v>
      </c>
      <c r="Q788" s="58" t="s">
        <v>1098</v>
      </c>
      <c r="R788" s="58" t="s">
        <v>267</v>
      </c>
      <c r="S788" s="58" t="s">
        <v>199</v>
      </c>
      <c r="U788" s="58" t="s">
        <v>371</v>
      </c>
      <c r="Z788" s="169">
        <f t="shared" ca="1" si="134"/>
        <v>12.542886111106784</v>
      </c>
      <c r="AA788" s="170">
        <f t="shared" ca="1" si="135"/>
        <v>33.447696296284761</v>
      </c>
      <c r="AB788" s="169" t="e">
        <f t="shared" ca="1" si="136"/>
        <v>#N/A</v>
      </c>
      <c r="AC788" s="170" t="e">
        <f t="shared" ca="1" si="137"/>
        <v>#N/A</v>
      </c>
      <c r="AD788" s="169">
        <f t="shared" ca="1" si="138"/>
        <v>0</v>
      </c>
      <c r="AE788" s="169" t="e">
        <f t="shared" ca="1" si="126"/>
        <v>#N/A</v>
      </c>
      <c r="AF788" s="170" t="e">
        <f t="shared" ca="1" si="139"/>
        <v>#N/A</v>
      </c>
      <c r="AG788" s="170" t="e">
        <f t="shared" ca="1" si="140"/>
        <v>#N/A</v>
      </c>
      <c r="AH788" s="28" t="str" cm="1">
        <f t="array" aca="1" ref="AH788" ca="1">IF((AD788) &lt; (INDEX(ResponseSLA[#All],(MATCH((G788),ResponseSLA[Priority],0))+1,3)),"YES","No")</f>
        <v>YES</v>
      </c>
      <c r="AI788" s="28" t="str">
        <f ca="1">_xlfn.IFNA(IF(AE788 &lt; (INDEX(SLATable[Minimum SLA],MATCH(G788,SLATable[Priority],0))),"YES","NO"),"")</f>
        <v/>
      </c>
      <c r="AJ788" s="28" t="str">
        <f ca="1">_xlfn.IFNA(IF(AE788 &lt; (INDEX(SLATable[Maximum SLA],MATCH(G788,SLATable[Priority],0))),"YES","NO"),"")</f>
        <v/>
      </c>
    </row>
    <row r="789" spans="2:36" s="58" customFormat="1">
      <c r="B789" s="58" t="s">
        <v>26</v>
      </c>
      <c r="C789" s="58" t="s">
        <v>35</v>
      </c>
      <c r="D789" s="58" t="s">
        <v>207</v>
      </c>
      <c r="E789" s="58" t="s">
        <v>2519</v>
      </c>
      <c r="F789" s="58" t="s">
        <v>289</v>
      </c>
      <c r="G789" s="58">
        <v>4</v>
      </c>
      <c r="H789" s="127" t="s">
        <v>2520</v>
      </c>
      <c r="I789" s="58" t="s">
        <v>271</v>
      </c>
      <c r="J789" s="127" t="s">
        <v>1092</v>
      </c>
      <c r="K789" s="316">
        <v>46215.277627314812</v>
      </c>
      <c r="L789" s="316">
        <v>46363.278078703697</v>
      </c>
      <c r="M789" s="316">
        <v>46216.291041666656</v>
      </c>
      <c r="N789" s="307"/>
      <c r="O789" s="316"/>
      <c r="P789" s="316"/>
      <c r="Q789" s="58" t="s">
        <v>1301</v>
      </c>
      <c r="R789" s="58" t="s">
        <v>267</v>
      </c>
      <c r="S789" s="58" t="s">
        <v>193</v>
      </c>
      <c r="U789" s="58" t="s">
        <v>371</v>
      </c>
      <c r="Z789" s="169">
        <f t="shared" ca="1" si="134"/>
        <v>11.925640740739862</v>
      </c>
      <c r="AA789" s="170">
        <f t="shared" ca="1" si="135"/>
        <v>31.801708641972962</v>
      </c>
      <c r="AB789" s="169">
        <f t="shared" ca="1" si="136"/>
        <v>0.30064085647851851</v>
      </c>
      <c r="AC789" s="170">
        <f t="shared" ca="1" si="137"/>
        <v>0.80170895060938263</v>
      </c>
      <c r="AD789" s="169">
        <f t="shared" ca="1" si="138"/>
        <v>0</v>
      </c>
      <c r="AE789" s="169">
        <f t="shared" ca="1" si="126"/>
        <v>0.30064085647851851</v>
      </c>
      <c r="AF789" s="170">
        <f t="shared" ca="1" si="139"/>
        <v>0.80170895060938263</v>
      </c>
      <c r="AG789" s="170">
        <f t="shared" ca="1" si="140"/>
        <v>0.80170895060938263</v>
      </c>
      <c r="AH789" s="28" t="str" cm="1">
        <f t="array" aca="1" ref="AH789" ca="1">IF((AD789) &lt; (INDEX(ResponseSLA[#All],(MATCH((G789),ResponseSLA[Priority],0))+1,3)),"YES","No")</f>
        <v>YES</v>
      </c>
      <c r="AI789" s="28" t="str">
        <f ca="1">_xlfn.IFNA(IF(AE789 &lt; (INDEX(SLATable[Minimum SLA],MATCH(G789,SLATable[Priority],0))),"YES","NO"),"")</f>
        <v>YES</v>
      </c>
      <c r="AJ789" s="28" t="str">
        <f ca="1">_xlfn.IFNA(IF(AE789 &lt; (INDEX(SLATable[Maximum SLA],MATCH(G789,SLATable[Priority],0))),"YES","NO"),"")</f>
        <v>YES</v>
      </c>
    </row>
    <row r="790" spans="2:36" s="58" customFormat="1">
      <c r="B790" s="58" t="s">
        <v>26</v>
      </c>
      <c r="C790" s="58" t="s">
        <v>35</v>
      </c>
      <c r="D790" s="58" t="s">
        <v>207</v>
      </c>
      <c r="E790" s="58" t="s">
        <v>2521</v>
      </c>
      <c r="F790" s="58" t="s">
        <v>289</v>
      </c>
      <c r="G790" s="58">
        <v>3</v>
      </c>
      <c r="H790" s="127" t="s">
        <v>2522</v>
      </c>
      <c r="I790" s="58" t="s">
        <v>271</v>
      </c>
      <c r="J790" s="127" t="s">
        <v>1092</v>
      </c>
      <c r="K790" s="316">
        <v>46214.310844907413</v>
      </c>
      <c r="L790" s="316">
        <v>46333.329236111109</v>
      </c>
      <c r="M790" s="316">
        <v>46216.284849537027</v>
      </c>
      <c r="N790" s="307"/>
      <c r="O790" s="316"/>
      <c r="P790" s="316"/>
      <c r="Q790" s="58" t="s">
        <v>1104</v>
      </c>
      <c r="R790" s="58" t="s">
        <v>267</v>
      </c>
      <c r="S790" s="58" t="s">
        <v>193</v>
      </c>
      <c r="U790" s="58" t="s">
        <v>371</v>
      </c>
      <c r="Z790" s="169">
        <f t="shared" ca="1" si="134"/>
        <v>11.925640740739862</v>
      </c>
      <c r="AA790" s="170">
        <f t="shared" ca="1" si="135"/>
        <v>31.801708641972962</v>
      </c>
      <c r="AB790" s="169">
        <f t="shared" ca="1" si="136"/>
        <v>0.30064085647851851</v>
      </c>
      <c r="AC790" s="170">
        <f t="shared" ca="1" si="137"/>
        <v>0.80170895060938263</v>
      </c>
      <c r="AD790" s="169">
        <f t="shared" ca="1" si="138"/>
        <v>0</v>
      </c>
      <c r="AE790" s="169">
        <f t="shared" ca="1" si="126"/>
        <v>0.30064085647851851</v>
      </c>
      <c r="AF790" s="170">
        <f t="shared" ca="1" si="139"/>
        <v>0.80170895060938263</v>
      </c>
      <c r="AG790" s="170">
        <f t="shared" ca="1" si="140"/>
        <v>0.80170895060938263</v>
      </c>
      <c r="AH790" s="28" t="str" cm="1">
        <f t="array" aca="1" ref="AH790" ca="1">IF((AD790) &lt; (INDEX(ResponseSLA[#All],(MATCH((G790),ResponseSLA[Priority],0))+1,3)),"YES","No")</f>
        <v>YES</v>
      </c>
      <c r="AI790" s="28" t="str">
        <f ca="1">_xlfn.IFNA(IF(AE790 &lt; (INDEX(SLATable[Minimum SLA],MATCH(G790,SLATable[Priority],0))),"YES","NO"),"")</f>
        <v>YES</v>
      </c>
      <c r="AJ790" s="28" t="str">
        <f ca="1">_xlfn.IFNA(IF(AE790 &lt; (INDEX(SLATable[Maximum SLA],MATCH(G790,SLATable[Priority],0))),"YES","NO"),"")</f>
        <v>YES</v>
      </c>
    </row>
    <row r="791" spans="2:36" s="58" customFormat="1">
      <c r="B791" s="58" t="s">
        <v>26</v>
      </c>
      <c r="C791" s="58" t="s">
        <v>35</v>
      </c>
      <c r="D791" s="58" t="s">
        <v>207</v>
      </c>
      <c r="E791" s="58" t="s">
        <v>2523</v>
      </c>
      <c r="F791" s="58" t="s">
        <v>289</v>
      </c>
      <c r="G791" s="58">
        <v>3</v>
      </c>
      <c r="H791" s="127" t="s">
        <v>2259</v>
      </c>
      <c r="I791" s="58" t="s">
        <v>271</v>
      </c>
      <c r="J791" s="127" t="s">
        <v>1092</v>
      </c>
      <c r="K791" s="316">
        <v>46214.312627314823</v>
      </c>
      <c r="L791" s="316">
        <v>46333.342534722222</v>
      </c>
      <c r="M791" s="316">
        <v>46216.286944444437</v>
      </c>
      <c r="N791" s="307"/>
      <c r="O791" s="316"/>
      <c r="P791" s="316"/>
      <c r="Q791" s="58" t="s">
        <v>1164</v>
      </c>
      <c r="R791" s="58" t="s">
        <v>267</v>
      </c>
      <c r="S791" s="58" t="s">
        <v>193</v>
      </c>
      <c r="U791" s="58" t="s">
        <v>371</v>
      </c>
      <c r="Z791" s="169">
        <f t="shared" ca="1" si="134"/>
        <v>11.925640740739862</v>
      </c>
      <c r="AA791" s="170">
        <f t="shared" ca="1" si="135"/>
        <v>31.801708641972962</v>
      </c>
      <c r="AB791" s="169">
        <f t="shared" ca="1" si="136"/>
        <v>0.30064085647851851</v>
      </c>
      <c r="AC791" s="170">
        <f t="shared" ca="1" si="137"/>
        <v>0.80170895060938263</v>
      </c>
      <c r="AD791" s="169">
        <f t="shared" ca="1" si="138"/>
        <v>0</v>
      </c>
      <c r="AE791" s="169">
        <f t="shared" ca="1" si="126"/>
        <v>0.30064085647851851</v>
      </c>
      <c r="AF791" s="170">
        <f t="shared" ca="1" si="139"/>
        <v>0.80170895060938263</v>
      </c>
      <c r="AG791" s="170">
        <f t="shared" ca="1" si="140"/>
        <v>0.80170895060938263</v>
      </c>
      <c r="AH791" s="28" t="str" cm="1">
        <f t="array" aca="1" ref="AH791" ca="1">IF((AD791) &lt; (INDEX(ResponseSLA[#All],(MATCH((G791),ResponseSLA[Priority],0))+1,3)),"YES","No")</f>
        <v>YES</v>
      </c>
      <c r="AI791" s="28" t="str">
        <f ca="1">_xlfn.IFNA(IF(AE791 &lt; (INDEX(SLATable[Minimum SLA],MATCH(G791,SLATable[Priority],0))),"YES","NO"),"")</f>
        <v>YES</v>
      </c>
      <c r="AJ791" s="28" t="str">
        <f ca="1">_xlfn.IFNA(IF(AE791 &lt; (INDEX(SLATable[Maximum SLA],MATCH(G791,SLATable[Priority],0))),"YES","NO"),"")</f>
        <v>YES</v>
      </c>
    </row>
    <row r="792" spans="2:36" s="58" customFormat="1">
      <c r="B792" s="58" t="s">
        <v>26</v>
      </c>
      <c r="C792" s="58" t="s">
        <v>35</v>
      </c>
      <c r="D792" s="58" t="s">
        <v>207</v>
      </c>
      <c r="E792" s="58" t="s">
        <v>2524</v>
      </c>
      <c r="F792" s="58" t="s">
        <v>295</v>
      </c>
      <c r="G792" s="58">
        <v>4</v>
      </c>
      <c r="H792" s="127" t="s">
        <v>2525</v>
      </c>
      <c r="I792" s="58" t="s">
        <v>271</v>
      </c>
      <c r="J792" s="127" t="s">
        <v>1092</v>
      </c>
      <c r="K792" s="316">
        <v>46202.40353009259</v>
      </c>
      <c r="L792" s="316">
        <v>46202.403703703712</v>
      </c>
      <c r="M792" s="316">
        <v>46202.404733796298</v>
      </c>
      <c r="N792" s="307"/>
      <c r="O792" s="316">
        <v>46211.608958333331</v>
      </c>
      <c r="P792" s="316">
        <v>46211.895578703698</v>
      </c>
      <c r="Q792" s="58" t="s">
        <v>2526</v>
      </c>
      <c r="R792" s="58" t="s">
        <v>267</v>
      </c>
      <c r="S792" s="58" t="s">
        <v>169</v>
      </c>
      <c r="U792" s="58" t="s">
        <v>371</v>
      </c>
      <c r="Z792" s="169">
        <f t="shared" ca="1" si="134"/>
        <v>15.605443981483404</v>
      </c>
      <c r="AA792" s="170">
        <f t="shared" ca="1" si="135"/>
        <v>41.614517283955742</v>
      </c>
      <c r="AB792" s="169" t="e">
        <f t="shared" ca="1" si="136"/>
        <v>#N/A</v>
      </c>
      <c r="AC792" s="170" t="e">
        <f t="shared" ca="1" si="137"/>
        <v>#N/A</v>
      </c>
      <c r="AD792" s="169">
        <f t="shared" ca="1" si="138"/>
        <v>1.0300925860065036E-3</v>
      </c>
      <c r="AE792" s="169" t="e">
        <f t="shared" ca="1" si="126"/>
        <v>#N/A</v>
      </c>
      <c r="AF792" s="170" t="e">
        <f t="shared" ca="1" si="139"/>
        <v>#N/A</v>
      </c>
      <c r="AG792" s="170" t="e">
        <f t="shared" ca="1" si="140"/>
        <v>#N/A</v>
      </c>
      <c r="AH792" s="28" t="str" cm="1">
        <f t="array" aca="1" ref="AH792" ca="1">IF((AD792) &lt; (INDEX(ResponseSLA[#All],(MATCH((G792),ResponseSLA[Priority],0))+1,3)),"YES","No")</f>
        <v>YES</v>
      </c>
      <c r="AI792" s="28" t="str">
        <f ca="1">_xlfn.IFNA(IF(AE792 &lt; (INDEX(SLATable[Minimum SLA],MATCH(G792,SLATable[Priority],0))),"YES","NO"),"")</f>
        <v/>
      </c>
      <c r="AJ792" s="28" t="str">
        <f ca="1">_xlfn.IFNA(IF(AE792 &lt; (INDEX(SLATable[Maximum SLA],MATCH(G792,SLATable[Priority],0))),"YES","NO"),"")</f>
        <v/>
      </c>
    </row>
    <row r="793" spans="2:36" s="58" customFormat="1">
      <c r="B793" s="58" t="s">
        <v>26</v>
      </c>
      <c r="C793" s="58" t="s">
        <v>35</v>
      </c>
      <c r="D793" s="58" t="s">
        <v>207</v>
      </c>
      <c r="E793" s="58" t="s">
        <v>2527</v>
      </c>
      <c r="F793" s="58" t="s">
        <v>289</v>
      </c>
      <c r="G793" s="58">
        <v>3</v>
      </c>
      <c r="H793" s="127" t="s">
        <v>2528</v>
      </c>
      <c r="I793" s="58" t="s">
        <v>271</v>
      </c>
      <c r="J793" s="127" t="s">
        <v>1092</v>
      </c>
      <c r="K793" s="316">
        <v>46196.676840277767</v>
      </c>
      <c r="L793" s="316">
        <v>46196.710486111107</v>
      </c>
      <c r="M793" s="316">
        <v>46198.347916666673</v>
      </c>
      <c r="N793" s="307"/>
      <c r="O793" s="316">
        <v>46204.507118055553</v>
      </c>
      <c r="P793" s="316">
        <v>46212.551296296297</v>
      </c>
      <c r="Q793" s="58" t="s">
        <v>1098</v>
      </c>
      <c r="R793" s="58" t="s">
        <v>267</v>
      </c>
      <c r="S793" s="58" t="s">
        <v>169</v>
      </c>
      <c r="U793" s="58" t="s">
        <v>371</v>
      </c>
      <c r="Z793" s="169">
        <f t="shared" ca="1" si="134"/>
        <v>16.832133796306156</v>
      </c>
      <c r="AA793" s="170">
        <f t="shared" ca="1" si="135"/>
        <v>44.885690123483087</v>
      </c>
      <c r="AB793" s="169" t="e">
        <f t="shared" ca="1" si="136"/>
        <v>#N/A</v>
      </c>
      <c r="AC793" s="170" t="e">
        <f t="shared" ca="1" si="137"/>
        <v>#N/A</v>
      </c>
      <c r="AD793" s="169">
        <f t="shared" ca="1" si="138"/>
        <v>0.38958333333963913</v>
      </c>
      <c r="AE793" s="169" t="e">
        <f t="shared" ca="1" si="126"/>
        <v>#N/A</v>
      </c>
      <c r="AF793" s="170" t="e">
        <f t="shared" ca="1" si="139"/>
        <v>#N/A</v>
      </c>
      <c r="AG793" s="170" t="e">
        <f t="shared" ca="1" si="140"/>
        <v>#N/A</v>
      </c>
      <c r="AH793" s="28" t="str" cm="1">
        <f t="array" aca="1" ref="AH793" ca="1">IF((AD793) &lt; (INDEX(ResponseSLA[#All],(MATCH((G793),ResponseSLA[Priority],0))+1,3)),"YES","No")</f>
        <v>No</v>
      </c>
      <c r="AI793" s="28" t="str">
        <f ca="1">_xlfn.IFNA(IF(AE793 &lt; (INDEX(SLATable[Minimum SLA],MATCH(G793,SLATable[Priority],0))),"YES","NO"),"")</f>
        <v/>
      </c>
      <c r="AJ793" s="28" t="str">
        <f ca="1">_xlfn.IFNA(IF(AE793 &lt; (INDEX(SLATable[Maximum SLA],MATCH(G793,SLATable[Priority],0))),"YES","NO"),"")</f>
        <v/>
      </c>
    </row>
    <row r="794" spans="2:36" s="58" customFormat="1">
      <c r="B794" s="58" t="s">
        <v>26</v>
      </c>
      <c r="C794" s="58" t="s">
        <v>35</v>
      </c>
      <c r="D794" s="58" t="s">
        <v>207</v>
      </c>
      <c r="E794" s="58" t="s">
        <v>2529</v>
      </c>
      <c r="F794" s="58" t="s">
        <v>289</v>
      </c>
      <c r="G794" s="58">
        <v>4</v>
      </c>
      <c r="H794" s="127" t="s">
        <v>2530</v>
      </c>
      <c r="I794" s="58" t="s">
        <v>271</v>
      </c>
      <c r="J794" s="127" t="s">
        <v>1092</v>
      </c>
      <c r="K794" s="316">
        <v>46209.917071759257</v>
      </c>
      <c r="L794" s="316">
        <v>46180.917268518519</v>
      </c>
      <c r="M794" s="316">
        <v>46210.303703703707</v>
      </c>
      <c r="N794" s="307"/>
      <c r="O794" s="316">
        <v>46210.421400462961</v>
      </c>
      <c r="P794" s="316">
        <v>46218.421666666669</v>
      </c>
      <c r="Q794" s="58" t="s">
        <v>1098</v>
      </c>
      <c r="R794" s="58" t="s">
        <v>267</v>
      </c>
      <c r="S794" s="58" t="s">
        <v>141</v>
      </c>
      <c r="U794" s="58" t="s">
        <v>371</v>
      </c>
      <c r="Z794" s="169">
        <f t="shared" ca="1" si="134"/>
        <v>13.425640740739862</v>
      </c>
      <c r="AA794" s="170">
        <f t="shared" ca="1" si="135"/>
        <v>35.801708641972965</v>
      </c>
      <c r="AB794" s="169" t="e">
        <f t="shared" ca="1" si="136"/>
        <v>#N/A</v>
      </c>
      <c r="AC794" s="170" t="e">
        <f t="shared" ca="1" si="137"/>
        <v>#N/A</v>
      </c>
      <c r="AD794" s="169">
        <f t="shared" ca="1" si="138"/>
        <v>7.5000000000000009</v>
      </c>
      <c r="AE794" s="169" t="e">
        <f t="shared" ca="1" si="126"/>
        <v>#N/A</v>
      </c>
      <c r="AF794" s="170" t="e">
        <f t="shared" ca="1" si="139"/>
        <v>#N/A</v>
      </c>
      <c r="AG794" s="170" t="e">
        <f t="shared" ca="1" si="140"/>
        <v>#N/A</v>
      </c>
      <c r="AH794" s="28" t="str" cm="1">
        <f t="array" aca="1" ref="AH794" ca="1">IF((AD794) &lt; (INDEX(ResponseSLA[#All],(MATCH((G794),ResponseSLA[Priority],0))+1,3)),"YES","No")</f>
        <v>No</v>
      </c>
      <c r="AI794" s="28" t="str">
        <f ca="1">_xlfn.IFNA(IF(AE794 &lt; (INDEX(SLATable[Minimum SLA],MATCH(G794,SLATable[Priority],0))),"YES","NO"),"")</f>
        <v/>
      </c>
      <c r="AJ794" s="28" t="str">
        <f ca="1">_xlfn.IFNA(IF(AE794 &lt; (INDEX(SLATable[Maximum SLA],MATCH(G794,SLATable[Priority],0))),"YES","NO"),"")</f>
        <v/>
      </c>
    </row>
    <row r="795" spans="2:36" s="58" customFormat="1">
      <c r="B795" s="58" t="s">
        <v>26</v>
      </c>
      <c r="C795" s="58" t="s">
        <v>35</v>
      </c>
      <c r="D795" s="58" t="s">
        <v>207</v>
      </c>
      <c r="E795" s="405" t="s">
        <v>1745</v>
      </c>
      <c r="F795" s="58" t="s">
        <v>289</v>
      </c>
      <c r="G795" s="58">
        <v>4</v>
      </c>
      <c r="H795" s="313" t="s">
        <v>1746</v>
      </c>
      <c r="I795" s="58" t="s">
        <v>271</v>
      </c>
      <c r="J795" s="127" t="s">
        <v>1092</v>
      </c>
      <c r="K795" s="316">
        <v>46197.620752314811</v>
      </c>
      <c r="L795" s="316">
        <v>46197.621840277781</v>
      </c>
      <c r="M795" s="316">
        <v>46198.352314814823</v>
      </c>
      <c r="N795" s="314"/>
      <c r="O795" s="316">
        <v>46231.339872685188</v>
      </c>
      <c r="P795" s="316">
        <v>46234.467175925929</v>
      </c>
      <c r="Q795" s="313" t="s">
        <v>1098</v>
      </c>
      <c r="R795" s="58" t="s">
        <v>267</v>
      </c>
      <c r="S795" s="58" t="s">
        <v>199</v>
      </c>
      <c r="U795" s="58" t="s">
        <v>371</v>
      </c>
      <c r="Z795" s="169">
        <f ca="1">IF(NOT(OR(G795=1,G795=2)),MAX(0,_xlfn.IFS(AND(K795&lt;&gt;"",N795&lt;&gt;""),((MAX(NETWORKDAYS(K795,N795,UKBankHolidays)-1,0))*(TIME(17,0,0)-TIME(8,0,0))+IF(NETWORKDAYS(N795,N795,UKBankHolidays)&gt;0,MEDIAN(TIME(8,0,0),MOD(N795,1),TIME(17,0,0)),TIME(8,0,0))-IF(NETWORKDAYS(K795,K795,UKBankHolidays)&gt;0,MEDIAN(TIME(8,0,0),MOD(K795,1),TIME(17,0,0)),TIME(8,0,0)))-IF(AND(O795&lt;&gt;"",P795&lt;&gt;""),((MAX(NETWORKDAYS(O795,P795,UKBankHolidays)-1,0))*(TIME(17,0,0)-TIME(8,0,0))+IF(NETWORKDAYS(P795,P795,UKBankHolidays)&gt;0,MEDIAN(TIME(8,0,0),MOD(P795,1),TIME(17,0,0)),TIME(8,0,0))-IF(NETWORKDAYS(O795,O795,UKBankHolidays)&gt;0,MEDIAN(TIME(8,0,0),MOD(O795,1),TIME(17,0,0)),TIME(8,0,0))),0),AND(K795&lt;&gt;"",N795=""),((MAX(NETWORKDAYS(K795,NOW(),UKBankHolidays)-1,0))*(TIME(17,0,0)-TIME(8,0,0))+IF(NETWORKDAYS(NOW(),NOW(),UKBankHolidays)&gt;0,MEDIAN(TIME(8,0,0),MOD(NOW(),1),TIME(17,0,0)),TIME(8,0,0))-IF(NETWORKDAYS(K795,K795,UKBankHolidays)&gt;0,MEDIAN(TIME(8,0,0),MOD(K795,1),TIME(17,0,0)),TIME(8,0,0))))),IF(N795="",NOW()-K795,N795-K795))</f>
        <v>16.513221296299893</v>
      </c>
      <c r="AA795" s="170">
        <f t="shared" ca="1" si="135"/>
        <v>44.035256790133047</v>
      </c>
      <c r="AB795" s="169" t="e">
        <f t="shared" ca="1" si="136"/>
        <v>#N/A</v>
      </c>
      <c r="AC795" s="170" t="e">
        <f t="shared" ca="1" si="137"/>
        <v>#N/A</v>
      </c>
      <c r="AD795" s="169">
        <f t="shared" ca="1" si="138"/>
        <v>0.10547453704202781</v>
      </c>
      <c r="AE795" s="169" t="e">
        <f t="shared" ca="1" si="126"/>
        <v>#N/A</v>
      </c>
      <c r="AF795" s="170" t="e">
        <f t="shared" ca="1" si="139"/>
        <v>#N/A</v>
      </c>
      <c r="AG795" s="170" t="e">
        <f t="shared" ca="1" si="140"/>
        <v>#N/A</v>
      </c>
      <c r="AH795" s="28" t="str" cm="1">
        <f t="array" aca="1" ref="AH795" ca="1">IF((AD795) &lt; (INDEX(ResponseSLA[#All],(MATCH((G795),ResponseSLA[Priority],0))+1,3)),"YES","No")</f>
        <v>YES</v>
      </c>
      <c r="AI795" s="28" t="str">
        <f ca="1">_xlfn.IFNA(IF(AE795 &lt; (INDEX(SLATable[Minimum SLA],MATCH(G795,SLATable[Priority],0))),"YES","NO"),"")</f>
        <v/>
      </c>
      <c r="AJ795" s="28" t="str">
        <f ca="1">_xlfn.IFNA(IF(AE795 &lt; (INDEX(SLATable[Maximum SLA],MATCH(G795,SLATable[Priority],0))),"YES","NO"),"")</f>
        <v/>
      </c>
    </row>
    <row r="796" spans="2:36" s="58" customFormat="1">
      <c r="B796" s="58" t="s">
        <v>26</v>
      </c>
      <c r="C796" s="58" t="s">
        <v>35</v>
      </c>
      <c r="D796" s="58" t="s">
        <v>207</v>
      </c>
      <c r="E796" s="405" t="s">
        <v>2531</v>
      </c>
      <c r="F796" s="405" t="s">
        <v>289</v>
      </c>
      <c r="G796" s="58">
        <v>4</v>
      </c>
      <c r="H796" s="313" t="s">
        <v>2532</v>
      </c>
      <c r="I796" s="58" t="s">
        <v>271</v>
      </c>
      <c r="J796" s="127" t="s">
        <v>1092</v>
      </c>
      <c r="K796" s="307">
        <v>46220.886562500003</v>
      </c>
      <c r="L796" s="316">
        <v>46220.886562500003</v>
      </c>
      <c r="M796" s="316">
        <v>46223.312696759262</v>
      </c>
      <c r="N796" s="314"/>
      <c r="O796" s="316">
        <v>46223.469571759262</v>
      </c>
      <c r="P796" s="316">
        <v>46231.469722222217</v>
      </c>
      <c r="Q796" s="313" t="s">
        <v>1123</v>
      </c>
      <c r="R796" s="58" t="s">
        <v>267</v>
      </c>
      <c r="S796" s="58" t="s">
        <v>199</v>
      </c>
      <c r="U796" s="58" t="s">
        <v>371</v>
      </c>
      <c r="Z796" s="169">
        <f t="shared" ca="1" si="134"/>
        <v>10.050641087963111</v>
      </c>
      <c r="AA796" s="170">
        <f t="shared" ca="1" si="135"/>
        <v>26.801709567901629</v>
      </c>
      <c r="AB796" s="169" t="e">
        <f t="shared" ca="1" si="136"/>
        <v>#N/A</v>
      </c>
      <c r="AC796" s="170" t="e">
        <f t="shared" ca="1" si="137"/>
        <v>#N/A</v>
      </c>
      <c r="AD796" s="169">
        <f t="shared" ca="1" si="138"/>
        <v>0</v>
      </c>
      <c r="AE796" s="169" t="e">
        <f t="shared" ca="1" si="126"/>
        <v>#N/A</v>
      </c>
      <c r="AF796" s="170" t="e">
        <f t="shared" ca="1" si="139"/>
        <v>#N/A</v>
      </c>
      <c r="AG796" s="170" t="e">
        <f t="shared" ca="1" si="140"/>
        <v>#N/A</v>
      </c>
      <c r="AH796" s="28" t="str" cm="1">
        <f t="array" aca="1" ref="AH796" ca="1">IF((AD796) &lt; (INDEX(ResponseSLA[#All],(MATCH((G796),ResponseSLA[Priority],0))+1,3)),"YES","No")</f>
        <v>YES</v>
      </c>
      <c r="AI796" s="28" t="str">
        <f ca="1">_xlfn.IFNA(IF(AE796 &lt; (INDEX(SLATable[Minimum SLA],MATCH(G796,SLATable[Priority],0))),"YES","NO"),"")</f>
        <v/>
      </c>
      <c r="AJ796" s="28" t="str">
        <f ca="1">_xlfn.IFNA(IF(AE796 &lt; (INDEX(SLATable[Maximum SLA],MATCH(G796,SLATable[Priority],0))),"YES","NO"),"")</f>
        <v/>
      </c>
    </row>
    <row r="797" spans="2:36" s="58" customFormat="1">
      <c r="B797" s="58" t="s">
        <v>26</v>
      </c>
      <c r="C797" s="58" t="s">
        <v>35</v>
      </c>
      <c r="D797" s="58" t="s">
        <v>207</v>
      </c>
      <c r="E797" s="405" t="s">
        <v>2533</v>
      </c>
      <c r="F797" s="58" t="s">
        <v>289</v>
      </c>
      <c r="G797" s="58">
        <v>4</v>
      </c>
      <c r="H797" s="313" t="s">
        <v>2534</v>
      </c>
      <c r="I797" s="58" t="s">
        <v>266</v>
      </c>
      <c r="J797" s="127" t="s">
        <v>1092</v>
      </c>
      <c r="K797" s="307">
        <v>46219.306550925918</v>
      </c>
      <c r="L797" s="316">
        <v>46219.306956018518</v>
      </c>
      <c r="M797" s="316">
        <v>46219.34233796296</v>
      </c>
      <c r="N797" s="314"/>
      <c r="O797" s="316">
        <v>46224.470706018517</v>
      </c>
      <c r="P797" s="316"/>
      <c r="Q797" s="313" t="s">
        <v>1068</v>
      </c>
      <c r="R797" s="58" t="s">
        <v>267</v>
      </c>
      <c r="S797" s="58" t="s">
        <v>199</v>
      </c>
      <c r="U797" s="58" t="s">
        <v>371</v>
      </c>
      <c r="Z797" s="169">
        <f t="shared" ca="1" si="134"/>
        <v>10.800641087963111</v>
      </c>
      <c r="AA797" s="170">
        <f t="shared" ca="1" si="135"/>
        <v>28.801709567901625</v>
      </c>
      <c r="AB797" s="169">
        <f t="shared" ca="1" si="136"/>
        <v>1.2623726851840429</v>
      </c>
      <c r="AC797" s="170">
        <f t="shared" ca="1" si="137"/>
        <v>3.3663271604907812</v>
      </c>
      <c r="AD797" s="169">
        <f t="shared" ca="1" si="138"/>
        <v>9.0046296269671866E-3</v>
      </c>
      <c r="AE797" s="169">
        <f t="shared" ca="1" si="126"/>
        <v>1.2623726851840429</v>
      </c>
      <c r="AF797" s="170">
        <f t="shared" ca="1" si="139"/>
        <v>3.3663271604907812</v>
      </c>
      <c r="AG797" s="170">
        <f t="shared" ca="1" si="140"/>
        <v>3.3663271604907812</v>
      </c>
      <c r="AH797" s="28" t="str" cm="1">
        <f t="array" aca="1" ref="AH797" ca="1">IF((AD797) &lt; (INDEX(ResponseSLA[#All],(MATCH((G797),ResponseSLA[Priority],0))+1,3)),"YES","No")</f>
        <v>YES</v>
      </c>
      <c r="AI797" s="28" t="str">
        <f ca="1">_xlfn.IFNA(IF(AE797 &lt; (INDEX(SLATable[Minimum SLA],MATCH(G797,SLATable[Priority],0))),"YES","NO"),"")</f>
        <v>YES</v>
      </c>
      <c r="AJ797" s="28" t="str">
        <f ca="1">_xlfn.IFNA(IF(AE797 &lt; (INDEX(SLATable[Maximum SLA],MATCH(G797,SLATable[Priority],0))),"YES","NO"),"")</f>
        <v>YES</v>
      </c>
    </row>
    <row r="798" spans="2:36" s="58" customFormat="1">
      <c r="B798" s="58" t="s">
        <v>26</v>
      </c>
      <c r="C798" s="58" t="s">
        <v>35</v>
      </c>
      <c r="D798" s="58" t="s">
        <v>207</v>
      </c>
      <c r="E798" s="405" t="s">
        <v>2535</v>
      </c>
      <c r="F798" s="405" t="s">
        <v>289</v>
      </c>
      <c r="G798" s="58">
        <v>4</v>
      </c>
      <c r="H798" s="313" t="s">
        <v>2536</v>
      </c>
      <c r="I798" s="58" t="s">
        <v>271</v>
      </c>
      <c r="J798" s="127" t="s">
        <v>1092</v>
      </c>
      <c r="K798" s="307">
        <v>46219.36105324074</v>
      </c>
      <c r="L798" s="316">
        <v>46219.361342592587</v>
      </c>
      <c r="M798" s="316">
        <v>46219.460659722223</v>
      </c>
      <c r="N798" s="314"/>
      <c r="O798" s="316">
        <v>46224.467847222222</v>
      </c>
      <c r="P798" s="316"/>
      <c r="Q798" s="315" t="s">
        <v>1068</v>
      </c>
      <c r="R798" s="58" t="s">
        <v>267</v>
      </c>
      <c r="S798" s="58" t="s">
        <v>199</v>
      </c>
      <c r="U798" s="58" t="s">
        <v>371</v>
      </c>
      <c r="Z798" s="169">
        <f t="shared" ca="1" si="134"/>
        <v>10.772921180556297</v>
      </c>
      <c r="AA798" s="170">
        <f t="shared" ca="1" si="135"/>
        <v>28.727789814816795</v>
      </c>
      <c r="AB798" s="169">
        <f t="shared" ca="1" si="136"/>
        <v>1.2315046296353105</v>
      </c>
      <c r="AC798" s="170">
        <f t="shared" ca="1" si="137"/>
        <v>3.2840123456941614</v>
      </c>
      <c r="AD798" s="169">
        <f t="shared" ca="1" si="138"/>
        <v>9.9317129635892343E-2</v>
      </c>
      <c r="AE798" s="169">
        <f t="shared" ca="1" si="126"/>
        <v>1.2315046296353105</v>
      </c>
      <c r="AF798" s="170">
        <f t="shared" ca="1" si="139"/>
        <v>3.2840123456941614</v>
      </c>
      <c r="AG798" s="170">
        <f t="shared" ca="1" si="140"/>
        <v>3.2840123456941614</v>
      </c>
      <c r="AH798" s="28" t="str" cm="1">
        <f t="array" aca="1" ref="AH798" ca="1">IF((AD798) &lt; (INDEX(ResponseSLA[#All],(MATCH((G798),ResponseSLA[Priority],0))+1,3)),"YES","No")</f>
        <v>YES</v>
      </c>
      <c r="AI798" s="28" t="str">
        <f ca="1">_xlfn.IFNA(IF(AE798 &lt; (INDEX(SLATable[Minimum SLA],MATCH(G798,SLATable[Priority],0))),"YES","NO"),"")</f>
        <v>YES</v>
      </c>
      <c r="AJ798" s="28" t="str">
        <f ca="1">_xlfn.IFNA(IF(AE798 &lt; (INDEX(SLATable[Maximum SLA],MATCH(G798,SLATable[Priority],0))),"YES","NO"),"")</f>
        <v>YES</v>
      </c>
    </row>
    <row r="799" spans="2:36" s="58" customFormat="1">
      <c r="B799" s="58" t="s">
        <v>26</v>
      </c>
      <c r="C799" s="58" t="s">
        <v>35</v>
      </c>
      <c r="D799" s="58" t="s">
        <v>207</v>
      </c>
      <c r="E799" s="405" t="s">
        <v>2537</v>
      </c>
      <c r="F799" s="58" t="s">
        <v>289</v>
      </c>
      <c r="G799" s="58">
        <v>4</v>
      </c>
      <c r="H799" s="313" t="s">
        <v>2538</v>
      </c>
      <c r="I799" s="58" t="s">
        <v>271</v>
      </c>
      <c r="J799" s="127" t="s">
        <v>1092</v>
      </c>
      <c r="K799" s="307">
        <v>46217.482743055552</v>
      </c>
      <c r="L799" s="316">
        <v>46217.483067129629</v>
      </c>
      <c r="M799" s="316">
        <v>46218.284166666657</v>
      </c>
      <c r="N799" s="314"/>
      <c r="O799" s="316">
        <v>46219.372314814813</v>
      </c>
      <c r="P799" s="316"/>
      <c r="Q799" s="313" t="s">
        <v>1068</v>
      </c>
      <c r="R799" s="58" t="s">
        <v>267</v>
      </c>
      <c r="S799" s="58" t="s">
        <v>199</v>
      </c>
      <c r="U799" s="58" t="s">
        <v>371</v>
      </c>
      <c r="Z799" s="169">
        <f t="shared" ca="1" si="134"/>
        <v>11.401231365744026</v>
      </c>
      <c r="AA799" s="170">
        <f t="shared" ca="1" si="135"/>
        <v>30.403283641984071</v>
      </c>
      <c r="AB799" s="169">
        <f t="shared" ca="1" si="136"/>
        <v>0.6392476851833635</v>
      </c>
      <c r="AC799" s="170">
        <f t="shared" ca="1" si="137"/>
        <v>1.7046604938223027</v>
      </c>
      <c r="AD799" s="169">
        <f t="shared" ca="1" si="138"/>
        <v>0.22526620370384387</v>
      </c>
      <c r="AE799" s="169">
        <f t="shared" ca="1" si="126"/>
        <v>0.6392476851833635</v>
      </c>
      <c r="AF799" s="170">
        <f t="shared" ca="1" si="139"/>
        <v>1.7046604938223027</v>
      </c>
      <c r="AG799" s="170">
        <f t="shared" ca="1" si="140"/>
        <v>1.7046604938223027</v>
      </c>
      <c r="AH799" s="28" t="str" cm="1">
        <f t="array" aca="1" ref="AH799" ca="1">IF((AD799) &lt; (INDEX(ResponseSLA[#All],(MATCH((G799),ResponseSLA[Priority],0))+1,3)),"YES","No")</f>
        <v>No</v>
      </c>
      <c r="AI799" s="28" t="str">
        <f ca="1">_xlfn.IFNA(IF(AE799 &lt; (INDEX(SLATable[Minimum SLA],MATCH(G799,SLATable[Priority],0))),"YES","NO"),"")</f>
        <v>YES</v>
      </c>
      <c r="AJ799" s="28" t="str">
        <f ca="1">_xlfn.IFNA(IF(AE799 &lt; (INDEX(SLATable[Maximum SLA],MATCH(G799,SLATable[Priority],0))),"YES","NO"),"")</f>
        <v>YES</v>
      </c>
    </row>
    <row r="800" spans="2:36" s="58" customFormat="1">
      <c r="B800" s="58" t="s">
        <v>26</v>
      </c>
      <c r="C800" s="58" t="s">
        <v>35</v>
      </c>
      <c r="D800" s="58" t="s">
        <v>207</v>
      </c>
      <c r="E800" s="58" t="s">
        <v>2539</v>
      </c>
      <c r="F800" s="58" t="s">
        <v>289</v>
      </c>
      <c r="G800" s="58">
        <v>3</v>
      </c>
      <c r="H800" s="127" t="s">
        <v>2540</v>
      </c>
      <c r="I800" s="58" t="s">
        <v>271</v>
      </c>
      <c r="J800" s="127" t="s">
        <v>1092</v>
      </c>
      <c r="K800" s="307">
        <v>46218.72457175926</v>
      </c>
      <c r="L800" s="316">
        <v>46220.348067129627</v>
      </c>
      <c r="M800" s="316">
        <v>46220.531712962962</v>
      </c>
      <c r="N800" s="307"/>
      <c r="O800" s="316"/>
      <c r="P800" s="316"/>
      <c r="Q800" s="58" t="s">
        <v>2541</v>
      </c>
      <c r="R800" s="58" t="s">
        <v>267</v>
      </c>
      <c r="S800" s="58" t="s">
        <v>199</v>
      </c>
      <c r="U800" s="58" t="s">
        <v>371</v>
      </c>
      <c r="Z800" s="169">
        <f t="shared" ca="1" si="134"/>
        <v>10.800641087963111</v>
      </c>
      <c r="AA800" s="170">
        <f t="shared" ca="1" si="135"/>
        <v>28.801709567901625</v>
      </c>
      <c r="AB800" s="169">
        <f t="shared" ca="1" si="136"/>
        <v>10.410906944445744</v>
      </c>
      <c r="AC800" s="170">
        <f t="shared" ca="1" si="137"/>
        <v>27.762418518521983</v>
      </c>
      <c r="AD800" s="169">
        <f t="shared" ca="1" si="138"/>
        <v>0.1836458333345945</v>
      </c>
      <c r="AE800" s="169">
        <f t="shared" ca="1" si="126"/>
        <v>10.410906944445744</v>
      </c>
      <c r="AF800" s="170">
        <f t="shared" ca="1" si="139"/>
        <v>27.762418518521983</v>
      </c>
      <c r="AG800" s="170">
        <f t="shared" ca="1" si="140"/>
        <v>27.762418518521983</v>
      </c>
      <c r="AH800" s="28" t="str" cm="1">
        <f t="array" aca="1" ref="AH800" ca="1">IF((AD800) &lt; (INDEX(ResponseSLA[#All],(MATCH((G800),ResponseSLA[Priority],0))+1,3)),"YES","No")</f>
        <v>No</v>
      </c>
      <c r="AI800" s="28" t="str">
        <f ca="1">_xlfn.IFNA(IF(AE800 &lt; (INDEX(SLATable[Minimum SLA],MATCH(G800,SLATable[Priority],0))),"YES","NO"),"")</f>
        <v>NO</v>
      </c>
      <c r="AJ800" s="28" t="str">
        <f ca="1">_xlfn.IFNA(IF(AE800 &lt; (INDEX(SLATable[Maximum SLA],MATCH(G800,SLATable[Priority],0))),"YES","NO"),"")</f>
        <v>NO</v>
      </c>
    </row>
    <row r="801" spans="2:36" s="58" customFormat="1">
      <c r="B801" s="58" t="s">
        <v>26</v>
      </c>
      <c r="C801" s="58" t="s">
        <v>35</v>
      </c>
      <c r="D801" s="58" t="s">
        <v>207</v>
      </c>
      <c r="E801" s="58" t="s">
        <v>1751</v>
      </c>
      <c r="F801" s="58" t="s">
        <v>289</v>
      </c>
      <c r="G801" s="58">
        <v>4</v>
      </c>
      <c r="H801" s="127" t="s">
        <v>1752</v>
      </c>
      <c r="I801" s="58" t="s">
        <v>266</v>
      </c>
      <c r="J801" s="127" t="s">
        <v>1092</v>
      </c>
      <c r="K801" s="316">
        <v>46197.607349537036</v>
      </c>
      <c r="L801" s="316">
        <v>46197.607847222222</v>
      </c>
      <c r="M801" s="316">
        <v>46198.350173611107</v>
      </c>
      <c r="N801" s="307"/>
      <c r="O801" s="316">
        <v>46211.592569444438</v>
      </c>
      <c r="P801" s="316"/>
      <c r="Q801" s="58" t="s">
        <v>1098</v>
      </c>
      <c r="R801" s="58" t="s">
        <v>267</v>
      </c>
      <c r="S801" s="58" t="s">
        <v>199</v>
      </c>
      <c r="U801" s="58" t="s">
        <v>371</v>
      </c>
      <c r="Z801" s="169">
        <f t="shared" ca="1" si="134"/>
        <v>16.526624884259949</v>
      </c>
      <c r="AA801" s="170">
        <f t="shared" ca="1" si="135"/>
        <v>44.070999691359866</v>
      </c>
      <c r="AB801" s="169">
        <f t="shared" ca="1" si="136"/>
        <v>3.7347222222160781</v>
      </c>
      <c r="AC801" s="170">
        <f t="shared" ca="1" si="137"/>
        <v>9.9592592592428755</v>
      </c>
      <c r="AD801" s="169">
        <f t="shared" ca="1" si="138"/>
        <v>0.11732638888497604</v>
      </c>
      <c r="AE801" s="169">
        <f t="shared" ca="1" si="126"/>
        <v>20.260849189806326</v>
      </c>
      <c r="AF801" s="170">
        <f t="shared" ca="1" si="139"/>
        <v>54.028931172816868</v>
      </c>
      <c r="AG801" s="170">
        <f t="shared" ca="1" si="140"/>
        <v>54.028931172816868</v>
      </c>
      <c r="AH801" s="28" t="str" cm="1">
        <f t="array" aca="1" ref="AH801" ca="1">IF((AD801) &lt; (INDEX(ResponseSLA[#All],(MATCH((G801),ResponseSLA[Priority],0))+1,3)),"YES","No")</f>
        <v>YES</v>
      </c>
      <c r="AI801" s="28" t="str">
        <f ca="1">_xlfn.IFNA(IF(AE801 &lt; (INDEX(SLATable[Minimum SLA],MATCH(G801,SLATable[Priority],0))),"YES","NO"),"")</f>
        <v>NO</v>
      </c>
      <c r="AJ801" s="28" t="str">
        <f ca="1">_xlfn.IFNA(IF(AE801 &lt; (INDEX(SLATable[Maximum SLA],MATCH(G801,SLATable[Priority],0))),"YES","NO"),"")</f>
        <v>NO</v>
      </c>
    </row>
    <row r="802" spans="2:36" s="58" customFormat="1">
      <c r="B802" s="58" t="s">
        <v>26</v>
      </c>
      <c r="C802" s="58" t="s">
        <v>35</v>
      </c>
      <c r="D802" s="58" t="s">
        <v>207</v>
      </c>
      <c r="E802" s="58" t="s">
        <v>2542</v>
      </c>
      <c r="F802" s="58" t="s">
        <v>295</v>
      </c>
      <c r="G802" s="58">
        <v>4</v>
      </c>
      <c r="H802" s="127" t="s">
        <v>2543</v>
      </c>
      <c r="I802" s="58" t="s">
        <v>271</v>
      </c>
      <c r="J802" s="127" t="s">
        <v>1092</v>
      </c>
      <c r="K802" s="307">
        <v>46228.65284722222</v>
      </c>
      <c r="L802" s="316">
        <v>46228.653726851851</v>
      </c>
      <c r="M802" s="316">
        <v>46230.29892361111</v>
      </c>
      <c r="N802" s="307"/>
      <c r="O802" s="316"/>
      <c r="P802" s="316"/>
      <c r="Q802" s="58" t="s">
        <v>1057</v>
      </c>
      <c r="R802" s="58" t="s">
        <v>267</v>
      </c>
      <c r="S802" s="58" t="s">
        <v>193</v>
      </c>
      <c r="U802" s="58" t="s">
        <v>371</v>
      </c>
      <c r="Z802" s="169">
        <f t="shared" ca="1" si="134"/>
        <v>8.1756410879631094</v>
      </c>
      <c r="AA802" s="170">
        <f t="shared" ca="1" si="135"/>
        <v>21.801709567901625</v>
      </c>
      <c r="AB802" s="169">
        <f t="shared" ca="1" si="136"/>
        <v>8.1756407407398601</v>
      </c>
      <c r="AC802" s="170">
        <f t="shared" ca="1" si="137"/>
        <v>21.801708641972962</v>
      </c>
      <c r="AD802" s="169">
        <f t="shared" ca="1" si="138"/>
        <v>0</v>
      </c>
      <c r="AE802" s="169">
        <f t="shared" ca="1" si="126"/>
        <v>8.1756407407398601</v>
      </c>
      <c r="AF802" s="170">
        <f t="shared" ca="1" si="139"/>
        <v>21.801708641972962</v>
      </c>
      <c r="AG802" s="170">
        <f t="shared" ca="1" si="140"/>
        <v>21.801708641972962</v>
      </c>
      <c r="AH802" s="28" t="str" cm="1">
        <f t="array" aca="1" ref="AH802" ca="1">IF((AD802) &lt; (INDEX(ResponseSLA[#All],(MATCH((G802),ResponseSLA[Priority],0))+1,3)),"YES","No")</f>
        <v>YES</v>
      </c>
      <c r="AI802" s="28" t="str">
        <f ca="1">_xlfn.IFNA(IF(AE802 &lt; (INDEX(SLATable[Minimum SLA],MATCH(G802,SLATable[Priority],0))),"YES","NO"),"")</f>
        <v>NO</v>
      </c>
      <c r="AJ802" s="28" t="str">
        <f ca="1">_xlfn.IFNA(IF(AE802 &lt; (INDEX(SLATable[Maximum SLA],MATCH(G802,SLATable[Priority],0))),"YES","NO"),"")</f>
        <v>NO</v>
      </c>
    </row>
    <row r="803" spans="2:36" s="58" customFormat="1">
      <c r="B803" s="58" t="s">
        <v>26</v>
      </c>
      <c r="C803" s="58" t="s">
        <v>35</v>
      </c>
      <c r="D803" s="58" t="s">
        <v>207</v>
      </c>
      <c r="E803" s="58" t="s">
        <v>2544</v>
      </c>
      <c r="F803" s="58" t="s">
        <v>289</v>
      </c>
      <c r="G803" s="58">
        <v>4</v>
      </c>
      <c r="H803" s="127" t="s">
        <v>2545</v>
      </c>
      <c r="I803" s="58" t="s">
        <v>271</v>
      </c>
      <c r="J803" s="127" t="s">
        <v>1092</v>
      </c>
      <c r="K803" s="307">
        <v>46227.414872685193</v>
      </c>
      <c r="L803" s="316">
        <v>46227.415601851862</v>
      </c>
      <c r="M803" s="316">
        <v>46227.478032407409</v>
      </c>
      <c r="N803" s="307"/>
      <c r="O803" s="316"/>
      <c r="P803" s="316"/>
      <c r="Q803" s="58" t="s">
        <v>1123</v>
      </c>
      <c r="R803" s="58" t="s">
        <v>267</v>
      </c>
      <c r="S803" s="58" t="s">
        <v>141</v>
      </c>
      <c r="U803" s="58" t="s">
        <v>371</v>
      </c>
      <c r="Z803" s="169">
        <f t="shared" ca="1" si="134"/>
        <v>8.4691017361037684</v>
      </c>
      <c r="AA803" s="170">
        <f t="shared" ca="1" si="135"/>
        <v>22.584271296276718</v>
      </c>
      <c r="AB803" s="169">
        <f t="shared" ca="1" si="136"/>
        <v>8.468372222210748</v>
      </c>
      <c r="AC803" s="170">
        <f t="shared" ca="1" si="137"/>
        <v>22.582325925895329</v>
      </c>
      <c r="AD803" s="169">
        <f t="shared" ca="1" si="138"/>
        <v>6.2430555546598043E-2</v>
      </c>
      <c r="AE803" s="169">
        <f t="shared" ca="1" si="126"/>
        <v>8.468372222210748</v>
      </c>
      <c r="AF803" s="170">
        <f t="shared" ca="1" si="139"/>
        <v>22.582325925895329</v>
      </c>
      <c r="AG803" s="170">
        <f t="shared" ca="1" si="140"/>
        <v>22.582325925895329</v>
      </c>
      <c r="AH803" s="28" t="str" cm="1">
        <f t="array" aca="1" ref="AH803" ca="1">IF((AD803) &lt; (INDEX(ResponseSLA[#All],(MATCH((G803),ResponseSLA[Priority],0))+1,3)),"YES","No")</f>
        <v>YES</v>
      </c>
      <c r="AI803" s="28" t="str">
        <f ca="1">_xlfn.IFNA(IF(AE803 &lt; (INDEX(SLATable[Minimum SLA],MATCH(G803,SLATable[Priority],0))),"YES","NO"),"")</f>
        <v>NO</v>
      </c>
      <c r="AJ803" s="28" t="str">
        <f ca="1">_xlfn.IFNA(IF(AE803 &lt; (INDEX(SLATable[Maximum SLA],MATCH(G803,SLATable[Priority],0))),"YES","NO"),"")</f>
        <v>NO</v>
      </c>
    </row>
    <row r="804" spans="2:36" s="58" customFormat="1">
      <c r="B804" s="58" t="s">
        <v>26</v>
      </c>
      <c r="C804" s="58" t="s">
        <v>35</v>
      </c>
      <c r="D804" s="58" t="s">
        <v>207</v>
      </c>
      <c r="E804" s="58" t="s">
        <v>2546</v>
      </c>
      <c r="F804" s="58" t="s">
        <v>289</v>
      </c>
      <c r="G804" s="58">
        <v>4</v>
      </c>
      <c r="H804" s="127" t="s">
        <v>2547</v>
      </c>
      <c r="I804" s="58" t="s">
        <v>271</v>
      </c>
      <c r="J804" s="127" t="s">
        <v>1092</v>
      </c>
      <c r="K804" s="307">
        <v>46227.5546412037</v>
      </c>
      <c r="L804" s="316">
        <v>46227.554884259262</v>
      </c>
      <c r="M804" s="316">
        <v>46230.303831018522</v>
      </c>
      <c r="N804" s="307"/>
      <c r="O804" s="316"/>
      <c r="P804" s="316"/>
      <c r="Q804" s="58" t="s">
        <v>1062</v>
      </c>
      <c r="R804" s="58" t="s">
        <v>267</v>
      </c>
      <c r="S804" s="58" t="s">
        <v>199</v>
      </c>
      <c r="U804" s="58" t="s">
        <v>371</v>
      </c>
      <c r="Z804" s="169">
        <f t="shared" ca="1" si="134"/>
        <v>8.3293332175962878</v>
      </c>
      <c r="AA804" s="170">
        <f t="shared" ca="1" si="135"/>
        <v>22.211555246923435</v>
      </c>
      <c r="AB804" s="169">
        <f t="shared" ca="1" si="136"/>
        <v>8.3290898148115975</v>
      </c>
      <c r="AC804" s="170">
        <f t="shared" ca="1" si="137"/>
        <v>22.210906172830928</v>
      </c>
      <c r="AD804" s="169">
        <f t="shared" ca="1" si="138"/>
        <v>0.15344907407173503</v>
      </c>
      <c r="AE804" s="169">
        <f t="shared" ca="1" si="126"/>
        <v>8.3290898148115975</v>
      </c>
      <c r="AF804" s="170">
        <f t="shared" ca="1" si="139"/>
        <v>22.210906172830928</v>
      </c>
      <c r="AG804" s="170">
        <f t="shared" ca="1" si="140"/>
        <v>22.210906172830928</v>
      </c>
      <c r="AH804" s="28" t="str" cm="1">
        <f t="array" aca="1" ref="AH804" ca="1">IF((AD804) &lt; (INDEX(ResponseSLA[#All],(MATCH((G804),ResponseSLA[Priority],0))+1,3)),"YES","No")</f>
        <v>No</v>
      </c>
      <c r="AI804" s="28" t="str">
        <f ca="1">_xlfn.IFNA(IF(AE804 &lt; (INDEX(SLATable[Minimum SLA],MATCH(G804,SLATable[Priority],0))),"YES","NO"),"")</f>
        <v>NO</v>
      </c>
      <c r="AJ804" s="28" t="str">
        <f ca="1">_xlfn.IFNA(IF(AE804 &lt; (INDEX(SLATable[Maximum SLA],MATCH(G804,SLATable[Priority],0))),"YES","NO"),"")</f>
        <v>NO</v>
      </c>
    </row>
    <row r="805" spans="2:36" s="58" customFormat="1">
      <c r="B805" s="58" t="s">
        <v>26</v>
      </c>
      <c r="C805" s="58" t="s">
        <v>35</v>
      </c>
      <c r="D805" s="58" t="s">
        <v>207</v>
      </c>
      <c r="E805" s="58" t="s">
        <v>2548</v>
      </c>
      <c r="F805" s="58" t="s">
        <v>289</v>
      </c>
      <c r="G805" s="58">
        <v>4</v>
      </c>
      <c r="H805" s="127" t="s">
        <v>2549</v>
      </c>
      <c r="I805" s="58" t="s">
        <v>260</v>
      </c>
      <c r="J805" s="127" t="s">
        <v>1092</v>
      </c>
      <c r="K805" s="307">
        <v>46217.478194444448</v>
      </c>
      <c r="L805" s="316">
        <v>46217.479224537034</v>
      </c>
      <c r="M805" s="316">
        <v>46218.282384259262</v>
      </c>
      <c r="N805" s="307"/>
      <c r="O805" s="316"/>
      <c r="P805" s="316"/>
      <c r="Q805" s="58" t="s">
        <v>1068</v>
      </c>
      <c r="R805" s="58" t="s">
        <v>267</v>
      </c>
      <c r="S805" s="58" t="s">
        <v>199</v>
      </c>
      <c r="U805" s="58" t="s">
        <v>371</v>
      </c>
      <c r="Z805" s="169">
        <f t="shared" ca="1" si="134"/>
        <v>11.405779976848864</v>
      </c>
      <c r="AA805" s="170">
        <f t="shared" ca="1" si="135"/>
        <v>30.415413271596972</v>
      </c>
      <c r="AB805" s="169">
        <f t="shared" ca="1" si="136"/>
        <v>11.404749537039608</v>
      </c>
      <c r="AC805" s="170">
        <f t="shared" ca="1" si="137"/>
        <v>30.412665432105623</v>
      </c>
      <c r="AD805" s="169">
        <f t="shared" ca="1" si="138"/>
        <v>0.22910879629974568</v>
      </c>
      <c r="AE805" s="169">
        <f t="shared" ca="1" si="126"/>
        <v>11.404749537039608</v>
      </c>
      <c r="AF805" s="170">
        <f t="shared" ca="1" si="139"/>
        <v>30.412665432105623</v>
      </c>
      <c r="AG805" s="170">
        <f t="shared" ca="1" si="140"/>
        <v>30.412665432105623</v>
      </c>
      <c r="AH805" s="28" t="str" cm="1">
        <f t="array" aca="1" ref="AH805" ca="1">IF((AD805) &lt; (INDEX(ResponseSLA[#All],(MATCH((G805),ResponseSLA[Priority],0))+1,3)),"YES","No")</f>
        <v>No</v>
      </c>
      <c r="AI805" s="28" t="str">
        <f ca="1">_xlfn.IFNA(IF(AE805 &lt; (INDEX(SLATable[Minimum SLA],MATCH(G805,SLATable[Priority],0))),"YES","NO"),"")</f>
        <v>NO</v>
      </c>
      <c r="AJ805" s="28" t="str">
        <f ca="1">_xlfn.IFNA(IF(AE805 &lt; (INDEX(SLATable[Maximum SLA],MATCH(G805,SLATable[Priority],0))),"YES","NO"),"")</f>
        <v>NO</v>
      </c>
    </row>
    <row r="806" spans="2:36" s="58" customFormat="1">
      <c r="B806" s="58" t="s">
        <v>26</v>
      </c>
      <c r="C806" s="58" t="s">
        <v>35</v>
      </c>
      <c r="D806" s="58" t="s">
        <v>208</v>
      </c>
      <c r="E806" s="58" t="s">
        <v>2550</v>
      </c>
      <c r="F806" s="58" t="s">
        <v>289</v>
      </c>
      <c r="G806" s="58" t="s">
        <v>208</v>
      </c>
      <c r="H806" s="127" t="s">
        <v>2551</v>
      </c>
      <c r="I806" s="58" t="s">
        <v>271</v>
      </c>
      <c r="J806" s="127" t="s">
        <v>1092</v>
      </c>
      <c r="K806" s="307">
        <v>46225.559120370373</v>
      </c>
      <c r="L806" s="316">
        <v>46226.331759259258</v>
      </c>
      <c r="M806" s="316">
        <v>46226.34988425926</v>
      </c>
      <c r="N806" s="307"/>
      <c r="O806" s="307"/>
      <c r="P806" s="307"/>
      <c r="Q806" s="58" t="s">
        <v>1113</v>
      </c>
      <c r="R806" s="58" t="s">
        <v>267</v>
      </c>
      <c r="S806" s="58" t="s">
        <v>139</v>
      </c>
      <c r="U806" s="58" t="s">
        <v>371</v>
      </c>
      <c r="Z806" s="169">
        <f t="shared" ca="1" si="134"/>
        <v>9.0748540509230242</v>
      </c>
      <c r="AA806" s="170">
        <f t="shared" ca="1" si="135"/>
        <v>24.1996108024614</v>
      </c>
      <c r="AB806" s="169">
        <f t="shared" ca="1" si="136"/>
        <v>8.9256407407398619</v>
      </c>
      <c r="AC806" s="170">
        <f t="shared" ca="1" si="137"/>
        <v>23.801708641972965</v>
      </c>
      <c r="AD806" s="169">
        <f t="shared" ca="1" si="138"/>
        <v>1.65509259265188E-2</v>
      </c>
      <c r="AE806" s="169">
        <f t="shared" ca="1" si="126"/>
        <v>8.9256407407398619</v>
      </c>
      <c r="AF806" s="170">
        <f t="shared" ca="1" si="139"/>
        <v>23.801708641972965</v>
      </c>
      <c r="AG806" s="170">
        <f t="shared" ca="1" si="140"/>
        <v>23.801708641972965</v>
      </c>
      <c r="AH806" s="28" t="str" cm="1">
        <f t="array" aca="1" ref="AH806" ca="1">IF((AD806) &lt; (INDEX(ResponseSLA[#All],(MATCH((G806),ResponseSLA[Priority],0))+1,3)),"YES","No")</f>
        <v>YES</v>
      </c>
      <c r="AI806" s="28" t="str">
        <f ca="1">_xlfn.IFNA(IF(AE806 &lt; (INDEX(SLATable[Minimum SLA],MATCH(G806,SLATable[Priority],0))),"YES","NO"),"")</f>
        <v>NO</v>
      </c>
      <c r="AJ806" s="28" t="str">
        <f ca="1">_xlfn.IFNA(IF(AE806 &lt; (INDEX(SLATable[Maximum SLA],MATCH(G806,SLATable[Priority],0))),"YES","NO"),"")</f>
        <v>NO</v>
      </c>
    </row>
    <row r="807" spans="2:36" s="58" customFormat="1">
      <c r="B807" s="58" t="s">
        <v>26</v>
      </c>
      <c r="C807" s="58" t="s">
        <v>35</v>
      </c>
      <c r="D807" s="58" t="s">
        <v>207</v>
      </c>
      <c r="E807" s="58" t="s">
        <v>2552</v>
      </c>
      <c r="F807" s="58" t="s">
        <v>292</v>
      </c>
      <c r="G807" s="58">
        <v>3</v>
      </c>
      <c r="H807" s="127" t="s">
        <v>2553</v>
      </c>
      <c r="I807" s="58" t="s">
        <v>271</v>
      </c>
      <c r="J807" s="127" t="s">
        <v>1619</v>
      </c>
      <c r="K807" s="307">
        <v>46234.009687500002</v>
      </c>
      <c r="L807" s="307">
        <v>46234.009733796294</v>
      </c>
      <c r="M807" s="307">
        <v>46234.246736111112</v>
      </c>
      <c r="N807" s="307"/>
      <c r="O807" s="307"/>
      <c r="P807" s="307"/>
      <c r="Q807" s="58" t="s">
        <v>1073</v>
      </c>
      <c r="R807" s="58" t="s">
        <v>267</v>
      </c>
      <c r="S807" s="58" t="s">
        <v>199</v>
      </c>
      <c r="U807" s="58" t="s">
        <v>371</v>
      </c>
      <c r="Z807" s="169">
        <f t="shared" ca="1" si="134"/>
        <v>6.6756410879631112</v>
      </c>
      <c r="AA807" s="170">
        <f t="shared" ca="1" si="135"/>
        <v>17.801709567901629</v>
      </c>
      <c r="AB807" s="169">
        <f t="shared" ca="1" si="136"/>
        <v>6.6756408564785197</v>
      </c>
      <c r="AC807" s="170">
        <f t="shared" ca="1" si="137"/>
        <v>17.801708950609385</v>
      </c>
      <c r="AD807" s="169">
        <f t="shared" ca="1" si="138"/>
        <v>0</v>
      </c>
      <c r="AE807" s="169">
        <f t="shared" ca="1" si="126"/>
        <v>6.6756408564785197</v>
      </c>
      <c r="AF807" s="170">
        <f t="shared" ca="1" si="139"/>
        <v>17.801708950609385</v>
      </c>
      <c r="AG807" s="170">
        <f t="shared" ca="1" si="140"/>
        <v>17.801708950609385</v>
      </c>
      <c r="AH807" s="28" t="str" cm="1">
        <f t="array" aca="1" ref="AH807" ca="1">IF((AD807) &lt; (INDEX(ResponseSLA[#All],(MATCH((G807),ResponseSLA[Priority],0))+1,3)),"YES","No")</f>
        <v>YES</v>
      </c>
      <c r="AI807" s="28" t="str">
        <f ca="1">_xlfn.IFNA(IF(AE807 &lt; (INDEX(SLATable[Minimum SLA],MATCH(G807,SLATable[Priority],0))),"YES","NO"),"")</f>
        <v>NO</v>
      </c>
      <c r="AJ807" s="28" t="str">
        <f ca="1">_xlfn.IFNA(IF(AE807 &lt; (INDEX(SLATable[Maximum SLA],MATCH(G807,SLATable[Priority],0))),"YES","NO"),"")</f>
        <v>NO</v>
      </c>
    </row>
    <row r="808" spans="2:36" s="58" customFormat="1">
      <c r="B808" s="58" t="s">
        <v>26</v>
      </c>
      <c r="C808" s="58" t="s">
        <v>35</v>
      </c>
      <c r="D808" s="58" t="s">
        <v>208</v>
      </c>
      <c r="E808" s="58" t="s">
        <v>2554</v>
      </c>
      <c r="F808" s="58" t="s">
        <v>292</v>
      </c>
      <c r="G808" s="58" t="s">
        <v>208</v>
      </c>
      <c r="H808" s="127" t="s">
        <v>2313</v>
      </c>
      <c r="I808" s="58" t="s">
        <v>266</v>
      </c>
      <c r="J808" s="127" t="s">
        <v>1619</v>
      </c>
      <c r="K808" s="307">
        <v>46232.515601851854</v>
      </c>
      <c r="L808" s="307">
        <v>46232.515648148146</v>
      </c>
      <c r="M808" s="307">
        <v>46234.261400462965</v>
      </c>
      <c r="N808" s="307"/>
      <c r="O808" s="307">
        <v>46234.56994212963</v>
      </c>
      <c r="P808" s="307"/>
      <c r="Q808" s="58" t="s">
        <v>1073</v>
      </c>
      <c r="Z808" s="169">
        <f t="shared" ca="1" si="134"/>
        <v>7.2433725694427276</v>
      </c>
      <c r="AA808" s="170">
        <f t="shared" ca="1" si="135"/>
        <v>19.315660185180608</v>
      </c>
      <c r="AB808" s="169">
        <f t="shared" ca="1" si="136"/>
        <v>0.80429398148407927</v>
      </c>
      <c r="AC808" s="170">
        <f t="shared" ca="1" si="137"/>
        <v>2.1447839506242112</v>
      </c>
      <c r="AD808" s="169">
        <f t="shared" ca="1" si="138"/>
        <v>0.56768518518705013</v>
      </c>
      <c r="AE808" s="169">
        <f t="shared" ca="1" si="126"/>
        <v>0.80429398148407927</v>
      </c>
      <c r="AF808" s="170">
        <f t="shared" ca="1" si="139"/>
        <v>2.1447839506242112</v>
      </c>
      <c r="AG808" s="170">
        <f t="shared" ca="1" si="140"/>
        <v>2.1447839506242112</v>
      </c>
      <c r="AH808" s="28" t="str" cm="1">
        <f t="array" aca="1" ref="AH808" ca="1">IF((AD808) &lt; (INDEX(ResponseSLA[#All],(MATCH((G808),ResponseSLA[Priority],0))+1,3)),"YES","No")</f>
        <v>No</v>
      </c>
      <c r="AI808" s="28" t="str">
        <f ca="1">_xlfn.IFNA(IF(AE808 &lt; (INDEX(SLATable[Minimum SLA],MATCH(G808,SLATable[Priority],0))),"YES","NO"),"")</f>
        <v>NO</v>
      </c>
      <c r="AJ808" s="28" t="str">
        <f ca="1">_xlfn.IFNA(IF(AE808 &lt; (INDEX(SLATable[Maximum SLA],MATCH(G808,SLATable[Priority],0))),"YES","NO"),"")</f>
        <v>NO</v>
      </c>
    </row>
    <row r="809" spans="2:36" s="58" customFormat="1">
      <c r="B809" s="58" t="s">
        <v>26</v>
      </c>
      <c r="C809" s="58" t="s">
        <v>35</v>
      </c>
      <c r="D809" s="58" t="s">
        <v>207</v>
      </c>
      <c r="E809" s="58" t="s">
        <v>2555</v>
      </c>
      <c r="F809" s="58" t="s">
        <v>289</v>
      </c>
      <c r="G809" s="58" t="s">
        <v>1638</v>
      </c>
      <c r="H809" s="127" t="s">
        <v>2556</v>
      </c>
      <c r="I809" s="58" t="s">
        <v>271</v>
      </c>
      <c r="J809" s="127" t="s">
        <v>1120</v>
      </c>
      <c r="K809" s="307">
        <v>46222.572025462963</v>
      </c>
      <c r="L809" s="307">
        <v>46222.57203703704</v>
      </c>
      <c r="M809" s="307">
        <v>46223.30537037037</v>
      </c>
      <c r="N809" s="307">
        <v>46231.533865740741</v>
      </c>
      <c r="O809" s="307">
        <v>46223.53365740741</v>
      </c>
      <c r="P809" s="307">
        <v>46231.533865740741</v>
      </c>
      <c r="Q809" s="58" t="s">
        <v>1123</v>
      </c>
      <c r="R809" s="58" t="s">
        <v>267</v>
      </c>
      <c r="S809" s="58" t="s">
        <v>199</v>
      </c>
      <c r="U809" s="58" t="s">
        <v>371</v>
      </c>
      <c r="Z809" s="169">
        <f t="shared" ca="1" si="134"/>
        <v>0.20032407407658548</v>
      </c>
      <c r="AA809" s="170">
        <f t="shared" ca="1" si="135"/>
        <v>0.53419753087089461</v>
      </c>
      <c r="AB809" s="169">
        <f t="shared" ca="1" si="136"/>
        <v>0.20032407407658548</v>
      </c>
      <c r="AC809" s="170">
        <f t="shared" ca="1" si="137"/>
        <v>0.53419753087089461</v>
      </c>
      <c r="AD809" s="169">
        <f t="shared" ca="1" si="138"/>
        <v>0</v>
      </c>
      <c r="AE809" s="169">
        <f t="shared" ca="1" si="126"/>
        <v>0.20032407407658548</v>
      </c>
      <c r="AF809" s="170">
        <f t="shared" ca="1" si="139"/>
        <v>0.53419753087089461</v>
      </c>
      <c r="AG809" s="170">
        <f t="shared" ca="1" si="140"/>
        <v>0.53419753087089461</v>
      </c>
      <c r="AH809" s="28" t="e" cm="1">
        <f t="array" aca="1" ref="AH809" ca="1">IF((AD809) &lt; (INDEX(ResponseSLA[#All],(MATCH((G809),ResponseSLA[Priority],0))+1,3)),"YES","No")</f>
        <v>#N/A</v>
      </c>
      <c r="AI809" s="28" t="str">
        <f ca="1">_xlfn.IFNA(IF(AE809 &lt; (INDEX(SLATable[Minimum SLA],MATCH(G809,SLATable[Priority],0))),"YES","NO"),"")</f>
        <v/>
      </c>
      <c r="AJ809" s="28" t="str">
        <f ca="1">_xlfn.IFNA(IF(AE809 &lt; (INDEX(SLATable[Maximum SLA],MATCH(G809,SLATable[Priority],0))),"YES","NO"),"")</f>
        <v/>
      </c>
    </row>
    <row r="810" spans="2:36" s="58" customFormat="1">
      <c r="B810" s="58" t="s">
        <v>26</v>
      </c>
      <c r="C810" s="58" t="s">
        <v>35</v>
      </c>
      <c r="D810" s="58" t="s">
        <v>207</v>
      </c>
      <c r="E810" s="58" t="s">
        <v>2557</v>
      </c>
      <c r="F810" s="58" t="s">
        <v>295</v>
      </c>
      <c r="G810" s="58" t="s">
        <v>1630</v>
      </c>
      <c r="H810" s="127" t="s">
        <v>2558</v>
      </c>
      <c r="I810" s="58" t="s">
        <v>271</v>
      </c>
      <c r="J810" s="127" t="s">
        <v>1120</v>
      </c>
      <c r="K810" s="307">
        <v>46213.496863425928</v>
      </c>
      <c r="L810" s="307">
        <v>46214.76798611111</v>
      </c>
      <c r="M810" s="307">
        <v>46216.321180555555</v>
      </c>
      <c r="N810" s="307">
        <v>46227.465069444443</v>
      </c>
      <c r="O810" s="307">
        <v>46219.464814814812</v>
      </c>
      <c r="P810" s="307">
        <v>46227.465069444443</v>
      </c>
      <c r="Q810" s="58" t="s">
        <v>1113</v>
      </c>
      <c r="R810" s="58" t="s">
        <v>267</v>
      </c>
      <c r="S810" s="58" t="s">
        <v>199</v>
      </c>
      <c r="U810" s="58" t="s">
        <v>371</v>
      </c>
      <c r="Z810" s="169">
        <f t="shared" ca="1" si="134"/>
        <v>1.4679513888841025</v>
      </c>
      <c r="AA810" s="170">
        <f t="shared" ca="1" si="135"/>
        <v>3.9145370370242727</v>
      </c>
      <c r="AB810" s="169">
        <f t="shared" ca="1" si="136"/>
        <v>1.2564814814783554</v>
      </c>
      <c r="AC810" s="170">
        <f t="shared" ca="1" si="137"/>
        <v>3.350617283942281</v>
      </c>
      <c r="AD810" s="169">
        <f t="shared" ca="1" si="138"/>
        <v>0</v>
      </c>
      <c r="AE810" s="169">
        <f t="shared" ca="1" si="126"/>
        <v>1.2564814814783554</v>
      </c>
      <c r="AF810" s="170">
        <f t="shared" ca="1" si="139"/>
        <v>3.350617283942281</v>
      </c>
      <c r="AG810" s="170">
        <f t="shared" ca="1" si="140"/>
        <v>3.350617283942281</v>
      </c>
      <c r="AH810" s="28" t="e" cm="1">
        <f t="array" aca="1" ref="AH810" ca="1">IF((AD810) &lt; (INDEX(ResponseSLA[#All],(MATCH((G810),ResponseSLA[Priority],0))+1,3)),"YES","No")</f>
        <v>#N/A</v>
      </c>
      <c r="AI810" s="28" t="str">
        <f ca="1">_xlfn.IFNA(IF(AE810 &lt; (INDEX(SLATable[Minimum SLA],MATCH(G810,SLATable[Priority],0))),"YES","NO"),"")</f>
        <v/>
      </c>
      <c r="AJ810" s="28" t="str">
        <f ca="1">_xlfn.IFNA(IF(AE810 &lt; (INDEX(SLATable[Maximum SLA],MATCH(G810,SLATable[Priority],0))),"YES","NO"),"")</f>
        <v/>
      </c>
    </row>
    <row r="811" spans="2:36" s="58" customFormat="1">
      <c r="B811" s="58" t="s">
        <v>26</v>
      </c>
      <c r="C811" s="58" t="s">
        <v>35</v>
      </c>
      <c r="D811" s="58" t="s">
        <v>207</v>
      </c>
      <c r="E811" s="58" t="s">
        <v>2559</v>
      </c>
      <c r="F811" s="58" t="s">
        <v>289</v>
      </c>
      <c r="G811" s="58" t="s">
        <v>1648</v>
      </c>
      <c r="H811" s="127" t="s">
        <v>2560</v>
      </c>
      <c r="I811" s="58" t="s">
        <v>271</v>
      </c>
      <c r="J811" s="127" t="s">
        <v>1120</v>
      </c>
      <c r="K811" s="307">
        <v>46226.869930555556</v>
      </c>
      <c r="L811" s="307">
        <v>46226.869953703703</v>
      </c>
      <c r="M811" s="307">
        <v>46226.874606481484</v>
      </c>
      <c r="N811" s="307">
        <v>46226.919641203705</v>
      </c>
      <c r="O811" s="307"/>
      <c r="P811" s="307"/>
      <c r="Q811" s="58" t="s">
        <v>1101</v>
      </c>
      <c r="R811" s="58" t="s">
        <v>267</v>
      </c>
      <c r="S811" s="58" t="s">
        <v>193</v>
      </c>
      <c r="U811" s="58" t="s">
        <v>371</v>
      </c>
      <c r="Z811" s="169">
        <f t="shared" ca="1" si="134"/>
        <v>0</v>
      </c>
      <c r="AA811" s="170">
        <f t="shared" ca="1" si="135"/>
        <v>0</v>
      </c>
      <c r="AB811" s="169">
        <f t="shared" ca="1" si="136"/>
        <v>0</v>
      </c>
      <c r="AC811" s="170">
        <f t="shared" ca="1" si="137"/>
        <v>0</v>
      </c>
      <c r="AD811" s="169">
        <f t="shared" ca="1" si="138"/>
        <v>0</v>
      </c>
      <c r="AE811" s="169">
        <f t="shared" ca="1" si="126"/>
        <v>0</v>
      </c>
      <c r="AF811" s="170">
        <f t="shared" ca="1" si="139"/>
        <v>0</v>
      </c>
      <c r="AG811" s="170">
        <f t="shared" ca="1" si="140"/>
        <v>0</v>
      </c>
      <c r="AH811" s="28" t="e" cm="1">
        <f t="array" aca="1" ref="AH811" ca="1">IF((AD811) &lt; (INDEX(ResponseSLA[#All],(MATCH((G811),ResponseSLA[Priority],0))+1,3)),"YES","No")</f>
        <v>#N/A</v>
      </c>
      <c r="AI811" s="28" t="str">
        <f ca="1">_xlfn.IFNA(IF(AE811 &lt; (INDEX(SLATable[Minimum SLA],MATCH(G811,SLATable[Priority],0))),"YES","NO"),"")</f>
        <v/>
      </c>
      <c r="AJ811" s="28" t="str">
        <f ca="1">_xlfn.IFNA(IF(AE811 &lt; (INDEX(SLATable[Maximum SLA],MATCH(G811,SLATable[Priority],0))),"YES","NO"),"")</f>
        <v/>
      </c>
    </row>
    <row r="812" spans="2:36" s="58" customFormat="1">
      <c r="B812" s="58" t="s">
        <v>26</v>
      </c>
      <c r="C812" s="58" t="s">
        <v>35</v>
      </c>
      <c r="D812" s="58" t="s">
        <v>207</v>
      </c>
      <c r="E812" s="58" t="s">
        <v>2561</v>
      </c>
      <c r="F812" s="58" t="s">
        <v>289</v>
      </c>
      <c r="G812" s="58" t="s">
        <v>1638</v>
      </c>
      <c r="H812" s="127" t="s">
        <v>2562</v>
      </c>
      <c r="I812" s="58" t="s">
        <v>271</v>
      </c>
      <c r="J812" s="127" t="s">
        <v>1120</v>
      </c>
      <c r="K812" s="307">
        <v>46219.340740740743</v>
      </c>
      <c r="L812" s="307">
        <v>46219.340787037036</v>
      </c>
      <c r="M812" s="307">
        <v>46219.342812499999</v>
      </c>
      <c r="N812" s="307">
        <v>46226.405462962961</v>
      </c>
      <c r="O812" s="307">
        <v>46219.530624999999</v>
      </c>
      <c r="P812" s="307">
        <v>46225.639849537038</v>
      </c>
      <c r="Q812" s="58" t="s">
        <v>1068</v>
      </c>
      <c r="R812" s="58" t="s">
        <v>267</v>
      </c>
      <c r="S812" s="58" t="s">
        <v>195</v>
      </c>
      <c r="U812" s="58" t="s">
        <v>371</v>
      </c>
      <c r="Z812" s="169">
        <f t="shared" ref="Z812:Z875" ca="1" si="141">IF(NOT(OR(G812=1,G812=2)),MAX(0,_xlfn.IFS(AND(K812&lt;&gt;"",N812&lt;&gt;""),((MAX(NETWORKDAYS(K812,N812,UKBankHolidays)-1,0))*(TIME(17,0,0)-TIME(8,0,0))+IF(NETWORKDAYS(N812,N812,UKBankHolidays)&gt;0,MEDIAN(TIME(8,0,0),MOD(N812,1),TIME(17,0,0)),TIME(8,0,0))-IF(NETWORKDAYS(K812,K812,UKBankHolidays)&gt;0,MEDIAN(TIME(8,0,0),MOD(K812,1),TIME(17,0,0)),TIME(8,0,0)))-IF(AND(O812&lt;&gt;"",P812&lt;&gt;""),((MAX(NETWORKDAYS(O812,P812,UKBankHolidays)-1,0))*(TIME(17,0,0)-TIME(8,0,0))+IF(NETWORKDAYS(P812,P812,UKBankHolidays)&gt;0,MEDIAN(TIME(8,0,0),MOD(P812,1),TIME(17,0,0)),TIME(8,0,0))-IF(NETWORKDAYS(O812,O812,UKBankHolidays)&gt;0,MEDIAN(TIME(8,0,0),MOD(O812,1),TIME(17,0,0)),TIME(8,0,0))),0),AND(K812&lt;&gt;"",N812=""),((MAX(NETWORKDAYS(K812,NOW(),UKBankHolidays)-1,0))*(TIME(17,0,0)-TIME(8,0,0))+IF(NETWORKDAYS(NOW(),NOW(),UKBankHolidays)&gt;0,MEDIAN(TIME(8,0,0),MOD(NOW(),1),TIME(17,0,0)),TIME(8,0,0))-IF(NETWORKDAYS(K812,K812,UKBankHolidays)&gt;0,MEDIAN(TIME(8,0,0),MOD(K812,1),TIME(17,0,0)),TIME(8,0,0))))),IF(N812="",NOW()-K812,N812-K812))</f>
        <v>0.33049768517958</v>
      </c>
      <c r="AA812" s="170">
        <f t="shared" ref="AA812:AA875" ca="1" si="142">(Z812*24)/9</f>
        <v>0.88132716047888005</v>
      </c>
      <c r="AB812" s="169">
        <f t="shared" ref="AB812:AB875" ca="1" si="143">IF(NOT(OR(G812=1,G812=2)),MAX(0,_xlfn.IFS(AND(K812&lt;&gt;"",N812&lt;&gt;""),(((MAX(NETWORKDAYS(L812,N812,UKBankHolidays)-1,0))*(TIME(17,0,0)-TIME(8,0,0)))+IF(NETWORKDAYS(N812,N812,UKBankHolidays)&gt;0,MEDIAN(TIME(8,0,0),MOD(N812,1),TIME(17,0,0)),TIME(8,0,0))-IF(NETWORKDAYS(L812,L812,UKBankHolidays)&gt;0,MEDIAN(TIME(8,0,0),MOD(L812,1),TIME(17,0,0)),TIME(8,0,0)))-IF(AND(O812&lt;&gt;"",P812&lt;&gt;""),(((MAX(NETWORKDAYS(O812,P812,UKBankHolidays)-1,0))*(TIME(17,0,0)-TIME(8,0,0)))+IF(NETWORKDAYS(P812,P812,UKBankHolidays)&gt;0,MEDIAN(TIME(8,0,0),MOD(P812,1),TIME(17,0,0)),TIME(8,0,0))-IF(NETWORKDAYS(O812,O812,UKBankHolidays)&gt;0,MEDIAN(TIME(8,0,0),MOD(O812,1),TIME(17,0,0)),TIME(8,0,0))),0),AND(L812&lt;&gt;"",N812="",O812=""),(((MAX(NETWORKDAYS(L812,NOW(),UKBankHolidays)-1,0))*(TIME(17,0,0)-TIME(8,0,0)))+IF(NETWORKDAYS(NOW(),NOW(),UKBankHolidays)&gt;0,MEDIAN(TIME(8,0,0),MOD(NOW(),1),TIME(17,0,0)),TIME(8,0,0))-IF(NETWORKDAYS(L812,L812,UKBankHolidays)&gt;0,MEDIAN(TIME(8,0,0),MOD(L812,1),TIME(17,0,0)),TIME(8,0,0)))-IF(AND(O812&lt;&gt;"",P812&lt;&gt;""),(((MAX(NETWORKDAYS(O812,P812,UKBankHolidays)-1,0))*(TIME(17,0,0)-TIME(8,0,0)))+IF(NETWORKDAYS(P812,P812,UKBankHolidays)&gt;0,MEDIAN(TIME(8,0,0),MOD(P812,1),TIME(17,0,0)),TIME(8,0,0))-IF(NETWORKDAYS(O812,O812,UKBankHolidays)&gt;0,MEDIAN(TIME(8,0,0),MOD(O812,1),TIME(17,0,0)),TIME(8,0,0))),0),AND(L812&lt;&gt;"",N812="",P812="",O812&lt;&gt;""),(((MAX(NETWORKDAYS(L812,O812,UKBankHolidays)-1,0))*(TIME(17,0,0)-TIME(8,0,0)))+IF(NETWORKDAYS(O812,O812,UKBankHolidays)&gt;0,MEDIAN(TIME(8,0,0),MOD(O812,1),TIME(17,0,0)),TIME(8,0,0))-IF(NETWORKDAYS(L812,L812,UKBankHolidays)&gt;0,MEDIAN(TIME(8,0,0),MOD(L812,1),TIME(17,0,0)),TIME(8,0,0))),ISBLANK(K812),"0")),IF(ISBLANK(N812),NOW()-L812,N812-L812))</f>
        <v>0.33045138888701331</v>
      </c>
      <c r="AC812" s="170">
        <f t="shared" ref="AC812:AC875" ca="1" si="144">(AB812*24)/9</f>
        <v>0.88120370369870216</v>
      </c>
      <c r="AD812" s="169">
        <f t="shared" ref="AD812:AD875" ca="1" si="145">MAX(0,IF(NOT(OR(G812=1,G812=2)),IF(M812&lt;&gt;"",((MAX(NETWORKDAYS(L812,M812,UKBankHolidays)-1,0))*(TIME(17,0,0)-TIME(8,0,0))+IF(NETWORKDAYS(M812,M812,UKBankHolidays)&gt;0,MEDIAN(TIME(8,0,0),MOD(M812,1),TIME(17,0,0)),TIME(8,0,0))-MEDIAN(TIME(8,0,0),MOD(L812,1),TIME(17,0,0))),((MAX(NETWORKDAYS(L812,NOW(),UKBankHolidays)-1,0))*(TIME(17,0,0)-TIME(8,0,0))+IF(NETWORKDAYS(NOW(),NOW(),UKBankHolidays)&gt;0,MEDIAN(TIME(8,0,0),MOD(NOW(),1),TIME(17,0,0)),TIME(8,0,0))-MEDIAN(TIME(8,0,0),MOD(L812,1),TIME(17,0,0)))),IF(M812&lt;&gt;"",M812-L812,NOW()-L812)))</f>
        <v>2.0254629635019228E-3</v>
      </c>
      <c r="AE812" s="169">
        <f t="shared" ca="1" si="126"/>
        <v>0.33045138888701331</v>
      </c>
      <c r="AF812" s="170">
        <f t="shared" ref="AF812:AF875" ca="1" si="146">(AE812*24)/9</f>
        <v>0.88120370369870216</v>
      </c>
      <c r="AG812" s="170">
        <f t="shared" ref="AG812:AG875" ca="1" si="147">AF812</f>
        <v>0.88120370369870216</v>
      </c>
      <c r="AH812" s="28" t="e" cm="1">
        <f t="array" aca="1" ref="AH812" ca="1">IF((AD812) &lt; (INDEX(ResponseSLA[#All],(MATCH((G812),ResponseSLA[Priority],0))+1,3)),"YES","No")</f>
        <v>#N/A</v>
      </c>
      <c r="AI812" s="28" t="str">
        <f ca="1">_xlfn.IFNA(IF(AE812 &lt; (INDEX(SLATable[Minimum SLA],MATCH(G812,SLATable[Priority],0))),"YES","NO"),"")</f>
        <v/>
      </c>
      <c r="AJ812" s="28" t="str">
        <f ca="1">_xlfn.IFNA(IF(AE812 &lt; (INDEX(SLATable[Maximum SLA],MATCH(G812,SLATable[Priority],0))),"YES","NO"),"")</f>
        <v/>
      </c>
    </row>
    <row r="813" spans="2:36" s="58" customFormat="1">
      <c r="B813" s="58" t="s">
        <v>26</v>
      </c>
      <c r="C813" s="58" t="s">
        <v>35</v>
      </c>
      <c r="D813" s="58" t="s">
        <v>207</v>
      </c>
      <c r="E813" s="58" t="s">
        <v>2563</v>
      </c>
      <c r="F813" s="58" t="s">
        <v>289</v>
      </c>
      <c r="G813" s="58" t="s">
        <v>1638</v>
      </c>
      <c r="H813" s="127" t="s">
        <v>2564</v>
      </c>
      <c r="I813" s="58" t="s">
        <v>271</v>
      </c>
      <c r="J813" s="127" t="s">
        <v>1120</v>
      </c>
      <c r="K813" s="307">
        <v>46214.309606481482</v>
      </c>
      <c r="L813" s="307">
        <v>46219.472824074073</v>
      </c>
      <c r="M813" s="307">
        <v>46220.252152777779</v>
      </c>
      <c r="N813" s="307">
        <v>46221.398275462961</v>
      </c>
      <c r="O813" s="307"/>
      <c r="P813" s="307"/>
      <c r="Q813" s="58" t="s">
        <v>1148</v>
      </c>
      <c r="R813" s="58" t="s">
        <v>267</v>
      </c>
      <c r="S813" s="58" t="s">
        <v>193</v>
      </c>
      <c r="U813" s="58" t="s">
        <v>371</v>
      </c>
      <c r="Z813" s="169">
        <f t="shared" ca="1" si="141"/>
        <v>1.5000000000000002</v>
      </c>
      <c r="AA813" s="170">
        <f t="shared" ca="1" si="142"/>
        <v>4.0000000000000009</v>
      </c>
      <c r="AB813" s="169">
        <f t="shared" ca="1" si="143"/>
        <v>0.23550925926004618</v>
      </c>
      <c r="AC813" s="170">
        <f t="shared" ca="1" si="144"/>
        <v>0.62802469136012318</v>
      </c>
      <c r="AD813" s="169">
        <f t="shared" ca="1" si="145"/>
        <v>0.23550925926004618</v>
      </c>
      <c r="AE813" s="169">
        <f t="shared" ca="1" si="126"/>
        <v>0.23550925926004618</v>
      </c>
      <c r="AF813" s="170">
        <f t="shared" ca="1" si="146"/>
        <v>0.62802469136012318</v>
      </c>
      <c r="AG813" s="170">
        <f t="shared" ca="1" si="147"/>
        <v>0.62802469136012318</v>
      </c>
      <c r="AH813" s="28" t="e" cm="1">
        <f t="array" aca="1" ref="AH813" ca="1">IF((AD813) &lt; (INDEX(ResponseSLA[#All],(MATCH((G813),ResponseSLA[Priority],0))+1,3)),"YES","No")</f>
        <v>#N/A</v>
      </c>
      <c r="AI813" s="28" t="str">
        <f ca="1">_xlfn.IFNA(IF(AE813 &lt; (INDEX(SLATable[Minimum SLA],MATCH(G813,SLATable[Priority],0))),"YES","NO"),"")</f>
        <v/>
      </c>
      <c r="AJ813" s="28" t="str">
        <f ca="1">_xlfn.IFNA(IF(AE813 &lt; (INDEX(SLATable[Maximum SLA],MATCH(G813,SLATable[Priority],0))),"YES","NO"),"")</f>
        <v/>
      </c>
    </row>
    <row r="814" spans="2:36" s="58" customFormat="1">
      <c r="B814" s="58" t="s">
        <v>26</v>
      </c>
      <c r="C814" s="58" t="s">
        <v>35</v>
      </c>
      <c r="D814" s="58" t="s">
        <v>207</v>
      </c>
      <c r="E814" s="58" t="s">
        <v>2565</v>
      </c>
      <c r="F814" s="58" t="s">
        <v>289</v>
      </c>
      <c r="G814" s="58" t="s">
        <v>1630</v>
      </c>
      <c r="H814" s="127" t="s">
        <v>2566</v>
      </c>
      <c r="I814" s="58" t="s">
        <v>271</v>
      </c>
      <c r="J814" s="127" t="s">
        <v>1120</v>
      </c>
      <c r="K814" s="307">
        <v>46210.696099537039</v>
      </c>
      <c r="L814" s="307">
        <v>46210.778067129628</v>
      </c>
      <c r="M814" s="307">
        <v>46211.223946759259</v>
      </c>
      <c r="N814" s="307">
        <v>46217.492291666669</v>
      </c>
      <c r="O814" s="307"/>
      <c r="P814" s="307"/>
      <c r="Q814" s="58" t="s">
        <v>1098</v>
      </c>
      <c r="R814" s="58" t="s">
        <v>267</v>
      </c>
      <c r="S814" s="58" t="s">
        <v>195</v>
      </c>
      <c r="U814" s="58" t="s">
        <v>371</v>
      </c>
      <c r="Z814" s="169">
        <f t="shared" ca="1" si="141"/>
        <v>1.6711921296300716</v>
      </c>
      <c r="AA814" s="170">
        <f t="shared" ca="1" si="142"/>
        <v>4.4565123456801912</v>
      </c>
      <c r="AB814" s="169">
        <f t="shared" ca="1" si="143"/>
        <v>1.6589583333358555</v>
      </c>
      <c r="AC814" s="170">
        <f t="shared" ca="1" si="144"/>
        <v>4.4238888888956147</v>
      </c>
      <c r="AD814" s="169">
        <f t="shared" ca="1" si="145"/>
        <v>0</v>
      </c>
      <c r="AE814" s="169">
        <f t="shared" ca="1" si="126"/>
        <v>1.6589583333358555</v>
      </c>
      <c r="AF814" s="170">
        <f t="shared" ca="1" si="146"/>
        <v>4.4238888888956147</v>
      </c>
      <c r="AG814" s="170">
        <f t="shared" ca="1" si="147"/>
        <v>4.4238888888956147</v>
      </c>
      <c r="AH814" s="28" t="e" cm="1">
        <f t="array" aca="1" ref="AH814" ca="1">IF((AD814) &lt; (INDEX(ResponseSLA[#All],(MATCH((G814),ResponseSLA[Priority],0))+1,3)),"YES","No")</f>
        <v>#N/A</v>
      </c>
      <c r="AI814" s="28" t="str">
        <f ca="1">_xlfn.IFNA(IF(AE814 &lt; (INDEX(SLATable[Minimum SLA],MATCH(G814,SLATable[Priority],0))),"YES","NO"),"")</f>
        <v/>
      </c>
      <c r="AJ814" s="28" t="str">
        <f ca="1">_xlfn.IFNA(IF(AE814 &lt; (INDEX(SLATable[Maximum SLA],MATCH(G814,SLATable[Priority],0))),"YES","NO"),"")</f>
        <v/>
      </c>
    </row>
    <row r="815" spans="2:36" s="58" customFormat="1">
      <c r="B815" s="58" t="s">
        <v>26</v>
      </c>
      <c r="C815" s="58" t="s">
        <v>35</v>
      </c>
      <c r="D815" s="58" t="s">
        <v>207</v>
      </c>
      <c r="E815" s="58" t="s">
        <v>2567</v>
      </c>
      <c r="F815" s="58" t="s">
        <v>289</v>
      </c>
      <c r="G815" s="58" t="s">
        <v>1630</v>
      </c>
      <c r="H815" s="127" t="s">
        <v>2568</v>
      </c>
      <c r="I815" s="58" t="s">
        <v>271</v>
      </c>
      <c r="J815" s="127" t="s">
        <v>1120</v>
      </c>
      <c r="K815" s="307">
        <v>46206.388831018521</v>
      </c>
      <c r="L815" s="307">
        <v>46206.389131944445</v>
      </c>
      <c r="M815" s="307">
        <v>46206.444305555553</v>
      </c>
      <c r="N815" s="307">
        <v>46211.320601851854</v>
      </c>
      <c r="O815" s="307"/>
      <c r="P815" s="307"/>
      <c r="Q815" s="58" t="s">
        <v>1123</v>
      </c>
      <c r="R815" s="58" t="s">
        <v>267</v>
      </c>
      <c r="S815" s="58" t="s">
        <v>199</v>
      </c>
      <c r="U815" s="58" t="s">
        <v>371</v>
      </c>
      <c r="Z815" s="169">
        <f t="shared" ca="1" si="141"/>
        <v>1.0695023148121741</v>
      </c>
      <c r="AA815" s="170">
        <f t="shared" ca="1" si="142"/>
        <v>2.8520061728324642</v>
      </c>
      <c r="AB815" s="169">
        <f t="shared" ca="1" si="143"/>
        <v>1.0692013888886627</v>
      </c>
      <c r="AC815" s="170">
        <f t="shared" ca="1" si="144"/>
        <v>2.8512037037031006</v>
      </c>
      <c r="AD815" s="169">
        <f t="shared" ca="1" si="145"/>
        <v>5.5173611108330078E-2</v>
      </c>
      <c r="AE815" s="169">
        <f t="shared" ca="1" si="126"/>
        <v>1.0692013888886627</v>
      </c>
      <c r="AF815" s="170">
        <f t="shared" ca="1" si="146"/>
        <v>2.8512037037031006</v>
      </c>
      <c r="AG815" s="170">
        <f t="shared" ca="1" si="147"/>
        <v>2.8512037037031006</v>
      </c>
      <c r="AH815" s="28" t="e" cm="1">
        <f t="array" aca="1" ref="AH815" ca="1">IF((AD815) &lt; (INDEX(ResponseSLA[#All],(MATCH((G815),ResponseSLA[Priority],0))+1,3)),"YES","No")</f>
        <v>#N/A</v>
      </c>
      <c r="AI815" s="28" t="str">
        <f ca="1">_xlfn.IFNA(IF(AE815 &lt; (INDEX(SLATable[Minimum SLA],MATCH(G815,SLATable[Priority],0))),"YES","NO"),"")</f>
        <v/>
      </c>
      <c r="AJ815" s="28" t="str">
        <f ca="1">_xlfn.IFNA(IF(AE815 &lt; (INDEX(SLATable[Maximum SLA],MATCH(G815,SLATable[Priority],0))),"YES","NO"),"")</f>
        <v/>
      </c>
    </row>
    <row r="816" spans="2:36" s="58" customFormat="1">
      <c r="B816" s="58" t="s">
        <v>26</v>
      </c>
      <c r="C816" s="58" t="s">
        <v>35</v>
      </c>
      <c r="D816" s="58" t="s">
        <v>207</v>
      </c>
      <c r="E816" s="58" t="s">
        <v>2569</v>
      </c>
      <c r="F816" s="58" t="s">
        <v>289</v>
      </c>
      <c r="G816" s="58" t="s">
        <v>1638</v>
      </c>
      <c r="H816" s="127" t="s">
        <v>2570</v>
      </c>
      <c r="I816" s="58" t="s">
        <v>260</v>
      </c>
      <c r="J816" s="127" t="s">
        <v>1120</v>
      </c>
      <c r="K816" s="307">
        <v>46232.453738425924</v>
      </c>
      <c r="L816" s="307">
        <v>46232.453831018516</v>
      </c>
      <c r="M816" s="307">
        <v>46233.260324074072</v>
      </c>
      <c r="N816" s="307"/>
      <c r="O816" s="307"/>
      <c r="P816" s="307"/>
      <c r="Q816" s="58" t="s">
        <v>1123</v>
      </c>
      <c r="U816" s="58" t="s">
        <v>371</v>
      </c>
      <c r="Z816" s="169">
        <f t="shared" ca="1" si="141"/>
        <v>7.3052359953726418</v>
      </c>
      <c r="AA816" s="170">
        <f t="shared" ca="1" si="142"/>
        <v>19.480629320993714</v>
      </c>
      <c r="AB816" s="169">
        <f t="shared" ca="1" si="143"/>
        <v>7.3051431712956409</v>
      </c>
      <c r="AC816" s="170">
        <f t="shared" ca="1" si="144"/>
        <v>19.480381790121712</v>
      </c>
      <c r="AD816" s="169">
        <f t="shared" ca="1" si="145"/>
        <v>0.2545023148171216</v>
      </c>
      <c r="AE816" s="169">
        <f t="shared" ca="1" si="126"/>
        <v>7.3051431712956409</v>
      </c>
      <c r="AF816" s="170">
        <f t="shared" ca="1" si="146"/>
        <v>19.480381790121712</v>
      </c>
      <c r="AG816" s="170">
        <f t="shared" ca="1" si="147"/>
        <v>19.480381790121712</v>
      </c>
      <c r="AH816" s="28" t="e" cm="1">
        <f t="array" aca="1" ref="AH816" ca="1">IF((AD816) &lt; (INDEX(ResponseSLA[#All],(MATCH((G816),ResponseSLA[Priority],0))+1,3)),"YES","No")</f>
        <v>#N/A</v>
      </c>
      <c r="AI816" s="28" t="str">
        <f ca="1">_xlfn.IFNA(IF(AE816 &lt; (INDEX(SLATable[Minimum SLA],MATCH(G816,SLATable[Priority],0))),"YES","NO"),"")</f>
        <v/>
      </c>
      <c r="AJ816" s="28" t="str">
        <f ca="1">_xlfn.IFNA(IF(AE816 &lt; (INDEX(SLATable[Maximum SLA],MATCH(G816,SLATable[Priority],0))),"YES","NO"),"")</f>
        <v/>
      </c>
    </row>
    <row r="817" spans="2:36" s="58" customFormat="1">
      <c r="B817" s="58" t="s">
        <v>26</v>
      </c>
      <c r="C817" s="58" t="s">
        <v>35</v>
      </c>
      <c r="D817" s="58" t="s">
        <v>207</v>
      </c>
      <c r="E817" s="58" t="s">
        <v>2571</v>
      </c>
      <c r="F817" s="58" t="s">
        <v>295</v>
      </c>
      <c r="G817" s="58" t="s">
        <v>1638</v>
      </c>
      <c r="H817" s="127" t="s">
        <v>2572</v>
      </c>
      <c r="I817" s="58" t="s">
        <v>266</v>
      </c>
      <c r="J817" s="127" t="s">
        <v>1120</v>
      </c>
      <c r="K817" s="307">
        <v>46218.60292824074</v>
      </c>
      <c r="L817" s="307">
        <v>46218.603032407409</v>
      </c>
      <c r="M817" s="307">
        <v>46219.265706018516</v>
      </c>
      <c r="N817" s="307"/>
      <c r="O817" s="307">
        <v>46224.40353009259</v>
      </c>
      <c r="P817" s="307">
        <v>46231.404594907406</v>
      </c>
      <c r="Q817" s="58" t="s">
        <v>2029</v>
      </c>
      <c r="U817" s="58" t="s">
        <v>371</v>
      </c>
      <c r="Z817" s="169">
        <f t="shared" ca="1" si="141"/>
        <v>10.906046180556588</v>
      </c>
      <c r="AA817" s="170">
        <f t="shared" ca="1" si="142"/>
        <v>29.08278981481757</v>
      </c>
      <c r="AB817" s="169" t="e">
        <f t="shared" ca="1" si="143"/>
        <v>#N/A</v>
      </c>
      <c r="AC817" s="170" t="e">
        <f t="shared" ca="1" si="144"/>
        <v>#N/A</v>
      </c>
      <c r="AD817" s="169">
        <f t="shared" ca="1" si="145"/>
        <v>0.10530092592428753</v>
      </c>
      <c r="AE817" s="169" t="e">
        <f t="shared" ref="AE817:AE880" ca="1" si="148">SUMIFS(AB:AB,E:E,E817)</f>
        <v>#N/A</v>
      </c>
      <c r="AF817" s="170" t="e">
        <f t="shared" ca="1" si="146"/>
        <v>#N/A</v>
      </c>
      <c r="AG817" s="170" t="e">
        <f t="shared" ca="1" si="147"/>
        <v>#N/A</v>
      </c>
      <c r="AH817" s="28" t="e" cm="1">
        <f t="array" aca="1" ref="AH817" ca="1">IF((AD817) &lt; (INDEX(ResponseSLA[#All],(MATCH((G817),ResponseSLA[Priority],0))+1,3)),"YES","No")</f>
        <v>#N/A</v>
      </c>
      <c r="AI817" s="28" t="str">
        <f ca="1">_xlfn.IFNA(IF(AE817 &lt; (INDEX(SLATable[Minimum SLA],MATCH(G817,SLATable[Priority],0))),"YES","NO"),"")</f>
        <v/>
      </c>
      <c r="AJ817" s="28" t="str">
        <f ca="1">_xlfn.IFNA(IF(AE817 &lt; (INDEX(SLATable[Maximum SLA],MATCH(G817,SLATable[Priority],0))),"YES","NO"),"")</f>
        <v/>
      </c>
    </row>
    <row r="818" spans="2:36" s="58" customFormat="1">
      <c r="B818" s="58" t="s">
        <v>26</v>
      </c>
      <c r="C818" s="58" t="s">
        <v>35</v>
      </c>
      <c r="D818" s="58" t="s">
        <v>207</v>
      </c>
      <c r="E818" s="58" t="s">
        <v>2573</v>
      </c>
      <c r="F818" s="58" t="s">
        <v>289</v>
      </c>
      <c r="G818" s="58" t="s">
        <v>1630</v>
      </c>
      <c r="H818" s="127" t="s">
        <v>2574</v>
      </c>
      <c r="I818" s="58" t="s">
        <v>266</v>
      </c>
      <c r="J818" s="127" t="s">
        <v>1120</v>
      </c>
      <c r="K818" s="307">
        <v>46226.346655092595</v>
      </c>
      <c r="L818" s="307">
        <v>46226.346655092595</v>
      </c>
      <c r="M818" s="307">
        <v>46226.346655092595</v>
      </c>
      <c r="N818" s="307"/>
      <c r="O818" s="307">
        <v>46227.420798611114</v>
      </c>
      <c r="P818" s="307"/>
      <c r="Q818" s="58" t="s">
        <v>1104</v>
      </c>
      <c r="U818" s="58" t="s">
        <v>371</v>
      </c>
      <c r="Z818" s="169">
        <f t="shared" ca="1" si="141"/>
        <v>8.9123193287014164</v>
      </c>
      <c r="AA818" s="170">
        <f t="shared" ca="1" si="142"/>
        <v>23.76618487653711</v>
      </c>
      <c r="AB818" s="169">
        <f t="shared" ca="1" si="143"/>
        <v>0.44914351851912215</v>
      </c>
      <c r="AC818" s="170">
        <f t="shared" ca="1" si="144"/>
        <v>1.1977160493843257</v>
      </c>
      <c r="AD818" s="169">
        <f t="shared" ca="1" si="145"/>
        <v>0</v>
      </c>
      <c r="AE818" s="169">
        <f t="shared" ca="1" si="148"/>
        <v>0.44914351851912215</v>
      </c>
      <c r="AF818" s="170">
        <f t="shared" ca="1" si="146"/>
        <v>1.1977160493843257</v>
      </c>
      <c r="AG818" s="170">
        <f t="shared" ca="1" si="147"/>
        <v>1.1977160493843257</v>
      </c>
      <c r="AH818" s="28" t="e" cm="1">
        <f t="array" aca="1" ref="AH818" ca="1">IF((AD818) &lt; (INDEX(ResponseSLA[#All],(MATCH((G818),ResponseSLA[Priority],0))+1,3)),"YES","No")</f>
        <v>#N/A</v>
      </c>
      <c r="AI818" s="28" t="str">
        <f ca="1">_xlfn.IFNA(IF(AE818 &lt; (INDEX(SLATable[Minimum SLA],MATCH(G818,SLATable[Priority],0))),"YES","NO"),"")</f>
        <v/>
      </c>
      <c r="AJ818" s="28" t="str">
        <f ca="1">_xlfn.IFNA(IF(AE818 &lt; (INDEX(SLATable[Maximum SLA],MATCH(G818,SLATable[Priority],0))),"YES","NO"),"")</f>
        <v/>
      </c>
    </row>
    <row r="819" spans="2:36" s="58" customFormat="1">
      <c r="B819" s="58" t="s">
        <v>26</v>
      </c>
      <c r="C819" s="58" t="s">
        <v>35</v>
      </c>
      <c r="D819" s="58" t="s">
        <v>207</v>
      </c>
      <c r="E819" s="58" t="s">
        <v>2575</v>
      </c>
      <c r="F819" s="58" t="s">
        <v>289</v>
      </c>
      <c r="G819" s="58" t="s">
        <v>1638</v>
      </c>
      <c r="H819" s="127" t="s">
        <v>2576</v>
      </c>
      <c r="I819" s="58" t="s">
        <v>266</v>
      </c>
      <c r="J819" s="127" t="s">
        <v>1120</v>
      </c>
      <c r="K819" s="307">
        <v>46228.514178240737</v>
      </c>
      <c r="L819" s="307">
        <v>46228.553518518522</v>
      </c>
      <c r="M819" s="307">
        <v>46230.645069444443</v>
      </c>
      <c r="N819" s="307"/>
      <c r="O819" s="307">
        <v>46231.48710648148</v>
      </c>
      <c r="P819" s="307"/>
      <c r="Q819" s="58" t="s">
        <v>1123</v>
      </c>
      <c r="U819" s="58" t="s">
        <v>371</v>
      </c>
      <c r="Z819" s="169">
        <f t="shared" ca="1" si="141"/>
        <v>8.1756410879631094</v>
      </c>
      <c r="AA819" s="170">
        <f t="shared" ca="1" si="142"/>
        <v>21.801709567901625</v>
      </c>
      <c r="AB819" s="169">
        <f t="shared" ca="1" si="143"/>
        <v>0.52877314814638043</v>
      </c>
      <c r="AC819" s="170">
        <f t="shared" ca="1" si="144"/>
        <v>1.4100617283903478</v>
      </c>
      <c r="AD819" s="169">
        <f t="shared" ca="1" si="145"/>
        <v>9.1550925921183079E-2</v>
      </c>
      <c r="AE819" s="169">
        <f t="shared" ca="1" si="148"/>
        <v>0.52877314814638043</v>
      </c>
      <c r="AF819" s="170">
        <f t="shared" ca="1" si="146"/>
        <v>1.4100617283903478</v>
      </c>
      <c r="AG819" s="170">
        <f t="shared" ca="1" si="147"/>
        <v>1.4100617283903478</v>
      </c>
      <c r="AH819" s="28" t="e" cm="1">
        <f t="array" aca="1" ref="AH819" ca="1">IF((AD819) &lt; (INDEX(ResponseSLA[#All],(MATCH((G819),ResponseSLA[Priority],0))+1,3)),"YES","No")</f>
        <v>#N/A</v>
      </c>
      <c r="AI819" s="28" t="str">
        <f ca="1">_xlfn.IFNA(IF(AE819 &lt; (INDEX(SLATable[Minimum SLA],MATCH(G819,SLATable[Priority],0))),"YES","NO"),"")</f>
        <v/>
      </c>
      <c r="AJ819" s="28" t="str">
        <f ca="1">_xlfn.IFNA(IF(AE819 &lt; (INDEX(SLATable[Maximum SLA],MATCH(G819,SLATable[Priority],0))),"YES","NO"),"")</f>
        <v/>
      </c>
    </row>
    <row r="820" spans="2:36" s="58" customFormat="1">
      <c r="B820" s="58" t="s">
        <v>26</v>
      </c>
      <c r="C820" s="58" t="s">
        <v>35</v>
      </c>
      <c r="D820" s="58" t="s">
        <v>207</v>
      </c>
      <c r="E820" s="58" t="s">
        <v>2577</v>
      </c>
      <c r="F820" s="58" t="s">
        <v>289</v>
      </c>
      <c r="G820" s="58" t="s">
        <v>1638</v>
      </c>
      <c r="H820" s="127" t="s">
        <v>2578</v>
      </c>
      <c r="I820" s="58" t="s">
        <v>260</v>
      </c>
      <c r="J820" s="127" t="s">
        <v>1120</v>
      </c>
      <c r="K820" s="307">
        <v>46219.388726851852</v>
      </c>
      <c r="L820" s="307">
        <v>46219.388831018521</v>
      </c>
      <c r="M820" s="307">
        <v>46219.459687499999</v>
      </c>
      <c r="N820" s="307"/>
      <c r="O820" s="307"/>
      <c r="P820" s="307"/>
      <c r="Q820" s="58" t="s">
        <v>1123</v>
      </c>
      <c r="U820" s="58" t="s">
        <v>371</v>
      </c>
      <c r="Z820" s="169">
        <f t="shared" ca="1" si="141"/>
        <v>10.745247569444475</v>
      </c>
      <c r="AA820" s="170">
        <f t="shared" ca="1" si="142"/>
        <v>28.6539935185186</v>
      </c>
      <c r="AB820" s="169">
        <f t="shared" ca="1" si="143"/>
        <v>10.745143171290694</v>
      </c>
      <c r="AC820" s="170">
        <f t="shared" ca="1" si="144"/>
        <v>28.653715123441852</v>
      </c>
      <c r="AD820" s="169">
        <f t="shared" ca="1" si="145"/>
        <v>7.0856481477676425E-2</v>
      </c>
      <c r="AE820" s="169">
        <f t="shared" ca="1" si="148"/>
        <v>10.745143171290694</v>
      </c>
      <c r="AF820" s="170">
        <f t="shared" ca="1" si="146"/>
        <v>28.653715123441852</v>
      </c>
      <c r="AG820" s="170">
        <f t="shared" ca="1" si="147"/>
        <v>28.653715123441852</v>
      </c>
      <c r="AH820" s="28" t="e" cm="1">
        <f t="array" aca="1" ref="AH820" ca="1">IF((AD820) &lt; (INDEX(ResponseSLA[#All],(MATCH((G820),ResponseSLA[Priority],0))+1,3)),"YES","No")</f>
        <v>#N/A</v>
      </c>
      <c r="AI820" s="28" t="str">
        <f ca="1">_xlfn.IFNA(IF(AE820 &lt; (INDEX(SLATable[Minimum SLA],MATCH(G820,SLATable[Priority],0))),"YES","NO"),"")</f>
        <v/>
      </c>
      <c r="AJ820" s="28" t="str">
        <f ca="1">_xlfn.IFNA(IF(AE820 &lt; (INDEX(SLATable[Maximum SLA],MATCH(G820,SLATable[Priority],0))),"YES","NO"),"")</f>
        <v/>
      </c>
    </row>
    <row r="821" spans="2:36" s="58" customFormat="1">
      <c r="B821" s="58" t="s">
        <v>26</v>
      </c>
      <c r="C821" s="58" t="s">
        <v>35</v>
      </c>
      <c r="D821" s="58" t="s">
        <v>208</v>
      </c>
      <c r="E821" s="58" t="s">
        <v>2579</v>
      </c>
      <c r="F821" s="58" t="s">
        <v>289</v>
      </c>
      <c r="G821" s="58" t="s">
        <v>208</v>
      </c>
      <c r="H821" s="127" t="s">
        <v>2580</v>
      </c>
      <c r="I821" s="58" t="s">
        <v>271</v>
      </c>
      <c r="J821" s="127" t="s">
        <v>1120</v>
      </c>
      <c r="K821" s="307">
        <v>46204.646909722222</v>
      </c>
      <c r="L821" s="307">
        <v>46204.647002314814</v>
      </c>
      <c r="M821" s="307">
        <v>46204.647916666669</v>
      </c>
      <c r="N821" s="307">
        <v>46204.65079861111</v>
      </c>
      <c r="O821" s="307"/>
      <c r="P821" s="307"/>
      <c r="Q821" s="58" t="s">
        <v>1796</v>
      </c>
      <c r="R821" s="58" t="s">
        <v>267</v>
      </c>
      <c r="S821" s="58" t="s">
        <v>155</v>
      </c>
      <c r="U821" s="58" t="s">
        <v>371</v>
      </c>
      <c r="Z821" s="169">
        <f t="shared" ca="1" si="141"/>
        <v>3.8888888884685002E-3</v>
      </c>
      <c r="AA821" s="170">
        <f t="shared" ca="1" si="142"/>
        <v>1.0370370369249335E-2</v>
      </c>
      <c r="AB821" s="169">
        <f t="shared" ca="1" si="143"/>
        <v>3.796296296059154E-3</v>
      </c>
      <c r="AC821" s="170">
        <f t="shared" ca="1" si="144"/>
        <v>1.0123456789491078E-2</v>
      </c>
      <c r="AD821" s="169">
        <f t="shared" ca="1" si="145"/>
        <v>9.1435185458976775E-4</v>
      </c>
      <c r="AE821" s="169">
        <f t="shared" ca="1" si="148"/>
        <v>3.796296296059154E-3</v>
      </c>
      <c r="AF821" s="170">
        <f t="shared" ca="1" si="146"/>
        <v>1.0123456789491078E-2</v>
      </c>
      <c r="AG821" s="170">
        <f t="shared" ca="1" si="147"/>
        <v>1.0123456789491078E-2</v>
      </c>
      <c r="AH821" s="28" t="str" cm="1">
        <f t="array" aca="1" ref="AH821" ca="1">IF((AD821) &lt; (INDEX(ResponseSLA[#All],(MATCH((G821),ResponseSLA[Priority],0))+1,3)),"YES","No")</f>
        <v>YES</v>
      </c>
      <c r="AI821" s="28" t="str">
        <f ca="1">_xlfn.IFNA(IF(AE821 &lt; (INDEX(SLATable[Minimum SLA],MATCH(G821,SLATable[Priority],0))),"YES","NO"),"")</f>
        <v>YES</v>
      </c>
      <c r="AJ821" s="28" t="str">
        <f ca="1">_xlfn.IFNA(IF(AE821 &lt; (INDEX(SLATable[Maximum SLA],MATCH(G821,SLATable[Priority],0))),"YES","NO"),"")</f>
        <v>YES</v>
      </c>
    </row>
    <row r="822" spans="2:36" s="58" customFormat="1">
      <c r="B822" s="58" t="s">
        <v>26</v>
      </c>
      <c r="C822" s="58" t="s">
        <v>35</v>
      </c>
      <c r="D822" s="58" t="s">
        <v>208</v>
      </c>
      <c r="E822" s="58" t="s">
        <v>2581</v>
      </c>
      <c r="F822" s="58" t="s">
        <v>289</v>
      </c>
      <c r="G822" s="58" t="s">
        <v>208</v>
      </c>
      <c r="H822" s="127" t="s">
        <v>1174</v>
      </c>
      <c r="I822" s="58" t="s">
        <v>271</v>
      </c>
      <c r="J822" s="127" t="s">
        <v>1120</v>
      </c>
      <c r="K822" s="307">
        <v>46212.561539351853</v>
      </c>
      <c r="L822" s="307">
        <v>46213.446886574071</v>
      </c>
      <c r="M822" s="307">
        <v>46213.446886574071</v>
      </c>
      <c r="N822" s="307">
        <v>46235.700196759259</v>
      </c>
      <c r="O822" s="307">
        <v>46218.457499999997</v>
      </c>
      <c r="P822" s="307">
        <v>46232.47383101852</v>
      </c>
      <c r="Q822" s="58" t="s">
        <v>1431</v>
      </c>
      <c r="R822" s="58" t="s">
        <v>267</v>
      </c>
      <c r="S822" s="58" t="s">
        <v>155</v>
      </c>
      <c r="U822" s="58" t="s">
        <v>371</v>
      </c>
      <c r="Z822" s="169">
        <f t="shared" ca="1" si="141"/>
        <v>2.0054629629570027</v>
      </c>
      <c r="AA822" s="170">
        <f t="shared" ca="1" si="142"/>
        <v>5.3479012345520074</v>
      </c>
      <c r="AB822" s="169">
        <f t="shared" ca="1" si="143"/>
        <v>1.7451157407388873</v>
      </c>
      <c r="AC822" s="170">
        <f t="shared" ca="1" si="144"/>
        <v>4.6536419753036995</v>
      </c>
      <c r="AD822" s="169">
        <f t="shared" ca="1" si="145"/>
        <v>0</v>
      </c>
      <c r="AE822" s="169">
        <f t="shared" ca="1" si="148"/>
        <v>1.7451157407388873</v>
      </c>
      <c r="AF822" s="170">
        <f t="shared" ca="1" si="146"/>
        <v>4.6536419753036995</v>
      </c>
      <c r="AG822" s="170">
        <f t="shared" ca="1" si="147"/>
        <v>4.6536419753036995</v>
      </c>
      <c r="AH822" s="28" t="str" cm="1">
        <f t="array" aca="1" ref="AH822" ca="1">IF((AD822) &lt; (INDEX(ResponseSLA[#All],(MATCH((G822),ResponseSLA[Priority],0))+1,3)),"YES","No")</f>
        <v>YES</v>
      </c>
      <c r="AI822" s="28" t="str">
        <f ca="1">_xlfn.IFNA(IF(AE822 &lt; (INDEX(SLATable[Minimum SLA],MATCH(G822,SLATable[Priority],0))),"YES","NO"),"")</f>
        <v>NO</v>
      </c>
      <c r="AJ822" s="28" t="str">
        <f ca="1">_xlfn.IFNA(IF(AE822 &lt; (INDEX(SLATable[Maximum SLA],MATCH(G822,SLATable[Priority],0))),"YES","NO"),"")</f>
        <v>NO</v>
      </c>
    </row>
    <row r="823" spans="2:36" s="58" customFormat="1">
      <c r="B823" s="58" t="s">
        <v>26</v>
      </c>
      <c r="C823" s="58" t="s">
        <v>35</v>
      </c>
      <c r="D823" s="58" t="s">
        <v>208</v>
      </c>
      <c r="E823" s="58" t="s">
        <v>2582</v>
      </c>
      <c r="F823" s="58" t="s">
        <v>289</v>
      </c>
      <c r="G823" s="58" t="s">
        <v>208</v>
      </c>
      <c r="H823" s="127" t="s">
        <v>1881</v>
      </c>
      <c r="I823" s="58" t="s">
        <v>271</v>
      </c>
      <c r="J823" s="127" t="s">
        <v>1120</v>
      </c>
      <c r="K823" s="307">
        <v>46224.376319444447</v>
      </c>
      <c r="L823" s="307">
        <v>46224.37641203704</v>
      </c>
      <c r="M823" s="307">
        <v>46226.361030092594</v>
      </c>
      <c r="N823" s="307">
        <v>46226.517430555556</v>
      </c>
      <c r="O823" s="307"/>
      <c r="P823" s="307"/>
      <c r="Q823" s="58" t="s">
        <v>1796</v>
      </c>
      <c r="R823" s="58" t="s">
        <v>267</v>
      </c>
      <c r="S823" s="58" t="s">
        <v>179</v>
      </c>
      <c r="U823" s="58" t="s">
        <v>371</v>
      </c>
      <c r="Z823" s="169">
        <f t="shared" ca="1" si="141"/>
        <v>0.89111111110833008</v>
      </c>
      <c r="AA823" s="170">
        <f t="shared" ca="1" si="142"/>
        <v>2.3762962962888801</v>
      </c>
      <c r="AB823" s="169">
        <f t="shared" ca="1" si="143"/>
        <v>0.89101851851592073</v>
      </c>
      <c r="AC823" s="170">
        <f t="shared" ca="1" si="144"/>
        <v>2.3760493827091218</v>
      </c>
      <c r="AD823" s="169">
        <f t="shared" ca="1" si="145"/>
        <v>0.73461805555416504</v>
      </c>
      <c r="AE823" s="169">
        <f t="shared" ca="1" si="148"/>
        <v>0.89101851851592073</v>
      </c>
      <c r="AF823" s="170">
        <f t="shared" ca="1" si="146"/>
        <v>2.3760493827091218</v>
      </c>
      <c r="AG823" s="170">
        <f t="shared" ca="1" si="147"/>
        <v>2.3760493827091218</v>
      </c>
      <c r="AH823" s="28" t="str" cm="1">
        <f t="array" aca="1" ref="AH823" ca="1">IF((AD823) &lt; (INDEX(ResponseSLA[#All],(MATCH((G823),ResponseSLA[Priority],0))+1,3)),"YES","No")</f>
        <v>No</v>
      </c>
      <c r="AI823" s="28" t="str">
        <f ca="1">_xlfn.IFNA(IF(AE823 &lt; (INDEX(SLATable[Minimum SLA],MATCH(G823,SLATable[Priority],0))),"YES","NO"),"")</f>
        <v>NO</v>
      </c>
      <c r="AJ823" s="28" t="str">
        <f ca="1">_xlfn.IFNA(IF(AE823 &lt; (INDEX(SLATable[Maximum SLA],MATCH(G823,SLATable[Priority],0))),"YES","NO"),"")</f>
        <v>NO</v>
      </c>
    </row>
    <row r="824" spans="2:36" ht="15" customHeight="1">
      <c r="B824" s="58" t="s">
        <v>26</v>
      </c>
      <c r="C824" s="58" t="s">
        <v>35</v>
      </c>
      <c r="D824" s="45" t="s">
        <v>207</v>
      </c>
      <c r="E824" s="202" t="s">
        <v>2583</v>
      </c>
      <c r="F824" s="45" t="s">
        <v>295</v>
      </c>
      <c r="G824" s="58">
        <v>4</v>
      </c>
      <c r="H824" s="202" t="s">
        <v>2584</v>
      </c>
      <c r="I824" s="45" t="s">
        <v>271</v>
      </c>
      <c r="J824" s="127" t="s">
        <v>1048</v>
      </c>
      <c r="K824" s="317">
        <v>46198.738020833334</v>
      </c>
      <c r="L824" s="317" t="s">
        <v>2585</v>
      </c>
      <c r="M824" s="317" t="s">
        <v>2586</v>
      </c>
      <c r="N824" s="317">
        <v>46211.487361111111</v>
      </c>
      <c r="Q824" s="202" t="s">
        <v>1113</v>
      </c>
      <c r="R824" s="45" t="s">
        <v>267</v>
      </c>
      <c r="S824" s="45" t="s">
        <v>155</v>
      </c>
      <c r="U824" s="58" t="s">
        <v>371</v>
      </c>
      <c r="Z824" s="169">
        <f t="shared" ca="1" si="141"/>
        <v>3.1540277777773253</v>
      </c>
      <c r="AA824" s="170">
        <f t="shared" ca="1" si="142"/>
        <v>8.4107407407395343</v>
      </c>
      <c r="AB824" s="169">
        <f t="shared" ca="1" si="143"/>
        <v>3.1540277777773253</v>
      </c>
      <c r="AC824" s="170">
        <f t="shared" ca="1" si="144"/>
        <v>8.4107407407395343</v>
      </c>
      <c r="AD824" s="169">
        <f t="shared" ca="1" si="145"/>
        <v>4.5821759262859474E-2</v>
      </c>
      <c r="AE824" s="169">
        <f t="shared" ca="1" si="148"/>
        <v>3.1540277777773253</v>
      </c>
      <c r="AF824" s="170">
        <f t="shared" ca="1" si="146"/>
        <v>8.4107407407395343</v>
      </c>
      <c r="AG824" s="170">
        <f t="shared" ca="1" si="147"/>
        <v>8.4107407407395343</v>
      </c>
      <c r="AH824" s="28" t="str" cm="1">
        <f t="array" aca="1" ref="AH824" ca="1">IF((AD824) &lt; (INDEX(ResponseSLA[#All],(MATCH((G824),ResponseSLA[Priority],0))+1,3)),"YES","No")</f>
        <v>YES</v>
      </c>
      <c r="AI824" s="28" t="str">
        <f ca="1">_xlfn.IFNA(IF(AE824 &lt; (INDEX(SLATable[Minimum SLA],MATCH(G824,SLATable[Priority],0))),"YES","NO"),"")</f>
        <v>YES</v>
      </c>
      <c r="AJ824" s="28" t="str">
        <f ca="1">_xlfn.IFNA(IF(AE824 &lt; (INDEX(SLATable[Maximum SLA],MATCH(G824,SLATable[Priority],0))),"YES","NO"),"")</f>
        <v>YES</v>
      </c>
    </row>
    <row r="825" spans="2:36" ht="15" customHeight="1">
      <c r="B825" s="58" t="s">
        <v>26</v>
      </c>
      <c r="C825" s="58" t="s">
        <v>35</v>
      </c>
      <c r="D825" s="45" t="s">
        <v>207</v>
      </c>
      <c r="E825" s="202" t="s">
        <v>727</v>
      </c>
      <c r="F825" s="45" t="s">
        <v>295</v>
      </c>
      <c r="G825" s="58">
        <v>4</v>
      </c>
      <c r="H825" s="202" t="s">
        <v>728</v>
      </c>
      <c r="I825" s="45" t="s">
        <v>271</v>
      </c>
      <c r="J825" s="127" t="s">
        <v>1048</v>
      </c>
      <c r="K825" s="317">
        <v>46199.586111111108</v>
      </c>
      <c r="L825" s="317" t="s">
        <v>2587</v>
      </c>
      <c r="M825" s="317" t="s">
        <v>2588</v>
      </c>
      <c r="N825" s="317">
        <v>46203.4996875</v>
      </c>
      <c r="Q825" s="202" t="s">
        <v>695</v>
      </c>
      <c r="R825" s="45" t="s">
        <v>267</v>
      </c>
      <c r="S825" s="45" t="s">
        <v>149</v>
      </c>
      <c r="U825" s="58" t="s">
        <v>371</v>
      </c>
      <c r="Z825" s="169">
        <f t="shared" ca="1" si="141"/>
        <v>0.66357638889166992</v>
      </c>
      <c r="AA825" s="170">
        <f t="shared" ca="1" si="142"/>
        <v>1.7695370370444532</v>
      </c>
      <c r="AB825" s="169">
        <f t="shared" ca="1" si="143"/>
        <v>1.1585648149775807E-2</v>
      </c>
      <c r="AC825" s="170">
        <f t="shared" ca="1" si="144"/>
        <v>3.0895061732735485E-2</v>
      </c>
      <c r="AD825" s="169">
        <f t="shared" ca="1" si="145"/>
        <v>3.6689814805868082E-3</v>
      </c>
      <c r="AE825" s="169">
        <f t="shared" ca="1" si="148"/>
        <v>1.1585648149775807E-2</v>
      </c>
      <c r="AF825" s="170">
        <f t="shared" ca="1" si="146"/>
        <v>3.0895061732735485E-2</v>
      </c>
      <c r="AG825" s="170">
        <f t="shared" ca="1" si="147"/>
        <v>3.0895061732735485E-2</v>
      </c>
      <c r="AH825" s="28" t="str" cm="1">
        <f t="array" aca="1" ref="AH825" ca="1">IF((AD825) &lt; (INDEX(ResponseSLA[#All],(MATCH((G825),ResponseSLA[Priority],0))+1,3)),"YES","No")</f>
        <v>YES</v>
      </c>
      <c r="AI825" s="28" t="str">
        <f ca="1">_xlfn.IFNA(IF(AE825 &lt; (INDEX(SLATable[Minimum SLA],MATCH(G825,SLATable[Priority],0))),"YES","NO"),"")</f>
        <v>YES</v>
      </c>
      <c r="AJ825" s="28" t="str">
        <f ca="1">_xlfn.IFNA(IF(AE825 &lt; (INDEX(SLATable[Maximum SLA],MATCH(G825,SLATable[Priority],0))),"YES","NO"),"")</f>
        <v>YES</v>
      </c>
    </row>
    <row r="826" spans="2:36" ht="15" customHeight="1">
      <c r="B826" s="58" t="s">
        <v>26</v>
      </c>
      <c r="C826" s="58" t="s">
        <v>35</v>
      </c>
      <c r="D826" s="45" t="s">
        <v>207</v>
      </c>
      <c r="E826" s="202" t="s">
        <v>2589</v>
      </c>
      <c r="F826" s="45" t="s">
        <v>295</v>
      </c>
      <c r="G826" s="58">
        <v>3</v>
      </c>
      <c r="H826" s="202" t="s">
        <v>2590</v>
      </c>
      <c r="I826" s="45" t="s">
        <v>271</v>
      </c>
      <c r="J826" s="127" t="s">
        <v>1048</v>
      </c>
      <c r="K826" s="317">
        <v>46200.409583333334</v>
      </c>
      <c r="L826" s="317" t="s">
        <v>2591</v>
      </c>
      <c r="M826" s="317" t="s">
        <v>2592</v>
      </c>
      <c r="N826" s="317">
        <v>46202.407962962963</v>
      </c>
      <c r="Q826" s="202" t="s">
        <v>1203</v>
      </c>
      <c r="R826" s="45" t="s">
        <v>267</v>
      </c>
      <c r="S826" s="45" t="s">
        <v>149</v>
      </c>
      <c r="U826" s="58" t="s">
        <v>371</v>
      </c>
      <c r="Z826" s="169">
        <f t="shared" ca="1" si="141"/>
        <v>7.462962962987757E-2</v>
      </c>
      <c r="AA826" s="170">
        <f t="shared" ca="1" si="142"/>
        <v>0.19901234567967352</v>
      </c>
      <c r="AB826" s="169">
        <f t="shared" ca="1" si="143"/>
        <v>7.462962962987757E-2</v>
      </c>
      <c r="AC826" s="170">
        <f t="shared" ca="1" si="144"/>
        <v>0.19901234567967352</v>
      </c>
      <c r="AD826" s="169">
        <f t="shared" ca="1" si="145"/>
        <v>0</v>
      </c>
      <c r="AE826" s="169">
        <f t="shared" ca="1" si="148"/>
        <v>7.462962962987757E-2</v>
      </c>
      <c r="AF826" s="170">
        <f t="shared" ca="1" si="146"/>
        <v>0.19901234567967352</v>
      </c>
      <c r="AG826" s="170">
        <f t="shared" ca="1" si="147"/>
        <v>0.19901234567967352</v>
      </c>
      <c r="AH826" s="28" t="str" cm="1">
        <f t="array" aca="1" ref="AH826" ca="1">IF((AD826) &lt; (INDEX(ResponseSLA[#All],(MATCH((G826),ResponseSLA[Priority],0))+1,3)),"YES","No")</f>
        <v>YES</v>
      </c>
      <c r="AI826" s="28" t="str">
        <f ca="1">_xlfn.IFNA(IF(AE826 &lt; (INDEX(SLATable[Minimum SLA],MATCH(G826,SLATable[Priority],0))),"YES","NO"),"")</f>
        <v>YES</v>
      </c>
      <c r="AJ826" s="28" t="str">
        <f ca="1">_xlfn.IFNA(IF(AE826 &lt; (INDEX(SLATable[Maximum SLA],MATCH(G826,SLATable[Priority],0))),"YES","NO"),"")</f>
        <v>YES</v>
      </c>
    </row>
    <row r="827" spans="2:36" ht="15" customHeight="1">
      <c r="B827" s="58" t="s">
        <v>26</v>
      </c>
      <c r="C827" s="58" t="s">
        <v>35</v>
      </c>
      <c r="D827" s="45" t="s">
        <v>207</v>
      </c>
      <c r="E827" s="202" t="s">
        <v>2593</v>
      </c>
      <c r="F827" s="45" t="s">
        <v>289</v>
      </c>
      <c r="G827" s="58">
        <v>4</v>
      </c>
      <c r="H827" s="202" t="s">
        <v>1064</v>
      </c>
      <c r="I827" s="45" t="s">
        <v>271</v>
      </c>
      <c r="J827" s="127" t="s">
        <v>1048</v>
      </c>
      <c r="K827" s="317">
        <v>46204.106145833335</v>
      </c>
      <c r="L827" s="317">
        <v>46029.106168981481</v>
      </c>
      <c r="M827" s="317">
        <v>46029.298807870371</v>
      </c>
      <c r="N827" s="317">
        <v>46209.333298611113</v>
      </c>
      <c r="Q827" s="202" t="s">
        <v>1065</v>
      </c>
      <c r="R827" s="45" t="s">
        <v>267</v>
      </c>
      <c r="S827" s="45" t="s">
        <v>193</v>
      </c>
      <c r="U827" s="58" t="s">
        <v>371</v>
      </c>
      <c r="Z827" s="169">
        <f t="shared" ca="1" si="141"/>
        <v>1.1250000000000002</v>
      </c>
      <c r="AA827" s="170">
        <f t="shared" ca="1" si="142"/>
        <v>3.0000000000000009</v>
      </c>
      <c r="AB827" s="169">
        <f t="shared" ca="1" si="143"/>
        <v>46.125000000000007</v>
      </c>
      <c r="AC827" s="170">
        <f t="shared" ca="1" si="144"/>
        <v>123.00000000000003</v>
      </c>
      <c r="AD827" s="169">
        <f t="shared" ca="1" si="145"/>
        <v>0</v>
      </c>
      <c r="AE827" s="169">
        <f t="shared" ca="1" si="148"/>
        <v>46.125000000000007</v>
      </c>
      <c r="AF827" s="170">
        <f t="shared" ca="1" si="146"/>
        <v>123.00000000000003</v>
      </c>
      <c r="AG827" s="170">
        <f t="shared" ca="1" si="147"/>
        <v>123.00000000000003</v>
      </c>
      <c r="AH827" s="28" t="str" cm="1">
        <f t="array" aca="1" ref="AH827" ca="1">IF((AD827) &lt; (INDEX(ResponseSLA[#All],(MATCH((G827),ResponseSLA[Priority],0))+1,3)),"YES","No")</f>
        <v>YES</v>
      </c>
      <c r="AI827" s="28" t="str">
        <f ca="1">_xlfn.IFNA(IF(AE827 &lt; (INDEX(SLATable[Minimum SLA],MATCH(G827,SLATable[Priority],0))),"YES","NO"),"")</f>
        <v>NO</v>
      </c>
      <c r="AJ827" s="28" t="str">
        <f ca="1">_xlfn.IFNA(IF(AE827 &lt; (INDEX(SLATable[Maximum SLA],MATCH(G827,SLATable[Priority],0))),"YES","NO"),"")</f>
        <v>NO</v>
      </c>
    </row>
    <row r="828" spans="2:36" ht="15" customHeight="1">
      <c r="B828" s="58" t="s">
        <v>26</v>
      </c>
      <c r="C828" s="58" t="s">
        <v>35</v>
      </c>
      <c r="D828" s="45" t="s">
        <v>207</v>
      </c>
      <c r="E828" s="202" t="s">
        <v>2594</v>
      </c>
      <c r="F828" s="45" t="s">
        <v>289</v>
      </c>
      <c r="G828" s="58">
        <v>3</v>
      </c>
      <c r="H828" s="202" t="s">
        <v>2595</v>
      </c>
      <c r="I828" s="45" t="s">
        <v>271</v>
      </c>
      <c r="J828" s="127" t="s">
        <v>1048</v>
      </c>
      <c r="K828" s="317">
        <v>46205.095914351848</v>
      </c>
      <c r="L828" s="317">
        <v>46060.095995370371</v>
      </c>
      <c r="M828" s="317">
        <v>46060.310937499999</v>
      </c>
      <c r="N828" s="317">
        <v>46217.554131944446</v>
      </c>
      <c r="Q828" s="202" t="s">
        <v>1337</v>
      </c>
      <c r="R828" s="45" t="s">
        <v>267</v>
      </c>
      <c r="S828" s="45" t="s">
        <v>190</v>
      </c>
      <c r="U828" s="58" t="s">
        <v>371</v>
      </c>
      <c r="Z828" s="169">
        <f t="shared" ca="1" si="141"/>
        <v>3.2207986111122109</v>
      </c>
      <c r="AA828" s="170">
        <f t="shared" ca="1" si="142"/>
        <v>8.588796296299229</v>
      </c>
      <c r="AB828" s="169">
        <f t="shared" ca="1" si="143"/>
        <v>39.970798611112215</v>
      </c>
      <c r="AC828" s="170">
        <f t="shared" ca="1" si="144"/>
        <v>106.58879629629924</v>
      </c>
      <c r="AD828" s="169">
        <f t="shared" ca="1" si="145"/>
        <v>0</v>
      </c>
      <c r="AE828" s="169">
        <f t="shared" ca="1" si="148"/>
        <v>39.970798611112215</v>
      </c>
      <c r="AF828" s="170">
        <f t="shared" ca="1" si="146"/>
        <v>106.58879629629924</v>
      </c>
      <c r="AG828" s="170">
        <f t="shared" ca="1" si="147"/>
        <v>106.58879629629924</v>
      </c>
      <c r="AH828" s="28" t="str" cm="1">
        <f t="array" aca="1" ref="AH828" ca="1">IF((AD828) &lt; (INDEX(ResponseSLA[#All],(MATCH((G828),ResponseSLA[Priority],0))+1,3)),"YES","No")</f>
        <v>YES</v>
      </c>
      <c r="AI828" s="28" t="str">
        <f ca="1">_xlfn.IFNA(IF(AE828 &lt; (INDEX(SLATable[Minimum SLA],MATCH(G828,SLATable[Priority],0))),"YES","NO"),"")</f>
        <v>NO</v>
      </c>
      <c r="AJ828" s="28" t="str">
        <f ca="1">_xlfn.IFNA(IF(AE828 &lt; (INDEX(SLATable[Maximum SLA],MATCH(G828,SLATable[Priority],0))),"YES","NO"),"")</f>
        <v>NO</v>
      </c>
    </row>
    <row r="829" spans="2:36" ht="15" customHeight="1">
      <c r="B829" s="58" t="s">
        <v>26</v>
      </c>
      <c r="C829" s="58" t="s">
        <v>35</v>
      </c>
      <c r="D829" s="45" t="s">
        <v>207</v>
      </c>
      <c r="E829" s="202" t="s">
        <v>2596</v>
      </c>
      <c r="F829" s="45" t="s">
        <v>295</v>
      </c>
      <c r="G829" s="58">
        <v>3</v>
      </c>
      <c r="H829" s="202" t="s">
        <v>2597</v>
      </c>
      <c r="I829" s="45" t="s">
        <v>271</v>
      </c>
      <c r="J829" s="127" t="s">
        <v>1048</v>
      </c>
      <c r="K829" s="317">
        <v>46205.795243055552</v>
      </c>
      <c r="L829" s="317">
        <v>46060.795300925929</v>
      </c>
      <c r="M829" s="317">
        <v>46088.299664351849</v>
      </c>
      <c r="N829" s="317">
        <v>46209.539375</v>
      </c>
      <c r="Q829" s="202" t="s">
        <v>695</v>
      </c>
      <c r="R829" s="45" t="s">
        <v>267</v>
      </c>
      <c r="S829" s="45" t="s">
        <v>149</v>
      </c>
      <c r="U829" s="58" t="s">
        <v>371</v>
      </c>
      <c r="Z829" s="169">
        <f t="shared" ca="1" si="141"/>
        <v>0.58104166666695767</v>
      </c>
      <c r="AA829" s="170">
        <f t="shared" ca="1" si="142"/>
        <v>1.5494444444452204</v>
      </c>
      <c r="AB829" s="169">
        <f t="shared" ca="1" si="143"/>
        <v>37.706041666666962</v>
      </c>
      <c r="AC829" s="170">
        <f t="shared" ca="1" si="144"/>
        <v>100.54944444444523</v>
      </c>
      <c r="AD829" s="169">
        <f t="shared" ca="1" si="145"/>
        <v>6.7500000000000009</v>
      </c>
      <c r="AE829" s="169">
        <f t="shared" ca="1" si="148"/>
        <v>37.706041666666962</v>
      </c>
      <c r="AF829" s="170">
        <f t="shared" ca="1" si="146"/>
        <v>100.54944444444523</v>
      </c>
      <c r="AG829" s="170">
        <f t="shared" ca="1" si="147"/>
        <v>100.54944444444523</v>
      </c>
      <c r="AH829" s="28" t="str" cm="1">
        <f t="array" aca="1" ref="AH829" ca="1">IF((AD829) &lt; (INDEX(ResponseSLA[#All],(MATCH((G829),ResponseSLA[Priority],0))+1,3)),"YES","No")</f>
        <v>No</v>
      </c>
      <c r="AI829" s="28" t="str">
        <f ca="1">_xlfn.IFNA(IF(AE829 &lt; (INDEX(SLATable[Minimum SLA],MATCH(G829,SLATable[Priority],0))),"YES","NO"),"")</f>
        <v>NO</v>
      </c>
      <c r="AJ829" s="28" t="str">
        <f ca="1">_xlfn.IFNA(IF(AE829 &lt; (INDEX(SLATable[Maximum SLA],MATCH(G829,SLATable[Priority],0))),"YES","NO"),"")</f>
        <v>NO</v>
      </c>
    </row>
    <row r="830" spans="2:36" ht="15" customHeight="1">
      <c r="B830" s="58" t="s">
        <v>26</v>
      </c>
      <c r="C830" s="58" t="s">
        <v>35</v>
      </c>
      <c r="D830" s="45" t="s">
        <v>207</v>
      </c>
      <c r="E830" s="202" t="s">
        <v>2598</v>
      </c>
      <c r="F830" s="45" t="s">
        <v>289</v>
      </c>
      <c r="G830" s="58">
        <v>4</v>
      </c>
      <c r="H830" s="202" t="s">
        <v>2599</v>
      </c>
      <c r="I830" s="45" t="s">
        <v>271</v>
      </c>
      <c r="J830" s="127" t="s">
        <v>1048</v>
      </c>
      <c r="K830" s="317">
        <v>46207.054513888892</v>
      </c>
      <c r="L830" s="317">
        <v>46119.054560185185</v>
      </c>
      <c r="M830" s="317">
        <v>46180.291817129626</v>
      </c>
      <c r="N830" s="317">
        <v>46209.366678240738</v>
      </c>
      <c r="Q830" s="202" t="s">
        <v>1065</v>
      </c>
      <c r="R830" s="45" t="s">
        <v>267</v>
      </c>
      <c r="S830" s="45" t="s">
        <v>149</v>
      </c>
      <c r="U830" s="58" t="s">
        <v>371</v>
      </c>
      <c r="Z830" s="169">
        <f t="shared" ca="1" si="141"/>
        <v>3.3344907404777302E-2</v>
      </c>
      <c r="AA830" s="170">
        <f t="shared" ca="1" si="142"/>
        <v>8.8919753079406139E-2</v>
      </c>
      <c r="AB830" s="169">
        <f t="shared" ca="1" si="143"/>
        <v>22.908344907404782</v>
      </c>
      <c r="AC830" s="170">
        <f t="shared" ca="1" si="144"/>
        <v>61.088919753079416</v>
      </c>
      <c r="AD830" s="169">
        <f t="shared" ca="1" si="145"/>
        <v>15.000000000000002</v>
      </c>
      <c r="AE830" s="169">
        <f t="shared" ca="1" si="148"/>
        <v>22.908344907404782</v>
      </c>
      <c r="AF830" s="170">
        <f t="shared" ca="1" si="146"/>
        <v>61.088919753079416</v>
      </c>
      <c r="AG830" s="170">
        <f t="shared" ca="1" si="147"/>
        <v>61.088919753079416</v>
      </c>
      <c r="AH830" s="28" t="str" cm="1">
        <f t="array" aca="1" ref="AH830" ca="1">IF((AD830) &lt; (INDEX(ResponseSLA[#All],(MATCH((G830),ResponseSLA[Priority],0))+1,3)),"YES","No")</f>
        <v>No</v>
      </c>
      <c r="AI830" s="28" t="str">
        <f ca="1">_xlfn.IFNA(IF(AE830 &lt; (INDEX(SLATable[Minimum SLA],MATCH(G830,SLATable[Priority],0))),"YES","NO"),"")</f>
        <v>NO</v>
      </c>
      <c r="AJ830" s="28" t="str">
        <f ca="1">_xlfn.IFNA(IF(AE830 &lt; (INDEX(SLATable[Maximum SLA],MATCH(G830,SLATable[Priority],0))),"YES","NO"),"")</f>
        <v>NO</v>
      </c>
    </row>
    <row r="831" spans="2:36" ht="15" customHeight="1">
      <c r="B831" s="58" t="s">
        <v>26</v>
      </c>
      <c r="C831" s="58" t="s">
        <v>35</v>
      </c>
      <c r="D831" s="45" t="s">
        <v>207</v>
      </c>
      <c r="E831" s="202" t="s">
        <v>2600</v>
      </c>
      <c r="F831" s="45" t="s">
        <v>292</v>
      </c>
      <c r="G831" s="58">
        <v>3</v>
      </c>
      <c r="H831" s="202" t="s">
        <v>2601</v>
      </c>
      <c r="I831" s="45" t="s">
        <v>271</v>
      </c>
      <c r="J831" s="127" t="s">
        <v>1048</v>
      </c>
      <c r="K831" s="317">
        <v>46207.089895833335</v>
      </c>
      <c r="L831" s="317">
        <v>46119.093761574077</v>
      </c>
      <c r="M831" s="317">
        <v>46180.286898148152</v>
      </c>
      <c r="N831" s="317">
        <v>46209.475289351853</v>
      </c>
      <c r="Q831" s="202" t="s">
        <v>1073</v>
      </c>
      <c r="R831" s="45" t="s">
        <v>267</v>
      </c>
      <c r="S831" s="45" t="s">
        <v>149</v>
      </c>
      <c r="U831" s="58" t="s">
        <v>371</v>
      </c>
      <c r="Z831" s="169">
        <f t="shared" ca="1" si="141"/>
        <v>0.14195601851921918</v>
      </c>
      <c r="AA831" s="170">
        <f t="shared" ca="1" si="142"/>
        <v>0.37854938271791783</v>
      </c>
      <c r="AB831" s="169">
        <f t="shared" ca="1" si="143"/>
        <v>23.016956018519224</v>
      </c>
      <c r="AC831" s="170">
        <f t="shared" ca="1" si="144"/>
        <v>61.378549382717928</v>
      </c>
      <c r="AD831" s="169">
        <f t="shared" ca="1" si="145"/>
        <v>15.000000000000002</v>
      </c>
      <c r="AE831" s="169">
        <f t="shared" ca="1" si="148"/>
        <v>23.016956018519224</v>
      </c>
      <c r="AF831" s="170">
        <f t="shared" ca="1" si="146"/>
        <v>61.378549382717928</v>
      </c>
      <c r="AG831" s="170">
        <f t="shared" ca="1" si="147"/>
        <v>61.378549382717928</v>
      </c>
      <c r="AH831" s="28" t="str" cm="1">
        <f t="array" aca="1" ref="AH831" ca="1">IF((AD831) &lt; (INDEX(ResponseSLA[#All],(MATCH((G831),ResponseSLA[Priority],0))+1,3)),"YES","No")</f>
        <v>No</v>
      </c>
      <c r="AI831" s="28" t="str">
        <f ca="1">_xlfn.IFNA(IF(AE831 &lt; (INDEX(SLATable[Minimum SLA],MATCH(G831,SLATable[Priority],0))),"YES","NO"),"")</f>
        <v>NO</v>
      </c>
      <c r="AJ831" s="28" t="str">
        <f ca="1">_xlfn.IFNA(IF(AE831 &lt; (INDEX(SLATable[Maximum SLA],MATCH(G831,SLATable[Priority],0))),"YES","NO"),"")</f>
        <v>NO</v>
      </c>
    </row>
    <row r="832" spans="2:36" ht="15" customHeight="1">
      <c r="B832" s="58" t="s">
        <v>26</v>
      </c>
      <c r="C832" s="58" t="s">
        <v>35</v>
      </c>
      <c r="D832" s="45" t="s">
        <v>207</v>
      </c>
      <c r="E832" s="202" t="s">
        <v>2602</v>
      </c>
      <c r="F832" s="45" t="s">
        <v>295</v>
      </c>
      <c r="G832" s="58">
        <v>3</v>
      </c>
      <c r="H832" s="202" t="s">
        <v>2603</v>
      </c>
      <c r="I832" s="45" t="s">
        <v>271</v>
      </c>
      <c r="J832" s="127" t="s">
        <v>1048</v>
      </c>
      <c r="K832" s="317">
        <v>46208.150219907409</v>
      </c>
      <c r="L832" s="317">
        <v>46149.150277777779</v>
      </c>
      <c r="M832" s="317">
        <v>46180.281747685185</v>
      </c>
      <c r="N832" s="317">
        <v>46210.422986111109</v>
      </c>
      <c r="Q832" s="202" t="s">
        <v>1203</v>
      </c>
      <c r="R832" s="45" t="s">
        <v>267</v>
      </c>
      <c r="S832" s="45" t="s">
        <v>149</v>
      </c>
      <c r="U832" s="58" t="s">
        <v>371</v>
      </c>
      <c r="Z832" s="169">
        <f t="shared" ca="1" si="141"/>
        <v>0.46465277777557884</v>
      </c>
      <c r="AA832" s="170">
        <f t="shared" ca="1" si="142"/>
        <v>1.2390740740682102</v>
      </c>
      <c r="AB832" s="169">
        <f t="shared" ca="1" si="143"/>
        <v>15.839652777775578</v>
      </c>
      <c r="AC832" s="170">
        <f t="shared" ca="1" si="144"/>
        <v>42.239074074068213</v>
      </c>
      <c r="AD832" s="169">
        <f t="shared" ca="1" si="145"/>
        <v>7.5000000000000009</v>
      </c>
      <c r="AE832" s="169">
        <f t="shared" ca="1" si="148"/>
        <v>15.839652777775578</v>
      </c>
      <c r="AF832" s="170">
        <f t="shared" ca="1" si="146"/>
        <v>42.239074074068213</v>
      </c>
      <c r="AG832" s="170">
        <f t="shared" ca="1" si="147"/>
        <v>42.239074074068213</v>
      </c>
      <c r="AH832" s="28" t="str" cm="1">
        <f t="array" aca="1" ref="AH832" ca="1">IF((AD832) &lt; (INDEX(ResponseSLA[#All],(MATCH((G832),ResponseSLA[Priority],0))+1,3)),"YES","No")</f>
        <v>No</v>
      </c>
      <c r="AI832" s="28" t="str">
        <f ca="1">_xlfn.IFNA(IF(AE832 &lt; (INDEX(SLATable[Minimum SLA],MATCH(G832,SLATable[Priority],0))),"YES","NO"),"")</f>
        <v>NO</v>
      </c>
      <c r="AJ832" s="28" t="str">
        <f ca="1">_xlfn.IFNA(IF(AE832 &lt; (INDEX(SLATable[Maximum SLA],MATCH(G832,SLATable[Priority],0))),"YES","NO"),"")</f>
        <v>NO</v>
      </c>
    </row>
    <row r="833" spans="2:36" ht="15" customHeight="1">
      <c r="B833" s="58" t="s">
        <v>26</v>
      </c>
      <c r="C833" s="58" t="s">
        <v>35</v>
      </c>
      <c r="D833" s="45" t="s">
        <v>207</v>
      </c>
      <c r="E833" s="202" t="s">
        <v>2604</v>
      </c>
      <c r="F833" s="45" t="s">
        <v>292</v>
      </c>
      <c r="G833" s="58">
        <v>4</v>
      </c>
      <c r="H833" s="202" t="s">
        <v>2605</v>
      </c>
      <c r="I833" s="45" t="s">
        <v>271</v>
      </c>
      <c r="J833" s="127" t="s">
        <v>1048</v>
      </c>
      <c r="K833" s="307">
        <v>46208.329467592594</v>
      </c>
      <c r="L833" s="307">
        <v>46210.541238425925</v>
      </c>
      <c r="M833" s="307">
        <v>46241.223761574074</v>
      </c>
      <c r="N833" s="307">
        <v>46220.555937500001</v>
      </c>
      <c r="Q833" s="202" t="s">
        <v>1073</v>
      </c>
      <c r="R833" s="45" t="s">
        <v>267</v>
      </c>
      <c r="S833" s="45" t="s">
        <v>190</v>
      </c>
      <c r="U833" s="58" t="s">
        <v>371</v>
      </c>
      <c r="Z833" s="169">
        <f t="shared" ca="1" si="141"/>
        <v>3.5976041666678311</v>
      </c>
      <c r="AA833" s="170">
        <f t="shared" ca="1" si="142"/>
        <v>9.5936111111142157</v>
      </c>
      <c r="AB833" s="169">
        <f t="shared" ca="1" si="143"/>
        <v>3.014699074075907</v>
      </c>
      <c r="AC833" s="170">
        <f t="shared" ca="1" si="144"/>
        <v>8.0391975308690853</v>
      </c>
      <c r="AD833" s="169">
        <f t="shared" ca="1" si="145"/>
        <v>8.4170949074080781</v>
      </c>
      <c r="AE833" s="169">
        <f t="shared" ca="1" si="148"/>
        <v>3.014699074075907</v>
      </c>
      <c r="AF833" s="170">
        <f t="shared" ca="1" si="146"/>
        <v>8.0391975308690853</v>
      </c>
      <c r="AG833" s="170">
        <f t="shared" ca="1" si="147"/>
        <v>8.0391975308690853</v>
      </c>
      <c r="AH833" s="28" t="str" cm="1">
        <f t="array" aca="1" ref="AH833" ca="1">IF((AD833) &lt; (INDEX(ResponseSLA[#All],(MATCH((G833),ResponseSLA[Priority],0))+1,3)),"YES","No")</f>
        <v>No</v>
      </c>
      <c r="AI833" s="28" t="str">
        <f ca="1">_xlfn.IFNA(IF(AE833 &lt; (INDEX(SLATable[Minimum SLA],MATCH(G833,SLATable[Priority],0))),"YES","NO"),"")</f>
        <v>YES</v>
      </c>
      <c r="AJ833" s="28" t="str">
        <f ca="1">_xlfn.IFNA(IF(AE833 &lt; (INDEX(SLATable[Maximum SLA],MATCH(G833,SLATable[Priority],0))),"YES","NO"),"")</f>
        <v>YES</v>
      </c>
    </row>
    <row r="834" spans="2:36" ht="15" customHeight="1">
      <c r="B834" s="58" t="s">
        <v>26</v>
      </c>
      <c r="C834" s="58" t="s">
        <v>35</v>
      </c>
      <c r="D834" s="45" t="s">
        <v>207</v>
      </c>
      <c r="E834" s="202" t="s">
        <v>2606</v>
      </c>
      <c r="F834" s="45" t="s">
        <v>292</v>
      </c>
      <c r="G834" s="58">
        <v>4</v>
      </c>
      <c r="H834" s="202" t="s">
        <v>2607</v>
      </c>
      <c r="I834" s="45" t="s">
        <v>271</v>
      </c>
      <c r="J834" s="127" t="s">
        <v>1048</v>
      </c>
      <c r="K834" s="307">
        <v>46208.671354166669</v>
      </c>
      <c r="L834" s="307">
        <v>46210.469502314816</v>
      </c>
      <c r="M834" s="307">
        <v>46241.223749999997</v>
      </c>
      <c r="N834" s="307">
        <v>46220.555925925924</v>
      </c>
      <c r="Q834" s="202" t="s">
        <v>1073</v>
      </c>
      <c r="R834" s="45" t="s">
        <v>267</v>
      </c>
      <c r="S834" s="45" t="s">
        <v>190</v>
      </c>
      <c r="U834" s="58" t="s">
        <v>371</v>
      </c>
      <c r="Z834" s="169">
        <f t="shared" ca="1" si="141"/>
        <v>3.5975925925910515</v>
      </c>
      <c r="AA834" s="170">
        <f t="shared" ca="1" si="142"/>
        <v>9.59358024690947</v>
      </c>
      <c r="AB834" s="169">
        <f t="shared" ca="1" si="143"/>
        <v>3.0864236111083305</v>
      </c>
      <c r="AC834" s="170">
        <f t="shared" ca="1" si="144"/>
        <v>8.2304629629555492</v>
      </c>
      <c r="AD834" s="169">
        <f t="shared" ca="1" si="145"/>
        <v>8.4888310185172813</v>
      </c>
      <c r="AE834" s="169">
        <f t="shared" ca="1" si="148"/>
        <v>3.0864236111083305</v>
      </c>
      <c r="AF834" s="170">
        <f t="shared" ca="1" si="146"/>
        <v>8.2304629629555492</v>
      </c>
      <c r="AG834" s="170">
        <f t="shared" ca="1" si="147"/>
        <v>8.2304629629555492</v>
      </c>
      <c r="AH834" s="28" t="str" cm="1">
        <f t="array" aca="1" ref="AH834" ca="1">IF((AD834) &lt; (INDEX(ResponseSLA[#All],(MATCH((G834),ResponseSLA[Priority],0))+1,3)),"YES","No")</f>
        <v>No</v>
      </c>
      <c r="AI834" s="28" t="str">
        <f ca="1">_xlfn.IFNA(IF(AE834 &lt; (INDEX(SLATable[Minimum SLA],MATCH(G834,SLATable[Priority],0))),"YES","NO"),"")</f>
        <v>YES</v>
      </c>
      <c r="AJ834" s="28" t="str">
        <f ca="1">_xlfn.IFNA(IF(AE834 &lt; (INDEX(SLATable[Maximum SLA],MATCH(G834,SLATable[Priority],0))),"YES","NO"),"")</f>
        <v>YES</v>
      </c>
    </row>
    <row r="835" spans="2:36" ht="15" customHeight="1">
      <c r="B835" s="58" t="s">
        <v>26</v>
      </c>
      <c r="C835" s="58" t="s">
        <v>35</v>
      </c>
      <c r="D835" s="45" t="s">
        <v>207</v>
      </c>
      <c r="E835" s="202" t="s">
        <v>2608</v>
      </c>
      <c r="F835" s="45" t="s">
        <v>292</v>
      </c>
      <c r="G835" s="58">
        <v>4</v>
      </c>
      <c r="H835" s="202" t="s">
        <v>2609</v>
      </c>
      <c r="I835" s="45" t="s">
        <v>271</v>
      </c>
      <c r="J835" s="127" t="s">
        <v>1048</v>
      </c>
      <c r="K835" s="317">
        <v>46209.920590277776</v>
      </c>
      <c r="L835" s="317">
        <v>46241.721331018518</v>
      </c>
      <c r="M835" s="317">
        <v>46272.256469907406</v>
      </c>
      <c r="N835" s="317">
        <v>46220.554872685185</v>
      </c>
      <c r="Q835" s="202" t="s">
        <v>1073</v>
      </c>
      <c r="R835" s="45" t="s">
        <v>267</v>
      </c>
      <c r="S835" s="45" t="s">
        <v>190</v>
      </c>
      <c r="U835" s="58" t="s">
        <v>371</v>
      </c>
      <c r="Z835" s="169">
        <f t="shared" ca="1" si="141"/>
        <v>3.2215393518514857</v>
      </c>
      <c r="AA835" s="170">
        <f t="shared" ca="1" si="142"/>
        <v>8.5907716049372951</v>
      </c>
      <c r="AB835" s="169">
        <f t="shared" ca="1" si="143"/>
        <v>0</v>
      </c>
      <c r="AC835" s="170">
        <f t="shared" ca="1" si="144"/>
        <v>0</v>
      </c>
      <c r="AD835" s="169">
        <f t="shared" ca="1" si="145"/>
        <v>7.1250000000000009</v>
      </c>
      <c r="AE835" s="169">
        <f t="shared" ca="1" si="148"/>
        <v>0</v>
      </c>
      <c r="AF835" s="170">
        <f t="shared" ca="1" si="146"/>
        <v>0</v>
      </c>
      <c r="AG835" s="170">
        <f t="shared" ca="1" si="147"/>
        <v>0</v>
      </c>
      <c r="AH835" s="28" t="str" cm="1">
        <f t="array" aca="1" ref="AH835" ca="1">IF((AD835) &lt; (INDEX(ResponseSLA[#All],(MATCH((G835),ResponseSLA[Priority],0))+1,3)),"YES","No")</f>
        <v>No</v>
      </c>
      <c r="AI835" s="28" t="str">
        <f ca="1">_xlfn.IFNA(IF(AE835 &lt; (INDEX(SLATable[Minimum SLA],MATCH(G835,SLATable[Priority],0))),"YES","NO"),"")</f>
        <v>YES</v>
      </c>
      <c r="AJ835" s="28" t="str">
        <f ca="1">_xlfn.IFNA(IF(AE835 &lt; (INDEX(SLATable[Maximum SLA],MATCH(G835,SLATable[Priority],0))),"YES","NO"),"")</f>
        <v>YES</v>
      </c>
    </row>
    <row r="836" spans="2:36" ht="15" customHeight="1">
      <c r="B836" s="58" t="s">
        <v>26</v>
      </c>
      <c r="C836" s="58" t="s">
        <v>35</v>
      </c>
      <c r="D836" s="45" t="s">
        <v>207</v>
      </c>
      <c r="E836" s="202" t="s">
        <v>2610</v>
      </c>
      <c r="F836" s="45" t="s">
        <v>295</v>
      </c>
      <c r="G836" s="58">
        <v>3</v>
      </c>
      <c r="H836" s="202" t="s">
        <v>2342</v>
      </c>
      <c r="I836" s="45" t="s">
        <v>271</v>
      </c>
      <c r="J836" s="127" t="s">
        <v>1048</v>
      </c>
      <c r="K836" s="317">
        <v>46212.295740740738</v>
      </c>
      <c r="L836" s="317">
        <v>46272.295844907407</v>
      </c>
      <c r="M836" s="317">
        <v>46302.281319444446</v>
      </c>
      <c r="N836" s="317">
        <v>46213.378703703704</v>
      </c>
      <c r="Q836" s="202" t="s">
        <v>1211</v>
      </c>
      <c r="R836" s="45" t="s">
        <v>267</v>
      </c>
      <c r="S836" s="45" t="s">
        <v>149</v>
      </c>
      <c r="U836" s="58" t="s">
        <v>371</v>
      </c>
      <c r="Z836" s="169">
        <f t="shared" ca="1" si="141"/>
        <v>0.42037037037031649</v>
      </c>
      <c r="AA836" s="170">
        <f t="shared" ca="1" si="142"/>
        <v>1.1209876543208439</v>
      </c>
      <c r="AB836" s="169">
        <f t="shared" ca="1" si="143"/>
        <v>4.5370370370316493E-2</v>
      </c>
      <c r="AC836" s="170">
        <f t="shared" ca="1" si="144"/>
        <v>0.12098765432084398</v>
      </c>
      <c r="AD836" s="169">
        <f t="shared" ca="1" si="145"/>
        <v>8.2500000000000018</v>
      </c>
      <c r="AE836" s="169">
        <f t="shared" ca="1" si="148"/>
        <v>4.5370370370316493E-2</v>
      </c>
      <c r="AF836" s="170">
        <f t="shared" ca="1" si="146"/>
        <v>0.12098765432084398</v>
      </c>
      <c r="AG836" s="170">
        <f t="shared" ca="1" si="147"/>
        <v>0.12098765432084398</v>
      </c>
      <c r="AH836" s="28" t="str" cm="1">
        <f t="array" aca="1" ref="AH836" ca="1">IF((AD836) &lt; (INDEX(ResponseSLA[#All],(MATCH((G836),ResponseSLA[Priority],0))+1,3)),"YES","No")</f>
        <v>No</v>
      </c>
      <c r="AI836" s="28" t="str">
        <f ca="1">_xlfn.IFNA(IF(AE836 &lt; (INDEX(SLATable[Minimum SLA],MATCH(G836,SLATable[Priority],0))),"YES","NO"),"")</f>
        <v>YES</v>
      </c>
      <c r="AJ836" s="28" t="str">
        <f ca="1">_xlfn.IFNA(IF(AE836 &lt; (INDEX(SLATable[Maximum SLA],MATCH(G836,SLATable[Priority],0))),"YES","NO"),"")</f>
        <v>YES</v>
      </c>
    </row>
    <row r="837" spans="2:36" ht="15" customHeight="1">
      <c r="B837" s="58" t="s">
        <v>26</v>
      </c>
      <c r="C837" s="58" t="s">
        <v>35</v>
      </c>
      <c r="D837" s="45" t="s">
        <v>207</v>
      </c>
      <c r="E837" s="202" t="s">
        <v>2611</v>
      </c>
      <c r="F837" s="45" t="s">
        <v>292</v>
      </c>
      <c r="G837" s="58">
        <v>4</v>
      </c>
      <c r="H837" s="202" t="s">
        <v>2612</v>
      </c>
      <c r="I837" s="45" t="s">
        <v>271</v>
      </c>
      <c r="J837" s="127" t="s">
        <v>1048</v>
      </c>
      <c r="K837" s="317">
        <v>46212.551064814812</v>
      </c>
      <c r="L837" s="317">
        <v>46302.44017361111</v>
      </c>
      <c r="M837" s="317" t="s">
        <v>2613</v>
      </c>
      <c r="N837" s="317">
        <v>46217.318807870368</v>
      </c>
      <c r="Q837" s="202" t="s">
        <v>1073</v>
      </c>
      <c r="R837" s="45" t="s">
        <v>267</v>
      </c>
      <c r="S837" s="45" t="s">
        <v>190</v>
      </c>
      <c r="U837" s="58" t="s">
        <v>371</v>
      </c>
      <c r="Z837" s="169">
        <f t="shared" ca="1" si="141"/>
        <v>0.9072685185213536</v>
      </c>
      <c r="AA837" s="170">
        <f t="shared" ca="1" si="142"/>
        <v>2.4193827160569428</v>
      </c>
      <c r="AB837" s="169">
        <f t="shared" ca="1" si="143"/>
        <v>0</v>
      </c>
      <c r="AC837" s="170">
        <f t="shared" ca="1" si="144"/>
        <v>0</v>
      </c>
      <c r="AD837" s="169">
        <f t="shared" ca="1" si="145"/>
        <v>0</v>
      </c>
      <c r="AE837" s="169">
        <f t="shared" ca="1" si="148"/>
        <v>0</v>
      </c>
      <c r="AF837" s="170">
        <f t="shared" ca="1" si="146"/>
        <v>0</v>
      </c>
      <c r="AG837" s="170">
        <f t="shared" ca="1" si="147"/>
        <v>0</v>
      </c>
      <c r="AH837" s="28" t="str" cm="1">
        <f t="array" aca="1" ref="AH837" ca="1">IF((AD837) &lt; (INDEX(ResponseSLA[#All],(MATCH((G837),ResponseSLA[Priority],0))+1,3)),"YES","No")</f>
        <v>YES</v>
      </c>
      <c r="AI837" s="28" t="str">
        <f ca="1">_xlfn.IFNA(IF(AE837 &lt; (INDEX(SLATable[Minimum SLA],MATCH(G837,SLATable[Priority],0))),"YES","NO"),"")</f>
        <v>YES</v>
      </c>
      <c r="AJ837" s="28" t="str">
        <f ca="1">_xlfn.IFNA(IF(AE837 &lt; (INDEX(SLATable[Maximum SLA],MATCH(G837,SLATable[Priority],0))),"YES","NO"),"")</f>
        <v>YES</v>
      </c>
    </row>
    <row r="838" spans="2:36" ht="15" customHeight="1">
      <c r="B838" s="58" t="s">
        <v>26</v>
      </c>
      <c r="C838" s="58" t="s">
        <v>35</v>
      </c>
      <c r="D838" s="45" t="s">
        <v>207</v>
      </c>
      <c r="E838" s="202" t="s">
        <v>2614</v>
      </c>
      <c r="F838" s="45" t="s">
        <v>289</v>
      </c>
      <c r="G838" s="58">
        <v>3</v>
      </c>
      <c r="H838" s="202" t="s">
        <v>2615</v>
      </c>
      <c r="I838" s="45" t="s">
        <v>271</v>
      </c>
      <c r="J838" s="127" t="s">
        <v>1048</v>
      </c>
      <c r="K838" s="317">
        <v>46214.307743055557</v>
      </c>
      <c r="L838" s="317">
        <v>46333.34820601852</v>
      </c>
      <c r="M838" s="317" t="s">
        <v>2616</v>
      </c>
      <c r="N838" s="317">
        <v>46219.323009259257</v>
      </c>
      <c r="Q838" s="202" t="s">
        <v>1431</v>
      </c>
      <c r="R838" s="45" t="s">
        <v>267</v>
      </c>
      <c r="S838" s="45" t="s">
        <v>190</v>
      </c>
      <c r="U838" s="58" t="s">
        <v>371</v>
      </c>
      <c r="Z838" s="169">
        <f t="shared" ca="1" si="141"/>
        <v>1.1250000000000002</v>
      </c>
      <c r="AA838" s="170">
        <f t="shared" ca="1" si="142"/>
        <v>3.0000000000000009</v>
      </c>
      <c r="AB838" s="169">
        <f t="shared" ca="1" si="143"/>
        <v>0</v>
      </c>
      <c r="AC838" s="170">
        <f t="shared" ca="1" si="144"/>
        <v>0</v>
      </c>
      <c r="AD838" s="169">
        <f t="shared" ca="1" si="145"/>
        <v>0</v>
      </c>
      <c r="AE838" s="169">
        <f t="shared" ca="1" si="148"/>
        <v>0</v>
      </c>
      <c r="AF838" s="170">
        <f t="shared" ca="1" si="146"/>
        <v>0</v>
      </c>
      <c r="AG838" s="170">
        <f t="shared" ca="1" si="147"/>
        <v>0</v>
      </c>
      <c r="AH838" s="28" t="str" cm="1">
        <f t="array" aca="1" ref="AH838" ca="1">IF((AD838) &lt; (INDEX(ResponseSLA[#All],(MATCH((G838),ResponseSLA[Priority],0))+1,3)),"YES","No")</f>
        <v>YES</v>
      </c>
      <c r="AI838" s="28" t="str">
        <f ca="1">_xlfn.IFNA(IF(AE838 &lt; (INDEX(SLATable[Minimum SLA],MATCH(G838,SLATable[Priority],0))),"YES","NO"),"")</f>
        <v>YES</v>
      </c>
      <c r="AJ838" s="28" t="str">
        <f ca="1">_xlfn.IFNA(IF(AE838 &lt; (INDEX(SLATable[Maximum SLA],MATCH(G838,SLATable[Priority],0))),"YES","NO"),"")</f>
        <v>YES</v>
      </c>
    </row>
    <row r="839" spans="2:36" ht="15" customHeight="1">
      <c r="B839" s="58" t="s">
        <v>26</v>
      </c>
      <c r="C839" s="58" t="s">
        <v>35</v>
      </c>
      <c r="D839" s="45" t="s">
        <v>207</v>
      </c>
      <c r="E839" s="202" t="s">
        <v>2617</v>
      </c>
      <c r="F839" s="45" t="s">
        <v>289</v>
      </c>
      <c r="G839" s="58">
        <v>4</v>
      </c>
      <c r="H839" s="202" t="s">
        <v>2618</v>
      </c>
      <c r="I839" s="45" t="s">
        <v>271</v>
      </c>
      <c r="J839" s="127" t="s">
        <v>1048</v>
      </c>
      <c r="K839" s="307">
        <v>46214.3981712963</v>
      </c>
      <c r="L839" s="307">
        <v>46218.517048611109</v>
      </c>
      <c r="M839" s="307">
        <v>46219.268518518518</v>
      </c>
      <c r="N839" s="307">
        <v>46219.317418981482</v>
      </c>
      <c r="Q839" s="202" t="s">
        <v>1065</v>
      </c>
      <c r="R839" s="45" t="s">
        <v>267</v>
      </c>
      <c r="S839" s="45" t="s">
        <v>193</v>
      </c>
      <c r="U839" s="58" t="s">
        <v>371</v>
      </c>
      <c r="Z839" s="169">
        <f t="shared" ca="1" si="141"/>
        <v>1.1250000000000002</v>
      </c>
      <c r="AA839" s="170">
        <f t="shared" ca="1" si="142"/>
        <v>3.0000000000000009</v>
      </c>
      <c r="AB839" s="169">
        <f t="shared" ca="1" si="143"/>
        <v>0.19128472222413018</v>
      </c>
      <c r="AC839" s="170">
        <f t="shared" ca="1" si="144"/>
        <v>0.51009259259768047</v>
      </c>
      <c r="AD839" s="169">
        <f t="shared" ca="1" si="145"/>
        <v>0.19128472222413018</v>
      </c>
      <c r="AE839" s="169">
        <f t="shared" ca="1" si="148"/>
        <v>0.19128472222413018</v>
      </c>
      <c r="AF839" s="170">
        <f t="shared" ca="1" si="146"/>
        <v>0.51009259259768047</v>
      </c>
      <c r="AG839" s="170">
        <f t="shared" ca="1" si="147"/>
        <v>0.51009259259768047</v>
      </c>
      <c r="AH839" s="28" t="str" cm="1">
        <f t="array" aca="1" ref="AH839" ca="1">IF((AD839) &lt; (INDEX(ResponseSLA[#All],(MATCH((G839),ResponseSLA[Priority],0))+1,3)),"YES","No")</f>
        <v>No</v>
      </c>
      <c r="AI839" s="28" t="str">
        <f ca="1">_xlfn.IFNA(IF(AE839 &lt; (INDEX(SLATable[Minimum SLA],MATCH(G839,SLATable[Priority],0))),"YES","NO"),"")</f>
        <v>YES</v>
      </c>
      <c r="AJ839" s="28" t="str">
        <f ca="1">_xlfn.IFNA(IF(AE839 &lt; (INDEX(SLATable[Maximum SLA],MATCH(G839,SLATable[Priority],0))),"YES","NO"),"")</f>
        <v>YES</v>
      </c>
    </row>
    <row r="840" spans="2:36" ht="15" customHeight="1">
      <c r="B840" s="58" t="s">
        <v>26</v>
      </c>
      <c r="C840" s="58" t="s">
        <v>35</v>
      </c>
      <c r="D840" s="45" t="s">
        <v>207</v>
      </c>
      <c r="E840" s="202" t="s">
        <v>2619</v>
      </c>
      <c r="F840" s="45" t="s">
        <v>295</v>
      </c>
      <c r="G840" s="58">
        <v>3</v>
      </c>
      <c r="H840" s="202" t="s">
        <v>2620</v>
      </c>
      <c r="I840" s="45" t="s">
        <v>271</v>
      </c>
      <c r="J840" s="127" t="s">
        <v>1048</v>
      </c>
      <c r="K840" s="307">
        <v>46217.265613425923</v>
      </c>
      <c r="L840" s="307">
        <v>46218.516793981478</v>
      </c>
      <c r="M840" s="307">
        <v>46219.277418981481</v>
      </c>
      <c r="N840" s="307">
        <v>46219.317442129628</v>
      </c>
      <c r="Q840" s="202" t="s">
        <v>1148</v>
      </c>
      <c r="R840" s="45" t="s">
        <v>267</v>
      </c>
      <c r="S840" s="45" t="s">
        <v>193</v>
      </c>
      <c r="U840" s="58" t="s">
        <v>371</v>
      </c>
      <c r="Z840" s="169">
        <f t="shared" ca="1" si="141"/>
        <v>0.75000000000000022</v>
      </c>
      <c r="AA840" s="170">
        <f t="shared" ca="1" si="142"/>
        <v>2.0000000000000009</v>
      </c>
      <c r="AB840" s="169">
        <f t="shared" ca="1" si="143"/>
        <v>0.19153935185507487</v>
      </c>
      <c r="AC840" s="170">
        <f t="shared" ca="1" si="144"/>
        <v>0.51077160494686635</v>
      </c>
      <c r="AD840" s="169">
        <f t="shared" ca="1" si="145"/>
        <v>0.19153935185507487</v>
      </c>
      <c r="AE840" s="169">
        <f t="shared" ca="1" si="148"/>
        <v>0.19153935185507487</v>
      </c>
      <c r="AF840" s="170">
        <f t="shared" ca="1" si="146"/>
        <v>0.51077160494686635</v>
      </c>
      <c r="AG840" s="170">
        <f t="shared" ca="1" si="147"/>
        <v>0.51077160494686635</v>
      </c>
      <c r="AH840" s="28" t="str" cm="1">
        <f t="array" aca="1" ref="AH840" ca="1">IF((AD840) &lt; (INDEX(ResponseSLA[#All],(MATCH((G840),ResponseSLA[Priority],0))+1,3)),"YES","No")</f>
        <v>No</v>
      </c>
      <c r="AI840" s="28" t="str">
        <f ca="1">_xlfn.IFNA(IF(AE840 &lt; (INDEX(SLATable[Minimum SLA],MATCH(G840,SLATable[Priority],0))),"YES","NO"),"")</f>
        <v>YES</v>
      </c>
      <c r="AJ840" s="28" t="str">
        <f ca="1">_xlfn.IFNA(IF(AE840 &lt; (INDEX(SLATable[Maximum SLA],MATCH(G840,SLATable[Priority],0))),"YES","NO"),"")</f>
        <v>YES</v>
      </c>
    </row>
    <row r="841" spans="2:36" ht="15" customHeight="1">
      <c r="B841" s="58" t="s">
        <v>26</v>
      </c>
      <c r="C841" s="58" t="s">
        <v>35</v>
      </c>
      <c r="D841" s="45" t="s">
        <v>207</v>
      </c>
      <c r="E841" s="202" t="s">
        <v>2621</v>
      </c>
      <c r="F841" s="45" t="s">
        <v>295</v>
      </c>
      <c r="G841" s="58">
        <v>4</v>
      </c>
      <c r="H841" s="202" t="s">
        <v>2622</v>
      </c>
      <c r="I841" s="45" t="s">
        <v>271</v>
      </c>
      <c r="J841" s="127" t="s">
        <v>1048</v>
      </c>
      <c r="K841" s="307">
        <v>46218.636874999997</v>
      </c>
      <c r="L841" s="307">
        <v>46218.636967592596</v>
      </c>
      <c r="M841" s="307">
        <v>46219.265208333331</v>
      </c>
      <c r="N841" s="307">
        <v>46232.438379629632</v>
      </c>
      <c r="Q841" s="202" t="s">
        <v>1211</v>
      </c>
      <c r="R841" s="45" t="s">
        <v>267</v>
      </c>
      <c r="S841" s="45" t="s">
        <v>149</v>
      </c>
      <c r="U841" s="58" t="s">
        <v>371</v>
      </c>
      <c r="Z841" s="169">
        <f t="shared" ca="1" si="141"/>
        <v>3.5515046296350192</v>
      </c>
      <c r="AA841" s="170">
        <f t="shared" ca="1" si="142"/>
        <v>9.4706790123600513</v>
      </c>
      <c r="AB841" s="169">
        <f t="shared" ca="1" si="143"/>
        <v>3.5514120370353339</v>
      </c>
      <c r="AC841" s="170">
        <f t="shared" ca="1" si="144"/>
        <v>9.4704320987608899</v>
      </c>
      <c r="AD841" s="169">
        <f t="shared" ca="1" si="145"/>
        <v>7.1365740737140526E-2</v>
      </c>
      <c r="AE841" s="169">
        <f t="shared" ca="1" si="148"/>
        <v>3.5514120370353339</v>
      </c>
      <c r="AF841" s="170">
        <f t="shared" ca="1" si="146"/>
        <v>9.4704320987608899</v>
      </c>
      <c r="AG841" s="170">
        <f t="shared" ca="1" si="147"/>
        <v>9.4704320987608899</v>
      </c>
      <c r="AH841" s="28" t="str" cm="1">
        <f t="array" aca="1" ref="AH841" ca="1">IF((AD841) &lt; (INDEX(ResponseSLA[#All],(MATCH((G841),ResponseSLA[Priority],0))+1,3)),"YES","No")</f>
        <v>YES</v>
      </c>
      <c r="AI841" s="28" t="str">
        <f ca="1">_xlfn.IFNA(IF(AE841 &lt; (INDEX(SLATable[Minimum SLA],MATCH(G841,SLATable[Priority],0))),"YES","NO"),"")</f>
        <v>YES</v>
      </c>
      <c r="AJ841" s="28" t="str">
        <f ca="1">_xlfn.IFNA(IF(AE841 &lt; (INDEX(SLATable[Maximum SLA],MATCH(G841,SLATable[Priority],0))),"YES","NO"),"")</f>
        <v>YES</v>
      </c>
    </row>
    <row r="842" spans="2:36" ht="15" customHeight="1">
      <c r="B842" s="58" t="s">
        <v>26</v>
      </c>
      <c r="C842" s="58" t="s">
        <v>35</v>
      </c>
      <c r="D842" s="45" t="s">
        <v>207</v>
      </c>
      <c r="E842" s="202" t="s">
        <v>2623</v>
      </c>
      <c r="F842" s="45" t="s">
        <v>295</v>
      </c>
      <c r="G842" s="58">
        <v>4</v>
      </c>
      <c r="H842" s="202" t="s">
        <v>2430</v>
      </c>
      <c r="I842" s="45" t="s">
        <v>271</v>
      </c>
      <c r="J842" s="127" t="s">
        <v>1048</v>
      </c>
      <c r="K842" s="307">
        <v>46223.257210648146</v>
      </c>
      <c r="L842" s="307">
        <v>46223.257268518515</v>
      </c>
      <c r="M842" s="307">
        <v>46223.31925925926</v>
      </c>
      <c r="N842" s="307">
        <v>46225.437905092593</v>
      </c>
      <c r="Q842" s="202" t="s">
        <v>1057</v>
      </c>
      <c r="R842" s="45" t="s">
        <v>267</v>
      </c>
      <c r="S842" s="45" t="s">
        <v>193</v>
      </c>
      <c r="U842" s="58" t="s">
        <v>371</v>
      </c>
      <c r="Z842" s="169">
        <f t="shared" ca="1" si="141"/>
        <v>0.85457175925936713</v>
      </c>
      <c r="AA842" s="170">
        <f t="shared" ca="1" si="142"/>
        <v>2.2788580246916457</v>
      </c>
      <c r="AB842" s="169">
        <f t="shared" ca="1" si="143"/>
        <v>0.85457175925936713</v>
      </c>
      <c r="AC842" s="170">
        <f t="shared" ca="1" si="144"/>
        <v>2.2788580246916457</v>
      </c>
      <c r="AD842" s="169">
        <f t="shared" ca="1" si="145"/>
        <v>0</v>
      </c>
      <c r="AE842" s="169">
        <f t="shared" ca="1" si="148"/>
        <v>0.85457175925936713</v>
      </c>
      <c r="AF842" s="170">
        <f t="shared" ca="1" si="146"/>
        <v>2.2788580246916457</v>
      </c>
      <c r="AG842" s="170">
        <f t="shared" ca="1" si="147"/>
        <v>2.2788580246916457</v>
      </c>
      <c r="AH842" s="28" t="str" cm="1">
        <f t="array" aca="1" ref="AH842" ca="1">IF((AD842) &lt; (INDEX(ResponseSLA[#All],(MATCH((G842),ResponseSLA[Priority],0))+1,3)),"YES","No")</f>
        <v>YES</v>
      </c>
      <c r="AI842" s="28" t="str">
        <f ca="1">_xlfn.IFNA(IF(AE842 &lt; (INDEX(SLATable[Minimum SLA],MATCH(G842,SLATable[Priority],0))),"YES","NO"),"")</f>
        <v>YES</v>
      </c>
      <c r="AJ842" s="28" t="str">
        <f ca="1">_xlfn.IFNA(IF(AE842 &lt; (INDEX(SLATable[Maximum SLA],MATCH(G842,SLATable[Priority],0))),"YES","NO"),"")</f>
        <v>YES</v>
      </c>
    </row>
    <row r="843" spans="2:36" ht="15" customHeight="1">
      <c r="B843" s="58" t="s">
        <v>26</v>
      </c>
      <c r="C843" s="58" t="s">
        <v>35</v>
      </c>
      <c r="D843" s="45" t="s">
        <v>207</v>
      </c>
      <c r="E843" s="202" t="s">
        <v>2624</v>
      </c>
      <c r="F843" s="45" t="s">
        <v>295</v>
      </c>
      <c r="G843" s="58">
        <v>4</v>
      </c>
      <c r="H843" s="202" t="s">
        <v>2625</v>
      </c>
      <c r="I843" s="45" t="s">
        <v>271</v>
      </c>
      <c r="J843" s="127" t="s">
        <v>1048</v>
      </c>
      <c r="K843" s="307">
        <v>46223.277002314811</v>
      </c>
      <c r="L843" s="307">
        <v>46223.586817129632</v>
      </c>
      <c r="M843" s="307">
        <v>46223.622384259259</v>
      </c>
      <c r="N843" s="307">
        <v>46225.467523148145</v>
      </c>
      <c r="Q843" s="202" t="s">
        <v>695</v>
      </c>
      <c r="R843" s="45" t="s">
        <v>267</v>
      </c>
      <c r="S843" s="45" t="s">
        <v>193</v>
      </c>
      <c r="U843" s="58" t="s">
        <v>371</v>
      </c>
      <c r="Z843" s="169">
        <f t="shared" ca="1" si="141"/>
        <v>0.88418981481178593</v>
      </c>
      <c r="AA843" s="170">
        <f t="shared" ca="1" si="142"/>
        <v>2.3578395061647623</v>
      </c>
      <c r="AB843" s="169">
        <f t="shared" ca="1" si="143"/>
        <v>0.63070601851359243</v>
      </c>
      <c r="AC843" s="170">
        <f t="shared" ca="1" si="144"/>
        <v>1.6818827160362464</v>
      </c>
      <c r="AD843" s="169">
        <f t="shared" ca="1" si="145"/>
        <v>3.5567129627452232E-2</v>
      </c>
      <c r="AE843" s="169">
        <f t="shared" ca="1" si="148"/>
        <v>0.63070601851359243</v>
      </c>
      <c r="AF843" s="170">
        <f t="shared" ca="1" si="146"/>
        <v>1.6818827160362464</v>
      </c>
      <c r="AG843" s="170">
        <f t="shared" ca="1" si="147"/>
        <v>1.6818827160362464</v>
      </c>
      <c r="AH843" s="28" t="str" cm="1">
        <f t="array" aca="1" ref="AH843" ca="1">IF((AD843) &lt; (INDEX(ResponseSLA[#All],(MATCH((G843),ResponseSLA[Priority],0))+1,3)),"YES","No")</f>
        <v>YES</v>
      </c>
      <c r="AI843" s="28" t="str">
        <f ca="1">_xlfn.IFNA(IF(AE843 &lt; (INDEX(SLATable[Minimum SLA],MATCH(G843,SLATable[Priority],0))),"YES","NO"),"")</f>
        <v>YES</v>
      </c>
      <c r="AJ843" s="28" t="str">
        <f ca="1">_xlfn.IFNA(IF(AE843 &lt; (INDEX(SLATable[Maximum SLA],MATCH(G843,SLATable[Priority],0))),"YES","NO"),"")</f>
        <v>YES</v>
      </c>
    </row>
    <row r="844" spans="2:36" ht="15" customHeight="1">
      <c r="B844" s="58" t="s">
        <v>26</v>
      </c>
      <c r="C844" s="58" t="s">
        <v>35</v>
      </c>
      <c r="D844" s="45" t="s">
        <v>207</v>
      </c>
      <c r="E844" s="202" t="s">
        <v>2626</v>
      </c>
      <c r="F844" s="45" t="s">
        <v>295</v>
      </c>
      <c r="G844" s="58">
        <v>3</v>
      </c>
      <c r="H844" s="202" t="s">
        <v>2627</v>
      </c>
      <c r="I844" s="45" t="s">
        <v>271</v>
      </c>
      <c r="J844" s="127" t="s">
        <v>1048</v>
      </c>
      <c r="K844" s="307">
        <v>46227.104884259257</v>
      </c>
      <c r="L844" s="307">
        <v>46227.104988425926</v>
      </c>
      <c r="M844" s="307">
        <v>46227.287534722222</v>
      </c>
      <c r="N844" s="307">
        <v>46232.451006944444</v>
      </c>
      <c r="Q844" s="202" t="s">
        <v>1211</v>
      </c>
      <c r="R844" s="45" t="s">
        <v>267</v>
      </c>
      <c r="S844" s="45" t="s">
        <v>193</v>
      </c>
      <c r="U844" s="58" t="s">
        <v>371</v>
      </c>
      <c r="Z844" s="169">
        <f t="shared" ca="1" si="141"/>
        <v>1.2426736111107557</v>
      </c>
      <c r="AA844" s="170">
        <f t="shared" ca="1" si="142"/>
        <v>3.3137962962953487</v>
      </c>
      <c r="AB844" s="169">
        <f t="shared" ca="1" si="143"/>
        <v>1.2426736111107557</v>
      </c>
      <c r="AC844" s="170">
        <f t="shared" ca="1" si="144"/>
        <v>3.3137962962953487</v>
      </c>
      <c r="AD844" s="169">
        <f t="shared" ca="1" si="145"/>
        <v>0</v>
      </c>
      <c r="AE844" s="169">
        <f t="shared" ca="1" si="148"/>
        <v>1.2426736111107557</v>
      </c>
      <c r="AF844" s="170">
        <f t="shared" ca="1" si="146"/>
        <v>3.3137962962953487</v>
      </c>
      <c r="AG844" s="170">
        <f t="shared" ca="1" si="147"/>
        <v>3.3137962962953487</v>
      </c>
      <c r="AH844" s="28" t="str" cm="1">
        <f t="array" aca="1" ref="AH844" ca="1">IF((AD844) &lt; (INDEX(ResponseSLA[#All],(MATCH((G844),ResponseSLA[Priority],0))+1,3)),"YES","No")</f>
        <v>YES</v>
      </c>
      <c r="AI844" s="28" t="str">
        <f ca="1">_xlfn.IFNA(IF(AE844 &lt; (INDEX(SLATable[Minimum SLA],MATCH(G844,SLATable[Priority],0))),"YES","NO"),"")</f>
        <v>NO</v>
      </c>
      <c r="AJ844" s="28" t="str">
        <f ca="1">_xlfn.IFNA(IF(AE844 &lt; (INDEX(SLATable[Maximum SLA],MATCH(G844,SLATable[Priority],0))),"YES","NO"),"")</f>
        <v>YES</v>
      </c>
    </row>
    <row r="845" spans="2:36" ht="15" customHeight="1">
      <c r="B845" s="58" t="s">
        <v>26</v>
      </c>
      <c r="C845" s="58" t="s">
        <v>35</v>
      </c>
      <c r="D845" s="45" t="s">
        <v>207</v>
      </c>
      <c r="E845" s="202" t="s">
        <v>2628</v>
      </c>
      <c r="F845" s="45" t="s">
        <v>295</v>
      </c>
      <c r="G845" s="58">
        <v>3</v>
      </c>
      <c r="H845" s="202" t="s">
        <v>693</v>
      </c>
      <c r="I845" s="45" t="s">
        <v>271</v>
      </c>
      <c r="J845" s="127" t="s">
        <v>1048</v>
      </c>
      <c r="K845" s="307">
        <v>46231.090740740743</v>
      </c>
      <c r="L845" s="307">
        <v>46232.427708333336</v>
      </c>
      <c r="M845" s="307">
        <v>46232.434224537035</v>
      </c>
      <c r="N845" s="307">
        <v>46232.447256944448</v>
      </c>
      <c r="Q845" s="202" t="s">
        <v>695</v>
      </c>
      <c r="R845" s="45" t="s">
        <v>267</v>
      </c>
      <c r="S845" s="45" t="s">
        <v>193</v>
      </c>
      <c r="U845" s="58" t="s">
        <v>371</v>
      </c>
      <c r="Z845" s="169">
        <f t="shared" ca="1" si="141"/>
        <v>0.48892361111453891</v>
      </c>
      <c r="AA845" s="170">
        <f t="shared" ca="1" si="142"/>
        <v>1.303796296305437</v>
      </c>
      <c r="AB845" s="169">
        <f t="shared" ca="1" si="143"/>
        <v>1.95486111115315E-2</v>
      </c>
      <c r="AC845" s="170">
        <f t="shared" ca="1" si="144"/>
        <v>5.2129629630750664E-2</v>
      </c>
      <c r="AD845" s="169">
        <f t="shared" ca="1" si="145"/>
        <v>6.5162036989931948E-3</v>
      </c>
      <c r="AE845" s="169">
        <f t="shared" ca="1" si="148"/>
        <v>1.95486111115315E-2</v>
      </c>
      <c r="AF845" s="170">
        <f t="shared" ca="1" si="146"/>
        <v>5.2129629630750664E-2</v>
      </c>
      <c r="AG845" s="170">
        <f t="shared" ca="1" si="147"/>
        <v>5.2129629630750664E-2</v>
      </c>
      <c r="AH845" s="28" t="str" cm="1">
        <f t="array" aca="1" ref="AH845" ca="1">IF((AD845) &lt; (INDEX(ResponseSLA[#All],(MATCH((G845),ResponseSLA[Priority],0))+1,3)),"YES","No")</f>
        <v>YES</v>
      </c>
      <c r="AI845" s="28" t="str">
        <f ca="1">_xlfn.IFNA(IF(AE845 &lt; (INDEX(SLATable[Minimum SLA],MATCH(G845,SLATable[Priority],0))),"YES","NO"),"")</f>
        <v>YES</v>
      </c>
      <c r="AJ845" s="28" t="str">
        <f ca="1">_xlfn.IFNA(IF(AE845 &lt; (INDEX(SLATable[Maximum SLA],MATCH(G845,SLATable[Priority],0))),"YES","NO"),"")</f>
        <v>YES</v>
      </c>
    </row>
    <row r="846" spans="2:36" ht="15" customHeight="1">
      <c r="B846" s="58" t="s">
        <v>26</v>
      </c>
      <c r="C846" s="58" t="s">
        <v>35</v>
      </c>
      <c r="D846" s="45" t="s">
        <v>207</v>
      </c>
      <c r="E846" s="202" t="s">
        <v>2629</v>
      </c>
      <c r="F846" s="45" t="s">
        <v>295</v>
      </c>
      <c r="G846" s="58">
        <v>3</v>
      </c>
      <c r="H846" s="202" t="s">
        <v>1777</v>
      </c>
      <c r="I846" s="45" t="s">
        <v>271</v>
      </c>
      <c r="J846" s="127" t="s">
        <v>1048</v>
      </c>
      <c r="K846" s="307">
        <v>46231.11855324074</v>
      </c>
      <c r="L846" s="307">
        <v>46232.433923611112</v>
      </c>
      <c r="M846" s="307">
        <v>46233.269050925926</v>
      </c>
      <c r="N846" s="307">
        <v>46233.502071759256</v>
      </c>
      <c r="Q846" s="202" t="s">
        <v>695</v>
      </c>
      <c r="R846" s="45" t="s">
        <v>267</v>
      </c>
      <c r="S846" s="45" t="s">
        <v>193</v>
      </c>
      <c r="U846" s="58" t="s">
        <v>371</v>
      </c>
      <c r="Z846" s="169">
        <f t="shared" ca="1" si="141"/>
        <v>0.91873842592273536</v>
      </c>
      <c r="AA846" s="170">
        <f t="shared" ca="1" si="142"/>
        <v>2.4499691357939608</v>
      </c>
      <c r="AB846" s="169">
        <f t="shared" ca="1" si="143"/>
        <v>0.44314814814424608</v>
      </c>
      <c r="AC846" s="170">
        <f t="shared" ca="1" si="144"/>
        <v>1.1817283950513229</v>
      </c>
      <c r="AD846" s="169">
        <f t="shared" ca="1" si="145"/>
        <v>0.27440972222151083</v>
      </c>
      <c r="AE846" s="169">
        <f t="shared" ca="1" si="148"/>
        <v>0.44314814814424608</v>
      </c>
      <c r="AF846" s="170">
        <f t="shared" ca="1" si="146"/>
        <v>1.1817283950513229</v>
      </c>
      <c r="AG846" s="170">
        <f t="shared" ca="1" si="147"/>
        <v>1.1817283950513229</v>
      </c>
      <c r="AH846" s="28" t="str" cm="1">
        <f t="array" aca="1" ref="AH846" ca="1">IF((AD846) &lt; (INDEX(ResponseSLA[#All],(MATCH((G846),ResponseSLA[Priority],0))+1,3)),"YES","No")</f>
        <v>No</v>
      </c>
      <c r="AI846" s="28" t="str">
        <f ca="1">_xlfn.IFNA(IF(AE846 &lt; (INDEX(SLATable[Minimum SLA],MATCH(G846,SLATable[Priority],0))),"YES","NO"),"")</f>
        <v>NO</v>
      </c>
      <c r="AJ846" s="28" t="str">
        <f ca="1">_xlfn.IFNA(IF(AE846 &lt; (INDEX(SLATable[Maximum SLA],MATCH(G846,SLATable[Priority],0))),"YES","NO"),"")</f>
        <v>YES</v>
      </c>
    </row>
    <row r="847" spans="2:36" ht="15" customHeight="1">
      <c r="B847" s="58" t="s">
        <v>26</v>
      </c>
      <c r="C847" s="58" t="s">
        <v>35</v>
      </c>
      <c r="D847" s="45" t="s">
        <v>207</v>
      </c>
      <c r="E847" s="202" t="s">
        <v>867</v>
      </c>
      <c r="F847" s="45" t="s">
        <v>295</v>
      </c>
      <c r="G847" s="58">
        <v>3</v>
      </c>
      <c r="H847" s="202" t="s">
        <v>822</v>
      </c>
      <c r="I847" s="45" t="s">
        <v>271</v>
      </c>
      <c r="J847" s="127" t="s">
        <v>1048</v>
      </c>
      <c r="K847" s="307">
        <v>46231.118587962963</v>
      </c>
      <c r="L847" s="307">
        <v>46231.118726851855</v>
      </c>
      <c r="M847" s="307">
        <v>46231.295046296298</v>
      </c>
      <c r="N847" s="307">
        <v>46232.421168981484</v>
      </c>
      <c r="Q847" s="202" t="s">
        <v>695</v>
      </c>
      <c r="R847" s="45" t="s">
        <v>267</v>
      </c>
      <c r="S847" s="45" t="s">
        <v>193</v>
      </c>
      <c r="U847" s="58" t="s">
        <v>371</v>
      </c>
      <c r="Z847" s="169">
        <f t="shared" ca="1" si="141"/>
        <v>0.46283564815045491</v>
      </c>
      <c r="AA847" s="170">
        <f t="shared" ca="1" si="142"/>
        <v>1.2342283950678796</v>
      </c>
      <c r="AB847" s="169">
        <f t="shared" ca="1" si="143"/>
        <v>0.46283564815045491</v>
      </c>
      <c r="AC847" s="170">
        <f t="shared" ca="1" si="144"/>
        <v>1.2342283950678796</v>
      </c>
      <c r="AD847" s="169">
        <f t="shared" ca="1" si="145"/>
        <v>0</v>
      </c>
      <c r="AE847" s="169">
        <f t="shared" ca="1" si="148"/>
        <v>0.46283564815045491</v>
      </c>
      <c r="AF847" s="170">
        <f t="shared" ca="1" si="146"/>
        <v>1.2342283950678796</v>
      </c>
      <c r="AG847" s="170">
        <f t="shared" ca="1" si="147"/>
        <v>1.2342283950678796</v>
      </c>
      <c r="AH847" s="28" t="str" cm="1">
        <f t="array" aca="1" ref="AH847" ca="1">IF((AD847) &lt; (INDEX(ResponseSLA[#All],(MATCH((G847),ResponseSLA[Priority],0))+1,3)),"YES","No")</f>
        <v>YES</v>
      </c>
      <c r="AI847" s="28" t="str">
        <f ca="1">_xlfn.IFNA(IF(AE847 &lt; (INDEX(SLATable[Minimum SLA],MATCH(G847,SLATable[Priority],0))),"YES","NO"),"")</f>
        <v>NO</v>
      </c>
      <c r="AJ847" s="28" t="str">
        <f ca="1">_xlfn.IFNA(IF(AE847 &lt; (INDEX(SLATable[Maximum SLA],MATCH(G847,SLATable[Priority],0))),"YES","NO"),"")</f>
        <v>YES</v>
      </c>
    </row>
    <row r="848" spans="2:36" s="200" customFormat="1" ht="15" customHeight="1">
      <c r="G848" s="238"/>
      <c r="H848" s="270"/>
      <c r="J848" s="271"/>
      <c r="K848" s="201"/>
      <c r="L848" s="201"/>
      <c r="M848" s="201"/>
      <c r="N848" s="201"/>
      <c r="O848" s="201"/>
      <c r="P848" s="201"/>
      <c r="Z848" s="243" t="e">
        <f t="shared" ca="1" si="141"/>
        <v>#N/A</v>
      </c>
      <c r="AA848" s="244" t="e">
        <f t="shared" ca="1" si="142"/>
        <v>#N/A</v>
      </c>
      <c r="AB848" s="243">
        <f t="shared" ca="1" si="143"/>
        <v>0</v>
      </c>
      <c r="AC848" s="244">
        <f t="shared" ca="1" si="144"/>
        <v>0</v>
      </c>
      <c r="AD848" s="243">
        <f t="shared" ca="1" si="145"/>
        <v>12388.42564085648</v>
      </c>
      <c r="AE848" s="243">
        <f t="shared" si="148"/>
        <v>0</v>
      </c>
      <c r="AF848" s="244">
        <f t="shared" si="146"/>
        <v>0</v>
      </c>
      <c r="AG848" s="244">
        <f t="shared" si="147"/>
        <v>0</v>
      </c>
      <c r="AH848" s="245" t="e" cm="1">
        <f t="array" aca="1" ref="AH848" ca="1">IF((AD848) &lt; (INDEX(ResponseSLA[#All],(MATCH((G848),ResponseSLA[Priority],0))+1,3)),"YES","No")</f>
        <v>#N/A</v>
      </c>
      <c r="AI848" s="245" t="str">
        <f>_xlfn.IFNA(IF(AE848 &lt; (INDEX(SLATable[Minimum SLA],MATCH(G848,SLATable[Priority],0))),"YES","NO"),"")</f>
        <v/>
      </c>
      <c r="AJ848" s="245" t="str">
        <f>_xlfn.IFNA(IF(AE848 &lt; (INDEX(SLATable[Maximum SLA],MATCH(G848,SLATable[Priority],0))),"YES","NO"),"")</f>
        <v/>
      </c>
    </row>
    <row r="849" spans="2:36" ht="15" customHeight="1">
      <c r="B849" s="45" t="s">
        <v>26</v>
      </c>
      <c r="C849" s="45" t="s">
        <v>35</v>
      </c>
      <c r="D849" s="45" t="s">
        <v>207</v>
      </c>
      <c r="E849" s="189" t="s">
        <v>2298</v>
      </c>
      <c r="F849" s="189" t="s">
        <v>295</v>
      </c>
      <c r="G849" s="58">
        <v>3</v>
      </c>
      <c r="H849" s="189" t="s">
        <v>2299</v>
      </c>
      <c r="I849" s="45" t="s">
        <v>271</v>
      </c>
      <c r="J849" s="189" t="s">
        <v>1365</v>
      </c>
      <c r="K849" s="335">
        <v>46232.792349537034</v>
      </c>
      <c r="L849" s="47">
        <v>46233.449826388889</v>
      </c>
      <c r="M849" s="47">
        <v>46233.449861111112</v>
      </c>
      <c r="N849" s="47">
        <v>46237.487372685187</v>
      </c>
      <c r="Q849" s="189" t="s">
        <v>1304</v>
      </c>
      <c r="R849" s="45" t="s">
        <v>267</v>
      </c>
      <c r="S849" s="45" t="s">
        <v>199</v>
      </c>
      <c r="U849" s="45" t="s">
        <v>371</v>
      </c>
      <c r="Z849" s="169">
        <f t="shared" ca="1" si="141"/>
        <v>0.90403935185410489</v>
      </c>
      <c r="AA849" s="170">
        <f t="shared" ca="1" si="142"/>
        <v>2.4107716049442796</v>
      </c>
      <c r="AB849" s="169">
        <f t="shared" ca="1" si="143"/>
        <v>0.78754629629838746</v>
      </c>
      <c r="AC849" s="170">
        <f t="shared" ca="1" si="144"/>
        <v>2.1001234567956999</v>
      </c>
      <c r="AD849" s="169">
        <f t="shared" ca="1" si="145"/>
        <v>3.4722223062999547E-5</v>
      </c>
      <c r="AE849" s="169">
        <f t="shared" ca="1" si="148"/>
        <v>1.9303240740773617</v>
      </c>
      <c r="AF849" s="170">
        <f t="shared" ca="1" si="146"/>
        <v>5.1475308642062982</v>
      </c>
      <c r="AG849" s="170">
        <f t="shared" ca="1" si="147"/>
        <v>5.1475308642062982</v>
      </c>
      <c r="AH849" s="28" t="str" cm="1">
        <f t="array" aca="1" ref="AH849" ca="1">IF((AD849) &lt; (INDEX(ResponseSLA[#All],(MATCH((G849),ResponseSLA[Priority],0))+1,3)),"YES","No")</f>
        <v>YES</v>
      </c>
      <c r="AI849" s="28" t="str">
        <f ca="1">_xlfn.IFNA(IF(AE849 &lt; (INDEX(SLATable[Minimum SLA],MATCH(G849,SLATable[Priority],0))),"YES","NO"),"")</f>
        <v>NO</v>
      </c>
      <c r="AJ849" s="28" t="str">
        <f ca="1">_xlfn.IFNA(IF(AE849 &lt; (INDEX(SLATable[Maximum SLA],MATCH(G849,SLATable[Priority],0))),"YES","NO"),"")</f>
        <v>NO</v>
      </c>
    </row>
    <row r="850" spans="2:36" ht="15" customHeight="1">
      <c r="B850" s="45" t="s">
        <v>26</v>
      </c>
      <c r="C850" s="45" t="s">
        <v>35</v>
      </c>
      <c r="D850" s="45" t="s">
        <v>207</v>
      </c>
      <c r="E850" s="189" t="s">
        <v>2300</v>
      </c>
      <c r="F850" s="189" t="s">
        <v>295</v>
      </c>
      <c r="G850" s="58">
        <v>3</v>
      </c>
      <c r="H850" s="189" t="s">
        <v>2301</v>
      </c>
      <c r="I850" s="45" t="s">
        <v>271</v>
      </c>
      <c r="J850" s="189" t="s">
        <v>1365</v>
      </c>
      <c r="K850" s="335">
        <v>46232.791203703702</v>
      </c>
      <c r="L850" s="47">
        <v>46232.792141203703</v>
      </c>
      <c r="M850" s="47">
        <v>46233.449189814812</v>
      </c>
      <c r="N850" s="47">
        <v>46237.488437499997</v>
      </c>
      <c r="Q850" s="189" t="s">
        <v>1304</v>
      </c>
      <c r="R850" s="45" t="s">
        <v>267</v>
      </c>
      <c r="S850" s="45" t="s">
        <v>199</v>
      </c>
      <c r="U850" s="45" t="s">
        <v>371</v>
      </c>
      <c r="Z850" s="169">
        <f t="shared" ca="1" si="141"/>
        <v>0.90510416666317439</v>
      </c>
      <c r="AA850" s="170">
        <f t="shared" ca="1" si="142"/>
        <v>2.4136111111017984</v>
      </c>
      <c r="AB850" s="169">
        <f t="shared" ca="1" si="143"/>
        <v>0.90510416666317439</v>
      </c>
      <c r="AC850" s="170">
        <f t="shared" ca="1" si="144"/>
        <v>2.4136111111017984</v>
      </c>
      <c r="AD850" s="169">
        <f t="shared" ca="1" si="145"/>
        <v>0.11585648147835548</v>
      </c>
      <c r="AE850" s="169">
        <f t="shared" ca="1" si="148"/>
        <v>2.0485763888815809</v>
      </c>
      <c r="AF850" s="170">
        <f t="shared" ca="1" si="146"/>
        <v>5.4628703703508821</v>
      </c>
      <c r="AG850" s="170">
        <f t="shared" ca="1" si="147"/>
        <v>5.4628703703508821</v>
      </c>
      <c r="AH850" s="28" t="str" cm="1">
        <f t="array" aca="1" ref="AH850" ca="1">IF((AD850) &lt; (INDEX(ResponseSLA[#All],(MATCH((G850),ResponseSLA[Priority],0))+1,3)),"YES","No")</f>
        <v>No</v>
      </c>
      <c r="AI850" s="28" t="str">
        <f ca="1">_xlfn.IFNA(IF(AE850 &lt; (INDEX(SLATable[Minimum SLA],MATCH(G850,SLATable[Priority],0))),"YES","NO"),"")</f>
        <v>NO</v>
      </c>
      <c r="AJ850" s="28" t="str">
        <f ca="1">_xlfn.IFNA(IF(AE850 &lt; (INDEX(SLATable[Maximum SLA],MATCH(G850,SLATable[Priority],0))),"YES","NO"),"")</f>
        <v>NO</v>
      </c>
    </row>
    <row r="851" spans="2:36" ht="15" customHeight="1">
      <c r="B851" s="45" t="s">
        <v>26</v>
      </c>
      <c r="C851" s="45" t="s">
        <v>35</v>
      </c>
      <c r="D851" s="45" t="s">
        <v>207</v>
      </c>
      <c r="E851" s="189" t="s">
        <v>2302</v>
      </c>
      <c r="F851" s="189" t="s">
        <v>289</v>
      </c>
      <c r="G851" s="58">
        <v>4</v>
      </c>
      <c r="H851" s="189" t="s">
        <v>2303</v>
      </c>
      <c r="I851" s="45" t="s">
        <v>271</v>
      </c>
      <c r="J851" s="189" t="s">
        <v>1365</v>
      </c>
      <c r="K851" s="335">
        <v>46229.548831018517</v>
      </c>
      <c r="L851" s="47">
        <v>46229.550254629627</v>
      </c>
      <c r="M851" s="47">
        <v>46230.541030092594</v>
      </c>
      <c r="N851" s="47">
        <v>46237.48238425926</v>
      </c>
      <c r="Q851" s="189" t="s">
        <v>1343</v>
      </c>
      <c r="R851" s="45" t="s">
        <v>267</v>
      </c>
      <c r="S851" s="45" t="s">
        <v>190</v>
      </c>
      <c r="U851" s="45" t="s">
        <v>371</v>
      </c>
      <c r="Z851" s="169">
        <f t="shared" ca="1" si="141"/>
        <v>2.0240509259262276</v>
      </c>
      <c r="AA851" s="170">
        <f t="shared" ca="1" si="142"/>
        <v>5.3974691358032736</v>
      </c>
      <c r="AB851" s="169">
        <f t="shared" ca="1" si="143"/>
        <v>2.0240509259262276</v>
      </c>
      <c r="AC851" s="170">
        <f t="shared" ca="1" si="144"/>
        <v>5.3974691358032736</v>
      </c>
      <c r="AD851" s="169">
        <f t="shared" ca="1" si="145"/>
        <v>0</v>
      </c>
      <c r="AE851" s="169">
        <f t="shared" ca="1" si="148"/>
        <v>3.4673842592601432</v>
      </c>
      <c r="AF851" s="170">
        <f t="shared" ca="1" si="146"/>
        <v>9.2463580246937145</v>
      </c>
      <c r="AG851" s="170">
        <f t="shared" ca="1" si="147"/>
        <v>9.2463580246937145</v>
      </c>
      <c r="AH851" s="28" t="str" cm="1">
        <f t="array" aca="1" ref="AH851" ca="1">IF((AD851) &lt; (INDEX(ResponseSLA[#All],(MATCH((G851),ResponseSLA[Priority],0))+1,3)),"YES","No")</f>
        <v>YES</v>
      </c>
      <c r="AI851" s="28" t="str">
        <f ca="1">_xlfn.IFNA(IF(AE851 &lt; (INDEX(SLATable[Minimum SLA],MATCH(G851,SLATable[Priority],0))),"YES","NO"),"")</f>
        <v>YES</v>
      </c>
      <c r="AJ851" s="28" t="str">
        <f ca="1">_xlfn.IFNA(IF(AE851 &lt; (INDEX(SLATable[Maximum SLA],MATCH(G851,SLATable[Priority],0))),"YES","NO"),"")</f>
        <v>YES</v>
      </c>
    </row>
    <row r="852" spans="2:36" ht="15" customHeight="1">
      <c r="B852" s="45" t="s">
        <v>26</v>
      </c>
      <c r="C852" s="45" t="s">
        <v>35</v>
      </c>
      <c r="D852" s="45" t="s">
        <v>207</v>
      </c>
      <c r="E852" s="189" t="s">
        <v>2304</v>
      </c>
      <c r="F852" s="189" t="s">
        <v>296</v>
      </c>
      <c r="G852" s="58">
        <v>3</v>
      </c>
      <c r="H852" s="189" t="s">
        <v>2305</v>
      </c>
      <c r="I852" s="45" t="s">
        <v>271</v>
      </c>
      <c r="J852" s="189" t="s">
        <v>1365</v>
      </c>
      <c r="K852" s="335">
        <v>46224.43037037037</v>
      </c>
      <c r="L852" s="47">
        <v>46224.701168981483</v>
      </c>
      <c r="M852" s="47">
        <v>46224.818993055553</v>
      </c>
      <c r="N852" s="47">
        <v>46233.626030092593</v>
      </c>
      <c r="Q852" s="189" t="s">
        <v>1049</v>
      </c>
      <c r="R852" s="45" t="s">
        <v>267</v>
      </c>
      <c r="S852" s="45" t="s">
        <v>199</v>
      </c>
      <c r="U852" s="45" t="s">
        <v>371</v>
      </c>
      <c r="Z852" s="169">
        <f t="shared" ca="1" si="141"/>
        <v>2.8206597222233545</v>
      </c>
      <c r="AA852" s="170">
        <f t="shared" ca="1" si="142"/>
        <v>7.5217592592622786</v>
      </c>
      <c r="AB852" s="169">
        <f t="shared" ca="1" si="143"/>
        <v>2.5498611111106588</v>
      </c>
      <c r="AC852" s="170">
        <f t="shared" ca="1" si="144"/>
        <v>6.7996296296284235</v>
      </c>
      <c r="AD852" s="169">
        <f t="shared" ca="1" si="145"/>
        <v>7.164351850709294E-3</v>
      </c>
      <c r="AE852" s="169">
        <f t="shared" ca="1" si="148"/>
        <v>5.370254629626289</v>
      </c>
      <c r="AF852" s="170">
        <f t="shared" ca="1" si="146"/>
        <v>14.320679012336772</v>
      </c>
      <c r="AG852" s="170">
        <f t="shared" ca="1" si="147"/>
        <v>14.320679012336772</v>
      </c>
      <c r="AH852" s="28" t="str" cm="1">
        <f t="array" aca="1" ref="AH852" ca="1">IF((AD852) &lt; (INDEX(ResponseSLA[#All],(MATCH((G852),ResponseSLA[Priority],0))+1,3)),"YES","No")</f>
        <v>YES</v>
      </c>
      <c r="AI852" s="28" t="str">
        <f ca="1">_xlfn.IFNA(IF(AE852 &lt; (INDEX(SLATable[Minimum SLA],MATCH(G852,SLATable[Priority],0))),"YES","NO"),"")</f>
        <v>NO</v>
      </c>
      <c r="AJ852" s="28" t="str">
        <f ca="1">_xlfn.IFNA(IF(AE852 &lt; (INDEX(SLATable[Maximum SLA],MATCH(G852,SLATable[Priority],0))),"YES","NO"),"")</f>
        <v>NO</v>
      </c>
    </row>
    <row r="853" spans="2:36" ht="15" customHeight="1">
      <c r="B853" s="45" t="s">
        <v>26</v>
      </c>
      <c r="C853" s="45" t="s">
        <v>35</v>
      </c>
      <c r="D853" s="45" t="s">
        <v>207</v>
      </c>
      <c r="E853" s="189" t="s">
        <v>2308</v>
      </c>
      <c r="F853" s="189" t="s">
        <v>296</v>
      </c>
      <c r="G853" s="58">
        <v>4</v>
      </c>
      <c r="H853" s="189" t="s">
        <v>2309</v>
      </c>
      <c r="I853" s="45" t="s">
        <v>271</v>
      </c>
      <c r="J853" s="189" t="s">
        <v>1365</v>
      </c>
      <c r="K853" s="335">
        <v>46216.716354166667</v>
      </c>
      <c r="L853" s="47">
        <v>46217.650011574071</v>
      </c>
      <c r="M853" s="47">
        <v>46217.741249999999</v>
      </c>
      <c r="N853" s="47">
        <v>46237.48</v>
      </c>
      <c r="Q853" s="189" t="s">
        <v>1049</v>
      </c>
      <c r="R853" s="45" t="s">
        <v>267</v>
      </c>
      <c r="S853" s="45" t="s">
        <v>199</v>
      </c>
      <c r="U853" s="45" t="s">
        <v>371</v>
      </c>
      <c r="Z853" s="169">
        <f t="shared" ca="1" si="141"/>
        <v>5.3966666666698693</v>
      </c>
      <c r="AA853" s="170">
        <f t="shared" ca="1" si="142"/>
        <v>14.391111111119651</v>
      </c>
      <c r="AB853" s="169">
        <f t="shared" ca="1" si="143"/>
        <v>5.0799884259322434</v>
      </c>
      <c r="AC853" s="170">
        <f t="shared" ca="1" si="144"/>
        <v>13.546635802485984</v>
      </c>
      <c r="AD853" s="169">
        <f t="shared" ca="1" si="145"/>
        <v>5.8321759262374484E-2</v>
      </c>
      <c r="AE853" s="169">
        <f t="shared" ca="1" si="148"/>
        <v>15.296689814822459</v>
      </c>
      <c r="AF853" s="170">
        <f t="shared" ca="1" si="146"/>
        <v>40.79117283952656</v>
      </c>
      <c r="AG853" s="170">
        <f t="shared" ca="1" si="147"/>
        <v>40.79117283952656</v>
      </c>
      <c r="AH853" s="28" t="str" cm="1">
        <f t="array" aca="1" ref="AH853" ca="1">IF((AD853) &lt; (INDEX(ResponseSLA[#All],(MATCH((G853),ResponseSLA[Priority],0))+1,3)),"YES","No")</f>
        <v>YES</v>
      </c>
      <c r="AI853" s="28" t="str">
        <f ca="1">_xlfn.IFNA(IF(AE853 &lt; (INDEX(SLATable[Minimum SLA],MATCH(G853,SLATable[Priority],0))),"YES","NO"),"")</f>
        <v>NO</v>
      </c>
      <c r="AJ853" s="28" t="str">
        <f ca="1">_xlfn.IFNA(IF(AE853 &lt; (INDEX(SLATable[Maximum SLA],MATCH(G853,SLATable[Priority],0))),"YES","NO"),"")</f>
        <v>NO</v>
      </c>
    </row>
    <row r="854" spans="2:36" ht="15" customHeight="1">
      <c r="B854" s="45" t="s">
        <v>26</v>
      </c>
      <c r="C854" s="45" t="s">
        <v>35</v>
      </c>
      <c r="D854" s="45" t="s">
        <v>207</v>
      </c>
      <c r="E854" s="45" t="s">
        <v>2630</v>
      </c>
      <c r="F854" s="45" t="s">
        <v>292</v>
      </c>
      <c r="G854" s="58">
        <v>4</v>
      </c>
      <c r="H854" s="241" t="s">
        <v>2631</v>
      </c>
      <c r="I854" s="45" t="s">
        <v>266</v>
      </c>
      <c r="J854" s="127" t="s">
        <v>1033</v>
      </c>
      <c r="K854" s="47">
        <v>46235.959340277775</v>
      </c>
      <c r="L854" s="47">
        <v>46240.582060185188</v>
      </c>
      <c r="M854" s="47">
        <v>46240.582060185188</v>
      </c>
      <c r="O854" s="47">
        <v>46254.639502314814</v>
      </c>
      <c r="Q854" s="45" t="s">
        <v>1073</v>
      </c>
      <c r="U854" s="45" t="s">
        <v>371</v>
      </c>
      <c r="Z854" s="169">
        <f t="shared" ca="1" si="141"/>
        <v>6.3006410879631112</v>
      </c>
      <c r="AA854" s="170">
        <f t="shared" ca="1" si="142"/>
        <v>16.801709567901629</v>
      </c>
      <c r="AB854" s="169">
        <f t="shared" ca="1" si="143"/>
        <v>3.807442129625997</v>
      </c>
      <c r="AC854" s="170">
        <f t="shared" ca="1" si="144"/>
        <v>10.153179012335992</v>
      </c>
      <c r="AD854" s="169">
        <f t="shared" ca="1" si="145"/>
        <v>0</v>
      </c>
      <c r="AE854" s="169">
        <f t="shared" ca="1" si="148"/>
        <v>3.807442129625997</v>
      </c>
      <c r="AF854" s="170">
        <f t="shared" ca="1" si="146"/>
        <v>10.153179012335992</v>
      </c>
      <c r="AG854" s="170">
        <f t="shared" ca="1" si="147"/>
        <v>10.153179012335992</v>
      </c>
      <c r="AH854" s="28" t="str" cm="1">
        <f t="array" aca="1" ref="AH854" ca="1">IF((AD854) &lt; (INDEX(ResponseSLA[#All],(MATCH((G854),ResponseSLA[Priority],0))+1,3)),"YES","No")</f>
        <v>YES</v>
      </c>
      <c r="AI854" s="28" t="str">
        <f ca="1">_xlfn.IFNA(IF(AE854 &lt; (INDEX(SLATable[Minimum SLA],MATCH(G854,SLATable[Priority],0))),"YES","NO"),"")</f>
        <v>NO</v>
      </c>
      <c r="AJ854" s="28" t="str">
        <f ca="1">_xlfn.IFNA(IF(AE854 &lt; (INDEX(SLATable[Maximum SLA],MATCH(G854,SLATable[Priority],0))),"YES","NO"),"")</f>
        <v>YES</v>
      </c>
    </row>
    <row r="855" spans="2:36" ht="15" customHeight="1">
      <c r="B855" s="45" t="s">
        <v>26</v>
      </c>
      <c r="C855" s="45" t="s">
        <v>35</v>
      </c>
      <c r="D855" s="45" t="s">
        <v>208</v>
      </c>
      <c r="E855" s="45" t="s">
        <v>2632</v>
      </c>
      <c r="F855" s="45" t="s">
        <v>303</v>
      </c>
      <c r="G855" s="58" t="s">
        <v>208</v>
      </c>
      <c r="H855" s="241" t="s">
        <v>2633</v>
      </c>
      <c r="I855" s="45" t="s">
        <v>271</v>
      </c>
      <c r="J855" s="127" t="s">
        <v>1033</v>
      </c>
      <c r="K855" s="47">
        <v>46237.527511574073</v>
      </c>
      <c r="L855" s="47">
        <v>46239.666041666664</v>
      </c>
      <c r="M855" s="47">
        <v>46241.361516203702</v>
      </c>
      <c r="N855" s="47">
        <v>46253.437708333331</v>
      </c>
      <c r="Q855" s="45" t="s">
        <v>1247</v>
      </c>
      <c r="R855" s="45" t="s">
        <v>267</v>
      </c>
      <c r="S855" s="45" t="s">
        <v>179</v>
      </c>
      <c r="Z855" s="169">
        <f t="shared" ca="1" si="141"/>
        <v>4.4101967592578157</v>
      </c>
      <c r="AA855" s="170">
        <f t="shared" ca="1" si="142"/>
        <v>11.760524691354176</v>
      </c>
      <c r="AB855" s="169">
        <f t="shared" ca="1" si="143"/>
        <v>3.5216666666674428</v>
      </c>
      <c r="AC855" s="170">
        <f t="shared" ca="1" si="144"/>
        <v>9.3911111111131813</v>
      </c>
      <c r="AD855" s="169">
        <f t="shared" ca="1" si="145"/>
        <v>0.44547453703853535</v>
      </c>
      <c r="AE855" s="169">
        <f t="shared" ca="1" si="148"/>
        <v>3.5216666666674428</v>
      </c>
      <c r="AF855" s="170">
        <f t="shared" ca="1" si="146"/>
        <v>9.3911111111131813</v>
      </c>
      <c r="AG855" s="170">
        <f t="shared" ca="1" si="147"/>
        <v>9.3911111111131813</v>
      </c>
      <c r="AH855" s="28" t="str" cm="1">
        <f t="array" aca="1" ref="AH855" ca="1">IF((AD855) &lt; (INDEX(ResponseSLA[#All],(MATCH((G855),ResponseSLA[Priority],0))+1,3)),"YES","No")</f>
        <v>No</v>
      </c>
      <c r="AI855" s="28" t="str">
        <f ca="1">_xlfn.IFNA(IF(AE855 &lt; (INDEX(SLATable[Minimum SLA],MATCH(G855,SLATable[Priority],0))),"YES","NO"),"")</f>
        <v>NO</v>
      </c>
      <c r="AJ855" s="28" t="str">
        <f ca="1">_xlfn.IFNA(IF(AE855 &lt; (INDEX(SLATable[Maximum SLA],MATCH(G855,SLATable[Priority],0))),"YES","NO"),"")</f>
        <v>NO</v>
      </c>
    </row>
    <row r="856" spans="2:36" ht="15" customHeight="1">
      <c r="B856" s="45" t="s">
        <v>26</v>
      </c>
      <c r="C856" s="45" t="s">
        <v>35</v>
      </c>
      <c r="D856" s="45" t="s">
        <v>208</v>
      </c>
      <c r="E856" s="45" t="s">
        <v>2634</v>
      </c>
      <c r="F856" s="45" t="s">
        <v>303</v>
      </c>
      <c r="G856" s="58" t="s">
        <v>208</v>
      </c>
      <c r="H856" s="241" t="s">
        <v>2635</v>
      </c>
      <c r="I856" s="45" t="s">
        <v>271</v>
      </c>
      <c r="J856" s="127" t="s">
        <v>1033</v>
      </c>
      <c r="K856" s="47">
        <v>46237.51835648148</v>
      </c>
      <c r="L856" s="47">
        <v>46239.666481481479</v>
      </c>
      <c r="M856" s="47">
        <v>46241.361180555556</v>
      </c>
      <c r="N856" s="47">
        <v>46253.438333333332</v>
      </c>
      <c r="Q856" s="45" t="s">
        <v>1247</v>
      </c>
      <c r="R856" s="45" t="s">
        <v>267</v>
      </c>
      <c r="S856" s="45" t="s">
        <v>179</v>
      </c>
      <c r="Z856" s="169">
        <f t="shared" ca="1" si="141"/>
        <v>4.4199768518519713</v>
      </c>
      <c r="AA856" s="170">
        <f t="shared" ca="1" si="142"/>
        <v>11.786604938271925</v>
      </c>
      <c r="AB856" s="169">
        <f t="shared" ca="1" si="143"/>
        <v>3.5218518518522615</v>
      </c>
      <c r="AC856" s="170">
        <f t="shared" ca="1" si="144"/>
        <v>9.3916049382726978</v>
      </c>
      <c r="AD856" s="169">
        <f t="shared" ca="1" si="145"/>
        <v>0.44469907407619758</v>
      </c>
      <c r="AE856" s="169">
        <f t="shared" ca="1" si="148"/>
        <v>3.5218518518522615</v>
      </c>
      <c r="AF856" s="170">
        <f t="shared" ca="1" si="146"/>
        <v>9.3916049382726978</v>
      </c>
      <c r="AG856" s="170">
        <f t="shared" ca="1" si="147"/>
        <v>9.3916049382726978</v>
      </c>
      <c r="AH856" s="28" t="str" cm="1">
        <f t="array" aca="1" ref="AH856" ca="1">IF((AD856) &lt; (INDEX(ResponseSLA[#All],(MATCH((G856),ResponseSLA[Priority],0))+1,3)),"YES","No")</f>
        <v>No</v>
      </c>
      <c r="AI856" s="28" t="str">
        <f ca="1">_xlfn.IFNA(IF(AE856 &lt; (INDEX(SLATable[Minimum SLA],MATCH(G856,SLATable[Priority],0))),"YES","NO"),"")</f>
        <v>NO</v>
      </c>
      <c r="AJ856" s="28" t="str">
        <f ca="1">_xlfn.IFNA(IF(AE856 &lt; (INDEX(SLATable[Maximum SLA],MATCH(G856,SLATable[Priority],0))),"YES","NO"),"")</f>
        <v>NO</v>
      </c>
    </row>
    <row r="857" spans="2:36" ht="15" customHeight="1">
      <c r="B857" s="45" t="s">
        <v>26</v>
      </c>
      <c r="C857" s="45" t="s">
        <v>35</v>
      </c>
      <c r="D857" s="45" t="s">
        <v>231</v>
      </c>
      <c r="E857" s="45" t="s">
        <v>2636</v>
      </c>
      <c r="F857" s="45" t="s">
        <v>289</v>
      </c>
      <c r="G857" s="58" t="s">
        <v>265</v>
      </c>
      <c r="H857" s="241" t="s">
        <v>2637</v>
      </c>
      <c r="I857" s="45" t="s">
        <v>260</v>
      </c>
      <c r="J857" s="127" t="s">
        <v>1033</v>
      </c>
      <c r="K857" s="47">
        <v>46073.375150462962</v>
      </c>
      <c r="L857" s="47">
        <v>46073.375879629632</v>
      </c>
      <c r="M857" s="47">
        <v>46073.375879629632</v>
      </c>
      <c r="Q857" s="45" t="s">
        <v>1343</v>
      </c>
      <c r="Z857" s="169">
        <f t="shared" ca="1" si="141"/>
        <v>47.883823958334695</v>
      </c>
      <c r="AA857" s="170">
        <f t="shared" ca="1" si="142"/>
        <v>127.69019722222586</v>
      </c>
      <c r="AB857" s="169">
        <f t="shared" ca="1" si="143"/>
        <v>47.883094560180332</v>
      </c>
      <c r="AC857" s="170">
        <f t="shared" ca="1" si="144"/>
        <v>127.68825216048089</v>
      </c>
      <c r="AD857" s="169">
        <f t="shared" ca="1" si="145"/>
        <v>0</v>
      </c>
      <c r="AE857" s="169">
        <f t="shared" ca="1" si="148"/>
        <v>47.883094560180332</v>
      </c>
      <c r="AF857" s="170">
        <f t="shared" ca="1" si="146"/>
        <v>127.68825216048089</v>
      </c>
      <c r="AG857" s="170">
        <f t="shared" ca="1" si="147"/>
        <v>127.68825216048089</v>
      </c>
      <c r="AH857" s="28" t="str" cm="1">
        <f t="array" aca="1" ref="AH857" ca="1">IF((AD857) &lt; (INDEX(ResponseSLA[#All],(MATCH((G857),ResponseSLA[Priority],0))+1,3)),"YES","No")</f>
        <v>YES</v>
      </c>
      <c r="AI857" s="28" t="str">
        <f ca="1">_xlfn.IFNA(IF(AE857 &lt; (INDEX(SLATable[Minimum SLA],MATCH(G857,SLATable[Priority],0))),"YES","NO"),"")</f>
        <v>NO</v>
      </c>
      <c r="AJ857" s="28" t="str">
        <f ca="1">_xlfn.IFNA(IF(AE857 &lt; (INDEX(SLATable[Maximum SLA],MATCH(G857,SLATable[Priority],0))),"YES","NO"),"")</f>
        <v>NO</v>
      </c>
    </row>
    <row r="858" spans="2:36" ht="15" customHeight="1">
      <c r="B858" s="45" t="s">
        <v>26</v>
      </c>
      <c r="C858" s="45" t="s">
        <v>35</v>
      </c>
      <c r="D858" s="45" t="s">
        <v>231</v>
      </c>
      <c r="E858" s="45" t="s">
        <v>2638</v>
      </c>
      <c r="F858" s="45" t="s">
        <v>292</v>
      </c>
      <c r="G858" s="58" t="s">
        <v>265</v>
      </c>
      <c r="H858" s="241" t="s">
        <v>2639</v>
      </c>
      <c r="I858" s="45" t="s">
        <v>260</v>
      </c>
      <c r="J858" s="127" t="s">
        <v>1033</v>
      </c>
      <c r="K858" s="47">
        <v>46072.402627314812</v>
      </c>
      <c r="L858" s="47">
        <v>46072.402627314812</v>
      </c>
      <c r="M858" s="47">
        <v>46072.402627314812</v>
      </c>
      <c r="Q858" s="45" t="s">
        <v>1073</v>
      </c>
      <c r="Z858" s="169">
        <f t="shared" ca="1" si="141"/>
        <v>48.231347106484471</v>
      </c>
      <c r="AA858" s="170">
        <f t="shared" ca="1" si="142"/>
        <v>128.61692561729194</v>
      </c>
      <c r="AB858" s="169">
        <f t="shared" ca="1" si="143"/>
        <v>48.231346874999879</v>
      </c>
      <c r="AC858" s="170">
        <f t="shared" ca="1" si="144"/>
        <v>128.6169249999997</v>
      </c>
      <c r="AD858" s="169">
        <f t="shared" ca="1" si="145"/>
        <v>0</v>
      </c>
      <c r="AE858" s="169">
        <f t="shared" ca="1" si="148"/>
        <v>48.231346874999879</v>
      </c>
      <c r="AF858" s="170">
        <f t="shared" ca="1" si="146"/>
        <v>128.6169249999997</v>
      </c>
      <c r="AG858" s="170">
        <f t="shared" ca="1" si="147"/>
        <v>128.6169249999997</v>
      </c>
      <c r="AH858" s="28" t="str" cm="1">
        <f t="array" aca="1" ref="AH858" ca="1">IF((AD858) &lt; (INDEX(ResponseSLA[#All],(MATCH((G858),ResponseSLA[Priority],0))+1,3)),"YES","No")</f>
        <v>YES</v>
      </c>
      <c r="AI858" s="28" t="str">
        <f ca="1">_xlfn.IFNA(IF(AE858 &lt; (INDEX(SLATable[Minimum SLA],MATCH(G858,SLATable[Priority],0))),"YES","NO"),"")</f>
        <v>NO</v>
      </c>
      <c r="AJ858" s="28" t="str">
        <f ca="1">_xlfn.IFNA(IF(AE858 &lt; (INDEX(SLATable[Maximum SLA],MATCH(G858,SLATable[Priority],0))),"YES","NO"),"")</f>
        <v>NO</v>
      </c>
    </row>
    <row r="859" spans="2:36" ht="15" customHeight="1">
      <c r="B859" s="45" t="s">
        <v>26</v>
      </c>
      <c r="C859" s="45" t="s">
        <v>35</v>
      </c>
      <c r="D859" s="45" t="s">
        <v>231</v>
      </c>
      <c r="E859" s="45" t="s">
        <v>2640</v>
      </c>
      <c r="F859" s="45" t="s">
        <v>292</v>
      </c>
      <c r="G859" s="58" t="s">
        <v>259</v>
      </c>
      <c r="H859" s="241" t="s">
        <v>2641</v>
      </c>
      <c r="I859" s="45" t="s">
        <v>260</v>
      </c>
      <c r="J859" s="127" t="s">
        <v>1033</v>
      </c>
      <c r="K859" s="47">
        <v>46248.558634259258</v>
      </c>
      <c r="L859" s="47">
        <v>46248.558634259258</v>
      </c>
      <c r="M859" s="47">
        <v>46248.558634259258</v>
      </c>
      <c r="Q859" s="45" t="s">
        <v>1073</v>
      </c>
      <c r="Z859" s="169">
        <f t="shared" ca="1" si="141"/>
        <v>2.7003401620386289</v>
      </c>
      <c r="AA859" s="170">
        <f t="shared" ca="1" si="142"/>
        <v>7.2009070987696777</v>
      </c>
      <c r="AB859" s="169">
        <f t="shared" ca="1" si="143"/>
        <v>2.7003399305540374</v>
      </c>
      <c r="AC859" s="170">
        <f t="shared" ca="1" si="144"/>
        <v>7.2009064814774337</v>
      </c>
      <c r="AD859" s="169">
        <f t="shared" ca="1" si="145"/>
        <v>0</v>
      </c>
      <c r="AE859" s="169">
        <f t="shared" ca="1" si="148"/>
        <v>2.7003399305540374</v>
      </c>
      <c r="AF859" s="170">
        <f t="shared" ca="1" si="146"/>
        <v>7.2009064814774337</v>
      </c>
      <c r="AG859" s="170">
        <f t="shared" ca="1" si="147"/>
        <v>7.2009064814774337</v>
      </c>
      <c r="AH859" s="28" t="str" cm="1">
        <f t="array" aca="1" ref="AH859" ca="1">IF((AD859) &lt; (INDEX(ResponseSLA[#All],(MATCH((G859),ResponseSLA[Priority],0))+1,3)),"YES","No")</f>
        <v>YES</v>
      </c>
      <c r="AI859" s="28" t="str">
        <f ca="1">_xlfn.IFNA(IF(AE859 &lt; (INDEX(SLATable[Minimum SLA],MATCH(G859,SLATable[Priority],0))),"YES","NO"),"")</f>
        <v>YES</v>
      </c>
      <c r="AJ859" s="28" t="str">
        <f ca="1">_xlfn.IFNA(IF(AE859 &lt; (INDEX(SLATable[Maximum SLA],MATCH(G859,SLATable[Priority],0))),"YES","NO"),"")</f>
        <v>NO</v>
      </c>
    </row>
    <row r="860" spans="2:36" ht="15" customHeight="1">
      <c r="B860" s="45" t="s">
        <v>26</v>
      </c>
      <c r="C860" s="45" t="s">
        <v>35</v>
      </c>
      <c r="D860" s="45" t="s">
        <v>207</v>
      </c>
      <c r="E860" s="45" t="s">
        <v>2642</v>
      </c>
      <c r="F860" s="45" t="s">
        <v>292</v>
      </c>
      <c r="G860" s="58">
        <v>4</v>
      </c>
      <c r="H860" s="241" t="s">
        <v>2643</v>
      </c>
      <c r="I860" s="45" t="s">
        <v>271</v>
      </c>
      <c r="J860" s="127" t="s">
        <v>1033</v>
      </c>
      <c r="K860" s="47">
        <v>46253.621828703705</v>
      </c>
      <c r="L860" s="47">
        <v>46253.621828703705</v>
      </c>
      <c r="M860" s="47">
        <v>46254.308344907404</v>
      </c>
      <c r="N860" s="47">
        <v>46254.643784722219</v>
      </c>
      <c r="Q860" s="45" t="s">
        <v>1073</v>
      </c>
      <c r="R860" s="45" t="s">
        <v>267</v>
      </c>
      <c r="S860" s="45" t="s">
        <v>199</v>
      </c>
      <c r="U860" s="45" t="s">
        <v>371</v>
      </c>
      <c r="Z860" s="169">
        <f t="shared" ca="1" si="141"/>
        <v>0.3969560185141745</v>
      </c>
      <c r="AA860" s="170">
        <f t="shared" ca="1" si="142"/>
        <v>1.0585493827044654</v>
      </c>
      <c r="AB860" s="169">
        <f t="shared" ca="1" si="143"/>
        <v>0.3969560185141745</v>
      </c>
      <c r="AC860" s="170">
        <f t="shared" ca="1" si="144"/>
        <v>1.0585493827044654</v>
      </c>
      <c r="AD860" s="169">
        <f t="shared" ca="1" si="145"/>
        <v>8.6504629628810448E-2</v>
      </c>
      <c r="AE860" s="169">
        <f t="shared" ca="1" si="148"/>
        <v>0.3969560185141745</v>
      </c>
      <c r="AF860" s="170">
        <f t="shared" ca="1" si="146"/>
        <v>1.0585493827044654</v>
      </c>
      <c r="AG860" s="170">
        <f t="shared" ca="1" si="147"/>
        <v>1.0585493827044654</v>
      </c>
      <c r="AH860" s="28" t="str" cm="1">
        <f t="array" aca="1" ref="AH860" ca="1">IF((AD860) &lt; (INDEX(ResponseSLA[#All],(MATCH((G860),ResponseSLA[Priority],0))+1,3)),"YES","No")</f>
        <v>YES</v>
      </c>
      <c r="AI860" s="28" t="str">
        <f ca="1">_xlfn.IFNA(IF(AE860 &lt; (INDEX(SLATable[Minimum SLA],MATCH(G860,SLATable[Priority],0))),"YES","NO"),"")</f>
        <v>YES</v>
      </c>
      <c r="AJ860" s="28" t="str">
        <f ca="1">_xlfn.IFNA(IF(AE860 &lt; (INDEX(SLATable[Maximum SLA],MATCH(G860,SLATable[Priority],0))),"YES","NO"),"")</f>
        <v>YES</v>
      </c>
    </row>
    <row r="861" spans="2:36" ht="15" customHeight="1">
      <c r="B861" s="45" t="s">
        <v>26</v>
      </c>
      <c r="C861" s="45" t="s">
        <v>35</v>
      </c>
      <c r="D861" s="45" t="s">
        <v>207</v>
      </c>
      <c r="E861" s="45" t="s">
        <v>2644</v>
      </c>
      <c r="F861" s="45" t="s">
        <v>292</v>
      </c>
      <c r="G861" s="58">
        <v>3</v>
      </c>
      <c r="H861" s="241" t="s">
        <v>1312</v>
      </c>
      <c r="I861" s="45" t="s">
        <v>260</v>
      </c>
      <c r="J861" s="127" t="s">
        <v>1033</v>
      </c>
      <c r="K861" s="47">
        <v>46253.805833333332</v>
      </c>
      <c r="L861" s="47">
        <v>46253.805833333332</v>
      </c>
      <c r="M861" s="47">
        <v>46254.30978009259</v>
      </c>
      <c r="Q861" s="45" t="s">
        <v>1073</v>
      </c>
      <c r="Z861" s="169">
        <f t="shared" ca="1" si="141"/>
        <v>1.4256410879631098</v>
      </c>
      <c r="AA861" s="170">
        <f t="shared" ca="1" si="142"/>
        <v>3.8017095679016268</v>
      </c>
      <c r="AB861" s="169">
        <f t="shared" ca="1" si="143"/>
        <v>1.4256408564785183</v>
      </c>
      <c r="AC861" s="170">
        <f t="shared" ca="1" si="144"/>
        <v>3.8017089506093829</v>
      </c>
      <c r="AD861" s="169">
        <f t="shared" ca="1" si="145"/>
        <v>0</v>
      </c>
      <c r="AE861" s="169">
        <f t="shared" ca="1" si="148"/>
        <v>1.4256408564785183</v>
      </c>
      <c r="AF861" s="170">
        <f t="shared" ca="1" si="146"/>
        <v>3.8017089506093829</v>
      </c>
      <c r="AG861" s="170">
        <f t="shared" ca="1" si="147"/>
        <v>3.8017089506093829</v>
      </c>
      <c r="AH861" s="28" t="str" cm="1">
        <f t="array" aca="1" ref="AH861" ca="1">IF((AD861) &lt; (INDEX(ResponseSLA[#All],(MATCH((G861),ResponseSLA[Priority],0))+1,3)),"YES","No")</f>
        <v>YES</v>
      </c>
      <c r="AI861" s="28" t="str">
        <f ca="1">_xlfn.IFNA(IF(AE861 &lt; (INDEX(SLATable[Minimum SLA],MATCH(G861,SLATable[Priority],0))),"YES","NO"),"")</f>
        <v>NO</v>
      </c>
      <c r="AJ861" s="28" t="str">
        <f ca="1">_xlfn.IFNA(IF(AE861 &lt; (INDEX(SLATable[Maximum SLA],MATCH(G861,SLATable[Priority],0))),"YES","NO"),"")</f>
        <v>YES</v>
      </c>
    </row>
    <row r="862" spans="2:36" ht="15" customHeight="1">
      <c r="Z862" s="169" t="e">
        <f t="shared" ca="1" si="141"/>
        <v>#N/A</v>
      </c>
      <c r="AA862" s="170" t="e">
        <f t="shared" ca="1" si="142"/>
        <v>#N/A</v>
      </c>
      <c r="AB862" s="169">
        <f t="shared" ca="1" si="143"/>
        <v>0</v>
      </c>
      <c r="AC862" s="170">
        <f t="shared" ca="1" si="144"/>
        <v>0</v>
      </c>
      <c r="AD862" s="169">
        <f t="shared" ca="1" si="145"/>
        <v>12388.42564085648</v>
      </c>
      <c r="AE862" s="169">
        <f t="shared" si="148"/>
        <v>0</v>
      </c>
      <c r="AF862" s="170">
        <f t="shared" si="146"/>
        <v>0</v>
      </c>
      <c r="AG862" s="170">
        <f t="shared" si="147"/>
        <v>0</v>
      </c>
      <c r="AH862" s="28" t="e" cm="1">
        <f t="array" aca="1" ref="AH862" ca="1">IF((AD862) &lt; (INDEX(ResponseSLA[#All],(MATCH((G862),ResponseSLA[Priority],0))+1,3)),"YES","No")</f>
        <v>#N/A</v>
      </c>
      <c r="AI862" s="28" t="str">
        <f>_xlfn.IFNA(IF(AE862 &lt; (INDEX(SLATable[Minimum SLA],MATCH(G862,SLATable[Priority],0))),"YES","NO"),"")</f>
        <v/>
      </c>
      <c r="AJ862" s="28" t="str">
        <f>_xlfn.IFNA(IF(AE862 &lt; (INDEX(SLATable[Maximum SLA],MATCH(G862,SLATable[Priority],0))),"YES","NO"),"")</f>
        <v/>
      </c>
    </row>
    <row r="863" spans="2:36" ht="15" customHeight="1">
      <c r="B863" s="45" t="s">
        <v>26</v>
      </c>
      <c r="C863" s="45" t="s">
        <v>35</v>
      </c>
      <c r="D863" s="45" t="s">
        <v>207</v>
      </c>
      <c r="E863" s="53" t="s">
        <v>2645</v>
      </c>
      <c r="F863" s="45" t="s">
        <v>301</v>
      </c>
      <c r="G863" s="58">
        <v>2</v>
      </c>
      <c r="H863" s="428" t="s">
        <v>2646</v>
      </c>
      <c r="I863" s="45" t="s">
        <v>271</v>
      </c>
      <c r="J863" s="127" t="s">
        <v>1365</v>
      </c>
      <c r="K863" s="71">
        <v>46244.586747685185</v>
      </c>
      <c r="L863" s="71">
        <v>46244.591666666667</v>
      </c>
      <c r="M863" s="71">
        <v>46244.597025462965</v>
      </c>
      <c r="N863" s="71">
        <v>46244.610439814816</v>
      </c>
      <c r="Q863" s="53" t="s">
        <v>1628</v>
      </c>
      <c r="R863" s="45" t="s">
        <v>267</v>
      </c>
      <c r="Z863" s="169">
        <f t="shared" ca="1" si="141"/>
        <v>2.3692129630944692E-2</v>
      </c>
      <c r="AA863" s="170">
        <f t="shared" ca="1" si="142"/>
        <v>6.317901234918584E-2</v>
      </c>
      <c r="AB863" s="169">
        <f t="shared" ca="1" si="143"/>
        <v>1.877314814919373E-2</v>
      </c>
      <c r="AC863" s="170">
        <f t="shared" ca="1" si="144"/>
        <v>5.0061728397849947E-2</v>
      </c>
      <c r="AD863" s="169">
        <f t="shared" ca="1" si="145"/>
        <v>5.3587962975143455E-3</v>
      </c>
      <c r="AE863" s="169">
        <f t="shared" ca="1" si="148"/>
        <v>1.877314814919373E-2</v>
      </c>
      <c r="AF863" s="170">
        <f t="shared" ca="1" si="146"/>
        <v>5.0061728397849947E-2</v>
      </c>
      <c r="AG863" s="170">
        <f t="shared" ca="1" si="147"/>
        <v>5.0061728397849947E-2</v>
      </c>
      <c r="AH863" s="28" t="str" cm="1">
        <f t="array" aca="1" ref="AH863" ca="1">IF((AD863) &lt; (INDEX(ResponseSLA[#All],(MATCH((G863),ResponseSLA[Priority],0))+1,3)),"YES","No")</f>
        <v>YES</v>
      </c>
      <c r="AI863" s="28" t="str">
        <f ca="1">_xlfn.IFNA(IF(AE863 &lt; (INDEX(SLATable[Minimum SLA],MATCH(G863,SLATable[Priority],0))),"YES","NO"),"")</f>
        <v>YES</v>
      </c>
      <c r="AJ863" s="28" t="str">
        <f ca="1">_xlfn.IFNA(IF(AE863 &lt; (INDEX(SLATable[Maximum SLA],MATCH(G863,SLATable[Priority],0))),"YES","NO"),"")</f>
        <v>YES</v>
      </c>
    </row>
    <row r="864" spans="2:36" ht="15" customHeight="1">
      <c r="B864" s="45" t="s">
        <v>26</v>
      </c>
      <c r="C864" s="45" t="s">
        <v>35</v>
      </c>
      <c r="D864" s="45" t="s">
        <v>207</v>
      </c>
      <c r="E864" s="53" t="s">
        <v>2647</v>
      </c>
      <c r="F864" s="45" t="s">
        <v>301</v>
      </c>
      <c r="G864" s="58">
        <v>2</v>
      </c>
      <c r="H864" s="429" t="s">
        <v>2648</v>
      </c>
      <c r="I864" s="45" t="s">
        <v>271</v>
      </c>
      <c r="J864" s="127" t="s">
        <v>1365</v>
      </c>
      <c r="K864" s="71">
        <v>46245.481006944443</v>
      </c>
      <c r="L864" s="71">
        <v>46245.481504629628</v>
      </c>
      <c r="M864" s="71">
        <v>46245.481504629628</v>
      </c>
      <c r="N864" s="71">
        <v>46245.516400462962</v>
      </c>
      <c r="Q864" s="53" t="s">
        <v>1628</v>
      </c>
      <c r="R864" s="45" t="s">
        <v>267</v>
      </c>
      <c r="Z864" s="169">
        <f t="shared" ca="1" si="141"/>
        <v>3.5393518519413192E-2</v>
      </c>
      <c r="AA864" s="170">
        <f t="shared" ca="1" si="142"/>
        <v>9.4382716051768512E-2</v>
      </c>
      <c r="AB864" s="169">
        <f t="shared" ca="1" si="143"/>
        <v>3.4895833334303461E-2</v>
      </c>
      <c r="AC864" s="170">
        <f t="shared" ca="1" si="144"/>
        <v>9.3055555558142558E-2</v>
      </c>
      <c r="AD864" s="169">
        <f t="shared" ca="1" si="145"/>
        <v>0</v>
      </c>
      <c r="AE864" s="169">
        <f t="shared" ca="1" si="148"/>
        <v>3.4895833334303461E-2</v>
      </c>
      <c r="AF864" s="170">
        <f t="shared" ca="1" si="146"/>
        <v>9.3055555558142558E-2</v>
      </c>
      <c r="AG864" s="170">
        <f t="shared" ca="1" si="147"/>
        <v>9.3055555558142558E-2</v>
      </c>
      <c r="AH864" s="28" t="str" cm="1">
        <f t="array" aca="1" ref="AH864" ca="1">IF((AD864) &lt; (INDEX(ResponseSLA[#All],(MATCH((G864),ResponseSLA[Priority],0))+1,3)),"YES","No")</f>
        <v>YES</v>
      </c>
      <c r="AI864" s="28" t="str">
        <f ca="1">_xlfn.IFNA(IF(AE864 &lt; (INDEX(SLATable[Minimum SLA],MATCH(G864,SLATable[Priority],0))),"YES","NO"),"")</f>
        <v>YES</v>
      </c>
      <c r="AJ864" s="28" t="str">
        <f ca="1">_xlfn.IFNA(IF(AE864 &lt; (INDEX(SLATable[Maximum SLA],MATCH(G864,SLATable[Priority],0))),"YES","NO"),"")</f>
        <v>YES</v>
      </c>
    </row>
    <row r="865" spans="2:36" ht="15" customHeight="1">
      <c r="B865" s="45" t="s">
        <v>26</v>
      </c>
      <c r="C865" s="45" t="s">
        <v>35</v>
      </c>
      <c r="D865" s="45" t="s">
        <v>207</v>
      </c>
      <c r="E865" s="53" t="s">
        <v>2649</v>
      </c>
      <c r="F865" s="45" t="s">
        <v>296</v>
      </c>
      <c r="G865" s="58">
        <v>3</v>
      </c>
      <c r="H865" s="428" t="s">
        <v>2650</v>
      </c>
      <c r="I865" s="45" t="s">
        <v>271</v>
      </c>
      <c r="J865" s="127" t="s">
        <v>1365</v>
      </c>
      <c r="K865" s="71">
        <v>46240.354745370372</v>
      </c>
      <c r="L865" s="71">
        <v>46240.385972222219</v>
      </c>
      <c r="M865" s="71">
        <v>46240.394363425927</v>
      </c>
      <c r="N865" s="71">
        <v>46246.571643518517</v>
      </c>
      <c r="Q865" s="53" t="s">
        <v>1049</v>
      </c>
      <c r="R865" s="45" t="s">
        <v>267</v>
      </c>
      <c r="Z865" s="169">
        <f t="shared" ca="1" si="141"/>
        <v>1.7168981481445371</v>
      </c>
      <c r="AA865" s="170">
        <f t="shared" ca="1" si="142"/>
        <v>4.5783950617187656</v>
      </c>
      <c r="AB865" s="169">
        <f t="shared" ca="1" si="143"/>
        <v>1.6856712962980964</v>
      </c>
      <c r="AC865" s="170">
        <f t="shared" ca="1" si="144"/>
        <v>4.4951234567949241</v>
      </c>
      <c r="AD865" s="169">
        <f t="shared" ca="1" si="145"/>
        <v>8.3912037080153823E-3</v>
      </c>
      <c r="AE865" s="169">
        <f t="shared" ca="1" si="148"/>
        <v>1.6856712962980964</v>
      </c>
      <c r="AF865" s="170">
        <f t="shared" ca="1" si="146"/>
        <v>4.4951234567949241</v>
      </c>
      <c r="AG865" s="170">
        <f t="shared" ca="1" si="147"/>
        <v>4.4951234567949241</v>
      </c>
      <c r="AH865" s="28" t="str" cm="1">
        <f t="array" aca="1" ref="AH865" ca="1">IF((AD865) &lt; (INDEX(ResponseSLA[#All],(MATCH((G865),ResponseSLA[Priority],0))+1,3)),"YES","No")</f>
        <v>YES</v>
      </c>
      <c r="AI865" s="28" t="str">
        <f ca="1">_xlfn.IFNA(IF(AE865 &lt; (INDEX(SLATable[Minimum SLA],MATCH(G865,SLATable[Priority],0))),"YES","NO"),"")</f>
        <v>NO</v>
      </c>
      <c r="AJ865" s="28" t="str">
        <f ca="1">_xlfn.IFNA(IF(AE865 &lt; (INDEX(SLATable[Maximum SLA],MATCH(G865,SLATable[Priority],0))),"YES","NO"),"")</f>
        <v>YES</v>
      </c>
    </row>
    <row r="866" spans="2:36" ht="15" customHeight="1">
      <c r="B866" s="45" t="s">
        <v>26</v>
      </c>
      <c r="C866" s="45" t="s">
        <v>35</v>
      </c>
      <c r="D866" s="45" t="s">
        <v>207</v>
      </c>
      <c r="E866" s="53" t="s">
        <v>2651</v>
      </c>
      <c r="F866" s="45" t="s">
        <v>296</v>
      </c>
      <c r="G866" s="58">
        <v>3</v>
      </c>
      <c r="H866" s="428" t="s">
        <v>2652</v>
      </c>
      <c r="I866" s="45" t="s">
        <v>271</v>
      </c>
      <c r="J866" s="127" t="s">
        <v>1365</v>
      </c>
      <c r="K866" s="71">
        <v>46179.798090277778</v>
      </c>
      <c r="L866" s="71">
        <v>46179.798981481479</v>
      </c>
      <c r="M866" s="71">
        <v>46180.422430555554</v>
      </c>
      <c r="N866" s="71">
        <v>46252.291944444441</v>
      </c>
      <c r="Q866" s="53" t="s">
        <v>1049</v>
      </c>
      <c r="R866" s="45" t="s">
        <v>267</v>
      </c>
      <c r="Z866" s="169">
        <f t="shared" ca="1" si="141"/>
        <v>19.125000000000004</v>
      </c>
      <c r="AA866" s="170">
        <f t="shared" ca="1" si="142"/>
        <v>51.000000000000014</v>
      </c>
      <c r="AB866" s="169">
        <f t="shared" ca="1" si="143"/>
        <v>19.125000000000004</v>
      </c>
      <c r="AC866" s="170">
        <f t="shared" ca="1" si="144"/>
        <v>51.000000000000014</v>
      </c>
      <c r="AD866" s="169">
        <f t="shared" ca="1" si="145"/>
        <v>0</v>
      </c>
      <c r="AE866" s="169">
        <f t="shared" ca="1" si="148"/>
        <v>19.125000000000004</v>
      </c>
      <c r="AF866" s="170">
        <f t="shared" ca="1" si="146"/>
        <v>51.000000000000014</v>
      </c>
      <c r="AG866" s="170">
        <f t="shared" ca="1" si="147"/>
        <v>51.000000000000014</v>
      </c>
      <c r="AH866" s="28" t="str" cm="1">
        <f t="array" aca="1" ref="AH866" ca="1">IF((AD866) &lt; (INDEX(ResponseSLA[#All],(MATCH((G866),ResponseSLA[Priority],0))+1,3)),"YES","No")</f>
        <v>YES</v>
      </c>
      <c r="AI866" s="28" t="str">
        <f ca="1">_xlfn.IFNA(IF(AE866 &lt; (INDEX(SLATable[Minimum SLA],MATCH(G866,SLATable[Priority],0))),"YES","NO"),"")</f>
        <v>NO</v>
      </c>
      <c r="AJ866" s="28" t="str">
        <f ca="1">_xlfn.IFNA(IF(AE866 &lt; (INDEX(SLATable[Maximum SLA],MATCH(G866,SLATable[Priority],0))),"YES","NO"),"")</f>
        <v>NO</v>
      </c>
    </row>
    <row r="867" spans="2:36" ht="15" customHeight="1">
      <c r="B867" s="45" t="s">
        <v>26</v>
      </c>
      <c r="C867" s="45" t="s">
        <v>35</v>
      </c>
      <c r="D867" s="45" t="s">
        <v>207</v>
      </c>
      <c r="E867" s="53" t="s">
        <v>2653</v>
      </c>
      <c r="F867" s="45" t="s">
        <v>296</v>
      </c>
      <c r="G867" s="58">
        <v>4</v>
      </c>
      <c r="H867" s="428" t="s">
        <v>2654</v>
      </c>
      <c r="I867" s="45" t="s">
        <v>271</v>
      </c>
      <c r="J867" s="127" t="s">
        <v>1365</v>
      </c>
      <c r="K867" s="71">
        <v>46245.632615740738</v>
      </c>
      <c r="L867" s="71">
        <v>46245.633483796293</v>
      </c>
      <c r="M867" s="71">
        <v>46246.232569444444</v>
      </c>
      <c r="N867" s="71">
        <v>46246.483715277776</v>
      </c>
      <c r="Q867" s="53" t="s">
        <v>1049</v>
      </c>
      <c r="R867" s="45" t="s">
        <v>267</v>
      </c>
      <c r="Z867" s="169">
        <f t="shared" ca="1" si="141"/>
        <v>0.22609953703795327</v>
      </c>
      <c r="AA867" s="170">
        <f t="shared" ca="1" si="142"/>
        <v>0.60293209876787535</v>
      </c>
      <c r="AB867" s="169">
        <f t="shared" ca="1" si="143"/>
        <v>0.22523148148320615</v>
      </c>
      <c r="AC867" s="170">
        <f t="shared" ca="1" si="144"/>
        <v>0.60061728395521641</v>
      </c>
      <c r="AD867" s="169">
        <f t="shared" ca="1" si="145"/>
        <v>7.4849537040184599E-2</v>
      </c>
      <c r="AE867" s="169">
        <f t="shared" ca="1" si="148"/>
        <v>0.22523148148320615</v>
      </c>
      <c r="AF867" s="170">
        <f t="shared" ca="1" si="146"/>
        <v>0.60061728395521641</v>
      </c>
      <c r="AG867" s="170">
        <f t="shared" ca="1" si="147"/>
        <v>0.60061728395521641</v>
      </c>
      <c r="AH867" s="28" t="str" cm="1">
        <f t="array" aca="1" ref="AH867" ca="1">IF((AD867) &lt; (INDEX(ResponseSLA[#All],(MATCH((G867),ResponseSLA[Priority],0))+1,3)),"YES","No")</f>
        <v>YES</v>
      </c>
      <c r="AI867" s="28" t="str">
        <f ca="1">_xlfn.IFNA(IF(AE867 &lt; (INDEX(SLATable[Minimum SLA],MATCH(G867,SLATable[Priority],0))),"YES","NO"),"")</f>
        <v>YES</v>
      </c>
      <c r="AJ867" s="28" t="str">
        <f ca="1">_xlfn.IFNA(IF(AE867 &lt; (INDEX(SLATable[Maximum SLA],MATCH(G867,SLATable[Priority],0))),"YES","NO"),"")</f>
        <v>YES</v>
      </c>
    </row>
    <row r="868" spans="2:36" ht="15" customHeight="1">
      <c r="B868" s="45" t="s">
        <v>26</v>
      </c>
      <c r="C868" s="45" t="s">
        <v>35</v>
      </c>
      <c r="D868" s="45" t="s">
        <v>207</v>
      </c>
      <c r="E868" s="53" t="s">
        <v>2308</v>
      </c>
      <c r="F868" s="45" t="s">
        <v>296</v>
      </c>
      <c r="G868" s="58">
        <v>4</v>
      </c>
      <c r="H868" s="428" t="s">
        <v>2309</v>
      </c>
      <c r="I868" s="45" t="s">
        <v>271</v>
      </c>
      <c r="J868" s="127" t="s">
        <v>1365</v>
      </c>
      <c r="K868" s="71">
        <v>46216.528854166667</v>
      </c>
      <c r="L868" s="71">
        <v>46216.529074074075</v>
      </c>
      <c r="M868" s="71">
        <v>46217.271354166667</v>
      </c>
      <c r="N868" s="71">
        <v>46237.292500000003</v>
      </c>
      <c r="Q868" s="53" t="s">
        <v>1049</v>
      </c>
      <c r="R868" s="45" t="s">
        <v>267</v>
      </c>
      <c r="Z868" s="169">
        <f t="shared" ca="1" si="141"/>
        <v>5.4294791666664732</v>
      </c>
      <c r="AA868" s="170">
        <f t="shared" ca="1" si="142"/>
        <v>14.478611111110594</v>
      </c>
      <c r="AB868" s="169">
        <f t="shared" ca="1" si="143"/>
        <v>5.4292592592585915</v>
      </c>
      <c r="AC868" s="170">
        <f t="shared" ca="1" si="144"/>
        <v>14.478024691356243</v>
      </c>
      <c r="AD868" s="169">
        <f t="shared" ca="1" si="145"/>
        <v>0.17925925925859099</v>
      </c>
      <c r="AE868" s="169">
        <f t="shared" ca="1" si="148"/>
        <v>15.296689814822459</v>
      </c>
      <c r="AF868" s="170">
        <f t="shared" ca="1" si="146"/>
        <v>40.79117283952656</v>
      </c>
      <c r="AG868" s="170">
        <f t="shared" ca="1" si="147"/>
        <v>40.79117283952656</v>
      </c>
      <c r="AH868" s="28" t="str" cm="1">
        <f t="array" aca="1" ref="AH868" ca="1">IF((AD868) &lt; (INDEX(ResponseSLA[#All],(MATCH((G868),ResponseSLA[Priority],0))+1,3)),"YES","No")</f>
        <v>No</v>
      </c>
      <c r="AI868" s="28" t="str">
        <f ca="1">_xlfn.IFNA(IF(AE868 &lt; (INDEX(SLATable[Minimum SLA],MATCH(G868,SLATable[Priority],0))),"YES","NO"),"")</f>
        <v>NO</v>
      </c>
      <c r="AJ868" s="28" t="str">
        <f ca="1">_xlfn.IFNA(IF(AE868 &lt; (INDEX(SLATable[Maximum SLA],MATCH(G868,SLATable[Priority],0))),"YES","NO"),"")</f>
        <v>NO</v>
      </c>
    </row>
    <row r="869" spans="2:36" ht="15" customHeight="1">
      <c r="B869" s="45" t="s">
        <v>26</v>
      </c>
      <c r="C869" s="45" t="s">
        <v>35</v>
      </c>
      <c r="D869" s="45" t="s">
        <v>207</v>
      </c>
      <c r="E869" s="53" t="s">
        <v>2655</v>
      </c>
      <c r="F869" s="45" t="s">
        <v>296</v>
      </c>
      <c r="G869" s="58">
        <v>4</v>
      </c>
      <c r="H869" s="428" t="s">
        <v>2656</v>
      </c>
      <c r="I869" s="45" t="s">
        <v>271</v>
      </c>
      <c r="J869" s="127" t="s">
        <v>1365</v>
      </c>
      <c r="K869" s="71">
        <v>46241.427152777775</v>
      </c>
      <c r="L869" s="71">
        <v>46241.428159722222</v>
      </c>
      <c r="M869" s="71">
        <v>46244.364108796297</v>
      </c>
      <c r="N869" s="71">
        <v>46245.05300925926</v>
      </c>
      <c r="Q869" s="53" t="s">
        <v>1049</v>
      </c>
      <c r="R869" s="45" t="s">
        <v>267</v>
      </c>
      <c r="Z869" s="169">
        <f t="shared" ca="1" si="141"/>
        <v>0.65618055555872479</v>
      </c>
      <c r="AA869" s="170">
        <f t="shared" ca="1" si="142"/>
        <v>1.7498148148232662</v>
      </c>
      <c r="AB869" s="169">
        <f t="shared" ca="1" si="143"/>
        <v>0.65517361111172567</v>
      </c>
      <c r="AC869" s="170">
        <f t="shared" ca="1" si="144"/>
        <v>1.7471296296312684</v>
      </c>
      <c r="AD869" s="169">
        <f t="shared" ca="1" si="145"/>
        <v>0.31094907407532446</v>
      </c>
      <c r="AE869" s="169">
        <f t="shared" ca="1" si="148"/>
        <v>0.65517361111172567</v>
      </c>
      <c r="AF869" s="170">
        <f t="shared" ca="1" si="146"/>
        <v>1.7471296296312684</v>
      </c>
      <c r="AG869" s="170">
        <f t="shared" ca="1" si="147"/>
        <v>1.7471296296312684</v>
      </c>
      <c r="AH869" s="28" t="str" cm="1">
        <f t="array" aca="1" ref="AH869" ca="1">IF((AD869) &lt; (INDEX(ResponseSLA[#All],(MATCH((G869),ResponseSLA[Priority],0))+1,3)),"YES","No")</f>
        <v>No</v>
      </c>
      <c r="AI869" s="28" t="str">
        <f ca="1">_xlfn.IFNA(IF(AE869 &lt; (INDEX(SLATable[Minimum SLA],MATCH(G869,SLATable[Priority],0))),"YES","NO"),"")</f>
        <v>YES</v>
      </c>
      <c r="AJ869" s="28" t="str">
        <f ca="1">_xlfn.IFNA(IF(AE869 &lt; (INDEX(SLATable[Maximum SLA],MATCH(G869,SLATable[Priority],0))),"YES","NO"),"")</f>
        <v>YES</v>
      </c>
    </row>
    <row r="870" spans="2:36" ht="15" customHeight="1">
      <c r="B870" s="45" t="s">
        <v>26</v>
      </c>
      <c r="C870" s="45" t="s">
        <v>35</v>
      </c>
      <c r="D870" s="45" t="s">
        <v>207</v>
      </c>
      <c r="E870" s="53" t="s">
        <v>2300</v>
      </c>
      <c r="F870" s="45" t="s">
        <v>295</v>
      </c>
      <c r="G870" s="58">
        <v>3</v>
      </c>
      <c r="H870" s="428" t="s">
        <v>2301</v>
      </c>
      <c r="I870" s="45" t="s">
        <v>271</v>
      </c>
      <c r="J870" s="127" t="s">
        <v>1365</v>
      </c>
      <c r="K870" s="71">
        <v>46232.603703703702</v>
      </c>
      <c r="L870" s="71">
        <v>46232.604930555557</v>
      </c>
      <c r="M870" s="71">
        <v>46233.261689814812</v>
      </c>
      <c r="N870" s="71">
        <v>46237.300925925927</v>
      </c>
      <c r="Q870" s="53" t="s">
        <v>1304</v>
      </c>
      <c r="R870" s="45" t="s">
        <v>267</v>
      </c>
      <c r="Z870" s="169">
        <f t="shared" ca="1" si="141"/>
        <v>0.85462962963113887</v>
      </c>
      <c r="AA870" s="170">
        <f t="shared" ca="1" si="142"/>
        <v>2.2790123456830371</v>
      </c>
      <c r="AB870" s="169">
        <f t="shared" ca="1" si="143"/>
        <v>0.85340277777625806</v>
      </c>
      <c r="AC870" s="170">
        <f t="shared" ca="1" si="144"/>
        <v>2.2757407407366883</v>
      </c>
      <c r="AD870" s="169">
        <f t="shared" ca="1" si="145"/>
        <v>0.10340277777625795</v>
      </c>
      <c r="AE870" s="169">
        <f t="shared" ca="1" si="148"/>
        <v>2.0485763888815809</v>
      </c>
      <c r="AF870" s="170">
        <f t="shared" ca="1" si="146"/>
        <v>5.4628703703508821</v>
      </c>
      <c r="AG870" s="170">
        <f t="shared" ca="1" si="147"/>
        <v>5.4628703703508821</v>
      </c>
      <c r="AH870" s="28" t="str" cm="1">
        <f t="array" aca="1" ref="AH870" ca="1">IF((AD870) &lt; (INDEX(ResponseSLA[#All],(MATCH((G870),ResponseSLA[Priority],0))+1,3)),"YES","No")</f>
        <v>No</v>
      </c>
      <c r="AI870" s="28" t="str">
        <f ca="1">_xlfn.IFNA(IF(AE870 &lt; (INDEX(SLATable[Minimum SLA],MATCH(G870,SLATable[Priority],0))),"YES","NO"),"")</f>
        <v>NO</v>
      </c>
      <c r="AJ870" s="28" t="str">
        <f ca="1">_xlfn.IFNA(IF(AE870 &lt; (INDEX(SLATable[Maximum SLA],MATCH(G870,SLATable[Priority],0))),"YES","NO"),"")</f>
        <v>NO</v>
      </c>
    </row>
    <row r="871" spans="2:36" ht="15" customHeight="1">
      <c r="B871" s="45" t="s">
        <v>26</v>
      </c>
      <c r="C871" s="45" t="s">
        <v>35</v>
      </c>
      <c r="D871" s="45" t="s">
        <v>207</v>
      </c>
      <c r="E871" s="53" t="s">
        <v>2298</v>
      </c>
      <c r="F871" s="45" t="s">
        <v>295</v>
      </c>
      <c r="G871" s="58">
        <v>3</v>
      </c>
      <c r="H871" s="428" t="s">
        <v>2299</v>
      </c>
      <c r="I871" s="45" t="s">
        <v>271</v>
      </c>
      <c r="J871" s="127" t="s">
        <v>1365</v>
      </c>
      <c r="K871" s="71">
        <v>46232.604849537034</v>
      </c>
      <c r="L871" s="71">
        <v>46232.605173611111</v>
      </c>
      <c r="M871" s="71">
        <v>46233.262314814812</v>
      </c>
      <c r="N871" s="71">
        <v>46237.299861111111</v>
      </c>
      <c r="Q871" s="53" t="s">
        <v>1304</v>
      </c>
      <c r="R871" s="45" t="s">
        <v>267</v>
      </c>
      <c r="Z871" s="169">
        <f t="shared" ca="1" si="141"/>
        <v>0.85348379629916371</v>
      </c>
      <c r="AA871" s="170">
        <f t="shared" ca="1" si="142"/>
        <v>2.2759567901311031</v>
      </c>
      <c r="AB871" s="169">
        <f t="shared" ca="1" si="143"/>
        <v>0.85315972222209302</v>
      </c>
      <c r="AC871" s="170">
        <f t="shared" ca="1" si="144"/>
        <v>2.2750925925922481</v>
      </c>
      <c r="AD871" s="169">
        <f t="shared" ca="1" si="145"/>
        <v>0.10315972222209291</v>
      </c>
      <c r="AE871" s="169">
        <f t="shared" ca="1" si="148"/>
        <v>1.9303240740773617</v>
      </c>
      <c r="AF871" s="170">
        <f t="shared" ca="1" si="146"/>
        <v>5.1475308642062982</v>
      </c>
      <c r="AG871" s="170">
        <f t="shared" ca="1" si="147"/>
        <v>5.1475308642062982</v>
      </c>
      <c r="AH871" s="28" t="str" cm="1">
        <f t="array" aca="1" ref="AH871" ca="1">IF((AD871) &lt; (INDEX(ResponseSLA[#All],(MATCH((G871),ResponseSLA[Priority],0))+1,3)),"YES","No")</f>
        <v>No</v>
      </c>
      <c r="AI871" s="28" t="str">
        <f ca="1">_xlfn.IFNA(IF(AE871 &lt; (INDEX(SLATable[Minimum SLA],MATCH(G871,SLATable[Priority],0))),"YES","NO"),"")</f>
        <v>NO</v>
      </c>
      <c r="AJ871" s="28" t="str">
        <f ca="1">_xlfn.IFNA(IF(AE871 &lt; (INDEX(SLATable[Maximum SLA],MATCH(G871,SLATable[Priority],0))),"YES","NO"),"")</f>
        <v>NO</v>
      </c>
    </row>
    <row r="872" spans="2:36" ht="15" customHeight="1">
      <c r="B872" s="45" t="s">
        <v>26</v>
      </c>
      <c r="C872" s="45" t="s">
        <v>35</v>
      </c>
      <c r="D872" s="45" t="s">
        <v>207</v>
      </c>
      <c r="E872" s="53" t="s">
        <v>2657</v>
      </c>
      <c r="F872" s="45" t="s">
        <v>295</v>
      </c>
      <c r="G872" s="58">
        <v>3</v>
      </c>
      <c r="H872" s="428" t="s">
        <v>2658</v>
      </c>
      <c r="I872" s="45" t="s">
        <v>271</v>
      </c>
      <c r="J872" s="127" t="s">
        <v>1365</v>
      </c>
      <c r="K872" s="71">
        <v>46246.062638888892</v>
      </c>
      <c r="L872" s="71">
        <v>46246.064722222225</v>
      </c>
      <c r="M872" s="71"/>
      <c r="N872" s="71">
        <v>46252.286145833335</v>
      </c>
      <c r="Q872" s="53" t="s">
        <v>1203</v>
      </c>
      <c r="R872" s="45" t="s">
        <v>267</v>
      </c>
      <c r="Z872" s="169">
        <f t="shared" ca="1" si="141"/>
        <v>1.5000000000000002</v>
      </c>
      <c r="AA872" s="170">
        <f t="shared" ca="1" si="142"/>
        <v>4.0000000000000009</v>
      </c>
      <c r="AB872" s="169">
        <f t="shared" ca="1" si="143"/>
        <v>1.5000000000000002</v>
      </c>
      <c r="AC872" s="170">
        <f t="shared" ca="1" si="144"/>
        <v>4.0000000000000009</v>
      </c>
      <c r="AD872" s="169">
        <f t="shared" ca="1" si="145"/>
        <v>3.6756408564785183</v>
      </c>
      <c r="AE872" s="169">
        <f t="shared" ca="1" si="148"/>
        <v>1.5000000000000002</v>
      </c>
      <c r="AF872" s="170">
        <f t="shared" ca="1" si="146"/>
        <v>4.0000000000000009</v>
      </c>
      <c r="AG872" s="170">
        <f t="shared" ca="1" si="147"/>
        <v>4.0000000000000009</v>
      </c>
      <c r="AH872" s="28" t="str" cm="1">
        <f t="array" aca="1" ref="AH872" ca="1">IF((AD872) &lt; (INDEX(ResponseSLA[#All],(MATCH((G872),ResponseSLA[Priority],0))+1,3)),"YES","No")</f>
        <v>No</v>
      </c>
      <c r="AI872" s="28" t="str">
        <f ca="1">_xlfn.IFNA(IF(AE872 &lt; (INDEX(SLATable[Minimum SLA],MATCH(G872,SLATable[Priority],0))),"YES","NO"),"")</f>
        <v>NO</v>
      </c>
      <c r="AJ872" s="28" t="str">
        <f ca="1">_xlfn.IFNA(IF(AE872 &lt; (INDEX(SLATable[Maximum SLA],MATCH(G872,SLATable[Priority],0))),"YES","NO"),"")</f>
        <v>YES</v>
      </c>
    </row>
    <row r="873" spans="2:36" ht="15" customHeight="1">
      <c r="B873" s="45" t="s">
        <v>26</v>
      </c>
      <c r="C873" s="45" t="s">
        <v>35</v>
      </c>
      <c r="D873" s="45" t="s">
        <v>207</v>
      </c>
      <c r="E873" s="53" t="s">
        <v>2302</v>
      </c>
      <c r="F873" s="45" t="s">
        <v>289</v>
      </c>
      <c r="G873" s="58">
        <v>4</v>
      </c>
      <c r="H873" s="428" t="s">
        <v>2303</v>
      </c>
      <c r="I873" s="45" t="s">
        <v>271</v>
      </c>
      <c r="J873" s="127" t="s">
        <v>1365</v>
      </c>
      <c r="K873" s="71">
        <v>46229.361331018517</v>
      </c>
      <c r="L873" s="71">
        <v>46237.29488425926</v>
      </c>
      <c r="M873" s="71">
        <v>46229.362916666665</v>
      </c>
      <c r="N873" s="71">
        <v>46230.353530092594</v>
      </c>
      <c r="Q873" s="53" t="s">
        <v>1343</v>
      </c>
      <c r="R873" s="45" t="s">
        <v>267</v>
      </c>
      <c r="Z873" s="169">
        <f t="shared" ca="1" si="141"/>
        <v>2.0196759260822261E-2</v>
      </c>
      <c r="AA873" s="170">
        <f t="shared" ca="1" si="142"/>
        <v>5.385802469552603E-2</v>
      </c>
      <c r="AB873" s="169">
        <f t="shared" ca="1" si="143"/>
        <v>2.0196759260822261E-2</v>
      </c>
      <c r="AC873" s="170">
        <f t="shared" ca="1" si="144"/>
        <v>5.385802469552603E-2</v>
      </c>
      <c r="AD873" s="169">
        <f t="shared" ca="1" si="145"/>
        <v>0</v>
      </c>
      <c r="AE873" s="169">
        <f t="shared" ca="1" si="148"/>
        <v>3.4673842592601432</v>
      </c>
      <c r="AF873" s="170">
        <f t="shared" ca="1" si="146"/>
        <v>9.2463580246937145</v>
      </c>
      <c r="AG873" s="170">
        <f t="shared" ca="1" si="147"/>
        <v>9.2463580246937145</v>
      </c>
      <c r="AH873" s="28" t="str" cm="1">
        <f t="array" aca="1" ref="AH873" ca="1">IF((AD873) &lt; (INDEX(ResponseSLA[#All],(MATCH((G873),ResponseSLA[Priority],0))+1,3)),"YES","No")</f>
        <v>YES</v>
      </c>
      <c r="AI873" s="28" t="str">
        <f ca="1">_xlfn.IFNA(IF(AE873 &lt; (INDEX(SLATable[Minimum SLA],MATCH(G873,SLATable[Priority],0))),"YES","NO"),"")</f>
        <v>YES</v>
      </c>
      <c r="AJ873" s="28" t="str">
        <f ca="1">_xlfn.IFNA(IF(AE873 &lt; (INDEX(SLATable[Maximum SLA],MATCH(G873,SLATable[Priority],0))),"YES","NO"),"")</f>
        <v>YES</v>
      </c>
    </row>
    <row r="874" spans="2:36" ht="15" customHeight="1">
      <c r="B874" s="45" t="s">
        <v>26</v>
      </c>
      <c r="C874" s="45" t="s">
        <v>35</v>
      </c>
      <c r="D874" s="45" t="s">
        <v>207</v>
      </c>
      <c r="E874" s="53" t="s">
        <v>2659</v>
      </c>
      <c r="F874" s="45" t="s">
        <v>289</v>
      </c>
      <c r="G874" s="58">
        <v>4</v>
      </c>
      <c r="H874" s="428" t="s">
        <v>2660</v>
      </c>
      <c r="I874" s="45" t="s">
        <v>271</v>
      </c>
      <c r="J874" s="127" t="s">
        <v>1365</v>
      </c>
      <c r="K874" s="71">
        <v>46242.054583333331</v>
      </c>
      <c r="L874" s="71">
        <v>46245.053923611114</v>
      </c>
      <c r="M874" s="71">
        <v>46242.055104166669</v>
      </c>
      <c r="N874" s="71">
        <v>46244.358090277776</v>
      </c>
      <c r="Q874" s="45" t="s">
        <v>1065</v>
      </c>
      <c r="R874" s="45" t="s">
        <v>267</v>
      </c>
      <c r="Z874" s="169">
        <f t="shared" ca="1" si="141"/>
        <v>2.4756944442439532E-2</v>
      </c>
      <c r="AA874" s="170">
        <f t="shared" ca="1" si="142"/>
        <v>6.6018518513172086E-2</v>
      </c>
      <c r="AB874" s="169">
        <f t="shared" ca="1" si="143"/>
        <v>2.4756944442439532E-2</v>
      </c>
      <c r="AC874" s="170">
        <f t="shared" ca="1" si="144"/>
        <v>6.6018518513172086E-2</v>
      </c>
      <c r="AD874" s="169">
        <f t="shared" ca="1" si="145"/>
        <v>0</v>
      </c>
      <c r="AE874" s="169">
        <f t="shared" ca="1" si="148"/>
        <v>2.4756944442439532E-2</v>
      </c>
      <c r="AF874" s="170">
        <f t="shared" ca="1" si="146"/>
        <v>6.6018518513172086E-2</v>
      </c>
      <c r="AG874" s="170">
        <f t="shared" ca="1" si="147"/>
        <v>6.6018518513172086E-2</v>
      </c>
      <c r="AH874" s="28" t="str" cm="1">
        <f t="array" aca="1" ref="AH874" ca="1">IF((AD874) &lt; (INDEX(ResponseSLA[#All],(MATCH((G874),ResponseSLA[Priority],0))+1,3)),"YES","No")</f>
        <v>YES</v>
      </c>
      <c r="AI874" s="28" t="str">
        <f ca="1">_xlfn.IFNA(IF(AE874 &lt; (INDEX(SLATable[Minimum SLA],MATCH(G874,SLATable[Priority],0))),"YES","NO"),"")</f>
        <v>YES</v>
      </c>
      <c r="AJ874" s="28" t="str">
        <f ca="1">_xlfn.IFNA(IF(AE874 &lt; (INDEX(SLATable[Maximum SLA],MATCH(G874,SLATable[Priority],0))),"YES","NO"),"")</f>
        <v>YES</v>
      </c>
    </row>
    <row r="875" spans="2:36" ht="15" customHeight="1">
      <c r="B875" s="45" t="s">
        <v>26</v>
      </c>
      <c r="C875" s="45" t="s">
        <v>35</v>
      </c>
      <c r="D875" s="45" t="s">
        <v>207</v>
      </c>
      <c r="E875" s="53" t="s">
        <v>2661</v>
      </c>
      <c r="F875" s="45" t="s">
        <v>299</v>
      </c>
      <c r="G875" s="58">
        <v>3</v>
      </c>
      <c r="H875" s="428" t="s">
        <v>2662</v>
      </c>
      <c r="I875" s="45" t="s">
        <v>271</v>
      </c>
      <c r="J875" s="127" t="s">
        <v>1365</v>
      </c>
      <c r="K875" s="71">
        <v>46237.694803240738</v>
      </c>
      <c r="L875" s="71">
        <v>46237.695648148147</v>
      </c>
      <c r="M875" s="71">
        <v>46238.271817129629</v>
      </c>
      <c r="N875" s="71">
        <v>46241.363668981481</v>
      </c>
      <c r="Q875" s="53" t="s">
        <v>1208</v>
      </c>
      <c r="R875" s="45" t="s">
        <v>267</v>
      </c>
      <c r="Z875" s="169">
        <f t="shared" ca="1" si="141"/>
        <v>1.1688657407430585</v>
      </c>
      <c r="AA875" s="170">
        <f t="shared" ca="1" si="142"/>
        <v>3.116975308648156</v>
      </c>
      <c r="AB875" s="169">
        <f t="shared" ca="1" si="143"/>
        <v>1.1680208333345947</v>
      </c>
      <c r="AC875" s="170">
        <f t="shared" ca="1" si="144"/>
        <v>3.1147222222255859</v>
      </c>
      <c r="AD875" s="169">
        <f t="shared" ca="1" si="145"/>
        <v>1.2685185186758985E-2</v>
      </c>
      <c r="AE875" s="169">
        <f t="shared" ca="1" si="148"/>
        <v>1.1680208333345947</v>
      </c>
      <c r="AF875" s="170">
        <f t="shared" ca="1" si="146"/>
        <v>3.1147222222255859</v>
      </c>
      <c r="AG875" s="170">
        <f t="shared" ca="1" si="147"/>
        <v>3.1147222222255859</v>
      </c>
      <c r="AH875" s="28" t="str" cm="1">
        <f t="array" aca="1" ref="AH875" ca="1">IF((AD875) &lt; (INDEX(ResponseSLA[#All],(MATCH((G875),ResponseSLA[Priority],0))+1,3)),"YES","No")</f>
        <v>YES</v>
      </c>
      <c r="AI875" s="28" t="str">
        <f ca="1">_xlfn.IFNA(IF(AE875 &lt; (INDEX(SLATable[Minimum SLA],MATCH(G875,SLATable[Priority],0))),"YES","NO"),"")</f>
        <v>NO</v>
      </c>
      <c r="AJ875" s="28" t="str">
        <f ca="1">_xlfn.IFNA(IF(AE875 &lt; (INDEX(SLATable[Maximum SLA],MATCH(G875,SLATable[Priority],0))),"YES","NO"),"")</f>
        <v>YES</v>
      </c>
    </row>
    <row r="876" spans="2:36" ht="15" customHeight="1">
      <c r="B876" s="45" t="s">
        <v>26</v>
      </c>
      <c r="C876" s="45" t="s">
        <v>35</v>
      </c>
      <c r="D876" s="45" t="s">
        <v>207</v>
      </c>
      <c r="E876" s="53" t="s">
        <v>2663</v>
      </c>
      <c r="F876" s="45" t="s">
        <v>299</v>
      </c>
      <c r="G876" s="58">
        <v>4</v>
      </c>
      <c r="H876" s="428" t="s">
        <v>2664</v>
      </c>
      <c r="I876" s="45" t="s">
        <v>271</v>
      </c>
      <c r="J876" s="127" t="s">
        <v>1365</v>
      </c>
      <c r="K876" s="71">
        <v>46247.478078703702</v>
      </c>
      <c r="L876" s="71">
        <v>46247.478344907409</v>
      </c>
      <c r="M876" s="71"/>
      <c r="N876" s="71">
        <v>46252.294999999998</v>
      </c>
      <c r="Q876" s="53" t="s">
        <v>1208</v>
      </c>
      <c r="R876" s="45" t="s">
        <v>267</v>
      </c>
      <c r="Z876" s="169">
        <f t="shared" ref="Z876:Z939" ca="1" si="149">IF(NOT(OR(G876=1,G876=2)),MAX(0,_xlfn.IFS(AND(K876&lt;&gt;"",N876&lt;&gt;""),((MAX(NETWORKDAYS(K876,N876,UKBankHolidays)-1,0))*(TIME(17,0,0)-TIME(8,0,0))+IF(NETWORKDAYS(N876,N876,UKBankHolidays)&gt;0,MEDIAN(TIME(8,0,0),MOD(N876,1),TIME(17,0,0)),TIME(8,0,0))-IF(NETWORKDAYS(K876,K876,UKBankHolidays)&gt;0,MEDIAN(TIME(8,0,0),MOD(K876,1),TIME(17,0,0)),TIME(8,0,0)))-IF(AND(O876&lt;&gt;"",P876&lt;&gt;""),((MAX(NETWORKDAYS(O876,P876,UKBankHolidays)-1,0))*(TIME(17,0,0)-TIME(8,0,0))+IF(NETWORKDAYS(P876,P876,UKBankHolidays)&gt;0,MEDIAN(TIME(8,0,0),MOD(P876,1),TIME(17,0,0)),TIME(8,0,0))-IF(NETWORKDAYS(O876,O876,UKBankHolidays)&gt;0,MEDIAN(TIME(8,0,0),MOD(O876,1),TIME(17,0,0)),TIME(8,0,0))),0),AND(K876&lt;&gt;"",N876=""),((MAX(NETWORKDAYS(K876,NOW(),UKBankHolidays)-1,0))*(TIME(17,0,0)-TIME(8,0,0))+IF(NETWORKDAYS(NOW(),NOW(),UKBankHolidays)&gt;0,MEDIAN(TIME(8,0,0),MOD(NOW(),1),TIME(17,0,0)),TIME(8,0,0))-IF(NETWORKDAYS(K876,K876,UKBankHolidays)&gt;0,MEDIAN(TIME(8,0,0),MOD(K876,1),TIME(17,0,0)),TIME(8,0,0))))),IF(N876="",NOW()-K876,N876-K876))</f>
        <v>0.98025462963172094</v>
      </c>
      <c r="AA876" s="170">
        <f t="shared" ref="AA876:AA939" ca="1" si="150">(Z876*24)/9</f>
        <v>2.6140123456845892</v>
      </c>
      <c r="AB876" s="169">
        <f t="shared" ref="AB876:AB939" ca="1" si="151">IF(NOT(OR(G876=1,G876=2)),MAX(0,_xlfn.IFS(AND(K876&lt;&gt;"",N876&lt;&gt;""),(((MAX(NETWORKDAYS(L876,N876,UKBankHolidays)-1,0))*(TIME(17,0,0)-TIME(8,0,0)))+IF(NETWORKDAYS(N876,N876,UKBankHolidays)&gt;0,MEDIAN(TIME(8,0,0),MOD(N876,1),TIME(17,0,0)),TIME(8,0,0))-IF(NETWORKDAYS(L876,L876,UKBankHolidays)&gt;0,MEDIAN(TIME(8,0,0),MOD(L876,1),TIME(17,0,0)),TIME(8,0,0)))-IF(AND(O876&lt;&gt;"",P876&lt;&gt;""),(((MAX(NETWORKDAYS(O876,P876,UKBankHolidays)-1,0))*(TIME(17,0,0)-TIME(8,0,0)))+IF(NETWORKDAYS(P876,P876,UKBankHolidays)&gt;0,MEDIAN(TIME(8,0,0),MOD(P876,1),TIME(17,0,0)),TIME(8,0,0))-IF(NETWORKDAYS(O876,O876,UKBankHolidays)&gt;0,MEDIAN(TIME(8,0,0),MOD(O876,1),TIME(17,0,0)),TIME(8,0,0))),0),AND(L876&lt;&gt;"",N876="",O876=""),(((MAX(NETWORKDAYS(L876,NOW(),UKBankHolidays)-1,0))*(TIME(17,0,0)-TIME(8,0,0)))+IF(NETWORKDAYS(NOW(),NOW(),UKBankHolidays)&gt;0,MEDIAN(TIME(8,0,0),MOD(NOW(),1),TIME(17,0,0)),TIME(8,0,0))-IF(NETWORKDAYS(L876,L876,UKBankHolidays)&gt;0,MEDIAN(TIME(8,0,0),MOD(L876,1),TIME(17,0,0)),TIME(8,0,0)))-IF(AND(O876&lt;&gt;"",P876&lt;&gt;""),(((MAX(NETWORKDAYS(O876,P876,UKBankHolidays)-1,0))*(TIME(17,0,0)-TIME(8,0,0)))+IF(NETWORKDAYS(P876,P876,UKBankHolidays)&gt;0,MEDIAN(TIME(8,0,0),MOD(P876,1),TIME(17,0,0)),TIME(8,0,0))-IF(NETWORKDAYS(O876,O876,UKBankHolidays)&gt;0,MEDIAN(TIME(8,0,0),MOD(O876,1),TIME(17,0,0)),TIME(8,0,0))),0),AND(L876&lt;&gt;"",N876="",P876="",O876&lt;&gt;""),(((MAX(NETWORKDAYS(L876,O876,UKBankHolidays)-1,0))*(TIME(17,0,0)-TIME(8,0,0)))+IF(NETWORKDAYS(O876,O876,UKBankHolidays)&gt;0,MEDIAN(TIME(8,0,0),MOD(O876,1),TIME(17,0,0)),TIME(8,0,0))-IF(NETWORKDAYS(L876,L876,UKBankHolidays)&gt;0,MEDIAN(TIME(8,0,0),MOD(L876,1),TIME(17,0,0)),TIME(8,0,0))),ISBLANK(K876),"0")),IF(ISBLANK(N876),NOW()-L876,N876-L876))</f>
        <v>0.9799884259239966</v>
      </c>
      <c r="AC876" s="170">
        <f t="shared" ref="AC876:AC939" ca="1" si="152">(AB876*24)/9</f>
        <v>2.6133024691306574</v>
      </c>
      <c r="AD876" s="169">
        <f t="shared" ref="AD876:AD939" ca="1" si="153">MAX(0,IF(NOT(OR(G876=1,G876=2)),IF(M876&lt;&gt;"",((MAX(NETWORKDAYS(L876,M876,UKBankHolidays)-1,0))*(TIME(17,0,0)-TIME(8,0,0))+IF(NETWORKDAYS(M876,M876,UKBankHolidays)&gt;0,MEDIAN(TIME(8,0,0),MOD(M876,1),TIME(17,0,0)),TIME(8,0,0))-MEDIAN(TIME(8,0,0),MOD(L876,1),TIME(17,0,0))),((MAX(NETWORKDAYS(L876,NOW(),UKBankHolidays)-1,0))*(TIME(17,0,0)-TIME(8,0,0))+IF(NETWORKDAYS(NOW(),NOW(),UKBankHolidays)&gt;0,MEDIAN(TIME(8,0,0),MOD(NOW(),1),TIME(17,0,0)),TIME(8,0,0))-MEDIAN(TIME(8,0,0),MOD(L876,1),TIME(17,0,0)))),IF(M876&lt;&gt;"",M876-L876,NOW()-L876)))</f>
        <v>3.1556292824025154</v>
      </c>
      <c r="AE876" s="169">
        <f t="shared" ca="1" si="148"/>
        <v>0.9799884259239966</v>
      </c>
      <c r="AF876" s="170">
        <f t="shared" ref="AF876:AF939" ca="1" si="154">(AE876*24)/9</f>
        <v>2.6133024691306574</v>
      </c>
      <c r="AG876" s="170">
        <f t="shared" ref="AG876:AG939" ca="1" si="155">AF876</f>
        <v>2.6133024691306574</v>
      </c>
      <c r="AH876" s="28" t="str" cm="1">
        <f t="array" aca="1" ref="AH876" ca="1">IF((AD876) &lt; (INDEX(ResponseSLA[#All],(MATCH((G876),ResponseSLA[Priority],0))+1,3)),"YES","No")</f>
        <v>No</v>
      </c>
      <c r="AI876" s="28" t="str">
        <f ca="1">_xlfn.IFNA(IF(AE876 &lt; (INDEX(SLATable[Minimum SLA],MATCH(G876,SLATable[Priority],0))),"YES","NO"),"")</f>
        <v>YES</v>
      </c>
      <c r="AJ876" s="28" t="str">
        <f ca="1">_xlfn.IFNA(IF(AE876 &lt; (INDEX(SLATable[Maximum SLA],MATCH(G876,SLATable[Priority],0))),"YES","NO"),"")</f>
        <v>YES</v>
      </c>
    </row>
    <row r="877" spans="2:36" ht="15" customHeight="1">
      <c r="B877" s="45" t="s">
        <v>26</v>
      </c>
      <c r="C877" s="45" t="s">
        <v>35</v>
      </c>
      <c r="D877" s="45" t="s">
        <v>207</v>
      </c>
      <c r="E877" s="53" t="s">
        <v>2665</v>
      </c>
      <c r="F877" s="45" t="s">
        <v>299</v>
      </c>
      <c r="G877" s="58">
        <v>4</v>
      </c>
      <c r="H877" s="428" t="s">
        <v>2666</v>
      </c>
      <c r="I877" s="45" t="s">
        <v>271</v>
      </c>
      <c r="J877" s="127" t="s">
        <v>1365</v>
      </c>
      <c r="K877" s="71">
        <v>46244.391423611109</v>
      </c>
      <c r="L877" s="71">
        <v>46244.391793981478</v>
      </c>
      <c r="M877" s="71">
        <v>46245.306817129633</v>
      </c>
      <c r="N877" s="71">
        <v>46245.356944444444</v>
      </c>
      <c r="Q877" s="53" t="s">
        <v>1208</v>
      </c>
      <c r="R877" s="45" t="s">
        <v>267</v>
      </c>
      <c r="Z877" s="169">
        <f t="shared" ca="1" si="149"/>
        <v>0.34052083333517658</v>
      </c>
      <c r="AA877" s="170">
        <f t="shared" ca="1" si="150"/>
        <v>0.90805555556047091</v>
      </c>
      <c r="AB877" s="169">
        <f t="shared" ca="1" si="151"/>
        <v>0.34015046296553919</v>
      </c>
      <c r="AC877" s="170">
        <f t="shared" ca="1" si="152"/>
        <v>0.90706790124143788</v>
      </c>
      <c r="AD877" s="169">
        <f t="shared" ca="1" si="153"/>
        <v>0.31653935185507487</v>
      </c>
      <c r="AE877" s="169">
        <f t="shared" ca="1" si="148"/>
        <v>0.34015046296553919</v>
      </c>
      <c r="AF877" s="170">
        <f t="shared" ca="1" si="154"/>
        <v>0.90706790124143788</v>
      </c>
      <c r="AG877" s="170">
        <f t="shared" ca="1" si="155"/>
        <v>0.90706790124143788</v>
      </c>
      <c r="AH877" s="28" t="str" cm="1">
        <f t="array" aca="1" ref="AH877" ca="1">IF((AD877) &lt; (INDEX(ResponseSLA[#All],(MATCH((G877),ResponseSLA[Priority],0))+1,3)),"YES","No")</f>
        <v>No</v>
      </c>
      <c r="AI877" s="28" t="str">
        <f ca="1">_xlfn.IFNA(IF(AE877 &lt; (INDEX(SLATable[Minimum SLA],MATCH(G877,SLATable[Priority],0))),"YES","NO"),"")</f>
        <v>YES</v>
      </c>
      <c r="AJ877" s="28" t="str">
        <f ca="1">_xlfn.IFNA(IF(AE877 &lt; (INDEX(SLATable[Maximum SLA],MATCH(G877,SLATable[Priority],0))),"YES","NO"),"")</f>
        <v>YES</v>
      </c>
    </row>
    <row r="878" spans="2:36" ht="15" customHeight="1">
      <c r="B878" s="45" t="s">
        <v>26</v>
      </c>
      <c r="C878" s="45" t="s">
        <v>35</v>
      </c>
      <c r="D878" s="45" t="s">
        <v>207</v>
      </c>
      <c r="E878" s="53" t="s">
        <v>2667</v>
      </c>
      <c r="F878" s="45" t="s">
        <v>299</v>
      </c>
      <c r="G878" s="58">
        <v>4</v>
      </c>
      <c r="H878" s="428" t="s">
        <v>2668</v>
      </c>
      <c r="I878" s="45" t="s">
        <v>271</v>
      </c>
      <c r="J878" s="430" t="s">
        <v>1200</v>
      </c>
      <c r="K878" s="71">
        <v>46238.333912037036</v>
      </c>
      <c r="L878" s="71">
        <v>46238.334502314814</v>
      </c>
      <c r="N878" s="71">
        <v>46239.297858796293</v>
      </c>
      <c r="Q878" s="45" t="s">
        <v>1208</v>
      </c>
      <c r="R878" s="45" t="s">
        <v>267</v>
      </c>
      <c r="Z878" s="169">
        <f t="shared" ca="1" si="149"/>
        <v>0.37442129629683529</v>
      </c>
      <c r="AA878" s="170">
        <f t="shared" ca="1" si="150"/>
        <v>0.99845679012489397</v>
      </c>
      <c r="AB878" s="169">
        <f ca="1">IF(NOT(OR(G878=1,G878=2)),MAX(0,_xlfn.IFS(AND(K878&lt;&gt;"",N878&lt;&gt;""),(((MAX(NETWORKDAYS(L878,N878,UKBankHolidays)-1,0))*(TIME(17,0,0)-TIME(8,0,0)))+IF(NETWORKDAYS(N878,N878,UKBankHolidays)&gt;0,MEDIAN(TIME(8,0,0),MOD(N878,1),TIME(17,0,0)),TIME(8,0,0))-IF(NETWORKDAYS(L878,L878,UKBankHolidays)&gt;0,MEDIAN(TIME(8,0,0),MOD(L878,1),TIME(17,0,0)),TIME(8,0,0)))-IF(AND(O878&lt;&gt;"",P878&lt;&gt;""),(((MAX(NETWORKDAYS(O878,P878,UKBankHolidays)-1,0))*(TIME(17,0,0)-TIME(8,0,0)))+IF(NETWORKDAYS(P878,P878,UKBankHolidays)&gt;0,MEDIAN(TIME(8,0,0),MOD(P878,1),TIME(17,0,0)),TIME(8,0,0))-IF(NETWORKDAYS(O878,O878,UKBankHolidays)&gt;0,MEDIAN(TIME(8,0,0),MOD(O878,1),TIME(17,0,0)),TIME(8,0,0))),0),AND(L878&lt;&gt;"",N878="",O878=""),(((MAX(NETWORKDAYS(L878,NOW(),UKBankHolidays)-1,0))*(TIME(17,0,0)-TIME(8,0,0)))+IF(NETWORKDAYS(NOW(),NOW(),UKBankHolidays)&gt;0,MEDIAN(TIME(8,0,0),MOD(NOW(),1),TIME(17,0,0)),TIME(8,0,0))-IF(NETWORKDAYS(L878,L878,UKBankHolidays)&gt;0,MEDIAN(TIME(8,0,0),MOD(L878,1),TIME(17,0,0)),TIME(8,0,0)))-IF(AND(O878&lt;&gt;"",P878&lt;&gt;""),(((MAX(NETWORKDAYS(O878,P878,UKBankHolidays)-1,0))*(TIME(17,0,0)-TIME(8,0,0)))+IF(NETWORKDAYS(P878,P878,UKBankHolidays)&gt;0,MEDIAN(TIME(8,0,0),MOD(P878,1),TIME(17,0,0)),TIME(8,0,0))-IF(NETWORKDAYS(O878,O878,UKBankHolidays)&gt;0,MEDIAN(TIME(8,0,0),MOD(O878,1),TIME(17,0,0)),TIME(8,0,0))),0),AND(L878&lt;&gt;"",N878="",P878="",O878&lt;&gt;""),(((MAX(NETWORKDAYS(L878,O878,UKBankHolidays)-1,0))*(TIME(17,0,0)-TIME(8,0,0)))+IF(NETWORKDAYS(O878,O878,UKBankHolidays)&gt;0,MEDIAN(TIME(8,0,0),MOD(O878,1),TIME(17,0,0)),TIME(8,0,0))-IF(NETWORKDAYS(L878,L878,UKBankHolidays)&gt;0,MEDIAN(TIME(8,0,0),MOD(L878,1),TIME(17,0,0)),TIME(8,0,0))),ISBLANK(K878),"0")),IF(ISBLANK(N878),NOW()-L878,N878-L878))</f>
        <v>0.37383101851931622</v>
      </c>
      <c r="AC878" s="170">
        <f t="shared" ca="1" si="152"/>
        <v>0.9968827160515098</v>
      </c>
      <c r="AD878" s="169" t="e">
        <f ca="1">MAX(0,IF(NOT(OR(G878=1,G878=2)),IF(#REF!&lt;&gt;"",((MAX(NETWORKDAYS(L878,#REF!,UKBankHolidays)-1,0))*(TIME(17,0,0)-TIME(8,0,0))+IF(NETWORKDAYS(#REF!,#REF!,UKBankHolidays)&gt;0,MEDIAN(TIME(8,0,0),MOD(#REF!,1),TIME(17,0,0)),TIME(8,0,0))-MEDIAN(TIME(8,0,0),MOD(L878,1),TIME(17,0,0))),((MAX(NETWORKDAYS(L878,NOW(),UKBankHolidays)-1,0))*(TIME(17,0,0)-TIME(8,0,0))+IF(NETWORKDAYS(NOW(),NOW(),UKBankHolidays)&gt;0,MEDIAN(TIME(8,0,0),MOD(NOW(),1),TIME(17,0,0)),TIME(8,0,0))-MEDIAN(TIME(8,0,0),MOD(L878,1),TIME(17,0,0)))),IF(#REF!&lt;&gt;"",#REF!-L878,NOW()-L878)))</f>
        <v>#REF!</v>
      </c>
      <c r="AE878" s="169">
        <f t="shared" ca="1" si="148"/>
        <v>0.37383101851931622</v>
      </c>
      <c r="AF878" s="170">
        <f t="shared" ca="1" si="154"/>
        <v>0.9968827160515098</v>
      </c>
      <c r="AG878" s="170">
        <f t="shared" ca="1" si="155"/>
        <v>0.9968827160515098</v>
      </c>
      <c r="AH878" s="28" t="e" cm="1">
        <f t="array" aca="1" ref="AH878" ca="1">IF((AD878) &lt; (INDEX(ResponseSLA[#All],(MATCH((G878),ResponseSLA[Priority],0))+1,3)),"YES","No")</f>
        <v>#REF!</v>
      </c>
      <c r="AI878" s="28" t="str">
        <f ca="1">_xlfn.IFNA(IF(AE878 &lt; (INDEX(SLATable[Minimum SLA],MATCH(G878,SLATable[Priority],0))),"YES","NO"),"")</f>
        <v>YES</v>
      </c>
      <c r="AJ878" s="28" t="str">
        <f ca="1">_xlfn.IFNA(IF(AE878 &lt; (INDEX(SLATable[Maximum SLA],MATCH(G878,SLATable[Priority],0))),"YES","NO"),"")</f>
        <v>YES</v>
      </c>
    </row>
    <row r="879" spans="2:36" ht="15" customHeight="1">
      <c r="B879" s="45" t="s">
        <v>26</v>
      </c>
      <c r="C879" s="45" t="s">
        <v>35</v>
      </c>
      <c r="D879" s="45" t="s">
        <v>207</v>
      </c>
      <c r="E879" s="53" t="s">
        <v>2669</v>
      </c>
      <c r="F879" s="45" t="s">
        <v>296</v>
      </c>
      <c r="G879" s="58">
        <v>4</v>
      </c>
      <c r="H879" s="428" t="s">
        <v>2670</v>
      </c>
      <c r="I879" s="45" t="s">
        <v>271</v>
      </c>
      <c r="J879" s="127" t="s">
        <v>1200</v>
      </c>
      <c r="K879" s="71">
        <v>46240.227094907408</v>
      </c>
      <c r="L879" s="71">
        <v>46240.228761574072</v>
      </c>
      <c r="M879" s="71">
        <v>46240.370983796296</v>
      </c>
      <c r="N879" s="71">
        <v>46241.314456018517</v>
      </c>
      <c r="Q879" s="45" t="s">
        <v>1049</v>
      </c>
      <c r="R879" s="45" t="s">
        <v>267</v>
      </c>
      <c r="Z879" s="169">
        <f t="shared" ca="1" si="149"/>
        <v>0.37500000000000006</v>
      </c>
      <c r="AA879" s="170">
        <f t="shared" ca="1" si="150"/>
        <v>1.0000000000000002</v>
      </c>
      <c r="AB879" s="169">
        <f t="shared" ca="1" si="151"/>
        <v>0.37500000000000006</v>
      </c>
      <c r="AC879" s="170">
        <f t="shared" ca="1" si="152"/>
        <v>1.0000000000000002</v>
      </c>
      <c r="AD879" s="169">
        <f t="shared" ca="1" si="153"/>
        <v>3.7650462962725839E-2</v>
      </c>
      <c r="AE879" s="169">
        <f t="shared" ca="1" si="148"/>
        <v>0.37500000000000006</v>
      </c>
      <c r="AF879" s="170">
        <f t="shared" ca="1" si="154"/>
        <v>1.0000000000000002</v>
      </c>
      <c r="AG879" s="170">
        <f t="shared" ca="1" si="155"/>
        <v>1.0000000000000002</v>
      </c>
      <c r="AH879" s="28" t="str" cm="1">
        <f t="array" aca="1" ref="AH879" ca="1">IF((AD879) &lt; (INDEX(ResponseSLA[#All],(MATCH((G879),ResponseSLA[Priority],0))+1,3)),"YES","No")</f>
        <v>YES</v>
      </c>
      <c r="AI879" s="28" t="str">
        <f ca="1">_xlfn.IFNA(IF(AE879 &lt; (INDEX(SLATable[Minimum SLA],MATCH(G879,SLATable[Priority],0))),"YES","NO"),"")</f>
        <v>YES</v>
      </c>
      <c r="AJ879" s="28" t="str">
        <f ca="1">_xlfn.IFNA(IF(AE879 &lt; (INDEX(SLATable[Maximum SLA],MATCH(G879,SLATable[Priority],0))),"YES","NO"),"")</f>
        <v>YES</v>
      </c>
    </row>
    <row r="880" spans="2:36" ht="15" customHeight="1">
      <c r="B880" s="45" t="s">
        <v>26</v>
      </c>
      <c r="C880" s="45" t="s">
        <v>35</v>
      </c>
      <c r="D880" s="45" t="s">
        <v>207</v>
      </c>
      <c r="E880" s="53" t="s">
        <v>2671</v>
      </c>
      <c r="F880" s="45" t="s">
        <v>295</v>
      </c>
      <c r="G880" s="58">
        <v>3</v>
      </c>
      <c r="H880" s="428" t="s">
        <v>2672</v>
      </c>
      <c r="I880" s="45" t="s">
        <v>271</v>
      </c>
      <c r="J880" s="127" t="s">
        <v>1200</v>
      </c>
      <c r="K880" s="71">
        <v>46239.591226851851</v>
      </c>
      <c r="L880" s="71">
        <v>46239.592037037037</v>
      </c>
      <c r="M880" s="71">
        <v>46240.324131944442</v>
      </c>
      <c r="N880" s="71">
        <v>46241.294930555552</v>
      </c>
      <c r="Q880" s="53" t="s">
        <v>695</v>
      </c>
      <c r="R880" s="45" t="s">
        <v>267</v>
      </c>
      <c r="Z880" s="169">
        <f t="shared" ca="1" si="149"/>
        <v>0.49210648148194513</v>
      </c>
      <c r="AA880" s="170">
        <f t="shared" ca="1" si="150"/>
        <v>1.3122839506185204</v>
      </c>
      <c r="AB880" s="169">
        <f t="shared" ca="1" si="151"/>
        <v>0.49129629629654437</v>
      </c>
      <c r="AC880" s="170">
        <f t="shared" ca="1" si="152"/>
        <v>1.3101234567907849</v>
      </c>
      <c r="AD880" s="169">
        <f t="shared" ca="1" si="153"/>
        <v>0.11629629629654425</v>
      </c>
      <c r="AE880" s="169">
        <f t="shared" ca="1" si="148"/>
        <v>0.49129629629654437</v>
      </c>
      <c r="AF880" s="170">
        <f t="shared" ca="1" si="154"/>
        <v>1.3101234567907849</v>
      </c>
      <c r="AG880" s="170">
        <f t="shared" ca="1" si="155"/>
        <v>1.3101234567907849</v>
      </c>
      <c r="AH880" s="28" t="str" cm="1">
        <f t="array" aca="1" ref="AH880" ca="1">IF((AD880) &lt; (INDEX(ResponseSLA[#All],(MATCH((G880),ResponseSLA[Priority],0))+1,3)),"YES","No")</f>
        <v>No</v>
      </c>
      <c r="AI880" s="28" t="str">
        <f ca="1">_xlfn.IFNA(IF(AE880 &lt; (INDEX(SLATable[Minimum SLA],MATCH(G880,SLATable[Priority],0))),"YES","NO"),"")</f>
        <v>NO</v>
      </c>
      <c r="AJ880" s="28" t="str">
        <f ca="1">_xlfn.IFNA(IF(AE880 &lt; (INDEX(SLATable[Maximum SLA],MATCH(G880,SLATable[Priority],0))),"YES","NO"),"")</f>
        <v>YES</v>
      </c>
    </row>
    <row r="881" spans="2:36" ht="15" customHeight="1">
      <c r="B881" s="45" t="s">
        <v>26</v>
      </c>
      <c r="C881" s="45" t="s">
        <v>35</v>
      </c>
      <c r="D881" s="45" t="s">
        <v>207</v>
      </c>
      <c r="E881" s="53" t="s">
        <v>2479</v>
      </c>
      <c r="F881" s="45" t="s">
        <v>295</v>
      </c>
      <c r="G881" s="58">
        <v>3</v>
      </c>
      <c r="H881" s="428" t="s">
        <v>2055</v>
      </c>
      <c r="I881" s="45" t="s">
        <v>271</v>
      </c>
      <c r="J881" s="127" t="s">
        <v>1200</v>
      </c>
      <c r="K881" s="71">
        <v>46188.293402777781</v>
      </c>
      <c r="L881" s="71">
        <v>46218.373553240737</v>
      </c>
      <c r="M881" s="71">
        <v>46218.502604166664</v>
      </c>
      <c r="N881" s="71">
        <v>46244.50744212963</v>
      </c>
      <c r="Q881" s="53" t="s">
        <v>1113</v>
      </c>
      <c r="R881" s="45" t="s">
        <v>267</v>
      </c>
      <c r="Z881" s="169">
        <f t="shared" ca="1" si="149"/>
        <v>15.17410879629703</v>
      </c>
      <c r="AA881" s="170">
        <f t="shared" ca="1" si="150"/>
        <v>40.464290123458746</v>
      </c>
      <c r="AB881" s="169">
        <f t="shared" ca="1" si="151"/>
        <v>6.883888888893126</v>
      </c>
      <c r="AC881" s="170">
        <f t="shared" ca="1" si="152"/>
        <v>18.357037037048336</v>
      </c>
      <c r="AD881" s="169">
        <f t="shared" ca="1" si="153"/>
        <v>0.12905092592700385</v>
      </c>
      <c r="AE881" s="169">
        <f t="shared" ref="AE881:AE944" ca="1" si="156">SUMIFS(AB:AB,E:E,E881)</f>
        <v>18.019309259267178</v>
      </c>
      <c r="AF881" s="170">
        <f t="shared" ca="1" si="154"/>
        <v>48.051491358045809</v>
      </c>
      <c r="AG881" s="170">
        <f t="shared" ca="1" si="155"/>
        <v>48.051491358045809</v>
      </c>
      <c r="AH881" s="28" t="str" cm="1">
        <f t="array" aca="1" ref="AH881" ca="1">IF((AD881) &lt; (INDEX(ResponseSLA[#All],(MATCH((G881),ResponseSLA[Priority],0))+1,3)),"YES","No")</f>
        <v>No</v>
      </c>
      <c r="AI881" s="28" t="str">
        <f ca="1">_xlfn.IFNA(IF(AE881 &lt; (INDEX(SLATable[Minimum SLA],MATCH(G881,SLATable[Priority],0))),"YES","NO"),"")</f>
        <v>NO</v>
      </c>
      <c r="AJ881" s="28" t="str">
        <f ca="1">_xlfn.IFNA(IF(AE881 &lt; (INDEX(SLATable[Maximum SLA],MATCH(G881,SLATable[Priority],0))),"YES","NO"),"")</f>
        <v>NO</v>
      </c>
    </row>
    <row r="882" spans="2:36" ht="15" customHeight="1">
      <c r="B882" s="45" t="s">
        <v>26</v>
      </c>
      <c r="C882" s="45" t="s">
        <v>35</v>
      </c>
      <c r="D882" s="45" t="s">
        <v>207</v>
      </c>
      <c r="E882" s="53" t="s">
        <v>2050</v>
      </c>
      <c r="F882" s="45" t="s">
        <v>295</v>
      </c>
      <c r="G882" s="58">
        <v>3</v>
      </c>
      <c r="H882" s="428" t="s">
        <v>2051</v>
      </c>
      <c r="I882" s="45" t="s">
        <v>271</v>
      </c>
      <c r="J882" s="127" t="s">
        <v>1200</v>
      </c>
      <c r="K882" s="71">
        <v>46192.602002314816</v>
      </c>
      <c r="L882" s="71">
        <v>46192.602430555555</v>
      </c>
      <c r="M882" s="71">
        <v>46196.245069444441</v>
      </c>
      <c r="N882" s="71">
        <v>46238.537442129629</v>
      </c>
      <c r="Q882" s="53" t="s">
        <v>695</v>
      </c>
      <c r="R882" s="45" t="s">
        <v>267</v>
      </c>
      <c r="Z882" s="169">
        <f t="shared" ca="1" si="149"/>
        <v>11.935439814813437</v>
      </c>
      <c r="AA882" s="170">
        <f t="shared" ca="1" si="150"/>
        <v>31.827839506169166</v>
      </c>
      <c r="AB882" s="169">
        <f t="shared" ca="1" si="151"/>
        <v>11.935011574074453</v>
      </c>
      <c r="AC882" s="170">
        <f t="shared" ca="1" si="152"/>
        <v>31.826697530865211</v>
      </c>
      <c r="AD882" s="169">
        <f t="shared" ca="1" si="153"/>
        <v>0.48090277777858637</v>
      </c>
      <c r="AE882" s="169" t="e">
        <f t="shared" ca="1" si="156"/>
        <v>#N/A</v>
      </c>
      <c r="AF882" s="170" t="e">
        <f t="shared" ca="1" si="154"/>
        <v>#N/A</v>
      </c>
      <c r="AG882" s="170" t="e">
        <f t="shared" ca="1" si="155"/>
        <v>#N/A</v>
      </c>
      <c r="AH882" s="28" t="str" cm="1">
        <f t="array" aca="1" ref="AH882" ca="1">IF((AD882) &lt; (INDEX(ResponseSLA[#All],(MATCH((G882),ResponseSLA[Priority],0))+1,3)),"YES","No")</f>
        <v>No</v>
      </c>
      <c r="AI882" s="28" t="str">
        <f ca="1">_xlfn.IFNA(IF(AE882 &lt; (INDEX(SLATable[Minimum SLA],MATCH(G882,SLATable[Priority],0))),"YES","NO"),"")</f>
        <v/>
      </c>
      <c r="AJ882" s="28" t="str">
        <f ca="1">_xlfn.IFNA(IF(AE882 &lt; (INDEX(SLATable[Maximum SLA],MATCH(G882,SLATable[Priority],0))),"YES","NO"),"")</f>
        <v/>
      </c>
    </row>
    <row r="883" spans="2:36" ht="15" customHeight="1">
      <c r="B883" s="45" t="s">
        <v>26</v>
      </c>
      <c r="C883" s="45" t="s">
        <v>35</v>
      </c>
      <c r="D883" s="45" t="s">
        <v>207</v>
      </c>
      <c r="E883" s="53" t="s">
        <v>2673</v>
      </c>
      <c r="F883" s="45" t="s">
        <v>295</v>
      </c>
      <c r="G883" s="58">
        <v>3</v>
      </c>
      <c r="H883" s="428" t="s">
        <v>2430</v>
      </c>
      <c r="I883" s="45" t="s">
        <v>271</v>
      </c>
      <c r="J883" s="127" t="s">
        <v>1200</v>
      </c>
      <c r="K883" s="71">
        <v>46236.510428240741</v>
      </c>
      <c r="L883" s="71">
        <v>46236.511273148149</v>
      </c>
      <c r="M883" s="71">
        <v>46236.668217592596</v>
      </c>
      <c r="N883" s="71">
        <v>46239.564120370371</v>
      </c>
      <c r="Q883" s="53" t="s">
        <v>695</v>
      </c>
      <c r="R883" s="45" t="s">
        <v>267</v>
      </c>
      <c r="Z883" s="169">
        <f t="shared" ca="1" si="149"/>
        <v>0.98078703703746828</v>
      </c>
      <c r="AA883" s="170">
        <f t="shared" ca="1" si="150"/>
        <v>2.6154320987665818</v>
      </c>
      <c r="AB883" s="169">
        <f t="shared" ca="1" si="151"/>
        <v>0.98078703703746828</v>
      </c>
      <c r="AC883" s="170">
        <f t="shared" ca="1" si="152"/>
        <v>2.6154320987665818</v>
      </c>
      <c r="AD883" s="169">
        <f t="shared" ca="1" si="153"/>
        <v>0</v>
      </c>
      <c r="AE883" s="169">
        <f t="shared" ca="1" si="156"/>
        <v>0.98078703703746828</v>
      </c>
      <c r="AF883" s="170">
        <f t="shared" ca="1" si="154"/>
        <v>2.6154320987665818</v>
      </c>
      <c r="AG883" s="170">
        <f t="shared" ca="1" si="155"/>
        <v>2.6154320987665818</v>
      </c>
      <c r="AH883" s="28" t="str" cm="1">
        <f t="array" aca="1" ref="AH883" ca="1">IF((AD883) &lt; (INDEX(ResponseSLA[#All],(MATCH((G883),ResponseSLA[Priority],0))+1,3)),"YES","No")</f>
        <v>YES</v>
      </c>
      <c r="AI883" s="28" t="str">
        <f ca="1">_xlfn.IFNA(IF(AE883 &lt; (INDEX(SLATable[Minimum SLA],MATCH(G883,SLATable[Priority],0))),"YES","NO"),"")</f>
        <v>NO</v>
      </c>
      <c r="AJ883" s="28" t="str">
        <f ca="1">_xlfn.IFNA(IF(AE883 &lt; (INDEX(SLATable[Maximum SLA],MATCH(G883,SLATable[Priority],0))),"YES","NO"),"")</f>
        <v>YES</v>
      </c>
    </row>
    <row r="884" spans="2:36" ht="15" customHeight="1">
      <c r="B884" s="45" t="s">
        <v>26</v>
      </c>
      <c r="C884" s="45" t="s">
        <v>35</v>
      </c>
      <c r="D884" s="45" t="s">
        <v>207</v>
      </c>
      <c r="E884" s="53" t="s">
        <v>2674</v>
      </c>
      <c r="F884" s="45" t="s">
        <v>295</v>
      </c>
      <c r="G884" s="58">
        <v>4</v>
      </c>
      <c r="H884" s="428" t="s">
        <v>2675</v>
      </c>
      <c r="I884" s="45" t="s">
        <v>271</v>
      </c>
      <c r="J884" s="127" t="s">
        <v>1200</v>
      </c>
      <c r="K884" s="71">
        <v>46237.711655092593</v>
      </c>
      <c r="L884" s="71">
        <v>46237.712152777778</v>
      </c>
      <c r="M884" s="71">
        <v>46238.306192129632</v>
      </c>
      <c r="N884" s="71">
        <v>46238.365787037037</v>
      </c>
      <c r="Q884" s="53" t="s">
        <v>1211</v>
      </c>
      <c r="R884" s="45" t="s">
        <v>267</v>
      </c>
      <c r="Z884" s="169">
        <f t="shared" ca="1" si="149"/>
        <v>3.2453703703746783E-2</v>
      </c>
      <c r="AA884" s="170">
        <f t="shared" ca="1" si="150"/>
        <v>8.6543209876658089E-2</v>
      </c>
      <c r="AB884" s="169">
        <f t="shared" ca="1" si="151"/>
        <v>3.2453703703746783E-2</v>
      </c>
      <c r="AC884" s="170">
        <f t="shared" ca="1" si="152"/>
        <v>8.6543209876658089E-2</v>
      </c>
      <c r="AD884" s="169">
        <f t="shared" ca="1" si="153"/>
        <v>0</v>
      </c>
      <c r="AE884" s="169">
        <f t="shared" ca="1" si="156"/>
        <v>3.2453703703746783E-2</v>
      </c>
      <c r="AF884" s="170">
        <f t="shared" ca="1" si="154"/>
        <v>8.6543209876658089E-2</v>
      </c>
      <c r="AG884" s="170">
        <f t="shared" ca="1" si="155"/>
        <v>8.6543209876658089E-2</v>
      </c>
      <c r="AH884" s="28" t="str" cm="1">
        <f t="array" aca="1" ref="AH884" ca="1">IF((AD884) &lt; (INDEX(ResponseSLA[#All],(MATCH((G884),ResponseSLA[Priority],0))+1,3)),"YES","No")</f>
        <v>YES</v>
      </c>
      <c r="AI884" s="28" t="str">
        <f ca="1">_xlfn.IFNA(IF(AE884 &lt; (INDEX(SLATable[Minimum SLA],MATCH(G884,SLATable[Priority],0))),"YES","NO"),"")</f>
        <v>YES</v>
      </c>
      <c r="AJ884" s="28" t="str">
        <f ca="1">_xlfn.IFNA(IF(AE884 &lt; (INDEX(SLATable[Maximum SLA],MATCH(G884,SLATable[Priority],0))),"YES","NO"),"")</f>
        <v>YES</v>
      </c>
    </row>
    <row r="885" spans="2:36" ht="15" customHeight="1">
      <c r="B885" s="45" t="s">
        <v>26</v>
      </c>
      <c r="C885" s="45" t="s">
        <v>35</v>
      </c>
      <c r="D885" s="45" t="s">
        <v>207</v>
      </c>
      <c r="E885" s="53" t="s">
        <v>2676</v>
      </c>
      <c r="F885" s="45" t="s">
        <v>295</v>
      </c>
      <c r="G885" s="58">
        <v>4</v>
      </c>
      <c r="H885" s="428" t="s">
        <v>2677</v>
      </c>
      <c r="I885" s="45" t="s">
        <v>271</v>
      </c>
      <c r="J885" s="127" t="s">
        <v>1200</v>
      </c>
      <c r="K885" s="71">
        <v>46246.680277777778</v>
      </c>
      <c r="L885" s="71">
        <v>46246.681018518517</v>
      </c>
      <c r="M885" s="71">
        <v>46247.265729166669</v>
      </c>
      <c r="N885" s="71">
        <v>46247.297951388886</v>
      </c>
      <c r="Q885" s="53" t="s">
        <v>2678</v>
      </c>
      <c r="R885" s="45" t="s">
        <v>267</v>
      </c>
      <c r="Z885" s="169">
        <f t="shared" ca="1" si="149"/>
        <v>2.8055555555814293E-2</v>
      </c>
      <c r="AA885" s="170">
        <f t="shared" ca="1" si="150"/>
        <v>7.4814814815504782E-2</v>
      </c>
      <c r="AB885" s="169">
        <f t="shared" ca="1" si="151"/>
        <v>2.7314814816539523E-2</v>
      </c>
      <c r="AC885" s="170">
        <f t="shared" ca="1" si="152"/>
        <v>7.2839506177438729E-2</v>
      </c>
      <c r="AD885" s="169">
        <f t="shared" ca="1" si="153"/>
        <v>2.7314814816539523E-2</v>
      </c>
      <c r="AE885" s="169">
        <f t="shared" ca="1" si="156"/>
        <v>2.7314814816539523E-2</v>
      </c>
      <c r="AF885" s="170">
        <f t="shared" ca="1" si="154"/>
        <v>7.2839506177438729E-2</v>
      </c>
      <c r="AG885" s="170">
        <f t="shared" ca="1" si="155"/>
        <v>7.2839506177438729E-2</v>
      </c>
      <c r="AH885" s="28" t="str" cm="1">
        <f t="array" aca="1" ref="AH885" ca="1">IF((AD885) &lt; (INDEX(ResponseSLA[#All],(MATCH((G885),ResponseSLA[Priority],0))+1,3)),"YES","No")</f>
        <v>YES</v>
      </c>
      <c r="AI885" s="28" t="str">
        <f ca="1">_xlfn.IFNA(IF(AE885 &lt; (INDEX(SLATable[Minimum SLA],MATCH(G885,SLATable[Priority],0))),"YES","NO"),"")</f>
        <v>YES</v>
      </c>
      <c r="AJ885" s="28" t="str">
        <f ca="1">_xlfn.IFNA(IF(AE885 &lt; (INDEX(SLATable[Maximum SLA],MATCH(G885,SLATable[Priority],0))),"YES","NO"),"")</f>
        <v>YES</v>
      </c>
    </row>
    <row r="886" spans="2:36" ht="15" customHeight="1">
      <c r="B886" s="45" t="s">
        <v>26</v>
      </c>
      <c r="C886" s="45" t="s">
        <v>35</v>
      </c>
      <c r="D886" s="45" t="s">
        <v>207</v>
      </c>
      <c r="E886" s="53" t="s">
        <v>2679</v>
      </c>
      <c r="F886" s="45" t="s">
        <v>295</v>
      </c>
      <c r="G886" s="58">
        <v>4</v>
      </c>
      <c r="H886" s="428" t="s">
        <v>2680</v>
      </c>
      <c r="I886" s="45" t="s">
        <v>271</v>
      </c>
      <c r="J886" s="127" t="s">
        <v>1200</v>
      </c>
      <c r="K886" s="71">
        <v>46239.586863425924</v>
      </c>
      <c r="L886" s="71">
        <v>46239.587291666663</v>
      </c>
      <c r="M886" s="71">
        <v>46240.328750000001</v>
      </c>
      <c r="N886" s="71">
        <v>46244.276643518519</v>
      </c>
      <c r="Q886" s="53" t="s">
        <v>695</v>
      </c>
      <c r="R886" s="45" t="s">
        <v>267</v>
      </c>
      <c r="Z886" s="169">
        <f t="shared" ca="1" si="149"/>
        <v>0.87146990740924002</v>
      </c>
      <c r="AA886" s="170">
        <f t="shared" ca="1" si="150"/>
        <v>2.3239197530913067</v>
      </c>
      <c r="AB886" s="169">
        <f t="shared" ca="1" si="151"/>
        <v>0.87104166667025629</v>
      </c>
      <c r="AC886" s="170">
        <f t="shared" ca="1" si="152"/>
        <v>2.32277777778735</v>
      </c>
      <c r="AD886" s="169">
        <f t="shared" ca="1" si="153"/>
        <v>0.12104166667025618</v>
      </c>
      <c r="AE886" s="169">
        <f t="shared" ca="1" si="156"/>
        <v>0.87104166667025629</v>
      </c>
      <c r="AF886" s="170">
        <f t="shared" ca="1" si="154"/>
        <v>2.32277777778735</v>
      </c>
      <c r="AG886" s="170">
        <f t="shared" ca="1" si="155"/>
        <v>2.32277777778735</v>
      </c>
      <c r="AH886" s="28" t="str" cm="1">
        <f t="array" aca="1" ref="AH886" ca="1">IF((AD886) &lt; (INDEX(ResponseSLA[#All],(MATCH((G886),ResponseSLA[Priority],0))+1,3)),"YES","No")</f>
        <v>YES</v>
      </c>
      <c r="AI886" s="28" t="str">
        <f ca="1">_xlfn.IFNA(IF(AE886 &lt; (INDEX(SLATable[Minimum SLA],MATCH(G886,SLATable[Priority],0))),"YES","NO"),"")</f>
        <v>YES</v>
      </c>
      <c r="AJ886" s="28" t="str">
        <f ca="1">_xlfn.IFNA(IF(AE886 &lt; (INDEX(SLATable[Maximum SLA],MATCH(G886,SLATable[Priority],0))),"YES","NO"),"")</f>
        <v>YES</v>
      </c>
    </row>
    <row r="887" spans="2:36" ht="15" customHeight="1">
      <c r="B887" s="45" t="s">
        <v>26</v>
      </c>
      <c r="C887" s="45" t="s">
        <v>35</v>
      </c>
      <c r="D887" s="45" t="s">
        <v>207</v>
      </c>
      <c r="E887" s="53" t="s">
        <v>2477</v>
      </c>
      <c r="F887" s="45" t="s">
        <v>295</v>
      </c>
      <c r="G887" s="58">
        <v>4</v>
      </c>
      <c r="H887" s="428" t="s">
        <v>2478</v>
      </c>
      <c r="I887" s="45" t="s">
        <v>271</v>
      </c>
      <c r="J887" s="127" t="s">
        <v>1200</v>
      </c>
      <c r="K887" s="71">
        <v>46229.642094907409</v>
      </c>
      <c r="L887" s="71">
        <v>46229.643020833333</v>
      </c>
      <c r="M887" s="71">
        <v>46230.351134259261</v>
      </c>
      <c r="N887" s="71">
        <v>46238.750023148146</v>
      </c>
      <c r="Q887" s="53" t="s">
        <v>2024</v>
      </c>
      <c r="R887" s="45" t="s">
        <v>267</v>
      </c>
      <c r="Z887" s="169">
        <f t="shared" ca="1" si="149"/>
        <v>2.6250000000000004</v>
      </c>
      <c r="AA887" s="170">
        <f t="shared" ca="1" si="150"/>
        <v>7.0000000000000018</v>
      </c>
      <c r="AB887" s="169">
        <f t="shared" ca="1" si="151"/>
        <v>2.6250000000000004</v>
      </c>
      <c r="AC887" s="170">
        <f t="shared" ca="1" si="152"/>
        <v>7.0000000000000018</v>
      </c>
      <c r="AD887" s="169">
        <f t="shared" ca="1" si="153"/>
        <v>0</v>
      </c>
      <c r="AE887" s="169">
        <f t="shared" ca="1" si="156"/>
        <v>3.0000000000000004</v>
      </c>
      <c r="AF887" s="170">
        <f t="shared" ca="1" si="154"/>
        <v>8.0000000000000018</v>
      </c>
      <c r="AG887" s="170">
        <f t="shared" ca="1" si="155"/>
        <v>8.0000000000000018</v>
      </c>
      <c r="AH887" s="28" t="str" cm="1">
        <f t="array" aca="1" ref="AH887" ca="1">IF((AD887) &lt; (INDEX(ResponseSLA[#All],(MATCH((G887),ResponseSLA[Priority],0))+1,3)),"YES","No")</f>
        <v>YES</v>
      </c>
      <c r="AI887" s="28" t="str">
        <f ca="1">_xlfn.IFNA(IF(AE887 &lt; (INDEX(SLATable[Minimum SLA],MATCH(G887,SLATable[Priority],0))),"YES","NO"),"")</f>
        <v>YES</v>
      </c>
      <c r="AJ887" s="28" t="str">
        <f ca="1">_xlfn.IFNA(IF(AE887 &lt; (INDEX(SLATable[Maximum SLA],MATCH(G887,SLATable[Priority],0))),"YES","NO"),"")</f>
        <v>YES</v>
      </c>
    </row>
    <row r="888" spans="2:36" ht="15" customHeight="1">
      <c r="B888" s="45" t="s">
        <v>26</v>
      </c>
      <c r="C888" s="45" t="s">
        <v>35</v>
      </c>
      <c r="D888" s="45" t="s">
        <v>207</v>
      </c>
      <c r="E888" s="53" t="s">
        <v>2681</v>
      </c>
      <c r="F888" s="45" t="s">
        <v>289</v>
      </c>
      <c r="G888" s="58">
        <v>3</v>
      </c>
      <c r="H888" s="428" t="s">
        <v>2682</v>
      </c>
      <c r="I888" s="45" t="s">
        <v>271</v>
      </c>
      <c r="J888" s="127" t="s">
        <v>1200</v>
      </c>
      <c r="K888" s="71">
        <v>46241.001250000001</v>
      </c>
      <c r="L888" s="71">
        <v>46241.001805555556</v>
      </c>
      <c r="M888" s="71">
        <v>46241.321828703702</v>
      </c>
      <c r="N888" s="71">
        <v>46241.436932870369</v>
      </c>
      <c r="Q888" s="53" t="s">
        <v>1068</v>
      </c>
      <c r="R888" s="45" t="s">
        <v>267</v>
      </c>
      <c r="Z888" s="169">
        <f t="shared" ca="1" si="149"/>
        <v>0.10359953703543096</v>
      </c>
      <c r="AA888" s="170">
        <f t="shared" ca="1" si="150"/>
        <v>0.27626543209448257</v>
      </c>
      <c r="AB888" s="169">
        <f t="shared" ca="1" si="151"/>
        <v>0.10359953703543096</v>
      </c>
      <c r="AC888" s="170">
        <f t="shared" ca="1" si="152"/>
        <v>0.27626543209448257</v>
      </c>
      <c r="AD888" s="169">
        <f t="shared" ca="1" si="153"/>
        <v>0</v>
      </c>
      <c r="AE888" s="169">
        <f t="shared" ca="1" si="156"/>
        <v>0.10359953703543096</v>
      </c>
      <c r="AF888" s="170">
        <f t="shared" ca="1" si="154"/>
        <v>0.27626543209448257</v>
      </c>
      <c r="AG888" s="170">
        <f t="shared" ca="1" si="155"/>
        <v>0.27626543209448257</v>
      </c>
      <c r="AH888" s="28" t="str" cm="1">
        <f t="array" aca="1" ref="AH888" ca="1">IF((AD888) &lt; (INDEX(ResponseSLA[#All],(MATCH((G888),ResponseSLA[Priority],0))+1,3)),"YES","No")</f>
        <v>YES</v>
      </c>
      <c r="AI888" s="28" t="str">
        <f ca="1">_xlfn.IFNA(IF(AE888 &lt; (INDEX(SLATable[Minimum SLA],MATCH(G888,SLATable[Priority],0))),"YES","NO"),"")</f>
        <v>YES</v>
      </c>
      <c r="AJ888" s="28" t="str">
        <f ca="1">_xlfn.IFNA(IF(AE888 &lt; (INDEX(SLATable[Maximum SLA],MATCH(G888,SLATable[Priority],0))),"YES","NO"),"")</f>
        <v>YES</v>
      </c>
    </row>
    <row r="889" spans="2:36" ht="15" customHeight="1">
      <c r="B889" s="45" t="s">
        <v>26</v>
      </c>
      <c r="C889" s="45" t="s">
        <v>35</v>
      </c>
      <c r="D889" s="45" t="s">
        <v>207</v>
      </c>
      <c r="E889" s="53" t="s">
        <v>2683</v>
      </c>
      <c r="F889" s="45" t="s">
        <v>289</v>
      </c>
      <c r="G889" s="58">
        <v>4</v>
      </c>
      <c r="H889" s="428" t="s">
        <v>2684</v>
      </c>
      <c r="I889" s="45" t="s">
        <v>271</v>
      </c>
      <c r="J889" s="127" t="s">
        <v>1200</v>
      </c>
      <c r="K889" s="71">
        <v>46241.04550925926</v>
      </c>
      <c r="L889" s="71">
        <v>46241.046365740738</v>
      </c>
      <c r="M889" s="71">
        <v>46241.31795138889</v>
      </c>
      <c r="N889" s="71">
        <v>46241.433599537035</v>
      </c>
      <c r="Q889" s="53" t="s">
        <v>1065</v>
      </c>
      <c r="R889" s="45" t="s">
        <v>267</v>
      </c>
      <c r="Z889" s="169">
        <f t="shared" ca="1" si="149"/>
        <v>0.10026620370141853</v>
      </c>
      <c r="AA889" s="170">
        <f t="shared" ca="1" si="150"/>
        <v>0.26737654320378273</v>
      </c>
      <c r="AB889" s="169">
        <f t="shared" ca="1" si="151"/>
        <v>0.10026620370141853</v>
      </c>
      <c r="AC889" s="170">
        <f t="shared" ca="1" si="152"/>
        <v>0.26737654320378273</v>
      </c>
      <c r="AD889" s="169">
        <f t="shared" ca="1" si="153"/>
        <v>0</v>
      </c>
      <c r="AE889" s="169">
        <f t="shared" ca="1" si="156"/>
        <v>0.10026620370141853</v>
      </c>
      <c r="AF889" s="170">
        <f t="shared" ca="1" si="154"/>
        <v>0.26737654320378273</v>
      </c>
      <c r="AG889" s="170">
        <f t="shared" ca="1" si="155"/>
        <v>0.26737654320378273</v>
      </c>
      <c r="AH889" s="28" t="str" cm="1">
        <f t="array" aca="1" ref="AH889" ca="1">IF((AD889) &lt; (INDEX(ResponseSLA[#All],(MATCH((G889),ResponseSLA[Priority],0))+1,3)),"YES","No")</f>
        <v>YES</v>
      </c>
      <c r="AI889" s="28" t="str">
        <f ca="1">_xlfn.IFNA(IF(AE889 &lt; (INDEX(SLATable[Minimum SLA],MATCH(G889,SLATable[Priority],0))),"YES","NO"),"")</f>
        <v>YES</v>
      </c>
      <c r="AJ889" s="28" t="str">
        <f ca="1">_xlfn.IFNA(IF(AE889 &lt; (INDEX(SLATable[Maximum SLA],MATCH(G889,SLATable[Priority],0))),"YES","NO"),"")</f>
        <v>YES</v>
      </c>
    </row>
    <row r="890" spans="2:36" ht="15" customHeight="1">
      <c r="B890" s="45" t="s">
        <v>26</v>
      </c>
      <c r="C890" s="45" t="s">
        <v>35</v>
      </c>
      <c r="D890" s="45" t="s">
        <v>207</v>
      </c>
      <c r="E890" s="53" t="s">
        <v>2685</v>
      </c>
      <c r="F890" s="45" t="s">
        <v>289</v>
      </c>
      <c r="G890" s="58">
        <v>4</v>
      </c>
      <c r="H890" s="428" t="s">
        <v>2686</v>
      </c>
      <c r="I890" s="45" t="s">
        <v>271</v>
      </c>
      <c r="J890" s="127" t="s">
        <v>1200</v>
      </c>
      <c r="K890" s="71">
        <v>46238.258055555554</v>
      </c>
      <c r="L890" s="71">
        <v>46238.258587962962</v>
      </c>
      <c r="M890" s="71">
        <v>46238.280081018522</v>
      </c>
      <c r="N890" s="71">
        <v>46239.568159722221</v>
      </c>
      <c r="Q890" s="53" t="s">
        <v>1065</v>
      </c>
      <c r="R890" s="45" t="s">
        <v>267</v>
      </c>
      <c r="Z890" s="169">
        <f t="shared" ca="1" si="149"/>
        <v>0.60982638888769247</v>
      </c>
      <c r="AA890" s="170">
        <f t="shared" ca="1" si="150"/>
        <v>1.6262037037005133</v>
      </c>
      <c r="AB890" s="169">
        <f t="shared" ca="1" si="151"/>
        <v>0.60982638888769247</v>
      </c>
      <c r="AC890" s="170">
        <f t="shared" ca="1" si="152"/>
        <v>1.6262037037005133</v>
      </c>
      <c r="AD890" s="169">
        <f t="shared" ca="1" si="153"/>
        <v>0</v>
      </c>
      <c r="AE890" s="169">
        <f t="shared" ca="1" si="156"/>
        <v>0.60982638888769247</v>
      </c>
      <c r="AF890" s="170">
        <f t="shared" ca="1" si="154"/>
        <v>1.6262037037005133</v>
      </c>
      <c r="AG890" s="170">
        <f t="shared" ca="1" si="155"/>
        <v>1.6262037037005133</v>
      </c>
      <c r="AH890" s="28" t="str" cm="1">
        <f t="array" aca="1" ref="AH890" ca="1">IF((AD890) &lt; (INDEX(ResponseSLA[#All],(MATCH((G890),ResponseSLA[Priority],0))+1,3)),"YES","No")</f>
        <v>YES</v>
      </c>
      <c r="AI890" s="28" t="str">
        <f ca="1">_xlfn.IFNA(IF(AE890 &lt; (INDEX(SLATable[Minimum SLA],MATCH(G890,SLATable[Priority],0))),"YES","NO"),"")</f>
        <v>YES</v>
      </c>
      <c r="AJ890" s="28" t="str">
        <f ca="1">_xlfn.IFNA(IF(AE890 &lt; (INDEX(SLATable[Maximum SLA],MATCH(G890,SLATable[Priority],0))),"YES","NO"),"")</f>
        <v>YES</v>
      </c>
    </row>
    <row r="891" spans="2:36" ht="15" customHeight="1">
      <c r="B891" s="45" t="s">
        <v>26</v>
      </c>
      <c r="C891" s="45" t="s">
        <v>35</v>
      </c>
      <c r="D891" s="45" t="s">
        <v>207</v>
      </c>
      <c r="E891" s="53" t="s">
        <v>2687</v>
      </c>
      <c r="F891" s="45" t="s">
        <v>289</v>
      </c>
      <c r="G891" s="58">
        <v>4</v>
      </c>
      <c r="H891" s="428" t="s">
        <v>2688</v>
      </c>
      <c r="I891" s="45" t="s">
        <v>271</v>
      </c>
      <c r="J891" s="127" t="s">
        <v>1200</v>
      </c>
      <c r="K891" s="71">
        <v>46237.669918981483</v>
      </c>
      <c r="L891" s="71">
        <v>46237.670208333337</v>
      </c>
      <c r="M891" s="71">
        <v>46238.270995370367</v>
      </c>
      <c r="N891" s="71">
        <v>46239.365254629629</v>
      </c>
      <c r="Q891" s="53" t="s">
        <v>1343</v>
      </c>
      <c r="R891" s="45" t="s">
        <v>267</v>
      </c>
      <c r="Z891" s="169">
        <f t="shared" ca="1" si="149"/>
        <v>0.44533564814628335</v>
      </c>
      <c r="AA891" s="170">
        <f t="shared" ca="1" si="150"/>
        <v>1.187561728390089</v>
      </c>
      <c r="AB891" s="169">
        <f t="shared" ca="1" si="151"/>
        <v>0.44504629629227566</v>
      </c>
      <c r="AC891" s="170">
        <f t="shared" ca="1" si="152"/>
        <v>1.1867901234460685</v>
      </c>
      <c r="AD891" s="169">
        <f t="shared" ca="1" si="153"/>
        <v>3.8124999996701603E-2</v>
      </c>
      <c r="AE891" s="169">
        <f t="shared" ca="1" si="156"/>
        <v>0.44504629629227566</v>
      </c>
      <c r="AF891" s="170">
        <f t="shared" ca="1" si="154"/>
        <v>1.1867901234460685</v>
      </c>
      <c r="AG891" s="170">
        <f t="shared" ca="1" si="155"/>
        <v>1.1867901234460685</v>
      </c>
      <c r="AH891" s="28" t="str" cm="1">
        <f t="array" aca="1" ref="AH891" ca="1">IF((AD891) &lt; (INDEX(ResponseSLA[#All],(MATCH((G891),ResponseSLA[Priority],0))+1,3)),"YES","No")</f>
        <v>YES</v>
      </c>
      <c r="AI891" s="28" t="str">
        <f ca="1">_xlfn.IFNA(IF(AE891 &lt; (INDEX(SLATable[Minimum SLA],MATCH(G891,SLATable[Priority],0))),"YES","NO"),"")</f>
        <v>YES</v>
      </c>
      <c r="AJ891" s="28" t="str">
        <f ca="1">_xlfn.IFNA(IF(AE891 &lt; (INDEX(SLATable[Maximum SLA],MATCH(G891,SLATable[Priority],0))),"YES","NO"),"")</f>
        <v>YES</v>
      </c>
    </row>
    <row r="892" spans="2:36" ht="15" customHeight="1">
      <c r="B892" s="45" t="s">
        <v>26</v>
      </c>
      <c r="C892" s="45" t="s">
        <v>35</v>
      </c>
      <c r="D892" s="45" t="s">
        <v>207</v>
      </c>
      <c r="E892" s="53" t="s">
        <v>2689</v>
      </c>
      <c r="F892" s="45" t="s">
        <v>289</v>
      </c>
      <c r="G892" s="58">
        <v>4</v>
      </c>
      <c r="H892" s="428" t="s">
        <v>2690</v>
      </c>
      <c r="I892" s="45" t="s">
        <v>271</v>
      </c>
      <c r="J892" s="127" t="s">
        <v>1200</v>
      </c>
      <c r="K892" s="71">
        <v>46250.054340277777</v>
      </c>
      <c r="L892" s="71">
        <v>46250.054583333331</v>
      </c>
      <c r="M892" s="71">
        <v>46250.636932870373</v>
      </c>
      <c r="N892" s="71">
        <v>46252.304259259261</v>
      </c>
      <c r="Q892" s="53" t="s">
        <v>1065</v>
      </c>
      <c r="R892" s="45" t="s">
        <v>267</v>
      </c>
      <c r="Z892" s="169">
        <f t="shared" ca="1" si="149"/>
        <v>0.37500000000000006</v>
      </c>
      <c r="AA892" s="170">
        <f t="shared" ca="1" si="150"/>
        <v>1.0000000000000002</v>
      </c>
      <c r="AB892" s="169">
        <f t="shared" ca="1" si="151"/>
        <v>0.37500000000000006</v>
      </c>
      <c r="AC892" s="170">
        <f t="shared" ca="1" si="152"/>
        <v>1.0000000000000002</v>
      </c>
      <c r="AD892" s="169">
        <f t="shared" ca="1" si="153"/>
        <v>0</v>
      </c>
      <c r="AE892" s="169">
        <f t="shared" ca="1" si="156"/>
        <v>0.37500000000000006</v>
      </c>
      <c r="AF892" s="170">
        <f t="shared" ca="1" si="154"/>
        <v>1.0000000000000002</v>
      </c>
      <c r="AG892" s="170">
        <f t="shared" ca="1" si="155"/>
        <v>1.0000000000000002</v>
      </c>
      <c r="AH892" s="28" t="str" cm="1">
        <f t="array" aca="1" ref="AH892" ca="1">IF((AD892) &lt; (INDEX(ResponseSLA[#All],(MATCH((G892),ResponseSLA[Priority],0))+1,3)),"YES","No")</f>
        <v>YES</v>
      </c>
      <c r="AI892" s="28" t="str">
        <f ca="1">_xlfn.IFNA(IF(AE892 &lt; (INDEX(SLATable[Minimum SLA],MATCH(G892,SLATable[Priority],0))),"YES","NO"),"")</f>
        <v>YES</v>
      </c>
      <c r="AJ892" s="28" t="str">
        <f ca="1">_xlfn.IFNA(IF(AE892 &lt; (INDEX(SLATable[Maximum SLA],MATCH(G892,SLATable[Priority],0))),"YES","NO"),"")</f>
        <v>YES</v>
      </c>
    </row>
    <row r="893" spans="2:36" ht="15" customHeight="1">
      <c r="Z893" s="169" t="e">
        <f t="shared" ca="1" si="149"/>
        <v>#N/A</v>
      </c>
      <c r="AA893" s="170" t="e">
        <f t="shared" ca="1" si="150"/>
        <v>#N/A</v>
      </c>
      <c r="AB893" s="169">
        <f t="shared" ca="1" si="151"/>
        <v>0</v>
      </c>
      <c r="AC893" s="170">
        <f t="shared" ca="1" si="152"/>
        <v>0</v>
      </c>
      <c r="AD893" s="169">
        <f t="shared" ca="1" si="153"/>
        <v>12388.42564085648</v>
      </c>
      <c r="AE893" s="169">
        <f t="shared" si="156"/>
        <v>0</v>
      </c>
      <c r="AF893" s="170">
        <f t="shared" si="154"/>
        <v>0</v>
      </c>
      <c r="AG893" s="170">
        <f t="shared" si="155"/>
        <v>0</v>
      </c>
      <c r="AH893" s="28" t="e" cm="1">
        <f t="array" aca="1" ref="AH893" ca="1">IF((AD893) &lt; (INDEX(ResponseSLA[#All],(MATCH((G893),ResponseSLA[Priority],0))+1,3)),"YES","No")</f>
        <v>#N/A</v>
      </c>
      <c r="AI893" s="28" t="str">
        <f>_xlfn.IFNA(IF(AE893 &lt; (INDEX(SLATable[Minimum SLA],MATCH(G893,SLATable[Priority],0))),"YES","NO"),"")</f>
        <v/>
      </c>
      <c r="AJ893" s="28" t="str">
        <f>_xlfn.IFNA(IF(AE893 &lt; (INDEX(SLATable[Maximum SLA],MATCH(G893,SLATable[Priority],0))),"YES","NO"),"")</f>
        <v/>
      </c>
    </row>
    <row r="894" spans="2:36" ht="15" customHeight="1">
      <c r="Z894" s="169" t="e">
        <f t="shared" ca="1" si="149"/>
        <v>#N/A</v>
      </c>
      <c r="AA894" s="170" t="e">
        <f t="shared" ca="1" si="150"/>
        <v>#N/A</v>
      </c>
      <c r="AB894" s="169">
        <f t="shared" ca="1" si="151"/>
        <v>0</v>
      </c>
      <c r="AC894" s="170">
        <f t="shared" ca="1" si="152"/>
        <v>0</v>
      </c>
      <c r="AD894" s="169">
        <f t="shared" ca="1" si="153"/>
        <v>12388.42564085648</v>
      </c>
      <c r="AE894" s="169">
        <f t="shared" si="156"/>
        <v>0</v>
      </c>
      <c r="AF894" s="170">
        <f t="shared" si="154"/>
        <v>0</v>
      </c>
      <c r="AG894" s="170">
        <f t="shared" si="155"/>
        <v>0</v>
      </c>
      <c r="AH894" s="28" t="e" cm="1">
        <f t="array" aca="1" ref="AH894" ca="1">IF((AD894) &lt; (INDEX(ResponseSLA[#All],(MATCH((G894),ResponseSLA[Priority],0))+1,3)),"YES","No")</f>
        <v>#N/A</v>
      </c>
      <c r="AI894" s="28" t="str">
        <f>_xlfn.IFNA(IF(AE894 &lt; (INDEX(SLATable[Minimum SLA],MATCH(G894,SLATable[Priority],0))),"YES","NO"),"")</f>
        <v/>
      </c>
      <c r="AJ894" s="28" t="str">
        <f>_xlfn.IFNA(IF(AE894 &lt; (INDEX(SLATable[Maximum SLA],MATCH(G894,SLATable[Priority],0))),"YES","NO"),"")</f>
        <v/>
      </c>
    </row>
    <row r="895" spans="2:36" ht="15" customHeight="1">
      <c r="Z895" s="169" t="e">
        <f t="shared" ca="1" si="149"/>
        <v>#N/A</v>
      </c>
      <c r="AA895" s="170" t="e">
        <f t="shared" ca="1" si="150"/>
        <v>#N/A</v>
      </c>
      <c r="AB895" s="169">
        <f t="shared" ca="1" si="151"/>
        <v>0</v>
      </c>
      <c r="AC895" s="170">
        <f t="shared" ca="1" si="152"/>
        <v>0</v>
      </c>
      <c r="AD895" s="169">
        <f t="shared" ca="1" si="153"/>
        <v>12388.42564085648</v>
      </c>
      <c r="AE895" s="169">
        <f t="shared" si="156"/>
        <v>0</v>
      </c>
      <c r="AF895" s="170">
        <f t="shared" si="154"/>
        <v>0</v>
      </c>
      <c r="AG895" s="170">
        <f t="shared" si="155"/>
        <v>0</v>
      </c>
      <c r="AH895" s="28" t="e" cm="1">
        <f t="array" aca="1" ref="AH895" ca="1">IF((AD895) &lt; (INDEX(ResponseSLA[#All],(MATCH((G895),ResponseSLA[Priority],0))+1,3)),"YES","No")</f>
        <v>#N/A</v>
      </c>
      <c r="AI895" s="28" t="str">
        <f>_xlfn.IFNA(IF(AE895 &lt; (INDEX(SLATable[Minimum SLA],MATCH(G895,SLATable[Priority],0))),"YES","NO"),"")</f>
        <v/>
      </c>
      <c r="AJ895" s="28" t="str">
        <f>_xlfn.IFNA(IF(AE895 &lt; (INDEX(SLATable[Maximum SLA],MATCH(G895,SLATable[Priority],0))),"YES","NO"),"")</f>
        <v/>
      </c>
    </row>
    <row r="896" spans="2:36" ht="15" customHeight="1">
      <c r="Z896" s="169" t="e">
        <f t="shared" ca="1" si="149"/>
        <v>#N/A</v>
      </c>
      <c r="AA896" s="170" t="e">
        <f t="shared" ca="1" si="150"/>
        <v>#N/A</v>
      </c>
      <c r="AB896" s="169">
        <f t="shared" ca="1" si="151"/>
        <v>0</v>
      </c>
      <c r="AC896" s="170">
        <f t="shared" ca="1" si="152"/>
        <v>0</v>
      </c>
      <c r="AD896" s="169">
        <f t="shared" ca="1" si="153"/>
        <v>12388.42564085648</v>
      </c>
      <c r="AE896" s="169">
        <f t="shared" si="156"/>
        <v>0</v>
      </c>
      <c r="AF896" s="170">
        <f t="shared" si="154"/>
        <v>0</v>
      </c>
      <c r="AG896" s="170">
        <f t="shared" si="155"/>
        <v>0</v>
      </c>
      <c r="AH896" s="28" t="e" cm="1">
        <f t="array" aca="1" ref="AH896" ca="1">IF((AD896) &lt; (INDEX(ResponseSLA[#All],(MATCH((G896),ResponseSLA[Priority],0))+1,3)),"YES","No")</f>
        <v>#N/A</v>
      </c>
      <c r="AI896" s="28" t="str">
        <f>_xlfn.IFNA(IF(AE896 &lt; (INDEX(SLATable[Minimum SLA],MATCH(G896,SLATable[Priority],0))),"YES","NO"),"")</f>
        <v/>
      </c>
      <c r="AJ896" s="28" t="str">
        <f>_xlfn.IFNA(IF(AE896 &lt; (INDEX(SLATable[Maximum SLA],MATCH(G896,SLATable[Priority],0))),"YES","NO"),"")</f>
        <v/>
      </c>
    </row>
    <row r="897" spans="26:36" ht="15" customHeight="1">
      <c r="Z897" s="169" t="e">
        <f t="shared" ca="1" si="149"/>
        <v>#N/A</v>
      </c>
      <c r="AA897" s="170" t="e">
        <f t="shared" ca="1" si="150"/>
        <v>#N/A</v>
      </c>
      <c r="AB897" s="169">
        <f t="shared" ca="1" si="151"/>
        <v>0</v>
      </c>
      <c r="AC897" s="170">
        <f t="shared" ca="1" si="152"/>
        <v>0</v>
      </c>
      <c r="AD897" s="169">
        <f t="shared" ca="1" si="153"/>
        <v>12388.42564085648</v>
      </c>
      <c r="AE897" s="169">
        <f t="shared" si="156"/>
        <v>0</v>
      </c>
      <c r="AF897" s="170">
        <f t="shared" si="154"/>
        <v>0</v>
      </c>
      <c r="AG897" s="170">
        <f t="shared" si="155"/>
        <v>0</v>
      </c>
      <c r="AH897" s="28" t="e" cm="1">
        <f t="array" aca="1" ref="AH897" ca="1">IF((AD897) &lt; (INDEX(ResponseSLA[#All],(MATCH((G897),ResponseSLA[Priority],0))+1,3)),"YES","No")</f>
        <v>#N/A</v>
      </c>
      <c r="AI897" s="28" t="str">
        <f>_xlfn.IFNA(IF(AE897 &lt; (INDEX(SLATable[Minimum SLA],MATCH(G897,SLATable[Priority],0))),"YES","NO"),"")</f>
        <v/>
      </c>
      <c r="AJ897" s="28" t="str">
        <f>_xlfn.IFNA(IF(AE897 &lt; (INDEX(SLATable[Maximum SLA],MATCH(G897,SLATable[Priority],0))),"YES","NO"),"")</f>
        <v/>
      </c>
    </row>
    <row r="898" spans="26:36" ht="15" customHeight="1">
      <c r="Z898" s="169" t="e">
        <f t="shared" ca="1" si="149"/>
        <v>#N/A</v>
      </c>
      <c r="AA898" s="170" t="e">
        <f t="shared" ca="1" si="150"/>
        <v>#N/A</v>
      </c>
      <c r="AB898" s="169">
        <f t="shared" ca="1" si="151"/>
        <v>0</v>
      </c>
      <c r="AC898" s="170">
        <f t="shared" ca="1" si="152"/>
        <v>0</v>
      </c>
      <c r="AD898" s="169">
        <f t="shared" ca="1" si="153"/>
        <v>12388.42564085648</v>
      </c>
      <c r="AE898" s="169">
        <f t="shared" si="156"/>
        <v>0</v>
      </c>
      <c r="AF898" s="170">
        <f t="shared" si="154"/>
        <v>0</v>
      </c>
      <c r="AG898" s="170">
        <f t="shared" si="155"/>
        <v>0</v>
      </c>
      <c r="AH898" s="28" t="e" cm="1">
        <f t="array" aca="1" ref="AH898" ca="1">IF((AD898) &lt; (INDEX(ResponseSLA[#All],(MATCH((G898),ResponseSLA[Priority],0))+1,3)),"YES","No")</f>
        <v>#N/A</v>
      </c>
      <c r="AI898" s="28" t="str">
        <f>_xlfn.IFNA(IF(AE898 &lt; (INDEX(SLATable[Minimum SLA],MATCH(G898,SLATable[Priority],0))),"YES","NO"),"")</f>
        <v/>
      </c>
      <c r="AJ898" s="28" t="str">
        <f>_xlfn.IFNA(IF(AE898 &lt; (INDEX(SLATable[Maximum SLA],MATCH(G898,SLATable[Priority],0))),"YES","NO"),"")</f>
        <v/>
      </c>
    </row>
    <row r="899" spans="26:36" ht="15" customHeight="1">
      <c r="Z899" s="169" t="e">
        <f t="shared" ca="1" si="149"/>
        <v>#N/A</v>
      </c>
      <c r="AA899" s="170" t="e">
        <f t="shared" ca="1" si="150"/>
        <v>#N/A</v>
      </c>
      <c r="AB899" s="169">
        <f t="shared" ca="1" si="151"/>
        <v>0</v>
      </c>
      <c r="AC899" s="170">
        <f t="shared" ca="1" si="152"/>
        <v>0</v>
      </c>
      <c r="AD899" s="169">
        <f t="shared" ca="1" si="153"/>
        <v>12388.42564085648</v>
      </c>
      <c r="AE899" s="169">
        <f t="shared" si="156"/>
        <v>0</v>
      </c>
      <c r="AF899" s="170">
        <f t="shared" si="154"/>
        <v>0</v>
      </c>
      <c r="AG899" s="170">
        <f t="shared" si="155"/>
        <v>0</v>
      </c>
      <c r="AH899" s="28" t="e" cm="1">
        <f t="array" aca="1" ref="AH899" ca="1">IF((AD899) &lt; (INDEX(ResponseSLA[#All],(MATCH((G899),ResponseSLA[Priority],0))+1,3)),"YES","No")</f>
        <v>#N/A</v>
      </c>
      <c r="AI899" s="28" t="str">
        <f>_xlfn.IFNA(IF(AE899 &lt; (INDEX(SLATable[Minimum SLA],MATCH(G899,SLATable[Priority],0))),"YES","NO"),"")</f>
        <v/>
      </c>
      <c r="AJ899" s="28" t="str">
        <f>_xlfn.IFNA(IF(AE899 &lt; (INDEX(SLATable[Maximum SLA],MATCH(G899,SLATable[Priority],0))),"YES","NO"),"")</f>
        <v/>
      </c>
    </row>
    <row r="900" spans="26:36" ht="15" customHeight="1">
      <c r="Z900" s="169" t="e">
        <f t="shared" ca="1" si="149"/>
        <v>#N/A</v>
      </c>
      <c r="AA900" s="170" t="e">
        <f t="shared" ca="1" si="150"/>
        <v>#N/A</v>
      </c>
      <c r="AB900" s="169">
        <f t="shared" ca="1" si="151"/>
        <v>0</v>
      </c>
      <c r="AC900" s="170">
        <f t="shared" ca="1" si="152"/>
        <v>0</v>
      </c>
      <c r="AD900" s="169">
        <f t="shared" ca="1" si="153"/>
        <v>12388.42564085648</v>
      </c>
      <c r="AE900" s="169">
        <f t="shared" si="156"/>
        <v>0</v>
      </c>
      <c r="AF900" s="170">
        <f t="shared" si="154"/>
        <v>0</v>
      </c>
      <c r="AG900" s="170">
        <f t="shared" si="155"/>
        <v>0</v>
      </c>
      <c r="AH900" s="28" t="e" cm="1">
        <f t="array" aca="1" ref="AH900" ca="1">IF((AD900) &lt; (INDEX(ResponseSLA[#All],(MATCH((G900),ResponseSLA[Priority],0))+1,3)),"YES","No")</f>
        <v>#N/A</v>
      </c>
      <c r="AI900" s="28" t="str">
        <f>_xlfn.IFNA(IF(AE900 &lt; (INDEX(SLATable[Minimum SLA],MATCH(G900,SLATable[Priority],0))),"YES","NO"),"")</f>
        <v/>
      </c>
      <c r="AJ900" s="28" t="str">
        <f>_xlfn.IFNA(IF(AE900 &lt; (INDEX(SLATable[Maximum SLA],MATCH(G900,SLATable[Priority],0))),"YES","NO"),"")</f>
        <v/>
      </c>
    </row>
    <row r="901" spans="26:36" ht="15" customHeight="1">
      <c r="Z901" s="169" t="e">
        <f t="shared" ca="1" si="149"/>
        <v>#N/A</v>
      </c>
      <c r="AA901" s="170" t="e">
        <f t="shared" ca="1" si="150"/>
        <v>#N/A</v>
      </c>
      <c r="AB901" s="169">
        <f t="shared" ca="1" si="151"/>
        <v>0</v>
      </c>
      <c r="AC901" s="170">
        <f t="shared" ca="1" si="152"/>
        <v>0</v>
      </c>
      <c r="AD901" s="169">
        <f t="shared" ca="1" si="153"/>
        <v>12388.42564085648</v>
      </c>
      <c r="AE901" s="169">
        <f t="shared" si="156"/>
        <v>0</v>
      </c>
      <c r="AF901" s="170">
        <f t="shared" si="154"/>
        <v>0</v>
      </c>
      <c r="AG901" s="170">
        <f t="shared" si="155"/>
        <v>0</v>
      </c>
      <c r="AH901" s="28" t="e" cm="1">
        <f t="array" aca="1" ref="AH901" ca="1">IF((AD901) &lt; (INDEX(ResponseSLA[#All],(MATCH((G901),ResponseSLA[Priority],0))+1,3)),"YES","No")</f>
        <v>#N/A</v>
      </c>
      <c r="AI901" s="28" t="str">
        <f>_xlfn.IFNA(IF(AE901 &lt; (INDEX(SLATable[Minimum SLA],MATCH(G901,SLATable[Priority],0))),"YES","NO"),"")</f>
        <v/>
      </c>
      <c r="AJ901" s="28" t="str">
        <f>_xlfn.IFNA(IF(AE901 &lt; (INDEX(SLATable[Maximum SLA],MATCH(G901,SLATable[Priority],0))),"YES","NO"),"")</f>
        <v/>
      </c>
    </row>
    <row r="902" spans="26:36" ht="15" customHeight="1">
      <c r="Z902" s="169" t="e">
        <f t="shared" ca="1" si="149"/>
        <v>#N/A</v>
      </c>
      <c r="AA902" s="170" t="e">
        <f t="shared" ca="1" si="150"/>
        <v>#N/A</v>
      </c>
      <c r="AB902" s="169">
        <f t="shared" ca="1" si="151"/>
        <v>0</v>
      </c>
      <c r="AC902" s="170">
        <f t="shared" ca="1" si="152"/>
        <v>0</v>
      </c>
      <c r="AD902" s="169">
        <f t="shared" ca="1" si="153"/>
        <v>12388.42564085648</v>
      </c>
      <c r="AE902" s="169">
        <f t="shared" si="156"/>
        <v>0</v>
      </c>
      <c r="AF902" s="170">
        <f t="shared" si="154"/>
        <v>0</v>
      </c>
      <c r="AG902" s="170">
        <f t="shared" si="155"/>
        <v>0</v>
      </c>
      <c r="AH902" s="28" t="e" cm="1">
        <f t="array" aca="1" ref="AH902" ca="1">IF((AD902) &lt; (INDEX(ResponseSLA[#All],(MATCH((G902),ResponseSLA[Priority],0))+1,3)),"YES","No")</f>
        <v>#N/A</v>
      </c>
      <c r="AI902" s="28" t="str">
        <f>_xlfn.IFNA(IF(AE902 &lt; (INDEX(SLATable[Minimum SLA],MATCH(G902,SLATable[Priority],0))),"YES","NO"),"")</f>
        <v/>
      </c>
      <c r="AJ902" s="28" t="str">
        <f>_xlfn.IFNA(IF(AE902 &lt; (INDEX(SLATable[Maximum SLA],MATCH(G902,SLATable[Priority],0))),"YES","NO"),"")</f>
        <v/>
      </c>
    </row>
    <row r="903" spans="26:36" ht="15" customHeight="1">
      <c r="Z903" s="169" t="e">
        <f t="shared" ca="1" si="149"/>
        <v>#N/A</v>
      </c>
      <c r="AA903" s="170" t="e">
        <f t="shared" ca="1" si="150"/>
        <v>#N/A</v>
      </c>
      <c r="AB903" s="169">
        <f t="shared" ca="1" si="151"/>
        <v>0</v>
      </c>
      <c r="AC903" s="170">
        <f t="shared" ca="1" si="152"/>
        <v>0</v>
      </c>
      <c r="AD903" s="169">
        <f t="shared" ca="1" si="153"/>
        <v>12388.42564085648</v>
      </c>
      <c r="AE903" s="169">
        <f t="shared" si="156"/>
        <v>0</v>
      </c>
      <c r="AF903" s="170">
        <f t="shared" si="154"/>
        <v>0</v>
      </c>
      <c r="AG903" s="170">
        <f t="shared" si="155"/>
        <v>0</v>
      </c>
      <c r="AH903" s="28" t="e" cm="1">
        <f t="array" aca="1" ref="AH903" ca="1">IF((AD903) &lt; (INDEX(ResponseSLA[#All],(MATCH((G903),ResponseSLA[Priority],0))+1,3)),"YES","No")</f>
        <v>#N/A</v>
      </c>
      <c r="AI903" s="28" t="str">
        <f>_xlfn.IFNA(IF(AE903 &lt; (INDEX(SLATable[Minimum SLA],MATCH(G903,SLATable[Priority],0))),"YES","NO"),"")</f>
        <v/>
      </c>
      <c r="AJ903" s="28" t="str">
        <f>_xlfn.IFNA(IF(AE903 &lt; (INDEX(SLATable[Maximum SLA],MATCH(G903,SLATable[Priority],0))),"YES","NO"),"")</f>
        <v/>
      </c>
    </row>
    <row r="904" spans="26:36" ht="15" customHeight="1">
      <c r="Z904" s="169" t="e">
        <f t="shared" ca="1" si="149"/>
        <v>#N/A</v>
      </c>
      <c r="AA904" s="170" t="e">
        <f t="shared" ca="1" si="150"/>
        <v>#N/A</v>
      </c>
      <c r="AB904" s="169">
        <f t="shared" ca="1" si="151"/>
        <v>0</v>
      </c>
      <c r="AC904" s="170">
        <f t="shared" ca="1" si="152"/>
        <v>0</v>
      </c>
      <c r="AD904" s="169">
        <f t="shared" ca="1" si="153"/>
        <v>12388.42564085648</v>
      </c>
      <c r="AE904" s="169">
        <f t="shared" si="156"/>
        <v>0</v>
      </c>
      <c r="AF904" s="170">
        <f t="shared" si="154"/>
        <v>0</v>
      </c>
      <c r="AG904" s="170">
        <f t="shared" si="155"/>
        <v>0</v>
      </c>
      <c r="AH904" s="28" t="e" cm="1">
        <f t="array" aca="1" ref="AH904" ca="1">IF((AD904) &lt; (INDEX(ResponseSLA[#All],(MATCH((G904),ResponseSLA[Priority],0))+1,3)),"YES","No")</f>
        <v>#N/A</v>
      </c>
      <c r="AI904" s="28" t="str">
        <f>_xlfn.IFNA(IF(AE904 &lt; (INDEX(SLATable[Minimum SLA],MATCH(G904,SLATable[Priority],0))),"YES","NO"),"")</f>
        <v/>
      </c>
      <c r="AJ904" s="28" t="str">
        <f>_xlfn.IFNA(IF(AE904 &lt; (INDEX(SLATable[Maximum SLA],MATCH(G904,SLATable[Priority],0))),"YES","NO"),"")</f>
        <v/>
      </c>
    </row>
    <row r="905" spans="26:36" ht="15" customHeight="1">
      <c r="Z905" s="169" t="e">
        <f t="shared" ca="1" si="149"/>
        <v>#N/A</v>
      </c>
      <c r="AA905" s="170" t="e">
        <f t="shared" ca="1" si="150"/>
        <v>#N/A</v>
      </c>
      <c r="AB905" s="169">
        <f t="shared" ca="1" si="151"/>
        <v>0</v>
      </c>
      <c r="AC905" s="170">
        <f t="shared" ca="1" si="152"/>
        <v>0</v>
      </c>
      <c r="AD905" s="169">
        <f t="shared" ca="1" si="153"/>
        <v>12388.42564085648</v>
      </c>
      <c r="AE905" s="169">
        <f t="shared" si="156"/>
        <v>0</v>
      </c>
      <c r="AF905" s="170">
        <f t="shared" si="154"/>
        <v>0</v>
      </c>
      <c r="AG905" s="170">
        <f t="shared" si="155"/>
        <v>0</v>
      </c>
      <c r="AH905" s="28" t="e" cm="1">
        <f t="array" aca="1" ref="AH905" ca="1">IF((AD905) &lt; (INDEX(ResponseSLA[#All],(MATCH((G905),ResponseSLA[Priority],0))+1,3)),"YES","No")</f>
        <v>#N/A</v>
      </c>
      <c r="AI905" s="28" t="str">
        <f>_xlfn.IFNA(IF(AE905 &lt; (INDEX(SLATable[Minimum SLA],MATCH(G905,SLATable[Priority],0))),"YES","NO"),"")</f>
        <v/>
      </c>
      <c r="AJ905" s="28" t="str">
        <f>_xlfn.IFNA(IF(AE905 &lt; (INDEX(SLATable[Maximum SLA],MATCH(G905,SLATable[Priority],0))),"YES","NO"),"")</f>
        <v/>
      </c>
    </row>
    <row r="906" spans="26:36" ht="15" customHeight="1">
      <c r="Z906" s="169" t="e">
        <f t="shared" ca="1" si="149"/>
        <v>#N/A</v>
      </c>
      <c r="AA906" s="170" t="e">
        <f t="shared" ca="1" si="150"/>
        <v>#N/A</v>
      </c>
      <c r="AB906" s="169">
        <f t="shared" ca="1" si="151"/>
        <v>0</v>
      </c>
      <c r="AC906" s="170">
        <f t="shared" ca="1" si="152"/>
        <v>0</v>
      </c>
      <c r="AD906" s="169">
        <f t="shared" ca="1" si="153"/>
        <v>12388.42564085648</v>
      </c>
      <c r="AE906" s="169">
        <f t="shared" si="156"/>
        <v>0</v>
      </c>
      <c r="AF906" s="170">
        <f t="shared" si="154"/>
        <v>0</v>
      </c>
      <c r="AG906" s="170">
        <f t="shared" si="155"/>
        <v>0</v>
      </c>
      <c r="AH906" s="28" t="e" cm="1">
        <f t="array" aca="1" ref="AH906" ca="1">IF((AD906) &lt; (INDEX(ResponseSLA[#All],(MATCH((G906),ResponseSLA[Priority],0))+1,3)),"YES","No")</f>
        <v>#N/A</v>
      </c>
      <c r="AI906" s="28" t="str">
        <f>_xlfn.IFNA(IF(AE906 &lt; (INDEX(SLATable[Minimum SLA],MATCH(G906,SLATable[Priority],0))),"YES","NO"),"")</f>
        <v/>
      </c>
      <c r="AJ906" s="28" t="str">
        <f>_xlfn.IFNA(IF(AE906 &lt; (INDEX(SLATable[Maximum SLA],MATCH(G906,SLATable[Priority],0))),"YES","NO"),"")</f>
        <v/>
      </c>
    </row>
    <row r="907" spans="26:36" ht="15" customHeight="1">
      <c r="Z907" s="169" t="e">
        <f t="shared" ca="1" si="149"/>
        <v>#N/A</v>
      </c>
      <c r="AA907" s="170" t="e">
        <f t="shared" ca="1" si="150"/>
        <v>#N/A</v>
      </c>
      <c r="AB907" s="169">
        <f t="shared" ca="1" si="151"/>
        <v>0</v>
      </c>
      <c r="AC907" s="170">
        <f t="shared" ca="1" si="152"/>
        <v>0</v>
      </c>
      <c r="AD907" s="169">
        <f t="shared" ca="1" si="153"/>
        <v>12388.42564085648</v>
      </c>
      <c r="AE907" s="169">
        <f t="shared" si="156"/>
        <v>0</v>
      </c>
      <c r="AF907" s="170">
        <f t="shared" si="154"/>
        <v>0</v>
      </c>
      <c r="AG907" s="170">
        <f t="shared" si="155"/>
        <v>0</v>
      </c>
      <c r="AH907" s="28" t="e" cm="1">
        <f t="array" aca="1" ref="AH907" ca="1">IF((AD907) &lt; (INDEX(ResponseSLA[#All],(MATCH((G907),ResponseSLA[Priority],0))+1,3)),"YES","No")</f>
        <v>#N/A</v>
      </c>
      <c r="AI907" s="28" t="str">
        <f>_xlfn.IFNA(IF(AE907 &lt; (INDEX(SLATable[Minimum SLA],MATCH(G907,SLATable[Priority],0))),"YES","NO"),"")</f>
        <v/>
      </c>
      <c r="AJ907" s="28" t="str">
        <f>_xlfn.IFNA(IF(AE907 &lt; (INDEX(SLATable[Maximum SLA],MATCH(G907,SLATable[Priority],0))),"YES","NO"),"")</f>
        <v/>
      </c>
    </row>
    <row r="908" spans="26:36" ht="15" customHeight="1">
      <c r="Z908" s="169" t="e">
        <f t="shared" ca="1" si="149"/>
        <v>#N/A</v>
      </c>
      <c r="AA908" s="170" t="e">
        <f t="shared" ca="1" si="150"/>
        <v>#N/A</v>
      </c>
      <c r="AB908" s="169">
        <f t="shared" ca="1" si="151"/>
        <v>0</v>
      </c>
      <c r="AC908" s="170">
        <f t="shared" ca="1" si="152"/>
        <v>0</v>
      </c>
      <c r="AD908" s="169">
        <f t="shared" ca="1" si="153"/>
        <v>12388.42564085648</v>
      </c>
      <c r="AE908" s="169">
        <f t="shared" si="156"/>
        <v>0</v>
      </c>
      <c r="AF908" s="170">
        <f t="shared" si="154"/>
        <v>0</v>
      </c>
      <c r="AG908" s="170">
        <f t="shared" si="155"/>
        <v>0</v>
      </c>
      <c r="AH908" s="28" t="e" cm="1">
        <f t="array" aca="1" ref="AH908" ca="1">IF((AD908) &lt; (INDEX(ResponseSLA[#All],(MATCH((G908),ResponseSLA[Priority],0))+1,3)),"YES","No")</f>
        <v>#N/A</v>
      </c>
      <c r="AI908" s="28" t="str">
        <f>_xlfn.IFNA(IF(AE908 &lt; (INDEX(SLATable[Minimum SLA],MATCH(G908,SLATable[Priority],0))),"YES","NO"),"")</f>
        <v/>
      </c>
      <c r="AJ908" s="28" t="str">
        <f>_xlfn.IFNA(IF(AE908 &lt; (INDEX(SLATable[Maximum SLA],MATCH(G908,SLATable[Priority],0))),"YES","NO"),"")</f>
        <v/>
      </c>
    </row>
    <row r="909" spans="26:36" ht="15" customHeight="1">
      <c r="Z909" s="169" t="e">
        <f t="shared" ca="1" si="149"/>
        <v>#N/A</v>
      </c>
      <c r="AA909" s="170" t="e">
        <f t="shared" ca="1" si="150"/>
        <v>#N/A</v>
      </c>
      <c r="AB909" s="169">
        <f t="shared" ca="1" si="151"/>
        <v>0</v>
      </c>
      <c r="AC909" s="170">
        <f t="shared" ca="1" si="152"/>
        <v>0</v>
      </c>
      <c r="AD909" s="169">
        <f t="shared" ca="1" si="153"/>
        <v>12388.42564085648</v>
      </c>
      <c r="AE909" s="169">
        <f t="shared" si="156"/>
        <v>0</v>
      </c>
      <c r="AF909" s="170">
        <f t="shared" si="154"/>
        <v>0</v>
      </c>
      <c r="AG909" s="170">
        <f t="shared" si="155"/>
        <v>0</v>
      </c>
      <c r="AH909" s="28" t="e" cm="1">
        <f t="array" aca="1" ref="AH909" ca="1">IF((AD909) &lt; (INDEX(ResponseSLA[#All],(MATCH((G909),ResponseSLA[Priority],0))+1,3)),"YES","No")</f>
        <v>#N/A</v>
      </c>
      <c r="AI909" s="28" t="str">
        <f>_xlfn.IFNA(IF(AE909 &lt; (INDEX(SLATable[Minimum SLA],MATCH(G909,SLATable[Priority],0))),"YES","NO"),"")</f>
        <v/>
      </c>
      <c r="AJ909" s="28" t="str">
        <f>_xlfn.IFNA(IF(AE909 &lt; (INDEX(SLATable[Maximum SLA],MATCH(G909,SLATable[Priority],0))),"YES","NO"),"")</f>
        <v/>
      </c>
    </row>
    <row r="910" spans="26:36" ht="15" customHeight="1">
      <c r="Z910" s="169" t="e">
        <f t="shared" ca="1" si="149"/>
        <v>#N/A</v>
      </c>
      <c r="AA910" s="170" t="e">
        <f t="shared" ca="1" si="150"/>
        <v>#N/A</v>
      </c>
      <c r="AB910" s="169">
        <f t="shared" ca="1" si="151"/>
        <v>0</v>
      </c>
      <c r="AC910" s="170">
        <f t="shared" ca="1" si="152"/>
        <v>0</v>
      </c>
      <c r="AD910" s="169">
        <f t="shared" ca="1" si="153"/>
        <v>12388.42564085648</v>
      </c>
      <c r="AE910" s="169">
        <f t="shared" si="156"/>
        <v>0</v>
      </c>
      <c r="AF910" s="170">
        <f t="shared" si="154"/>
        <v>0</v>
      </c>
      <c r="AG910" s="170">
        <f t="shared" si="155"/>
        <v>0</v>
      </c>
      <c r="AH910" s="28" t="e" cm="1">
        <f t="array" aca="1" ref="AH910" ca="1">IF((AD910) &lt; (INDEX(ResponseSLA[#All],(MATCH((G910),ResponseSLA[Priority],0))+1,3)),"YES","No")</f>
        <v>#N/A</v>
      </c>
      <c r="AI910" s="28" t="str">
        <f>_xlfn.IFNA(IF(AE910 &lt; (INDEX(SLATable[Minimum SLA],MATCH(G910,SLATable[Priority],0))),"YES","NO"),"")</f>
        <v/>
      </c>
      <c r="AJ910" s="28" t="str">
        <f>_xlfn.IFNA(IF(AE910 &lt; (INDEX(SLATable[Maximum SLA],MATCH(G910,SLATable[Priority],0))),"YES","NO"),"")</f>
        <v/>
      </c>
    </row>
    <row r="911" spans="26:36" ht="15" customHeight="1">
      <c r="Z911" s="169" t="e">
        <f t="shared" ca="1" si="149"/>
        <v>#N/A</v>
      </c>
      <c r="AA911" s="170" t="e">
        <f t="shared" ca="1" si="150"/>
        <v>#N/A</v>
      </c>
      <c r="AB911" s="169">
        <f t="shared" ca="1" si="151"/>
        <v>0</v>
      </c>
      <c r="AC911" s="170">
        <f t="shared" ca="1" si="152"/>
        <v>0</v>
      </c>
      <c r="AD911" s="169">
        <f t="shared" ca="1" si="153"/>
        <v>12388.42564085648</v>
      </c>
      <c r="AE911" s="169">
        <f t="shared" si="156"/>
        <v>0</v>
      </c>
      <c r="AF911" s="170">
        <f t="shared" si="154"/>
        <v>0</v>
      </c>
      <c r="AG911" s="170">
        <f t="shared" si="155"/>
        <v>0</v>
      </c>
      <c r="AH911" s="28" t="e" cm="1">
        <f t="array" aca="1" ref="AH911" ca="1">IF((AD911) &lt; (INDEX(ResponseSLA[#All],(MATCH((G911),ResponseSLA[Priority],0))+1,3)),"YES","No")</f>
        <v>#N/A</v>
      </c>
      <c r="AI911" s="28" t="str">
        <f>_xlfn.IFNA(IF(AE911 &lt; (INDEX(SLATable[Minimum SLA],MATCH(G911,SLATable[Priority],0))),"YES","NO"),"")</f>
        <v/>
      </c>
      <c r="AJ911" s="28" t="str">
        <f>_xlfn.IFNA(IF(AE911 &lt; (INDEX(SLATable[Maximum SLA],MATCH(G911,SLATable[Priority],0))),"YES","NO"),"")</f>
        <v/>
      </c>
    </row>
    <row r="912" spans="26:36" ht="15" customHeight="1">
      <c r="Z912" s="169" t="e">
        <f t="shared" ca="1" si="149"/>
        <v>#N/A</v>
      </c>
      <c r="AA912" s="170" t="e">
        <f t="shared" ca="1" si="150"/>
        <v>#N/A</v>
      </c>
      <c r="AB912" s="169">
        <f t="shared" ca="1" si="151"/>
        <v>0</v>
      </c>
      <c r="AC912" s="170">
        <f t="shared" ca="1" si="152"/>
        <v>0</v>
      </c>
      <c r="AD912" s="169">
        <f t="shared" ca="1" si="153"/>
        <v>12388.42564085648</v>
      </c>
      <c r="AE912" s="169">
        <f t="shared" si="156"/>
        <v>0</v>
      </c>
      <c r="AF912" s="170">
        <f t="shared" si="154"/>
        <v>0</v>
      </c>
      <c r="AG912" s="170">
        <f t="shared" si="155"/>
        <v>0</v>
      </c>
      <c r="AH912" s="28" t="e" cm="1">
        <f t="array" aca="1" ref="AH912" ca="1">IF((AD912) &lt; (INDEX(ResponseSLA[#All],(MATCH((G912),ResponseSLA[Priority],0))+1,3)),"YES","No")</f>
        <v>#N/A</v>
      </c>
      <c r="AI912" s="28" t="str">
        <f>_xlfn.IFNA(IF(AE912 &lt; (INDEX(SLATable[Minimum SLA],MATCH(G912,SLATable[Priority],0))),"YES","NO"),"")</f>
        <v/>
      </c>
      <c r="AJ912" s="28" t="str">
        <f>_xlfn.IFNA(IF(AE912 &lt; (INDEX(SLATable[Maximum SLA],MATCH(G912,SLATable[Priority],0))),"YES","NO"),"")</f>
        <v/>
      </c>
    </row>
    <row r="913" spans="26:36" ht="15" customHeight="1">
      <c r="Z913" s="169" t="e">
        <f t="shared" ca="1" si="149"/>
        <v>#N/A</v>
      </c>
      <c r="AA913" s="170" t="e">
        <f t="shared" ca="1" si="150"/>
        <v>#N/A</v>
      </c>
      <c r="AB913" s="169">
        <f t="shared" ca="1" si="151"/>
        <v>0</v>
      </c>
      <c r="AC913" s="170">
        <f t="shared" ca="1" si="152"/>
        <v>0</v>
      </c>
      <c r="AD913" s="169">
        <f t="shared" ca="1" si="153"/>
        <v>12388.42564085648</v>
      </c>
      <c r="AE913" s="169">
        <f t="shared" si="156"/>
        <v>0</v>
      </c>
      <c r="AF913" s="170">
        <f t="shared" si="154"/>
        <v>0</v>
      </c>
      <c r="AG913" s="170">
        <f t="shared" si="155"/>
        <v>0</v>
      </c>
      <c r="AH913" s="28" t="e" cm="1">
        <f t="array" aca="1" ref="AH913" ca="1">IF((AD913) &lt; (INDEX(ResponseSLA[#All],(MATCH((G913),ResponseSLA[Priority],0))+1,3)),"YES","No")</f>
        <v>#N/A</v>
      </c>
      <c r="AI913" s="28" t="str">
        <f>_xlfn.IFNA(IF(AE913 &lt; (INDEX(SLATable[Minimum SLA],MATCH(G913,SLATable[Priority],0))),"YES","NO"),"")</f>
        <v/>
      </c>
      <c r="AJ913" s="28" t="str">
        <f>_xlfn.IFNA(IF(AE913 &lt; (INDEX(SLATable[Maximum SLA],MATCH(G913,SLATable[Priority],0))),"YES","NO"),"")</f>
        <v/>
      </c>
    </row>
    <row r="914" spans="26:36" ht="15" customHeight="1">
      <c r="Z914" s="169" t="e">
        <f t="shared" ca="1" si="149"/>
        <v>#N/A</v>
      </c>
      <c r="AA914" s="170" t="e">
        <f t="shared" ca="1" si="150"/>
        <v>#N/A</v>
      </c>
      <c r="AB914" s="169">
        <f t="shared" ca="1" si="151"/>
        <v>0</v>
      </c>
      <c r="AC914" s="170">
        <f t="shared" ca="1" si="152"/>
        <v>0</v>
      </c>
      <c r="AD914" s="169">
        <f t="shared" ca="1" si="153"/>
        <v>12388.42564085648</v>
      </c>
      <c r="AE914" s="169">
        <f t="shared" si="156"/>
        <v>0</v>
      </c>
      <c r="AF914" s="170">
        <f t="shared" si="154"/>
        <v>0</v>
      </c>
      <c r="AG914" s="170">
        <f t="shared" si="155"/>
        <v>0</v>
      </c>
      <c r="AH914" s="28" t="e" cm="1">
        <f t="array" aca="1" ref="AH914" ca="1">IF((AD914) &lt; (INDEX(ResponseSLA[#All],(MATCH((G914),ResponseSLA[Priority],0))+1,3)),"YES","No")</f>
        <v>#N/A</v>
      </c>
      <c r="AI914" s="28" t="str">
        <f>_xlfn.IFNA(IF(AE914 &lt; (INDEX(SLATable[Minimum SLA],MATCH(G914,SLATable[Priority],0))),"YES","NO"),"")</f>
        <v/>
      </c>
      <c r="AJ914" s="28" t="str">
        <f>_xlfn.IFNA(IF(AE914 &lt; (INDEX(SLATable[Maximum SLA],MATCH(G914,SLATable[Priority],0))),"YES","NO"),"")</f>
        <v/>
      </c>
    </row>
    <row r="915" spans="26:36" ht="15" customHeight="1">
      <c r="Z915" s="169" t="e">
        <f t="shared" ca="1" si="149"/>
        <v>#N/A</v>
      </c>
      <c r="AA915" s="170" t="e">
        <f t="shared" ca="1" si="150"/>
        <v>#N/A</v>
      </c>
      <c r="AB915" s="169">
        <f t="shared" ca="1" si="151"/>
        <v>0</v>
      </c>
      <c r="AC915" s="170">
        <f t="shared" ca="1" si="152"/>
        <v>0</v>
      </c>
      <c r="AD915" s="169">
        <f t="shared" ca="1" si="153"/>
        <v>12388.42564085648</v>
      </c>
      <c r="AE915" s="169">
        <f t="shared" si="156"/>
        <v>0</v>
      </c>
      <c r="AF915" s="170">
        <f t="shared" si="154"/>
        <v>0</v>
      </c>
      <c r="AG915" s="170">
        <f t="shared" si="155"/>
        <v>0</v>
      </c>
      <c r="AH915" s="28" t="e" cm="1">
        <f t="array" aca="1" ref="AH915" ca="1">IF((AD915) &lt; (INDEX(ResponseSLA[#All],(MATCH((G915),ResponseSLA[Priority],0))+1,3)),"YES","No")</f>
        <v>#N/A</v>
      </c>
      <c r="AI915" s="28" t="str">
        <f>_xlfn.IFNA(IF(AE915 &lt; (INDEX(SLATable[Minimum SLA],MATCH(G915,SLATable[Priority],0))),"YES","NO"),"")</f>
        <v/>
      </c>
      <c r="AJ915" s="28" t="str">
        <f>_xlfn.IFNA(IF(AE915 &lt; (INDEX(SLATable[Maximum SLA],MATCH(G915,SLATable[Priority],0))),"YES","NO"),"")</f>
        <v/>
      </c>
    </row>
    <row r="916" spans="26:36" ht="15" customHeight="1">
      <c r="Z916" s="169" t="e">
        <f t="shared" ca="1" si="149"/>
        <v>#N/A</v>
      </c>
      <c r="AA916" s="170" t="e">
        <f t="shared" ca="1" si="150"/>
        <v>#N/A</v>
      </c>
      <c r="AB916" s="169">
        <f t="shared" ca="1" si="151"/>
        <v>0</v>
      </c>
      <c r="AC916" s="170">
        <f t="shared" ca="1" si="152"/>
        <v>0</v>
      </c>
      <c r="AD916" s="169">
        <f t="shared" ca="1" si="153"/>
        <v>12388.42564085648</v>
      </c>
      <c r="AE916" s="169">
        <f t="shared" si="156"/>
        <v>0</v>
      </c>
      <c r="AF916" s="170">
        <f t="shared" si="154"/>
        <v>0</v>
      </c>
      <c r="AG916" s="170">
        <f t="shared" si="155"/>
        <v>0</v>
      </c>
      <c r="AH916" s="28" t="e" cm="1">
        <f t="array" aca="1" ref="AH916" ca="1">IF((AD916) &lt; (INDEX(ResponseSLA[#All],(MATCH((G916),ResponseSLA[Priority],0))+1,3)),"YES","No")</f>
        <v>#N/A</v>
      </c>
      <c r="AI916" s="28" t="str">
        <f>_xlfn.IFNA(IF(AE916 &lt; (INDEX(SLATable[Minimum SLA],MATCH(G916,SLATable[Priority],0))),"YES","NO"),"")</f>
        <v/>
      </c>
      <c r="AJ916" s="28" t="str">
        <f>_xlfn.IFNA(IF(AE916 &lt; (INDEX(SLATable[Maximum SLA],MATCH(G916,SLATable[Priority],0))),"YES","NO"),"")</f>
        <v/>
      </c>
    </row>
    <row r="917" spans="26:36" ht="15" customHeight="1">
      <c r="Z917" s="169" t="e">
        <f t="shared" ca="1" si="149"/>
        <v>#N/A</v>
      </c>
      <c r="AA917" s="170" t="e">
        <f t="shared" ca="1" si="150"/>
        <v>#N/A</v>
      </c>
      <c r="AB917" s="169">
        <f t="shared" ca="1" si="151"/>
        <v>0</v>
      </c>
      <c r="AC917" s="170">
        <f t="shared" ca="1" si="152"/>
        <v>0</v>
      </c>
      <c r="AD917" s="169">
        <f t="shared" ca="1" si="153"/>
        <v>12388.42564085648</v>
      </c>
      <c r="AE917" s="169">
        <f t="shared" si="156"/>
        <v>0</v>
      </c>
      <c r="AF917" s="170">
        <f t="shared" si="154"/>
        <v>0</v>
      </c>
      <c r="AG917" s="170">
        <f t="shared" si="155"/>
        <v>0</v>
      </c>
      <c r="AH917" s="28" t="e" cm="1">
        <f t="array" aca="1" ref="AH917" ca="1">IF((AD917) &lt; (INDEX(ResponseSLA[#All],(MATCH((G917),ResponseSLA[Priority],0))+1,3)),"YES","No")</f>
        <v>#N/A</v>
      </c>
      <c r="AI917" s="28" t="str">
        <f>_xlfn.IFNA(IF(AE917 &lt; (INDEX(SLATable[Minimum SLA],MATCH(G917,SLATable[Priority],0))),"YES","NO"),"")</f>
        <v/>
      </c>
      <c r="AJ917" s="28" t="str">
        <f>_xlfn.IFNA(IF(AE917 &lt; (INDEX(SLATable[Maximum SLA],MATCH(G917,SLATable[Priority],0))),"YES","NO"),"")</f>
        <v/>
      </c>
    </row>
    <row r="918" spans="26:36" ht="15" customHeight="1">
      <c r="Z918" s="169" t="e">
        <f t="shared" ca="1" si="149"/>
        <v>#N/A</v>
      </c>
      <c r="AA918" s="170" t="e">
        <f t="shared" ca="1" si="150"/>
        <v>#N/A</v>
      </c>
      <c r="AB918" s="169">
        <f t="shared" ca="1" si="151"/>
        <v>0</v>
      </c>
      <c r="AC918" s="170">
        <f t="shared" ca="1" si="152"/>
        <v>0</v>
      </c>
      <c r="AD918" s="169">
        <f t="shared" ca="1" si="153"/>
        <v>12388.42564085648</v>
      </c>
      <c r="AE918" s="169">
        <f t="shared" si="156"/>
        <v>0</v>
      </c>
      <c r="AF918" s="170">
        <f t="shared" si="154"/>
        <v>0</v>
      </c>
      <c r="AG918" s="170">
        <f t="shared" si="155"/>
        <v>0</v>
      </c>
      <c r="AH918" s="28" t="e" cm="1">
        <f t="array" aca="1" ref="AH918" ca="1">IF((AD918) &lt; (INDEX(ResponseSLA[#All],(MATCH((G918),ResponseSLA[Priority],0))+1,3)),"YES","No")</f>
        <v>#N/A</v>
      </c>
      <c r="AI918" s="28" t="str">
        <f>_xlfn.IFNA(IF(AE918 &lt; (INDEX(SLATable[Minimum SLA],MATCH(G918,SLATable[Priority],0))),"YES","NO"),"")</f>
        <v/>
      </c>
      <c r="AJ918" s="28" t="str">
        <f>_xlfn.IFNA(IF(AE918 &lt; (INDEX(SLATable[Maximum SLA],MATCH(G918,SLATable[Priority],0))),"YES","NO"),"")</f>
        <v/>
      </c>
    </row>
    <row r="919" spans="26:36" ht="15" customHeight="1">
      <c r="Z919" s="169" t="e">
        <f t="shared" ca="1" si="149"/>
        <v>#N/A</v>
      </c>
      <c r="AA919" s="170" t="e">
        <f t="shared" ca="1" si="150"/>
        <v>#N/A</v>
      </c>
      <c r="AB919" s="169">
        <f t="shared" ca="1" si="151"/>
        <v>0</v>
      </c>
      <c r="AC919" s="170">
        <f t="shared" ca="1" si="152"/>
        <v>0</v>
      </c>
      <c r="AD919" s="169">
        <f t="shared" ca="1" si="153"/>
        <v>12388.42564085648</v>
      </c>
      <c r="AE919" s="169">
        <f t="shared" si="156"/>
        <v>0</v>
      </c>
      <c r="AF919" s="170">
        <f t="shared" si="154"/>
        <v>0</v>
      </c>
      <c r="AG919" s="170">
        <f t="shared" si="155"/>
        <v>0</v>
      </c>
      <c r="AH919" s="28" t="e" cm="1">
        <f t="array" aca="1" ref="AH919" ca="1">IF((AD919) &lt; (INDEX(ResponseSLA[#All],(MATCH((G919),ResponseSLA[Priority],0))+1,3)),"YES","No")</f>
        <v>#N/A</v>
      </c>
      <c r="AI919" s="28" t="str">
        <f>_xlfn.IFNA(IF(AE919 &lt; (INDEX(SLATable[Minimum SLA],MATCH(G919,SLATable[Priority],0))),"YES","NO"),"")</f>
        <v/>
      </c>
      <c r="AJ919" s="28" t="str">
        <f>_xlfn.IFNA(IF(AE919 &lt; (INDEX(SLATable[Maximum SLA],MATCH(G919,SLATable[Priority],0))),"YES","NO"),"")</f>
        <v/>
      </c>
    </row>
    <row r="920" spans="26:36" ht="15" customHeight="1">
      <c r="Z920" s="169" t="e">
        <f t="shared" ca="1" si="149"/>
        <v>#N/A</v>
      </c>
      <c r="AA920" s="170" t="e">
        <f t="shared" ca="1" si="150"/>
        <v>#N/A</v>
      </c>
      <c r="AB920" s="169">
        <f t="shared" ca="1" si="151"/>
        <v>0</v>
      </c>
      <c r="AC920" s="170">
        <f t="shared" ca="1" si="152"/>
        <v>0</v>
      </c>
      <c r="AD920" s="169">
        <f t="shared" ca="1" si="153"/>
        <v>12388.42564085648</v>
      </c>
      <c r="AE920" s="169">
        <f t="shared" si="156"/>
        <v>0</v>
      </c>
      <c r="AF920" s="170">
        <f t="shared" si="154"/>
        <v>0</v>
      </c>
      <c r="AG920" s="170">
        <f t="shared" si="155"/>
        <v>0</v>
      </c>
      <c r="AH920" s="28" t="e" cm="1">
        <f t="array" aca="1" ref="AH920" ca="1">IF((AD920) &lt; (INDEX(ResponseSLA[#All],(MATCH((G920),ResponseSLA[Priority],0))+1,3)),"YES","No")</f>
        <v>#N/A</v>
      </c>
      <c r="AI920" s="28" t="str">
        <f>_xlfn.IFNA(IF(AE920 &lt; (INDEX(SLATable[Minimum SLA],MATCH(G920,SLATable[Priority],0))),"YES","NO"),"")</f>
        <v/>
      </c>
      <c r="AJ920" s="28" t="str">
        <f>_xlfn.IFNA(IF(AE920 &lt; (INDEX(SLATable[Maximum SLA],MATCH(G920,SLATable[Priority],0))),"YES","NO"),"")</f>
        <v/>
      </c>
    </row>
    <row r="921" spans="26:36" ht="15" customHeight="1">
      <c r="Z921" s="169" t="e">
        <f t="shared" ca="1" si="149"/>
        <v>#N/A</v>
      </c>
      <c r="AA921" s="170" t="e">
        <f t="shared" ca="1" si="150"/>
        <v>#N/A</v>
      </c>
      <c r="AB921" s="169">
        <f t="shared" ca="1" si="151"/>
        <v>0</v>
      </c>
      <c r="AC921" s="170">
        <f t="shared" ca="1" si="152"/>
        <v>0</v>
      </c>
      <c r="AD921" s="169">
        <f t="shared" ca="1" si="153"/>
        <v>12388.42564085648</v>
      </c>
      <c r="AE921" s="169">
        <f t="shared" si="156"/>
        <v>0</v>
      </c>
      <c r="AF921" s="170">
        <f t="shared" si="154"/>
        <v>0</v>
      </c>
      <c r="AG921" s="170">
        <f t="shared" si="155"/>
        <v>0</v>
      </c>
      <c r="AH921" s="28" t="e" cm="1">
        <f t="array" aca="1" ref="AH921" ca="1">IF((AD921) &lt; (INDEX(ResponseSLA[#All],(MATCH((G921),ResponseSLA[Priority],0))+1,3)),"YES","No")</f>
        <v>#N/A</v>
      </c>
      <c r="AI921" s="28" t="str">
        <f>_xlfn.IFNA(IF(AE921 &lt; (INDEX(SLATable[Minimum SLA],MATCH(G921,SLATable[Priority],0))),"YES","NO"),"")</f>
        <v/>
      </c>
      <c r="AJ921" s="28" t="str">
        <f>_xlfn.IFNA(IF(AE921 &lt; (INDEX(SLATable[Maximum SLA],MATCH(G921,SLATable[Priority],0))),"YES","NO"),"")</f>
        <v/>
      </c>
    </row>
    <row r="922" spans="26:36" ht="15" customHeight="1">
      <c r="Z922" s="169" t="e">
        <f t="shared" ca="1" si="149"/>
        <v>#N/A</v>
      </c>
      <c r="AA922" s="170" t="e">
        <f t="shared" ca="1" si="150"/>
        <v>#N/A</v>
      </c>
      <c r="AB922" s="169">
        <f t="shared" ca="1" si="151"/>
        <v>0</v>
      </c>
      <c r="AC922" s="170">
        <f t="shared" ca="1" si="152"/>
        <v>0</v>
      </c>
      <c r="AD922" s="169">
        <f t="shared" ca="1" si="153"/>
        <v>12388.42564085648</v>
      </c>
      <c r="AE922" s="169">
        <f t="shared" si="156"/>
        <v>0</v>
      </c>
      <c r="AF922" s="170">
        <f t="shared" si="154"/>
        <v>0</v>
      </c>
      <c r="AG922" s="170">
        <f t="shared" si="155"/>
        <v>0</v>
      </c>
      <c r="AH922" s="28" t="e" cm="1">
        <f t="array" aca="1" ref="AH922" ca="1">IF((AD922) &lt; (INDEX(ResponseSLA[#All],(MATCH((G922),ResponseSLA[Priority],0))+1,3)),"YES","No")</f>
        <v>#N/A</v>
      </c>
      <c r="AI922" s="28" t="str">
        <f>_xlfn.IFNA(IF(AE922 &lt; (INDEX(SLATable[Minimum SLA],MATCH(G922,SLATable[Priority],0))),"YES","NO"),"")</f>
        <v/>
      </c>
      <c r="AJ922" s="28" t="str">
        <f>_xlfn.IFNA(IF(AE922 &lt; (INDEX(SLATable[Maximum SLA],MATCH(G922,SLATable[Priority],0))),"YES","NO"),"")</f>
        <v/>
      </c>
    </row>
    <row r="923" spans="26:36" ht="15" customHeight="1">
      <c r="Z923" s="169" t="e">
        <f t="shared" ca="1" si="149"/>
        <v>#N/A</v>
      </c>
      <c r="AA923" s="170" t="e">
        <f t="shared" ca="1" si="150"/>
        <v>#N/A</v>
      </c>
      <c r="AB923" s="169">
        <f t="shared" ca="1" si="151"/>
        <v>0</v>
      </c>
      <c r="AC923" s="170">
        <f t="shared" ca="1" si="152"/>
        <v>0</v>
      </c>
      <c r="AD923" s="169">
        <f t="shared" ca="1" si="153"/>
        <v>12388.42564085648</v>
      </c>
      <c r="AE923" s="169">
        <f t="shared" si="156"/>
        <v>0</v>
      </c>
      <c r="AF923" s="170">
        <f t="shared" si="154"/>
        <v>0</v>
      </c>
      <c r="AG923" s="170">
        <f t="shared" si="155"/>
        <v>0</v>
      </c>
      <c r="AH923" s="28" t="e" cm="1">
        <f t="array" aca="1" ref="AH923" ca="1">IF((AD923) &lt; (INDEX(ResponseSLA[#All],(MATCH((G923),ResponseSLA[Priority],0))+1,3)),"YES","No")</f>
        <v>#N/A</v>
      </c>
      <c r="AI923" s="28" t="str">
        <f>_xlfn.IFNA(IF(AE923 &lt; (INDEX(SLATable[Minimum SLA],MATCH(G923,SLATable[Priority],0))),"YES","NO"),"")</f>
        <v/>
      </c>
      <c r="AJ923" s="28" t="str">
        <f>_xlfn.IFNA(IF(AE923 &lt; (INDEX(SLATable[Maximum SLA],MATCH(G923,SLATable[Priority],0))),"YES","NO"),"")</f>
        <v/>
      </c>
    </row>
    <row r="924" spans="26:36" ht="15" customHeight="1">
      <c r="Z924" s="169" t="e">
        <f t="shared" ca="1" si="149"/>
        <v>#N/A</v>
      </c>
      <c r="AA924" s="170" t="e">
        <f t="shared" ca="1" si="150"/>
        <v>#N/A</v>
      </c>
      <c r="AB924" s="169">
        <f t="shared" ca="1" si="151"/>
        <v>0</v>
      </c>
      <c r="AC924" s="170">
        <f t="shared" ca="1" si="152"/>
        <v>0</v>
      </c>
      <c r="AD924" s="169">
        <f t="shared" ca="1" si="153"/>
        <v>12388.42564085648</v>
      </c>
      <c r="AE924" s="169">
        <f t="shared" si="156"/>
        <v>0</v>
      </c>
      <c r="AF924" s="170">
        <f t="shared" si="154"/>
        <v>0</v>
      </c>
      <c r="AG924" s="170">
        <f t="shared" si="155"/>
        <v>0</v>
      </c>
      <c r="AH924" s="28" t="e" cm="1">
        <f t="array" aca="1" ref="AH924" ca="1">IF((AD924) &lt; (INDEX(ResponseSLA[#All],(MATCH((G924),ResponseSLA[Priority],0))+1,3)),"YES","No")</f>
        <v>#N/A</v>
      </c>
      <c r="AI924" s="28" t="str">
        <f>_xlfn.IFNA(IF(AE924 &lt; (INDEX(SLATable[Minimum SLA],MATCH(G924,SLATable[Priority],0))),"YES","NO"),"")</f>
        <v/>
      </c>
      <c r="AJ924" s="28" t="str">
        <f>_xlfn.IFNA(IF(AE924 &lt; (INDEX(SLATable[Maximum SLA],MATCH(G924,SLATable[Priority],0))),"YES","NO"),"")</f>
        <v/>
      </c>
    </row>
    <row r="925" spans="26:36" ht="15" customHeight="1">
      <c r="Z925" s="169" t="e">
        <f t="shared" ca="1" si="149"/>
        <v>#N/A</v>
      </c>
      <c r="AA925" s="170" t="e">
        <f t="shared" ca="1" si="150"/>
        <v>#N/A</v>
      </c>
      <c r="AB925" s="169">
        <f t="shared" ca="1" si="151"/>
        <v>0</v>
      </c>
      <c r="AC925" s="170">
        <f t="shared" ca="1" si="152"/>
        <v>0</v>
      </c>
      <c r="AD925" s="169">
        <f t="shared" ca="1" si="153"/>
        <v>12388.42564085648</v>
      </c>
      <c r="AE925" s="169">
        <f t="shared" si="156"/>
        <v>0</v>
      </c>
      <c r="AF925" s="170">
        <f t="shared" si="154"/>
        <v>0</v>
      </c>
      <c r="AG925" s="170">
        <f t="shared" si="155"/>
        <v>0</v>
      </c>
      <c r="AH925" s="28" t="e" cm="1">
        <f t="array" aca="1" ref="AH925" ca="1">IF((AD925) &lt; (INDEX(ResponseSLA[#All],(MATCH((G925),ResponseSLA[Priority],0))+1,3)),"YES","No")</f>
        <v>#N/A</v>
      </c>
      <c r="AI925" s="28" t="str">
        <f>_xlfn.IFNA(IF(AE925 &lt; (INDEX(SLATable[Minimum SLA],MATCH(G925,SLATable[Priority],0))),"YES","NO"),"")</f>
        <v/>
      </c>
      <c r="AJ925" s="28" t="str">
        <f>_xlfn.IFNA(IF(AE925 &lt; (INDEX(SLATable[Maximum SLA],MATCH(G925,SLATable[Priority],0))),"YES","NO"),"")</f>
        <v/>
      </c>
    </row>
    <row r="926" spans="26:36" ht="15" customHeight="1">
      <c r="Z926" s="169" t="e">
        <f t="shared" ca="1" si="149"/>
        <v>#N/A</v>
      </c>
      <c r="AA926" s="170" t="e">
        <f t="shared" ca="1" si="150"/>
        <v>#N/A</v>
      </c>
      <c r="AB926" s="169">
        <f t="shared" ca="1" si="151"/>
        <v>0</v>
      </c>
      <c r="AC926" s="170">
        <f t="shared" ca="1" si="152"/>
        <v>0</v>
      </c>
      <c r="AD926" s="169">
        <f t="shared" ca="1" si="153"/>
        <v>12388.42564085648</v>
      </c>
      <c r="AE926" s="169">
        <f t="shared" si="156"/>
        <v>0</v>
      </c>
      <c r="AF926" s="170">
        <f t="shared" si="154"/>
        <v>0</v>
      </c>
      <c r="AG926" s="170">
        <f t="shared" si="155"/>
        <v>0</v>
      </c>
      <c r="AH926" s="28" t="e" cm="1">
        <f t="array" aca="1" ref="AH926" ca="1">IF((AD926) &lt; (INDEX(ResponseSLA[#All],(MATCH((G926),ResponseSLA[Priority],0))+1,3)),"YES","No")</f>
        <v>#N/A</v>
      </c>
      <c r="AI926" s="28" t="str">
        <f>_xlfn.IFNA(IF(AE926 &lt; (INDEX(SLATable[Minimum SLA],MATCH(G926,SLATable[Priority],0))),"YES","NO"),"")</f>
        <v/>
      </c>
      <c r="AJ926" s="28" t="str">
        <f>_xlfn.IFNA(IF(AE926 &lt; (INDEX(SLATable[Maximum SLA],MATCH(G926,SLATable[Priority],0))),"YES","NO"),"")</f>
        <v/>
      </c>
    </row>
    <row r="927" spans="26:36" ht="15" customHeight="1">
      <c r="Z927" s="169" t="e">
        <f t="shared" ca="1" si="149"/>
        <v>#N/A</v>
      </c>
      <c r="AA927" s="170" t="e">
        <f t="shared" ca="1" si="150"/>
        <v>#N/A</v>
      </c>
      <c r="AB927" s="169">
        <f t="shared" ca="1" si="151"/>
        <v>0</v>
      </c>
      <c r="AC927" s="170">
        <f t="shared" ca="1" si="152"/>
        <v>0</v>
      </c>
      <c r="AD927" s="169">
        <f t="shared" ca="1" si="153"/>
        <v>12388.42564085648</v>
      </c>
      <c r="AE927" s="169">
        <f t="shared" si="156"/>
        <v>0</v>
      </c>
      <c r="AF927" s="170">
        <f t="shared" si="154"/>
        <v>0</v>
      </c>
      <c r="AG927" s="170">
        <f t="shared" si="155"/>
        <v>0</v>
      </c>
      <c r="AH927" s="28" t="e" cm="1">
        <f t="array" aca="1" ref="AH927" ca="1">IF((AD927) &lt; (INDEX(ResponseSLA[#All],(MATCH((G927),ResponseSLA[Priority],0))+1,3)),"YES","No")</f>
        <v>#N/A</v>
      </c>
      <c r="AI927" s="28" t="str">
        <f>_xlfn.IFNA(IF(AE927 &lt; (INDEX(SLATable[Minimum SLA],MATCH(G927,SLATable[Priority],0))),"YES","NO"),"")</f>
        <v/>
      </c>
      <c r="AJ927" s="28" t="str">
        <f>_xlfn.IFNA(IF(AE927 &lt; (INDEX(SLATable[Maximum SLA],MATCH(G927,SLATable[Priority],0))),"YES","NO"),"")</f>
        <v/>
      </c>
    </row>
    <row r="928" spans="26:36" ht="15" customHeight="1">
      <c r="Z928" s="169" t="e">
        <f t="shared" ca="1" si="149"/>
        <v>#N/A</v>
      </c>
      <c r="AA928" s="170" t="e">
        <f t="shared" ca="1" si="150"/>
        <v>#N/A</v>
      </c>
      <c r="AB928" s="169">
        <f t="shared" ca="1" si="151"/>
        <v>0</v>
      </c>
      <c r="AC928" s="170">
        <f t="shared" ca="1" si="152"/>
        <v>0</v>
      </c>
      <c r="AD928" s="169">
        <f t="shared" ca="1" si="153"/>
        <v>12388.42564085648</v>
      </c>
      <c r="AE928" s="169">
        <f t="shared" si="156"/>
        <v>0</v>
      </c>
      <c r="AF928" s="170">
        <f t="shared" si="154"/>
        <v>0</v>
      </c>
      <c r="AG928" s="170">
        <f t="shared" si="155"/>
        <v>0</v>
      </c>
      <c r="AH928" s="28" t="e" cm="1">
        <f t="array" aca="1" ref="AH928" ca="1">IF((AD928) &lt; (INDEX(ResponseSLA[#All],(MATCH((G928),ResponseSLA[Priority],0))+1,3)),"YES","No")</f>
        <v>#N/A</v>
      </c>
      <c r="AI928" s="28" t="str">
        <f>_xlfn.IFNA(IF(AE928 &lt; (INDEX(SLATable[Minimum SLA],MATCH(G928,SLATable[Priority],0))),"YES","NO"),"")</f>
        <v/>
      </c>
      <c r="AJ928" s="28" t="str">
        <f>_xlfn.IFNA(IF(AE928 &lt; (INDEX(SLATable[Maximum SLA],MATCH(G928,SLATable[Priority],0))),"YES","NO"),"")</f>
        <v/>
      </c>
    </row>
    <row r="929" spans="26:36" ht="15" customHeight="1">
      <c r="Z929" s="169" t="e">
        <f t="shared" ca="1" si="149"/>
        <v>#N/A</v>
      </c>
      <c r="AA929" s="170" t="e">
        <f t="shared" ca="1" si="150"/>
        <v>#N/A</v>
      </c>
      <c r="AB929" s="169">
        <f t="shared" ca="1" si="151"/>
        <v>0</v>
      </c>
      <c r="AC929" s="170">
        <f t="shared" ca="1" si="152"/>
        <v>0</v>
      </c>
      <c r="AD929" s="169">
        <f t="shared" ca="1" si="153"/>
        <v>12388.42564085648</v>
      </c>
      <c r="AE929" s="169">
        <f t="shared" si="156"/>
        <v>0</v>
      </c>
      <c r="AF929" s="170">
        <f t="shared" si="154"/>
        <v>0</v>
      </c>
      <c r="AG929" s="170">
        <f t="shared" si="155"/>
        <v>0</v>
      </c>
      <c r="AH929" s="28" t="e" cm="1">
        <f t="array" aca="1" ref="AH929" ca="1">IF((AD929) &lt; (INDEX(ResponseSLA[#All],(MATCH((G929),ResponseSLA[Priority],0))+1,3)),"YES","No")</f>
        <v>#N/A</v>
      </c>
      <c r="AI929" s="28" t="str">
        <f>_xlfn.IFNA(IF(AE929 &lt; (INDEX(SLATable[Minimum SLA],MATCH(G929,SLATable[Priority],0))),"YES","NO"),"")</f>
        <v/>
      </c>
      <c r="AJ929" s="28" t="str">
        <f>_xlfn.IFNA(IF(AE929 &lt; (INDEX(SLATable[Maximum SLA],MATCH(G929,SLATable[Priority],0))),"YES","NO"),"")</f>
        <v/>
      </c>
    </row>
    <row r="930" spans="26:36" ht="15" customHeight="1">
      <c r="Z930" s="169" t="e">
        <f t="shared" ca="1" si="149"/>
        <v>#N/A</v>
      </c>
      <c r="AA930" s="170" t="e">
        <f t="shared" ca="1" si="150"/>
        <v>#N/A</v>
      </c>
      <c r="AB930" s="169">
        <f t="shared" ca="1" si="151"/>
        <v>0</v>
      </c>
      <c r="AC930" s="170">
        <f t="shared" ca="1" si="152"/>
        <v>0</v>
      </c>
      <c r="AD930" s="169">
        <f t="shared" ca="1" si="153"/>
        <v>12388.42564085648</v>
      </c>
      <c r="AE930" s="169">
        <f t="shared" si="156"/>
        <v>0</v>
      </c>
      <c r="AF930" s="170">
        <f t="shared" si="154"/>
        <v>0</v>
      </c>
      <c r="AG930" s="170">
        <f t="shared" si="155"/>
        <v>0</v>
      </c>
      <c r="AH930" s="28" t="e" cm="1">
        <f t="array" aca="1" ref="AH930" ca="1">IF((AD930) &lt; (INDEX(ResponseSLA[#All],(MATCH((G930),ResponseSLA[Priority],0))+1,3)),"YES","No")</f>
        <v>#N/A</v>
      </c>
      <c r="AI930" s="28" t="str">
        <f>_xlfn.IFNA(IF(AE930 &lt; (INDEX(SLATable[Minimum SLA],MATCH(G930,SLATable[Priority],0))),"YES","NO"),"")</f>
        <v/>
      </c>
      <c r="AJ930" s="28" t="str">
        <f>_xlfn.IFNA(IF(AE930 &lt; (INDEX(SLATable[Maximum SLA],MATCH(G930,SLATable[Priority],0))),"YES","NO"),"")</f>
        <v/>
      </c>
    </row>
    <row r="931" spans="26:36" ht="15" customHeight="1">
      <c r="Z931" s="169" t="e">
        <f t="shared" ca="1" si="149"/>
        <v>#N/A</v>
      </c>
      <c r="AA931" s="170" t="e">
        <f t="shared" ca="1" si="150"/>
        <v>#N/A</v>
      </c>
      <c r="AB931" s="169">
        <f t="shared" ca="1" si="151"/>
        <v>0</v>
      </c>
      <c r="AC931" s="170">
        <f t="shared" ca="1" si="152"/>
        <v>0</v>
      </c>
      <c r="AD931" s="169">
        <f t="shared" ca="1" si="153"/>
        <v>12388.42564085648</v>
      </c>
      <c r="AE931" s="169">
        <f t="shared" si="156"/>
        <v>0</v>
      </c>
      <c r="AF931" s="170">
        <f t="shared" si="154"/>
        <v>0</v>
      </c>
      <c r="AG931" s="170">
        <f t="shared" si="155"/>
        <v>0</v>
      </c>
      <c r="AH931" s="28" t="e" cm="1">
        <f t="array" aca="1" ref="AH931" ca="1">IF((AD931) &lt; (INDEX(ResponseSLA[#All],(MATCH((G931),ResponseSLA[Priority],0))+1,3)),"YES","No")</f>
        <v>#N/A</v>
      </c>
      <c r="AI931" s="28" t="str">
        <f>_xlfn.IFNA(IF(AE931 &lt; (INDEX(SLATable[Minimum SLA],MATCH(G931,SLATable[Priority],0))),"YES","NO"),"")</f>
        <v/>
      </c>
      <c r="AJ931" s="28" t="str">
        <f>_xlfn.IFNA(IF(AE931 &lt; (INDEX(SLATable[Maximum SLA],MATCH(G931,SLATable[Priority],0))),"YES","NO"),"")</f>
        <v/>
      </c>
    </row>
    <row r="932" spans="26:36" ht="15" customHeight="1">
      <c r="Z932" s="169" t="e">
        <f t="shared" ca="1" si="149"/>
        <v>#N/A</v>
      </c>
      <c r="AA932" s="170" t="e">
        <f t="shared" ca="1" si="150"/>
        <v>#N/A</v>
      </c>
      <c r="AB932" s="169">
        <f t="shared" ca="1" si="151"/>
        <v>0</v>
      </c>
      <c r="AC932" s="170">
        <f t="shared" ca="1" si="152"/>
        <v>0</v>
      </c>
      <c r="AD932" s="169">
        <f t="shared" ca="1" si="153"/>
        <v>12388.42564085648</v>
      </c>
      <c r="AE932" s="169">
        <f t="shared" si="156"/>
        <v>0</v>
      </c>
      <c r="AF932" s="170">
        <f t="shared" si="154"/>
        <v>0</v>
      </c>
      <c r="AG932" s="170">
        <f t="shared" si="155"/>
        <v>0</v>
      </c>
      <c r="AH932" s="28" t="e" cm="1">
        <f t="array" aca="1" ref="AH932" ca="1">IF((AD932) &lt; (INDEX(ResponseSLA[#All],(MATCH((G932),ResponseSLA[Priority],0))+1,3)),"YES","No")</f>
        <v>#N/A</v>
      </c>
      <c r="AI932" s="28" t="str">
        <f>_xlfn.IFNA(IF(AE932 &lt; (INDEX(SLATable[Minimum SLA],MATCH(G932,SLATable[Priority],0))),"YES","NO"),"")</f>
        <v/>
      </c>
      <c r="AJ932" s="28" t="str">
        <f>_xlfn.IFNA(IF(AE932 &lt; (INDEX(SLATable[Maximum SLA],MATCH(G932,SLATable[Priority],0))),"YES","NO"),"")</f>
        <v/>
      </c>
    </row>
    <row r="933" spans="26:36" ht="15" customHeight="1">
      <c r="Z933" s="169" t="e">
        <f t="shared" ca="1" si="149"/>
        <v>#N/A</v>
      </c>
      <c r="AA933" s="170" t="e">
        <f t="shared" ca="1" si="150"/>
        <v>#N/A</v>
      </c>
      <c r="AB933" s="169">
        <f t="shared" ca="1" si="151"/>
        <v>0</v>
      </c>
      <c r="AC933" s="170">
        <f t="shared" ca="1" si="152"/>
        <v>0</v>
      </c>
      <c r="AD933" s="169">
        <f t="shared" ca="1" si="153"/>
        <v>12388.42564085648</v>
      </c>
      <c r="AE933" s="169">
        <f t="shared" si="156"/>
        <v>0</v>
      </c>
      <c r="AF933" s="170">
        <f t="shared" si="154"/>
        <v>0</v>
      </c>
      <c r="AG933" s="170">
        <f t="shared" si="155"/>
        <v>0</v>
      </c>
      <c r="AH933" s="28" t="e" cm="1">
        <f t="array" aca="1" ref="AH933" ca="1">IF((AD933) &lt; (INDEX(ResponseSLA[#All],(MATCH((G933),ResponseSLA[Priority],0))+1,3)),"YES","No")</f>
        <v>#N/A</v>
      </c>
      <c r="AI933" s="28" t="str">
        <f>_xlfn.IFNA(IF(AE933 &lt; (INDEX(SLATable[Minimum SLA],MATCH(G933,SLATable[Priority],0))),"YES","NO"),"")</f>
        <v/>
      </c>
      <c r="AJ933" s="28" t="str">
        <f>_xlfn.IFNA(IF(AE933 &lt; (INDEX(SLATable[Maximum SLA],MATCH(G933,SLATable[Priority],0))),"YES","NO"),"")</f>
        <v/>
      </c>
    </row>
    <row r="934" spans="26:36" ht="15" customHeight="1">
      <c r="Z934" s="169" t="e">
        <f t="shared" ca="1" si="149"/>
        <v>#N/A</v>
      </c>
      <c r="AA934" s="170" t="e">
        <f t="shared" ca="1" si="150"/>
        <v>#N/A</v>
      </c>
      <c r="AB934" s="169">
        <f t="shared" ca="1" si="151"/>
        <v>0</v>
      </c>
      <c r="AC934" s="170">
        <f t="shared" ca="1" si="152"/>
        <v>0</v>
      </c>
      <c r="AD934" s="169">
        <f t="shared" ca="1" si="153"/>
        <v>12388.42564085648</v>
      </c>
      <c r="AE934" s="169">
        <f t="shared" si="156"/>
        <v>0</v>
      </c>
      <c r="AF934" s="170">
        <f t="shared" si="154"/>
        <v>0</v>
      </c>
      <c r="AG934" s="170">
        <f t="shared" si="155"/>
        <v>0</v>
      </c>
      <c r="AH934" s="28" t="e" cm="1">
        <f t="array" aca="1" ref="AH934" ca="1">IF((AD934) &lt; (INDEX(ResponseSLA[#All],(MATCH((G934),ResponseSLA[Priority],0))+1,3)),"YES","No")</f>
        <v>#N/A</v>
      </c>
      <c r="AI934" s="28" t="str">
        <f>_xlfn.IFNA(IF(AE934 &lt; (INDEX(SLATable[Minimum SLA],MATCH(G934,SLATable[Priority],0))),"YES","NO"),"")</f>
        <v/>
      </c>
      <c r="AJ934" s="28" t="str">
        <f>_xlfn.IFNA(IF(AE934 &lt; (INDEX(SLATable[Maximum SLA],MATCH(G934,SLATable[Priority],0))),"YES","NO"),"")</f>
        <v/>
      </c>
    </row>
    <row r="935" spans="26:36" ht="15" customHeight="1">
      <c r="Z935" s="169" t="e">
        <f t="shared" ca="1" si="149"/>
        <v>#N/A</v>
      </c>
      <c r="AA935" s="170" t="e">
        <f t="shared" ca="1" si="150"/>
        <v>#N/A</v>
      </c>
      <c r="AB935" s="169">
        <f t="shared" ca="1" si="151"/>
        <v>0</v>
      </c>
      <c r="AC935" s="170">
        <f t="shared" ca="1" si="152"/>
        <v>0</v>
      </c>
      <c r="AD935" s="169">
        <f t="shared" ca="1" si="153"/>
        <v>12388.42564085648</v>
      </c>
      <c r="AE935" s="169">
        <f t="shared" si="156"/>
        <v>0</v>
      </c>
      <c r="AF935" s="170">
        <f t="shared" si="154"/>
        <v>0</v>
      </c>
      <c r="AG935" s="170">
        <f t="shared" si="155"/>
        <v>0</v>
      </c>
      <c r="AH935" s="28" t="e" cm="1">
        <f t="array" aca="1" ref="AH935" ca="1">IF((AD935) &lt; (INDEX(ResponseSLA[#All],(MATCH((G935),ResponseSLA[Priority],0))+1,3)),"YES","No")</f>
        <v>#N/A</v>
      </c>
      <c r="AI935" s="28" t="str">
        <f>_xlfn.IFNA(IF(AE935 &lt; (INDEX(SLATable[Minimum SLA],MATCH(G935,SLATable[Priority],0))),"YES","NO"),"")</f>
        <v/>
      </c>
      <c r="AJ935" s="28" t="str">
        <f>_xlfn.IFNA(IF(AE935 &lt; (INDEX(SLATable[Maximum SLA],MATCH(G935,SLATable[Priority],0))),"YES","NO"),"")</f>
        <v/>
      </c>
    </row>
    <row r="936" spans="26:36" ht="15" customHeight="1">
      <c r="Z936" s="169" t="e">
        <f t="shared" ca="1" si="149"/>
        <v>#N/A</v>
      </c>
      <c r="AA936" s="170" t="e">
        <f t="shared" ca="1" si="150"/>
        <v>#N/A</v>
      </c>
      <c r="AB936" s="169">
        <f t="shared" ca="1" si="151"/>
        <v>0</v>
      </c>
      <c r="AC936" s="170">
        <f t="shared" ca="1" si="152"/>
        <v>0</v>
      </c>
      <c r="AD936" s="169">
        <f t="shared" ca="1" si="153"/>
        <v>12388.42564085648</v>
      </c>
      <c r="AE936" s="169">
        <f t="shared" si="156"/>
        <v>0</v>
      </c>
      <c r="AF936" s="170">
        <f t="shared" si="154"/>
        <v>0</v>
      </c>
      <c r="AG936" s="170">
        <f t="shared" si="155"/>
        <v>0</v>
      </c>
      <c r="AH936" s="28" t="e" cm="1">
        <f t="array" aca="1" ref="AH936" ca="1">IF((AD936) &lt; (INDEX(ResponseSLA[#All],(MATCH((G936),ResponseSLA[Priority],0))+1,3)),"YES","No")</f>
        <v>#N/A</v>
      </c>
      <c r="AI936" s="28" t="str">
        <f>_xlfn.IFNA(IF(AE936 &lt; (INDEX(SLATable[Minimum SLA],MATCH(G936,SLATable[Priority],0))),"YES","NO"),"")</f>
        <v/>
      </c>
      <c r="AJ936" s="28" t="str">
        <f>_xlfn.IFNA(IF(AE936 &lt; (INDEX(SLATable[Maximum SLA],MATCH(G936,SLATable[Priority],0))),"YES","NO"),"")</f>
        <v/>
      </c>
    </row>
    <row r="937" spans="26:36" ht="15" customHeight="1">
      <c r="Z937" s="169" t="e">
        <f t="shared" ca="1" si="149"/>
        <v>#N/A</v>
      </c>
      <c r="AA937" s="170" t="e">
        <f t="shared" ca="1" si="150"/>
        <v>#N/A</v>
      </c>
      <c r="AB937" s="169">
        <f t="shared" ca="1" si="151"/>
        <v>0</v>
      </c>
      <c r="AC937" s="170">
        <f t="shared" ca="1" si="152"/>
        <v>0</v>
      </c>
      <c r="AD937" s="169">
        <f t="shared" ca="1" si="153"/>
        <v>12388.42564085648</v>
      </c>
      <c r="AE937" s="169">
        <f t="shared" si="156"/>
        <v>0</v>
      </c>
      <c r="AF937" s="170">
        <f t="shared" si="154"/>
        <v>0</v>
      </c>
      <c r="AG937" s="170">
        <f t="shared" si="155"/>
        <v>0</v>
      </c>
      <c r="AH937" s="28" t="e" cm="1">
        <f t="array" aca="1" ref="AH937" ca="1">IF((AD937) &lt; (INDEX(ResponseSLA[#All],(MATCH((G937),ResponseSLA[Priority],0))+1,3)),"YES","No")</f>
        <v>#N/A</v>
      </c>
      <c r="AI937" s="28" t="str">
        <f>_xlfn.IFNA(IF(AE937 &lt; (INDEX(SLATable[Minimum SLA],MATCH(G937,SLATable[Priority],0))),"YES","NO"),"")</f>
        <v/>
      </c>
      <c r="AJ937" s="28" t="str">
        <f>_xlfn.IFNA(IF(AE937 &lt; (INDEX(SLATable[Maximum SLA],MATCH(G937,SLATable[Priority],0))),"YES","NO"),"")</f>
        <v/>
      </c>
    </row>
    <row r="938" spans="26:36" ht="15" customHeight="1">
      <c r="Z938" s="169" t="e">
        <f t="shared" ca="1" si="149"/>
        <v>#N/A</v>
      </c>
      <c r="AA938" s="170" t="e">
        <f t="shared" ca="1" si="150"/>
        <v>#N/A</v>
      </c>
      <c r="AB938" s="169">
        <f t="shared" ca="1" si="151"/>
        <v>0</v>
      </c>
      <c r="AC938" s="170">
        <f t="shared" ca="1" si="152"/>
        <v>0</v>
      </c>
      <c r="AD938" s="169">
        <f t="shared" ca="1" si="153"/>
        <v>12388.42564085648</v>
      </c>
      <c r="AE938" s="169">
        <f t="shared" si="156"/>
        <v>0</v>
      </c>
      <c r="AF938" s="170">
        <f t="shared" si="154"/>
        <v>0</v>
      </c>
      <c r="AG938" s="170">
        <f t="shared" si="155"/>
        <v>0</v>
      </c>
      <c r="AH938" s="28" t="e" cm="1">
        <f t="array" aca="1" ref="AH938" ca="1">IF((AD938) &lt; (INDEX(ResponseSLA[#All],(MATCH((G938),ResponseSLA[Priority],0))+1,3)),"YES","No")</f>
        <v>#N/A</v>
      </c>
      <c r="AI938" s="28" t="str">
        <f>_xlfn.IFNA(IF(AE938 &lt; (INDEX(SLATable[Minimum SLA],MATCH(G938,SLATable[Priority],0))),"YES","NO"),"")</f>
        <v/>
      </c>
      <c r="AJ938" s="28" t="str">
        <f>_xlfn.IFNA(IF(AE938 &lt; (INDEX(SLATable[Maximum SLA],MATCH(G938,SLATable[Priority],0))),"YES","NO"),"")</f>
        <v/>
      </c>
    </row>
    <row r="939" spans="26:36" ht="15" customHeight="1">
      <c r="Z939" s="169" t="e">
        <f t="shared" ca="1" si="149"/>
        <v>#N/A</v>
      </c>
      <c r="AA939" s="170" t="e">
        <f t="shared" ca="1" si="150"/>
        <v>#N/A</v>
      </c>
      <c r="AB939" s="169">
        <f t="shared" ca="1" si="151"/>
        <v>0</v>
      </c>
      <c r="AC939" s="170">
        <f t="shared" ca="1" si="152"/>
        <v>0</v>
      </c>
      <c r="AD939" s="169">
        <f t="shared" ca="1" si="153"/>
        <v>12388.42564085648</v>
      </c>
      <c r="AE939" s="169">
        <f t="shared" si="156"/>
        <v>0</v>
      </c>
      <c r="AF939" s="170">
        <f t="shared" si="154"/>
        <v>0</v>
      </c>
      <c r="AG939" s="170">
        <f t="shared" si="155"/>
        <v>0</v>
      </c>
      <c r="AH939" s="28" t="e" cm="1">
        <f t="array" aca="1" ref="AH939" ca="1">IF((AD939) &lt; (INDEX(ResponseSLA[#All],(MATCH((G939),ResponseSLA[Priority],0))+1,3)),"YES","No")</f>
        <v>#N/A</v>
      </c>
      <c r="AI939" s="28" t="str">
        <f>_xlfn.IFNA(IF(AE939 &lt; (INDEX(SLATable[Minimum SLA],MATCH(G939,SLATable[Priority],0))),"YES","NO"),"")</f>
        <v/>
      </c>
      <c r="AJ939" s="28" t="str">
        <f>_xlfn.IFNA(IF(AE939 &lt; (INDEX(SLATable[Maximum SLA],MATCH(G939,SLATable[Priority],0))),"YES","NO"),"")</f>
        <v/>
      </c>
    </row>
    <row r="940" spans="26:36" ht="15" customHeight="1">
      <c r="Z940" s="169" t="e">
        <f t="shared" ref="Z940:Z1003" ca="1" si="157">IF(NOT(OR(G940=1,G940=2)),MAX(0,_xlfn.IFS(AND(K940&lt;&gt;"",N940&lt;&gt;""),((MAX(NETWORKDAYS(K940,N940,UKBankHolidays)-1,0))*(TIME(17,0,0)-TIME(8,0,0))+IF(NETWORKDAYS(N940,N940,UKBankHolidays)&gt;0,MEDIAN(TIME(8,0,0),MOD(N940,1),TIME(17,0,0)),TIME(8,0,0))-IF(NETWORKDAYS(K940,K940,UKBankHolidays)&gt;0,MEDIAN(TIME(8,0,0),MOD(K940,1),TIME(17,0,0)),TIME(8,0,0)))-IF(AND(O940&lt;&gt;"",P940&lt;&gt;""),((MAX(NETWORKDAYS(O940,P940,UKBankHolidays)-1,0))*(TIME(17,0,0)-TIME(8,0,0))+IF(NETWORKDAYS(P940,P940,UKBankHolidays)&gt;0,MEDIAN(TIME(8,0,0),MOD(P940,1),TIME(17,0,0)),TIME(8,0,0))-IF(NETWORKDAYS(O940,O940,UKBankHolidays)&gt;0,MEDIAN(TIME(8,0,0),MOD(O940,1),TIME(17,0,0)),TIME(8,0,0))),0),AND(K940&lt;&gt;"",N940=""),((MAX(NETWORKDAYS(K940,NOW(),UKBankHolidays)-1,0))*(TIME(17,0,0)-TIME(8,0,0))+IF(NETWORKDAYS(NOW(),NOW(),UKBankHolidays)&gt;0,MEDIAN(TIME(8,0,0),MOD(NOW(),1),TIME(17,0,0)),TIME(8,0,0))-IF(NETWORKDAYS(K940,K940,UKBankHolidays)&gt;0,MEDIAN(TIME(8,0,0),MOD(K940,1),TIME(17,0,0)),TIME(8,0,0))))),IF(N940="",NOW()-K940,N940-K940))</f>
        <v>#N/A</v>
      </c>
      <c r="AA940" s="170" t="e">
        <f t="shared" ref="AA940:AA1003" ca="1" si="158">(Z940*24)/9</f>
        <v>#N/A</v>
      </c>
      <c r="AB940" s="169">
        <f t="shared" ref="AB940:AB1003" ca="1" si="159">IF(NOT(OR(G940=1,G940=2)),MAX(0,_xlfn.IFS(AND(K940&lt;&gt;"",N940&lt;&gt;""),(((MAX(NETWORKDAYS(L940,N940,UKBankHolidays)-1,0))*(TIME(17,0,0)-TIME(8,0,0)))+IF(NETWORKDAYS(N940,N940,UKBankHolidays)&gt;0,MEDIAN(TIME(8,0,0),MOD(N940,1),TIME(17,0,0)),TIME(8,0,0))-IF(NETWORKDAYS(L940,L940,UKBankHolidays)&gt;0,MEDIAN(TIME(8,0,0),MOD(L940,1),TIME(17,0,0)),TIME(8,0,0)))-IF(AND(O940&lt;&gt;"",P940&lt;&gt;""),(((MAX(NETWORKDAYS(O940,P940,UKBankHolidays)-1,0))*(TIME(17,0,0)-TIME(8,0,0)))+IF(NETWORKDAYS(P940,P940,UKBankHolidays)&gt;0,MEDIAN(TIME(8,0,0),MOD(P940,1),TIME(17,0,0)),TIME(8,0,0))-IF(NETWORKDAYS(O940,O940,UKBankHolidays)&gt;0,MEDIAN(TIME(8,0,0),MOD(O940,1),TIME(17,0,0)),TIME(8,0,0))),0),AND(L940&lt;&gt;"",N940="",O940=""),(((MAX(NETWORKDAYS(L940,NOW(),UKBankHolidays)-1,0))*(TIME(17,0,0)-TIME(8,0,0)))+IF(NETWORKDAYS(NOW(),NOW(),UKBankHolidays)&gt;0,MEDIAN(TIME(8,0,0),MOD(NOW(),1),TIME(17,0,0)),TIME(8,0,0))-IF(NETWORKDAYS(L940,L940,UKBankHolidays)&gt;0,MEDIAN(TIME(8,0,0),MOD(L940,1),TIME(17,0,0)),TIME(8,0,0)))-IF(AND(O940&lt;&gt;"",P940&lt;&gt;""),(((MAX(NETWORKDAYS(O940,P940,UKBankHolidays)-1,0))*(TIME(17,0,0)-TIME(8,0,0)))+IF(NETWORKDAYS(P940,P940,UKBankHolidays)&gt;0,MEDIAN(TIME(8,0,0),MOD(P940,1),TIME(17,0,0)),TIME(8,0,0))-IF(NETWORKDAYS(O940,O940,UKBankHolidays)&gt;0,MEDIAN(TIME(8,0,0),MOD(O940,1),TIME(17,0,0)),TIME(8,0,0))),0),AND(L940&lt;&gt;"",N940="",P940="",O940&lt;&gt;""),(((MAX(NETWORKDAYS(L940,O940,UKBankHolidays)-1,0))*(TIME(17,0,0)-TIME(8,0,0)))+IF(NETWORKDAYS(O940,O940,UKBankHolidays)&gt;0,MEDIAN(TIME(8,0,0),MOD(O940,1),TIME(17,0,0)),TIME(8,0,0))-IF(NETWORKDAYS(L940,L940,UKBankHolidays)&gt;0,MEDIAN(TIME(8,0,0),MOD(L940,1),TIME(17,0,0)),TIME(8,0,0))),ISBLANK(K940),"0")),IF(ISBLANK(N940),NOW()-L940,N940-L940))</f>
        <v>0</v>
      </c>
      <c r="AC940" s="170">
        <f t="shared" ref="AC940:AC1003" ca="1" si="160">(AB940*24)/9</f>
        <v>0</v>
      </c>
      <c r="AD940" s="169">
        <f t="shared" ref="AD940:AD1003" ca="1" si="161">MAX(0,IF(NOT(OR(G940=1,G940=2)),IF(M940&lt;&gt;"",((MAX(NETWORKDAYS(L940,M940,UKBankHolidays)-1,0))*(TIME(17,0,0)-TIME(8,0,0))+IF(NETWORKDAYS(M940,M940,UKBankHolidays)&gt;0,MEDIAN(TIME(8,0,0),MOD(M940,1),TIME(17,0,0)),TIME(8,0,0))-MEDIAN(TIME(8,0,0),MOD(L940,1),TIME(17,0,0))),((MAX(NETWORKDAYS(L940,NOW(),UKBankHolidays)-1,0))*(TIME(17,0,0)-TIME(8,0,0))+IF(NETWORKDAYS(NOW(),NOW(),UKBankHolidays)&gt;0,MEDIAN(TIME(8,0,0),MOD(NOW(),1),TIME(17,0,0)),TIME(8,0,0))-MEDIAN(TIME(8,0,0),MOD(L940,1),TIME(17,0,0)))),IF(M940&lt;&gt;"",M940-L940,NOW()-L940)))</f>
        <v>12388.42564085648</v>
      </c>
      <c r="AE940" s="169">
        <f t="shared" si="156"/>
        <v>0</v>
      </c>
      <c r="AF940" s="170">
        <f t="shared" ref="AF940:AF1003" si="162">(AE940*24)/9</f>
        <v>0</v>
      </c>
      <c r="AG940" s="170">
        <f t="shared" ref="AG940:AG1003" si="163">AF940</f>
        <v>0</v>
      </c>
      <c r="AH940" s="28" t="e" cm="1">
        <f t="array" aca="1" ref="AH940" ca="1">IF((AD940) &lt; (INDEX(ResponseSLA[#All],(MATCH((G940),ResponseSLA[Priority],0))+1,3)),"YES","No")</f>
        <v>#N/A</v>
      </c>
      <c r="AI940" s="28" t="str">
        <f>_xlfn.IFNA(IF(AE940 &lt; (INDEX(SLATable[Minimum SLA],MATCH(G940,SLATable[Priority],0))),"YES","NO"),"")</f>
        <v/>
      </c>
      <c r="AJ940" s="28" t="str">
        <f>_xlfn.IFNA(IF(AE940 &lt; (INDEX(SLATable[Maximum SLA],MATCH(G940,SLATable[Priority],0))),"YES","NO"),"")</f>
        <v/>
      </c>
    </row>
    <row r="941" spans="26:36" ht="15" customHeight="1">
      <c r="Z941" s="169" t="e">
        <f t="shared" ca="1" si="157"/>
        <v>#N/A</v>
      </c>
      <c r="AA941" s="170" t="e">
        <f t="shared" ca="1" si="158"/>
        <v>#N/A</v>
      </c>
      <c r="AB941" s="169">
        <f t="shared" ca="1" si="159"/>
        <v>0</v>
      </c>
      <c r="AC941" s="170">
        <f t="shared" ca="1" si="160"/>
        <v>0</v>
      </c>
      <c r="AD941" s="169">
        <f t="shared" ca="1" si="161"/>
        <v>12388.42564085648</v>
      </c>
      <c r="AE941" s="169">
        <f t="shared" si="156"/>
        <v>0</v>
      </c>
      <c r="AF941" s="170">
        <f t="shared" si="162"/>
        <v>0</v>
      </c>
      <c r="AG941" s="170">
        <f t="shared" si="163"/>
        <v>0</v>
      </c>
      <c r="AH941" s="28" t="e" cm="1">
        <f t="array" aca="1" ref="AH941" ca="1">IF((AD941) &lt; (INDEX(ResponseSLA[#All],(MATCH((G941),ResponseSLA[Priority],0))+1,3)),"YES","No")</f>
        <v>#N/A</v>
      </c>
      <c r="AI941" s="28" t="str">
        <f>_xlfn.IFNA(IF(AE941 &lt; (INDEX(SLATable[Minimum SLA],MATCH(G941,SLATable[Priority],0))),"YES","NO"),"")</f>
        <v/>
      </c>
      <c r="AJ941" s="28" t="str">
        <f>_xlfn.IFNA(IF(AE941 &lt; (INDEX(SLATable[Maximum SLA],MATCH(G941,SLATable[Priority],0))),"YES","NO"),"")</f>
        <v/>
      </c>
    </row>
    <row r="942" spans="26:36" ht="15" customHeight="1">
      <c r="Z942" s="169" t="e">
        <f t="shared" ca="1" si="157"/>
        <v>#N/A</v>
      </c>
      <c r="AA942" s="170" t="e">
        <f t="shared" ca="1" si="158"/>
        <v>#N/A</v>
      </c>
      <c r="AB942" s="169">
        <f t="shared" ca="1" si="159"/>
        <v>0</v>
      </c>
      <c r="AC942" s="170">
        <f t="shared" ca="1" si="160"/>
        <v>0</v>
      </c>
      <c r="AD942" s="169">
        <f t="shared" ca="1" si="161"/>
        <v>12388.42564085648</v>
      </c>
      <c r="AE942" s="169">
        <f t="shared" si="156"/>
        <v>0</v>
      </c>
      <c r="AF942" s="170">
        <f t="shared" si="162"/>
        <v>0</v>
      </c>
      <c r="AG942" s="170">
        <f t="shared" si="163"/>
        <v>0</v>
      </c>
      <c r="AH942" s="28" t="e" cm="1">
        <f t="array" aca="1" ref="AH942" ca="1">IF((AD942) &lt; (INDEX(ResponseSLA[#All],(MATCH((G942),ResponseSLA[Priority],0))+1,3)),"YES","No")</f>
        <v>#N/A</v>
      </c>
      <c r="AI942" s="28" t="str">
        <f>_xlfn.IFNA(IF(AE942 &lt; (INDEX(SLATable[Minimum SLA],MATCH(G942,SLATable[Priority],0))),"YES","NO"),"")</f>
        <v/>
      </c>
      <c r="AJ942" s="28" t="str">
        <f>_xlfn.IFNA(IF(AE942 &lt; (INDEX(SLATable[Maximum SLA],MATCH(G942,SLATable[Priority],0))),"YES","NO"),"")</f>
        <v/>
      </c>
    </row>
    <row r="943" spans="26:36" ht="15" customHeight="1">
      <c r="Z943" s="169" t="e">
        <f t="shared" ca="1" si="157"/>
        <v>#N/A</v>
      </c>
      <c r="AA943" s="170" t="e">
        <f t="shared" ca="1" si="158"/>
        <v>#N/A</v>
      </c>
      <c r="AB943" s="169">
        <f t="shared" ca="1" si="159"/>
        <v>0</v>
      </c>
      <c r="AC943" s="170">
        <f t="shared" ca="1" si="160"/>
        <v>0</v>
      </c>
      <c r="AD943" s="169">
        <f t="shared" ca="1" si="161"/>
        <v>12388.42564085648</v>
      </c>
      <c r="AE943" s="169">
        <f t="shared" si="156"/>
        <v>0</v>
      </c>
      <c r="AF943" s="170">
        <f t="shared" si="162"/>
        <v>0</v>
      </c>
      <c r="AG943" s="170">
        <f t="shared" si="163"/>
        <v>0</v>
      </c>
      <c r="AH943" s="28" t="e" cm="1">
        <f t="array" aca="1" ref="AH943" ca="1">IF((AD943) &lt; (INDEX(ResponseSLA[#All],(MATCH((G943),ResponseSLA[Priority],0))+1,3)),"YES","No")</f>
        <v>#N/A</v>
      </c>
      <c r="AI943" s="28" t="str">
        <f>_xlfn.IFNA(IF(AE943 &lt; (INDEX(SLATable[Minimum SLA],MATCH(G943,SLATable[Priority],0))),"YES","NO"),"")</f>
        <v/>
      </c>
      <c r="AJ943" s="28" t="str">
        <f>_xlfn.IFNA(IF(AE943 &lt; (INDEX(SLATable[Maximum SLA],MATCH(G943,SLATable[Priority],0))),"YES","NO"),"")</f>
        <v/>
      </c>
    </row>
    <row r="944" spans="26:36" ht="15" customHeight="1">
      <c r="Z944" s="169" t="e">
        <f t="shared" ca="1" si="157"/>
        <v>#N/A</v>
      </c>
      <c r="AA944" s="170" t="e">
        <f t="shared" ca="1" si="158"/>
        <v>#N/A</v>
      </c>
      <c r="AB944" s="169">
        <f t="shared" ca="1" si="159"/>
        <v>0</v>
      </c>
      <c r="AC944" s="170">
        <f t="shared" ca="1" si="160"/>
        <v>0</v>
      </c>
      <c r="AD944" s="169">
        <f t="shared" ca="1" si="161"/>
        <v>12388.42564085648</v>
      </c>
      <c r="AE944" s="169">
        <f t="shared" si="156"/>
        <v>0</v>
      </c>
      <c r="AF944" s="170">
        <f t="shared" si="162"/>
        <v>0</v>
      </c>
      <c r="AG944" s="170">
        <f t="shared" si="163"/>
        <v>0</v>
      </c>
      <c r="AH944" s="28" t="e" cm="1">
        <f t="array" aca="1" ref="AH944" ca="1">IF((AD944) &lt; (INDEX(ResponseSLA[#All],(MATCH((G944),ResponseSLA[Priority],0))+1,3)),"YES","No")</f>
        <v>#N/A</v>
      </c>
      <c r="AI944" s="28" t="str">
        <f>_xlfn.IFNA(IF(AE944 &lt; (INDEX(SLATable[Minimum SLA],MATCH(G944,SLATable[Priority],0))),"YES","NO"),"")</f>
        <v/>
      </c>
      <c r="AJ944" s="28" t="str">
        <f>_xlfn.IFNA(IF(AE944 &lt; (INDEX(SLATable[Maximum SLA],MATCH(G944,SLATable[Priority],0))),"YES","NO"),"")</f>
        <v/>
      </c>
    </row>
    <row r="945" spans="26:36" ht="15" customHeight="1">
      <c r="Z945" s="169" t="e">
        <f t="shared" ca="1" si="157"/>
        <v>#N/A</v>
      </c>
      <c r="AA945" s="170" t="e">
        <f t="shared" ca="1" si="158"/>
        <v>#N/A</v>
      </c>
      <c r="AB945" s="169">
        <f t="shared" ca="1" si="159"/>
        <v>0</v>
      </c>
      <c r="AC945" s="170">
        <f t="shared" ca="1" si="160"/>
        <v>0</v>
      </c>
      <c r="AD945" s="169">
        <f t="shared" ca="1" si="161"/>
        <v>12388.42564085648</v>
      </c>
      <c r="AE945" s="169">
        <f t="shared" ref="AE945:AE1008" si="164">SUMIFS(AB:AB,E:E,E945)</f>
        <v>0</v>
      </c>
      <c r="AF945" s="170">
        <f t="shared" si="162"/>
        <v>0</v>
      </c>
      <c r="AG945" s="170">
        <f t="shared" si="163"/>
        <v>0</v>
      </c>
      <c r="AH945" s="28" t="e" cm="1">
        <f t="array" aca="1" ref="AH945" ca="1">IF((AD945) &lt; (INDEX(ResponseSLA[#All],(MATCH((G945),ResponseSLA[Priority],0))+1,3)),"YES","No")</f>
        <v>#N/A</v>
      </c>
      <c r="AI945" s="28" t="str">
        <f>_xlfn.IFNA(IF(AE945 &lt; (INDEX(SLATable[Minimum SLA],MATCH(G945,SLATable[Priority],0))),"YES","NO"),"")</f>
        <v/>
      </c>
      <c r="AJ945" s="28" t="str">
        <f>_xlfn.IFNA(IF(AE945 &lt; (INDEX(SLATable[Maximum SLA],MATCH(G945,SLATable[Priority],0))),"YES","NO"),"")</f>
        <v/>
      </c>
    </row>
    <row r="946" spans="26:36" ht="15" customHeight="1">
      <c r="Z946" s="169" t="e">
        <f t="shared" ca="1" si="157"/>
        <v>#N/A</v>
      </c>
      <c r="AA946" s="170" t="e">
        <f t="shared" ca="1" si="158"/>
        <v>#N/A</v>
      </c>
      <c r="AB946" s="169">
        <f t="shared" ca="1" si="159"/>
        <v>0</v>
      </c>
      <c r="AC946" s="170">
        <f t="shared" ca="1" si="160"/>
        <v>0</v>
      </c>
      <c r="AD946" s="169">
        <f t="shared" ca="1" si="161"/>
        <v>12388.42564085648</v>
      </c>
      <c r="AE946" s="169">
        <f t="shared" si="164"/>
        <v>0</v>
      </c>
      <c r="AF946" s="170">
        <f t="shared" si="162"/>
        <v>0</v>
      </c>
      <c r="AG946" s="170">
        <f t="shared" si="163"/>
        <v>0</v>
      </c>
      <c r="AH946" s="28" t="e" cm="1">
        <f t="array" aca="1" ref="AH946" ca="1">IF((AD946) &lt; (INDEX(ResponseSLA[#All],(MATCH((G946),ResponseSLA[Priority],0))+1,3)),"YES","No")</f>
        <v>#N/A</v>
      </c>
      <c r="AI946" s="28" t="str">
        <f>_xlfn.IFNA(IF(AE946 &lt; (INDEX(SLATable[Minimum SLA],MATCH(G946,SLATable[Priority],0))),"YES","NO"),"")</f>
        <v/>
      </c>
      <c r="AJ946" s="28" t="str">
        <f>_xlfn.IFNA(IF(AE946 &lt; (INDEX(SLATable[Maximum SLA],MATCH(G946,SLATable[Priority],0))),"YES","NO"),"")</f>
        <v/>
      </c>
    </row>
    <row r="947" spans="26:36" ht="15" customHeight="1">
      <c r="Z947" s="169" t="e">
        <f t="shared" ca="1" si="157"/>
        <v>#N/A</v>
      </c>
      <c r="AA947" s="170" t="e">
        <f t="shared" ca="1" si="158"/>
        <v>#N/A</v>
      </c>
      <c r="AB947" s="169">
        <f t="shared" ca="1" si="159"/>
        <v>0</v>
      </c>
      <c r="AC947" s="170">
        <f t="shared" ca="1" si="160"/>
        <v>0</v>
      </c>
      <c r="AD947" s="169">
        <f t="shared" ca="1" si="161"/>
        <v>12388.42564085648</v>
      </c>
      <c r="AE947" s="169">
        <f t="shared" si="164"/>
        <v>0</v>
      </c>
      <c r="AF947" s="170">
        <f t="shared" si="162"/>
        <v>0</v>
      </c>
      <c r="AG947" s="170">
        <f t="shared" si="163"/>
        <v>0</v>
      </c>
      <c r="AH947" s="28" t="e" cm="1">
        <f t="array" aca="1" ref="AH947" ca="1">IF((AD947) &lt; (INDEX(ResponseSLA[#All],(MATCH((G947),ResponseSLA[Priority],0))+1,3)),"YES","No")</f>
        <v>#N/A</v>
      </c>
      <c r="AI947" s="28" t="str">
        <f>_xlfn.IFNA(IF(AE947 &lt; (INDEX(SLATable[Minimum SLA],MATCH(G947,SLATable[Priority],0))),"YES","NO"),"")</f>
        <v/>
      </c>
      <c r="AJ947" s="28" t="str">
        <f>_xlfn.IFNA(IF(AE947 &lt; (INDEX(SLATable[Maximum SLA],MATCH(G947,SLATable[Priority],0))),"YES","NO"),"")</f>
        <v/>
      </c>
    </row>
    <row r="948" spans="26:36" ht="15" customHeight="1">
      <c r="Z948" s="169" t="e">
        <f t="shared" ca="1" si="157"/>
        <v>#N/A</v>
      </c>
      <c r="AA948" s="170" t="e">
        <f t="shared" ca="1" si="158"/>
        <v>#N/A</v>
      </c>
      <c r="AB948" s="169">
        <f t="shared" ca="1" si="159"/>
        <v>0</v>
      </c>
      <c r="AC948" s="170">
        <f t="shared" ca="1" si="160"/>
        <v>0</v>
      </c>
      <c r="AD948" s="169">
        <f t="shared" ca="1" si="161"/>
        <v>12388.42564085648</v>
      </c>
      <c r="AE948" s="169">
        <f t="shared" si="164"/>
        <v>0</v>
      </c>
      <c r="AF948" s="170">
        <f t="shared" si="162"/>
        <v>0</v>
      </c>
      <c r="AG948" s="170">
        <f t="shared" si="163"/>
        <v>0</v>
      </c>
      <c r="AH948" s="28" t="e" cm="1">
        <f t="array" aca="1" ref="AH948" ca="1">IF((AD948) &lt; (INDEX(ResponseSLA[#All],(MATCH((G948),ResponseSLA[Priority],0))+1,3)),"YES","No")</f>
        <v>#N/A</v>
      </c>
      <c r="AI948" s="28" t="str">
        <f>_xlfn.IFNA(IF(AE948 &lt; (INDEX(SLATable[Minimum SLA],MATCH(G948,SLATable[Priority],0))),"YES","NO"),"")</f>
        <v/>
      </c>
      <c r="AJ948" s="28" t="str">
        <f>_xlfn.IFNA(IF(AE948 &lt; (INDEX(SLATable[Maximum SLA],MATCH(G948,SLATable[Priority],0))),"YES","NO"),"")</f>
        <v/>
      </c>
    </row>
    <row r="949" spans="26:36" ht="15" customHeight="1">
      <c r="Z949" s="169" t="e">
        <f t="shared" ca="1" si="157"/>
        <v>#N/A</v>
      </c>
      <c r="AA949" s="170" t="e">
        <f t="shared" ca="1" si="158"/>
        <v>#N/A</v>
      </c>
      <c r="AB949" s="169">
        <f t="shared" ca="1" si="159"/>
        <v>0</v>
      </c>
      <c r="AC949" s="170">
        <f t="shared" ca="1" si="160"/>
        <v>0</v>
      </c>
      <c r="AD949" s="169">
        <f t="shared" ca="1" si="161"/>
        <v>12388.42564085648</v>
      </c>
      <c r="AE949" s="169">
        <f t="shared" si="164"/>
        <v>0</v>
      </c>
      <c r="AF949" s="170">
        <f t="shared" si="162"/>
        <v>0</v>
      </c>
      <c r="AG949" s="170">
        <f t="shared" si="163"/>
        <v>0</v>
      </c>
      <c r="AH949" s="28" t="e" cm="1">
        <f t="array" aca="1" ref="AH949" ca="1">IF((AD949) &lt; (INDEX(ResponseSLA[#All],(MATCH((G949),ResponseSLA[Priority],0))+1,3)),"YES","No")</f>
        <v>#N/A</v>
      </c>
      <c r="AI949" s="28" t="str">
        <f>_xlfn.IFNA(IF(AE949 &lt; (INDEX(SLATable[Minimum SLA],MATCH(G949,SLATable[Priority],0))),"YES","NO"),"")</f>
        <v/>
      </c>
      <c r="AJ949" s="28" t="str">
        <f>_xlfn.IFNA(IF(AE949 &lt; (INDEX(SLATable[Maximum SLA],MATCH(G949,SLATable[Priority],0))),"YES","NO"),"")</f>
        <v/>
      </c>
    </row>
    <row r="950" spans="26:36" ht="15" customHeight="1">
      <c r="Z950" s="169" t="e">
        <f t="shared" ca="1" si="157"/>
        <v>#N/A</v>
      </c>
      <c r="AA950" s="170" t="e">
        <f t="shared" ca="1" si="158"/>
        <v>#N/A</v>
      </c>
      <c r="AB950" s="169">
        <f t="shared" ca="1" si="159"/>
        <v>0</v>
      </c>
      <c r="AC950" s="170">
        <f t="shared" ca="1" si="160"/>
        <v>0</v>
      </c>
      <c r="AD950" s="169">
        <f t="shared" ca="1" si="161"/>
        <v>12388.42564085648</v>
      </c>
      <c r="AE950" s="169">
        <f t="shared" si="164"/>
        <v>0</v>
      </c>
      <c r="AF950" s="170">
        <f t="shared" si="162"/>
        <v>0</v>
      </c>
      <c r="AG950" s="170">
        <f t="shared" si="163"/>
        <v>0</v>
      </c>
      <c r="AH950" s="28" t="e" cm="1">
        <f t="array" aca="1" ref="AH950" ca="1">IF((AD950) &lt; (INDEX(ResponseSLA[#All],(MATCH((G950),ResponseSLA[Priority],0))+1,3)),"YES","No")</f>
        <v>#N/A</v>
      </c>
      <c r="AI950" s="28" t="str">
        <f>_xlfn.IFNA(IF(AE950 &lt; (INDEX(SLATable[Minimum SLA],MATCH(G950,SLATable[Priority],0))),"YES","NO"),"")</f>
        <v/>
      </c>
      <c r="AJ950" s="28" t="str">
        <f>_xlfn.IFNA(IF(AE950 &lt; (INDEX(SLATable[Maximum SLA],MATCH(G950,SLATable[Priority],0))),"YES","NO"),"")</f>
        <v/>
      </c>
    </row>
    <row r="951" spans="26:36" ht="15" customHeight="1">
      <c r="Z951" s="169" t="e">
        <f t="shared" ca="1" si="157"/>
        <v>#N/A</v>
      </c>
      <c r="AA951" s="170" t="e">
        <f t="shared" ca="1" si="158"/>
        <v>#N/A</v>
      </c>
      <c r="AB951" s="169">
        <f t="shared" ca="1" si="159"/>
        <v>0</v>
      </c>
      <c r="AC951" s="170">
        <f t="shared" ca="1" si="160"/>
        <v>0</v>
      </c>
      <c r="AD951" s="169">
        <f t="shared" ca="1" si="161"/>
        <v>12388.42564085648</v>
      </c>
      <c r="AE951" s="169">
        <f t="shared" si="164"/>
        <v>0</v>
      </c>
      <c r="AF951" s="170">
        <f t="shared" si="162"/>
        <v>0</v>
      </c>
      <c r="AG951" s="170">
        <f t="shared" si="163"/>
        <v>0</v>
      </c>
      <c r="AH951" s="28" t="e" cm="1">
        <f t="array" aca="1" ref="AH951" ca="1">IF((AD951) &lt; (INDEX(ResponseSLA[#All],(MATCH((G951),ResponseSLA[Priority],0))+1,3)),"YES","No")</f>
        <v>#N/A</v>
      </c>
      <c r="AI951" s="28" t="str">
        <f>_xlfn.IFNA(IF(AE951 &lt; (INDEX(SLATable[Minimum SLA],MATCH(G951,SLATable[Priority],0))),"YES","NO"),"")</f>
        <v/>
      </c>
      <c r="AJ951" s="28" t="str">
        <f>_xlfn.IFNA(IF(AE951 &lt; (INDEX(SLATable[Maximum SLA],MATCH(G951,SLATable[Priority],0))),"YES","NO"),"")</f>
        <v/>
      </c>
    </row>
    <row r="952" spans="26:36" ht="15" customHeight="1">
      <c r="Z952" s="169" t="e">
        <f t="shared" ca="1" si="157"/>
        <v>#N/A</v>
      </c>
      <c r="AA952" s="170" t="e">
        <f t="shared" ca="1" si="158"/>
        <v>#N/A</v>
      </c>
      <c r="AB952" s="169">
        <f t="shared" ca="1" si="159"/>
        <v>0</v>
      </c>
      <c r="AC952" s="170">
        <f t="shared" ca="1" si="160"/>
        <v>0</v>
      </c>
      <c r="AD952" s="169">
        <f t="shared" ca="1" si="161"/>
        <v>12388.42564085648</v>
      </c>
      <c r="AE952" s="169">
        <f t="shared" si="164"/>
        <v>0</v>
      </c>
      <c r="AF952" s="170">
        <f t="shared" si="162"/>
        <v>0</v>
      </c>
      <c r="AG952" s="170">
        <f t="shared" si="163"/>
        <v>0</v>
      </c>
      <c r="AH952" s="28" t="e" cm="1">
        <f t="array" aca="1" ref="AH952" ca="1">IF((AD952) &lt; (INDEX(ResponseSLA[#All],(MATCH((G952),ResponseSLA[Priority],0))+1,3)),"YES","No")</f>
        <v>#N/A</v>
      </c>
      <c r="AI952" s="28" t="str">
        <f>_xlfn.IFNA(IF(AE952 &lt; (INDEX(SLATable[Minimum SLA],MATCH(G952,SLATable[Priority],0))),"YES","NO"),"")</f>
        <v/>
      </c>
      <c r="AJ952" s="28" t="str">
        <f>_xlfn.IFNA(IF(AE952 &lt; (INDEX(SLATable[Maximum SLA],MATCH(G952,SLATable[Priority],0))),"YES","NO"),"")</f>
        <v/>
      </c>
    </row>
    <row r="953" spans="26:36" ht="15" customHeight="1">
      <c r="Z953" s="169" t="e">
        <f t="shared" ca="1" si="157"/>
        <v>#N/A</v>
      </c>
      <c r="AA953" s="170" t="e">
        <f t="shared" ca="1" si="158"/>
        <v>#N/A</v>
      </c>
      <c r="AB953" s="169">
        <f t="shared" ca="1" si="159"/>
        <v>0</v>
      </c>
      <c r="AC953" s="170">
        <f t="shared" ca="1" si="160"/>
        <v>0</v>
      </c>
      <c r="AD953" s="169">
        <f t="shared" ca="1" si="161"/>
        <v>12388.42564085648</v>
      </c>
      <c r="AE953" s="169">
        <f t="shared" si="164"/>
        <v>0</v>
      </c>
      <c r="AF953" s="170">
        <f t="shared" si="162"/>
        <v>0</v>
      </c>
      <c r="AG953" s="170">
        <f t="shared" si="163"/>
        <v>0</v>
      </c>
      <c r="AH953" s="28" t="e" cm="1">
        <f t="array" aca="1" ref="AH953" ca="1">IF((AD953) &lt; (INDEX(ResponseSLA[#All],(MATCH((G953),ResponseSLA[Priority],0))+1,3)),"YES","No")</f>
        <v>#N/A</v>
      </c>
      <c r="AI953" s="28" t="str">
        <f>_xlfn.IFNA(IF(AE953 &lt; (INDEX(SLATable[Minimum SLA],MATCH(G953,SLATable[Priority],0))),"YES","NO"),"")</f>
        <v/>
      </c>
      <c r="AJ953" s="28" t="str">
        <f>_xlfn.IFNA(IF(AE953 &lt; (INDEX(SLATable[Maximum SLA],MATCH(G953,SLATable[Priority],0))),"YES","NO"),"")</f>
        <v/>
      </c>
    </row>
    <row r="954" spans="26:36" ht="15" customHeight="1">
      <c r="Z954" s="169" t="e">
        <f t="shared" ca="1" si="157"/>
        <v>#N/A</v>
      </c>
      <c r="AA954" s="170" t="e">
        <f t="shared" ca="1" si="158"/>
        <v>#N/A</v>
      </c>
      <c r="AB954" s="169">
        <f t="shared" ca="1" si="159"/>
        <v>0</v>
      </c>
      <c r="AC954" s="170">
        <f t="shared" ca="1" si="160"/>
        <v>0</v>
      </c>
      <c r="AD954" s="169">
        <f t="shared" ca="1" si="161"/>
        <v>12388.42564085648</v>
      </c>
      <c r="AE954" s="169">
        <f t="shared" si="164"/>
        <v>0</v>
      </c>
      <c r="AF954" s="170">
        <f t="shared" si="162"/>
        <v>0</v>
      </c>
      <c r="AG954" s="170">
        <f t="shared" si="163"/>
        <v>0</v>
      </c>
      <c r="AH954" s="28" t="e" cm="1">
        <f t="array" aca="1" ref="AH954" ca="1">IF((AD954) &lt; (INDEX(ResponseSLA[#All],(MATCH((G954),ResponseSLA[Priority],0))+1,3)),"YES","No")</f>
        <v>#N/A</v>
      </c>
      <c r="AI954" s="28" t="str">
        <f>_xlfn.IFNA(IF(AE954 &lt; (INDEX(SLATable[Minimum SLA],MATCH(G954,SLATable[Priority],0))),"YES","NO"),"")</f>
        <v/>
      </c>
      <c r="AJ954" s="28" t="str">
        <f>_xlfn.IFNA(IF(AE954 &lt; (INDEX(SLATable[Maximum SLA],MATCH(G954,SLATable[Priority],0))),"YES","NO"),"")</f>
        <v/>
      </c>
    </row>
    <row r="955" spans="26:36" ht="15" customHeight="1">
      <c r="Z955" s="169" t="e">
        <f t="shared" ca="1" si="157"/>
        <v>#N/A</v>
      </c>
      <c r="AA955" s="170" t="e">
        <f t="shared" ca="1" si="158"/>
        <v>#N/A</v>
      </c>
      <c r="AB955" s="169">
        <f t="shared" ca="1" si="159"/>
        <v>0</v>
      </c>
      <c r="AC955" s="170">
        <f t="shared" ca="1" si="160"/>
        <v>0</v>
      </c>
      <c r="AD955" s="169">
        <f t="shared" ca="1" si="161"/>
        <v>12388.42564085648</v>
      </c>
      <c r="AE955" s="169">
        <f t="shared" si="164"/>
        <v>0</v>
      </c>
      <c r="AF955" s="170">
        <f t="shared" si="162"/>
        <v>0</v>
      </c>
      <c r="AG955" s="170">
        <f t="shared" si="163"/>
        <v>0</v>
      </c>
      <c r="AH955" s="28" t="e" cm="1">
        <f t="array" aca="1" ref="AH955" ca="1">IF((AD955) &lt; (INDEX(ResponseSLA[#All],(MATCH((G955),ResponseSLA[Priority],0))+1,3)),"YES","No")</f>
        <v>#N/A</v>
      </c>
      <c r="AI955" s="28" t="str">
        <f>_xlfn.IFNA(IF(AE955 &lt; (INDEX(SLATable[Minimum SLA],MATCH(G955,SLATable[Priority],0))),"YES","NO"),"")</f>
        <v/>
      </c>
      <c r="AJ955" s="28" t="str">
        <f>_xlfn.IFNA(IF(AE955 &lt; (INDEX(SLATable[Maximum SLA],MATCH(G955,SLATable[Priority],0))),"YES","NO"),"")</f>
        <v/>
      </c>
    </row>
    <row r="956" spans="26:36" ht="15" customHeight="1">
      <c r="Z956" s="169" t="e">
        <f t="shared" ca="1" si="157"/>
        <v>#N/A</v>
      </c>
      <c r="AA956" s="170" t="e">
        <f t="shared" ca="1" si="158"/>
        <v>#N/A</v>
      </c>
      <c r="AB956" s="169">
        <f t="shared" ca="1" si="159"/>
        <v>0</v>
      </c>
      <c r="AC956" s="170">
        <f t="shared" ca="1" si="160"/>
        <v>0</v>
      </c>
      <c r="AD956" s="169">
        <f t="shared" ca="1" si="161"/>
        <v>12388.42564085648</v>
      </c>
      <c r="AE956" s="169">
        <f t="shared" si="164"/>
        <v>0</v>
      </c>
      <c r="AF956" s="170">
        <f t="shared" si="162"/>
        <v>0</v>
      </c>
      <c r="AG956" s="170">
        <f t="shared" si="163"/>
        <v>0</v>
      </c>
      <c r="AH956" s="28" t="e" cm="1">
        <f t="array" aca="1" ref="AH956" ca="1">IF((AD956) &lt; (INDEX(ResponseSLA[#All],(MATCH((G956),ResponseSLA[Priority],0))+1,3)),"YES","No")</f>
        <v>#N/A</v>
      </c>
      <c r="AI956" s="28" t="str">
        <f>_xlfn.IFNA(IF(AE956 &lt; (INDEX(SLATable[Minimum SLA],MATCH(G956,SLATable[Priority],0))),"YES","NO"),"")</f>
        <v/>
      </c>
      <c r="AJ956" s="28" t="str">
        <f>_xlfn.IFNA(IF(AE956 &lt; (INDEX(SLATable[Maximum SLA],MATCH(G956,SLATable[Priority],0))),"YES","NO"),"")</f>
        <v/>
      </c>
    </row>
    <row r="957" spans="26:36" ht="15" customHeight="1">
      <c r="Z957" s="169" t="e">
        <f t="shared" ca="1" si="157"/>
        <v>#N/A</v>
      </c>
      <c r="AA957" s="170" t="e">
        <f t="shared" ca="1" si="158"/>
        <v>#N/A</v>
      </c>
      <c r="AB957" s="169">
        <f t="shared" ca="1" si="159"/>
        <v>0</v>
      </c>
      <c r="AC957" s="170">
        <f t="shared" ca="1" si="160"/>
        <v>0</v>
      </c>
      <c r="AD957" s="169">
        <f t="shared" ca="1" si="161"/>
        <v>12388.42564085648</v>
      </c>
      <c r="AE957" s="169">
        <f t="shared" si="164"/>
        <v>0</v>
      </c>
      <c r="AF957" s="170">
        <f t="shared" si="162"/>
        <v>0</v>
      </c>
      <c r="AG957" s="170">
        <f t="shared" si="163"/>
        <v>0</v>
      </c>
      <c r="AH957" s="28" t="e" cm="1">
        <f t="array" aca="1" ref="AH957" ca="1">IF((AD957) &lt; (INDEX(ResponseSLA[#All],(MATCH((G957),ResponseSLA[Priority],0))+1,3)),"YES","No")</f>
        <v>#N/A</v>
      </c>
      <c r="AI957" s="28" t="str">
        <f>_xlfn.IFNA(IF(AE957 &lt; (INDEX(SLATable[Minimum SLA],MATCH(G957,SLATable[Priority],0))),"YES","NO"),"")</f>
        <v/>
      </c>
      <c r="AJ957" s="28" t="str">
        <f>_xlfn.IFNA(IF(AE957 &lt; (INDEX(SLATable[Maximum SLA],MATCH(G957,SLATable[Priority],0))),"YES","NO"),"")</f>
        <v/>
      </c>
    </row>
    <row r="958" spans="26:36" ht="15" customHeight="1">
      <c r="Z958" s="169" t="e">
        <f t="shared" ca="1" si="157"/>
        <v>#N/A</v>
      </c>
      <c r="AA958" s="170" t="e">
        <f t="shared" ca="1" si="158"/>
        <v>#N/A</v>
      </c>
      <c r="AB958" s="169">
        <f t="shared" ca="1" si="159"/>
        <v>0</v>
      </c>
      <c r="AC958" s="170">
        <f t="shared" ca="1" si="160"/>
        <v>0</v>
      </c>
      <c r="AD958" s="169">
        <f t="shared" ca="1" si="161"/>
        <v>12388.42564085648</v>
      </c>
      <c r="AE958" s="169">
        <f t="shared" si="164"/>
        <v>0</v>
      </c>
      <c r="AF958" s="170">
        <f t="shared" si="162"/>
        <v>0</v>
      </c>
      <c r="AG958" s="170">
        <f t="shared" si="163"/>
        <v>0</v>
      </c>
      <c r="AH958" s="28" t="e" cm="1">
        <f t="array" aca="1" ref="AH958" ca="1">IF((AD958) &lt; (INDEX(ResponseSLA[#All],(MATCH((G958),ResponseSLA[Priority],0))+1,3)),"YES","No")</f>
        <v>#N/A</v>
      </c>
      <c r="AI958" s="28" t="str">
        <f>_xlfn.IFNA(IF(AE958 &lt; (INDEX(SLATable[Minimum SLA],MATCH(G958,SLATable[Priority],0))),"YES","NO"),"")</f>
        <v/>
      </c>
      <c r="AJ958" s="28" t="str">
        <f>_xlfn.IFNA(IF(AE958 &lt; (INDEX(SLATable[Maximum SLA],MATCH(G958,SLATable[Priority],0))),"YES","NO"),"")</f>
        <v/>
      </c>
    </row>
    <row r="959" spans="26:36" ht="15" customHeight="1">
      <c r="Z959" s="169" t="e">
        <f t="shared" ca="1" si="157"/>
        <v>#N/A</v>
      </c>
      <c r="AA959" s="170" t="e">
        <f t="shared" ca="1" si="158"/>
        <v>#N/A</v>
      </c>
      <c r="AB959" s="169">
        <f t="shared" ca="1" si="159"/>
        <v>0</v>
      </c>
      <c r="AC959" s="170">
        <f t="shared" ca="1" si="160"/>
        <v>0</v>
      </c>
      <c r="AD959" s="169">
        <f t="shared" ca="1" si="161"/>
        <v>12388.42564085648</v>
      </c>
      <c r="AE959" s="169">
        <f t="shared" si="164"/>
        <v>0</v>
      </c>
      <c r="AF959" s="170">
        <f t="shared" si="162"/>
        <v>0</v>
      </c>
      <c r="AG959" s="170">
        <f t="shared" si="163"/>
        <v>0</v>
      </c>
      <c r="AH959" s="28" t="e" cm="1">
        <f t="array" aca="1" ref="AH959" ca="1">IF((AD959) &lt; (INDEX(ResponseSLA[#All],(MATCH((G959),ResponseSLA[Priority],0))+1,3)),"YES","No")</f>
        <v>#N/A</v>
      </c>
      <c r="AI959" s="28" t="str">
        <f>_xlfn.IFNA(IF(AE959 &lt; (INDEX(SLATable[Minimum SLA],MATCH(G959,SLATable[Priority],0))),"YES","NO"),"")</f>
        <v/>
      </c>
      <c r="AJ959" s="28" t="str">
        <f>_xlfn.IFNA(IF(AE959 &lt; (INDEX(SLATable[Maximum SLA],MATCH(G959,SLATable[Priority],0))),"YES","NO"),"")</f>
        <v/>
      </c>
    </row>
    <row r="960" spans="26:36" ht="15" customHeight="1">
      <c r="Z960" s="169" t="e">
        <f t="shared" ca="1" si="157"/>
        <v>#N/A</v>
      </c>
      <c r="AA960" s="170" t="e">
        <f t="shared" ca="1" si="158"/>
        <v>#N/A</v>
      </c>
      <c r="AB960" s="169">
        <f t="shared" ca="1" si="159"/>
        <v>0</v>
      </c>
      <c r="AC960" s="170">
        <f t="shared" ca="1" si="160"/>
        <v>0</v>
      </c>
      <c r="AD960" s="169">
        <f t="shared" ca="1" si="161"/>
        <v>12388.42564085648</v>
      </c>
      <c r="AE960" s="169">
        <f t="shared" si="164"/>
        <v>0</v>
      </c>
      <c r="AF960" s="170">
        <f t="shared" si="162"/>
        <v>0</v>
      </c>
      <c r="AG960" s="170">
        <f t="shared" si="163"/>
        <v>0</v>
      </c>
      <c r="AH960" s="28" t="e" cm="1">
        <f t="array" aca="1" ref="AH960" ca="1">IF((AD960) &lt; (INDEX(ResponseSLA[#All],(MATCH((G960),ResponseSLA[Priority],0))+1,3)),"YES","No")</f>
        <v>#N/A</v>
      </c>
      <c r="AI960" s="28" t="str">
        <f>_xlfn.IFNA(IF(AE960 &lt; (INDEX(SLATable[Minimum SLA],MATCH(G960,SLATable[Priority],0))),"YES","NO"),"")</f>
        <v/>
      </c>
      <c r="AJ960" s="28" t="str">
        <f>_xlfn.IFNA(IF(AE960 &lt; (INDEX(SLATable[Maximum SLA],MATCH(G960,SLATable[Priority],0))),"YES","NO"),"")</f>
        <v/>
      </c>
    </row>
    <row r="961" spans="26:36" ht="15" customHeight="1">
      <c r="Z961" s="169" t="e">
        <f t="shared" ca="1" si="157"/>
        <v>#N/A</v>
      </c>
      <c r="AA961" s="170" t="e">
        <f t="shared" ca="1" si="158"/>
        <v>#N/A</v>
      </c>
      <c r="AB961" s="169">
        <f t="shared" ca="1" si="159"/>
        <v>0</v>
      </c>
      <c r="AC961" s="170">
        <f t="shared" ca="1" si="160"/>
        <v>0</v>
      </c>
      <c r="AD961" s="169">
        <f t="shared" ca="1" si="161"/>
        <v>12388.42564085648</v>
      </c>
      <c r="AE961" s="169">
        <f t="shared" si="164"/>
        <v>0</v>
      </c>
      <c r="AF961" s="170">
        <f t="shared" si="162"/>
        <v>0</v>
      </c>
      <c r="AG961" s="170">
        <f t="shared" si="163"/>
        <v>0</v>
      </c>
      <c r="AH961" s="28" t="e" cm="1">
        <f t="array" aca="1" ref="AH961" ca="1">IF((AD961) &lt; (INDEX(ResponseSLA[#All],(MATCH((G961),ResponseSLA[Priority],0))+1,3)),"YES","No")</f>
        <v>#N/A</v>
      </c>
      <c r="AI961" s="28" t="str">
        <f>_xlfn.IFNA(IF(AE961 &lt; (INDEX(SLATable[Minimum SLA],MATCH(G961,SLATable[Priority],0))),"YES","NO"),"")</f>
        <v/>
      </c>
      <c r="AJ961" s="28" t="str">
        <f>_xlfn.IFNA(IF(AE961 &lt; (INDEX(SLATable[Maximum SLA],MATCH(G961,SLATable[Priority],0))),"YES","NO"),"")</f>
        <v/>
      </c>
    </row>
    <row r="962" spans="26:36" ht="15" customHeight="1">
      <c r="Z962" s="169" t="e">
        <f t="shared" ca="1" si="157"/>
        <v>#N/A</v>
      </c>
      <c r="AA962" s="170" t="e">
        <f t="shared" ca="1" si="158"/>
        <v>#N/A</v>
      </c>
      <c r="AB962" s="169">
        <f t="shared" ca="1" si="159"/>
        <v>0</v>
      </c>
      <c r="AC962" s="170">
        <f t="shared" ca="1" si="160"/>
        <v>0</v>
      </c>
      <c r="AD962" s="169">
        <f t="shared" ca="1" si="161"/>
        <v>12388.42564085648</v>
      </c>
      <c r="AE962" s="169">
        <f t="shared" si="164"/>
        <v>0</v>
      </c>
      <c r="AF962" s="170">
        <f t="shared" si="162"/>
        <v>0</v>
      </c>
      <c r="AG962" s="170">
        <f t="shared" si="163"/>
        <v>0</v>
      </c>
      <c r="AH962" s="28" t="e" cm="1">
        <f t="array" aca="1" ref="AH962" ca="1">IF((AD962) &lt; (INDEX(ResponseSLA[#All],(MATCH((G962),ResponseSLA[Priority],0))+1,3)),"YES","No")</f>
        <v>#N/A</v>
      </c>
      <c r="AI962" s="28" t="str">
        <f>_xlfn.IFNA(IF(AE962 &lt; (INDEX(SLATable[Minimum SLA],MATCH(G962,SLATable[Priority],0))),"YES","NO"),"")</f>
        <v/>
      </c>
      <c r="AJ962" s="28" t="str">
        <f>_xlfn.IFNA(IF(AE962 &lt; (INDEX(SLATable[Maximum SLA],MATCH(G962,SLATable[Priority],0))),"YES","NO"),"")</f>
        <v/>
      </c>
    </row>
    <row r="963" spans="26:36" ht="15" customHeight="1">
      <c r="Z963" s="169" t="e">
        <f t="shared" ca="1" si="157"/>
        <v>#N/A</v>
      </c>
      <c r="AA963" s="170" t="e">
        <f t="shared" ca="1" si="158"/>
        <v>#N/A</v>
      </c>
      <c r="AB963" s="169">
        <f t="shared" ca="1" si="159"/>
        <v>0</v>
      </c>
      <c r="AC963" s="170">
        <f t="shared" ca="1" si="160"/>
        <v>0</v>
      </c>
      <c r="AD963" s="169">
        <f t="shared" ca="1" si="161"/>
        <v>12388.42564085648</v>
      </c>
      <c r="AE963" s="169">
        <f t="shared" si="164"/>
        <v>0</v>
      </c>
      <c r="AF963" s="170">
        <f t="shared" si="162"/>
        <v>0</v>
      </c>
      <c r="AG963" s="170">
        <f t="shared" si="163"/>
        <v>0</v>
      </c>
      <c r="AH963" s="28" t="e" cm="1">
        <f t="array" aca="1" ref="AH963" ca="1">IF((AD963) &lt; (INDEX(ResponseSLA[#All],(MATCH((G963),ResponseSLA[Priority],0))+1,3)),"YES","No")</f>
        <v>#N/A</v>
      </c>
      <c r="AI963" s="28" t="str">
        <f>_xlfn.IFNA(IF(AE963 &lt; (INDEX(SLATable[Minimum SLA],MATCH(G963,SLATable[Priority],0))),"YES","NO"),"")</f>
        <v/>
      </c>
      <c r="AJ963" s="28" t="str">
        <f>_xlfn.IFNA(IF(AE963 &lt; (INDEX(SLATable[Maximum SLA],MATCH(G963,SLATable[Priority],0))),"YES","NO"),"")</f>
        <v/>
      </c>
    </row>
    <row r="964" spans="26:36" ht="15" customHeight="1">
      <c r="Z964" s="169" t="e">
        <f t="shared" ca="1" si="157"/>
        <v>#N/A</v>
      </c>
      <c r="AA964" s="170" t="e">
        <f t="shared" ca="1" si="158"/>
        <v>#N/A</v>
      </c>
      <c r="AB964" s="169">
        <f t="shared" ca="1" si="159"/>
        <v>0</v>
      </c>
      <c r="AC964" s="170">
        <f t="shared" ca="1" si="160"/>
        <v>0</v>
      </c>
      <c r="AD964" s="169">
        <f t="shared" ca="1" si="161"/>
        <v>12388.42564085648</v>
      </c>
      <c r="AE964" s="169">
        <f t="shared" si="164"/>
        <v>0</v>
      </c>
      <c r="AF964" s="170">
        <f t="shared" si="162"/>
        <v>0</v>
      </c>
      <c r="AG964" s="170">
        <f t="shared" si="163"/>
        <v>0</v>
      </c>
      <c r="AH964" s="28" t="e" cm="1">
        <f t="array" aca="1" ref="AH964" ca="1">IF((AD964) &lt; (INDEX(ResponseSLA[#All],(MATCH((G964),ResponseSLA[Priority],0))+1,3)),"YES","No")</f>
        <v>#N/A</v>
      </c>
      <c r="AI964" s="28" t="str">
        <f>_xlfn.IFNA(IF(AE964 &lt; (INDEX(SLATable[Minimum SLA],MATCH(G964,SLATable[Priority],0))),"YES","NO"),"")</f>
        <v/>
      </c>
      <c r="AJ964" s="28" t="str">
        <f>_xlfn.IFNA(IF(AE964 &lt; (INDEX(SLATable[Maximum SLA],MATCH(G964,SLATable[Priority],0))),"YES","NO"),"")</f>
        <v/>
      </c>
    </row>
    <row r="965" spans="26:36" ht="15" customHeight="1">
      <c r="Z965" s="169" t="e">
        <f t="shared" ca="1" si="157"/>
        <v>#N/A</v>
      </c>
      <c r="AA965" s="170" t="e">
        <f t="shared" ca="1" si="158"/>
        <v>#N/A</v>
      </c>
      <c r="AB965" s="169">
        <f t="shared" ca="1" si="159"/>
        <v>0</v>
      </c>
      <c r="AC965" s="170">
        <f t="shared" ca="1" si="160"/>
        <v>0</v>
      </c>
      <c r="AD965" s="169">
        <f t="shared" ca="1" si="161"/>
        <v>12388.42564085648</v>
      </c>
      <c r="AE965" s="169">
        <f t="shared" si="164"/>
        <v>0</v>
      </c>
      <c r="AF965" s="170">
        <f t="shared" si="162"/>
        <v>0</v>
      </c>
      <c r="AG965" s="170">
        <f t="shared" si="163"/>
        <v>0</v>
      </c>
      <c r="AH965" s="28" t="e" cm="1">
        <f t="array" aca="1" ref="AH965" ca="1">IF((AD965) &lt; (INDEX(ResponseSLA[#All],(MATCH((G965),ResponseSLA[Priority],0))+1,3)),"YES","No")</f>
        <v>#N/A</v>
      </c>
      <c r="AI965" s="28" t="str">
        <f>_xlfn.IFNA(IF(AE965 &lt; (INDEX(SLATable[Minimum SLA],MATCH(G965,SLATable[Priority],0))),"YES","NO"),"")</f>
        <v/>
      </c>
      <c r="AJ965" s="28" t="str">
        <f>_xlfn.IFNA(IF(AE965 &lt; (INDEX(SLATable[Maximum SLA],MATCH(G965,SLATable[Priority],0))),"YES","NO"),"")</f>
        <v/>
      </c>
    </row>
    <row r="966" spans="26:36" ht="15" customHeight="1">
      <c r="Z966" s="169" t="e">
        <f t="shared" ca="1" si="157"/>
        <v>#N/A</v>
      </c>
      <c r="AA966" s="170" t="e">
        <f t="shared" ca="1" si="158"/>
        <v>#N/A</v>
      </c>
      <c r="AB966" s="169">
        <f t="shared" ca="1" si="159"/>
        <v>0</v>
      </c>
      <c r="AC966" s="170">
        <f t="shared" ca="1" si="160"/>
        <v>0</v>
      </c>
      <c r="AD966" s="169">
        <f t="shared" ca="1" si="161"/>
        <v>12388.42564085648</v>
      </c>
      <c r="AE966" s="169">
        <f t="shared" si="164"/>
        <v>0</v>
      </c>
      <c r="AF966" s="170">
        <f t="shared" si="162"/>
        <v>0</v>
      </c>
      <c r="AG966" s="170">
        <f t="shared" si="163"/>
        <v>0</v>
      </c>
      <c r="AH966" s="28" t="e" cm="1">
        <f t="array" aca="1" ref="AH966" ca="1">IF((AD966) &lt; (INDEX(ResponseSLA[#All],(MATCH((G966),ResponseSLA[Priority],0))+1,3)),"YES","No")</f>
        <v>#N/A</v>
      </c>
      <c r="AI966" s="28" t="str">
        <f>_xlfn.IFNA(IF(AE966 &lt; (INDEX(SLATable[Minimum SLA],MATCH(G966,SLATable[Priority],0))),"YES","NO"),"")</f>
        <v/>
      </c>
      <c r="AJ966" s="28" t="str">
        <f>_xlfn.IFNA(IF(AE966 &lt; (INDEX(SLATable[Maximum SLA],MATCH(G966,SLATable[Priority],0))),"YES","NO"),"")</f>
        <v/>
      </c>
    </row>
    <row r="967" spans="26:36" ht="15" customHeight="1">
      <c r="Z967" s="169" t="e">
        <f t="shared" ca="1" si="157"/>
        <v>#N/A</v>
      </c>
      <c r="AA967" s="170" t="e">
        <f t="shared" ca="1" si="158"/>
        <v>#N/A</v>
      </c>
      <c r="AB967" s="169">
        <f t="shared" ca="1" si="159"/>
        <v>0</v>
      </c>
      <c r="AC967" s="170">
        <f t="shared" ca="1" si="160"/>
        <v>0</v>
      </c>
      <c r="AD967" s="169">
        <f t="shared" ca="1" si="161"/>
        <v>12388.42564085648</v>
      </c>
      <c r="AE967" s="169">
        <f t="shared" si="164"/>
        <v>0</v>
      </c>
      <c r="AF967" s="170">
        <f t="shared" si="162"/>
        <v>0</v>
      </c>
      <c r="AG967" s="170">
        <f t="shared" si="163"/>
        <v>0</v>
      </c>
      <c r="AH967" s="28" t="e" cm="1">
        <f t="array" aca="1" ref="AH967" ca="1">IF((AD967) &lt; (INDEX(ResponseSLA[#All],(MATCH((G967),ResponseSLA[Priority],0))+1,3)),"YES","No")</f>
        <v>#N/A</v>
      </c>
      <c r="AI967" s="28" t="str">
        <f>_xlfn.IFNA(IF(AE967 &lt; (INDEX(SLATable[Minimum SLA],MATCH(G967,SLATable[Priority],0))),"YES","NO"),"")</f>
        <v/>
      </c>
      <c r="AJ967" s="28" t="str">
        <f>_xlfn.IFNA(IF(AE967 &lt; (INDEX(SLATable[Maximum SLA],MATCH(G967,SLATable[Priority],0))),"YES","NO"),"")</f>
        <v/>
      </c>
    </row>
    <row r="968" spans="26:36" ht="15" customHeight="1">
      <c r="Z968" s="169" t="e">
        <f t="shared" ca="1" si="157"/>
        <v>#N/A</v>
      </c>
      <c r="AA968" s="170" t="e">
        <f t="shared" ca="1" si="158"/>
        <v>#N/A</v>
      </c>
      <c r="AB968" s="169">
        <f t="shared" ca="1" si="159"/>
        <v>0</v>
      </c>
      <c r="AC968" s="170">
        <f t="shared" ca="1" si="160"/>
        <v>0</v>
      </c>
      <c r="AD968" s="169">
        <f t="shared" ca="1" si="161"/>
        <v>12388.42564085648</v>
      </c>
      <c r="AE968" s="169">
        <f t="shared" si="164"/>
        <v>0</v>
      </c>
      <c r="AF968" s="170">
        <f t="shared" si="162"/>
        <v>0</v>
      </c>
      <c r="AG968" s="170">
        <f t="shared" si="163"/>
        <v>0</v>
      </c>
      <c r="AH968" s="28" t="e" cm="1">
        <f t="array" aca="1" ref="AH968" ca="1">IF((AD968) &lt; (INDEX(ResponseSLA[#All],(MATCH((G968),ResponseSLA[Priority],0))+1,3)),"YES","No")</f>
        <v>#N/A</v>
      </c>
      <c r="AI968" s="28" t="str">
        <f>_xlfn.IFNA(IF(AE968 &lt; (INDEX(SLATable[Minimum SLA],MATCH(G968,SLATable[Priority],0))),"YES","NO"),"")</f>
        <v/>
      </c>
      <c r="AJ968" s="28" t="str">
        <f>_xlfn.IFNA(IF(AE968 &lt; (INDEX(SLATable[Maximum SLA],MATCH(G968,SLATable[Priority],0))),"YES","NO"),"")</f>
        <v/>
      </c>
    </row>
    <row r="969" spans="26:36" ht="15" customHeight="1">
      <c r="Z969" s="169" t="e">
        <f t="shared" ca="1" si="157"/>
        <v>#N/A</v>
      </c>
      <c r="AA969" s="170" t="e">
        <f t="shared" ca="1" si="158"/>
        <v>#N/A</v>
      </c>
      <c r="AB969" s="169">
        <f t="shared" ca="1" si="159"/>
        <v>0</v>
      </c>
      <c r="AC969" s="170">
        <f t="shared" ca="1" si="160"/>
        <v>0</v>
      </c>
      <c r="AD969" s="169">
        <f t="shared" ca="1" si="161"/>
        <v>12388.42564085648</v>
      </c>
      <c r="AE969" s="169">
        <f t="shared" si="164"/>
        <v>0</v>
      </c>
      <c r="AF969" s="170">
        <f t="shared" si="162"/>
        <v>0</v>
      </c>
      <c r="AG969" s="170">
        <f t="shared" si="163"/>
        <v>0</v>
      </c>
      <c r="AH969" s="28" t="e" cm="1">
        <f t="array" aca="1" ref="AH969" ca="1">IF((AD969) &lt; (INDEX(ResponseSLA[#All],(MATCH((G969),ResponseSLA[Priority],0))+1,3)),"YES","No")</f>
        <v>#N/A</v>
      </c>
      <c r="AI969" s="28" t="str">
        <f>_xlfn.IFNA(IF(AE969 &lt; (INDEX(SLATable[Minimum SLA],MATCH(G969,SLATable[Priority],0))),"YES","NO"),"")</f>
        <v/>
      </c>
      <c r="AJ969" s="28" t="str">
        <f>_xlfn.IFNA(IF(AE969 &lt; (INDEX(SLATable[Maximum SLA],MATCH(G969,SLATable[Priority],0))),"YES","NO"),"")</f>
        <v/>
      </c>
    </row>
    <row r="970" spans="26:36" ht="15" customHeight="1">
      <c r="Z970" s="169" t="e">
        <f t="shared" ca="1" si="157"/>
        <v>#N/A</v>
      </c>
      <c r="AA970" s="170" t="e">
        <f t="shared" ca="1" si="158"/>
        <v>#N/A</v>
      </c>
      <c r="AB970" s="169">
        <f t="shared" ca="1" si="159"/>
        <v>0</v>
      </c>
      <c r="AC970" s="170">
        <f t="shared" ca="1" si="160"/>
        <v>0</v>
      </c>
      <c r="AD970" s="169">
        <f t="shared" ca="1" si="161"/>
        <v>12388.42564085648</v>
      </c>
      <c r="AE970" s="169">
        <f t="shared" si="164"/>
        <v>0</v>
      </c>
      <c r="AF970" s="170">
        <f t="shared" si="162"/>
        <v>0</v>
      </c>
      <c r="AG970" s="170">
        <f t="shared" si="163"/>
        <v>0</v>
      </c>
      <c r="AH970" s="28" t="e" cm="1">
        <f t="array" aca="1" ref="AH970" ca="1">IF((AD970) &lt; (INDEX(ResponseSLA[#All],(MATCH((G970),ResponseSLA[Priority],0))+1,3)),"YES","No")</f>
        <v>#N/A</v>
      </c>
      <c r="AI970" s="28" t="str">
        <f>_xlfn.IFNA(IF(AE970 &lt; (INDEX(SLATable[Minimum SLA],MATCH(G970,SLATable[Priority],0))),"YES","NO"),"")</f>
        <v/>
      </c>
      <c r="AJ970" s="28" t="str">
        <f>_xlfn.IFNA(IF(AE970 &lt; (INDEX(SLATable[Maximum SLA],MATCH(G970,SLATable[Priority],0))),"YES","NO"),"")</f>
        <v/>
      </c>
    </row>
    <row r="971" spans="26:36" ht="15" customHeight="1">
      <c r="Z971" s="169" t="e">
        <f t="shared" ca="1" si="157"/>
        <v>#N/A</v>
      </c>
      <c r="AA971" s="170" t="e">
        <f t="shared" ca="1" si="158"/>
        <v>#N/A</v>
      </c>
      <c r="AB971" s="169">
        <f t="shared" ca="1" si="159"/>
        <v>0</v>
      </c>
      <c r="AC971" s="170">
        <f t="shared" ca="1" si="160"/>
        <v>0</v>
      </c>
      <c r="AD971" s="169">
        <f t="shared" ca="1" si="161"/>
        <v>12388.42564085648</v>
      </c>
      <c r="AE971" s="169">
        <f t="shared" si="164"/>
        <v>0</v>
      </c>
      <c r="AF971" s="170">
        <f t="shared" si="162"/>
        <v>0</v>
      </c>
      <c r="AG971" s="170">
        <f t="shared" si="163"/>
        <v>0</v>
      </c>
      <c r="AH971" s="28" t="e" cm="1">
        <f t="array" aca="1" ref="AH971" ca="1">IF((AD971) &lt; (INDEX(ResponseSLA[#All],(MATCH((G971),ResponseSLA[Priority],0))+1,3)),"YES","No")</f>
        <v>#N/A</v>
      </c>
      <c r="AI971" s="28" t="str">
        <f>_xlfn.IFNA(IF(AE971 &lt; (INDEX(SLATable[Minimum SLA],MATCH(G971,SLATable[Priority],0))),"YES","NO"),"")</f>
        <v/>
      </c>
      <c r="AJ971" s="28" t="str">
        <f>_xlfn.IFNA(IF(AE971 &lt; (INDEX(SLATable[Maximum SLA],MATCH(G971,SLATable[Priority],0))),"YES","NO"),"")</f>
        <v/>
      </c>
    </row>
    <row r="972" spans="26:36" ht="15" customHeight="1">
      <c r="Z972" s="169" t="e">
        <f t="shared" ca="1" si="157"/>
        <v>#N/A</v>
      </c>
      <c r="AA972" s="170" t="e">
        <f t="shared" ca="1" si="158"/>
        <v>#N/A</v>
      </c>
      <c r="AB972" s="169">
        <f t="shared" ca="1" si="159"/>
        <v>0</v>
      </c>
      <c r="AC972" s="170">
        <f t="shared" ca="1" si="160"/>
        <v>0</v>
      </c>
      <c r="AD972" s="169">
        <f t="shared" ca="1" si="161"/>
        <v>12388.42564085648</v>
      </c>
      <c r="AE972" s="169">
        <f t="shared" si="164"/>
        <v>0</v>
      </c>
      <c r="AF972" s="170">
        <f t="shared" si="162"/>
        <v>0</v>
      </c>
      <c r="AG972" s="170">
        <f t="shared" si="163"/>
        <v>0</v>
      </c>
      <c r="AH972" s="28" t="e" cm="1">
        <f t="array" aca="1" ref="AH972" ca="1">IF((AD972) &lt; (INDEX(ResponseSLA[#All],(MATCH((G972),ResponseSLA[Priority],0))+1,3)),"YES","No")</f>
        <v>#N/A</v>
      </c>
      <c r="AI972" s="28" t="str">
        <f>_xlfn.IFNA(IF(AE972 &lt; (INDEX(SLATable[Minimum SLA],MATCH(G972,SLATable[Priority],0))),"YES","NO"),"")</f>
        <v/>
      </c>
      <c r="AJ972" s="28" t="str">
        <f>_xlfn.IFNA(IF(AE972 &lt; (INDEX(SLATable[Maximum SLA],MATCH(G972,SLATable[Priority],0))),"YES","NO"),"")</f>
        <v/>
      </c>
    </row>
    <row r="973" spans="26:36" ht="15" customHeight="1">
      <c r="Z973" s="169" t="e">
        <f t="shared" ca="1" si="157"/>
        <v>#N/A</v>
      </c>
      <c r="AA973" s="170" t="e">
        <f t="shared" ca="1" si="158"/>
        <v>#N/A</v>
      </c>
      <c r="AB973" s="169">
        <f t="shared" ca="1" si="159"/>
        <v>0</v>
      </c>
      <c r="AC973" s="170">
        <f t="shared" ca="1" si="160"/>
        <v>0</v>
      </c>
      <c r="AD973" s="169">
        <f t="shared" ca="1" si="161"/>
        <v>12388.42564085648</v>
      </c>
      <c r="AE973" s="169">
        <f t="shared" si="164"/>
        <v>0</v>
      </c>
      <c r="AF973" s="170">
        <f t="shared" si="162"/>
        <v>0</v>
      </c>
      <c r="AG973" s="170">
        <f t="shared" si="163"/>
        <v>0</v>
      </c>
      <c r="AH973" s="28" t="e" cm="1">
        <f t="array" aca="1" ref="AH973" ca="1">IF((AD973) &lt; (INDEX(ResponseSLA[#All],(MATCH((G973),ResponseSLA[Priority],0))+1,3)),"YES","No")</f>
        <v>#N/A</v>
      </c>
      <c r="AI973" s="28" t="str">
        <f>_xlfn.IFNA(IF(AE973 &lt; (INDEX(SLATable[Minimum SLA],MATCH(G973,SLATable[Priority],0))),"YES","NO"),"")</f>
        <v/>
      </c>
      <c r="AJ973" s="28" t="str">
        <f>_xlfn.IFNA(IF(AE973 &lt; (INDEX(SLATable[Maximum SLA],MATCH(G973,SLATable[Priority],0))),"YES","NO"),"")</f>
        <v/>
      </c>
    </row>
    <row r="974" spans="26:36" ht="15" customHeight="1">
      <c r="Z974" s="169" t="e">
        <f t="shared" ca="1" si="157"/>
        <v>#N/A</v>
      </c>
      <c r="AA974" s="170" t="e">
        <f t="shared" ca="1" si="158"/>
        <v>#N/A</v>
      </c>
      <c r="AB974" s="169">
        <f t="shared" ca="1" si="159"/>
        <v>0</v>
      </c>
      <c r="AC974" s="170">
        <f t="shared" ca="1" si="160"/>
        <v>0</v>
      </c>
      <c r="AD974" s="169">
        <f t="shared" ca="1" si="161"/>
        <v>12388.42564085648</v>
      </c>
      <c r="AE974" s="169">
        <f t="shared" si="164"/>
        <v>0</v>
      </c>
      <c r="AF974" s="170">
        <f t="shared" si="162"/>
        <v>0</v>
      </c>
      <c r="AG974" s="170">
        <f t="shared" si="163"/>
        <v>0</v>
      </c>
      <c r="AH974" s="28" t="e" cm="1">
        <f t="array" aca="1" ref="AH974" ca="1">IF((AD974) &lt; (INDEX(ResponseSLA[#All],(MATCH((G974),ResponseSLA[Priority],0))+1,3)),"YES","No")</f>
        <v>#N/A</v>
      </c>
      <c r="AI974" s="28" t="str">
        <f>_xlfn.IFNA(IF(AE974 &lt; (INDEX(SLATable[Minimum SLA],MATCH(G974,SLATable[Priority],0))),"YES","NO"),"")</f>
        <v/>
      </c>
      <c r="AJ974" s="28" t="str">
        <f>_xlfn.IFNA(IF(AE974 &lt; (INDEX(SLATable[Maximum SLA],MATCH(G974,SLATable[Priority],0))),"YES","NO"),"")</f>
        <v/>
      </c>
    </row>
    <row r="975" spans="26:36" ht="15" customHeight="1">
      <c r="Z975" s="169" t="e">
        <f t="shared" ca="1" si="157"/>
        <v>#N/A</v>
      </c>
      <c r="AA975" s="170" t="e">
        <f t="shared" ca="1" si="158"/>
        <v>#N/A</v>
      </c>
      <c r="AB975" s="169">
        <f t="shared" ca="1" si="159"/>
        <v>0</v>
      </c>
      <c r="AC975" s="170">
        <f t="shared" ca="1" si="160"/>
        <v>0</v>
      </c>
      <c r="AD975" s="169">
        <f t="shared" ca="1" si="161"/>
        <v>12388.42564085648</v>
      </c>
      <c r="AE975" s="169">
        <f t="shared" si="164"/>
        <v>0</v>
      </c>
      <c r="AF975" s="170">
        <f t="shared" si="162"/>
        <v>0</v>
      </c>
      <c r="AG975" s="170">
        <f t="shared" si="163"/>
        <v>0</v>
      </c>
      <c r="AH975" s="28" t="e" cm="1">
        <f t="array" aca="1" ref="AH975" ca="1">IF((AD975) &lt; (INDEX(ResponseSLA[#All],(MATCH((G975),ResponseSLA[Priority],0))+1,3)),"YES","No")</f>
        <v>#N/A</v>
      </c>
      <c r="AI975" s="28" t="str">
        <f>_xlfn.IFNA(IF(AE975 &lt; (INDEX(SLATable[Minimum SLA],MATCH(G975,SLATable[Priority],0))),"YES","NO"),"")</f>
        <v/>
      </c>
      <c r="AJ975" s="28" t="str">
        <f>_xlfn.IFNA(IF(AE975 &lt; (INDEX(SLATable[Maximum SLA],MATCH(G975,SLATable[Priority],0))),"YES","NO"),"")</f>
        <v/>
      </c>
    </row>
    <row r="976" spans="26:36" ht="15" customHeight="1">
      <c r="Z976" s="169" t="e">
        <f t="shared" ca="1" si="157"/>
        <v>#N/A</v>
      </c>
      <c r="AA976" s="170" t="e">
        <f t="shared" ca="1" si="158"/>
        <v>#N/A</v>
      </c>
      <c r="AB976" s="169">
        <f t="shared" ca="1" si="159"/>
        <v>0</v>
      </c>
      <c r="AC976" s="170">
        <f t="shared" ca="1" si="160"/>
        <v>0</v>
      </c>
      <c r="AD976" s="169">
        <f t="shared" ca="1" si="161"/>
        <v>12388.42564085648</v>
      </c>
      <c r="AE976" s="169">
        <f t="shared" si="164"/>
        <v>0</v>
      </c>
      <c r="AF976" s="170">
        <f t="shared" si="162"/>
        <v>0</v>
      </c>
      <c r="AG976" s="170">
        <f t="shared" si="163"/>
        <v>0</v>
      </c>
      <c r="AH976" s="28" t="e" cm="1">
        <f t="array" aca="1" ref="AH976" ca="1">IF((AD976) &lt; (INDEX(ResponseSLA[#All],(MATCH((G976),ResponseSLA[Priority],0))+1,3)),"YES","No")</f>
        <v>#N/A</v>
      </c>
      <c r="AI976" s="28" t="str">
        <f>_xlfn.IFNA(IF(AE976 &lt; (INDEX(SLATable[Minimum SLA],MATCH(G976,SLATable[Priority],0))),"YES","NO"),"")</f>
        <v/>
      </c>
      <c r="AJ976" s="28" t="str">
        <f>_xlfn.IFNA(IF(AE976 &lt; (INDEX(SLATable[Maximum SLA],MATCH(G976,SLATable[Priority],0))),"YES","NO"),"")</f>
        <v/>
      </c>
    </row>
    <row r="977" spans="26:36" ht="15" customHeight="1">
      <c r="Z977" s="169" t="e">
        <f t="shared" ca="1" si="157"/>
        <v>#N/A</v>
      </c>
      <c r="AA977" s="170" t="e">
        <f t="shared" ca="1" si="158"/>
        <v>#N/A</v>
      </c>
      <c r="AB977" s="169">
        <f t="shared" ca="1" si="159"/>
        <v>0</v>
      </c>
      <c r="AC977" s="170">
        <f t="shared" ca="1" si="160"/>
        <v>0</v>
      </c>
      <c r="AD977" s="169">
        <f t="shared" ca="1" si="161"/>
        <v>12388.42564085648</v>
      </c>
      <c r="AE977" s="169">
        <f t="shared" si="164"/>
        <v>0</v>
      </c>
      <c r="AF977" s="170">
        <f t="shared" si="162"/>
        <v>0</v>
      </c>
      <c r="AG977" s="170">
        <f t="shared" si="163"/>
        <v>0</v>
      </c>
      <c r="AH977" s="28" t="e" cm="1">
        <f t="array" aca="1" ref="AH977" ca="1">IF((AD977) &lt; (INDEX(ResponseSLA[#All],(MATCH((G977),ResponseSLA[Priority],0))+1,3)),"YES","No")</f>
        <v>#N/A</v>
      </c>
      <c r="AI977" s="28" t="str">
        <f>_xlfn.IFNA(IF(AE977 &lt; (INDEX(SLATable[Minimum SLA],MATCH(G977,SLATable[Priority],0))),"YES","NO"),"")</f>
        <v/>
      </c>
      <c r="AJ977" s="28" t="str">
        <f>_xlfn.IFNA(IF(AE977 &lt; (INDEX(SLATable[Maximum SLA],MATCH(G977,SLATable[Priority],0))),"YES","NO"),"")</f>
        <v/>
      </c>
    </row>
    <row r="978" spans="26:36" ht="15" customHeight="1">
      <c r="Z978" s="169" t="e">
        <f t="shared" ca="1" si="157"/>
        <v>#N/A</v>
      </c>
      <c r="AA978" s="170" t="e">
        <f t="shared" ca="1" si="158"/>
        <v>#N/A</v>
      </c>
      <c r="AB978" s="169">
        <f t="shared" ca="1" si="159"/>
        <v>0</v>
      </c>
      <c r="AC978" s="170">
        <f t="shared" ca="1" si="160"/>
        <v>0</v>
      </c>
      <c r="AD978" s="169">
        <f t="shared" ca="1" si="161"/>
        <v>12388.42564085648</v>
      </c>
      <c r="AE978" s="169">
        <f t="shared" si="164"/>
        <v>0</v>
      </c>
      <c r="AF978" s="170">
        <f t="shared" si="162"/>
        <v>0</v>
      </c>
      <c r="AG978" s="170">
        <f t="shared" si="163"/>
        <v>0</v>
      </c>
      <c r="AH978" s="28" t="e" cm="1">
        <f t="array" aca="1" ref="AH978" ca="1">IF((AD978) &lt; (INDEX(ResponseSLA[#All],(MATCH((G978),ResponseSLA[Priority],0))+1,3)),"YES","No")</f>
        <v>#N/A</v>
      </c>
      <c r="AI978" s="28" t="str">
        <f>_xlfn.IFNA(IF(AE978 &lt; (INDEX(SLATable[Minimum SLA],MATCH(G978,SLATable[Priority],0))),"YES","NO"),"")</f>
        <v/>
      </c>
      <c r="AJ978" s="28" t="str">
        <f>_xlfn.IFNA(IF(AE978 &lt; (INDEX(SLATable[Maximum SLA],MATCH(G978,SLATable[Priority],0))),"YES","NO"),"")</f>
        <v/>
      </c>
    </row>
    <row r="979" spans="26:36" ht="15" customHeight="1">
      <c r="Z979" s="169" t="e">
        <f t="shared" ca="1" si="157"/>
        <v>#N/A</v>
      </c>
      <c r="AA979" s="170" t="e">
        <f t="shared" ca="1" si="158"/>
        <v>#N/A</v>
      </c>
      <c r="AB979" s="169">
        <f t="shared" ca="1" si="159"/>
        <v>0</v>
      </c>
      <c r="AC979" s="170">
        <f t="shared" ca="1" si="160"/>
        <v>0</v>
      </c>
      <c r="AD979" s="169">
        <f t="shared" ca="1" si="161"/>
        <v>12388.42564085648</v>
      </c>
      <c r="AE979" s="169">
        <f t="shared" si="164"/>
        <v>0</v>
      </c>
      <c r="AF979" s="170">
        <f t="shared" si="162"/>
        <v>0</v>
      </c>
      <c r="AG979" s="170">
        <f t="shared" si="163"/>
        <v>0</v>
      </c>
      <c r="AH979" s="28" t="e" cm="1">
        <f t="array" aca="1" ref="AH979" ca="1">IF((AD979) &lt; (INDEX(ResponseSLA[#All],(MATCH((G979),ResponseSLA[Priority],0))+1,3)),"YES","No")</f>
        <v>#N/A</v>
      </c>
      <c r="AI979" s="28" t="str">
        <f>_xlfn.IFNA(IF(AE979 &lt; (INDEX(SLATable[Minimum SLA],MATCH(G979,SLATable[Priority],0))),"YES","NO"),"")</f>
        <v/>
      </c>
      <c r="AJ979" s="28" t="str">
        <f>_xlfn.IFNA(IF(AE979 &lt; (INDEX(SLATable[Maximum SLA],MATCH(G979,SLATable[Priority],0))),"YES","NO"),"")</f>
        <v/>
      </c>
    </row>
    <row r="980" spans="26:36" ht="15" customHeight="1">
      <c r="Z980" s="169" t="e">
        <f t="shared" ca="1" si="157"/>
        <v>#N/A</v>
      </c>
      <c r="AA980" s="170" t="e">
        <f t="shared" ca="1" si="158"/>
        <v>#N/A</v>
      </c>
      <c r="AB980" s="169">
        <f t="shared" ca="1" si="159"/>
        <v>0</v>
      </c>
      <c r="AC980" s="170">
        <f t="shared" ca="1" si="160"/>
        <v>0</v>
      </c>
      <c r="AD980" s="169">
        <f t="shared" ca="1" si="161"/>
        <v>12388.42564085648</v>
      </c>
      <c r="AE980" s="169">
        <f t="shared" si="164"/>
        <v>0</v>
      </c>
      <c r="AF980" s="170">
        <f t="shared" si="162"/>
        <v>0</v>
      </c>
      <c r="AG980" s="170">
        <f t="shared" si="163"/>
        <v>0</v>
      </c>
      <c r="AH980" s="28" t="e" cm="1">
        <f t="array" aca="1" ref="AH980" ca="1">IF((AD980) &lt; (INDEX(ResponseSLA[#All],(MATCH((G980),ResponseSLA[Priority],0))+1,3)),"YES","No")</f>
        <v>#N/A</v>
      </c>
      <c r="AI980" s="28" t="str">
        <f>_xlfn.IFNA(IF(AE980 &lt; (INDEX(SLATable[Minimum SLA],MATCH(G980,SLATable[Priority],0))),"YES","NO"),"")</f>
        <v/>
      </c>
      <c r="AJ980" s="28" t="str">
        <f>_xlfn.IFNA(IF(AE980 &lt; (INDEX(SLATable[Maximum SLA],MATCH(G980,SLATable[Priority],0))),"YES","NO"),"")</f>
        <v/>
      </c>
    </row>
    <row r="981" spans="26:36" ht="15" customHeight="1">
      <c r="Z981" s="169" t="e">
        <f t="shared" ca="1" si="157"/>
        <v>#N/A</v>
      </c>
      <c r="AA981" s="170" t="e">
        <f t="shared" ca="1" si="158"/>
        <v>#N/A</v>
      </c>
      <c r="AB981" s="169">
        <f t="shared" ca="1" si="159"/>
        <v>0</v>
      </c>
      <c r="AC981" s="170">
        <f t="shared" ca="1" si="160"/>
        <v>0</v>
      </c>
      <c r="AD981" s="169">
        <f t="shared" ca="1" si="161"/>
        <v>12388.42564085648</v>
      </c>
      <c r="AE981" s="169">
        <f t="shared" si="164"/>
        <v>0</v>
      </c>
      <c r="AF981" s="170">
        <f t="shared" si="162"/>
        <v>0</v>
      </c>
      <c r="AG981" s="170">
        <f t="shared" si="163"/>
        <v>0</v>
      </c>
      <c r="AH981" s="28" t="e" cm="1">
        <f t="array" aca="1" ref="AH981" ca="1">IF((AD981) &lt; (INDEX(ResponseSLA[#All],(MATCH((G981),ResponseSLA[Priority],0))+1,3)),"YES","No")</f>
        <v>#N/A</v>
      </c>
      <c r="AI981" s="28" t="str">
        <f>_xlfn.IFNA(IF(AE981 &lt; (INDEX(SLATable[Minimum SLA],MATCH(G981,SLATable[Priority],0))),"YES","NO"),"")</f>
        <v/>
      </c>
      <c r="AJ981" s="28" t="str">
        <f>_xlfn.IFNA(IF(AE981 &lt; (INDEX(SLATable[Maximum SLA],MATCH(G981,SLATable[Priority],0))),"YES","NO"),"")</f>
        <v/>
      </c>
    </row>
    <row r="982" spans="26:36" ht="15" customHeight="1">
      <c r="Z982" s="169" t="e">
        <f t="shared" ca="1" si="157"/>
        <v>#N/A</v>
      </c>
      <c r="AA982" s="170" t="e">
        <f t="shared" ca="1" si="158"/>
        <v>#N/A</v>
      </c>
      <c r="AB982" s="169">
        <f t="shared" ca="1" si="159"/>
        <v>0</v>
      </c>
      <c r="AC982" s="170">
        <f t="shared" ca="1" si="160"/>
        <v>0</v>
      </c>
      <c r="AD982" s="169">
        <f t="shared" ca="1" si="161"/>
        <v>12388.42564085648</v>
      </c>
      <c r="AE982" s="169">
        <f t="shared" si="164"/>
        <v>0</v>
      </c>
      <c r="AF982" s="170">
        <f t="shared" si="162"/>
        <v>0</v>
      </c>
      <c r="AG982" s="170">
        <f t="shared" si="163"/>
        <v>0</v>
      </c>
      <c r="AH982" s="28" t="e" cm="1">
        <f t="array" aca="1" ref="AH982" ca="1">IF((AD982) &lt; (INDEX(ResponseSLA[#All],(MATCH((G982),ResponseSLA[Priority],0))+1,3)),"YES","No")</f>
        <v>#N/A</v>
      </c>
      <c r="AI982" s="28" t="str">
        <f>_xlfn.IFNA(IF(AE982 &lt; (INDEX(SLATable[Minimum SLA],MATCH(G982,SLATable[Priority],0))),"YES","NO"),"")</f>
        <v/>
      </c>
      <c r="AJ982" s="28" t="str">
        <f>_xlfn.IFNA(IF(AE982 &lt; (INDEX(SLATable[Maximum SLA],MATCH(G982,SLATable[Priority],0))),"YES","NO"),"")</f>
        <v/>
      </c>
    </row>
    <row r="983" spans="26:36" ht="15" customHeight="1">
      <c r="Z983" s="169" t="e">
        <f t="shared" ca="1" si="157"/>
        <v>#N/A</v>
      </c>
      <c r="AA983" s="170" t="e">
        <f t="shared" ca="1" si="158"/>
        <v>#N/A</v>
      </c>
      <c r="AB983" s="169">
        <f t="shared" ca="1" si="159"/>
        <v>0</v>
      </c>
      <c r="AC983" s="170">
        <f t="shared" ca="1" si="160"/>
        <v>0</v>
      </c>
      <c r="AD983" s="169">
        <f t="shared" ca="1" si="161"/>
        <v>12388.42564085648</v>
      </c>
      <c r="AE983" s="169">
        <f t="shared" si="164"/>
        <v>0</v>
      </c>
      <c r="AF983" s="170">
        <f t="shared" si="162"/>
        <v>0</v>
      </c>
      <c r="AG983" s="170">
        <f t="shared" si="163"/>
        <v>0</v>
      </c>
      <c r="AH983" s="28" t="e" cm="1">
        <f t="array" aca="1" ref="AH983" ca="1">IF((AD983) &lt; (INDEX(ResponseSLA[#All],(MATCH((G983),ResponseSLA[Priority],0))+1,3)),"YES","No")</f>
        <v>#N/A</v>
      </c>
      <c r="AI983" s="28" t="str">
        <f>_xlfn.IFNA(IF(AE983 &lt; (INDEX(SLATable[Minimum SLA],MATCH(G983,SLATable[Priority],0))),"YES","NO"),"")</f>
        <v/>
      </c>
      <c r="AJ983" s="28" t="str">
        <f>_xlfn.IFNA(IF(AE983 &lt; (INDEX(SLATable[Maximum SLA],MATCH(G983,SLATable[Priority],0))),"YES","NO"),"")</f>
        <v/>
      </c>
    </row>
    <row r="984" spans="26:36" ht="15" customHeight="1">
      <c r="Z984" s="169" t="e">
        <f t="shared" ca="1" si="157"/>
        <v>#N/A</v>
      </c>
      <c r="AA984" s="170" t="e">
        <f t="shared" ca="1" si="158"/>
        <v>#N/A</v>
      </c>
      <c r="AB984" s="169">
        <f t="shared" ca="1" si="159"/>
        <v>0</v>
      </c>
      <c r="AC984" s="170">
        <f t="shared" ca="1" si="160"/>
        <v>0</v>
      </c>
      <c r="AD984" s="169">
        <f t="shared" ca="1" si="161"/>
        <v>12388.42564085648</v>
      </c>
      <c r="AE984" s="169">
        <f t="shared" si="164"/>
        <v>0</v>
      </c>
      <c r="AF984" s="170">
        <f t="shared" si="162"/>
        <v>0</v>
      </c>
      <c r="AG984" s="170">
        <f t="shared" si="163"/>
        <v>0</v>
      </c>
      <c r="AH984" s="28" t="e" cm="1">
        <f t="array" aca="1" ref="AH984" ca="1">IF((AD984) &lt; (INDEX(ResponseSLA[#All],(MATCH((G984),ResponseSLA[Priority],0))+1,3)),"YES","No")</f>
        <v>#N/A</v>
      </c>
      <c r="AI984" s="28" t="str">
        <f>_xlfn.IFNA(IF(AE984 &lt; (INDEX(SLATable[Minimum SLA],MATCH(G984,SLATable[Priority],0))),"YES","NO"),"")</f>
        <v/>
      </c>
      <c r="AJ984" s="28" t="str">
        <f>_xlfn.IFNA(IF(AE984 &lt; (INDEX(SLATable[Maximum SLA],MATCH(G984,SLATable[Priority],0))),"YES","NO"),"")</f>
        <v/>
      </c>
    </row>
    <row r="985" spans="26:36" ht="15" customHeight="1">
      <c r="Z985" s="169" t="e">
        <f t="shared" ca="1" si="157"/>
        <v>#N/A</v>
      </c>
      <c r="AA985" s="170" t="e">
        <f t="shared" ca="1" si="158"/>
        <v>#N/A</v>
      </c>
      <c r="AB985" s="169">
        <f t="shared" ca="1" si="159"/>
        <v>0</v>
      </c>
      <c r="AC985" s="170">
        <f t="shared" ca="1" si="160"/>
        <v>0</v>
      </c>
      <c r="AD985" s="169">
        <f t="shared" ca="1" si="161"/>
        <v>12388.42564085648</v>
      </c>
      <c r="AE985" s="169">
        <f t="shared" si="164"/>
        <v>0</v>
      </c>
      <c r="AF985" s="170">
        <f t="shared" si="162"/>
        <v>0</v>
      </c>
      <c r="AG985" s="170">
        <f t="shared" si="163"/>
        <v>0</v>
      </c>
      <c r="AH985" s="28" t="e" cm="1">
        <f t="array" aca="1" ref="AH985" ca="1">IF((AD985) &lt; (INDEX(ResponseSLA[#All],(MATCH((G985),ResponseSLA[Priority],0))+1,3)),"YES","No")</f>
        <v>#N/A</v>
      </c>
      <c r="AI985" s="28" t="str">
        <f>_xlfn.IFNA(IF(AE985 &lt; (INDEX(SLATable[Minimum SLA],MATCH(G985,SLATable[Priority],0))),"YES","NO"),"")</f>
        <v/>
      </c>
      <c r="AJ985" s="28" t="str">
        <f>_xlfn.IFNA(IF(AE985 &lt; (INDEX(SLATable[Maximum SLA],MATCH(G985,SLATable[Priority],0))),"YES","NO"),"")</f>
        <v/>
      </c>
    </row>
    <row r="986" spans="26:36" ht="15" customHeight="1">
      <c r="Z986" s="169" t="e">
        <f t="shared" ca="1" si="157"/>
        <v>#N/A</v>
      </c>
      <c r="AA986" s="170" t="e">
        <f t="shared" ca="1" si="158"/>
        <v>#N/A</v>
      </c>
      <c r="AB986" s="169">
        <f t="shared" ca="1" si="159"/>
        <v>0</v>
      </c>
      <c r="AC986" s="170">
        <f t="shared" ca="1" si="160"/>
        <v>0</v>
      </c>
      <c r="AD986" s="169">
        <f t="shared" ca="1" si="161"/>
        <v>12388.42564085648</v>
      </c>
      <c r="AE986" s="169">
        <f t="shared" si="164"/>
        <v>0</v>
      </c>
      <c r="AF986" s="170">
        <f t="shared" si="162"/>
        <v>0</v>
      </c>
      <c r="AG986" s="170">
        <f t="shared" si="163"/>
        <v>0</v>
      </c>
      <c r="AH986" s="28" t="e" cm="1">
        <f t="array" aca="1" ref="AH986" ca="1">IF((AD986) &lt; (INDEX(ResponseSLA[#All],(MATCH((G986),ResponseSLA[Priority],0))+1,3)),"YES","No")</f>
        <v>#N/A</v>
      </c>
      <c r="AI986" s="28" t="str">
        <f>_xlfn.IFNA(IF(AE986 &lt; (INDEX(SLATable[Minimum SLA],MATCH(G986,SLATable[Priority],0))),"YES","NO"),"")</f>
        <v/>
      </c>
      <c r="AJ986" s="28" t="str">
        <f>_xlfn.IFNA(IF(AE986 &lt; (INDEX(SLATable[Maximum SLA],MATCH(G986,SLATable[Priority],0))),"YES","NO"),"")</f>
        <v/>
      </c>
    </row>
    <row r="987" spans="26:36" ht="15" customHeight="1">
      <c r="Z987" s="169" t="e">
        <f t="shared" ca="1" si="157"/>
        <v>#N/A</v>
      </c>
      <c r="AA987" s="170" t="e">
        <f t="shared" ca="1" si="158"/>
        <v>#N/A</v>
      </c>
      <c r="AB987" s="169">
        <f t="shared" ca="1" si="159"/>
        <v>0</v>
      </c>
      <c r="AC987" s="170">
        <f t="shared" ca="1" si="160"/>
        <v>0</v>
      </c>
      <c r="AD987" s="169">
        <f t="shared" ca="1" si="161"/>
        <v>12388.42564085648</v>
      </c>
      <c r="AE987" s="169">
        <f t="shared" si="164"/>
        <v>0</v>
      </c>
      <c r="AF987" s="170">
        <f t="shared" si="162"/>
        <v>0</v>
      </c>
      <c r="AG987" s="170">
        <f t="shared" si="163"/>
        <v>0</v>
      </c>
      <c r="AH987" s="28" t="e" cm="1">
        <f t="array" aca="1" ref="AH987" ca="1">IF((AD987) &lt; (INDEX(ResponseSLA[#All],(MATCH((G987),ResponseSLA[Priority],0))+1,3)),"YES","No")</f>
        <v>#N/A</v>
      </c>
      <c r="AI987" s="28" t="str">
        <f>_xlfn.IFNA(IF(AE987 &lt; (INDEX(SLATable[Minimum SLA],MATCH(G987,SLATable[Priority],0))),"YES","NO"),"")</f>
        <v/>
      </c>
      <c r="AJ987" s="28" t="str">
        <f>_xlfn.IFNA(IF(AE987 &lt; (INDEX(SLATable[Maximum SLA],MATCH(G987,SLATable[Priority],0))),"YES","NO"),"")</f>
        <v/>
      </c>
    </row>
    <row r="988" spans="26:36" ht="15" customHeight="1">
      <c r="Z988" s="169" t="e">
        <f t="shared" ca="1" si="157"/>
        <v>#N/A</v>
      </c>
      <c r="AA988" s="170" t="e">
        <f t="shared" ca="1" si="158"/>
        <v>#N/A</v>
      </c>
      <c r="AB988" s="169">
        <f t="shared" ca="1" si="159"/>
        <v>0</v>
      </c>
      <c r="AC988" s="170">
        <f t="shared" ca="1" si="160"/>
        <v>0</v>
      </c>
      <c r="AD988" s="169">
        <f t="shared" ca="1" si="161"/>
        <v>12388.42564085648</v>
      </c>
      <c r="AE988" s="169">
        <f t="shared" si="164"/>
        <v>0</v>
      </c>
      <c r="AF988" s="170">
        <f t="shared" si="162"/>
        <v>0</v>
      </c>
      <c r="AG988" s="170">
        <f t="shared" si="163"/>
        <v>0</v>
      </c>
      <c r="AH988" s="28" t="e" cm="1">
        <f t="array" aca="1" ref="AH988" ca="1">IF((AD988) &lt; (INDEX(ResponseSLA[#All],(MATCH((G988),ResponseSLA[Priority],0))+1,3)),"YES","No")</f>
        <v>#N/A</v>
      </c>
      <c r="AI988" s="28" t="str">
        <f>_xlfn.IFNA(IF(AE988 &lt; (INDEX(SLATable[Minimum SLA],MATCH(G988,SLATable[Priority],0))),"YES","NO"),"")</f>
        <v/>
      </c>
      <c r="AJ988" s="28" t="str">
        <f>_xlfn.IFNA(IF(AE988 &lt; (INDEX(SLATable[Maximum SLA],MATCH(G988,SLATable[Priority],0))),"YES","NO"),"")</f>
        <v/>
      </c>
    </row>
    <row r="989" spans="26:36" ht="15" customHeight="1">
      <c r="Z989" s="169" t="e">
        <f t="shared" ca="1" si="157"/>
        <v>#N/A</v>
      </c>
      <c r="AA989" s="170" t="e">
        <f t="shared" ca="1" si="158"/>
        <v>#N/A</v>
      </c>
      <c r="AB989" s="169">
        <f t="shared" ca="1" si="159"/>
        <v>0</v>
      </c>
      <c r="AC989" s="170">
        <f t="shared" ca="1" si="160"/>
        <v>0</v>
      </c>
      <c r="AD989" s="169">
        <f t="shared" ca="1" si="161"/>
        <v>12388.42564085648</v>
      </c>
      <c r="AE989" s="169">
        <f t="shared" si="164"/>
        <v>0</v>
      </c>
      <c r="AF989" s="170">
        <f t="shared" si="162"/>
        <v>0</v>
      </c>
      <c r="AG989" s="170">
        <f t="shared" si="163"/>
        <v>0</v>
      </c>
      <c r="AH989" s="28" t="e" cm="1">
        <f t="array" aca="1" ref="AH989" ca="1">IF((AD989) &lt; (INDEX(ResponseSLA[#All],(MATCH((G989),ResponseSLA[Priority],0))+1,3)),"YES","No")</f>
        <v>#N/A</v>
      </c>
      <c r="AI989" s="28" t="str">
        <f>_xlfn.IFNA(IF(AE989 &lt; (INDEX(SLATable[Minimum SLA],MATCH(G989,SLATable[Priority],0))),"YES","NO"),"")</f>
        <v/>
      </c>
      <c r="AJ989" s="28" t="str">
        <f>_xlfn.IFNA(IF(AE989 &lt; (INDEX(SLATable[Maximum SLA],MATCH(G989,SLATable[Priority],0))),"YES","NO"),"")</f>
        <v/>
      </c>
    </row>
    <row r="990" spans="26:36" ht="15" customHeight="1">
      <c r="Z990" s="169" t="e">
        <f t="shared" ca="1" si="157"/>
        <v>#N/A</v>
      </c>
      <c r="AA990" s="170" t="e">
        <f t="shared" ca="1" si="158"/>
        <v>#N/A</v>
      </c>
      <c r="AB990" s="169">
        <f t="shared" ca="1" si="159"/>
        <v>0</v>
      </c>
      <c r="AC990" s="170">
        <f t="shared" ca="1" si="160"/>
        <v>0</v>
      </c>
      <c r="AD990" s="169">
        <f t="shared" ca="1" si="161"/>
        <v>12388.42564085648</v>
      </c>
      <c r="AE990" s="169">
        <f t="shared" si="164"/>
        <v>0</v>
      </c>
      <c r="AF990" s="170">
        <f t="shared" si="162"/>
        <v>0</v>
      </c>
      <c r="AG990" s="170">
        <f t="shared" si="163"/>
        <v>0</v>
      </c>
      <c r="AH990" s="28" t="e" cm="1">
        <f t="array" aca="1" ref="AH990" ca="1">IF((AD990) &lt; (INDEX(ResponseSLA[#All],(MATCH((G990),ResponseSLA[Priority],0))+1,3)),"YES","No")</f>
        <v>#N/A</v>
      </c>
      <c r="AI990" s="28" t="str">
        <f>_xlfn.IFNA(IF(AE990 &lt; (INDEX(SLATable[Minimum SLA],MATCH(G990,SLATable[Priority],0))),"YES","NO"),"")</f>
        <v/>
      </c>
      <c r="AJ990" s="28" t="str">
        <f>_xlfn.IFNA(IF(AE990 &lt; (INDEX(SLATable[Maximum SLA],MATCH(G990,SLATable[Priority],0))),"YES","NO"),"")</f>
        <v/>
      </c>
    </row>
    <row r="991" spans="26:36" ht="15" customHeight="1">
      <c r="Z991" s="169" t="e">
        <f t="shared" ca="1" si="157"/>
        <v>#N/A</v>
      </c>
      <c r="AA991" s="170" t="e">
        <f t="shared" ca="1" si="158"/>
        <v>#N/A</v>
      </c>
      <c r="AB991" s="169">
        <f t="shared" ca="1" si="159"/>
        <v>0</v>
      </c>
      <c r="AC991" s="170">
        <f t="shared" ca="1" si="160"/>
        <v>0</v>
      </c>
      <c r="AD991" s="169">
        <f t="shared" ca="1" si="161"/>
        <v>12388.42564085648</v>
      </c>
      <c r="AE991" s="169">
        <f t="shared" si="164"/>
        <v>0</v>
      </c>
      <c r="AF991" s="170">
        <f t="shared" si="162"/>
        <v>0</v>
      </c>
      <c r="AG991" s="170">
        <f t="shared" si="163"/>
        <v>0</v>
      </c>
      <c r="AH991" s="28" t="e" cm="1">
        <f t="array" aca="1" ref="AH991" ca="1">IF((AD991) &lt; (INDEX(ResponseSLA[#All],(MATCH((G991),ResponseSLA[Priority],0))+1,3)),"YES","No")</f>
        <v>#N/A</v>
      </c>
      <c r="AI991" s="28" t="str">
        <f>_xlfn.IFNA(IF(AE991 &lt; (INDEX(SLATable[Minimum SLA],MATCH(G991,SLATable[Priority],0))),"YES","NO"),"")</f>
        <v/>
      </c>
      <c r="AJ991" s="28" t="str">
        <f>_xlfn.IFNA(IF(AE991 &lt; (INDEX(SLATable[Maximum SLA],MATCH(G991,SLATable[Priority],0))),"YES","NO"),"")</f>
        <v/>
      </c>
    </row>
    <row r="992" spans="26:36" ht="15" customHeight="1">
      <c r="Z992" s="169" t="e">
        <f t="shared" ca="1" si="157"/>
        <v>#N/A</v>
      </c>
      <c r="AA992" s="170" t="e">
        <f t="shared" ca="1" si="158"/>
        <v>#N/A</v>
      </c>
      <c r="AB992" s="169">
        <f t="shared" ca="1" si="159"/>
        <v>0</v>
      </c>
      <c r="AC992" s="170">
        <f t="shared" ca="1" si="160"/>
        <v>0</v>
      </c>
      <c r="AD992" s="169">
        <f t="shared" ca="1" si="161"/>
        <v>12388.42564085648</v>
      </c>
      <c r="AE992" s="169">
        <f t="shared" si="164"/>
        <v>0</v>
      </c>
      <c r="AF992" s="170">
        <f t="shared" si="162"/>
        <v>0</v>
      </c>
      <c r="AG992" s="170">
        <f t="shared" si="163"/>
        <v>0</v>
      </c>
      <c r="AH992" s="28" t="e" cm="1">
        <f t="array" aca="1" ref="AH992" ca="1">IF((AD992) &lt; (INDEX(ResponseSLA[#All],(MATCH((G992),ResponseSLA[Priority],0))+1,3)),"YES","No")</f>
        <v>#N/A</v>
      </c>
      <c r="AI992" s="28" t="str">
        <f>_xlfn.IFNA(IF(AE992 &lt; (INDEX(SLATable[Minimum SLA],MATCH(G992,SLATable[Priority],0))),"YES","NO"),"")</f>
        <v/>
      </c>
      <c r="AJ992" s="28" t="str">
        <f>_xlfn.IFNA(IF(AE992 &lt; (INDEX(SLATable[Maximum SLA],MATCH(G992,SLATable[Priority],0))),"YES","NO"),"")</f>
        <v/>
      </c>
    </row>
    <row r="993" spans="26:36" ht="15" customHeight="1">
      <c r="Z993" s="169" t="e">
        <f t="shared" ca="1" si="157"/>
        <v>#N/A</v>
      </c>
      <c r="AA993" s="170" t="e">
        <f t="shared" ca="1" si="158"/>
        <v>#N/A</v>
      </c>
      <c r="AB993" s="169">
        <f t="shared" ca="1" si="159"/>
        <v>0</v>
      </c>
      <c r="AC993" s="170">
        <f t="shared" ca="1" si="160"/>
        <v>0</v>
      </c>
      <c r="AD993" s="169">
        <f t="shared" ca="1" si="161"/>
        <v>12388.42564085648</v>
      </c>
      <c r="AE993" s="169">
        <f t="shared" si="164"/>
        <v>0</v>
      </c>
      <c r="AF993" s="170">
        <f t="shared" si="162"/>
        <v>0</v>
      </c>
      <c r="AG993" s="170">
        <f t="shared" si="163"/>
        <v>0</v>
      </c>
      <c r="AH993" s="28" t="e" cm="1">
        <f t="array" aca="1" ref="AH993" ca="1">IF((AD993) &lt; (INDEX(ResponseSLA[#All],(MATCH((G993),ResponseSLA[Priority],0))+1,3)),"YES","No")</f>
        <v>#N/A</v>
      </c>
      <c r="AI993" s="28" t="str">
        <f>_xlfn.IFNA(IF(AE993 &lt; (INDEX(SLATable[Minimum SLA],MATCH(G993,SLATable[Priority],0))),"YES","NO"),"")</f>
        <v/>
      </c>
      <c r="AJ993" s="28" t="str">
        <f>_xlfn.IFNA(IF(AE993 &lt; (INDEX(SLATable[Maximum SLA],MATCH(G993,SLATable[Priority],0))),"YES","NO"),"")</f>
        <v/>
      </c>
    </row>
    <row r="994" spans="26:36" ht="15" customHeight="1">
      <c r="Z994" s="169" t="e">
        <f t="shared" ca="1" si="157"/>
        <v>#N/A</v>
      </c>
      <c r="AA994" s="170" t="e">
        <f t="shared" ca="1" si="158"/>
        <v>#N/A</v>
      </c>
      <c r="AB994" s="169">
        <f t="shared" ca="1" si="159"/>
        <v>0</v>
      </c>
      <c r="AC994" s="170">
        <f t="shared" ca="1" si="160"/>
        <v>0</v>
      </c>
      <c r="AD994" s="169">
        <f t="shared" ca="1" si="161"/>
        <v>12388.42564085648</v>
      </c>
      <c r="AE994" s="169">
        <f t="shared" si="164"/>
        <v>0</v>
      </c>
      <c r="AF994" s="170">
        <f t="shared" si="162"/>
        <v>0</v>
      </c>
      <c r="AG994" s="170">
        <f t="shared" si="163"/>
        <v>0</v>
      </c>
      <c r="AH994" s="28" t="e" cm="1">
        <f t="array" aca="1" ref="AH994" ca="1">IF((AD994) &lt; (INDEX(ResponseSLA[#All],(MATCH((G994),ResponseSLA[Priority],0))+1,3)),"YES","No")</f>
        <v>#N/A</v>
      </c>
      <c r="AI994" s="28" t="str">
        <f>_xlfn.IFNA(IF(AE994 &lt; (INDEX(SLATable[Minimum SLA],MATCH(G994,SLATable[Priority],0))),"YES","NO"),"")</f>
        <v/>
      </c>
      <c r="AJ994" s="28" t="str">
        <f>_xlfn.IFNA(IF(AE994 &lt; (INDEX(SLATable[Maximum SLA],MATCH(G994,SLATable[Priority],0))),"YES","NO"),"")</f>
        <v/>
      </c>
    </row>
    <row r="995" spans="26:36" ht="15" customHeight="1">
      <c r="Z995" s="169" t="e">
        <f t="shared" ca="1" si="157"/>
        <v>#N/A</v>
      </c>
      <c r="AA995" s="170" t="e">
        <f t="shared" ca="1" si="158"/>
        <v>#N/A</v>
      </c>
      <c r="AB995" s="169">
        <f t="shared" ca="1" si="159"/>
        <v>0</v>
      </c>
      <c r="AC995" s="170">
        <f t="shared" ca="1" si="160"/>
        <v>0</v>
      </c>
      <c r="AD995" s="169">
        <f t="shared" ca="1" si="161"/>
        <v>12388.42564085648</v>
      </c>
      <c r="AE995" s="169">
        <f t="shared" si="164"/>
        <v>0</v>
      </c>
      <c r="AF995" s="170">
        <f t="shared" si="162"/>
        <v>0</v>
      </c>
      <c r="AG995" s="170">
        <f t="shared" si="163"/>
        <v>0</v>
      </c>
      <c r="AH995" s="28" t="e" cm="1">
        <f t="array" aca="1" ref="AH995" ca="1">IF((AD995) &lt; (INDEX(ResponseSLA[#All],(MATCH((G995),ResponseSLA[Priority],0))+1,3)),"YES","No")</f>
        <v>#N/A</v>
      </c>
      <c r="AI995" s="28" t="str">
        <f>_xlfn.IFNA(IF(AE995 &lt; (INDEX(SLATable[Minimum SLA],MATCH(G995,SLATable[Priority],0))),"YES","NO"),"")</f>
        <v/>
      </c>
      <c r="AJ995" s="28" t="str">
        <f>_xlfn.IFNA(IF(AE995 &lt; (INDEX(SLATable[Maximum SLA],MATCH(G995,SLATable[Priority],0))),"YES","NO"),"")</f>
        <v/>
      </c>
    </row>
    <row r="996" spans="26:36" ht="15" customHeight="1">
      <c r="Z996" s="169" t="e">
        <f t="shared" ca="1" si="157"/>
        <v>#N/A</v>
      </c>
      <c r="AA996" s="170" t="e">
        <f t="shared" ca="1" si="158"/>
        <v>#N/A</v>
      </c>
      <c r="AB996" s="169">
        <f t="shared" ca="1" si="159"/>
        <v>0</v>
      </c>
      <c r="AC996" s="170">
        <f t="shared" ca="1" si="160"/>
        <v>0</v>
      </c>
      <c r="AD996" s="169">
        <f t="shared" ca="1" si="161"/>
        <v>12388.42564085648</v>
      </c>
      <c r="AE996" s="169">
        <f t="shared" si="164"/>
        <v>0</v>
      </c>
      <c r="AF996" s="170">
        <f t="shared" si="162"/>
        <v>0</v>
      </c>
      <c r="AG996" s="170">
        <f t="shared" si="163"/>
        <v>0</v>
      </c>
      <c r="AH996" s="28" t="e" cm="1">
        <f t="array" aca="1" ref="AH996" ca="1">IF((AD996) &lt; (INDEX(ResponseSLA[#All],(MATCH((G996),ResponseSLA[Priority],0))+1,3)),"YES","No")</f>
        <v>#N/A</v>
      </c>
      <c r="AI996" s="28" t="str">
        <f>_xlfn.IFNA(IF(AE996 &lt; (INDEX(SLATable[Minimum SLA],MATCH(G996,SLATable[Priority],0))),"YES","NO"),"")</f>
        <v/>
      </c>
      <c r="AJ996" s="28" t="str">
        <f>_xlfn.IFNA(IF(AE996 &lt; (INDEX(SLATable[Maximum SLA],MATCH(G996,SLATable[Priority],0))),"YES","NO"),"")</f>
        <v/>
      </c>
    </row>
    <row r="997" spans="26:36" ht="15" customHeight="1">
      <c r="Z997" s="169" t="e">
        <f t="shared" ca="1" si="157"/>
        <v>#N/A</v>
      </c>
      <c r="AA997" s="170" t="e">
        <f t="shared" ca="1" si="158"/>
        <v>#N/A</v>
      </c>
      <c r="AB997" s="169">
        <f t="shared" ca="1" si="159"/>
        <v>0</v>
      </c>
      <c r="AC997" s="170">
        <f t="shared" ca="1" si="160"/>
        <v>0</v>
      </c>
      <c r="AD997" s="169">
        <f t="shared" ca="1" si="161"/>
        <v>12388.42564085648</v>
      </c>
      <c r="AE997" s="169">
        <f t="shared" si="164"/>
        <v>0</v>
      </c>
      <c r="AF997" s="170">
        <f t="shared" si="162"/>
        <v>0</v>
      </c>
      <c r="AG997" s="170">
        <f t="shared" si="163"/>
        <v>0</v>
      </c>
      <c r="AH997" s="28" t="e" cm="1">
        <f t="array" aca="1" ref="AH997" ca="1">IF((AD997) &lt; (INDEX(ResponseSLA[#All],(MATCH((G997),ResponseSLA[Priority],0))+1,3)),"YES","No")</f>
        <v>#N/A</v>
      </c>
      <c r="AI997" s="28" t="str">
        <f>_xlfn.IFNA(IF(AE997 &lt; (INDEX(SLATable[Minimum SLA],MATCH(G997,SLATable[Priority],0))),"YES","NO"),"")</f>
        <v/>
      </c>
      <c r="AJ997" s="28" t="str">
        <f>_xlfn.IFNA(IF(AE997 &lt; (INDEX(SLATable[Maximum SLA],MATCH(G997,SLATable[Priority],0))),"YES","NO"),"")</f>
        <v/>
      </c>
    </row>
    <row r="998" spans="26:36" ht="15" customHeight="1">
      <c r="Z998" s="169" t="e">
        <f t="shared" ca="1" si="157"/>
        <v>#N/A</v>
      </c>
      <c r="AA998" s="170" t="e">
        <f t="shared" ca="1" si="158"/>
        <v>#N/A</v>
      </c>
      <c r="AB998" s="169">
        <f t="shared" ca="1" si="159"/>
        <v>0</v>
      </c>
      <c r="AC998" s="170">
        <f t="shared" ca="1" si="160"/>
        <v>0</v>
      </c>
      <c r="AD998" s="169">
        <f t="shared" ca="1" si="161"/>
        <v>12388.42564085648</v>
      </c>
      <c r="AE998" s="169">
        <f t="shared" si="164"/>
        <v>0</v>
      </c>
      <c r="AF998" s="170">
        <f t="shared" si="162"/>
        <v>0</v>
      </c>
      <c r="AG998" s="170">
        <f t="shared" si="163"/>
        <v>0</v>
      </c>
      <c r="AH998" s="28" t="e" cm="1">
        <f t="array" aca="1" ref="AH998" ca="1">IF((AD998) &lt; (INDEX(ResponseSLA[#All],(MATCH((G998),ResponseSLA[Priority],0))+1,3)),"YES","No")</f>
        <v>#N/A</v>
      </c>
      <c r="AI998" s="28" t="str">
        <f>_xlfn.IFNA(IF(AE998 &lt; (INDEX(SLATable[Minimum SLA],MATCH(G998,SLATable[Priority],0))),"YES","NO"),"")</f>
        <v/>
      </c>
      <c r="AJ998" s="28" t="str">
        <f>_xlfn.IFNA(IF(AE998 &lt; (INDEX(SLATable[Maximum SLA],MATCH(G998,SLATable[Priority],0))),"YES","NO"),"")</f>
        <v/>
      </c>
    </row>
    <row r="999" spans="26:36" ht="15" customHeight="1">
      <c r="Z999" s="169" t="e">
        <f t="shared" ca="1" si="157"/>
        <v>#N/A</v>
      </c>
      <c r="AA999" s="170" t="e">
        <f t="shared" ca="1" si="158"/>
        <v>#N/A</v>
      </c>
      <c r="AB999" s="169">
        <f t="shared" ca="1" si="159"/>
        <v>0</v>
      </c>
      <c r="AC999" s="170">
        <f t="shared" ca="1" si="160"/>
        <v>0</v>
      </c>
      <c r="AD999" s="169">
        <f t="shared" ca="1" si="161"/>
        <v>12388.42564085648</v>
      </c>
      <c r="AE999" s="169">
        <f t="shared" si="164"/>
        <v>0</v>
      </c>
      <c r="AF999" s="170">
        <f t="shared" si="162"/>
        <v>0</v>
      </c>
      <c r="AG999" s="170">
        <f t="shared" si="163"/>
        <v>0</v>
      </c>
      <c r="AH999" s="28" t="e" cm="1">
        <f t="array" aca="1" ref="AH999" ca="1">IF((AD999) &lt; (INDEX(ResponseSLA[#All],(MATCH((G999),ResponseSLA[Priority],0))+1,3)),"YES","No")</f>
        <v>#N/A</v>
      </c>
      <c r="AI999" s="28" t="str">
        <f>_xlfn.IFNA(IF(AE999 &lt; (INDEX(SLATable[Minimum SLA],MATCH(G999,SLATable[Priority],0))),"YES","NO"),"")</f>
        <v/>
      </c>
      <c r="AJ999" s="28" t="str">
        <f>_xlfn.IFNA(IF(AE999 &lt; (INDEX(SLATable[Maximum SLA],MATCH(G999,SLATable[Priority],0))),"YES","NO"),"")</f>
        <v/>
      </c>
    </row>
    <row r="1000" spans="26:36" ht="15" customHeight="1">
      <c r="Z1000" s="169" t="e">
        <f t="shared" ca="1" si="157"/>
        <v>#N/A</v>
      </c>
      <c r="AA1000" s="170" t="e">
        <f t="shared" ca="1" si="158"/>
        <v>#N/A</v>
      </c>
      <c r="AB1000" s="169">
        <f t="shared" ca="1" si="159"/>
        <v>0</v>
      </c>
      <c r="AC1000" s="170">
        <f t="shared" ca="1" si="160"/>
        <v>0</v>
      </c>
      <c r="AD1000" s="169">
        <f t="shared" ca="1" si="161"/>
        <v>12388.42564085648</v>
      </c>
      <c r="AE1000" s="169">
        <f t="shared" si="164"/>
        <v>0</v>
      </c>
      <c r="AF1000" s="170">
        <f t="shared" si="162"/>
        <v>0</v>
      </c>
      <c r="AG1000" s="170">
        <f t="shared" si="163"/>
        <v>0</v>
      </c>
      <c r="AH1000" s="28" t="e" cm="1">
        <f t="array" aca="1" ref="AH1000" ca="1">IF((AD1000) &lt; (INDEX(ResponseSLA[#All],(MATCH((G1000),ResponseSLA[Priority],0))+1,3)),"YES","No")</f>
        <v>#N/A</v>
      </c>
      <c r="AI1000" s="28" t="str">
        <f>_xlfn.IFNA(IF(AE1000 &lt; (INDEX(SLATable[Minimum SLA],MATCH(G1000,SLATable[Priority],0))),"YES","NO"),"")</f>
        <v/>
      </c>
      <c r="AJ1000" s="28" t="str">
        <f>_xlfn.IFNA(IF(AE1000 &lt; (INDEX(SLATable[Maximum SLA],MATCH(G1000,SLATable[Priority],0))),"YES","NO"),"")</f>
        <v/>
      </c>
    </row>
    <row r="1001" spans="26:36" ht="15" customHeight="1">
      <c r="Z1001" s="169" t="e">
        <f t="shared" ca="1" si="157"/>
        <v>#N/A</v>
      </c>
      <c r="AA1001" s="170" t="e">
        <f t="shared" ca="1" si="158"/>
        <v>#N/A</v>
      </c>
      <c r="AB1001" s="169">
        <f t="shared" ca="1" si="159"/>
        <v>0</v>
      </c>
      <c r="AC1001" s="170">
        <f t="shared" ca="1" si="160"/>
        <v>0</v>
      </c>
      <c r="AD1001" s="169">
        <f t="shared" ca="1" si="161"/>
        <v>12388.42564085648</v>
      </c>
      <c r="AE1001" s="169">
        <f t="shared" si="164"/>
        <v>0</v>
      </c>
      <c r="AF1001" s="170">
        <f t="shared" si="162"/>
        <v>0</v>
      </c>
      <c r="AG1001" s="170">
        <f t="shared" si="163"/>
        <v>0</v>
      </c>
      <c r="AH1001" s="28" t="e" cm="1">
        <f t="array" aca="1" ref="AH1001" ca="1">IF((AD1001) &lt; (INDEX(ResponseSLA[#All],(MATCH((G1001),ResponseSLA[Priority],0))+1,3)),"YES","No")</f>
        <v>#N/A</v>
      </c>
      <c r="AI1001" s="28" t="str">
        <f>_xlfn.IFNA(IF(AE1001 &lt; (INDEX(SLATable[Minimum SLA],MATCH(G1001,SLATable[Priority],0))),"YES","NO"),"")</f>
        <v/>
      </c>
      <c r="AJ1001" s="28" t="str">
        <f>_xlfn.IFNA(IF(AE1001 &lt; (INDEX(SLATable[Maximum SLA],MATCH(G1001,SLATable[Priority],0))),"YES","NO"),"")</f>
        <v/>
      </c>
    </row>
    <row r="1002" spans="26:36" ht="15" customHeight="1">
      <c r="Z1002" s="169" t="e">
        <f t="shared" ca="1" si="157"/>
        <v>#N/A</v>
      </c>
      <c r="AA1002" s="170" t="e">
        <f t="shared" ca="1" si="158"/>
        <v>#N/A</v>
      </c>
      <c r="AB1002" s="169">
        <f t="shared" ca="1" si="159"/>
        <v>0</v>
      </c>
      <c r="AC1002" s="170">
        <f t="shared" ca="1" si="160"/>
        <v>0</v>
      </c>
      <c r="AD1002" s="169">
        <f t="shared" ca="1" si="161"/>
        <v>12388.42564085648</v>
      </c>
      <c r="AE1002" s="169">
        <f t="shared" si="164"/>
        <v>0</v>
      </c>
      <c r="AF1002" s="170">
        <f t="shared" si="162"/>
        <v>0</v>
      </c>
      <c r="AG1002" s="170">
        <f t="shared" si="163"/>
        <v>0</v>
      </c>
      <c r="AH1002" s="28" t="e" cm="1">
        <f t="array" aca="1" ref="AH1002" ca="1">IF((AD1002) &lt; (INDEX(ResponseSLA[#All],(MATCH((G1002),ResponseSLA[Priority],0))+1,3)),"YES","No")</f>
        <v>#N/A</v>
      </c>
      <c r="AI1002" s="28" t="str">
        <f>_xlfn.IFNA(IF(AE1002 &lt; (INDEX(SLATable[Minimum SLA],MATCH(G1002,SLATable[Priority],0))),"YES","NO"),"")</f>
        <v/>
      </c>
      <c r="AJ1002" s="28" t="str">
        <f>_xlfn.IFNA(IF(AE1002 &lt; (INDEX(SLATable[Maximum SLA],MATCH(G1002,SLATable[Priority],0))),"YES","NO"),"")</f>
        <v/>
      </c>
    </row>
    <row r="1003" spans="26:36" ht="15" customHeight="1">
      <c r="Z1003" s="169" t="e">
        <f t="shared" ca="1" si="157"/>
        <v>#N/A</v>
      </c>
      <c r="AA1003" s="170" t="e">
        <f t="shared" ca="1" si="158"/>
        <v>#N/A</v>
      </c>
      <c r="AB1003" s="169">
        <f t="shared" ca="1" si="159"/>
        <v>0</v>
      </c>
      <c r="AC1003" s="170">
        <f t="shared" ca="1" si="160"/>
        <v>0</v>
      </c>
      <c r="AD1003" s="169">
        <f t="shared" ca="1" si="161"/>
        <v>12388.42564085648</v>
      </c>
      <c r="AE1003" s="169">
        <f t="shared" si="164"/>
        <v>0</v>
      </c>
      <c r="AF1003" s="170">
        <f t="shared" si="162"/>
        <v>0</v>
      </c>
      <c r="AG1003" s="170">
        <f t="shared" si="163"/>
        <v>0</v>
      </c>
      <c r="AH1003" s="28" t="e" cm="1">
        <f t="array" aca="1" ref="AH1003" ca="1">IF((AD1003) &lt; (INDEX(ResponseSLA[#All],(MATCH((G1003),ResponseSLA[Priority],0))+1,3)),"YES","No")</f>
        <v>#N/A</v>
      </c>
      <c r="AI1003" s="28" t="str">
        <f>_xlfn.IFNA(IF(AE1003 &lt; (INDEX(SLATable[Minimum SLA],MATCH(G1003,SLATable[Priority],0))),"YES","NO"),"")</f>
        <v/>
      </c>
      <c r="AJ1003" s="28" t="str">
        <f>_xlfn.IFNA(IF(AE1003 &lt; (INDEX(SLATable[Maximum SLA],MATCH(G1003,SLATable[Priority],0))),"YES","NO"),"")</f>
        <v/>
      </c>
    </row>
    <row r="1004" spans="26:36" ht="15" customHeight="1">
      <c r="Z1004" s="169" t="e">
        <f t="shared" ref="Z1004:Z1067" ca="1" si="165">IF(NOT(OR(G1004=1,G1004=2)),MAX(0,_xlfn.IFS(AND(K1004&lt;&gt;"",N1004&lt;&gt;""),((MAX(NETWORKDAYS(K1004,N1004,UKBankHolidays)-1,0))*(TIME(17,0,0)-TIME(8,0,0))+IF(NETWORKDAYS(N1004,N1004,UKBankHolidays)&gt;0,MEDIAN(TIME(8,0,0),MOD(N1004,1),TIME(17,0,0)),TIME(8,0,0))-IF(NETWORKDAYS(K1004,K1004,UKBankHolidays)&gt;0,MEDIAN(TIME(8,0,0),MOD(K1004,1),TIME(17,0,0)),TIME(8,0,0)))-IF(AND(O1004&lt;&gt;"",P1004&lt;&gt;""),((MAX(NETWORKDAYS(O1004,P1004,UKBankHolidays)-1,0))*(TIME(17,0,0)-TIME(8,0,0))+IF(NETWORKDAYS(P1004,P1004,UKBankHolidays)&gt;0,MEDIAN(TIME(8,0,0),MOD(P1004,1),TIME(17,0,0)),TIME(8,0,0))-IF(NETWORKDAYS(O1004,O1004,UKBankHolidays)&gt;0,MEDIAN(TIME(8,0,0),MOD(O1004,1),TIME(17,0,0)),TIME(8,0,0))),0),AND(K1004&lt;&gt;"",N1004=""),((MAX(NETWORKDAYS(K1004,NOW(),UKBankHolidays)-1,0))*(TIME(17,0,0)-TIME(8,0,0))+IF(NETWORKDAYS(NOW(),NOW(),UKBankHolidays)&gt;0,MEDIAN(TIME(8,0,0),MOD(NOW(),1),TIME(17,0,0)),TIME(8,0,0))-IF(NETWORKDAYS(K1004,K1004,UKBankHolidays)&gt;0,MEDIAN(TIME(8,0,0),MOD(K1004,1),TIME(17,0,0)),TIME(8,0,0))))),IF(N1004="",NOW()-K1004,N1004-K1004))</f>
        <v>#N/A</v>
      </c>
      <c r="AA1004" s="170" t="e">
        <f t="shared" ref="AA1004:AA1067" ca="1" si="166">(Z1004*24)/9</f>
        <v>#N/A</v>
      </c>
      <c r="AB1004" s="169">
        <f t="shared" ref="AB1004:AB1067" ca="1" si="167">IF(NOT(OR(G1004=1,G1004=2)),MAX(0,_xlfn.IFS(AND(K1004&lt;&gt;"",N1004&lt;&gt;""),(((MAX(NETWORKDAYS(L1004,N1004,UKBankHolidays)-1,0))*(TIME(17,0,0)-TIME(8,0,0)))+IF(NETWORKDAYS(N1004,N1004,UKBankHolidays)&gt;0,MEDIAN(TIME(8,0,0),MOD(N1004,1),TIME(17,0,0)),TIME(8,0,0))-IF(NETWORKDAYS(L1004,L1004,UKBankHolidays)&gt;0,MEDIAN(TIME(8,0,0),MOD(L1004,1),TIME(17,0,0)),TIME(8,0,0)))-IF(AND(O1004&lt;&gt;"",P1004&lt;&gt;""),(((MAX(NETWORKDAYS(O1004,P1004,UKBankHolidays)-1,0))*(TIME(17,0,0)-TIME(8,0,0)))+IF(NETWORKDAYS(P1004,P1004,UKBankHolidays)&gt;0,MEDIAN(TIME(8,0,0),MOD(P1004,1),TIME(17,0,0)),TIME(8,0,0))-IF(NETWORKDAYS(O1004,O1004,UKBankHolidays)&gt;0,MEDIAN(TIME(8,0,0),MOD(O1004,1),TIME(17,0,0)),TIME(8,0,0))),0),AND(L1004&lt;&gt;"",N1004="",O1004=""),(((MAX(NETWORKDAYS(L1004,NOW(),UKBankHolidays)-1,0))*(TIME(17,0,0)-TIME(8,0,0)))+IF(NETWORKDAYS(NOW(),NOW(),UKBankHolidays)&gt;0,MEDIAN(TIME(8,0,0),MOD(NOW(),1),TIME(17,0,0)),TIME(8,0,0))-IF(NETWORKDAYS(L1004,L1004,UKBankHolidays)&gt;0,MEDIAN(TIME(8,0,0),MOD(L1004,1),TIME(17,0,0)),TIME(8,0,0)))-IF(AND(O1004&lt;&gt;"",P1004&lt;&gt;""),(((MAX(NETWORKDAYS(O1004,P1004,UKBankHolidays)-1,0))*(TIME(17,0,0)-TIME(8,0,0)))+IF(NETWORKDAYS(P1004,P1004,UKBankHolidays)&gt;0,MEDIAN(TIME(8,0,0),MOD(P1004,1),TIME(17,0,0)),TIME(8,0,0))-IF(NETWORKDAYS(O1004,O1004,UKBankHolidays)&gt;0,MEDIAN(TIME(8,0,0),MOD(O1004,1),TIME(17,0,0)),TIME(8,0,0))),0),AND(L1004&lt;&gt;"",N1004="",P1004="",O1004&lt;&gt;""),(((MAX(NETWORKDAYS(L1004,O1004,UKBankHolidays)-1,0))*(TIME(17,0,0)-TIME(8,0,0)))+IF(NETWORKDAYS(O1004,O1004,UKBankHolidays)&gt;0,MEDIAN(TIME(8,0,0),MOD(O1004,1),TIME(17,0,0)),TIME(8,0,0))-IF(NETWORKDAYS(L1004,L1004,UKBankHolidays)&gt;0,MEDIAN(TIME(8,0,0),MOD(L1004,1),TIME(17,0,0)),TIME(8,0,0))),ISBLANK(K1004),"0")),IF(ISBLANK(N1004),NOW()-L1004,N1004-L1004))</f>
        <v>0</v>
      </c>
      <c r="AC1004" s="170">
        <f t="shared" ref="AC1004:AC1067" ca="1" si="168">(AB1004*24)/9</f>
        <v>0</v>
      </c>
      <c r="AD1004" s="169">
        <f t="shared" ref="AD1004:AD1067" ca="1" si="169">MAX(0,IF(NOT(OR(G1004=1,G1004=2)),IF(M1004&lt;&gt;"",((MAX(NETWORKDAYS(L1004,M1004,UKBankHolidays)-1,0))*(TIME(17,0,0)-TIME(8,0,0))+IF(NETWORKDAYS(M1004,M1004,UKBankHolidays)&gt;0,MEDIAN(TIME(8,0,0),MOD(M1004,1),TIME(17,0,0)),TIME(8,0,0))-MEDIAN(TIME(8,0,0),MOD(L1004,1),TIME(17,0,0))),((MAX(NETWORKDAYS(L1004,NOW(),UKBankHolidays)-1,0))*(TIME(17,0,0)-TIME(8,0,0))+IF(NETWORKDAYS(NOW(),NOW(),UKBankHolidays)&gt;0,MEDIAN(TIME(8,0,0),MOD(NOW(),1),TIME(17,0,0)),TIME(8,0,0))-MEDIAN(TIME(8,0,0),MOD(L1004,1),TIME(17,0,0)))),IF(M1004&lt;&gt;"",M1004-L1004,NOW()-L1004)))</f>
        <v>12388.42564085648</v>
      </c>
      <c r="AE1004" s="169">
        <f t="shared" si="164"/>
        <v>0</v>
      </c>
      <c r="AF1004" s="170">
        <f t="shared" ref="AF1004:AF1067" si="170">(AE1004*24)/9</f>
        <v>0</v>
      </c>
      <c r="AG1004" s="170">
        <f t="shared" ref="AG1004:AG1067" si="171">AF1004</f>
        <v>0</v>
      </c>
      <c r="AH1004" s="28" t="e" cm="1">
        <f t="array" aca="1" ref="AH1004" ca="1">IF((AD1004) &lt; (INDEX(ResponseSLA[#All],(MATCH((G1004),ResponseSLA[Priority],0))+1,3)),"YES","No")</f>
        <v>#N/A</v>
      </c>
      <c r="AI1004" s="28" t="str">
        <f>_xlfn.IFNA(IF(AE1004 &lt; (INDEX(SLATable[Minimum SLA],MATCH(G1004,SLATable[Priority],0))),"YES","NO"),"")</f>
        <v/>
      </c>
      <c r="AJ1004" s="28" t="str">
        <f>_xlfn.IFNA(IF(AE1004 &lt; (INDEX(SLATable[Maximum SLA],MATCH(G1004,SLATable[Priority],0))),"YES","NO"),"")</f>
        <v/>
      </c>
    </row>
    <row r="1005" spans="26:36" ht="15" customHeight="1">
      <c r="Z1005" s="169" t="e">
        <f t="shared" ca="1" si="165"/>
        <v>#N/A</v>
      </c>
      <c r="AA1005" s="170" t="e">
        <f t="shared" ca="1" si="166"/>
        <v>#N/A</v>
      </c>
      <c r="AB1005" s="169">
        <f t="shared" ca="1" si="167"/>
        <v>0</v>
      </c>
      <c r="AC1005" s="170">
        <f t="shared" ca="1" si="168"/>
        <v>0</v>
      </c>
      <c r="AD1005" s="169">
        <f t="shared" ca="1" si="169"/>
        <v>12388.42564085648</v>
      </c>
      <c r="AE1005" s="169">
        <f t="shared" si="164"/>
        <v>0</v>
      </c>
      <c r="AF1005" s="170">
        <f t="shared" si="170"/>
        <v>0</v>
      </c>
      <c r="AG1005" s="170">
        <f t="shared" si="171"/>
        <v>0</v>
      </c>
      <c r="AH1005" s="28" t="e" cm="1">
        <f t="array" aca="1" ref="AH1005" ca="1">IF((AD1005) &lt; (INDEX(ResponseSLA[#All],(MATCH((G1005),ResponseSLA[Priority],0))+1,3)),"YES","No")</f>
        <v>#N/A</v>
      </c>
      <c r="AI1005" s="28" t="str">
        <f>_xlfn.IFNA(IF(AE1005 &lt; (INDEX(SLATable[Minimum SLA],MATCH(G1005,SLATable[Priority],0))),"YES","NO"),"")</f>
        <v/>
      </c>
      <c r="AJ1005" s="28" t="str">
        <f>_xlfn.IFNA(IF(AE1005 &lt; (INDEX(SLATable[Maximum SLA],MATCH(G1005,SLATable[Priority],0))),"YES","NO"),"")</f>
        <v/>
      </c>
    </row>
    <row r="1006" spans="26:36" ht="15" customHeight="1">
      <c r="Z1006" s="169" t="e">
        <f t="shared" ca="1" si="165"/>
        <v>#N/A</v>
      </c>
      <c r="AA1006" s="170" t="e">
        <f t="shared" ca="1" si="166"/>
        <v>#N/A</v>
      </c>
      <c r="AB1006" s="169">
        <f t="shared" ca="1" si="167"/>
        <v>0</v>
      </c>
      <c r="AC1006" s="170">
        <f t="shared" ca="1" si="168"/>
        <v>0</v>
      </c>
      <c r="AD1006" s="169">
        <f t="shared" ca="1" si="169"/>
        <v>12388.42564085648</v>
      </c>
      <c r="AE1006" s="169">
        <f t="shared" si="164"/>
        <v>0</v>
      </c>
      <c r="AF1006" s="170">
        <f t="shared" si="170"/>
        <v>0</v>
      </c>
      <c r="AG1006" s="170">
        <f t="shared" si="171"/>
        <v>0</v>
      </c>
      <c r="AH1006" s="28" t="e" cm="1">
        <f t="array" aca="1" ref="AH1006" ca="1">IF((AD1006) &lt; (INDEX(ResponseSLA[#All],(MATCH((G1006),ResponseSLA[Priority],0))+1,3)),"YES","No")</f>
        <v>#N/A</v>
      </c>
      <c r="AI1006" s="28" t="str">
        <f>_xlfn.IFNA(IF(AE1006 &lt; (INDEX(SLATable[Minimum SLA],MATCH(G1006,SLATable[Priority],0))),"YES","NO"),"")</f>
        <v/>
      </c>
      <c r="AJ1006" s="28" t="str">
        <f>_xlfn.IFNA(IF(AE1006 &lt; (INDEX(SLATable[Maximum SLA],MATCH(G1006,SLATable[Priority],0))),"YES","NO"),"")</f>
        <v/>
      </c>
    </row>
    <row r="1007" spans="26:36" ht="15" customHeight="1">
      <c r="Z1007" s="169" t="e">
        <f t="shared" ca="1" si="165"/>
        <v>#N/A</v>
      </c>
      <c r="AA1007" s="170" t="e">
        <f t="shared" ca="1" si="166"/>
        <v>#N/A</v>
      </c>
      <c r="AB1007" s="169">
        <f t="shared" ca="1" si="167"/>
        <v>0</v>
      </c>
      <c r="AC1007" s="170">
        <f t="shared" ca="1" si="168"/>
        <v>0</v>
      </c>
      <c r="AD1007" s="169">
        <f t="shared" ca="1" si="169"/>
        <v>12388.42564085648</v>
      </c>
      <c r="AE1007" s="169">
        <f t="shared" si="164"/>
        <v>0</v>
      </c>
      <c r="AF1007" s="170">
        <f t="shared" si="170"/>
        <v>0</v>
      </c>
      <c r="AG1007" s="170">
        <f t="shared" si="171"/>
        <v>0</v>
      </c>
      <c r="AH1007" s="28" t="e" cm="1">
        <f t="array" aca="1" ref="AH1007" ca="1">IF((AD1007) &lt; (INDEX(ResponseSLA[#All],(MATCH((G1007),ResponseSLA[Priority],0))+1,3)),"YES","No")</f>
        <v>#N/A</v>
      </c>
      <c r="AI1007" s="28" t="str">
        <f>_xlfn.IFNA(IF(AE1007 &lt; (INDEX(SLATable[Minimum SLA],MATCH(G1007,SLATable[Priority],0))),"YES","NO"),"")</f>
        <v/>
      </c>
      <c r="AJ1007" s="28" t="str">
        <f>_xlfn.IFNA(IF(AE1007 &lt; (INDEX(SLATable[Maximum SLA],MATCH(G1007,SLATable[Priority],0))),"YES","NO"),"")</f>
        <v/>
      </c>
    </row>
    <row r="1008" spans="26:36" ht="15" customHeight="1">
      <c r="Z1008" s="169" t="e">
        <f t="shared" ca="1" si="165"/>
        <v>#N/A</v>
      </c>
      <c r="AA1008" s="170" t="e">
        <f t="shared" ca="1" si="166"/>
        <v>#N/A</v>
      </c>
      <c r="AB1008" s="169">
        <f t="shared" ca="1" si="167"/>
        <v>0</v>
      </c>
      <c r="AC1008" s="170">
        <f t="shared" ca="1" si="168"/>
        <v>0</v>
      </c>
      <c r="AD1008" s="169">
        <f t="shared" ca="1" si="169"/>
        <v>12388.42564085648</v>
      </c>
      <c r="AE1008" s="169">
        <f t="shared" si="164"/>
        <v>0</v>
      </c>
      <c r="AF1008" s="170">
        <f t="shared" si="170"/>
        <v>0</v>
      </c>
      <c r="AG1008" s="170">
        <f t="shared" si="171"/>
        <v>0</v>
      </c>
      <c r="AH1008" s="28" t="e" cm="1">
        <f t="array" aca="1" ref="AH1008" ca="1">IF((AD1008) &lt; (INDEX(ResponseSLA[#All],(MATCH((G1008),ResponseSLA[Priority],0))+1,3)),"YES","No")</f>
        <v>#N/A</v>
      </c>
      <c r="AI1008" s="28" t="str">
        <f>_xlfn.IFNA(IF(AE1008 &lt; (INDEX(SLATable[Minimum SLA],MATCH(G1008,SLATable[Priority],0))),"YES","NO"),"")</f>
        <v/>
      </c>
      <c r="AJ1008" s="28" t="str">
        <f>_xlfn.IFNA(IF(AE1008 &lt; (INDEX(SLATable[Maximum SLA],MATCH(G1008,SLATable[Priority],0))),"YES","NO"),"")</f>
        <v/>
      </c>
    </row>
    <row r="1009" spans="26:36" ht="15" customHeight="1">
      <c r="Z1009" s="169" t="e">
        <f t="shared" ca="1" si="165"/>
        <v>#N/A</v>
      </c>
      <c r="AA1009" s="170" t="e">
        <f t="shared" ca="1" si="166"/>
        <v>#N/A</v>
      </c>
      <c r="AB1009" s="169">
        <f t="shared" ca="1" si="167"/>
        <v>0</v>
      </c>
      <c r="AC1009" s="170">
        <f t="shared" ca="1" si="168"/>
        <v>0</v>
      </c>
      <c r="AD1009" s="169">
        <f t="shared" ca="1" si="169"/>
        <v>12388.42564085648</v>
      </c>
      <c r="AE1009" s="169">
        <f t="shared" ref="AE1009:AE1072" si="172">SUMIFS(AB:AB,E:E,E1009)</f>
        <v>0</v>
      </c>
      <c r="AF1009" s="170">
        <f t="shared" si="170"/>
        <v>0</v>
      </c>
      <c r="AG1009" s="170">
        <f t="shared" si="171"/>
        <v>0</v>
      </c>
      <c r="AH1009" s="28" t="e" cm="1">
        <f t="array" aca="1" ref="AH1009" ca="1">IF((AD1009) &lt; (INDEX(ResponseSLA[#All],(MATCH((G1009),ResponseSLA[Priority],0))+1,3)),"YES","No")</f>
        <v>#N/A</v>
      </c>
      <c r="AI1009" s="28" t="str">
        <f>_xlfn.IFNA(IF(AE1009 &lt; (INDEX(SLATable[Minimum SLA],MATCH(G1009,SLATable[Priority],0))),"YES","NO"),"")</f>
        <v/>
      </c>
      <c r="AJ1009" s="28" t="str">
        <f>_xlfn.IFNA(IF(AE1009 &lt; (INDEX(SLATable[Maximum SLA],MATCH(G1009,SLATable[Priority],0))),"YES","NO"),"")</f>
        <v/>
      </c>
    </row>
    <row r="1010" spans="26:36" ht="15" customHeight="1">
      <c r="Z1010" s="169" t="e">
        <f t="shared" ca="1" si="165"/>
        <v>#N/A</v>
      </c>
      <c r="AA1010" s="170" t="e">
        <f t="shared" ca="1" si="166"/>
        <v>#N/A</v>
      </c>
      <c r="AB1010" s="169">
        <f t="shared" ca="1" si="167"/>
        <v>0</v>
      </c>
      <c r="AC1010" s="170">
        <f t="shared" ca="1" si="168"/>
        <v>0</v>
      </c>
      <c r="AD1010" s="169">
        <f t="shared" ca="1" si="169"/>
        <v>12388.42564085648</v>
      </c>
      <c r="AE1010" s="169">
        <f t="shared" si="172"/>
        <v>0</v>
      </c>
      <c r="AF1010" s="170">
        <f t="shared" si="170"/>
        <v>0</v>
      </c>
      <c r="AG1010" s="170">
        <f t="shared" si="171"/>
        <v>0</v>
      </c>
      <c r="AH1010" s="28" t="e" cm="1">
        <f t="array" aca="1" ref="AH1010" ca="1">IF((AD1010) &lt; (INDEX(ResponseSLA[#All],(MATCH((G1010),ResponseSLA[Priority],0))+1,3)),"YES","No")</f>
        <v>#N/A</v>
      </c>
      <c r="AI1010" s="28" t="str">
        <f>_xlfn.IFNA(IF(AE1010 &lt; (INDEX(SLATable[Minimum SLA],MATCH(G1010,SLATable[Priority],0))),"YES","NO"),"")</f>
        <v/>
      </c>
      <c r="AJ1010" s="28" t="str">
        <f>_xlfn.IFNA(IF(AE1010 &lt; (INDEX(SLATable[Maximum SLA],MATCH(G1010,SLATable[Priority],0))),"YES","NO"),"")</f>
        <v/>
      </c>
    </row>
    <row r="1011" spans="26:36" ht="15" customHeight="1">
      <c r="Z1011" s="169" t="e">
        <f t="shared" ca="1" si="165"/>
        <v>#N/A</v>
      </c>
      <c r="AA1011" s="170" t="e">
        <f t="shared" ca="1" si="166"/>
        <v>#N/A</v>
      </c>
      <c r="AB1011" s="169">
        <f t="shared" ca="1" si="167"/>
        <v>0</v>
      </c>
      <c r="AC1011" s="170">
        <f t="shared" ca="1" si="168"/>
        <v>0</v>
      </c>
      <c r="AD1011" s="169">
        <f t="shared" ca="1" si="169"/>
        <v>12388.42564085648</v>
      </c>
      <c r="AE1011" s="169">
        <f t="shared" si="172"/>
        <v>0</v>
      </c>
      <c r="AF1011" s="170">
        <f t="shared" si="170"/>
        <v>0</v>
      </c>
      <c r="AG1011" s="170">
        <f t="shared" si="171"/>
        <v>0</v>
      </c>
      <c r="AH1011" s="28" t="e" cm="1">
        <f t="array" aca="1" ref="AH1011" ca="1">IF((AD1011) &lt; (INDEX(ResponseSLA[#All],(MATCH((G1011),ResponseSLA[Priority],0))+1,3)),"YES","No")</f>
        <v>#N/A</v>
      </c>
      <c r="AI1011" s="28" t="str">
        <f>_xlfn.IFNA(IF(AE1011 &lt; (INDEX(SLATable[Minimum SLA],MATCH(G1011,SLATable[Priority],0))),"YES","NO"),"")</f>
        <v/>
      </c>
      <c r="AJ1011" s="28" t="str">
        <f>_xlfn.IFNA(IF(AE1011 &lt; (INDEX(SLATable[Maximum SLA],MATCH(G1011,SLATable[Priority],0))),"YES","NO"),"")</f>
        <v/>
      </c>
    </row>
    <row r="1012" spans="26:36" ht="15" customHeight="1">
      <c r="Z1012" s="169" t="e">
        <f t="shared" ca="1" si="165"/>
        <v>#N/A</v>
      </c>
      <c r="AA1012" s="170" t="e">
        <f t="shared" ca="1" si="166"/>
        <v>#N/A</v>
      </c>
      <c r="AB1012" s="169">
        <f t="shared" ca="1" si="167"/>
        <v>0</v>
      </c>
      <c r="AC1012" s="170">
        <f t="shared" ca="1" si="168"/>
        <v>0</v>
      </c>
      <c r="AD1012" s="169">
        <f t="shared" ca="1" si="169"/>
        <v>12388.42564085648</v>
      </c>
      <c r="AE1012" s="169">
        <f t="shared" si="172"/>
        <v>0</v>
      </c>
      <c r="AF1012" s="170">
        <f t="shared" si="170"/>
        <v>0</v>
      </c>
      <c r="AG1012" s="170">
        <f t="shared" si="171"/>
        <v>0</v>
      </c>
      <c r="AH1012" s="28" t="e" cm="1">
        <f t="array" aca="1" ref="AH1012" ca="1">IF((AD1012) &lt; (INDEX(ResponseSLA[#All],(MATCH((G1012),ResponseSLA[Priority],0))+1,3)),"YES","No")</f>
        <v>#N/A</v>
      </c>
      <c r="AI1012" s="28" t="str">
        <f>_xlfn.IFNA(IF(AE1012 &lt; (INDEX(SLATable[Minimum SLA],MATCH(G1012,SLATable[Priority],0))),"YES","NO"),"")</f>
        <v/>
      </c>
      <c r="AJ1012" s="28" t="str">
        <f>_xlfn.IFNA(IF(AE1012 &lt; (INDEX(SLATable[Maximum SLA],MATCH(G1012,SLATable[Priority],0))),"YES","NO"),"")</f>
        <v/>
      </c>
    </row>
    <row r="1013" spans="26:36" ht="15" customHeight="1">
      <c r="Z1013" s="169" t="e">
        <f t="shared" ca="1" si="165"/>
        <v>#N/A</v>
      </c>
      <c r="AA1013" s="170" t="e">
        <f t="shared" ca="1" si="166"/>
        <v>#N/A</v>
      </c>
      <c r="AB1013" s="169">
        <f t="shared" ca="1" si="167"/>
        <v>0</v>
      </c>
      <c r="AC1013" s="170">
        <f t="shared" ca="1" si="168"/>
        <v>0</v>
      </c>
      <c r="AD1013" s="169">
        <f t="shared" ca="1" si="169"/>
        <v>12388.42564085648</v>
      </c>
      <c r="AE1013" s="169">
        <f t="shared" si="172"/>
        <v>0</v>
      </c>
      <c r="AF1013" s="170">
        <f t="shared" si="170"/>
        <v>0</v>
      </c>
      <c r="AG1013" s="170">
        <f t="shared" si="171"/>
        <v>0</v>
      </c>
      <c r="AH1013" s="28" t="e" cm="1">
        <f t="array" aca="1" ref="AH1013" ca="1">IF((AD1013) &lt; (INDEX(ResponseSLA[#All],(MATCH((G1013),ResponseSLA[Priority],0))+1,3)),"YES","No")</f>
        <v>#N/A</v>
      </c>
      <c r="AI1013" s="28" t="str">
        <f>_xlfn.IFNA(IF(AE1013 &lt; (INDEX(SLATable[Minimum SLA],MATCH(G1013,SLATable[Priority],0))),"YES","NO"),"")</f>
        <v/>
      </c>
      <c r="AJ1013" s="28" t="str">
        <f>_xlfn.IFNA(IF(AE1013 &lt; (INDEX(SLATable[Maximum SLA],MATCH(G1013,SLATable[Priority],0))),"YES","NO"),"")</f>
        <v/>
      </c>
    </row>
    <row r="1014" spans="26:36" ht="15" customHeight="1">
      <c r="Z1014" s="169" t="e">
        <f t="shared" ca="1" si="165"/>
        <v>#N/A</v>
      </c>
      <c r="AA1014" s="170" t="e">
        <f t="shared" ca="1" si="166"/>
        <v>#N/A</v>
      </c>
      <c r="AB1014" s="169">
        <f t="shared" ca="1" si="167"/>
        <v>0</v>
      </c>
      <c r="AC1014" s="170">
        <f t="shared" ca="1" si="168"/>
        <v>0</v>
      </c>
      <c r="AD1014" s="169">
        <f t="shared" ca="1" si="169"/>
        <v>12388.42564085648</v>
      </c>
      <c r="AE1014" s="169">
        <f t="shared" si="172"/>
        <v>0</v>
      </c>
      <c r="AF1014" s="170">
        <f t="shared" si="170"/>
        <v>0</v>
      </c>
      <c r="AG1014" s="170">
        <f t="shared" si="171"/>
        <v>0</v>
      </c>
      <c r="AH1014" s="28" t="e" cm="1">
        <f t="array" aca="1" ref="AH1014" ca="1">IF((AD1014) &lt; (INDEX(ResponseSLA[#All],(MATCH((G1014),ResponseSLA[Priority],0))+1,3)),"YES","No")</f>
        <v>#N/A</v>
      </c>
      <c r="AI1014" s="28" t="str">
        <f>_xlfn.IFNA(IF(AE1014 &lt; (INDEX(SLATable[Minimum SLA],MATCH(G1014,SLATable[Priority],0))),"YES","NO"),"")</f>
        <v/>
      </c>
      <c r="AJ1014" s="28" t="str">
        <f>_xlfn.IFNA(IF(AE1014 &lt; (INDEX(SLATable[Maximum SLA],MATCH(G1014,SLATable[Priority],0))),"YES","NO"),"")</f>
        <v/>
      </c>
    </row>
    <row r="1015" spans="26:36" ht="15" customHeight="1">
      <c r="Z1015" s="169" t="e">
        <f t="shared" ca="1" si="165"/>
        <v>#N/A</v>
      </c>
      <c r="AA1015" s="170" t="e">
        <f t="shared" ca="1" si="166"/>
        <v>#N/A</v>
      </c>
      <c r="AB1015" s="169">
        <f t="shared" ca="1" si="167"/>
        <v>0</v>
      </c>
      <c r="AC1015" s="170">
        <f t="shared" ca="1" si="168"/>
        <v>0</v>
      </c>
      <c r="AD1015" s="169">
        <f t="shared" ca="1" si="169"/>
        <v>12388.42564085648</v>
      </c>
      <c r="AE1015" s="169">
        <f t="shared" si="172"/>
        <v>0</v>
      </c>
      <c r="AF1015" s="170">
        <f t="shared" si="170"/>
        <v>0</v>
      </c>
      <c r="AG1015" s="170">
        <f t="shared" si="171"/>
        <v>0</v>
      </c>
      <c r="AH1015" s="28" t="e" cm="1">
        <f t="array" aca="1" ref="AH1015" ca="1">IF((AD1015) &lt; (INDEX(ResponseSLA[#All],(MATCH((G1015),ResponseSLA[Priority],0))+1,3)),"YES","No")</f>
        <v>#N/A</v>
      </c>
      <c r="AI1015" s="28" t="str">
        <f>_xlfn.IFNA(IF(AE1015 &lt; (INDEX(SLATable[Minimum SLA],MATCH(G1015,SLATable[Priority],0))),"YES","NO"),"")</f>
        <v/>
      </c>
      <c r="AJ1015" s="28" t="str">
        <f>_xlfn.IFNA(IF(AE1015 &lt; (INDEX(SLATable[Maximum SLA],MATCH(G1015,SLATable[Priority],0))),"YES","NO"),"")</f>
        <v/>
      </c>
    </row>
    <row r="1016" spans="26:36" ht="15" customHeight="1">
      <c r="Z1016" s="169" t="e">
        <f t="shared" ca="1" si="165"/>
        <v>#N/A</v>
      </c>
      <c r="AA1016" s="170" t="e">
        <f t="shared" ca="1" si="166"/>
        <v>#N/A</v>
      </c>
      <c r="AB1016" s="169">
        <f t="shared" ca="1" si="167"/>
        <v>0</v>
      </c>
      <c r="AC1016" s="170">
        <f t="shared" ca="1" si="168"/>
        <v>0</v>
      </c>
      <c r="AD1016" s="169">
        <f t="shared" ca="1" si="169"/>
        <v>12388.42564085648</v>
      </c>
      <c r="AE1016" s="169">
        <f t="shared" si="172"/>
        <v>0</v>
      </c>
      <c r="AF1016" s="170">
        <f t="shared" si="170"/>
        <v>0</v>
      </c>
      <c r="AG1016" s="170">
        <f t="shared" si="171"/>
        <v>0</v>
      </c>
      <c r="AH1016" s="28" t="e" cm="1">
        <f t="array" aca="1" ref="AH1016" ca="1">IF((AD1016) &lt; (INDEX(ResponseSLA[#All],(MATCH((G1016),ResponseSLA[Priority],0))+1,3)),"YES","No")</f>
        <v>#N/A</v>
      </c>
      <c r="AI1016" s="28" t="str">
        <f>_xlfn.IFNA(IF(AE1016 &lt; (INDEX(SLATable[Minimum SLA],MATCH(G1016,SLATable[Priority],0))),"YES","NO"),"")</f>
        <v/>
      </c>
      <c r="AJ1016" s="28" t="str">
        <f>_xlfn.IFNA(IF(AE1016 &lt; (INDEX(SLATable[Maximum SLA],MATCH(G1016,SLATable[Priority],0))),"YES","NO"),"")</f>
        <v/>
      </c>
    </row>
    <row r="1017" spans="26:36" ht="15" customHeight="1">
      <c r="Z1017" s="169" t="e">
        <f t="shared" ca="1" si="165"/>
        <v>#N/A</v>
      </c>
      <c r="AA1017" s="170" t="e">
        <f t="shared" ca="1" si="166"/>
        <v>#N/A</v>
      </c>
      <c r="AB1017" s="169">
        <f t="shared" ca="1" si="167"/>
        <v>0</v>
      </c>
      <c r="AC1017" s="170">
        <f t="shared" ca="1" si="168"/>
        <v>0</v>
      </c>
      <c r="AD1017" s="169">
        <f t="shared" ca="1" si="169"/>
        <v>12388.42564085648</v>
      </c>
      <c r="AE1017" s="169">
        <f t="shared" si="172"/>
        <v>0</v>
      </c>
      <c r="AF1017" s="170">
        <f t="shared" si="170"/>
        <v>0</v>
      </c>
      <c r="AG1017" s="170">
        <f t="shared" si="171"/>
        <v>0</v>
      </c>
      <c r="AH1017" s="28" t="e" cm="1">
        <f t="array" aca="1" ref="AH1017" ca="1">IF((AD1017) &lt; (INDEX(ResponseSLA[#All],(MATCH((G1017),ResponseSLA[Priority],0))+1,3)),"YES","No")</f>
        <v>#N/A</v>
      </c>
      <c r="AI1017" s="28" t="str">
        <f>_xlfn.IFNA(IF(AE1017 &lt; (INDEX(SLATable[Minimum SLA],MATCH(G1017,SLATable[Priority],0))),"YES","NO"),"")</f>
        <v/>
      </c>
      <c r="AJ1017" s="28" t="str">
        <f>_xlfn.IFNA(IF(AE1017 &lt; (INDEX(SLATable[Maximum SLA],MATCH(G1017,SLATable[Priority],0))),"YES","NO"),"")</f>
        <v/>
      </c>
    </row>
    <row r="1018" spans="26:36" ht="15" customHeight="1">
      <c r="Z1018" s="169" t="e">
        <f t="shared" ca="1" si="165"/>
        <v>#N/A</v>
      </c>
      <c r="AA1018" s="170" t="e">
        <f t="shared" ca="1" si="166"/>
        <v>#N/A</v>
      </c>
      <c r="AB1018" s="169">
        <f t="shared" ca="1" si="167"/>
        <v>0</v>
      </c>
      <c r="AC1018" s="170">
        <f t="shared" ca="1" si="168"/>
        <v>0</v>
      </c>
      <c r="AD1018" s="169">
        <f t="shared" ca="1" si="169"/>
        <v>12388.42564085648</v>
      </c>
      <c r="AE1018" s="169">
        <f t="shared" si="172"/>
        <v>0</v>
      </c>
      <c r="AF1018" s="170">
        <f t="shared" si="170"/>
        <v>0</v>
      </c>
      <c r="AG1018" s="170">
        <f t="shared" si="171"/>
        <v>0</v>
      </c>
      <c r="AH1018" s="28" t="e" cm="1">
        <f t="array" aca="1" ref="AH1018" ca="1">IF((AD1018) &lt; (INDEX(ResponseSLA[#All],(MATCH((G1018),ResponseSLA[Priority],0))+1,3)),"YES","No")</f>
        <v>#N/A</v>
      </c>
      <c r="AI1018" s="28" t="str">
        <f>_xlfn.IFNA(IF(AE1018 &lt; (INDEX(SLATable[Minimum SLA],MATCH(G1018,SLATable[Priority],0))),"YES","NO"),"")</f>
        <v/>
      </c>
      <c r="AJ1018" s="28" t="str">
        <f>_xlfn.IFNA(IF(AE1018 &lt; (INDEX(SLATable[Maximum SLA],MATCH(G1018,SLATable[Priority],0))),"YES","NO"),"")</f>
        <v/>
      </c>
    </row>
    <row r="1019" spans="26:36" ht="15" customHeight="1">
      <c r="Z1019" s="169" t="e">
        <f t="shared" ca="1" si="165"/>
        <v>#N/A</v>
      </c>
      <c r="AA1019" s="170" t="e">
        <f t="shared" ca="1" si="166"/>
        <v>#N/A</v>
      </c>
      <c r="AB1019" s="169">
        <f t="shared" ca="1" si="167"/>
        <v>0</v>
      </c>
      <c r="AC1019" s="170">
        <f t="shared" ca="1" si="168"/>
        <v>0</v>
      </c>
      <c r="AD1019" s="169">
        <f t="shared" ca="1" si="169"/>
        <v>12388.42564085648</v>
      </c>
      <c r="AE1019" s="169">
        <f t="shared" si="172"/>
        <v>0</v>
      </c>
      <c r="AF1019" s="170">
        <f t="shared" si="170"/>
        <v>0</v>
      </c>
      <c r="AG1019" s="170">
        <f t="shared" si="171"/>
        <v>0</v>
      </c>
      <c r="AH1019" s="28" t="e" cm="1">
        <f t="array" aca="1" ref="AH1019" ca="1">IF((AD1019) &lt; (INDEX(ResponseSLA[#All],(MATCH((G1019),ResponseSLA[Priority],0))+1,3)),"YES","No")</f>
        <v>#N/A</v>
      </c>
      <c r="AI1019" s="28" t="str">
        <f>_xlfn.IFNA(IF(AE1019 &lt; (INDEX(SLATable[Minimum SLA],MATCH(G1019,SLATable[Priority],0))),"YES","NO"),"")</f>
        <v/>
      </c>
      <c r="AJ1019" s="28" t="str">
        <f>_xlfn.IFNA(IF(AE1019 &lt; (INDEX(SLATable[Maximum SLA],MATCH(G1019,SLATable[Priority],0))),"YES","NO"),"")</f>
        <v/>
      </c>
    </row>
    <row r="1020" spans="26:36" ht="15" customHeight="1">
      <c r="Z1020" s="169" t="e">
        <f t="shared" ca="1" si="165"/>
        <v>#N/A</v>
      </c>
      <c r="AA1020" s="170" t="e">
        <f t="shared" ca="1" si="166"/>
        <v>#N/A</v>
      </c>
      <c r="AB1020" s="169">
        <f t="shared" ca="1" si="167"/>
        <v>0</v>
      </c>
      <c r="AC1020" s="170">
        <f t="shared" ca="1" si="168"/>
        <v>0</v>
      </c>
      <c r="AD1020" s="169">
        <f t="shared" ca="1" si="169"/>
        <v>12388.42564085648</v>
      </c>
      <c r="AE1020" s="169">
        <f t="shared" si="172"/>
        <v>0</v>
      </c>
      <c r="AF1020" s="170">
        <f t="shared" si="170"/>
        <v>0</v>
      </c>
      <c r="AG1020" s="170">
        <f t="shared" si="171"/>
        <v>0</v>
      </c>
      <c r="AH1020" s="28" t="e" cm="1">
        <f t="array" aca="1" ref="AH1020" ca="1">IF((AD1020) &lt; (INDEX(ResponseSLA[#All],(MATCH((G1020),ResponseSLA[Priority],0))+1,3)),"YES","No")</f>
        <v>#N/A</v>
      </c>
      <c r="AI1020" s="28" t="str">
        <f>_xlfn.IFNA(IF(AE1020 &lt; (INDEX(SLATable[Minimum SLA],MATCH(G1020,SLATable[Priority],0))),"YES","NO"),"")</f>
        <v/>
      </c>
      <c r="AJ1020" s="28" t="str">
        <f>_xlfn.IFNA(IF(AE1020 &lt; (INDEX(SLATable[Maximum SLA],MATCH(G1020,SLATable[Priority],0))),"YES","NO"),"")</f>
        <v/>
      </c>
    </row>
    <row r="1021" spans="26:36" ht="15" customHeight="1">
      <c r="Z1021" s="169" t="e">
        <f t="shared" ca="1" si="165"/>
        <v>#N/A</v>
      </c>
      <c r="AA1021" s="170" t="e">
        <f t="shared" ca="1" si="166"/>
        <v>#N/A</v>
      </c>
      <c r="AB1021" s="169">
        <f t="shared" ca="1" si="167"/>
        <v>0</v>
      </c>
      <c r="AC1021" s="170">
        <f t="shared" ca="1" si="168"/>
        <v>0</v>
      </c>
      <c r="AD1021" s="169">
        <f t="shared" ca="1" si="169"/>
        <v>12388.42564085648</v>
      </c>
      <c r="AE1021" s="169">
        <f t="shared" si="172"/>
        <v>0</v>
      </c>
      <c r="AF1021" s="170">
        <f t="shared" si="170"/>
        <v>0</v>
      </c>
      <c r="AG1021" s="170">
        <f t="shared" si="171"/>
        <v>0</v>
      </c>
      <c r="AH1021" s="28" t="e" cm="1">
        <f t="array" aca="1" ref="AH1021" ca="1">IF((AD1021) &lt; (INDEX(ResponseSLA[#All],(MATCH((G1021),ResponseSLA[Priority],0))+1,3)),"YES","No")</f>
        <v>#N/A</v>
      </c>
      <c r="AI1021" s="28" t="str">
        <f>_xlfn.IFNA(IF(AE1021 &lt; (INDEX(SLATable[Minimum SLA],MATCH(G1021,SLATable[Priority],0))),"YES","NO"),"")</f>
        <v/>
      </c>
      <c r="AJ1021" s="28" t="str">
        <f>_xlfn.IFNA(IF(AE1021 &lt; (INDEX(SLATable[Maximum SLA],MATCH(G1021,SLATable[Priority],0))),"YES","NO"),"")</f>
        <v/>
      </c>
    </row>
    <row r="1022" spans="26:36" ht="15" customHeight="1">
      <c r="Z1022" s="169" t="e">
        <f t="shared" ca="1" si="165"/>
        <v>#N/A</v>
      </c>
      <c r="AA1022" s="170" t="e">
        <f t="shared" ca="1" si="166"/>
        <v>#N/A</v>
      </c>
      <c r="AB1022" s="169">
        <f t="shared" ca="1" si="167"/>
        <v>0</v>
      </c>
      <c r="AC1022" s="170">
        <f t="shared" ca="1" si="168"/>
        <v>0</v>
      </c>
      <c r="AD1022" s="169">
        <f t="shared" ca="1" si="169"/>
        <v>12388.42564085648</v>
      </c>
      <c r="AE1022" s="169">
        <f t="shared" si="172"/>
        <v>0</v>
      </c>
      <c r="AF1022" s="170">
        <f t="shared" si="170"/>
        <v>0</v>
      </c>
      <c r="AG1022" s="170">
        <f t="shared" si="171"/>
        <v>0</v>
      </c>
      <c r="AH1022" s="28" t="e" cm="1">
        <f t="array" aca="1" ref="AH1022" ca="1">IF((AD1022) &lt; (INDEX(ResponseSLA[#All],(MATCH((G1022),ResponseSLA[Priority],0))+1,3)),"YES","No")</f>
        <v>#N/A</v>
      </c>
      <c r="AI1022" s="28" t="str">
        <f>_xlfn.IFNA(IF(AE1022 &lt; (INDEX(SLATable[Minimum SLA],MATCH(G1022,SLATable[Priority],0))),"YES","NO"),"")</f>
        <v/>
      </c>
      <c r="AJ1022" s="28" t="str">
        <f>_xlfn.IFNA(IF(AE1022 &lt; (INDEX(SLATable[Maximum SLA],MATCH(G1022,SLATable[Priority],0))),"YES","NO"),"")</f>
        <v/>
      </c>
    </row>
    <row r="1023" spans="26:36" ht="15" customHeight="1">
      <c r="Z1023" s="169" t="e">
        <f t="shared" ca="1" si="165"/>
        <v>#N/A</v>
      </c>
      <c r="AA1023" s="170" t="e">
        <f t="shared" ca="1" si="166"/>
        <v>#N/A</v>
      </c>
      <c r="AB1023" s="169">
        <f t="shared" ca="1" si="167"/>
        <v>0</v>
      </c>
      <c r="AC1023" s="170">
        <f t="shared" ca="1" si="168"/>
        <v>0</v>
      </c>
      <c r="AD1023" s="169">
        <f t="shared" ca="1" si="169"/>
        <v>12388.42564085648</v>
      </c>
      <c r="AE1023" s="169">
        <f t="shared" si="172"/>
        <v>0</v>
      </c>
      <c r="AF1023" s="170">
        <f t="shared" si="170"/>
        <v>0</v>
      </c>
      <c r="AG1023" s="170">
        <f t="shared" si="171"/>
        <v>0</v>
      </c>
      <c r="AH1023" s="28" t="e" cm="1">
        <f t="array" aca="1" ref="AH1023" ca="1">IF((AD1023) &lt; (INDEX(ResponseSLA[#All],(MATCH((G1023),ResponseSLA[Priority],0))+1,3)),"YES","No")</f>
        <v>#N/A</v>
      </c>
      <c r="AI1023" s="28" t="str">
        <f>_xlfn.IFNA(IF(AE1023 &lt; (INDEX(SLATable[Minimum SLA],MATCH(G1023,SLATable[Priority],0))),"YES","NO"),"")</f>
        <v/>
      </c>
      <c r="AJ1023" s="28" t="str">
        <f>_xlfn.IFNA(IF(AE1023 &lt; (INDEX(SLATable[Maximum SLA],MATCH(G1023,SLATable[Priority],0))),"YES","NO"),"")</f>
        <v/>
      </c>
    </row>
    <row r="1024" spans="26:36" ht="15" customHeight="1">
      <c r="Z1024" s="169" t="e">
        <f t="shared" ca="1" si="165"/>
        <v>#N/A</v>
      </c>
      <c r="AA1024" s="170" t="e">
        <f t="shared" ca="1" si="166"/>
        <v>#N/A</v>
      </c>
      <c r="AB1024" s="169">
        <f t="shared" ca="1" si="167"/>
        <v>0</v>
      </c>
      <c r="AC1024" s="170">
        <f t="shared" ca="1" si="168"/>
        <v>0</v>
      </c>
      <c r="AD1024" s="169">
        <f t="shared" ca="1" si="169"/>
        <v>12388.42564085648</v>
      </c>
      <c r="AE1024" s="169">
        <f t="shared" si="172"/>
        <v>0</v>
      </c>
      <c r="AF1024" s="170">
        <f t="shared" si="170"/>
        <v>0</v>
      </c>
      <c r="AG1024" s="170">
        <f t="shared" si="171"/>
        <v>0</v>
      </c>
      <c r="AH1024" s="28" t="e" cm="1">
        <f t="array" aca="1" ref="AH1024" ca="1">IF((AD1024) &lt; (INDEX(ResponseSLA[#All],(MATCH((G1024),ResponseSLA[Priority],0))+1,3)),"YES","No")</f>
        <v>#N/A</v>
      </c>
      <c r="AI1024" s="28" t="str">
        <f>_xlfn.IFNA(IF(AE1024 &lt; (INDEX(SLATable[Minimum SLA],MATCH(G1024,SLATable[Priority],0))),"YES","NO"),"")</f>
        <v/>
      </c>
      <c r="AJ1024" s="28" t="str">
        <f>_xlfn.IFNA(IF(AE1024 &lt; (INDEX(SLATable[Maximum SLA],MATCH(G1024,SLATable[Priority],0))),"YES","NO"),"")</f>
        <v/>
      </c>
    </row>
    <row r="1025" spans="26:36" ht="15" customHeight="1">
      <c r="Z1025" s="169" t="e">
        <f t="shared" ca="1" si="165"/>
        <v>#N/A</v>
      </c>
      <c r="AA1025" s="170" t="e">
        <f t="shared" ca="1" si="166"/>
        <v>#N/A</v>
      </c>
      <c r="AB1025" s="169">
        <f t="shared" ca="1" si="167"/>
        <v>0</v>
      </c>
      <c r="AC1025" s="170">
        <f t="shared" ca="1" si="168"/>
        <v>0</v>
      </c>
      <c r="AD1025" s="169">
        <f t="shared" ca="1" si="169"/>
        <v>12388.42564085648</v>
      </c>
      <c r="AE1025" s="169">
        <f t="shared" si="172"/>
        <v>0</v>
      </c>
      <c r="AF1025" s="170">
        <f t="shared" si="170"/>
        <v>0</v>
      </c>
      <c r="AG1025" s="170">
        <f t="shared" si="171"/>
        <v>0</v>
      </c>
      <c r="AH1025" s="28" t="e" cm="1">
        <f t="array" aca="1" ref="AH1025" ca="1">IF((AD1025) &lt; (INDEX(ResponseSLA[#All],(MATCH((G1025),ResponseSLA[Priority],0))+1,3)),"YES","No")</f>
        <v>#N/A</v>
      </c>
      <c r="AI1025" s="28" t="str">
        <f>_xlfn.IFNA(IF(AE1025 &lt; (INDEX(SLATable[Minimum SLA],MATCH(G1025,SLATable[Priority],0))),"YES","NO"),"")</f>
        <v/>
      </c>
      <c r="AJ1025" s="28" t="str">
        <f>_xlfn.IFNA(IF(AE1025 &lt; (INDEX(SLATable[Maximum SLA],MATCH(G1025,SLATable[Priority],0))),"YES","NO"),"")</f>
        <v/>
      </c>
    </row>
    <row r="1026" spans="26:36" ht="15" customHeight="1">
      <c r="Z1026" s="169" t="e">
        <f t="shared" ca="1" si="165"/>
        <v>#N/A</v>
      </c>
      <c r="AA1026" s="170" t="e">
        <f t="shared" ca="1" si="166"/>
        <v>#N/A</v>
      </c>
      <c r="AB1026" s="169">
        <f t="shared" ca="1" si="167"/>
        <v>0</v>
      </c>
      <c r="AC1026" s="170">
        <f t="shared" ca="1" si="168"/>
        <v>0</v>
      </c>
      <c r="AD1026" s="169">
        <f t="shared" ca="1" si="169"/>
        <v>12388.42564085648</v>
      </c>
      <c r="AE1026" s="169">
        <f t="shared" si="172"/>
        <v>0</v>
      </c>
      <c r="AF1026" s="170">
        <f t="shared" si="170"/>
        <v>0</v>
      </c>
      <c r="AG1026" s="170">
        <f t="shared" si="171"/>
        <v>0</v>
      </c>
      <c r="AH1026" s="28" t="e" cm="1">
        <f t="array" aca="1" ref="AH1026" ca="1">IF((AD1026) &lt; (INDEX(ResponseSLA[#All],(MATCH((G1026),ResponseSLA[Priority],0))+1,3)),"YES","No")</f>
        <v>#N/A</v>
      </c>
      <c r="AI1026" s="28" t="str">
        <f>_xlfn.IFNA(IF(AE1026 &lt; (INDEX(SLATable[Minimum SLA],MATCH(G1026,SLATable[Priority],0))),"YES","NO"),"")</f>
        <v/>
      </c>
      <c r="AJ1026" s="28" t="str">
        <f>_xlfn.IFNA(IF(AE1026 &lt; (INDEX(SLATable[Maximum SLA],MATCH(G1026,SLATable[Priority],0))),"YES","NO"),"")</f>
        <v/>
      </c>
    </row>
    <row r="1027" spans="26:36" ht="15" customHeight="1">
      <c r="Z1027" s="169" t="e">
        <f t="shared" ca="1" si="165"/>
        <v>#N/A</v>
      </c>
      <c r="AA1027" s="170" t="e">
        <f t="shared" ca="1" si="166"/>
        <v>#N/A</v>
      </c>
      <c r="AB1027" s="169">
        <f t="shared" ca="1" si="167"/>
        <v>0</v>
      </c>
      <c r="AC1027" s="170">
        <f t="shared" ca="1" si="168"/>
        <v>0</v>
      </c>
      <c r="AD1027" s="169">
        <f t="shared" ca="1" si="169"/>
        <v>12388.42564085648</v>
      </c>
      <c r="AE1027" s="169">
        <f t="shared" si="172"/>
        <v>0</v>
      </c>
      <c r="AF1027" s="170">
        <f t="shared" si="170"/>
        <v>0</v>
      </c>
      <c r="AG1027" s="170">
        <f t="shared" si="171"/>
        <v>0</v>
      </c>
      <c r="AH1027" s="28" t="e" cm="1">
        <f t="array" aca="1" ref="AH1027" ca="1">IF((AD1027) &lt; (INDEX(ResponseSLA[#All],(MATCH((G1027),ResponseSLA[Priority],0))+1,3)),"YES","No")</f>
        <v>#N/A</v>
      </c>
      <c r="AI1027" s="28" t="str">
        <f>_xlfn.IFNA(IF(AE1027 &lt; (INDEX(SLATable[Minimum SLA],MATCH(G1027,SLATable[Priority],0))),"YES","NO"),"")</f>
        <v/>
      </c>
      <c r="AJ1027" s="28" t="str">
        <f>_xlfn.IFNA(IF(AE1027 &lt; (INDEX(SLATable[Maximum SLA],MATCH(G1027,SLATable[Priority],0))),"YES","NO"),"")</f>
        <v/>
      </c>
    </row>
    <row r="1028" spans="26:36" ht="15" customHeight="1">
      <c r="Z1028" s="169" t="e">
        <f t="shared" ca="1" si="165"/>
        <v>#N/A</v>
      </c>
      <c r="AA1028" s="170" t="e">
        <f t="shared" ca="1" si="166"/>
        <v>#N/A</v>
      </c>
      <c r="AB1028" s="169">
        <f t="shared" ca="1" si="167"/>
        <v>0</v>
      </c>
      <c r="AC1028" s="170">
        <f t="shared" ca="1" si="168"/>
        <v>0</v>
      </c>
      <c r="AD1028" s="169">
        <f t="shared" ca="1" si="169"/>
        <v>12388.42564085648</v>
      </c>
      <c r="AE1028" s="169">
        <f t="shared" si="172"/>
        <v>0</v>
      </c>
      <c r="AF1028" s="170">
        <f t="shared" si="170"/>
        <v>0</v>
      </c>
      <c r="AG1028" s="170">
        <f t="shared" si="171"/>
        <v>0</v>
      </c>
      <c r="AH1028" s="28" t="e" cm="1">
        <f t="array" aca="1" ref="AH1028" ca="1">IF((AD1028) &lt; (INDEX(ResponseSLA[#All],(MATCH((G1028),ResponseSLA[Priority],0))+1,3)),"YES","No")</f>
        <v>#N/A</v>
      </c>
      <c r="AI1028" s="28" t="str">
        <f>_xlfn.IFNA(IF(AE1028 &lt; (INDEX(SLATable[Minimum SLA],MATCH(G1028,SLATable[Priority],0))),"YES","NO"),"")</f>
        <v/>
      </c>
      <c r="AJ1028" s="28" t="str">
        <f>_xlfn.IFNA(IF(AE1028 &lt; (INDEX(SLATable[Maximum SLA],MATCH(G1028,SLATable[Priority],0))),"YES","NO"),"")</f>
        <v/>
      </c>
    </row>
    <row r="1029" spans="26:36" ht="15" customHeight="1">
      <c r="Z1029" s="169" t="e">
        <f t="shared" ca="1" si="165"/>
        <v>#N/A</v>
      </c>
      <c r="AA1029" s="170" t="e">
        <f t="shared" ca="1" si="166"/>
        <v>#N/A</v>
      </c>
      <c r="AB1029" s="169">
        <f t="shared" ca="1" si="167"/>
        <v>0</v>
      </c>
      <c r="AC1029" s="170">
        <f t="shared" ca="1" si="168"/>
        <v>0</v>
      </c>
      <c r="AD1029" s="169">
        <f t="shared" ca="1" si="169"/>
        <v>12388.42564085648</v>
      </c>
      <c r="AE1029" s="169">
        <f t="shared" si="172"/>
        <v>0</v>
      </c>
      <c r="AF1029" s="170">
        <f t="shared" si="170"/>
        <v>0</v>
      </c>
      <c r="AG1029" s="170">
        <f t="shared" si="171"/>
        <v>0</v>
      </c>
      <c r="AH1029" s="28" t="e" cm="1">
        <f t="array" aca="1" ref="AH1029" ca="1">IF((AD1029) &lt; (INDEX(ResponseSLA[#All],(MATCH((G1029),ResponseSLA[Priority],0))+1,3)),"YES","No")</f>
        <v>#N/A</v>
      </c>
      <c r="AI1029" s="28" t="str">
        <f>_xlfn.IFNA(IF(AE1029 &lt; (INDEX(SLATable[Minimum SLA],MATCH(G1029,SLATable[Priority],0))),"YES","NO"),"")</f>
        <v/>
      </c>
      <c r="AJ1029" s="28" t="str">
        <f>_xlfn.IFNA(IF(AE1029 &lt; (INDEX(SLATable[Maximum SLA],MATCH(G1029,SLATable[Priority],0))),"YES","NO"),"")</f>
        <v/>
      </c>
    </row>
    <row r="1030" spans="26:36" ht="15" customHeight="1">
      <c r="Z1030" s="169" t="e">
        <f t="shared" ca="1" si="165"/>
        <v>#N/A</v>
      </c>
      <c r="AA1030" s="170" t="e">
        <f t="shared" ca="1" si="166"/>
        <v>#N/A</v>
      </c>
      <c r="AB1030" s="169">
        <f t="shared" ca="1" si="167"/>
        <v>0</v>
      </c>
      <c r="AC1030" s="170">
        <f t="shared" ca="1" si="168"/>
        <v>0</v>
      </c>
      <c r="AD1030" s="169">
        <f t="shared" ca="1" si="169"/>
        <v>12388.42564085648</v>
      </c>
      <c r="AE1030" s="169">
        <f t="shared" si="172"/>
        <v>0</v>
      </c>
      <c r="AF1030" s="170">
        <f t="shared" si="170"/>
        <v>0</v>
      </c>
      <c r="AG1030" s="170">
        <f t="shared" si="171"/>
        <v>0</v>
      </c>
      <c r="AH1030" s="28" t="e" cm="1">
        <f t="array" aca="1" ref="AH1030" ca="1">IF((AD1030) &lt; (INDEX(ResponseSLA[#All],(MATCH((G1030),ResponseSLA[Priority],0))+1,3)),"YES","No")</f>
        <v>#N/A</v>
      </c>
      <c r="AI1030" s="28" t="str">
        <f>_xlfn.IFNA(IF(AE1030 &lt; (INDEX(SLATable[Minimum SLA],MATCH(G1030,SLATable[Priority],0))),"YES","NO"),"")</f>
        <v/>
      </c>
      <c r="AJ1030" s="28" t="str">
        <f>_xlfn.IFNA(IF(AE1030 &lt; (INDEX(SLATable[Maximum SLA],MATCH(G1030,SLATable[Priority],0))),"YES","NO"),"")</f>
        <v/>
      </c>
    </row>
    <row r="1031" spans="26:36" ht="15" customHeight="1">
      <c r="Z1031" s="169" t="e">
        <f t="shared" ca="1" si="165"/>
        <v>#N/A</v>
      </c>
      <c r="AA1031" s="170" t="e">
        <f t="shared" ca="1" si="166"/>
        <v>#N/A</v>
      </c>
      <c r="AB1031" s="169">
        <f t="shared" ca="1" si="167"/>
        <v>0</v>
      </c>
      <c r="AC1031" s="170">
        <f t="shared" ca="1" si="168"/>
        <v>0</v>
      </c>
      <c r="AD1031" s="169">
        <f t="shared" ca="1" si="169"/>
        <v>12388.42564085648</v>
      </c>
      <c r="AE1031" s="169">
        <f t="shared" si="172"/>
        <v>0</v>
      </c>
      <c r="AF1031" s="170">
        <f t="shared" si="170"/>
        <v>0</v>
      </c>
      <c r="AG1031" s="170">
        <f t="shared" si="171"/>
        <v>0</v>
      </c>
      <c r="AH1031" s="28" t="e" cm="1">
        <f t="array" aca="1" ref="AH1031" ca="1">IF((AD1031) &lt; (INDEX(ResponseSLA[#All],(MATCH((G1031),ResponseSLA[Priority],0))+1,3)),"YES","No")</f>
        <v>#N/A</v>
      </c>
      <c r="AI1031" s="28" t="str">
        <f>_xlfn.IFNA(IF(AE1031 &lt; (INDEX(SLATable[Minimum SLA],MATCH(G1031,SLATable[Priority],0))),"YES","NO"),"")</f>
        <v/>
      </c>
      <c r="AJ1031" s="28" t="str">
        <f>_xlfn.IFNA(IF(AE1031 &lt; (INDEX(SLATable[Maximum SLA],MATCH(G1031,SLATable[Priority],0))),"YES","NO"),"")</f>
        <v/>
      </c>
    </row>
    <row r="1032" spans="26:36" ht="15" customHeight="1">
      <c r="Z1032" s="169" t="e">
        <f t="shared" ca="1" si="165"/>
        <v>#N/A</v>
      </c>
      <c r="AA1032" s="170" t="e">
        <f t="shared" ca="1" si="166"/>
        <v>#N/A</v>
      </c>
      <c r="AB1032" s="169">
        <f t="shared" ca="1" si="167"/>
        <v>0</v>
      </c>
      <c r="AC1032" s="170">
        <f t="shared" ca="1" si="168"/>
        <v>0</v>
      </c>
      <c r="AD1032" s="169">
        <f t="shared" ca="1" si="169"/>
        <v>12388.42564085648</v>
      </c>
      <c r="AE1032" s="169">
        <f t="shared" si="172"/>
        <v>0</v>
      </c>
      <c r="AF1032" s="170">
        <f t="shared" si="170"/>
        <v>0</v>
      </c>
      <c r="AG1032" s="170">
        <f t="shared" si="171"/>
        <v>0</v>
      </c>
      <c r="AH1032" s="28" t="e" cm="1">
        <f t="array" aca="1" ref="AH1032" ca="1">IF((AD1032) &lt; (INDEX(ResponseSLA[#All],(MATCH((G1032),ResponseSLA[Priority],0))+1,3)),"YES","No")</f>
        <v>#N/A</v>
      </c>
      <c r="AI1032" s="28" t="str">
        <f>_xlfn.IFNA(IF(AE1032 &lt; (INDEX(SLATable[Minimum SLA],MATCH(G1032,SLATable[Priority],0))),"YES","NO"),"")</f>
        <v/>
      </c>
      <c r="AJ1032" s="28" t="str">
        <f>_xlfn.IFNA(IF(AE1032 &lt; (INDEX(SLATable[Maximum SLA],MATCH(G1032,SLATable[Priority],0))),"YES","NO"),"")</f>
        <v/>
      </c>
    </row>
    <row r="1033" spans="26:36" ht="15" customHeight="1">
      <c r="Z1033" s="169" t="e">
        <f t="shared" ca="1" si="165"/>
        <v>#N/A</v>
      </c>
      <c r="AA1033" s="170" t="e">
        <f t="shared" ca="1" si="166"/>
        <v>#N/A</v>
      </c>
      <c r="AB1033" s="169">
        <f t="shared" ca="1" si="167"/>
        <v>0</v>
      </c>
      <c r="AC1033" s="170">
        <f t="shared" ca="1" si="168"/>
        <v>0</v>
      </c>
      <c r="AD1033" s="169">
        <f t="shared" ca="1" si="169"/>
        <v>12388.42564085648</v>
      </c>
      <c r="AE1033" s="169">
        <f t="shared" si="172"/>
        <v>0</v>
      </c>
      <c r="AF1033" s="170">
        <f t="shared" si="170"/>
        <v>0</v>
      </c>
      <c r="AG1033" s="170">
        <f t="shared" si="171"/>
        <v>0</v>
      </c>
      <c r="AH1033" s="28" t="e" cm="1">
        <f t="array" aca="1" ref="AH1033" ca="1">IF((AD1033) &lt; (INDEX(ResponseSLA[#All],(MATCH((G1033),ResponseSLA[Priority],0))+1,3)),"YES","No")</f>
        <v>#N/A</v>
      </c>
      <c r="AI1033" s="28" t="str">
        <f>_xlfn.IFNA(IF(AE1033 &lt; (INDEX(SLATable[Minimum SLA],MATCH(G1033,SLATable[Priority],0))),"YES","NO"),"")</f>
        <v/>
      </c>
      <c r="AJ1033" s="28" t="str">
        <f>_xlfn.IFNA(IF(AE1033 &lt; (INDEX(SLATable[Maximum SLA],MATCH(G1033,SLATable[Priority],0))),"YES","NO"),"")</f>
        <v/>
      </c>
    </row>
    <row r="1034" spans="26:36" ht="15" customHeight="1">
      <c r="Z1034" s="169" t="e">
        <f t="shared" ca="1" si="165"/>
        <v>#N/A</v>
      </c>
      <c r="AA1034" s="170" t="e">
        <f t="shared" ca="1" si="166"/>
        <v>#N/A</v>
      </c>
      <c r="AB1034" s="169">
        <f t="shared" ca="1" si="167"/>
        <v>0</v>
      </c>
      <c r="AC1034" s="170">
        <f t="shared" ca="1" si="168"/>
        <v>0</v>
      </c>
      <c r="AD1034" s="169">
        <f t="shared" ca="1" si="169"/>
        <v>12388.42564085648</v>
      </c>
      <c r="AE1034" s="169">
        <f t="shared" si="172"/>
        <v>0</v>
      </c>
      <c r="AF1034" s="170">
        <f t="shared" si="170"/>
        <v>0</v>
      </c>
      <c r="AG1034" s="170">
        <f t="shared" si="171"/>
        <v>0</v>
      </c>
      <c r="AH1034" s="28" t="e" cm="1">
        <f t="array" aca="1" ref="AH1034" ca="1">IF((AD1034) &lt; (INDEX(ResponseSLA[#All],(MATCH((G1034),ResponseSLA[Priority],0))+1,3)),"YES","No")</f>
        <v>#N/A</v>
      </c>
      <c r="AI1034" s="28" t="str">
        <f>_xlfn.IFNA(IF(AE1034 &lt; (INDEX(SLATable[Minimum SLA],MATCH(G1034,SLATable[Priority],0))),"YES","NO"),"")</f>
        <v/>
      </c>
      <c r="AJ1034" s="28" t="str">
        <f>_xlfn.IFNA(IF(AE1034 &lt; (INDEX(SLATable[Maximum SLA],MATCH(G1034,SLATable[Priority],0))),"YES","NO"),"")</f>
        <v/>
      </c>
    </row>
    <row r="1035" spans="26:36" ht="15" customHeight="1">
      <c r="Z1035" s="169" t="e">
        <f t="shared" ca="1" si="165"/>
        <v>#N/A</v>
      </c>
      <c r="AA1035" s="170" t="e">
        <f t="shared" ca="1" si="166"/>
        <v>#N/A</v>
      </c>
      <c r="AB1035" s="169">
        <f t="shared" ca="1" si="167"/>
        <v>0</v>
      </c>
      <c r="AC1035" s="170">
        <f t="shared" ca="1" si="168"/>
        <v>0</v>
      </c>
      <c r="AD1035" s="169">
        <f t="shared" ca="1" si="169"/>
        <v>12388.42564085648</v>
      </c>
      <c r="AE1035" s="169">
        <f t="shared" si="172"/>
        <v>0</v>
      </c>
      <c r="AF1035" s="170">
        <f t="shared" si="170"/>
        <v>0</v>
      </c>
      <c r="AG1035" s="170">
        <f t="shared" si="171"/>
        <v>0</v>
      </c>
      <c r="AH1035" s="28" t="e" cm="1">
        <f t="array" aca="1" ref="AH1035" ca="1">IF((AD1035) &lt; (INDEX(ResponseSLA[#All],(MATCH((G1035),ResponseSLA[Priority],0))+1,3)),"YES","No")</f>
        <v>#N/A</v>
      </c>
      <c r="AI1035" s="28" t="str">
        <f>_xlfn.IFNA(IF(AE1035 &lt; (INDEX(SLATable[Minimum SLA],MATCH(G1035,SLATable[Priority],0))),"YES","NO"),"")</f>
        <v/>
      </c>
      <c r="AJ1035" s="28" t="str">
        <f>_xlfn.IFNA(IF(AE1035 &lt; (INDEX(SLATable[Maximum SLA],MATCH(G1035,SLATable[Priority],0))),"YES","NO"),"")</f>
        <v/>
      </c>
    </row>
    <row r="1036" spans="26:36" ht="15" customHeight="1">
      <c r="Z1036" s="169" t="e">
        <f t="shared" ca="1" si="165"/>
        <v>#N/A</v>
      </c>
      <c r="AA1036" s="170" t="e">
        <f t="shared" ca="1" si="166"/>
        <v>#N/A</v>
      </c>
      <c r="AB1036" s="169">
        <f t="shared" ca="1" si="167"/>
        <v>0</v>
      </c>
      <c r="AC1036" s="170">
        <f t="shared" ca="1" si="168"/>
        <v>0</v>
      </c>
      <c r="AD1036" s="169">
        <f t="shared" ca="1" si="169"/>
        <v>12388.42564085648</v>
      </c>
      <c r="AE1036" s="169">
        <f t="shared" si="172"/>
        <v>0</v>
      </c>
      <c r="AF1036" s="170">
        <f t="shared" si="170"/>
        <v>0</v>
      </c>
      <c r="AG1036" s="170">
        <f t="shared" si="171"/>
        <v>0</v>
      </c>
      <c r="AH1036" s="28" t="e" cm="1">
        <f t="array" aca="1" ref="AH1036" ca="1">IF((AD1036) &lt; (INDEX(ResponseSLA[#All],(MATCH((G1036),ResponseSLA[Priority],0))+1,3)),"YES","No")</f>
        <v>#N/A</v>
      </c>
      <c r="AI1036" s="28" t="str">
        <f>_xlfn.IFNA(IF(AE1036 &lt; (INDEX(SLATable[Minimum SLA],MATCH(G1036,SLATable[Priority],0))),"YES","NO"),"")</f>
        <v/>
      </c>
      <c r="AJ1036" s="28" t="str">
        <f>_xlfn.IFNA(IF(AE1036 &lt; (INDEX(SLATable[Maximum SLA],MATCH(G1036,SLATable[Priority],0))),"YES","NO"),"")</f>
        <v/>
      </c>
    </row>
    <row r="1037" spans="26:36" ht="15" customHeight="1">
      <c r="Z1037" s="169" t="e">
        <f t="shared" ca="1" si="165"/>
        <v>#N/A</v>
      </c>
      <c r="AA1037" s="170" t="e">
        <f t="shared" ca="1" si="166"/>
        <v>#N/A</v>
      </c>
      <c r="AB1037" s="169">
        <f t="shared" ca="1" si="167"/>
        <v>0</v>
      </c>
      <c r="AC1037" s="170">
        <f t="shared" ca="1" si="168"/>
        <v>0</v>
      </c>
      <c r="AD1037" s="169">
        <f t="shared" ca="1" si="169"/>
        <v>12388.42564085648</v>
      </c>
      <c r="AE1037" s="169">
        <f t="shared" si="172"/>
        <v>0</v>
      </c>
      <c r="AF1037" s="170">
        <f t="shared" si="170"/>
        <v>0</v>
      </c>
      <c r="AG1037" s="170">
        <f t="shared" si="171"/>
        <v>0</v>
      </c>
      <c r="AH1037" s="28" t="e" cm="1">
        <f t="array" aca="1" ref="AH1037" ca="1">IF((AD1037) &lt; (INDEX(ResponseSLA[#All],(MATCH((G1037),ResponseSLA[Priority],0))+1,3)),"YES","No")</f>
        <v>#N/A</v>
      </c>
      <c r="AI1037" s="28" t="str">
        <f>_xlfn.IFNA(IF(AE1037 &lt; (INDEX(SLATable[Minimum SLA],MATCH(G1037,SLATable[Priority],0))),"YES","NO"),"")</f>
        <v/>
      </c>
      <c r="AJ1037" s="28" t="str">
        <f>_xlfn.IFNA(IF(AE1037 &lt; (INDEX(SLATable[Maximum SLA],MATCH(G1037,SLATable[Priority],0))),"YES","NO"),"")</f>
        <v/>
      </c>
    </row>
    <row r="1038" spans="26:36" ht="15" customHeight="1">
      <c r="Z1038" s="169" t="e">
        <f t="shared" ca="1" si="165"/>
        <v>#N/A</v>
      </c>
      <c r="AA1038" s="170" t="e">
        <f t="shared" ca="1" si="166"/>
        <v>#N/A</v>
      </c>
      <c r="AB1038" s="169">
        <f t="shared" ca="1" si="167"/>
        <v>0</v>
      </c>
      <c r="AC1038" s="170">
        <f t="shared" ca="1" si="168"/>
        <v>0</v>
      </c>
      <c r="AD1038" s="169">
        <f t="shared" ca="1" si="169"/>
        <v>12388.42564085648</v>
      </c>
      <c r="AE1038" s="169">
        <f t="shared" si="172"/>
        <v>0</v>
      </c>
      <c r="AF1038" s="170">
        <f t="shared" si="170"/>
        <v>0</v>
      </c>
      <c r="AG1038" s="170">
        <f t="shared" si="171"/>
        <v>0</v>
      </c>
      <c r="AH1038" s="28" t="e" cm="1">
        <f t="array" aca="1" ref="AH1038" ca="1">IF((AD1038) &lt; (INDEX(ResponseSLA[#All],(MATCH((G1038),ResponseSLA[Priority],0))+1,3)),"YES","No")</f>
        <v>#N/A</v>
      </c>
      <c r="AI1038" s="28" t="str">
        <f>_xlfn.IFNA(IF(AE1038 &lt; (INDEX(SLATable[Minimum SLA],MATCH(G1038,SLATable[Priority],0))),"YES","NO"),"")</f>
        <v/>
      </c>
      <c r="AJ1038" s="28" t="str">
        <f>_xlfn.IFNA(IF(AE1038 &lt; (INDEX(SLATable[Maximum SLA],MATCH(G1038,SLATable[Priority],0))),"YES","NO"),"")</f>
        <v/>
      </c>
    </row>
    <row r="1039" spans="26:36" ht="15" customHeight="1">
      <c r="Z1039" s="169" t="e">
        <f t="shared" ca="1" si="165"/>
        <v>#N/A</v>
      </c>
      <c r="AA1039" s="170" t="e">
        <f t="shared" ca="1" si="166"/>
        <v>#N/A</v>
      </c>
      <c r="AB1039" s="169">
        <f t="shared" ca="1" si="167"/>
        <v>0</v>
      </c>
      <c r="AC1039" s="170">
        <f t="shared" ca="1" si="168"/>
        <v>0</v>
      </c>
      <c r="AD1039" s="169">
        <f t="shared" ca="1" si="169"/>
        <v>12388.42564085648</v>
      </c>
      <c r="AE1039" s="169">
        <f t="shared" si="172"/>
        <v>0</v>
      </c>
      <c r="AF1039" s="170">
        <f t="shared" si="170"/>
        <v>0</v>
      </c>
      <c r="AG1039" s="170">
        <f t="shared" si="171"/>
        <v>0</v>
      </c>
      <c r="AH1039" s="28" t="e" cm="1">
        <f t="array" aca="1" ref="AH1039" ca="1">IF((AD1039) &lt; (INDEX(ResponseSLA[#All],(MATCH((G1039),ResponseSLA[Priority],0))+1,3)),"YES","No")</f>
        <v>#N/A</v>
      </c>
      <c r="AI1039" s="28" t="str">
        <f>_xlfn.IFNA(IF(AE1039 &lt; (INDEX(SLATable[Minimum SLA],MATCH(G1039,SLATable[Priority],0))),"YES","NO"),"")</f>
        <v/>
      </c>
      <c r="AJ1039" s="28" t="str">
        <f>_xlfn.IFNA(IF(AE1039 &lt; (INDEX(SLATable[Maximum SLA],MATCH(G1039,SLATable[Priority],0))),"YES","NO"),"")</f>
        <v/>
      </c>
    </row>
    <row r="1040" spans="26:36" ht="15" customHeight="1">
      <c r="Z1040" s="169" t="e">
        <f t="shared" ca="1" si="165"/>
        <v>#N/A</v>
      </c>
      <c r="AA1040" s="170" t="e">
        <f t="shared" ca="1" si="166"/>
        <v>#N/A</v>
      </c>
      <c r="AB1040" s="169">
        <f t="shared" ca="1" si="167"/>
        <v>0</v>
      </c>
      <c r="AC1040" s="170">
        <f t="shared" ca="1" si="168"/>
        <v>0</v>
      </c>
      <c r="AD1040" s="169">
        <f t="shared" ca="1" si="169"/>
        <v>12388.42564085648</v>
      </c>
      <c r="AE1040" s="169">
        <f t="shared" si="172"/>
        <v>0</v>
      </c>
      <c r="AF1040" s="170">
        <f t="shared" si="170"/>
        <v>0</v>
      </c>
      <c r="AG1040" s="170">
        <f t="shared" si="171"/>
        <v>0</v>
      </c>
      <c r="AH1040" s="28" t="e" cm="1">
        <f t="array" aca="1" ref="AH1040" ca="1">IF((AD1040) &lt; (INDEX(ResponseSLA[#All],(MATCH((G1040),ResponseSLA[Priority],0))+1,3)),"YES","No")</f>
        <v>#N/A</v>
      </c>
      <c r="AI1040" s="28" t="str">
        <f>_xlfn.IFNA(IF(AE1040 &lt; (INDEX(SLATable[Minimum SLA],MATCH(G1040,SLATable[Priority],0))),"YES","NO"),"")</f>
        <v/>
      </c>
      <c r="AJ1040" s="28" t="str">
        <f>_xlfn.IFNA(IF(AE1040 &lt; (INDEX(SLATable[Maximum SLA],MATCH(G1040,SLATable[Priority],0))),"YES","NO"),"")</f>
        <v/>
      </c>
    </row>
    <row r="1041" spans="26:36" ht="15" customHeight="1">
      <c r="Z1041" s="169" t="e">
        <f t="shared" ca="1" si="165"/>
        <v>#N/A</v>
      </c>
      <c r="AA1041" s="170" t="e">
        <f t="shared" ca="1" si="166"/>
        <v>#N/A</v>
      </c>
      <c r="AB1041" s="169">
        <f t="shared" ca="1" si="167"/>
        <v>0</v>
      </c>
      <c r="AC1041" s="170">
        <f t="shared" ca="1" si="168"/>
        <v>0</v>
      </c>
      <c r="AD1041" s="169">
        <f t="shared" ca="1" si="169"/>
        <v>12388.42564085648</v>
      </c>
      <c r="AE1041" s="169">
        <f t="shared" si="172"/>
        <v>0</v>
      </c>
      <c r="AF1041" s="170">
        <f t="shared" si="170"/>
        <v>0</v>
      </c>
      <c r="AG1041" s="170">
        <f t="shared" si="171"/>
        <v>0</v>
      </c>
      <c r="AH1041" s="28" t="e" cm="1">
        <f t="array" aca="1" ref="AH1041" ca="1">IF((AD1041) &lt; (INDEX(ResponseSLA[#All],(MATCH((G1041),ResponseSLA[Priority],0))+1,3)),"YES","No")</f>
        <v>#N/A</v>
      </c>
      <c r="AI1041" s="28" t="str">
        <f>_xlfn.IFNA(IF(AE1041 &lt; (INDEX(SLATable[Minimum SLA],MATCH(G1041,SLATable[Priority],0))),"YES","NO"),"")</f>
        <v/>
      </c>
      <c r="AJ1041" s="28" t="str">
        <f>_xlfn.IFNA(IF(AE1041 &lt; (INDEX(SLATable[Maximum SLA],MATCH(G1041,SLATable[Priority],0))),"YES","NO"),"")</f>
        <v/>
      </c>
    </row>
    <row r="1042" spans="26:36" ht="15" customHeight="1">
      <c r="Z1042" s="169" t="e">
        <f t="shared" ca="1" si="165"/>
        <v>#N/A</v>
      </c>
      <c r="AA1042" s="170" t="e">
        <f t="shared" ca="1" si="166"/>
        <v>#N/A</v>
      </c>
      <c r="AB1042" s="169">
        <f t="shared" ca="1" si="167"/>
        <v>0</v>
      </c>
      <c r="AC1042" s="170">
        <f t="shared" ca="1" si="168"/>
        <v>0</v>
      </c>
      <c r="AD1042" s="169">
        <f t="shared" ca="1" si="169"/>
        <v>12388.42564085648</v>
      </c>
      <c r="AE1042" s="169">
        <f t="shared" si="172"/>
        <v>0</v>
      </c>
      <c r="AF1042" s="170">
        <f t="shared" si="170"/>
        <v>0</v>
      </c>
      <c r="AG1042" s="170">
        <f t="shared" si="171"/>
        <v>0</v>
      </c>
      <c r="AH1042" s="28" t="e" cm="1">
        <f t="array" aca="1" ref="AH1042" ca="1">IF((AD1042) &lt; (INDEX(ResponseSLA[#All],(MATCH((G1042),ResponseSLA[Priority],0))+1,3)),"YES","No")</f>
        <v>#N/A</v>
      </c>
      <c r="AI1042" s="28" t="str">
        <f>_xlfn.IFNA(IF(AE1042 &lt; (INDEX(SLATable[Minimum SLA],MATCH(G1042,SLATable[Priority],0))),"YES","NO"),"")</f>
        <v/>
      </c>
      <c r="AJ1042" s="28" t="str">
        <f>_xlfn.IFNA(IF(AE1042 &lt; (INDEX(SLATable[Maximum SLA],MATCH(G1042,SLATable[Priority],0))),"YES","NO"),"")</f>
        <v/>
      </c>
    </row>
    <row r="1043" spans="26:36" ht="15" customHeight="1">
      <c r="Z1043" s="169" t="e">
        <f t="shared" ca="1" si="165"/>
        <v>#N/A</v>
      </c>
      <c r="AA1043" s="170" t="e">
        <f t="shared" ca="1" si="166"/>
        <v>#N/A</v>
      </c>
      <c r="AB1043" s="169">
        <f t="shared" ca="1" si="167"/>
        <v>0</v>
      </c>
      <c r="AC1043" s="170">
        <f t="shared" ca="1" si="168"/>
        <v>0</v>
      </c>
      <c r="AD1043" s="169">
        <f t="shared" ca="1" si="169"/>
        <v>12388.42564085648</v>
      </c>
      <c r="AE1043" s="169">
        <f t="shared" si="172"/>
        <v>0</v>
      </c>
      <c r="AF1043" s="170">
        <f t="shared" si="170"/>
        <v>0</v>
      </c>
      <c r="AG1043" s="170">
        <f t="shared" si="171"/>
        <v>0</v>
      </c>
      <c r="AH1043" s="28" t="e" cm="1">
        <f t="array" aca="1" ref="AH1043" ca="1">IF((AD1043) &lt; (INDEX(ResponseSLA[#All],(MATCH((G1043),ResponseSLA[Priority],0))+1,3)),"YES","No")</f>
        <v>#N/A</v>
      </c>
      <c r="AI1043" s="28" t="str">
        <f>_xlfn.IFNA(IF(AE1043 &lt; (INDEX(SLATable[Minimum SLA],MATCH(G1043,SLATable[Priority],0))),"YES","NO"),"")</f>
        <v/>
      </c>
      <c r="AJ1043" s="28" t="str">
        <f>_xlfn.IFNA(IF(AE1043 &lt; (INDEX(SLATable[Maximum SLA],MATCH(G1043,SLATable[Priority],0))),"YES","NO"),"")</f>
        <v/>
      </c>
    </row>
    <row r="1044" spans="26:36" ht="15" customHeight="1">
      <c r="Z1044" s="169" t="e">
        <f t="shared" ca="1" si="165"/>
        <v>#N/A</v>
      </c>
      <c r="AA1044" s="170" t="e">
        <f t="shared" ca="1" si="166"/>
        <v>#N/A</v>
      </c>
      <c r="AB1044" s="169">
        <f t="shared" ca="1" si="167"/>
        <v>0</v>
      </c>
      <c r="AC1044" s="170">
        <f t="shared" ca="1" si="168"/>
        <v>0</v>
      </c>
      <c r="AD1044" s="169">
        <f t="shared" ca="1" si="169"/>
        <v>12388.42564085648</v>
      </c>
      <c r="AE1044" s="169">
        <f t="shared" si="172"/>
        <v>0</v>
      </c>
      <c r="AF1044" s="170">
        <f t="shared" si="170"/>
        <v>0</v>
      </c>
      <c r="AG1044" s="170">
        <f t="shared" si="171"/>
        <v>0</v>
      </c>
      <c r="AH1044" s="28" t="e" cm="1">
        <f t="array" aca="1" ref="AH1044" ca="1">IF((AD1044) &lt; (INDEX(ResponseSLA[#All],(MATCH((G1044),ResponseSLA[Priority],0))+1,3)),"YES","No")</f>
        <v>#N/A</v>
      </c>
      <c r="AI1044" s="28" t="str">
        <f>_xlfn.IFNA(IF(AE1044 &lt; (INDEX(SLATable[Minimum SLA],MATCH(G1044,SLATable[Priority],0))),"YES","NO"),"")</f>
        <v/>
      </c>
      <c r="AJ1044" s="28" t="str">
        <f>_xlfn.IFNA(IF(AE1044 &lt; (INDEX(SLATable[Maximum SLA],MATCH(G1044,SLATable[Priority],0))),"YES","NO"),"")</f>
        <v/>
      </c>
    </row>
    <row r="1045" spans="26:36" ht="15" customHeight="1">
      <c r="Z1045" s="169" t="e">
        <f t="shared" ca="1" si="165"/>
        <v>#N/A</v>
      </c>
      <c r="AA1045" s="170" t="e">
        <f t="shared" ca="1" si="166"/>
        <v>#N/A</v>
      </c>
      <c r="AB1045" s="169">
        <f t="shared" ca="1" si="167"/>
        <v>0</v>
      </c>
      <c r="AC1045" s="170">
        <f t="shared" ca="1" si="168"/>
        <v>0</v>
      </c>
      <c r="AD1045" s="169">
        <f t="shared" ca="1" si="169"/>
        <v>12388.42564085648</v>
      </c>
      <c r="AE1045" s="169">
        <f t="shared" si="172"/>
        <v>0</v>
      </c>
      <c r="AF1045" s="170">
        <f t="shared" si="170"/>
        <v>0</v>
      </c>
      <c r="AG1045" s="170">
        <f t="shared" si="171"/>
        <v>0</v>
      </c>
      <c r="AH1045" s="28" t="e" cm="1">
        <f t="array" aca="1" ref="AH1045" ca="1">IF((AD1045) &lt; (INDEX(ResponseSLA[#All],(MATCH((G1045),ResponseSLA[Priority],0))+1,3)),"YES","No")</f>
        <v>#N/A</v>
      </c>
      <c r="AI1045" s="28" t="str">
        <f>_xlfn.IFNA(IF(AE1045 &lt; (INDEX(SLATable[Minimum SLA],MATCH(G1045,SLATable[Priority],0))),"YES","NO"),"")</f>
        <v/>
      </c>
      <c r="AJ1045" s="28" t="str">
        <f>_xlfn.IFNA(IF(AE1045 &lt; (INDEX(SLATable[Maximum SLA],MATCH(G1045,SLATable[Priority],0))),"YES","NO"),"")</f>
        <v/>
      </c>
    </row>
    <row r="1046" spans="26:36" ht="15" customHeight="1">
      <c r="Z1046" s="169" t="e">
        <f t="shared" ca="1" si="165"/>
        <v>#N/A</v>
      </c>
      <c r="AA1046" s="170" t="e">
        <f t="shared" ca="1" si="166"/>
        <v>#N/A</v>
      </c>
      <c r="AB1046" s="169">
        <f t="shared" ca="1" si="167"/>
        <v>0</v>
      </c>
      <c r="AC1046" s="170">
        <f t="shared" ca="1" si="168"/>
        <v>0</v>
      </c>
      <c r="AD1046" s="169">
        <f t="shared" ca="1" si="169"/>
        <v>12388.42564085648</v>
      </c>
      <c r="AE1046" s="169">
        <f t="shared" si="172"/>
        <v>0</v>
      </c>
      <c r="AF1046" s="170">
        <f t="shared" si="170"/>
        <v>0</v>
      </c>
      <c r="AG1046" s="170">
        <f t="shared" si="171"/>
        <v>0</v>
      </c>
      <c r="AH1046" s="28" t="e" cm="1">
        <f t="array" aca="1" ref="AH1046" ca="1">IF((AD1046) &lt; (INDEX(ResponseSLA[#All],(MATCH((G1046),ResponseSLA[Priority],0))+1,3)),"YES","No")</f>
        <v>#N/A</v>
      </c>
      <c r="AI1046" s="28" t="str">
        <f>_xlfn.IFNA(IF(AE1046 &lt; (INDEX(SLATable[Minimum SLA],MATCH(G1046,SLATable[Priority],0))),"YES","NO"),"")</f>
        <v/>
      </c>
      <c r="AJ1046" s="28" t="str">
        <f>_xlfn.IFNA(IF(AE1046 &lt; (INDEX(SLATable[Maximum SLA],MATCH(G1046,SLATable[Priority],0))),"YES","NO"),"")</f>
        <v/>
      </c>
    </row>
    <row r="1047" spans="26:36" ht="15" customHeight="1">
      <c r="Z1047" s="169" t="e">
        <f t="shared" ca="1" si="165"/>
        <v>#N/A</v>
      </c>
      <c r="AA1047" s="170" t="e">
        <f t="shared" ca="1" si="166"/>
        <v>#N/A</v>
      </c>
      <c r="AB1047" s="169">
        <f t="shared" ca="1" si="167"/>
        <v>0</v>
      </c>
      <c r="AC1047" s="170">
        <f t="shared" ca="1" si="168"/>
        <v>0</v>
      </c>
      <c r="AD1047" s="169">
        <f t="shared" ca="1" si="169"/>
        <v>12388.42564085648</v>
      </c>
      <c r="AE1047" s="169">
        <f t="shared" si="172"/>
        <v>0</v>
      </c>
      <c r="AF1047" s="170">
        <f t="shared" si="170"/>
        <v>0</v>
      </c>
      <c r="AG1047" s="170">
        <f t="shared" si="171"/>
        <v>0</v>
      </c>
      <c r="AH1047" s="28" t="e" cm="1">
        <f t="array" aca="1" ref="AH1047" ca="1">IF((AD1047) &lt; (INDEX(ResponseSLA[#All],(MATCH((G1047),ResponseSLA[Priority],0))+1,3)),"YES","No")</f>
        <v>#N/A</v>
      </c>
      <c r="AI1047" s="28" t="str">
        <f>_xlfn.IFNA(IF(AE1047 &lt; (INDEX(SLATable[Minimum SLA],MATCH(G1047,SLATable[Priority],0))),"YES","NO"),"")</f>
        <v/>
      </c>
      <c r="AJ1047" s="28" t="str">
        <f>_xlfn.IFNA(IF(AE1047 &lt; (INDEX(SLATable[Maximum SLA],MATCH(G1047,SLATable[Priority],0))),"YES","NO"),"")</f>
        <v/>
      </c>
    </row>
    <row r="1048" spans="26:36" ht="15" customHeight="1">
      <c r="Z1048" s="169" t="e">
        <f t="shared" ca="1" si="165"/>
        <v>#N/A</v>
      </c>
      <c r="AA1048" s="170" t="e">
        <f t="shared" ca="1" si="166"/>
        <v>#N/A</v>
      </c>
      <c r="AB1048" s="169">
        <f t="shared" ca="1" si="167"/>
        <v>0</v>
      </c>
      <c r="AC1048" s="170">
        <f t="shared" ca="1" si="168"/>
        <v>0</v>
      </c>
      <c r="AD1048" s="169">
        <f t="shared" ca="1" si="169"/>
        <v>12388.42564085648</v>
      </c>
      <c r="AE1048" s="169">
        <f t="shared" si="172"/>
        <v>0</v>
      </c>
      <c r="AF1048" s="170">
        <f t="shared" si="170"/>
        <v>0</v>
      </c>
      <c r="AG1048" s="170">
        <f t="shared" si="171"/>
        <v>0</v>
      </c>
      <c r="AH1048" s="28" t="e" cm="1">
        <f t="array" aca="1" ref="AH1048" ca="1">IF((AD1048) &lt; (INDEX(ResponseSLA[#All],(MATCH((G1048),ResponseSLA[Priority],0))+1,3)),"YES","No")</f>
        <v>#N/A</v>
      </c>
      <c r="AI1048" s="28" t="str">
        <f>_xlfn.IFNA(IF(AE1048 &lt; (INDEX(SLATable[Minimum SLA],MATCH(G1048,SLATable[Priority],0))),"YES","NO"),"")</f>
        <v/>
      </c>
      <c r="AJ1048" s="28" t="str">
        <f>_xlfn.IFNA(IF(AE1048 &lt; (INDEX(SLATable[Maximum SLA],MATCH(G1048,SLATable[Priority],0))),"YES","NO"),"")</f>
        <v/>
      </c>
    </row>
    <row r="1049" spans="26:36" ht="15" customHeight="1">
      <c r="Z1049" s="169" t="e">
        <f t="shared" ca="1" si="165"/>
        <v>#N/A</v>
      </c>
      <c r="AA1049" s="170" t="e">
        <f t="shared" ca="1" si="166"/>
        <v>#N/A</v>
      </c>
      <c r="AB1049" s="169">
        <f t="shared" ca="1" si="167"/>
        <v>0</v>
      </c>
      <c r="AC1049" s="170">
        <f t="shared" ca="1" si="168"/>
        <v>0</v>
      </c>
      <c r="AD1049" s="169">
        <f t="shared" ca="1" si="169"/>
        <v>12388.42564085648</v>
      </c>
      <c r="AE1049" s="169">
        <f t="shared" si="172"/>
        <v>0</v>
      </c>
      <c r="AF1049" s="170">
        <f t="shared" si="170"/>
        <v>0</v>
      </c>
      <c r="AG1049" s="170">
        <f t="shared" si="171"/>
        <v>0</v>
      </c>
      <c r="AH1049" s="28" t="e" cm="1">
        <f t="array" aca="1" ref="AH1049" ca="1">IF((AD1049) &lt; (INDEX(ResponseSLA[#All],(MATCH((G1049),ResponseSLA[Priority],0))+1,3)),"YES","No")</f>
        <v>#N/A</v>
      </c>
      <c r="AI1049" s="28" t="str">
        <f>_xlfn.IFNA(IF(AE1049 &lt; (INDEX(SLATable[Minimum SLA],MATCH(G1049,SLATable[Priority],0))),"YES","NO"),"")</f>
        <v/>
      </c>
      <c r="AJ1049" s="28" t="str">
        <f>_xlfn.IFNA(IF(AE1049 &lt; (INDEX(SLATable[Maximum SLA],MATCH(G1049,SLATable[Priority],0))),"YES","NO"),"")</f>
        <v/>
      </c>
    </row>
    <row r="1050" spans="26:36" ht="15" customHeight="1">
      <c r="Z1050" s="169" t="e">
        <f t="shared" ca="1" si="165"/>
        <v>#N/A</v>
      </c>
      <c r="AA1050" s="170" t="e">
        <f t="shared" ca="1" si="166"/>
        <v>#N/A</v>
      </c>
      <c r="AB1050" s="169">
        <f t="shared" ca="1" si="167"/>
        <v>0</v>
      </c>
      <c r="AC1050" s="170">
        <f t="shared" ca="1" si="168"/>
        <v>0</v>
      </c>
      <c r="AD1050" s="169">
        <f t="shared" ca="1" si="169"/>
        <v>12388.42564085648</v>
      </c>
      <c r="AE1050" s="169">
        <f t="shared" si="172"/>
        <v>0</v>
      </c>
      <c r="AF1050" s="170">
        <f t="shared" si="170"/>
        <v>0</v>
      </c>
      <c r="AG1050" s="170">
        <f t="shared" si="171"/>
        <v>0</v>
      </c>
      <c r="AH1050" s="28" t="e" cm="1">
        <f t="array" aca="1" ref="AH1050" ca="1">IF((AD1050) &lt; (INDEX(ResponseSLA[#All],(MATCH((G1050),ResponseSLA[Priority],0))+1,3)),"YES","No")</f>
        <v>#N/A</v>
      </c>
      <c r="AI1050" s="28" t="str">
        <f>_xlfn.IFNA(IF(AE1050 &lt; (INDEX(SLATable[Minimum SLA],MATCH(G1050,SLATable[Priority],0))),"YES","NO"),"")</f>
        <v/>
      </c>
      <c r="AJ1050" s="28" t="str">
        <f>_xlfn.IFNA(IF(AE1050 &lt; (INDEX(SLATable[Maximum SLA],MATCH(G1050,SLATable[Priority],0))),"YES","NO"),"")</f>
        <v/>
      </c>
    </row>
    <row r="1051" spans="26:36" ht="15" customHeight="1">
      <c r="Z1051" s="169" t="e">
        <f t="shared" ca="1" si="165"/>
        <v>#N/A</v>
      </c>
      <c r="AA1051" s="170" t="e">
        <f t="shared" ca="1" si="166"/>
        <v>#N/A</v>
      </c>
      <c r="AB1051" s="169">
        <f t="shared" ca="1" si="167"/>
        <v>0</v>
      </c>
      <c r="AC1051" s="170">
        <f t="shared" ca="1" si="168"/>
        <v>0</v>
      </c>
      <c r="AD1051" s="169">
        <f t="shared" ca="1" si="169"/>
        <v>12388.42564085648</v>
      </c>
      <c r="AE1051" s="169">
        <f t="shared" si="172"/>
        <v>0</v>
      </c>
      <c r="AF1051" s="170">
        <f t="shared" si="170"/>
        <v>0</v>
      </c>
      <c r="AG1051" s="170">
        <f t="shared" si="171"/>
        <v>0</v>
      </c>
      <c r="AH1051" s="28" t="e" cm="1">
        <f t="array" aca="1" ref="AH1051" ca="1">IF((AD1051) &lt; (INDEX(ResponseSLA[#All],(MATCH((G1051),ResponseSLA[Priority],0))+1,3)),"YES","No")</f>
        <v>#N/A</v>
      </c>
      <c r="AI1051" s="28" t="str">
        <f>_xlfn.IFNA(IF(AE1051 &lt; (INDEX(SLATable[Minimum SLA],MATCH(G1051,SLATable[Priority],0))),"YES","NO"),"")</f>
        <v/>
      </c>
      <c r="AJ1051" s="28" t="str">
        <f>_xlfn.IFNA(IF(AE1051 &lt; (INDEX(SLATable[Maximum SLA],MATCH(G1051,SLATable[Priority],0))),"YES","NO"),"")</f>
        <v/>
      </c>
    </row>
    <row r="1052" spans="26:36" ht="15" customHeight="1">
      <c r="Z1052" s="169" t="e">
        <f t="shared" ca="1" si="165"/>
        <v>#N/A</v>
      </c>
      <c r="AA1052" s="170" t="e">
        <f t="shared" ca="1" si="166"/>
        <v>#N/A</v>
      </c>
      <c r="AB1052" s="169">
        <f t="shared" ca="1" si="167"/>
        <v>0</v>
      </c>
      <c r="AC1052" s="170">
        <f t="shared" ca="1" si="168"/>
        <v>0</v>
      </c>
      <c r="AD1052" s="169">
        <f t="shared" ca="1" si="169"/>
        <v>12388.42564085648</v>
      </c>
      <c r="AE1052" s="169">
        <f t="shared" si="172"/>
        <v>0</v>
      </c>
      <c r="AF1052" s="170">
        <f t="shared" si="170"/>
        <v>0</v>
      </c>
      <c r="AG1052" s="170">
        <f t="shared" si="171"/>
        <v>0</v>
      </c>
      <c r="AH1052" s="28" t="e" cm="1">
        <f t="array" aca="1" ref="AH1052" ca="1">IF((AD1052) &lt; (INDEX(ResponseSLA[#All],(MATCH((G1052),ResponseSLA[Priority],0))+1,3)),"YES","No")</f>
        <v>#N/A</v>
      </c>
      <c r="AI1052" s="28" t="str">
        <f>_xlfn.IFNA(IF(AE1052 &lt; (INDEX(SLATable[Minimum SLA],MATCH(G1052,SLATable[Priority],0))),"YES","NO"),"")</f>
        <v/>
      </c>
      <c r="AJ1052" s="28" t="str">
        <f>_xlfn.IFNA(IF(AE1052 &lt; (INDEX(SLATable[Maximum SLA],MATCH(G1052,SLATable[Priority],0))),"YES","NO"),"")</f>
        <v/>
      </c>
    </row>
    <row r="1053" spans="26:36" ht="15" customHeight="1">
      <c r="Z1053" s="169" t="e">
        <f t="shared" ca="1" si="165"/>
        <v>#N/A</v>
      </c>
      <c r="AA1053" s="170" t="e">
        <f t="shared" ca="1" si="166"/>
        <v>#N/A</v>
      </c>
      <c r="AB1053" s="169">
        <f t="shared" ca="1" si="167"/>
        <v>0</v>
      </c>
      <c r="AC1053" s="170">
        <f t="shared" ca="1" si="168"/>
        <v>0</v>
      </c>
      <c r="AD1053" s="169">
        <f t="shared" ca="1" si="169"/>
        <v>12388.42564085648</v>
      </c>
      <c r="AE1053" s="169">
        <f t="shared" si="172"/>
        <v>0</v>
      </c>
      <c r="AF1053" s="170">
        <f t="shared" si="170"/>
        <v>0</v>
      </c>
      <c r="AG1053" s="170">
        <f t="shared" si="171"/>
        <v>0</v>
      </c>
      <c r="AH1053" s="28" t="e" cm="1">
        <f t="array" aca="1" ref="AH1053" ca="1">IF((AD1053) &lt; (INDEX(ResponseSLA[#All],(MATCH((G1053),ResponseSLA[Priority],0))+1,3)),"YES","No")</f>
        <v>#N/A</v>
      </c>
      <c r="AI1053" s="28" t="str">
        <f>_xlfn.IFNA(IF(AE1053 &lt; (INDEX(SLATable[Minimum SLA],MATCH(G1053,SLATable[Priority],0))),"YES","NO"),"")</f>
        <v/>
      </c>
      <c r="AJ1053" s="28" t="str">
        <f>_xlfn.IFNA(IF(AE1053 &lt; (INDEX(SLATable[Maximum SLA],MATCH(G1053,SLATable[Priority],0))),"YES","NO"),"")</f>
        <v/>
      </c>
    </row>
    <row r="1054" spans="26:36" ht="15" customHeight="1">
      <c r="Z1054" s="169" t="e">
        <f t="shared" ca="1" si="165"/>
        <v>#N/A</v>
      </c>
      <c r="AA1054" s="170" t="e">
        <f t="shared" ca="1" si="166"/>
        <v>#N/A</v>
      </c>
      <c r="AB1054" s="169">
        <f t="shared" ca="1" si="167"/>
        <v>0</v>
      </c>
      <c r="AC1054" s="170">
        <f t="shared" ca="1" si="168"/>
        <v>0</v>
      </c>
      <c r="AD1054" s="169">
        <f t="shared" ca="1" si="169"/>
        <v>12388.42564085648</v>
      </c>
      <c r="AE1054" s="169">
        <f t="shared" si="172"/>
        <v>0</v>
      </c>
      <c r="AF1054" s="170">
        <f t="shared" si="170"/>
        <v>0</v>
      </c>
      <c r="AG1054" s="170">
        <f t="shared" si="171"/>
        <v>0</v>
      </c>
      <c r="AH1054" s="28" t="e" cm="1">
        <f t="array" aca="1" ref="AH1054" ca="1">IF((AD1054) &lt; (INDEX(ResponseSLA[#All],(MATCH((G1054),ResponseSLA[Priority],0))+1,3)),"YES","No")</f>
        <v>#N/A</v>
      </c>
      <c r="AI1054" s="28" t="str">
        <f>_xlfn.IFNA(IF(AE1054 &lt; (INDEX(SLATable[Minimum SLA],MATCH(G1054,SLATable[Priority],0))),"YES","NO"),"")</f>
        <v/>
      </c>
      <c r="AJ1054" s="28" t="str">
        <f>_xlfn.IFNA(IF(AE1054 &lt; (INDEX(SLATable[Maximum SLA],MATCH(G1054,SLATable[Priority],0))),"YES","NO"),"")</f>
        <v/>
      </c>
    </row>
    <row r="1055" spans="26:36" ht="15" customHeight="1">
      <c r="Z1055" s="169" t="e">
        <f t="shared" ca="1" si="165"/>
        <v>#N/A</v>
      </c>
      <c r="AA1055" s="170" t="e">
        <f t="shared" ca="1" si="166"/>
        <v>#N/A</v>
      </c>
      <c r="AB1055" s="169">
        <f t="shared" ca="1" si="167"/>
        <v>0</v>
      </c>
      <c r="AC1055" s="170">
        <f t="shared" ca="1" si="168"/>
        <v>0</v>
      </c>
      <c r="AD1055" s="169">
        <f t="shared" ca="1" si="169"/>
        <v>12388.42564085648</v>
      </c>
      <c r="AE1055" s="169">
        <f t="shared" si="172"/>
        <v>0</v>
      </c>
      <c r="AF1055" s="170">
        <f t="shared" si="170"/>
        <v>0</v>
      </c>
      <c r="AG1055" s="170">
        <f t="shared" si="171"/>
        <v>0</v>
      </c>
      <c r="AH1055" s="28" t="e" cm="1">
        <f t="array" aca="1" ref="AH1055" ca="1">IF((AD1055) &lt; (INDEX(ResponseSLA[#All],(MATCH((G1055),ResponseSLA[Priority],0))+1,3)),"YES","No")</f>
        <v>#N/A</v>
      </c>
      <c r="AI1055" s="28" t="str">
        <f>_xlfn.IFNA(IF(AE1055 &lt; (INDEX(SLATable[Minimum SLA],MATCH(G1055,SLATable[Priority],0))),"YES","NO"),"")</f>
        <v/>
      </c>
      <c r="AJ1055" s="28" t="str">
        <f>_xlfn.IFNA(IF(AE1055 &lt; (INDEX(SLATable[Maximum SLA],MATCH(G1055,SLATable[Priority],0))),"YES","NO"),"")</f>
        <v/>
      </c>
    </row>
    <row r="1056" spans="26:36" ht="15" customHeight="1">
      <c r="Z1056" s="169" t="e">
        <f t="shared" ca="1" si="165"/>
        <v>#N/A</v>
      </c>
      <c r="AA1056" s="170" t="e">
        <f t="shared" ca="1" si="166"/>
        <v>#N/A</v>
      </c>
      <c r="AB1056" s="169">
        <f t="shared" ca="1" si="167"/>
        <v>0</v>
      </c>
      <c r="AC1056" s="170">
        <f t="shared" ca="1" si="168"/>
        <v>0</v>
      </c>
      <c r="AD1056" s="169">
        <f t="shared" ca="1" si="169"/>
        <v>12388.42564085648</v>
      </c>
      <c r="AE1056" s="169">
        <f t="shared" si="172"/>
        <v>0</v>
      </c>
      <c r="AF1056" s="170">
        <f t="shared" si="170"/>
        <v>0</v>
      </c>
      <c r="AG1056" s="170">
        <f t="shared" si="171"/>
        <v>0</v>
      </c>
      <c r="AH1056" s="28" t="e" cm="1">
        <f t="array" aca="1" ref="AH1056" ca="1">IF((AD1056) &lt; (INDEX(ResponseSLA[#All],(MATCH((G1056),ResponseSLA[Priority],0))+1,3)),"YES","No")</f>
        <v>#N/A</v>
      </c>
      <c r="AI1056" s="28" t="str">
        <f>_xlfn.IFNA(IF(AE1056 &lt; (INDEX(SLATable[Minimum SLA],MATCH(G1056,SLATable[Priority],0))),"YES","NO"),"")</f>
        <v/>
      </c>
      <c r="AJ1056" s="28" t="str">
        <f>_xlfn.IFNA(IF(AE1056 &lt; (INDEX(SLATable[Maximum SLA],MATCH(G1056,SLATable[Priority],0))),"YES","NO"),"")</f>
        <v/>
      </c>
    </row>
    <row r="1057" spans="26:36" ht="15" customHeight="1">
      <c r="Z1057" s="169" t="e">
        <f t="shared" ca="1" si="165"/>
        <v>#N/A</v>
      </c>
      <c r="AA1057" s="170" t="e">
        <f t="shared" ca="1" si="166"/>
        <v>#N/A</v>
      </c>
      <c r="AB1057" s="169">
        <f t="shared" ca="1" si="167"/>
        <v>0</v>
      </c>
      <c r="AC1057" s="170">
        <f t="shared" ca="1" si="168"/>
        <v>0</v>
      </c>
      <c r="AD1057" s="169">
        <f t="shared" ca="1" si="169"/>
        <v>12388.42564085648</v>
      </c>
      <c r="AE1057" s="169">
        <f t="shared" si="172"/>
        <v>0</v>
      </c>
      <c r="AF1057" s="170">
        <f t="shared" si="170"/>
        <v>0</v>
      </c>
      <c r="AG1057" s="170">
        <f t="shared" si="171"/>
        <v>0</v>
      </c>
      <c r="AH1057" s="28" t="e" cm="1">
        <f t="array" aca="1" ref="AH1057" ca="1">IF((AD1057) &lt; (INDEX(ResponseSLA[#All],(MATCH((G1057),ResponseSLA[Priority],0))+1,3)),"YES","No")</f>
        <v>#N/A</v>
      </c>
      <c r="AI1057" s="28" t="str">
        <f>_xlfn.IFNA(IF(AE1057 &lt; (INDEX(SLATable[Minimum SLA],MATCH(G1057,SLATable[Priority],0))),"YES","NO"),"")</f>
        <v/>
      </c>
      <c r="AJ1057" s="28" t="str">
        <f>_xlfn.IFNA(IF(AE1057 &lt; (INDEX(SLATable[Maximum SLA],MATCH(G1057,SLATable[Priority],0))),"YES","NO"),"")</f>
        <v/>
      </c>
    </row>
    <row r="1058" spans="26:36" ht="15" customHeight="1">
      <c r="Z1058" s="169" t="e">
        <f t="shared" ca="1" si="165"/>
        <v>#N/A</v>
      </c>
      <c r="AA1058" s="170" t="e">
        <f t="shared" ca="1" si="166"/>
        <v>#N/A</v>
      </c>
      <c r="AB1058" s="169">
        <f t="shared" ca="1" si="167"/>
        <v>0</v>
      </c>
      <c r="AC1058" s="170">
        <f t="shared" ca="1" si="168"/>
        <v>0</v>
      </c>
      <c r="AD1058" s="169">
        <f t="shared" ca="1" si="169"/>
        <v>12388.42564085648</v>
      </c>
      <c r="AE1058" s="169">
        <f t="shared" si="172"/>
        <v>0</v>
      </c>
      <c r="AF1058" s="170">
        <f t="shared" si="170"/>
        <v>0</v>
      </c>
      <c r="AG1058" s="170">
        <f t="shared" si="171"/>
        <v>0</v>
      </c>
      <c r="AH1058" s="28" t="e" cm="1">
        <f t="array" aca="1" ref="AH1058" ca="1">IF((AD1058) &lt; (INDEX(ResponseSLA[#All],(MATCH((G1058),ResponseSLA[Priority],0))+1,3)),"YES","No")</f>
        <v>#N/A</v>
      </c>
      <c r="AI1058" s="28" t="str">
        <f>_xlfn.IFNA(IF(AE1058 &lt; (INDEX(SLATable[Minimum SLA],MATCH(G1058,SLATable[Priority],0))),"YES","NO"),"")</f>
        <v/>
      </c>
      <c r="AJ1058" s="28" t="str">
        <f>_xlfn.IFNA(IF(AE1058 &lt; (INDEX(SLATable[Maximum SLA],MATCH(G1058,SLATable[Priority],0))),"YES","NO"),"")</f>
        <v/>
      </c>
    </row>
    <row r="1059" spans="26:36" ht="15" customHeight="1">
      <c r="Z1059" s="169" t="e">
        <f t="shared" ca="1" si="165"/>
        <v>#N/A</v>
      </c>
      <c r="AA1059" s="170" t="e">
        <f t="shared" ca="1" si="166"/>
        <v>#N/A</v>
      </c>
      <c r="AB1059" s="169">
        <f t="shared" ca="1" si="167"/>
        <v>0</v>
      </c>
      <c r="AC1059" s="170">
        <f t="shared" ca="1" si="168"/>
        <v>0</v>
      </c>
      <c r="AD1059" s="169">
        <f t="shared" ca="1" si="169"/>
        <v>12388.42564085648</v>
      </c>
      <c r="AE1059" s="169">
        <f t="shared" si="172"/>
        <v>0</v>
      </c>
      <c r="AF1059" s="170">
        <f t="shared" si="170"/>
        <v>0</v>
      </c>
      <c r="AG1059" s="170">
        <f t="shared" si="171"/>
        <v>0</v>
      </c>
      <c r="AH1059" s="28" t="e" cm="1">
        <f t="array" aca="1" ref="AH1059" ca="1">IF((AD1059) &lt; (INDEX(ResponseSLA[#All],(MATCH((G1059),ResponseSLA[Priority],0))+1,3)),"YES","No")</f>
        <v>#N/A</v>
      </c>
      <c r="AI1059" s="28" t="str">
        <f>_xlfn.IFNA(IF(AE1059 &lt; (INDEX(SLATable[Minimum SLA],MATCH(G1059,SLATable[Priority],0))),"YES","NO"),"")</f>
        <v/>
      </c>
      <c r="AJ1059" s="28" t="str">
        <f>_xlfn.IFNA(IF(AE1059 &lt; (INDEX(SLATable[Maximum SLA],MATCH(G1059,SLATable[Priority],0))),"YES","NO"),"")</f>
        <v/>
      </c>
    </row>
    <row r="1060" spans="26:36" ht="15" customHeight="1">
      <c r="Z1060" s="169" t="e">
        <f t="shared" ca="1" si="165"/>
        <v>#N/A</v>
      </c>
      <c r="AA1060" s="170" t="e">
        <f t="shared" ca="1" si="166"/>
        <v>#N/A</v>
      </c>
      <c r="AB1060" s="169">
        <f t="shared" ca="1" si="167"/>
        <v>0</v>
      </c>
      <c r="AC1060" s="170">
        <f t="shared" ca="1" si="168"/>
        <v>0</v>
      </c>
      <c r="AD1060" s="169">
        <f t="shared" ca="1" si="169"/>
        <v>12388.42564085648</v>
      </c>
      <c r="AE1060" s="169">
        <f t="shared" si="172"/>
        <v>0</v>
      </c>
      <c r="AF1060" s="170">
        <f t="shared" si="170"/>
        <v>0</v>
      </c>
      <c r="AG1060" s="170">
        <f t="shared" si="171"/>
        <v>0</v>
      </c>
      <c r="AH1060" s="28" t="e" cm="1">
        <f t="array" aca="1" ref="AH1060" ca="1">IF((AD1060) &lt; (INDEX(ResponseSLA[#All],(MATCH((G1060),ResponseSLA[Priority],0))+1,3)),"YES","No")</f>
        <v>#N/A</v>
      </c>
      <c r="AI1060" s="28" t="str">
        <f>_xlfn.IFNA(IF(AE1060 &lt; (INDEX(SLATable[Minimum SLA],MATCH(G1060,SLATable[Priority],0))),"YES","NO"),"")</f>
        <v/>
      </c>
      <c r="AJ1060" s="28" t="str">
        <f>_xlfn.IFNA(IF(AE1060 &lt; (INDEX(SLATable[Maximum SLA],MATCH(G1060,SLATable[Priority],0))),"YES","NO"),"")</f>
        <v/>
      </c>
    </row>
    <row r="1061" spans="26:36" ht="15" customHeight="1">
      <c r="Z1061" s="169" t="e">
        <f t="shared" ca="1" si="165"/>
        <v>#N/A</v>
      </c>
      <c r="AA1061" s="170" t="e">
        <f t="shared" ca="1" si="166"/>
        <v>#N/A</v>
      </c>
      <c r="AB1061" s="169">
        <f t="shared" ca="1" si="167"/>
        <v>0</v>
      </c>
      <c r="AC1061" s="170">
        <f t="shared" ca="1" si="168"/>
        <v>0</v>
      </c>
      <c r="AD1061" s="169">
        <f t="shared" ca="1" si="169"/>
        <v>12388.42564085648</v>
      </c>
      <c r="AE1061" s="169">
        <f t="shared" si="172"/>
        <v>0</v>
      </c>
      <c r="AF1061" s="170">
        <f t="shared" si="170"/>
        <v>0</v>
      </c>
      <c r="AG1061" s="170">
        <f t="shared" si="171"/>
        <v>0</v>
      </c>
      <c r="AH1061" s="28" t="e" cm="1">
        <f t="array" aca="1" ref="AH1061" ca="1">IF((AD1061) &lt; (INDEX(ResponseSLA[#All],(MATCH((G1061),ResponseSLA[Priority],0))+1,3)),"YES","No")</f>
        <v>#N/A</v>
      </c>
      <c r="AI1061" s="28" t="str">
        <f>_xlfn.IFNA(IF(AE1061 &lt; (INDEX(SLATable[Minimum SLA],MATCH(G1061,SLATable[Priority],0))),"YES","NO"),"")</f>
        <v/>
      </c>
      <c r="AJ1061" s="28" t="str">
        <f>_xlfn.IFNA(IF(AE1061 &lt; (INDEX(SLATable[Maximum SLA],MATCH(G1061,SLATable[Priority],0))),"YES","NO"),"")</f>
        <v/>
      </c>
    </row>
    <row r="1062" spans="26:36" ht="15" customHeight="1">
      <c r="Z1062" s="169" t="e">
        <f t="shared" ca="1" si="165"/>
        <v>#N/A</v>
      </c>
      <c r="AA1062" s="170" t="e">
        <f t="shared" ca="1" si="166"/>
        <v>#N/A</v>
      </c>
      <c r="AB1062" s="169">
        <f t="shared" ca="1" si="167"/>
        <v>0</v>
      </c>
      <c r="AC1062" s="170">
        <f t="shared" ca="1" si="168"/>
        <v>0</v>
      </c>
      <c r="AD1062" s="169">
        <f t="shared" ca="1" si="169"/>
        <v>12388.42564085648</v>
      </c>
      <c r="AE1062" s="169">
        <f t="shared" si="172"/>
        <v>0</v>
      </c>
      <c r="AF1062" s="170">
        <f t="shared" si="170"/>
        <v>0</v>
      </c>
      <c r="AG1062" s="170">
        <f t="shared" si="171"/>
        <v>0</v>
      </c>
      <c r="AH1062" s="28" t="e" cm="1">
        <f t="array" aca="1" ref="AH1062" ca="1">IF((AD1062) &lt; (INDEX(ResponseSLA[#All],(MATCH((G1062),ResponseSLA[Priority],0))+1,3)),"YES","No")</f>
        <v>#N/A</v>
      </c>
      <c r="AI1062" s="28" t="str">
        <f>_xlfn.IFNA(IF(AE1062 &lt; (INDEX(SLATable[Minimum SLA],MATCH(G1062,SLATable[Priority],0))),"YES","NO"),"")</f>
        <v/>
      </c>
      <c r="AJ1062" s="28" t="str">
        <f>_xlfn.IFNA(IF(AE1062 &lt; (INDEX(SLATable[Maximum SLA],MATCH(G1062,SLATable[Priority],0))),"YES","NO"),"")</f>
        <v/>
      </c>
    </row>
    <row r="1063" spans="26:36" ht="15" customHeight="1">
      <c r="Z1063" s="169" t="e">
        <f t="shared" ca="1" si="165"/>
        <v>#N/A</v>
      </c>
      <c r="AA1063" s="170" t="e">
        <f t="shared" ca="1" si="166"/>
        <v>#N/A</v>
      </c>
      <c r="AB1063" s="169">
        <f t="shared" ca="1" si="167"/>
        <v>0</v>
      </c>
      <c r="AC1063" s="170">
        <f t="shared" ca="1" si="168"/>
        <v>0</v>
      </c>
      <c r="AD1063" s="169">
        <f t="shared" ca="1" si="169"/>
        <v>12388.42564085648</v>
      </c>
      <c r="AE1063" s="169">
        <f t="shared" si="172"/>
        <v>0</v>
      </c>
      <c r="AF1063" s="170">
        <f t="shared" si="170"/>
        <v>0</v>
      </c>
      <c r="AG1063" s="170">
        <f t="shared" si="171"/>
        <v>0</v>
      </c>
      <c r="AH1063" s="28" t="e" cm="1">
        <f t="array" aca="1" ref="AH1063" ca="1">IF((AD1063) &lt; (INDEX(ResponseSLA[#All],(MATCH((G1063),ResponseSLA[Priority],0))+1,3)),"YES","No")</f>
        <v>#N/A</v>
      </c>
      <c r="AI1063" s="28" t="str">
        <f>_xlfn.IFNA(IF(AE1063 &lt; (INDEX(SLATable[Minimum SLA],MATCH(G1063,SLATable[Priority],0))),"YES","NO"),"")</f>
        <v/>
      </c>
      <c r="AJ1063" s="28" t="str">
        <f>_xlfn.IFNA(IF(AE1063 &lt; (INDEX(SLATable[Maximum SLA],MATCH(G1063,SLATable[Priority],0))),"YES","NO"),"")</f>
        <v/>
      </c>
    </row>
    <row r="1064" spans="26:36" ht="15" customHeight="1">
      <c r="Z1064" s="169" t="e">
        <f t="shared" ca="1" si="165"/>
        <v>#N/A</v>
      </c>
      <c r="AA1064" s="170" t="e">
        <f t="shared" ca="1" si="166"/>
        <v>#N/A</v>
      </c>
      <c r="AB1064" s="169">
        <f t="shared" ca="1" si="167"/>
        <v>0</v>
      </c>
      <c r="AC1064" s="170">
        <f t="shared" ca="1" si="168"/>
        <v>0</v>
      </c>
      <c r="AD1064" s="169">
        <f t="shared" ca="1" si="169"/>
        <v>12388.42564085648</v>
      </c>
      <c r="AE1064" s="169">
        <f t="shared" si="172"/>
        <v>0</v>
      </c>
      <c r="AF1064" s="170">
        <f t="shared" si="170"/>
        <v>0</v>
      </c>
      <c r="AG1064" s="170">
        <f t="shared" si="171"/>
        <v>0</v>
      </c>
      <c r="AH1064" s="28" t="e" cm="1">
        <f t="array" aca="1" ref="AH1064" ca="1">IF((AD1064) &lt; (INDEX(ResponseSLA[#All],(MATCH((G1064),ResponseSLA[Priority],0))+1,3)),"YES","No")</f>
        <v>#N/A</v>
      </c>
      <c r="AI1064" s="28" t="str">
        <f>_xlfn.IFNA(IF(AE1064 &lt; (INDEX(SLATable[Minimum SLA],MATCH(G1064,SLATable[Priority],0))),"YES","NO"),"")</f>
        <v/>
      </c>
      <c r="AJ1064" s="28" t="str">
        <f>_xlfn.IFNA(IF(AE1064 &lt; (INDEX(SLATable[Maximum SLA],MATCH(G1064,SLATable[Priority],0))),"YES","NO"),"")</f>
        <v/>
      </c>
    </row>
    <row r="1065" spans="26:36" ht="15" customHeight="1">
      <c r="Z1065" s="169" t="e">
        <f t="shared" ca="1" si="165"/>
        <v>#N/A</v>
      </c>
      <c r="AA1065" s="170" t="e">
        <f t="shared" ca="1" si="166"/>
        <v>#N/A</v>
      </c>
      <c r="AB1065" s="169">
        <f t="shared" ca="1" si="167"/>
        <v>0</v>
      </c>
      <c r="AC1065" s="170">
        <f t="shared" ca="1" si="168"/>
        <v>0</v>
      </c>
      <c r="AD1065" s="169">
        <f t="shared" ca="1" si="169"/>
        <v>12388.42564085648</v>
      </c>
      <c r="AE1065" s="169">
        <f t="shared" si="172"/>
        <v>0</v>
      </c>
      <c r="AF1065" s="170">
        <f t="shared" si="170"/>
        <v>0</v>
      </c>
      <c r="AG1065" s="170">
        <f t="shared" si="171"/>
        <v>0</v>
      </c>
      <c r="AH1065" s="28" t="e" cm="1">
        <f t="array" aca="1" ref="AH1065" ca="1">IF((AD1065) &lt; (INDEX(ResponseSLA[#All],(MATCH((G1065),ResponseSLA[Priority],0))+1,3)),"YES","No")</f>
        <v>#N/A</v>
      </c>
      <c r="AI1065" s="28" t="str">
        <f>_xlfn.IFNA(IF(AE1065 &lt; (INDEX(SLATable[Minimum SLA],MATCH(G1065,SLATable[Priority],0))),"YES","NO"),"")</f>
        <v/>
      </c>
      <c r="AJ1065" s="28" t="str">
        <f>_xlfn.IFNA(IF(AE1065 &lt; (INDEX(SLATable[Maximum SLA],MATCH(G1065,SLATable[Priority],0))),"YES","NO"),"")</f>
        <v/>
      </c>
    </row>
    <row r="1066" spans="26:36" ht="15" customHeight="1">
      <c r="Z1066" s="169" t="e">
        <f t="shared" ca="1" si="165"/>
        <v>#N/A</v>
      </c>
      <c r="AA1066" s="170" t="e">
        <f t="shared" ca="1" si="166"/>
        <v>#N/A</v>
      </c>
      <c r="AB1066" s="169">
        <f t="shared" ca="1" si="167"/>
        <v>0</v>
      </c>
      <c r="AC1066" s="170">
        <f t="shared" ca="1" si="168"/>
        <v>0</v>
      </c>
      <c r="AD1066" s="169">
        <f t="shared" ca="1" si="169"/>
        <v>12388.42564085648</v>
      </c>
      <c r="AE1066" s="169">
        <f t="shared" si="172"/>
        <v>0</v>
      </c>
      <c r="AF1066" s="170">
        <f t="shared" si="170"/>
        <v>0</v>
      </c>
      <c r="AG1066" s="170">
        <f t="shared" si="171"/>
        <v>0</v>
      </c>
      <c r="AH1066" s="28" t="e" cm="1">
        <f t="array" aca="1" ref="AH1066" ca="1">IF((AD1066) &lt; (INDEX(ResponseSLA[#All],(MATCH((G1066),ResponseSLA[Priority],0))+1,3)),"YES","No")</f>
        <v>#N/A</v>
      </c>
      <c r="AI1066" s="28" t="str">
        <f>_xlfn.IFNA(IF(AE1066 &lt; (INDEX(SLATable[Minimum SLA],MATCH(G1066,SLATable[Priority],0))),"YES","NO"),"")</f>
        <v/>
      </c>
      <c r="AJ1066" s="28" t="str">
        <f>_xlfn.IFNA(IF(AE1066 &lt; (INDEX(SLATable[Maximum SLA],MATCH(G1066,SLATable[Priority],0))),"YES","NO"),"")</f>
        <v/>
      </c>
    </row>
    <row r="1067" spans="26:36" ht="15" customHeight="1">
      <c r="Z1067" s="169" t="e">
        <f t="shared" ca="1" si="165"/>
        <v>#N/A</v>
      </c>
      <c r="AA1067" s="170" t="e">
        <f t="shared" ca="1" si="166"/>
        <v>#N/A</v>
      </c>
      <c r="AB1067" s="169">
        <f t="shared" ca="1" si="167"/>
        <v>0</v>
      </c>
      <c r="AC1067" s="170">
        <f t="shared" ca="1" si="168"/>
        <v>0</v>
      </c>
      <c r="AD1067" s="169">
        <f t="shared" ca="1" si="169"/>
        <v>12388.42564085648</v>
      </c>
      <c r="AE1067" s="169">
        <f t="shared" si="172"/>
        <v>0</v>
      </c>
      <c r="AF1067" s="170">
        <f t="shared" si="170"/>
        <v>0</v>
      </c>
      <c r="AG1067" s="170">
        <f t="shared" si="171"/>
        <v>0</v>
      </c>
      <c r="AH1067" s="28" t="e" cm="1">
        <f t="array" aca="1" ref="AH1067" ca="1">IF((AD1067) &lt; (INDEX(ResponseSLA[#All],(MATCH((G1067),ResponseSLA[Priority],0))+1,3)),"YES","No")</f>
        <v>#N/A</v>
      </c>
      <c r="AI1067" s="28" t="str">
        <f>_xlfn.IFNA(IF(AE1067 &lt; (INDEX(SLATable[Minimum SLA],MATCH(G1067,SLATable[Priority],0))),"YES","NO"),"")</f>
        <v/>
      </c>
      <c r="AJ1067" s="28" t="str">
        <f>_xlfn.IFNA(IF(AE1067 &lt; (INDEX(SLATable[Maximum SLA],MATCH(G1067,SLATable[Priority],0))),"YES","NO"),"")</f>
        <v/>
      </c>
    </row>
    <row r="1068" spans="26:36" ht="15" customHeight="1">
      <c r="Z1068" s="169" t="e">
        <f t="shared" ref="Z1068:Z1131" ca="1" si="173">IF(NOT(OR(G1068=1,G1068=2)),MAX(0,_xlfn.IFS(AND(K1068&lt;&gt;"",N1068&lt;&gt;""),((MAX(NETWORKDAYS(K1068,N1068,UKBankHolidays)-1,0))*(TIME(17,0,0)-TIME(8,0,0))+IF(NETWORKDAYS(N1068,N1068,UKBankHolidays)&gt;0,MEDIAN(TIME(8,0,0),MOD(N1068,1),TIME(17,0,0)),TIME(8,0,0))-IF(NETWORKDAYS(K1068,K1068,UKBankHolidays)&gt;0,MEDIAN(TIME(8,0,0),MOD(K1068,1),TIME(17,0,0)),TIME(8,0,0)))-IF(AND(O1068&lt;&gt;"",P1068&lt;&gt;""),((MAX(NETWORKDAYS(O1068,P1068,UKBankHolidays)-1,0))*(TIME(17,0,0)-TIME(8,0,0))+IF(NETWORKDAYS(P1068,P1068,UKBankHolidays)&gt;0,MEDIAN(TIME(8,0,0),MOD(P1068,1),TIME(17,0,0)),TIME(8,0,0))-IF(NETWORKDAYS(O1068,O1068,UKBankHolidays)&gt;0,MEDIAN(TIME(8,0,0),MOD(O1068,1),TIME(17,0,0)),TIME(8,0,0))),0),AND(K1068&lt;&gt;"",N1068=""),((MAX(NETWORKDAYS(K1068,NOW(),UKBankHolidays)-1,0))*(TIME(17,0,0)-TIME(8,0,0))+IF(NETWORKDAYS(NOW(),NOW(),UKBankHolidays)&gt;0,MEDIAN(TIME(8,0,0),MOD(NOW(),1),TIME(17,0,0)),TIME(8,0,0))-IF(NETWORKDAYS(K1068,K1068,UKBankHolidays)&gt;0,MEDIAN(TIME(8,0,0),MOD(K1068,1),TIME(17,0,0)),TIME(8,0,0))))),IF(N1068="",NOW()-K1068,N1068-K1068))</f>
        <v>#N/A</v>
      </c>
      <c r="AA1068" s="170" t="e">
        <f t="shared" ref="AA1068:AA1131" ca="1" si="174">(Z1068*24)/9</f>
        <v>#N/A</v>
      </c>
      <c r="AB1068" s="169">
        <f t="shared" ref="AB1068:AB1131" ca="1" si="175">IF(NOT(OR(G1068=1,G1068=2)),MAX(0,_xlfn.IFS(AND(K1068&lt;&gt;"",N1068&lt;&gt;""),(((MAX(NETWORKDAYS(L1068,N1068,UKBankHolidays)-1,0))*(TIME(17,0,0)-TIME(8,0,0)))+IF(NETWORKDAYS(N1068,N1068,UKBankHolidays)&gt;0,MEDIAN(TIME(8,0,0),MOD(N1068,1),TIME(17,0,0)),TIME(8,0,0))-IF(NETWORKDAYS(L1068,L1068,UKBankHolidays)&gt;0,MEDIAN(TIME(8,0,0),MOD(L1068,1),TIME(17,0,0)),TIME(8,0,0)))-IF(AND(O1068&lt;&gt;"",P1068&lt;&gt;""),(((MAX(NETWORKDAYS(O1068,P1068,UKBankHolidays)-1,0))*(TIME(17,0,0)-TIME(8,0,0)))+IF(NETWORKDAYS(P1068,P1068,UKBankHolidays)&gt;0,MEDIAN(TIME(8,0,0),MOD(P1068,1),TIME(17,0,0)),TIME(8,0,0))-IF(NETWORKDAYS(O1068,O1068,UKBankHolidays)&gt;0,MEDIAN(TIME(8,0,0),MOD(O1068,1),TIME(17,0,0)),TIME(8,0,0))),0),AND(L1068&lt;&gt;"",N1068="",O1068=""),(((MAX(NETWORKDAYS(L1068,NOW(),UKBankHolidays)-1,0))*(TIME(17,0,0)-TIME(8,0,0)))+IF(NETWORKDAYS(NOW(),NOW(),UKBankHolidays)&gt;0,MEDIAN(TIME(8,0,0),MOD(NOW(),1),TIME(17,0,0)),TIME(8,0,0))-IF(NETWORKDAYS(L1068,L1068,UKBankHolidays)&gt;0,MEDIAN(TIME(8,0,0),MOD(L1068,1),TIME(17,0,0)),TIME(8,0,0)))-IF(AND(O1068&lt;&gt;"",P1068&lt;&gt;""),(((MAX(NETWORKDAYS(O1068,P1068,UKBankHolidays)-1,0))*(TIME(17,0,0)-TIME(8,0,0)))+IF(NETWORKDAYS(P1068,P1068,UKBankHolidays)&gt;0,MEDIAN(TIME(8,0,0),MOD(P1068,1),TIME(17,0,0)),TIME(8,0,0))-IF(NETWORKDAYS(O1068,O1068,UKBankHolidays)&gt;0,MEDIAN(TIME(8,0,0),MOD(O1068,1),TIME(17,0,0)),TIME(8,0,0))),0),AND(L1068&lt;&gt;"",N1068="",P1068="",O1068&lt;&gt;""),(((MAX(NETWORKDAYS(L1068,O1068,UKBankHolidays)-1,0))*(TIME(17,0,0)-TIME(8,0,0)))+IF(NETWORKDAYS(O1068,O1068,UKBankHolidays)&gt;0,MEDIAN(TIME(8,0,0),MOD(O1068,1),TIME(17,0,0)),TIME(8,0,0))-IF(NETWORKDAYS(L1068,L1068,UKBankHolidays)&gt;0,MEDIAN(TIME(8,0,0),MOD(L1068,1),TIME(17,0,0)),TIME(8,0,0))),ISBLANK(K1068),"0")),IF(ISBLANK(N1068),NOW()-L1068,N1068-L1068))</f>
        <v>0</v>
      </c>
      <c r="AC1068" s="170">
        <f t="shared" ref="AC1068:AC1131" ca="1" si="176">(AB1068*24)/9</f>
        <v>0</v>
      </c>
      <c r="AD1068" s="169">
        <f t="shared" ref="AD1068:AD1131" ca="1" si="177">MAX(0,IF(NOT(OR(G1068=1,G1068=2)),IF(M1068&lt;&gt;"",((MAX(NETWORKDAYS(L1068,M1068,UKBankHolidays)-1,0))*(TIME(17,0,0)-TIME(8,0,0))+IF(NETWORKDAYS(M1068,M1068,UKBankHolidays)&gt;0,MEDIAN(TIME(8,0,0),MOD(M1068,1),TIME(17,0,0)),TIME(8,0,0))-MEDIAN(TIME(8,0,0),MOD(L1068,1),TIME(17,0,0))),((MAX(NETWORKDAYS(L1068,NOW(),UKBankHolidays)-1,0))*(TIME(17,0,0)-TIME(8,0,0))+IF(NETWORKDAYS(NOW(),NOW(),UKBankHolidays)&gt;0,MEDIAN(TIME(8,0,0),MOD(NOW(),1),TIME(17,0,0)),TIME(8,0,0))-MEDIAN(TIME(8,0,0),MOD(L1068,1),TIME(17,0,0)))),IF(M1068&lt;&gt;"",M1068-L1068,NOW()-L1068)))</f>
        <v>12388.42564085648</v>
      </c>
      <c r="AE1068" s="169">
        <f t="shared" si="172"/>
        <v>0</v>
      </c>
      <c r="AF1068" s="170">
        <f t="shared" ref="AF1068:AF1131" si="178">(AE1068*24)/9</f>
        <v>0</v>
      </c>
      <c r="AG1068" s="170">
        <f t="shared" ref="AG1068:AG1131" si="179">AF1068</f>
        <v>0</v>
      </c>
      <c r="AH1068" s="28" t="e" cm="1">
        <f t="array" aca="1" ref="AH1068" ca="1">IF((AD1068) &lt; (INDEX(ResponseSLA[#All],(MATCH((G1068),ResponseSLA[Priority],0))+1,3)),"YES","No")</f>
        <v>#N/A</v>
      </c>
      <c r="AI1068" s="28" t="str">
        <f>_xlfn.IFNA(IF(AE1068 &lt; (INDEX(SLATable[Minimum SLA],MATCH(G1068,SLATable[Priority],0))),"YES","NO"),"")</f>
        <v/>
      </c>
      <c r="AJ1068" s="28" t="str">
        <f>_xlfn.IFNA(IF(AE1068 &lt; (INDEX(SLATable[Maximum SLA],MATCH(G1068,SLATable[Priority],0))),"YES","NO"),"")</f>
        <v/>
      </c>
    </row>
    <row r="1069" spans="26:36" ht="15" customHeight="1">
      <c r="Z1069" s="169" t="e">
        <f t="shared" ca="1" si="173"/>
        <v>#N/A</v>
      </c>
      <c r="AA1069" s="170" t="e">
        <f t="shared" ca="1" si="174"/>
        <v>#N/A</v>
      </c>
      <c r="AB1069" s="169">
        <f t="shared" ca="1" si="175"/>
        <v>0</v>
      </c>
      <c r="AC1069" s="170">
        <f t="shared" ca="1" si="176"/>
        <v>0</v>
      </c>
      <c r="AD1069" s="169">
        <f t="shared" ca="1" si="177"/>
        <v>12388.42564085648</v>
      </c>
      <c r="AE1069" s="169">
        <f t="shared" si="172"/>
        <v>0</v>
      </c>
      <c r="AF1069" s="170">
        <f t="shared" si="178"/>
        <v>0</v>
      </c>
      <c r="AG1069" s="170">
        <f t="shared" si="179"/>
        <v>0</v>
      </c>
      <c r="AH1069" s="28" t="e" cm="1">
        <f t="array" aca="1" ref="AH1069" ca="1">IF((AD1069) &lt; (INDEX(ResponseSLA[#All],(MATCH((G1069),ResponseSLA[Priority],0))+1,3)),"YES","No")</f>
        <v>#N/A</v>
      </c>
      <c r="AI1069" s="28" t="str">
        <f>_xlfn.IFNA(IF(AE1069 &lt; (INDEX(SLATable[Minimum SLA],MATCH(G1069,SLATable[Priority],0))),"YES","NO"),"")</f>
        <v/>
      </c>
      <c r="AJ1069" s="28" t="str">
        <f>_xlfn.IFNA(IF(AE1069 &lt; (INDEX(SLATable[Maximum SLA],MATCH(G1069,SLATable[Priority],0))),"YES","NO"),"")</f>
        <v/>
      </c>
    </row>
    <row r="1070" spans="26:36" ht="15" customHeight="1">
      <c r="Z1070" s="169" t="e">
        <f t="shared" ca="1" si="173"/>
        <v>#N/A</v>
      </c>
      <c r="AA1070" s="170" t="e">
        <f t="shared" ca="1" si="174"/>
        <v>#N/A</v>
      </c>
      <c r="AB1070" s="169">
        <f t="shared" ca="1" si="175"/>
        <v>0</v>
      </c>
      <c r="AC1070" s="170">
        <f t="shared" ca="1" si="176"/>
        <v>0</v>
      </c>
      <c r="AD1070" s="169">
        <f t="shared" ca="1" si="177"/>
        <v>12388.42564085648</v>
      </c>
      <c r="AE1070" s="169">
        <f t="shared" si="172"/>
        <v>0</v>
      </c>
      <c r="AF1070" s="170">
        <f t="shared" si="178"/>
        <v>0</v>
      </c>
      <c r="AG1070" s="170">
        <f t="shared" si="179"/>
        <v>0</v>
      </c>
      <c r="AH1070" s="28" t="e" cm="1">
        <f t="array" aca="1" ref="AH1070" ca="1">IF((AD1070) &lt; (INDEX(ResponseSLA[#All],(MATCH((G1070),ResponseSLA[Priority],0))+1,3)),"YES","No")</f>
        <v>#N/A</v>
      </c>
      <c r="AI1070" s="28" t="str">
        <f>_xlfn.IFNA(IF(AE1070 &lt; (INDEX(SLATable[Minimum SLA],MATCH(G1070,SLATable[Priority],0))),"YES","NO"),"")</f>
        <v/>
      </c>
      <c r="AJ1070" s="28" t="str">
        <f>_xlfn.IFNA(IF(AE1070 &lt; (INDEX(SLATable[Maximum SLA],MATCH(G1070,SLATable[Priority],0))),"YES","NO"),"")</f>
        <v/>
      </c>
    </row>
    <row r="1071" spans="26:36" ht="15" customHeight="1">
      <c r="Z1071" s="169" t="e">
        <f t="shared" ca="1" si="173"/>
        <v>#N/A</v>
      </c>
      <c r="AA1071" s="170" t="e">
        <f t="shared" ca="1" si="174"/>
        <v>#N/A</v>
      </c>
      <c r="AB1071" s="169">
        <f t="shared" ca="1" si="175"/>
        <v>0</v>
      </c>
      <c r="AC1071" s="170">
        <f t="shared" ca="1" si="176"/>
        <v>0</v>
      </c>
      <c r="AD1071" s="169">
        <f t="shared" ca="1" si="177"/>
        <v>12388.42564085648</v>
      </c>
      <c r="AE1071" s="169">
        <f t="shared" si="172"/>
        <v>0</v>
      </c>
      <c r="AF1071" s="170">
        <f t="shared" si="178"/>
        <v>0</v>
      </c>
      <c r="AG1071" s="170">
        <f t="shared" si="179"/>
        <v>0</v>
      </c>
      <c r="AH1071" s="28" t="e" cm="1">
        <f t="array" aca="1" ref="AH1071" ca="1">IF((AD1071) &lt; (INDEX(ResponseSLA[#All],(MATCH((G1071),ResponseSLA[Priority],0))+1,3)),"YES","No")</f>
        <v>#N/A</v>
      </c>
      <c r="AI1071" s="28" t="str">
        <f>_xlfn.IFNA(IF(AE1071 &lt; (INDEX(SLATable[Minimum SLA],MATCH(G1071,SLATable[Priority],0))),"YES","NO"),"")</f>
        <v/>
      </c>
      <c r="AJ1071" s="28" t="str">
        <f>_xlfn.IFNA(IF(AE1071 &lt; (INDEX(SLATable[Maximum SLA],MATCH(G1071,SLATable[Priority],0))),"YES","NO"),"")</f>
        <v/>
      </c>
    </row>
    <row r="1072" spans="26:36" ht="15" customHeight="1">
      <c r="Z1072" s="169" t="e">
        <f t="shared" ca="1" si="173"/>
        <v>#N/A</v>
      </c>
      <c r="AA1072" s="170" t="e">
        <f t="shared" ca="1" si="174"/>
        <v>#N/A</v>
      </c>
      <c r="AB1072" s="169">
        <f t="shared" ca="1" si="175"/>
        <v>0</v>
      </c>
      <c r="AC1072" s="170">
        <f t="shared" ca="1" si="176"/>
        <v>0</v>
      </c>
      <c r="AD1072" s="169">
        <f t="shared" ca="1" si="177"/>
        <v>12388.42564085648</v>
      </c>
      <c r="AE1072" s="169">
        <f t="shared" si="172"/>
        <v>0</v>
      </c>
      <c r="AF1072" s="170">
        <f t="shared" si="178"/>
        <v>0</v>
      </c>
      <c r="AG1072" s="170">
        <f t="shared" si="179"/>
        <v>0</v>
      </c>
      <c r="AH1072" s="28" t="e" cm="1">
        <f t="array" aca="1" ref="AH1072" ca="1">IF((AD1072) &lt; (INDEX(ResponseSLA[#All],(MATCH((G1072),ResponseSLA[Priority],0))+1,3)),"YES","No")</f>
        <v>#N/A</v>
      </c>
      <c r="AI1072" s="28" t="str">
        <f>_xlfn.IFNA(IF(AE1072 &lt; (INDEX(SLATable[Minimum SLA],MATCH(G1072,SLATable[Priority],0))),"YES","NO"),"")</f>
        <v/>
      </c>
      <c r="AJ1072" s="28" t="str">
        <f>_xlfn.IFNA(IF(AE1072 &lt; (INDEX(SLATable[Maximum SLA],MATCH(G1072,SLATable[Priority],0))),"YES","NO"),"")</f>
        <v/>
      </c>
    </row>
    <row r="1073" spans="26:36" ht="15" customHeight="1">
      <c r="Z1073" s="169" t="e">
        <f t="shared" ca="1" si="173"/>
        <v>#N/A</v>
      </c>
      <c r="AA1073" s="170" t="e">
        <f t="shared" ca="1" si="174"/>
        <v>#N/A</v>
      </c>
      <c r="AB1073" s="169">
        <f t="shared" ca="1" si="175"/>
        <v>0</v>
      </c>
      <c r="AC1073" s="170">
        <f t="shared" ca="1" si="176"/>
        <v>0</v>
      </c>
      <c r="AD1073" s="169">
        <f t="shared" ca="1" si="177"/>
        <v>12388.42564085648</v>
      </c>
      <c r="AE1073" s="169">
        <f t="shared" ref="AE1073:AE1136" si="180">SUMIFS(AB:AB,E:E,E1073)</f>
        <v>0</v>
      </c>
      <c r="AF1073" s="170">
        <f t="shared" si="178"/>
        <v>0</v>
      </c>
      <c r="AG1073" s="170">
        <f t="shared" si="179"/>
        <v>0</v>
      </c>
      <c r="AH1073" s="28" t="e" cm="1">
        <f t="array" aca="1" ref="AH1073" ca="1">IF((AD1073) &lt; (INDEX(ResponseSLA[#All],(MATCH((G1073),ResponseSLA[Priority],0))+1,3)),"YES","No")</f>
        <v>#N/A</v>
      </c>
      <c r="AI1073" s="28" t="str">
        <f>_xlfn.IFNA(IF(AE1073 &lt; (INDEX(SLATable[Minimum SLA],MATCH(G1073,SLATable[Priority],0))),"YES","NO"),"")</f>
        <v/>
      </c>
      <c r="AJ1073" s="28" t="str">
        <f>_xlfn.IFNA(IF(AE1073 &lt; (INDEX(SLATable[Maximum SLA],MATCH(G1073,SLATable[Priority],0))),"YES","NO"),"")</f>
        <v/>
      </c>
    </row>
    <row r="1074" spans="26:36" ht="15" customHeight="1">
      <c r="Z1074" s="169" t="e">
        <f t="shared" ca="1" si="173"/>
        <v>#N/A</v>
      </c>
      <c r="AA1074" s="170" t="e">
        <f t="shared" ca="1" si="174"/>
        <v>#N/A</v>
      </c>
      <c r="AB1074" s="169">
        <f t="shared" ca="1" si="175"/>
        <v>0</v>
      </c>
      <c r="AC1074" s="170">
        <f t="shared" ca="1" si="176"/>
        <v>0</v>
      </c>
      <c r="AD1074" s="169">
        <f t="shared" ca="1" si="177"/>
        <v>12388.42564085648</v>
      </c>
      <c r="AE1074" s="169">
        <f t="shared" si="180"/>
        <v>0</v>
      </c>
      <c r="AF1074" s="170">
        <f t="shared" si="178"/>
        <v>0</v>
      </c>
      <c r="AG1074" s="170">
        <f t="shared" si="179"/>
        <v>0</v>
      </c>
      <c r="AH1074" s="28" t="e" cm="1">
        <f t="array" aca="1" ref="AH1074" ca="1">IF((AD1074) &lt; (INDEX(ResponseSLA[#All],(MATCH((G1074),ResponseSLA[Priority],0))+1,3)),"YES","No")</f>
        <v>#N/A</v>
      </c>
      <c r="AI1074" s="28" t="str">
        <f>_xlfn.IFNA(IF(AE1074 &lt; (INDEX(SLATable[Minimum SLA],MATCH(G1074,SLATable[Priority],0))),"YES","NO"),"")</f>
        <v/>
      </c>
      <c r="AJ1074" s="28" t="str">
        <f>_xlfn.IFNA(IF(AE1074 &lt; (INDEX(SLATable[Maximum SLA],MATCH(G1074,SLATable[Priority],0))),"YES","NO"),"")</f>
        <v/>
      </c>
    </row>
    <row r="1075" spans="26:36" ht="15" customHeight="1">
      <c r="Z1075" s="169" t="e">
        <f t="shared" ca="1" si="173"/>
        <v>#N/A</v>
      </c>
      <c r="AA1075" s="170" t="e">
        <f t="shared" ca="1" si="174"/>
        <v>#N/A</v>
      </c>
      <c r="AB1075" s="169">
        <f t="shared" ca="1" si="175"/>
        <v>0</v>
      </c>
      <c r="AC1075" s="170">
        <f t="shared" ca="1" si="176"/>
        <v>0</v>
      </c>
      <c r="AD1075" s="169">
        <f t="shared" ca="1" si="177"/>
        <v>12388.42564085648</v>
      </c>
      <c r="AE1075" s="169">
        <f t="shared" si="180"/>
        <v>0</v>
      </c>
      <c r="AF1075" s="170">
        <f t="shared" si="178"/>
        <v>0</v>
      </c>
      <c r="AG1075" s="170">
        <f t="shared" si="179"/>
        <v>0</v>
      </c>
      <c r="AH1075" s="28" t="e" cm="1">
        <f t="array" aca="1" ref="AH1075" ca="1">IF((AD1075) &lt; (INDEX(ResponseSLA[#All],(MATCH((G1075),ResponseSLA[Priority],0))+1,3)),"YES","No")</f>
        <v>#N/A</v>
      </c>
      <c r="AI1075" s="28" t="str">
        <f>_xlfn.IFNA(IF(AE1075 &lt; (INDEX(SLATable[Minimum SLA],MATCH(G1075,SLATable[Priority],0))),"YES","NO"),"")</f>
        <v/>
      </c>
      <c r="AJ1075" s="28" t="str">
        <f>_xlfn.IFNA(IF(AE1075 &lt; (INDEX(SLATable[Maximum SLA],MATCH(G1075,SLATable[Priority],0))),"YES","NO"),"")</f>
        <v/>
      </c>
    </row>
    <row r="1076" spans="26:36" ht="15" customHeight="1">
      <c r="Z1076" s="169" t="e">
        <f t="shared" ca="1" si="173"/>
        <v>#N/A</v>
      </c>
      <c r="AA1076" s="170" t="e">
        <f t="shared" ca="1" si="174"/>
        <v>#N/A</v>
      </c>
      <c r="AB1076" s="169">
        <f t="shared" ca="1" si="175"/>
        <v>0</v>
      </c>
      <c r="AC1076" s="170">
        <f t="shared" ca="1" si="176"/>
        <v>0</v>
      </c>
      <c r="AD1076" s="169">
        <f t="shared" ca="1" si="177"/>
        <v>12388.42564085648</v>
      </c>
      <c r="AE1076" s="169">
        <f t="shared" si="180"/>
        <v>0</v>
      </c>
      <c r="AF1076" s="170">
        <f t="shared" si="178"/>
        <v>0</v>
      </c>
      <c r="AG1076" s="170">
        <f t="shared" si="179"/>
        <v>0</v>
      </c>
      <c r="AH1076" s="28" t="e" cm="1">
        <f t="array" aca="1" ref="AH1076" ca="1">IF((AD1076) &lt; (INDEX(ResponseSLA[#All],(MATCH((G1076),ResponseSLA[Priority],0))+1,3)),"YES","No")</f>
        <v>#N/A</v>
      </c>
      <c r="AI1076" s="28" t="str">
        <f>_xlfn.IFNA(IF(AE1076 &lt; (INDEX(SLATable[Minimum SLA],MATCH(G1076,SLATable[Priority],0))),"YES","NO"),"")</f>
        <v/>
      </c>
      <c r="AJ1076" s="28" t="str">
        <f>_xlfn.IFNA(IF(AE1076 &lt; (INDEX(SLATable[Maximum SLA],MATCH(G1076,SLATable[Priority],0))),"YES","NO"),"")</f>
        <v/>
      </c>
    </row>
    <row r="1077" spans="26:36" ht="15" customHeight="1">
      <c r="Z1077" s="169" t="e">
        <f t="shared" ca="1" si="173"/>
        <v>#N/A</v>
      </c>
      <c r="AA1077" s="170" t="e">
        <f t="shared" ca="1" si="174"/>
        <v>#N/A</v>
      </c>
      <c r="AB1077" s="169">
        <f t="shared" ca="1" si="175"/>
        <v>0</v>
      </c>
      <c r="AC1077" s="170">
        <f t="shared" ca="1" si="176"/>
        <v>0</v>
      </c>
      <c r="AD1077" s="169">
        <f t="shared" ca="1" si="177"/>
        <v>12388.42564085648</v>
      </c>
      <c r="AE1077" s="169">
        <f t="shared" si="180"/>
        <v>0</v>
      </c>
      <c r="AF1077" s="170">
        <f t="shared" si="178"/>
        <v>0</v>
      </c>
      <c r="AG1077" s="170">
        <f t="shared" si="179"/>
        <v>0</v>
      </c>
      <c r="AH1077" s="28" t="e" cm="1">
        <f t="array" aca="1" ref="AH1077" ca="1">IF((AD1077) &lt; (INDEX(ResponseSLA[#All],(MATCH((G1077),ResponseSLA[Priority],0))+1,3)),"YES","No")</f>
        <v>#N/A</v>
      </c>
      <c r="AI1077" s="28" t="str">
        <f>_xlfn.IFNA(IF(AE1077 &lt; (INDEX(SLATable[Minimum SLA],MATCH(G1077,SLATable[Priority],0))),"YES","NO"),"")</f>
        <v/>
      </c>
      <c r="AJ1077" s="28" t="str">
        <f>_xlfn.IFNA(IF(AE1077 &lt; (INDEX(SLATable[Maximum SLA],MATCH(G1077,SLATable[Priority],0))),"YES","NO"),"")</f>
        <v/>
      </c>
    </row>
    <row r="1078" spans="26:36" ht="15" customHeight="1">
      <c r="Z1078" s="169" t="e">
        <f t="shared" ca="1" si="173"/>
        <v>#N/A</v>
      </c>
      <c r="AA1078" s="170" t="e">
        <f t="shared" ca="1" si="174"/>
        <v>#N/A</v>
      </c>
      <c r="AB1078" s="169">
        <f t="shared" ca="1" si="175"/>
        <v>0</v>
      </c>
      <c r="AC1078" s="170">
        <f t="shared" ca="1" si="176"/>
        <v>0</v>
      </c>
      <c r="AD1078" s="169">
        <f t="shared" ca="1" si="177"/>
        <v>12388.42564085648</v>
      </c>
      <c r="AE1078" s="169">
        <f t="shared" si="180"/>
        <v>0</v>
      </c>
      <c r="AF1078" s="170">
        <f t="shared" si="178"/>
        <v>0</v>
      </c>
      <c r="AG1078" s="170">
        <f t="shared" si="179"/>
        <v>0</v>
      </c>
      <c r="AH1078" s="28" t="e" cm="1">
        <f t="array" aca="1" ref="AH1078" ca="1">IF((AD1078) &lt; (INDEX(ResponseSLA[#All],(MATCH((G1078),ResponseSLA[Priority],0))+1,3)),"YES","No")</f>
        <v>#N/A</v>
      </c>
      <c r="AI1078" s="28" t="str">
        <f>_xlfn.IFNA(IF(AE1078 &lt; (INDEX(SLATable[Minimum SLA],MATCH(G1078,SLATable[Priority],0))),"YES","NO"),"")</f>
        <v/>
      </c>
      <c r="AJ1078" s="28" t="str">
        <f>_xlfn.IFNA(IF(AE1078 &lt; (INDEX(SLATable[Maximum SLA],MATCH(G1078,SLATable[Priority],0))),"YES","NO"),"")</f>
        <v/>
      </c>
    </row>
    <row r="1079" spans="26:36" ht="15" customHeight="1">
      <c r="Z1079" s="169" t="e">
        <f t="shared" ca="1" si="173"/>
        <v>#N/A</v>
      </c>
      <c r="AA1079" s="170" t="e">
        <f t="shared" ca="1" si="174"/>
        <v>#N/A</v>
      </c>
      <c r="AB1079" s="169">
        <f t="shared" ca="1" si="175"/>
        <v>0</v>
      </c>
      <c r="AC1079" s="170">
        <f t="shared" ca="1" si="176"/>
        <v>0</v>
      </c>
      <c r="AD1079" s="169">
        <f t="shared" ca="1" si="177"/>
        <v>12388.42564085648</v>
      </c>
      <c r="AE1079" s="169">
        <f t="shared" si="180"/>
        <v>0</v>
      </c>
      <c r="AF1079" s="170">
        <f t="shared" si="178"/>
        <v>0</v>
      </c>
      <c r="AG1079" s="170">
        <f t="shared" si="179"/>
        <v>0</v>
      </c>
      <c r="AH1079" s="28" t="e" cm="1">
        <f t="array" aca="1" ref="AH1079" ca="1">IF((AD1079) &lt; (INDEX(ResponseSLA[#All],(MATCH((G1079),ResponseSLA[Priority],0))+1,3)),"YES","No")</f>
        <v>#N/A</v>
      </c>
      <c r="AI1079" s="28" t="str">
        <f>_xlfn.IFNA(IF(AE1079 &lt; (INDEX(SLATable[Minimum SLA],MATCH(G1079,SLATable[Priority],0))),"YES","NO"),"")</f>
        <v/>
      </c>
      <c r="AJ1079" s="28" t="str">
        <f>_xlfn.IFNA(IF(AE1079 &lt; (INDEX(SLATable[Maximum SLA],MATCH(G1079,SLATable[Priority],0))),"YES","NO"),"")</f>
        <v/>
      </c>
    </row>
    <row r="1080" spans="26:36" ht="15" customHeight="1">
      <c r="Z1080" s="169" t="e">
        <f t="shared" ca="1" si="173"/>
        <v>#N/A</v>
      </c>
      <c r="AA1080" s="170" t="e">
        <f t="shared" ca="1" si="174"/>
        <v>#N/A</v>
      </c>
      <c r="AB1080" s="169">
        <f t="shared" ca="1" si="175"/>
        <v>0</v>
      </c>
      <c r="AC1080" s="170">
        <f t="shared" ca="1" si="176"/>
        <v>0</v>
      </c>
      <c r="AD1080" s="169">
        <f t="shared" ca="1" si="177"/>
        <v>12388.42564085648</v>
      </c>
      <c r="AE1080" s="169">
        <f t="shared" si="180"/>
        <v>0</v>
      </c>
      <c r="AF1080" s="170">
        <f t="shared" si="178"/>
        <v>0</v>
      </c>
      <c r="AG1080" s="170">
        <f t="shared" si="179"/>
        <v>0</v>
      </c>
      <c r="AH1080" s="28" t="e" cm="1">
        <f t="array" aca="1" ref="AH1080" ca="1">IF((AD1080) &lt; (INDEX(ResponseSLA[#All],(MATCH((G1080),ResponseSLA[Priority],0))+1,3)),"YES","No")</f>
        <v>#N/A</v>
      </c>
      <c r="AI1080" s="28" t="str">
        <f>_xlfn.IFNA(IF(AE1080 &lt; (INDEX(SLATable[Minimum SLA],MATCH(G1080,SLATable[Priority],0))),"YES","NO"),"")</f>
        <v/>
      </c>
      <c r="AJ1080" s="28" t="str">
        <f>_xlfn.IFNA(IF(AE1080 &lt; (INDEX(SLATable[Maximum SLA],MATCH(G1080,SLATable[Priority],0))),"YES","NO"),"")</f>
        <v/>
      </c>
    </row>
    <row r="1081" spans="26:36" ht="15" customHeight="1">
      <c r="Z1081" s="169" t="e">
        <f t="shared" ca="1" si="173"/>
        <v>#N/A</v>
      </c>
      <c r="AA1081" s="170" t="e">
        <f t="shared" ca="1" si="174"/>
        <v>#N/A</v>
      </c>
      <c r="AB1081" s="169">
        <f t="shared" ca="1" si="175"/>
        <v>0</v>
      </c>
      <c r="AC1081" s="170">
        <f t="shared" ca="1" si="176"/>
        <v>0</v>
      </c>
      <c r="AD1081" s="169">
        <f t="shared" ca="1" si="177"/>
        <v>12388.42564085648</v>
      </c>
      <c r="AE1081" s="169">
        <f t="shared" si="180"/>
        <v>0</v>
      </c>
      <c r="AF1081" s="170">
        <f t="shared" si="178"/>
        <v>0</v>
      </c>
      <c r="AG1081" s="170">
        <f t="shared" si="179"/>
        <v>0</v>
      </c>
      <c r="AH1081" s="28" t="e" cm="1">
        <f t="array" aca="1" ref="AH1081" ca="1">IF((AD1081) &lt; (INDEX(ResponseSLA[#All],(MATCH((G1081),ResponseSLA[Priority],0))+1,3)),"YES","No")</f>
        <v>#N/A</v>
      </c>
      <c r="AI1081" s="28" t="str">
        <f>_xlfn.IFNA(IF(AE1081 &lt; (INDEX(SLATable[Minimum SLA],MATCH(G1081,SLATable[Priority],0))),"YES","NO"),"")</f>
        <v/>
      </c>
      <c r="AJ1081" s="28" t="str">
        <f>_xlfn.IFNA(IF(AE1081 &lt; (INDEX(SLATable[Maximum SLA],MATCH(G1081,SLATable[Priority],0))),"YES","NO"),"")</f>
        <v/>
      </c>
    </row>
    <row r="1082" spans="26:36" ht="15" customHeight="1">
      <c r="Z1082" s="169" t="e">
        <f t="shared" ca="1" si="173"/>
        <v>#N/A</v>
      </c>
      <c r="AA1082" s="170" t="e">
        <f t="shared" ca="1" si="174"/>
        <v>#N/A</v>
      </c>
      <c r="AB1082" s="169">
        <f t="shared" ca="1" si="175"/>
        <v>0</v>
      </c>
      <c r="AC1082" s="170">
        <f t="shared" ca="1" si="176"/>
        <v>0</v>
      </c>
      <c r="AD1082" s="169">
        <f t="shared" ca="1" si="177"/>
        <v>12388.42564085648</v>
      </c>
      <c r="AE1082" s="169">
        <f t="shared" si="180"/>
        <v>0</v>
      </c>
      <c r="AF1082" s="170">
        <f t="shared" si="178"/>
        <v>0</v>
      </c>
      <c r="AG1082" s="170">
        <f t="shared" si="179"/>
        <v>0</v>
      </c>
      <c r="AH1082" s="28" t="e" cm="1">
        <f t="array" aca="1" ref="AH1082" ca="1">IF((AD1082) &lt; (INDEX(ResponseSLA[#All],(MATCH((G1082),ResponseSLA[Priority],0))+1,3)),"YES","No")</f>
        <v>#N/A</v>
      </c>
      <c r="AI1082" s="28" t="str">
        <f>_xlfn.IFNA(IF(AE1082 &lt; (INDEX(SLATable[Minimum SLA],MATCH(G1082,SLATable[Priority],0))),"YES","NO"),"")</f>
        <v/>
      </c>
      <c r="AJ1082" s="28" t="str">
        <f>_xlfn.IFNA(IF(AE1082 &lt; (INDEX(SLATable[Maximum SLA],MATCH(G1082,SLATable[Priority],0))),"YES","NO"),"")</f>
        <v/>
      </c>
    </row>
    <row r="1083" spans="26:36" ht="15" customHeight="1">
      <c r="Z1083" s="169" t="e">
        <f t="shared" ca="1" si="173"/>
        <v>#N/A</v>
      </c>
      <c r="AA1083" s="170" t="e">
        <f t="shared" ca="1" si="174"/>
        <v>#N/A</v>
      </c>
      <c r="AB1083" s="169">
        <f t="shared" ca="1" si="175"/>
        <v>0</v>
      </c>
      <c r="AC1083" s="170">
        <f t="shared" ca="1" si="176"/>
        <v>0</v>
      </c>
      <c r="AD1083" s="169">
        <f t="shared" ca="1" si="177"/>
        <v>12388.42564085648</v>
      </c>
      <c r="AE1083" s="169">
        <f t="shared" si="180"/>
        <v>0</v>
      </c>
      <c r="AF1083" s="170">
        <f t="shared" si="178"/>
        <v>0</v>
      </c>
      <c r="AG1083" s="170">
        <f t="shared" si="179"/>
        <v>0</v>
      </c>
      <c r="AH1083" s="28" t="e" cm="1">
        <f t="array" aca="1" ref="AH1083" ca="1">IF((AD1083) &lt; (INDEX(ResponseSLA[#All],(MATCH((G1083),ResponseSLA[Priority],0))+1,3)),"YES","No")</f>
        <v>#N/A</v>
      </c>
      <c r="AI1083" s="28" t="str">
        <f>_xlfn.IFNA(IF(AE1083 &lt; (INDEX(SLATable[Minimum SLA],MATCH(G1083,SLATable[Priority],0))),"YES","NO"),"")</f>
        <v/>
      </c>
      <c r="AJ1083" s="28" t="str">
        <f>_xlfn.IFNA(IF(AE1083 &lt; (INDEX(SLATable[Maximum SLA],MATCH(G1083,SLATable[Priority],0))),"YES","NO"),"")</f>
        <v/>
      </c>
    </row>
    <row r="1084" spans="26:36" ht="15" customHeight="1">
      <c r="Z1084" s="169" t="e">
        <f t="shared" ca="1" si="173"/>
        <v>#N/A</v>
      </c>
      <c r="AA1084" s="170" t="e">
        <f t="shared" ca="1" si="174"/>
        <v>#N/A</v>
      </c>
      <c r="AB1084" s="169">
        <f t="shared" ca="1" si="175"/>
        <v>0</v>
      </c>
      <c r="AC1084" s="170">
        <f t="shared" ca="1" si="176"/>
        <v>0</v>
      </c>
      <c r="AD1084" s="169">
        <f t="shared" ca="1" si="177"/>
        <v>12388.42564085648</v>
      </c>
      <c r="AE1084" s="169">
        <f t="shared" si="180"/>
        <v>0</v>
      </c>
      <c r="AF1084" s="170">
        <f t="shared" si="178"/>
        <v>0</v>
      </c>
      <c r="AG1084" s="170">
        <f t="shared" si="179"/>
        <v>0</v>
      </c>
      <c r="AH1084" s="28" t="e" cm="1">
        <f t="array" aca="1" ref="AH1084" ca="1">IF((AD1084) &lt; (INDEX(ResponseSLA[#All],(MATCH((G1084),ResponseSLA[Priority],0))+1,3)),"YES","No")</f>
        <v>#N/A</v>
      </c>
      <c r="AI1084" s="28" t="str">
        <f>_xlfn.IFNA(IF(AE1084 &lt; (INDEX(SLATable[Minimum SLA],MATCH(G1084,SLATable[Priority],0))),"YES","NO"),"")</f>
        <v/>
      </c>
      <c r="AJ1084" s="28" t="str">
        <f>_xlfn.IFNA(IF(AE1084 &lt; (INDEX(SLATable[Maximum SLA],MATCH(G1084,SLATable[Priority],0))),"YES","NO"),"")</f>
        <v/>
      </c>
    </row>
    <row r="1085" spans="26:36" ht="15" customHeight="1">
      <c r="Z1085" s="169" t="e">
        <f t="shared" ca="1" si="173"/>
        <v>#N/A</v>
      </c>
      <c r="AA1085" s="170" t="e">
        <f t="shared" ca="1" si="174"/>
        <v>#N/A</v>
      </c>
      <c r="AB1085" s="169">
        <f t="shared" ca="1" si="175"/>
        <v>0</v>
      </c>
      <c r="AC1085" s="170">
        <f t="shared" ca="1" si="176"/>
        <v>0</v>
      </c>
      <c r="AD1085" s="169">
        <f t="shared" ca="1" si="177"/>
        <v>12388.42564085648</v>
      </c>
      <c r="AE1085" s="169">
        <f t="shared" si="180"/>
        <v>0</v>
      </c>
      <c r="AF1085" s="170">
        <f t="shared" si="178"/>
        <v>0</v>
      </c>
      <c r="AG1085" s="170">
        <f t="shared" si="179"/>
        <v>0</v>
      </c>
      <c r="AH1085" s="28" t="e" cm="1">
        <f t="array" aca="1" ref="AH1085" ca="1">IF((AD1085) &lt; (INDEX(ResponseSLA[#All],(MATCH((G1085),ResponseSLA[Priority],0))+1,3)),"YES","No")</f>
        <v>#N/A</v>
      </c>
      <c r="AI1085" s="28" t="str">
        <f>_xlfn.IFNA(IF(AE1085 &lt; (INDEX(SLATable[Minimum SLA],MATCH(G1085,SLATable[Priority],0))),"YES","NO"),"")</f>
        <v/>
      </c>
      <c r="AJ1085" s="28" t="str">
        <f>_xlfn.IFNA(IF(AE1085 &lt; (INDEX(SLATable[Maximum SLA],MATCH(G1085,SLATable[Priority],0))),"YES","NO"),"")</f>
        <v/>
      </c>
    </row>
    <row r="1086" spans="26:36" ht="15" customHeight="1">
      <c r="Z1086" s="169" t="e">
        <f t="shared" ca="1" si="173"/>
        <v>#N/A</v>
      </c>
      <c r="AA1086" s="170" t="e">
        <f t="shared" ca="1" si="174"/>
        <v>#N/A</v>
      </c>
      <c r="AB1086" s="169">
        <f t="shared" ca="1" si="175"/>
        <v>0</v>
      </c>
      <c r="AC1086" s="170">
        <f t="shared" ca="1" si="176"/>
        <v>0</v>
      </c>
      <c r="AD1086" s="169">
        <f t="shared" ca="1" si="177"/>
        <v>12388.42564085648</v>
      </c>
      <c r="AE1086" s="169">
        <f t="shared" si="180"/>
        <v>0</v>
      </c>
      <c r="AF1086" s="170">
        <f t="shared" si="178"/>
        <v>0</v>
      </c>
      <c r="AG1086" s="170">
        <f t="shared" si="179"/>
        <v>0</v>
      </c>
      <c r="AH1086" s="28" t="e" cm="1">
        <f t="array" aca="1" ref="AH1086" ca="1">IF((AD1086) &lt; (INDEX(ResponseSLA[#All],(MATCH((G1086),ResponseSLA[Priority],0))+1,3)),"YES","No")</f>
        <v>#N/A</v>
      </c>
      <c r="AI1086" s="28" t="str">
        <f>_xlfn.IFNA(IF(AE1086 &lt; (INDEX(SLATable[Minimum SLA],MATCH(G1086,SLATable[Priority],0))),"YES","NO"),"")</f>
        <v/>
      </c>
      <c r="AJ1086" s="28" t="str">
        <f>_xlfn.IFNA(IF(AE1086 &lt; (INDEX(SLATable[Maximum SLA],MATCH(G1086,SLATable[Priority],0))),"YES","NO"),"")</f>
        <v/>
      </c>
    </row>
    <row r="1087" spans="26:36" ht="15" customHeight="1">
      <c r="Z1087" s="169" t="e">
        <f t="shared" ca="1" si="173"/>
        <v>#N/A</v>
      </c>
      <c r="AA1087" s="170" t="e">
        <f t="shared" ca="1" si="174"/>
        <v>#N/A</v>
      </c>
      <c r="AB1087" s="169">
        <f t="shared" ca="1" si="175"/>
        <v>0</v>
      </c>
      <c r="AC1087" s="170">
        <f t="shared" ca="1" si="176"/>
        <v>0</v>
      </c>
      <c r="AD1087" s="169">
        <f t="shared" ca="1" si="177"/>
        <v>12388.42564085648</v>
      </c>
      <c r="AE1087" s="169">
        <f t="shared" si="180"/>
        <v>0</v>
      </c>
      <c r="AF1087" s="170">
        <f t="shared" si="178"/>
        <v>0</v>
      </c>
      <c r="AG1087" s="170">
        <f t="shared" si="179"/>
        <v>0</v>
      </c>
      <c r="AH1087" s="28" t="e" cm="1">
        <f t="array" aca="1" ref="AH1087" ca="1">IF((AD1087) &lt; (INDEX(ResponseSLA[#All],(MATCH((G1087),ResponseSLA[Priority],0))+1,3)),"YES","No")</f>
        <v>#N/A</v>
      </c>
      <c r="AI1087" s="28" t="str">
        <f>_xlfn.IFNA(IF(AE1087 &lt; (INDEX(SLATable[Minimum SLA],MATCH(G1087,SLATable[Priority],0))),"YES","NO"),"")</f>
        <v/>
      </c>
      <c r="AJ1087" s="28" t="str">
        <f>_xlfn.IFNA(IF(AE1087 &lt; (INDEX(SLATable[Maximum SLA],MATCH(G1087,SLATable[Priority],0))),"YES","NO"),"")</f>
        <v/>
      </c>
    </row>
    <row r="1088" spans="26:36" ht="15" customHeight="1">
      <c r="Z1088" s="169" t="e">
        <f t="shared" ca="1" si="173"/>
        <v>#N/A</v>
      </c>
      <c r="AA1088" s="170" t="e">
        <f t="shared" ca="1" si="174"/>
        <v>#N/A</v>
      </c>
      <c r="AB1088" s="169">
        <f t="shared" ca="1" si="175"/>
        <v>0</v>
      </c>
      <c r="AC1088" s="170">
        <f t="shared" ca="1" si="176"/>
        <v>0</v>
      </c>
      <c r="AD1088" s="169">
        <f t="shared" ca="1" si="177"/>
        <v>12388.42564085648</v>
      </c>
      <c r="AE1088" s="169">
        <f t="shared" si="180"/>
        <v>0</v>
      </c>
      <c r="AF1088" s="170">
        <f t="shared" si="178"/>
        <v>0</v>
      </c>
      <c r="AG1088" s="170">
        <f t="shared" si="179"/>
        <v>0</v>
      </c>
      <c r="AH1088" s="28" t="e" cm="1">
        <f t="array" aca="1" ref="AH1088" ca="1">IF((AD1088) &lt; (INDEX(ResponseSLA[#All],(MATCH((G1088),ResponseSLA[Priority],0))+1,3)),"YES","No")</f>
        <v>#N/A</v>
      </c>
      <c r="AI1088" s="28" t="str">
        <f>_xlfn.IFNA(IF(AE1088 &lt; (INDEX(SLATable[Minimum SLA],MATCH(G1088,SLATable[Priority],0))),"YES","NO"),"")</f>
        <v/>
      </c>
      <c r="AJ1088" s="28" t="str">
        <f>_xlfn.IFNA(IF(AE1088 &lt; (INDEX(SLATable[Maximum SLA],MATCH(G1088,SLATable[Priority],0))),"YES","NO"),"")</f>
        <v/>
      </c>
    </row>
    <row r="1089" spans="26:36" ht="15" customHeight="1">
      <c r="Z1089" s="169" t="e">
        <f t="shared" ca="1" si="173"/>
        <v>#N/A</v>
      </c>
      <c r="AA1089" s="170" t="e">
        <f t="shared" ca="1" si="174"/>
        <v>#N/A</v>
      </c>
      <c r="AB1089" s="169">
        <f t="shared" ca="1" si="175"/>
        <v>0</v>
      </c>
      <c r="AC1089" s="170">
        <f t="shared" ca="1" si="176"/>
        <v>0</v>
      </c>
      <c r="AD1089" s="169">
        <f t="shared" ca="1" si="177"/>
        <v>12388.42564085648</v>
      </c>
      <c r="AE1089" s="169">
        <f t="shared" si="180"/>
        <v>0</v>
      </c>
      <c r="AF1089" s="170">
        <f t="shared" si="178"/>
        <v>0</v>
      </c>
      <c r="AG1089" s="170">
        <f t="shared" si="179"/>
        <v>0</v>
      </c>
      <c r="AH1089" s="28" t="e" cm="1">
        <f t="array" aca="1" ref="AH1089" ca="1">IF((AD1089) &lt; (INDEX(ResponseSLA[#All],(MATCH((G1089),ResponseSLA[Priority],0))+1,3)),"YES","No")</f>
        <v>#N/A</v>
      </c>
      <c r="AI1089" s="28" t="str">
        <f>_xlfn.IFNA(IF(AE1089 &lt; (INDEX(SLATable[Minimum SLA],MATCH(G1089,SLATable[Priority],0))),"YES","NO"),"")</f>
        <v/>
      </c>
      <c r="AJ1089" s="28" t="str">
        <f>_xlfn.IFNA(IF(AE1089 &lt; (INDEX(SLATable[Maximum SLA],MATCH(G1089,SLATable[Priority],0))),"YES","NO"),"")</f>
        <v/>
      </c>
    </row>
    <row r="1090" spans="26:36" ht="15" customHeight="1">
      <c r="Z1090" s="169" t="e">
        <f t="shared" ca="1" si="173"/>
        <v>#N/A</v>
      </c>
      <c r="AA1090" s="170" t="e">
        <f t="shared" ca="1" si="174"/>
        <v>#N/A</v>
      </c>
      <c r="AB1090" s="169">
        <f t="shared" ca="1" si="175"/>
        <v>0</v>
      </c>
      <c r="AC1090" s="170">
        <f t="shared" ca="1" si="176"/>
        <v>0</v>
      </c>
      <c r="AD1090" s="169">
        <f t="shared" ca="1" si="177"/>
        <v>12388.42564085648</v>
      </c>
      <c r="AE1090" s="169">
        <f t="shared" si="180"/>
        <v>0</v>
      </c>
      <c r="AF1090" s="170">
        <f t="shared" si="178"/>
        <v>0</v>
      </c>
      <c r="AG1090" s="170">
        <f t="shared" si="179"/>
        <v>0</v>
      </c>
      <c r="AH1090" s="28" t="e" cm="1">
        <f t="array" aca="1" ref="AH1090" ca="1">IF((AD1090) &lt; (INDEX(ResponseSLA[#All],(MATCH((G1090),ResponseSLA[Priority],0))+1,3)),"YES","No")</f>
        <v>#N/A</v>
      </c>
      <c r="AI1090" s="28" t="str">
        <f>_xlfn.IFNA(IF(AE1090 &lt; (INDEX(SLATable[Minimum SLA],MATCH(G1090,SLATable[Priority],0))),"YES","NO"),"")</f>
        <v/>
      </c>
      <c r="AJ1090" s="28" t="str">
        <f>_xlfn.IFNA(IF(AE1090 &lt; (INDEX(SLATable[Maximum SLA],MATCH(G1090,SLATable[Priority],0))),"YES","NO"),"")</f>
        <v/>
      </c>
    </row>
    <row r="1091" spans="26:36" ht="15" customHeight="1">
      <c r="Z1091" s="169" t="e">
        <f t="shared" ca="1" si="173"/>
        <v>#N/A</v>
      </c>
      <c r="AA1091" s="170" t="e">
        <f t="shared" ca="1" si="174"/>
        <v>#N/A</v>
      </c>
      <c r="AB1091" s="169">
        <f t="shared" ca="1" si="175"/>
        <v>0</v>
      </c>
      <c r="AC1091" s="170">
        <f t="shared" ca="1" si="176"/>
        <v>0</v>
      </c>
      <c r="AD1091" s="169">
        <f t="shared" ca="1" si="177"/>
        <v>12388.42564085648</v>
      </c>
      <c r="AE1091" s="169">
        <f t="shared" si="180"/>
        <v>0</v>
      </c>
      <c r="AF1091" s="170">
        <f t="shared" si="178"/>
        <v>0</v>
      </c>
      <c r="AG1091" s="170">
        <f t="shared" si="179"/>
        <v>0</v>
      </c>
      <c r="AH1091" s="28" t="e" cm="1">
        <f t="array" aca="1" ref="AH1091" ca="1">IF((AD1091) &lt; (INDEX(ResponseSLA[#All],(MATCH((G1091),ResponseSLA[Priority],0))+1,3)),"YES","No")</f>
        <v>#N/A</v>
      </c>
      <c r="AI1091" s="28" t="str">
        <f>_xlfn.IFNA(IF(AE1091 &lt; (INDEX(SLATable[Minimum SLA],MATCH(G1091,SLATable[Priority],0))),"YES","NO"),"")</f>
        <v/>
      </c>
      <c r="AJ1091" s="28" t="str">
        <f>_xlfn.IFNA(IF(AE1091 &lt; (INDEX(SLATable[Maximum SLA],MATCH(G1091,SLATable[Priority],0))),"YES","NO"),"")</f>
        <v/>
      </c>
    </row>
    <row r="1092" spans="26:36" ht="15" customHeight="1">
      <c r="Z1092" s="169" t="e">
        <f t="shared" ca="1" si="173"/>
        <v>#N/A</v>
      </c>
      <c r="AA1092" s="170" t="e">
        <f t="shared" ca="1" si="174"/>
        <v>#N/A</v>
      </c>
      <c r="AB1092" s="169">
        <f t="shared" ca="1" si="175"/>
        <v>0</v>
      </c>
      <c r="AC1092" s="170">
        <f t="shared" ca="1" si="176"/>
        <v>0</v>
      </c>
      <c r="AD1092" s="169">
        <f t="shared" ca="1" si="177"/>
        <v>12388.42564085648</v>
      </c>
      <c r="AE1092" s="169">
        <f t="shared" si="180"/>
        <v>0</v>
      </c>
      <c r="AF1092" s="170">
        <f t="shared" si="178"/>
        <v>0</v>
      </c>
      <c r="AG1092" s="170">
        <f t="shared" si="179"/>
        <v>0</v>
      </c>
      <c r="AH1092" s="28" t="e" cm="1">
        <f t="array" aca="1" ref="AH1092" ca="1">IF((AD1092) &lt; (INDEX(ResponseSLA[#All],(MATCH((G1092),ResponseSLA[Priority],0))+1,3)),"YES","No")</f>
        <v>#N/A</v>
      </c>
      <c r="AI1092" s="28" t="str">
        <f>_xlfn.IFNA(IF(AE1092 &lt; (INDEX(SLATable[Minimum SLA],MATCH(G1092,SLATable[Priority],0))),"YES","NO"),"")</f>
        <v/>
      </c>
      <c r="AJ1092" s="28" t="str">
        <f>_xlfn.IFNA(IF(AE1092 &lt; (INDEX(SLATable[Maximum SLA],MATCH(G1092,SLATable[Priority],0))),"YES","NO"),"")</f>
        <v/>
      </c>
    </row>
    <row r="1093" spans="26:36" ht="15" customHeight="1">
      <c r="Z1093" s="169" t="e">
        <f t="shared" ca="1" si="173"/>
        <v>#N/A</v>
      </c>
      <c r="AA1093" s="170" t="e">
        <f t="shared" ca="1" si="174"/>
        <v>#N/A</v>
      </c>
      <c r="AB1093" s="169">
        <f t="shared" ca="1" si="175"/>
        <v>0</v>
      </c>
      <c r="AC1093" s="170">
        <f t="shared" ca="1" si="176"/>
        <v>0</v>
      </c>
      <c r="AD1093" s="169">
        <f t="shared" ca="1" si="177"/>
        <v>12388.42564085648</v>
      </c>
      <c r="AE1093" s="169">
        <f t="shared" si="180"/>
        <v>0</v>
      </c>
      <c r="AF1093" s="170">
        <f t="shared" si="178"/>
        <v>0</v>
      </c>
      <c r="AG1093" s="170">
        <f t="shared" si="179"/>
        <v>0</v>
      </c>
      <c r="AH1093" s="28" t="e" cm="1">
        <f t="array" aca="1" ref="AH1093" ca="1">IF((AD1093) &lt; (INDEX(ResponseSLA[#All],(MATCH((G1093),ResponseSLA[Priority],0))+1,3)),"YES","No")</f>
        <v>#N/A</v>
      </c>
      <c r="AI1093" s="28" t="str">
        <f>_xlfn.IFNA(IF(AE1093 &lt; (INDEX(SLATable[Minimum SLA],MATCH(G1093,SLATable[Priority],0))),"YES","NO"),"")</f>
        <v/>
      </c>
      <c r="AJ1093" s="28" t="str">
        <f>_xlfn.IFNA(IF(AE1093 &lt; (INDEX(SLATable[Maximum SLA],MATCH(G1093,SLATable[Priority],0))),"YES","NO"),"")</f>
        <v/>
      </c>
    </row>
    <row r="1094" spans="26:36" ht="15" customHeight="1">
      <c r="Z1094" s="169" t="e">
        <f t="shared" ca="1" si="173"/>
        <v>#N/A</v>
      </c>
      <c r="AA1094" s="170" t="e">
        <f t="shared" ca="1" si="174"/>
        <v>#N/A</v>
      </c>
      <c r="AB1094" s="169">
        <f t="shared" ca="1" si="175"/>
        <v>0</v>
      </c>
      <c r="AC1094" s="170">
        <f t="shared" ca="1" si="176"/>
        <v>0</v>
      </c>
      <c r="AD1094" s="169">
        <f t="shared" ca="1" si="177"/>
        <v>12388.42564085648</v>
      </c>
      <c r="AE1094" s="169">
        <f t="shared" si="180"/>
        <v>0</v>
      </c>
      <c r="AF1094" s="170">
        <f t="shared" si="178"/>
        <v>0</v>
      </c>
      <c r="AG1094" s="170">
        <f t="shared" si="179"/>
        <v>0</v>
      </c>
      <c r="AH1094" s="28" t="e" cm="1">
        <f t="array" aca="1" ref="AH1094" ca="1">IF((AD1094) &lt; (INDEX(ResponseSLA[#All],(MATCH((G1094),ResponseSLA[Priority],0))+1,3)),"YES","No")</f>
        <v>#N/A</v>
      </c>
      <c r="AI1094" s="28" t="str">
        <f>_xlfn.IFNA(IF(AE1094 &lt; (INDEX(SLATable[Minimum SLA],MATCH(G1094,SLATable[Priority],0))),"YES","NO"),"")</f>
        <v/>
      </c>
      <c r="AJ1094" s="28" t="str">
        <f>_xlfn.IFNA(IF(AE1094 &lt; (INDEX(SLATable[Maximum SLA],MATCH(G1094,SLATable[Priority],0))),"YES","NO"),"")</f>
        <v/>
      </c>
    </row>
    <row r="1095" spans="26:36" ht="15" customHeight="1">
      <c r="Z1095" s="169" t="e">
        <f t="shared" ca="1" si="173"/>
        <v>#N/A</v>
      </c>
      <c r="AA1095" s="170" t="e">
        <f t="shared" ca="1" si="174"/>
        <v>#N/A</v>
      </c>
      <c r="AB1095" s="169">
        <f t="shared" ca="1" si="175"/>
        <v>0</v>
      </c>
      <c r="AC1095" s="170">
        <f t="shared" ca="1" si="176"/>
        <v>0</v>
      </c>
      <c r="AD1095" s="169">
        <f t="shared" ca="1" si="177"/>
        <v>12388.42564085648</v>
      </c>
      <c r="AE1095" s="169">
        <f t="shared" si="180"/>
        <v>0</v>
      </c>
      <c r="AF1095" s="170">
        <f t="shared" si="178"/>
        <v>0</v>
      </c>
      <c r="AG1095" s="170">
        <f t="shared" si="179"/>
        <v>0</v>
      </c>
      <c r="AH1095" s="28" t="e" cm="1">
        <f t="array" aca="1" ref="AH1095" ca="1">IF((AD1095) &lt; (INDEX(ResponseSLA[#All],(MATCH((G1095),ResponseSLA[Priority],0))+1,3)),"YES","No")</f>
        <v>#N/A</v>
      </c>
      <c r="AI1095" s="28" t="str">
        <f>_xlfn.IFNA(IF(AE1095 &lt; (INDEX(SLATable[Minimum SLA],MATCH(G1095,SLATable[Priority],0))),"YES","NO"),"")</f>
        <v/>
      </c>
      <c r="AJ1095" s="28" t="str">
        <f>_xlfn.IFNA(IF(AE1095 &lt; (INDEX(SLATable[Maximum SLA],MATCH(G1095,SLATable[Priority],0))),"YES","NO"),"")</f>
        <v/>
      </c>
    </row>
    <row r="1096" spans="26:36" ht="15" customHeight="1">
      <c r="Z1096" s="169" t="e">
        <f t="shared" ca="1" si="173"/>
        <v>#N/A</v>
      </c>
      <c r="AA1096" s="170" t="e">
        <f t="shared" ca="1" si="174"/>
        <v>#N/A</v>
      </c>
      <c r="AB1096" s="169">
        <f t="shared" ca="1" si="175"/>
        <v>0</v>
      </c>
      <c r="AC1096" s="170">
        <f t="shared" ca="1" si="176"/>
        <v>0</v>
      </c>
      <c r="AD1096" s="169">
        <f t="shared" ca="1" si="177"/>
        <v>12388.42564085648</v>
      </c>
      <c r="AE1096" s="169">
        <f t="shared" si="180"/>
        <v>0</v>
      </c>
      <c r="AF1096" s="170">
        <f t="shared" si="178"/>
        <v>0</v>
      </c>
      <c r="AG1096" s="170">
        <f t="shared" si="179"/>
        <v>0</v>
      </c>
      <c r="AH1096" s="28" t="e" cm="1">
        <f t="array" aca="1" ref="AH1096" ca="1">IF((AD1096) &lt; (INDEX(ResponseSLA[#All],(MATCH((G1096),ResponseSLA[Priority],0))+1,3)),"YES","No")</f>
        <v>#N/A</v>
      </c>
      <c r="AI1096" s="28" t="str">
        <f>_xlfn.IFNA(IF(AE1096 &lt; (INDEX(SLATable[Minimum SLA],MATCH(G1096,SLATable[Priority],0))),"YES","NO"),"")</f>
        <v/>
      </c>
      <c r="AJ1096" s="28" t="str">
        <f>_xlfn.IFNA(IF(AE1096 &lt; (INDEX(SLATable[Maximum SLA],MATCH(G1096,SLATable[Priority],0))),"YES","NO"),"")</f>
        <v/>
      </c>
    </row>
    <row r="1097" spans="26:36" ht="15" customHeight="1">
      <c r="Z1097" s="169" t="e">
        <f t="shared" ca="1" si="173"/>
        <v>#N/A</v>
      </c>
      <c r="AA1097" s="170" t="e">
        <f t="shared" ca="1" si="174"/>
        <v>#N/A</v>
      </c>
      <c r="AB1097" s="169">
        <f t="shared" ca="1" si="175"/>
        <v>0</v>
      </c>
      <c r="AC1097" s="170">
        <f t="shared" ca="1" si="176"/>
        <v>0</v>
      </c>
      <c r="AD1097" s="169">
        <f t="shared" ca="1" si="177"/>
        <v>12388.42564085648</v>
      </c>
      <c r="AE1097" s="169">
        <f t="shared" si="180"/>
        <v>0</v>
      </c>
      <c r="AF1097" s="170">
        <f t="shared" si="178"/>
        <v>0</v>
      </c>
      <c r="AG1097" s="170">
        <f t="shared" si="179"/>
        <v>0</v>
      </c>
      <c r="AH1097" s="28" t="e" cm="1">
        <f t="array" aca="1" ref="AH1097" ca="1">IF((AD1097) &lt; (INDEX(ResponseSLA[#All],(MATCH((G1097),ResponseSLA[Priority],0))+1,3)),"YES","No")</f>
        <v>#N/A</v>
      </c>
      <c r="AI1097" s="28" t="str">
        <f>_xlfn.IFNA(IF(AE1097 &lt; (INDEX(SLATable[Minimum SLA],MATCH(G1097,SLATable[Priority],0))),"YES","NO"),"")</f>
        <v/>
      </c>
      <c r="AJ1097" s="28" t="str">
        <f>_xlfn.IFNA(IF(AE1097 &lt; (INDEX(SLATable[Maximum SLA],MATCH(G1097,SLATable[Priority],0))),"YES","NO"),"")</f>
        <v/>
      </c>
    </row>
    <row r="1098" spans="26:36" ht="15" customHeight="1">
      <c r="Z1098" s="169" t="e">
        <f t="shared" ca="1" si="173"/>
        <v>#N/A</v>
      </c>
      <c r="AA1098" s="170" t="e">
        <f t="shared" ca="1" si="174"/>
        <v>#N/A</v>
      </c>
      <c r="AB1098" s="169">
        <f t="shared" ca="1" si="175"/>
        <v>0</v>
      </c>
      <c r="AC1098" s="170">
        <f t="shared" ca="1" si="176"/>
        <v>0</v>
      </c>
      <c r="AD1098" s="169">
        <f t="shared" ca="1" si="177"/>
        <v>12388.42564085648</v>
      </c>
      <c r="AE1098" s="169">
        <f t="shared" si="180"/>
        <v>0</v>
      </c>
      <c r="AF1098" s="170">
        <f t="shared" si="178"/>
        <v>0</v>
      </c>
      <c r="AG1098" s="170">
        <f t="shared" si="179"/>
        <v>0</v>
      </c>
      <c r="AH1098" s="28" t="e" cm="1">
        <f t="array" aca="1" ref="AH1098" ca="1">IF((AD1098) &lt; (INDEX(ResponseSLA[#All],(MATCH((G1098),ResponseSLA[Priority],0))+1,3)),"YES","No")</f>
        <v>#N/A</v>
      </c>
      <c r="AI1098" s="28" t="str">
        <f>_xlfn.IFNA(IF(AE1098 &lt; (INDEX(SLATable[Minimum SLA],MATCH(G1098,SLATable[Priority],0))),"YES","NO"),"")</f>
        <v/>
      </c>
      <c r="AJ1098" s="28" t="str">
        <f>_xlfn.IFNA(IF(AE1098 &lt; (INDEX(SLATable[Maximum SLA],MATCH(G1098,SLATable[Priority],0))),"YES","NO"),"")</f>
        <v/>
      </c>
    </row>
    <row r="1099" spans="26:36" ht="15" customHeight="1">
      <c r="Z1099" s="169" t="e">
        <f t="shared" ca="1" si="173"/>
        <v>#N/A</v>
      </c>
      <c r="AA1099" s="170" t="e">
        <f t="shared" ca="1" si="174"/>
        <v>#N/A</v>
      </c>
      <c r="AB1099" s="169">
        <f t="shared" ca="1" si="175"/>
        <v>0</v>
      </c>
      <c r="AC1099" s="170">
        <f t="shared" ca="1" si="176"/>
        <v>0</v>
      </c>
      <c r="AD1099" s="169">
        <f t="shared" ca="1" si="177"/>
        <v>12388.42564085648</v>
      </c>
      <c r="AE1099" s="169">
        <f t="shared" si="180"/>
        <v>0</v>
      </c>
      <c r="AF1099" s="170">
        <f t="shared" si="178"/>
        <v>0</v>
      </c>
      <c r="AG1099" s="170">
        <f t="shared" si="179"/>
        <v>0</v>
      </c>
      <c r="AH1099" s="28" t="e" cm="1">
        <f t="array" aca="1" ref="AH1099" ca="1">IF((AD1099) &lt; (INDEX(ResponseSLA[#All],(MATCH((G1099),ResponseSLA[Priority],0))+1,3)),"YES","No")</f>
        <v>#N/A</v>
      </c>
      <c r="AI1099" s="28" t="str">
        <f>_xlfn.IFNA(IF(AE1099 &lt; (INDEX(SLATable[Minimum SLA],MATCH(G1099,SLATable[Priority],0))),"YES","NO"),"")</f>
        <v/>
      </c>
      <c r="AJ1099" s="28" t="str">
        <f>_xlfn.IFNA(IF(AE1099 &lt; (INDEX(SLATable[Maximum SLA],MATCH(G1099,SLATable[Priority],0))),"YES","NO"),"")</f>
        <v/>
      </c>
    </row>
    <row r="1100" spans="26:36" ht="15" customHeight="1">
      <c r="Z1100" s="169" t="e">
        <f t="shared" ca="1" si="173"/>
        <v>#N/A</v>
      </c>
      <c r="AA1100" s="170" t="e">
        <f t="shared" ca="1" si="174"/>
        <v>#N/A</v>
      </c>
      <c r="AB1100" s="169">
        <f t="shared" ca="1" si="175"/>
        <v>0</v>
      </c>
      <c r="AC1100" s="170">
        <f t="shared" ca="1" si="176"/>
        <v>0</v>
      </c>
      <c r="AD1100" s="169">
        <f t="shared" ca="1" si="177"/>
        <v>12388.42564085648</v>
      </c>
      <c r="AE1100" s="169">
        <f t="shared" si="180"/>
        <v>0</v>
      </c>
      <c r="AF1100" s="170">
        <f t="shared" si="178"/>
        <v>0</v>
      </c>
      <c r="AG1100" s="170">
        <f t="shared" si="179"/>
        <v>0</v>
      </c>
      <c r="AH1100" s="28" t="e" cm="1">
        <f t="array" aca="1" ref="AH1100" ca="1">IF((AD1100) &lt; (INDEX(ResponseSLA[#All],(MATCH((G1100),ResponseSLA[Priority],0))+1,3)),"YES","No")</f>
        <v>#N/A</v>
      </c>
      <c r="AI1100" s="28" t="str">
        <f>_xlfn.IFNA(IF(AE1100 &lt; (INDEX(SLATable[Minimum SLA],MATCH(G1100,SLATable[Priority],0))),"YES","NO"),"")</f>
        <v/>
      </c>
      <c r="AJ1100" s="28" t="str">
        <f>_xlfn.IFNA(IF(AE1100 &lt; (INDEX(SLATable[Maximum SLA],MATCH(G1100,SLATable[Priority],0))),"YES","NO"),"")</f>
        <v/>
      </c>
    </row>
    <row r="1101" spans="26:36" ht="15" customHeight="1">
      <c r="Z1101" s="169" t="e">
        <f t="shared" ca="1" si="173"/>
        <v>#N/A</v>
      </c>
      <c r="AA1101" s="170" t="e">
        <f t="shared" ca="1" si="174"/>
        <v>#N/A</v>
      </c>
      <c r="AB1101" s="169">
        <f t="shared" ca="1" si="175"/>
        <v>0</v>
      </c>
      <c r="AC1101" s="170">
        <f t="shared" ca="1" si="176"/>
        <v>0</v>
      </c>
      <c r="AD1101" s="169">
        <f t="shared" ca="1" si="177"/>
        <v>12388.42564085648</v>
      </c>
      <c r="AE1101" s="169">
        <f t="shared" si="180"/>
        <v>0</v>
      </c>
      <c r="AF1101" s="170">
        <f t="shared" si="178"/>
        <v>0</v>
      </c>
      <c r="AG1101" s="170">
        <f t="shared" si="179"/>
        <v>0</v>
      </c>
      <c r="AH1101" s="28" t="e" cm="1">
        <f t="array" aca="1" ref="AH1101" ca="1">IF((AD1101) &lt; (INDEX(ResponseSLA[#All],(MATCH((G1101),ResponseSLA[Priority],0))+1,3)),"YES","No")</f>
        <v>#N/A</v>
      </c>
      <c r="AI1101" s="28" t="str">
        <f>_xlfn.IFNA(IF(AE1101 &lt; (INDEX(SLATable[Minimum SLA],MATCH(G1101,SLATable[Priority],0))),"YES","NO"),"")</f>
        <v/>
      </c>
      <c r="AJ1101" s="28" t="str">
        <f>_xlfn.IFNA(IF(AE1101 &lt; (INDEX(SLATable[Maximum SLA],MATCH(G1101,SLATable[Priority],0))),"YES","NO"),"")</f>
        <v/>
      </c>
    </row>
    <row r="1102" spans="26:36" ht="15" customHeight="1">
      <c r="Z1102" s="169" t="e">
        <f t="shared" ca="1" si="173"/>
        <v>#N/A</v>
      </c>
      <c r="AA1102" s="170" t="e">
        <f t="shared" ca="1" si="174"/>
        <v>#N/A</v>
      </c>
      <c r="AB1102" s="169">
        <f t="shared" ca="1" si="175"/>
        <v>0</v>
      </c>
      <c r="AC1102" s="170">
        <f t="shared" ca="1" si="176"/>
        <v>0</v>
      </c>
      <c r="AD1102" s="169">
        <f t="shared" ca="1" si="177"/>
        <v>12388.42564085648</v>
      </c>
      <c r="AE1102" s="169">
        <f t="shared" si="180"/>
        <v>0</v>
      </c>
      <c r="AF1102" s="170">
        <f t="shared" si="178"/>
        <v>0</v>
      </c>
      <c r="AG1102" s="170">
        <f t="shared" si="179"/>
        <v>0</v>
      </c>
      <c r="AH1102" s="28" t="e" cm="1">
        <f t="array" aca="1" ref="AH1102" ca="1">IF((AD1102) &lt; (INDEX(ResponseSLA[#All],(MATCH((G1102),ResponseSLA[Priority],0))+1,3)),"YES","No")</f>
        <v>#N/A</v>
      </c>
      <c r="AI1102" s="28" t="str">
        <f>_xlfn.IFNA(IF(AE1102 &lt; (INDEX(SLATable[Minimum SLA],MATCH(G1102,SLATable[Priority],0))),"YES","NO"),"")</f>
        <v/>
      </c>
      <c r="AJ1102" s="28" t="str">
        <f>_xlfn.IFNA(IF(AE1102 &lt; (INDEX(SLATable[Maximum SLA],MATCH(G1102,SLATable[Priority],0))),"YES","NO"),"")</f>
        <v/>
      </c>
    </row>
    <row r="1103" spans="26:36" ht="15" customHeight="1">
      <c r="Z1103" s="169" t="e">
        <f t="shared" ca="1" si="173"/>
        <v>#N/A</v>
      </c>
      <c r="AA1103" s="170" t="e">
        <f t="shared" ca="1" si="174"/>
        <v>#N/A</v>
      </c>
      <c r="AB1103" s="169">
        <f t="shared" ca="1" si="175"/>
        <v>0</v>
      </c>
      <c r="AC1103" s="170">
        <f t="shared" ca="1" si="176"/>
        <v>0</v>
      </c>
      <c r="AD1103" s="169">
        <f t="shared" ca="1" si="177"/>
        <v>12388.42564085648</v>
      </c>
      <c r="AE1103" s="169">
        <f t="shared" si="180"/>
        <v>0</v>
      </c>
      <c r="AF1103" s="170">
        <f t="shared" si="178"/>
        <v>0</v>
      </c>
      <c r="AG1103" s="170">
        <f t="shared" si="179"/>
        <v>0</v>
      </c>
      <c r="AH1103" s="28" t="e" cm="1">
        <f t="array" aca="1" ref="AH1103" ca="1">IF((AD1103) &lt; (INDEX(ResponseSLA[#All],(MATCH((G1103),ResponseSLA[Priority],0))+1,3)),"YES","No")</f>
        <v>#N/A</v>
      </c>
      <c r="AI1103" s="28" t="str">
        <f>_xlfn.IFNA(IF(AE1103 &lt; (INDEX(SLATable[Minimum SLA],MATCH(G1103,SLATable[Priority],0))),"YES","NO"),"")</f>
        <v/>
      </c>
      <c r="AJ1103" s="28" t="str">
        <f>_xlfn.IFNA(IF(AE1103 &lt; (INDEX(SLATable[Maximum SLA],MATCH(G1103,SLATable[Priority],0))),"YES","NO"),"")</f>
        <v/>
      </c>
    </row>
    <row r="1104" spans="26:36" ht="15" customHeight="1">
      <c r="Z1104" s="169" t="e">
        <f t="shared" ca="1" si="173"/>
        <v>#N/A</v>
      </c>
      <c r="AA1104" s="170" t="e">
        <f t="shared" ca="1" si="174"/>
        <v>#N/A</v>
      </c>
      <c r="AB1104" s="169">
        <f t="shared" ca="1" si="175"/>
        <v>0</v>
      </c>
      <c r="AC1104" s="170">
        <f t="shared" ca="1" si="176"/>
        <v>0</v>
      </c>
      <c r="AD1104" s="169">
        <f t="shared" ca="1" si="177"/>
        <v>12388.42564085648</v>
      </c>
      <c r="AE1104" s="169">
        <f t="shared" si="180"/>
        <v>0</v>
      </c>
      <c r="AF1104" s="170">
        <f t="shared" si="178"/>
        <v>0</v>
      </c>
      <c r="AG1104" s="170">
        <f t="shared" si="179"/>
        <v>0</v>
      </c>
      <c r="AH1104" s="28" t="e" cm="1">
        <f t="array" aca="1" ref="AH1104" ca="1">IF((AD1104) &lt; (INDEX(ResponseSLA[#All],(MATCH((G1104),ResponseSLA[Priority],0))+1,3)),"YES","No")</f>
        <v>#N/A</v>
      </c>
      <c r="AI1104" s="28" t="str">
        <f>_xlfn.IFNA(IF(AE1104 &lt; (INDEX(SLATable[Minimum SLA],MATCH(G1104,SLATable[Priority],0))),"YES","NO"),"")</f>
        <v/>
      </c>
      <c r="AJ1104" s="28" t="str">
        <f>_xlfn.IFNA(IF(AE1104 &lt; (INDEX(SLATable[Maximum SLA],MATCH(G1104,SLATable[Priority],0))),"YES","NO"),"")</f>
        <v/>
      </c>
    </row>
    <row r="1105" spans="26:36" ht="15" customHeight="1">
      <c r="Z1105" s="169" t="e">
        <f t="shared" ca="1" si="173"/>
        <v>#N/A</v>
      </c>
      <c r="AA1105" s="170" t="e">
        <f t="shared" ca="1" si="174"/>
        <v>#N/A</v>
      </c>
      <c r="AB1105" s="169">
        <f t="shared" ca="1" si="175"/>
        <v>0</v>
      </c>
      <c r="AC1105" s="170">
        <f t="shared" ca="1" si="176"/>
        <v>0</v>
      </c>
      <c r="AD1105" s="169">
        <f t="shared" ca="1" si="177"/>
        <v>12388.42564085648</v>
      </c>
      <c r="AE1105" s="169">
        <f t="shared" si="180"/>
        <v>0</v>
      </c>
      <c r="AF1105" s="170">
        <f t="shared" si="178"/>
        <v>0</v>
      </c>
      <c r="AG1105" s="170">
        <f t="shared" si="179"/>
        <v>0</v>
      </c>
      <c r="AH1105" s="28" t="e" cm="1">
        <f t="array" aca="1" ref="AH1105" ca="1">IF((AD1105) &lt; (INDEX(ResponseSLA[#All],(MATCH((G1105),ResponseSLA[Priority],0))+1,3)),"YES","No")</f>
        <v>#N/A</v>
      </c>
      <c r="AI1105" s="28" t="str">
        <f>_xlfn.IFNA(IF(AE1105 &lt; (INDEX(SLATable[Minimum SLA],MATCH(G1105,SLATable[Priority],0))),"YES","NO"),"")</f>
        <v/>
      </c>
      <c r="AJ1105" s="28" t="str">
        <f>_xlfn.IFNA(IF(AE1105 &lt; (INDEX(SLATable[Maximum SLA],MATCH(G1105,SLATable[Priority],0))),"YES","NO"),"")</f>
        <v/>
      </c>
    </row>
    <row r="1106" spans="26:36" ht="15" customHeight="1">
      <c r="Z1106" s="169" t="e">
        <f t="shared" ca="1" si="173"/>
        <v>#N/A</v>
      </c>
      <c r="AA1106" s="170" t="e">
        <f t="shared" ca="1" si="174"/>
        <v>#N/A</v>
      </c>
      <c r="AB1106" s="169">
        <f t="shared" ca="1" si="175"/>
        <v>0</v>
      </c>
      <c r="AC1106" s="170">
        <f t="shared" ca="1" si="176"/>
        <v>0</v>
      </c>
      <c r="AD1106" s="169">
        <f t="shared" ca="1" si="177"/>
        <v>12388.42564085648</v>
      </c>
      <c r="AE1106" s="169">
        <f t="shared" si="180"/>
        <v>0</v>
      </c>
      <c r="AF1106" s="170">
        <f t="shared" si="178"/>
        <v>0</v>
      </c>
      <c r="AG1106" s="170">
        <f t="shared" si="179"/>
        <v>0</v>
      </c>
      <c r="AH1106" s="28" t="e" cm="1">
        <f t="array" aca="1" ref="AH1106" ca="1">IF((AD1106) &lt; (INDEX(ResponseSLA[#All],(MATCH((G1106),ResponseSLA[Priority],0))+1,3)),"YES","No")</f>
        <v>#N/A</v>
      </c>
      <c r="AI1106" s="28" t="str">
        <f>_xlfn.IFNA(IF(AE1106 &lt; (INDEX(SLATable[Minimum SLA],MATCH(G1106,SLATable[Priority],0))),"YES","NO"),"")</f>
        <v/>
      </c>
      <c r="AJ1106" s="28" t="str">
        <f>_xlfn.IFNA(IF(AE1106 &lt; (INDEX(SLATable[Maximum SLA],MATCH(G1106,SLATable[Priority],0))),"YES","NO"),"")</f>
        <v/>
      </c>
    </row>
    <row r="1107" spans="26:36" ht="15" customHeight="1">
      <c r="Z1107" s="169" t="e">
        <f t="shared" ca="1" si="173"/>
        <v>#N/A</v>
      </c>
      <c r="AA1107" s="170" t="e">
        <f t="shared" ca="1" si="174"/>
        <v>#N/A</v>
      </c>
      <c r="AB1107" s="169">
        <f t="shared" ca="1" si="175"/>
        <v>0</v>
      </c>
      <c r="AC1107" s="170">
        <f t="shared" ca="1" si="176"/>
        <v>0</v>
      </c>
      <c r="AD1107" s="169">
        <f t="shared" ca="1" si="177"/>
        <v>12388.42564085648</v>
      </c>
      <c r="AE1107" s="169">
        <f t="shared" si="180"/>
        <v>0</v>
      </c>
      <c r="AF1107" s="170">
        <f t="shared" si="178"/>
        <v>0</v>
      </c>
      <c r="AG1107" s="170">
        <f t="shared" si="179"/>
        <v>0</v>
      </c>
      <c r="AH1107" s="28" t="e" cm="1">
        <f t="array" aca="1" ref="AH1107" ca="1">IF((AD1107) &lt; (INDEX(ResponseSLA[#All],(MATCH((G1107),ResponseSLA[Priority],0))+1,3)),"YES","No")</f>
        <v>#N/A</v>
      </c>
      <c r="AI1107" s="28" t="str">
        <f>_xlfn.IFNA(IF(AE1107 &lt; (INDEX(SLATable[Minimum SLA],MATCH(G1107,SLATable[Priority],0))),"YES","NO"),"")</f>
        <v/>
      </c>
      <c r="AJ1107" s="28" t="str">
        <f>_xlfn.IFNA(IF(AE1107 &lt; (INDEX(SLATable[Maximum SLA],MATCH(G1107,SLATable[Priority],0))),"YES","NO"),"")</f>
        <v/>
      </c>
    </row>
    <row r="1108" spans="26:36" ht="15" customHeight="1">
      <c r="Z1108" s="169" t="e">
        <f t="shared" ca="1" si="173"/>
        <v>#N/A</v>
      </c>
      <c r="AA1108" s="170" t="e">
        <f t="shared" ca="1" si="174"/>
        <v>#N/A</v>
      </c>
      <c r="AB1108" s="169">
        <f t="shared" ca="1" si="175"/>
        <v>0</v>
      </c>
      <c r="AC1108" s="170">
        <f t="shared" ca="1" si="176"/>
        <v>0</v>
      </c>
      <c r="AD1108" s="169">
        <f t="shared" ca="1" si="177"/>
        <v>12388.42564085648</v>
      </c>
      <c r="AE1108" s="169">
        <f t="shared" si="180"/>
        <v>0</v>
      </c>
      <c r="AF1108" s="170">
        <f t="shared" si="178"/>
        <v>0</v>
      </c>
      <c r="AG1108" s="170">
        <f t="shared" si="179"/>
        <v>0</v>
      </c>
      <c r="AH1108" s="28" t="e" cm="1">
        <f t="array" aca="1" ref="AH1108" ca="1">IF((AD1108) &lt; (INDEX(ResponseSLA[#All],(MATCH((G1108),ResponseSLA[Priority],0))+1,3)),"YES","No")</f>
        <v>#N/A</v>
      </c>
      <c r="AI1108" s="28" t="str">
        <f>_xlfn.IFNA(IF(AE1108 &lt; (INDEX(SLATable[Minimum SLA],MATCH(G1108,SLATable[Priority],0))),"YES","NO"),"")</f>
        <v/>
      </c>
      <c r="AJ1108" s="28" t="str">
        <f>_xlfn.IFNA(IF(AE1108 &lt; (INDEX(SLATable[Maximum SLA],MATCH(G1108,SLATable[Priority],0))),"YES","NO"),"")</f>
        <v/>
      </c>
    </row>
    <row r="1109" spans="26:36" ht="15" customHeight="1">
      <c r="Z1109" s="169" t="e">
        <f t="shared" ca="1" si="173"/>
        <v>#N/A</v>
      </c>
      <c r="AA1109" s="170" t="e">
        <f t="shared" ca="1" si="174"/>
        <v>#N/A</v>
      </c>
      <c r="AB1109" s="169">
        <f t="shared" ca="1" si="175"/>
        <v>0</v>
      </c>
      <c r="AC1109" s="170">
        <f t="shared" ca="1" si="176"/>
        <v>0</v>
      </c>
      <c r="AD1109" s="169">
        <f t="shared" ca="1" si="177"/>
        <v>12388.42564085648</v>
      </c>
      <c r="AE1109" s="169">
        <f t="shared" si="180"/>
        <v>0</v>
      </c>
      <c r="AF1109" s="170">
        <f t="shared" si="178"/>
        <v>0</v>
      </c>
      <c r="AG1109" s="170">
        <f t="shared" si="179"/>
        <v>0</v>
      </c>
      <c r="AH1109" s="28" t="e" cm="1">
        <f t="array" aca="1" ref="AH1109" ca="1">IF((AD1109) &lt; (INDEX(ResponseSLA[#All],(MATCH((G1109),ResponseSLA[Priority],0))+1,3)),"YES","No")</f>
        <v>#N/A</v>
      </c>
      <c r="AI1109" s="28" t="str">
        <f>_xlfn.IFNA(IF(AE1109 &lt; (INDEX(SLATable[Minimum SLA],MATCH(G1109,SLATable[Priority],0))),"YES","NO"),"")</f>
        <v/>
      </c>
      <c r="AJ1109" s="28" t="str">
        <f>_xlfn.IFNA(IF(AE1109 &lt; (INDEX(SLATable[Maximum SLA],MATCH(G1109,SLATable[Priority],0))),"YES","NO"),"")</f>
        <v/>
      </c>
    </row>
    <row r="1110" spans="26:36" ht="15" customHeight="1">
      <c r="Z1110" s="169" t="e">
        <f t="shared" ca="1" si="173"/>
        <v>#N/A</v>
      </c>
      <c r="AA1110" s="170" t="e">
        <f t="shared" ca="1" si="174"/>
        <v>#N/A</v>
      </c>
      <c r="AB1110" s="169">
        <f t="shared" ca="1" si="175"/>
        <v>0</v>
      </c>
      <c r="AC1110" s="170">
        <f t="shared" ca="1" si="176"/>
        <v>0</v>
      </c>
      <c r="AD1110" s="169">
        <f t="shared" ca="1" si="177"/>
        <v>12388.42564085648</v>
      </c>
      <c r="AE1110" s="169">
        <f t="shared" si="180"/>
        <v>0</v>
      </c>
      <c r="AF1110" s="170">
        <f t="shared" si="178"/>
        <v>0</v>
      </c>
      <c r="AG1110" s="170">
        <f t="shared" si="179"/>
        <v>0</v>
      </c>
      <c r="AH1110" s="28" t="e" cm="1">
        <f t="array" aca="1" ref="AH1110" ca="1">IF((AD1110) &lt; (INDEX(ResponseSLA[#All],(MATCH((G1110),ResponseSLA[Priority],0))+1,3)),"YES","No")</f>
        <v>#N/A</v>
      </c>
      <c r="AI1110" s="28" t="str">
        <f>_xlfn.IFNA(IF(AE1110 &lt; (INDEX(SLATable[Minimum SLA],MATCH(G1110,SLATable[Priority],0))),"YES","NO"),"")</f>
        <v/>
      </c>
      <c r="AJ1110" s="28" t="str">
        <f>_xlfn.IFNA(IF(AE1110 &lt; (INDEX(SLATable[Maximum SLA],MATCH(G1110,SLATable[Priority],0))),"YES","NO"),"")</f>
        <v/>
      </c>
    </row>
    <row r="1111" spans="26:36" ht="15" customHeight="1">
      <c r="Z1111" s="169" t="e">
        <f t="shared" ca="1" si="173"/>
        <v>#N/A</v>
      </c>
      <c r="AA1111" s="170" t="e">
        <f t="shared" ca="1" si="174"/>
        <v>#N/A</v>
      </c>
      <c r="AB1111" s="169">
        <f t="shared" ca="1" si="175"/>
        <v>0</v>
      </c>
      <c r="AC1111" s="170">
        <f t="shared" ca="1" si="176"/>
        <v>0</v>
      </c>
      <c r="AD1111" s="169">
        <f t="shared" ca="1" si="177"/>
        <v>12388.42564085648</v>
      </c>
      <c r="AE1111" s="169">
        <f t="shared" si="180"/>
        <v>0</v>
      </c>
      <c r="AF1111" s="170">
        <f t="shared" si="178"/>
        <v>0</v>
      </c>
      <c r="AG1111" s="170">
        <f t="shared" si="179"/>
        <v>0</v>
      </c>
      <c r="AH1111" s="28" t="e" cm="1">
        <f t="array" aca="1" ref="AH1111" ca="1">IF((AD1111) &lt; (INDEX(ResponseSLA[#All],(MATCH((G1111),ResponseSLA[Priority],0))+1,3)),"YES","No")</f>
        <v>#N/A</v>
      </c>
      <c r="AI1111" s="28" t="str">
        <f>_xlfn.IFNA(IF(AE1111 &lt; (INDEX(SLATable[Minimum SLA],MATCH(G1111,SLATable[Priority],0))),"YES","NO"),"")</f>
        <v/>
      </c>
      <c r="AJ1111" s="28" t="str">
        <f>_xlfn.IFNA(IF(AE1111 &lt; (INDEX(SLATable[Maximum SLA],MATCH(G1111,SLATable[Priority],0))),"YES","NO"),"")</f>
        <v/>
      </c>
    </row>
    <row r="1112" spans="26:36" ht="15" customHeight="1">
      <c r="Z1112" s="169" t="e">
        <f t="shared" ca="1" si="173"/>
        <v>#N/A</v>
      </c>
      <c r="AA1112" s="170" t="e">
        <f t="shared" ca="1" si="174"/>
        <v>#N/A</v>
      </c>
      <c r="AB1112" s="169">
        <f t="shared" ca="1" si="175"/>
        <v>0</v>
      </c>
      <c r="AC1112" s="170">
        <f t="shared" ca="1" si="176"/>
        <v>0</v>
      </c>
      <c r="AD1112" s="169">
        <f t="shared" ca="1" si="177"/>
        <v>12388.42564085648</v>
      </c>
      <c r="AE1112" s="169">
        <f t="shared" si="180"/>
        <v>0</v>
      </c>
      <c r="AF1112" s="170">
        <f t="shared" si="178"/>
        <v>0</v>
      </c>
      <c r="AG1112" s="170">
        <f t="shared" si="179"/>
        <v>0</v>
      </c>
      <c r="AH1112" s="28" t="e" cm="1">
        <f t="array" aca="1" ref="AH1112" ca="1">IF((AD1112) &lt; (INDEX(ResponseSLA[#All],(MATCH((G1112),ResponseSLA[Priority],0))+1,3)),"YES","No")</f>
        <v>#N/A</v>
      </c>
      <c r="AI1112" s="28" t="str">
        <f>_xlfn.IFNA(IF(AE1112 &lt; (INDEX(SLATable[Minimum SLA],MATCH(G1112,SLATable[Priority],0))),"YES","NO"),"")</f>
        <v/>
      </c>
      <c r="AJ1112" s="28" t="str">
        <f>_xlfn.IFNA(IF(AE1112 &lt; (INDEX(SLATable[Maximum SLA],MATCH(G1112,SLATable[Priority],0))),"YES","NO"),"")</f>
        <v/>
      </c>
    </row>
    <row r="1113" spans="26:36" ht="15" customHeight="1">
      <c r="Z1113" s="169" t="e">
        <f t="shared" ca="1" si="173"/>
        <v>#N/A</v>
      </c>
      <c r="AA1113" s="170" t="e">
        <f t="shared" ca="1" si="174"/>
        <v>#N/A</v>
      </c>
      <c r="AB1113" s="169">
        <f t="shared" ca="1" si="175"/>
        <v>0</v>
      </c>
      <c r="AC1113" s="170">
        <f t="shared" ca="1" si="176"/>
        <v>0</v>
      </c>
      <c r="AD1113" s="169">
        <f t="shared" ca="1" si="177"/>
        <v>12388.42564085648</v>
      </c>
      <c r="AE1113" s="169">
        <f t="shared" si="180"/>
        <v>0</v>
      </c>
      <c r="AF1113" s="170">
        <f t="shared" si="178"/>
        <v>0</v>
      </c>
      <c r="AG1113" s="170">
        <f t="shared" si="179"/>
        <v>0</v>
      </c>
      <c r="AH1113" s="28" t="e" cm="1">
        <f t="array" aca="1" ref="AH1113" ca="1">IF((AD1113) &lt; (INDEX(ResponseSLA[#All],(MATCH((G1113),ResponseSLA[Priority],0))+1,3)),"YES","No")</f>
        <v>#N/A</v>
      </c>
      <c r="AI1113" s="28" t="str">
        <f>_xlfn.IFNA(IF(AE1113 &lt; (INDEX(SLATable[Minimum SLA],MATCH(G1113,SLATable[Priority],0))),"YES","NO"),"")</f>
        <v/>
      </c>
      <c r="AJ1113" s="28" t="str">
        <f>_xlfn.IFNA(IF(AE1113 &lt; (INDEX(SLATable[Maximum SLA],MATCH(G1113,SLATable[Priority],0))),"YES","NO"),"")</f>
        <v/>
      </c>
    </row>
    <row r="1114" spans="26:36" ht="15" customHeight="1">
      <c r="Z1114" s="169" t="e">
        <f t="shared" ca="1" si="173"/>
        <v>#N/A</v>
      </c>
      <c r="AA1114" s="170" t="e">
        <f t="shared" ca="1" si="174"/>
        <v>#N/A</v>
      </c>
      <c r="AB1114" s="169">
        <f t="shared" ca="1" si="175"/>
        <v>0</v>
      </c>
      <c r="AC1114" s="170">
        <f t="shared" ca="1" si="176"/>
        <v>0</v>
      </c>
      <c r="AD1114" s="169">
        <f t="shared" ca="1" si="177"/>
        <v>12388.42564085648</v>
      </c>
      <c r="AE1114" s="169">
        <f t="shared" si="180"/>
        <v>0</v>
      </c>
      <c r="AF1114" s="170">
        <f t="shared" si="178"/>
        <v>0</v>
      </c>
      <c r="AG1114" s="170">
        <f t="shared" si="179"/>
        <v>0</v>
      </c>
      <c r="AH1114" s="28" t="e" cm="1">
        <f t="array" aca="1" ref="AH1114" ca="1">IF((AD1114) &lt; (INDEX(ResponseSLA[#All],(MATCH((G1114),ResponseSLA[Priority],0))+1,3)),"YES","No")</f>
        <v>#N/A</v>
      </c>
      <c r="AI1114" s="28" t="str">
        <f>_xlfn.IFNA(IF(AE1114 &lt; (INDEX(SLATable[Minimum SLA],MATCH(G1114,SLATable[Priority],0))),"YES","NO"),"")</f>
        <v/>
      </c>
      <c r="AJ1114" s="28" t="str">
        <f>_xlfn.IFNA(IF(AE1114 &lt; (INDEX(SLATable[Maximum SLA],MATCH(G1114,SLATable[Priority],0))),"YES","NO"),"")</f>
        <v/>
      </c>
    </row>
    <row r="1115" spans="26:36" ht="15" customHeight="1">
      <c r="Z1115" s="169" t="e">
        <f t="shared" ca="1" si="173"/>
        <v>#N/A</v>
      </c>
      <c r="AA1115" s="170" t="e">
        <f t="shared" ca="1" si="174"/>
        <v>#N/A</v>
      </c>
      <c r="AB1115" s="169">
        <f t="shared" ca="1" si="175"/>
        <v>0</v>
      </c>
      <c r="AC1115" s="170">
        <f t="shared" ca="1" si="176"/>
        <v>0</v>
      </c>
      <c r="AD1115" s="169">
        <f t="shared" ca="1" si="177"/>
        <v>12388.42564085648</v>
      </c>
      <c r="AE1115" s="169">
        <f t="shared" si="180"/>
        <v>0</v>
      </c>
      <c r="AF1115" s="170">
        <f t="shared" si="178"/>
        <v>0</v>
      </c>
      <c r="AG1115" s="170">
        <f t="shared" si="179"/>
        <v>0</v>
      </c>
      <c r="AH1115" s="28" t="e" cm="1">
        <f t="array" aca="1" ref="AH1115" ca="1">IF((AD1115) &lt; (INDEX(ResponseSLA[#All],(MATCH((G1115),ResponseSLA[Priority],0))+1,3)),"YES","No")</f>
        <v>#N/A</v>
      </c>
      <c r="AI1115" s="28" t="str">
        <f>_xlfn.IFNA(IF(AE1115 &lt; (INDEX(SLATable[Minimum SLA],MATCH(G1115,SLATable[Priority],0))),"YES","NO"),"")</f>
        <v/>
      </c>
      <c r="AJ1115" s="28" t="str">
        <f>_xlfn.IFNA(IF(AE1115 &lt; (INDEX(SLATable[Maximum SLA],MATCH(G1115,SLATable[Priority],0))),"YES","NO"),"")</f>
        <v/>
      </c>
    </row>
    <row r="1116" spans="26:36" ht="15" customHeight="1">
      <c r="Z1116" s="169" t="e">
        <f t="shared" ca="1" si="173"/>
        <v>#N/A</v>
      </c>
      <c r="AA1116" s="170" t="e">
        <f t="shared" ca="1" si="174"/>
        <v>#N/A</v>
      </c>
      <c r="AB1116" s="169">
        <f t="shared" ca="1" si="175"/>
        <v>0</v>
      </c>
      <c r="AC1116" s="170">
        <f t="shared" ca="1" si="176"/>
        <v>0</v>
      </c>
      <c r="AD1116" s="169">
        <f t="shared" ca="1" si="177"/>
        <v>12388.42564085648</v>
      </c>
      <c r="AE1116" s="169">
        <f t="shared" si="180"/>
        <v>0</v>
      </c>
      <c r="AF1116" s="170">
        <f t="shared" si="178"/>
        <v>0</v>
      </c>
      <c r="AG1116" s="170">
        <f t="shared" si="179"/>
        <v>0</v>
      </c>
      <c r="AH1116" s="28" t="e" cm="1">
        <f t="array" aca="1" ref="AH1116" ca="1">IF((AD1116) &lt; (INDEX(ResponseSLA[#All],(MATCH((G1116),ResponseSLA[Priority],0))+1,3)),"YES","No")</f>
        <v>#N/A</v>
      </c>
      <c r="AI1116" s="28" t="str">
        <f>_xlfn.IFNA(IF(AE1116 &lt; (INDEX(SLATable[Minimum SLA],MATCH(G1116,SLATable[Priority],0))),"YES","NO"),"")</f>
        <v/>
      </c>
      <c r="AJ1116" s="28" t="str">
        <f>_xlfn.IFNA(IF(AE1116 &lt; (INDEX(SLATable[Maximum SLA],MATCH(G1116,SLATable[Priority],0))),"YES","NO"),"")</f>
        <v/>
      </c>
    </row>
    <row r="1117" spans="26:36" ht="15" customHeight="1">
      <c r="Z1117" s="169" t="e">
        <f t="shared" ca="1" si="173"/>
        <v>#N/A</v>
      </c>
      <c r="AA1117" s="170" t="e">
        <f t="shared" ca="1" si="174"/>
        <v>#N/A</v>
      </c>
      <c r="AB1117" s="169">
        <f t="shared" ca="1" si="175"/>
        <v>0</v>
      </c>
      <c r="AC1117" s="170">
        <f t="shared" ca="1" si="176"/>
        <v>0</v>
      </c>
      <c r="AD1117" s="169">
        <f t="shared" ca="1" si="177"/>
        <v>12388.42564085648</v>
      </c>
      <c r="AE1117" s="169">
        <f t="shared" si="180"/>
        <v>0</v>
      </c>
      <c r="AF1117" s="170">
        <f t="shared" si="178"/>
        <v>0</v>
      </c>
      <c r="AG1117" s="170">
        <f t="shared" si="179"/>
        <v>0</v>
      </c>
      <c r="AH1117" s="28" t="e" cm="1">
        <f t="array" aca="1" ref="AH1117" ca="1">IF((AD1117) &lt; (INDEX(ResponseSLA[#All],(MATCH((G1117),ResponseSLA[Priority],0))+1,3)),"YES","No")</f>
        <v>#N/A</v>
      </c>
      <c r="AI1117" s="28" t="str">
        <f>_xlfn.IFNA(IF(AE1117 &lt; (INDEX(SLATable[Minimum SLA],MATCH(G1117,SLATable[Priority],0))),"YES","NO"),"")</f>
        <v/>
      </c>
      <c r="AJ1117" s="28" t="str">
        <f>_xlfn.IFNA(IF(AE1117 &lt; (INDEX(SLATable[Maximum SLA],MATCH(G1117,SLATable[Priority],0))),"YES","NO"),"")</f>
        <v/>
      </c>
    </row>
    <row r="1118" spans="26:36" ht="15" customHeight="1">
      <c r="Z1118" s="169" t="e">
        <f t="shared" ca="1" si="173"/>
        <v>#N/A</v>
      </c>
      <c r="AA1118" s="170" t="e">
        <f t="shared" ca="1" si="174"/>
        <v>#N/A</v>
      </c>
      <c r="AB1118" s="169">
        <f t="shared" ca="1" si="175"/>
        <v>0</v>
      </c>
      <c r="AC1118" s="170">
        <f t="shared" ca="1" si="176"/>
        <v>0</v>
      </c>
      <c r="AD1118" s="169">
        <f t="shared" ca="1" si="177"/>
        <v>12388.42564085648</v>
      </c>
      <c r="AE1118" s="169">
        <f t="shared" si="180"/>
        <v>0</v>
      </c>
      <c r="AF1118" s="170">
        <f t="shared" si="178"/>
        <v>0</v>
      </c>
      <c r="AG1118" s="170">
        <f t="shared" si="179"/>
        <v>0</v>
      </c>
      <c r="AH1118" s="28" t="e" cm="1">
        <f t="array" aca="1" ref="AH1118" ca="1">IF((AD1118) &lt; (INDEX(ResponseSLA[#All],(MATCH((G1118),ResponseSLA[Priority],0))+1,3)),"YES","No")</f>
        <v>#N/A</v>
      </c>
      <c r="AI1118" s="28" t="str">
        <f>_xlfn.IFNA(IF(AE1118 &lt; (INDEX(SLATable[Minimum SLA],MATCH(G1118,SLATable[Priority],0))),"YES","NO"),"")</f>
        <v/>
      </c>
      <c r="AJ1118" s="28" t="str">
        <f>_xlfn.IFNA(IF(AE1118 &lt; (INDEX(SLATable[Maximum SLA],MATCH(G1118,SLATable[Priority],0))),"YES","NO"),"")</f>
        <v/>
      </c>
    </row>
    <row r="1119" spans="26:36" ht="15" customHeight="1">
      <c r="Z1119" s="169" t="e">
        <f t="shared" ca="1" si="173"/>
        <v>#N/A</v>
      </c>
      <c r="AA1119" s="170" t="e">
        <f t="shared" ca="1" si="174"/>
        <v>#N/A</v>
      </c>
      <c r="AB1119" s="169">
        <f t="shared" ca="1" si="175"/>
        <v>0</v>
      </c>
      <c r="AC1119" s="170">
        <f t="shared" ca="1" si="176"/>
        <v>0</v>
      </c>
      <c r="AD1119" s="169">
        <f t="shared" ca="1" si="177"/>
        <v>12388.42564085648</v>
      </c>
      <c r="AE1119" s="169">
        <f t="shared" si="180"/>
        <v>0</v>
      </c>
      <c r="AF1119" s="170">
        <f t="shared" si="178"/>
        <v>0</v>
      </c>
      <c r="AG1119" s="170">
        <f t="shared" si="179"/>
        <v>0</v>
      </c>
      <c r="AH1119" s="28" t="e" cm="1">
        <f t="array" aca="1" ref="AH1119" ca="1">IF((AD1119) &lt; (INDEX(ResponseSLA[#All],(MATCH((G1119),ResponseSLA[Priority],0))+1,3)),"YES","No")</f>
        <v>#N/A</v>
      </c>
      <c r="AI1119" s="28" t="str">
        <f>_xlfn.IFNA(IF(AE1119 &lt; (INDEX(SLATable[Minimum SLA],MATCH(G1119,SLATable[Priority],0))),"YES","NO"),"")</f>
        <v/>
      </c>
      <c r="AJ1119" s="28" t="str">
        <f>_xlfn.IFNA(IF(AE1119 &lt; (INDEX(SLATable[Maximum SLA],MATCH(G1119,SLATable[Priority],0))),"YES","NO"),"")</f>
        <v/>
      </c>
    </row>
    <row r="1120" spans="26:36" ht="15" customHeight="1">
      <c r="Z1120" s="169" t="e">
        <f t="shared" ca="1" si="173"/>
        <v>#N/A</v>
      </c>
      <c r="AA1120" s="170" t="e">
        <f t="shared" ca="1" si="174"/>
        <v>#N/A</v>
      </c>
      <c r="AB1120" s="169">
        <f t="shared" ca="1" si="175"/>
        <v>0</v>
      </c>
      <c r="AC1120" s="170">
        <f t="shared" ca="1" si="176"/>
        <v>0</v>
      </c>
      <c r="AD1120" s="169">
        <f t="shared" ca="1" si="177"/>
        <v>12388.42564085648</v>
      </c>
      <c r="AE1120" s="169">
        <f t="shared" si="180"/>
        <v>0</v>
      </c>
      <c r="AF1120" s="170">
        <f t="shared" si="178"/>
        <v>0</v>
      </c>
      <c r="AG1120" s="170">
        <f t="shared" si="179"/>
        <v>0</v>
      </c>
      <c r="AH1120" s="28" t="e" cm="1">
        <f t="array" aca="1" ref="AH1120" ca="1">IF((AD1120) &lt; (INDEX(ResponseSLA[#All],(MATCH((G1120),ResponseSLA[Priority],0))+1,3)),"YES","No")</f>
        <v>#N/A</v>
      </c>
      <c r="AI1120" s="28" t="str">
        <f>_xlfn.IFNA(IF(AE1120 &lt; (INDEX(SLATable[Minimum SLA],MATCH(G1120,SLATable[Priority],0))),"YES","NO"),"")</f>
        <v/>
      </c>
      <c r="AJ1120" s="28" t="str">
        <f>_xlfn.IFNA(IF(AE1120 &lt; (INDEX(SLATable[Maximum SLA],MATCH(G1120,SLATable[Priority],0))),"YES","NO"),"")</f>
        <v/>
      </c>
    </row>
    <row r="1121" spans="26:36" ht="15" customHeight="1">
      <c r="Z1121" s="169" t="e">
        <f t="shared" ca="1" si="173"/>
        <v>#N/A</v>
      </c>
      <c r="AA1121" s="170" t="e">
        <f t="shared" ca="1" si="174"/>
        <v>#N/A</v>
      </c>
      <c r="AB1121" s="169">
        <f t="shared" ca="1" si="175"/>
        <v>0</v>
      </c>
      <c r="AC1121" s="170">
        <f t="shared" ca="1" si="176"/>
        <v>0</v>
      </c>
      <c r="AD1121" s="169">
        <f t="shared" ca="1" si="177"/>
        <v>12388.42564085648</v>
      </c>
      <c r="AE1121" s="169">
        <f t="shared" si="180"/>
        <v>0</v>
      </c>
      <c r="AF1121" s="170">
        <f t="shared" si="178"/>
        <v>0</v>
      </c>
      <c r="AG1121" s="170">
        <f t="shared" si="179"/>
        <v>0</v>
      </c>
      <c r="AH1121" s="28" t="e" cm="1">
        <f t="array" aca="1" ref="AH1121" ca="1">IF((AD1121) &lt; (INDEX(ResponseSLA[#All],(MATCH((G1121),ResponseSLA[Priority],0))+1,3)),"YES","No")</f>
        <v>#N/A</v>
      </c>
      <c r="AI1121" s="28" t="str">
        <f>_xlfn.IFNA(IF(AE1121 &lt; (INDEX(SLATable[Minimum SLA],MATCH(G1121,SLATable[Priority],0))),"YES","NO"),"")</f>
        <v/>
      </c>
      <c r="AJ1121" s="28" t="str">
        <f>_xlfn.IFNA(IF(AE1121 &lt; (INDEX(SLATable[Maximum SLA],MATCH(G1121,SLATable[Priority],0))),"YES","NO"),"")</f>
        <v/>
      </c>
    </row>
    <row r="1122" spans="26:36" ht="15" customHeight="1">
      <c r="Z1122" s="169" t="e">
        <f t="shared" ca="1" si="173"/>
        <v>#N/A</v>
      </c>
      <c r="AA1122" s="170" t="e">
        <f t="shared" ca="1" si="174"/>
        <v>#N/A</v>
      </c>
      <c r="AB1122" s="169">
        <f t="shared" ca="1" si="175"/>
        <v>0</v>
      </c>
      <c r="AC1122" s="170">
        <f t="shared" ca="1" si="176"/>
        <v>0</v>
      </c>
      <c r="AD1122" s="169">
        <f t="shared" ca="1" si="177"/>
        <v>12388.42564085648</v>
      </c>
      <c r="AE1122" s="169">
        <f t="shared" si="180"/>
        <v>0</v>
      </c>
      <c r="AF1122" s="170">
        <f t="shared" si="178"/>
        <v>0</v>
      </c>
      <c r="AG1122" s="170">
        <f t="shared" si="179"/>
        <v>0</v>
      </c>
      <c r="AH1122" s="28" t="e" cm="1">
        <f t="array" aca="1" ref="AH1122" ca="1">IF((AD1122) &lt; (INDEX(ResponseSLA[#All],(MATCH((G1122),ResponseSLA[Priority],0))+1,3)),"YES","No")</f>
        <v>#N/A</v>
      </c>
      <c r="AI1122" s="28" t="str">
        <f>_xlfn.IFNA(IF(AE1122 &lt; (INDEX(SLATable[Minimum SLA],MATCH(G1122,SLATable[Priority],0))),"YES","NO"),"")</f>
        <v/>
      </c>
      <c r="AJ1122" s="28" t="str">
        <f>_xlfn.IFNA(IF(AE1122 &lt; (INDEX(SLATable[Maximum SLA],MATCH(G1122,SLATable[Priority],0))),"YES","NO"),"")</f>
        <v/>
      </c>
    </row>
    <row r="1123" spans="26:36" ht="15" customHeight="1">
      <c r="Z1123" s="169" t="e">
        <f t="shared" ca="1" si="173"/>
        <v>#N/A</v>
      </c>
      <c r="AA1123" s="170" t="e">
        <f t="shared" ca="1" si="174"/>
        <v>#N/A</v>
      </c>
      <c r="AB1123" s="169">
        <f t="shared" ca="1" si="175"/>
        <v>0</v>
      </c>
      <c r="AC1123" s="170">
        <f t="shared" ca="1" si="176"/>
        <v>0</v>
      </c>
      <c r="AD1123" s="169">
        <f t="shared" ca="1" si="177"/>
        <v>12388.42564085648</v>
      </c>
      <c r="AE1123" s="169">
        <f t="shared" si="180"/>
        <v>0</v>
      </c>
      <c r="AF1123" s="170">
        <f t="shared" si="178"/>
        <v>0</v>
      </c>
      <c r="AG1123" s="170">
        <f t="shared" si="179"/>
        <v>0</v>
      </c>
      <c r="AH1123" s="28" t="e" cm="1">
        <f t="array" aca="1" ref="AH1123" ca="1">IF((AD1123) &lt; (INDEX(ResponseSLA[#All],(MATCH((G1123),ResponseSLA[Priority],0))+1,3)),"YES","No")</f>
        <v>#N/A</v>
      </c>
      <c r="AI1123" s="28" t="str">
        <f>_xlfn.IFNA(IF(AE1123 &lt; (INDEX(SLATable[Minimum SLA],MATCH(G1123,SLATable[Priority],0))),"YES","NO"),"")</f>
        <v/>
      </c>
      <c r="AJ1123" s="28" t="str">
        <f>_xlfn.IFNA(IF(AE1123 &lt; (INDEX(SLATable[Maximum SLA],MATCH(G1123,SLATable[Priority],0))),"YES","NO"),"")</f>
        <v/>
      </c>
    </row>
    <row r="1124" spans="26:36" ht="15" customHeight="1">
      <c r="Z1124" s="169" t="e">
        <f t="shared" ca="1" si="173"/>
        <v>#N/A</v>
      </c>
      <c r="AA1124" s="170" t="e">
        <f t="shared" ca="1" si="174"/>
        <v>#N/A</v>
      </c>
      <c r="AB1124" s="169">
        <f t="shared" ca="1" si="175"/>
        <v>0</v>
      </c>
      <c r="AC1124" s="170">
        <f t="shared" ca="1" si="176"/>
        <v>0</v>
      </c>
      <c r="AD1124" s="169">
        <f t="shared" ca="1" si="177"/>
        <v>12388.42564085648</v>
      </c>
      <c r="AE1124" s="169">
        <f t="shared" si="180"/>
        <v>0</v>
      </c>
      <c r="AF1124" s="170">
        <f t="shared" si="178"/>
        <v>0</v>
      </c>
      <c r="AG1124" s="170">
        <f t="shared" si="179"/>
        <v>0</v>
      </c>
      <c r="AH1124" s="28" t="e" cm="1">
        <f t="array" aca="1" ref="AH1124" ca="1">IF((AD1124) &lt; (INDEX(ResponseSLA[#All],(MATCH((G1124),ResponseSLA[Priority],0))+1,3)),"YES","No")</f>
        <v>#N/A</v>
      </c>
      <c r="AI1124" s="28" t="str">
        <f>_xlfn.IFNA(IF(AE1124 &lt; (INDEX(SLATable[Minimum SLA],MATCH(G1124,SLATable[Priority],0))),"YES","NO"),"")</f>
        <v/>
      </c>
      <c r="AJ1124" s="28" t="str">
        <f>_xlfn.IFNA(IF(AE1124 &lt; (INDEX(SLATable[Maximum SLA],MATCH(G1124,SLATable[Priority],0))),"YES","NO"),"")</f>
        <v/>
      </c>
    </row>
    <row r="1125" spans="26:36" ht="15" customHeight="1">
      <c r="Z1125" s="169" t="e">
        <f t="shared" ca="1" si="173"/>
        <v>#N/A</v>
      </c>
      <c r="AA1125" s="170" t="e">
        <f t="shared" ca="1" si="174"/>
        <v>#N/A</v>
      </c>
      <c r="AB1125" s="169">
        <f t="shared" ca="1" si="175"/>
        <v>0</v>
      </c>
      <c r="AC1125" s="170">
        <f t="shared" ca="1" si="176"/>
        <v>0</v>
      </c>
      <c r="AD1125" s="169">
        <f t="shared" ca="1" si="177"/>
        <v>12388.42564085648</v>
      </c>
      <c r="AE1125" s="169">
        <f t="shared" si="180"/>
        <v>0</v>
      </c>
      <c r="AF1125" s="170">
        <f t="shared" si="178"/>
        <v>0</v>
      </c>
      <c r="AG1125" s="170">
        <f t="shared" si="179"/>
        <v>0</v>
      </c>
      <c r="AH1125" s="28" t="e" cm="1">
        <f t="array" aca="1" ref="AH1125" ca="1">IF((AD1125) &lt; (INDEX(ResponseSLA[#All],(MATCH((G1125),ResponseSLA[Priority],0))+1,3)),"YES","No")</f>
        <v>#N/A</v>
      </c>
      <c r="AI1125" s="28" t="str">
        <f>_xlfn.IFNA(IF(AE1125 &lt; (INDEX(SLATable[Minimum SLA],MATCH(G1125,SLATable[Priority],0))),"YES","NO"),"")</f>
        <v/>
      </c>
      <c r="AJ1125" s="28" t="str">
        <f>_xlfn.IFNA(IF(AE1125 &lt; (INDEX(SLATable[Maximum SLA],MATCH(G1125,SLATable[Priority],0))),"YES","NO"),"")</f>
        <v/>
      </c>
    </row>
    <row r="1126" spans="26:36" ht="15" customHeight="1">
      <c r="Z1126" s="169" t="e">
        <f t="shared" ca="1" si="173"/>
        <v>#N/A</v>
      </c>
      <c r="AA1126" s="170" t="e">
        <f t="shared" ca="1" si="174"/>
        <v>#N/A</v>
      </c>
      <c r="AB1126" s="169">
        <f t="shared" ca="1" si="175"/>
        <v>0</v>
      </c>
      <c r="AC1126" s="170">
        <f t="shared" ca="1" si="176"/>
        <v>0</v>
      </c>
      <c r="AD1126" s="169">
        <f t="shared" ca="1" si="177"/>
        <v>12388.42564085648</v>
      </c>
      <c r="AE1126" s="169">
        <f t="shared" si="180"/>
        <v>0</v>
      </c>
      <c r="AF1126" s="170">
        <f t="shared" si="178"/>
        <v>0</v>
      </c>
      <c r="AG1126" s="170">
        <f t="shared" si="179"/>
        <v>0</v>
      </c>
      <c r="AH1126" s="28" t="e" cm="1">
        <f t="array" aca="1" ref="AH1126" ca="1">IF((AD1126) &lt; (INDEX(ResponseSLA[#All],(MATCH((G1126),ResponseSLA[Priority],0))+1,3)),"YES","No")</f>
        <v>#N/A</v>
      </c>
      <c r="AI1126" s="28" t="str">
        <f>_xlfn.IFNA(IF(AE1126 &lt; (INDEX(SLATable[Minimum SLA],MATCH(G1126,SLATable[Priority],0))),"YES","NO"),"")</f>
        <v/>
      </c>
      <c r="AJ1126" s="28" t="str">
        <f>_xlfn.IFNA(IF(AE1126 &lt; (INDEX(SLATable[Maximum SLA],MATCH(G1126,SLATable[Priority],0))),"YES","NO"),"")</f>
        <v/>
      </c>
    </row>
    <row r="1127" spans="26:36" ht="15" customHeight="1">
      <c r="Z1127" s="169" t="e">
        <f t="shared" ca="1" si="173"/>
        <v>#N/A</v>
      </c>
      <c r="AA1127" s="170" t="e">
        <f t="shared" ca="1" si="174"/>
        <v>#N/A</v>
      </c>
      <c r="AB1127" s="169">
        <f t="shared" ca="1" si="175"/>
        <v>0</v>
      </c>
      <c r="AC1127" s="170">
        <f t="shared" ca="1" si="176"/>
        <v>0</v>
      </c>
      <c r="AD1127" s="169">
        <f t="shared" ca="1" si="177"/>
        <v>12388.42564085648</v>
      </c>
      <c r="AE1127" s="169">
        <f t="shared" si="180"/>
        <v>0</v>
      </c>
      <c r="AF1127" s="170">
        <f t="shared" si="178"/>
        <v>0</v>
      </c>
      <c r="AG1127" s="170">
        <f t="shared" si="179"/>
        <v>0</v>
      </c>
      <c r="AH1127" s="28" t="e" cm="1">
        <f t="array" aca="1" ref="AH1127" ca="1">IF((AD1127) &lt; (INDEX(ResponseSLA[#All],(MATCH((G1127),ResponseSLA[Priority],0))+1,3)),"YES","No")</f>
        <v>#N/A</v>
      </c>
      <c r="AI1127" s="28" t="str">
        <f>_xlfn.IFNA(IF(AE1127 &lt; (INDEX(SLATable[Minimum SLA],MATCH(G1127,SLATable[Priority],0))),"YES","NO"),"")</f>
        <v/>
      </c>
      <c r="AJ1127" s="28" t="str">
        <f>_xlfn.IFNA(IF(AE1127 &lt; (INDEX(SLATable[Maximum SLA],MATCH(G1127,SLATable[Priority],0))),"YES","NO"),"")</f>
        <v/>
      </c>
    </row>
    <row r="1128" spans="26:36" ht="15" customHeight="1">
      <c r="Z1128" s="169" t="e">
        <f t="shared" ca="1" si="173"/>
        <v>#N/A</v>
      </c>
      <c r="AA1128" s="170" t="e">
        <f t="shared" ca="1" si="174"/>
        <v>#N/A</v>
      </c>
      <c r="AB1128" s="169">
        <f t="shared" ca="1" si="175"/>
        <v>0</v>
      </c>
      <c r="AC1128" s="170">
        <f t="shared" ca="1" si="176"/>
        <v>0</v>
      </c>
      <c r="AD1128" s="169">
        <f t="shared" ca="1" si="177"/>
        <v>12388.42564085648</v>
      </c>
      <c r="AE1128" s="169">
        <f t="shared" si="180"/>
        <v>0</v>
      </c>
      <c r="AF1128" s="170">
        <f t="shared" si="178"/>
        <v>0</v>
      </c>
      <c r="AG1128" s="170">
        <f t="shared" si="179"/>
        <v>0</v>
      </c>
      <c r="AH1128" s="28" t="e" cm="1">
        <f t="array" aca="1" ref="AH1128" ca="1">IF((AD1128) &lt; (INDEX(ResponseSLA[#All],(MATCH((G1128),ResponseSLA[Priority],0))+1,3)),"YES","No")</f>
        <v>#N/A</v>
      </c>
      <c r="AI1128" s="28" t="str">
        <f>_xlfn.IFNA(IF(AE1128 &lt; (INDEX(SLATable[Minimum SLA],MATCH(G1128,SLATable[Priority],0))),"YES","NO"),"")</f>
        <v/>
      </c>
      <c r="AJ1128" s="28" t="str">
        <f>_xlfn.IFNA(IF(AE1128 &lt; (INDEX(SLATable[Maximum SLA],MATCH(G1128,SLATable[Priority],0))),"YES","NO"),"")</f>
        <v/>
      </c>
    </row>
    <row r="1129" spans="26:36" ht="15" customHeight="1">
      <c r="Z1129" s="169" t="e">
        <f t="shared" ca="1" si="173"/>
        <v>#N/A</v>
      </c>
      <c r="AA1129" s="170" t="e">
        <f t="shared" ca="1" si="174"/>
        <v>#N/A</v>
      </c>
      <c r="AB1129" s="169">
        <f t="shared" ca="1" si="175"/>
        <v>0</v>
      </c>
      <c r="AC1129" s="170">
        <f t="shared" ca="1" si="176"/>
        <v>0</v>
      </c>
      <c r="AD1129" s="169">
        <f t="shared" ca="1" si="177"/>
        <v>12388.42564085648</v>
      </c>
      <c r="AE1129" s="169">
        <f t="shared" si="180"/>
        <v>0</v>
      </c>
      <c r="AF1129" s="170">
        <f t="shared" si="178"/>
        <v>0</v>
      </c>
      <c r="AG1129" s="170">
        <f t="shared" si="179"/>
        <v>0</v>
      </c>
      <c r="AH1129" s="28" t="e" cm="1">
        <f t="array" aca="1" ref="AH1129" ca="1">IF((AD1129) &lt; (INDEX(ResponseSLA[#All],(MATCH((G1129),ResponseSLA[Priority],0))+1,3)),"YES","No")</f>
        <v>#N/A</v>
      </c>
      <c r="AI1129" s="28" t="str">
        <f>_xlfn.IFNA(IF(AE1129 &lt; (INDEX(SLATable[Minimum SLA],MATCH(G1129,SLATable[Priority],0))),"YES","NO"),"")</f>
        <v/>
      </c>
      <c r="AJ1129" s="28" t="str">
        <f>_xlfn.IFNA(IF(AE1129 &lt; (INDEX(SLATable[Maximum SLA],MATCH(G1129,SLATable[Priority],0))),"YES","NO"),"")</f>
        <v/>
      </c>
    </row>
    <row r="1130" spans="26:36" ht="15" customHeight="1">
      <c r="Z1130" s="169" t="e">
        <f t="shared" ca="1" si="173"/>
        <v>#N/A</v>
      </c>
      <c r="AA1130" s="170" t="e">
        <f t="shared" ca="1" si="174"/>
        <v>#N/A</v>
      </c>
      <c r="AB1130" s="169">
        <f t="shared" ca="1" si="175"/>
        <v>0</v>
      </c>
      <c r="AC1130" s="170">
        <f t="shared" ca="1" si="176"/>
        <v>0</v>
      </c>
      <c r="AD1130" s="169">
        <f t="shared" ca="1" si="177"/>
        <v>12388.42564085648</v>
      </c>
      <c r="AE1130" s="169">
        <f t="shared" si="180"/>
        <v>0</v>
      </c>
      <c r="AF1130" s="170">
        <f t="shared" si="178"/>
        <v>0</v>
      </c>
      <c r="AG1130" s="170">
        <f t="shared" si="179"/>
        <v>0</v>
      </c>
      <c r="AH1130" s="28" t="e" cm="1">
        <f t="array" aca="1" ref="AH1130" ca="1">IF((AD1130) &lt; (INDEX(ResponseSLA[#All],(MATCH((G1130),ResponseSLA[Priority],0))+1,3)),"YES","No")</f>
        <v>#N/A</v>
      </c>
      <c r="AI1130" s="28" t="str">
        <f>_xlfn.IFNA(IF(AE1130 &lt; (INDEX(SLATable[Minimum SLA],MATCH(G1130,SLATable[Priority],0))),"YES","NO"),"")</f>
        <v/>
      </c>
      <c r="AJ1130" s="28" t="str">
        <f>_xlfn.IFNA(IF(AE1130 &lt; (INDEX(SLATable[Maximum SLA],MATCH(G1130,SLATable[Priority],0))),"YES","NO"),"")</f>
        <v/>
      </c>
    </row>
    <row r="1131" spans="26:36" ht="15" customHeight="1">
      <c r="Z1131" s="169" t="e">
        <f t="shared" ca="1" si="173"/>
        <v>#N/A</v>
      </c>
      <c r="AA1131" s="170" t="e">
        <f t="shared" ca="1" si="174"/>
        <v>#N/A</v>
      </c>
      <c r="AB1131" s="169">
        <f t="shared" ca="1" si="175"/>
        <v>0</v>
      </c>
      <c r="AC1131" s="170">
        <f t="shared" ca="1" si="176"/>
        <v>0</v>
      </c>
      <c r="AD1131" s="169">
        <f t="shared" ca="1" si="177"/>
        <v>12388.42564085648</v>
      </c>
      <c r="AE1131" s="169">
        <f t="shared" si="180"/>
        <v>0</v>
      </c>
      <c r="AF1131" s="170">
        <f t="shared" si="178"/>
        <v>0</v>
      </c>
      <c r="AG1131" s="170">
        <f t="shared" si="179"/>
        <v>0</v>
      </c>
      <c r="AH1131" s="28" t="e" cm="1">
        <f t="array" aca="1" ref="AH1131" ca="1">IF((AD1131) &lt; (INDEX(ResponseSLA[#All],(MATCH((G1131),ResponseSLA[Priority],0))+1,3)),"YES","No")</f>
        <v>#N/A</v>
      </c>
      <c r="AI1131" s="28" t="str">
        <f>_xlfn.IFNA(IF(AE1131 &lt; (INDEX(SLATable[Minimum SLA],MATCH(G1131,SLATable[Priority],0))),"YES","NO"),"")</f>
        <v/>
      </c>
      <c r="AJ1131" s="28" t="str">
        <f>_xlfn.IFNA(IF(AE1131 &lt; (INDEX(SLATable[Maximum SLA],MATCH(G1131,SLATable[Priority],0))),"YES","NO"),"")</f>
        <v/>
      </c>
    </row>
    <row r="1132" spans="26:36" ht="15" customHeight="1">
      <c r="Z1132" s="169" t="e">
        <f t="shared" ref="Z1132:Z1195" ca="1" si="181">IF(NOT(OR(G1132=1,G1132=2)),MAX(0,_xlfn.IFS(AND(K1132&lt;&gt;"",N1132&lt;&gt;""),((MAX(NETWORKDAYS(K1132,N1132,UKBankHolidays)-1,0))*(TIME(17,0,0)-TIME(8,0,0))+IF(NETWORKDAYS(N1132,N1132,UKBankHolidays)&gt;0,MEDIAN(TIME(8,0,0),MOD(N1132,1),TIME(17,0,0)),TIME(8,0,0))-IF(NETWORKDAYS(K1132,K1132,UKBankHolidays)&gt;0,MEDIAN(TIME(8,0,0),MOD(K1132,1),TIME(17,0,0)),TIME(8,0,0)))-IF(AND(O1132&lt;&gt;"",P1132&lt;&gt;""),((MAX(NETWORKDAYS(O1132,P1132,UKBankHolidays)-1,0))*(TIME(17,0,0)-TIME(8,0,0))+IF(NETWORKDAYS(P1132,P1132,UKBankHolidays)&gt;0,MEDIAN(TIME(8,0,0),MOD(P1132,1),TIME(17,0,0)),TIME(8,0,0))-IF(NETWORKDAYS(O1132,O1132,UKBankHolidays)&gt;0,MEDIAN(TIME(8,0,0),MOD(O1132,1),TIME(17,0,0)),TIME(8,0,0))),0),AND(K1132&lt;&gt;"",N1132=""),((MAX(NETWORKDAYS(K1132,NOW(),UKBankHolidays)-1,0))*(TIME(17,0,0)-TIME(8,0,0))+IF(NETWORKDAYS(NOW(),NOW(),UKBankHolidays)&gt;0,MEDIAN(TIME(8,0,0),MOD(NOW(),1),TIME(17,0,0)),TIME(8,0,0))-IF(NETWORKDAYS(K1132,K1132,UKBankHolidays)&gt;0,MEDIAN(TIME(8,0,0),MOD(K1132,1),TIME(17,0,0)),TIME(8,0,0))))),IF(N1132="",NOW()-K1132,N1132-K1132))</f>
        <v>#N/A</v>
      </c>
      <c r="AA1132" s="170" t="e">
        <f t="shared" ref="AA1132:AA1195" ca="1" si="182">(Z1132*24)/9</f>
        <v>#N/A</v>
      </c>
      <c r="AB1132" s="169">
        <f t="shared" ref="AB1132:AB1195" ca="1" si="183">IF(NOT(OR(G1132=1,G1132=2)),MAX(0,_xlfn.IFS(AND(K1132&lt;&gt;"",N1132&lt;&gt;""),(((MAX(NETWORKDAYS(L1132,N1132,UKBankHolidays)-1,0))*(TIME(17,0,0)-TIME(8,0,0)))+IF(NETWORKDAYS(N1132,N1132,UKBankHolidays)&gt;0,MEDIAN(TIME(8,0,0),MOD(N1132,1),TIME(17,0,0)),TIME(8,0,0))-IF(NETWORKDAYS(L1132,L1132,UKBankHolidays)&gt;0,MEDIAN(TIME(8,0,0),MOD(L1132,1),TIME(17,0,0)),TIME(8,0,0)))-IF(AND(O1132&lt;&gt;"",P1132&lt;&gt;""),(((MAX(NETWORKDAYS(O1132,P1132,UKBankHolidays)-1,0))*(TIME(17,0,0)-TIME(8,0,0)))+IF(NETWORKDAYS(P1132,P1132,UKBankHolidays)&gt;0,MEDIAN(TIME(8,0,0),MOD(P1132,1),TIME(17,0,0)),TIME(8,0,0))-IF(NETWORKDAYS(O1132,O1132,UKBankHolidays)&gt;0,MEDIAN(TIME(8,0,0),MOD(O1132,1),TIME(17,0,0)),TIME(8,0,0))),0),AND(L1132&lt;&gt;"",N1132="",O1132=""),(((MAX(NETWORKDAYS(L1132,NOW(),UKBankHolidays)-1,0))*(TIME(17,0,0)-TIME(8,0,0)))+IF(NETWORKDAYS(NOW(),NOW(),UKBankHolidays)&gt;0,MEDIAN(TIME(8,0,0),MOD(NOW(),1),TIME(17,0,0)),TIME(8,0,0))-IF(NETWORKDAYS(L1132,L1132,UKBankHolidays)&gt;0,MEDIAN(TIME(8,0,0),MOD(L1132,1),TIME(17,0,0)),TIME(8,0,0)))-IF(AND(O1132&lt;&gt;"",P1132&lt;&gt;""),(((MAX(NETWORKDAYS(O1132,P1132,UKBankHolidays)-1,0))*(TIME(17,0,0)-TIME(8,0,0)))+IF(NETWORKDAYS(P1132,P1132,UKBankHolidays)&gt;0,MEDIAN(TIME(8,0,0),MOD(P1132,1),TIME(17,0,0)),TIME(8,0,0))-IF(NETWORKDAYS(O1132,O1132,UKBankHolidays)&gt;0,MEDIAN(TIME(8,0,0),MOD(O1132,1),TIME(17,0,0)),TIME(8,0,0))),0),AND(L1132&lt;&gt;"",N1132="",P1132="",O1132&lt;&gt;""),(((MAX(NETWORKDAYS(L1132,O1132,UKBankHolidays)-1,0))*(TIME(17,0,0)-TIME(8,0,0)))+IF(NETWORKDAYS(O1132,O1132,UKBankHolidays)&gt;0,MEDIAN(TIME(8,0,0),MOD(O1132,1),TIME(17,0,0)),TIME(8,0,0))-IF(NETWORKDAYS(L1132,L1132,UKBankHolidays)&gt;0,MEDIAN(TIME(8,0,0),MOD(L1132,1),TIME(17,0,0)),TIME(8,0,0))),ISBLANK(K1132),"0")),IF(ISBLANK(N1132),NOW()-L1132,N1132-L1132))</f>
        <v>0</v>
      </c>
      <c r="AC1132" s="170">
        <f t="shared" ref="AC1132:AC1195" ca="1" si="184">(AB1132*24)/9</f>
        <v>0</v>
      </c>
      <c r="AD1132" s="169">
        <f t="shared" ref="AD1132:AD1195" ca="1" si="185">MAX(0,IF(NOT(OR(G1132=1,G1132=2)),IF(M1132&lt;&gt;"",((MAX(NETWORKDAYS(L1132,M1132,UKBankHolidays)-1,0))*(TIME(17,0,0)-TIME(8,0,0))+IF(NETWORKDAYS(M1132,M1132,UKBankHolidays)&gt;0,MEDIAN(TIME(8,0,0),MOD(M1132,1),TIME(17,0,0)),TIME(8,0,0))-MEDIAN(TIME(8,0,0),MOD(L1132,1),TIME(17,0,0))),((MAX(NETWORKDAYS(L1132,NOW(),UKBankHolidays)-1,0))*(TIME(17,0,0)-TIME(8,0,0))+IF(NETWORKDAYS(NOW(),NOW(),UKBankHolidays)&gt;0,MEDIAN(TIME(8,0,0),MOD(NOW(),1),TIME(17,0,0)),TIME(8,0,0))-MEDIAN(TIME(8,0,0),MOD(L1132,1),TIME(17,0,0)))),IF(M1132&lt;&gt;"",M1132-L1132,NOW()-L1132)))</f>
        <v>12388.42564085648</v>
      </c>
      <c r="AE1132" s="169">
        <f t="shared" si="180"/>
        <v>0</v>
      </c>
      <c r="AF1132" s="170">
        <f t="shared" ref="AF1132:AF1195" si="186">(AE1132*24)/9</f>
        <v>0</v>
      </c>
      <c r="AG1132" s="170">
        <f t="shared" ref="AG1132:AG1195" si="187">AF1132</f>
        <v>0</v>
      </c>
      <c r="AH1132" s="28" t="e" cm="1">
        <f t="array" aca="1" ref="AH1132" ca="1">IF((AD1132) &lt; (INDEX(ResponseSLA[#All],(MATCH((G1132),ResponseSLA[Priority],0))+1,3)),"YES","No")</f>
        <v>#N/A</v>
      </c>
      <c r="AI1132" s="28" t="str">
        <f>_xlfn.IFNA(IF(AE1132 &lt; (INDEX(SLATable[Minimum SLA],MATCH(G1132,SLATable[Priority],0))),"YES","NO"),"")</f>
        <v/>
      </c>
      <c r="AJ1132" s="28" t="str">
        <f>_xlfn.IFNA(IF(AE1132 &lt; (INDEX(SLATable[Maximum SLA],MATCH(G1132,SLATable[Priority],0))),"YES","NO"),"")</f>
        <v/>
      </c>
    </row>
    <row r="1133" spans="26:36" ht="15" customHeight="1">
      <c r="Z1133" s="169" t="e">
        <f t="shared" ca="1" si="181"/>
        <v>#N/A</v>
      </c>
      <c r="AA1133" s="170" t="e">
        <f t="shared" ca="1" si="182"/>
        <v>#N/A</v>
      </c>
      <c r="AB1133" s="169">
        <f t="shared" ca="1" si="183"/>
        <v>0</v>
      </c>
      <c r="AC1133" s="170">
        <f t="shared" ca="1" si="184"/>
        <v>0</v>
      </c>
      <c r="AD1133" s="169">
        <f t="shared" ca="1" si="185"/>
        <v>12388.42564085648</v>
      </c>
      <c r="AE1133" s="169">
        <f t="shared" si="180"/>
        <v>0</v>
      </c>
      <c r="AF1133" s="170">
        <f t="shared" si="186"/>
        <v>0</v>
      </c>
      <c r="AG1133" s="170">
        <f t="shared" si="187"/>
        <v>0</v>
      </c>
      <c r="AH1133" s="28" t="e" cm="1">
        <f t="array" aca="1" ref="AH1133" ca="1">IF((AD1133) &lt; (INDEX(ResponseSLA[#All],(MATCH((G1133),ResponseSLA[Priority],0))+1,3)),"YES","No")</f>
        <v>#N/A</v>
      </c>
      <c r="AI1133" s="28" t="str">
        <f>_xlfn.IFNA(IF(AE1133 &lt; (INDEX(SLATable[Minimum SLA],MATCH(G1133,SLATable[Priority],0))),"YES","NO"),"")</f>
        <v/>
      </c>
      <c r="AJ1133" s="28" t="str">
        <f>_xlfn.IFNA(IF(AE1133 &lt; (INDEX(SLATable[Maximum SLA],MATCH(G1133,SLATable[Priority],0))),"YES","NO"),"")</f>
        <v/>
      </c>
    </row>
    <row r="1134" spans="26:36" ht="15" customHeight="1">
      <c r="Z1134" s="169" t="e">
        <f t="shared" ca="1" si="181"/>
        <v>#N/A</v>
      </c>
      <c r="AA1134" s="170" t="e">
        <f t="shared" ca="1" si="182"/>
        <v>#N/A</v>
      </c>
      <c r="AB1134" s="169">
        <f t="shared" ca="1" si="183"/>
        <v>0</v>
      </c>
      <c r="AC1134" s="170">
        <f t="shared" ca="1" si="184"/>
        <v>0</v>
      </c>
      <c r="AD1134" s="169">
        <f t="shared" ca="1" si="185"/>
        <v>12388.42564085648</v>
      </c>
      <c r="AE1134" s="169">
        <f t="shared" si="180"/>
        <v>0</v>
      </c>
      <c r="AF1134" s="170">
        <f t="shared" si="186"/>
        <v>0</v>
      </c>
      <c r="AG1134" s="170">
        <f t="shared" si="187"/>
        <v>0</v>
      </c>
      <c r="AH1134" s="28" t="e" cm="1">
        <f t="array" aca="1" ref="AH1134" ca="1">IF((AD1134) &lt; (INDEX(ResponseSLA[#All],(MATCH((G1134),ResponseSLA[Priority],0))+1,3)),"YES","No")</f>
        <v>#N/A</v>
      </c>
      <c r="AI1134" s="28" t="str">
        <f>_xlfn.IFNA(IF(AE1134 &lt; (INDEX(SLATable[Minimum SLA],MATCH(G1134,SLATable[Priority],0))),"YES","NO"),"")</f>
        <v/>
      </c>
      <c r="AJ1134" s="28" t="str">
        <f>_xlfn.IFNA(IF(AE1134 &lt; (INDEX(SLATable[Maximum SLA],MATCH(G1134,SLATable[Priority],0))),"YES","NO"),"")</f>
        <v/>
      </c>
    </row>
    <row r="1135" spans="26:36" ht="15" customHeight="1">
      <c r="Z1135" s="169" t="e">
        <f t="shared" ca="1" si="181"/>
        <v>#N/A</v>
      </c>
      <c r="AA1135" s="170" t="e">
        <f t="shared" ca="1" si="182"/>
        <v>#N/A</v>
      </c>
      <c r="AB1135" s="169">
        <f t="shared" ca="1" si="183"/>
        <v>0</v>
      </c>
      <c r="AC1135" s="170">
        <f t="shared" ca="1" si="184"/>
        <v>0</v>
      </c>
      <c r="AD1135" s="169">
        <f t="shared" ca="1" si="185"/>
        <v>12388.42564085648</v>
      </c>
      <c r="AE1135" s="169">
        <f t="shared" si="180"/>
        <v>0</v>
      </c>
      <c r="AF1135" s="170">
        <f t="shared" si="186"/>
        <v>0</v>
      </c>
      <c r="AG1135" s="170">
        <f t="shared" si="187"/>
        <v>0</v>
      </c>
      <c r="AH1135" s="28" t="e" cm="1">
        <f t="array" aca="1" ref="AH1135" ca="1">IF((AD1135) &lt; (INDEX(ResponseSLA[#All],(MATCH((G1135),ResponseSLA[Priority],0))+1,3)),"YES","No")</f>
        <v>#N/A</v>
      </c>
      <c r="AI1135" s="28" t="str">
        <f>_xlfn.IFNA(IF(AE1135 &lt; (INDEX(SLATable[Minimum SLA],MATCH(G1135,SLATable[Priority],0))),"YES","NO"),"")</f>
        <v/>
      </c>
      <c r="AJ1135" s="28" t="str">
        <f>_xlfn.IFNA(IF(AE1135 &lt; (INDEX(SLATable[Maximum SLA],MATCH(G1135,SLATable[Priority],0))),"YES","NO"),"")</f>
        <v/>
      </c>
    </row>
    <row r="1136" spans="26:36" ht="15" customHeight="1">
      <c r="Z1136" s="169" t="e">
        <f t="shared" ca="1" si="181"/>
        <v>#N/A</v>
      </c>
      <c r="AA1136" s="170" t="e">
        <f t="shared" ca="1" si="182"/>
        <v>#N/A</v>
      </c>
      <c r="AB1136" s="169">
        <f t="shared" ca="1" si="183"/>
        <v>0</v>
      </c>
      <c r="AC1136" s="170">
        <f t="shared" ca="1" si="184"/>
        <v>0</v>
      </c>
      <c r="AD1136" s="169">
        <f t="shared" ca="1" si="185"/>
        <v>12388.42564085648</v>
      </c>
      <c r="AE1136" s="169">
        <f t="shared" si="180"/>
        <v>0</v>
      </c>
      <c r="AF1136" s="170">
        <f t="shared" si="186"/>
        <v>0</v>
      </c>
      <c r="AG1136" s="170">
        <f t="shared" si="187"/>
        <v>0</v>
      </c>
      <c r="AH1136" s="28" t="e" cm="1">
        <f t="array" aca="1" ref="AH1136" ca="1">IF((AD1136) &lt; (INDEX(ResponseSLA[#All],(MATCH((G1136),ResponseSLA[Priority],0))+1,3)),"YES","No")</f>
        <v>#N/A</v>
      </c>
      <c r="AI1136" s="28" t="str">
        <f>_xlfn.IFNA(IF(AE1136 &lt; (INDEX(SLATable[Minimum SLA],MATCH(G1136,SLATable[Priority],0))),"YES","NO"),"")</f>
        <v/>
      </c>
      <c r="AJ1136" s="28" t="str">
        <f>_xlfn.IFNA(IF(AE1136 &lt; (INDEX(SLATable[Maximum SLA],MATCH(G1136,SLATable[Priority],0))),"YES","NO"),"")</f>
        <v/>
      </c>
    </row>
    <row r="1137" spans="26:36" ht="15" customHeight="1">
      <c r="Z1137" s="169" t="e">
        <f t="shared" ca="1" si="181"/>
        <v>#N/A</v>
      </c>
      <c r="AA1137" s="170" t="e">
        <f t="shared" ca="1" si="182"/>
        <v>#N/A</v>
      </c>
      <c r="AB1137" s="169">
        <f t="shared" ca="1" si="183"/>
        <v>0</v>
      </c>
      <c r="AC1137" s="170">
        <f t="shared" ca="1" si="184"/>
        <v>0</v>
      </c>
      <c r="AD1137" s="169">
        <f t="shared" ca="1" si="185"/>
        <v>12388.42564085648</v>
      </c>
      <c r="AE1137" s="169">
        <f t="shared" ref="AE1137:AE1200" si="188">SUMIFS(AB:AB,E:E,E1137)</f>
        <v>0</v>
      </c>
      <c r="AF1137" s="170">
        <f t="shared" si="186"/>
        <v>0</v>
      </c>
      <c r="AG1137" s="170">
        <f t="shared" si="187"/>
        <v>0</v>
      </c>
      <c r="AH1137" s="28" t="e" cm="1">
        <f t="array" aca="1" ref="AH1137" ca="1">IF((AD1137) &lt; (INDEX(ResponseSLA[#All],(MATCH((G1137),ResponseSLA[Priority],0))+1,3)),"YES","No")</f>
        <v>#N/A</v>
      </c>
      <c r="AI1137" s="28" t="str">
        <f>_xlfn.IFNA(IF(AE1137 &lt; (INDEX(SLATable[Minimum SLA],MATCH(G1137,SLATable[Priority],0))),"YES","NO"),"")</f>
        <v/>
      </c>
      <c r="AJ1137" s="28" t="str">
        <f>_xlfn.IFNA(IF(AE1137 &lt; (INDEX(SLATable[Maximum SLA],MATCH(G1137,SLATable[Priority],0))),"YES","NO"),"")</f>
        <v/>
      </c>
    </row>
    <row r="1138" spans="26:36" ht="15" customHeight="1">
      <c r="Z1138" s="169" t="e">
        <f t="shared" ca="1" si="181"/>
        <v>#N/A</v>
      </c>
      <c r="AA1138" s="170" t="e">
        <f t="shared" ca="1" si="182"/>
        <v>#N/A</v>
      </c>
      <c r="AB1138" s="169">
        <f t="shared" ca="1" si="183"/>
        <v>0</v>
      </c>
      <c r="AC1138" s="170">
        <f t="shared" ca="1" si="184"/>
        <v>0</v>
      </c>
      <c r="AD1138" s="169">
        <f t="shared" ca="1" si="185"/>
        <v>12388.42564085648</v>
      </c>
      <c r="AE1138" s="169">
        <f t="shared" si="188"/>
        <v>0</v>
      </c>
      <c r="AF1138" s="170">
        <f t="shared" si="186"/>
        <v>0</v>
      </c>
      <c r="AG1138" s="170">
        <f t="shared" si="187"/>
        <v>0</v>
      </c>
      <c r="AH1138" s="28" t="e" cm="1">
        <f t="array" aca="1" ref="AH1138" ca="1">IF((AD1138) &lt; (INDEX(ResponseSLA[#All],(MATCH((G1138),ResponseSLA[Priority],0))+1,3)),"YES","No")</f>
        <v>#N/A</v>
      </c>
      <c r="AI1138" s="28" t="str">
        <f>_xlfn.IFNA(IF(AE1138 &lt; (INDEX(SLATable[Minimum SLA],MATCH(G1138,SLATable[Priority],0))),"YES","NO"),"")</f>
        <v/>
      </c>
      <c r="AJ1138" s="28" t="str">
        <f>_xlfn.IFNA(IF(AE1138 &lt; (INDEX(SLATable[Maximum SLA],MATCH(G1138,SLATable[Priority],0))),"YES","NO"),"")</f>
        <v/>
      </c>
    </row>
    <row r="1139" spans="26:36" ht="15" customHeight="1">
      <c r="Z1139" s="169" t="e">
        <f t="shared" ca="1" si="181"/>
        <v>#N/A</v>
      </c>
      <c r="AA1139" s="170" t="e">
        <f t="shared" ca="1" si="182"/>
        <v>#N/A</v>
      </c>
      <c r="AB1139" s="169">
        <f t="shared" ca="1" si="183"/>
        <v>0</v>
      </c>
      <c r="AC1139" s="170">
        <f t="shared" ca="1" si="184"/>
        <v>0</v>
      </c>
      <c r="AD1139" s="169">
        <f t="shared" ca="1" si="185"/>
        <v>12388.42564085648</v>
      </c>
      <c r="AE1139" s="169">
        <f t="shared" si="188"/>
        <v>0</v>
      </c>
      <c r="AF1139" s="170">
        <f t="shared" si="186"/>
        <v>0</v>
      </c>
      <c r="AG1139" s="170">
        <f t="shared" si="187"/>
        <v>0</v>
      </c>
      <c r="AH1139" s="28" t="e" cm="1">
        <f t="array" aca="1" ref="AH1139" ca="1">IF((AD1139) &lt; (INDEX(ResponseSLA[#All],(MATCH((G1139),ResponseSLA[Priority],0))+1,3)),"YES","No")</f>
        <v>#N/A</v>
      </c>
      <c r="AI1139" s="28" t="str">
        <f>_xlfn.IFNA(IF(AE1139 &lt; (INDEX(SLATable[Minimum SLA],MATCH(G1139,SLATable[Priority],0))),"YES","NO"),"")</f>
        <v/>
      </c>
      <c r="AJ1139" s="28" t="str">
        <f>_xlfn.IFNA(IF(AE1139 &lt; (INDEX(SLATable[Maximum SLA],MATCH(G1139,SLATable[Priority],0))),"YES","NO"),"")</f>
        <v/>
      </c>
    </row>
    <row r="1140" spans="26:36" ht="15" customHeight="1">
      <c r="Z1140" s="169" t="e">
        <f t="shared" ca="1" si="181"/>
        <v>#N/A</v>
      </c>
      <c r="AA1140" s="170" t="e">
        <f t="shared" ca="1" si="182"/>
        <v>#N/A</v>
      </c>
      <c r="AB1140" s="169">
        <f t="shared" ca="1" si="183"/>
        <v>0</v>
      </c>
      <c r="AC1140" s="170">
        <f t="shared" ca="1" si="184"/>
        <v>0</v>
      </c>
      <c r="AD1140" s="169">
        <f t="shared" ca="1" si="185"/>
        <v>12388.42564085648</v>
      </c>
      <c r="AE1140" s="169">
        <f t="shared" si="188"/>
        <v>0</v>
      </c>
      <c r="AF1140" s="170">
        <f t="shared" si="186"/>
        <v>0</v>
      </c>
      <c r="AG1140" s="170">
        <f t="shared" si="187"/>
        <v>0</v>
      </c>
      <c r="AH1140" s="28" t="e" cm="1">
        <f t="array" aca="1" ref="AH1140" ca="1">IF((AD1140) &lt; (INDEX(ResponseSLA[#All],(MATCH((G1140),ResponseSLA[Priority],0))+1,3)),"YES","No")</f>
        <v>#N/A</v>
      </c>
      <c r="AI1140" s="28" t="str">
        <f>_xlfn.IFNA(IF(AE1140 &lt; (INDEX(SLATable[Minimum SLA],MATCH(G1140,SLATable[Priority],0))),"YES","NO"),"")</f>
        <v/>
      </c>
      <c r="AJ1140" s="28" t="str">
        <f>_xlfn.IFNA(IF(AE1140 &lt; (INDEX(SLATable[Maximum SLA],MATCH(G1140,SLATable[Priority],0))),"YES","NO"),"")</f>
        <v/>
      </c>
    </row>
    <row r="1141" spans="26:36" ht="15" customHeight="1">
      <c r="Z1141" s="169" t="e">
        <f t="shared" ca="1" si="181"/>
        <v>#N/A</v>
      </c>
      <c r="AA1141" s="170" t="e">
        <f t="shared" ca="1" si="182"/>
        <v>#N/A</v>
      </c>
      <c r="AB1141" s="169">
        <f t="shared" ca="1" si="183"/>
        <v>0</v>
      </c>
      <c r="AC1141" s="170">
        <f t="shared" ca="1" si="184"/>
        <v>0</v>
      </c>
      <c r="AD1141" s="169">
        <f t="shared" ca="1" si="185"/>
        <v>12388.42564085648</v>
      </c>
      <c r="AE1141" s="169">
        <f t="shared" si="188"/>
        <v>0</v>
      </c>
      <c r="AF1141" s="170">
        <f t="shared" si="186"/>
        <v>0</v>
      </c>
      <c r="AG1141" s="170">
        <f t="shared" si="187"/>
        <v>0</v>
      </c>
      <c r="AH1141" s="28" t="e" cm="1">
        <f t="array" aca="1" ref="AH1141" ca="1">IF((AD1141) &lt; (INDEX(ResponseSLA[#All],(MATCH((G1141),ResponseSLA[Priority],0))+1,3)),"YES","No")</f>
        <v>#N/A</v>
      </c>
      <c r="AI1141" s="28" t="str">
        <f>_xlfn.IFNA(IF(AE1141 &lt; (INDEX(SLATable[Minimum SLA],MATCH(G1141,SLATable[Priority],0))),"YES","NO"),"")</f>
        <v/>
      </c>
      <c r="AJ1141" s="28" t="str">
        <f>_xlfn.IFNA(IF(AE1141 &lt; (INDEX(SLATable[Maximum SLA],MATCH(G1141,SLATable[Priority],0))),"YES","NO"),"")</f>
        <v/>
      </c>
    </row>
    <row r="1142" spans="26:36" ht="15" customHeight="1">
      <c r="Z1142" s="169" t="e">
        <f t="shared" ca="1" si="181"/>
        <v>#N/A</v>
      </c>
      <c r="AA1142" s="170" t="e">
        <f t="shared" ca="1" si="182"/>
        <v>#N/A</v>
      </c>
      <c r="AB1142" s="169">
        <f t="shared" ca="1" si="183"/>
        <v>0</v>
      </c>
      <c r="AC1142" s="170">
        <f t="shared" ca="1" si="184"/>
        <v>0</v>
      </c>
      <c r="AD1142" s="169">
        <f t="shared" ca="1" si="185"/>
        <v>12388.42564085648</v>
      </c>
      <c r="AE1142" s="169">
        <f t="shared" si="188"/>
        <v>0</v>
      </c>
      <c r="AF1142" s="170">
        <f t="shared" si="186"/>
        <v>0</v>
      </c>
      <c r="AG1142" s="170">
        <f t="shared" si="187"/>
        <v>0</v>
      </c>
      <c r="AH1142" s="28" t="e" cm="1">
        <f t="array" aca="1" ref="AH1142" ca="1">IF((AD1142) &lt; (INDEX(ResponseSLA[#All],(MATCH((G1142),ResponseSLA[Priority],0))+1,3)),"YES","No")</f>
        <v>#N/A</v>
      </c>
      <c r="AI1142" s="28" t="str">
        <f>_xlfn.IFNA(IF(AE1142 &lt; (INDEX(SLATable[Minimum SLA],MATCH(G1142,SLATable[Priority],0))),"YES","NO"),"")</f>
        <v/>
      </c>
      <c r="AJ1142" s="28" t="str">
        <f>_xlfn.IFNA(IF(AE1142 &lt; (INDEX(SLATable[Maximum SLA],MATCH(G1142,SLATable[Priority],0))),"YES","NO"),"")</f>
        <v/>
      </c>
    </row>
    <row r="1143" spans="26:36" ht="15" customHeight="1">
      <c r="Z1143" s="169" t="e">
        <f t="shared" ca="1" si="181"/>
        <v>#N/A</v>
      </c>
      <c r="AA1143" s="170" t="e">
        <f t="shared" ca="1" si="182"/>
        <v>#N/A</v>
      </c>
      <c r="AB1143" s="169">
        <f t="shared" ca="1" si="183"/>
        <v>0</v>
      </c>
      <c r="AC1143" s="170">
        <f t="shared" ca="1" si="184"/>
        <v>0</v>
      </c>
      <c r="AD1143" s="169">
        <f t="shared" ca="1" si="185"/>
        <v>12388.42564085648</v>
      </c>
      <c r="AE1143" s="169">
        <f t="shared" si="188"/>
        <v>0</v>
      </c>
      <c r="AF1143" s="170">
        <f t="shared" si="186"/>
        <v>0</v>
      </c>
      <c r="AG1143" s="170">
        <f t="shared" si="187"/>
        <v>0</v>
      </c>
      <c r="AH1143" s="28" t="e" cm="1">
        <f t="array" aca="1" ref="AH1143" ca="1">IF((AD1143) &lt; (INDEX(ResponseSLA[#All],(MATCH((G1143),ResponseSLA[Priority],0))+1,3)),"YES","No")</f>
        <v>#N/A</v>
      </c>
      <c r="AI1143" s="28" t="str">
        <f>_xlfn.IFNA(IF(AE1143 &lt; (INDEX(SLATable[Minimum SLA],MATCH(G1143,SLATable[Priority],0))),"YES","NO"),"")</f>
        <v/>
      </c>
      <c r="AJ1143" s="28" t="str">
        <f>_xlfn.IFNA(IF(AE1143 &lt; (INDEX(SLATable[Maximum SLA],MATCH(G1143,SLATable[Priority],0))),"YES","NO"),"")</f>
        <v/>
      </c>
    </row>
    <row r="1144" spans="26:36" ht="15" customHeight="1">
      <c r="Z1144" s="169" t="e">
        <f t="shared" ca="1" si="181"/>
        <v>#N/A</v>
      </c>
      <c r="AA1144" s="170" t="e">
        <f t="shared" ca="1" si="182"/>
        <v>#N/A</v>
      </c>
      <c r="AB1144" s="169">
        <f t="shared" ca="1" si="183"/>
        <v>0</v>
      </c>
      <c r="AC1144" s="170">
        <f t="shared" ca="1" si="184"/>
        <v>0</v>
      </c>
      <c r="AD1144" s="169">
        <f t="shared" ca="1" si="185"/>
        <v>12388.42564085648</v>
      </c>
      <c r="AE1144" s="169">
        <f t="shared" si="188"/>
        <v>0</v>
      </c>
      <c r="AF1144" s="170">
        <f t="shared" si="186"/>
        <v>0</v>
      </c>
      <c r="AG1144" s="170">
        <f t="shared" si="187"/>
        <v>0</v>
      </c>
      <c r="AH1144" s="28" t="e" cm="1">
        <f t="array" aca="1" ref="AH1144" ca="1">IF((AD1144) &lt; (INDEX(ResponseSLA[#All],(MATCH((G1144),ResponseSLA[Priority],0))+1,3)),"YES","No")</f>
        <v>#N/A</v>
      </c>
      <c r="AI1144" s="28" t="str">
        <f>_xlfn.IFNA(IF(AE1144 &lt; (INDEX(SLATable[Minimum SLA],MATCH(G1144,SLATable[Priority],0))),"YES","NO"),"")</f>
        <v/>
      </c>
      <c r="AJ1144" s="28" t="str">
        <f>_xlfn.IFNA(IF(AE1144 &lt; (INDEX(SLATable[Maximum SLA],MATCH(G1144,SLATable[Priority],0))),"YES","NO"),"")</f>
        <v/>
      </c>
    </row>
    <row r="1145" spans="26:36" ht="15" customHeight="1">
      <c r="Z1145" s="169" t="e">
        <f t="shared" ca="1" si="181"/>
        <v>#N/A</v>
      </c>
      <c r="AA1145" s="170" t="e">
        <f t="shared" ca="1" si="182"/>
        <v>#N/A</v>
      </c>
      <c r="AB1145" s="169">
        <f t="shared" ca="1" si="183"/>
        <v>0</v>
      </c>
      <c r="AC1145" s="170">
        <f t="shared" ca="1" si="184"/>
        <v>0</v>
      </c>
      <c r="AD1145" s="169">
        <f t="shared" ca="1" si="185"/>
        <v>12388.42564085648</v>
      </c>
      <c r="AE1145" s="169">
        <f t="shared" si="188"/>
        <v>0</v>
      </c>
      <c r="AF1145" s="170">
        <f t="shared" si="186"/>
        <v>0</v>
      </c>
      <c r="AG1145" s="170">
        <f t="shared" si="187"/>
        <v>0</v>
      </c>
      <c r="AH1145" s="28" t="e" cm="1">
        <f t="array" aca="1" ref="AH1145" ca="1">IF((AD1145) &lt; (INDEX(ResponseSLA[#All],(MATCH((G1145),ResponseSLA[Priority],0))+1,3)),"YES","No")</f>
        <v>#N/A</v>
      </c>
      <c r="AI1145" s="28" t="str">
        <f>_xlfn.IFNA(IF(AE1145 &lt; (INDEX(SLATable[Minimum SLA],MATCH(G1145,SLATable[Priority],0))),"YES","NO"),"")</f>
        <v/>
      </c>
      <c r="AJ1145" s="28" t="str">
        <f>_xlfn.IFNA(IF(AE1145 &lt; (INDEX(SLATable[Maximum SLA],MATCH(G1145,SLATable[Priority],0))),"YES","NO"),"")</f>
        <v/>
      </c>
    </row>
    <row r="1146" spans="26:36" ht="15" customHeight="1">
      <c r="Z1146" s="169" t="e">
        <f t="shared" ca="1" si="181"/>
        <v>#N/A</v>
      </c>
      <c r="AA1146" s="170" t="e">
        <f t="shared" ca="1" si="182"/>
        <v>#N/A</v>
      </c>
      <c r="AB1146" s="169">
        <f t="shared" ca="1" si="183"/>
        <v>0</v>
      </c>
      <c r="AC1146" s="170">
        <f t="shared" ca="1" si="184"/>
        <v>0</v>
      </c>
      <c r="AD1146" s="169">
        <f t="shared" ca="1" si="185"/>
        <v>12388.42564085648</v>
      </c>
      <c r="AE1146" s="169">
        <f t="shared" si="188"/>
        <v>0</v>
      </c>
      <c r="AF1146" s="170">
        <f t="shared" si="186"/>
        <v>0</v>
      </c>
      <c r="AG1146" s="170">
        <f t="shared" si="187"/>
        <v>0</v>
      </c>
      <c r="AH1146" s="28" t="e" cm="1">
        <f t="array" aca="1" ref="AH1146" ca="1">IF((AD1146) &lt; (INDEX(ResponseSLA[#All],(MATCH((G1146),ResponseSLA[Priority],0))+1,3)),"YES","No")</f>
        <v>#N/A</v>
      </c>
      <c r="AI1146" s="28" t="str">
        <f>_xlfn.IFNA(IF(AE1146 &lt; (INDEX(SLATable[Minimum SLA],MATCH(G1146,SLATable[Priority],0))),"YES","NO"),"")</f>
        <v/>
      </c>
      <c r="AJ1146" s="28" t="str">
        <f>_xlfn.IFNA(IF(AE1146 &lt; (INDEX(SLATable[Maximum SLA],MATCH(G1146,SLATable[Priority],0))),"YES","NO"),"")</f>
        <v/>
      </c>
    </row>
    <row r="1147" spans="26:36" ht="15" customHeight="1">
      <c r="Z1147" s="169" t="e">
        <f t="shared" ca="1" si="181"/>
        <v>#N/A</v>
      </c>
      <c r="AA1147" s="170" t="e">
        <f t="shared" ca="1" si="182"/>
        <v>#N/A</v>
      </c>
      <c r="AB1147" s="169">
        <f t="shared" ca="1" si="183"/>
        <v>0</v>
      </c>
      <c r="AC1147" s="170">
        <f t="shared" ca="1" si="184"/>
        <v>0</v>
      </c>
      <c r="AD1147" s="169">
        <f t="shared" ca="1" si="185"/>
        <v>12388.42564085648</v>
      </c>
      <c r="AE1147" s="169">
        <f t="shared" si="188"/>
        <v>0</v>
      </c>
      <c r="AF1147" s="170">
        <f t="shared" si="186"/>
        <v>0</v>
      </c>
      <c r="AG1147" s="170">
        <f t="shared" si="187"/>
        <v>0</v>
      </c>
      <c r="AH1147" s="28" t="e" cm="1">
        <f t="array" aca="1" ref="AH1147" ca="1">IF((AD1147) &lt; (INDEX(ResponseSLA[#All],(MATCH((G1147),ResponseSLA[Priority],0))+1,3)),"YES","No")</f>
        <v>#N/A</v>
      </c>
      <c r="AI1147" s="28" t="str">
        <f>_xlfn.IFNA(IF(AE1147 &lt; (INDEX(SLATable[Minimum SLA],MATCH(G1147,SLATable[Priority],0))),"YES","NO"),"")</f>
        <v/>
      </c>
      <c r="AJ1147" s="28" t="str">
        <f>_xlfn.IFNA(IF(AE1147 &lt; (INDEX(SLATable[Maximum SLA],MATCH(G1147,SLATable[Priority],0))),"YES","NO"),"")</f>
        <v/>
      </c>
    </row>
    <row r="1148" spans="26:36" ht="15" customHeight="1">
      <c r="Z1148" s="169" t="e">
        <f t="shared" ca="1" si="181"/>
        <v>#N/A</v>
      </c>
      <c r="AA1148" s="170" t="e">
        <f t="shared" ca="1" si="182"/>
        <v>#N/A</v>
      </c>
      <c r="AB1148" s="169">
        <f t="shared" ca="1" si="183"/>
        <v>0</v>
      </c>
      <c r="AC1148" s="170">
        <f t="shared" ca="1" si="184"/>
        <v>0</v>
      </c>
      <c r="AD1148" s="169">
        <f t="shared" ca="1" si="185"/>
        <v>12388.42564085648</v>
      </c>
      <c r="AE1148" s="169">
        <f t="shared" si="188"/>
        <v>0</v>
      </c>
      <c r="AF1148" s="170">
        <f t="shared" si="186"/>
        <v>0</v>
      </c>
      <c r="AG1148" s="170">
        <f t="shared" si="187"/>
        <v>0</v>
      </c>
      <c r="AH1148" s="28" t="e" cm="1">
        <f t="array" aca="1" ref="AH1148" ca="1">IF((AD1148) &lt; (INDEX(ResponseSLA[#All],(MATCH((G1148),ResponseSLA[Priority],0))+1,3)),"YES","No")</f>
        <v>#N/A</v>
      </c>
      <c r="AI1148" s="28" t="str">
        <f>_xlfn.IFNA(IF(AE1148 &lt; (INDEX(SLATable[Minimum SLA],MATCH(G1148,SLATable[Priority],0))),"YES","NO"),"")</f>
        <v/>
      </c>
      <c r="AJ1148" s="28" t="str">
        <f>_xlfn.IFNA(IF(AE1148 &lt; (INDEX(SLATable[Maximum SLA],MATCH(G1148,SLATable[Priority],0))),"YES","NO"),"")</f>
        <v/>
      </c>
    </row>
    <row r="1149" spans="26:36" ht="15" customHeight="1">
      <c r="Z1149" s="169" t="e">
        <f t="shared" ca="1" si="181"/>
        <v>#N/A</v>
      </c>
      <c r="AA1149" s="170" t="e">
        <f t="shared" ca="1" si="182"/>
        <v>#N/A</v>
      </c>
      <c r="AB1149" s="169">
        <f t="shared" ca="1" si="183"/>
        <v>0</v>
      </c>
      <c r="AC1149" s="170">
        <f t="shared" ca="1" si="184"/>
        <v>0</v>
      </c>
      <c r="AD1149" s="169">
        <f t="shared" ca="1" si="185"/>
        <v>12388.42564085648</v>
      </c>
      <c r="AE1149" s="169">
        <f t="shared" si="188"/>
        <v>0</v>
      </c>
      <c r="AF1149" s="170">
        <f t="shared" si="186"/>
        <v>0</v>
      </c>
      <c r="AG1149" s="170">
        <f t="shared" si="187"/>
        <v>0</v>
      </c>
      <c r="AH1149" s="28" t="e" cm="1">
        <f t="array" aca="1" ref="AH1149" ca="1">IF((AD1149) &lt; (INDEX(ResponseSLA[#All],(MATCH((G1149),ResponseSLA[Priority],0))+1,3)),"YES","No")</f>
        <v>#N/A</v>
      </c>
      <c r="AI1149" s="28" t="str">
        <f>_xlfn.IFNA(IF(AE1149 &lt; (INDEX(SLATable[Minimum SLA],MATCH(G1149,SLATable[Priority],0))),"YES","NO"),"")</f>
        <v/>
      </c>
      <c r="AJ1149" s="28" t="str">
        <f>_xlfn.IFNA(IF(AE1149 &lt; (INDEX(SLATable[Maximum SLA],MATCH(G1149,SLATable[Priority],0))),"YES","NO"),"")</f>
        <v/>
      </c>
    </row>
    <row r="1150" spans="26:36" ht="15" customHeight="1">
      <c r="Z1150" s="169" t="e">
        <f t="shared" ca="1" si="181"/>
        <v>#N/A</v>
      </c>
      <c r="AA1150" s="170" t="e">
        <f t="shared" ca="1" si="182"/>
        <v>#N/A</v>
      </c>
      <c r="AB1150" s="169">
        <f t="shared" ca="1" si="183"/>
        <v>0</v>
      </c>
      <c r="AC1150" s="170">
        <f t="shared" ca="1" si="184"/>
        <v>0</v>
      </c>
      <c r="AD1150" s="169">
        <f t="shared" ca="1" si="185"/>
        <v>12388.42564085648</v>
      </c>
      <c r="AE1150" s="169">
        <f t="shared" si="188"/>
        <v>0</v>
      </c>
      <c r="AF1150" s="170">
        <f t="shared" si="186"/>
        <v>0</v>
      </c>
      <c r="AG1150" s="170">
        <f t="shared" si="187"/>
        <v>0</v>
      </c>
      <c r="AH1150" s="28" t="e" cm="1">
        <f t="array" aca="1" ref="AH1150" ca="1">IF((AD1150) &lt; (INDEX(ResponseSLA[#All],(MATCH((G1150),ResponseSLA[Priority],0))+1,3)),"YES","No")</f>
        <v>#N/A</v>
      </c>
      <c r="AI1150" s="28" t="str">
        <f>_xlfn.IFNA(IF(AE1150 &lt; (INDEX(SLATable[Minimum SLA],MATCH(G1150,SLATable[Priority],0))),"YES","NO"),"")</f>
        <v/>
      </c>
      <c r="AJ1150" s="28" t="str">
        <f>_xlfn.IFNA(IF(AE1150 &lt; (INDEX(SLATable[Maximum SLA],MATCH(G1150,SLATable[Priority],0))),"YES","NO"),"")</f>
        <v/>
      </c>
    </row>
    <row r="1151" spans="26:36" ht="15" customHeight="1">
      <c r="Z1151" s="169" t="e">
        <f t="shared" ca="1" si="181"/>
        <v>#N/A</v>
      </c>
      <c r="AA1151" s="170" t="e">
        <f t="shared" ca="1" si="182"/>
        <v>#N/A</v>
      </c>
      <c r="AB1151" s="169">
        <f t="shared" ca="1" si="183"/>
        <v>0</v>
      </c>
      <c r="AC1151" s="170">
        <f t="shared" ca="1" si="184"/>
        <v>0</v>
      </c>
      <c r="AD1151" s="169">
        <f t="shared" ca="1" si="185"/>
        <v>12388.42564085648</v>
      </c>
      <c r="AE1151" s="169">
        <f t="shared" si="188"/>
        <v>0</v>
      </c>
      <c r="AF1151" s="170">
        <f t="shared" si="186"/>
        <v>0</v>
      </c>
      <c r="AG1151" s="170">
        <f t="shared" si="187"/>
        <v>0</v>
      </c>
      <c r="AH1151" s="28" t="e" cm="1">
        <f t="array" aca="1" ref="AH1151" ca="1">IF((AD1151) &lt; (INDEX(ResponseSLA[#All],(MATCH((G1151),ResponseSLA[Priority],0))+1,3)),"YES","No")</f>
        <v>#N/A</v>
      </c>
      <c r="AI1151" s="28" t="str">
        <f>_xlfn.IFNA(IF(AE1151 &lt; (INDEX(SLATable[Minimum SLA],MATCH(G1151,SLATable[Priority],0))),"YES","NO"),"")</f>
        <v/>
      </c>
      <c r="AJ1151" s="28" t="str">
        <f>_xlfn.IFNA(IF(AE1151 &lt; (INDEX(SLATable[Maximum SLA],MATCH(G1151,SLATable[Priority],0))),"YES","NO"),"")</f>
        <v/>
      </c>
    </row>
    <row r="1152" spans="26:36" ht="15" customHeight="1">
      <c r="Z1152" s="169" t="e">
        <f t="shared" ca="1" si="181"/>
        <v>#N/A</v>
      </c>
      <c r="AA1152" s="170" t="e">
        <f t="shared" ca="1" si="182"/>
        <v>#N/A</v>
      </c>
      <c r="AB1152" s="169">
        <f t="shared" ca="1" si="183"/>
        <v>0</v>
      </c>
      <c r="AC1152" s="170">
        <f t="shared" ca="1" si="184"/>
        <v>0</v>
      </c>
      <c r="AD1152" s="169">
        <f t="shared" ca="1" si="185"/>
        <v>12388.42564085648</v>
      </c>
      <c r="AE1152" s="169">
        <f t="shared" si="188"/>
        <v>0</v>
      </c>
      <c r="AF1152" s="170">
        <f t="shared" si="186"/>
        <v>0</v>
      </c>
      <c r="AG1152" s="170">
        <f t="shared" si="187"/>
        <v>0</v>
      </c>
      <c r="AH1152" s="28" t="e" cm="1">
        <f t="array" aca="1" ref="AH1152" ca="1">IF((AD1152) &lt; (INDEX(ResponseSLA[#All],(MATCH((G1152),ResponseSLA[Priority],0))+1,3)),"YES","No")</f>
        <v>#N/A</v>
      </c>
      <c r="AI1152" s="28" t="str">
        <f>_xlfn.IFNA(IF(AE1152 &lt; (INDEX(SLATable[Minimum SLA],MATCH(G1152,SLATable[Priority],0))),"YES","NO"),"")</f>
        <v/>
      </c>
      <c r="AJ1152" s="28" t="str">
        <f>_xlfn.IFNA(IF(AE1152 &lt; (INDEX(SLATable[Maximum SLA],MATCH(G1152,SLATable[Priority],0))),"YES","NO"),"")</f>
        <v/>
      </c>
    </row>
    <row r="1153" spans="26:36" ht="15" customHeight="1">
      <c r="Z1153" s="169" t="e">
        <f t="shared" ca="1" si="181"/>
        <v>#N/A</v>
      </c>
      <c r="AA1153" s="170" t="e">
        <f t="shared" ca="1" si="182"/>
        <v>#N/A</v>
      </c>
      <c r="AB1153" s="169">
        <f t="shared" ca="1" si="183"/>
        <v>0</v>
      </c>
      <c r="AC1153" s="170">
        <f t="shared" ca="1" si="184"/>
        <v>0</v>
      </c>
      <c r="AD1153" s="169">
        <f t="shared" ca="1" si="185"/>
        <v>12388.42564085648</v>
      </c>
      <c r="AE1153" s="169">
        <f t="shared" si="188"/>
        <v>0</v>
      </c>
      <c r="AF1153" s="170">
        <f t="shared" si="186"/>
        <v>0</v>
      </c>
      <c r="AG1153" s="170">
        <f t="shared" si="187"/>
        <v>0</v>
      </c>
      <c r="AH1153" s="28" t="e" cm="1">
        <f t="array" aca="1" ref="AH1153" ca="1">IF((AD1153) &lt; (INDEX(ResponseSLA[#All],(MATCH((G1153),ResponseSLA[Priority],0))+1,3)),"YES","No")</f>
        <v>#N/A</v>
      </c>
      <c r="AI1153" s="28" t="str">
        <f>_xlfn.IFNA(IF(AE1153 &lt; (INDEX(SLATable[Minimum SLA],MATCH(G1153,SLATable[Priority],0))),"YES","NO"),"")</f>
        <v/>
      </c>
      <c r="AJ1153" s="28" t="str">
        <f>_xlfn.IFNA(IF(AE1153 &lt; (INDEX(SLATable[Maximum SLA],MATCH(G1153,SLATable[Priority],0))),"YES","NO"),"")</f>
        <v/>
      </c>
    </row>
    <row r="1154" spans="26:36" ht="15" customHeight="1">
      <c r="Z1154" s="169" t="e">
        <f t="shared" ca="1" si="181"/>
        <v>#N/A</v>
      </c>
      <c r="AA1154" s="170" t="e">
        <f t="shared" ca="1" si="182"/>
        <v>#N/A</v>
      </c>
      <c r="AB1154" s="169">
        <f t="shared" ca="1" si="183"/>
        <v>0</v>
      </c>
      <c r="AC1154" s="170">
        <f t="shared" ca="1" si="184"/>
        <v>0</v>
      </c>
      <c r="AD1154" s="169">
        <f t="shared" ca="1" si="185"/>
        <v>12388.42564085648</v>
      </c>
      <c r="AE1154" s="169">
        <f t="shared" si="188"/>
        <v>0</v>
      </c>
      <c r="AF1154" s="170">
        <f t="shared" si="186"/>
        <v>0</v>
      </c>
      <c r="AG1154" s="170">
        <f t="shared" si="187"/>
        <v>0</v>
      </c>
      <c r="AH1154" s="28" t="e" cm="1">
        <f t="array" aca="1" ref="AH1154" ca="1">IF((AD1154) &lt; (INDEX(ResponseSLA[#All],(MATCH((G1154),ResponseSLA[Priority],0))+1,3)),"YES","No")</f>
        <v>#N/A</v>
      </c>
      <c r="AI1154" s="28" t="str">
        <f>_xlfn.IFNA(IF(AE1154 &lt; (INDEX(SLATable[Minimum SLA],MATCH(G1154,SLATable[Priority],0))),"YES","NO"),"")</f>
        <v/>
      </c>
      <c r="AJ1154" s="28" t="str">
        <f>_xlfn.IFNA(IF(AE1154 &lt; (INDEX(SLATable[Maximum SLA],MATCH(G1154,SLATable[Priority],0))),"YES","NO"),"")</f>
        <v/>
      </c>
    </row>
    <row r="1155" spans="26:36" ht="15" customHeight="1">
      <c r="Z1155" s="169" t="e">
        <f t="shared" ca="1" si="181"/>
        <v>#N/A</v>
      </c>
      <c r="AA1155" s="170" t="e">
        <f t="shared" ca="1" si="182"/>
        <v>#N/A</v>
      </c>
      <c r="AB1155" s="169">
        <f t="shared" ca="1" si="183"/>
        <v>0</v>
      </c>
      <c r="AC1155" s="170">
        <f t="shared" ca="1" si="184"/>
        <v>0</v>
      </c>
      <c r="AD1155" s="169">
        <f t="shared" ca="1" si="185"/>
        <v>12388.42564085648</v>
      </c>
      <c r="AE1155" s="169">
        <f t="shared" si="188"/>
        <v>0</v>
      </c>
      <c r="AF1155" s="170">
        <f t="shared" si="186"/>
        <v>0</v>
      </c>
      <c r="AG1155" s="170">
        <f t="shared" si="187"/>
        <v>0</v>
      </c>
      <c r="AH1155" s="28" t="e" cm="1">
        <f t="array" aca="1" ref="AH1155" ca="1">IF((AD1155) &lt; (INDEX(ResponseSLA[#All],(MATCH((G1155),ResponseSLA[Priority],0))+1,3)),"YES","No")</f>
        <v>#N/A</v>
      </c>
      <c r="AI1155" s="28" t="str">
        <f>_xlfn.IFNA(IF(AE1155 &lt; (INDEX(SLATable[Minimum SLA],MATCH(G1155,SLATable[Priority],0))),"YES","NO"),"")</f>
        <v/>
      </c>
      <c r="AJ1155" s="28" t="str">
        <f>_xlfn.IFNA(IF(AE1155 &lt; (INDEX(SLATable[Maximum SLA],MATCH(G1155,SLATable[Priority],0))),"YES","NO"),"")</f>
        <v/>
      </c>
    </row>
    <row r="1156" spans="26:36" ht="15" customHeight="1">
      <c r="Z1156" s="169" t="e">
        <f t="shared" ca="1" si="181"/>
        <v>#N/A</v>
      </c>
      <c r="AA1156" s="170" t="e">
        <f t="shared" ca="1" si="182"/>
        <v>#N/A</v>
      </c>
      <c r="AB1156" s="169">
        <f t="shared" ca="1" si="183"/>
        <v>0</v>
      </c>
      <c r="AC1156" s="170">
        <f t="shared" ca="1" si="184"/>
        <v>0</v>
      </c>
      <c r="AD1156" s="169">
        <f t="shared" ca="1" si="185"/>
        <v>12388.42564085648</v>
      </c>
      <c r="AE1156" s="169">
        <f t="shared" si="188"/>
        <v>0</v>
      </c>
      <c r="AF1156" s="170">
        <f t="shared" si="186"/>
        <v>0</v>
      </c>
      <c r="AG1156" s="170">
        <f t="shared" si="187"/>
        <v>0</v>
      </c>
      <c r="AH1156" s="28" t="e" cm="1">
        <f t="array" aca="1" ref="AH1156" ca="1">IF((AD1156) &lt; (INDEX(ResponseSLA[#All],(MATCH((G1156),ResponseSLA[Priority],0))+1,3)),"YES","No")</f>
        <v>#N/A</v>
      </c>
      <c r="AI1156" s="28" t="str">
        <f>_xlfn.IFNA(IF(AE1156 &lt; (INDEX(SLATable[Minimum SLA],MATCH(G1156,SLATable[Priority],0))),"YES","NO"),"")</f>
        <v/>
      </c>
      <c r="AJ1156" s="28" t="str">
        <f>_xlfn.IFNA(IF(AE1156 &lt; (INDEX(SLATable[Maximum SLA],MATCH(G1156,SLATable[Priority],0))),"YES","NO"),"")</f>
        <v/>
      </c>
    </row>
    <row r="1157" spans="26:36" ht="15" customHeight="1">
      <c r="Z1157" s="169" t="e">
        <f t="shared" ca="1" si="181"/>
        <v>#N/A</v>
      </c>
      <c r="AA1157" s="170" t="e">
        <f t="shared" ca="1" si="182"/>
        <v>#N/A</v>
      </c>
      <c r="AB1157" s="169">
        <f t="shared" ca="1" si="183"/>
        <v>0</v>
      </c>
      <c r="AC1157" s="170">
        <f t="shared" ca="1" si="184"/>
        <v>0</v>
      </c>
      <c r="AD1157" s="169">
        <f t="shared" ca="1" si="185"/>
        <v>12388.42564085648</v>
      </c>
      <c r="AE1157" s="169">
        <f t="shared" si="188"/>
        <v>0</v>
      </c>
      <c r="AF1157" s="170">
        <f t="shared" si="186"/>
        <v>0</v>
      </c>
      <c r="AG1157" s="170">
        <f t="shared" si="187"/>
        <v>0</v>
      </c>
      <c r="AH1157" s="28" t="e" cm="1">
        <f t="array" aca="1" ref="AH1157" ca="1">IF((AD1157) &lt; (INDEX(ResponseSLA[#All],(MATCH((G1157),ResponseSLA[Priority],0))+1,3)),"YES","No")</f>
        <v>#N/A</v>
      </c>
      <c r="AI1157" s="28" t="str">
        <f>_xlfn.IFNA(IF(AE1157 &lt; (INDEX(SLATable[Minimum SLA],MATCH(G1157,SLATable[Priority],0))),"YES","NO"),"")</f>
        <v/>
      </c>
      <c r="AJ1157" s="28" t="str">
        <f>_xlfn.IFNA(IF(AE1157 &lt; (INDEX(SLATable[Maximum SLA],MATCH(G1157,SLATable[Priority],0))),"YES","NO"),"")</f>
        <v/>
      </c>
    </row>
    <row r="1158" spans="26:36" ht="15" customHeight="1">
      <c r="Z1158" s="169" t="e">
        <f t="shared" ca="1" si="181"/>
        <v>#N/A</v>
      </c>
      <c r="AA1158" s="170" t="e">
        <f t="shared" ca="1" si="182"/>
        <v>#N/A</v>
      </c>
      <c r="AB1158" s="169">
        <f t="shared" ca="1" si="183"/>
        <v>0</v>
      </c>
      <c r="AC1158" s="170">
        <f t="shared" ca="1" si="184"/>
        <v>0</v>
      </c>
      <c r="AD1158" s="169">
        <f t="shared" ca="1" si="185"/>
        <v>12388.42564085648</v>
      </c>
      <c r="AE1158" s="169">
        <f t="shared" si="188"/>
        <v>0</v>
      </c>
      <c r="AF1158" s="170">
        <f t="shared" si="186"/>
        <v>0</v>
      </c>
      <c r="AG1158" s="170">
        <f t="shared" si="187"/>
        <v>0</v>
      </c>
      <c r="AH1158" s="28" t="e" cm="1">
        <f t="array" aca="1" ref="AH1158" ca="1">IF((AD1158) &lt; (INDEX(ResponseSLA[#All],(MATCH((G1158),ResponseSLA[Priority],0))+1,3)),"YES","No")</f>
        <v>#N/A</v>
      </c>
      <c r="AI1158" s="28" t="str">
        <f>_xlfn.IFNA(IF(AE1158 &lt; (INDEX(SLATable[Minimum SLA],MATCH(G1158,SLATable[Priority],0))),"YES","NO"),"")</f>
        <v/>
      </c>
      <c r="AJ1158" s="28" t="str">
        <f>_xlfn.IFNA(IF(AE1158 &lt; (INDEX(SLATable[Maximum SLA],MATCH(G1158,SLATable[Priority],0))),"YES","NO"),"")</f>
        <v/>
      </c>
    </row>
    <row r="1159" spans="26:36" ht="15" customHeight="1">
      <c r="Z1159" s="169" t="e">
        <f t="shared" ca="1" si="181"/>
        <v>#N/A</v>
      </c>
      <c r="AA1159" s="170" t="e">
        <f t="shared" ca="1" si="182"/>
        <v>#N/A</v>
      </c>
      <c r="AB1159" s="169">
        <f t="shared" ca="1" si="183"/>
        <v>0</v>
      </c>
      <c r="AC1159" s="170">
        <f t="shared" ca="1" si="184"/>
        <v>0</v>
      </c>
      <c r="AD1159" s="169">
        <f t="shared" ca="1" si="185"/>
        <v>12388.42564085648</v>
      </c>
      <c r="AE1159" s="169">
        <f t="shared" si="188"/>
        <v>0</v>
      </c>
      <c r="AF1159" s="170">
        <f t="shared" si="186"/>
        <v>0</v>
      </c>
      <c r="AG1159" s="170">
        <f t="shared" si="187"/>
        <v>0</v>
      </c>
      <c r="AH1159" s="28" t="e" cm="1">
        <f t="array" aca="1" ref="AH1159" ca="1">IF((AD1159) &lt; (INDEX(ResponseSLA[#All],(MATCH((G1159),ResponseSLA[Priority],0))+1,3)),"YES","No")</f>
        <v>#N/A</v>
      </c>
      <c r="AI1159" s="28" t="str">
        <f>_xlfn.IFNA(IF(AE1159 &lt; (INDEX(SLATable[Minimum SLA],MATCH(G1159,SLATable[Priority],0))),"YES","NO"),"")</f>
        <v/>
      </c>
      <c r="AJ1159" s="28" t="str">
        <f>_xlfn.IFNA(IF(AE1159 &lt; (INDEX(SLATable[Maximum SLA],MATCH(G1159,SLATable[Priority],0))),"YES","NO"),"")</f>
        <v/>
      </c>
    </row>
    <row r="1160" spans="26:36" ht="15" customHeight="1">
      <c r="Z1160" s="169" t="e">
        <f t="shared" ca="1" si="181"/>
        <v>#N/A</v>
      </c>
      <c r="AA1160" s="170" t="e">
        <f t="shared" ca="1" si="182"/>
        <v>#N/A</v>
      </c>
      <c r="AB1160" s="169">
        <f t="shared" ca="1" si="183"/>
        <v>0</v>
      </c>
      <c r="AC1160" s="170">
        <f t="shared" ca="1" si="184"/>
        <v>0</v>
      </c>
      <c r="AD1160" s="169">
        <f t="shared" ca="1" si="185"/>
        <v>12388.42564085648</v>
      </c>
      <c r="AE1160" s="169">
        <f t="shared" si="188"/>
        <v>0</v>
      </c>
      <c r="AF1160" s="170">
        <f t="shared" si="186"/>
        <v>0</v>
      </c>
      <c r="AG1160" s="170">
        <f t="shared" si="187"/>
        <v>0</v>
      </c>
      <c r="AH1160" s="28" t="e" cm="1">
        <f t="array" aca="1" ref="AH1160" ca="1">IF((AD1160) &lt; (INDEX(ResponseSLA[#All],(MATCH((G1160),ResponseSLA[Priority],0))+1,3)),"YES","No")</f>
        <v>#N/A</v>
      </c>
      <c r="AI1160" s="28" t="str">
        <f>_xlfn.IFNA(IF(AE1160 &lt; (INDEX(SLATable[Minimum SLA],MATCH(G1160,SLATable[Priority],0))),"YES","NO"),"")</f>
        <v/>
      </c>
      <c r="AJ1160" s="28" t="str">
        <f>_xlfn.IFNA(IF(AE1160 &lt; (INDEX(SLATable[Maximum SLA],MATCH(G1160,SLATable[Priority],0))),"YES","NO"),"")</f>
        <v/>
      </c>
    </row>
    <row r="1161" spans="26:36" ht="15" customHeight="1">
      <c r="Z1161" s="169" t="e">
        <f t="shared" ca="1" si="181"/>
        <v>#N/A</v>
      </c>
      <c r="AA1161" s="170" t="e">
        <f t="shared" ca="1" si="182"/>
        <v>#N/A</v>
      </c>
      <c r="AB1161" s="169">
        <f t="shared" ca="1" si="183"/>
        <v>0</v>
      </c>
      <c r="AC1161" s="170">
        <f t="shared" ca="1" si="184"/>
        <v>0</v>
      </c>
      <c r="AD1161" s="169">
        <f t="shared" ca="1" si="185"/>
        <v>12388.42564085648</v>
      </c>
      <c r="AE1161" s="169">
        <f t="shared" si="188"/>
        <v>0</v>
      </c>
      <c r="AF1161" s="170">
        <f t="shared" si="186"/>
        <v>0</v>
      </c>
      <c r="AG1161" s="170">
        <f t="shared" si="187"/>
        <v>0</v>
      </c>
      <c r="AH1161" s="28" t="e" cm="1">
        <f t="array" aca="1" ref="AH1161" ca="1">IF((AD1161) &lt; (INDEX(ResponseSLA[#All],(MATCH((G1161),ResponseSLA[Priority],0))+1,3)),"YES","No")</f>
        <v>#N/A</v>
      </c>
      <c r="AI1161" s="28" t="str">
        <f>_xlfn.IFNA(IF(AE1161 &lt; (INDEX(SLATable[Minimum SLA],MATCH(G1161,SLATable[Priority],0))),"YES","NO"),"")</f>
        <v/>
      </c>
      <c r="AJ1161" s="28" t="str">
        <f>_xlfn.IFNA(IF(AE1161 &lt; (INDEX(SLATable[Maximum SLA],MATCH(G1161,SLATable[Priority],0))),"YES","NO"),"")</f>
        <v/>
      </c>
    </row>
    <row r="1162" spans="26:36" ht="15" customHeight="1">
      <c r="Z1162" s="169" t="e">
        <f t="shared" ca="1" si="181"/>
        <v>#N/A</v>
      </c>
      <c r="AA1162" s="170" t="e">
        <f t="shared" ca="1" si="182"/>
        <v>#N/A</v>
      </c>
      <c r="AB1162" s="169">
        <f t="shared" ca="1" si="183"/>
        <v>0</v>
      </c>
      <c r="AC1162" s="170">
        <f t="shared" ca="1" si="184"/>
        <v>0</v>
      </c>
      <c r="AD1162" s="169">
        <f t="shared" ca="1" si="185"/>
        <v>12388.42564085648</v>
      </c>
      <c r="AE1162" s="169">
        <f t="shared" si="188"/>
        <v>0</v>
      </c>
      <c r="AF1162" s="170">
        <f t="shared" si="186"/>
        <v>0</v>
      </c>
      <c r="AG1162" s="170">
        <f t="shared" si="187"/>
        <v>0</v>
      </c>
      <c r="AH1162" s="28" t="e" cm="1">
        <f t="array" aca="1" ref="AH1162" ca="1">IF((AD1162) &lt; (INDEX(ResponseSLA[#All],(MATCH((G1162),ResponseSLA[Priority],0))+1,3)),"YES","No")</f>
        <v>#N/A</v>
      </c>
      <c r="AI1162" s="28" t="str">
        <f>_xlfn.IFNA(IF(AE1162 &lt; (INDEX(SLATable[Minimum SLA],MATCH(G1162,SLATable[Priority],0))),"YES","NO"),"")</f>
        <v/>
      </c>
      <c r="AJ1162" s="28" t="str">
        <f>_xlfn.IFNA(IF(AE1162 &lt; (INDEX(SLATable[Maximum SLA],MATCH(G1162,SLATable[Priority],0))),"YES","NO"),"")</f>
        <v/>
      </c>
    </row>
    <row r="1163" spans="26:36" ht="15" customHeight="1">
      <c r="Z1163" s="169" t="e">
        <f t="shared" ca="1" si="181"/>
        <v>#N/A</v>
      </c>
      <c r="AA1163" s="170" t="e">
        <f t="shared" ca="1" si="182"/>
        <v>#N/A</v>
      </c>
      <c r="AB1163" s="169">
        <f t="shared" ca="1" si="183"/>
        <v>0</v>
      </c>
      <c r="AC1163" s="170">
        <f t="shared" ca="1" si="184"/>
        <v>0</v>
      </c>
      <c r="AD1163" s="169">
        <f t="shared" ca="1" si="185"/>
        <v>12388.42564085648</v>
      </c>
      <c r="AE1163" s="169">
        <f t="shared" si="188"/>
        <v>0</v>
      </c>
      <c r="AF1163" s="170">
        <f t="shared" si="186"/>
        <v>0</v>
      </c>
      <c r="AG1163" s="170">
        <f t="shared" si="187"/>
        <v>0</v>
      </c>
      <c r="AH1163" s="28" t="e" cm="1">
        <f t="array" aca="1" ref="AH1163" ca="1">IF((AD1163) &lt; (INDEX(ResponseSLA[#All],(MATCH((G1163),ResponseSLA[Priority],0))+1,3)),"YES","No")</f>
        <v>#N/A</v>
      </c>
      <c r="AI1163" s="28" t="str">
        <f>_xlfn.IFNA(IF(AE1163 &lt; (INDEX(SLATable[Minimum SLA],MATCH(G1163,SLATable[Priority],0))),"YES","NO"),"")</f>
        <v/>
      </c>
      <c r="AJ1163" s="28" t="str">
        <f>_xlfn.IFNA(IF(AE1163 &lt; (INDEX(SLATable[Maximum SLA],MATCH(G1163,SLATable[Priority],0))),"YES","NO"),"")</f>
        <v/>
      </c>
    </row>
    <row r="1164" spans="26:36" ht="15" customHeight="1">
      <c r="Z1164" s="169" t="e">
        <f t="shared" ca="1" si="181"/>
        <v>#N/A</v>
      </c>
      <c r="AA1164" s="170" t="e">
        <f t="shared" ca="1" si="182"/>
        <v>#N/A</v>
      </c>
      <c r="AB1164" s="169">
        <f t="shared" ca="1" si="183"/>
        <v>0</v>
      </c>
      <c r="AC1164" s="170">
        <f t="shared" ca="1" si="184"/>
        <v>0</v>
      </c>
      <c r="AD1164" s="169">
        <f t="shared" ca="1" si="185"/>
        <v>12388.42564085648</v>
      </c>
      <c r="AE1164" s="169">
        <f t="shared" si="188"/>
        <v>0</v>
      </c>
      <c r="AF1164" s="170">
        <f t="shared" si="186"/>
        <v>0</v>
      </c>
      <c r="AG1164" s="170">
        <f t="shared" si="187"/>
        <v>0</v>
      </c>
      <c r="AH1164" s="28" t="e" cm="1">
        <f t="array" aca="1" ref="AH1164" ca="1">IF((AD1164) &lt; (INDEX(ResponseSLA[#All],(MATCH((G1164),ResponseSLA[Priority],0))+1,3)),"YES","No")</f>
        <v>#N/A</v>
      </c>
      <c r="AI1164" s="28" t="str">
        <f>_xlfn.IFNA(IF(AE1164 &lt; (INDEX(SLATable[Minimum SLA],MATCH(G1164,SLATable[Priority],0))),"YES","NO"),"")</f>
        <v/>
      </c>
      <c r="AJ1164" s="28" t="str">
        <f>_xlfn.IFNA(IF(AE1164 &lt; (INDEX(SLATable[Maximum SLA],MATCH(G1164,SLATable[Priority],0))),"YES","NO"),"")</f>
        <v/>
      </c>
    </row>
    <row r="1165" spans="26:36" ht="15" customHeight="1">
      <c r="Z1165" s="169" t="e">
        <f t="shared" ca="1" si="181"/>
        <v>#N/A</v>
      </c>
      <c r="AA1165" s="170" t="e">
        <f t="shared" ca="1" si="182"/>
        <v>#N/A</v>
      </c>
      <c r="AB1165" s="169">
        <f t="shared" ca="1" si="183"/>
        <v>0</v>
      </c>
      <c r="AC1165" s="170">
        <f t="shared" ca="1" si="184"/>
        <v>0</v>
      </c>
      <c r="AD1165" s="169">
        <f t="shared" ca="1" si="185"/>
        <v>12388.42564085648</v>
      </c>
      <c r="AE1165" s="169">
        <f t="shared" si="188"/>
        <v>0</v>
      </c>
      <c r="AF1165" s="170">
        <f t="shared" si="186"/>
        <v>0</v>
      </c>
      <c r="AG1165" s="170">
        <f t="shared" si="187"/>
        <v>0</v>
      </c>
      <c r="AH1165" s="28" t="e" cm="1">
        <f t="array" aca="1" ref="AH1165" ca="1">IF((AD1165) &lt; (INDEX(ResponseSLA[#All],(MATCH((G1165),ResponseSLA[Priority],0))+1,3)),"YES","No")</f>
        <v>#N/A</v>
      </c>
      <c r="AI1165" s="28" t="str">
        <f>_xlfn.IFNA(IF(AE1165 &lt; (INDEX(SLATable[Minimum SLA],MATCH(G1165,SLATable[Priority],0))),"YES","NO"),"")</f>
        <v/>
      </c>
      <c r="AJ1165" s="28" t="str">
        <f>_xlfn.IFNA(IF(AE1165 &lt; (INDEX(SLATable[Maximum SLA],MATCH(G1165,SLATable[Priority],0))),"YES","NO"),"")</f>
        <v/>
      </c>
    </row>
    <row r="1166" spans="26:36" ht="15" customHeight="1">
      <c r="Z1166" s="169" t="e">
        <f t="shared" ca="1" si="181"/>
        <v>#N/A</v>
      </c>
      <c r="AA1166" s="170" t="e">
        <f t="shared" ca="1" si="182"/>
        <v>#N/A</v>
      </c>
      <c r="AB1166" s="169">
        <f t="shared" ca="1" si="183"/>
        <v>0</v>
      </c>
      <c r="AC1166" s="170">
        <f t="shared" ca="1" si="184"/>
        <v>0</v>
      </c>
      <c r="AD1166" s="169">
        <f t="shared" ca="1" si="185"/>
        <v>12388.42564085648</v>
      </c>
      <c r="AE1166" s="169">
        <f t="shared" si="188"/>
        <v>0</v>
      </c>
      <c r="AF1166" s="170">
        <f t="shared" si="186"/>
        <v>0</v>
      </c>
      <c r="AG1166" s="170">
        <f t="shared" si="187"/>
        <v>0</v>
      </c>
      <c r="AH1166" s="28" t="e" cm="1">
        <f t="array" aca="1" ref="AH1166" ca="1">IF((AD1166) &lt; (INDEX(ResponseSLA[#All],(MATCH((G1166),ResponseSLA[Priority],0))+1,3)),"YES","No")</f>
        <v>#N/A</v>
      </c>
      <c r="AI1166" s="28" t="str">
        <f>_xlfn.IFNA(IF(AE1166 &lt; (INDEX(SLATable[Minimum SLA],MATCH(G1166,SLATable[Priority],0))),"YES","NO"),"")</f>
        <v/>
      </c>
      <c r="AJ1166" s="28" t="str">
        <f>_xlfn.IFNA(IF(AE1166 &lt; (INDEX(SLATable[Maximum SLA],MATCH(G1166,SLATable[Priority],0))),"YES","NO"),"")</f>
        <v/>
      </c>
    </row>
    <row r="1167" spans="26:36" ht="15" customHeight="1">
      <c r="Z1167" s="169" t="e">
        <f t="shared" ca="1" si="181"/>
        <v>#N/A</v>
      </c>
      <c r="AA1167" s="170" t="e">
        <f t="shared" ca="1" si="182"/>
        <v>#N/A</v>
      </c>
      <c r="AB1167" s="169">
        <f t="shared" ca="1" si="183"/>
        <v>0</v>
      </c>
      <c r="AC1167" s="170">
        <f t="shared" ca="1" si="184"/>
        <v>0</v>
      </c>
      <c r="AD1167" s="169">
        <f t="shared" ca="1" si="185"/>
        <v>12388.42564085648</v>
      </c>
      <c r="AE1167" s="169">
        <f t="shared" si="188"/>
        <v>0</v>
      </c>
      <c r="AF1167" s="170">
        <f t="shared" si="186"/>
        <v>0</v>
      </c>
      <c r="AG1167" s="170">
        <f t="shared" si="187"/>
        <v>0</v>
      </c>
      <c r="AH1167" s="28" t="e" cm="1">
        <f t="array" aca="1" ref="AH1167" ca="1">IF((AD1167) &lt; (INDEX(ResponseSLA[#All],(MATCH((G1167),ResponseSLA[Priority],0))+1,3)),"YES","No")</f>
        <v>#N/A</v>
      </c>
      <c r="AI1167" s="28" t="str">
        <f>_xlfn.IFNA(IF(AE1167 &lt; (INDEX(SLATable[Minimum SLA],MATCH(G1167,SLATable[Priority],0))),"YES","NO"),"")</f>
        <v/>
      </c>
      <c r="AJ1167" s="28" t="str">
        <f>_xlfn.IFNA(IF(AE1167 &lt; (INDEX(SLATable[Maximum SLA],MATCH(G1167,SLATable[Priority],0))),"YES","NO"),"")</f>
        <v/>
      </c>
    </row>
    <row r="1168" spans="26:36" ht="15" customHeight="1">
      <c r="Z1168" s="169" t="e">
        <f t="shared" ca="1" si="181"/>
        <v>#N/A</v>
      </c>
      <c r="AA1168" s="170" t="e">
        <f t="shared" ca="1" si="182"/>
        <v>#N/A</v>
      </c>
      <c r="AB1168" s="169">
        <f t="shared" ca="1" si="183"/>
        <v>0</v>
      </c>
      <c r="AC1168" s="170">
        <f t="shared" ca="1" si="184"/>
        <v>0</v>
      </c>
      <c r="AD1168" s="169">
        <f t="shared" ca="1" si="185"/>
        <v>12388.42564085648</v>
      </c>
      <c r="AE1168" s="169">
        <f t="shared" si="188"/>
        <v>0</v>
      </c>
      <c r="AF1168" s="170">
        <f t="shared" si="186"/>
        <v>0</v>
      </c>
      <c r="AG1168" s="170">
        <f t="shared" si="187"/>
        <v>0</v>
      </c>
      <c r="AH1168" s="28" t="e" cm="1">
        <f t="array" aca="1" ref="AH1168" ca="1">IF((AD1168) &lt; (INDEX(ResponseSLA[#All],(MATCH((G1168),ResponseSLA[Priority],0))+1,3)),"YES","No")</f>
        <v>#N/A</v>
      </c>
      <c r="AI1168" s="28" t="str">
        <f>_xlfn.IFNA(IF(AE1168 &lt; (INDEX(SLATable[Minimum SLA],MATCH(G1168,SLATable[Priority],0))),"YES","NO"),"")</f>
        <v/>
      </c>
      <c r="AJ1168" s="28" t="str">
        <f>_xlfn.IFNA(IF(AE1168 &lt; (INDEX(SLATable[Maximum SLA],MATCH(G1168,SLATable[Priority],0))),"YES","NO"),"")</f>
        <v/>
      </c>
    </row>
    <row r="1169" spans="26:36" ht="15" customHeight="1">
      <c r="Z1169" s="169" t="e">
        <f t="shared" ca="1" si="181"/>
        <v>#N/A</v>
      </c>
      <c r="AA1169" s="170" t="e">
        <f t="shared" ca="1" si="182"/>
        <v>#N/A</v>
      </c>
      <c r="AB1169" s="169">
        <f t="shared" ca="1" si="183"/>
        <v>0</v>
      </c>
      <c r="AC1169" s="170">
        <f t="shared" ca="1" si="184"/>
        <v>0</v>
      </c>
      <c r="AD1169" s="169">
        <f t="shared" ca="1" si="185"/>
        <v>12388.42564085648</v>
      </c>
      <c r="AE1169" s="169">
        <f t="shared" si="188"/>
        <v>0</v>
      </c>
      <c r="AF1169" s="170">
        <f t="shared" si="186"/>
        <v>0</v>
      </c>
      <c r="AG1169" s="170">
        <f t="shared" si="187"/>
        <v>0</v>
      </c>
      <c r="AH1169" s="28" t="e" cm="1">
        <f t="array" aca="1" ref="AH1169" ca="1">IF((AD1169) &lt; (INDEX(ResponseSLA[#All],(MATCH((G1169),ResponseSLA[Priority],0))+1,3)),"YES","No")</f>
        <v>#N/A</v>
      </c>
      <c r="AI1169" s="28" t="str">
        <f>_xlfn.IFNA(IF(AE1169 &lt; (INDEX(SLATable[Minimum SLA],MATCH(G1169,SLATable[Priority],0))),"YES","NO"),"")</f>
        <v/>
      </c>
      <c r="AJ1169" s="28" t="str">
        <f>_xlfn.IFNA(IF(AE1169 &lt; (INDEX(SLATable[Maximum SLA],MATCH(G1169,SLATable[Priority],0))),"YES","NO"),"")</f>
        <v/>
      </c>
    </row>
    <row r="1170" spans="26:36" ht="15" customHeight="1">
      <c r="Z1170" s="169" t="e">
        <f t="shared" ca="1" si="181"/>
        <v>#N/A</v>
      </c>
      <c r="AA1170" s="170" t="e">
        <f t="shared" ca="1" si="182"/>
        <v>#N/A</v>
      </c>
      <c r="AB1170" s="169">
        <f t="shared" ca="1" si="183"/>
        <v>0</v>
      </c>
      <c r="AC1170" s="170">
        <f t="shared" ca="1" si="184"/>
        <v>0</v>
      </c>
      <c r="AD1170" s="169">
        <f t="shared" ca="1" si="185"/>
        <v>12388.42564085648</v>
      </c>
      <c r="AE1170" s="169">
        <f t="shared" si="188"/>
        <v>0</v>
      </c>
      <c r="AF1170" s="170">
        <f t="shared" si="186"/>
        <v>0</v>
      </c>
      <c r="AG1170" s="170">
        <f t="shared" si="187"/>
        <v>0</v>
      </c>
      <c r="AH1170" s="28" t="e" cm="1">
        <f t="array" aca="1" ref="AH1170" ca="1">IF((AD1170) &lt; (INDEX(ResponseSLA[#All],(MATCH((G1170),ResponseSLA[Priority],0))+1,3)),"YES","No")</f>
        <v>#N/A</v>
      </c>
      <c r="AI1170" s="28" t="str">
        <f>_xlfn.IFNA(IF(AE1170 &lt; (INDEX(SLATable[Minimum SLA],MATCH(G1170,SLATable[Priority],0))),"YES","NO"),"")</f>
        <v/>
      </c>
      <c r="AJ1170" s="28" t="str">
        <f>_xlfn.IFNA(IF(AE1170 &lt; (INDEX(SLATable[Maximum SLA],MATCH(G1170,SLATable[Priority],0))),"YES","NO"),"")</f>
        <v/>
      </c>
    </row>
    <row r="1171" spans="26:36" ht="15" customHeight="1">
      <c r="Z1171" s="169" t="e">
        <f t="shared" ca="1" si="181"/>
        <v>#N/A</v>
      </c>
      <c r="AA1171" s="170" t="e">
        <f t="shared" ca="1" si="182"/>
        <v>#N/A</v>
      </c>
      <c r="AB1171" s="169">
        <f t="shared" ca="1" si="183"/>
        <v>0</v>
      </c>
      <c r="AC1171" s="170">
        <f t="shared" ca="1" si="184"/>
        <v>0</v>
      </c>
      <c r="AD1171" s="169">
        <f t="shared" ca="1" si="185"/>
        <v>12388.42564085648</v>
      </c>
      <c r="AE1171" s="169">
        <f t="shared" si="188"/>
        <v>0</v>
      </c>
      <c r="AF1171" s="170">
        <f t="shared" si="186"/>
        <v>0</v>
      </c>
      <c r="AG1171" s="170">
        <f t="shared" si="187"/>
        <v>0</v>
      </c>
      <c r="AH1171" s="28" t="e" cm="1">
        <f t="array" aca="1" ref="AH1171" ca="1">IF((AD1171) &lt; (INDEX(ResponseSLA[#All],(MATCH((G1171),ResponseSLA[Priority],0))+1,3)),"YES","No")</f>
        <v>#N/A</v>
      </c>
      <c r="AI1171" s="28" t="str">
        <f>_xlfn.IFNA(IF(AE1171 &lt; (INDEX(SLATable[Minimum SLA],MATCH(G1171,SLATable[Priority],0))),"YES","NO"),"")</f>
        <v/>
      </c>
      <c r="AJ1171" s="28" t="str">
        <f>_xlfn.IFNA(IF(AE1171 &lt; (INDEX(SLATable[Maximum SLA],MATCH(G1171,SLATable[Priority],0))),"YES","NO"),"")</f>
        <v/>
      </c>
    </row>
    <row r="1172" spans="26:36" ht="15" customHeight="1">
      <c r="Z1172" s="169" t="e">
        <f t="shared" ca="1" si="181"/>
        <v>#N/A</v>
      </c>
      <c r="AA1172" s="170" t="e">
        <f t="shared" ca="1" si="182"/>
        <v>#N/A</v>
      </c>
      <c r="AB1172" s="169">
        <f t="shared" ca="1" si="183"/>
        <v>0</v>
      </c>
      <c r="AC1172" s="170">
        <f t="shared" ca="1" si="184"/>
        <v>0</v>
      </c>
      <c r="AD1172" s="169">
        <f t="shared" ca="1" si="185"/>
        <v>12388.42564085648</v>
      </c>
      <c r="AE1172" s="169">
        <f t="shared" si="188"/>
        <v>0</v>
      </c>
      <c r="AF1172" s="170">
        <f t="shared" si="186"/>
        <v>0</v>
      </c>
      <c r="AG1172" s="170">
        <f t="shared" si="187"/>
        <v>0</v>
      </c>
      <c r="AH1172" s="28" t="e" cm="1">
        <f t="array" aca="1" ref="AH1172" ca="1">IF((AD1172) &lt; (INDEX(ResponseSLA[#All],(MATCH((G1172),ResponseSLA[Priority],0))+1,3)),"YES","No")</f>
        <v>#N/A</v>
      </c>
      <c r="AI1172" s="28" t="str">
        <f>_xlfn.IFNA(IF(AE1172 &lt; (INDEX(SLATable[Minimum SLA],MATCH(G1172,SLATable[Priority],0))),"YES","NO"),"")</f>
        <v/>
      </c>
      <c r="AJ1172" s="28" t="str">
        <f>_xlfn.IFNA(IF(AE1172 &lt; (INDEX(SLATable[Maximum SLA],MATCH(G1172,SLATable[Priority],0))),"YES","NO"),"")</f>
        <v/>
      </c>
    </row>
    <row r="1173" spans="26:36" ht="15" customHeight="1">
      <c r="Z1173" s="169" t="e">
        <f t="shared" ca="1" si="181"/>
        <v>#N/A</v>
      </c>
      <c r="AA1173" s="170" t="e">
        <f t="shared" ca="1" si="182"/>
        <v>#N/A</v>
      </c>
      <c r="AB1173" s="169">
        <f t="shared" ca="1" si="183"/>
        <v>0</v>
      </c>
      <c r="AC1173" s="170">
        <f t="shared" ca="1" si="184"/>
        <v>0</v>
      </c>
      <c r="AD1173" s="169">
        <f t="shared" ca="1" si="185"/>
        <v>12388.42564085648</v>
      </c>
      <c r="AE1173" s="169">
        <f t="shared" si="188"/>
        <v>0</v>
      </c>
      <c r="AF1173" s="170">
        <f t="shared" si="186"/>
        <v>0</v>
      </c>
      <c r="AG1173" s="170">
        <f t="shared" si="187"/>
        <v>0</v>
      </c>
      <c r="AH1173" s="28" t="e" cm="1">
        <f t="array" aca="1" ref="AH1173" ca="1">IF((AD1173) &lt; (INDEX(ResponseSLA[#All],(MATCH((G1173),ResponseSLA[Priority],0))+1,3)),"YES","No")</f>
        <v>#N/A</v>
      </c>
      <c r="AI1173" s="28" t="str">
        <f>_xlfn.IFNA(IF(AE1173 &lt; (INDEX(SLATable[Minimum SLA],MATCH(G1173,SLATable[Priority],0))),"YES","NO"),"")</f>
        <v/>
      </c>
      <c r="AJ1173" s="28" t="str">
        <f>_xlfn.IFNA(IF(AE1173 &lt; (INDEX(SLATable[Maximum SLA],MATCH(G1173,SLATable[Priority],0))),"YES","NO"),"")</f>
        <v/>
      </c>
    </row>
    <row r="1174" spans="26:36" ht="15" customHeight="1">
      <c r="Z1174" s="169" t="e">
        <f t="shared" ca="1" si="181"/>
        <v>#N/A</v>
      </c>
      <c r="AA1174" s="170" t="e">
        <f t="shared" ca="1" si="182"/>
        <v>#N/A</v>
      </c>
      <c r="AB1174" s="169">
        <f t="shared" ca="1" si="183"/>
        <v>0</v>
      </c>
      <c r="AC1174" s="170">
        <f t="shared" ca="1" si="184"/>
        <v>0</v>
      </c>
      <c r="AD1174" s="169">
        <f t="shared" ca="1" si="185"/>
        <v>12388.42564085648</v>
      </c>
      <c r="AE1174" s="169">
        <f t="shared" si="188"/>
        <v>0</v>
      </c>
      <c r="AF1174" s="170">
        <f t="shared" si="186"/>
        <v>0</v>
      </c>
      <c r="AG1174" s="170">
        <f t="shared" si="187"/>
        <v>0</v>
      </c>
      <c r="AH1174" s="28" t="e" cm="1">
        <f t="array" aca="1" ref="AH1174" ca="1">IF((AD1174) &lt; (INDEX(ResponseSLA[#All],(MATCH((G1174),ResponseSLA[Priority],0))+1,3)),"YES","No")</f>
        <v>#N/A</v>
      </c>
      <c r="AI1174" s="28" t="str">
        <f>_xlfn.IFNA(IF(AE1174 &lt; (INDEX(SLATable[Minimum SLA],MATCH(G1174,SLATable[Priority],0))),"YES","NO"),"")</f>
        <v/>
      </c>
      <c r="AJ1174" s="28" t="str">
        <f>_xlfn.IFNA(IF(AE1174 &lt; (INDEX(SLATable[Maximum SLA],MATCH(G1174,SLATable[Priority],0))),"YES","NO"),"")</f>
        <v/>
      </c>
    </row>
    <row r="1175" spans="26:36" ht="15" customHeight="1">
      <c r="Z1175" s="169" t="e">
        <f t="shared" ca="1" si="181"/>
        <v>#N/A</v>
      </c>
      <c r="AA1175" s="170" t="e">
        <f t="shared" ca="1" si="182"/>
        <v>#N/A</v>
      </c>
      <c r="AB1175" s="169">
        <f t="shared" ca="1" si="183"/>
        <v>0</v>
      </c>
      <c r="AC1175" s="170">
        <f t="shared" ca="1" si="184"/>
        <v>0</v>
      </c>
      <c r="AD1175" s="169">
        <f t="shared" ca="1" si="185"/>
        <v>12388.42564085648</v>
      </c>
      <c r="AE1175" s="169">
        <f t="shared" si="188"/>
        <v>0</v>
      </c>
      <c r="AF1175" s="170">
        <f t="shared" si="186"/>
        <v>0</v>
      </c>
      <c r="AG1175" s="170">
        <f t="shared" si="187"/>
        <v>0</v>
      </c>
      <c r="AH1175" s="28" t="e" cm="1">
        <f t="array" aca="1" ref="AH1175" ca="1">IF((AD1175) &lt; (INDEX(ResponseSLA[#All],(MATCH((G1175),ResponseSLA[Priority],0))+1,3)),"YES","No")</f>
        <v>#N/A</v>
      </c>
      <c r="AI1175" s="28" t="str">
        <f>_xlfn.IFNA(IF(AE1175 &lt; (INDEX(SLATable[Minimum SLA],MATCH(G1175,SLATable[Priority],0))),"YES","NO"),"")</f>
        <v/>
      </c>
      <c r="AJ1175" s="28" t="str">
        <f>_xlfn.IFNA(IF(AE1175 &lt; (INDEX(SLATable[Maximum SLA],MATCH(G1175,SLATable[Priority],0))),"YES","NO"),"")</f>
        <v/>
      </c>
    </row>
    <row r="1176" spans="26:36" ht="15" customHeight="1">
      <c r="Z1176" s="169" t="e">
        <f t="shared" ca="1" si="181"/>
        <v>#N/A</v>
      </c>
      <c r="AA1176" s="170" t="e">
        <f t="shared" ca="1" si="182"/>
        <v>#N/A</v>
      </c>
      <c r="AB1176" s="169">
        <f t="shared" ca="1" si="183"/>
        <v>0</v>
      </c>
      <c r="AC1176" s="170">
        <f t="shared" ca="1" si="184"/>
        <v>0</v>
      </c>
      <c r="AD1176" s="169">
        <f t="shared" ca="1" si="185"/>
        <v>12388.42564085648</v>
      </c>
      <c r="AE1176" s="169">
        <f t="shared" si="188"/>
        <v>0</v>
      </c>
      <c r="AF1176" s="170">
        <f t="shared" si="186"/>
        <v>0</v>
      </c>
      <c r="AG1176" s="170">
        <f t="shared" si="187"/>
        <v>0</v>
      </c>
      <c r="AH1176" s="28" t="e" cm="1">
        <f t="array" aca="1" ref="AH1176" ca="1">IF((AD1176) &lt; (INDEX(ResponseSLA[#All],(MATCH((G1176),ResponseSLA[Priority],0))+1,3)),"YES","No")</f>
        <v>#N/A</v>
      </c>
      <c r="AI1176" s="28" t="str">
        <f>_xlfn.IFNA(IF(AE1176 &lt; (INDEX(SLATable[Minimum SLA],MATCH(G1176,SLATable[Priority],0))),"YES","NO"),"")</f>
        <v/>
      </c>
      <c r="AJ1176" s="28" t="str">
        <f>_xlfn.IFNA(IF(AE1176 &lt; (INDEX(SLATable[Maximum SLA],MATCH(G1176,SLATable[Priority],0))),"YES","NO"),"")</f>
        <v/>
      </c>
    </row>
    <row r="1177" spans="26:36" ht="15" customHeight="1">
      <c r="Z1177" s="169" t="e">
        <f t="shared" ca="1" si="181"/>
        <v>#N/A</v>
      </c>
      <c r="AA1177" s="170" t="e">
        <f t="shared" ca="1" si="182"/>
        <v>#N/A</v>
      </c>
      <c r="AB1177" s="169">
        <f t="shared" ca="1" si="183"/>
        <v>0</v>
      </c>
      <c r="AC1177" s="170">
        <f t="shared" ca="1" si="184"/>
        <v>0</v>
      </c>
      <c r="AD1177" s="169">
        <f t="shared" ca="1" si="185"/>
        <v>12388.42564085648</v>
      </c>
      <c r="AE1177" s="169">
        <f t="shared" si="188"/>
        <v>0</v>
      </c>
      <c r="AF1177" s="170">
        <f t="shared" si="186"/>
        <v>0</v>
      </c>
      <c r="AG1177" s="170">
        <f t="shared" si="187"/>
        <v>0</v>
      </c>
      <c r="AH1177" s="28" t="e" cm="1">
        <f t="array" aca="1" ref="AH1177" ca="1">IF((AD1177) &lt; (INDEX(ResponseSLA[#All],(MATCH((G1177),ResponseSLA[Priority],0))+1,3)),"YES","No")</f>
        <v>#N/A</v>
      </c>
      <c r="AI1177" s="28" t="str">
        <f>_xlfn.IFNA(IF(AE1177 &lt; (INDEX(SLATable[Minimum SLA],MATCH(G1177,SLATable[Priority],0))),"YES","NO"),"")</f>
        <v/>
      </c>
      <c r="AJ1177" s="28" t="str">
        <f>_xlfn.IFNA(IF(AE1177 &lt; (INDEX(SLATable[Maximum SLA],MATCH(G1177,SLATable[Priority],0))),"YES","NO"),"")</f>
        <v/>
      </c>
    </row>
    <row r="1178" spans="26:36" ht="15" customHeight="1">
      <c r="Z1178" s="169" t="e">
        <f t="shared" ca="1" si="181"/>
        <v>#N/A</v>
      </c>
      <c r="AA1178" s="170" t="e">
        <f t="shared" ca="1" si="182"/>
        <v>#N/A</v>
      </c>
      <c r="AB1178" s="169">
        <f t="shared" ca="1" si="183"/>
        <v>0</v>
      </c>
      <c r="AC1178" s="170">
        <f t="shared" ca="1" si="184"/>
        <v>0</v>
      </c>
      <c r="AD1178" s="169">
        <f t="shared" ca="1" si="185"/>
        <v>12388.42564085648</v>
      </c>
      <c r="AE1178" s="169">
        <f t="shared" si="188"/>
        <v>0</v>
      </c>
      <c r="AF1178" s="170">
        <f t="shared" si="186"/>
        <v>0</v>
      </c>
      <c r="AG1178" s="170">
        <f t="shared" si="187"/>
        <v>0</v>
      </c>
      <c r="AH1178" s="28" t="e" cm="1">
        <f t="array" aca="1" ref="AH1178" ca="1">IF((AD1178) &lt; (INDEX(ResponseSLA[#All],(MATCH((G1178),ResponseSLA[Priority],0))+1,3)),"YES","No")</f>
        <v>#N/A</v>
      </c>
      <c r="AI1178" s="28" t="str">
        <f>_xlfn.IFNA(IF(AE1178 &lt; (INDEX(SLATable[Minimum SLA],MATCH(G1178,SLATable[Priority],0))),"YES","NO"),"")</f>
        <v/>
      </c>
      <c r="AJ1178" s="28" t="str">
        <f>_xlfn.IFNA(IF(AE1178 &lt; (INDEX(SLATable[Maximum SLA],MATCH(G1178,SLATable[Priority],0))),"YES","NO"),"")</f>
        <v/>
      </c>
    </row>
    <row r="1179" spans="26:36" ht="15" customHeight="1">
      <c r="Z1179" s="169" t="e">
        <f t="shared" ca="1" si="181"/>
        <v>#N/A</v>
      </c>
      <c r="AA1179" s="170" t="e">
        <f t="shared" ca="1" si="182"/>
        <v>#N/A</v>
      </c>
      <c r="AB1179" s="169">
        <f t="shared" ca="1" si="183"/>
        <v>0</v>
      </c>
      <c r="AC1179" s="170">
        <f t="shared" ca="1" si="184"/>
        <v>0</v>
      </c>
      <c r="AD1179" s="169">
        <f t="shared" ca="1" si="185"/>
        <v>12388.42564085648</v>
      </c>
      <c r="AE1179" s="169">
        <f t="shared" si="188"/>
        <v>0</v>
      </c>
      <c r="AF1179" s="170">
        <f t="shared" si="186"/>
        <v>0</v>
      </c>
      <c r="AG1179" s="170">
        <f t="shared" si="187"/>
        <v>0</v>
      </c>
      <c r="AH1179" s="28" t="e" cm="1">
        <f t="array" aca="1" ref="AH1179" ca="1">IF((AD1179) &lt; (INDEX(ResponseSLA[#All],(MATCH((G1179),ResponseSLA[Priority],0))+1,3)),"YES","No")</f>
        <v>#N/A</v>
      </c>
      <c r="AI1179" s="28" t="str">
        <f>_xlfn.IFNA(IF(AE1179 &lt; (INDEX(SLATable[Minimum SLA],MATCH(G1179,SLATable[Priority],0))),"YES","NO"),"")</f>
        <v/>
      </c>
      <c r="AJ1179" s="28" t="str">
        <f>_xlfn.IFNA(IF(AE1179 &lt; (INDEX(SLATable[Maximum SLA],MATCH(G1179,SLATable[Priority],0))),"YES","NO"),"")</f>
        <v/>
      </c>
    </row>
    <row r="1180" spans="26:36" ht="15" customHeight="1">
      <c r="Z1180" s="169" t="e">
        <f t="shared" ca="1" si="181"/>
        <v>#N/A</v>
      </c>
      <c r="AA1180" s="170" t="e">
        <f t="shared" ca="1" si="182"/>
        <v>#N/A</v>
      </c>
      <c r="AB1180" s="169">
        <f t="shared" ca="1" si="183"/>
        <v>0</v>
      </c>
      <c r="AC1180" s="170">
        <f t="shared" ca="1" si="184"/>
        <v>0</v>
      </c>
      <c r="AD1180" s="169">
        <f t="shared" ca="1" si="185"/>
        <v>12388.42564085648</v>
      </c>
      <c r="AE1180" s="169">
        <f t="shared" si="188"/>
        <v>0</v>
      </c>
      <c r="AF1180" s="170">
        <f t="shared" si="186"/>
        <v>0</v>
      </c>
      <c r="AG1180" s="170">
        <f t="shared" si="187"/>
        <v>0</v>
      </c>
      <c r="AH1180" s="28" t="e" cm="1">
        <f t="array" aca="1" ref="AH1180" ca="1">IF((AD1180) &lt; (INDEX(ResponseSLA[#All],(MATCH((G1180),ResponseSLA[Priority],0))+1,3)),"YES","No")</f>
        <v>#N/A</v>
      </c>
      <c r="AI1180" s="28" t="str">
        <f>_xlfn.IFNA(IF(AE1180 &lt; (INDEX(SLATable[Minimum SLA],MATCH(G1180,SLATable[Priority],0))),"YES","NO"),"")</f>
        <v/>
      </c>
      <c r="AJ1180" s="28" t="str">
        <f>_xlfn.IFNA(IF(AE1180 &lt; (INDEX(SLATable[Maximum SLA],MATCH(G1180,SLATable[Priority],0))),"YES","NO"),"")</f>
        <v/>
      </c>
    </row>
    <row r="1181" spans="26:36" ht="15" customHeight="1">
      <c r="Z1181" s="169" t="e">
        <f t="shared" ca="1" si="181"/>
        <v>#N/A</v>
      </c>
      <c r="AA1181" s="170" t="e">
        <f t="shared" ca="1" si="182"/>
        <v>#N/A</v>
      </c>
      <c r="AB1181" s="169">
        <f t="shared" ca="1" si="183"/>
        <v>0</v>
      </c>
      <c r="AC1181" s="170">
        <f t="shared" ca="1" si="184"/>
        <v>0</v>
      </c>
      <c r="AD1181" s="169">
        <f t="shared" ca="1" si="185"/>
        <v>12388.42564085648</v>
      </c>
      <c r="AE1181" s="169">
        <f t="shared" si="188"/>
        <v>0</v>
      </c>
      <c r="AF1181" s="170">
        <f t="shared" si="186"/>
        <v>0</v>
      </c>
      <c r="AG1181" s="170">
        <f t="shared" si="187"/>
        <v>0</v>
      </c>
      <c r="AH1181" s="28" t="e" cm="1">
        <f t="array" aca="1" ref="AH1181" ca="1">IF((AD1181) &lt; (INDEX(ResponseSLA[#All],(MATCH((G1181),ResponseSLA[Priority],0))+1,3)),"YES","No")</f>
        <v>#N/A</v>
      </c>
      <c r="AI1181" s="28" t="str">
        <f>_xlfn.IFNA(IF(AE1181 &lt; (INDEX(SLATable[Minimum SLA],MATCH(G1181,SLATable[Priority],0))),"YES","NO"),"")</f>
        <v/>
      </c>
      <c r="AJ1181" s="28" t="str">
        <f>_xlfn.IFNA(IF(AE1181 &lt; (INDEX(SLATable[Maximum SLA],MATCH(G1181,SLATable[Priority],0))),"YES","NO"),"")</f>
        <v/>
      </c>
    </row>
    <row r="1182" spans="26:36" ht="15" customHeight="1">
      <c r="Z1182" s="169" t="e">
        <f t="shared" ca="1" si="181"/>
        <v>#N/A</v>
      </c>
      <c r="AA1182" s="170" t="e">
        <f t="shared" ca="1" si="182"/>
        <v>#N/A</v>
      </c>
      <c r="AB1182" s="169">
        <f t="shared" ca="1" si="183"/>
        <v>0</v>
      </c>
      <c r="AC1182" s="170">
        <f t="shared" ca="1" si="184"/>
        <v>0</v>
      </c>
      <c r="AD1182" s="169">
        <f t="shared" ca="1" si="185"/>
        <v>12388.42564085648</v>
      </c>
      <c r="AE1182" s="169">
        <f t="shared" si="188"/>
        <v>0</v>
      </c>
      <c r="AF1182" s="170">
        <f t="shared" si="186"/>
        <v>0</v>
      </c>
      <c r="AG1182" s="170">
        <f t="shared" si="187"/>
        <v>0</v>
      </c>
      <c r="AH1182" s="28" t="e" cm="1">
        <f t="array" aca="1" ref="AH1182" ca="1">IF((AD1182) &lt; (INDEX(ResponseSLA[#All],(MATCH((G1182),ResponseSLA[Priority],0))+1,3)),"YES","No")</f>
        <v>#N/A</v>
      </c>
      <c r="AI1182" s="28" t="str">
        <f>_xlfn.IFNA(IF(AE1182 &lt; (INDEX(SLATable[Minimum SLA],MATCH(G1182,SLATable[Priority],0))),"YES","NO"),"")</f>
        <v/>
      </c>
      <c r="AJ1182" s="28" t="str">
        <f>_xlfn.IFNA(IF(AE1182 &lt; (INDEX(SLATable[Maximum SLA],MATCH(G1182,SLATable[Priority],0))),"YES","NO"),"")</f>
        <v/>
      </c>
    </row>
    <row r="1183" spans="26:36" ht="15" customHeight="1">
      <c r="Z1183" s="169" t="e">
        <f t="shared" ca="1" si="181"/>
        <v>#N/A</v>
      </c>
      <c r="AA1183" s="170" t="e">
        <f t="shared" ca="1" si="182"/>
        <v>#N/A</v>
      </c>
      <c r="AB1183" s="169">
        <f t="shared" ca="1" si="183"/>
        <v>0</v>
      </c>
      <c r="AC1183" s="170">
        <f t="shared" ca="1" si="184"/>
        <v>0</v>
      </c>
      <c r="AD1183" s="169">
        <f t="shared" ca="1" si="185"/>
        <v>12388.42564085648</v>
      </c>
      <c r="AE1183" s="169">
        <f t="shared" si="188"/>
        <v>0</v>
      </c>
      <c r="AF1183" s="170">
        <f t="shared" si="186"/>
        <v>0</v>
      </c>
      <c r="AG1183" s="170">
        <f t="shared" si="187"/>
        <v>0</v>
      </c>
      <c r="AH1183" s="28" t="e" cm="1">
        <f t="array" aca="1" ref="AH1183" ca="1">IF((AD1183) &lt; (INDEX(ResponseSLA[#All],(MATCH((G1183),ResponseSLA[Priority],0))+1,3)),"YES","No")</f>
        <v>#N/A</v>
      </c>
      <c r="AI1183" s="28" t="str">
        <f>_xlfn.IFNA(IF(AE1183 &lt; (INDEX(SLATable[Minimum SLA],MATCH(G1183,SLATable[Priority],0))),"YES","NO"),"")</f>
        <v/>
      </c>
      <c r="AJ1183" s="28" t="str">
        <f>_xlfn.IFNA(IF(AE1183 &lt; (INDEX(SLATable[Maximum SLA],MATCH(G1183,SLATable[Priority],0))),"YES","NO"),"")</f>
        <v/>
      </c>
    </row>
    <row r="1184" spans="26:36" ht="15" customHeight="1">
      <c r="Z1184" s="169" t="e">
        <f t="shared" ca="1" si="181"/>
        <v>#N/A</v>
      </c>
      <c r="AA1184" s="170" t="e">
        <f t="shared" ca="1" si="182"/>
        <v>#N/A</v>
      </c>
      <c r="AB1184" s="169">
        <f t="shared" ca="1" si="183"/>
        <v>0</v>
      </c>
      <c r="AC1184" s="170">
        <f t="shared" ca="1" si="184"/>
        <v>0</v>
      </c>
      <c r="AD1184" s="169">
        <f t="shared" ca="1" si="185"/>
        <v>12388.42564085648</v>
      </c>
      <c r="AE1184" s="169">
        <f t="shared" si="188"/>
        <v>0</v>
      </c>
      <c r="AF1184" s="170">
        <f t="shared" si="186"/>
        <v>0</v>
      </c>
      <c r="AG1184" s="170">
        <f t="shared" si="187"/>
        <v>0</v>
      </c>
      <c r="AH1184" s="28" t="e" cm="1">
        <f t="array" aca="1" ref="AH1184" ca="1">IF((AD1184) &lt; (INDEX(ResponseSLA[#All],(MATCH((G1184),ResponseSLA[Priority],0))+1,3)),"YES","No")</f>
        <v>#N/A</v>
      </c>
      <c r="AI1184" s="28" t="str">
        <f>_xlfn.IFNA(IF(AE1184 &lt; (INDEX(SLATable[Minimum SLA],MATCH(G1184,SLATable[Priority],0))),"YES","NO"),"")</f>
        <v/>
      </c>
      <c r="AJ1184" s="28" t="str">
        <f>_xlfn.IFNA(IF(AE1184 &lt; (INDEX(SLATable[Maximum SLA],MATCH(G1184,SLATable[Priority],0))),"YES","NO"),"")</f>
        <v/>
      </c>
    </row>
    <row r="1185" spans="26:36" ht="15" customHeight="1">
      <c r="Z1185" s="169" t="e">
        <f t="shared" ca="1" si="181"/>
        <v>#N/A</v>
      </c>
      <c r="AA1185" s="170" t="e">
        <f t="shared" ca="1" si="182"/>
        <v>#N/A</v>
      </c>
      <c r="AB1185" s="169">
        <f t="shared" ca="1" si="183"/>
        <v>0</v>
      </c>
      <c r="AC1185" s="170">
        <f t="shared" ca="1" si="184"/>
        <v>0</v>
      </c>
      <c r="AD1185" s="169">
        <f t="shared" ca="1" si="185"/>
        <v>12388.42564085648</v>
      </c>
      <c r="AE1185" s="169">
        <f t="shared" si="188"/>
        <v>0</v>
      </c>
      <c r="AF1185" s="170">
        <f t="shared" si="186"/>
        <v>0</v>
      </c>
      <c r="AG1185" s="170">
        <f t="shared" si="187"/>
        <v>0</v>
      </c>
      <c r="AH1185" s="28" t="e" cm="1">
        <f t="array" aca="1" ref="AH1185" ca="1">IF((AD1185) &lt; (INDEX(ResponseSLA[#All],(MATCH((G1185),ResponseSLA[Priority],0))+1,3)),"YES","No")</f>
        <v>#N/A</v>
      </c>
      <c r="AI1185" s="28" t="str">
        <f>_xlfn.IFNA(IF(AE1185 &lt; (INDEX(SLATable[Minimum SLA],MATCH(G1185,SLATable[Priority],0))),"YES","NO"),"")</f>
        <v/>
      </c>
      <c r="AJ1185" s="28" t="str">
        <f>_xlfn.IFNA(IF(AE1185 &lt; (INDEX(SLATable[Maximum SLA],MATCH(G1185,SLATable[Priority],0))),"YES","NO"),"")</f>
        <v/>
      </c>
    </row>
    <row r="1186" spans="26:36" ht="15" customHeight="1">
      <c r="Z1186" s="169" t="e">
        <f t="shared" ca="1" si="181"/>
        <v>#N/A</v>
      </c>
      <c r="AA1186" s="170" t="e">
        <f t="shared" ca="1" si="182"/>
        <v>#N/A</v>
      </c>
      <c r="AB1186" s="169">
        <f t="shared" ca="1" si="183"/>
        <v>0</v>
      </c>
      <c r="AC1186" s="170">
        <f t="shared" ca="1" si="184"/>
        <v>0</v>
      </c>
      <c r="AD1186" s="169">
        <f t="shared" ca="1" si="185"/>
        <v>12388.42564085648</v>
      </c>
      <c r="AE1186" s="169">
        <f t="shared" si="188"/>
        <v>0</v>
      </c>
      <c r="AF1186" s="170">
        <f t="shared" si="186"/>
        <v>0</v>
      </c>
      <c r="AG1186" s="170">
        <f t="shared" si="187"/>
        <v>0</v>
      </c>
      <c r="AH1186" s="28" t="e" cm="1">
        <f t="array" aca="1" ref="AH1186" ca="1">IF((AD1186) &lt; (INDEX(ResponseSLA[#All],(MATCH((G1186),ResponseSLA[Priority],0))+1,3)),"YES","No")</f>
        <v>#N/A</v>
      </c>
      <c r="AI1186" s="28" t="str">
        <f>_xlfn.IFNA(IF(AE1186 &lt; (INDEX(SLATable[Minimum SLA],MATCH(G1186,SLATable[Priority],0))),"YES","NO"),"")</f>
        <v/>
      </c>
      <c r="AJ1186" s="28" t="str">
        <f>_xlfn.IFNA(IF(AE1186 &lt; (INDEX(SLATable[Maximum SLA],MATCH(G1186,SLATable[Priority],0))),"YES","NO"),"")</f>
        <v/>
      </c>
    </row>
    <row r="1187" spans="26:36" ht="15" customHeight="1">
      <c r="Z1187" s="169" t="e">
        <f t="shared" ca="1" si="181"/>
        <v>#N/A</v>
      </c>
      <c r="AA1187" s="170" t="e">
        <f t="shared" ca="1" si="182"/>
        <v>#N/A</v>
      </c>
      <c r="AB1187" s="169">
        <f t="shared" ca="1" si="183"/>
        <v>0</v>
      </c>
      <c r="AC1187" s="170">
        <f t="shared" ca="1" si="184"/>
        <v>0</v>
      </c>
      <c r="AD1187" s="169">
        <f t="shared" ca="1" si="185"/>
        <v>12388.42564085648</v>
      </c>
      <c r="AE1187" s="169">
        <f t="shared" si="188"/>
        <v>0</v>
      </c>
      <c r="AF1187" s="170">
        <f t="shared" si="186"/>
        <v>0</v>
      </c>
      <c r="AG1187" s="170">
        <f t="shared" si="187"/>
        <v>0</v>
      </c>
      <c r="AH1187" s="28" t="e" cm="1">
        <f t="array" aca="1" ref="AH1187" ca="1">IF((AD1187) &lt; (INDEX(ResponseSLA[#All],(MATCH((G1187),ResponseSLA[Priority],0))+1,3)),"YES","No")</f>
        <v>#N/A</v>
      </c>
      <c r="AI1187" s="28" t="str">
        <f>_xlfn.IFNA(IF(AE1187 &lt; (INDEX(SLATable[Minimum SLA],MATCH(G1187,SLATable[Priority],0))),"YES","NO"),"")</f>
        <v/>
      </c>
      <c r="AJ1187" s="28" t="str">
        <f>_xlfn.IFNA(IF(AE1187 &lt; (INDEX(SLATable[Maximum SLA],MATCH(G1187,SLATable[Priority],0))),"YES","NO"),"")</f>
        <v/>
      </c>
    </row>
    <row r="1188" spans="26:36" ht="15" customHeight="1">
      <c r="Z1188" s="169" t="e">
        <f t="shared" ca="1" si="181"/>
        <v>#N/A</v>
      </c>
      <c r="AA1188" s="170" t="e">
        <f t="shared" ca="1" si="182"/>
        <v>#N/A</v>
      </c>
      <c r="AB1188" s="169">
        <f t="shared" ca="1" si="183"/>
        <v>0</v>
      </c>
      <c r="AC1188" s="170">
        <f t="shared" ca="1" si="184"/>
        <v>0</v>
      </c>
      <c r="AD1188" s="169">
        <f t="shared" ca="1" si="185"/>
        <v>12388.42564085648</v>
      </c>
      <c r="AE1188" s="169">
        <f t="shared" si="188"/>
        <v>0</v>
      </c>
      <c r="AF1188" s="170">
        <f t="shared" si="186"/>
        <v>0</v>
      </c>
      <c r="AG1188" s="170">
        <f t="shared" si="187"/>
        <v>0</v>
      </c>
      <c r="AH1188" s="28" t="e" cm="1">
        <f t="array" aca="1" ref="AH1188" ca="1">IF((AD1188) &lt; (INDEX(ResponseSLA[#All],(MATCH((G1188),ResponseSLA[Priority],0))+1,3)),"YES","No")</f>
        <v>#N/A</v>
      </c>
      <c r="AI1188" s="28" t="str">
        <f>_xlfn.IFNA(IF(AE1188 &lt; (INDEX(SLATable[Minimum SLA],MATCH(G1188,SLATable[Priority],0))),"YES","NO"),"")</f>
        <v/>
      </c>
      <c r="AJ1188" s="28" t="str">
        <f>_xlfn.IFNA(IF(AE1188 &lt; (INDEX(SLATable[Maximum SLA],MATCH(G1188,SLATable[Priority],0))),"YES","NO"),"")</f>
        <v/>
      </c>
    </row>
    <row r="1189" spans="26:36" ht="15" customHeight="1">
      <c r="Z1189" s="169" t="e">
        <f t="shared" ca="1" si="181"/>
        <v>#N/A</v>
      </c>
      <c r="AA1189" s="170" t="e">
        <f t="shared" ca="1" si="182"/>
        <v>#N/A</v>
      </c>
      <c r="AB1189" s="169">
        <f t="shared" ca="1" si="183"/>
        <v>0</v>
      </c>
      <c r="AC1189" s="170">
        <f t="shared" ca="1" si="184"/>
        <v>0</v>
      </c>
      <c r="AD1189" s="169">
        <f t="shared" ca="1" si="185"/>
        <v>12388.42564085648</v>
      </c>
      <c r="AE1189" s="169">
        <f t="shared" si="188"/>
        <v>0</v>
      </c>
      <c r="AF1189" s="170">
        <f t="shared" si="186"/>
        <v>0</v>
      </c>
      <c r="AG1189" s="170">
        <f t="shared" si="187"/>
        <v>0</v>
      </c>
      <c r="AH1189" s="28" t="e" cm="1">
        <f t="array" aca="1" ref="AH1189" ca="1">IF((AD1189) &lt; (INDEX(ResponseSLA[#All],(MATCH((G1189),ResponseSLA[Priority],0))+1,3)),"YES","No")</f>
        <v>#N/A</v>
      </c>
      <c r="AI1189" s="28" t="str">
        <f>_xlfn.IFNA(IF(AE1189 &lt; (INDEX(SLATable[Minimum SLA],MATCH(G1189,SLATable[Priority],0))),"YES","NO"),"")</f>
        <v/>
      </c>
      <c r="AJ1189" s="28" t="str">
        <f>_xlfn.IFNA(IF(AE1189 &lt; (INDEX(SLATable[Maximum SLA],MATCH(G1189,SLATable[Priority],0))),"YES","NO"),"")</f>
        <v/>
      </c>
    </row>
    <row r="1190" spans="26:36" ht="15" customHeight="1">
      <c r="Z1190" s="169" t="e">
        <f t="shared" ca="1" si="181"/>
        <v>#N/A</v>
      </c>
      <c r="AA1190" s="170" t="e">
        <f t="shared" ca="1" si="182"/>
        <v>#N/A</v>
      </c>
      <c r="AB1190" s="169">
        <f t="shared" ca="1" si="183"/>
        <v>0</v>
      </c>
      <c r="AC1190" s="170">
        <f t="shared" ca="1" si="184"/>
        <v>0</v>
      </c>
      <c r="AD1190" s="169">
        <f t="shared" ca="1" si="185"/>
        <v>12388.42564085648</v>
      </c>
      <c r="AE1190" s="169">
        <f t="shared" si="188"/>
        <v>0</v>
      </c>
      <c r="AF1190" s="170">
        <f t="shared" si="186"/>
        <v>0</v>
      </c>
      <c r="AG1190" s="170">
        <f t="shared" si="187"/>
        <v>0</v>
      </c>
      <c r="AH1190" s="28" t="e" cm="1">
        <f t="array" aca="1" ref="AH1190" ca="1">IF((AD1190) &lt; (INDEX(ResponseSLA[#All],(MATCH((G1190),ResponseSLA[Priority],0))+1,3)),"YES","No")</f>
        <v>#N/A</v>
      </c>
      <c r="AI1190" s="28" t="str">
        <f>_xlfn.IFNA(IF(AE1190 &lt; (INDEX(SLATable[Minimum SLA],MATCH(G1190,SLATable[Priority],0))),"YES","NO"),"")</f>
        <v/>
      </c>
      <c r="AJ1190" s="28" t="str">
        <f>_xlfn.IFNA(IF(AE1190 &lt; (INDEX(SLATable[Maximum SLA],MATCH(G1190,SLATable[Priority],0))),"YES","NO"),"")</f>
        <v/>
      </c>
    </row>
    <row r="1191" spans="26:36" ht="15" customHeight="1">
      <c r="Z1191" s="169" t="e">
        <f t="shared" ca="1" si="181"/>
        <v>#N/A</v>
      </c>
      <c r="AA1191" s="170" t="e">
        <f t="shared" ca="1" si="182"/>
        <v>#N/A</v>
      </c>
      <c r="AB1191" s="169">
        <f t="shared" ca="1" si="183"/>
        <v>0</v>
      </c>
      <c r="AC1191" s="170">
        <f t="shared" ca="1" si="184"/>
        <v>0</v>
      </c>
      <c r="AD1191" s="169">
        <f t="shared" ca="1" si="185"/>
        <v>12388.42564085648</v>
      </c>
      <c r="AE1191" s="169">
        <f t="shared" si="188"/>
        <v>0</v>
      </c>
      <c r="AF1191" s="170">
        <f t="shared" si="186"/>
        <v>0</v>
      </c>
      <c r="AG1191" s="170">
        <f t="shared" si="187"/>
        <v>0</v>
      </c>
      <c r="AH1191" s="28" t="e" cm="1">
        <f t="array" aca="1" ref="AH1191" ca="1">IF((AD1191) &lt; (INDEX(ResponseSLA[#All],(MATCH((G1191),ResponseSLA[Priority],0))+1,3)),"YES","No")</f>
        <v>#N/A</v>
      </c>
      <c r="AI1191" s="28" t="str">
        <f>_xlfn.IFNA(IF(AE1191 &lt; (INDEX(SLATable[Minimum SLA],MATCH(G1191,SLATable[Priority],0))),"YES","NO"),"")</f>
        <v/>
      </c>
      <c r="AJ1191" s="28" t="str">
        <f>_xlfn.IFNA(IF(AE1191 &lt; (INDEX(SLATable[Maximum SLA],MATCH(G1191,SLATable[Priority],0))),"YES","NO"),"")</f>
        <v/>
      </c>
    </row>
    <row r="1192" spans="26:36" ht="15" customHeight="1">
      <c r="Z1192" s="169" t="e">
        <f t="shared" ca="1" si="181"/>
        <v>#N/A</v>
      </c>
      <c r="AA1192" s="170" t="e">
        <f t="shared" ca="1" si="182"/>
        <v>#N/A</v>
      </c>
      <c r="AB1192" s="169">
        <f t="shared" ca="1" si="183"/>
        <v>0</v>
      </c>
      <c r="AC1192" s="170">
        <f t="shared" ca="1" si="184"/>
        <v>0</v>
      </c>
      <c r="AD1192" s="169">
        <f t="shared" ca="1" si="185"/>
        <v>12388.42564085648</v>
      </c>
      <c r="AE1192" s="169">
        <f t="shared" si="188"/>
        <v>0</v>
      </c>
      <c r="AF1192" s="170">
        <f t="shared" si="186"/>
        <v>0</v>
      </c>
      <c r="AG1192" s="170">
        <f t="shared" si="187"/>
        <v>0</v>
      </c>
      <c r="AH1192" s="28" t="e" cm="1">
        <f t="array" aca="1" ref="AH1192" ca="1">IF((AD1192) &lt; (INDEX(ResponseSLA[#All],(MATCH((G1192),ResponseSLA[Priority],0))+1,3)),"YES","No")</f>
        <v>#N/A</v>
      </c>
      <c r="AI1192" s="28" t="str">
        <f>_xlfn.IFNA(IF(AE1192 &lt; (INDEX(SLATable[Minimum SLA],MATCH(G1192,SLATable[Priority],0))),"YES","NO"),"")</f>
        <v/>
      </c>
      <c r="AJ1192" s="28" t="str">
        <f>_xlfn.IFNA(IF(AE1192 &lt; (INDEX(SLATable[Maximum SLA],MATCH(G1192,SLATable[Priority],0))),"YES","NO"),"")</f>
        <v/>
      </c>
    </row>
    <row r="1193" spans="26:36" ht="15" customHeight="1">
      <c r="Z1193" s="169" t="e">
        <f t="shared" ca="1" si="181"/>
        <v>#N/A</v>
      </c>
      <c r="AA1193" s="170" t="e">
        <f t="shared" ca="1" si="182"/>
        <v>#N/A</v>
      </c>
      <c r="AB1193" s="169">
        <f t="shared" ca="1" si="183"/>
        <v>0</v>
      </c>
      <c r="AC1193" s="170">
        <f t="shared" ca="1" si="184"/>
        <v>0</v>
      </c>
      <c r="AD1193" s="169">
        <f t="shared" ca="1" si="185"/>
        <v>12388.42564085648</v>
      </c>
      <c r="AE1193" s="169">
        <f t="shared" si="188"/>
        <v>0</v>
      </c>
      <c r="AF1193" s="170">
        <f t="shared" si="186"/>
        <v>0</v>
      </c>
      <c r="AG1193" s="170">
        <f t="shared" si="187"/>
        <v>0</v>
      </c>
      <c r="AH1193" s="28" t="e" cm="1">
        <f t="array" aca="1" ref="AH1193" ca="1">IF((AD1193) &lt; (INDEX(ResponseSLA[#All],(MATCH((G1193),ResponseSLA[Priority],0))+1,3)),"YES","No")</f>
        <v>#N/A</v>
      </c>
      <c r="AI1193" s="28" t="str">
        <f>_xlfn.IFNA(IF(AE1193 &lt; (INDEX(SLATable[Minimum SLA],MATCH(G1193,SLATable[Priority],0))),"YES","NO"),"")</f>
        <v/>
      </c>
      <c r="AJ1193" s="28" t="str">
        <f>_xlfn.IFNA(IF(AE1193 &lt; (INDEX(SLATable[Maximum SLA],MATCH(G1193,SLATable[Priority],0))),"YES","NO"),"")</f>
        <v/>
      </c>
    </row>
    <row r="1194" spans="26:36" ht="15" customHeight="1">
      <c r="Z1194" s="169" t="e">
        <f t="shared" ca="1" si="181"/>
        <v>#N/A</v>
      </c>
      <c r="AA1194" s="170" t="e">
        <f t="shared" ca="1" si="182"/>
        <v>#N/A</v>
      </c>
      <c r="AB1194" s="169">
        <f t="shared" ca="1" si="183"/>
        <v>0</v>
      </c>
      <c r="AC1194" s="170">
        <f t="shared" ca="1" si="184"/>
        <v>0</v>
      </c>
      <c r="AD1194" s="169">
        <f t="shared" ca="1" si="185"/>
        <v>12388.42564085648</v>
      </c>
      <c r="AE1194" s="169">
        <f t="shared" si="188"/>
        <v>0</v>
      </c>
      <c r="AF1194" s="170">
        <f t="shared" si="186"/>
        <v>0</v>
      </c>
      <c r="AG1194" s="170">
        <f t="shared" si="187"/>
        <v>0</v>
      </c>
      <c r="AH1194" s="28" t="e" cm="1">
        <f t="array" aca="1" ref="AH1194" ca="1">IF((AD1194) &lt; (INDEX(ResponseSLA[#All],(MATCH((G1194),ResponseSLA[Priority],0))+1,3)),"YES","No")</f>
        <v>#N/A</v>
      </c>
      <c r="AI1194" s="28" t="str">
        <f>_xlfn.IFNA(IF(AE1194 &lt; (INDEX(SLATable[Minimum SLA],MATCH(G1194,SLATable[Priority],0))),"YES","NO"),"")</f>
        <v/>
      </c>
      <c r="AJ1194" s="28" t="str">
        <f>_xlfn.IFNA(IF(AE1194 &lt; (INDEX(SLATable[Maximum SLA],MATCH(G1194,SLATable[Priority],0))),"YES","NO"),"")</f>
        <v/>
      </c>
    </row>
    <row r="1195" spans="26:36" ht="15" customHeight="1">
      <c r="Z1195" s="169" t="e">
        <f t="shared" ca="1" si="181"/>
        <v>#N/A</v>
      </c>
      <c r="AA1195" s="170" t="e">
        <f t="shared" ca="1" si="182"/>
        <v>#N/A</v>
      </c>
      <c r="AB1195" s="169">
        <f t="shared" ca="1" si="183"/>
        <v>0</v>
      </c>
      <c r="AC1195" s="170">
        <f t="shared" ca="1" si="184"/>
        <v>0</v>
      </c>
      <c r="AD1195" s="169">
        <f t="shared" ca="1" si="185"/>
        <v>12388.42564085648</v>
      </c>
      <c r="AE1195" s="169">
        <f t="shared" si="188"/>
        <v>0</v>
      </c>
      <c r="AF1195" s="170">
        <f t="shared" si="186"/>
        <v>0</v>
      </c>
      <c r="AG1195" s="170">
        <f t="shared" si="187"/>
        <v>0</v>
      </c>
      <c r="AH1195" s="28" t="e" cm="1">
        <f t="array" aca="1" ref="AH1195" ca="1">IF((AD1195) &lt; (INDEX(ResponseSLA[#All],(MATCH((G1195),ResponseSLA[Priority],0))+1,3)),"YES","No")</f>
        <v>#N/A</v>
      </c>
      <c r="AI1195" s="28" t="str">
        <f>_xlfn.IFNA(IF(AE1195 &lt; (INDEX(SLATable[Minimum SLA],MATCH(G1195,SLATable[Priority],0))),"YES","NO"),"")</f>
        <v/>
      </c>
      <c r="AJ1195" s="28" t="str">
        <f>_xlfn.IFNA(IF(AE1195 &lt; (INDEX(SLATable[Maximum SLA],MATCH(G1195,SLATable[Priority],0))),"YES","NO"),"")</f>
        <v/>
      </c>
    </row>
    <row r="1196" spans="26:36" ht="15" customHeight="1">
      <c r="Z1196" s="169" t="e">
        <f t="shared" ref="Z1196:Z1259" ca="1" si="189">IF(NOT(OR(G1196=1,G1196=2)),MAX(0,_xlfn.IFS(AND(K1196&lt;&gt;"",N1196&lt;&gt;""),((MAX(NETWORKDAYS(K1196,N1196,UKBankHolidays)-1,0))*(TIME(17,0,0)-TIME(8,0,0))+IF(NETWORKDAYS(N1196,N1196,UKBankHolidays)&gt;0,MEDIAN(TIME(8,0,0),MOD(N1196,1),TIME(17,0,0)),TIME(8,0,0))-IF(NETWORKDAYS(K1196,K1196,UKBankHolidays)&gt;0,MEDIAN(TIME(8,0,0),MOD(K1196,1),TIME(17,0,0)),TIME(8,0,0)))-IF(AND(O1196&lt;&gt;"",P1196&lt;&gt;""),((MAX(NETWORKDAYS(O1196,P1196,UKBankHolidays)-1,0))*(TIME(17,0,0)-TIME(8,0,0))+IF(NETWORKDAYS(P1196,P1196,UKBankHolidays)&gt;0,MEDIAN(TIME(8,0,0),MOD(P1196,1),TIME(17,0,0)),TIME(8,0,0))-IF(NETWORKDAYS(O1196,O1196,UKBankHolidays)&gt;0,MEDIAN(TIME(8,0,0),MOD(O1196,1),TIME(17,0,0)),TIME(8,0,0))),0),AND(K1196&lt;&gt;"",N1196=""),((MAX(NETWORKDAYS(K1196,NOW(),UKBankHolidays)-1,0))*(TIME(17,0,0)-TIME(8,0,0))+IF(NETWORKDAYS(NOW(),NOW(),UKBankHolidays)&gt;0,MEDIAN(TIME(8,0,0),MOD(NOW(),1),TIME(17,0,0)),TIME(8,0,0))-IF(NETWORKDAYS(K1196,K1196,UKBankHolidays)&gt;0,MEDIAN(TIME(8,0,0),MOD(K1196,1),TIME(17,0,0)),TIME(8,0,0))))),IF(N1196="",NOW()-K1196,N1196-K1196))</f>
        <v>#N/A</v>
      </c>
      <c r="AA1196" s="170" t="e">
        <f t="shared" ref="AA1196:AA1259" ca="1" si="190">(Z1196*24)/9</f>
        <v>#N/A</v>
      </c>
      <c r="AB1196" s="169">
        <f t="shared" ref="AB1196:AB1259" ca="1" si="191">IF(NOT(OR(G1196=1,G1196=2)),MAX(0,_xlfn.IFS(AND(K1196&lt;&gt;"",N1196&lt;&gt;""),(((MAX(NETWORKDAYS(L1196,N1196,UKBankHolidays)-1,0))*(TIME(17,0,0)-TIME(8,0,0)))+IF(NETWORKDAYS(N1196,N1196,UKBankHolidays)&gt;0,MEDIAN(TIME(8,0,0),MOD(N1196,1),TIME(17,0,0)),TIME(8,0,0))-IF(NETWORKDAYS(L1196,L1196,UKBankHolidays)&gt;0,MEDIAN(TIME(8,0,0),MOD(L1196,1),TIME(17,0,0)),TIME(8,0,0)))-IF(AND(O1196&lt;&gt;"",P1196&lt;&gt;""),(((MAX(NETWORKDAYS(O1196,P1196,UKBankHolidays)-1,0))*(TIME(17,0,0)-TIME(8,0,0)))+IF(NETWORKDAYS(P1196,P1196,UKBankHolidays)&gt;0,MEDIAN(TIME(8,0,0),MOD(P1196,1),TIME(17,0,0)),TIME(8,0,0))-IF(NETWORKDAYS(O1196,O1196,UKBankHolidays)&gt;0,MEDIAN(TIME(8,0,0),MOD(O1196,1),TIME(17,0,0)),TIME(8,0,0))),0),AND(L1196&lt;&gt;"",N1196="",O1196=""),(((MAX(NETWORKDAYS(L1196,NOW(),UKBankHolidays)-1,0))*(TIME(17,0,0)-TIME(8,0,0)))+IF(NETWORKDAYS(NOW(),NOW(),UKBankHolidays)&gt;0,MEDIAN(TIME(8,0,0),MOD(NOW(),1),TIME(17,0,0)),TIME(8,0,0))-IF(NETWORKDAYS(L1196,L1196,UKBankHolidays)&gt;0,MEDIAN(TIME(8,0,0),MOD(L1196,1),TIME(17,0,0)),TIME(8,0,0)))-IF(AND(O1196&lt;&gt;"",P1196&lt;&gt;""),(((MAX(NETWORKDAYS(O1196,P1196,UKBankHolidays)-1,0))*(TIME(17,0,0)-TIME(8,0,0)))+IF(NETWORKDAYS(P1196,P1196,UKBankHolidays)&gt;0,MEDIAN(TIME(8,0,0),MOD(P1196,1),TIME(17,0,0)),TIME(8,0,0))-IF(NETWORKDAYS(O1196,O1196,UKBankHolidays)&gt;0,MEDIAN(TIME(8,0,0),MOD(O1196,1),TIME(17,0,0)),TIME(8,0,0))),0),AND(L1196&lt;&gt;"",N1196="",P1196="",O1196&lt;&gt;""),(((MAX(NETWORKDAYS(L1196,O1196,UKBankHolidays)-1,0))*(TIME(17,0,0)-TIME(8,0,0)))+IF(NETWORKDAYS(O1196,O1196,UKBankHolidays)&gt;0,MEDIAN(TIME(8,0,0),MOD(O1196,1),TIME(17,0,0)),TIME(8,0,0))-IF(NETWORKDAYS(L1196,L1196,UKBankHolidays)&gt;0,MEDIAN(TIME(8,0,0),MOD(L1196,1),TIME(17,0,0)),TIME(8,0,0))),ISBLANK(K1196),"0")),IF(ISBLANK(N1196),NOW()-L1196,N1196-L1196))</f>
        <v>0</v>
      </c>
      <c r="AC1196" s="170">
        <f t="shared" ref="AC1196:AC1259" ca="1" si="192">(AB1196*24)/9</f>
        <v>0</v>
      </c>
      <c r="AD1196" s="169">
        <f t="shared" ref="AD1196:AD1259" ca="1" si="193">MAX(0,IF(NOT(OR(G1196=1,G1196=2)),IF(M1196&lt;&gt;"",((MAX(NETWORKDAYS(L1196,M1196,UKBankHolidays)-1,0))*(TIME(17,0,0)-TIME(8,0,0))+IF(NETWORKDAYS(M1196,M1196,UKBankHolidays)&gt;0,MEDIAN(TIME(8,0,0),MOD(M1196,1),TIME(17,0,0)),TIME(8,0,0))-MEDIAN(TIME(8,0,0),MOD(L1196,1),TIME(17,0,0))),((MAX(NETWORKDAYS(L1196,NOW(),UKBankHolidays)-1,0))*(TIME(17,0,0)-TIME(8,0,0))+IF(NETWORKDAYS(NOW(),NOW(),UKBankHolidays)&gt;0,MEDIAN(TIME(8,0,0),MOD(NOW(),1),TIME(17,0,0)),TIME(8,0,0))-MEDIAN(TIME(8,0,0),MOD(L1196,1),TIME(17,0,0)))),IF(M1196&lt;&gt;"",M1196-L1196,NOW()-L1196)))</f>
        <v>12388.42564085648</v>
      </c>
      <c r="AE1196" s="169">
        <f t="shared" si="188"/>
        <v>0</v>
      </c>
      <c r="AF1196" s="170">
        <f t="shared" ref="AF1196:AF1259" si="194">(AE1196*24)/9</f>
        <v>0</v>
      </c>
      <c r="AG1196" s="170">
        <f t="shared" ref="AG1196:AG1259" si="195">AF1196</f>
        <v>0</v>
      </c>
      <c r="AH1196" s="28" t="e" cm="1">
        <f t="array" aca="1" ref="AH1196" ca="1">IF((AD1196) &lt; (INDEX(ResponseSLA[#All],(MATCH((G1196),ResponseSLA[Priority],0))+1,3)),"YES","No")</f>
        <v>#N/A</v>
      </c>
      <c r="AI1196" s="28" t="str">
        <f>_xlfn.IFNA(IF(AE1196 &lt; (INDEX(SLATable[Minimum SLA],MATCH(G1196,SLATable[Priority],0))),"YES","NO"),"")</f>
        <v/>
      </c>
      <c r="AJ1196" s="28" t="str">
        <f>_xlfn.IFNA(IF(AE1196 &lt; (INDEX(SLATable[Maximum SLA],MATCH(G1196,SLATable[Priority],0))),"YES","NO"),"")</f>
        <v/>
      </c>
    </row>
    <row r="1197" spans="26:36" ht="15" customHeight="1">
      <c r="Z1197" s="169" t="e">
        <f t="shared" ca="1" si="189"/>
        <v>#N/A</v>
      </c>
      <c r="AA1197" s="170" t="e">
        <f t="shared" ca="1" si="190"/>
        <v>#N/A</v>
      </c>
      <c r="AB1197" s="169">
        <f t="shared" ca="1" si="191"/>
        <v>0</v>
      </c>
      <c r="AC1197" s="170">
        <f t="shared" ca="1" si="192"/>
        <v>0</v>
      </c>
      <c r="AD1197" s="169">
        <f t="shared" ca="1" si="193"/>
        <v>12388.42564085648</v>
      </c>
      <c r="AE1197" s="169">
        <f t="shared" si="188"/>
        <v>0</v>
      </c>
      <c r="AF1197" s="170">
        <f t="shared" si="194"/>
        <v>0</v>
      </c>
      <c r="AG1197" s="170">
        <f t="shared" si="195"/>
        <v>0</v>
      </c>
      <c r="AH1197" s="28" t="e" cm="1">
        <f t="array" aca="1" ref="AH1197" ca="1">IF((AD1197) &lt; (INDEX(ResponseSLA[#All],(MATCH((G1197),ResponseSLA[Priority],0))+1,3)),"YES","No")</f>
        <v>#N/A</v>
      </c>
      <c r="AI1197" s="28" t="str">
        <f>_xlfn.IFNA(IF(AE1197 &lt; (INDEX(SLATable[Minimum SLA],MATCH(G1197,SLATable[Priority],0))),"YES","NO"),"")</f>
        <v/>
      </c>
      <c r="AJ1197" s="28" t="str">
        <f>_xlfn.IFNA(IF(AE1197 &lt; (INDEX(SLATable[Maximum SLA],MATCH(G1197,SLATable[Priority],0))),"YES","NO"),"")</f>
        <v/>
      </c>
    </row>
    <row r="1198" spans="26:36" ht="15" customHeight="1">
      <c r="Z1198" s="169" t="e">
        <f t="shared" ca="1" si="189"/>
        <v>#N/A</v>
      </c>
      <c r="AA1198" s="170" t="e">
        <f t="shared" ca="1" si="190"/>
        <v>#N/A</v>
      </c>
      <c r="AB1198" s="169">
        <f t="shared" ca="1" si="191"/>
        <v>0</v>
      </c>
      <c r="AC1198" s="170">
        <f t="shared" ca="1" si="192"/>
        <v>0</v>
      </c>
      <c r="AD1198" s="169">
        <f t="shared" ca="1" si="193"/>
        <v>12388.42564085648</v>
      </c>
      <c r="AE1198" s="169">
        <f t="shared" si="188"/>
        <v>0</v>
      </c>
      <c r="AF1198" s="170">
        <f t="shared" si="194"/>
        <v>0</v>
      </c>
      <c r="AG1198" s="170">
        <f t="shared" si="195"/>
        <v>0</v>
      </c>
      <c r="AH1198" s="28" t="e" cm="1">
        <f t="array" aca="1" ref="AH1198" ca="1">IF((AD1198) &lt; (INDEX(ResponseSLA[#All],(MATCH((G1198),ResponseSLA[Priority],0))+1,3)),"YES","No")</f>
        <v>#N/A</v>
      </c>
      <c r="AI1198" s="28" t="str">
        <f>_xlfn.IFNA(IF(AE1198 &lt; (INDEX(SLATable[Minimum SLA],MATCH(G1198,SLATable[Priority],0))),"YES","NO"),"")</f>
        <v/>
      </c>
      <c r="AJ1198" s="28" t="str">
        <f>_xlfn.IFNA(IF(AE1198 &lt; (INDEX(SLATable[Maximum SLA],MATCH(G1198,SLATable[Priority],0))),"YES","NO"),"")</f>
        <v/>
      </c>
    </row>
    <row r="1199" spans="26:36" ht="15" customHeight="1">
      <c r="Z1199" s="169" t="e">
        <f t="shared" ca="1" si="189"/>
        <v>#N/A</v>
      </c>
      <c r="AA1199" s="170" t="e">
        <f t="shared" ca="1" si="190"/>
        <v>#N/A</v>
      </c>
      <c r="AB1199" s="169">
        <f t="shared" ca="1" si="191"/>
        <v>0</v>
      </c>
      <c r="AC1199" s="170">
        <f t="shared" ca="1" si="192"/>
        <v>0</v>
      </c>
      <c r="AD1199" s="169">
        <f t="shared" ca="1" si="193"/>
        <v>12388.42564085648</v>
      </c>
      <c r="AE1199" s="169">
        <f t="shared" si="188"/>
        <v>0</v>
      </c>
      <c r="AF1199" s="170">
        <f t="shared" si="194"/>
        <v>0</v>
      </c>
      <c r="AG1199" s="170">
        <f t="shared" si="195"/>
        <v>0</v>
      </c>
      <c r="AH1199" s="28" t="e" cm="1">
        <f t="array" aca="1" ref="AH1199" ca="1">IF((AD1199) &lt; (INDEX(ResponseSLA[#All],(MATCH((G1199),ResponseSLA[Priority],0))+1,3)),"YES","No")</f>
        <v>#N/A</v>
      </c>
      <c r="AI1199" s="28" t="str">
        <f>_xlfn.IFNA(IF(AE1199 &lt; (INDEX(SLATable[Minimum SLA],MATCH(G1199,SLATable[Priority],0))),"YES","NO"),"")</f>
        <v/>
      </c>
      <c r="AJ1199" s="28" t="str">
        <f>_xlfn.IFNA(IF(AE1199 &lt; (INDEX(SLATable[Maximum SLA],MATCH(G1199,SLATable[Priority],0))),"YES","NO"),"")</f>
        <v/>
      </c>
    </row>
    <row r="1200" spans="26:36" ht="15" customHeight="1">
      <c r="Z1200" s="169" t="e">
        <f t="shared" ca="1" si="189"/>
        <v>#N/A</v>
      </c>
      <c r="AA1200" s="170" t="e">
        <f t="shared" ca="1" si="190"/>
        <v>#N/A</v>
      </c>
      <c r="AB1200" s="169">
        <f t="shared" ca="1" si="191"/>
        <v>0</v>
      </c>
      <c r="AC1200" s="170">
        <f t="shared" ca="1" si="192"/>
        <v>0</v>
      </c>
      <c r="AD1200" s="169">
        <f t="shared" ca="1" si="193"/>
        <v>12388.42564085648</v>
      </c>
      <c r="AE1200" s="169">
        <f t="shared" si="188"/>
        <v>0</v>
      </c>
      <c r="AF1200" s="170">
        <f t="shared" si="194"/>
        <v>0</v>
      </c>
      <c r="AG1200" s="170">
        <f t="shared" si="195"/>
        <v>0</v>
      </c>
      <c r="AH1200" s="28" t="e" cm="1">
        <f t="array" aca="1" ref="AH1200" ca="1">IF((AD1200) &lt; (INDEX(ResponseSLA[#All],(MATCH((G1200),ResponseSLA[Priority],0))+1,3)),"YES","No")</f>
        <v>#N/A</v>
      </c>
      <c r="AI1200" s="28" t="str">
        <f>_xlfn.IFNA(IF(AE1200 &lt; (INDEX(SLATable[Minimum SLA],MATCH(G1200,SLATable[Priority],0))),"YES","NO"),"")</f>
        <v/>
      </c>
      <c r="AJ1200" s="28" t="str">
        <f>_xlfn.IFNA(IF(AE1200 &lt; (INDEX(SLATable[Maximum SLA],MATCH(G1200,SLATable[Priority],0))),"YES","NO"),"")</f>
        <v/>
      </c>
    </row>
    <row r="1201" spans="26:36" ht="15" customHeight="1">
      <c r="Z1201" s="169" t="e">
        <f t="shared" ca="1" si="189"/>
        <v>#N/A</v>
      </c>
      <c r="AA1201" s="170" t="e">
        <f t="shared" ca="1" si="190"/>
        <v>#N/A</v>
      </c>
      <c r="AB1201" s="169">
        <f t="shared" ca="1" si="191"/>
        <v>0</v>
      </c>
      <c r="AC1201" s="170">
        <f t="shared" ca="1" si="192"/>
        <v>0</v>
      </c>
      <c r="AD1201" s="169">
        <f t="shared" ca="1" si="193"/>
        <v>12388.42564085648</v>
      </c>
      <c r="AE1201" s="169">
        <f t="shared" ref="AE1201:AE1264" si="196">SUMIFS(AB:AB,E:E,E1201)</f>
        <v>0</v>
      </c>
      <c r="AF1201" s="170">
        <f t="shared" si="194"/>
        <v>0</v>
      </c>
      <c r="AG1201" s="170">
        <f t="shared" si="195"/>
        <v>0</v>
      </c>
      <c r="AH1201" s="28" t="e" cm="1">
        <f t="array" aca="1" ref="AH1201" ca="1">IF((AD1201) &lt; (INDEX(ResponseSLA[#All],(MATCH((G1201),ResponseSLA[Priority],0))+1,3)),"YES","No")</f>
        <v>#N/A</v>
      </c>
      <c r="AI1201" s="28" t="str">
        <f>_xlfn.IFNA(IF(AE1201 &lt; (INDEX(SLATable[Minimum SLA],MATCH(G1201,SLATable[Priority],0))),"YES","NO"),"")</f>
        <v/>
      </c>
      <c r="AJ1201" s="28" t="str">
        <f>_xlfn.IFNA(IF(AE1201 &lt; (INDEX(SLATable[Maximum SLA],MATCH(G1201,SLATable[Priority],0))),"YES","NO"),"")</f>
        <v/>
      </c>
    </row>
    <row r="1202" spans="26:36" ht="15" customHeight="1">
      <c r="Z1202" s="169" t="e">
        <f t="shared" ca="1" si="189"/>
        <v>#N/A</v>
      </c>
      <c r="AA1202" s="170" t="e">
        <f t="shared" ca="1" si="190"/>
        <v>#N/A</v>
      </c>
      <c r="AB1202" s="169">
        <f t="shared" ca="1" si="191"/>
        <v>0</v>
      </c>
      <c r="AC1202" s="170">
        <f t="shared" ca="1" si="192"/>
        <v>0</v>
      </c>
      <c r="AD1202" s="169">
        <f t="shared" ca="1" si="193"/>
        <v>12388.42564085648</v>
      </c>
      <c r="AE1202" s="169">
        <f t="shared" si="196"/>
        <v>0</v>
      </c>
      <c r="AF1202" s="170">
        <f t="shared" si="194"/>
        <v>0</v>
      </c>
      <c r="AG1202" s="170">
        <f t="shared" si="195"/>
        <v>0</v>
      </c>
      <c r="AH1202" s="28" t="e" cm="1">
        <f t="array" aca="1" ref="AH1202" ca="1">IF((AD1202) &lt; (INDEX(ResponseSLA[#All],(MATCH((G1202),ResponseSLA[Priority],0))+1,3)),"YES","No")</f>
        <v>#N/A</v>
      </c>
      <c r="AI1202" s="28" t="str">
        <f>_xlfn.IFNA(IF(AE1202 &lt; (INDEX(SLATable[Minimum SLA],MATCH(G1202,SLATable[Priority],0))),"YES","NO"),"")</f>
        <v/>
      </c>
      <c r="AJ1202" s="28" t="str">
        <f>_xlfn.IFNA(IF(AE1202 &lt; (INDEX(SLATable[Maximum SLA],MATCH(G1202,SLATable[Priority],0))),"YES","NO"),"")</f>
        <v/>
      </c>
    </row>
    <row r="1203" spans="26:36" ht="15" customHeight="1">
      <c r="Z1203" s="169" t="e">
        <f t="shared" ca="1" si="189"/>
        <v>#N/A</v>
      </c>
      <c r="AA1203" s="170" t="e">
        <f t="shared" ca="1" si="190"/>
        <v>#N/A</v>
      </c>
      <c r="AB1203" s="169">
        <f t="shared" ca="1" si="191"/>
        <v>0</v>
      </c>
      <c r="AC1203" s="170">
        <f t="shared" ca="1" si="192"/>
        <v>0</v>
      </c>
      <c r="AD1203" s="169">
        <f t="shared" ca="1" si="193"/>
        <v>12388.42564085648</v>
      </c>
      <c r="AE1203" s="169">
        <f t="shared" si="196"/>
        <v>0</v>
      </c>
      <c r="AF1203" s="170">
        <f t="shared" si="194"/>
        <v>0</v>
      </c>
      <c r="AG1203" s="170">
        <f t="shared" si="195"/>
        <v>0</v>
      </c>
      <c r="AH1203" s="28" t="e" cm="1">
        <f t="array" aca="1" ref="AH1203" ca="1">IF((AD1203) &lt; (INDEX(ResponseSLA[#All],(MATCH((G1203),ResponseSLA[Priority],0))+1,3)),"YES","No")</f>
        <v>#N/A</v>
      </c>
      <c r="AI1203" s="28" t="str">
        <f>_xlfn.IFNA(IF(AE1203 &lt; (INDEX(SLATable[Minimum SLA],MATCH(G1203,SLATable[Priority],0))),"YES","NO"),"")</f>
        <v/>
      </c>
      <c r="AJ1203" s="28" t="str">
        <f>_xlfn.IFNA(IF(AE1203 &lt; (INDEX(SLATable[Maximum SLA],MATCH(G1203,SLATable[Priority],0))),"YES","NO"),"")</f>
        <v/>
      </c>
    </row>
    <row r="1204" spans="26:36" ht="15" customHeight="1">
      <c r="Z1204" s="169" t="e">
        <f t="shared" ca="1" si="189"/>
        <v>#N/A</v>
      </c>
      <c r="AA1204" s="170" t="e">
        <f t="shared" ca="1" si="190"/>
        <v>#N/A</v>
      </c>
      <c r="AB1204" s="169">
        <f t="shared" ca="1" si="191"/>
        <v>0</v>
      </c>
      <c r="AC1204" s="170">
        <f t="shared" ca="1" si="192"/>
        <v>0</v>
      </c>
      <c r="AD1204" s="169">
        <f t="shared" ca="1" si="193"/>
        <v>12388.42564085648</v>
      </c>
      <c r="AE1204" s="169">
        <f t="shared" si="196"/>
        <v>0</v>
      </c>
      <c r="AF1204" s="170">
        <f t="shared" si="194"/>
        <v>0</v>
      </c>
      <c r="AG1204" s="170">
        <f t="shared" si="195"/>
        <v>0</v>
      </c>
      <c r="AH1204" s="28" t="e" cm="1">
        <f t="array" aca="1" ref="AH1204" ca="1">IF((AD1204) &lt; (INDEX(ResponseSLA[#All],(MATCH((G1204),ResponseSLA[Priority],0))+1,3)),"YES","No")</f>
        <v>#N/A</v>
      </c>
      <c r="AI1204" s="28" t="str">
        <f>_xlfn.IFNA(IF(AE1204 &lt; (INDEX(SLATable[Minimum SLA],MATCH(G1204,SLATable[Priority],0))),"YES","NO"),"")</f>
        <v/>
      </c>
      <c r="AJ1204" s="28" t="str">
        <f>_xlfn.IFNA(IF(AE1204 &lt; (INDEX(SLATable[Maximum SLA],MATCH(G1204,SLATable[Priority],0))),"YES","NO"),"")</f>
        <v/>
      </c>
    </row>
    <row r="1205" spans="26:36" ht="15" customHeight="1">
      <c r="Z1205" s="169" t="e">
        <f t="shared" ca="1" si="189"/>
        <v>#N/A</v>
      </c>
      <c r="AA1205" s="170" t="e">
        <f t="shared" ca="1" si="190"/>
        <v>#N/A</v>
      </c>
      <c r="AB1205" s="169">
        <f t="shared" ca="1" si="191"/>
        <v>0</v>
      </c>
      <c r="AC1205" s="170">
        <f t="shared" ca="1" si="192"/>
        <v>0</v>
      </c>
      <c r="AD1205" s="169">
        <f t="shared" ca="1" si="193"/>
        <v>12388.42564085648</v>
      </c>
      <c r="AE1205" s="169">
        <f t="shared" si="196"/>
        <v>0</v>
      </c>
      <c r="AF1205" s="170">
        <f t="shared" si="194"/>
        <v>0</v>
      </c>
      <c r="AG1205" s="170">
        <f t="shared" si="195"/>
        <v>0</v>
      </c>
      <c r="AH1205" s="28" t="e" cm="1">
        <f t="array" aca="1" ref="AH1205" ca="1">IF((AD1205) &lt; (INDEX(ResponseSLA[#All],(MATCH((G1205),ResponseSLA[Priority],0))+1,3)),"YES","No")</f>
        <v>#N/A</v>
      </c>
      <c r="AI1205" s="28" t="str">
        <f>_xlfn.IFNA(IF(AE1205 &lt; (INDEX(SLATable[Minimum SLA],MATCH(G1205,SLATable[Priority],0))),"YES","NO"),"")</f>
        <v/>
      </c>
      <c r="AJ1205" s="28" t="str">
        <f>_xlfn.IFNA(IF(AE1205 &lt; (INDEX(SLATable[Maximum SLA],MATCH(G1205,SLATable[Priority],0))),"YES","NO"),"")</f>
        <v/>
      </c>
    </row>
    <row r="1206" spans="26:36" ht="15" customHeight="1">
      <c r="Z1206" s="169" t="e">
        <f t="shared" ca="1" si="189"/>
        <v>#N/A</v>
      </c>
      <c r="AA1206" s="170" t="e">
        <f t="shared" ca="1" si="190"/>
        <v>#N/A</v>
      </c>
      <c r="AB1206" s="169">
        <f t="shared" ca="1" si="191"/>
        <v>0</v>
      </c>
      <c r="AC1206" s="170">
        <f t="shared" ca="1" si="192"/>
        <v>0</v>
      </c>
      <c r="AD1206" s="169">
        <f t="shared" ca="1" si="193"/>
        <v>12388.42564085648</v>
      </c>
      <c r="AE1206" s="169">
        <f t="shared" si="196"/>
        <v>0</v>
      </c>
      <c r="AF1206" s="170">
        <f t="shared" si="194"/>
        <v>0</v>
      </c>
      <c r="AG1206" s="170">
        <f t="shared" si="195"/>
        <v>0</v>
      </c>
      <c r="AH1206" s="28" t="e" cm="1">
        <f t="array" aca="1" ref="AH1206" ca="1">IF((AD1206) &lt; (INDEX(ResponseSLA[#All],(MATCH((G1206),ResponseSLA[Priority],0))+1,3)),"YES","No")</f>
        <v>#N/A</v>
      </c>
      <c r="AI1206" s="28" t="str">
        <f>_xlfn.IFNA(IF(AE1206 &lt; (INDEX(SLATable[Minimum SLA],MATCH(G1206,SLATable[Priority],0))),"YES","NO"),"")</f>
        <v/>
      </c>
      <c r="AJ1206" s="28" t="str">
        <f>_xlfn.IFNA(IF(AE1206 &lt; (INDEX(SLATable[Maximum SLA],MATCH(G1206,SLATable[Priority],0))),"YES","NO"),"")</f>
        <v/>
      </c>
    </row>
    <row r="1207" spans="26:36" ht="15" customHeight="1">
      <c r="Z1207" s="169" t="e">
        <f t="shared" ca="1" si="189"/>
        <v>#N/A</v>
      </c>
      <c r="AA1207" s="170" t="e">
        <f t="shared" ca="1" si="190"/>
        <v>#N/A</v>
      </c>
      <c r="AB1207" s="169">
        <f t="shared" ca="1" si="191"/>
        <v>0</v>
      </c>
      <c r="AC1207" s="170">
        <f t="shared" ca="1" si="192"/>
        <v>0</v>
      </c>
      <c r="AD1207" s="169">
        <f t="shared" ca="1" si="193"/>
        <v>12388.42564085648</v>
      </c>
      <c r="AE1207" s="169">
        <f t="shared" si="196"/>
        <v>0</v>
      </c>
      <c r="AF1207" s="170">
        <f t="shared" si="194"/>
        <v>0</v>
      </c>
      <c r="AG1207" s="170">
        <f t="shared" si="195"/>
        <v>0</v>
      </c>
      <c r="AH1207" s="28" t="e" cm="1">
        <f t="array" aca="1" ref="AH1207" ca="1">IF((AD1207) &lt; (INDEX(ResponseSLA[#All],(MATCH((G1207),ResponseSLA[Priority],0))+1,3)),"YES","No")</f>
        <v>#N/A</v>
      </c>
      <c r="AI1207" s="28" t="str">
        <f>_xlfn.IFNA(IF(AE1207 &lt; (INDEX(SLATable[Minimum SLA],MATCH(G1207,SLATable[Priority],0))),"YES","NO"),"")</f>
        <v/>
      </c>
      <c r="AJ1207" s="28" t="str">
        <f>_xlfn.IFNA(IF(AE1207 &lt; (INDEX(SLATable[Maximum SLA],MATCH(G1207,SLATable[Priority],0))),"YES","NO"),"")</f>
        <v/>
      </c>
    </row>
    <row r="1208" spans="26:36" ht="15" customHeight="1">
      <c r="Z1208" s="169" t="e">
        <f t="shared" ca="1" si="189"/>
        <v>#N/A</v>
      </c>
      <c r="AA1208" s="170" t="e">
        <f t="shared" ca="1" si="190"/>
        <v>#N/A</v>
      </c>
      <c r="AB1208" s="169">
        <f t="shared" ca="1" si="191"/>
        <v>0</v>
      </c>
      <c r="AC1208" s="170">
        <f t="shared" ca="1" si="192"/>
        <v>0</v>
      </c>
      <c r="AD1208" s="169">
        <f t="shared" ca="1" si="193"/>
        <v>12388.42564085648</v>
      </c>
      <c r="AE1208" s="169">
        <f t="shared" si="196"/>
        <v>0</v>
      </c>
      <c r="AF1208" s="170">
        <f t="shared" si="194"/>
        <v>0</v>
      </c>
      <c r="AG1208" s="170">
        <f t="shared" si="195"/>
        <v>0</v>
      </c>
      <c r="AH1208" s="28" t="e" cm="1">
        <f t="array" aca="1" ref="AH1208" ca="1">IF((AD1208) &lt; (INDEX(ResponseSLA[#All],(MATCH((G1208),ResponseSLA[Priority],0))+1,3)),"YES","No")</f>
        <v>#N/A</v>
      </c>
      <c r="AI1208" s="28" t="str">
        <f>_xlfn.IFNA(IF(AE1208 &lt; (INDEX(SLATable[Minimum SLA],MATCH(G1208,SLATable[Priority],0))),"YES","NO"),"")</f>
        <v/>
      </c>
      <c r="AJ1208" s="28" t="str">
        <f>_xlfn.IFNA(IF(AE1208 &lt; (INDEX(SLATable[Maximum SLA],MATCH(G1208,SLATable[Priority],0))),"YES","NO"),"")</f>
        <v/>
      </c>
    </row>
    <row r="1209" spans="26:36" ht="15" customHeight="1">
      <c r="Z1209" s="169" t="e">
        <f t="shared" ca="1" si="189"/>
        <v>#N/A</v>
      </c>
      <c r="AA1209" s="170" t="e">
        <f t="shared" ca="1" si="190"/>
        <v>#N/A</v>
      </c>
      <c r="AB1209" s="169">
        <f t="shared" ca="1" si="191"/>
        <v>0</v>
      </c>
      <c r="AC1209" s="170">
        <f t="shared" ca="1" si="192"/>
        <v>0</v>
      </c>
      <c r="AD1209" s="169">
        <f t="shared" ca="1" si="193"/>
        <v>12388.42564085648</v>
      </c>
      <c r="AE1209" s="169">
        <f t="shared" si="196"/>
        <v>0</v>
      </c>
      <c r="AF1209" s="170">
        <f t="shared" si="194"/>
        <v>0</v>
      </c>
      <c r="AG1209" s="170">
        <f t="shared" si="195"/>
        <v>0</v>
      </c>
      <c r="AH1209" s="28" t="e" cm="1">
        <f t="array" aca="1" ref="AH1209" ca="1">IF((AD1209) &lt; (INDEX(ResponseSLA[#All],(MATCH((G1209),ResponseSLA[Priority],0))+1,3)),"YES","No")</f>
        <v>#N/A</v>
      </c>
      <c r="AI1209" s="28" t="str">
        <f>_xlfn.IFNA(IF(AE1209 &lt; (INDEX(SLATable[Minimum SLA],MATCH(G1209,SLATable[Priority],0))),"YES","NO"),"")</f>
        <v/>
      </c>
      <c r="AJ1209" s="28" t="str">
        <f>_xlfn.IFNA(IF(AE1209 &lt; (INDEX(SLATable[Maximum SLA],MATCH(G1209,SLATable[Priority],0))),"YES","NO"),"")</f>
        <v/>
      </c>
    </row>
    <row r="1210" spans="26:36" ht="15" customHeight="1">
      <c r="Z1210" s="169" t="e">
        <f t="shared" ca="1" si="189"/>
        <v>#N/A</v>
      </c>
      <c r="AA1210" s="170" t="e">
        <f t="shared" ca="1" si="190"/>
        <v>#N/A</v>
      </c>
      <c r="AB1210" s="169">
        <f t="shared" ca="1" si="191"/>
        <v>0</v>
      </c>
      <c r="AC1210" s="170">
        <f t="shared" ca="1" si="192"/>
        <v>0</v>
      </c>
      <c r="AD1210" s="169">
        <f t="shared" ca="1" si="193"/>
        <v>12388.42564085648</v>
      </c>
      <c r="AE1210" s="169">
        <f t="shared" si="196"/>
        <v>0</v>
      </c>
      <c r="AF1210" s="170">
        <f t="shared" si="194"/>
        <v>0</v>
      </c>
      <c r="AG1210" s="170">
        <f t="shared" si="195"/>
        <v>0</v>
      </c>
      <c r="AH1210" s="28" t="e" cm="1">
        <f t="array" aca="1" ref="AH1210" ca="1">IF((AD1210) &lt; (INDEX(ResponseSLA[#All],(MATCH((G1210),ResponseSLA[Priority],0))+1,3)),"YES","No")</f>
        <v>#N/A</v>
      </c>
      <c r="AI1210" s="28" t="str">
        <f>_xlfn.IFNA(IF(AE1210 &lt; (INDEX(SLATable[Minimum SLA],MATCH(G1210,SLATable[Priority],0))),"YES","NO"),"")</f>
        <v/>
      </c>
      <c r="AJ1210" s="28" t="str">
        <f>_xlfn.IFNA(IF(AE1210 &lt; (INDEX(SLATable[Maximum SLA],MATCH(G1210,SLATable[Priority],0))),"YES","NO"),"")</f>
        <v/>
      </c>
    </row>
    <row r="1211" spans="26:36" ht="15" customHeight="1">
      <c r="Z1211" s="169" t="e">
        <f t="shared" ca="1" si="189"/>
        <v>#N/A</v>
      </c>
      <c r="AA1211" s="170" t="e">
        <f t="shared" ca="1" si="190"/>
        <v>#N/A</v>
      </c>
      <c r="AB1211" s="169">
        <f t="shared" ca="1" si="191"/>
        <v>0</v>
      </c>
      <c r="AC1211" s="170">
        <f t="shared" ca="1" si="192"/>
        <v>0</v>
      </c>
      <c r="AD1211" s="169">
        <f t="shared" ca="1" si="193"/>
        <v>12388.42564085648</v>
      </c>
      <c r="AE1211" s="169">
        <f t="shared" si="196"/>
        <v>0</v>
      </c>
      <c r="AF1211" s="170">
        <f t="shared" si="194"/>
        <v>0</v>
      </c>
      <c r="AG1211" s="170">
        <f t="shared" si="195"/>
        <v>0</v>
      </c>
      <c r="AH1211" s="28" t="e" cm="1">
        <f t="array" aca="1" ref="AH1211" ca="1">IF((AD1211) &lt; (INDEX(ResponseSLA[#All],(MATCH((G1211),ResponseSLA[Priority],0))+1,3)),"YES","No")</f>
        <v>#N/A</v>
      </c>
      <c r="AI1211" s="28" t="str">
        <f>_xlfn.IFNA(IF(AE1211 &lt; (INDEX(SLATable[Minimum SLA],MATCH(G1211,SLATable[Priority],0))),"YES","NO"),"")</f>
        <v/>
      </c>
      <c r="AJ1211" s="28" t="str">
        <f>_xlfn.IFNA(IF(AE1211 &lt; (INDEX(SLATable[Maximum SLA],MATCH(G1211,SLATable[Priority],0))),"YES","NO"),"")</f>
        <v/>
      </c>
    </row>
    <row r="1212" spans="26:36" ht="15" customHeight="1">
      <c r="Z1212" s="169" t="e">
        <f t="shared" ca="1" si="189"/>
        <v>#N/A</v>
      </c>
      <c r="AA1212" s="170" t="e">
        <f t="shared" ca="1" si="190"/>
        <v>#N/A</v>
      </c>
      <c r="AB1212" s="169">
        <f t="shared" ca="1" si="191"/>
        <v>0</v>
      </c>
      <c r="AC1212" s="170">
        <f t="shared" ca="1" si="192"/>
        <v>0</v>
      </c>
      <c r="AD1212" s="169">
        <f t="shared" ca="1" si="193"/>
        <v>12388.42564085648</v>
      </c>
      <c r="AE1212" s="169">
        <f t="shared" si="196"/>
        <v>0</v>
      </c>
      <c r="AF1212" s="170">
        <f t="shared" si="194"/>
        <v>0</v>
      </c>
      <c r="AG1212" s="170">
        <f t="shared" si="195"/>
        <v>0</v>
      </c>
      <c r="AH1212" s="28" t="e" cm="1">
        <f t="array" aca="1" ref="AH1212" ca="1">IF((AD1212) &lt; (INDEX(ResponseSLA[#All],(MATCH((G1212),ResponseSLA[Priority],0))+1,3)),"YES","No")</f>
        <v>#N/A</v>
      </c>
      <c r="AI1212" s="28" t="str">
        <f>_xlfn.IFNA(IF(AE1212 &lt; (INDEX(SLATable[Minimum SLA],MATCH(G1212,SLATable[Priority],0))),"YES","NO"),"")</f>
        <v/>
      </c>
      <c r="AJ1212" s="28" t="str">
        <f>_xlfn.IFNA(IF(AE1212 &lt; (INDEX(SLATable[Maximum SLA],MATCH(G1212,SLATable[Priority],0))),"YES","NO"),"")</f>
        <v/>
      </c>
    </row>
    <row r="1213" spans="26:36" ht="15" customHeight="1">
      <c r="Z1213" s="169" t="e">
        <f t="shared" ca="1" si="189"/>
        <v>#N/A</v>
      </c>
      <c r="AA1213" s="170" t="e">
        <f t="shared" ca="1" si="190"/>
        <v>#N/A</v>
      </c>
      <c r="AB1213" s="169">
        <f t="shared" ca="1" si="191"/>
        <v>0</v>
      </c>
      <c r="AC1213" s="170">
        <f t="shared" ca="1" si="192"/>
        <v>0</v>
      </c>
      <c r="AD1213" s="169">
        <f t="shared" ca="1" si="193"/>
        <v>12388.42564085648</v>
      </c>
      <c r="AE1213" s="169">
        <f t="shared" si="196"/>
        <v>0</v>
      </c>
      <c r="AF1213" s="170">
        <f t="shared" si="194"/>
        <v>0</v>
      </c>
      <c r="AG1213" s="170">
        <f t="shared" si="195"/>
        <v>0</v>
      </c>
      <c r="AH1213" s="28" t="e" cm="1">
        <f t="array" aca="1" ref="AH1213" ca="1">IF((AD1213) &lt; (INDEX(ResponseSLA[#All],(MATCH((G1213),ResponseSLA[Priority],0))+1,3)),"YES","No")</f>
        <v>#N/A</v>
      </c>
      <c r="AI1213" s="28" t="str">
        <f>_xlfn.IFNA(IF(AE1213 &lt; (INDEX(SLATable[Minimum SLA],MATCH(G1213,SLATable[Priority],0))),"YES","NO"),"")</f>
        <v/>
      </c>
      <c r="AJ1213" s="28" t="str">
        <f>_xlfn.IFNA(IF(AE1213 &lt; (INDEX(SLATable[Maximum SLA],MATCH(G1213,SLATable[Priority],0))),"YES","NO"),"")</f>
        <v/>
      </c>
    </row>
    <row r="1214" spans="26:36" ht="15" customHeight="1">
      <c r="Z1214" s="169" t="e">
        <f t="shared" ca="1" si="189"/>
        <v>#N/A</v>
      </c>
      <c r="AA1214" s="170" t="e">
        <f t="shared" ca="1" si="190"/>
        <v>#N/A</v>
      </c>
      <c r="AB1214" s="169">
        <f t="shared" ca="1" si="191"/>
        <v>0</v>
      </c>
      <c r="AC1214" s="170">
        <f t="shared" ca="1" si="192"/>
        <v>0</v>
      </c>
      <c r="AD1214" s="169">
        <f t="shared" ca="1" si="193"/>
        <v>12388.42564085648</v>
      </c>
      <c r="AE1214" s="169">
        <f t="shared" si="196"/>
        <v>0</v>
      </c>
      <c r="AF1214" s="170">
        <f t="shared" si="194"/>
        <v>0</v>
      </c>
      <c r="AG1214" s="170">
        <f t="shared" si="195"/>
        <v>0</v>
      </c>
      <c r="AH1214" s="28" t="e" cm="1">
        <f t="array" aca="1" ref="AH1214" ca="1">IF((AD1214) &lt; (INDEX(ResponseSLA[#All],(MATCH((G1214),ResponseSLA[Priority],0))+1,3)),"YES","No")</f>
        <v>#N/A</v>
      </c>
      <c r="AI1214" s="28" t="str">
        <f>_xlfn.IFNA(IF(AE1214 &lt; (INDEX(SLATable[Minimum SLA],MATCH(G1214,SLATable[Priority],0))),"YES","NO"),"")</f>
        <v/>
      </c>
      <c r="AJ1214" s="28" t="str">
        <f>_xlfn.IFNA(IF(AE1214 &lt; (INDEX(SLATable[Maximum SLA],MATCH(G1214,SLATable[Priority],0))),"YES","NO"),"")</f>
        <v/>
      </c>
    </row>
    <row r="1215" spans="26:36" ht="15" customHeight="1">
      <c r="Z1215" s="169" t="e">
        <f t="shared" ca="1" si="189"/>
        <v>#N/A</v>
      </c>
      <c r="AA1215" s="170" t="e">
        <f t="shared" ca="1" si="190"/>
        <v>#N/A</v>
      </c>
      <c r="AB1215" s="169">
        <f t="shared" ca="1" si="191"/>
        <v>0</v>
      </c>
      <c r="AC1215" s="170">
        <f t="shared" ca="1" si="192"/>
        <v>0</v>
      </c>
      <c r="AD1215" s="169">
        <f t="shared" ca="1" si="193"/>
        <v>12388.42564085648</v>
      </c>
      <c r="AE1215" s="169">
        <f t="shared" si="196"/>
        <v>0</v>
      </c>
      <c r="AF1215" s="170">
        <f t="shared" si="194"/>
        <v>0</v>
      </c>
      <c r="AG1215" s="170">
        <f t="shared" si="195"/>
        <v>0</v>
      </c>
      <c r="AH1215" s="28" t="e" cm="1">
        <f t="array" aca="1" ref="AH1215" ca="1">IF((AD1215) &lt; (INDEX(ResponseSLA[#All],(MATCH((G1215),ResponseSLA[Priority],0))+1,3)),"YES","No")</f>
        <v>#N/A</v>
      </c>
      <c r="AI1215" s="28" t="str">
        <f>_xlfn.IFNA(IF(AE1215 &lt; (INDEX(SLATable[Minimum SLA],MATCH(G1215,SLATable[Priority],0))),"YES","NO"),"")</f>
        <v/>
      </c>
      <c r="AJ1215" s="28" t="str">
        <f>_xlfn.IFNA(IF(AE1215 &lt; (INDEX(SLATable[Maximum SLA],MATCH(G1215,SLATable[Priority],0))),"YES","NO"),"")</f>
        <v/>
      </c>
    </row>
    <row r="1216" spans="26:36" ht="15" customHeight="1">
      <c r="Z1216" s="169" t="e">
        <f t="shared" ca="1" si="189"/>
        <v>#N/A</v>
      </c>
      <c r="AA1216" s="170" t="e">
        <f t="shared" ca="1" si="190"/>
        <v>#N/A</v>
      </c>
      <c r="AB1216" s="169">
        <f t="shared" ca="1" si="191"/>
        <v>0</v>
      </c>
      <c r="AC1216" s="170">
        <f t="shared" ca="1" si="192"/>
        <v>0</v>
      </c>
      <c r="AD1216" s="169">
        <f t="shared" ca="1" si="193"/>
        <v>12388.42564085648</v>
      </c>
      <c r="AE1216" s="169">
        <f t="shared" si="196"/>
        <v>0</v>
      </c>
      <c r="AF1216" s="170">
        <f t="shared" si="194"/>
        <v>0</v>
      </c>
      <c r="AG1216" s="170">
        <f t="shared" si="195"/>
        <v>0</v>
      </c>
      <c r="AH1216" s="28" t="e" cm="1">
        <f t="array" aca="1" ref="AH1216" ca="1">IF((AD1216) &lt; (INDEX(ResponseSLA[#All],(MATCH((G1216),ResponseSLA[Priority],0))+1,3)),"YES","No")</f>
        <v>#N/A</v>
      </c>
      <c r="AI1216" s="28" t="str">
        <f>_xlfn.IFNA(IF(AE1216 &lt; (INDEX(SLATable[Minimum SLA],MATCH(G1216,SLATable[Priority],0))),"YES","NO"),"")</f>
        <v/>
      </c>
      <c r="AJ1216" s="28" t="str">
        <f>_xlfn.IFNA(IF(AE1216 &lt; (INDEX(SLATable[Maximum SLA],MATCH(G1216,SLATable[Priority],0))),"YES","NO"),"")</f>
        <v/>
      </c>
    </row>
    <row r="1217" spans="26:36" ht="15" customHeight="1">
      <c r="Z1217" s="169" t="e">
        <f t="shared" ca="1" si="189"/>
        <v>#N/A</v>
      </c>
      <c r="AA1217" s="170" t="e">
        <f t="shared" ca="1" si="190"/>
        <v>#N/A</v>
      </c>
      <c r="AB1217" s="169">
        <f t="shared" ca="1" si="191"/>
        <v>0</v>
      </c>
      <c r="AC1217" s="170">
        <f t="shared" ca="1" si="192"/>
        <v>0</v>
      </c>
      <c r="AD1217" s="169">
        <f t="shared" ca="1" si="193"/>
        <v>12388.42564085648</v>
      </c>
      <c r="AE1217" s="169">
        <f t="shared" si="196"/>
        <v>0</v>
      </c>
      <c r="AF1217" s="170">
        <f t="shared" si="194"/>
        <v>0</v>
      </c>
      <c r="AG1217" s="170">
        <f t="shared" si="195"/>
        <v>0</v>
      </c>
      <c r="AH1217" s="28" t="e" cm="1">
        <f t="array" aca="1" ref="AH1217" ca="1">IF((AD1217) &lt; (INDEX(ResponseSLA[#All],(MATCH((G1217),ResponseSLA[Priority],0))+1,3)),"YES","No")</f>
        <v>#N/A</v>
      </c>
      <c r="AI1217" s="28" t="str">
        <f>_xlfn.IFNA(IF(AE1217 &lt; (INDEX(SLATable[Minimum SLA],MATCH(G1217,SLATable[Priority],0))),"YES","NO"),"")</f>
        <v/>
      </c>
      <c r="AJ1217" s="28" t="str">
        <f>_xlfn.IFNA(IF(AE1217 &lt; (INDEX(SLATable[Maximum SLA],MATCH(G1217,SLATable[Priority],0))),"YES","NO"),"")</f>
        <v/>
      </c>
    </row>
    <row r="1218" spans="26:36" ht="15" customHeight="1">
      <c r="Z1218" s="169" t="e">
        <f t="shared" ca="1" si="189"/>
        <v>#N/A</v>
      </c>
      <c r="AA1218" s="170" t="e">
        <f t="shared" ca="1" si="190"/>
        <v>#N/A</v>
      </c>
      <c r="AB1218" s="169">
        <f t="shared" ca="1" si="191"/>
        <v>0</v>
      </c>
      <c r="AC1218" s="170">
        <f t="shared" ca="1" si="192"/>
        <v>0</v>
      </c>
      <c r="AD1218" s="169">
        <f t="shared" ca="1" si="193"/>
        <v>12388.42564085648</v>
      </c>
      <c r="AE1218" s="169">
        <f t="shared" si="196"/>
        <v>0</v>
      </c>
      <c r="AF1218" s="170">
        <f t="shared" si="194"/>
        <v>0</v>
      </c>
      <c r="AG1218" s="170">
        <f t="shared" si="195"/>
        <v>0</v>
      </c>
      <c r="AH1218" s="28" t="e" cm="1">
        <f t="array" aca="1" ref="AH1218" ca="1">IF((AD1218) &lt; (INDEX(ResponseSLA[#All],(MATCH((G1218),ResponseSLA[Priority],0))+1,3)),"YES","No")</f>
        <v>#N/A</v>
      </c>
      <c r="AI1218" s="28" t="str">
        <f>_xlfn.IFNA(IF(AE1218 &lt; (INDEX(SLATable[Minimum SLA],MATCH(G1218,SLATable[Priority],0))),"YES","NO"),"")</f>
        <v/>
      </c>
      <c r="AJ1218" s="28" t="str">
        <f>_xlfn.IFNA(IF(AE1218 &lt; (INDEX(SLATable[Maximum SLA],MATCH(G1218,SLATable[Priority],0))),"YES","NO"),"")</f>
        <v/>
      </c>
    </row>
    <row r="1219" spans="26:36" ht="15" customHeight="1">
      <c r="Z1219" s="169" t="e">
        <f t="shared" ca="1" si="189"/>
        <v>#N/A</v>
      </c>
      <c r="AA1219" s="170" t="e">
        <f t="shared" ca="1" si="190"/>
        <v>#N/A</v>
      </c>
      <c r="AB1219" s="169">
        <f t="shared" ca="1" si="191"/>
        <v>0</v>
      </c>
      <c r="AC1219" s="170">
        <f t="shared" ca="1" si="192"/>
        <v>0</v>
      </c>
      <c r="AD1219" s="169">
        <f t="shared" ca="1" si="193"/>
        <v>12388.42564085648</v>
      </c>
      <c r="AE1219" s="169">
        <f t="shared" si="196"/>
        <v>0</v>
      </c>
      <c r="AF1219" s="170">
        <f t="shared" si="194"/>
        <v>0</v>
      </c>
      <c r="AG1219" s="170">
        <f t="shared" si="195"/>
        <v>0</v>
      </c>
      <c r="AH1219" s="28" t="e" cm="1">
        <f t="array" aca="1" ref="AH1219" ca="1">IF((AD1219) &lt; (INDEX(ResponseSLA[#All],(MATCH((G1219),ResponseSLA[Priority],0))+1,3)),"YES","No")</f>
        <v>#N/A</v>
      </c>
      <c r="AI1219" s="28" t="str">
        <f>_xlfn.IFNA(IF(AE1219 &lt; (INDEX(SLATable[Minimum SLA],MATCH(G1219,SLATable[Priority],0))),"YES","NO"),"")</f>
        <v/>
      </c>
      <c r="AJ1219" s="28" t="str">
        <f>_xlfn.IFNA(IF(AE1219 &lt; (INDEX(SLATable[Maximum SLA],MATCH(G1219,SLATable[Priority],0))),"YES","NO"),"")</f>
        <v/>
      </c>
    </row>
    <row r="1220" spans="26:36" ht="15" customHeight="1">
      <c r="Z1220" s="169" t="e">
        <f t="shared" ca="1" si="189"/>
        <v>#N/A</v>
      </c>
      <c r="AA1220" s="170" t="e">
        <f t="shared" ca="1" si="190"/>
        <v>#N/A</v>
      </c>
      <c r="AB1220" s="169">
        <f t="shared" ca="1" si="191"/>
        <v>0</v>
      </c>
      <c r="AC1220" s="170">
        <f t="shared" ca="1" si="192"/>
        <v>0</v>
      </c>
      <c r="AD1220" s="169">
        <f t="shared" ca="1" si="193"/>
        <v>12388.42564085648</v>
      </c>
      <c r="AE1220" s="169">
        <f t="shared" si="196"/>
        <v>0</v>
      </c>
      <c r="AF1220" s="170">
        <f t="shared" si="194"/>
        <v>0</v>
      </c>
      <c r="AG1220" s="170">
        <f t="shared" si="195"/>
        <v>0</v>
      </c>
      <c r="AH1220" s="28" t="e" cm="1">
        <f t="array" aca="1" ref="AH1220" ca="1">IF((AD1220) &lt; (INDEX(ResponseSLA[#All],(MATCH((G1220),ResponseSLA[Priority],0))+1,3)),"YES","No")</f>
        <v>#N/A</v>
      </c>
      <c r="AI1220" s="28" t="str">
        <f>_xlfn.IFNA(IF(AE1220 &lt; (INDEX(SLATable[Minimum SLA],MATCH(G1220,SLATable[Priority],0))),"YES","NO"),"")</f>
        <v/>
      </c>
      <c r="AJ1220" s="28" t="str">
        <f>_xlfn.IFNA(IF(AE1220 &lt; (INDEX(SLATable[Maximum SLA],MATCH(G1220,SLATable[Priority],0))),"YES","NO"),"")</f>
        <v/>
      </c>
    </row>
    <row r="1221" spans="26:36" ht="15" customHeight="1">
      <c r="Z1221" s="169" t="e">
        <f t="shared" ca="1" si="189"/>
        <v>#N/A</v>
      </c>
      <c r="AA1221" s="170" t="e">
        <f t="shared" ca="1" si="190"/>
        <v>#N/A</v>
      </c>
      <c r="AB1221" s="169">
        <f t="shared" ca="1" si="191"/>
        <v>0</v>
      </c>
      <c r="AC1221" s="170">
        <f t="shared" ca="1" si="192"/>
        <v>0</v>
      </c>
      <c r="AD1221" s="169">
        <f t="shared" ca="1" si="193"/>
        <v>12388.42564085648</v>
      </c>
      <c r="AE1221" s="169">
        <f t="shared" si="196"/>
        <v>0</v>
      </c>
      <c r="AF1221" s="170">
        <f t="shared" si="194"/>
        <v>0</v>
      </c>
      <c r="AG1221" s="170">
        <f t="shared" si="195"/>
        <v>0</v>
      </c>
      <c r="AH1221" s="28" t="e" cm="1">
        <f t="array" aca="1" ref="AH1221" ca="1">IF((AD1221) &lt; (INDEX(ResponseSLA[#All],(MATCH((G1221),ResponseSLA[Priority],0))+1,3)),"YES","No")</f>
        <v>#N/A</v>
      </c>
      <c r="AI1221" s="28" t="str">
        <f>_xlfn.IFNA(IF(AE1221 &lt; (INDEX(SLATable[Minimum SLA],MATCH(G1221,SLATable[Priority],0))),"YES","NO"),"")</f>
        <v/>
      </c>
      <c r="AJ1221" s="28" t="str">
        <f>_xlfn.IFNA(IF(AE1221 &lt; (INDEX(SLATable[Maximum SLA],MATCH(G1221,SLATable[Priority],0))),"YES","NO"),"")</f>
        <v/>
      </c>
    </row>
    <row r="1222" spans="26:36" ht="15" customHeight="1">
      <c r="Z1222" s="169" t="e">
        <f t="shared" ca="1" si="189"/>
        <v>#N/A</v>
      </c>
      <c r="AA1222" s="170" t="e">
        <f t="shared" ca="1" si="190"/>
        <v>#N/A</v>
      </c>
      <c r="AB1222" s="169">
        <f t="shared" ca="1" si="191"/>
        <v>0</v>
      </c>
      <c r="AC1222" s="170">
        <f t="shared" ca="1" si="192"/>
        <v>0</v>
      </c>
      <c r="AD1222" s="169">
        <f t="shared" ca="1" si="193"/>
        <v>12388.42564085648</v>
      </c>
      <c r="AE1222" s="169">
        <f t="shared" si="196"/>
        <v>0</v>
      </c>
      <c r="AF1222" s="170">
        <f t="shared" si="194"/>
        <v>0</v>
      </c>
      <c r="AG1222" s="170">
        <f t="shared" si="195"/>
        <v>0</v>
      </c>
      <c r="AH1222" s="28" t="e" cm="1">
        <f t="array" aca="1" ref="AH1222" ca="1">IF((AD1222) &lt; (INDEX(ResponseSLA[#All],(MATCH((G1222),ResponseSLA[Priority],0))+1,3)),"YES","No")</f>
        <v>#N/A</v>
      </c>
      <c r="AI1222" s="28" t="str">
        <f>_xlfn.IFNA(IF(AE1222 &lt; (INDEX(SLATable[Minimum SLA],MATCH(G1222,SLATable[Priority],0))),"YES","NO"),"")</f>
        <v/>
      </c>
      <c r="AJ1222" s="28" t="str">
        <f>_xlfn.IFNA(IF(AE1222 &lt; (INDEX(SLATable[Maximum SLA],MATCH(G1222,SLATable[Priority],0))),"YES","NO"),"")</f>
        <v/>
      </c>
    </row>
    <row r="1223" spans="26:36" ht="15" customHeight="1">
      <c r="Z1223" s="169" t="e">
        <f t="shared" ca="1" si="189"/>
        <v>#N/A</v>
      </c>
      <c r="AA1223" s="170" t="e">
        <f t="shared" ca="1" si="190"/>
        <v>#N/A</v>
      </c>
      <c r="AB1223" s="169">
        <f t="shared" ca="1" si="191"/>
        <v>0</v>
      </c>
      <c r="AC1223" s="170">
        <f t="shared" ca="1" si="192"/>
        <v>0</v>
      </c>
      <c r="AD1223" s="169">
        <f t="shared" ca="1" si="193"/>
        <v>12388.42564085648</v>
      </c>
      <c r="AE1223" s="169">
        <f t="shared" si="196"/>
        <v>0</v>
      </c>
      <c r="AF1223" s="170">
        <f t="shared" si="194"/>
        <v>0</v>
      </c>
      <c r="AG1223" s="170">
        <f t="shared" si="195"/>
        <v>0</v>
      </c>
      <c r="AH1223" s="28" t="e" cm="1">
        <f t="array" aca="1" ref="AH1223" ca="1">IF((AD1223) &lt; (INDEX(ResponseSLA[#All],(MATCH((G1223),ResponseSLA[Priority],0))+1,3)),"YES","No")</f>
        <v>#N/A</v>
      </c>
      <c r="AI1223" s="28" t="str">
        <f>_xlfn.IFNA(IF(AE1223 &lt; (INDEX(SLATable[Minimum SLA],MATCH(G1223,SLATable[Priority],0))),"YES","NO"),"")</f>
        <v/>
      </c>
      <c r="AJ1223" s="28" t="str">
        <f>_xlfn.IFNA(IF(AE1223 &lt; (INDEX(SLATable[Maximum SLA],MATCH(G1223,SLATable[Priority],0))),"YES","NO"),"")</f>
        <v/>
      </c>
    </row>
    <row r="1224" spans="26:36" ht="15" customHeight="1">
      <c r="Z1224" s="169" t="e">
        <f t="shared" ca="1" si="189"/>
        <v>#N/A</v>
      </c>
      <c r="AA1224" s="170" t="e">
        <f t="shared" ca="1" si="190"/>
        <v>#N/A</v>
      </c>
      <c r="AB1224" s="169">
        <f t="shared" ca="1" si="191"/>
        <v>0</v>
      </c>
      <c r="AC1224" s="170">
        <f t="shared" ca="1" si="192"/>
        <v>0</v>
      </c>
      <c r="AD1224" s="169">
        <f t="shared" ca="1" si="193"/>
        <v>12388.42564085648</v>
      </c>
      <c r="AE1224" s="169">
        <f t="shared" si="196"/>
        <v>0</v>
      </c>
      <c r="AF1224" s="170">
        <f t="shared" si="194"/>
        <v>0</v>
      </c>
      <c r="AG1224" s="170">
        <f t="shared" si="195"/>
        <v>0</v>
      </c>
      <c r="AH1224" s="28" t="e" cm="1">
        <f t="array" aca="1" ref="AH1224" ca="1">IF((AD1224) &lt; (INDEX(ResponseSLA[#All],(MATCH((G1224),ResponseSLA[Priority],0))+1,3)),"YES","No")</f>
        <v>#N/A</v>
      </c>
      <c r="AI1224" s="28" t="str">
        <f>_xlfn.IFNA(IF(AE1224 &lt; (INDEX(SLATable[Minimum SLA],MATCH(G1224,SLATable[Priority],0))),"YES","NO"),"")</f>
        <v/>
      </c>
      <c r="AJ1224" s="28" t="str">
        <f>_xlfn.IFNA(IF(AE1224 &lt; (INDEX(SLATable[Maximum SLA],MATCH(G1224,SLATable[Priority],0))),"YES","NO"),"")</f>
        <v/>
      </c>
    </row>
    <row r="1225" spans="26:36" ht="15" customHeight="1">
      <c r="Z1225" s="169" t="e">
        <f t="shared" ca="1" si="189"/>
        <v>#N/A</v>
      </c>
      <c r="AA1225" s="170" t="e">
        <f t="shared" ca="1" si="190"/>
        <v>#N/A</v>
      </c>
      <c r="AB1225" s="169">
        <f t="shared" ca="1" si="191"/>
        <v>0</v>
      </c>
      <c r="AC1225" s="170">
        <f t="shared" ca="1" si="192"/>
        <v>0</v>
      </c>
      <c r="AD1225" s="169">
        <f t="shared" ca="1" si="193"/>
        <v>12388.42564085648</v>
      </c>
      <c r="AE1225" s="169">
        <f t="shared" si="196"/>
        <v>0</v>
      </c>
      <c r="AF1225" s="170">
        <f t="shared" si="194"/>
        <v>0</v>
      </c>
      <c r="AG1225" s="170">
        <f t="shared" si="195"/>
        <v>0</v>
      </c>
      <c r="AH1225" s="28" t="e" cm="1">
        <f t="array" aca="1" ref="AH1225" ca="1">IF((AD1225) &lt; (INDEX(ResponseSLA[#All],(MATCH((G1225),ResponseSLA[Priority],0))+1,3)),"YES","No")</f>
        <v>#N/A</v>
      </c>
      <c r="AI1225" s="28" t="str">
        <f>_xlfn.IFNA(IF(AE1225 &lt; (INDEX(SLATable[Minimum SLA],MATCH(G1225,SLATable[Priority],0))),"YES","NO"),"")</f>
        <v/>
      </c>
      <c r="AJ1225" s="28" t="str">
        <f>_xlfn.IFNA(IF(AE1225 &lt; (INDEX(SLATable[Maximum SLA],MATCH(G1225,SLATable[Priority],0))),"YES","NO"),"")</f>
        <v/>
      </c>
    </row>
    <row r="1226" spans="26:36" ht="15" customHeight="1">
      <c r="Z1226" s="169" t="e">
        <f t="shared" ca="1" si="189"/>
        <v>#N/A</v>
      </c>
      <c r="AA1226" s="170" t="e">
        <f t="shared" ca="1" si="190"/>
        <v>#N/A</v>
      </c>
      <c r="AB1226" s="169">
        <f t="shared" ca="1" si="191"/>
        <v>0</v>
      </c>
      <c r="AC1226" s="170">
        <f t="shared" ca="1" si="192"/>
        <v>0</v>
      </c>
      <c r="AD1226" s="169">
        <f t="shared" ca="1" si="193"/>
        <v>12388.42564085648</v>
      </c>
      <c r="AE1226" s="169">
        <f t="shared" si="196"/>
        <v>0</v>
      </c>
      <c r="AF1226" s="170">
        <f t="shared" si="194"/>
        <v>0</v>
      </c>
      <c r="AG1226" s="170">
        <f t="shared" si="195"/>
        <v>0</v>
      </c>
      <c r="AH1226" s="28" t="e" cm="1">
        <f t="array" aca="1" ref="AH1226" ca="1">IF((AD1226) &lt; (INDEX(ResponseSLA[#All],(MATCH((G1226),ResponseSLA[Priority],0))+1,3)),"YES","No")</f>
        <v>#N/A</v>
      </c>
      <c r="AI1226" s="28" t="str">
        <f>_xlfn.IFNA(IF(AE1226 &lt; (INDEX(SLATable[Minimum SLA],MATCH(G1226,SLATable[Priority],0))),"YES","NO"),"")</f>
        <v/>
      </c>
      <c r="AJ1226" s="28" t="str">
        <f>_xlfn.IFNA(IF(AE1226 &lt; (INDEX(SLATable[Maximum SLA],MATCH(G1226,SLATable[Priority],0))),"YES","NO"),"")</f>
        <v/>
      </c>
    </row>
    <row r="1227" spans="26:36" ht="15" customHeight="1">
      <c r="Z1227" s="169" t="e">
        <f t="shared" ca="1" si="189"/>
        <v>#N/A</v>
      </c>
      <c r="AA1227" s="170" t="e">
        <f t="shared" ca="1" si="190"/>
        <v>#N/A</v>
      </c>
      <c r="AB1227" s="169">
        <f t="shared" ca="1" si="191"/>
        <v>0</v>
      </c>
      <c r="AC1227" s="170">
        <f t="shared" ca="1" si="192"/>
        <v>0</v>
      </c>
      <c r="AD1227" s="169">
        <f t="shared" ca="1" si="193"/>
        <v>12388.42564085648</v>
      </c>
      <c r="AE1227" s="169">
        <f t="shared" si="196"/>
        <v>0</v>
      </c>
      <c r="AF1227" s="170">
        <f t="shared" si="194"/>
        <v>0</v>
      </c>
      <c r="AG1227" s="170">
        <f t="shared" si="195"/>
        <v>0</v>
      </c>
      <c r="AH1227" s="28" t="e" cm="1">
        <f t="array" aca="1" ref="AH1227" ca="1">IF((AD1227) &lt; (INDEX(ResponseSLA[#All],(MATCH((G1227),ResponseSLA[Priority],0))+1,3)),"YES","No")</f>
        <v>#N/A</v>
      </c>
      <c r="AI1227" s="28" t="str">
        <f>_xlfn.IFNA(IF(AE1227 &lt; (INDEX(SLATable[Minimum SLA],MATCH(G1227,SLATable[Priority],0))),"YES","NO"),"")</f>
        <v/>
      </c>
      <c r="AJ1227" s="28" t="str">
        <f>_xlfn.IFNA(IF(AE1227 &lt; (INDEX(SLATable[Maximum SLA],MATCH(G1227,SLATable[Priority],0))),"YES","NO"),"")</f>
        <v/>
      </c>
    </row>
    <row r="1228" spans="26:36" ht="15" customHeight="1">
      <c r="Z1228" s="169" t="e">
        <f t="shared" ca="1" si="189"/>
        <v>#N/A</v>
      </c>
      <c r="AA1228" s="170" t="e">
        <f t="shared" ca="1" si="190"/>
        <v>#N/A</v>
      </c>
      <c r="AB1228" s="169">
        <f t="shared" ca="1" si="191"/>
        <v>0</v>
      </c>
      <c r="AC1228" s="170">
        <f t="shared" ca="1" si="192"/>
        <v>0</v>
      </c>
      <c r="AD1228" s="169">
        <f t="shared" ca="1" si="193"/>
        <v>12388.42564085648</v>
      </c>
      <c r="AE1228" s="169">
        <f t="shared" si="196"/>
        <v>0</v>
      </c>
      <c r="AF1228" s="170">
        <f t="shared" si="194"/>
        <v>0</v>
      </c>
      <c r="AG1228" s="170">
        <f t="shared" si="195"/>
        <v>0</v>
      </c>
      <c r="AH1228" s="28" t="e" cm="1">
        <f t="array" aca="1" ref="AH1228" ca="1">IF((AD1228) &lt; (INDEX(ResponseSLA[#All],(MATCH((G1228),ResponseSLA[Priority],0))+1,3)),"YES","No")</f>
        <v>#N/A</v>
      </c>
      <c r="AI1228" s="28" t="str">
        <f>_xlfn.IFNA(IF(AE1228 &lt; (INDEX(SLATable[Minimum SLA],MATCH(G1228,SLATable[Priority],0))),"YES","NO"),"")</f>
        <v/>
      </c>
      <c r="AJ1228" s="28" t="str">
        <f>_xlfn.IFNA(IF(AE1228 &lt; (INDEX(SLATable[Maximum SLA],MATCH(G1228,SLATable[Priority],0))),"YES","NO"),"")</f>
        <v/>
      </c>
    </row>
    <row r="1229" spans="26:36" ht="15" customHeight="1">
      <c r="Z1229" s="169" t="e">
        <f t="shared" ca="1" si="189"/>
        <v>#N/A</v>
      </c>
      <c r="AA1229" s="170" t="e">
        <f t="shared" ca="1" si="190"/>
        <v>#N/A</v>
      </c>
      <c r="AB1229" s="169">
        <f t="shared" ca="1" si="191"/>
        <v>0</v>
      </c>
      <c r="AC1229" s="170">
        <f t="shared" ca="1" si="192"/>
        <v>0</v>
      </c>
      <c r="AD1229" s="169">
        <f t="shared" ca="1" si="193"/>
        <v>12388.42564085648</v>
      </c>
      <c r="AE1229" s="169">
        <f t="shared" si="196"/>
        <v>0</v>
      </c>
      <c r="AF1229" s="170">
        <f t="shared" si="194"/>
        <v>0</v>
      </c>
      <c r="AG1229" s="170">
        <f t="shared" si="195"/>
        <v>0</v>
      </c>
      <c r="AH1229" s="28" t="e" cm="1">
        <f t="array" aca="1" ref="AH1229" ca="1">IF((AD1229) &lt; (INDEX(ResponseSLA[#All],(MATCH((G1229),ResponseSLA[Priority],0))+1,3)),"YES","No")</f>
        <v>#N/A</v>
      </c>
      <c r="AI1229" s="28" t="str">
        <f>_xlfn.IFNA(IF(AE1229 &lt; (INDEX(SLATable[Minimum SLA],MATCH(G1229,SLATable[Priority],0))),"YES","NO"),"")</f>
        <v/>
      </c>
      <c r="AJ1229" s="28" t="str">
        <f>_xlfn.IFNA(IF(AE1229 &lt; (INDEX(SLATable[Maximum SLA],MATCH(G1229,SLATable[Priority],0))),"YES","NO"),"")</f>
        <v/>
      </c>
    </row>
    <row r="1230" spans="26:36" ht="15" customHeight="1">
      <c r="Z1230" s="169" t="e">
        <f t="shared" ca="1" si="189"/>
        <v>#N/A</v>
      </c>
      <c r="AA1230" s="170" t="e">
        <f t="shared" ca="1" si="190"/>
        <v>#N/A</v>
      </c>
      <c r="AB1230" s="169">
        <f t="shared" ca="1" si="191"/>
        <v>0</v>
      </c>
      <c r="AC1230" s="170">
        <f t="shared" ca="1" si="192"/>
        <v>0</v>
      </c>
      <c r="AD1230" s="169">
        <f t="shared" ca="1" si="193"/>
        <v>12388.42564085648</v>
      </c>
      <c r="AE1230" s="169">
        <f t="shared" si="196"/>
        <v>0</v>
      </c>
      <c r="AF1230" s="170">
        <f t="shared" si="194"/>
        <v>0</v>
      </c>
      <c r="AG1230" s="170">
        <f t="shared" si="195"/>
        <v>0</v>
      </c>
      <c r="AH1230" s="28" t="e" cm="1">
        <f t="array" aca="1" ref="AH1230" ca="1">IF((AD1230) &lt; (INDEX(ResponseSLA[#All],(MATCH((G1230),ResponseSLA[Priority],0))+1,3)),"YES","No")</f>
        <v>#N/A</v>
      </c>
      <c r="AI1230" s="28" t="str">
        <f>_xlfn.IFNA(IF(AE1230 &lt; (INDEX(SLATable[Minimum SLA],MATCH(G1230,SLATable[Priority],0))),"YES","NO"),"")</f>
        <v/>
      </c>
      <c r="AJ1230" s="28" t="str">
        <f>_xlfn.IFNA(IF(AE1230 &lt; (INDEX(SLATable[Maximum SLA],MATCH(G1230,SLATable[Priority],0))),"YES","NO"),"")</f>
        <v/>
      </c>
    </row>
    <row r="1231" spans="26:36" ht="15" customHeight="1">
      <c r="Z1231" s="169" t="e">
        <f t="shared" ca="1" si="189"/>
        <v>#N/A</v>
      </c>
      <c r="AA1231" s="170" t="e">
        <f t="shared" ca="1" si="190"/>
        <v>#N/A</v>
      </c>
      <c r="AB1231" s="169">
        <f t="shared" ca="1" si="191"/>
        <v>0</v>
      </c>
      <c r="AC1231" s="170">
        <f t="shared" ca="1" si="192"/>
        <v>0</v>
      </c>
      <c r="AD1231" s="169">
        <f t="shared" ca="1" si="193"/>
        <v>12388.42564085648</v>
      </c>
      <c r="AE1231" s="169">
        <f t="shared" si="196"/>
        <v>0</v>
      </c>
      <c r="AF1231" s="170">
        <f t="shared" si="194"/>
        <v>0</v>
      </c>
      <c r="AG1231" s="170">
        <f t="shared" si="195"/>
        <v>0</v>
      </c>
      <c r="AH1231" s="28" t="e" cm="1">
        <f t="array" aca="1" ref="AH1231" ca="1">IF((AD1231) &lt; (INDEX(ResponseSLA[#All],(MATCH((G1231),ResponseSLA[Priority],0))+1,3)),"YES","No")</f>
        <v>#N/A</v>
      </c>
      <c r="AI1231" s="28" t="str">
        <f>_xlfn.IFNA(IF(AE1231 &lt; (INDEX(SLATable[Minimum SLA],MATCH(G1231,SLATable[Priority],0))),"YES","NO"),"")</f>
        <v/>
      </c>
      <c r="AJ1231" s="28" t="str">
        <f>_xlfn.IFNA(IF(AE1231 &lt; (INDEX(SLATable[Maximum SLA],MATCH(G1231,SLATable[Priority],0))),"YES","NO"),"")</f>
        <v/>
      </c>
    </row>
    <row r="1232" spans="26:36" ht="15" customHeight="1">
      <c r="Z1232" s="169" t="e">
        <f t="shared" ca="1" si="189"/>
        <v>#N/A</v>
      </c>
      <c r="AA1232" s="170" t="e">
        <f t="shared" ca="1" si="190"/>
        <v>#N/A</v>
      </c>
      <c r="AB1232" s="169">
        <f t="shared" ca="1" si="191"/>
        <v>0</v>
      </c>
      <c r="AC1232" s="170">
        <f t="shared" ca="1" si="192"/>
        <v>0</v>
      </c>
      <c r="AD1232" s="169">
        <f t="shared" ca="1" si="193"/>
        <v>12388.42564085648</v>
      </c>
      <c r="AE1232" s="169">
        <f t="shared" si="196"/>
        <v>0</v>
      </c>
      <c r="AF1232" s="170">
        <f t="shared" si="194"/>
        <v>0</v>
      </c>
      <c r="AG1232" s="170">
        <f t="shared" si="195"/>
        <v>0</v>
      </c>
      <c r="AH1232" s="28" t="e" cm="1">
        <f t="array" aca="1" ref="AH1232" ca="1">IF((AD1232) &lt; (INDEX(ResponseSLA[#All],(MATCH((G1232),ResponseSLA[Priority],0))+1,3)),"YES","No")</f>
        <v>#N/A</v>
      </c>
      <c r="AI1232" s="28" t="str">
        <f>_xlfn.IFNA(IF(AE1232 &lt; (INDEX(SLATable[Minimum SLA],MATCH(G1232,SLATable[Priority],0))),"YES","NO"),"")</f>
        <v/>
      </c>
      <c r="AJ1232" s="28" t="str">
        <f>_xlfn.IFNA(IF(AE1232 &lt; (INDEX(SLATable[Maximum SLA],MATCH(G1232,SLATable[Priority],0))),"YES","NO"),"")</f>
        <v/>
      </c>
    </row>
    <row r="1233" spans="26:36" ht="15" customHeight="1">
      <c r="Z1233" s="169" t="e">
        <f t="shared" ca="1" si="189"/>
        <v>#N/A</v>
      </c>
      <c r="AA1233" s="170" t="e">
        <f t="shared" ca="1" si="190"/>
        <v>#N/A</v>
      </c>
      <c r="AB1233" s="169">
        <f t="shared" ca="1" si="191"/>
        <v>0</v>
      </c>
      <c r="AC1233" s="170">
        <f t="shared" ca="1" si="192"/>
        <v>0</v>
      </c>
      <c r="AD1233" s="169">
        <f t="shared" ca="1" si="193"/>
        <v>12388.42564085648</v>
      </c>
      <c r="AE1233" s="169">
        <f t="shared" si="196"/>
        <v>0</v>
      </c>
      <c r="AF1233" s="170">
        <f t="shared" si="194"/>
        <v>0</v>
      </c>
      <c r="AG1233" s="170">
        <f t="shared" si="195"/>
        <v>0</v>
      </c>
      <c r="AH1233" s="28" t="e" cm="1">
        <f t="array" aca="1" ref="AH1233" ca="1">IF((AD1233) &lt; (INDEX(ResponseSLA[#All],(MATCH((G1233),ResponseSLA[Priority],0))+1,3)),"YES","No")</f>
        <v>#N/A</v>
      </c>
      <c r="AI1233" s="28" t="str">
        <f>_xlfn.IFNA(IF(AE1233 &lt; (INDEX(SLATable[Minimum SLA],MATCH(G1233,SLATable[Priority],0))),"YES","NO"),"")</f>
        <v/>
      </c>
      <c r="AJ1233" s="28" t="str">
        <f>_xlfn.IFNA(IF(AE1233 &lt; (INDEX(SLATable[Maximum SLA],MATCH(G1233,SLATable[Priority],0))),"YES","NO"),"")</f>
        <v/>
      </c>
    </row>
    <row r="1234" spans="26:36" ht="15" customHeight="1">
      <c r="Z1234" s="169" t="e">
        <f t="shared" ca="1" si="189"/>
        <v>#N/A</v>
      </c>
      <c r="AA1234" s="170" t="e">
        <f t="shared" ca="1" si="190"/>
        <v>#N/A</v>
      </c>
      <c r="AB1234" s="169">
        <f t="shared" ca="1" si="191"/>
        <v>0</v>
      </c>
      <c r="AC1234" s="170">
        <f t="shared" ca="1" si="192"/>
        <v>0</v>
      </c>
      <c r="AD1234" s="169">
        <f t="shared" ca="1" si="193"/>
        <v>12388.42564085648</v>
      </c>
      <c r="AE1234" s="169">
        <f t="shared" si="196"/>
        <v>0</v>
      </c>
      <c r="AF1234" s="170">
        <f t="shared" si="194"/>
        <v>0</v>
      </c>
      <c r="AG1234" s="170">
        <f t="shared" si="195"/>
        <v>0</v>
      </c>
      <c r="AH1234" s="28" t="e" cm="1">
        <f t="array" aca="1" ref="AH1234" ca="1">IF((AD1234) &lt; (INDEX(ResponseSLA[#All],(MATCH((G1234),ResponseSLA[Priority],0))+1,3)),"YES","No")</f>
        <v>#N/A</v>
      </c>
      <c r="AI1234" s="28" t="str">
        <f>_xlfn.IFNA(IF(AE1234 &lt; (INDEX(SLATable[Minimum SLA],MATCH(G1234,SLATable[Priority],0))),"YES","NO"),"")</f>
        <v/>
      </c>
      <c r="AJ1234" s="28" t="str">
        <f>_xlfn.IFNA(IF(AE1234 &lt; (INDEX(SLATable[Maximum SLA],MATCH(G1234,SLATable[Priority],0))),"YES","NO"),"")</f>
        <v/>
      </c>
    </row>
    <row r="1235" spans="26:36" ht="15" customHeight="1">
      <c r="Z1235" s="169" t="e">
        <f t="shared" ca="1" si="189"/>
        <v>#N/A</v>
      </c>
      <c r="AA1235" s="170" t="e">
        <f t="shared" ca="1" si="190"/>
        <v>#N/A</v>
      </c>
      <c r="AB1235" s="169">
        <f t="shared" ca="1" si="191"/>
        <v>0</v>
      </c>
      <c r="AC1235" s="170">
        <f t="shared" ca="1" si="192"/>
        <v>0</v>
      </c>
      <c r="AD1235" s="169">
        <f t="shared" ca="1" si="193"/>
        <v>12388.42564085648</v>
      </c>
      <c r="AE1235" s="169">
        <f t="shared" si="196"/>
        <v>0</v>
      </c>
      <c r="AF1235" s="170">
        <f t="shared" si="194"/>
        <v>0</v>
      </c>
      <c r="AG1235" s="170">
        <f t="shared" si="195"/>
        <v>0</v>
      </c>
      <c r="AH1235" s="28" t="e" cm="1">
        <f t="array" aca="1" ref="AH1235" ca="1">IF((AD1235) &lt; (INDEX(ResponseSLA[#All],(MATCH((G1235),ResponseSLA[Priority],0))+1,3)),"YES","No")</f>
        <v>#N/A</v>
      </c>
      <c r="AI1235" s="28" t="str">
        <f>_xlfn.IFNA(IF(AE1235 &lt; (INDEX(SLATable[Minimum SLA],MATCH(G1235,SLATable[Priority],0))),"YES","NO"),"")</f>
        <v/>
      </c>
      <c r="AJ1235" s="28" t="str">
        <f>_xlfn.IFNA(IF(AE1235 &lt; (INDEX(SLATable[Maximum SLA],MATCH(G1235,SLATable[Priority],0))),"YES","NO"),"")</f>
        <v/>
      </c>
    </row>
    <row r="1236" spans="26:36" ht="15" customHeight="1">
      <c r="Z1236" s="169" t="e">
        <f t="shared" ca="1" si="189"/>
        <v>#N/A</v>
      </c>
      <c r="AA1236" s="170" t="e">
        <f t="shared" ca="1" si="190"/>
        <v>#N/A</v>
      </c>
      <c r="AB1236" s="169">
        <f t="shared" ca="1" si="191"/>
        <v>0</v>
      </c>
      <c r="AC1236" s="170">
        <f t="shared" ca="1" si="192"/>
        <v>0</v>
      </c>
      <c r="AD1236" s="169">
        <f t="shared" ca="1" si="193"/>
        <v>12388.42564085648</v>
      </c>
      <c r="AE1236" s="169">
        <f t="shared" si="196"/>
        <v>0</v>
      </c>
      <c r="AF1236" s="170">
        <f t="shared" si="194"/>
        <v>0</v>
      </c>
      <c r="AG1236" s="170">
        <f t="shared" si="195"/>
        <v>0</v>
      </c>
      <c r="AH1236" s="28" t="e" cm="1">
        <f t="array" aca="1" ref="AH1236" ca="1">IF((AD1236) &lt; (INDEX(ResponseSLA[#All],(MATCH((G1236),ResponseSLA[Priority],0))+1,3)),"YES","No")</f>
        <v>#N/A</v>
      </c>
      <c r="AI1236" s="28" t="str">
        <f>_xlfn.IFNA(IF(AE1236 &lt; (INDEX(SLATable[Minimum SLA],MATCH(G1236,SLATable[Priority],0))),"YES","NO"),"")</f>
        <v/>
      </c>
      <c r="AJ1236" s="28" t="str">
        <f>_xlfn.IFNA(IF(AE1236 &lt; (INDEX(SLATable[Maximum SLA],MATCH(G1236,SLATable[Priority],0))),"YES","NO"),"")</f>
        <v/>
      </c>
    </row>
    <row r="1237" spans="26:36" ht="15" customHeight="1">
      <c r="Z1237" s="169" t="e">
        <f t="shared" ca="1" si="189"/>
        <v>#N/A</v>
      </c>
      <c r="AA1237" s="170" t="e">
        <f t="shared" ca="1" si="190"/>
        <v>#N/A</v>
      </c>
      <c r="AB1237" s="169">
        <f t="shared" ca="1" si="191"/>
        <v>0</v>
      </c>
      <c r="AC1237" s="170">
        <f t="shared" ca="1" si="192"/>
        <v>0</v>
      </c>
      <c r="AD1237" s="169">
        <f t="shared" ca="1" si="193"/>
        <v>12388.42564085648</v>
      </c>
      <c r="AE1237" s="169">
        <f t="shared" si="196"/>
        <v>0</v>
      </c>
      <c r="AF1237" s="170">
        <f t="shared" si="194"/>
        <v>0</v>
      </c>
      <c r="AG1237" s="170">
        <f t="shared" si="195"/>
        <v>0</v>
      </c>
      <c r="AH1237" s="28" t="e" cm="1">
        <f t="array" aca="1" ref="AH1237" ca="1">IF((AD1237) &lt; (INDEX(ResponseSLA[#All],(MATCH((G1237),ResponseSLA[Priority],0))+1,3)),"YES","No")</f>
        <v>#N/A</v>
      </c>
      <c r="AI1237" s="28" t="str">
        <f>_xlfn.IFNA(IF(AE1237 &lt; (INDEX(SLATable[Minimum SLA],MATCH(G1237,SLATable[Priority],0))),"YES","NO"),"")</f>
        <v/>
      </c>
      <c r="AJ1237" s="28" t="str">
        <f>_xlfn.IFNA(IF(AE1237 &lt; (INDEX(SLATable[Maximum SLA],MATCH(G1237,SLATable[Priority],0))),"YES","NO"),"")</f>
        <v/>
      </c>
    </row>
    <row r="1238" spans="26:36" ht="15" customHeight="1">
      <c r="Z1238" s="169" t="e">
        <f t="shared" ca="1" si="189"/>
        <v>#N/A</v>
      </c>
      <c r="AA1238" s="170" t="e">
        <f t="shared" ca="1" si="190"/>
        <v>#N/A</v>
      </c>
      <c r="AB1238" s="169">
        <f t="shared" ca="1" si="191"/>
        <v>0</v>
      </c>
      <c r="AC1238" s="170">
        <f t="shared" ca="1" si="192"/>
        <v>0</v>
      </c>
      <c r="AD1238" s="169">
        <f t="shared" ca="1" si="193"/>
        <v>12388.42564085648</v>
      </c>
      <c r="AE1238" s="169">
        <f t="shared" si="196"/>
        <v>0</v>
      </c>
      <c r="AF1238" s="170">
        <f t="shared" si="194"/>
        <v>0</v>
      </c>
      <c r="AG1238" s="170">
        <f t="shared" si="195"/>
        <v>0</v>
      </c>
      <c r="AH1238" s="28" t="e" cm="1">
        <f t="array" aca="1" ref="AH1238" ca="1">IF((AD1238) &lt; (INDEX(ResponseSLA[#All],(MATCH((G1238),ResponseSLA[Priority],0))+1,3)),"YES","No")</f>
        <v>#N/A</v>
      </c>
      <c r="AI1238" s="28" t="str">
        <f>_xlfn.IFNA(IF(AE1238 &lt; (INDEX(SLATable[Minimum SLA],MATCH(G1238,SLATable[Priority],0))),"YES","NO"),"")</f>
        <v/>
      </c>
      <c r="AJ1238" s="28" t="str">
        <f>_xlfn.IFNA(IF(AE1238 &lt; (INDEX(SLATable[Maximum SLA],MATCH(G1238,SLATable[Priority],0))),"YES","NO"),"")</f>
        <v/>
      </c>
    </row>
    <row r="1239" spans="26:36" ht="15" customHeight="1">
      <c r="Z1239" s="169" t="e">
        <f t="shared" ca="1" si="189"/>
        <v>#N/A</v>
      </c>
      <c r="AA1239" s="170" t="e">
        <f t="shared" ca="1" si="190"/>
        <v>#N/A</v>
      </c>
      <c r="AB1239" s="169">
        <f t="shared" ca="1" si="191"/>
        <v>0</v>
      </c>
      <c r="AC1239" s="170">
        <f t="shared" ca="1" si="192"/>
        <v>0</v>
      </c>
      <c r="AD1239" s="169">
        <f t="shared" ca="1" si="193"/>
        <v>12388.42564085648</v>
      </c>
      <c r="AE1239" s="169">
        <f t="shared" si="196"/>
        <v>0</v>
      </c>
      <c r="AF1239" s="170">
        <f t="shared" si="194"/>
        <v>0</v>
      </c>
      <c r="AG1239" s="170">
        <f t="shared" si="195"/>
        <v>0</v>
      </c>
      <c r="AH1239" s="28" t="e" cm="1">
        <f t="array" aca="1" ref="AH1239" ca="1">IF((AD1239) &lt; (INDEX(ResponseSLA[#All],(MATCH((G1239),ResponseSLA[Priority],0))+1,3)),"YES","No")</f>
        <v>#N/A</v>
      </c>
      <c r="AI1239" s="28" t="str">
        <f>_xlfn.IFNA(IF(AE1239 &lt; (INDEX(SLATable[Minimum SLA],MATCH(G1239,SLATable[Priority],0))),"YES","NO"),"")</f>
        <v/>
      </c>
      <c r="AJ1239" s="28" t="str">
        <f>_xlfn.IFNA(IF(AE1239 &lt; (INDEX(SLATable[Maximum SLA],MATCH(G1239,SLATable[Priority],0))),"YES","NO"),"")</f>
        <v/>
      </c>
    </row>
    <row r="1240" spans="26:36" ht="15" customHeight="1">
      <c r="Z1240" s="169" t="e">
        <f t="shared" ca="1" si="189"/>
        <v>#N/A</v>
      </c>
      <c r="AA1240" s="170" t="e">
        <f t="shared" ca="1" si="190"/>
        <v>#N/A</v>
      </c>
      <c r="AB1240" s="169">
        <f t="shared" ca="1" si="191"/>
        <v>0</v>
      </c>
      <c r="AC1240" s="170">
        <f t="shared" ca="1" si="192"/>
        <v>0</v>
      </c>
      <c r="AD1240" s="169">
        <f t="shared" ca="1" si="193"/>
        <v>12388.42564085648</v>
      </c>
      <c r="AE1240" s="169">
        <f t="shared" si="196"/>
        <v>0</v>
      </c>
      <c r="AF1240" s="170">
        <f t="shared" si="194"/>
        <v>0</v>
      </c>
      <c r="AG1240" s="170">
        <f t="shared" si="195"/>
        <v>0</v>
      </c>
      <c r="AH1240" s="28" t="e" cm="1">
        <f t="array" aca="1" ref="AH1240" ca="1">IF((AD1240) &lt; (INDEX(ResponseSLA[#All],(MATCH((G1240),ResponseSLA[Priority],0))+1,3)),"YES","No")</f>
        <v>#N/A</v>
      </c>
      <c r="AI1240" s="28" t="str">
        <f>_xlfn.IFNA(IF(AE1240 &lt; (INDEX(SLATable[Minimum SLA],MATCH(G1240,SLATable[Priority],0))),"YES","NO"),"")</f>
        <v/>
      </c>
      <c r="AJ1240" s="28" t="str">
        <f>_xlfn.IFNA(IF(AE1240 &lt; (INDEX(SLATable[Maximum SLA],MATCH(G1240,SLATable[Priority],0))),"YES","NO"),"")</f>
        <v/>
      </c>
    </row>
    <row r="1241" spans="26:36" ht="15" customHeight="1">
      <c r="Z1241" s="169" t="e">
        <f t="shared" ca="1" si="189"/>
        <v>#N/A</v>
      </c>
      <c r="AA1241" s="170" t="e">
        <f t="shared" ca="1" si="190"/>
        <v>#N/A</v>
      </c>
      <c r="AB1241" s="169">
        <f t="shared" ca="1" si="191"/>
        <v>0</v>
      </c>
      <c r="AC1241" s="170">
        <f t="shared" ca="1" si="192"/>
        <v>0</v>
      </c>
      <c r="AD1241" s="169">
        <f t="shared" ca="1" si="193"/>
        <v>12388.42564085648</v>
      </c>
      <c r="AE1241" s="169">
        <f t="shared" si="196"/>
        <v>0</v>
      </c>
      <c r="AF1241" s="170">
        <f t="shared" si="194"/>
        <v>0</v>
      </c>
      <c r="AG1241" s="170">
        <f t="shared" si="195"/>
        <v>0</v>
      </c>
      <c r="AH1241" s="28" t="e" cm="1">
        <f t="array" aca="1" ref="AH1241" ca="1">IF((AD1241) &lt; (INDEX(ResponseSLA[#All],(MATCH((G1241),ResponseSLA[Priority],0))+1,3)),"YES","No")</f>
        <v>#N/A</v>
      </c>
      <c r="AI1241" s="28" t="str">
        <f>_xlfn.IFNA(IF(AE1241 &lt; (INDEX(SLATable[Minimum SLA],MATCH(G1241,SLATable[Priority],0))),"YES","NO"),"")</f>
        <v/>
      </c>
      <c r="AJ1241" s="28" t="str">
        <f>_xlfn.IFNA(IF(AE1241 &lt; (INDEX(SLATable[Maximum SLA],MATCH(G1241,SLATable[Priority],0))),"YES","NO"),"")</f>
        <v/>
      </c>
    </row>
    <row r="1242" spans="26:36" ht="15" customHeight="1">
      <c r="Z1242" s="169" t="e">
        <f t="shared" ca="1" si="189"/>
        <v>#N/A</v>
      </c>
      <c r="AA1242" s="170" t="e">
        <f t="shared" ca="1" si="190"/>
        <v>#N/A</v>
      </c>
      <c r="AB1242" s="169">
        <f t="shared" ca="1" si="191"/>
        <v>0</v>
      </c>
      <c r="AC1242" s="170">
        <f t="shared" ca="1" si="192"/>
        <v>0</v>
      </c>
      <c r="AD1242" s="169">
        <f t="shared" ca="1" si="193"/>
        <v>12388.42564085648</v>
      </c>
      <c r="AE1242" s="169">
        <f t="shared" si="196"/>
        <v>0</v>
      </c>
      <c r="AF1242" s="170">
        <f t="shared" si="194"/>
        <v>0</v>
      </c>
      <c r="AG1242" s="170">
        <f t="shared" si="195"/>
        <v>0</v>
      </c>
      <c r="AH1242" s="28" t="e" cm="1">
        <f t="array" aca="1" ref="AH1242" ca="1">IF((AD1242) &lt; (INDEX(ResponseSLA[#All],(MATCH((G1242),ResponseSLA[Priority],0))+1,3)),"YES","No")</f>
        <v>#N/A</v>
      </c>
      <c r="AI1242" s="28" t="str">
        <f>_xlfn.IFNA(IF(AE1242 &lt; (INDEX(SLATable[Minimum SLA],MATCH(G1242,SLATable[Priority],0))),"YES","NO"),"")</f>
        <v/>
      </c>
      <c r="AJ1242" s="28" t="str">
        <f>_xlfn.IFNA(IF(AE1242 &lt; (INDEX(SLATable[Maximum SLA],MATCH(G1242,SLATable[Priority],0))),"YES","NO"),"")</f>
        <v/>
      </c>
    </row>
    <row r="1243" spans="26:36" ht="15" customHeight="1">
      <c r="Z1243" s="169" t="e">
        <f t="shared" ca="1" si="189"/>
        <v>#N/A</v>
      </c>
      <c r="AA1243" s="170" t="e">
        <f t="shared" ca="1" si="190"/>
        <v>#N/A</v>
      </c>
      <c r="AB1243" s="169">
        <f t="shared" ca="1" si="191"/>
        <v>0</v>
      </c>
      <c r="AC1243" s="170">
        <f t="shared" ca="1" si="192"/>
        <v>0</v>
      </c>
      <c r="AD1243" s="169">
        <f t="shared" ca="1" si="193"/>
        <v>12388.42564085648</v>
      </c>
      <c r="AE1243" s="169">
        <f t="shared" si="196"/>
        <v>0</v>
      </c>
      <c r="AF1243" s="170">
        <f t="shared" si="194"/>
        <v>0</v>
      </c>
      <c r="AG1243" s="170">
        <f t="shared" si="195"/>
        <v>0</v>
      </c>
      <c r="AH1243" s="28" t="e" cm="1">
        <f t="array" aca="1" ref="AH1243" ca="1">IF((AD1243) &lt; (INDEX(ResponseSLA[#All],(MATCH((G1243),ResponseSLA[Priority],0))+1,3)),"YES","No")</f>
        <v>#N/A</v>
      </c>
      <c r="AI1243" s="28" t="str">
        <f>_xlfn.IFNA(IF(AE1243 &lt; (INDEX(SLATable[Minimum SLA],MATCH(G1243,SLATable[Priority],0))),"YES","NO"),"")</f>
        <v/>
      </c>
      <c r="AJ1243" s="28" t="str">
        <f>_xlfn.IFNA(IF(AE1243 &lt; (INDEX(SLATable[Maximum SLA],MATCH(G1243,SLATable[Priority],0))),"YES","NO"),"")</f>
        <v/>
      </c>
    </row>
    <row r="1244" spans="26:36" ht="15" customHeight="1">
      <c r="Z1244" s="169" t="e">
        <f t="shared" ca="1" si="189"/>
        <v>#N/A</v>
      </c>
      <c r="AA1244" s="170" t="e">
        <f t="shared" ca="1" si="190"/>
        <v>#N/A</v>
      </c>
      <c r="AB1244" s="169">
        <f t="shared" ca="1" si="191"/>
        <v>0</v>
      </c>
      <c r="AC1244" s="170">
        <f t="shared" ca="1" si="192"/>
        <v>0</v>
      </c>
      <c r="AD1244" s="169">
        <f t="shared" ca="1" si="193"/>
        <v>12388.42564085648</v>
      </c>
      <c r="AE1244" s="169">
        <f t="shared" si="196"/>
        <v>0</v>
      </c>
      <c r="AF1244" s="170">
        <f t="shared" si="194"/>
        <v>0</v>
      </c>
      <c r="AG1244" s="170">
        <f t="shared" si="195"/>
        <v>0</v>
      </c>
      <c r="AH1244" s="28" t="e" cm="1">
        <f t="array" aca="1" ref="AH1244" ca="1">IF((AD1244) &lt; (INDEX(ResponseSLA[#All],(MATCH((G1244),ResponseSLA[Priority],0))+1,3)),"YES","No")</f>
        <v>#N/A</v>
      </c>
      <c r="AI1244" s="28" t="str">
        <f>_xlfn.IFNA(IF(AE1244 &lt; (INDEX(SLATable[Minimum SLA],MATCH(G1244,SLATable[Priority],0))),"YES","NO"),"")</f>
        <v/>
      </c>
      <c r="AJ1244" s="28" t="str">
        <f>_xlfn.IFNA(IF(AE1244 &lt; (INDEX(SLATable[Maximum SLA],MATCH(G1244,SLATable[Priority],0))),"YES","NO"),"")</f>
        <v/>
      </c>
    </row>
    <row r="1245" spans="26:36" ht="15" customHeight="1">
      <c r="Z1245" s="169" t="e">
        <f t="shared" ca="1" si="189"/>
        <v>#N/A</v>
      </c>
      <c r="AA1245" s="170" t="e">
        <f t="shared" ca="1" si="190"/>
        <v>#N/A</v>
      </c>
      <c r="AB1245" s="169">
        <f t="shared" ca="1" si="191"/>
        <v>0</v>
      </c>
      <c r="AC1245" s="170">
        <f t="shared" ca="1" si="192"/>
        <v>0</v>
      </c>
      <c r="AD1245" s="169">
        <f t="shared" ca="1" si="193"/>
        <v>12388.42564085648</v>
      </c>
      <c r="AE1245" s="169">
        <f t="shared" si="196"/>
        <v>0</v>
      </c>
      <c r="AF1245" s="170">
        <f t="shared" si="194"/>
        <v>0</v>
      </c>
      <c r="AG1245" s="170">
        <f t="shared" si="195"/>
        <v>0</v>
      </c>
      <c r="AH1245" s="28" t="e" cm="1">
        <f t="array" aca="1" ref="AH1245" ca="1">IF((AD1245) &lt; (INDEX(ResponseSLA[#All],(MATCH((G1245),ResponseSLA[Priority],0))+1,3)),"YES","No")</f>
        <v>#N/A</v>
      </c>
      <c r="AI1245" s="28" t="str">
        <f>_xlfn.IFNA(IF(AE1245 &lt; (INDEX(SLATable[Minimum SLA],MATCH(G1245,SLATable[Priority],0))),"YES","NO"),"")</f>
        <v/>
      </c>
      <c r="AJ1245" s="28" t="str">
        <f>_xlfn.IFNA(IF(AE1245 &lt; (INDEX(SLATable[Maximum SLA],MATCH(G1245,SLATable[Priority],0))),"YES","NO"),"")</f>
        <v/>
      </c>
    </row>
    <row r="1246" spans="26:36" ht="15" customHeight="1">
      <c r="Z1246" s="169" t="e">
        <f t="shared" ca="1" si="189"/>
        <v>#N/A</v>
      </c>
      <c r="AA1246" s="170" t="e">
        <f t="shared" ca="1" si="190"/>
        <v>#N/A</v>
      </c>
      <c r="AB1246" s="169">
        <f t="shared" ca="1" si="191"/>
        <v>0</v>
      </c>
      <c r="AC1246" s="170">
        <f t="shared" ca="1" si="192"/>
        <v>0</v>
      </c>
      <c r="AD1246" s="169">
        <f t="shared" ca="1" si="193"/>
        <v>12388.42564085648</v>
      </c>
      <c r="AE1246" s="169">
        <f t="shared" si="196"/>
        <v>0</v>
      </c>
      <c r="AF1246" s="170">
        <f t="shared" si="194"/>
        <v>0</v>
      </c>
      <c r="AG1246" s="170">
        <f t="shared" si="195"/>
        <v>0</v>
      </c>
      <c r="AH1246" s="28" t="e" cm="1">
        <f t="array" aca="1" ref="AH1246" ca="1">IF((AD1246) &lt; (INDEX(ResponseSLA[#All],(MATCH((G1246),ResponseSLA[Priority],0))+1,3)),"YES","No")</f>
        <v>#N/A</v>
      </c>
      <c r="AI1246" s="28" t="str">
        <f>_xlfn.IFNA(IF(AE1246 &lt; (INDEX(SLATable[Minimum SLA],MATCH(G1246,SLATable[Priority],0))),"YES","NO"),"")</f>
        <v/>
      </c>
      <c r="AJ1246" s="28" t="str">
        <f>_xlfn.IFNA(IF(AE1246 &lt; (INDEX(SLATable[Maximum SLA],MATCH(G1246,SLATable[Priority],0))),"YES","NO"),"")</f>
        <v/>
      </c>
    </row>
    <row r="1247" spans="26:36" ht="15" customHeight="1">
      <c r="Z1247" s="169" t="e">
        <f t="shared" ca="1" si="189"/>
        <v>#N/A</v>
      </c>
      <c r="AA1247" s="170" t="e">
        <f t="shared" ca="1" si="190"/>
        <v>#N/A</v>
      </c>
      <c r="AB1247" s="169">
        <f t="shared" ca="1" si="191"/>
        <v>0</v>
      </c>
      <c r="AC1247" s="170">
        <f t="shared" ca="1" si="192"/>
        <v>0</v>
      </c>
      <c r="AD1247" s="169">
        <f t="shared" ca="1" si="193"/>
        <v>12388.42564085648</v>
      </c>
      <c r="AE1247" s="169">
        <f t="shared" si="196"/>
        <v>0</v>
      </c>
      <c r="AF1247" s="170">
        <f t="shared" si="194"/>
        <v>0</v>
      </c>
      <c r="AG1247" s="170">
        <f t="shared" si="195"/>
        <v>0</v>
      </c>
      <c r="AH1247" s="28" t="e" cm="1">
        <f t="array" aca="1" ref="AH1247" ca="1">IF((AD1247) &lt; (INDEX(ResponseSLA[#All],(MATCH((G1247),ResponseSLA[Priority],0))+1,3)),"YES","No")</f>
        <v>#N/A</v>
      </c>
      <c r="AI1247" s="28" t="str">
        <f>_xlfn.IFNA(IF(AE1247 &lt; (INDEX(SLATable[Minimum SLA],MATCH(G1247,SLATable[Priority],0))),"YES","NO"),"")</f>
        <v/>
      </c>
      <c r="AJ1247" s="28" t="str">
        <f>_xlfn.IFNA(IF(AE1247 &lt; (INDEX(SLATable[Maximum SLA],MATCH(G1247,SLATable[Priority],0))),"YES","NO"),"")</f>
        <v/>
      </c>
    </row>
    <row r="1248" spans="26:36" ht="15" customHeight="1">
      <c r="Z1248" s="169" t="e">
        <f t="shared" ca="1" si="189"/>
        <v>#N/A</v>
      </c>
      <c r="AA1248" s="170" t="e">
        <f t="shared" ca="1" si="190"/>
        <v>#N/A</v>
      </c>
      <c r="AB1248" s="169">
        <f t="shared" ca="1" si="191"/>
        <v>0</v>
      </c>
      <c r="AC1248" s="170">
        <f t="shared" ca="1" si="192"/>
        <v>0</v>
      </c>
      <c r="AD1248" s="169">
        <f t="shared" ca="1" si="193"/>
        <v>12388.42564085648</v>
      </c>
      <c r="AE1248" s="169">
        <f t="shared" si="196"/>
        <v>0</v>
      </c>
      <c r="AF1248" s="170">
        <f t="shared" si="194"/>
        <v>0</v>
      </c>
      <c r="AG1248" s="170">
        <f t="shared" si="195"/>
        <v>0</v>
      </c>
      <c r="AH1248" s="28" t="e" cm="1">
        <f t="array" aca="1" ref="AH1248" ca="1">IF((AD1248) &lt; (INDEX(ResponseSLA[#All],(MATCH((G1248),ResponseSLA[Priority],0))+1,3)),"YES","No")</f>
        <v>#N/A</v>
      </c>
      <c r="AI1248" s="28" t="str">
        <f>_xlfn.IFNA(IF(AE1248 &lt; (INDEX(SLATable[Minimum SLA],MATCH(G1248,SLATable[Priority],0))),"YES","NO"),"")</f>
        <v/>
      </c>
      <c r="AJ1248" s="28" t="str">
        <f>_xlfn.IFNA(IF(AE1248 &lt; (INDEX(SLATable[Maximum SLA],MATCH(G1248,SLATable[Priority],0))),"YES","NO"),"")</f>
        <v/>
      </c>
    </row>
    <row r="1249" spans="26:36" ht="15" customHeight="1">
      <c r="Z1249" s="169" t="e">
        <f t="shared" ca="1" si="189"/>
        <v>#N/A</v>
      </c>
      <c r="AA1249" s="170" t="e">
        <f t="shared" ca="1" si="190"/>
        <v>#N/A</v>
      </c>
      <c r="AB1249" s="169">
        <f t="shared" ca="1" si="191"/>
        <v>0</v>
      </c>
      <c r="AC1249" s="170">
        <f t="shared" ca="1" si="192"/>
        <v>0</v>
      </c>
      <c r="AD1249" s="169">
        <f t="shared" ca="1" si="193"/>
        <v>12388.42564085648</v>
      </c>
      <c r="AE1249" s="169">
        <f t="shared" si="196"/>
        <v>0</v>
      </c>
      <c r="AF1249" s="170">
        <f t="shared" si="194"/>
        <v>0</v>
      </c>
      <c r="AG1249" s="170">
        <f t="shared" si="195"/>
        <v>0</v>
      </c>
      <c r="AH1249" s="28" t="e" cm="1">
        <f t="array" aca="1" ref="AH1249" ca="1">IF((AD1249) &lt; (INDEX(ResponseSLA[#All],(MATCH((G1249),ResponseSLA[Priority],0))+1,3)),"YES","No")</f>
        <v>#N/A</v>
      </c>
      <c r="AI1249" s="28" t="str">
        <f>_xlfn.IFNA(IF(AE1249 &lt; (INDEX(SLATable[Minimum SLA],MATCH(G1249,SLATable[Priority],0))),"YES","NO"),"")</f>
        <v/>
      </c>
      <c r="AJ1249" s="28" t="str">
        <f>_xlfn.IFNA(IF(AE1249 &lt; (INDEX(SLATable[Maximum SLA],MATCH(G1249,SLATable[Priority],0))),"YES","NO"),"")</f>
        <v/>
      </c>
    </row>
    <row r="1250" spans="26:36" ht="15" customHeight="1">
      <c r="Z1250" s="169" t="e">
        <f t="shared" ca="1" si="189"/>
        <v>#N/A</v>
      </c>
      <c r="AA1250" s="170" t="e">
        <f t="shared" ca="1" si="190"/>
        <v>#N/A</v>
      </c>
      <c r="AB1250" s="169">
        <f t="shared" ca="1" si="191"/>
        <v>0</v>
      </c>
      <c r="AC1250" s="170">
        <f t="shared" ca="1" si="192"/>
        <v>0</v>
      </c>
      <c r="AD1250" s="169">
        <f t="shared" ca="1" si="193"/>
        <v>12388.42564085648</v>
      </c>
      <c r="AE1250" s="169">
        <f t="shared" si="196"/>
        <v>0</v>
      </c>
      <c r="AF1250" s="170">
        <f t="shared" si="194"/>
        <v>0</v>
      </c>
      <c r="AG1250" s="170">
        <f t="shared" si="195"/>
        <v>0</v>
      </c>
      <c r="AH1250" s="28" t="e" cm="1">
        <f t="array" aca="1" ref="AH1250" ca="1">IF((AD1250) &lt; (INDEX(ResponseSLA[#All],(MATCH((G1250),ResponseSLA[Priority],0))+1,3)),"YES","No")</f>
        <v>#N/A</v>
      </c>
      <c r="AI1250" s="28" t="str">
        <f>_xlfn.IFNA(IF(AE1250 &lt; (INDEX(SLATable[Minimum SLA],MATCH(G1250,SLATable[Priority],0))),"YES","NO"),"")</f>
        <v/>
      </c>
      <c r="AJ1250" s="28" t="str">
        <f>_xlfn.IFNA(IF(AE1250 &lt; (INDEX(SLATable[Maximum SLA],MATCH(G1250,SLATable[Priority],0))),"YES","NO"),"")</f>
        <v/>
      </c>
    </row>
    <row r="1251" spans="26:36" ht="15" customHeight="1">
      <c r="Z1251" s="169" t="e">
        <f t="shared" ca="1" si="189"/>
        <v>#N/A</v>
      </c>
      <c r="AA1251" s="170" t="e">
        <f t="shared" ca="1" si="190"/>
        <v>#N/A</v>
      </c>
      <c r="AB1251" s="169">
        <f t="shared" ca="1" si="191"/>
        <v>0</v>
      </c>
      <c r="AC1251" s="170">
        <f t="shared" ca="1" si="192"/>
        <v>0</v>
      </c>
      <c r="AD1251" s="169">
        <f t="shared" ca="1" si="193"/>
        <v>12388.42564085648</v>
      </c>
      <c r="AE1251" s="169">
        <f t="shared" si="196"/>
        <v>0</v>
      </c>
      <c r="AF1251" s="170">
        <f t="shared" si="194"/>
        <v>0</v>
      </c>
      <c r="AG1251" s="170">
        <f t="shared" si="195"/>
        <v>0</v>
      </c>
      <c r="AH1251" s="28" t="e" cm="1">
        <f t="array" aca="1" ref="AH1251" ca="1">IF((AD1251) &lt; (INDEX(ResponseSLA[#All],(MATCH((G1251),ResponseSLA[Priority],0))+1,3)),"YES","No")</f>
        <v>#N/A</v>
      </c>
      <c r="AI1251" s="28" t="str">
        <f>_xlfn.IFNA(IF(AE1251 &lt; (INDEX(SLATable[Minimum SLA],MATCH(G1251,SLATable[Priority],0))),"YES","NO"),"")</f>
        <v/>
      </c>
      <c r="AJ1251" s="28" t="str">
        <f>_xlfn.IFNA(IF(AE1251 &lt; (INDEX(SLATable[Maximum SLA],MATCH(G1251,SLATable[Priority],0))),"YES","NO"),"")</f>
        <v/>
      </c>
    </row>
    <row r="1252" spans="26:36" ht="15" customHeight="1">
      <c r="Z1252" s="169" t="e">
        <f t="shared" ca="1" si="189"/>
        <v>#N/A</v>
      </c>
      <c r="AA1252" s="170" t="e">
        <f t="shared" ca="1" si="190"/>
        <v>#N/A</v>
      </c>
      <c r="AB1252" s="169">
        <f t="shared" ca="1" si="191"/>
        <v>0</v>
      </c>
      <c r="AC1252" s="170">
        <f t="shared" ca="1" si="192"/>
        <v>0</v>
      </c>
      <c r="AD1252" s="169">
        <f t="shared" ca="1" si="193"/>
        <v>12388.42564085648</v>
      </c>
      <c r="AE1252" s="169">
        <f t="shared" si="196"/>
        <v>0</v>
      </c>
      <c r="AF1252" s="170">
        <f t="shared" si="194"/>
        <v>0</v>
      </c>
      <c r="AG1252" s="170">
        <f t="shared" si="195"/>
        <v>0</v>
      </c>
      <c r="AH1252" s="28" t="e" cm="1">
        <f t="array" aca="1" ref="AH1252" ca="1">IF((AD1252) &lt; (INDEX(ResponseSLA[#All],(MATCH((G1252),ResponseSLA[Priority],0))+1,3)),"YES","No")</f>
        <v>#N/A</v>
      </c>
      <c r="AI1252" s="28" t="str">
        <f>_xlfn.IFNA(IF(AE1252 &lt; (INDEX(SLATable[Minimum SLA],MATCH(G1252,SLATable[Priority],0))),"YES","NO"),"")</f>
        <v/>
      </c>
      <c r="AJ1252" s="28" t="str">
        <f>_xlfn.IFNA(IF(AE1252 &lt; (INDEX(SLATable[Maximum SLA],MATCH(G1252,SLATable[Priority],0))),"YES","NO"),"")</f>
        <v/>
      </c>
    </row>
    <row r="1253" spans="26:36" ht="15" customHeight="1">
      <c r="Z1253" s="169" t="e">
        <f t="shared" ca="1" si="189"/>
        <v>#N/A</v>
      </c>
      <c r="AA1253" s="170" t="e">
        <f t="shared" ca="1" si="190"/>
        <v>#N/A</v>
      </c>
      <c r="AB1253" s="169">
        <f t="shared" ca="1" si="191"/>
        <v>0</v>
      </c>
      <c r="AC1253" s="170">
        <f t="shared" ca="1" si="192"/>
        <v>0</v>
      </c>
      <c r="AD1253" s="169">
        <f t="shared" ca="1" si="193"/>
        <v>12388.42564085648</v>
      </c>
      <c r="AE1253" s="169">
        <f t="shared" si="196"/>
        <v>0</v>
      </c>
      <c r="AF1253" s="170">
        <f t="shared" si="194"/>
        <v>0</v>
      </c>
      <c r="AG1253" s="170">
        <f t="shared" si="195"/>
        <v>0</v>
      </c>
      <c r="AH1253" s="28" t="e" cm="1">
        <f t="array" aca="1" ref="AH1253" ca="1">IF((AD1253) &lt; (INDEX(ResponseSLA[#All],(MATCH((G1253),ResponseSLA[Priority],0))+1,3)),"YES","No")</f>
        <v>#N/A</v>
      </c>
      <c r="AI1253" s="28" t="str">
        <f>_xlfn.IFNA(IF(AE1253 &lt; (INDEX(SLATable[Minimum SLA],MATCH(G1253,SLATable[Priority],0))),"YES","NO"),"")</f>
        <v/>
      </c>
      <c r="AJ1253" s="28" t="str">
        <f>_xlfn.IFNA(IF(AE1253 &lt; (INDEX(SLATable[Maximum SLA],MATCH(G1253,SLATable[Priority],0))),"YES","NO"),"")</f>
        <v/>
      </c>
    </row>
    <row r="1254" spans="26:36" ht="15" customHeight="1">
      <c r="Z1254" s="169" t="e">
        <f t="shared" ca="1" si="189"/>
        <v>#N/A</v>
      </c>
      <c r="AA1254" s="170" t="e">
        <f t="shared" ca="1" si="190"/>
        <v>#N/A</v>
      </c>
      <c r="AB1254" s="169">
        <f t="shared" ca="1" si="191"/>
        <v>0</v>
      </c>
      <c r="AC1254" s="170">
        <f t="shared" ca="1" si="192"/>
        <v>0</v>
      </c>
      <c r="AD1254" s="169">
        <f t="shared" ca="1" si="193"/>
        <v>12388.42564085648</v>
      </c>
      <c r="AE1254" s="169">
        <f t="shared" si="196"/>
        <v>0</v>
      </c>
      <c r="AF1254" s="170">
        <f t="shared" si="194"/>
        <v>0</v>
      </c>
      <c r="AG1254" s="170">
        <f t="shared" si="195"/>
        <v>0</v>
      </c>
      <c r="AH1254" s="28" t="e" cm="1">
        <f t="array" aca="1" ref="AH1254" ca="1">IF((AD1254) &lt; (INDEX(ResponseSLA[#All],(MATCH((G1254),ResponseSLA[Priority],0))+1,3)),"YES","No")</f>
        <v>#N/A</v>
      </c>
      <c r="AI1254" s="28" t="str">
        <f>_xlfn.IFNA(IF(AE1254 &lt; (INDEX(SLATable[Minimum SLA],MATCH(G1254,SLATable[Priority],0))),"YES","NO"),"")</f>
        <v/>
      </c>
      <c r="AJ1254" s="28" t="str">
        <f>_xlfn.IFNA(IF(AE1254 &lt; (INDEX(SLATable[Maximum SLA],MATCH(G1254,SLATable[Priority],0))),"YES","NO"),"")</f>
        <v/>
      </c>
    </row>
    <row r="1255" spans="26:36" ht="15" customHeight="1">
      <c r="Z1255" s="169" t="e">
        <f t="shared" ca="1" si="189"/>
        <v>#N/A</v>
      </c>
      <c r="AA1255" s="170" t="e">
        <f t="shared" ca="1" si="190"/>
        <v>#N/A</v>
      </c>
      <c r="AB1255" s="169">
        <f t="shared" ca="1" si="191"/>
        <v>0</v>
      </c>
      <c r="AC1255" s="170">
        <f t="shared" ca="1" si="192"/>
        <v>0</v>
      </c>
      <c r="AD1255" s="169">
        <f t="shared" ca="1" si="193"/>
        <v>12388.42564085648</v>
      </c>
      <c r="AE1255" s="169">
        <f t="shared" si="196"/>
        <v>0</v>
      </c>
      <c r="AF1255" s="170">
        <f t="shared" si="194"/>
        <v>0</v>
      </c>
      <c r="AG1255" s="170">
        <f t="shared" si="195"/>
        <v>0</v>
      </c>
      <c r="AH1255" s="28" t="e" cm="1">
        <f t="array" aca="1" ref="AH1255" ca="1">IF((AD1255) &lt; (INDEX(ResponseSLA[#All],(MATCH((G1255),ResponseSLA[Priority],0))+1,3)),"YES","No")</f>
        <v>#N/A</v>
      </c>
      <c r="AI1255" s="28" t="str">
        <f>_xlfn.IFNA(IF(AE1255 &lt; (INDEX(SLATable[Minimum SLA],MATCH(G1255,SLATable[Priority],0))),"YES","NO"),"")</f>
        <v/>
      </c>
      <c r="AJ1255" s="28" t="str">
        <f>_xlfn.IFNA(IF(AE1255 &lt; (INDEX(SLATable[Maximum SLA],MATCH(G1255,SLATable[Priority],0))),"YES","NO"),"")</f>
        <v/>
      </c>
    </row>
    <row r="1256" spans="26:36" ht="15" customHeight="1">
      <c r="Z1256" s="169" t="e">
        <f t="shared" ca="1" si="189"/>
        <v>#N/A</v>
      </c>
      <c r="AA1256" s="170" t="e">
        <f t="shared" ca="1" si="190"/>
        <v>#N/A</v>
      </c>
      <c r="AB1256" s="169">
        <f t="shared" ca="1" si="191"/>
        <v>0</v>
      </c>
      <c r="AC1256" s="170">
        <f t="shared" ca="1" si="192"/>
        <v>0</v>
      </c>
      <c r="AD1256" s="169">
        <f t="shared" ca="1" si="193"/>
        <v>12388.42564085648</v>
      </c>
      <c r="AE1256" s="169">
        <f t="shared" si="196"/>
        <v>0</v>
      </c>
      <c r="AF1256" s="170">
        <f t="shared" si="194"/>
        <v>0</v>
      </c>
      <c r="AG1256" s="170">
        <f t="shared" si="195"/>
        <v>0</v>
      </c>
      <c r="AH1256" s="28" t="e" cm="1">
        <f t="array" aca="1" ref="AH1256" ca="1">IF((AD1256) &lt; (INDEX(ResponseSLA[#All],(MATCH((G1256),ResponseSLA[Priority],0))+1,3)),"YES","No")</f>
        <v>#N/A</v>
      </c>
      <c r="AI1256" s="28" t="str">
        <f>_xlfn.IFNA(IF(AE1256 &lt; (INDEX(SLATable[Minimum SLA],MATCH(G1256,SLATable[Priority],0))),"YES","NO"),"")</f>
        <v/>
      </c>
      <c r="AJ1256" s="28" t="str">
        <f>_xlfn.IFNA(IF(AE1256 &lt; (INDEX(SLATable[Maximum SLA],MATCH(G1256,SLATable[Priority],0))),"YES","NO"),"")</f>
        <v/>
      </c>
    </row>
    <row r="1257" spans="26:36" ht="15" customHeight="1">
      <c r="Z1257" s="169" t="e">
        <f t="shared" ca="1" si="189"/>
        <v>#N/A</v>
      </c>
      <c r="AA1257" s="170" t="e">
        <f t="shared" ca="1" si="190"/>
        <v>#N/A</v>
      </c>
      <c r="AB1257" s="169">
        <f t="shared" ca="1" si="191"/>
        <v>0</v>
      </c>
      <c r="AC1257" s="170">
        <f t="shared" ca="1" si="192"/>
        <v>0</v>
      </c>
      <c r="AD1257" s="169">
        <f t="shared" ca="1" si="193"/>
        <v>12388.42564085648</v>
      </c>
      <c r="AE1257" s="169">
        <f t="shared" si="196"/>
        <v>0</v>
      </c>
      <c r="AF1257" s="170">
        <f t="shared" si="194"/>
        <v>0</v>
      </c>
      <c r="AG1257" s="170">
        <f t="shared" si="195"/>
        <v>0</v>
      </c>
      <c r="AH1257" s="28" t="e" cm="1">
        <f t="array" aca="1" ref="AH1257" ca="1">IF((AD1257) &lt; (INDEX(ResponseSLA[#All],(MATCH((G1257),ResponseSLA[Priority],0))+1,3)),"YES","No")</f>
        <v>#N/A</v>
      </c>
      <c r="AI1257" s="28" t="str">
        <f>_xlfn.IFNA(IF(AE1257 &lt; (INDEX(SLATable[Minimum SLA],MATCH(G1257,SLATable[Priority],0))),"YES","NO"),"")</f>
        <v/>
      </c>
      <c r="AJ1257" s="28" t="str">
        <f>_xlfn.IFNA(IF(AE1257 &lt; (INDEX(SLATable[Maximum SLA],MATCH(G1257,SLATable[Priority],0))),"YES","NO"),"")</f>
        <v/>
      </c>
    </row>
    <row r="1258" spans="26:36" ht="15" customHeight="1">
      <c r="Z1258" s="169" t="e">
        <f t="shared" ca="1" si="189"/>
        <v>#N/A</v>
      </c>
      <c r="AA1258" s="170" t="e">
        <f t="shared" ca="1" si="190"/>
        <v>#N/A</v>
      </c>
      <c r="AB1258" s="169">
        <f t="shared" ca="1" si="191"/>
        <v>0</v>
      </c>
      <c r="AC1258" s="170">
        <f t="shared" ca="1" si="192"/>
        <v>0</v>
      </c>
      <c r="AD1258" s="169">
        <f t="shared" ca="1" si="193"/>
        <v>12388.42564085648</v>
      </c>
      <c r="AE1258" s="169">
        <f t="shared" si="196"/>
        <v>0</v>
      </c>
      <c r="AF1258" s="170">
        <f t="shared" si="194"/>
        <v>0</v>
      </c>
      <c r="AG1258" s="170">
        <f t="shared" si="195"/>
        <v>0</v>
      </c>
      <c r="AH1258" s="28" t="e" cm="1">
        <f t="array" aca="1" ref="AH1258" ca="1">IF((AD1258) &lt; (INDEX(ResponseSLA[#All],(MATCH((G1258),ResponseSLA[Priority],0))+1,3)),"YES","No")</f>
        <v>#N/A</v>
      </c>
      <c r="AI1258" s="28" t="str">
        <f>_xlfn.IFNA(IF(AE1258 &lt; (INDEX(SLATable[Minimum SLA],MATCH(G1258,SLATable[Priority],0))),"YES","NO"),"")</f>
        <v/>
      </c>
      <c r="AJ1258" s="28" t="str">
        <f>_xlfn.IFNA(IF(AE1258 &lt; (INDEX(SLATable[Maximum SLA],MATCH(G1258,SLATable[Priority],0))),"YES","NO"),"")</f>
        <v/>
      </c>
    </row>
    <row r="1259" spans="26:36" ht="15" customHeight="1">
      <c r="Z1259" s="169" t="e">
        <f t="shared" ca="1" si="189"/>
        <v>#N/A</v>
      </c>
      <c r="AA1259" s="170" t="e">
        <f t="shared" ca="1" si="190"/>
        <v>#N/A</v>
      </c>
      <c r="AB1259" s="169">
        <f t="shared" ca="1" si="191"/>
        <v>0</v>
      </c>
      <c r="AC1259" s="170">
        <f t="shared" ca="1" si="192"/>
        <v>0</v>
      </c>
      <c r="AD1259" s="169">
        <f t="shared" ca="1" si="193"/>
        <v>12388.42564085648</v>
      </c>
      <c r="AE1259" s="169">
        <f t="shared" si="196"/>
        <v>0</v>
      </c>
      <c r="AF1259" s="170">
        <f t="shared" si="194"/>
        <v>0</v>
      </c>
      <c r="AG1259" s="170">
        <f t="shared" si="195"/>
        <v>0</v>
      </c>
      <c r="AH1259" s="28" t="e" cm="1">
        <f t="array" aca="1" ref="AH1259" ca="1">IF((AD1259) &lt; (INDEX(ResponseSLA[#All],(MATCH((G1259),ResponseSLA[Priority],0))+1,3)),"YES","No")</f>
        <v>#N/A</v>
      </c>
      <c r="AI1259" s="28" t="str">
        <f>_xlfn.IFNA(IF(AE1259 &lt; (INDEX(SLATable[Minimum SLA],MATCH(G1259,SLATable[Priority],0))),"YES","NO"),"")</f>
        <v/>
      </c>
      <c r="AJ1259" s="28" t="str">
        <f>_xlfn.IFNA(IF(AE1259 &lt; (INDEX(SLATable[Maximum SLA],MATCH(G1259,SLATable[Priority],0))),"YES","NO"),"")</f>
        <v/>
      </c>
    </row>
    <row r="1260" spans="26:36" ht="15" customHeight="1">
      <c r="Z1260" s="169" t="e">
        <f t="shared" ref="Z1260:Z1323" ca="1" si="197">IF(NOT(OR(G1260=1,G1260=2)),MAX(0,_xlfn.IFS(AND(K1260&lt;&gt;"",N1260&lt;&gt;""),((MAX(NETWORKDAYS(K1260,N1260,UKBankHolidays)-1,0))*(TIME(17,0,0)-TIME(8,0,0))+IF(NETWORKDAYS(N1260,N1260,UKBankHolidays)&gt;0,MEDIAN(TIME(8,0,0),MOD(N1260,1),TIME(17,0,0)),TIME(8,0,0))-IF(NETWORKDAYS(K1260,K1260,UKBankHolidays)&gt;0,MEDIAN(TIME(8,0,0),MOD(K1260,1),TIME(17,0,0)),TIME(8,0,0)))-IF(AND(O1260&lt;&gt;"",P1260&lt;&gt;""),((MAX(NETWORKDAYS(O1260,P1260,UKBankHolidays)-1,0))*(TIME(17,0,0)-TIME(8,0,0))+IF(NETWORKDAYS(P1260,P1260,UKBankHolidays)&gt;0,MEDIAN(TIME(8,0,0),MOD(P1260,1),TIME(17,0,0)),TIME(8,0,0))-IF(NETWORKDAYS(O1260,O1260,UKBankHolidays)&gt;0,MEDIAN(TIME(8,0,0),MOD(O1260,1),TIME(17,0,0)),TIME(8,0,0))),0),AND(K1260&lt;&gt;"",N1260=""),((MAX(NETWORKDAYS(K1260,NOW(),UKBankHolidays)-1,0))*(TIME(17,0,0)-TIME(8,0,0))+IF(NETWORKDAYS(NOW(),NOW(),UKBankHolidays)&gt;0,MEDIAN(TIME(8,0,0),MOD(NOW(),1),TIME(17,0,0)),TIME(8,0,0))-IF(NETWORKDAYS(K1260,K1260,UKBankHolidays)&gt;0,MEDIAN(TIME(8,0,0),MOD(K1260,1),TIME(17,0,0)),TIME(8,0,0))))),IF(N1260="",NOW()-K1260,N1260-K1260))</f>
        <v>#N/A</v>
      </c>
      <c r="AA1260" s="170" t="e">
        <f t="shared" ref="AA1260:AA1323" ca="1" si="198">(Z1260*24)/9</f>
        <v>#N/A</v>
      </c>
      <c r="AB1260" s="169">
        <f t="shared" ref="AB1260:AB1323" ca="1" si="199">IF(NOT(OR(G1260=1,G1260=2)),MAX(0,_xlfn.IFS(AND(K1260&lt;&gt;"",N1260&lt;&gt;""),(((MAX(NETWORKDAYS(L1260,N1260,UKBankHolidays)-1,0))*(TIME(17,0,0)-TIME(8,0,0)))+IF(NETWORKDAYS(N1260,N1260,UKBankHolidays)&gt;0,MEDIAN(TIME(8,0,0),MOD(N1260,1),TIME(17,0,0)),TIME(8,0,0))-IF(NETWORKDAYS(L1260,L1260,UKBankHolidays)&gt;0,MEDIAN(TIME(8,0,0),MOD(L1260,1),TIME(17,0,0)),TIME(8,0,0)))-IF(AND(O1260&lt;&gt;"",P1260&lt;&gt;""),(((MAX(NETWORKDAYS(O1260,P1260,UKBankHolidays)-1,0))*(TIME(17,0,0)-TIME(8,0,0)))+IF(NETWORKDAYS(P1260,P1260,UKBankHolidays)&gt;0,MEDIAN(TIME(8,0,0),MOD(P1260,1),TIME(17,0,0)),TIME(8,0,0))-IF(NETWORKDAYS(O1260,O1260,UKBankHolidays)&gt;0,MEDIAN(TIME(8,0,0),MOD(O1260,1),TIME(17,0,0)),TIME(8,0,0))),0),AND(L1260&lt;&gt;"",N1260="",O1260=""),(((MAX(NETWORKDAYS(L1260,NOW(),UKBankHolidays)-1,0))*(TIME(17,0,0)-TIME(8,0,0)))+IF(NETWORKDAYS(NOW(),NOW(),UKBankHolidays)&gt;0,MEDIAN(TIME(8,0,0),MOD(NOW(),1),TIME(17,0,0)),TIME(8,0,0))-IF(NETWORKDAYS(L1260,L1260,UKBankHolidays)&gt;0,MEDIAN(TIME(8,0,0),MOD(L1260,1),TIME(17,0,0)),TIME(8,0,0)))-IF(AND(O1260&lt;&gt;"",P1260&lt;&gt;""),(((MAX(NETWORKDAYS(O1260,P1260,UKBankHolidays)-1,0))*(TIME(17,0,0)-TIME(8,0,0)))+IF(NETWORKDAYS(P1260,P1260,UKBankHolidays)&gt;0,MEDIAN(TIME(8,0,0),MOD(P1260,1),TIME(17,0,0)),TIME(8,0,0))-IF(NETWORKDAYS(O1260,O1260,UKBankHolidays)&gt;0,MEDIAN(TIME(8,0,0),MOD(O1260,1),TIME(17,0,0)),TIME(8,0,0))),0),AND(L1260&lt;&gt;"",N1260="",P1260="",O1260&lt;&gt;""),(((MAX(NETWORKDAYS(L1260,O1260,UKBankHolidays)-1,0))*(TIME(17,0,0)-TIME(8,0,0)))+IF(NETWORKDAYS(O1260,O1260,UKBankHolidays)&gt;0,MEDIAN(TIME(8,0,0),MOD(O1260,1),TIME(17,0,0)),TIME(8,0,0))-IF(NETWORKDAYS(L1260,L1260,UKBankHolidays)&gt;0,MEDIAN(TIME(8,0,0),MOD(L1260,1),TIME(17,0,0)),TIME(8,0,0))),ISBLANK(K1260),"0")),IF(ISBLANK(N1260),NOW()-L1260,N1260-L1260))</f>
        <v>0</v>
      </c>
      <c r="AC1260" s="170">
        <f t="shared" ref="AC1260:AC1323" ca="1" si="200">(AB1260*24)/9</f>
        <v>0</v>
      </c>
      <c r="AD1260" s="169">
        <f t="shared" ref="AD1260:AD1323" ca="1" si="201">MAX(0,IF(NOT(OR(G1260=1,G1260=2)),IF(M1260&lt;&gt;"",((MAX(NETWORKDAYS(L1260,M1260,UKBankHolidays)-1,0))*(TIME(17,0,0)-TIME(8,0,0))+IF(NETWORKDAYS(M1260,M1260,UKBankHolidays)&gt;0,MEDIAN(TIME(8,0,0),MOD(M1260,1),TIME(17,0,0)),TIME(8,0,0))-MEDIAN(TIME(8,0,0),MOD(L1260,1),TIME(17,0,0))),((MAX(NETWORKDAYS(L1260,NOW(),UKBankHolidays)-1,0))*(TIME(17,0,0)-TIME(8,0,0))+IF(NETWORKDAYS(NOW(),NOW(),UKBankHolidays)&gt;0,MEDIAN(TIME(8,0,0),MOD(NOW(),1),TIME(17,0,0)),TIME(8,0,0))-MEDIAN(TIME(8,0,0),MOD(L1260,1),TIME(17,0,0)))),IF(M1260&lt;&gt;"",M1260-L1260,NOW()-L1260)))</f>
        <v>12388.42564085648</v>
      </c>
      <c r="AE1260" s="169">
        <f t="shared" si="196"/>
        <v>0</v>
      </c>
      <c r="AF1260" s="170">
        <f t="shared" ref="AF1260:AF1323" si="202">(AE1260*24)/9</f>
        <v>0</v>
      </c>
      <c r="AG1260" s="170">
        <f t="shared" ref="AG1260:AG1323" si="203">AF1260</f>
        <v>0</v>
      </c>
      <c r="AH1260" s="28" t="e" cm="1">
        <f t="array" aca="1" ref="AH1260" ca="1">IF((AD1260) &lt; (INDEX(ResponseSLA[#All],(MATCH((G1260),ResponseSLA[Priority],0))+1,3)),"YES","No")</f>
        <v>#N/A</v>
      </c>
      <c r="AI1260" s="28" t="str">
        <f>_xlfn.IFNA(IF(AE1260 &lt; (INDEX(SLATable[Minimum SLA],MATCH(G1260,SLATable[Priority],0))),"YES","NO"),"")</f>
        <v/>
      </c>
      <c r="AJ1260" s="28" t="str">
        <f>_xlfn.IFNA(IF(AE1260 &lt; (INDEX(SLATable[Maximum SLA],MATCH(G1260,SLATable[Priority],0))),"YES","NO"),"")</f>
        <v/>
      </c>
    </row>
    <row r="1261" spans="26:36" ht="15" customHeight="1">
      <c r="Z1261" s="169" t="e">
        <f t="shared" ca="1" si="197"/>
        <v>#N/A</v>
      </c>
      <c r="AA1261" s="170" t="e">
        <f t="shared" ca="1" si="198"/>
        <v>#N/A</v>
      </c>
      <c r="AB1261" s="169">
        <f t="shared" ca="1" si="199"/>
        <v>0</v>
      </c>
      <c r="AC1261" s="170">
        <f t="shared" ca="1" si="200"/>
        <v>0</v>
      </c>
      <c r="AD1261" s="169">
        <f t="shared" ca="1" si="201"/>
        <v>12388.42564085648</v>
      </c>
      <c r="AE1261" s="169">
        <f t="shared" si="196"/>
        <v>0</v>
      </c>
      <c r="AF1261" s="170">
        <f t="shared" si="202"/>
        <v>0</v>
      </c>
      <c r="AG1261" s="170">
        <f t="shared" si="203"/>
        <v>0</v>
      </c>
      <c r="AH1261" s="28" t="e" cm="1">
        <f t="array" aca="1" ref="AH1261" ca="1">IF((AD1261) &lt; (INDEX(ResponseSLA[#All],(MATCH((G1261),ResponseSLA[Priority],0))+1,3)),"YES","No")</f>
        <v>#N/A</v>
      </c>
      <c r="AI1261" s="28" t="str">
        <f>_xlfn.IFNA(IF(AE1261 &lt; (INDEX(SLATable[Minimum SLA],MATCH(G1261,SLATable[Priority],0))),"YES","NO"),"")</f>
        <v/>
      </c>
      <c r="AJ1261" s="28" t="str">
        <f>_xlfn.IFNA(IF(AE1261 &lt; (INDEX(SLATable[Maximum SLA],MATCH(G1261,SLATable[Priority],0))),"YES","NO"),"")</f>
        <v/>
      </c>
    </row>
    <row r="1262" spans="26:36" ht="15" customHeight="1">
      <c r="Z1262" s="169" t="e">
        <f t="shared" ca="1" si="197"/>
        <v>#N/A</v>
      </c>
      <c r="AA1262" s="170" t="e">
        <f t="shared" ca="1" si="198"/>
        <v>#N/A</v>
      </c>
      <c r="AB1262" s="169">
        <f t="shared" ca="1" si="199"/>
        <v>0</v>
      </c>
      <c r="AC1262" s="170">
        <f t="shared" ca="1" si="200"/>
        <v>0</v>
      </c>
      <c r="AD1262" s="169">
        <f t="shared" ca="1" si="201"/>
        <v>12388.42564085648</v>
      </c>
      <c r="AE1262" s="169">
        <f t="shared" si="196"/>
        <v>0</v>
      </c>
      <c r="AF1262" s="170">
        <f t="shared" si="202"/>
        <v>0</v>
      </c>
      <c r="AG1262" s="170">
        <f t="shared" si="203"/>
        <v>0</v>
      </c>
      <c r="AH1262" s="28" t="e" cm="1">
        <f t="array" aca="1" ref="AH1262" ca="1">IF((AD1262) &lt; (INDEX(ResponseSLA[#All],(MATCH((G1262),ResponseSLA[Priority],0))+1,3)),"YES","No")</f>
        <v>#N/A</v>
      </c>
      <c r="AI1262" s="28" t="str">
        <f>_xlfn.IFNA(IF(AE1262 &lt; (INDEX(SLATable[Minimum SLA],MATCH(G1262,SLATable[Priority],0))),"YES","NO"),"")</f>
        <v/>
      </c>
      <c r="AJ1262" s="28" t="str">
        <f>_xlfn.IFNA(IF(AE1262 &lt; (INDEX(SLATable[Maximum SLA],MATCH(G1262,SLATable[Priority],0))),"YES","NO"),"")</f>
        <v/>
      </c>
    </row>
    <row r="1263" spans="26:36" ht="15" customHeight="1">
      <c r="Z1263" s="169" t="e">
        <f t="shared" ca="1" si="197"/>
        <v>#N/A</v>
      </c>
      <c r="AA1263" s="170" t="e">
        <f t="shared" ca="1" si="198"/>
        <v>#N/A</v>
      </c>
      <c r="AB1263" s="169">
        <f t="shared" ca="1" si="199"/>
        <v>0</v>
      </c>
      <c r="AC1263" s="170">
        <f t="shared" ca="1" si="200"/>
        <v>0</v>
      </c>
      <c r="AD1263" s="169">
        <f t="shared" ca="1" si="201"/>
        <v>12388.42564085648</v>
      </c>
      <c r="AE1263" s="169">
        <f t="shared" si="196"/>
        <v>0</v>
      </c>
      <c r="AF1263" s="170">
        <f t="shared" si="202"/>
        <v>0</v>
      </c>
      <c r="AG1263" s="170">
        <f t="shared" si="203"/>
        <v>0</v>
      </c>
      <c r="AH1263" s="28" t="e" cm="1">
        <f t="array" aca="1" ref="AH1263" ca="1">IF((AD1263) &lt; (INDEX(ResponseSLA[#All],(MATCH((G1263),ResponseSLA[Priority],0))+1,3)),"YES","No")</f>
        <v>#N/A</v>
      </c>
      <c r="AI1263" s="28" t="str">
        <f>_xlfn.IFNA(IF(AE1263 &lt; (INDEX(SLATable[Minimum SLA],MATCH(G1263,SLATable[Priority],0))),"YES","NO"),"")</f>
        <v/>
      </c>
      <c r="AJ1263" s="28" t="str">
        <f>_xlfn.IFNA(IF(AE1263 &lt; (INDEX(SLATable[Maximum SLA],MATCH(G1263,SLATable[Priority],0))),"YES","NO"),"")</f>
        <v/>
      </c>
    </row>
    <row r="1264" spans="26:36" ht="15" customHeight="1">
      <c r="Z1264" s="169" t="e">
        <f t="shared" ca="1" si="197"/>
        <v>#N/A</v>
      </c>
      <c r="AA1264" s="170" t="e">
        <f t="shared" ca="1" si="198"/>
        <v>#N/A</v>
      </c>
      <c r="AB1264" s="169">
        <f t="shared" ca="1" si="199"/>
        <v>0</v>
      </c>
      <c r="AC1264" s="170">
        <f t="shared" ca="1" si="200"/>
        <v>0</v>
      </c>
      <c r="AD1264" s="169">
        <f t="shared" ca="1" si="201"/>
        <v>12388.425641087964</v>
      </c>
      <c r="AE1264" s="169">
        <f t="shared" si="196"/>
        <v>0</v>
      </c>
      <c r="AF1264" s="170">
        <f t="shared" si="202"/>
        <v>0</v>
      </c>
      <c r="AG1264" s="170">
        <f t="shared" si="203"/>
        <v>0</v>
      </c>
      <c r="AH1264" s="28" t="e" cm="1">
        <f t="array" aca="1" ref="AH1264" ca="1">IF((AD1264) &lt; (INDEX(ResponseSLA[#All],(MATCH((G1264),ResponseSLA[Priority],0))+1,3)),"YES","No")</f>
        <v>#N/A</v>
      </c>
      <c r="AI1264" s="28" t="str">
        <f>_xlfn.IFNA(IF(AE1264 &lt; (INDEX(SLATable[Minimum SLA],MATCH(G1264,SLATable[Priority],0))),"YES","NO"),"")</f>
        <v/>
      </c>
      <c r="AJ1264" s="28" t="str">
        <f>_xlfn.IFNA(IF(AE1264 &lt; (INDEX(SLATable[Maximum SLA],MATCH(G1264,SLATable[Priority],0))),"YES","NO"),"")</f>
        <v/>
      </c>
    </row>
    <row r="1265" spans="26:36" ht="15" customHeight="1">
      <c r="Z1265" s="169" t="e">
        <f t="shared" ca="1" si="197"/>
        <v>#N/A</v>
      </c>
      <c r="AA1265" s="170" t="e">
        <f t="shared" ca="1" si="198"/>
        <v>#N/A</v>
      </c>
      <c r="AB1265" s="169">
        <f t="shared" ca="1" si="199"/>
        <v>0</v>
      </c>
      <c r="AC1265" s="170">
        <f t="shared" ca="1" si="200"/>
        <v>0</v>
      </c>
      <c r="AD1265" s="169">
        <f t="shared" ca="1" si="201"/>
        <v>12388.425641087964</v>
      </c>
      <c r="AE1265" s="169">
        <f t="shared" ref="AE1265:AE1328" si="204">SUMIFS(AB:AB,E:E,E1265)</f>
        <v>0</v>
      </c>
      <c r="AF1265" s="170">
        <f t="shared" si="202"/>
        <v>0</v>
      </c>
      <c r="AG1265" s="170">
        <f t="shared" si="203"/>
        <v>0</v>
      </c>
      <c r="AH1265" s="28" t="e" cm="1">
        <f t="array" aca="1" ref="AH1265" ca="1">IF((AD1265) &lt; (INDEX(ResponseSLA[#All],(MATCH((G1265),ResponseSLA[Priority],0))+1,3)),"YES","No")</f>
        <v>#N/A</v>
      </c>
      <c r="AI1265" s="28" t="str">
        <f>_xlfn.IFNA(IF(AE1265 &lt; (INDEX(SLATable[Minimum SLA],MATCH(G1265,SLATable[Priority],0))),"YES","NO"),"")</f>
        <v/>
      </c>
      <c r="AJ1265" s="28" t="str">
        <f>_xlfn.IFNA(IF(AE1265 &lt; (INDEX(SLATable[Maximum SLA],MATCH(G1265,SLATable[Priority],0))),"YES","NO"),"")</f>
        <v/>
      </c>
    </row>
    <row r="1266" spans="26:36" ht="15" customHeight="1">
      <c r="Z1266" s="169" t="e">
        <f t="shared" ca="1" si="197"/>
        <v>#N/A</v>
      </c>
      <c r="AA1266" s="170" t="e">
        <f t="shared" ca="1" si="198"/>
        <v>#N/A</v>
      </c>
      <c r="AB1266" s="169">
        <f t="shared" ca="1" si="199"/>
        <v>0</v>
      </c>
      <c r="AC1266" s="170">
        <f t="shared" ca="1" si="200"/>
        <v>0</v>
      </c>
      <c r="AD1266" s="169">
        <f t="shared" ca="1" si="201"/>
        <v>12388.425641087964</v>
      </c>
      <c r="AE1266" s="169">
        <f t="shared" si="204"/>
        <v>0</v>
      </c>
      <c r="AF1266" s="170">
        <f t="shared" si="202"/>
        <v>0</v>
      </c>
      <c r="AG1266" s="170">
        <f t="shared" si="203"/>
        <v>0</v>
      </c>
      <c r="AH1266" s="28" t="e" cm="1">
        <f t="array" aca="1" ref="AH1266" ca="1">IF((AD1266) &lt; (INDEX(ResponseSLA[#All],(MATCH((G1266),ResponseSLA[Priority],0))+1,3)),"YES","No")</f>
        <v>#N/A</v>
      </c>
      <c r="AI1266" s="28" t="str">
        <f>_xlfn.IFNA(IF(AE1266 &lt; (INDEX(SLATable[Minimum SLA],MATCH(G1266,SLATable[Priority],0))),"YES","NO"),"")</f>
        <v/>
      </c>
      <c r="AJ1266" s="28" t="str">
        <f>_xlfn.IFNA(IF(AE1266 &lt; (INDEX(SLATable[Maximum SLA],MATCH(G1266,SLATable[Priority],0))),"YES","NO"),"")</f>
        <v/>
      </c>
    </row>
    <row r="1267" spans="26:36" ht="15" customHeight="1">
      <c r="Z1267" s="169" t="e">
        <f t="shared" ca="1" si="197"/>
        <v>#N/A</v>
      </c>
      <c r="AA1267" s="170" t="e">
        <f t="shared" ca="1" si="198"/>
        <v>#N/A</v>
      </c>
      <c r="AB1267" s="169">
        <f t="shared" ca="1" si="199"/>
        <v>0</v>
      </c>
      <c r="AC1267" s="170">
        <f t="shared" ca="1" si="200"/>
        <v>0</v>
      </c>
      <c r="AD1267" s="169">
        <f t="shared" ca="1" si="201"/>
        <v>12388.425641087964</v>
      </c>
      <c r="AE1267" s="169">
        <f t="shared" si="204"/>
        <v>0</v>
      </c>
      <c r="AF1267" s="170">
        <f t="shared" si="202"/>
        <v>0</v>
      </c>
      <c r="AG1267" s="170">
        <f t="shared" si="203"/>
        <v>0</v>
      </c>
      <c r="AH1267" s="28" t="e" cm="1">
        <f t="array" aca="1" ref="AH1267" ca="1">IF((AD1267) &lt; (INDEX(ResponseSLA[#All],(MATCH((G1267),ResponseSLA[Priority],0))+1,3)),"YES","No")</f>
        <v>#N/A</v>
      </c>
      <c r="AI1267" s="28" t="str">
        <f>_xlfn.IFNA(IF(AE1267 &lt; (INDEX(SLATable[Minimum SLA],MATCH(G1267,SLATable[Priority],0))),"YES","NO"),"")</f>
        <v/>
      </c>
      <c r="AJ1267" s="28" t="str">
        <f>_xlfn.IFNA(IF(AE1267 &lt; (INDEX(SLATable[Maximum SLA],MATCH(G1267,SLATable[Priority],0))),"YES","NO"),"")</f>
        <v/>
      </c>
    </row>
    <row r="1268" spans="26:36" ht="15" customHeight="1">
      <c r="Z1268" s="169" t="e">
        <f t="shared" ca="1" si="197"/>
        <v>#N/A</v>
      </c>
      <c r="AA1268" s="170" t="e">
        <f t="shared" ca="1" si="198"/>
        <v>#N/A</v>
      </c>
      <c r="AB1268" s="169">
        <f t="shared" ca="1" si="199"/>
        <v>0</v>
      </c>
      <c r="AC1268" s="170">
        <f t="shared" ca="1" si="200"/>
        <v>0</v>
      </c>
      <c r="AD1268" s="169">
        <f t="shared" ca="1" si="201"/>
        <v>12388.425641087964</v>
      </c>
      <c r="AE1268" s="169">
        <f t="shared" si="204"/>
        <v>0</v>
      </c>
      <c r="AF1268" s="170">
        <f t="shared" si="202"/>
        <v>0</v>
      </c>
      <c r="AG1268" s="170">
        <f t="shared" si="203"/>
        <v>0</v>
      </c>
      <c r="AH1268" s="28" t="e" cm="1">
        <f t="array" aca="1" ref="AH1268" ca="1">IF((AD1268) &lt; (INDEX(ResponseSLA[#All],(MATCH((G1268),ResponseSLA[Priority],0))+1,3)),"YES","No")</f>
        <v>#N/A</v>
      </c>
      <c r="AI1268" s="28" t="str">
        <f>_xlfn.IFNA(IF(AE1268 &lt; (INDEX(SLATable[Minimum SLA],MATCH(G1268,SLATable[Priority],0))),"YES","NO"),"")</f>
        <v/>
      </c>
      <c r="AJ1268" s="28" t="str">
        <f>_xlfn.IFNA(IF(AE1268 &lt; (INDEX(SLATable[Maximum SLA],MATCH(G1268,SLATable[Priority],0))),"YES","NO"),"")</f>
        <v/>
      </c>
    </row>
    <row r="1269" spans="26:36" ht="15" customHeight="1">
      <c r="Z1269" s="169" t="e">
        <f t="shared" ca="1" si="197"/>
        <v>#N/A</v>
      </c>
      <c r="AA1269" s="170" t="e">
        <f t="shared" ca="1" si="198"/>
        <v>#N/A</v>
      </c>
      <c r="AB1269" s="169">
        <f t="shared" ca="1" si="199"/>
        <v>0</v>
      </c>
      <c r="AC1269" s="170">
        <f t="shared" ca="1" si="200"/>
        <v>0</v>
      </c>
      <c r="AD1269" s="169">
        <f t="shared" ca="1" si="201"/>
        <v>12388.425641087964</v>
      </c>
      <c r="AE1269" s="169">
        <f t="shared" si="204"/>
        <v>0</v>
      </c>
      <c r="AF1269" s="170">
        <f t="shared" si="202"/>
        <v>0</v>
      </c>
      <c r="AG1269" s="170">
        <f t="shared" si="203"/>
        <v>0</v>
      </c>
      <c r="AH1269" s="28" t="e" cm="1">
        <f t="array" aca="1" ref="AH1269" ca="1">IF((AD1269) &lt; (INDEX(ResponseSLA[#All],(MATCH((G1269),ResponseSLA[Priority],0))+1,3)),"YES","No")</f>
        <v>#N/A</v>
      </c>
      <c r="AI1269" s="28" t="str">
        <f>_xlfn.IFNA(IF(AE1269 &lt; (INDEX(SLATable[Minimum SLA],MATCH(G1269,SLATable[Priority],0))),"YES","NO"),"")</f>
        <v/>
      </c>
      <c r="AJ1269" s="28" t="str">
        <f>_xlfn.IFNA(IF(AE1269 &lt; (INDEX(SLATable[Maximum SLA],MATCH(G1269,SLATable[Priority],0))),"YES","NO"),"")</f>
        <v/>
      </c>
    </row>
    <row r="1270" spans="26:36" ht="15" customHeight="1">
      <c r="Z1270" s="169" t="e">
        <f t="shared" ca="1" si="197"/>
        <v>#N/A</v>
      </c>
      <c r="AA1270" s="170" t="e">
        <f t="shared" ca="1" si="198"/>
        <v>#N/A</v>
      </c>
      <c r="AB1270" s="169">
        <f t="shared" ca="1" si="199"/>
        <v>0</v>
      </c>
      <c r="AC1270" s="170">
        <f t="shared" ca="1" si="200"/>
        <v>0</v>
      </c>
      <c r="AD1270" s="169">
        <f t="shared" ca="1" si="201"/>
        <v>12388.425641087964</v>
      </c>
      <c r="AE1270" s="169">
        <f t="shared" si="204"/>
        <v>0</v>
      </c>
      <c r="AF1270" s="170">
        <f t="shared" si="202"/>
        <v>0</v>
      </c>
      <c r="AG1270" s="170">
        <f t="shared" si="203"/>
        <v>0</v>
      </c>
      <c r="AH1270" s="28" t="e" cm="1">
        <f t="array" aca="1" ref="AH1270" ca="1">IF((AD1270) &lt; (INDEX(ResponseSLA[#All],(MATCH((G1270),ResponseSLA[Priority],0))+1,3)),"YES","No")</f>
        <v>#N/A</v>
      </c>
      <c r="AI1270" s="28" t="str">
        <f>_xlfn.IFNA(IF(AE1270 &lt; (INDEX(SLATable[Minimum SLA],MATCH(G1270,SLATable[Priority],0))),"YES","NO"),"")</f>
        <v/>
      </c>
      <c r="AJ1270" s="28" t="str">
        <f>_xlfn.IFNA(IF(AE1270 &lt; (INDEX(SLATable[Maximum SLA],MATCH(G1270,SLATable[Priority],0))),"YES","NO"),"")</f>
        <v/>
      </c>
    </row>
    <row r="1271" spans="26:36" ht="15" customHeight="1">
      <c r="Z1271" s="169" t="e">
        <f t="shared" ca="1" si="197"/>
        <v>#N/A</v>
      </c>
      <c r="AA1271" s="170" t="e">
        <f t="shared" ca="1" si="198"/>
        <v>#N/A</v>
      </c>
      <c r="AB1271" s="169">
        <f t="shared" ca="1" si="199"/>
        <v>0</v>
      </c>
      <c r="AC1271" s="170">
        <f t="shared" ca="1" si="200"/>
        <v>0</v>
      </c>
      <c r="AD1271" s="169">
        <f t="shared" ca="1" si="201"/>
        <v>12388.425641087964</v>
      </c>
      <c r="AE1271" s="169">
        <f t="shared" si="204"/>
        <v>0</v>
      </c>
      <c r="AF1271" s="170">
        <f t="shared" si="202"/>
        <v>0</v>
      </c>
      <c r="AG1271" s="170">
        <f t="shared" si="203"/>
        <v>0</v>
      </c>
      <c r="AH1271" s="28" t="e" cm="1">
        <f t="array" aca="1" ref="AH1271" ca="1">IF((AD1271) &lt; (INDEX(ResponseSLA[#All],(MATCH((G1271),ResponseSLA[Priority],0))+1,3)),"YES","No")</f>
        <v>#N/A</v>
      </c>
      <c r="AI1271" s="28" t="str">
        <f>_xlfn.IFNA(IF(AE1271 &lt; (INDEX(SLATable[Minimum SLA],MATCH(G1271,SLATable[Priority],0))),"YES","NO"),"")</f>
        <v/>
      </c>
      <c r="AJ1271" s="28" t="str">
        <f>_xlfn.IFNA(IF(AE1271 &lt; (INDEX(SLATable[Maximum SLA],MATCH(G1271,SLATable[Priority],0))),"YES","NO"),"")</f>
        <v/>
      </c>
    </row>
    <row r="1272" spans="26:36" ht="15" customHeight="1">
      <c r="Z1272" s="169" t="e">
        <f t="shared" ca="1" si="197"/>
        <v>#N/A</v>
      </c>
      <c r="AA1272" s="170" t="e">
        <f t="shared" ca="1" si="198"/>
        <v>#N/A</v>
      </c>
      <c r="AB1272" s="169">
        <f t="shared" ca="1" si="199"/>
        <v>0</v>
      </c>
      <c r="AC1272" s="170">
        <f t="shared" ca="1" si="200"/>
        <v>0</v>
      </c>
      <c r="AD1272" s="169">
        <f t="shared" ca="1" si="201"/>
        <v>12388.425641087964</v>
      </c>
      <c r="AE1272" s="169">
        <f t="shared" si="204"/>
        <v>0</v>
      </c>
      <c r="AF1272" s="170">
        <f t="shared" si="202"/>
        <v>0</v>
      </c>
      <c r="AG1272" s="170">
        <f t="shared" si="203"/>
        <v>0</v>
      </c>
      <c r="AH1272" s="28" t="e" cm="1">
        <f t="array" aca="1" ref="AH1272" ca="1">IF((AD1272) &lt; (INDEX(ResponseSLA[#All],(MATCH((G1272),ResponseSLA[Priority],0))+1,3)),"YES","No")</f>
        <v>#N/A</v>
      </c>
      <c r="AI1272" s="28" t="str">
        <f>_xlfn.IFNA(IF(AE1272 &lt; (INDEX(SLATable[Minimum SLA],MATCH(G1272,SLATable[Priority],0))),"YES","NO"),"")</f>
        <v/>
      </c>
      <c r="AJ1272" s="28" t="str">
        <f>_xlfn.IFNA(IF(AE1272 &lt; (INDEX(SLATable[Maximum SLA],MATCH(G1272,SLATable[Priority],0))),"YES","NO"),"")</f>
        <v/>
      </c>
    </row>
    <row r="1273" spans="26:36" ht="15" customHeight="1">
      <c r="Z1273" s="169" t="e">
        <f t="shared" ca="1" si="197"/>
        <v>#N/A</v>
      </c>
      <c r="AA1273" s="170" t="e">
        <f t="shared" ca="1" si="198"/>
        <v>#N/A</v>
      </c>
      <c r="AB1273" s="169">
        <f t="shared" ca="1" si="199"/>
        <v>0</v>
      </c>
      <c r="AC1273" s="170">
        <f t="shared" ca="1" si="200"/>
        <v>0</v>
      </c>
      <c r="AD1273" s="169">
        <f t="shared" ca="1" si="201"/>
        <v>12388.425641087964</v>
      </c>
      <c r="AE1273" s="169">
        <f t="shared" si="204"/>
        <v>0</v>
      </c>
      <c r="AF1273" s="170">
        <f t="shared" si="202"/>
        <v>0</v>
      </c>
      <c r="AG1273" s="170">
        <f t="shared" si="203"/>
        <v>0</v>
      </c>
      <c r="AH1273" s="28" t="e" cm="1">
        <f t="array" aca="1" ref="AH1273" ca="1">IF((AD1273) &lt; (INDEX(ResponseSLA[#All],(MATCH((G1273),ResponseSLA[Priority],0))+1,3)),"YES","No")</f>
        <v>#N/A</v>
      </c>
      <c r="AI1273" s="28" t="str">
        <f>_xlfn.IFNA(IF(AE1273 &lt; (INDEX(SLATable[Minimum SLA],MATCH(G1273,SLATable[Priority],0))),"YES","NO"),"")</f>
        <v/>
      </c>
      <c r="AJ1273" s="28" t="str">
        <f>_xlfn.IFNA(IF(AE1273 &lt; (INDEX(SLATable[Maximum SLA],MATCH(G1273,SLATable[Priority],0))),"YES","NO"),"")</f>
        <v/>
      </c>
    </row>
    <row r="1274" spans="26:36" ht="15" customHeight="1">
      <c r="Z1274" s="169" t="e">
        <f t="shared" ca="1" si="197"/>
        <v>#N/A</v>
      </c>
      <c r="AA1274" s="170" t="e">
        <f t="shared" ca="1" si="198"/>
        <v>#N/A</v>
      </c>
      <c r="AB1274" s="169">
        <f t="shared" ca="1" si="199"/>
        <v>0</v>
      </c>
      <c r="AC1274" s="170">
        <f t="shared" ca="1" si="200"/>
        <v>0</v>
      </c>
      <c r="AD1274" s="169">
        <f t="shared" ca="1" si="201"/>
        <v>12388.425641087964</v>
      </c>
      <c r="AE1274" s="169">
        <f t="shared" si="204"/>
        <v>0</v>
      </c>
      <c r="AF1274" s="170">
        <f t="shared" si="202"/>
        <v>0</v>
      </c>
      <c r="AG1274" s="170">
        <f t="shared" si="203"/>
        <v>0</v>
      </c>
      <c r="AH1274" s="28" t="e" cm="1">
        <f t="array" aca="1" ref="AH1274" ca="1">IF((AD1274) &lt; (INDEX(ResponseSLA[#All],(MATCH((G1274),ResponseSLA[Priority],0))+1,3)),"YES","No")</f>
        <v>#N/A</v>
      </c>
      <c r="AI1274" s="28" t="str">
        <f>_xlfn.IFNA(IF(AE1274 &lt; (INDEX(SLATable[Minimum SLA],MATCH(G1274,SLATable[Priority],0))),"YES","NO"),"")</f>
        <v/>
      </c>
      <c r="AJ1274" s="28" t="str">
        <f>_xlfn.IFNA(IF(AE1274 &lt; (INDEX(SLATable[Maximum SLA],MATCH(G1274,SLATable[Priority],0))),"YES","NO"),"")</f>
        <v/>
      </c>
    </row>
    <row r="1275" spans="26:36" ht="15" customHeight="1">
      <c r="Z1275" s="169" t="e">
        <f t="shared" ca="1" si="197"/>
        <v>#N/A</v>
      </c>
      <c r="AA1275" s="170" t="e">
        <f t="shared" ca="1" si="198"/>
        <v>#N/A</v>
      </c>
      <c r="AB1275" s="169">
        <f t="shared" ca="1" si="199"/>
        <v>0</v>
      </c>
      <c r="AC1275" s="170">
        <f t="shared" ca="1" si="200"/>
        <v>0</v>
      </c>
      <c r="AD1275" s="169">
        <f t="shared" ca="1" si="201"/>
        <v>12388.425641087964</v>
      </c>
      <c r="AE1275" s="169">
        <f t="shared" si="204"/>
        <v>0</v>
      </c>
      <c r="AF1275" s="170">
        <f t="shared" si="202"/>
        <v>0</v>
      </c>
      <c r="AG1275" s="170">
        <f t="shared" si="203"/>
        <v>0</v>
      </c>
      <c r="AH1275" s="28" t="e" cm="1">
        <f t="array" aca="1" ref="AH1275" ca="1">IF((AD1275) &lt; (INDEX(ResponseSLA[#All],(MATCH((G1275),ResponseSLA[Priority],0))+1,3)),"YES","No")</f>
        <v>#N/A</v>
      </c>
      <c r="AI1275" s="28" t="str">
        <f>_xlfn.IFNA(IF(AE1275 &lt; (INDEX(SLATable[Minimum SLA],MATCH(G1275,SLATable[Priority],0))),"YES","NO"),"")</f>
        <v/>
      </c>
      <c r="AJ1275" s="28" t="str">
        <f>_xlfn.IFNA(IF(AE1275 &lt; (INDEX(SLATable[Maximum SLA],MATCH(G1275,SLATable[Priority],0))),"YES","NO"),"")</f>
        <v/>
      </c>
    </row>
    <row r="1276" spans="26:36" ht="15" customHeight="1">
      <c r="Z1276" s="169" t="e">
        <f t="shared" ca="1" si="197"/>
        <v>#N/A</v>
      </c>
      <c r="AA1276" s="170" t="e">
        <f t="shared" ca="1" si="198"/>
        <v>#N/A</v>
      </c>
      <c r="AB1276" s="169">
        <f t="shared" ca="1" si="199"/>
        <v>0</v>
      </c>
      <c r="AC1276" s="170">
        <f t="shared" ca="1" si="200"/>
        <v>0</v>
      </c>
      <c r="AD1276" s="169">
        <f t="shared" ca="1" si="201"/>
        <v>12388.425641087964</v>
      </c>
      <c r="AE1276" s="169">
        <f t="shared" si="204"/>
        <v>0</v>
      </c>
      <c r="AF1276" s="170">
        <f t="shared" si="202"/>
        <v>0</v>
      </c>
      <c r="AG1276" s="170">
        <f t="shared" si="203"/>
        <v>0</v>
      </c>
      <c r="AH1276" s="28" t="e" cm="1">
        <f t="array" aca="1" ref="AH1276" ca="1">IF((AD1276) &lt; (INDEX(ResponseSLA[#All],(MATCH((G1276),ResponseSLA[Priority],0))+1,3)),"YES","No")</f>
        <v>#N/A</v>
      </c>
      <c r="AI1276" s="28" t="str">
        <f>_xlfn.IFNA(IF(AE1276 &lt; (INDEX(SLATable[Minimum SLA],MATCH(G1276,SLATable[Priority],0))),"YES","NO"),"")</f>
        <v/>
      </c>
      <c r="AJ1276" s="28" t="str">
        <f>_xlfn.IFNA(IF(AE1276 &lt; (INDEX(SLATable[Maximum SLA],MATCH(G1276,SLATable[Priority],0))),"YES","NO"),"")</f>
        <v/>
      </c>
    </row>
    <row r="1277" spans="26:36" ht="15" customHeight="1">
      <c r="Z1277" s="169" t="e">
        <f t="shared" ca="1" si="197"/>
        <v>#N/A</v>
      </c>
      <c r="AA1277" s="170" t="e">
        <f t="shared" ca="1" si="198"/>
        <v>#N/A</v>
      </c>
      <c r="AB1277" s="169">
        <f t="shared" ca="1" si="199"/>
        <v>0</v>
      </c>
      <c r="AC1277" s="170">
        <f t="shared" ca="1" si="200"/>
        <v>0</v>
      </c>
      <c r="AD1277" s="169">
        <f t="shared" ca="1" si="201"/>
        <v>12388.425641087964</v>
      </c>
      <c r="AE1277" s="169">
        <f t="shared" si="204"/>
        <v>0</v>
      </c>
      <c r="AF1277" s="170">
        <f t="shared" si="202"/>
        <v>0</v>
      </c>
      <c r="AG1277" s="170">
        <f t="shared" si="203"/>
        <v>0</v>
      </c>
      <c r="AH1277" s="28" t="e" cm="1">
        <f t="array" aca="1" ref="AH1277" ca="1">IF((AD1277) &lt; (INDEX(ResponseSLA[#All],(MATCH((G1277),ResponseSLA[Priority],0))+1,3)),"YES","No")</f>
        <v>#N/A</v>
      </c>
      <c r="AI1277" s="28" t="str">
        <f>_xlfn.IFNA(IF(AE1277 &lt; (INDEX(SLATable[Minimum SLA],MATCH(G1277,SLATable[Priority],0))),"YES","NO"),"")</f>
        <v/>
      </c>
      <c r="AJ1277" s="28" t="str">
        <f>_xlfn.IFNA(IF(AE1277 &lt; (INDEX(SLATable[Maximum SLA],MATCH(G1277,SLATable[Priority],0))),"YES","NO"),"")</f>
        <v/>
      </c>
    </row>
    <row r="1278" spans="26:36" ht="15" customHeight="1">
      <c r="Z1278" s="169" t="e">
        <f t="shared" ca="1" si="197"/>
        <v>#N/A</v>
      </c>
      <c r="AA1278" s="170" t="e">
        <f t="shared" ca="1" si="198"/>
        <v>#N/A</v>
      </c>
      <c r="AB1278" s="169">
        <f t="shared" ca="1" si="199"/>
        <v>0</v>
      </c>
      <c r="AC1278" s="170">
        <f t="shared" ca="1" si="200"/>
        <v>0</v>
      </c>
      <c r="AD1278" s="169">
        <f t="shared" ca="1" si="201"/>
        <v>12388.425641087964</v>
      </c>
      <c r="AE1278" s="169">
        <f t="shared" si="204"/>
        <v>0</v>
      </c>
      <c r="AF1278" s="170">
        <f t="shared" si="202"/>
        <v>0</v>
      </c>
      <c r="AG1278" s="170">
        <f t="shared" si="203"/>
        <v>0</v>
      </c>
      <c r="AH1278" s="28" t="e" cm="1">
        <f t="array" aca="1" ref="AH1278" ca="1">IF((AD1278) &lt; (INDEX(ResponseSLA[#All],(MATCH((G1278),ResponseSLA[Priority],0))+1,3)),"YES","No")</f>
        <v>#N/A</v>
      </c>
      <c r="AI1278" s="28" t="str">
        <f>_xlfn.IFNA(IF(AE1278 &lt; (INDEX(SLATable[Minimum SLA],MATCH(G1278,SLATable[Priority],0))),"YES","NO"),"")</f>
        <v/>
      </c>
      <c r="AJ1278" s="28" t="str">
        <f>_xlfn.IFNA(IF(AE1278 &lt; (INDEX(SLATable[Maximum SLA],MATCH(G1278,SLATable[Priority],0))),"YES","NO"),"")</f>
        <v/>
      </c>
    </row>
    <row r="1279" spans="26:36" ht="15" customHeight="1">
      <c r="Z1279" s="169" t="e">
        <f t="shared" ca="1" si="197"/>
        <v>#N/A</v>
      </c>
      <c r="AA1279" s="170" t="e">
        <f t="shared" ca="1" si="198"/>
        <v>#N/A</v>
      </c>
      <c r="AB1279" s="169">
        <f t="shared" ca="1" si="199"/>
        <v>0</v>
      </c>
      <c r="AC1279" s="170">
        <f t="shared" ca="1" si="200"/>
        <v>0</v>
      </c>
      <c r="AD1279" s="169">
        <f t="shared" ca="1" si="201"/>
        <v>12388.425641087964</v>
      </c>
      <c r="AE1279" s="169">
        <f t="shared" si="204"/>
        <v>0</v>
      </c>
      <c r="AF1279" s="170">
        <f t="shared" si="202"/>
        <v>0</v>
      </c>
      <c r="AG1279" s="170">
        <f t="shared" si="203"/>
        <v>0</v>
      </c>
      <c r="AH1279" s="28" t="e" cm="1">
        <f t="array" aca="1" ref="AH1279" ca="1">IF((AD1279) &lt; (INDEX(ResponseSLA[#All],(MATCH((G1279),ResponseSLA[Priority],0))+1,3)),"YES","No")</f>
        <v>#N/A</v>
      </c>
      <c r="AI1279" s="28" t="str">
        <f>_xlfn.IFNA(IF(AE1279 &lt; (INDEX(SLATable[Minimum SLA],MATCH(G1279,SLATable[Priority],0))),"YES","NO"),"")</f>
        <v/>
      </c>
      <c r="AJ1279" s="28" t="str">
        <f>_xlfn.IFNA(IF(AE1279 &lt; (INDEX(SLATable[Maximum SLA],MATCH(G1279,SLATable[Priority],0))),"YES","NO"),"")</f>
        <v/>
      </c>
    </row>
    <row r="1280" spans="26:36" ht="15" customHeight="1">
      <c r="Z1280" s="169" t="e">
        <f t="shared" ca="1" si="197"/>
        <v>#N/A</v>
      </c>
      <c r="AA1280" s="170" t="e">
        <f t="shared" ca="1" si="198"/>
        <v>#N/A</v>
      </c>
      <c r="AB1280" s="169">
        <f t="shared" ca="1" si="199"/>
        <v>0</v>
      </c>
      <c r="AC1280" s="170">
        <f t="shared" ca="1" si="200"/>
        <v>0</v>
      </c>
      <c r="AD1280" s="169">
        <f t="shared" ca="1" si="201"/>
        <v>12388.425641087964</v>
      </c>
      <c r="AE1280" s="169">
        <f t="shared" si="204"/>
        <v>0</v>
      </c>
      <c r="AF1280" s="170">
        <f t="shared" si="202"/>
        <v>0</v>
      </c>
      <c r="AG1280" s="170">
        <f t="shared" si="203"/>
        <v>0</v>
      </c>
      <c r="AH1280" s="28" t="e" cm="1">
        <f t="array" aca="1" ref="AH1280" ca="1">IF((AD1280) &lt; (INDEX(ResponseSLA[#All],(MATCH((G1280),ResponseSLA[Priority],0))+1,3)),"YES","No")</f>
        <v>#N/A</v>
      </c>
      <c r="AI1280" s="28" t="str">
        <f>_xlfn.IFNA(IF(AE1280 &lt; (INDEX(SLATable[Minimum SLA],MATCH(G1280,SLATable[Priority],0))),"YES","NO"),"")</f>
        <v/>
      </c>
      <c r="AJ1280" s="28" t="str">
        <f>_xlfn.IFNA(IF(AE1280 &lt; (INDEX(SLATable[Maximum SLA],MATCH(G1280,SLATable[Priority],0))),"YES","NO"),"")</f>
        <v/>
      </c>
    </row>
    <row r="1281" spans="26:36" ht="15" customHeight="1">
      <c r="Z1281" s="169" t="e">
        <f t="shared" ca="1" si="197"/>
        <v>#N/A</v>
      </c>
      <c r="AA1281" s="170" t="e">
        <f t="shared" ca="1" si="198"/>
        <v>#N/A</v>
      </c>
      <c r="AB1281" s="169">
        <f t="shared" ca="1" si="199"/>
        <v>0</v>
      </c>
      <c r="AC1281" s="170">
        <f t="shared" ca="1" si="200"/>
        <v>0</v>
      </c>
      <c r="AD1281" s="169">
        <f t="shared" ca="1" si="201"/>
        <v>12388.425641087964</v>
      </c>
      <c r="AE1281" s="169">
        <f t="shared" si="204"/>
        <v>0</v>
      </c>
      <c r="AF1281" s="170">
        <f t="shared" si="202"/>
        <v>0</v>
      </c>
      <c r="AG1281" s="170">
        <f t="shared" si="203"/>
        <v>0</v>
      </c>
      <c r="AH1281" s="28" t="e" cm="1">
        <f t="array" aca="1" ref="AH1281" ca="1">IF((AD1281) &lt; (INDEX(ResponseSLA[#All],(MATCH((G1281),ResponseSLA[Priority],0))+1,3)),"YES","No")</f>
        <v>#N/A</v>
      </c>
      <c r="AI1281" s="28" t="str">
        <f>_xlfn.IFNA(IF(AE1281 &lt; (INDEX(SLATable[Minimum SLA],MATCH(G1281,SLATable[Priority],0))),"YES","NO"),"")</f>
        <v/>
      </c>
      <c r="AJ1281" s="28" t="str">
        <f>_xlfn.IFNA(IF(AE1281 &lt; (INDEX(SLATable[Maximum SLA],MATCH(G1281,SLATable[Priority],0))),"YES","NO"),"")</f>
        <v/>
      </c>
    </row>
    <row r="1282" spans="26:36" ht="15" customHeight="1">
      <c r="Z1282" s="169" t="e">
        <f t="shared" ca="1" si="197"/>
        <v>#N/A</v>
      </c>
      <c r="AA1282" s="170" t="e">
        <f t="shared" ca="1" si="198"/>
        <v>#N/A</v>
      </c>
      <c r="AB1282" s="169">
        <f t="shared" ca="1" si="199"/>
        <v>0</v>
      </c>
      <c r="AC1282" s="170">
        <f t="shared" ca="1" si="200"/>
        <v>0</v>
      </c>
      <c r="AD1282" s="169">
        <f t="shared" ca="1" si="201"/>
        <v>12388.425641087964</v>
      </c>
      <c r="AE1282" s="169">
        <f t="shared" si="204"/>
        <v>0</v>
      </c>
      <c r="AF1282" s="170">
        <f t="shared" si="202"/>
        <v>0</v>
      </c>
      <c r="AG1282" s="170">
        <f t="shared" si="203"/>
        <v>0</v>
      </c>
      <c r="AH1282" s="28" t="e" cm="1">
        <f t="array" aca="1" ref="AH1282" ca="1">IF((AD1282) &lt; (INDEX(ResponseSLA[#All],(MATCH((G1282),ResponseSLA[Priority],0))+1,3)),"YES","No")</f>
        <v>#N/A</v>
      </c>
      <c r="AI1282" s="28" t="str">
        <f>_xlfn.IFNA(IF(AE1282 &lt; (INDEX(SLATable[Minimum SLA],MATCH(G1282,SLATable[Priority],0))),"YES","NO"),"")</f>
        <v/>
      </c>
      <c r="AJ1282" s="28" t="str">
        <f>_xlfn.IFNA(IF(AE1282 &lt; (INDEX(SLATable[Maximum SLA],MATCH(G1282,SLATable[Priority],0))),"YES","NO"),"")</f>
        <v/>
      </c>
    </row>
    <row r="1283" spans="26:36" ht="15" customHeight="1">
      <c r="Z1283" s="169" t="e">
        <f t="shared" ca="1" si="197"/>
        <v>#N/A</v>
      </c>
      <c r="AA1283" s="170" t="e">
        <f t="shared" ca="1" si="198"/>
        <v>#N/A</v>
      </c>
      <c r="AB1283" s="169">
        <f t="shared" ca="1" si="199"/>
        <v>0</v>
      </c>
      <c r="AC1283" s="170">
        <f t="shared" ca="1" si="200"/>
        <v>0</v>
      </c>
      <c r="AD1283" s="169">
        <f t="shared" ca="1" si="201"/>
        <v>12388.425641087964</v>
      </c>
      <c r="AE1283" s="169">
        <f t="shared" si="204"/>
        <v>0</v>
      </c>
      <c r="AF1283" s="170">
        <f t="shared" si="202"/>
        <v>0</v>
      </c>
      <c r="AG1283" s="170">
        <f t="shared" si="203"/>
        <v>0</v>
      </c>
      <c r="AH1283" s="28" t="e" cm="1">
        <f t="array" aca="1" ref="AH1283" ca="1">IF((AD1283) &lt; (INDEX(ResponseSLA[#All],(MATCH((G1283),ResponseSLA[Priority],0))+1,3)),"YES","No")</f>
        <v>#N/A</v>
      </c>
      <c r="AI1283" s="28" t="str">
        <f>_xlfn.IFNA(IF(AE1283 &lt; (INDEX(SLATable[Minimum SLA],MATCH(G1283,SLATable[Priority],0))),"YES","NO"),"")</f>
        <v/>
      </c>
      <c r="AJ1283" s="28" t="str">
        <f>_xlfn.IFNA(IF(AE1283 &lt; (INDEX(SLATable[Maximum SLA],MATCH(G1283,SLATable[Priority],0))),"YES","NO"),"")</f>
        <v/>
      </c>
    </row>
    <row r="1284" spans="26:36" ht="15" customHeight="1">
      <c r="Z1284" s="169" t="e">
        <f t="shared" ca="1" si="197"/>
        <v>#N/A</v>
      </c>
      <c r="AA1284" s="170" t="e">
        <f t="shared" ca="1" si="198"/>
        <v>#N/A</v>
      </c>
      <c r="AB1284" s="169">
        <f t="shared" ca="1" si="199"/>
        <v>0</v>
      </c>
      <c r="AC1284" s="170">
        <f t="shared" ca="1" si="200"/>
        <v>0</v>
      </c>
      <c r="AD1284" s="169">
        <f t="shared" ca="1" si="201"/>
        <v>12388.425641087964</v>
      </c>
      <c r="AE1284" s="169">
        <f t="shared" si="204"/>
        <v>0</v>
      </c>
      <c r="AF1284" s="170">
        <f t="shared" si="202"/>
        <v>0</v>
      </c>
      <c r="AG1284" s="170">
        <f t="shared" si="203"/>
        <v>0</v>
      </c>
      <c r="AH1284" s="28" t="e" cm="1">
        <f t="array" aca="1" ref="AH1284" ca="1">IF((AD1284) &lt; (INDEX(ResponseSLA[#All],(MATCH((G1284),ResponseSLA[Priority],0))+1,3)),"YES","No")</f>
        <v>#N/A</v>
      </c>
      <c r="AI1284" s="28" t="str">
        <f>_xlfn.IFNA(IF(AE1284 &lt; (INDEX(SLATable[Minimum SLA],MATCH(G1284,SLATable[Priority],0))),"YES","NO"),"")</f>
        <v/>
      </c>
      <c r="AJ1284" s="28" t="str">
        <f>_xlfn.IFNA(IF(AE1284 &lt; (INDEX(SLATable[Maximum SLA],MATCH(G1284,SLATable[Priority],0))),"YES","NO"),"")</f>
        <v/>
      </c>
    </row>
    <row r="1285" spans="26:36" ht="15" customHeight="1">
      <c r="Z1285" s="169" t="e">
        <f t="shared" ca="1" si="197"/>
        <v>#N/A</v>
      </c>
      <c r="AA1285" s="170" t="e">
        <f t="shared" ca="1" si="198"/>
        <v>#N/A</v>
      </c>
      <c r="AB1285" s="169">
        <f t="shared" ca="1" si="199"/>
        <v>0</v>
      </c>
      <c r="AC1285" s="170">
        <f t="shared" ca="1" si="200"/>
        <v>0</v>
      </c>
      <c r="AD1285" s="169">
        <f t="shared" ca="1" si="201"/>
        <v>12388.425641087964</v>
      </c>
      <c r="AE1285" s="169">
        <f t="shared" si="204"/>
        <v>0</v>
      </c>
      <c r="AF1285" s="170">
        <f t="shared" si="202"/>
        <v>0</v>
      </c>
      <c r="AG1285" s="170">
        <f t="shared" si="203"/>
        <v>0</v>
      </c>
      <c r="AH1285" s="28" t="e" cm="1">
        <f t="array" aca="1" ref="AH1285" ca="1">IF((AD1285) &lt; (INDEX(ResponseSLA[#All],(MATCH((G1285),ResponseSLA[Priority],0))+1,3)),"YES","No")</f>
        <v>#N/A</v>
      </c>
      <c r="AI1285" s="28" t="str">
        <f>_xlfn.IFNA(IF(AE1285 &lt; (INDEX(SLATable[Minimum SLA],MATCH(G1285,SLATable[Priority],0))),"YES","NO"),"")</f>
        <v/>
      </c>
      <c r="AJ1285" s="28" t="str">
        <f>_xlfn.IFNA(IF(AE1285 &lt; (INDEX(SLATable[Maximum SLA],MATCH(G1285,SLATable[Priority],0))),"YES","NO"),"")</f>
        <v/>
      </c>
    </row>
    <row r="1286" spans="26:36" ht="15" customHeight="1">
      <c r="Z1286" s="169" t="e">
        <f t="shared" ca="1" si="197"/>
        <v>#N/A</v>
      </c>
      <c r="AA1286" s="170" t="e">
        <f t="shared" ca="1" si="198"/>
        <v>#N/A</v>
      </c>
      <c r="AB1286" s="169">
        <f t="shared" ca="1" si="199"/>
        <v>0</v>
      </c>
      <c r="AC1286" s="170">
        <f t="shared" ca="1" si="200"/>
        <v>0</v>
      </c>
      <c r="AD1286" s="169">
        <f t="shared" ca="1" si="201"/>
        <v>12388.425641087964</v>
      </c>
      <c r="AE1286" s="169">
        <f t="shared" si="204"/>
        <v>0</v>
      </c>
      <c r="AF1286" s="170">
        <f t="shared" si="202"/>
        <v>0</v>
      </c>
      <c r="AG1286" s="170">
        <f t="shared" si="203"/>
        <v>0</v>
      </c>
      <c r="AH1286" s="28" t="e" cm="1">
        <f t="array" aca="1" ref="AH1286" ca="1">IF((AD1286) &lt; (INDEX(ResponseSLA[#All],(MATCH((G1286),ResponseSLA[Priority],0))+1,3)),"YES","No")</f>
        <v>#N/A</v>
      </c>
      <c r="AI1286" s="28" t="str">
        <f>_xlfn.IFNA(IF(AE1286 &lt; (INDEX(SLATable[Minimum SLA],MATCH(G1286,SLATable[Priority],0))),"YES","NO"),"")</f>
        <v/>
      </c>
      <c r="AJ1286" s="28" t="str">
        <f>_xlfn.IFNA(IF(AE1286 &lt; (INDEX(SLATable[Maximum SLA],MATCH(G1286,SLATable[Priority],0))),"YES","NO"),"")</f>
        <v/>
      </c>
    </row>
    <row r="1287" spans="26:36" ht="15" customHeight="1">
      <c r="Z1287" s="169" t="e">
        <f t="shared" ca="1" si="197"/>
        <v>#N/A</v>
      </c>
      <c r="AA1287" s="170" t="e">
        <f t="shared" ca="1" si="198"/>
        <v>#N/A</v>
      </c>
      <c r="AB1287" s="169">
        <f t="shared" ca="1" si="199"/>
        <v>0</v>
      </c>
      <c r="AC1287" s="170">
        <f t="shared" ca="1" si="200"/>
        <v>0</v>
      </c>
      <c r="AD1287" s="169">
        <f t="shared" ca="1" si="201"/>
        <v>12388.425641087964</v>
      </c>
      <c r="AE1287" s="169">
        <f t="shared" si="204"/>
        <v>0</v>
      </c>
      <c r="AF1287" s="170">
        <f t="shared" si="202"/>
        <v>0</v>
      </c>
      <c r="AG1287" s="170">
        <f t="shared" si="203"/>
        <v>0</v>
      </c>
      <c r="AH1287" s="28" t="e" cm="1">
        <f t="array" aca="1" ref="AH1287" ca="1">IF((AD1287) &lt; (INDEX(ResponseSLA[#All],(MATCH((G1287),ResponseSLA[Priority],0))+1,3)),"YES","No")</f>
        <v>#N/A</v>
      </c>
      <c r="AI1287" s="28" t="str">
        <f>_xlfn.IFNA(IF(AE1287 &lt; (INDEX(SLATable[Minimum SLA],MATCH(G1287,SLATable[Priority],0))),"YES","NO"),"")</f>
        <v/>
      </c>
      <c r="AJ1287" s="28" t="str">
        <f>_xlfn.IFNA(IF(AE1287 &lt; (INDEX(SLATable[Maximum SLA],MATCH(G1287,SLATable[Priority],0))),"YES","NO"),"")</f>
        <v/>
      </c>
    </row>
    <row r="1288" spans="26:36" ht="15" customHeight="1">
      <c r="Z1288" s="169" t="e">
        <f t="shared" ca="1" si="197"/>
        <v>#N/A</v>
      </c>
      <c r="AA1288" s="170" t="e">
        <f t="shared" ca="1" si="198"/>
        <v>#N/A</v>
      </c>
      <c r="AB1288" s="169">
        <f t="shared" ca="1" si="199"/>
        <v>0</v>
      </c>
      <c r="AC1288" s="170">
        <f t="shared" ca="1" si="200"/>
        <v>0</v>
      </c>
      <c r="AD1288" s="169">
        <f t="shared" ca="1" si="201"/>
        <v>12388.425641087964</v>
      </c>
      <c r="AE1288" s="169">
        <f t="shared" si="204"/>
        <v>0</v>
      </c>
      <c r="AF1288" s="170">
        <f t="shared" si="202"/>
        <v>0</v>
      </c>
      <c r="AG1288" s="170">
        <f t="shared" si="203"/>
        <v>0</v>
      </c>
      <c r="AH1288" s="28" t="e" cm="1">
        <f t="array" aca="1" ref="AH1288" ca="1">IF((AD1288) &lt; (INDEX(ResponseSLA[#All],(MATCH((G1288),ResponseSLA[Priority],0))+1,3)),"YES","No")</f>
        <v>#N/A</v>
      </c>
      <c r="AI1288" s="28" t="str">
        <f>_xlfn.IFNA(IF(AE1288 &lt; (INDEX(SLATable[Minimum SLA],MATCH(G1288,SLATable[Priority],0))),"YES","NO"),"")</f>
        <v/>
      </c>
      <c r="AJ1288" s="28" t="str">
        <f>_xlfn.IFNA(IF(AE1288 &lt; (INDEX(SLATable[Maximum SLA],MATCH(G1288,SLATable[Priority],0))),"YES","NO"),"")</f>
        <v/>
      </c>
    </row>
    <row r="1289" spans="26:36" ht="15" customHeight="1">
      <c r="Z1289" s="169" t="e">
        <f t="shared" ca="1" si="197"/>
        <v>#N/A</v>
      </c>
      <c r="AA1289" s="170" t="e">
        <f t="shared" ca="1" si="198"/>
        <v>#N/A</v>
      </c>
      <c r="AB1289" s="169">
        <f t="shared" ca="1" si="199"/>
        <v>0</v>
      </c>
      <c r="AC1289" s="170">
        <f t="shared" ca="1" si="200"/>
        <v>0</v>
      </c>
      <c r="AD1289" s="169">
        <f t="shared" ca="1" si="201"/>
        <v>12388.425641087964</v>
      </c>
      <c r="AE1289" s="169">
        <f t="shared" si="204"/>
        <v>0</v>
      </c>
      <c r="AF1289" s="170">
        <f t="shared" si="202"/>
        <v>0</v>
      </c>
      <c r="AG1289" s="170">
        <f t="shared" si="203"/>
        <v>0</v>
      </c>
      <c r="AH1289" s="28" t="e" cm="1">
        <f t="array" aca="1" ref="AH1289" ca="1">IF((AD1289) &lt; (INDEX(ResponseSLA[#All],(MATCH((G1289),ResponseSLA[Priority],0))+1,3)),"YES","No")</f>
        <v>#N/A</v>
      </c>
      <c r="AI1289" s="28" t="str">
        <f>_xlfn.IFNA(IF(AE1289 &lt; (INDEX(SLATable[Minimum SLA],MATCH(G1289,SLATable[Priority],0))),"YES","NO"),"")</f>
        <v/>
      </c>
      <c r="AJ1289" s="28" t="str">
        <f>_xlfn.IFNA(IF(AE1289 &lt; (INDEX(SLATable[Maximum SLA],MATCH(G1289,SLATable[Priority],0))),"YES","NO"),"")</f>
        <v/>
      </c>
    </row>
    <row r="1290" spans="26:36" ht="15" customHeight="1">
      <c r="Z1290" s="169" t="e">
        <f t="shared" ca="1" si="197"/>
        <v>#N/A</v>
      </c>
      <c r="AA1290" s="170" t="e">
        <f t="shared" ca="1" si="198"/>
        <v>#N/A</v>
      </c>
      <c r="AB1290" s="169">
        <f t="shared" ca="1" si="199"/>
        <v>0</v>
      </c>
      <c r="AC1290" s="170">
        <f t="shared" ca="1" si="200"/>
        <v>0</v>
      </c>
      <c r="AD1290" s="169">
        <f t="shared" ca="1" si="201"/>
        <v>12388.425641087964</v>
      </c>
      <c r="AE1290" s="169">
        <f t="shared" si="204"/>
        <v>0</v>
      </c>
      <c r="AF1290" s="170">
        <f t="shared" si="202"/>
        <v>0</v>
      </c>
      <c r="AG1290" s="170">
        <f t="shared" si="203"/>
        <v>0</v>
      </c>
      <c r="AH1290" s="28" t="e" cm="1">
        <f t="array" aca="1" ref="AH1290" ca="1">IF((AD1290) &lt; (INDEX(ResponseSLA[#All],(MATCH((G1290),ResponseSLA[Priority],0))+1,3)),"YES","No")</f>
        <v>#N/A</v>
      </c>
      <c r="AI1290" s="28" t="str">
        <f>_xlfn.IFNA(IF(AE1290 &lt; (INDEX(SLATable[Minimum SLA],MATCH(G1290,SLATable[Priority],0))),"YES","NO"),"")</f>
        <v/>
      </c>
      <c r="AJ1290" s="28" t="str">
        <f>_xlfn.IFNA(IF(AE1290 &lt; (INDEX(SLATable[Maximum SLA],MATCH(G1290,SLATable[Priority],0))),"YES","NO"),"")</f>
        <v/>
      </c>
    </row>
    <row r="1291" spans="26:36" ht="15" customHeight="1">
      <c r="Z1291" s="169" t="e">
        <f t="shared" ca="1" si="197"/>
        <v>#N/A</v>
      </c>
      <c r="AA1291" s="170" t="e">
        <f t="shared" ca="1" si="198"/>
        <v>#N/A</v>
      </c>
      <c r="AB1291" s="169">
        <f t="shared" ca="1" si="199"/>
        <v>0</v>
      </c>
      <c r="AC1291" s="170">
        <f t="shared" ca="1" si="200"/>
        <v>0</v>
      </c>
      <c r="AD1291" s="169">
        <f t="shared" ca="1" si="201"/>
        <v>12388.425641087964</v>
      </c>
      <c r="AE1291" s="169">
        <f t="shared" si="204"/>
        <v>0</v>
      </c>
      <c r="AF1291" s="170">
        <f t="shared" si="202"/>
        <v>0</v>
      </c>
      <c r="AG1291" s="170">
        <f t="shared" si="203"/>
        <v>0</v>
      </c>
      <c r="AH1291" s="28" t="e" cm="1">
        <f t="array" aca="1" ref="AH1291" ca="1">IF((AD1291) &lt; (INDEX(ResponseSLA[#All],(MATCH((G1291),ResponseSLA[Priority],0))+1,3)),"YES","No")</f>
        <v>#N/A</v>
      </c>
      <c r="AI1291" s="28" t="str">
        <f>_xlfn.IFNA(IF(AE1291 &lt; (INDEX(SLATable[Minimum SLA],MATCH(G1291,SLATable[Priority],0))),"YES","NO"),"")</f>
        <v/>
      </c>
      <c r="AJ1291" s="28" t="str">
        <f>_xlfn.IFNA(IF(AE1291 &lt; (INDEX(SLATable[Maximum SLA],MATCH(G1291,SLATable[Priority],0))),"YES","NO"),"")</f>
        <v/>
      </c>
    </row>
    <row r="1292" spans="26:36" ht="15" customHeight="1">
      <c r="Z1292" s="169" t="e">
        <f t="shared" ca="1" si="197"/>
        <v>#N/A</v>
      </c>
      <c r="AA1292" s="170" t="e">
        <f t="shared" ca="1" si="198"/>
        <v>#N/A</v>
      </c>
      <c r="AB1292" s="169">
        <f t="shared" ca="1" si="199"/>
        <v>0</v>
      </c>
      <c r="AC1292" s="170">
        <f t="shared" ca="1" si="200"/>
        <v>0</v>
      </c>
      <c r="AD1292" s="169">
        <f t="shared" ca="1" si="201"/>
        <v>12388.425641087964</v>
      </c>
      <c r="AE1292" s="169">
        <f t="shared" si="204"/>
        <v>0</v>
      </c>
      <c r="AF1292" s="170">
        <f t="shared" si="202"/>
        <v>0</v>
      </c>
      <c r="AG1292" s="170">
        <f t="shared" si="203"/>
        <v>0</v>
      </c>
      <c r="AH1292" s="28" t="e" cm="1">
        <f t="array" aca="1" ref="AH1292" ca="1">IF((AD1292) &lt; (INDEX(ResponseSLA[#All],(MATCH((G1292),ResponseSLA[Priority],0))+1,3)),"YES","No")</f>
        <v>#N/A</v>
      </c>
      <c r="AI1292" s="28" t="str">
        <f>_xlfn.IFNA(IF(AE1292 &lt; (INDEX(SLATable[Minimum SLA],MATCH(G1292,SLATable[Priority],0))),"YES","NO"),"")</f>
        <v/>
      </c>
      <c r="AJ1292" s="28" t="str">
        <f>_xlfn.IFNA(IF(AE1292 &lt; (INDEX(SLATable[Maximum SLA],MATCH(G1292,SLATable[Priority],0))),"YES","NO"),"")</f>
        <v/>
      </c>
    </row>
    <row r="1293" spans="26:36" ht="15" customHeight="1">
      <c r="Z1293" s="169" t="e">
        <f t="shared" ca="1" si="197"/>
        <v>#N/A</v>
      </c>
      <c r="AA1293" s="170" t="e">
        <f t="shared" ca="1" si="198"/>
        <v>#N/A</v>
      </c>
      <c r="AB1293" s="169">
        <f t="shared" ca="1" si="199"/>
        <v>0</v>
      </c>
      <c r="AC1293" s="170">
        <f t="shared" ca="1" si="200"/>
        <v>0</v>
      </c>
      <c r="AD1293" s="169">
        <f t="shared" ca="1" si="201"/>
        <v>12388.425641087964</v>
      </c>
      <c r="AE1293" s="169">
        <f t="shared" si="204"/>
        <v>0</v>
      </c>
      <c r="AF1293" s="170">
        <f t="shared" si="202"/>
        <v>0</v>
      </c>
      <c r="AG1293" s="170">
        <f t="shared" si="203"/>
        <v>0</v>
      </c>
      <c r="AH1293" s="28" t="e" cm="1">
        <f t="array" aca="1" ref="AH1293" ca="1">IF((AD1293) &lt; (INDEX(ResponseSLA[#All],(MATCH((G1293),ResponseSLA[Priority],0))+1,3)),"YES","No")</f>
        <v>#N/A</v>
      </c>
      <c r="AI1293" s="28" t="str">
        <f>_xlfn.IFNA(IF(AE1293 &lt; (INDEX(SLATable[Minimum SLA],MATCH(G1293,SLATable[Priority],0))),"YES","NO"),"")</f>
        <v/>
      </c>
      <c r="AJ1293" s="28" t="str">
        <f>_xlfn.IFNA(IF(AE1293 &lt; (INDEX(SLATable[Maximum SLA],MATCH(G1293,SLATable[Priority],0))),"YES","NO"),"")</f>
        <v/>
      </c>
    </row>
    <row r="1294" spans="26:36" ht="15" customHeight="1">
      <c r="Z1294" s="169" t="e">
        <f t="shared" ca="1" si="197"/>
        <v>#N/A</v>
      </c>
      <c r="AA1294" s="170" t="e">
        <f t="shared" ca="1" si="198"/>
        <v>#N/A</v>
      </c>
      <c r="AB1294" s="169">
        <f t="shared" ca="1" si="199"/>
        <v>0</v>
      </c>
      <c r="AC1294" s="170">
        <f t="shared" ca="1" si="200"/>
        <v>0</v>
      </c>
      <c r="AD1294" s="169">
        <f t="shared" ca="1" si="201"/>
        <v>12388.425641087964</v>
      </c>
      <c r="AE1294" s="169">
        <f t="shared" si="204"/>
        <v>0</v>
      </c>
      <c r="AF1294" s="170">
        <f t="shared" si="202"/>
        <v>0</v>
      </c>
      <c r="AG1294" s="170">
        <f t="shared" si="203"/>
        <v>0</v>
      </c>
      <c r="AH1294" s="28" t="e" cm="1">
        <f t="array" aca="1" ref="AH1294" ca="1">IF((AD1294) &lt; (INDEX(ResponseSLA[#All],(MATCH((G1294),ResponseSLA[Priority],0))+1,3)),"YES","No")</f>
        <v>#N/A</v>
      </c>
      <c r="AI1294" s="28" t="str">
        <f>_xlfn.IFNA(IF(AE1294 &lt; (INDEX(SLATable[Minimum SLA],MATCH(G1294,SLATable[Priority],0))),"YES","NO"),"")</f>
        <v/>
      </c>
      <c r="AJ1294" s="28" t="str">
        <f>_xlfn.IFNA(IF(AE1294 &lt; (INDEX(SLATable[Maximum SLA],MATCH(G1294,SLATable[Priority],0))),"YES","NO"),"")</f>
        <v/>
      </c>
    </row>
    <row r="1295" spans="26:36" ht="15" customHeight="1">
      <c r="Z1295" s="169" t="e">
        <f t="shared" ca="1" si="197"/>
        <v>#N/A</v>
      </c>
      <c r="AA1295" s="170" t="e">
        <f t="shared" ca="1" si="198"/>
        <v>#N/A</v>
      </c>
      <c r="AB1295" s="169">
        <f t="shared" ca="1" si="199"/>
        <v>0</v>
      </c>
      <c r="AC1295" s="170">
        <f t="shared" ca="1" si="200"/>
        <v>0</v>
      </c>
      <c r="AD1295" s="169">
        <f t="shared" ca="1" si="201"/>
        <v>12388.425641087964</v>
      </c>
      <c r="AE1295" s="169">
        <f t="shared" si="204"/>
        <v>0</v>
      </c>
      <c r="AF1295" s="170">
        <f t="shared" si="202"/>
        <v>0</v>
      </c>
      <c r="AG1295" s="170">
        <f t="shared" si="203"/>
        <v>0</v>
      </c>
      <c r="AH1295" s="28" t="e" cm="1">
        <f t="array" aca="1" ref="AH1295" ca="1">IF((AD1295) &lt; (INDEX(ResponseSLA[#All],(MATCH((G1295),ResponseSLA[Priority],0))+1,3)),"YES","No")</f>
        <v>#N/A</v>
      </c>
      <c r="AI1295" s="28" t="str">
        <f>_xlfn.IFNA(IF(AE1295 &lt; (INDEX(SLATable[Minimum SLA],MATCH(G1295,SLATable[Priority],0))),"YES","NO"),"")</f>
        <v/>
      </c>
      <c r="AJ1295" s="28" t="str">
        <f>_xlfn.IFNA(IF(AE1295 &lt; (INDEX(SLATable[Maximum SLA],MATCH(G1295,SLATable[Priority],0))),"YES","NO"),"")</f>
        <v/>
      </c>
    </row>
    <row r="1296" spans="26:36" ht="15" customHeight="1">
      <c r="Z1296" s="169" t="e">
        <f t="shared" ca="1" si="197"/>
        <v>#N/A</v>
      </c>
      <c r="AA1296" s="170" t="e">
        <f t="shared" ca="1" si="198"/>
        <v>#N/A</v>
      </c>
      <c r="AB1296" s="169">
        <f t="shared" ca="1" si="199"/>
        <v>0</v>
      </c>
      <c r="AC1296" s="170">
        <f t="shared" ca="1" si="200"/>
        <v>0</v>
      </c>
      <c r="AD1296" s="169">
        <f t="shared" ca="1" si="201"/>
        <v>12388.425641087964</v>
      </c>
      <c r="AE1296" s="169">
        <f t="shared" si="204"/>
        <v>0</v>
      </c>
      <c r="AF1296" s="170">
        <f t="shared" si="202"/>
        <v>0</v>
      </c>
      <c r="AG1296" s="170">
        <f t="shared" si="203"/>
        <v>0</v>
      </c>
      <c r="AH1296" s="28" t="e" cm="1">
        <f t="array" aca="1" ref="AH1296" ca="1">IF((AD1296) &lt; (INDEX(ResponseSLA[#All],(MATCH((G1296),ResponseSLA[Priority],0))+1,3)),"YES","No")</f>
        <v>#N/A</v>
      </c>
      <c r="AI1296" s="28" t="str">
        <f>_xlfn.IFNA(IF(AE1296 &lt; (INDEX(SLATable[Minimum SLA],MATCH(G1296,SLATable[Priority],0))),"YES","NO"),"")</f>
        <v/>
      </c>
      <c r="AJ1296" s="28" t="str">
        <f>_xlfn.IFNA(IF(AE1296 &lt; (INDEX(SLATable[Maximum SLA],MATCH(G1296,SLATable[Priority],0))),"YES","NO"),"")</f>
        <v/>
      </c>
    </row>
    <row r="1297" spans="26:36" ht="15" customHeight="1">
      <c r="Z1297" s="169" t="e">
        <f t="shared" ca="1" si="197"/>
        <v>#N/A</v>
      </c>
      <c r="AA1297" s="170" t="e">
        <f t="shared" ca="1" si="198"/>
        <v>#N/A</v>
      </c>
      <c r="AB1297" s="169">
        <f t="shared" ca="1" si="199"/>
        <v>0</v>
      </c>
      <c r="AC1297" s="170">
        <f t="shared" ca="1" si="200"/>
        <v>0</v>
      </c>
      <c r="AD1297" s="169">
        <f t="shared" ca="1" si="201"/>
        <v>12388.425641087964</v>
      </c>
      <c r="AE1297" s="169">
        <f t="shared" si="204"/>
        <v>0</v>
      </c>
      <c r="AF1297" s="170">
        <f t="shared" si="202"/>
        <v>0</v>
      </c>
      <c r="AG1297" s="170">
        <f t="shared" si="203"/>
        <v>0</v>
      </c>
      <c r="AH1297" s="28" t="e" cm="1">
        <f t="array" aca="1" ref="AH1297" ca="1">IF((AD1297) &lt; (INDEX(ResponseSLA[#All],(MATCH((G1297),ResponseSLA[Priority],0))+1,3)),"YES","No")</f>
        <v>#N/A</v>
      </c>
      <c r="AI1297" s="28" t="str">
        <f>_xlfn.IFNA(IF(AE1297 &lt; (INDEX(SLATable[Minimum SLA],MATCH(G1297,SLATable[Priority],0))),"YES","NO"),"")</f>
        <v/>
      </c>
      <c r="AJ1297" s="28" t="str">
        <f>_xlfn.IFNA(IF(AE1297 &lt; (INDEX(SLATable[Maximum SLA],MATCH(G1297,SLATable[Priority],0))),"YES","NO"),"")</f>
        <v/>
      </c>
    </row>
    <row r="1298" spans="26:36" ht="15" customHeight="1">
      <c r="Z1298" s="169" t="e">
        <f t="shared" ca="1" si="197"/>
        <v>#N/A</v>
      </c>
      <c r="AA1298" s="170" t="e">
        <f t="shared" ca="1" si="198"/>
        <v>#N/A</v>
      </c>
      <c r="AB1298" s="169">
        <f t="shared" ca="1" si="199"/>
        <v>0</v>
      </c>
      <c r="AC1298" s="170">
        <f t="shared" ca="1" si="200"/>
        <v>0</v>
      </c>
      <c r="AD1298" s="169">
        <f t="shared" ca="1" si="201"/>
        <v>12388.425641087964</v>
      </c>
      <c r="AE1298" s="169">
        <f t="shared" si="204"/>
        <v>0</v>
      </c>
      <c r="AF1298" s="170">
        <f t="shared" si="202"/>
        <v>0</v>
      </c>
      <c r="AG1298" s="170">
        <f t="shared" si="203"/>
        <v>0</v>
      </c>
      <c r="AH1298" s="28" t="e" cm="1">
        <f t="array" aca="1" ref="AH1298" ca="1">IF((AD1298) &lt; (INDEX(ResponseSLA[#All],(MATCH((G1298),ResponseSLA[Priority],0))+1,3)),"YES","No")</f>
        <v>#N/A</v>
      </c>
      <c r="AI1298" s="28" t="str">
        <f>_xlfn.IFNA(IF(AE1298 &lt; (INDEX(SLATable[Minimum SLA],MATCH(G1298,SLATable[Priority],0))),"YES","NO"),"")</f>
        <v/>
      </c>
      <c r="AJ1298" s="28" t="str">
        <f>_xlfn.IFNA(IF(AE1298 &lt; (INDEX(SLATable[Maximum SLA],MATCH(G1298,SLATable[Priority],0))),"YES","NO"),"")</f>
        <v/>
      </c>
    </row>
    <row r="1299" spans="26:36" ht="15" customHeight="1">
      <c r="Z1299" s="169" t="e">
        <f t="shared" ca="1" si="197"/>
        <v>#N/A</v>
      </c>
      <c r="AA1299" s="170" t="e">
        <f t="shared" ca="1" si="198"/>
        <v>#N/A</v>
      </c>
      <c r="AB1299" s="169">
        <f t="shared" ca="1" si="199"/>
        <v>0</v>
      </c>
      <c r="AC1299" s="170">
        <f t="shared" ca="1" si="200"/>
        <v>0</v>
      </c>
      <c r="AD1299" s="169">
        <f t="shared" ca="1" si="201"/>
        <v>12388.425641087964</v>
      </c>
      <c r="AE1299" s="169">
        <f t="shared" si="204"/>
        <v>0</v>
      </c>
      <c r="AF1299" s="170">
        <f t="shared" si="202"/>
        <v>0</v>
      </c>
      <c r="AG1299" s="170">
        <f t="shared" si="203"/>
        <v>0</v>
      </c>
      <c r="AH1299" s="28" t="e" cm="1">
        <f t="array" aca="1" ref="AH1299" ca="1">IF((AD1299) &lt; (INDEX(ResponseSLA[#All],(MATCH((G1299),ResponseSLA[Priority],0))+1,3)),"YES","No")</f>
        <v>#N/A</v>
      </c>
      <c r="AI1299" s="28" t="str">
        <f>_xlfn.IFNA(IF(AE1299 &lt; (INDEX(SLATable[Minimum SLA],MATCH(G1299,SLATable[Priority],0))),"YES","NO"),"")</f>
        <v/>
      </c>
      <c r="AJ1299" s="28" t="str">
        <f>_xlfn.IFNA(IF(AE1299 &lt; (INDEX(SLATable[Maximum SLA],MATCH(G1299,SLATable[Priority],0))),"YES","NO"),"")</f>
        <v/>
      </c>
    </row>
    <row r="1300" spans="26:36" ht="15" customHeight="1">
      <c r="Z1300" s="169" t="e">
        <f t="shared" ca="1" si="197"/>
        <v>#N/A</v>
      </c>
      <c r="AA1300" s="170" t="e">
        <f t="shared" ca="1" si="198"/>
        <v>#N/A</v>
      </c>
      <c r="AB1300" s="169">
        <f t="shared" ca="1" si="199"/>
        <v>0</v>
      </c>
      <c r="AC1300" s="170">
        <f t="shared" ca="1" si="200"/>
        <v>0</v>
      </c>
      <c r="AD1300" s="169">
        <f t="shared" ca="1" si="201"/>
        <v>12388.425641087964</v>
      </c>
      <c r="AE1300" s="169">
        <f t="shared" si="204"/>
        <v>0</v>
      </c>
      <c r="AF1300" s="170">
        <f t="shared" si="202"/>
        <v>0</v>
      </c>
      <c r="AG1300" s="170">
        <f t="shared" si="203"/>
        <v>0</v>
      </c>
      <c r="AH1300" s="28" t="e" cm="1">
        <f t="array" aca="1" ref="AH1300" ca="1">IF((AD1300) &lt; (INDEX(ResponseSLA[#All],(MATCH((G1300),ResponseSLA[Priority],0))+1,3)),"YES","No")</f>
        <v>#N/A</v>
      </c>
      <c r="AI1300" s="28" t="str">
        <f>_xlfn.IFNA(IF(AE1300 &lt; (INDEX(SLATable[Minimum SLA],MATCH(G1300,SLATable[Priority],0))),"YES","NO"),"")</f>
        <v/>
      </c>
      <c r="AJ1300" s="28" t="str">
        <f>_xlfn.IFNA(IF(AE1300 &lt; (INDEX(SLATable[Maximum SLA],MATCH(G1300,SLATable[Priority],0))),"YES","NO"),"")</f>
        <v/>
      </c>
    </row>
    <row r="1301" spans="26:36" ht="15" customHeight="1">
      <c r="Z1301" s="169" t="e">
        <f t="shared" ca="1" si="197"/>
        <v>#N/A</v>
      </c>
      <c r="AA1301" s="170" t="e">
        <f t="shared" ca="1" si="198"/>
        <v>#N/A</v>
      </c>
      <c r="AB1301" s="169">
        <f t="shared" ca="1" si="199"/>
        <v>0</v>
      </c>
      <c r="AC1301" s="170">
        <f t="shared" ca="1" si="200"/>
        <v>0</v>
      </c>
      <c r="AD1301" s="169">
        <f t="shared" ca="1" si="201"/>
        <v>12388.425641087964</v>
      </c>
      <c r="AE1301" s="169">
        <f t="shared" si="204"/>
        <v>0</v>
      </c>
      <c r="AF1301" s="170">
        <f t="shared" si="202"/>
        <v>0</v>
      </c>
      <c r="AG1301" s="170">
        <f t="shared" si="203"/>
        <v>0</v>
      </c>
      <c r="AH1301" s="28" t="e" cm="1">
        <f t="array" aca="1" ref="AH1301" ca="1">IF((AD1301) &lt; (INDEX(ResponseSLA[#All],(MATCH((G1301),ResponseSLA[Priority],0))+1,3)),"YES","No")</f>
        <v>#N/A</v>
      </c>
      <c r="AI1301" s="28" t="str">
        <f>_xlfn.IFNA(IF(AE1301 &lt; (INDEX(SLATable[Minimum SLA],MATCH(G1301,SLATable[Priority],0))),"YES","NO"),"")</f>
        <v/>
      </c>
      <c r="AJ1301" s="28" t="str">
        <f>_xlfn.IFNA(IF(AE1301 &lt; (INDEX(SLATable[Maximum SLA],MATCH(G1301,SLATable[Priority],0))),"YES","NO"),"")</f>
        <v/>
      </c>
    </row>
    <row r="1302" spans="26:36" ht="15" customHeight="1">
      <c r="Z1302" s="169" t="e">
        <f t="shared" ca="1" si="197"/>
        <v>#N/A</v>
      </c>
      <c r="AA1302" s="170" t="e">
        <f t="shared" ca="1" si="198"/>
        <v>#N/A</v>
      </c>
      <c r="AB1302" s="169">
        <f t="shared" ca="1" si="199"/>
        <v>0</v>
      </c>
      <c r="AC1302" s="170">
        <f t="shared" ca="1" si="200"/>
        <v>0</v>
      </c>
      <c r="AD1302" s="169">
        <f t="shared" ca="1" si="201"/>
        <v>12388.425641087964</v>
      </c>
      <c r="AE1302" s="169">
        <f t="shared" si="204"/>
        <v>0</v>
      </c>
      <c r="AF1302" s="170">
        <f t="shared" si="202"/>
        <v>0</v>
      </c>
      <c r="AG1302" s="170">
        <f t="shared" si="203"/>
        <v>0</v>
      </c>
      <c r="AH1302" s="28" t="e" cm="1">
        <f t="array" aca="1" ref="AH1302" ca="1">IF((AD1302) &lt; (INDEX(ResponseSLA[#All],(MATCH((G1302),ResponseSLA[Priority],0))+1,3)),"YES","No")</f>
        <v>#N/A</v>
      </c>
      <c r="AI1302" s="28" t="str">
        <f>_xlfn.IFNA(IF(AE1302 &lt; (INDEX(SLATable[Minimum SLA],MATCH(G1302,SLATable[Priority],0))),"YES","NO"),"")</f>
        <v/>
      </c>
      <c r="AJ1302" s="28" t="str">
        <f>_xlfn.IFNA(IF(AE1302 &lt; (INDEX(SLATable[Maximum SLA],MATCH(G1302,SLATable[Priority],0))),"YES","NO"),"")</f>
        <v/>
      </c>
    </row>
    <row r="1303" spans="26:36" ht="15" customHeight="1">
      <c r="Z1303" s="169" t="e">
        <f t="shared" ca="1" si="197"/>
        <v>#N/A</v>
      </c>
      <c r="AA1303" s="170" t="e">
        <f t="shared" ca="1" si="198"/>
        <v>#N/A</v>
      </c>
      <c r="AB1303" s="169">
        <f t="shared" ca="1" si="199"/>
        <v>0</v>
      </c>
      <c r="AC1303" s="170">
        <f t="shared" ca="1" si="200"/>
        <v>0</v>
      </c>
      <c r="AD1303" s="169">
        <f t="shared" ca="1" si="201"/>
        <v>12388.425641087964</v>
      </c>
      <c r="AE1303" s="169">
        <f t="shared" si="204"/>
        <v>0</v>
      </c>
      <c r="AF1303" s="170">
        <f t="shared" si="202"/>
        <v>0</v>
      </c>
      <c r="AG1303" s="170">
        <f t="shared" si="203"/>
        <v>0</v>
      </c>
      <c r="AH1303" s="28" t="e" cm="1">
        <f t="array" aca="1" ref="AH1303" ca="1">IF((AD1303) &lt; (INDEX(ResponseSLA[#All],(MATCH((G1303),ResponseSLA[Priority],0))+1,3)),"YES","No")</f>
        <v>#N/A</v>
      </c>
      <c r="AI1303" s="28" t="str">
        <f>_xlfn.IFNA(IF(AE1303 &lt; (INDEX(SLATable[Minimum SLA],MATCH(G1303,SLATable[Priority],0))),"YES","NO"),"")</f>
        <v/>
      </c>
      <c r="AJ1303" s="28" t="str">
        <f>_xlfn.IFNA(IF(AE1303 &lt; (INDEX(SLATable[Maximum SLA],MATCH(G1303,SLATable[Priority],0))),"YES","NO"),"")</f>
        <v/>
      </c>
    </row>
    <row r="1304" spans="26:36" ht="15" customHeight="1">
      <c r="Z1304" s="169" t="e">
        <f t="shared" ca="1" si="197"/>
        <v>#N/A</v>
      </c>
      <c r="AA1304" s="170" t="e">
        <f t="shared" ca="1" si="198"/>
        <v>#N/A</v>
      </c>
      <c r="AB1304" s="169">
        <f t="shared" ca="1" si="199"/>
        <v>0</v>
      </c>
      <c r="AC1304" s="170">
        <f t="shared" ca="1" si="200"/>
        <v>0</v>
      </c>
      <c r="AD1304" s="169">
        <f t="shared" ca="1" si="201"/>
        <v>12388.425641087964</v>
      </c>
      <c r="AE1304" s="169">
        <f t="shared" si="204"/>
        <v>0</v>
      </c>
      <c r="AF1304" s="170">
        <f t="shared" si="202"/>
        <v>0</v>
      </c>
      <c r="AG1304" s="170">
        <f t="shared" si="203"/>
        <v>0</v>
      </c>
      <c r="AH1304" s="28" t="e" cm="1">
        <f t="array" aca="1" ref="AH1304" ca="1">IF((AD1304) &lt; (INDEX(ResponseSLA[#All],(MATCH((G1304),ResponseSLA[Priority],0))+1,3)),"YES","No")</f>
        <v>#N/A</v>
      </c>
      <c r="AI1304" s="28" t="str">
        <f>_xlfn.IFNA(IF(AE1304 &lt; (INDEX(SLATable[Minimum SLA],MATCH(G1304,SLATable[Priority],0))),"YES","NO"),"")</f>
        <v/>
      </c>
      <c r="AJ1304" s="28" t="str">
        <f>_xlfn.IFNA(IF(AE1304 &lt; (INDEX(SLATable[Maximum SLA],MATCH(G1304,SLATable[Priority],0))),"YES","NO"),"")</f>
        <v/>
      </c>
    </row>
    <row r="1305" spans="26:36" ht="15" customHeight="1">
      <c r="Z1305" s="169" t="e">
        <f t="shared" ca="1" si="197"/>
        <v>#N/A</v>
      </c>
      <c r="AA1305" s="170" t="e">
        <f t="shared" ca="1" si="198"/>
        <v>#N/A</v>
      </c>
      <c r="AB1305" s="169">
        <f t="shared" ca="1" si="199"/>
        <v>0</v>
      </c>
      <c r="AC1305" s="170">
        <f t="shared" ca="1" si="200"/>
        <v>0</v>
      </c>
      <c r="AD1305" s="169">
        <f t="shared" ca="1" si="201"/>
        <v>12388.425641087964</v>
      </c>
      <c r="AE1305" s="169">
        <f t="shared" si="204"/>
        <v>0</v>
      </c>
      <c r="AF1305" s="170">
        <f t="shared" si="202"/>
        <v>0</v>
      </c>
      <c r="AG1305" s="170">
        <f t="shared" si="203"/>
        <v>0</v>
      </c>
      <c r="AH1305" s="28" t="e" cm="1">
        <f t="array" aca="1" ref="AH1305" ca="1">IF((AD1305) &lt; (INDEX(ResponseSLA[#All],(MATCH((G1305),ResponseSLA[Priority],0))+1,3)),"YES","No")</f>
        <v>#N/A</v>
      </c>
      <c r="AI1305" s="28" t="str">
        <f>_xlfn.IFNA(IF(AE1305 &lt; (INDEX(SLATable[Minimum SLA],MATCH(G1305,SLATable[Priority],0))),"YES","NO"),"")</f>
        <v/>
      </c>
      <c r="AJ1305" s="28" t="str">
        <f>_xlfn.IFNA(IF(AE1305 &lt; (INDEX(SLATable[Maximum SLA],MATCH(G1305,SLATable[Priority],0))),"YES","NO"),"")</f>
        <v/>
      </c>
    </row>
    <row r="1306" spans="26:36" ht="15" customHeight="1">
      <c r="Z1306" s="169" t="e">
        <f t="shared" ca="1" si="197"/>
        <v>#N/A</v>
      </c>
      <c r="AA1306" s="170" t="e">
        <f t="shared" ca="1" si="198"/>
        <v>#N/A</v>
      </c>
      <c r="AB1306" s="169">
        <f t="shared" ca="1" si="199"/>
        <v>0</v>
      </c>
      <c r="AC1306" s="170">
        <f t="shared" ca="1" si="200"/>
        <v>0</v>
      </c>
      <c r="AD1306" s="169">
        <f t="shared" ca="1" si="201"/>
        <v>12388.425641087964</v>
      </c>
      <c r="AE1306" s="169">
        <f t="shared" si="204"/>
        <v>0</v>
      </c>
      <c r="AF1306" s="170">
        <f t="shared" si="202"/>
        <v>0</v>
      </c>
      <c r="AG1306" s="170">
        <f t="shared" si="203"/>
        <v>0</v>
      </c>
      <c r="AH1306" s="28" t="e" cm="1">
        <f t="array" aca="1" ref="AH1306" ca="1">IF((AD1306) &lt; (INDEX(ResponseSLA[#All],(MATCH((G1306),ResponseSLA[Priority],0))+1,3)),"YES","No")</f>
        <v>#N/A</v>
      </c>
      <c r="AI1306" s="28" t="str">
        <f>_xlfn.IFNA(IF(AE1306 &lt; (INDEX(SLATable[Minimum SLA],MATCH(G1306,SLATable[Priority],0))),"YES","NO"),"")</f>
        <v/>
      </c>
      <c r="AJ1306" s="28" t="str">
        <f>_xlfn.IFNA(IF(AE1306 &lt; (INDEX(SLATable[Maximum SLA],MATCH(G1306,SLATable[Priority],0))),"YES","NO"),"")</f>
        <v/>
      </c>
    </row>
    <row r="1307" spans="26:36" ht="15" customHeight="1">
      <c r="Z1307" s="169" t="e">
        <f t="shared" ca="1" si="197"/>
        <v>#N/A</v>
      </c>
      <c r="AA1307" s="170" t="e">
        <f t="shared" ca="1" si="198"/>
        <v>#N/A</v>
      </c>
      <c r="AB1307" s="169">
        <f t="shared" ca="1" si="199"/>
        <v>0</v>
      </c>
      <c r="AC1307" s="170">
        <f t="shared" ca="1" si="200"/>
        <v>0</v>
      </c>
      <c r="AD1307" s="169">
        <f t="shared" ca="1" si="201"/>
        <v>12388.425641087964</v>
      </c>
      <c r="AE1307" s="169">
        <f t="shared" si="204"/>
        <v>0</v>
      </c>
      <c r="AF1307" s="170">
        <f t="shared" si="202"/>
        <v>0</v>
      </c>
      <c r="AG1307" s="170">
        <f t="shared" si="203"/>
        <v>0</v>
      </c>
      <c r="AH1307" s="28" t="e" cm="1">
        <f t="array" aca="1" ref="AH1307" ca="1">IF((AD1307) &lt; (INDEX(ResponseSLA[#All],(MATCH((G1307),ResponseSLA[Priority],0))+1,3)),"YES","No")</f>
        <v>#N/A</v>
      </c>
      <c r="AI1307" s="28" t="str">
        <f>_xlfn.IFNA(IF(AE1307 &lt; (INDEX(SLATable[Minimum SLA],MATCH(G1307,SLATable[Priority],0))),"YES","NO"),"")</f>
        <v/>
      </c>
      <c r="AJ1307" s="28" t="str">
        <f>_xlfn.IFNA(IF(AE1307 &lt; (INDEX(SLATable[Maximum SLA],MATCH(G1307,SLATable[Priority],0))),"YES","NO"),"")</f>
        <v/>
      </c>
    </row>
    <row r="1308" spans="26:36" ht="15" customHeight="1">
      <c r="Z1308" s="169" t="e">
        <f t="shared" ca="1" si="197"/>
        <v>#N/A</v>
      </c>
      <c r="AA1308" s="170" t="e">
        <f t="shared" ca="1" si="198"/>
        <v>#N/A</v>
      </c>
      <c r="AB1308" s="169">
        <f t="shared" ca="1" si="199"/>
        <v>0</v>
      </c>
      <c r="AC1308" s="170">
        <f t="shared" ca="1" si="200"/>
        <v>0</v>
      </c>
      <c r="AD1308" s="169">
        <f t="shared" ca="1" si="201"/>
        <v>12388.425641087964</v>
      </c>
      <c r="AE1308" s="169">
        <f t="shared" si="204"/>
        <v>0</v>
      </c>
      <c r="AF1308" s="170">
        <f t="shared" si="202"/>
        <v>0</v>
      </c>
      <c r="AG1308" s="170">
        <f t="shared" si="203"/>
        <v>0</v>
      </c>
      <c r="AH1308" s="28" t="e" cm="1">
        <f t="array" aca="1" ref="AH1308" ca="1">IF((AD1308) &lt; (INDEX(ResponseSLA[#All],(MATCH((G1308),ResponseSLA[Priority],0))+1,3)),"YES","No")</f>
        <v>#N/A</v>
      </c>
      <c r="AI1308" s="28" t="str">
        <f>_xlfn.IFNA(IF(AE1308 &lt; (INDEX(SLATable[Minimum SLA],MATCH(G1308,SLATable[Priority],0))),"YES","NO"),"")</f>
        <v/>
      </c>
      <c r="AJ1308" s="28" t="str">
        <f>_xlfn.IFNA(IF(AE1308 &lt; (INDEX(SLATable[Maximum SLA],MATCH(G1308,SLATable[Priority],0))),"YES","NO"),"")</f>
        <v/>
      </c>
    </row>
    <row r="1309" spans="26:36" ht="15" customHeight="1">
      <c r="Z1309" s="169" t="e">
        <f t="shared" ca="1" si="197"/>
        <v>#N/A</v>
      </c>
      <c r="AA1309" s="170" t="e">
        <f t="shared" ca="1" si="198"/>
        <v>#N/A</v>
      </c>
      <c r="AB1309" s="169">
        <f t="shared" ca="1" si="199"/>
        <v>0</v>
      </c>
      <c r="AC1309" s="170">
        <f t="shared" ca="1" si="200"/>
        <v>0</v>
      </c>
      <c r="AD1309" s="169">
        <f t="shared" ca="1" si="201"/>
        <v>12388.425641087964</v>
      </c>
      <c r="AE1309" s="169">
        <f t="shared" si="204"/>
        <v>0</v>
      </c>
      <c r="AF1309" s="170">
        <f t="shared" si="202"/>
        <v>0</v>
      </c>
      <c r="AG1309" s="170">
        <f t="shared" si="203"/>
        <v>0</v>
      </c>
      <c r="AH1309" s="28" t="e" cm="1">
        <f t="array" aca="1" ref="AH1309" ca="1">IF((AD1309) &lt; (INDEX(ResponseSLA[#All],(MATCH((G1309),ResponseSLA[Priority],0))+1,3)),"YES","No")</f>
        <v>#N/A</v>
      </c>
      <c r="AI1309" s="28" t="str">
        <f>_xlfn.IFNA(IF(AE1309 &lt; (INDEX(SLATable[Minimum SLA],MATCH(G1309,SLATable[Priority],0))),"YES","NO"),"")</f>
        <v/>
      </c>
      <c r="AJ1309" s="28" t="str">
        <f>_xlfn.IFNA(IF(AE1309 &lt; (INDEX(SLATable[Maximum SLA],MATCH(G1309,SLATable[Priority],0))),"YES","NO"),"")</f>
        <v/>
      </c>
    </row>
    <row r="1310" spans="26:36" ht="15" customHeight="1">
      <c r="Z1310" s="169" t="e">
        <f t="shared" ca="1" si="197"/>
        <v>#N/A</v>
      </c>
      <c r="AA1310" s="170" t="e">
        <f t="shared" ca="1" si="198"/>
        <v>#N/A</v>
      </c>
      <c r="AB1310" s="169">
        <f t="shared" ca="1" si="199"/>
        <v>0</v>
      </c>
      <c r="AC1310" s="170">
        <f t="shared" ca="1" si="200"/>
        <v>0</v>
      </c>
      <c r="AD1310" s="169">
        <f t="shared" ca="1" si="201"/>
        <v>12388.425641087964</v>
      </c>
      <c r="AE1310" s="169">
        <f t="shared" si="204"/>
        <v>0</v>
      </c>
      <c r="AF1310" s="170">
        <f t="shared" si="202"/>
        <v>0</v>
      </c>
      <c r="AG1310" s="170">
        <f t="shared" si="203"/>
        <v>0</v>
      </c>
      <c r="AH1310" s="28" t="e" cm="1">
        <f t="array" aca="1" ref="AH1310" ca="1">IF((AD1310) &lt; (INDEX(ResponseSLA[#All],(MATCH((G1310),ResponseSLA[Priority],0))+1,3)),"YES","No")</f>
        <v>#N/A</v>
      </c>
      <c r="AI1310" s="28" t="str">
        <f>_xlfn.IFNA(IF(AE1310 &lt; (INDEX(SLATable[Minimum SLA],MATCH(G1310,SLATable[Priority],0))),"YES","NO"),"")</f>
        <v/>
      </c>
      <c r="AJ1310" s="28" t="str">
        <f>_xlfn.IFNA(IF(AE1310 &lt; (INDEX(SLATable[Maximum SLA],MATCH(G1310,SLATable[Priority],0))),"YES","NO"),"")</f>
        <v/>
      </c>
    </row>
    <row r="1311" spans="26:36" ht="15" customHeight="1">
      <c r="Z1311" s="169" t="e">
        <f t="shared" ca="1" si="197"/>
        <v>#N/A</v>
      </c>
      <c r="AA1311" s="170" t="e">
        <f t="shared" ca="1" si="198"/>
        <v>#N/A</v>
      </c>
      <c r="AB1311" s="169">
        <f t="shared" ca="1" si="199"/>
        <v>0</v>
      </c>
      <c r="AC1311" s="170">
        <f t="shared" ca="1" si="200"/>
        <v>0</v>
      </c>
      <c r="AD1311" s="169">
        <f t="shared" ca="1" si="201"/>
        <v>12388.425641087964</v>
      </c>
      <c r="AE1311" s="169">
        <f t="shared" si="204"/>
        <v>0</v>
      </c>
      <c r="AF1311" s="170">
        <f t="shared" si="202"/>
        <v>0</v>
      </c>
      <c r="AG1311" s="170">
        <f t="shared" si="203"/>
        <v>0</v>
      </c>
      <c r="AH1311" s="28" t="e" cm="1">
        <f t="array" aca="1" ref="AH1311" ca="1">IF((AD1311) &lt; (INDEX(ResponseSLA[#All],(MATCH((G1311),ResponseSLA[Priority],0))+1,3)),"YES","No")</f>
        <v>#N/A</v>
      </c>
      <c r="AI1311" s="28" t="str">
        <f>_xlfn.IFNA(IF(AE1311 &lt; (INDEX(SLATable[Minimum SLA],MATCH(G1311,SLATable[Priority],0))),"YES","NO"),"")</f>
        <v/>
      </c>
      <c r="AJ1311" s="28" t="str">
        <f>_xlfn.IFNA(IF(AE1311 &lt; (INDEX(SLATable[Maximum SLA],MATCH(G1311,SLATable[Priority],0))),"YES","NO"),"")</f>
        <v/>
      </c>
    </row>
    <row r="1312" spans="26:36" ht="15" customHeight="1">
      <c r="Z1312" s="169" t="e">
        <f t="shared" ca="1" si="197"/>
        <v>#N/A</v>
      </c>
      <c r="AA1312" s="170" t="e">
        <f t="shared" ca="1" si="198"/>
        <v>#N/A</v>
      </c>
      <c r="AB1312" s="169">
        <f t="shared" ca="1" si="199"/>
        <v>0</v>
      </c>
      <c r="AC1312" s="170">
        <f t="shared" ca="1" si="200"/>
        <v>0</v>
      </c>
      <c r="AD1312" s="169">
        <f t="shared" ca="1" si="201"/>
        <v>12388.425641087964</v>
      </c>
      <c r="AE1312" s="169">
        <f t="shared" si="204"/>
        <v>0</v>
      </c>
      <c r="AF1312" s="170">
        <f t="shared" si="202"/>
        <v>0</v>
      </c>
      <c r="AG1312" s="170">
        <f t="shared" si="203"/>
        <v>0</v>
      </c>
      <c r="AH1312" s="28" t="e" cm="1">
        <f t="array" aca="1" ref="AH1312" ca="1">IF((AD1312) &lt; (INDEX(ResponseSLA[#All],(MATCH((G1312),ResponseSLA[Priority],0))+1,3)),"YES","No")</f>
        <v>#N/A</v>
      </c>
      <c r="AI1312" s="28" t="str">
        <f>_xlfn.IFNA(IF(AE1312 &lt; (INDEX(SLATable[Minimum SLA],MATCH(G1312,SLATable[Priority],0))),"YES","NO"),"")</f>
        <v/>
      </c>
      <c r="AJ1312" s="28" t="str">
        <f>_xlfn.IFNA(IF(AE1312 &lt; (INDEX(SLATable[Maximum SLA],MATCH(G1312,SLATable[Priority],0))),"YES","NO"),"")</f>
        <v/>
      </c>
    </row>
    <row r="1313" spans="26:36" ht="15" customHeight="1">
      <c r="Z1313" s="169" t="e">
        <f t="shared" ca="1" si="197"/>
        <v>#N/A</v>
      </c>
      <c r="AA1313" s="170" t="e">
        <f t="shared" ca="1" si="198"/>
        <v>#N/A</v>
      </c>
      <c r="AB1313" s="169">
        <f t="shared" ca="1" si="199"/>
        <v>0</v>
      </c>
      <c r="AC1313" s="170">
        <f t="shared" ca="1" si="200"/>
        <v>0</v>
      </c>
      <c r="AD1313" s="169">
        <f t="shared" ca="1" si="201"/>
        <v>12388.425641087964</v>
      </c>
      <c r="AE1313" s="169">
        <f t="shared" si="204"/>
        <v>0</v>
      </c>
      <c r="AF1313" s="170">
        <f t="shared" si="202"/>
        <v>0</v>
      </c>
      <c r="AG1313" s="170">
        <f t="shared" si="203"/>
        <v>0</v>
      </c>
      <c r="AH1313" s="28" t="e" cm="1">
        <f t="array" aca="1" ref="AH1313" ca="1">IF((AD1313) &lt; (INDEX(ResponseSLA[#All],(MATCH((G1313),ResponseSLA[Priority],0))+1,3)),"YES","No")</f>
        <v>#N/A</v>
      </c>
      <c r="AI1313" s="28" t="str">
        <f>_xlfn.IFNA(IF(AE1313 &lt; (INDEX(SLATable[Minimum SLA],MATCH(G1313,SLATable[Priority],0))),"YES","NO"),"")</f>
        <v/>
      </c>
      <c r="AJ1313" s="28" t="str">
        <f>_xlfn.IFNA(IF(AE1313 &lt; (INDEX(SLATable[Maximum SLA],MATCH(G1313,SLATable[Priority],0))),"YES","NO"),"")</f>
        <v/>
      </c>
    </row>
    <row r="1314" spans="26:36" ht="15" customHeight="1">
      <c r="Z1314" s="169" t="e">
        <f t="shared" ca="1" si="197"/>
        <v>#N/A</v>
      </c>
      <c r="AA1314" s="170" t="e">
        <f t="shared" ca="1" si="198"/>
        <v>#N/A</v>
      </c>
      <c r="AB1314" s="169">
        <f t="shared" ca="1" si="199"/>
        <v>0</v>
      </c>
      <c r="AC1314" s="170">
        <f t="shared" ca="1" si="200"/>
        <v>0</v>
      </c>
      <c r="AD1314" s="169">
        <f t="shared" ca="1" si="201"/>
        <v>12388.425641087964</v>
      </c>
      <c r="AE1314" s="169">
        <f t="shared" si="204"/>
        <v>0</v>
      </c>
      <c r="AF1314" s="170">
        <f t="shared" si="202"/>
        <v>0</v>
      </c>
      <c r="AG1314" s="170">
        <f t="shared" si="203"/>
        <v>0</v>
      </c>
      <c r="AH1314" s="28" t="e" cm="1">
        <f t="array" aca="1" ref="AH1314" ca="1">IF((AD1314) &lt; (INDEX(ResponseSLA[#All],(MATCH((G1314),ResponseSLA[Priority],0))+1,3)),"YES","No")</f>
        <v>#N/A</v>
      </c>
      <c r="AI1314" s="28" t="str">
        <f>_xlfn.IFNA(IF(AE1314 &lt; (INDEX(SLATable[Minimum SLA],MATCH(G1314,SLATable[Priority],0))),"YES","NO"),"")</f>
        <v/>
      </c>
      <c r="AJ1314" s="28" t="str">
        <f>_xlfn.IFNA(IF(AE1314 &lt; (INDEX(SLATable[Maximum SLA],MATCH(G1314,SLATable[Priority],0))),"YES","NO"),"")</f>
        <v/>
      </c>
    </row>
    <row r="1315" spans="26:36" ht="15" customHeight="1">
      <c r="Z1315" s="169" t="e">
        <f t="shared" ca="1" si="197"/>
        <v>#N/A</v>
      </c>
      <c r="AA1315" s="170" t="e">
        <f t="shared" ca="1" si="198"/>
        <v>#N/A</v>
      </c>
      <c r="AB1315" s="169">
        <f t="shared" ca="1" si="199"/>
        <v>0</v>
      </c>
      <c r="AC1315" s="170">
        <f t="shared" ca="1" si="200"/>
        <v>0</v>
      </c>
      <c r="AD1315" s="169">
        <f t="shared" ca="1" si="201"/>
        <v>12388.425641087964</v>
      </c>
      <c r="AE1315" s="169">
        <f t="shared" si="204"/>
        <v>0</v>
      </c>
      <c r="AF1315" s="170">
        <f t="shared" si="202"/>
        <v>0</v>
      </c>
      <c r="AG1315" s="170">
        <f t="shared" si="203"/>
        <v>0</v>
      </c>
      <c r="AH1315" s="28" t="e" cm="1">
        <f t="array" aca="1" ref="AH1315" ca="1">IF((AD1315) &lt; (INDEX(ResponseSLA[#All],(MATCH((G1315),ResponseSLA[Priority],0))+1,3)),"YES","No")</f>
        <v>#N/A</v>
      </c>
      <c r="AI1315" s="28" t="str">
        <f>_xlfn.IFNA(IF(AE1315 &lt; (INDEX(SLATable[Minimum SLA],MATCH(G1315,SLATable[Priority],0))),"YES","NO"),"")</f>
        <v/>
      </c>
      <c r="AJ1315" s="28" t="str">
        <f>_xlfn.IFNA(IF(AE1315 &lt; (INDEX(SLATable[Maximum SLA],MATCH(G1315,SLATable[Priority],0))),"YES","NO"),"")</f>
        <v/>
      </c>
    </row>
    <row r="1316" spans="26:36" ht="15" customHeight="1">
      <c r="Z1316" s="169" t="e">
        <f t="shared" ca="1" si="197"/>
        <v>#N/A</v>
      </c>
      <c r="AA1316" s="170" t="e">
        <f t="shared" ca="1" si="198"/>
        <v>#N/A</v>
      </c>
      <c r="AB1316" s="169">
        <f t="shared" ca="1" si="199"/>
        <v>0</v>
      </c>
      <c r="AC1316" s="170">
        <f t="shared" ca="1" si="200"/>
        <v>0</v>
      </c>
      <c r="AD1316" s="169">
        <f t="shared" ca="1" si="201"/>
        <v>12388.425641087964</v>
      </c>
      <c r="AE1316" s="169">
        <f t="shared" si="204"/>
        <v>0</v>
      </c>
      <c r="AF1316" s="170">
        <f t="shared" si="202"/>
        <v>0</v>
      </c>
      <c r="AG1316" s="170">
        <f t="shared" si="203"/>
        <v>0</v>
      </c>
      <c r="AH1316" s="28" t="e" cm="1">
        <f t="array" aca="1" ref="AH1316" ca="1">IF((AD1316) &lt; (INDEX(ResponseSLA[#All],(MATCH((G1316),ResponseSLA[Priority],0))+1,3)),"YES","No")</f>
        <v>#N/A</v>
      </c>
      <c r="AI1316" s="28" t="str">
        <f>_xlfn.IFNA(IF(AE1316 &lt; (INDEX(SLATable[Minimum SLA],MATCH(G1316,SLATable[Priority],0))),"YES","NO"),"")</f>
        <v/>
      </c>
      <c r="AJ1316" s="28" t="str">
        <f>_xlfn.IFNA(IF(AE1316 &lt; (INDEX(SLATable[Maximum SLA],MATCH(G1316,SLATable[Priority],0))),"YES","NO"),"")</f>
        <v/>
      </c>
    </row>
    <row r="1317" spans="26:36" ht="15" customHeight="1">
      <c r="Z1317" s="169" t="e">
        <f t="shared" ca="1" si="197"/>
        <v>#N/A</v>
      </c>
      <c r="AA1317" s="170" t="e">
        <f t="shared" ca="1" si="198"/>
        <v>#N/A</v>
      </c>
      <c r="AB1317" s="169">
        <f t="shared" ca="1" si="199"/>
        <v>0</v>
      </c>
      <c r="AC1317" s="170">
        <f t="shared" ca="1" si="200"/>
        <v>0</v>
      </c>
      <c r="AD1317" s="169">
        <f t="shared" ca="1" si="201"/>
        <v>12388.425641087964</v>
      </c>
      <c r="AE1317" s="169">
        <f t="shared" si="204"/>
        <v>0</v>
      </c>
      <c r="AF1317" s="170">
        <f t="shared" si="202"/>
        <v>0</v>
      </c>
      <c r="AG1317" s="170">
        <f t="shared" si="203"/>
        <v>0</v>
      </c>
      <c r="AH1317" s="28" t="e" cm="1">
        <f t="array" aca="1" ref="AH1317" ca="1">IF((AD1317) &lt; (INDEX(ResponseSLA[#All],(MATCH((G1317),ResponseSLA[Priority],0))+1,3)),"YES","No")</f>
        <v>#N/A</v>
      </c>
      <c r="AI1317" s="28" t="str">
        <f>_xlfn.IFNA(IF(AE1317 &lt; (INDEX(SLATable[Minimum SLA],MATCH(G1317,SLATable[Priority],0))),"YES","NO"),"")</f>
        <v/>
      </c>
      <c r="AJ1317" s="28" t="str">
        <f>_xlfn.IFNA(IF(AE1317 &lt; (INDEX(SLATable[Maximum SLA],MATCH(G1317,SLATable[Priority],0))),"YES","NO"),"")</f>
        <v/>
      </c>
    </row>
    <row r="1318" spans="26:36" ht="15" customHeight="1">
      <c r="Z1318" s="169" t="e">
        <f t="shared" ca="1" si="197"/>
        <v>#N/A</v>
      </c>
      <c r="AA1318" s="170" t="e">
        <f t="shared" ca="1" si="198"/>
        <v>#N/A</v>
      </c>
      <c r="AB1318" s="169">
        <f t="shared" ca="1" si="199"/>
        <v>0</v>
      </c>
      <c r="AC1318" s="170">
        <f t="shared" ca="1" si="200"/>
        <v>0</v>
      </c>
      <c r="AD1318" s="169">
        <f t="shared" ca="1" si="201"/>
        <v>12388.425641087964</v>
      </c>
      <c r="AE1318" s="169">
        <f t="shared" si="204"/>
        <v>0</v>
      </c>
      <c r="AF1318" s="170">
        <f t="shared" si="202"/>
        <v>0</v>
      </c>
      <c r="AG1318" s="170">
        <f t="shared" si="203"/>
        <v>0</v>
      </c>
      <c r="AH1318" s="28" t="e" cm="1">
        <f t="array" aca="1" ref="AH1318" ca="1">IF((AD1318) &lt; (INDEX(ResponseSLA[#All],(MATCH((G1318),ResponseSLA[Priority],0))+1,3)),"YES","No")</f>
        <v>#N/A</v>
      </c>
      <c r="AI1318" s="28" t="str">
        <f>_xlfn.IFNA(IF(AE1318 &lt; (INDEX(SLATable[Minimum SLA],MATCH(G1318,SLATable[Priority],0))),"YES","NO"),"")</f>
        <v/>
      </c>
      <c r="AJ1318" s="28" t="str">
        <f>_xlfn.IFNA(IF(AE1318 &lt; (INDEX(SLATable[Maximum SLA],MATCH(G1318,SLATable[Priority],0))),"YES","NO"),"")</f>
        <v/>
      </c>
    </row>
    <row r="1319" spans="26:36" ht="15" customHeight="1">
      <c r="Z1319" s="169" t="e">
        <f t="shared" ca="1" si="197"/>
        <v>#N/A</v>
      </c>
      <c r="AA1319" s="170" t="e">
        <f t="shared" ca="1" si="198"/>
        <v>#N/A</v>
      </c>
      <c r="AB1319" s="169">
        <f t="shared" ca="1" si="199"/>
        <v>0</v>
      </c>
      <c r="AC1319" s="170">
        <f t="shared" ca="1" si="200"/>
        <v>0</v>
      </c>
      <c r="AD1319" s="169">
        <f t="shared" ca="1" si="201"/>
        <v>12388.425641087964</v>
      </c>
      <c r="AE1319" s="169">
        <f t="shared" si="204"/>
        <v>0</v>
      </c>
      <c r="AF1319" s="170">
        <f t="shared" si="202"/>
        <v>0</v>
      </c>
      <c r="AG1319" s="170">
        <f t="shared" si="203"/>
        <v>0</v>
      </c>
      <c r="AH1319" s="28" t="e" cm="1">
        <f t="array" aca="1" ref="AH1319" ca="1">IF((AD1319) &lt; (INDEX(ResponseSLA[#All],(MATCH((G1319),ResponseSLA[Priority],0))+1,3)),"YES","No")</f>
        <v>#N/A</v>
      </c>
      <c r="AI1319" s="28" t="str">
        <f>_xlfn.IFNA(IF(AE1319 &lt; (INDEX(SLATable[Minimum SLA],MATCH(G1319,SLATable[Priority],0))),"YES","NO"),"")</f>
        <v/>
      </c>
      <c r="AJ1319" s="28" t="str">
        <f>_xlfn.IFNA(IF(AE1319 &lt; (INDEX(SLATable[Maximum SLA],MATCH(G1319,SLATable[Priority],0))),"YES","NO"),"")</f>
        <v/>
      </c>
    </row>
    <row r="1320" spans="26:36" ht="15" customHeight="1">
      <c r="Z1320" s="169" t="e">
        <f t="shared" ca="1" si="197"/>
        <v>#N/A</v>
      </c>
      <c r="AA1320" s="170" t="e">
        <f t="shared" ca="1" si="198"/>
        <v>#N/A</v>
      </c>
      <c r="AB1320" s="169">
        <f t="shared" ca="1" si="199"/>
        <v>0</v>
      </c>
      <c r="AC1320" s="170">
        <f t="shared" ca="1" si="200"/>
        <v>0</v>
      </c>
      <c r="AD1320" s="169">
        <f t="shared" ca="1" si="201"/>
        <v>12388.425641087964</v>
      </c>
      <c r="AE1320" s="169">
        <f t="shared" si="204"/>
        <v>0</v>
      </c>
      <c r="AF1320" s="170">
        <f t="shared" si="202"/>
        <v>0</v>
      </c>
      <c r="AG1320" s="170">
        <f t="shared" si="203"/>
        <v>0</v>
      </c>
      <c r="AH1320" s="28" t="e" cm="1">
        <f t="array" aca="1" ref="AH1320" ca="1">IF((AD1320) &lt; (INDEX(ResponseSLA[#All],(MATCH((G1320),ResponseSLA[Priority],0))+1,3)),"YES","No")</f>
        <v>#N/A</v>
      </c>
      <c r="AI1320" s="28" t="str">
        <f>_xlfn.IFNA(IF(AE1320 &lt; (INDEX(SLATable[Minimum SLA],MATCH(G1320,SLATable[Priority],0))),"YES","NO"),"")</f>
        <v/>
      </c>
      <c r="AJ1320" s="28" t="str">
        <f>_xlfn.IFNA(IF(AE1320 &lt; (INDEX(SLATable[Maximum SLA],MATCH(G1320,SLATable[Priority],0))),"YES","NO"),"")</f>
        <v/>
      </c>
    </row>
    <row r="1321" spans="26:36" ht="15" customHeight="1">
      <c r="Z1321" s="169" t="e">
        <f t="shared" ca="1" si="197"/>
        <v>#N/A</v>
      </c>
      <c r="AA1321" s="170" t="e">
        <f t="shared" ca="1" si="198"/>
        <v>#N/A</v>
      </c>
      <c r="AB1321" s="169">
        <f t="shared" ca="1" si="199"/>
        <v>0</v>
      </c>
      <c r="AC1321" s="170">
        <f t="shared" ca="1" si="200"/>
        <v>0</v>
      </c>
      <c r="AD1321" s="169">
        <f t="shared" ca="1" si="201"/>
        <v>12388.425641087964</v>
      </c>
      <c r="AE1321" s="169">
        <f t="shared" si="204"/>
        <v>0</v>
      </c>
      <c r="AF1321" s="170">
        <f t="shared" si="202"/>
        <v>0</v>
      </c>
      <c r="AG1321" s="170">
        <f t="shared" si="203"/>
        <v>0</v>
      </c>
      <c r="AH1321" s="28" t="e" cm="1">
        <f t="array" aca="1" ref="AH1321" ca="1">IF((AD1321) &lt; (INDEX(ResponseSLA[#All],(MATCH((G1321),ResponseSLA[Priority],0))+1,3)),"YES","No")</f>
        <v>#N/A</v>
      </c>
      <c r="AI1321" s="28" t="str">
        <f>_xlfn.IFNA(IF(AE1321 &lt; (INDEX(SLATable[Minimum SLA],MATCH(G1321,SLATable[Priority],0))),"YES","NO"),"")</f>
        <v/>
      </c>
      <c r="AJ1321" s="28" t="str">
        <f>_xlfn.IFNA(IF(AE1321 &lt; (INDEX(SLATable[Maximum SLA],MATCH(G1321,SLATable[Priority],0))),"YES","NO"),"")</f>
        <v/>
      </c>
    </row>
    <row r="1322" spans="26:36" ht="15" customHeight="1">
      <c r="Z1322" s="169" t="e">
        <f t="shared" ca="1" si="197"/>
        <v>#N/A</v>
      </c>
      <c r="AA1322" s="170" t="e">
        <f t="shared" ca="1" si="198"/>
        <v>#N/A</v>
      </c>
      <c r="AB1322" s="169">
        <f t="shared" ca="1" si="199"/>
        <v>0</v>
      </c>
      <c r="AC1322" s="170">
        <f t="shared" ca="1" si="200"/>
        <v>0</v>
      </c>
      <c r="AD1322" s="169">
        <f t="shared" ca="1" si="201"/>
        <v>12388.425641087964</v>
      </c>
      <c r="AE1322" s="169">
        <f t="shared" si="204"/>
        <v>0</v>
      </c>
      <c r="AF1322" s="170">
        <f t="shared" si="202"/>
        <v>0</v>
      </c>
      <c r="AG1322" s="170">
        <f t="shared" si="203"/>
        <v>0</v>
      </c>
      <c r="AH1322" s="28" t="e" cm="1">
        <f t="array" aca="1" ref="AH1322" ca="1">IF((AD1322) &lt; (INDEX(ResponseSLA[#All],(MATCH((G1322),ResponseSLA[Priority],0))+1,3)),"YES","No")</f>
        <v>#N/A</v>
      </c>
      <c r="AI1322" s="28" t="str">
        <f>_xlfn.IFNA(IF(AE1322 &lt; (INDEX(SLATable[Minimum SLA],MATCH(G1322,SLATable[Priority],0))),"YES","NO"),"")</f>
        <v/>
      </c>
      <c r="AJ1322" s="28" t="str">
        <f>_xlfn.IFNA(IF(AE1322 &lt; (INDEX(SLATable[Maximum SLA],MATCH(G1322,SLATable[Priority],0))),"YES","NO"),"")</f>
        <v/>
      </c>
    </row>
    <row r="1323" spans="26:36" ht="15" customHeight="1">
      <c r="Z1323" s="169" t="e">
        <f t="shared" ca="1" si="197"/>
        <v>#N/A</v>
      </c>
      <c r="AA1323" s="170" t="e">
        <f t="shared" ca="1" si="198"/>
        <v>#N/A</v>
      </c>
      <c r="AB1323" s="169">
        <f t="shared" ca="1" si="199"/>
        <v>0</v>
      </c>
      <c r="AC1323" s="170">
        <f t="shared" ca="1" si="200"/>
        <v>0</v>
      </c>
      <c r="AD1323" s="169">
        <f t="shared" ca="1" si="201"/>
        <v>12388.425641087964</v>
      </c>
      <c r="AE1323" s="169">
        <f t="shared" si="204"/>
        <v>0</v>
      </c>
      <c r="AF1323" s="170">
        <f t="shared" si="202"/>
        <v>0</v>
      </c>
      <c r="AG1323" s="170">
        <f t="shared" si="203"/>
        <v>0</v>
      </c>
      <c r="AH1323" s="28" t="e" cm="1">
        <f t="array" aca="1" ref="AH1323" ca="1">IF((AD1323) &lt; (INDEX(ResponseSLA[#All],(MATCH((G1323),ResponseSLA[Priority],0))+1,3)),"YES","No")</f>
        <v>#N/A</v>
      </c>
      <c r="AI1323" s="28" t="str">
        <f>_xlfn.IFNA(IF(AE1323 &lt; (INDEX(SLATable[Minimum SLA],MATCH(G1323,SLATable[Priority],0))),"YES","NO"),"")</f>
        <v/>
      </c>
      <c r="AJ1323" s="28" t="str">
        <f>_xlfn.IFNA(IF(AE1323 &lt; (INDEX(SLATable[Maximum SLA],MATCH(G1323,SLATable[Priority],0))),"YES","NO"),"")</f>
        <v/>
      </c>
    </row>
    <row r="1324" spans="26:36" ht="15" customHeight="1">
      <c r="Z1324" s="169" t="e">
        <f t="shared" ref="Z1324:Z1387" ca="1" si="205">IF(NOT(OR(G1324=1,G1324=2)),MAX(0,_xlfn.IFS(AND(K1324&lt;&gt;"",N1324&lt;&gt;""),((MAX(NETWORKDAYS(K1324,N1324,UKBankHolidays)-1,0))*(TIME(17,0,0)-TIME(8,0,0))+IF(NETWORKDAYS(N1324,N1324,UKBankHolidays)&gt;0,MEDIAN(TIME(8,0,0),MOD(N1324,1),TIME(17,0,0)),TIME(8,0,0))-IF(NETWORKDAYS(K1324,K1324,UKBankHolidays)&gt;0,MEDIAN(TIME(8,0,0),MOD(K1324,1),TIME(17,0,0)),TIME(8,0,0)))-IF(AND(O1324&lt;&gt;"",P1324&lt;&gt;""),((MAX(NETWORKDAYS(O1324,P1324,UKBankHolidays)-1,0))*(TIME(17,0,0)-TIME(8,0,0))+IF(NETWORKDAYS(P1324,P1324,UKBankHolidays)&gt;0,MEDIAN(TIME(8,0,0),MOD(P1324,1),TIME(17,0,0)),TIME(8,0,0))-IF(NETWORKDAYS(O1324,O1324,UKBankHolidays)&gt;0,MEDIAN(TIME(8,0,0),MOD(O1324,1),TIME(17,0,0)),TIME(8,0,0))),0),AND(K1324&lt;&gt;"",N1324=""),((MAX(NETWORKDAYS(K1324,NOW(),UKBankHolidays)-1,0))*(TIME(17,0,0)-TIME(8,0,0))+IF(NETWORKDAYS(NOW(),NOW(),UKBankHolidays)&gt;0,MEDIAN(TIME(8,0,0),MOD(NOW(),1),TIME(17,0,0)),TIME(8,0,0))-IF(NETWORKDAYS(K1324,K1324,UKBankHolidays)&gt;0,MEDIAN(TIME(8,0,0),MOD(K1324,1),TIME(17,0,0)),TIME(8,0,0))))),IF(N1324="",NOW()-K1324,N1324-K1324))</f>
        <v>#N/A</v>
      </c>
      <c r="AA1324" s="170" t="e">
        <f t="shared" ref="AA1324:AA1387" ca="1" si="206">(Z1324*24)/9</f>
        <v>#N/A</v>
      </c>
      <c r="AB1324" s="169">
        <f t="shared" ref="AB1324:AB1387" ca="1" si="207">IF(NOT(OR(G1324=1,G1324=2)),MAX(0,_xlfn.IFS(AND(K1324&lt;&gt;"",N1324&lt;&gt;""),(((MAX(NETWORKDAYS(L1324,N1324,UKBankHolidays)-1,0))*(TIME(17,0,0)-TIME(8,0,0)))+IF(NETWORKDAYS(N1324,N1324,UKBankHolidays)&gt;0,MEDIAN(TIME(8,0,0),MOD(N1324,1),TIME(17,0,0)),TIME(8,0,0))-IF(NETWORKDAYS(L1324,L1324,UKBankHolidays)&gt;0,MEDIAN(TIME(8,0,0),MOD(L1324,1),TIME(17,0,0)),TIME(8,0,0)))-IF(AND(O1324&lt;&gt;"",P1324&lt;&gt;""),(((MAX(NETWORKDAYS(O1324,P1324,UKBankHolidays)-1,0))*(TIME(17,0,0)-TIME(8,0,0)))+IF(NETWORKDAYS(P1324,P1324,UKBankHolidays)&gt;0,MEDIAN(TIME(8,0,0),MOD(P1324,1),TIME(17,0,0)),TIME(8,0,0))-IF(NETWORKDAYS(O1324,O1324,UKBankHolidays)&gt;0,MEDIAN(TIME(8,0,0),MOD(O1324,1),TIME(17,0,0)),TIME(8,0,0))),0),AND(L1324&lt;&gt;"",N1324="",O1324=""),(((MAX(NETWORKDAYS(L1324,NOW(),UKBankHolidays)-1,0))*(TIME(17,0,0)-TIME(8,0,0)))+IF(NETWORKDAYS(NOW(),NOW(),UKBankHolidays)&gt;0,MEDIAN(TIME(8,0,0),MOD(NOW(),1),TIME(17,0,0)),TIME(8,0,0))-IF(NETWORKDAYS(L1324,L1324,UKBankHolidays)&gt;0,MEDIAN(TIME(8,0,0),MOD(L1324,1),TIME(17,0,0)),TIME(8,0,0)))-IF(AND(O1324&lt;&gt;"",P1324&lt;&gt;""),(((MAX(NETWORKDAYS(O1324,P1324,UKBankHolidays)-1,0))*(TIME(17,0,0)-TIME(8,0,0)))+IF(NETWORKDAYS(P1324,P1324,UKBankHolidays)&gt;0,MEDIAN(TIME(8,0,0),MOD(P1324,1),TIME(17,0,0)),TIME(8,0,0))-IF(NETWORKDAYS(O1324,O1324,UKBankHolidays)&gt;0,MEDIAN(TIME(8,0,0),MOD(O1324,1),TIME(17,0,0)),TIME(8,0,0))),0),AND(L1324&lt;&gt;"",N1324="",P1324="",O1324&lt;&gt;""),(((MAX(NETWORKDAYS(L1324,O1324,UKBankHolidays)-1,0))*(TIME(17,0,0)-TIME(8,0,0)))+IF(NETWORKDAYS(O1324,O1324,UKBankHolidays)&gt;0,MEDIAN(TIME(8,0,0),MOD(O1324,1),TIME(17,0,0)),TIME(8,0,0))-IF(NETWORKDAYS(L1324,L1324,UKBankHolidays)&gt;0,MEDIAN(TIME(8,0,0),MOD(L1324,1),TIME(17,0,0)),TIME(8,0,0))),ISBLANK(K1324),"0")),IF(ISBLANK(N1324),NOW()-L1324,N1324-L1324))</f>
        <v>0</v>
      </c>
      <c r="AC1324" s="170">
        <f t="shared" ref="AC1324:AC1387" ca="1" si="208">(AB1324*24)/9</f>
        <v>0</v>
      </c>
      <c r="AD1324" s="169">
        <f t="shared" ref="AD1324:AD1387" ca="1" si="209">MAX(0,IF(NOT(OR(G1324=1,G1324=2)),IF(M1324&lt;&gt;"",((MAX(NETWORKDAYS(L1324,M1324,UKBankHolidays)-1,0))*(TIME(17,0,0)-TIME(8,0,0))+IF(NETWORKDAYS(M1324,M1324,UKBankHolidays)&gt;0,MEDIAN(TIME(8,0,0),MOD(M1324,1),TIME(17,0,0)),TIME(8,0,0))-MEDIAN(TIME(8,0,0),MOD(L1324,1),TIME(17,0,0))),((MAX(NETWORKDAYS(L1324,NOW(),UKBankHolidays)-1,0))*(TIME(17,0,0)-TIME(8,0,0))+IF(NETWORKDAYS(NOW(),NOW(),UKBankHolidays)&gt;0,MEDIAN(TIME(8,0,0),MOD(NOW(),1),TIME(17,0,0)),TIME(8,0,0))-MEDIAN(TIME(8,0,0),MOD(L1324,1),TIME(17,0,0)))),IF(M1324&lt;&gt;"",M1324-L1324,NOW()-L1324)))</f>
        <v>12388.425641087964</v>
      </c>
      <c r="AE1324" s="169">
        <f t="shared" si="204"/>
        <v>0</v>
      </c>
      <c r="AF1324" s="170">
        <f t="shared" ref="AF1324:AF1387" si="210">(AE1324*24)/9</f>
        <v>0</v>
      </c>
      <c r="AG1324" s="170">
        <f t="shared" ref="AG1324:AG1387" si="211">AF1324</f>
        <v>0</v>
      </c>
      <c r="AH1324" s="28" t="e" cm="1">
        <f t="array" aca="1" ref="AH1324" ca="1">IF((AD1324) &lt; (INDEX(ResponseSLA[#All],(MATCH((G1324),ResponseSLA[Priority],0))+1,3)),"YES","No")</f>
        <v>#N/A</v>
      </c>
      <c r="AI1324" s="28" t="str">
        <f>_xlfn.IFNA(IF(AE1324 &lt; (INDEX(SLATable[Minimum SLA],MATCH(G1324,SLATable[Priority],0))),"YES","NO"),"")</f>
        <v/>
      </c>
      <c r="AJ1324" s="28" t="str">
        <f>_xlfn.IFNA(IF(AE1324 &lt; (INDEX(SLATable[Maximum SLA],MATCH(G1324,SLATable[Priority],0))),"YES","NO"),"")</f>
        <v/>
      </c>
    </row>
    <row r="1325" spans="26:36" ht="15" customHeight="1">
      <c r="Z1325" s="169" t="e">
        <f t="shared" ca="1" si="205"/>
        <v>#N/A</v>
      </c>
      <c r="AA1325" s="170" t="e">
        <f t="shared" ca="1" si="206"/>
        <v>#N/A</v>
      </c>
      <c r="AB1325" s="169">
        <f t="shared" ca="1" si="207"/>
        <v>0</v>
      </c>
      <c r="AC1325" s="170">
        <f t="shared" ca="1" si="208"/>
        <v>0</v>
      </c>
      <c r="AD1325" s="169">
        <f t="shared" ca="1" si="209"/>
        <v>12388.425641087964</v>
      </c>
      <c r="AE1325" s="169">
        <f t="shared" si="204"/>
        <v>0</v>
      </c>
      <c r="AF1325" s="170">
        <f t="shared" si="210"/>
        <v>0</v>
      </c>
      <c r="AG1325" s="170">
        <f t="shared" si="211"/>
        <v>0</v>
      </c>
      <c r="AH1325" s="28" t="e" cm="1">
        <f t="array" aca="1" ref="AH1325" ca="1">IF((AD1325) &lt; (INDEX(ResponseSLA[#All],(MATCH((G1325),ResponseSLA[Priority],0))+1,3)),"YES","No")</f>
        <v>#N/A</v>
      </c>
      <c r="AI1325" s="28" t="str">
        <f>_xlfn.IFNA(IF(AE1325 &lt; (INDEX(SLATable[Minimum SLA],MATCH(G1325,SLATable[Priority],0))),"YES","NO"),"")</f>
        <v/>
      </c>
      <c r="AJ1325" s="28" t="str">
        <f>_xlfn.IFNA(IF(AE1325 &lt; (INDEX(SLATable[Maximum SLA],MATCH(G1325,SLATable[Priority],0))),"YES","NO"),"")</f>
        <v/>
      </c>
    </row>
    <row r="1326" spans="26:36" ht="15" customHeight="1">
      <c r="Z1326" s="169" t="e">
        <f t="shared" ca="1" si="205"/>
        <v>#N/A</v>
      </c>
      <c r="AA1326" s="170" t="e">
        <f t="shared" ca="1" si="206"/>
        <v>#N/A</v>
      </c>
      <c r="AB1326" s="169">
        <f t="shared" ca="1" si="207"/>
        <v>0</v>
      </c>
      <c r="AC1326" s="170">
        <f t="shared" ca="1" si="208"/>
        <v>0</v>
      </c>
      <c r="AD1326" s="169">
        <f t="shared" ca="1" si="209"/>
        <v>12388.425641087964</v>
      </c>
      <c r="AE1326" s="169">
        <f t="shared" si="204"/>
        <v>0</v>
      </c>
      <c r="AF1326" s="170">
        <f t="shared" si="210"/>
        <v>0</v>
      </c>
      <c r="AG1326" s="170">
        <f t="shared" si="211"/>
        <v>0</v>
      </c>
      <c r="AH1326" s="28" t="e" cm="1">
        <f t="array" aca="1" ref="AH1326" ca="1">IF((AD1326) &lt; (INDEX(ResponseSLA[#All],(MATCH((G1326),ResponseSLA[Priority],0))+1,3)),"YES","No")</f>
        <v>#N/A</v>
      </c>
      <c r="AI1326" s="28" t="str">
        <f>_xlfn.IFNA(IF(AE1326 &lt; (INDEX(SLATable[Minimum SLA],MATCH(G1326,SLATable[Priority],0))),"YES","NO"),"")</f>
        <v/>
      </c>
      <c r="AJ1326" s="28" t="str">
        <f>_xlfn.IFNA(IF(AE1326 &lt; (INDEX(SLATable[Maximum SLA],MATCH(G1326,SLATable[Priority],0))),"YES","NO"),"")</f>
        <v/>
      </c>
    </row>
    <row r="1327" spans="26:36" ht="15" customHeight="1">
      <c r="Z1327" s="169" t="e">
        <f t="shared" ca="1" si="205"/>
        <v>#N/A</v>
      </c>
      <c r="AA1327" s="170" t="e">
        <f t="shared" ca="1" si="206"/>
        <v>#N/A</v>
      </c>
      <c r="AB1327" s="169">
        <f t="shared" ca="1" si="207"/>
        <v>0</v>
      </c>
      <c r="AC1327" s="170">
        <f t="shared" ca="1" si="208"/>
        <v>0</v>
      </c>
      <c r="AD1327" s="169">
        <f t="shared" ca="1" si="209"/>
        <v>12388.425641087964</v>
      </c>
      <c r="AE1327" s="169">
        <f t="shared" si="204"/>
        <v>0</v>
      </c>
      <c r="AF1327" s="170">
        <f t="shared" si="210"/>
        <v>0</v>
      </c>
      <c r="AG1327" s="170">
        <f t="shared" si="211"/>
        <v>0</v>
      </c>
      <c r="AH1327" s="28" t="e" cm="1">
        <f t="array" aca="1" ref="AH1327" ca="1">IF((AD1327) &lt; (INDEX(ResponseSLA[#All],(MATCH((G1327),ResponseSLA[Priority],0))+1,3)),"YES","No")</f>
        <v>#N/A</v>
      </c>
      <c r="AI1327" s="28" t="str">
        <f>_xlfn.IFNA(IF(AE1327 &lt; (INDEX(SLATable[Minimum SLA],MATCH(G1327,SLATable[Priority],0))),"YES","NO"),"")</f>
        <v/>
      </c>
      <c r="AJ1327" s="28" t="str">
        <f>_xlfn.IFNA(IF(AE1327 &lt; (INDEX(SLATable[Maximum SLA],MATCH(G1327,SLATable[Priority],0))),"YES","NO"),"")</f>
        <v/>
      </c>
    </row>
    <row r="1328" spans="26:36" ht="15" customHeight="1">
      <c r="Z1328" s="169" t="e">
        <f t="shared" ca="1" si="205"/>
        <v>#N/A</v>
      </c>
      <c r="AA1328" s="170" t="e">
        <f t="shared" ca="1" si="206"/>
        <v>#N/A</v>
      </c>
      <c r="AB1328" s="169">
        <f t="shared" ca="1" si="207"/>
        <v>0</v>
      </c>
      <c r="AC1328" s="170">
        <f t="shared" ca="1" si="208"/>
        <v>0</v>
      </c>
      <c r="AD1328" s="169">
        <f t="shared" ca="1" si="209"/>
        <v>12388.425641087964</v>
      </c>
      <c r="AE1328" s="169">
        <f t="shared" si="204"/>
        <v>0</v>
      </c>
      <c r="AF1328" s="170">
        <f t="shared" si="210"/>
        <v>0</v>
      </c>
      <c r="AG1328" s="170">
        <f t="shared" si="211"/>
        <v>0</v>
      </c>
      <c r="AH1328" s="28" t="e" cm="1">
        <f t="array" aca="1" ref="AH1328" ca="1">IF((AD1328) &lt; (INDEX(ResponseSLA[#All],(MATCH((G1328),ResponseSLA[Priority],0))+1,3)),"YES","No")</f>
        <v>#N/A</v>
      </c>
      <c r="AI1328" s="28" t="str">
        <f>_xlfn.IFNA(IF(AE1328 &lt; (INDEX(SLATable[Minimum SLA],MATCH(G1328,SLATable[Priority],0))),"YES","NO"),"")</f>
        <v/>
      </c>
      <c r="AJ1328" s="28" t="str">
        <f>_xlfn.IFNA(IF(AE1328 &lt; (INDEX(SLATable[Maximum SLA],MATCH(G1328,SLATable[Priority],0))),"YES","NO"),"")</f>
        <v/>
      </c>
    </row>
    <row r="1329" spans="26:36" ht="15" customHeight="1">
      <c r="Z1329" s="169" t="e">
        <f t="shared" ca="1" si="205"/>
        <v>#N/A</v>
      </c>
      <c r="AA1329" s="170" t="e">
        <f t="shared" ca="1" si="206"/>
        <v>#N/A</v>
      </c>
      <c r="AB1329" s="169">
        <f t="shared" ca="1" si="207"/>
        <v>0</v>
      </c>
      <c r="AC1329" s="170">
        <f t="shared" ca="1" si="208"/>
        <v>0</v>
      </c>
      <c r="AD1329" s="169">
        <f t="shared" ca="1" si="209"/>
        <v>12388.425641087964</v>
      </c>
      <c r="AE1329" s="169">
        <f t="shared" ref="AE1329:AE1392" si="212">SUMIFS(AB:AB,E:E,E1329)</f>
        <v>0</v>
      </c>
      <c r="AF1329" s="170">
        <f t="shared" si="210"/>
        <v>0</v>
      </c>
      <c r="AG1329" s="170">
        <f t="shared" si="211"/>
        <v>0</v>
      </c>
      <c r="AH1329" s="28" t="e" cm="1">
        <f t="array" aca="1" ref="AH1329" ca="1">IF((AD1329) &lt; (INDEX(ResponseSLA[#All],(MATCH((G1329),ResponseSLA[Priority],0))+1,3)),"YES","No")</f>
        <v>#N/A</v>
      </c>
      <c r="AI1329" s="28" t="str">
        <f>_xlfn.IFNA(IF(AE1329 &lt; (INDEX(SLATable[Minimum SLA],MATCH(G1329,SLATable[Priority],0))),"YES","NO"),"")</f>
        <v/>
      </c>
      <c r="AJ1329" s="28" t="str">
        <f>_xlfn.IFNA(IF(AE1329 &lt; (INDEX(SLATable[Maximum SLA],MATCH(G1329,SLATable[Priority],0))),"YES","NO"),"")</f>
        <v/>
      </c>
    </row>
    <row r="1330" spans="26:36" ht="15" customHeight="1">
      <c r="Z1330" s="169" t="e">
        <f t="shared" ca="1" si="205"/>
        <v>#N/A</v>
      </c>
      <c r="AA1330" s="170" t="e">
        <f t="shared" ca="1" si="206"/>
        <v>#N/A</v>
      </c>
      <c r="AB1330" s="169">
        <f t="shared" ca="1" si="207"/>
        <v>0</v>
      </c>
      <c r="AC1330" s="170">
        <f t="shared" ca="1" si="208"/>
        <v>0</v>
      </c>
      <c r="AD1330" s="169">
        <f t="shared" ca="1" si="209"/>
        <v>12388.425641087964</v>
      </c>
      <c r="AE1330" s="169">
        <f t="shared" si="212"/>
        <v>0</v>
      </c>
      <c r="AF1330" s="170">
        <f t="shared" si="210"/>
        <v>0</v>
      </c>
      <c r="AG1330" s="170">
        <f t="shared" si="211"/>
        <v>0</v>
      </c>
      <c r="AH1330" s="28" t="e" cm="1">
        <f t="array" aca="1" ref="AH1330" ca="1">IF((AD1330) &lt; (INDEX(ResponseSLA[#All],(MATCH((G1330),ResponseSLA[Priority],0))+1,3)),"YES","No")</f>
        <v>#N/A</v>
      </c>
      <c r="AI1330" s="28" t="str">
        <f>_xlfn.IFNA(IF(AE1330 &lt; (INDEX(SLATable[Minimum SLA],MATCH(G1330,SLATable[Priority],0))),"YES","NO"),"")</f>
        <v/>
      </c>
      <c r="AJ1330" s="28" t="str">
        <f>_xlfn.IFNA(IF(AE1330 &lt; (INDEX(SLATable[Maximum SLA],MATCH(G1330,SLATable[Priority],0))),"YES","NO"),"")</f>
        <v/>
      </c>
    </row>
    <row r="1331" spans="26:36" ht="15" customHeight="1">
      <c r="Z1331" s="169" t="e">
        <f t="shared" ca="1" si="205"/>
        <v>#N/A</v>
      </c>
      <c r="AA1331" s="170" t="e">
        <f t="shared" ca="1" si="206"/>
        <v>#N/A</v>
      </c>
      <c r="AB1331" s="169">
        <f t="shared" ca="1" si="207"/>
        <v>0</v>
      </c>
      <c r="AC1331" s="170">
        <f t="shared" ca="1" si="208"/>
        <v>0</v>
      </c>
      <c r="AD1331" s="169">
        <f t="shared" ca="1" si="209"/>
        <v>12388.425641087964</v>
      </c>
      <c r="AE1331" s="169">
        <f t="shared" si="212"/>
        <v>0</v>
      </c>
      <c r="AF1331" s="170">
        <f t="shared" si="210"/>
        <v>0</v>
      </c>
      <c r="AG1331" s="170">
        <f t="shared" si="211"/>
        <v>0</v>
      </c>
      <c r="AH1331" s="28" t="e" cm="1">
        <f t="array" aca="1" ref="AH1331" ca="1">IF((AD1331) &lt; (INDEX(ResponseSLA[#All],(MATCH((G1331),ResponseSLA[Priority],0))+1,3)),"YES","No")</f>
        <v>#N/A</v>
      </c>
      <c r="AI1331" s="28" t="str">
        <f>_xlfn.IFNA(IF(AE1331 &lt; (INDEX(SLATable[Minimum SLA],MATCH(G1331,SLATable[Priority],0))),"YES","NO"),"")</f>
        <v/>
      </c>
      <c r="AJ1331" s="28" t="str">
        <f>_xlfn.IFNA(IF(AE1331 &lt; (INDEX(SLATable[Maximum SLA],MATCH(G1331,SLATable[Priority],0))),"YES","NO"),"")</f>
        <v/>
      </c>
    </row>
    <row r="1332" spans="26:36" ht="15" customHeight="1">
      <c r="Z1332" s="169" t="e">
        <f t="shared" ca="1" si="205"/>
        <v>#N/A</v>
      </c>
      <c r="AA1332" s="170" t="e">
        <f t="shared" ca="1" si="206"/>
        <v>#N/A</v>
      </c>
      <c r="AB1332" s="169">
        <f t="shared" ca="1" si="207"/>
        <v>0</v>
      </c>
      <c r="AC1332" s="170">
        <f t="shared" ca="1" si="208"/>
        <v>0</v>
      </c>
      <c r="AD1332" s="169">
        <f t="shared" ca="1" si="209"/>
        <v>12388.425641087964</v>
      </c>
      <c r="AE1332" s="169">
        <f t="shared" si="212"/>
        <v>0</v>
      </c>
      <c r="AF1332" s="170">
        <f t="shared" si="210"/>
        <v>0</v>
      </c>
      <c r="AG1332" s="170">
        <f t="shared" si="211"/>
        <v>0</v>
      </c>
      <c r="AH1332" s="28" t="e" cm="1">
        <f t="array" aca="1" ref="AH1332" ca="1">IF((AD1332) &lt; (INDEX(ResponseSLA[#All],(MATCH((G1332),ResponseSLA[Priority],0))+1,3)),"YES","No")</f>
        <v>#N/A</v>
      </c>
      <c r="AI1332" s="28" t="str">
        <f>_xlfn.IFNA(IF(AE1332 &lt; (INDEX(SLATable[Minimum SLA],MATCH(G1332,SLATable[Priority],0))),"YES","NO"),"")</f>
        <v/>
      </c>
      <c r="AJ1332" s="28" t="str">
        <f>_xlfn.IFNA(IF(AE1332 &lt; (INDEX(SLATable[Maximum SLA],MATCH(G1332,SLATable[Priority],0))),"YES","NO"),"")</f>
        <v/>
      </c>
    </row>
    <row r="1333" spans="26:36" ht="15" customHeight="1">
      <c r="Z1333" s="169" t="e">
        <f t="shared" ca="1" si="205"/>
        <v>#N/A</v>
      </c>
      <c r="AA1333" s="170" t="e">
        <f t="shared" ca="1" si="206"/>
        <v>#N/A</v>
      </c>
      <c r="AB1333" s="169">
        <f t="shared" ca="1" si="207"/>
        <v>0</v>
      </c>
      <c r="AC1333" s="170">
        <f t="shared" ca="1" si="208"/>
        <v>0</v>
      </c>
      <c r="AD1333" s="169">
        <f t="shared" ca="1" si="209"/>
        <v>12388.425641087964</v>
      </c>
      <c r="AE1333" s="169">
        <f t="shared" si="212"/>
        <v>0</v>
      </c>
      <c r="AF1333" s="170">
        <f t="shared" si="210"/>
        <v>0</v>
      </c>
      <c r="AG1333" s="170">
        <f t="shared" si="211"/>
        <v>0</v>
      </c>
      <c r="AH1333" s="28" t="e" cm="1">
        <f t="array" aca="1" ref="AH1333" ca="1">IF((AD1333) &lt; (INDEX(ResponseSLA[#All],(MATCH((G1333),ResponseSLA[Priority],0))+1,3)),"YES","No")</f>
        <v>#N/A</v>
      </c>
      <c r="AI1333" s="28" t="str">
        <f>_xlfn.IFNA(IF(AE1333 &lt; (INDEX(SLATable[Minimum SLA],MATCH(G1333,SLATable[Priority],0))),"YES","NO"),"")</f>
        <v/>
      </c>
      <c r="AJ1333" s="28" t="str">
        <f>_xlfn.IFNA(IF(AE1333 &lt; (INDEX(SLATable[Maximum SLA],MATCH(G1333,SLATable[Priority],0))),"YES","NO"),"")</f>
        <v/>
      </c>
    </row>
    <row r="1334" spans="26:36" ht="15" customHeight="1">
      <c r="Z1334" s="169" t="e">
        <f t="shared" ca="1" si="205"/>
        <v>#N/A</v>
      </c>
      <c r="AA1334" s="170" t="e">
        <f t="shared" ca="1" si="206"/>
        <v>#N/A</v>
      </c>
      <c r="AB1334" s="169">
        <f t="shared" ca="1" si="207"/>
        <v>0</v>
      </c>
      <c r="AC1334" s="170">
        <f t="shared" ca="1" si="208"/>
        <v>0</v>
      </c>
      <c r="AD1334" s="169">
        <f t="shared" ca="1" si="209"/>
        <v>12388.425641087964</v>
      </c>
      <c r="AE1334" s="169">
        <f t="shared" si="212"/>
        <v>0</v>
      </c>
      <c r="AF1334" s="170">
        <f t="shared" si="210"/>
        <v>0</v>
      </c>
      <c r="AG1334" s="170">
        <f t="shared" si="211"/>
        <v>0</v>
      </c>
      <c r="AH1334" s="28" t="e" cm="1">
        <f t="array" aca="1" ref="AH1334" ca="1">IF((AD1334) &lt; (INDEX(ResponseSLA[#All],(MATCH((G1334),ResponseSLA[Priority],0))+1,3)),"YES","No")</f>
        <v>#N/A</v>
      </c>
      <c r="AI1334" s="28" t="str">
        <f>_xlfn.IFNA(IF(AE1334 &lt; (INDEX(SLATable[Minimum SLA],MATCH(G1334,SLATable[Priority],0))),"YES","NO"),"")</f>
        <v/>
      </c>
      <c r="AJ1334" s="28" t="str">
        <f>_xlfn.IFNA(IF(AE1334 &lt; (INDEX(SLATable[Maximum SLA],MATCH(G1334,SLATable[Priority],0))),"YES","NO"),"")</f>
        <v/>
      </c>
    </row>
    <row r="1335" spans="26:36" ht="15" customHeight="1">
      <c r="Z1335" s="169" t="e">
        <f t="shared" ca="1" si="205"/>
        <v>#N/A</v>
      </c>
      <c r="AA1335" s="170" t="e">
        <f t="shared" ca="1" si="206"/>
        <v>#N/A</v>
      </c>
      <c r="AB1335" s="169">
        <f t="shared" ca="1" si="207"/>
        <v>0</v>
      </c>
      <c r="AC1335" s="170">
        <f t="shared" ca="1" si="208"/>
        <v>0</v>
      </c>
      <c r="AD1335" s="169">
        <f t="shared" ca="1" si="209"/>
        <v>12388.425641087964</v>
      </c>
      <c r="AE1335" s="169">
        <f t="shared" si="212"/>
        <v>0</v>
      </c>
      <c r="AF1335" s="170">
        <f t="shared" si="210"/>
        <v>0</v>
      </c>
      <c r="AG1335" s="170">
        <f t="shared" si="211"/>
        <v>0</v>
      </c>
      <c r="AH1335" s="28" t="e" cm="1">
        <f t="array" aca="1" ref="AH1335" ca="1">IF((AD1335) &lt; (INDEX(ResponseSLA[#All],(MATCH((G1335),ResponseSLA[Priority],0))+1,3)),"YES","No")</f>
        <v>#N/A</v>
      </c>
      <c r="AI1335" s="28" t="str">
        <f>_xlfn.IFNA(IF(AE1335 &lt; (INDEX(SLATable[Minimum SLA],MATCH(G1335,SLATable[Priority],0))),"YES","NO"),"")</f>
        <v/>
      </c>
      <c r="AJ1335" s="28" t="str">
        <f>_xlfn.IFNA(IF(AE1335 &lt; (INDEX(SLATable[Maximum SLA],MATCH(G1335,SLATable[Priority],0))),"YES","NO"),"")</f>
        <v/>
      </c>
    </row>
    <row r="1336" spans="26:36" ht="15" customHeight="1">
      <c r="Z1336" s="169" t="e">
        <f t="shared" ca="1" si="205"/>
        <v>#N/A</v>
      </c>
      <c r="AA1336" s="170" t="e">
        <f t="shared" ca="1" si="206"/>
        <v>#N/A</v>
      </c>
      <c r="AB1336" s="169">
        <f t="shared" ca="1" si="207"/>
        <v>0</v>
      </c>
      <c r="AC1336" s="170">
        <f t="shared" ca="1" si="208"/>
        <v>0</v>
      </c>
      <c r="AD1336" s="169">
        <f t="shared" ca="1" si="209"/>
        <v>12388.425641087964</v>
      </c>
      <c r="AE1336" s="169">
        <f t="shared" si="212"/>
        <v>0</v>
      </c>
      <c r="AF1336" s="170">
        <f t="shared" si="210"/>
        <v>0</v>
      </c>
      <c r="AG1336" s="170">
        <f t="shared" si="211"/>
        <v>0</v>
      </c>
      <c r="AH1336" s="28" t="e" cm="1">
        <f t="array" aca="1" ref="AH1336" ca="1">IF((AD1336) &lt; (INDEX(ResponseSLA[#All],(MATCH((G1336),ResponseSLA[Priority],0))+1,3)),"YES","No")</f>
        <v>#N/A</v>
      </c>
      <c r="AI1336" s="28" t="str">
        <f>_xlfn.IFNA(IF(AE1336 &lt; (INDEX(SLATable[Minimum SLA],MATCH(G1336,SLATable[Priority],0))),"YES","NO"),"")</f>
        <v/>
      </c>
      <c r="AJ1336" s="28" t="str">
        <f>_xlfn.IFNA(IF(AE1336 &lt; (INDEX(SLATable[Maximum SLA],MATCH(G1336,SLATable[Priority],0))),"YES","NO"),"")</f>
        <v/>
      </c>
    </row>
    <row r="1337" spans="26:36" ht="15" customHeight="1">
      <c r="Z1337" s="169" t="e">
        <f t="shared" ca="1" si="205"/>
        <v>#N/A</v>
      </c>
      <c r="AA1337" s="170" t="e">
        <f t="shared" ca="1" si="206"/>
        <v>#N/A</v>
      </c>
      <c r="AB1337" s="169">
        <f t="shared" ca="1" si="207"/>
        <v>0</v>
      </c>
      <c r="AC1337" s="170">
        <f t="shared" ca="1" si="208"/>
        <v>0</v>
      </c>
      <c r="AD1337" s="169">
        <f t="shared" ca="1" si="209"/>
        <v>12388.425641087964</v>
      </c>
      <c r="AE1337" s="169">
        <f t="shared" si="212"/>
        <v>0</v>
      </c>
      <c r="AF1337" s="170">
        <f t="shared" si="210"/>
        <v>0</v>
      </c>
      <c r="AG1337" s="170">
        <f t="shared" si="211"/>
        <v>0</v>
      </c>
      <c r="AH1337" s="28" t="e" cm="1">
        <f t="array" aca="1" ref="AH1337" ca="1">IF((AD1337) &lt; (INDEX(ResponseSLA[#All],(MATCH((G1337),ResponseSLA[Priority],0))+1,3)),"YES","No")</f>
        <v>#N/A</v>
      </c>
      <c r="AI1337" s="28" t="str">
        <f>_xlfn.IFNA(IF(AE1337 &lt; (INDEX(SLATable[Minimum SLA],MATCH(G1337,SLATable[Priority],0))),"YES","NO"),"")</f>
        <v/>
      </c>
      <c r="AJ1337" s="28" t="str">
        <f>_xlfn.IFNA(IF(AE1337 &lt; (INDEX(SLATable[Maximum SLA],MATCH(G1337,SLATable[Priority],0))),"YES","NO"),"")</f>
        <v/>
      </c>
    </row>
    <row r="1338" spans="26:36" ht="15" customHeight="1">
      <c r="Z1338" s="169" t="e">
        <f t="shared" ca="1" si="205"/>
        <v>#N/A</v>
      </c>
      <c r="AA1338" s="170" t="e">
        <f t="shared" ca="1" si="206"/>
        <v>#N/A</v>
      </c>
      <c r="AB1338" s="169">
        <f t="shared" ca="1" si="207"/>
        <v>0</v>
      </c>
      <c r="AC1338" s="170">
        <f t="shared" ca="1" si="208"/>
        <v>0</v>
      </c>
      <c r="AD1338" s="169">
        <f t="shared" ca="1" si="209"/>
        <v>12388.425641087964</v>
      </c>
      <c r="AE1338" s="169">
        <f t="shared" si="212"/>
        <v>0</v>
      </c>
      <c r="AF1338" s="170">
        <f t="shared" si="210"/>
        <v>0</v>
      </c>
      <c r="AG1338" s="170">
        <f t="shared" si="211"/>
        <v>0</v>
      </c>
      <c r="AH1338" s="28" t="e" cm="1">
        <f t="array" aca="1" ref="AH1338" ca="1">IF((AD1338) &lt; (INDEX(ResponseSLA[#All],(MATCH((G1338),ResponseSLA[Priority],0))+1,3)),"YES","No")</f>
        <v>#N/A</v>
      </c>
      <c r="AI1338" s="28" t="str">
        <f>_xlfn.IFNA(IF(AE1338 &lt; (INDEX(SLATable[Minimum SLA],MATCH(G1338,SLATable[Priority],0))),"YES","NO"),"")</f>
        <v/>
      </c>
      <c r="AJ1338" s="28" t="str">
        <f>_xlfn.IFNA(IF(AE1338 &lt; (INDEX(SLATable[Maximum SLA],MATCH(G1338,SLATable[Priority],0))),"YES","NO"),"")</f>
        <v/>
      </c>
    </row>
    <row r="1339" spans="26:36" ht="15" customHeight="1">
      <c r="Z1339" s="169" t="e">
        <f t="shared" ca="1" si="205"/>
        <v>#N/A</v>
      </c>
      <c r="AA1339" s="170" t="e">
        <f t="shared" ca="1" si="206"/>
        <v>#N/A</v>
      </c>
      <c r="AB1339" s="169">
        <f t="shared" ca="1" si="207"/>
        <v>0</v>
      </c>
      <c r="AC1339" s="170">
        <f t="shared" ca="1" si="208"/>
        <v>0</v>
      </c>
      <c r="AD1339" s="169">
        <f t="shared" ca="1" si="209"/>
        <v>12388.425641087964</v>
      </c>
      <c r="AE1339" s="169">
        <f t="shared" si="212"/>
        <v>0</v>
      </c>
      <c r="AF1339" s="170">
        <f t="shared" si="210"/>
        <v>0</v>
      </c>
      <c r="AG1339" s="170">
        <f t="shared" si="211"/>
        <v>0</v>
      </c>
      <c r="AH1339" s="28" t="e" cm="1">
        <f t="array" aca="1" ref="AH1339" ca="1">IF((AD1339) &lt; (INDEX(ResponseSLA[#All],(MATCH((G1339),ResponseSLA[Priority],0))+1,3)),"YES","No")</f>
        <v>#N/A</v>
      </c>
      <c r="AI1339" s="28" t="str">
        <f>_xlfn.IFNA(IF(AE1339 &lt; (INDEX(SLATable[Minimum SLA],MATCH(G1339,SLATable[Priority],0))),"YES","NO"),"")</f>
        <v/>
      </c>
      <c r="AJ1339" s="28" t="str">
        <f>_xlfn.IFNA(IF(AE1339 &lt; (INDEX(SLATable[Maximum SLA],MATCH(G1339,SLATable[Priority],0))),"YES","NO"),"")</f>
        <v/>
      </c>
    </row>
    <row r="1340" spans="26:36" ht="15" customHeight="1">
      <c r="Z1340" s="169" t="e">
        <f t="shared" ca="1" si="205"/>
        <v>#N/A</v>
      </c>
      <c r="AA1340" s="170" t="e">
        <f t="shared" ca="1" si="206"/>
        <v>#N/A</v>
      </c>
      <c r="AB1340" s="169">
        <f t="shared" ca="1" si="207"/>
        <v>0</v>
      </c>
      <c r="AC1340" s="170">
        <f t="shared" ca="1" si="208"/>
        <v>0</v>
      </c>
      <c r="AD1340" s="169">
        <f t="shared" ca="1" si="209"/>
        <v>12388.425641087964</v>
      </c>
      <c r="AE1340" s="169">
        <f t="shared" si="212"/>
        <v>0</v>
      </c>
      <c r="AF1340" s="170">
        <f t="shared" si="210"/>
        <v>0</v>
      </c>
      <c r="AG1340" s="170">
        <f t="shared" si="211"/>
        <v>0</v>
      </c>
      <c r="AH1340" s="28" t="e" cm="1">
        <f t="array" aca="1" ref="AH1340" ca="1">IF((AD1340) &lt; (INDEX(ResponseSLA[#All],(MATCH((G1340),ResponseSLA[Priority],0))+1,3)),"YES","No")</f>
        <v>#N/A</v>
      </c>
      <c r="AI1340" s="28" t="str">
        <f>_xlfn.IFNA(IF(AE1340 &lt; (INDEX(SLATable[Minimum SLA],MATCH(G1340,SLATable[Priority],0))),"YES","NO"),"")</f>
        <v/>
      </c>
      <c r="AJ1340" s="28" t="str">
        <f>_xlfn.IFNA(IF(AE1340 &lt; (INDEX(SLATable[Maximum SLA],MATCH(G1340,SLATable[Priority],0))),"YES","NO"),"")</f>
        <v/>
      </c>
    </row>
    <row r="1341" spans="26:36" ht="15" customHeight="1">
      <c r="Z1341" s="169" t="e">
        <f t="shared" ca="1" si="205"/>
        <v>#N/A</v>
      </c>
      <c r="AA1341" s="170" t="e">
        <f t="shared" ca="1" si="206"/>
        <v>#N/A</v>
      </c>
      <c r="AB1341" s="169">
        <f t="shared" ca="1" si="207"/>
        <v>0</v>
      </c>
      <c r="AC1341" s="170">
        <f t="shared" ca="1" si="208"/>
        <v>0</v>
      </c>
      <c r="AD1341" s="169">
        <f t="shared" ca="1" si="209"/>
        <v>12388.425641087964</v>
      </c>
      <c r="AE1341" s="169">
        <f t="shared" si="212"/>
        <v>0</v>
      </c>
      <c r="AF1341" s="170">
        <f t="shared" si="210"/>
        <v>0</v>
      </c>
      <c r="AG1341" s="170">
        <f t="shared" si="211"/>
        <v>0</v>
      </c>
      <c r="AH1341" s="28" t="e" cm="1">
        <f t="array" aca="1" ref="AH1341" ca="1">IF((AD1341) &lt; (INDEX(ResponseSLA[#All],(MATCH((G1341),ResponseSLA[Priority],0))+1,3)),"YES","No")</f>
        <v>#N/A</v>
      </c>
      <c r="AI1341" s="28" t="str">
        <f>_xlfn.IFNA(IF(AE1341 &lt; (INDEX(SLATable[Minimum SLA],MATCH(G1341,SLATable[Priority],0))),"YES","NO"),"")</f>
        <v/>
      </c>
      <c r="AJ1341" s="28" t="str">
        <f>_xlfn.IFNA(IF(AE1341 &lt; (INDEX(SLATable[Maximum SLA],MATCH(G1341,SLATable[Priority],0))),"YES","NO"),"")</f>
        <v/>
      </c>
    </row>
    <row r="1342" spans="26:36" ht="15" customHeight="1">
      <c r="Z1342" s="169" t="e">
        <f t="shared" ca="1" si="205"/>
        <v>#N/A</v>
      </c>
      <c r="AA1342" s="170" t="e">
        <f t="shared" ca="1" si="206"/>
        <v>#N/A</v>
      </c>
      <c r="AB1342" s="169">
        <f t="shared" ca="1" si="207"/>
        <v>0</v>
      </c>
      <c r="AC1342" s="170">
        <f t="shared" ca="1" si="208"/>
        <v>0</v>
      </c>
      <c r="AD1342" s="169">
        <f t="shared" ca="1" si="209"/>
        <v>12388.425641087964</v>
      </c>
      <c r="AE1342" s="169">
        <f t="shared" si="212"/>
        <v>0</v>
      </c>
      <c r="AF1342" s="170">
        <f t="shared" si="210"/>
        <v>0</v>
      </c>
      <c r="AG1342" s="170">
        <f t="shared" si="211"/>
        <v>0</v>
      </c>
      <c r="AH1342" s="28" t="e" cm="1">
        <f t="array" aca="1" ref="AH1342" ca="1">IF((AD1342) &lt; (INDEX(ResponseSLA[#All],(MATCH((G1342),ResponseSLA[Priority],0))+1,3)),"YES","No")</f>
        <v>#N/A</v>
      </c>
      <c r="AI1342" s="28" t="str">
        <f>_xlfn.IFNA(IF(AE1342 &lt; (INDEX(SLATable[Minimum SLA],MATCH(G1342,SLATable[Priority],0))),"YES","NO"),"")</f>
        <v/>
      </c>
      <c r="AJ1342" s="28" t="str">
        <f>_xlfn.IFNA(IF(AE1342 &lt; (INDEX(SLATable[Maximum SLA],MATCH(G1342,SLATable[Priority],0))),"YES","NO"),"")</f>
        <v/>
      </c>
    </row>
    <row r="1343" spans="26:36" ht="15" customHeight="1">
      <c r="Z1343" s="169" t="e">
        <f t="shared" ca="1" si="205"/>
        <v>#N/A</v>
      </c>
      <c r="AA1343" s="170" t="e">
        <f t="shared" ca="1" si="206"/>
        <v>#N/A</v>
      </c>
      <c r="AB1343" s="169">
        <f t="shared" ca="1" si="207"/>
        <v>0</v>
      </c>
      <c r="AC1343" s="170">
        <f t="shared" ca="1" si="208"/>
        <v>0</v>
      </c>
      <c r="AD1343" s="169">
        <f t="shared" ca="1" si="209"/>
        <v>12388.425641087964</v>
      </c>
      <c r="AE1343" s="169">
        <f t="shared" si="212"/>
        <v>0</v>
      </c>
      <c r="AF1343" s="170">
        <f t="shared" si="210"/>
        <v>0</v>
      </c>
      <c r="AG1343" s="170">
        <f t="shared" si="211"/>
        <v>0</v>
      </c>
      <c r="AH1343" s="28" t="e" cm="1">
        <f t="array" aca="1" ref="AH1343" ca="1">IF((AD1343) &lt; (INDEX(ResponseSLA[#All],(MATCH((G1343),ResponseSLA[Priority],0))+1,3)),"YES","No")</f>
        <v>#N/A</v>
      </c>
      <c r="AI1343" s="28" t="str">
        <f>_xlfn.IFNA(IF(AE1343 &lt; (INDEX(SLATable[Minimum SLA],MATCH(G1343,SLATable[Priority],0))),"YES","NO"),"")</f>
        <v/>
      </c>
      <c r="AJ1343" s="28" t="str">
        <f>_xlfn.IFNA(IF(AE1343 &lt; (INDEX(SLATable[Maximum SLA],MATCH(G1343,SLATable[Priority],0))),"YES","NO"),"")</f>
        <v/>
      </c>
    </row>
    <row r="1344" spans="26:36" ht="15" customHeight="1">
      <c r="Z1344" s="169" t="e">
        <f t="shared" ca="1" si="205"/>
        <v>#N/A</v>
      </c>
      <c r="AA1344" s="170" t="e">
        <f t="shared" ca="1" si="206"/>
        <v>#N/A</v>
      </c>
      <c r="AB1344" s="169">
        <f t="shared" ca="1" si="207"/>
        <v>0</v>
      </c>
      <c r="AC1344" s="170">
        <f t="shared" ca="1" si="208"/>
        <v>0</v>
      </c>
      <c r="AD1344" s="169">
        <f t="shared" ca="1" si="209"/>
        <v>12388.425641087964</v>
      </c>
      <c r="AE1344" s="169">
        <f t="shared" si="212"/>
        <v>0</v>
      </c>
      <c r="AF1344" s="170">
        <f t="shared" si="210"/>
        <v>0</v>
      </c>
      <c r="AG1344" s="170">
        <f t="shared" si="211"/>
        <v>0</v>
      </c>
      <c r="AH1344" s="28" t="e" cm="1">
        <f t="array" aca="1" ref="AH1344" ca="1">IF((AD1344) &lt; (INDEX(ResponseSLA[#All],(MATCH((G1344),ResponseSLA[Priority],0))+1,3)),"YES","No")</f>
        <v>#N/A</v>
      </c>
      <c r="AI1344" s="28" t="str">
        <f>_xlfn.IFNA(IF(AE1344 &lt; (INDEX(SLATable[Minimum SLA],MATCH(G1344,SLATable[Priority],0))),"YES","NO"),"")</f>
        <v/>
      </c>
      <c r="AJ1344" s="28" t="str">
        <f>_xlfn.IFNA(IF(AE1344 &lt; (INDEX(SLATable[Maximum SLA],MATCH(G1344,SLATable[Priority],0))),"YES","NO"),"")</f>
        <v/>
      </c>
    </row>
    <row r="1345" spans="26:36" ht="15" customHeight="1">
      <c r="Z1345" s="169" t="e">
        <f t="shared" ca="1" si="205"/>
        <v>#N/A</v>
      </c>
      <c r="AA1345" s="170" t="e">
        <f t="shared" ca="1" si="206"/>
        <v>#N/A</v>
      </c>
      <c r="AB1345" s="169">
        <f t="shared" ca="1" si="207"/>
        <v>0</v>
      </c>
      <c r="AC1345" s="170">
        <f t="shared" ca="1" si="208"/>
        <v>0</v>
      </c>
      <c r="AD1345" s="169">
        <f t="shared" ca="1" si="209"/>
        <v>12388.425641087964</v>
      </c>
      <c r="AE1345" s="169">
        <f t="shared" si="212"/>
        <v>0</v>
      </c>
      <c r="AF1345" s="170">
        <f t="shared" si="210"/>
        <v>0</v>
      </c>
      <c r="AG1345" s="170">
        <f t="shared" si="211"/>
        <v>0</v>
      </c>
      <c r="AH1345" s="28" t="e" cm="1">
        <f t="array" aca="1" ref="AH1345" ca="1">IF((AD1345) &lt; (INDEX(ResponseSLA[#All],(MATCH((G1345),ResponseSLA[Priority],0))+1,3)),"YES","No")</f>
        <v>#N/A</v>
      </c>
      <c r="AI1345" s="28" t="str">
        <f>_xlfn.IFNA(IF(AE1345 &lt; (INDEX(SLATable[Minimum SLA],MATCH(G1345,SLATable[Priority],0))),"YES","NO"),"")</f>
        <v/>
      </c>
      <c r="AJ1345" s="28" t="str">
        <f>_xlfn.IFNA(IF(AE1345 &lt; (INDEX(SLATable[Maximum SLA],MATCH(G1345,SLATable[Priority],0))),"YES","NO"),"")</f>
        <v/>
      </c>
    </row>
    <row r="1346" spans="26:36" ht="15" customHeight="1">
      <c r="Z1346" s="169" t="e">
        <f t="shared" ca="1" si="205"/>
        <v>#N/A</v>
      </c>
      <c r="AA1346" s="170" t="e">
        <f t="shared" ca="1" si="206"/>
        <v>#N/A</v>
      </c>
      <c r="AB1346" s="169">
        <f t="shared" ca="1" si="207"/>
        <v>0</v>
      </c>
      <c r="AC1346" s="170">
        <f t="shared" ca="1" si="208"/>
        <v>0</v>
      </c>
      <c r="AD1346" s="169">
        <f t="shared" ca="1" si="209"/>
        <v>12388.425641087964</v>
      </c>
      <c r="AE1346" s="169">
        <f t="shared" si="212"/>
        <v>0</v>
      </c>
      <c r="AF1346" s="170">
        <f t="shared" si="210"/>
        <v>0</v>
      </c>
      <c r="AG1346" s="170">
        <f t="shared" si="211"/>
        <v>0</v>
      </c>
      <c r="AH1346" s="28" t="e" cm="1">
        <f t="array" aca="1" ref="AH1346" ca="1">IF((AD1346) &lt; (INDEX(ResponseSLA[#All],(MATCH((G1346),ResponseSLA[Priority],0))+1,3)),"YES","No")</f>
        <v>#N/A</v>
      </c>
      <c r="AI1346" s="28" t="str">
        <f>_xlfn.IFNA(IF(AE1346 &lt; (INDEX(SLATable[Minimum SLA],MATCH(G1346,SLATable[Priority],0))),"YES","NO"),"")</f>
        <v/>
      </c>
      <c r="AJ1346" s="28" t="str">
        <f>_xlfn.IFNA(IF(AE1346 &lt; (INDEX(SLATable[Maximum SLA],MATCH(G1346,SLATable[Priority],0))),"YES","NO"),"")</f>
        <v/>
      </c>
    </row>
    <row r="1347" spans="26:36" ht="15" customHeight="1">
      <c r="Z1347" s="169" t="e">
        <f t="shared" ca="1" si="205"/>
        <v>#N/A</v>
      </c>
      <c r="AA1347" s="170" t="e">
        <f t="shared" ca="1" si="206"/>
        <v>#N/A</v>
      </c>
      <c r="AB1347" s="169">
        <f t="shared" ca="1" si="207"/>
        <v>0</v>
      </c>
      <c r="AC1347" s="170">
        <f t="shared" ca="1" si="208"/>
        <v>0</v>
      </c>
      <c r="AD1347" s="169">
        <f t="shared" ca="1" si="209"/>
        <v>12388.425641087964</v>
      </c>
      <c r="AE1347" s="169">
        <f t="shared" si="212"/>
        <v>0</v>
      </c>
      <c r="AF1347" s="170">
        <f t="shared" si="210"/>
        <v>0</v>
      </c>
      <c r="AG1347" s="170">
        <f t="shared" si="211"/>
        <v>0</v>
      </c>
      <c r="AH1347" s="28" t="e" cm="1">
        <f t="array" aca="1" ref="AH1347" ca="1">IF((AD1347) &lt; (INDEX(ResponseSLA[#All],(MATCH((G1347),ResponseSLA[Priority],0))+1,3)),"YES","No")</f>
        <v>#N/A</v>
      </c>
      <c r="AI1347" s="28" t="str">
        <f>_xlfn.IFNA(IF(AE1347 &lt; (INDEX(SLATable[Minimum SLA],MATCH(G1347,SLATable[Priority],0))),"YES","NO"),"")</f>
        <v/>
      </c>
      <c r="AJ1347" s="28" t="str">
        <f>_xlfn.IFNA(IF(AE1347 &lt; (INDEX(SLATable[Maximum SLA],MATCH(G1347,SLATable[Priority],0))),"YES","NO"),"")</f>
        <v/>
      </c>
    </row>
    <row r="1348" spans="26:36" ht="15" customHeight="1">
      <c r="Z1348" s="169" t="e">
        <f t="shared" ca="1" si="205"/>
        <v>#N/A</v>
      </c>
      <c r="AA1348" s="170" t="e">
        <f t="shared" ca="1" si="206"/>
        <v>#N/A</v>
      </c>
      <c r="AB1348" s="169">
        <f t="shared" ca="1" si="207"/>
        <v>0</v>
      </c>
      <c r="AC1348" s="170">
        <f t="shared" ca="1" si="208"/>
        <v>0</v>
      </c>
      <c r="AD1348" s="169">
        <f t="shared" ca="1" si="209"/>
        <v>12388.425641087964</v>
      </c>
      <c r="AE1348" s="169">
        <f t="shared" si="212"/>
        <v>0</v>
      </c>
      <c r="AF1348" s="170">
        <f t="shared" si="210"/>
        <v>0</v>
      </c>
      <c r="AG1348" s="170">
        <f t="shared" si="211"/>
        <v>0</v>
      </c>
      <c r="AH1348" s="28" t="e" cm="1">
        <f t="array" aca="1" ref="AH1348" ca="1">IF((AD1348) &lt; (INDEX(ResponseSLA[#All],(MATCH((G1348),ResponseSLA[Priority],0))+1,3)),"YES","No")</f>
        <v>#N/A</v>
      </c>
      <c r="AI1348" s="28" t="str">
        <f>_xlfn.IFNA(IF(AE1348 &lt; (INDEX(SLATable[Minimum SLA],MATCH(G1348,SLATable[Priority],0))),"YES","NO"),"")</f>
        <v/>
      </c>
      <c r="AJ1348" s="28" t="str">
        <f>_xlfn.IFNA(IF(AE1348 &lt; (INDEX(SLATable[Maximum SLA],MATCH(G1348,SLATable[Priority],0))),"YES","NO"),"")</f>
        <v/>
      </c>
    </row>
    <row r="1349" spans="26:36" ht="15" customHeight="1">
      <c r="Z1349" s="169" t="e">
        <f t="shared" ca="1" si="205"/>
        <v>#N/A</v>
      </c>
      <c r="AA1349" s="170" t="e">
        <f t="shared" ca="1" si="206"/>
        <v>#N/A</v>
      </c>
      <c r="AB1349" s="169">
        <f t="shared" ca="1" si="207"/>
        <v>0</v>
      </c>
      <c r="AC1349" s="170">
        <f t="shared" ca="1" si="208"/>
        <v>0</v>
      </c>
      <c r="AD1349" s="169">
        <f t="shared" ca="1" si="209"/>
        <v>12388.425641087964</v>
      </c>
      <c r="AE1349" s="169">
        <f t="shared" si="212"/>
        <v>0</v>
      </c>
      <c r="AF1349" s="170">
        <f t="shared" si="210"/>
        <v>0</v>
      </c>
      <c r="AG1349" s="170">
        <f t="shared" si="211"/>
        <v>0</v>
      </c>
      <c r="AH1349" s="28" t="e" cm="1">
        <f t="array" aca="1" ref="AH1349" ca="1">IF((AD1349) &lt; (INDEX(ResponseSLA[#All],(MATCH((G1349),ResponseSLA[Priority],0))+1,3)),"YES","No")</f>
        <v>#N/A</v>
      </c>
      <c r="AI1349" s="28" t="str">
        <f>_xlfn.IFNA(IF(AE1349 &lt; (INDEX(SLATable[Minimum SLA],MATCH(G1349,SLATable[Priority],0))),"YES","NO"),"")</f>
        <v/>
      </c>
      <c r="AJ1349" s="28" t="str">
        <f>_xlfn.IFNA(IF(AE1349 &lt; (INDEX(SLATable[Maximum SLA],MATCH(G1349,SLATable[Priority],0))),"YES","NO"),"")</f>
        <v/>
      </c>
    </row>
    <row r="1350" spans="26:36" ht="15" customHeight="1">
      <c r="Z1350" s="169" t="e">
        <f t="shared" ca="1" si="205"/>
        <v>#N/A</v>
      </c>
      <c r="AA1350" s="170" t="e">
        <f t="shared" ca="1" si="206"/>
        <v>#N/A</v>
      </c>
      <c r="AB1350" s="169">
        <f t="shared" ca="1" si="207"/>
        <v>0</v>
      </c>
      <c r="AC1350" s="170">
        <f t="shared" ca="1" si="208"/>
        <v>0</v>
      </c>
      <c r="AD1350" s="169">
        <f t="shared" ca="1" si="209"/>
        <v>12388.425641087964</v>
      </c>
      <c r="AE1350" s="169">
        <f t="shared" si="212"/>
        <v>0</v>
      </c>
      <c r="AF1350" s="170">
        <f t="shared" si="210"/>
        <v>0</v>
      </c>
      <c r="AG1350" s="170">
        <f t="shared" si="211"/>
        <v>0</v>
      </c>
      <c r="AH1350" s="28" t="e" cm="1">
        <f t="array" aca="1" ref="AH1350" ca="1">IF((AD1350) &lt; (INDEX(ResponseSLA[#All],(MATCH((G1350),ResponseSLA[Priority],0))+1,3)),"YES","No")</f>
        <v>#N/A</v>
      </c>
      <c r="AI1350" s="28" t="str">
        <f>_xlfn.IFNA(IF(AE1350 &lt; (INDEX(SLATable[Minimum SLA],MATCH(G1350,SLATable[Priority],0))),"YES","NO"),"")</f>
        <v/>
      </c>
      <c r="AJ1350" s="28" t="str">
        <f>_xlfn.IFNA(IF(AE1350 &lt; (INDEX(SLATable[Maximum SLA],MATCH(G1350,SLATable[Priority],0))),"YES","NO"),"")</f>
        <v/>
      </c>
    </row>
    <row r="1351" spans="26:36" ht="15" customHeight="1">
      <c r="Z1351" s="169" t="e">
        <f t="shared" ca="1" si="205"/>
        <v>#N/A</v>
      </c>
      <c r="AA1351" s="170" t="e">
        <f t="shared" ca="1" si="206"/>
        <v>#N/A</v>
      </c>
      <c r="AB1351" s="169">
        <f t="shared" ca="1" si="207"/>
        <v>0</v>
      </c>
      <c r="AC1351" s="170">
        <f t="shared" ca="1" si="208"/>
        <v>0</v>
      </c>
      <c r="AD1351" s="169">
        <f t="shared" ca="1" si="209"/>
        <v>12388.425641087964</v>
      </c>
      <c r="AE1351" s="169">
        <f t="shared" si="212"/>
        <v>0</v>
      </c>
      <c r="AF1351" s="170">
        <f t="shared" si="210"/>
        <v>0</v>
      </c>
      <c r="AG1351" s="170">
        <f t="shared" si="211"/>
        <v>0</v>
      </c>
      <c r="AH1351" s="28" t="e" cm="1">
        <f t="array" aca="1" ref="AH1351" ca="1">IF((AD1351) &lt; (INDEX(ResponseSLA[#All],(MATCH((G1351),ResponseSLA[Priority],0))+1,3)),"YES","No")</f>
        <v>#N/A</v>
      </c>
      <c r="AI1351" s="28" t="str">
        <f>_xlfn.IFNA(IF(AE1351 &lt; (INDEX(SLATable[Minimum SLA],MATCH(G1351,SLATable[Priority],0))),"YES","NO"),"")</f>
        <v/>
      </c>
      <c r="AJ1351" s="28" t="str">
        <f>_xlfn.IFNA(IF(AE1351 &lt; (INDEX(SLATable[Maximum SLA],MATCH(G1351,SLATable[Priority],0))),"YES","NO"),"")</f>
        <v/>
      </c>
    </row>
    <row r="1352" spans="26:36" ht="15" customHeight="1">
      <c r="Z1352" s="169" t="e">
        <f t="shared" ca="1" si="205"/>
        <v>#N/A</v>
      </c>
      <c r="AA1352" s="170" t="e">
        <f t="shared" ca="1" si="206"/>
        <v>#N/A</v>
      </c>
      <c r="AB1352" s="169">
        <f t="shared" ca="1" si="207"/>
        <v>0</v>
      </c>
      <c r="AC1352" s="170">
        <f t="shared" ca="1" si="208"/>
        <v>0</v>
      </c>
      <c r="AD1352" s="169">
        <f t="shared" ca="1" si="209"/>
        <v>12388.425641087964</v>
      </c>
      <c r="AE1352" s="169">
        <f t="shared" si="212"/>
        <v>0</v>
      </c>
      <c r="AF1352" s="170">
        <f t="shared" si="210"/>
        <v>0</v>
      </c>
      <c r="AG1352" s="170">
        <f t="shared" si="211"/>
        <v>0</v>
      </c>
      <c r="AH1352" s="28" t="e" cm="1">
        <f t="array" aca="1" ref="AH1352" ca="1">IF((AD1352) &lt; (INDEX(ResponseSLA[#All],(MATCH((G1352),ResponseSLA[Priority],0))+1,3)),"YES","No")</f>
        <v>#N/A</v>
      </c>
      <c r="AI1352" s="28" t="str">
        <f>_xlfn.IFNA(IF(AE1352 &lt; (INDEX(SLATable[Minimum SLA],MATCH(G1352,SLATable[Priority],0))),"YES","NO"),"")</f>
        <v/>
      </c>
      <c r="AJ1352" s="28" t="str">
        <f>_xlfn.IFNA(IF(AE1352 &lt; (INDEX(SLATable[Maximum SLA],MATCH(G1352,SLATable[Priority],0))),"YES","NO"),"")</f>
        <v/>
      </c>
    </row>
    <row r="1353" spans="26:36" ht="15" customHeight="1">
      <c r="Z1353" s="169" t="e">
        <f t="shared" ca="1" si="205"/>
        <v>#N/A</v>
      </c>
      <c r="AA1353" s="170" t="e">
        <f t="shared" ca="1" si="206"/>
        <v>#N/A</v>
      </c>
      <c r="AB1353" s="169">
        <f t="shared" ca="1" si="207"/>
        <v>0</v>
      </c>
      <c r="AC1353" s="170">
        <f t="shared" ca="1" si="208"/>
        <v>0</v>
      </c>
      <c r="AD1353" s="169">
        <f t="shared" ca="1" si="209"/>
        <v>12388.425641087964</v>
      </c>
      <c r="AE1353" s="169">
        <f t="shared" si="212"/>
        <v>0</v>
      </c>
      <c r="AF1353" s="170">
        <f t="shared" si="210"/>
        <v>0</v>
      </c>
      <c r="AG1353" s="170">
        <f t="shared" si="211"/>
        <v>0</v>
      </c>
      <c r="AH1353" s="28" t="e" cm="1">
        <f t="array" aca="1" ref="AH1353" ca="1">IF((AD1353) &lt; (INDEX(ResponseSLA[#All],(MATCH((G1353),ResponseSLA[Priority],0))+1,3)),"YES","No")</f>
        <v>#N/A</v>
      </c>
      <c r="AI1353" s="28" t="str">
        <f>_xlfn.IFNA(IF(AE1353 &lt; (INDEX(SLATable[Minimum SLA],MATCH(G1353,SLATable[Priority],0))),"YES","NO"),"")</f>
        <v/>
      </c>
      <c r="AJ1353" s="28" t="str">
        <f>_xlfn.IFNA(IF(AE1353 &lt; (INDEX(SLATable[Maximum SLA],MATCH(G1353,SLATable[Priority],0))),"YES","NO"),"")</f>
        <v/>
      </c>
    </row>
    <row r="1354" spans="26:36" ht="15" customHeight="1">
      <c r="Z1354" s="169" t="e">
        <f t="shared" ca="1" si="205"/>
        <v>#N/A</v>
      </c>
      <c r="AA1354" s="170" t="e">
        <f t="shared" ca="1" si="206"/>
        <v>#N/A</v>
      </c>
      <c r="AB1354" s="169">
        <f t="shared" ca="1" si="207"/>
        <v>0</v>
      </c>
      <c r="AC1354" s="170">
        <f t="shared" ca="1" si="208"/>
        <v>0</v>
      </c>
      <c r="AD1354" s="169">
        <f t="shared" ca="1" si="209"/>
        <v>12388.425641087964</v>
      </c>
      <c r="AE1354" s="169">
        <f t="shared" si="212"/>
        <v>0</v>
      </c>
      <c r="AF1354" s="170">
        <f t="shared" si="210"/>
        <v>0</v>
      </c>
      <c r="AG1354" s="170">
        <f t="shared" si="211"/>
        <v>0</v>
      </c>
      <c r="AH1354" s="28" t="e" cm="1">
        <f t="array" aca="1" ref="AH1354" ca="1">IF((AD1354) &lt; (INDEX(ResponseSLA[#All],(MATCH((G1354),ResponseSLA[Priority],0))+1,3)),"YES","No")</f>
        <v>#N/A</v>
      </c>
      <c r="AI1354" s="28" t="str">
        <f>_xlfn.IFNA(IF(AE1354 &lt; (INDEX(SLATable[Minimum SLA],MATCH(G1354,SLATable[Priority],0))),"YES","NO"),"")</f>
        <v/>
      </c>
      <c r="AJ1354" s="28" t="str">
        <f>_xlfn.IFNA(IF(AE1354 &lt; (INDEX(SLATable[Maximum SLA],MATCH(G1354,SLATable[Priority],0))),"YES","NO"),"")</f>
        <v/>
      </c>
    </row>
    <row r="1355" spans="26:36" ht="15" customHeight="1">
      <c r="Z1355" s="169" t="e">
        <f t="shared" ca="1" si="205"/>
        <v>#N/A</v>
      </c>
      <c r="AA1355" s="170" t="e">
        <f t="shared" ca="1" si="206"/>
        <v>#N/A</v>
      </c>
      <c r="AB1355" s="169">
        <f t="shared" ca="1" si="207"/>
        <v>0</v>
      </c>
      <c r="AC1355" s="170">
        <f t="shared" ca="1" si="208"/>
        <v>0</v>
      </c>
      <c r="AD1355" s="169">
        <f t="shared" ca="1" si="209"/>
        <v>12388.425641087964</v>
      </c>
      <c r="AE1355" s="169">
        <f t="shared" si="212"/>
        <v>0</v>
      </c>
      <c r="AF1355" s="170">
        <f t="shared" si="210"/>
        <v>0</v>
      </c>
      <c r="AG1355" s="170">
        <f t="shared" si="211"/>
        <v>0</v>
      </c>
      <c r="AH1355" s="28" t="e" cm="1">
        <f t="array" aca="1" ref="AH1355" ca="1">IF((AD1355) &lt; (INDEX(ResponseSLA[#All],(MATCH((G1355),ResponseSLA[Priority],0))+1,3)),"YES","No")</f>
        <v>#N/A</v>
      </c>
      <c r="AI1355" s="28" t="str">
        <f>_xlfn.IFNA(IF(AE1355 &lt; (INDEX(SLATable[Minimum SLA],MATCH(G1355,SLATable[Priority],0))),"YES","NO"),"")</f>
        <v/>
      </c>
      <c r="AJ1355" s="28" t="str">
        <f>_xlfn.IFNA(IF(AE1355 &lt; (INDEX(SLATable[Maximum SLA],MATCH(G1355,SLATable[Priority],0))),"YES","NO"),"")</f>
        <v/>
      </c>
    </row>
    <row r="1356" spans="26:36" ht="15" customHeight="1">
      <c r="Z1356" s="169" t="e">
        <f t="shared" ca="1" si="205"/>
        <v>#N/A</v>
      </c>
      <c r="AA1356" s="170" t="e">
        <f t="shared" ca="1" si="206"/>
        <v>#N/A</v>
      </c>
      <c r="AB1356" s="169">
        <f t="shared" ca="1" si="207"/>
        <v>0</v>
      </c>
      <c r="AC1356" s="170">
        <f t="shared" ca="1" si="208"/>
        <v>0</v>
      </c>
      <c r="AD1356" s="169">
        <f t="shared" ca="1" si="209"/>
        <v>12388.425641087964</v>
      </c>
      <c r="AE1356" s="169">
        <f t="shared" si="212"/>
        <v>0</v>
      </c>
      <c r="AF1356" s="170">
        <f t="shared" si="210"/>
        <v>0</v>
      </c>
      <c r="AG1356" s="170">
        <f t="shared" si="211"/>
        <v>0</v>
      </c>
      <c r="AH1356" s="28" t="e" cm="1">
        <f t="array" aca="1" ref="AH1356" ca="1">IF((AD1356) &lt; (INDEX(ResponseSLA[#All],(MATCH((G1356),ResponseSLA[Priority],0))+1,3)),"YES","No")</f>
        <v>#N/A</v>
      </c>
      <c r="AI1356" s="28" t="str">
        <f>_xlfn.IFNA(IF(AE1356 &lt; (INDEX(SLATable[Minimum SLA],MATCH(G1356,SLATable[Priority],0))),"YES","NO"),"")</f>
        <v/>
      </c>
      <c r="AJ1356" s="28" t="str">
        <f>_xlfn.IFNA(IF(AE1356 &lt; (INDEX(SLATable[Maximum SLA],MATCH(G1356,SLATable[Priority],0))),"YES","NO"),"")</f>
        <v/>
      </c>
    </row>
    <row r="1357" spans="26:36" ht="15" customHeight="1">
      <c r="Z1357" s="169" t="e">
        <f t="shared" ca="1" si="205"/>
        <v>#N/A</v>
      </c>
      <c r="AA1357" s="170" t="e">
        <f t="shared" ca="1" si="206"/>
        <v>#N/A</v>
      </c>
      <c r="AB1357" s="169">
        <f t="shared" ca="1" si="207"/>
        <v>0</v>
      </c>
      <c r="AC1357" s="170">
        <f t="shared" ca="1" si="208"/>
        <v>0</v>
      </c>
      <c r="AD1357" s="169">
        <f t="shared" ca="1" si="209"/>
        <v>12388.425641087964</v>
      </c>
      <c r="AE1357" s="169">
        <f t="shared" si="212"/>
        <v>0</v>
      </c>
      <c r="AF1357" s="170">
        <f t="shared" si="210"/>
        <v>0</v>
      </c>
      <c r="AG1357" s="170">
        <f t="shared" si="211"/>
        <v>0</v>
      </c>
      <c r="AH1357" s="28" t="e" cm="1">
        <f t="array" aca="1" ref="AH1357" ca="1">IF((AD1357) &lt; (INDEX(ResponseSLA[#All],(MATCH((G1357),ResponseSLA[Priority],0))+1,3)),"YES","No")</f>
        <v>#N/A</v>
      </c>
      <c r="AI1357" s="28" t="str">
        <f>_xlfn.IFNA(IF(AE1357 &lt; (INDEX(SLATable[Minimum SLA],MATCH(G1357,SLATable[Priority],0))),"YES","NO"),"")</f>
        <v/>
      </c>
      <c r="AJ1357" s="28" t="str">
        <f>_xlfn.IFNA(IF(AE1357 &lt; (INDEX(SLATable[Maximum SLA],MATCH(G1357,SLATable[Priority],0))),"YES","NO"),"")</f>
        <v/>
      </c>
    </row>
    <row r="1358" spans="26:36" ht="15" customHeight="1">
      <c r="Z1358" s="169" t="e">
        <f t="shared" ca="1" si="205"/>
        <v>#N/A</v>
      </c>
      <c r="AA1358" s="170" t="e">
        <f t="shared" ca="1" si="206"/>
        <v>#N/A</v>
      </c>
      <c r="AB1358" s="169">
        <f t="shared" ca="1" si="207"/>
        <v>0</v>
      </c>
      <c r="AC1358" s="170">
        <f t="shared" ca="1" si="208"/>
        <v>0</v>
      </c>
      <c r="AD1358" s="169">
        <f t="shared" ca="1" si="209"/>
        <v>12388.425641087964</v>
      </c>
      <c r="AE1358" s="169">
        <f t="shared" si="212"/>
        <v>0</v>
      </c>
      <c r="AF1358" s="170">
        <f t="shared" si="210"/>
        <v>0</v>
      </c>
      <c r="AG1358" s="170">
        <f t="shared" si="211"/>
        <v>0</v>
      </c>
      <c r="AH1358" s="28" t="e" cm="1">
        <f t="array" aca="1" ref="AH1358" ca="1">IF((AD1358) &lt; (INDEX(ResponseSLA[#All],(MATCH((G1358),ResponseSLA[Priority],0))+1,3)),"YES","No")</f>
        <v>#N/A</v>
      </c>
      <c r="AI1358" s="28" t="str">
        <f>_xlfn.IFNA(IF(AE1358 &lt; (INDEX(SLATable[Minimum SLA],MATCH(G1358,SLATable[Priority],0))),"YES","NO"),"")</f>
        <v/>
      </c>
      <c r="AJ1358" s="28" t="str">
        <f>_xlfn.IFNA(IF(AE1358 &lt; (INDEX(SLATable[Maximum SLA],MATCH(G1358,SLATable[Priority],0))),"YES","NO"),"")</f>
        <v/>
      </c>
    </row>
    <row r="1359" spans="26:36" ht="15" customHeight="1">
      <c r="Z1359" s="169" t="e">
        <f t="shared" ca="1" si="205"/>
        <v>#N/A</v>
      </c>
      <c r="AA1359" s="170" t="e">
        <f t="shared" ca="1" si="206"/>
        <v>#N/A</v>
      </c>
      <c r="AB1359" s="169">
        <f t="shared" ca="1" si="207"/>
        <v>0</v>
      </c>
      <c r="AC1359" s="170">
        <f t="shared" ca="1" si="208"/>
        <v>0</v>
      </c>
      <c r="AD1359" s="169">
        <f t="shared" ca="1" si="209"/>
        <v>12388.425641087964</v>
      </c>
      <c r="AE1359" s="169">
        <f t="shared" si="212"/>
        <v>0</v>
      </c>
      <c r="AF1359" s="170">
        <f t="shared" si="210"/>
        <v>0</v>
      </c>
      <c r="AG1359" s="170">
        <f t="shared" si="211"/>
        <v>0</v>
      </c>
      <c r="AH1359" s="28" t="e" cm="1">
        <f t="array" aca="1" ref="AH1359" ca="1">IF((AD1359) &lt; (INDEX(ResponseSLA[#All],(MATCH((G1359),ResponseSLA[Priority],0))+1,3)),"YES","No")</f>
        <v>#N/A</v>
      </c>
      <c r="AI1359" s="28" t="str">
        <f>_xlfn.IFNA(IF(AE1359 &lt; (INDEX(SLATable[Minimum SLA],MATCH(G1359,SLATable[Priority],0))),"YES","NO"),"")</f>
        <v/>
      </c>
      <c r="AJ1359" s="28" t="str">
        <f>_xlfn.IFNA(IF(AE1359 &lt; (INDEX(SLATable[Maximum SLA],MATCH(G1359,SLATable[Priority],0))),"YES","NO"),"")</f>
        <v/>
      </c>
    </row>
    <row r="1360" spans="26:36" ht="15" customHeight="1">
      <c r="Z1360" s="169" t="e">
        <f t="shared" ca="1" si="205"/>
        <v>#N/A</v>
      </c>
      <c r="AA1360" s="170" t="e">
        <f t="shared" ca="1" si="206"/>
        <v>#N/A</v>
      </c>
      <c r="AB1360" s="169">
        <f t="shared" ca="1" si="207"/>
        <v>0</v>
      </c>
      <c r="AC1360" s="170">
        <f t="shared" ca="1" si="208"/>
        <v>0</v>
      </c>
      <c r="AD1360" s="169">
        <f t="shared" ca="1" si="209"/>
        <v>12388.425641087964</v>
      </c>
      <c r="AE1360" s="169">
        <f t="shared" si="212"/>
        <v>0</v>
      </c>
      <c r="AF1360" s="170">
        <f t="shared" si="210"/>
        <v>0</v>
      </c>
      <c r="AG1360" s="170">
        <f t="shared" si="211"/>
        <v>0</v>
      </c>
      <c r="AH1360" s="28" t="e" cm="1">
        <f t="array" aca="1" ref="AH1360" ca="1">IF((AD1360) &lt; (INDEX(ResponseSLA[#All],(MATCH((G1360),ResponseSLA[Priority],0))+1,3)),"YES","No")</f>
        <v>#N/A</v>
      </c>
      <c r="AI1360" s="28" t="str">
        <f>_xlfn.IFNA(IF(AE1360 &lt; (INDEX(SLATable[Minimum SLA],MATCH(G1360,SLATable[Priority],0))),"YES","NO"),"")</f>
        <v/>
      </c>
      <c r="AJ1360" s="28" t="str">
        <f>_xlfn.IFNA(IF(AE1360 &lt; (INDEX(SLATable[Maximum SLA],MATCH(G1360,SLATable[Priority],0))),"YES","NO"),"")</f>
        <v/>
      </c>
    </row>
    <row r="1361" spans="26:36" ht="15" customHeight="1">
      <c r="Z1361" s="169" t="e">
        <f t="shared" ca="1" si="205"/>
        <v>#N/A</v>
      </c>
      <c r="AA1361" s="170" t="e">
        <f t="shared" ca="1" si="206"/>
        <v>#N/A</v>
      </c>
      <c r="AB1361" s="169">
        <f t="shared" ca="1" si="207"/>
        <v>0</v>
      </c>
      <c r="AC1361" s="170">
        <f t="shared" ca="1" si="208"/>
        <v>0</v>
      </c>
      <c r="AD1361" s="169">
        <f t="shared" ca="1" si="209"/>
        <v>12388.425641087964</v>
      </c>
      <c r="AE1361" s="169">
        <f t="shared" si="212"/>
        <v>0</v>
      </c>
      <c r="AF1361" s="170">
        <f t="shared" si="210"/>
        <v>0</v>
      </c>
      <c r="AG1361" s="170">
        <f t="shared" si="211"/>
        <v>0</v>
      </c>
      <c r="AH1361" s="28" t="e" cm="1">
        <f t="array" aca="1" ref="AH1361" ca="1">IF((AD1361) &lt; (INDEX(ResponseSLA[#All],(MATCH((G1361),ResponseSLA[Priority],0))+1,3)),"YES","No")</f>
        <v>#N/A</v>
      </c>
      <c r="AI1361" s="28" t="str">
        <f>_xlfn.IFNA(IF(AE1361 &lt; (INDEX(SLATable[Minimum SLA],MATCH(G1361,SLATable[Priority],0))),"YES","NO"),"")</f>
        <v/>
      </c>
      <c r="AJ1361" s="28" t="str">
        <f>_xlfn.IFNA(IF(AE1361 &lt; (INDEX(SLATable[Maximum SLA],MATCH(G1361,SLATable[Priority],0))),"YES","NO"),"")</f>
        <v/>
      </c>
    </row>
    <row r="1362" spans="26:36" ht="15" customHeight="1">
      <c r="Z1362" s="169" t="e">
        <f t="shared" ca="1" si="205"/>
        <v>#N/A</v>
      </c>
      <c r="AA1362" s="170" t="e">
        <f t="shared" ca="1" si="206"/>
        <v>#N/A</v>
      </c>
      <c r="AB1362" s="169">
        <f t="shared" ca="1" si="207"/>
        <v>0</v>
      </c>
      <c r="AC1362" s="170">
        <f t="shared" ca="1" si="208"/>
        <v>0</v>
      </c>
      <c r="AD1362" s="169">
        <f t="shared" ca="1" si="209"/>
        <v>12388.425641087964</v>
      </c>
      <c r="AE1362" s="169">
        <f t="shared" si="212"/>
        <v>0</v>
      </c>
      <c r="AF1362" s="170">
        <f t="shared" si="210"/>
        <v>0</v>
      </c>
      <c r="AG1362" s="170">
        <f t="shared" si="211"/>
        <v>0</v>
      </c>
      <c r="AH1362" s="28" t="e" cm="1">
        <f t="array" aca="1" ref="AH1362" ca="1">IF((AD1362) &lt; (INDEX(ResponseSLA[#All],(MATCH((G1362),ResponseSLA[Priority],0))+1,3)),"YES","No")</f>
        <v>#N/A</v>
      </c>
      <c r="AI1362" s="28" t="str">
        <f>_xlfn.IFNA(IF(AE1362 &lt; (INDEX(SLATable[Minimum SLA],MATCH(G1362,SLATable[Priority],0))),"YES","NO"),"")</f>
        <v/>
      </c>
      <c r="AJ1362" s="28" t="str">
        <f>_xlfn.IFNA(IF(AE1362 &lt; (INDEX(SLATable[Maximum SLA],MATCH(G1362,SLATable[Priority],0))),"YES","NO"),"")</f>
        <v/>
      </c>
    </row>
    <row r="1363" spans="26:36" ht="15" customHeight="1">
      <c r="Z1363" s="169" t="e">
        <f t="shared" ca="1" si="205"/>
        <v>#N/A</v>
      </c>
      <c r="AA1363" s="170" t="e">
        <f t="shared" ca="1" si="206"/>
        <v>#N/A</v>
      </c>
      <c r="AB1363" s="169">
        <f t="shared" ca="1" si="207"/>
        <v>0</v>
      </c>
      <c r="AC1363" s="170">
        <f t="shared" ca="1" si="208"/>
        <v>0</v>
      </c>
      <c r="AD1363" s="169">
        <f t="shared" ca="1" si="209"/>
        <v>12388.425641087964</v>
      </c>
      <c r="AE1363" s="169">
        <f t="shared" si="212"/>
        <v>0</v>
      </c>
      <c r="AF1363" s="170">
        <f t="shared" si="210"/>
        <v>0</v>
      </c>
      <c r="AG1363" s="170">
        <f t="shared" si="211"/>
        <v>0</v>
      </c>
      <c r="AH1363" s="28" t="e" cm="1">
        <f t="array" aca="1" ref="AH1363" ca="1">IF((AD1363) &lt; (INDEX(ResponseSLA[#All],(MATCH((G1363),ResponseSLA[Priority],0))+1,3)),"YES","No")</f>
        <v>#N/A</v>
      </c>
      <c r="AI1363" s="28" t="str">
        <f>_xlfn.IFNA(IF(AE1363 &lt; (INDEX(SLATable[Minimum SLA],MATCH(G1363,SLATable[Priority],0))),"YES","NO"),"")</f>
        <v/>
      </c>
      <c r="AJ1363" s="28" t="str">
        <f>_xlfn.IFNA(IF(AE1363 &lt; (INDEX(SLATable[Maximum SLA],MATCH(G1363,SLATable[Priority],0))),"YES","NO"),"")</f>
        <v/>
      </c>
    </row>
    <row r="1364" spans="26:36" ht="15" customHeight="1">
      <c r="Z1364" s="169" t="e">
        <f t="shared" ca="1" si="205"/>
        <v>#N/A</v>
      </c>
      <c r="AA1364" s="170" t="e">
        <f t="shared" ca="1" si="206"/>
        <v>#N/A</v>
      </c>
      <c r="AB1364" s="169">
        <f t="shared" ca="1" si="207"/>
        <v>0</v>
      </c>
      <c r="AC1364" s="170">
        <f t="shared" ca="1" si="208"/>
        <v>0</v>
      </c>
      <c r="AD1364" s="169">
        <f t="shared" ca="1" si="209"/>
        <v>12388.425641087964</v>
      </c>
      <c r="AE1364" s="169">
        <f t="shared" si="212"/>
        <v>0</v>
      </c>
      <c r="AF1364" s="170">
        <f t="shared" si="210"/>
        <v>0</v>
      </c>
      <c r="AG1364" s="170">
        <f t="shared" si="211"/>
        <v>0</v>
      </c>
      <c r="AH1364" s="28" t="e" cm="1">
        <f t="array" aca="1" ref="AH1364" ca="1">IF((AD1364) &lt; (INDEX(ResponseSLA[#All],(MATCH((G1364),ResponseSLA[Priority],0))+1,3)),"YES","No")</f>
        <v>#N/A</v>
      </c>
      <c r="AI1364" s="28" t="str">
        <f>_xlfn.IFNA(IF(AE1364 &lt; (INDEX(SLATable[Minimum SLA],MATCH(G1364,SLATable[Priority],0))),"YES","NO"),"")</f>
        <v/>
      </c>
      <c r="AJ1364" s="28" t="str">
        <f>_xlfn.IFNA(IF(AE1364 &lt; (INDEX(SLATable[Maximum SLA],MATCH(G1364,SLATable[Priority],0))),"YES","NO"),"")</f>
        <v/>
      </c>
    </row>
    <row r="1365" spans="26:36" ht="15" customHeight="1">
      <c r="Z1365" s="169" t="e">
        <f t="shared" ca="1" si="205"/>
        <v>#N/A</v>
      </c>
      <c r="AA1365" s="170" t="e">
        <f t="shared" ca="1" si="206"/>
        <v>#N/A</v>
      </c>
      <c r="AB1365" s="169">
        <f t="shared" ca="1" si="207"/>
        <v>0</v>
      </c>
      <c r="AC1365" s="170">
        <f t="shared" ca="1" si="208"/>
        <v>0</v>
      </c>
      <c r="AD1365" s="169">
        <f t="shared" ca="1" si="209"/>
        <v>12388.425641087964</v>
      </c>
      <c r="AE1365" s="169">
        <f t="shared" si="212"/>
        <v>0</v>
      </c>
      <c r="AF1365" s="170">
        <f t="shared" si="210"/>
        <v>0</v>
      </c>
      <c r="AG1365" s="170">
        <f t="shared" si="211"/>
        <v>0</v>
      </c>
      <c r="AH1365" s="28" t="e" cm="1">
        <f t="array" aca="1" ref="AH1365" ca="1">IF((AD1365) &lt; (INDEX(ResponseSLA[#All],(MATCH((G1365),ResponseSLA[Priority],0))+1,3)),"YES","No")</f>
        <v>#N/A</v>
      </c>
      <c r="AI1365" s="28" t="str">
        <f>_xlfn.IFNA(IF(AE1365 &lt; (INDEX(SLATable[Minimum SLA],MATCH(G1365,SLATable[Priority],0))),"YES","NO"),"")</f>
        <v/>
      </c>
      <c r="AJ1365" s="28" t="str">
        <f>_xlfn.IFNA(IF(AE1365 &lt; (INDEX(SLATable[Maximum SLA],MATCH(G1365,SLATable[Priority],0))),"YES","NO"),"")</f>
        <v/>
      </c>
    </row>
    <row r="1366" spans="26:36" ht="15" customHeight="1">
      <c r="Z1366" s="169" t="e">
        <f t="shared" ca="1" si="205"/>
        <v>#N/A</v>
      </c>
      <c r="AA1366" s="170" t="e">
        <f t="shared" ca="1" si="206"/>
        <v>#N/A</v>
      </c>
      <c r="AB1366" s="169">
        <f t="shared" ca="1" si="207"/>
        <v>0</v>
      </c>
      <c r="AC1366" s="170">
        <f t="shared" ca="1" si="208"/>
        <v>0</v>
      </c>
      <c r="AD1366" s="169">
        <f t="shared" ca="1" si="209"/>
        <v>12388.425641087964</v>
      </c>
      <c r="AE1366" s="169">
        <f t="shared" si="212"/>
        <v>0</v>
      </c>
      <c r="AF1366" s="170">
        <f t="shared" si="210"/>
        <v>0</v>
      </c>
      <c r="AG1366" s="170">
        <f t="shared" si="211"/>
        <v>0</v>
      </c>
      <c r="AH1366" s="28" t="e" cm="1">
        <f t="array" aca="1" ref="AH1366" ca="1">IF((AD1366) &lt; (INDEX(ResponseSLA[#All],(MATCH((G1366),ResponseSLA[Priority],0))+1,3)),"YES","No")</f>
        <v>#N/A</v>
      </c>
      <c r="AI1366" s="28" t="str">
        <f>_xlfn.IFNA(IF(AE1366 &lt; (INDEX(SLATable[Minimum SLA],MATCH(G1366,SLATable[Priority],0))),"YES","NO"),"")</f>
        <v/>
      </c>
      <c r="AJ1366" s="28" t="str">
        <f>_xlfn.IFNA(IF(AE1366 &lt; (INDEX(SLATable[Maximum SLA],MATCH(G1366,SLATable[Priority],0))),"YES","NO"),"")</f>
        <v/>
      </c>
    </row>
    <row r="1367" spans="26:36" ht="15" customHeight="1">
      <c r="Z1367" s="169" t="e">
        <f t="shared" ca="1" si="205"/>
        <v>#N/A</v>
      </c>
      <c r="AA1367" s="170" t="e">
        <f t="shared" ca="1" si="206"/>
        <v>#N/A</v>
      </c>
      <c r="AB1367" s="169">
        <f t="shared" ca="1" si="207"/>
        <v>0</v>
      </c>
      <c r="AC1367" s="170">
        <f t="shared" ca="1" si="208"/>
        <v>0</v>
      </c>
      <c r="AD1367" s="169">
        <f t="shared" ca="1" si="209"/>
        <v>12388.425641087964</v>
      </c>
      <c r="AE1367" s="169">
        <f t="shared" si="212"/>
        <v>0</v>
      </c>
      <c r="AF1367" s="170">
        <f t="shared" si="210"/>
        <v>0</v>
      </c>
      <c r="AG1367" s="170">
        <f t="shared" si="211"/>
        <v>0</v>
      </c>
      <c r="AH1367" s="28" t="e" cm="1">
        <f t="array" aca="1" ref="AH1367" ca="1">IF((AD1367) &lt; (INDEX(ResponseSLA[#All],(MATCH((G1367),ResponseSLA[Priority],0))+1,3)),"YES","No")</f>
        <v>#N/A</v>
      </c>
      <c r="AI1367" s="28" t="str">
        <f>_xlfn.IFNA(IF(AE1367 &lt; (INDEX(SLATable[Minimum SLA],MATCH(G1367,SLATable[Priority],0))),"YES","NO"),"")</f>
        <v/>
      </c>
      <c r="AJ1367" s="28" t="str">
        <f>_xlfn.IFNA(IF(AE1367 &lt; (INDEX(SLATable[Maximum SLA],MATCH(G1367,SLATable[Priority],0))),"YES","NO"),"")</f>
        <v/>
      </c>
    </row>
    <row r="1368" spans="26:36" ht="15" customHeight="1">
      <c r="Z1368" s="169" t="e">
        <f t="shared" ca="1" si="205"/>
        <v>#N/A</v>
      </c>
      <c r="AA1368" s="170" t="e">
        <f t="shared" ca="1" si="206"/>
        <v>#N/A</v>
      </c>
      <c r="AB1368" s="169">
        <f t="shared" ca="1" si="207"/>
        <v>0</v>
      </c>
      <c r="AC1368" s="170">
        <f t="shared" ca="1" si="208"/>
        <v>0</v>
      </c>
      <c r="AD1368" s="169">
        <f t="shared" ca="1" si="209"/>
        <v>12388.425641087964</v>
      </c>
      <c r="AE1368" s="169">
        <f t="shared" si="212"/>
        <v>0</v>
      </c>
      <c r="AF1368" s="170">
        <f t="shared" si="210"/>
        <v>0</v>
      </c>
      <c r="AG1368" s="170">
        <f t="shared" si="211"/>
        <v>0</v>
      </c>
      <c r="AH1368" s="28" t="e" cm="1">
        <f t="array" aca="1" ref="AH1368" ca="1">IF((AD1368) &lt; (INDEX(ResponseSLA[#All],(MATCH((G1368),ResponseSLA[Priority],0))+1,3)),"YES","No")</f>
        <v>#N/A</v>
      </c>
      <c r="AI1368" s="28" t="str">
        <f>_xlfn.IFNA(IF(AE1368 &lt; (INDEX(SLATable[Minimum SLA],MATCH(G1368,SLATable[Priority],0))),"YES","NO"),"")</f>
        <v/>
      </c>
      <c r="AJ1368" s="28" t="str">
        <f>_xlfn.IFNA(IF(AE1368 &lt; (INDEX(SLATable[Maximum SLA],MATCH(G1368,SLATable[Priority],0))),"YES","NO"),"")</f>
        <v/>
      </c>
    </row>
    <row r="1369" spans="26:36" ht="15" customHeight="1">
      <c r="Z1369" s="169" t="e">
        <f t="shared" ca="1" si="205"/>
        <v>#N/A</v>
      </c>
      <c r="AA1369" s="170" t="e">
        <f t="shared" ca="1" si="206"/>
        <v>#N/A</v>
      </c>
      <c r="AB1369" s="169">
        <f t="shared" ca="1" si="207"/>
        <v>0</v>
      </c>
      <c r="AC1369" s="170">
        <f t="shared" ca="1" si="208"/>
        <v>0</v>
      </c>
      <c r="AD1369" s="169">
        <f t="shared" ca="1" si="209"/>
        <v>12388.425641087964</v>
      </c>
      <c r="AE1369" s="169">
        <f t="shared" si="212"/>
        <v>0</v>
      </c>
      <c r="AF1369" s="170">
        <f t="shared" si="210"/>
        <v>0</v>
      </c>
      <c r="AG1369" s="170">
        <f t="shared" si="211"/>
        <v>0</v>
      </c>
      <c r="AH1369" s="28" t="e" cm="1">
        <f t="array" aca="1" ref="AH1369" ca="1">IF((AD1369) &lt; (INDEX(ResponseSLA[#All],(MATCH((G1369),ResponseSLA[Priority],0))+1,3)),"YES","No")</f>
        <v>#N/A</v>
      </c>
      <c r="AI1369" s="28" t="str">
        <f>_xlfn.IFNA(IF(AE1369 &lt; (INDEX(SLATable[Minimum SLA],MATCH(G1369,SLATable[Priority],0))),"YES","NO"),"")</f>
        <v/>
      </c>
      <c r="AJ1369" s="28" t="str">
        <f>_xlfn.IFNA(IF(AE1369 &lt; (INDEX(SLATable[Maximum SLA],MATCH(G1369,SLATable[Priority],0))),"YES","NO"),"")</f>
        <v/>
      </c>
    </row>
    <row r="1370" spans="26:36" ht="15" customHeight="1">
      <c r="Z1370" s="169" t="e">
        <f t="shared" ca="1" si="205"/>
        <v>#N/A</v>
      </c>
      <c r="AA1370" s="170" t="e">
        <f t="shared" ca="1" si="206"/>
        <v>#N/A</v>
      </c>
      <c r="AB1370" s="169">
        <f t="shared" ca="1" si="207"/>
        <v>0</v>
      </c>
      <c r="AC1370" s="170">
        <f t="shared" ca="1" si="208"/>
        <v>0</v>
      </c>
      <c r="AD1370" s="169">
        <f t="shared" ca="1" si="209"/>
        <v>12388.425641087964</v>
      </c>
      <c r="AE1370" s="169">
        <f t="shared" si="212"/>
        <v>0</v>
      </c>
      <c r="AF1370" s="170">
        <f t="shared" si="210"/>
        <v>0</v>
      </c>
      <c r="AG1370" s="170">
        <f t="shared" si="211"/>
        <v>0</v>
      </c>
      <c r="AH1370" s="28" t="e" cm="1">
        <f t="array" aca="1" ref="AH1370" ca="1">IF((AD1370) &lt; (INDEX(ResponseSLA[#All],(MATCH((G1370),ResponseSLA[Priority],0))+1,3)),"YES","No")</f>
        <v>#N/A</v>
      </c>
      <c r="AI1370" s="28" t="str">
        <f>_xlfn.IFNA(IF(AE1370 &lt; (INDEX(SLATable[Minimum SLA],MATCH(G1370,SLATable[Priority],0))),"YES","NO"),"")</f>
        <v/>
      </c>
      <c r="AJ1370" s="28" t="str">
        <f>_xlfn.IFNA(IF(AE1370 &lt; (INDEX(SLATable[Maximum SLA],MATCH(G1370,SLATable[Priority],0))),"YES","NO"),"")</f>
        <v/>
      </c>
    </row>
    <row r="1371" spans="26:36" ht="15" customHeight="1">
      <c r="Z1371" s="169" t="e">
        <f t="shared" ca="1" si="205"/>
        <v>#N/A</v>
      </c>
      <c r="AA1371" s="170" t="e">
        <f t="shared" ca="1" si="206"/>
        <v>#N/A</v>
      </c>
      <c r="AB1371" s="169">
        <f t="shared" ca="1" si="207"/>
        <v>0</v>
      </c>
      <c r="AC1371" s="170">
        <f t="shared" ca="1" si="208"/>
        <v>0</v>
      </c>
      <c r="AD1371" s="169">
        <f t="shared" ca="1" si="209"/>
        <v>12388.425641087964</v>
      </c>
      <c r="AE1371" s="169">
        <f t="shared" si="212"/>
        <v>0</v>
      </c>
      <c r="AF1371" s="170">
        <f t="shared" si="210"/>
        <v>0</v>
      </c>
      <c r="AG1371" s="170">
        <f t="shared" si="211"/>
        <v>0</v>
      </c>
      <c r="AH1371" s="28" t="e" cm="1">
        <f t="array" aca="1" ref="AH1371" ca="1">IF((AD1371) &lt; (INDEX(ResponseSLA[#All],(MATCH((G1371),ResponseSLA[Priority],0))+1,3)),"YES","No")</f>
        <v>#N/A</v>
      </c>
      <c r="AI1371" s="28" t="str">
        <f>_xlfn.IFNA(IF(AE1371 &lt; (INDEX(SLATable[Minimum SLA],MATCH(G1371,SLATable[Priority],0))),"YES","NO"),"")</f>
        <v/>
      </c>
      <c r="AJ1371" s="28" t="str">
        <f>_xlfn.IFNA(IF(AE1371 &lt; (INDEX(SLATable[Maximum SLA],MATCH(G1371,SLATable[Priority],0))),"YES","NO"),"")</f>
        <v/>
      </c>
    </row>
    <row r="1372" spans="26:36" ht="15" customHeight="1">
      <c r="Z1372" s="169" t="e">
        <f t="shared" ca="1" si="205"/>
        <v>#N/A</v>
      </c>
      <c r="AA1372" s="170" t="e">
        <f t="shared" ca="1" si="206"/>
        <v>#N/A</v>
      </c>
      <c r="AB1372" s="169">
        <f t="shared" ca="1" si="207"/>
        <v>0</v>
      </c>
      <c r="AC1372" s="170">
        <f t="shared" ca="1" si="208"/>
        <v>0</v>
      </c>
      <c r="AD1372" s="169">
        <f t="shared" ca="1" si="209"/>
        <v>12388.425641087964</v>
      </c>
      <c r="AE1372" s="169">
        <f t="shared" si="212"/>
        <v>0</v>
      </c>
      <c r="AF1372" s="170">
        <f t="shared" si="210"/>
        <v>0</v>
      </c>
      <c r="AG1372" s="170">
        <f t="shared" si="211"/>
        <v>0</v>
      </c>
      <c r="AH1372" s="28" t="e" cm="1">
        <f t="array" aca="1" ref="AH1372" ca="1">IF((AD1372) &lt; (INDEX(ResponseSLA[#All],(MATCH((G1372),ResponseSLA[Priority],0))+1,3)),"YES","No")</f>
        <v>#N/A</v>
      </c>
      <c r="AI1372" s="28" t="str">
        <f>_xlfn.IFNA(IF(AE1372 &lt; (INDEX(SLATable[Minimum SLA],MATCH(G1372,SLATable[Priority],0))),"YES","NO"),"")</f>
        <v/>
      </c>
      <c r="AJ1372" s="28" t="str">
        <f>_xlfn.IFNA(IF(AE1372 &lt; (INDEX(SLATable[Maximum SLA],MATCH(G1372,SLATable[Priority],0))),"YES","NO"),"")</f>
        <v/>
      </c>
    </row>
    <row r="1373" spans="26:36" ht="15" customHeight="1">
      <c r="Z1373" s="169" t="e">
        <f t="shared" ca="1" si="205"/>
        <v>#N/A</v>
      </c>
      <c r="AA1373" s="170" t="e">
        <f t="shared" ca="1" si="206"/>
        <v>#N/A</v>
      </c>
      <c r="AB1373" s="169">
        <f t="shared" ca="1" si="207"/>
        <v>0</v>
      </c>
      <c r="AC1373" s="170">
        <f t="shared" ca="1" si="208"/>
        <v>0</v>
      </c>
      <c r="AD1373" s="169">
        <f t="shared" ca="1" si="209"/>
        <v>12388.425641087964</v>
      </c>
      <c r="AE1373" s="169">
        <f t="shared" si="212"/>
        <v>0</v>
      </c>
      <c r="AF1373" s="170">
        <f t="shared" si="210"/>
        <v>0</v>
      </c>
      <c r="AG1373" s="170">
        <f t="shared" si="211"/>
        <v>0</v>
      </c>
      <c r="AH1373" s="28" t="e" cm="1">
        <f t="array" aca="1" ref="AH1373" ca="1">IF((AD1373) &lt; (INDEX(ResponseSLA[#All],(MATCH((G1373),ResponseSLA[Priority],0))+1,3)),"YES","No")</f>
        <v>#N/A</v>
      </c>
      <c r="AI1373" s="28" t="str">
        <f>_xlfn.IFNA(IF(AE1373 &lt; (INDEX(SLATable[Minimum SLA],MATCH(G1373,SLATable[Priority],0))),"YES","NO"),"")</f>
        <v/>
      </c>
      <c r="AJ1373" s="28" t="str">
        <f>_xlfn.IFNA(IF(AE1373 &lt; (INDEX(SLATable[Maximum SLA],MATCH(G1373,SLATable[Priority],0))),"YES","NO"),"")</f>
        <v/>
      </c>
    </row>
    <row r="1374" spans="26:36" ht="15" customHeight="1">
      <c r="Z1374" s="169" t="e">
        <f t="shared" ca="1" si="205"/>
        <v>#N/A</v>
      </c>
      <c r="AA1374" s="170" t="e">
        <f t="shared" ca="1" si="206"/>
        <v>#N/A</v>
      </c>
      <c r="AB1374" s="169">
        <f t="shared" ca="1" si="207"/>
        <v>0</v>
      </c>
      <c r="AC1374" s="170">
        <f t="shared" ca="1" si="208"/>
        <v>0</v>
      </c>
      <c r="AD1374" s="169">
        <f t="shared" ca="1" si="209"/>
        <v>12388.425641087964</v>
      </c>
      <c r="AE1374" s="169">
        <f t="shared" si="212"/>
        <v>0</v>
      </c>
      <c r="AF1374" s="170">
        <f t="shared" si="210"/>
        <v>0</v>
      </c>
      <c r="AG1374" s="170">
        <f t="shared" si="211"/>
        <v>0</v>
      </c>
      <c r="AH1374" s="28" t="e" cm="1">
        <f t="array" aca="1" ref="AH1374" ca="1">IF((AD1374) &lt; (INDEX(ResponseSLA[#All],(MATCH((G1374),ResponseSLA[Priority],0))+1,3)),"YES","No")</f>
        <v>#N/A</v>
      </c>
      <c r="AI1374" s="28" t="str">
        <f>_xlfn.IFNA(IF(AE1374 &lt; (INDEX(SLATable[Minimum SLA],MATCH(G1374,SLATable[Priority],0))),"YES","NO"),"")</f>
        <v/>
      </c>
      <c r="AJ1374" s="28" t="str">
        <f>_xlfn.IFNA(IF(AE1374 &lt; (INDEX(SLATable[Maximum SLA],MATCH(G1374,SLATable[Priority],0))),"YES","NO"),"")</f>
        <v/>
      </c>
    </row>
    <row r="1375" spans="26:36" ht="15" customHeight="1">
      <c r="Z1375" s="169" t="e">
        <f t="shared" ca="1" si="205"/>
        <v>#N/A</v>
      </c>
      <c r="AA1375" s="170" t="e">
        <f t="shared" ca="1" si="206"/>
        <v>#N/A</v>
      </c>
      <c r="AB1375" s="169">
        <f t="shared" ca="1" si="207"/>
        <v>0</v>
      </c>
      <c r="AC1375" s="170">
        <f t="shared" ca="1" si="208"/>
        <v>0</v>
      </c>
      <c r="AD1375" s="169">
        <f t="shared" ca="1" si="209"/>
        <v>12388.425641087964</v>
      </c>
      <c r="AE1375" s="169">
        <f t="shared" si="212"/>
        <v>0</v>
      </c>
      <c r="AF1375" s="170">
        <f t="shared" si="210"/>
        <v>0</v>
      </c>
      <c r="AG1375" s="170">
        <f t="shared" si="211"/>
        <v>0</v>
      </c>
      <c r="AH1375" s="28" t="e" cm="1">
        <f t="array" aca="1" ref="AH1375" ca="1">IF((AD1375) &lt; (INDEX(ResponseSLA[#All],(MATCH((G1375),ResponseSLA[Priority],0))+1,3)),"YES","No")</f>
        <v>#N/A</v>
      </c>
      <c r="AI1375" s="28" t="str">
        <f>_xlfn.IFNA(IF(AE1375 &lt; (INDEX(SLATable[Minimum SLA],MATCH(G1375,SLATable[Priority],0))),"YES","NO"),"")</f>
        <v/>
      </c>
      <c r="AJ1375" s="28" t="str">
        <f>_xlfn.IFNA(IF(AE1375 &lt; (INDEX(SLATable[Maximum SLA],MATCH(G1375,SLATable[Priority],0))),"YES","NO"),"")</f>
        <v/>
      </c>
    </row>
    <row r="1376" spans="26:36" ht="15" customHeight="1">
      <c r="Z1376" s="169" t="e">
        <f t="shared" ca="1" si="205"/>
        <v>#N/A</v>
      </c>
      <c r="AA1376" s="170" t="e">
        <f t="shared" ca="1" si="206"/>
        <v>#N/A</v>
      </c>
      <c r="AB1376" s="169">
        <f t="shared" ca="1" si="207"/>
        <v>0</v>
      </c>
      <c r="AC1376" s="170">
        <f t="shared" ca="1" si="208"/>
        <v>0</v>
      </c>
      <c r="AD1376" s="169">
        <f t="shared" ca="1" si="209"/>
        <v>12388.425641087964</v>
      </c>
      <c r="AE1376" s="169">
        <f t="shared" si="212"/>
        <v>0</v>
      </c>
      <c r="AF1376" s="170">
        <f t="shared" si="210"/>
        <v>0</v>
      </c>
      <c r="AG1376" s="170">
        <f t="shared" si="211"/>
        <v>0</v>
      </c>
      <c r="AH1376" s="28" t="e" cm="1">
        <f t="array" aca="1" ref="AH1376" ca="1">IF((AD1376) &lt; (INDEX(ResponseSLA[#All],(MATCH((G1376),ResponseSLA[Priority],0))+1,3)),"YES","No")</f>
        <v>#N/A</v>
      </c>
      <c r="AI1376" s="28" t="str">
        <f>_xlfn.IFNA(IF(AE1376 &lt; (INDEX(SLATable[Minimum SLA],MATCH(G1376,SLATable[Priority],0))),"YES","NO"),"")</f>
        <v/>
      </c>
      <c r="AJ1376" s="28" t="str">
        <f>_xlfn.IFNA(IF(AE1376 &lt; (INDEX(SLATable[Maximum SLA],MATCH(G1376,SLATable[Priority],0))),"YES","NO"),"")</f>
        <v/>
      </c>
    </row>
    <row r="1377" spans="26:36" ht="15" customHeight="1">
      <c r="Z1377" s="169" t="e">
        <f t="shared" ca="1" si="205"/>
        <v>#N/A</v>
      </c>
      <c r="AA1377" s="170" t="e">
        <f t="shared" ca="1" si="206"/>
        <v>#N/A</v>
      </c>
      <c r="AB1377" s="169">
        <f t="shared" ca="1" si="207"/>
        <v>0</v>
      </c>
      <c r="AC1377" s="170">
        <f t="shared" ca="1" si="208"/>
        <v>0</v>
      </c>
      <c r="AD1377" s="169">
        <f t="shared" ca="1" si="209"/>
        <v>12388.425641087964</v>
      </c>
      <c r="AE1377" s="169">
        <f t="shared" si="212"/>
        <v>0</v>
      </c>
      <c r="AF1377" s="170">
        <f t="shared" si="210"/>
        <v>0</v>
      </c>
      <c r="AG1377" s="170">
        <f t="shared" si="211"/>
        <v>0</v>
      </c>
      <c r="AH1377" s="28" t="e" cm="1">
        <f t="array" aca="1" ref="AH1377" ca="1">IF((AD1377) &lt; (INDEX(ResponseSLA[#All],(MATCH((G1377),ResponseSLA[Priority],0))+1,3)),"YES","No")</f>
        <v>#N/A</v>
      </c>
      <c r="AI1377" s="28" t="str">
        <f>_xlfn.IFNA(IF(AE1377 &lt; (INDEX(SLATable[Minimum SLA],MATCH(G1377,SLATable[Priority],0))),"YES","NO"),"")</f>
        <v/>
      </c>
      <c r="AJ1377" s="28" t="str">
        <f>_xlfn.IFNA(IF(AE1377 &lt; (INDEX(SLATable[Maximum SLA],MATCH(G1377,SLATable[Priority],0))),"YES","NO"),"")</f>
        <v/>
      </c>
    </row>
    <row r="1378" spans="26:36" ht="15" customHeight="1">
      <c r="Z1378" s="169" t="e">
        <f t="shared" ca="1" si="205"/>
        <v>#N/A</v>
      </c>
      <c r="AA1378" s="170" t="e">
        <f t="shared" ca="1" si="206"/>
        <v>#N/A</v>
      </c>
      <c r="AB1378" s="169">
        <f t="shared" ca="1" si="207"/>
        <v>0</v>
      </c>
      <c r="AC1378" s="170">
        <f t="shared" ca="1" si="208"/>
        <v>0</v>
      </c>
      <c r="AD1378" s="169">
        <f t="shared" ca="1" si="209"/>
        <v>12388.425641087964</v>
      </c>
      <c r="AE1378" s="169">
        <f t="shared" si="212"/>
        <v>0</v>
      </c>
      <c r="AF1378" s="170">
        <f t="shared" si="210"/>
        <v>0</v>
      </c>
      <c r="AG1378" s="170">
        <f t="shared" si="211"/>
        <v>0</v>
      </c>
      <c r="AH1378" s="28" t="e" cm="1">
        <f t="array" aca="1" ref="AH1378" ca="1">IF((AD1378) &lt; (INDEX(ResponseSLA[#All],(MATCH((G1378),ResponseSLA[Priority],0))+1,3)),"YES","No")</f>
        <v>#N/A</v>
      </c>
      <c r="AI1378" s="28" t="str">
        <f>_xlfn.IFNA(IF(AE1378 &lt; (INDEX(SLATable[Minimum SLA],MATCH(G1378,SLATable[Priority],0))),"YES","NO"),"")</f>
        <v/>
      </c>
      <c r="AJ1378" s="28" t="str">
        <f>_xlfn.IFNA(IF(AE1378 &lt; (INDEX(SLATable[Maximum SLA],MATCH(G1378,SLATable[Priority],0))),"YES","NO"),"")</f>
        <v/>
      </c>
    </row>
    <row r="1379" spans="26:36" ht="15" customHeight="1">
      <c r="Z1379" s="169" t="e">
        <f t="shared" ca="1" si="205"/>
        <v>#N/A</v>
      </c>
      <c r="AA1379" s="170" t="e">
        <f t="shared" ca="1" si="206"/>
        <v>#N/A</v>
      </c>
      <c r="AB1379" s="169">
        <f t="shared" ca="1" si="207"/>
        <v>0</v>
      </c>
      <c r="AC1379" s="170">
        <f t="shared" ca="1" si="208"/>
        <v>0</v>
      </c>
      <c r="AD1379" s="169">
        <f t="shared" ca="1" si="209"/>
        <v>12388.425641087964</v>
      </c>
      <c r="AE1379" s="169">
        <f t="shared" si="212"/>
        <v>0</v>
      </c>
      <c r="AF1379" s="170">
        <f t="shared" si="210"/>
        <v>0</v>
      </c>
      <c r="AG1379" s="170">
        <f t="shared" si="211"/>
        <v>0</v>
      </c>
      <c r="AH1379" s="28" t="e" cm="1">
        <f t="array" aca="1" ref="AH1379" ca="1">IF((AD1379) &lt; (INDEX(ResponseSLA[#All],(MATCH((G1379),ResponseSLA[Priority],0))+1,3)),"YES","No")</f>
        <v>#N/A</v>
      </c>
      <c r="AI1379" s="28" t="str">
        <f>_xlfn.IFNA(IF(AE1379 &lt; (INDEX(SLATable[Minimum SLA],MATCH(G1379,SLATable[Priority],0))),"YES","NO"),"")</f>
        <v/>
      </c>
      <c r="AJ1379" s="28" t="str">
        <f>_xlfn.IFNA(IF(AE1379 &lt; (INDEX(SLATable[Maximum SLA],MATCH(G1379,SLATable[Priority],0))),"YES","NO"),"")</f>
        <v/>
      </c>
    </row>
    <row r="1380" spans="26:36" ht="15" customHeight="1">
      <c r="Z1380" s="169" t="e">
        <f t="shared" ca="1" si="205"/>
        <v>#N/A</v>
      </c>
      <c r="AA1380" s="170" t="e">
        <f t="shared" ca="1" si="206"/>
        <v>#N/A</v>
      </c>
      <c r="AB1380" s="169">
        <f t="shared" ca="1" si="207"/>
        <v>0</v>
      </c>
      <c r="AC1380" s="170">
        <f t="shared" ca="1" si="208"/>
        <v>0</v>
      </c>
      <c r="AD1380" s="169">
        <f t="shared" ca="1" si="209"/>
        <v>12388.425641087964</v>
      </c>
      <c r="AE1380" s="169">
        <f t="shared" si="212"/>
        <v>0</v>
      </c>
      <c r="AF1380" s="170">
        <f t="shared" si="210"/>
        <v>0</v>
      </c>
      <c r="AG1380" s="170">
        <f t="shared" si="211"/>
        <v>0</v>
      </c>
      <c r="AH1380" s="28" t="e" cm="1">
        <f t="array" aca="1" ref="AH1380" ca="1">IF((AD1380) &lt; (INDEX(ResponseSLA[#All],(MATCH((G1380),ResponseSLA[Priority],0))+1,3)),"YES","No")</f>
        <v>#N/A</v>
      </c>
      <c r="AI1380" s="28" t="str">
        <f>_xlfn.IFNA(IF(AE1380 &lt; (INDEX(SLATable[Minimum SLA],MATCH(G1380,SLATable[Priority],0))),"YES","NO"),"")</f>
        <v/>
      </c>
      <c r="AJ1380" s="28" t="str">
        <f>_xlfn.IFNA(IF(AE1380 &lt; (INDEX(SLATable[Maximum SLA],MATCH(G1380,SLATable[Priority],0))),"YES","NO"),"")</f>
        <v/>
      </c>
    </row>
    <row r="1381" spans="26:36" ht="15" customHeight="1">
      <c r="Z1381" s="169" t="e">
        <f t="shared" ca="1" si="205"/>
        <v>#N/A</v>
      </c>
      <c r="AA1381" s="170" t="e">
        <f t="shared" ca="1" si="206"/>
        <v>#N/A</v>
      </c>
      <c r="AB1381" s="169">
        <f t="shared" ca="1" si="207"/>
        <v>0</v>
      </c>
      <c r="AC1381" s="170">
        <f t="shared" ca="1" si="208"/>
        <v>0</v>
      </c>
      <c r="AD1381" s="169">
        <f t="shared" ca="1" si="209"/>
        <v>12388.425641087964</v>
      </c>
      <c r="AE1381" s="169">
        <f t="shared" si="212"/>
        <v>0</v>
      </c>
      <c r="AF1381" s="170">
        <f t="shared" si="210"/>
        <v>0</v>
      </c>
      <c r="AG1381" s="170">
        <f t="shared" si="211"/>
        <v>0</v>
      </c>
      <c r="AH1381" s="28" t="e" cm="1">
        <f t="array" aca="1" ref="AH1381" ca="1">IF((AD1381) &lt; (INDEX(ResponseSLA[#All],(MATCH((G1381),ResponseSLA[Priority],0))+1,3)),"YES","No")</f>
        <v>#N/A</v>
      </c>
      <c r="AI1381" s="28" t="str">
        <f>_xlfn.IFNA(IF(AE1381 &lt; (INDEX(SLATable[Minimum SLA],MATCH(G1381,SLATable[Priority],0))),"YES","NO"),"")</f>
        <v/>
      </c>
      <c r="AJ1381" s="28" t="str">
        <f>_xlfn.IFNA(IF(AE1381 &lt; (INDEX(SLATable[Maximum SLA],MATCH(G1381,SLATable[Priority],0))),"YES","NO"),"")</f>
        <v/>
      </c>
    </row>
    <row r="1382" spans="26:36" ht="15" customHeight="1">
      <c r="Z1382" s="169" t="e">
        <f t="shared" ca="1" si="205"/>
        <v>#N/A</v>
      </c>
      <c r="AA1382" s="170" t="e">
        <f t="shared" ca="1" si="206"/>
        <v>#N/A</v>
      </c>
      <c r="AB1382" s="169">
        <f t="shared" ca="1" si="207"/>
        <v>0</v>
      </c>
      <c r="AC1382" s="170">
        <f t="shared" ca="1" si="208"/>
        <v>0</v>
      </c>
      <c r="AD1382" s="169">
        <f t="shared" ca="1" si="209"/>
        <v>12388.425641087964</v>
      </c>
      <c r="AE1382" s="169">
        <f t="shared" si="212"/>
        <v>0</v>
      </c>
      <c r="AF1382" s="170">
        <f t="shared" si="210"/>
        <v>0</v>
      </c>
      <c r="AG1382" s="170">
        <f t="shared" si="211"/>
        <v>0</v>
      </c>
      <c r="AH1382" s="28" t="e" cm="1">
        <f t="array" aca="1" ref="AH1382" ca="1">IF((AD1382) &lt; (INDEX(ResponseSLA[#All],(MATCH((G1382),ResponseSLA[Priority],0))+1,3)),"YES","No")</f>
        <v>#N/A</v>
      </c>
      <c r="AI1382" s="28" t="str">
        <f>_xlfn.IFNA(IF(AE1382 &lt; (INDEX(SLATable[Minimum SLA],MATCH(G1382,SLATable[Priority],0))),"YES","NO"),"")</f>
        <v/>
      </c>
      <c r="AJ1382" s="28" t="str">
        <f>_xlfn.IFNA(IF(AE1382 &lt; (INDEX(SLATable[Maximum SLA],MATCH(G1382,SLATable[Priority],0))),"YES","NO"),"")</f>
        <v/>
      </c>
    </row>
    <row r="1383" spans="26:36" ht="15" customHeight="1">
      <c r="Z1383" s="169" t="e">
        <f t="shared" ca="1" si="205"/>
        <v>#N/A</v>
      </c>
      <c r="AA1383" s="170" t="e">
        <f t="shared" ca="1" si="206"/>
        <v>#N/A</v>
      </c>
      <c r="AB1383" s="169">
        <f t="shared" ca="1" si="207"/>
        <v>0</v>
      </c>
      <c r="AC1383" s="170">
        <f t="shared" ca="1" si="208"/>
        <v>0</v>
      </c>
      <c r="AD1383" s="169">
        <f t="shared" ca="1" si="209"/>
        <v>12388.425641087964</v>
      </c>
      <c r="AE1383" s="169">
        <f t="shared" si="212"/>
        <v>0</v>
      </c>
      <c r="AF1383" s="170">
        <f t="shared" si="210"/>
        <v>0</v>
      </c>
      <c r="AG1383" s="170">
        <f t="shared" si="211"/>
        <v>0</v>
      </c>
      <c r="AH1383" s="28" t="e" cm="1">
        <f t="array" aca="1" ref="AH1383" ca="1">IF((AD1383) &lt; (INDEX(ResponseSLA[#All],(MATCH((G1383),ResponseSLA[Priority],0))+1,3)),"YES","No")</f>
        <v>#N/A</v>
      </c>
      <c r="AI1383" s="28" t="str">
        <f>_xlfn.IFNA(IF(AE1383 &lt; (INDEX(SLATable[Minimum SLA],MATCH(G1383,SLATable[Priority],0))),"YES","NO"),"")</f>
        <v/>
      </c>
      <c r="AJ1383" s="28" t="str">
        <f>_xlfn.IFNA(IF(AE1383 &lt; (INDEX(SLATable[Maximum SLA],MATCH(G1383,SLATable[Priority],0))),"YES","NO"),"")</f>
        <v/>
      </c>
    </row>
    <row r="1384" spans="26:36" ht="15" customHeight="1">
      <c r="Z1384" s="169" t="e">
        <f t="shared" ca="1" si="205"/>
        <v>#N/A</v>
      </c>
      <c r="AA1384" s="170" t="e">
        <f t="shared" ca="1" si="206"/>
        <v>#N/A</v>
      </c>
      <c r="AB1384" s="169">
        <f t="shared" ca="1" si="207"/>
        <v>0</v>
      </c>
      <c r="AC1384" s="170">
        <f t="shared" ca="1" si="208"/>
        <v>0</v>
      </c>
      <c r="AD1384" s="169">
        <f t="shared" ca="1" si="209"/>
        <v>12388.425641087964</v>
      </c>
      <c r="AE1384" s="169">
        <f t="shared" si="212"/>
        <v>0</v>
      </c>
      <c r="AF1384" s="170">
        <f t="shared" si="210"/>
        <v>0</v>
      </c>
      <c r="AG1384" s="170">
        <f t="shared" si="211"/>
        <v>0</v>
      </c>
      <c r="AH1384" s="28" t="e" cm="1">
        <f t="array" aca="1" ref="AH1384" ca="1">IF((AD1384) &lt; (INDEX(ResponseSLA[#All],(MATCH((G1384),ResponseSLA[Priority],0))+1,3)),"YES","No")</f>
        <v>#N/A</v>
      </c>
      <c r="AI1384" s="28" t="str">
        <f>_xlfn.IFNA(IF(AE1384 &lt; (INDEX(SLATable[Minimum SLA],MATCH(G1384,SLATable[Priority],0))),"YES","NO"),"")</f>
        <v/>
      </c>
      <c r="AJ1384" s="28" t="str">
        <f>_xlfn.IFNA(IF(AE1384 &lt; (INDEX(SLATable[Maximum SLA],MATCH(G1384,SLATable[Priority],0))),"YES","NO"),"")</f>
        <v/>
      </c>
    </row>
    <row r="1385" spans="26:36" ht="15" customHeight="1">
      <c r="Z1385" s="169" t="e">
        <f t="shared" ca="1" si="205"/>
        <v>#N/A</v>
      </c>
      <c r="AA1385" s="170" t="e">
        <f t="shared" ca="1" si="206"/>
        <v>#N/A</v>
      </c>
      <c r="AB1385" s="169">
        <f t="shared" ca="1" si="207"/>
        <v>0</v>
      </c>
      <c r="AC1385" s="170">
        <f t="shared" ca="1" si="208"/>
        <v>0</v>
      </c>
      <c r="AD1385" s="169">
        <f t="shared" ca="1" si="209"/>
        <v>12388.425641087964</v>
      </c>
      <c r="AE1385" s="169">
        <f t="shared" si="212"/>
        <v>0</v>
      </c>
      <c r="AF1385" s="170">
        <f t="shared" si="210"/>
        <v>0</v>
      </c>
      <c r="AG1385" s="170">
        <f t="shared" si="211"/>
        <v>0</v>
      </c>
      <c r="AH1385" s="28" t="e" cm="1">
        <f t="array" aca="1" ref="AH1385" ca="1">IF((AD1385) &lt; (INDEX(ResponseSLA[#All],(MATCH((G1385),ResponseSLA[Priority],0))+1,3)),"YES","No")</f>
        <v>#N/A</v>
      </c>
      <c r="AI1385" s="28" t="str">
        <f>_xlfn.IFNA(IF(AE1385 &lt; (INDEX(SLATable[Minimum SLA],MATCH(G1385,SLATable[Priority],0))),"YES","NO"),"")</f>
        <v/>
      </c>
      <c r="AJ1385" s="28" t="str">
        <f>_xlfn.IFNA(IF(AE1385 &lt; (INDEX(SLATable[Maximum SLA],MATCH(G1385,SLATable[Priority],0))),"YES","NO"),"")</f>
        <v/>
      </c>
    </row>
    <row r="1386" spans="26:36" ht="15" customHeight="1">
      <c r="Z1386" s="169" t="e">
        <f t="shared" ca="1" si="205"/>
        <v>#N/A</v>
      </c>
      <c r="AA1386" s="170" t="e">
        <f t="shared" ca="1" si="206"/>
        <v>#N/A</v>
      </c>
      <c r="AB1386" s="169">
        <f t="shared" ca="1" si="207"/>
        <v>0</v>
      </c>
      <c r="AC1386" s="170">
        <f t="shared" ca="1" si="208"/>
        <v>0</v>
      </c>
      <c r="AD1386" s="169">
        <f t="shared" ca="1" si="209"/>
        <v>12388.425641087964</v>
      </c>
      <c r="AE1386" s="169">
        <f t="shared" si="212"/>
        <v>0</v>
      </c>
      <c r="AF1386" s="170">
        <f t="shared" si="210"/>
        <v>0</v>
      </c>
      <c r="AG1386" s="170">
        <f t="shared" si="211"/>
        <v>0</v>
      </c>
      <c r="AH1386" s="28" t="e" cm="1">
        <f t="array" aca="1" ref="AH1386" ca="1">IF((AD1386) &lt; (INDEX(ResponseSLA[#All],(MATCH((G1386),ResponseSLA[Priority],0))+1,3)),"YES","No")</f>
        <v>#N/A</v>
      </c>
      <c r="AI1386" s="28" t="str">
        <f>_xlfn.IFNA(IF(AE1386 &lt; (INDEX(SLATable[Minimum SLA],MATCH(G1386,SLATable[Priority],0))),"YES","NO"),"")</f>
        <v/>
      </c>
      <c r="AJ1386" s="28" t="str">
        <f>_xlfn.IFNA(IF(AE1386 &lt; (INDEX(SLATable[Maximum SLA],MATCH(G1386,SLATable[Priority],0))),"YES","NO"),"")</f>
        <v/>
      </c>
    </row>
    <row r="1387" spans="26:36" ht="15" customHeight="1">
      <c r="Z1387" s="169" t="e">
        <f t="shared" ca="1" si="205"/>
        <v>#N/A</v>
      </c>
      <c r="AA1387" s="170" t="e">
        <f t="shared" ca="1" si="206"/>
        <v>#N/A</v>
      </c>
      <c r="AB1387" s="169">
        <f t="shared" ca="1" si="207"/>
        <v>0</v>
      </c>
      <c r="AC1387" s="170">
        <f t="shared" ca="1" si="208"/>
        <v>0</v>
      </c>
      <c r="AD1387" s="169">
        <f t="shared" ca="1" si="209"/>
        <v>12388.425641087964</v>
      </c>
      <c r="AE1387" s="169">
        <f t="shared" si="212"/>
        <v>0</v>
      </c>
      <c r="AF1387" s="170">
        <f t="shared" si="210"/>
        <v>0</v>
      </c>
      <c r="AG1387" s="170">
        <f t="shared" si="211"/>
        <v>0</v>
      </c>
      <c r="AH1387" s="28" t="e" cm="1">
        <f t="array" aca="1" ref="AH1387" ca="1">IF((AD1387) &lt; (INDEX(ResponseSLA[#All],(MATCH((G1387),ResponseSLA[Priority],0))+1,3)),"YES","No")</f>
        <v>#N/A</v>
      </c>
      <c r="AI1387" s="28" t="str">
        <f>_xlfn.IFNA(IF(AE1387 &lt; (INDEX(SLATable[Minimum SLA],MATCH(G1387,SLATable[Priority],0))),"YES","NO"),"")</f>
        <v/>
      </c>
      <c r="AJ1387" s="28" t="str">
        <f>_xlfn.IFNA(IF(AE1387 &lt; (INDEX(SLATable[Maximum SLA],MATCH(G1387,SLATable[Priority],0))),"YES","NO"),"")</f>
        <v/>
      </c>
    </row>
    <row r="1388" spans="26:36" ht="15" customHeight="1">
      <c r="Z1388" s="169" t="e">
        <f t="shared" ref="Z1388:Z1413" ca="1" si="213">IF(NOT(OR(G1388=1,G1388=2)),MAX(0,_xlfn.IFS(AND(K1388&lt;&gt;"",N1388&lt;&gt;""),((MAX(NETWORKDAYS(K1388,N1388,UKBankHolidays)-1,0))*(TIME(17,0,0)-TIME(8,0,0))+IF(NETWORKDAYS(N1388,N1388,UKBankHolidays)&gt;0,MEDIAN(TIME(8,0,0),MOD(N1388,1),TIME(17,0,0)),TIME(8,0,0))-IF(NETWORKDAYS(K1388,K1388,UKBankHolidays)&gt;0,MEDIAN(TIME(8,0,0),MOD(K1388,1),TIME(17,0,0)),TIME(8,0,0)))-IF(AND(O1388&lt;&gt;"",P1388&lt;&gt;""),((MAX(NETWORKDAYS(O1388,P1388,UKBankHolidays)-1,0))*(TIME(17,0,0)-TIME(8,0,0))+IF(NETWORKDAYS(P1388,P1388,UKBankHolidays)&gt;0,MEDIAN(TIME(8,0,0),MOD(P1388,1),TIME(17,0,0)),TIME(8,0,0))-IF(NETWORKDAYS(O1388,O1388,UKBankHolidays)&gt;0,MEDIAN(TIME(8,0,0),MOD(O1388,1),TIME(17,0,0)),TIME(8,0,0))),0),AND(K1388&lt;&gt;"",N1388=""),((MAX(NETWORKDAYS(K1388,NOW(),UKBankHolidays)-1,0))*(TIME(17,0,0)-TIME(8,0,0))+IF(NETWORKDAYS(NOW(),NOW(),UKBankHolidays)&gt;0,MEDIAN(TIME(8,0,0),MOD(NOW(),1),TIME(17,0,0)),TIME(8,0,0))-IF(NETWORKDAYS(K1388,K1388,UKBankHolidays)&gt;0,MEDIAN(TIME(8,0,0),MOD(K1388,1),TIME(17,0,0)),TIME(8,0,0))))),IF(N1388="",NOW()-K1388,N1388-K1388))</f>
        <v>#N/A</v>
      </c>
      <c r="AA1388" s="170" t="e">
        <f t="shared" ref="AA1388:AA1413" ca="1" si="214">(Z1388*24)/9</f>
        <v>#N/A</v>
      </c>
      <c r="AB1388" s="169">
        <f t="shared" ref="AB1388:AB1413" ca="1" si="215">IF(NOT(OR(G1388=1,G1388=2)),MAX(0,_xlfn.IFS(AND(K1388&lt;&gt;"",N1388&lt;&gt;""),(((MAX(NETWORKDAYS(L1388,N1388,UKBankHolidays)-1,0))*(TIME(17,0,0)-TIME(8,0,0)))+IF(NETWORKDAYS(N1388,N1388,UKBankHolidays)&gt;0,MEDIAN(TIME(8,0,0),MOD(N1388,1),TIME(17,0,0)),TIME(8,0,0))-IF(NETWORKDAYS(L1388,L1388,UKBankHolidays)&gt;0,MEDIAN(TIME(8,0,0),MOD(L1388,1),TIME(17,0,0)),TIME(8,0,0)))-IF(AND(O1388&lt;&gt;"",P1388&lt;&gt;""),(((MAX(NETWORKDAYS(O1388,P1388,UKBankHolidays)-1,0))*(TIME(17,0,0)-TIME(8,0,0)))+IF(NETWORKDAYS(P1388,P1388,UKBankHolidays)&gt;0,MEDIAN(TIME(8,0,0),MOD(P1388,1),TIME(17,0,0)),TIME(8,0,0))-IF(NETWORKDAYS(O1388,O1388,UKBankHolidays)&gt;0,MEDIAN(TIME(8,0,0),MOD(O1388,1),TIME(17,0,0)),TIME(8,0,0))),0),AND(L1388&lt;&gt;"",N1388="",O1388=""),(((MAX(NETWORKDAYS(L1388,NOW(),UKBankHolidays)-1,0))*(TIME(17,0,0)-TIME(8,0,0)))+IF(NETWORKDAYS(NOW(),NOW(),UKBankHolidays)&gt;0,MEDIAN(TIME(8,0,0),MOD(NOW(),1),TIME(17,0,0)),TIME(8,0,0))-IF(NETWORKDAYS(L1388,L1388,UKBankHolidays)&gt;0,MEDIAN(TIME(8,0,0),MOD(L1388,1),TIME(17,0,0)),TIME(8,0,0)))-IF(AND(O1388&lt;&gt;"",P1388&lt;&gt;""),(((MAX(NETWORKDAYS(O1388,P1388,UKBankHolidays)-1,0))*(TIME(17,0,0)-TIME(8,0,0)))+IF(NETWORKDAYS(P1388,P1388,UKBankHolidays)&gt;0,MEDIAN(TIME(8,0,0),MOD(P1388,1),TIME(17,0,0)),TIME(8,0,0))-IF(NETWORKDAYS(O1388,O1388,UKBankHolidays)&gt;0,MEDIAN(TIME(8,0,0),MOD(O1388,1),TIME(17,0,0)),TIME(8,0,0))),0),AND(L1388&lt;&gt;"",N1388="",P1388="",O1388&lt;&gt;""),(((MAX(NETWORKDAYS(L1388,O1388,UKBankHolidays)-1,0))*(TIME(17,0,0)-TIME(8,0,0)))+IF(NETWORKDAYS(O1388,O1388,UKBankHolidays)&gt;0,MEDIAN(TIME(8,0,0),MOD(O1388,1),TIME(17,0,0)),TIME(8,0,0))-IF(NETWORKDAYS(L1388,L1388,UKBankHolidays)&gt;0,MEDIAN(TIME(8,0,0),MOD(L1388,1),TIME(17,0,0)),TIME(8,0,0))),ISBLANK(K1388),"0")),IF(ISBLANK(N1388),NOW()-L1388,N1388-L1388))</f>
        <v>0</v>
      </c>
      <c r="AC1388" s="170">
        <f t="shared" ref="AC1388:AC1413" ca="1" si="216">(AB1388*24)/9</f>
        <v>0</v>
      </c>
      <c r="AD1388" s="169">
        <f t="shared" ref="AD1388:AD1413" ca="1" si="217">MAX(0,IF(NOT(OR(G1388=1,G1388=2)),IF(M1388&lt;&gt;"",((MAX(NETWORKDAYS(L1388,M1388,UKBankHolidays)-1,0))*(TIME(17,0,0)-TIME(8,0,0))+IF(NETWORKDAYS(M1388,M1388,UKBankHolidays)&gt;0,MEDIAN(TIME(8,0,0),MOD(M1388,1),TIME(17,0,0)),TIME(8,0,0))-MEDIAN(TIME(8,0,0),MOD(L1388,1),TIME(17,0,0))),((MAX(NETWORKDAYS(L1388,NOW(),UKBankHolidays)-1,0))*(TIME(17,0,0)-TIME(8,0,0))+IF(NETWORKDAYS(NOW(),NOW(),UKBankHolidays)&gt;0,MEDIAN(TIME(8,0,0),MOD(NOW(),1),TIME(17,0,0)),TIME(8,0,0))-MEDIAN(TIME(8,0,0),MOD(L1388,1),TIME(17,0,0)))),IF(M1388&lt;&gt;"",M1388-L1388,NOW()-L1388)))</f>
        <v>12388.425641087964</v>
      </c>
      <c r="AE1388" s="169">
        <f t="shared" si="212"/>
        <v>0</v>
      </c>
      <c r="AF1388" s="170">
        <f t="shared" ref="AF1388:AF1413" si="218">(AE1388*24)/9</f>
        <v>0</v>
      </c>
      <c r="AG1388" s="170">
        <f t="shared" ref="AG1388:AG1413" si="219">AF1388</f>
        <v>0</v>
      </c>
      <c r="AH1388" s="28" t="e" cm="1">
        <f t="array" aca="1" ref="AH1388" ca="1">IF((AD1388) &lt; (INDEX(ResponseSLA[#All],(MATCH((G1388),ResponseSLA[Priority],0))+1,3)),"YES","No")</f>
        <v>#N/A</v>
      </c>
      <c r="AI1388" s="28" t="str">
        <f>_xlfn.IFNA(IF(AE1388 &lt; (INDEX(SLATable[Minimum SLA],MATCH(G1388,SLATable[Priority],0))),"YES","NO"),"")</f>
        <v/>
      </c>
      <c r="AJ1388" s="28" t="str">
        <f>_xlfn.IFNA(IF(AE1388 &lt; (INDEX(SLATable[Maximum SLA],MATCH(G1388,SLATable[Priority],0))),"YES","NO"),"")</f>
        <v/>
      </c>
    </row>
    <row r="1389" spans="26:36" ht="15" customHeight="1">
      <c r="Z1389" s="169" t="e">
        <f t="shared" ca="1" si="213"/>
        <v>#N/A</v>
      </c>
      <c r="AA1389" s="170" t="e">
        <f t="shared" ca="1" si="214"/>
        <v>#N/A</v>
      </c>
      <c r="AB1389" s="169">
        <f t="shared" ca="1" si="215"/>
        <v>0</v>
      </c>
      <c r="AC1389" s="170">
        <f t="shared" ca="1" si="216"/>
        <v>0</v>
      </c>
      <c r="AD1389" s="169">
        <f t="shared" ca="1" si="217"/>
        <v>12388.425641087964</v>
      </c>
      <c r="AE1389" s="169">
        <f t="shared" si="212"/>
        <v>0</v>
      </c>
      <c r="AF1389" s="170">
        <f t="shared" si="218"/>
        <v>0</v>
      </c>
      <c r="AG1389" s="170">
        <f t="shared" si="219"/>
        <v>0</v>
      </c>
      <c r="AH1389" s="28" t="e" cm="1">
        <f t="array" aca="1" ref="AH1389" ca="1">IF((AD1389) &lt; (INDEX(ResponseSLA[#All],(MATCH((G1389),ResponseSLA[Priority],0))+1,3)),"YES","No")</f>
        <v>#N/A</v>
      </c>
      <c r="AI1389" s="28" t="str">
        <f>_xlfn.IFNA(IF(AE1389 &lt; (INDEX(SLATable[Minimum SLA],MATCH(G1389,SLATable[Priority],0))),"YES","NO"),"")</f>
        <v/>
      </c>
      <c r="AJ1389" s="28" t="str">
        <f>_xlfn.IFNA(IF(AE1389 &lt; (INDEX(SLATable[Maximum SLA],MATCH(G1389,SLATable[Priority],0))),"YES","NO"),"")</f>
        <v/>
      </c>
    </row>
    <row r="1390" spans="26:36" ht="15" customHeight="1">
      <c r="Z1390" s="169" t="e">
        <f t="shared" ca="1" si="213"/>
        <v>#N/A</v>
      </c>
      <c r="AA1390" s="170" t="e">
        <f t="shared" ca="1" si="214"/>
        <v>#N/A</v>
      </c>
      <c r="AB1390" s="169">
        <f t="shared" ca="1" si="215"/>
        <v>0</v>
      </c>
      <c r="AC1390" s="170">
        <f t="shared" ca="1" si="216"/>
        <v>0</v>
      </c>
      <c r="AD1390" s="169">
        <f t="shared" ca="1" si="217"/>
        <v>12388.425641087964</v>
      </c>
      <c r="AE1390" s="169">
        <f t="shared" si="212"/>
        <v>0</v>
      </c>
      <c r="AF1390" s="170">
        <f t="shared" si="218"/>
        <v>0</v>
      </c>
      <c r="AG1390" s="170">
        <f t="shared" si="219"/>
        <v>0</v>
      </c>
      <c r="AH1390" s="28" t="e" cm="1">
        <f t="array" aca="1" ref="AH1390" ca="1">IF((AD1390) &lt; (INDEX(ResponseSLA[#All],(MATCH((G1390),ResponseSLA[Priority],0))+1,3)),"YES","No")</f>
        <v>#N/A</v>
      </c>
      <c r="AI1390" s="28" t="str">
        <f>_xlfn.IFNA(IF(AE1390 &lt; (INDEX(SLATable[Minimum SLA],MATCH(G1390,SLATable[Priority],0))),"YES","NO"),"")</f>
        <v/>
      </c>
      <c r="AJ1390" s="28" t="str">
        <f>_xlfn.IFNA(IF(AE1390 &lt; (INDEX(SLATable[Maximum SLA],MATCH(G1390,SLATable[Priority],0))),"YES","NO"),"")</f>
        <v/>
      </c>
    </row>
    <row r="1391" spans="26:36" ht="15" customHeight="1">
      <c r="Z1391" s="169" t="e">
        <f t="shared" ca="1" si="213"/>
        <v>#N/A</v>
      </c>
      <c r="AA1391" s="170" t="e">
        <f t="shared" ca="1" si="214"/>
        <v>#N/A</v>
      </c>
      <c r="AB1391" s="169">
        <f t="shared" ca="1" si="215"/>
        <v>0</v>
      </c>
      <c r="AC1391" s="170">
        <f t="shared" ca="1" si="216"/>
        <v>0</v>
      </c>
      <c r="AD1391" s="169">
        <f t="shared" ca="1" si="217"/>
        <v>12388.425641087964</v>
      </c>
      <c r="AE1391" s="169">
        <f t="shared" si="212"/>
        <v>0</v>
      </c>
      <c r="AF1391" s="170">
        <f t="shared" si="218"/>
        <v>0</v>
      </c>
      <c r="AG1391" s="170">
        <f t="shared" si="219"/>
        <v>0</v>
      </c>
      <c r="AH1391" s="28" t="e" cm="1">
        <f t="array" aca="1" ref="AH1391" ca="1">IF((AD1391) &lt; (INDEX(ResponseSLA[#All],(MATCH((G1391),ResponseSLA[Priority],0))+1,3)),"YES","No")</f>
        <v>#N/A</v>
      </c>
      <c r="AI1391" s="28" t="str">
        <f>_xlfn.IFNA(IF(AE1391 &lt; (INDEX(SLATable[Minimum SLA],MATCH(G1391,SLATable[Priority],0))),"YES","NO"),"")</f>
        <v/>
      </c>
      <c r="AJ1391" s="28" t="str">
        <f>_xlfn.IFNA(IF(AE1391 &lt; (INDEX(SLATable[Maximum SLA],MATCH(G1391,SLATable[Priority],0))),"YES","NO"),"")</f>
        <v/>
      </c>
    </row>
    <row r="1392" spans="26:36" ht="15" customHeight="1">
      <c r="Z1392" s="169" t="e">
        <f t="shared" ca="1" si="213"/>
        <v>#N/A</v>
      </c>
      <c r="AA1392" s="170" t="e">
        <f t="shared" ca="1" si="214"/>
        <v>#N/A</v>
      </c>
      <c r="AB1392" s="169">
        <f t="shared" ca="1" si="215"/>
        <v>0</v>
      </c>
      <c r="AC1392" s="170">
        <f t="shared" ca="1" si="216"/>
        <v>0</v>
      </c>
      <c r="AD1392" s="169">
        <f t="shared" ca="1" si="217"/>
        <v>12388.425641087964</v>
      </c>
      <c r="AE1392" s="169">
        <f t="shared" si="212"/>
        <v>0</v>
      </c>
      <c r="AF1392" s="170">
        <f t="shared" si="218"/>
        <v>0</v>
      </c>
      <c r="AG1392" s="170">
        <f t="shared" si="219"/>
        <v>0</v>
      </c>
      <c r="AH1392" s="28" t="e" cm="1">
        <f t="array" aca="1" ref="AH1392" ca="1">IF((AD1392) &lt; (INDEX(ResponseSLA[#All],(MATCH((G1392),ResponseSLA[Priority],0))+1,3)),"YES","No")</f>
        <v>#N/A</v>
      </c>
      <c r="AI1392" s="28" t="str">
        <f>_xlfn.IFNA(IF(AE1392 &lt; (INDEX(SLATable[Minimum SLA],MATCH(G1392,SLATable[Priority],0))),"YES","NO"),"")</f>
        <v/>
      </c>
      <c r="AJ1392" s="28" t="str">
        <f>_xlfn.IFNA(IF(AE1392 &lt; (INDEX(SLATable[Maximum SLA],MATCH(G1392,SLATable[Priority],0))),"YES","NO"),"")</f>
        <v/>
      </c>
    </row>
    <row r="1393" spans="26:36" ht="15" customHeight="1">
      <c r="Z1393" s="169" t="e">
        <f t="shared" ca="1" si="213"/>
        <v>#N/A</v>
      </c>
      <c r="AA1393" s="170" t="e">
        <f t="shared" ca="1" si="214"/>
        <v>#N/A</v>
      </c>
      <c r="AB1393" s="169">
        <f t="shared" ca="1" si="215"/>
        <v>0</v>
      </c>
      <c r="AC1393" s="170">
        <f t="shared" ca="1" si="216"/>
        <v>0</v>
      </c>
      <c r="AD1393" s="169">
        <f t="shared" ca="1" si="217"/>
        <v>12388.425641087964</v>
      </c>
      <c r="AE1393" s="169">
        <f t="shared" ref="AE1393:AE1413" si="220">SUMIFS(AB:AB,E:E,E1393)</f>
        <v>0</v>
      </c>
      <c r="AF1393" s="170">
        <f t="shared" si="218"/>
        <v>0</v>
      </c>
      <c r="AG1393" s="170">
        <f t="shared" si="219"/>
        <v>0</v>
      </c>
      <c r="AH1393" s="28" t="e" cm="1">
        <f t="array" aca="1" ref="AH1393" ca="1">IF((AD1393) &lt; (INDEX(ResponseSLA[#All],(MATCH((G1393),ResponseSLA[Priority],0))+1,3)),"YES","No")</f>
        <v>#N/A</v>
      </c>
      <c r="AI1393" s="28" t="str">
        <f>_xlfn.IFNA(IF(AE1393 &lt; (INDEX(SLATable[Minimum SLA],MATCH(G1393,SLATable[Priority],0))),"YES","NO"),"")</f>
        <v/>
      </c>
      <c r="AJ1393" s="28" t="str">
        <f>_xlfn.IFNA(IF(AE1393 &lt; (INDEX(SLATable[Maximum SLA],MATCH(G1393,SLATable[Priority],0))),"YES","NO"),"")</f>
        <v/>
      </c>
    </row>
    <row r="1394" spans="26:36" ht="15" customHeight="1">
      <c r="Z1394" s="169" t="e">
        <f t="shared" ca="1" si="213"/>
        <v>#N/A</v>
      </c>
      <c r="AA1394" s="170" t="e">
        <f t="shared" ca="1" si="214"/>
        <v>#N/A</v>
      </c>
      <c r="AB1394" s="169">
        <f t="shared" ca="1" si="215"/>
        <v>0</v>
      </c>
      <c r="AC1394" s="170">
        <f t="shared" ca="1" si="216"/>
        <v>0</v>
      </c>
      <c r="AD1394" s="169">
        <f t="shared" ca="1" si="217"/>
        <v>12388.425641087964</v>
      </c>
      <c r="AE1394" s="169">
        <f t="shared" si="220"/>
        <v>0</v>
      </c>
      <c r="AF1394" s="170">
        <f t="shared" si="218"/>
        <v>0</v>
      </c>
      <c r="AG1394" s="170">
        <f t="shared" si="219"/>
        <v>0</v>
      </c>
      <c r="AH1394" s="28" t="e" cm="1">
        <f t="array" aca="1" ref="AH1394" ca="1">IF((AD1394) &lt; (INDEX(ResponseSLA[#All],(MATCH((G1394),ResponseSLA[Priority],0))+1,3)),"YES","No")</f>
        <v>#N/A</v>
      </c>
      <c r="AI1394" s="28" t="str">
        <f>_xlfn.IFNA(IF(AE1394 &lt; (INDEX(SLATable[Minimum SLA],MATCH(G1394,SLATable[Priority],0))),"YES","NO"),"")</f>
        <v/>
      </c>
      <c r="AJ1394" s="28" t="str">
        <f>_xlfn.IFNA(IF(AE1394 &lt; (INDEX(SLATable[Maximum SLA],MATCH(G1394,SLATable[Priority],0))),"YES","NO"),"")</f>
        <v/>
      </c>
    </row>
    <row r="1395" spans="26:36" ht="15" customHeight="1">
      <c r="Z1395" s="169" t="e">
        <f t="shared" ca="1" si="213"/>
        <v>#N/A</v>
      </c>
      <c r="AA1395" s="170" t="e">
        <f t="shared" ca="1" si="214"/>
        <v>#N/A</v>
      </c>
      <c r="AB1395" s="169">
        <f t="shared" ca="1" si="215"/>
        <v>0</v>
      </c>
      <c r="AC1395" s="170">
        <f t="shared" ca="1" si="216"/>
        <v>0</v>
      </c>
      <c r="AD1395" s="169">
        <f t="shared" ca="1" si="217"/>
        <v>12388.425641087964</v>
      </c>
      <c r="AE1395" s="169">
        <f t="shared" si="220"/>
        <v>0</v>
      </c>
      <c r="AF1395" s="170">
        <f t="shared" si="218"/>
        <v>0</v>
      </c>
      <c r="AG1395" s="170">
        <f t="shared" si="219"/>
        <v>0</v>
      </c>
      <c r="AH1395" s="28" t="e" cm="1">
        <f t="array" aca="1" ref="AH1395" ca="1">IF((AD1395) &lt; (INDEX(ResponseSLA[#All],(MATCH((G1395),ResponseSLA[Priority],0))+1,3)),"YES","No")</f>
        <v>#N/A</v>
      </c>
      <c r="AI1395" s="28" t="str">
        <f>_xlfn.IFNA(IF(AE1395 &lt; (INDEX(SLATable[Minimum SLA],MATCH(G1395,SLATable[Priority],0))),"YES","NO"),"")</f>
        <v/>
      </c>
      <c r="AJ1395" s="28" t="str">
        <f>_xlfn.IFNA(IF(AE1395 &lt; (INDEX(SLATable[Maximum SLA],MATCH(G1395,SLATable[Priority],0))),"YES","NO"),"")</f>
        <v/>
      </c>
    </row>
    <row r="1396" spans="26:36" ht="15" customHeight="1">
      <c r="Z1396" s="169" t="e">
        <f t="shared" ca="1" si="213"/>
        <v>#N/A</v>
      </c>
      <c r="AA1396" s="170" t="e">
        <f t="shared" ca="1" si="214"/>
        <v>#N/A</v>
      </c>
      <c r="AB1396" s="169">
        <f t="shared" ca="1" si="215"/>
        <v>0</v>
      </c>
      <c r="AC1396" s="170">
        <f t="shared" ca="1" si="216"/>
        <v>0</v>
      </c>
      <c r="AD1396" s="169">
        <f t="shared" ca="1" si="217"/>
        <v>12388.425641087964</v>
      </c>
      <c r="AE1396" s="169">
        <f t="shared" si="220"/>
        <v>0</v>
      </c>
      <c r="AF1396" s="170">
        <f t="shared" si="218"/>
        <v>0</v>
      </c>
      <c r="AG1396" s="170">
        <f t="shared" si="219"/>
        <v>0</v>
      </c>
      <c r="AH1396" s="28" t="e" cm="1">
        <f t="array" aca="1" ref="AH1396" ca="1">IF((AD1396) &lt; (INDEX(ResponseSLA[#All],(MATCH((G1396),ResponseSLA[Priority],0))+1,3)),"YES","No")</f>
        <v>#N/A</v>
      </c>
      <c r="AI1396" s="28" t="str">
        <f>_xlfn.IFNA(IF(AE1396 &lt; (INDEX(SLATable[Minimum SLA],MATCH(G1396,SLATable[Priority],0))),"YES","NO"),"")</f>
        <v/>
      </c>
      <c r="AJ1396" s="28" t="str">
        <f>_xlfn.IFNA(IF(AE1396 &lt; (INDEX(SLATable[Maximum SLA],MATCH(G1396,SLATable[Priority],0))),"YES","NO"),"")</f>
        <v/>
      </c>
    </row>
    <row r="1397" spans="26:36" ht="15" customHeight="1">
      <c r="Z1397" s="169" t="e">
        <f t="shared" ca="1" si="213"/>
        <v>#N/A</v>
      </c>
      <c r="AA1397" s="170" t="e">
        <f t="shared" ca="1" si="214"/>
        <v>#N/A</v>
      </c>
      <c r="AB1397" s="169">
        <f t="shared" ca="1" si="215"/>
        <v>0</v>
      </c>
      <c r="AC1397" s="170">
        <f t="shared" ca="1" si="216"/>
        <v>0</v>
      </c>
      <c r="AD1397" s="169">
        <f t="shared" ca="1" si="217"/>
        <v>12388.425641087964</v>
      </c>
      <c r="AE1397" s="169">
        <f t="shared" si="220"/>
        <v>0</v>
      </c>
      <c r="AF1397" s="170">
        <f t="shared" si="218"/>
        <v>0</v>
      </c>
      <c r="AG1397" s="170">
        <f t="shared" si="219"/>
        <v>0</v>
      </c>
      <c r="AH1397" s="28" t="e" cm="1">
        <f t="array" aca="1" ref="AH1397" ca="1">IF((AD1397) &lt; (INDEX(ResponseSLA[#All],(MATCH((G1397),ResponseSLA[Priority],0))+1,3)),"YES","No")</f>
        <v>#N/A</v>
      </c>
      <c r="AI1397" s="28" t="str">
        <f>_xlfn.IFNA(IF(AE1397 &lt; (INDEX(SLATable[Minimum SLA],MATCH(G1397,SLATable[Priority],0))),"YES","NO"),"")</f>
        <v/>
      </c>
      <c r="AJ1397" s="28" t="str">
        <f>_xlfn.IFNA(IF(AE1397 &lt; (INDEX(SLATable[Maximum SLA],MATCH(G1397,SLATable[Priority],0))),"YES","NO"),"")</f>
        <v/>
      </c>
    </row>
    <row r="1398" spans="26:36" ht="15" customHeight="1">
      <c r="Z1398" s="169" t="e">
        <f t="shared" ca="1" si="213"/>
        <v>#N/A</v>
      </c>
      <c r="AA1398" s="170" t="e">
        <f t="shared" ca="1" si="214"/>
        <v>#N/A</v>
      </c>
      <c r="AB1398" s="169">
        <f t="shared" ca="1" si="215"/>
        <v>0</v>
      </c>
      <c r="AC1398" s="170">
        <f t="shared" ca="1" si="216"/>
        <v>0</v>
      </c>
      <c r="AD1398" s="169">
        <f t="shared" ca="1" si="217"/>
        <v>12388.425641087964</v>
      </c>
      <c r="AE1398" s="169">
        <f t="shared" si="220"/>
        <v>0</v>
      </c>
      <c r="AF1398" s="170">
        <f t="shared" si="218"/>
        <v>0</v>
      </c>
      <c r="AG1398" s="170">
        <f t="shared" si="219"/>
        <v>0</v>
      </c>
      <c r="AH1398" s="28" t="e" cm="1">
        <f t="array" aca="1" ref="AH1398" ca="1">IF((AD1398) &lt; (INDEX(ResponseSLA[#All],(MATCH((G1398),ResponseSLA[Priority],0))+1,3)),"YES","No")</f>
        <v>#N/A</v>
      </c>
      <c r="AI1398" s="28" t="str">
        <f>_xlfn.IFNA(IF(AE1398 &lt; (INDEX(SLATable[Minimum SLA],MATCH(G1398,SLATable[Priority],0))),"YES","NO"),"")</f>
        <v/>
      </c>
      <c r="AJ1398" s="28" t="str">
        <f>_xlfn.IFNA(IF(AE1398 &lt; (INDEX(SLATable[Maximum SLA],MATCH(G1398,SLATable[Priority],0))),"YES","NO"),"")</f>
        <v/>
      </c>
    </row>
    <row r="1399" spans="26:36" ht="15" customHeight="1">
      <c r="Z1399" s="169" t="e">
        <f t="shared" ca="1" si="213"/>
        <v>#N/A</v>
      </c>
      <c r="AA1399" s="170" t="e">
        <f t="shared" ca="1" si="214"/>
        <v>#N/A</v>
      </c>
      <c r="AB1399" s="169">
        <f t="shared" ca="1" si="215"/>
        <v>0</v>
      </c>
      <c r="AC1399" s="170">
        <f t="shared" ca="1" si="216"/>
        <v>0</v>
      </c>
      <c r="AD1399" s="169">
        <f t="shared" ca="1" si="217"/>
        <v>12388.425641087964</v>
      </c>
      <c r="AE1399" s="169">
        <f t="shared" si="220"/>
        <v>0</v>
      </c>
      <c r="AF1399" s="170">
        <f t="shared" si="218"/>
        <v>0</v>
      </c>
      <c r="AG1399" s="170">
        <f t="shared" si="219"/>
        <v>0</v>
      </c>
      <c r="AH1399" s="28" t="e" cm="1">
        <f t="array" aca="1" ref="AH1399" ca="1">IF((AD1399) &lt; (INDEX(ResponseSLA[#All],(MATCH((G1399),ResponseSLA[Priority],0))+1,3)),"YES","No")</f>
        <v>#N/A</v>
      </c>
      <c r="AI1399" s="28" t="str">
        <f>_xlfn.IFNA(IF(AE1399 &lt; (INDEX(SLATable[Minimum SLA],MATCH(G1399,SLATable[Priority],0))),"YES","NO"),"")</f>
        <v/>
      </c>
      <c r="AJ1399" s="28" t="str">
        <f>_xlfn.IFNA(IF(AE1399 &lt; (INDEX(SLATable[Maximum SLA],MATCH(G1399,SLATable[Priority],0))),"YES","NO"),"")</f>
        <v/>
      </c>
    </row>
    <row r="1400" spans="26:36" ht="15" customHeight="1">
      <c r="Z1400" s="169" t="e">
        <f t="shared" ca="1" si="213"/>
        <v>#N/A</v>
      </c>
      <c r="AA1400" s="170" t="e">
        <f t="shared" ca="1" si="214"/>
        <v>#N/A</v>
      </c>
      <c r="AB1400" s="169">
        <f t="shared" ca="1" si="215"/>
        <v>0</v>
      </c>
      <c r="AC1400" s="170">
        <f t="shared" ca="1" si="216"/>
        <v>0</v>
      </c>
      <c r="AD1400" s="169">
        <f t="shared" ca="1" si="217"/>
        <v>12388.425641087964</v>
      </c>
      <c r="AE1400" s="169">
        <f t="shared" si="220"/>
        <v>0</v>
      </c>
      <c r="AF1400" s="170">
        <f t="shared" si="218"/>
        <v>0</v>
      </c>
      <c r="AG1400" s="170">
        <f t="shared" si="219"/>
        <v>0</v>
      </c>
      <c r="AH1400" s="28" t="e" cm="1">
        <f t="array" aca="1" ref="AH1400" ca="1">IF((AD1400) &lt; (INDEX(ResponseSLA[#All],(MATCH((G1400),ResponseSLA[Priority],0))+1,3)),"YES","No")</f>
        <v>#N/A</v>
      </c>
      <c r="AI1400" s="28" t="str">
        <f>_xlfn.IFNA(IF(AE1400 &lt; (INDEX(SLATable[Minimum SLA],MATCH(G1400,SLATable[Priority],0))),"YES","NO"),"")</f>
        <v/>
      </c>
      <c r="AJ1400" s="28" t="str">
        <f>_xlfn.IFNA(IF(AE1400 &lt; (INDEX(SLATable[Maximum SLA],MATCH(G1400,SLATable[Priority],0))),"YES","NO"),"")</f>
        <v/>
      </c>
    </row>
    <row r="1401" spans="26:36" ht="15" customHeight="1">
      <c r="Z1401" s="169" t="e">
        <f t="shared" ca="1" si="213"/>
        <v>#N/A</v>
      </c>
      <c r="AA1401" s="170" t="e">
        <f t="shared" ca="1" si="214"/>
        <v>#N/A</v>
      </c>
      <c r="AB1401" s="169">
        <f t="shared" ca="1" si="215"/>
        <v>0</v>
      </c>
      <c r="AC1401" s="170">
        <f t="shared" ca="1" si="216"/>
        <v>0</v>
      </c>
      <c r="AD1401" s="169">
        <f t="shared" ca="1" si="217"/>
        <v>12388.425641087964</v>
      </c>
      <c r="AE1401" s="169">
        <f t="shared" si="220"/>
        <v>0</v>
      </c>
      <c r="AF1401" s="170">
        <f t="shared" si="218"/>
        <v>0</v>
      </c>
      <c r="AG1401" s="170">
        <f t="shared" si="219"/>
        <v>0</v>
      </c>
      <c r="AH1401" s="28" t="e" cm="1">
        <f t="array" aca="1" ref="AH1401" ca="1">IF((AD1401) &lt; (INDEX(ResponseSLA[#All],(MATCH((G1401),ResponseSLA[Priority],0))+1,3)),"YES","No")</f>
        <v>#N/A</v>
      </c>
      <c r="AI1401" s="28" t="str">
        <f>_xlfn.IFNA(IF(AE1401 &lt; (INDEX(SLATable[Minimum SLA],MATCH(G1401,SLATable[Priority],0))),"YES","NO"),"")</f>
        <v/>
      </c>
      <c r="AJ1401" s="28" t="str">
        <f>_xlfn.IFNA(IF(AE1401 &lt; (INDEX(SLATable[Maximum SLA],MATCH(G1401,SLATable[Priority],0))),"YES","NO"),"")</f>
        <v/>
      </c>
    </row>
    <row r="1402" spans="26:36" ht="15" customHeight="1">
      <c r="Z1402" s="169" t="e">
        <f t="shared" ca="1" si="213"/>
        <v>#N/A</v>
      </c>
      <c r="AA1402" s="170" t="e">
        <f t="shared" ca="1" si="214"/>
        <v>#N/A</v>
      </c>
      <c r="AB1402" s="169">
        <f t="shared" ca="1" si="215"/>
        <v>0</v>
      </c>
      <c r="AC1402" s="170">
        <f t="shared" ca="1" si="216"/>
        <v>0</v>
      </c>
      <c r="AD1402" s="169">
        <f t="shared" ca="1" si="217"/>
        <v>12388.425641087964</v>
      </c>
      <c r="AE1402" s="169">
        <f t="shared" si="220"/>
        <v>0</v>
      </c>
      <c r="AF1402" s="170">
        <f t="shared" si="218"/>
        <v>0</v>
      </c>
      <c r="AG1402" s="170">
        <f t="shared" si="219"/>
        <v>0</v>
      </c>
      <c r="AH1402" s="28" t="e" cm="1">
        <f t="array" aca="1" ref="AH1402" ca="1">IF((AD1402) &lt; (INDEX(ResponseSLA[#All],(MATCH((G1402),ResponseSLA[Priority],0))+1,3)),"YES","No")</f>
        <v>#N/A</v>
      </c>
      <c r="AI1402" s="28" t="str">
        <f>_xlfn.IFNA(IF(AE1402 &lt; (INDEX(SLATable[Minimum SLA],MATCH(G1402,SLATable[Priority],0))),"YES","NO"),"")</f>
        <v/>
      </c>
      <c r="AJ1402" s="28" t="str">
        <f>_xlfn.IFNA(IF(AE1402 &lt; (INDEX(SLATable[Maximum SLA],MATCH(G1402,SLATable[Priority],0))),"YES","NO"),"")</f>
        <v/>
      </c>
    </row>
    <row r="1403" spans="26:36" ht="15" customHeight="1">
      <c r="Z1403" s="169" t="e">
        <f t="shared" ca="1" si="213"/>
        <v>#N/A</v>
      </c>
      <c r="AA1403" s="170" t="e">
        <f t="shared" ca="1" si="214"/>
        <v>#N/A</v>
      </c>
      <c r="AB1403" s="169">
        <f t="shared" ca="1" si="215"/>
        <v>0</v>
      </c>
      <c r="AC1403" s="170">
        <f t="shared" ca="1" si="216"/>
        <v>0</v>
      </c>
      <c r="AD1403" s="169">
        <f t="shared" ca="1" si="217"/>
        <v>12388.425641087964</v>
      </c>
      <c r="AE1403" s="169">
        <f t="shared" si="220"/>
        <v>0</v>
      </c>
      <c r="AF1403" s="170">
        <f t="shared" si="218"/>
        <v>0</v>
      </c>
      <c r="AG1403" s="170">
        <f t="shared" si="219"/>
        <v>0</v>
      </c>
      <c r="AH1403" s="28" t="e" cm="1">
        <f t="array" aca="1" ref="AH1403" ca="1">IF((AD1403) &lt; (INDEX(ResponseSLA[#All],(MATCH((G1403),ResponseSLA[Priority],0))+1,3)),"YES","No")</f>
        <v>#N/A</v>
      </c>
      <c r="AI1403" s="28" t="str">
        <f>_xlfn.IFNA(IF(AE1403 &lt; (INDEX(SLATable[Minimum SLA],MATCH(G1403,SLATable[Priority],0))),"YES","NO"),"")</f>
        <v/>
      </c>
      <c r="AJ1403" s="28" t="str">
        <f>_xlfn.IFNA(IF(AE1403 &lt; (INDEX(SLATable[Maximum SLA],MATCH(G1403,SLATable[Priority],0))),"YES","NO"),"")</f>
        <v/>
      </c>
    </row>
    <row r="1404" spans="26:36" ht="15" customHeight="1">
      <c r="Z1404" s="169" t="e">
        <f t="shared" ca="1" si="213"/>
        <v>#N/A</v>
      </c>
      <c r="AA1404" s="170" t="e">
        <f t="shared" ca="1" si="214"/>
        <v>#N/A</v>
      </c>
      <c r="AB1404" s="169">
        <f t="shared" ca="1" si="215"/>
        <v>0</v>
      </c>
      <c r="AC1404" s="170">
        <f t="shared" ca="1" si="216"/>
        <v>0</v>
      </c>
      <c r="AD1404" s="169">
        <f t="shared" ca="1" si="217"/>
        <v>12388.425641087964</v>
      </c>
      <c r="AE1404" s="169">
        <f t="shared" si="220"/>
        <v>0</v>
      </c>
      <c r="AF1404" s="170">
        <f t="shared" si="218"/>
        <v>0</v>
      </c>
      <c r="AG1404" s="170">
        <f t="shared" si="219"/>
        <v>0</v>
      </c>
      <c r="AH1404" s="28" t="e" cm="1">
        <f t="array" aca="1" ref="AH1404" ca="1">IF((AD1404) &lt; (INDEX(ResponseSLA[#All],(MATCH((G1404),ResponseSLA[Priority],0))+1,3)),"YES","No")</f>
        <v>#N/A</v>
      </c>
      <c r="AI1404" s="28" t="str">
        <f>_xlfn.IFNA(IF(AE1404 &lt; (INDEX(SLATable[Minimum SLA],MATCH(G1404,SLATable[Priority],0))),"YES","NO"),"")</f>
        <v/>
      </c>
      <c r="AJ1404" s="28" t="str">
        <f>_xlfn.IFNA(IF(AE1404 &lt; (INDEX(SLATable[Maximum SLA],MATCH(G1404,SLATable[Priority],0))),"YES","NO"),"")</f>
        <v/>
      </c>
    </row>
    <row r="1405" spans="26:36" ht="15" customHeight="1">
      <c r="Z1405" s="169" t="e">
        <f t="shared" ca="1" si="213"/>
        <v>#N/A</v>
      </c>
      <c r="AA1405" s="170" t="e">
        <f t="shared" ca="1" si="214"/>
        <v>#N/A</v>
      </c>
      <c r="AB1405" s="169">
        <f t="shared" ca="1" si="215"/>
        <v>0</v>
      </c>
      <c r="AC1405" s="170">
        <f t="shared" ca="1" si="216"/>
        <v>0</v>
      </c>
      <c r="AD1405" s="169">
        <f t="shared" ca="1" si="217"/>
        <v>12388.425641087964</v>
      </c>
      <c r="AE1405" s="169">
        <f t="shared" si="220"/>
        <v>0</v>
      </c>
      <c r="AF1405" s="170">
        <f t="shared" si="218"/>
        <v>0</v>
      </c>
      <c r="AG1405" s="170">
        <f t="shared" si="219"/>
        <v>0</v>
      </c>
      <c r="AH1405" s="28" t="e" cm="1">
        <f t="array" aca="1" ref="AH1405" ca="1">IF((AD1405) &lt; (INDEX(ResponseSLA[#All],(MATCH((G1405),ResponseSLA[Priority],0))+1,3)),"YES","No")</f>
        <v>#N/A</v>
      </c>
      <c r="AI1405" s="28" t="str">
        <f>_xlfn.IFNA(IF(AE1405 &lt; (INDEX(SLATable[Minimum SLA],MATCH(G1405,SLATable[Priority],0))),"YES","NO"),"")</f>
        <v/>
      </c>
      <c r="AJ1405" s="28" t="str">
        <f>_xlfn.IFNA(IF(AE1405 &lt; (INDEX(SLATable[Maximum SLA],MATCH(G1405,SLATable[Priority],0))),"YES","NO"),"")</f>
        <v/>
      </c>
    </row>
    <row r="1406" spans="26:36" ht="15" customHeight="1">
      <c r="Z1406" s="169" t="e">
        <f t="shared" ca="1" si="213"/>
        <v>#N/A</v>
      </c>
      <c r="AA1406" s="170" t="e">
        <f t="shared" ca="1" si="214"/>
        <v>#N/A</v>
      </c>
      <c r="AB1406" s="169">
        <f t="shared" ca="1" si="215"/>
        <v>0</v>
      </c>
      <c r="AC1406" s="170">
        <f t="shared" ca="1" si="216"/>
        <v>0</v>
      </c>
      <c r="AD1406" s="169">
        <f t="shared" ca="1" si="217"/>
        <v>12388.425641087964</v>
      </c>
      <c r="AE1406" s="169">
        <f t="shared" si="220"/>
        <v>0</v>
      </c>
      <c r="AF1406" s="170">
        <f t="shared" si="218"/>
        <v>0</v>
      </c>
      <c r="AG1406" s="170">
        <f t="shared" si="219"/>
        <v>0</v>
      </c>
      <c r="AH1406" s="28" t="e" cm="1">
        <f t="array" aca="1" ref="AH1406" ca="1">IF((AD1406) &lt; (INDEX(ResponseSLA[#All],(MATCH((G1406),ResponseSLA[Priority],0))+1,3)),"YES","No")</f>
        <v>#N/A</v>
      </c>
      <c r="AI1406" s="28" t="str">
        <f>_xlfn.IFNA(IF(AE1406 &lt; (INDEX(SLATable[Minimum SLA],MATCH(G1406,SLATable[Priority],0))),"YES","NO"),"")</f>
        <v/>
      </c>
      <c r="AJ1406" s="28" t="str">
        <f>_xlfn.IFNA(IF(AE1406 &lt; (INDEX(SLATable[Maximum SLA],MATCH(G1406,SLATable[Priority],0))),"YES","NO"),"")</f>
        <v/>
      </c>
    </row>
    <row r="1407" spans="26:36" ht="15" customHeight="1">
      <c r="Z1407" s="169" t="e">
        <f t="shared" ca="1" si="213"/>
        <v>#N/A</v>
      </c>
      <c r="AA1407" s="170" t="e">
        <f t="shared" ca="1" si="214"/>
        <v>#N/A</v>
      </c>
      <c r="AB1407" s="169">
        <f t="shared" ca="1" si="215"/>
        <v>0</v>
      </c>
      <c r="AC1407" s="170">
        <f t="shared" ca="1" si="216"/>
        <v>0</v>
      </c>
      <c r="AD1407" s="169">
        <f t="shared" ca="1" si="217"/>
        <v>12388.425641087964</v>
      </c>
      <c r="AE1407" s="169">
        <f t="shared" si="220"/>
        <v>0</v>
      </c>
      <c r="AF1407" s="170">
        <f t="shared" si="218"/>
        <v>0</v>
      </c>
      <c r="AG1407" s="170">
        <f t="shared" si="219"/>
        <v>0</v>
      </c>
      <c r="AH1407" s="28" t="e" cm="1">
        <f t="array" aca="1" ref="AH1407" ca="1">IF((AD1407) &lt; (INDEX(ResponseSLA[#All],(MATCH((G1407),ResponseSLA[Priority],0))+1,3)),"YES","No")</f>
        <v>#N/A</v>
      </c>
      <c r="AI1407" s="28" t="str">
        <f>_xlfn.IFNA(IF(AE1407 &lt; (INDEX(SLATable[Minimum SLA],MATCH(G1407,SLATable[Priority],0))),"YES","NO"),"")</f>
        <v/>
      </c>
      <c r="AJ1407" s="28" t="str">
        <f>_xlfn.IFNA(IF(AE1407 &lt; (INDEX(SLATable[Maximum SLA],MATCH(G1407,SLATable[Priority],0))),"YES","NO"),"")</f>
        <v/>
      </c>
    </row>
    <row r="1408" spans="26:36" ht="15" customHeight="1">
      <c r="Z1408" s="169" t="e">
        <f t="shared" ca="1" si="213"/>
        <v>#N/A</v>
      </c>
      <c r="AA1408" s="170" t="e">
        <f t="shared" ca="1" si="214"/>
        <v>#N/A</v>
      </c>
      <c r="AB1408" s="169">
        <f t="shared" ca="1" si="215"/>
        <v>0</v>
      </c>
      <c r="AC1408" s="170">
        <f t="shared" ca="1" si="216"/>
        <v>0</v>
      </c>
      <c r="AD1408" s="169">
        <f t="shared" ca="1" si="217"/>
        <v>12388.425641087964</v>
      </c>
      <c r="AE1408" s="169">
        <f t="shared" si="220"/>
        <v>0</v>
      </c>
      <c r="AF1408" s="170">
        <f t="shared" si="218"/>
        <v>0</v>
      </c>
      <c r="AG1408" s="170">
        <f t="shared" si="219"/>
        <v>0</v>
      </c>
      <c r="AH1408" s="28" t="e" cm="1">
        <f t="array" aca="1" ref="AH1408" ca="1">IF((AD1408) &lt; (INDEX(ResponseSLA[#All],(MATCH((G1408),ResponseSLA[Priority],0))+1,3)),"YES","No")</f>
        <v>#N/A</v>
      </c>
      <c r="AI1408" s="28" t="str">
        <f>_xlfn.IFNA(IF(AE1408 &lt; (INDEX(SLATable[Minimum SLA],MATCH(G1408,SLATable[Priority],0))),"YES","NO"),"")</f>
        <v/>
      </c>
      <c r="AJ1408" s="28" t="str">
        <f>_xlfn.IFNA(IF(AE1408 &lt; (INDEX(SLATable[Maximum SLA],MATCH(G1408,SLATable[Priority],0))),"YES","NO"),"")</f>
        <v/>
      </c>
    </row>
    <row r="1409" spans="5:36" ht="15" customHeight="1">
      <c r="Z1409" s="169" t="e">
        <f t="shared" ca="1" si="213"/>
        <v>#N/A</v>
      </c>
      <c r="AA1409" s="170" t="e">
        <f t="shared" ca="1" si="214"/>
        <v>#N/A</v>
      </c>
      <c r="AB1409" s="169">
        <f t="shared" ca="1" si="215"/>
        <v>0</v>
      </c>
      <c r="AC1409" s="170">
        <f t="shared" ca="1" si="216"/>
        <v>0</v>
      </c>
      <c r="AD1409" s="169">
        <f t="shared" ca="1" si="217"/>
        <v>12388.425641087964</v>
      </c>
      <c r="AE1409" s="169">
        <f t="shared" si="220"/>
        <v>0</v>
      </c>
      <c r="AF1409" s="170">
        <f t="shared" si="218"/>
        <v>0</v>
      </c>
      <c r="AG1409" s="170">
        <f t="shared" si="219"/>
        <v>0</v>
      </c>
      <c r="AH1409" s="28" t="e" cm="1">
        <f t="array" aca="1" ref="AH1409" ca="1">IF((AD1409) &lt; (INDEX(ResponseSLA[#All],(MATCH((G1409),ResponseSLA[Priority],0))+1,3)),"YES","No")</f>
        <v>#N/A</v>
      </c>
      <c r="AI1409" s="28" t="str">
        <f>_xlfn.IFNA(IF(AE1409 &lt; (INDEX(SLATable[Minimum SLA],MATCH(G1409,SLATable[Priority],0))),"YES","NO"),"")</f>
        <v/>
      </c>
      <c r="AJ1409" s="28" t="str">
        <f>_xlfn.IFNA(IF(AE1409 &lt; (INDEX(SLATable[Maximum SLA],MATCH(G1409,SLATable[Priority],0))),"YES","NO"),"")</f>
        <v/>
      </c>
    </row>
    <row r="1410" spans="5:36" ht="15" customHeight="1">
      <c r="Z1410" s="169" t="e">
        <f t="shared" ca="1" si="213"/>
        <v>#N/A</v>
      </c>
      <c r="AA1410" s="170" t="e">
        <f t="shared" ca="1" si="214"/>
        <v>#N/A</v>
      </c>
      <c r="AB1410" s="169">
        <f t="shared" ca="1" si="215"/>
        <v>0</v>
      </c>
      <c r="AC1410" s="170">
        <f t="shared" ca="1" si="216"/>
        <v>0</v>
      </c>
      <c r="AD1410" s="169">
        <f t="shared" ca="1" si="217"/>
        <v>12388.425641087964</v>
      </c>
      <c r="AE1410" s="169">
        <f t="shared" si="220"/>
        <v>0</v>
      </c>
      <c r="AF1410" s="170">
        <f t="shared" si="218"/>
        <v>0</v>
      </c>
      <c r="AG1410" s="170">
        <f t="shared" si="219"/>
        <v>0</v>
      </c>
      <c r="AH1410" s="28" t="e" cm="1">
        <f t="array" aca="1" ref="AH1410" ca="1">IF((AD1410) &lt; (INDEX(ResponseSLA[#All],(MATCH((G1410),ResponseSLA[Priority],0))+1,3)),"YES","No")</f>
        <v>#N/A</v>
      </c>
      <c r="AI1410" s="28" t="str">
        <f>_xlfn.IFNA(IF(AE1410 &lt; (INDEX(SLATable[Minimum SLA],MATCH(G1410,SLATable[Priority],0))),"YES","NO"),"")</f>
        <v/>
      </c>
      <c r="AJ1410" s="28" t="str">
        <f>_xlfn.IFNA(IF(AE1410 &lt; (INDEX(SLATable[Maximum SLA],MATCH(G1410,SLATable[Priority],0))),"YES","NO"),"")</f>
        <v/>
      </c>
    </row>
    <row r="1411" spans="5:36" ht="15" customHeight="1">
      <c r="Z1411" s="169" t="e">
        <f t="shared" ca="1" si="213"/>
        <v>#N/A</v>
      </c>
      <c r="AA1411" s="170" t="e">
        <f t="shared" ca="1" si="214"/>
        <v>#N/A</v>
      </c>
      <c r="AB1411" s="169">
        <f t="shared" ca="1" si="215"/>
        <v>0</v>
      </c>
      <c r="AC1411" s="170">
        <f t="shared" ca="1" si="216"/>
        <v>0</v>
      </c>
      <c r="AD1411" s="169">
        <f t="shared" ca="1" si="217"/>
        <v>12388.425641087964</v>
      </c>
      <c r="AE1411" s="169">
        <f t="shared" si="220"/>
        <v>0</v>
      </c>
      <c r="AF1411" s="170">
        <f t="shared" si="218"/>
        <v>0</v>
      </c>
      <c r="AG1411" s="170">
        <f t="shared" si="219"/>
        <v>0</v>
      </c>
      <c r="AH1411" s="28" t="e" cm="1">
        <f t="array" aca="1" ref="AH1411" ca="1">IF((AD1411) &lt; (INDEX(ResponseSLA[#All],(MATCH((G1411),ResponseSLA[Priority],0))+1,3)),"YES","No")</f>
        <v>#N/A</v>
      </c>
      <c r="AI1411" s="28" t="str">
        <f>_xlfn.IFNA(IF(AE1411 &lt; (INDEX(SLATable[Minimum SLA],MATCH(G1411,SLATable[Priority],0))),"YES","NO"),"")</f>
        <v/>
      </c>
      <c r="AJ1411" s="28" t="str">
        <f>_xlfn.IFNA(IF(AE1411 &lt; (INDEX(SLATable[Maximum SLA],MATCH(G1411,SLATable[Priority],0))),"YES","NO"),"")</f>
        <v/>
      </c>
    </row>
    <row r="1412" spans="5:36" ht="15" customHeight="1">
      <c r="Z1412" s="169" t="e">
        <f t="shared" ca="1" si="213"/>
        <v>#N/A</v>
      </c>
      <c r="AA1412" s="170" t="e">
        <f t="shared" ca="1" si="214"/>
        <v>#N/A</v>
      </c>
      <c r="AB1412" s="169">
        <f t="shared" ca="1" si="215"/>
        <v>0</v>
      </c>
      <c r="AC1412" s="170">
        <f t="shared" ca="1" si="216"/>
        <v>0</v>
      </c>
      <c r="AD1412" s="169">
        <f t="shared" ca="1" si="217"/>
        <v>12388.425641087964</v>
      </c>
      <c r="AE1412" s="169">
        <f t="shared" si="220"/>
        <v>0</v>
      </c>
      <c r="AF1412" s="170">
        <f t="shared" si="218"/>
        <v>0</v>
      </c>
      <c r="AG1412" s="170">
        <f t="shared" si="219"/>
        <v>0</v>
      </c>
      <c r="AH1412" s="28" t="e" cm="1">
        <f t="array" aca="1" ref="AH1412" ca="1">IF((AD1412) &lt; (INDEX(ResponseSLA[#All],(MATCH((G1412),ResponseSLA[Priority],0))+1,3)),"YES","No")</f>
        <v>#N/A</v>
      </c>
      <c r="AI1412" s="28" t="str">
        <f>_xlfn.IFNA(IF(AE1412 &lt; (INDEX(SLATable[Minimum SLA],MATCH(G1412,SLATable[Priority],0))),"YES","NO"),"")</f>
        <v/>
      </c>
      <c r="AJ1412" s="28" t="str">
        <f>_xlfn.IFNA(IF(AE1412 &lt; (INDEX(SLATable[Maximum SLA],MATCH(G1412,SLATable[Priority],0))),"YES","NO"),"")</f>
        <v/>
      </c>
    </row>
    <row r="1413" spans="5:36" ht="15" customHeight="1">
      <c r="Z1413" s="169" t="e">
        <f t="shared" ca="1" si="213"/>
        <v>#N/A</v>
      </c>
      <c r="AA1413" s="170" t="e">
        <f t="shared" ca="1" si="214"/>
        <v>#N/A</v>
      </c>
      <c r="AB1413" s="169">
        <f t="shared" ca="1" si="215"/>
        <v>0</v>
      </c>
      <c r="AC1413" s="170">
        <f t="shared" ca="1" si="216"/>
        <v>0</v>
      </c>
      <c r="AD1413" s="169">
        <f t="shared" ca="1" si="217"/>
        <v>12388.425641087964</v>
      </c>
      <c r="AE1413" s="169">
        <f t="shared" si="220"/>
        <v>0</v>
      </c>
      <c r="AF1413" s="170">
        <f t="shared" si="218"/>
        <v>0</v>
      </c>
      <c r="AG1413" s="170">
        <f t="shared" si="219"/>
        <v>0</v>
      </c>
      <c r="AH1413" s="28" t="e" cm="1">
        <f t="array" aca="1" ref="AH1413" ca="1">IF((AD1413) &lt; (INDEX(ResponseSLA[#All],(MATCH((G1413),ResponseSLA[Priority],0))+1,3)),"YES","No")</f>
        <v>#N/A</v>
      </c>
      <c r="AI1413" s="28" t="str">
        <f>_xlfn.IFNA(IF(AE1413 &lt; (INDEX(SLATable[Minimum SLA],MATCH(G1413,SLATable[Priority],0))),"YES","NO"),"")</f>
        <v/>
      </c>
      <c r="AJ1413" s="28" t="str">
        <f>_xlfn.IFNA(IF(AE1413 &lt; (INDEX(SLATable[Maximum SLA],MATCH(G1413,SLATable[Priority],0))),"YES","NO"),"")</f>
        <v/>
      </c>
    </row>
    <row r="1414" spans="5:36" ht="15" customHeight="1">
      <c r="E1414" s="205"/>
    </row>
    <row r="1415" spans="5:36" ht="15" customHeight="1">
      <c r="E1415" s="205"/>
    </row>
    <row r="1416" spans="5:36" ht="15" customHeight="1">
      <c r="E1416" s="205"/>
    </row>
    <row r="1417" spans="5:36" ht="15" customHeight="1">
      <c r="E1417" s="205"/>
    </row>
    <row r="1418" spans="5:36" ht="15" customHeight="1">
      <c r="E1418" s="205"/>
    </row>
    <row r="1419" spans="5:36" ht="15" customHeight="1">
      <c r="E1419" s="205"/>
    </row>
    <row r="1420" spans="5:36" ht="15" customHeight="1">
      <c r="E1420" s="205"/>
    </row>
    <row r="1421" spans="5:36" ht="15" customHeight="1">
      <c r="E1421" s="205"/>
    </row>
    <row r="1422" spans="5:36" ht="15" customHeight="1">
      <c r="E1422" s="205"/>
    </row>
    <row r="1423" spans="5:36" ht="15" customHeight="1">
      <c r="E1423" s="205"/>
    </row>
    <row r="1424" spans="5:36" ht="15" customHeight="1">
      <c r="E1424" s="205"/>
    </row>
    <row r="1425" spans="5:5" ht="15" customHeight="1">
      <c r="E1425" s="205"/>
    </row>
    <row r="1426" spans="5:5" ht="15" customHeight="1">
      <c r="E1426" s="205"/>
    </row>
    <row r="1427" spans="5:5" ht="15" customHeight="1">
      <c r="E1427" s="205"/>
    </row>
    <row r="1428" spans="5:5" ht="15" customHeight="1">
      <c r="E1428" s="205"/>
    </row>
    <row r="1429" spans="5:5" ht="15" customHeight="1">
      <c r="E1429" s="205"/>
    </row>
    <row r="1430" spans="5:5" ht="15" customHeight="1">
      <c r="E1430" s="205"/>
    </row>
    <row r="1431" spans="5:5" ht="15" customHeight="1">
      <c r="E1431" s="205"/>
    </row>
    <row r="1432" spans="5:5" ht="15" customHeight="1">
      <c r="E1432" s="205"/>
    </row>
    <row r="1433" spans="5:5" ht="15" customHeight="1">
      <c r="E1433" s="205"/>
    </row>
    <row r="1434" spans="5:5" ht="15" customHeight="1">
      <c r="E1434" s="205"/>
    </row>
    <row r="1435" spans="5:5" ht="15" customHeight="1">
      <c r="E1435" s="205"/>
    </row>
    <row r="1436" spans="5:5" ht="15" customHeight="1">
      <c r="E1436" s="205"/>
    </row>
  </sheetData>
  <sheetProtection sheet="1" objects="1" scenarios="1" autoFilter="0"/>
  <protectedRanges>
    <protectedRange algorithmName="SHA-512" hashValue="99OQ+VOyYeTgkyp5V2h7IJuhOY+ByGUUH4Kc0xKuZgn2w66Z/zb6NCagB6+bjIBmhadenmL7/H2PSKzd599e6Q==" saltValue="s8mGfn7WVHJZXEYeB6j8Yw==" spinCount="100000" sqref="U1" name="Formula Cells"/>
    <protectedRange algorithmName="SHA-512" hashValue="99OQ+VOyYeTgkyp5V2h7IJuhOY+ByGUUH4Kc0xKuZgn2w66Z/zb6NCagB6+bjIBmhadenmL7/H2PSKzd599e6Q==" saltValue="s8mGfn7WVHJZXEYeB6j8Yw==" spinCount="100000" sqref="AB1:AJ1" name="Formula Cells_1"/>
  </protectedRanges>
  <autoFilter ref="A1:AJ1413" xr:uid="{6EC26E55-4B85-44D6-909D-3E457DE8D04E}"/>
  <conditionalFormatting sqref="E1">
    <cfRule type="duplicateValues" dxfId="36" priority="2"/>
  </conditionalFormatting>
  <conditionalFormatting sqref="E1437:E1048576 E769:E771 E503:E572 E1:E63 E384 E360:E361 E451:E454 E470:E476 E441:E443 E67:E326 E574:E592 E618:E622 E632:E634 E777:E779 E788:E848 E854:E1413">
    <cfRule type="duplicateValues" dxfId="35" priority="53"/>
  </conditionalFormatting>
  <dataValidations count="13">
    <dataValidation type="list" allowBlank="1" showInputMessage="1" showErrorMessage="1" sqref="U1 T1:T68 T70:T112 T470:T483 T122:T171 T189:T454 T503:T1048576" xr:uid="{2B75E0F5-629B-4341-A323-4B4BFED4BF49}">
      <formula1>SubCategory</formula1>
    </dataValidation>
    <dataValidation type="date" allowBlank="1" showInputMessage="1" showErrorMessage="1" sqref="P3:P4 K1 L1:M2 L8:N8 L5:M6 O3:O5 N1:P1 M88:M89 L88:L90 N70:N75 K70:L75 L98 M83 L77:L84 L86:M86 L11:N67 N249 K250 K8:K67 N251 P275:P276 P270 N99:N112 K68:N68 M136:M152 M157:N158 M70:M80 M171 K139:K171 M271:M326 N163:N171 N160:N161 M160:M169 M153:N155 L250:L253 L255 M248:M252 L233:L239 M254:M269 L194:M206 K384:K385 L388:M391 N384:N387 K441:M441 N253:N345 K253:K326 L257:L326 L136:L171 K360:N361 K194:K248 N194:N247 L242:L246" xr:uid="{7979504E-B57F-4924-B2D2-BC90FD27E70E}">
      <formula1>36526</formula1>
      <formula2>73050</formula2>
    </dataValidation>
    <dataValidation allowBlank="1" showInputMessage="1" showErrorMessage="1" sqref="S1" xr:uid="{A7D69F25-A060-4F5C-91BD-E1AB6E370061}"/>
    <dataValidation allowBlank="1" showInputMessage="1" showErrorMessage="1" errorTitle="Assigned to" error="dont type idiot" sqref="J1:J5" xr:uid="{535472B6-6C41-4F4E-8740-B00F8B2A56D4}"/>
    <dataValidation type="list" allowBlank="1" showInputMessage="1" showErrorMessage="1" sqref="R1:R68 R70:R1048576" xr:uid="{6DD9C6E4-72CE-4F82-9805-D0ECB5EE3C67}">
      <formula1>Resolution_List</formula1>
    </dataValidation>
    <dataValidation type="list" allowBlank="1" showInputMessage="1" showErrorMessage="1" sqref="F70 F72:F75 F98 F1:F68 F153:F188 F470:F476 F451:F454 F109:F134 F400:F443 F360:F398 F194:F326 F797 F628 F484:F626 F769:F795 F630:F761 F799:F848 F854:F1048576" xr:uid="{913016F8-C868-4507-8E13-BB35880A79BB}">
      <formula1>Queue_List</formula1>
    </dataValidation>
    <dataValidation type="list" allowBlank="1" showInputMessage="1" showErrorMessage="1" sqref="E64:E66 D1:D63 D67:D68 D70:D125 G306 D127:D820 D824:D1048576" xr:uid="{52D2656F-612E-494B-9212-1E0689EAA6BF}">
      <formula1>Type_List</formula1>
    </dataValidation>
    <dataValidation type="list" showInputMessage="1" showErrorMessage="1" errorTitle="Invalid Domain" error="Please select value only from dropdown" sqref="C1:C68 C70:C1048576" xr:uid="{1C4EEDA5-EE37-4B9E-B31E-607EE8A28089}">
      <formula1>Domain_List</formula1>
    </dataValidation>
    <dataValidation type="list" allowBlank="1" showInputMessage="1" showErrorMessage="1" sqref="B1:B68 B70:B1048576" xr:uid="{B7DBBBAE-BBD7-4305-A013-F5D6FD9A1AA9}">
      <formula1>OpCo_List</formula1>
    </dataValidation>
    <dataValidation type="list" allowBlank="1" showInputMessage="1" showErrorMessage="1" sqref="I1:I68 I360:I443 I70:I326 I451:I1048576" xr:uid="{E4D94121-0ACC-45BE-A9C6-0C204D8A63DA}">
      <formula1>Status_List</formula1>
    </dataValidation>
    <dataValidation type="list" allowBlank="1" showInputMessage="1" showErrorMessage="1" sqref="S2:S106 S113:S1048576" xr:uid="{F927A238-C679-4B86-8C0F-3CF7079C3A15}">
      <formula1>IF(D2="","",INDIRECT(D2))</formula1>
    </dataValidation>
    <dataValidation type="list" showInputMessage="1" showErrorMessage="1" errorTitle="Invalid Entry" error="Please select a value in TYPE before entering Priority" sqref="G307:G335 G360:G476 G1:G305 D821:D823 G484:G848 G854:G1048576" xr:uid="{3E2C9382-E3FB-4E7A-B0D8-4C5E094A6212}">
      <formula1>IF(A1="","",INDIRECT(A1&amp;"_PR"))</formula1>
    </dataValidation>
    <dataValidation type="list" allowBlank="1" showInputMessage="1" showErrorMessage="1" sqref="U1:U1048576" xr:uid="{CBC0EFD3-D339-4E37-800F-49B98503E20E}">
      <formula1>"Yes,No"</formula1>
    </dataValidation>
  </dataValidations>
  <pageMargins left="0.7" right="0.7" top="0.75" bottom="0.75" header="0.3" footer="0.3"/>
  <pageSetup paperSize="9" orientation="portrait"/>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CDD68-C785-4941-93A4-977E2DE9FC38}">
  <sheetPr codeName="Sheet6" filterMode="1"/>
  <dimension ref="A1:AN1435"/>
  <sheetViews>
    <sheetView tabSelected="1" topLeftCell="N1" zoomScale="82" zoomScaleNormal="82" zoomScaleSheetLayoutView="30" workbookViewId="0">
      <pane ySplit="1" topLeftCell="A1420" activePane="bottomLeft" state="frozen"/>
      <selection pane="bottomLeft" activeCell="M1435" sqref="M1435"/>
    </sheetView>
  </sheetViews>
  <sheetFormatPr defaultColWidth="9.140625" defaultRowHeight="15" customHeight="1"/>
  <cols>
    <col min="1" max="1" width="6.42578125" style="46" customWidth="1"/>
    <col min="2" max="2" width="7.85546875" style="46" customWidth="1"/>
    <col min="3" max="3" width="9.42578125" style="46" customWidth="1"/>
    <col min="4" max="4" width="8.28515625" style="46" customWidth="1"/>
    <col min="5" max="5" width="18.42578125" style="46" customWidth="1"/>
    <col min="6" max="6" width="21.7109375" style="46" customWidth="1"/>
    <col min="7" max="7" width="10.85546875" style="114" customWidth="1"/>
    <col min="8" max="8" width="21" style="74" customWidth="1"/>
    <col min="9" max="9" width="14.7109375" style="114" customWidth="1"/>
    <col min="10" max="10" width="30.85546875" style="295" customWidth="1"/>
    <col min="11" max="11" width="20.140625" style="109" customWidth="1"/>
    <col min="12" max="12" width="20.140625" style="109" bestFit="1" customWidth="1"/>
    <col min="13" max="13" width="27" style="109" bestFit="1" customWidth="1"/>
    <col min="14" max="14" width="23.42578125" style="109" customWidth="1"/>
    <col min="15" max="15" width="21.42578125" style="109" customWidth="1"/>
    <col min="16" max="16" width="19" style="109" customWidth="1"/>
    <col min="17" max="17" width="17.140625" style="46" customWidth="1"/>
    <col min="18" max="18" width="11.85546875" style="46" customWidth="1"/>
    <col min="19" max="19" width="18.140625" style="46" customWidth="1"/>
    <col min="20" max="20" width="9.7109375" style="46" customWidth="1"/>
    <col min="21" max="21" width="10.42578125" style="46" customWidth="1"/>
    <col min="22" max="22" width="10.85546875" style="46" customWidth="1"/>
    <col min="23" max="23" width="8.42578125" style="46" customWidth="1"/>
    <col min="24" max="24" width="15.42578125" style="46" customWidth="1"/>
    <col min="25" max="25" width="10.42578125" style="46" customWidth="1"/>
    <col min="26" max="26" width="13.140625" style="31" customWidth="1"/>
    <col min="27" max="27" width="11.85546875" style="31" customWidth="1"/>
    <col min="28" max="28" width="15.28515625" style="31" customWidth="1"/>
    <col min="29" max="29" width="12.42578125" style="31" customWidth="1"/>
    <col min="30" max="30" width="12.28515625" style="112" customWidth="1"/>
    <col min="31" max="31" width="14.140625" style="31" customWidth="1"/>
    <col min="32" max="32" width="11" style="31" customWidth="1"/>
    <col min="33" max="33" width="10.140625" style="31" customWidth="1"/>
    <col min="34" max="34" width="12.85546875" style="31" customWidth="1"/>
    <col min="35" max="35" width="14.7109375" style="31" customWidth="1"/>
    <col min="36" max="36" width="13.85546875" style="31" customWidth="1"/>
    <col min="37" max="16383" width="9.140625" style="46"/>
    <col min="16384" max="16384" width="9.140625" style="46" bestFit="1" customWidth="1"/>
  </cols>
  <sheetData>
    <row r="1" spans="1:36" s="235" customFormat="1" ht="27.75" customHeight="1">
      <c r="A1" s="101" t="s">
        <v>347</v>
      </c>
      <c r="B1" s="101" t="s">
        <v>2</v>
      </c>
      <c r="C1" s="101" t="s">
        <v>3</v>
      </c>
      <c r="D1" s="101" t="s">
        <v>253</v>
      </c>
      <c r="E1" s="101" t="s">
        <v>348</v>
      </c>
      <c r="F1" s="43" t="s">
        <v>1</v>
      </c>
      <c r="G1" s="236" t="s">
        <v>324</v>
      </c>
      <c r="H1" s="101" t="s">
        <v>349</v>
      </c>
      <c r="I1" s="236" t="s">
        <v>254</v>
      </c>
      <c r="J1" s="290" t="s">
        <v>350</v>
      </c>
      <c r="K1" s="101" t="s">
        <v>351</v>
      </c>
      <c r="L1" s="101" t="s">
        <v>352</v>
      </c>
      <c r="M1" s="101" t="s">
        <v>353</v>
      </c>
      <c r="N1" s="101" t="s">
        <v>354</v>
      </c>
      <c r="O1" s="101" t="s">
        <v>355</v>
      </c>
      <c r="P1" s="101" t="s">
        <v>356</v>
      </c>
      <c r="Q1" s="101" t="s">
        <v>357</v>
      </c>
      <c r="R1" s="101" t="s">
        <v>358</v>
      </c>
      <c r="S1" s="101" t="s">
        <v>359</v>
      </c>
      <c r="T1" s="101" t="s">
        <v>258</v>
      </c>
      <c r="U1" s="101" t="s">
        <v>360</v>
      </c>
      <c r="V1" s="101" t="s">
        <v>361</v>
      </c>
      <c r="W1" s="101" t="s">
        <v>362</v>
      </c>
      <c r="X1" s="101" t="s">
        <v>363</v>
      </c>
      <c r="Y1" s="101" t="s">
        <v>364</v>
      </c>
      <c r="Z1" s="102" t="s">
        <v>82</v>
      </c>
      <c r="AA1" s="102" t="s">
        <v>2691</v>
      </c>
      <c r="AB1" s="102" t="s">
        <v>84</v>
      </c>
      <c r="AC1" s="102" t="s">
        <v>92</v>
      </c>
      <c r="AD1" s="103" t="s">
        <v>86</v>
      </c>
      <c r="AE1" s="102" t="s">
        <v>88</v>
      </c>
      <c r="AF1" s="102" t="s">
        <v>365</v>
      </c>
      <c r="AG1" s="102" t="s">
        <v>366</v>
      </c>
      <c r="AH1" s="102" t="s">
        <v>94</v>
      </c>
      <c r="AI1" s="102" t="s">
        <v>96</v>
      </c>
      <c r="AJ1" s="104" t="s">
        <v>98</v>
      </c>
    </row>
    <row r="2" spans="1:36" s="60" customFormat="1" ht="15" customHeight="1">
      <c r="A2" s="60">
        <v>1</v>
      </c>
      <c r="B2" s="60" t="s">
        <v>26</v>
      </c>
      <c r="C2" s="60" t="s">
        <v>54</v>
      </c>
      <c r="D2" s="60" t="s">
        <v>207</v>
      </c>
      <c r="E2" s="60" t="s">
        <v>2692</v>
      </c>
      <c r="F2" s="60" t="s">
        <v>53</v>
      </c>
      <c r="G2" s="105">
        <v>4</v>
      </c>
      <c r="H2" s="212" t="s">
        <v>2693</v>
      </c>
      <c r="I2" s="105" t="s">
        <v>271</v>
      </c>
      <c r="J2" s="291" t="s">
        <v>2694</v>
      </c>
      <c r="K2" s="106">
        <v>46162.194305555553</v>
      </c>
      <c r="L2" s="106">
        <v>46162.194305555553</v>
      </c>
      <c r="M2" s="106">
        <v>46162.29482638889</v>
      </c>
      <c r="N2" s="62">
        <v>46169.431446759256</v>
      </c>
      <c r="O2" s="106"/>
      <c r="P2" s="106"/>
      <c r="U2" s="60" t="s">
        <v>371</v>
      </c>
      <c r="Z2" s="107">
        <f t="shared" ref="Z2" ca="1" si="0">IF(NOT(OR(G2=1,G2=2)),MAX(0,_xlfn.IFS(AND(K2&lt;&gt;"",N2&lt;&gt;""),((MAX(NETWORKDAYS(K2,N2,UKBankHolidays)-1,0))*(TIME(17,0,0)-TIME(8,0,0))+IF(NETWORKDAYS(N2,N2,UKBankHolidays)&gt;0,MEDIAN(TIME(8,0,0),MOD(N2,1),TIME(17,0,0)),TIME(8,0,0))-IF(NETWORKDAYS(K2,K2,UKBankHolidays)&gt;0,MEDIAN(TIME(8,0,0),MOD(K2,1),TIME(17,0,0)),TIME(8,0,0)))-IF(AND(O2&lt;&gt;"",P2&lt;&gt;""),((MAX(NETWORKDAYS(O2,P2,UKBankHolidays)-1,0))*(TIME(17,0,0)-TIME(8,0,0))+IF(NETWORKDAYS(P2,P2,UKBankHolidays)&gt;0,MEDIAN(TIME(8,0,0),MOD(P2,1),TIME(17,0,0)),TIME(8,0,0))-IF(NETWORKDAYS(O2,O2,UKBankHolidays)&gt;0,MEDIAN(TIME(8,0,0),MOD(O2,1),TIME(17,0,0)),TIME(8,0,0))),0),AND(K2&lt;&gt;"",N2=""),((MAX(NETWORKDAYS(K2,NOW(),UKBankHolidays)-1,0))*(TIME(17,0,0)-TIME(8,0,0))+IF(NETWORKDAYS(NOW(),NOW(),UKBankHolidays)&gt;0,MEDIAN(TIME(8,0,0),MOD(NOW(),1),TIME(17,0,0)),TIME(8,0,0))-IF(NETWORKDAYS(K2,K2,UKBankHolidays)&gt;0,MEDIAN(TIME(8,0,0),MOD(K2,1),TIME(17,0,0)),TIME(8,0,0))))),IF(N2="",NOW()-K2,N2-K2))</f>
        <v>1.5981134259224445</v>
      </c>
      <c r="AA2" s="108">
        <f ca="1">(Z2*24)/9</f>
        <v>4.2616358024598524</v>
      </c>
      <c r="AB2" s="107">
        <f t="shared" ref="AB2" ca="1" si="1">IF(NOT(OR(G2=1,G2=2)),MAX(0,_xlfn.IFS(AND(K2&lt;&gt;"",N2&lt;&gt;""),(((MAX(NETWORKDAYS(L2,N2,UKBankHolidays)-1,0))*(TIME(17,0,0)-TIME(8,0,0)))+IF(NETWORKDAYS(N2,N2,UKBankHolidays)&gt;0,MEDIAN(TIME(8,0,0),MOD(N2,1),TIME(17,0,0)),TIME(8,0,0))-IF(NETWORKDAYS(L2,L2,UKBankHolidays)&gt;0,MEDIAN(TIME(8,0,0),MOD(L2,1),TIME(17,0,0)),TIME(8,0,0)))-IF(AND(O2&lt;&gt;"",P2&lt;&gt;""),(((MAX(NETWORKDAYS(O2,P2,UKBankHolidays)-1,0))*(TIME(17,0,0)-TIME(8,0,0)))+IF(NETWORKDAYS(P2,P2,UKBankHolidays)&gt;0,MEDIAN(TIME(8,0,0),MOD(P2,1),TIME(17,0,0)),TIME(8,0,0))-IF(NETWORKDAYS(O2,O2,UKBankHolidays)&gt;0,MEDIAN(TIME(8,0,0),MOD(O2,1),TIME(17,0,0)),TIME(8,0,0))),0),AND(L2&lt;&gt;"",N2="",O2=""),(((MAX(NETWORKDAYS(L2,NOW(),UKBankHolidays)-1,0))*(TIME(17,0,0)-TIME(8,0,0)))+IF(NETWORKDAYS(NOW(),NOW(),UKBankHolidays)&gt;0,MEDIAN(TIME(8,0,0),MOD(NOW(),1),TIME(17,0,0)),TIME(8,0,0))-IF(NETWORKDAYS(L2,L2,UKBankHolidays)&gt;0,MEDIAN(TIME(8,0,0),MOD(L2,1),TIME(17,0,0)),TIME(8,0,0)))-IF(AND(O2&lt;&gt;"",P2&lt;&gt;""),(((MAX(NETWORKDAYS(O2,P2,UKBankHolidays)-1,0))*(TIME(17,0,0)-TIME(8,0,0)))+IF(NETWORKDAYS(P2,P2,UKBankHolidays)&gt;0,MEDIAN(TIME(8,0,0),MOD(P2,1),TIME(17,0,0)),TIME(8,0,0))-IF(NETWORKDAYS(O2,O2,UKBankHolidays)&gt;0,MEDIAN(TIME(8,0,0),MOD(O2,1),TIME(17,0,0)),TIME(8,0,0))),0),AND(L2&lt;&gt;"",N2="",P2="",O2&lt;&gt;""),(((MAX(NETWORKDAYS(L2,O2,UKBankHolidays)-1,0))*(TIME(17,0,0)-TIME(8,0,0)))+IF(NETWORKDAYS(O2,O2,UKBankHolidays)&gt;0,MEDIAN(TIME(8,0,0),MOD(O2,1),TIME(17,0,0)),TIME(8,0,0))-IF(NETWORKDAYS(L2,L2,UKBankHolidays)&gt;0,MEDIAN(TIME(8,0,0),MOD(L2,1),TIME(17,0,0)),TIME(8,0,0))),ISBLANK(K2),"0")),IF(ISBLANK(N2),NOW()-L2,N2-L2))</f>
        <v>1.5981134259224445</v>
      </c>
      <c r="AC2" s="108">
        <f ca="1">(AB2*24)/9</f>
        <v>4.2616358024598524</v>
      </c>
      <c r="AD2" s="107">
        <f t="shared" ref="AD2:AD64" ca="1" si="2">MAX(0,
IF(
OR(G2=1,G2=2),
IF(M2&lt;&gt;"",M2-L2,NOW()-L2),
IF(
M2&lt;&gt;"",
IF(
INT(L2)=INT(M2),
IF(
NETWORKDAYS(L2,L2,UKBankHolidays)=0,
0,
MAX(
0,
MIN(MOD(M2,1),TIME(17,0,0))
-
MAX(MOD(L2,1),TIME(8,0,0))
)
),
MAX(
0,
IF(
NETWORKDAYS(L2,L2,UKBankHolidays)&gt;0,
TIME(17,0,0)-MAX(MOD(L2,1),TIME(8,0,0)),
0
)
)
+
MAX(
0,
NETWORKDAYS(INT(L2)+1,INT(M2)-1,UKBankHolidays)
*(TIME(17,0,0)-TIME(8,0,0))
)
+
MAX(
0,
IF(
NETWORKDAYS(M2,M2,UKBankHolidays)&gt;0,
MIN(MOD(M2,1),TIME(17,0,0))-TIME(8,0,0),
0
)
)
),
IF(M2&lt;&gt;"",M2-L2,NOW()-L2)
)
)
)</f>
        <v>0</v>
      </c>
      <c r="AE2" s="107">
        <f t="shared" ref="AE2:AE65" ca="1" si="3">SUMIFS(AB:AB,E:E,E2)</f>
        <v>1.5981134259224445</v>
      </c>
      <c r="AF2" s="108">
        <f ca="1">(AE2*24)/9</f>
        <v>4.2616358024598524</v>
      </c>
      <c r="AG2" s="108">
        <f t="shared" ref="AG2:AG255" ca="1" si="4">AF2</f>
        <v>4.2616358024598524</v>
      </c>
      <c r="AH2" s="61" t="str" cm="1">
        <f t="array" aca="1" ref="AH2" ca="1">IF((AD2) &lt; (INDEX(ResponseSLA[#All],(MATCH((G2),ResponseSLA[Priority],0))+1,3)),"YES","No")</f>
        <v>YES</v>
      </c>
      <c r="AI2" s="61" t="str">
        <f ca="1">_xlfn.IFNA(IF(AE2 &lt; (INDEX(SLATable[Minimum SLA],MATCH(G2,SLATable[Priority],0))),"YES","NO"),"")</f>
        <v>YES</v>
      </c>
      <c r="AJ2" s="61" t="str">
        <f ca="1">_xlfn.IFNA(IF(AE2 &lt; (INDEX(SLATable[Maximum SLA],MATCH(G2,SLATable[Priority],0))),"YES","NO"),"")</f>
        <v>YES</v>
      </c>
    </row>
    <row r="3" spans="1:36" s="60" customFormat="1" ht="15" customHeight="1">
      <c r="A3" s="60">
        <v>2</v>
      </c>
      <c r="B3" s="60" t="s">
        <v>26</v>
      </c>
      <c r="C3" s="60" t="s">
        <v>54</v>
      </c>
      <c r="D3" s="60" t="s">
        <v>207</v>
      </c>
      <c r="E3" s="60" t="s">
        <v>2695</v>
      </c>
      <c r="F3" s="60" t="s">
        <v>53</v>
      </c>
      <c r="G3" s="105">
        <v>3</v>
      </c>
      <c r="H3" s="212" t="s">
        <v>2696</v>
      </c>
      <c r="I3" s="105" t="s">
        <v>271</v>
      </c>
      <c r="J3" s="291" t="s">
        <v>2697</v>
      </c>
      <c r="K3" s="106">
        <v>46161.67391203704</v>
      </c>
      <c r="L3" s="106">
        <v>46162.194305555553</v>
      </c>
      <c r="M3" s="106">
        <v>46162.296041666668</v>
      </c>
      <c r="N3" s="106">
        <v>46175.750208333331</v>
      </c>
      <c r="O3" s="106"/>
      <c r="P3" s="106"/>
      <c r="U3" s="60" t="s">
        <v>371</v>
      </c>
      <c r="Z3" s="107">
        <f t="shared" ref="Z3:Z65" ca="1" si="5">IF(NOT(OR(G3=1,G3=2)),MAX(0,_xlfn.IFS(AND(K3&lt;&gt;"",N3&lt;&gt;""),((MAX(NETWORKDAYS(K3,N3,UKBankHolidays)-1,0))*(TIME(17,0,0)-TIME(8,0,0))+IF(NETWORKDAYS(N3,N3,UKBankHolidays)&gt;0,MEDIAN(TIME(8,0,0),MOD(N3,1),TIME(17,0,0)),TIME(8,0,0))-IF(NETWORKDAYS(K3,K3,UKBankHolidays)&gt;0,MEDIAN(TIME(8,0,0),MOD(K3,1),TIME(17,0,0)),TIME(8,0,0)))-IF(AND(O3&lt;&gt;"",P3&lt;&gt;""),((MAX(NETWORKDAYS(O3,P3,UKBankHolidays)-1,0))*(TIME(17,0,0)-TIME(8,0,0))+IF(NETWORKDAYS(P3,P3,UKBankHolidays)&gt;0,MEDIAN(TIME(8,0,0),MOD(P3,1),TIME(17,0,0)),TIME(8,0,0))-IF(NETWORKDAYS(O3,O3,UKBankHolidays)&gt;0,MEDIAN(TIME(8,0,0),MOD(O3,1),TIME(17,0,0)),TIME(8,0,0))),0),AND(K3&lt;&gt;"",N3=""),((MAX(NETWORKDAYS(K3,NOW(),UKBankHolidays)-1,0))*(TIME(17,0,0)-TIME(8,0,0))+IF(NETWORKDAYS(NOW(),NOW(),UKBankHolidays)&gt;0,MEDIAN(TIME(8,0,0),MOD(NOW(),1),TIME(17,0,0)),TIME(8,0,0))-IF(NETWORKDAYS(K3,K3,UKBankHolidays)&gt;0,MEDIAN(TIME(8,0,0),MOD(K3,1),TIME(17,0,0)),TIME(8,0,0))))),IF(N3="",NOW()-K3,N3-K3))</f>
        <v>3.4094212962930524</v>
      </c>
      <c r="AA3" s="108">
        <f t="shared" ref="AA3:AA65" ca="1" si="6">(Z3*24)/9</f>
        <v>9.0917901234481402</v>
      </c>
      <c r="AB3" s="107">
        <f t="shared" ref="AB3:AB65" ca="1" si="7">IF(NOT(OR(G3=1,G3=2)),MAX(0,_xlfn.IFS(AND(K3&lt;&gt;"",N3&lt;&gt;""),(((MAX(NETWORKDAYS(L3,N3,UKBankHolidays)-1,0))*(TIME(17,0,0)-TIME(8,0,0)))+IF(NETWORKDAYS(N3,N3,UKBankHolidays)&gt;0,MEDIAN(TIME(8,0,0),MOD(N3,1),TIME(17,0,0)),TIME(8,0,0))-IF(NETWORKDAYS(L3,L3,UKBankHolidays)&gt;0,MEDIAN(TIME(8,0,0),MOD(L3,1),TIME(17,0,0)),TIME(8,0,0)))-IF(AND(O3&lt;&gt;"",P3&lt;&gt;""),(((MAX(NETWORKDAYS(O3,P3,UKBankHolidays)-1,0))*(TIME(17,0,0)-TIME(8,0,0)))+IF(NETWORKDAYS(P3,P3,UKBankHolidays)&gt;0,MEDIAN(TIME(8,0,0),MOD(P3,1),TIME(17,0,0)),TIME(8,0,0))-IF(NETWORKDAYS(O3,O3,UKBankHolidays)&gt;0,MEDIAN(TIME(8,0,0),MOD(O3,1),TIME(17,0,0)),TIME(8,0,0))),0),AND(L3&lt;&gt;"",N3="",O3=""),(((MAX(NETWORKDAYS(L3,NOW(),UKBankHolidays)-1,0))*(TIME(17,0,0)-TIME(8,0,0)))+IF(NETWORKDAYS(NOW(),NOW(),UKBankHolidays)&gt;0,MEDIAN(TIME(8,0,0),MOD(NOW(),1),TIME(17,0,0)),TIME(8,0,0))-IF(NETWORKDAYS(L3,L3,UKBankHolidays)&gt;0,MEDIAN(TIME(8,0,0),MOD(L3,1),TIME(17,0,0)),TIME(8,0,0)))-IF(AND(O3&lt;&gt;"",P3&lt;&gt;""),(((MAX(NETWORKDAYS(O3,P3,UKBankHolidays)-1,0))*(TIME(17,0,0)-TIME(8,0,0)))+IF(NETWORKDAYS(P3,P3,UKBankHolidays)&gt;0,MEDIAN(TIME(8,0,0),MOD(P3,1),TIME(17,0,0)),TIME(8,0,0))-IF(NETWORKDAYS(O3,O3,UKBankHolidays)&gt;0,MEDIAN(TIME(8,0,0),MOD(O3,1),TIME(17,0,0)),TIME(8,0,0))),0),AND(L3&lt;&gt;"",N3="",P3="",O3&lt;&gt;""),(((MAX(NETWORKDAYS(L3,O3,UKBankHolidays)-1,0))*(TIME(17,0,0)-TIME(8,0,0)))+IF(NETWORKDAYS(O3,O3,UKBankHolidays)&gt;0,MEDIAN(TIME(8,0,0),MOD(O3,1),TIME(17,0,0)),TIME(8,0,0))-IF(NETWORKDAYS(L3,L3,UKBankHolidays)&gt;0,MEDIAN(TIME(8,0,0),MOD(L3,1),TIME(17,0,0)),TIME(8,0,0))),ISBLANK(K3),"0")),IF(ISBLANK(N3),NOW()-L3,N3-L3))</f>
        <v>3.3750000000000004</v>
      </c>
      <c r="AC3" s="108">
        <f t="shared" ref="AC3:AC65" ca="1" si="8">(AB3*24)/9</f>
        <v>9.0000000000000018</v>
      </c>
      <c r="AD3" s="107">
        <f t="shared" ca="1" si="2"/>
        <v>0</v>
      </c>
      <c r="AE3" s="107">
        <f t="shared" ca="1" si="3"/>
        <v>3.3750000000000004</v>
      </c>
      <c r="AF3" s="108">
        <f t="shared" ref="AF3:AF65" ca="1" si="9">(AE3*24)/9</f>
        <v>9.0000000000000018</v>
      </c>
      <c r="AG3" s="108">
        <f t="shared" ca="1" si="4"/>
        <v>9.0000000000000018</v>
      </c>
      <c r="AH3" s="61" t="str" cm="1">
        <f t="array" aca="1" ref="AH3" ca="1">IF((AD3) &lt; (INDEX(ResponseSLA[#All],(MATCH((G3),ResponseSLA[Priority],0))+1,3)),"YES","No")</f>
        <v>YES</v>
      </c>
      <c r="AI3" s="61" t="str">
        <f ca="1">_xlfn.IFNA(IF(AE3 &lt; (INDEX(SLATable[Minimum SLA],MATCH(G3,SLATable[Priority],0))),"YES","NO"),"")</f>
        <v>NO</v>
      </c>
      <c r="AJ3" s="61" t="str">
        <f ca="1">_xlfn.IFNA(IF(AE3 &lt; (INDEX(SLATable[Maximum SLA],MATCH(G3,SLATable[Priority],0))),"YES","NO"),"")</f>
        <v>NO</v>
      </c>
    </row>
    <row r="4" spans="1:36" s="60" customFormat="1" ht="15" customHeight="1">
      <c r="A4" s="60">
        <v>3</v>
      </c>
      <c r="B4" s="60" t="s">
        <v>26</v>
      </c>
      <c r="C4" s="60" t="s">
        <v>54</v>
      </c>
      <c r="D4" s="60" t="s">
        <v>207</v>
      </c>
      <c r="E4" s="60" t="s">
        <v>2698</v>
      </c>
      <c r="F4" s="60" t="s">
        <v>53</v>
      </c>
      <c r="G4" s="105">
        <v>3</v>
      </c>
      <c r="H4" s="212" t="s">
        <v>2699</v>
      </c>
      <c r="I4" s="105" t="s">
        <v>260</v>
      </c>
      <c r="J4" s="291" t="s">
        <v>2700</v>
      </c>
      <c r="K4" s="106">
        <v>46162.425844907404</v>
      </c>
      <c r="L4" s="106">
        <v>46162.425856481481</v>
      </c>
      <c r="M4" s="106">
        <v>46162.442442129628</v>
      </c>
      <c r="N4" s="106"/>
      <c r="O4" s="106"/>
      <c r="P4" s="106"/>
      <c r="U4" s="60" t="s">
        <v>371</v>
      </c>
      <c r="Z4" s="107">
        <f t="shared" ca="1" si="5"/>
        <v>25.708131597224568</v>
      </c>
      <c r="AA4" s="108">
        <f t="shared" ca="1" si="6"/>
        <v>68.555017592598858</v>
      </c>
      <c r="AB4" s="107">
        <f t="shared" ca="1" si="7"/>
        <v>25.708120023147789</v>
      </c>
      <c r="AC4" s="108">
        <f t="shared" ca="1" si="8"/>
        <v>68.554986728394113</v>
      </c>
      <c r="AD4" s="107">
        <f t="shared" ca="1" si="2"/>
        <v>1.6585648147156462E-2</v>
      </c>
      <c r="AE4" s="107">
        <f t="shared" ca="1" si="3"/>
        <v>25.708120023147789</v>
      </c>
      <c r="AF4" s="108">
        <f t="shared" ca="1" si="9"/>
        <v>68.554986728394113</v>
      </c>
      <c r="AG4" s="108">
        <f t="shared" ca="1" si="4"/>
        <v>68.554986728394113</v>
      </c>
      <c r="AH4" s="61" t="str" cm="1">
        <f t="array" aca="1" ref="AH4" ca="1">IF((AD4) &lt; (INDEX(ResponseSLA[#All],(MATCH((G4),ResponseSLA[Priority],0))+1,3)),"YES","No")</f>
        <v>YES</v>
      </c>
      <c r="AI4" s="61" t="str">
        <f ca="1">_xlfn.IFNA(IF(AE4 &lt; (INDEX(SLATable[Minimum SLA],MATCH(G4,SLATable[Priority],0))),"YES","NO"),"")</f>
        <v>NO</v>
      </c>
      <c r="AJ4" s="61" t="str">
        <f ca="1">_xlfn.IFNA(IF(AE4 &lt; (INDEX(SLATable[Maximum SLA],MATCH(G4,SLATable[Priority],0))),"YES","NO"),"")</f>
        <v>NO</v>
      </c>
    </row>
    <row r="5" spans="1:36" s="60" customFormat="1" ht="15" customHeight="1">
      <c r="A5" s="60">
        <v>4</v>
      </c>
      <c r="B5" s="60" t="s">
        <v>26</v>
      </c>
      <c r="C5" s="60" t="s">
        <v>54</v>
      </c>
      <c r="D5" s="60" t="s">
        <v>207</v>
      </c>
      <c r="E5" s="60" t="s">
        <v>2701</v>
      </c>
      <c r="F5" s="60" t="s">
        <v>53</v>
      </c>
      <c r="G5" s="105">
        <v>3</v>
      </c>
      <c r="H5" s="212" t="s">
        <v>2702</v>
      </c>
      <c r="I5" s="105" t="s">
        <v>271</v>
      </c>
      <c r="J5" s="291" t="s">
        <v>2703</v>
      </c>
      <c r="K5" s="106">
        <v>46162.419918981483</v>
      </c>
      <c r="L5" s="106">
        <v>46162.419918981483</v>
      </c>
      <c r="M5" s="106">
        <v>46162.441053240742</v>
      </c>
      <c r="N5" s="106">
        <v>46164.632210648146</v>
      </c>
      <c r="O5" s="106">
        <v>46162.479479166665</v>
      </c>
      <c r="P5" s="106"/>
      <c r="U5" s="60" t="s">
        <v>371</v>
      </c>
      <c r="Z5" s="107">
        <f t="shared" ca="1" si="5"/>
        <v>0.96229166666307719</v>
      </c>
      <c r="AA5" s="108">
        <f t="shared" ca="1" si="6"/>
        <v>2.5661111111015393</v>
      </c>
      <c r="AB5" s="107">
        <f t="shared" ca="1" si="7"/>
        <v>0.96229166666307719</v>
      </c>
      <c r="AC5" s="108">
        <f t="shared" ca="1" si="8"/>
        <v>2.5661111111015393</v>
      </c>
      <c r="AD5" s="107">
        <f t="shared" ca="1" si="2"/>
        <v>2.1134259259270038E-2</v>
      </c>
      <c r="AE5" s="107">
        <f t="shared" ca="1" si="3"/>
        <v>0.96229166666307719</v>
      </c>
      <c r="AF5" s="108">
        <f t="shared" ca="1" si="9"/>
        <v>2.5661111111015393</v>
      </c>
      <c r="AG5" s="108">
        <f t="shared" ca="1" si="4"/>
        <v>2.5661111111015393</v>
      </c>
      <c r="AH5" s="61" t="str" cm="1">
        <f t="array" aca="1" ref="AH5" ca="1">IF((AD5) &lt; (INDEX(ResponseSLA[#All],(MATCH((G5),ResponseSLA[Priority],0))+1,3)),"YES","No")</f>
        <v>YES</v>
      </c>
      <c r="AI5" s="61" t="str">
        <f ca="1">_xlfn.IFNA(IF(AE5 &lt; (INDEX(SLATable[Minimum SLA],MATCH(G5,SLATable[Priority],0))),"YES","NO"),"")</f>
        <v>NO</v>
      </c>
      <c r="AJ5" s="61" t="str">
        <f ca="1">_xlfn.IFNA(IF(AE5 &lt; (INDEX(SLATable[Maximum SLA],MATCH(G5,SLATable[Priority],0))),"YES","NO"),"")</f>
        <v>YES</v>
      </c>
    </row>
    <row r="6" spans="1:36" s="60" customFormat="1" ht="15" customHeight="1">
      <c r="A6" s="60">
        <v>5</v>
      </c>
      <c r="B6" s="60" t="s">
        <v>26</v>
      </c>
      <c r="C6" s="60" t="s">
        <v>54</v>
      </c>
      <c r="D6" s="60" t="s">
        <v>207</v>
      </c>
      <c r="E6" s="60" t="s">
        <v>2704</v>
      </c>
      <c r="F6" s="60" t="s">
        <v>53</v>
      </c>
      <c r="G6" s="105">
        <v>3</v>
      </c>
      <c r="H6" s="212" t="s">
        <v>2705</v>
      </c>
      <c r="I6" s="105" t="s">
        <v>260</v>
      </c>
      <c r="J6" s="291" t="s">
        <v>2700</v>
      </c>
      <c r="K6" s="106">
        <v>46159.2887962963</v>
      </c>
      <c r="L6" s="106">
        <v>46162.455706018518</v>
      </c>
      <c r="M6" s="106">
        <v>46162.467511574076</v>
      </c>
      <c r="N6" s="106"/>
      <c r="O6" s="106"/>
      <c r="P6" s="106"/>
      <c r="U6" s="60" t="s">
        <v>371</v>
      </c>
      <c r="Z6" s="107">
        <f t="shared" ca="1" si="5"/>
        <v>26.550643171295334</v>
      </c>
      <c r="AA6" s="108">
        <f t="shared" ca="1" si="6"/>
        <v>70.80171512345423</v>
      </c>
      <c r="AB6" s="107">
        <f t="shared" ca="1" si="7"/>
        <v>25.678270486110709</v>
      </c>
      <c r="AC6" s="108">
        <f t="shared" ca="1" si="8"/>
        <v>68.475387962961889</v>
      </c>
      <c r="AD6" s="107">
        <f t="shared" ca="1" si="2"/>
        <v>1.1805555557657499E-2</v>
      </c>
      <c r="AE6" s="107">
        <f t="shared" ca="1" si="3"/>
        <v>25.678270486110709</v>
      </c>
      <c r="AF6" s="108">
        <f t="shared" ca="1" si="9"/>
        <v>68.475387962961889</v>
      </c>
      <c r="AG6" s="108">
        <f t="shared" ca="1" si="4"/>
        <v>68.475387962961889</v>
      </c>
      <c r="AH6" s="61" t="str" cm="1">
        <f t="array" aca="1" ref="AH6" ca="1">IF((AD6) &lt; (INDEX(ResponseSLA[#All],(MATCH((G6),ResponseSLA[Priority],0))+1,3)),"YES","No")</f>
        <v>YES</v>
      </c>
      <c r="AI6" s="61" t="str">
        <f ca="1">_xlfn.IFNA(IF(AE6 &lt; (INDEX(SLATable[Minimum SLA],MATCH(G6,SLATable[Priority],0))),"YES","NO"),"")</f>
        <v>NO</v>
      </c>
      <c r="AJ6" s="61" t="str">
        <f ca="1">_xlfn.IFNA(IF(AE6 &lt; (INDEX(SLATable[Maximum SLA],MATCH(G6,SLATable[Priority],0))),"YES","NO"),"")</f>
        <v>NO</v>
      </c>
    </row>
    <row r="7" spans="1:36" s="60" customFormat="1" ht="15" hidden="1" customHeight="1">
      <c r="A7" s="60">
        <v>6</v>
      </c>
      <c r="B7" s="60" t="s">
        <v>26</v>
      </c>
      <c r="C7" s="60" t="s">
        <v>27</v>
      </c>
      <c r="D7" s="60" t="s">
        <v>207</v>
      </c>
      <c r="E7" s="60" t="s">
        <v>2706</v>
      </c>
      <c r="F7" s="60" t="s">
        <v>318</v>
      </c>
      <c r="G7" s="105">
        <v>3</v>
      </c>
      <c r="H7" s="212" t="s">
        <v>2707</v>
      </c>
      <c r="I7" s="105" t="s">
        <v>271</v>
      </c>
      <c r="J7" s="60" t="s">
        <v>2708</v>
      </c>
      <c r="K7" s="106">
        <v>46163.059791666667</v>
      </c>
      <c r="L7" s="106">
        <v>46163.232986111114</v>
      </c>
      <c r="M7" s="106">
        <v>46163.232986111114</v>
      </c>
      <c r="N7" s="106">
        <v>46163.272650462961</v>
      </c>
      <c r="O7" s="106"/>
      <c r="P7" s="106"/>
      <c r="Q7" s="60" t="s">
        <v>2709</v>
      </c>
      <c r="R7" s="60" t="s">
        <v>272</v>
      </c>
      <c r="S7" s="60" t="s">
        <v>165</v>
      </c>
      <c r="U7" s="60" t="s">
        <v>371</v>
      </c>
      <c r="Z7" s="107">
        <f t="shared" ca="1" si="5"/>
        <v>0</v>
      </c>
      <c r="AA7" s="108">
        <f t="shared" ca="1" si="6"/>
        <v>0</v>
      </c>
      <c r="AB7" s="107">
        <f t="shared" ca="1" si="7"/>
        <v>0</v>
      </c>
      <c r="AC7" s="108">
        <f t="shared" ca="1" si="8"/>
        <v>0</v>
      </c>
      <c r="AD7" s="107">
        <f t="shared" ca="1" si="2"/>
        <v>0</v>
      </c>
      <c r="AE7" s="107">
        <f t="shared" ca="1" si="3"/>
        <v>0</v>
      </c>
      <c r="AF7" s="108">
        <f t="shared" ca="1" si="9"/>
        <v>0</v>
      </c>
      <c r="AG7" s="108">
        <f t="shared" ca="1" si="4"/>
        <v>0</v>
      </c>
      <c r="AH7" s="61" t="str" cm="1">
        <f t="array" aca="1" ref="AH7" ca="1">IF((AD7) &lt; (INDEX(ResponseSLA[#All],(MATCH((G7),ResponseSLA[Priority],0))+1,3)),"YES","No")</f>
        <v>YES</v>
      </c>
      <c r="AI7" s="61" t="str">
        <f ca="1">_xlfn.IFNA(IF(AE7 &lt; (INDEX(SLATable[Minimum SLA],MATCH(G7,SLATable[Priority],0))),"YES","NO"),"")</f>
        <v>YES</v>
      </c>
      <c r="AJ7" s="61" t="str">
        <f ca="1">_xlfn.IFNA(IF(AE7 &lt; (INDEX(SLATable[Maximum SLA],MATCH(G7,SLATable[Priority],0))),"YES","NO"),"")</f>
        <v>YES</v>
      </c>
    </row>
    <row r="8" spans="1:36" s="60" customFormat="1" ht="15" hidden="1" customHeight="1">
      <c r="A8" s="60">
        <v>7</v>
      </c>
      <c r="B8" s="60" t="s">
        <v>26</v>
      </c>
      <c r="C8" s="60" t="s">
        <v>27</v>
      </c>
      <c r="D8" s="60" t="s">
        <v>207</v>
      </c>
      <c r="E8" s="60" t="s">
        <v>2710</v>
      </c>
      <c r="F8" s="60" t="s">
        <v>318</v>
      </c>
      <c r="G8" s="105">
        <v>3</v>
      </c>
      <c r="H8" s="212" t="s">
        <v>2711</v>
      </c>
      <c r="I8" s="105" t="s">
        <v>271</v>
      </c>
      <c r="J8" s="60" t="s">
        <v>2703</v>
      </c>
      <c r="K8" s="106">
        <v>46163.136180555557</v>
      </c>
      <c r="L8" s="106">
        <v>46163.234085648146</v>
      </c>
      <c r="M8" s="106">
        <v>46163.234085648146</v>
      </c>
      <c r="N8" s="106">
        <v>46174.417916666665</v>
      </c>
      <c r="O8" s="106">
        <v>46164.417349537034</v>
      </c>
      <c r="P8" s="106"/>
      <c r="U8" s="60" t="s">
        <v>371</v>
      </c>
      <c r="Z8" s="107">
        <f t="shared" ca="1" si="5"/>
        <v>2.3345833333320725</v>
      </c>
      <c r="AA8" s="108">
        <f t="shared" ca="1" si="6"/>
        <v>6.2255555555521935</v>
      </c>
      <c r="AB8" s="107">
        <f t="shared" ca="1" si="7"/>
        <v>2.3345833333320725</v>
      </c>
      <c r="AC8" s="108">
        <f t="shared" ca="1" si="8"/>
        <v>6.2255555555521935</v>
      </c>
      <c r="AD8" s="107">
        <f t="shared" ca="1" si="2"/>
        <v>0</v>
      </c>
      <c r="AE8" s="107">
        <f t="shared" ca="1" si="3"/>
        <v>2.3345833333320725</v>
      </c>
      <c r="AF8" s="108">
        <f t="shared" ca="1" si="9"/>
        <v>6.2255555555521935</v>
      </c>
      <c r="AG8" s="108">
        <f t="shared" ca="1" si="4"/>
        <v>6.2255555555521935</v>
      </c>
      <c r="AH8" s="61" t="str" cm="1">
        <f t="array" aca="1" ref="AH8" ca="1">IF((AD8) &lt; (INDEX(ResponseSLA[#All],(MATCH((G8),ResponseSLA[Priority],0))+1,3)),"YES","No")</f>
        <v>YES</v>
      </c>
      <c r="AI8" s="61" t="str">
        <f ca="1">_xlfn.IFNA(IF(AE8 &lt; (INDEX(SLATable[Minimum SLA],MATCH(G8,SLATable[Priority],0))),"YES","NO"),"")</f>
        <v>NO</v>
      </c>
      <c r="AJ8" s="61" t="str">
        <f ca="1">_xlfn.IFNA(IF(AE8 &lt; (INDEX(SLATable[Maximum SLA],MATCH(G8,SLATable[Priority],0))),"YES","NO"),"")</f>
        <v>NO</v>
      </c>
    </row>
    <row r="9" spans="1:36" s="60" customFormat="1" ht="15" hidden="1" customHeight="1">
      <c r="A9" s="60">
        <v>8</v>
      </c>
      <c r="B9" s="60" t="s">
        <v>26</v>
      </c>
      <c r="C9" s="60" t="s">
        <v>27</v>
      </c>
      <c r="D9" s="60" t="s">
        <v>207</v>
      </c>
      <c r="E9" s="60" t="s">
        <v>2712</v>
      </c>
      <c r="F9" s="60" t="s">
        <v>318</v>
      </c>
      <c r="G9" s="105">
        <v>3</v>
      </c>
      <c r="H9" s="212" t="s">
        <v>2713</v>
      </c>
      <c r="I9" s="105" t="s">
        <v>271</v>
      </c>
      <c r="J9" s="60" t="s">
        <v>2714</v>
      </c>
      <c r="K9" s="106">
        <v>46162.776689814818</v>
      </c>
      <c r="L9" s="106">
        <v>46163.234768518516</v>
      </c>
      <c r="M9" s="106">
        <v>46163.234768518516</v>
      </c>
      <c r="N9" s="106">
        <v>46164.300671296296</v>
      </c>
      <c r="O9" s="106"/>
      <c r="P9" s="106"/>
      <c r="U9" s="60" t="s">
        <v>371</v>
      </c>
      <c r="Z9" s="107">
        <f t="shared" ca="1" si="5"/>
        <v>0.37500000000000011</v>
      </c>
      <c r="AA9" s="108">
        <f t="shared" ca="1" si="6"/>
        <v>1.0000000000000004</v>
      </c>
      <c r="AB9" s="107">
        <f t="shared" ca="1" si="7"/>
        <v>0.37500000000000006</v>
      </c>
      <c r="AC9" s="108">
        <f t="shared" ca="1" si="8"/>
        <v>1.0000000000000002</v>
      </c>
      <c r="AD9" s="107">
        <f t="shared" ca="1" si="2"/>
        <v>0</v>
      </c>
      <c r="AE9" s="107">
        <f t="shared" ca="1" si="3"/>
        <v>0.37500000000000006</v>
      </c>
      <c r="AF9" s="108">
        <f t="shared" ca="1" si="9"/>
        <v>1.0000000000000002</v>
      </c>
      <c r="AG9" s="108">
        <f t="shared" ca="1" si="4"/>
        <v>1.0000000000000002</v>
      </c>
      <c r="AH9" s="61" t="str" cm="1">
        <f t="array" aca="1" ref="AH9" ca="1">IF((AD9) &lt; (INDEX(ResponseSLA[#All],(MATCH((G9),ResponseSLA[Priority],0))+1,3)),"YES","No")</f>
        <v>YES</v>
      </c>
      <c r="AI9" s="61" t="str">
        <f ca="1">_xlfn.IFNA(IF(AE9 &lt; (INDEX(SLATable[Minimum SLA],MATCH(G9,SLATable[Priority],0))),"YES","NO"),"")</f>
        <v>NO</v>
      </c>
      <c r="AJ9" s="61" t="str">
        <f ca="1">_xlfn.IFNA(IF(AE9 &lt; (INDEX(SLATable[Maximum SLA],MATCH(G9,SLATable[Priority],0))),"YES","NO"),"")</f>
        <v>YES</v>
      </c>
    </row>
    <row r="10" spans="1:36" s="60" customFormat="1" ht="15" hidden="1" customHeight="1">
      <c r="A10" s="60">
        <v>9</v>
      </c>
      <c r="B10" s="60" t="s">
        <v>26</v>
      </c>
      <c r="C10" s="60" t="s">
        <v>27</v>
      </c>
      <c r="D10" s="60" t="s">
        <v>208</v>
      </c>
      <c r="E10" s="60" t="s">
        <v>2715</v>
      </c>
      <c r="F10" s="60" t="s">
        <v>322</v>
      </c>
      <c r="G10" s="105" t="s">
        <v>208</v>
      </c>
      <c r="H10" s="212" t="s">
        <v>2716</v>
      </c>
      <c r="I10" s="105" t="s">
        <v>275</v>
      </c>
      <c r="J10" s="60" t="s">
        <v>2717</v>
      </c>
      <c r="K10" s="106">
        <v>46160.262511574074</v>
      </c>
      <c r="L10" s="106">
        <v>46160.262511574074</v>
      </c>
      <c r="M10" s="106">
        <v>46162.444687499999</v>
      </c>
      <c r="N10" s="106">
        <v>46162.47115740741</v>
      </c>
      <c r="O10" s="106"/>
      <c r="P10" s="106"/>
      <c r="U10" s="60" t="s">
        <v>428</v>
      </c>
      <c r="Z10" s="107">
        <f t="shared" ca="1" si="5"/>
        <v>0.8878240740765857</v>
      </c>
      <c r="AA10" s="108">
        <f t="shared" ca="1" si="6"/>
        <v>2.3675308642042285</v>
      </c>
      <c r="AB10" s="107">
        <f t="shared" ca="1" si="7"/>
        <v>0.8878240740765857</v>
      </c>
      <c r="AC10" s="108">
        <f t="shared" ca="1" si="8"/>
        <v>2.3675308642042285</v>
      </c>
      <c r="AD10" s="107">
        <f t="shared" ca="1" si="2"/>
        <v>0.86135416666608466</v>
      </c>
      <c r="AE10" s="107">
        <f t="shared" ca="1" si="3"/>
        <v>0.8878240740765857</v>
      </c>
      <c r="AF10" s="108">
        <f t="shared" ca="1" si="9"/>
        <v>2.3675308642042285</v>
      </c>
      <c r="AG10" s="108">
        <f t="shared" ca="1" si="4"/>
        <v>2.3675308642042285</v>
      </c>
      <c r="AH10" s="61" t="str" cm="1">
        <f t="array" aca="1" ref="AH10" ca="1">IF((AD10) &lt; (INDEX(ResponseSLA[#All],(MATCH((G10),ResponseSLA[Priority],0))+1,3)),"YES","No")</f>
        <v>No</v>
      </c>
      <c r="AI10" s="61" t="str">
        <f ca="1">_xlfn.IFNA(IF(AE10 &lt; (INDEX(SLATable[Minimum SLA],MATCH(G10,SLATable[Priority],0))),"YES","NO"),"")</f>
        <v>NO</v>
      </c>
      <c r="AJ10" s="61" t="str">
        <f ca="1">_xlfn.IFNA(IF(AE10 &lt; (INDEX(SLATable[Maximum SLA],MATCH(G10,SLATable[Priority],0))),"YES","NO"),"")</f>
        <v>NO</v>
      </c>
    </row>
    <row r="11" spans="1:36" s="60" customFormat="1" ht="15" hidden="1" customHeight="1">
      <c r="A11" s="60">
        <v>10</v>
      </c>
      <c r="B11" s="60" t="s">
        <v>26</v>
      </c>
      <c r="C11" s="60" t="s">
        <v>27</v>
      </c>
      <c r="D11" s="60" t="s">
        <v>208</v>
      </c>
      <c r="E11" s="60" t="s">
        <v>2718</v>
      </c>
      <c r="F11" s="60" t="s">
        <v>322</v>
      </c>
      <c r="G11" s="105" t="s">
        <v>208</v>
      </c>
      <c r="H11" s="212" t="s">
        <v>2719</v>
      </c>
      <c r="I11" s="105" t="s">
        <v>275</v>
      </c>
      <c r="J11" s="60" t="s">
        <v>2720</v>
      </c>
      <c r="K11" s="106">
        <v>46160.260960648149</v>
      </c>
      <c r="L11" s="106">
        <v>46160.260960648149</v>
      </c>
      <c r="M11" s="106">
        <v>46162.447268518517</v>
      </c>
      <c r="N11" s="106">
        <v>46162.46429398148</v>
      </c>
      <c r="O11" s="106"/>
      <c r="P11" s="106"/>
      <c r="U11" s="60" t="s">
        <v>371</v>
      </c>
      <c r="Z11" s="107">
        <f t="shared" ca="1" si="5"/>
        <v>0.88096064814696251</v>
      </c>
      <c r="AA11" s="108">
        <f t="shared" ca="1" si="6"/>
        <v>2.3492283950585664</v>
      </c>
      <c r="AB11" s="107">
        <f t="shared" ca="1" si="7"/>
        <v>0.88096064814696251</v>
      </c>
      <c r="AC11" s="108">
        <f t="shared" ca="1" si="8"/>
        <v>2.3492283950585664</v>
      </c>
      <c r="AD11" s="107">
        <f t="shared" ca="1" si="2"/>
        <v>0.86393518518404266</v>
      </c>
      <c r="AE11" s="107">
        <f t="shared" ca="1" si="3"/>
        <v>0.88096064814696251</v>
      </c>
      <c r="AF11" s="108">
        <f t="shared" ca="1" si="9"/>
        <v>2.3492283950585664</v>
      </c>
      <c r="AG11" s="108">
        <f t="shared" ca="1" si="4"/>
        <v>2.3492283950585664</v>
      </c>
      <c r="AH11" s="61" t="str" cm="1">
        <f t="array" aca="1" ref="AH11" ca="1">IF((AD11) &lt; (INDEX(ResponseSLA[#All],(MATCH((G11),ResponseSLA[Priority],0))+1,3)),"YES","No")</f>
        <v>No</v>
      </c>
      <c r="AI11" s="61" t="str">
        <f ca="1">_xlfn.IFNA(IF(AE11 &lt; (INDEX(SLATable[Minimum SLA],MATCH(G11,SLATable[Priority],0))),"YES","NO"),"")</f>
        <v>NO</v>
      </c>
      <c r="AJ11" s="61" t="str">
        <f ca="1">_xlfn.IFNA(IF(AE11 &lt; (INDEX(SLATable[Maximum SLA],MATCH(G11,SLATable[Priority],0))),"YES","NO"),"")</f>
        <v>NO</v>
      </c>
    </row>
    <row r="12" spans="1:36" s="60" customFormat="1" ht="15" hidden="1" customHeight="1">
      <c r="A12" s="60">
        <v>11</v>
      </c>
      <c r="B12" s="60" t="s">
        <v>26</v>
      </c>
      <c r="C12" s="60" t="s">
        <v>27</v>
      </c>
      <c r="D12" s="60" t="s">
        <v>208</v>
      </c>
      <c r="E12" s="60" t="s">
        <v>2721</v>
      </c>
      <c r="F12" s="60" t="s">
        <v>322</v>
      </c>
      <c r="G12" s="105" t="s">
        <v>208</v>
      </c>
      <c r="H12" s="212" t="s">
        <v>2722</v>
      </c>
      <c r="I12" s="105" t="s">
        <v>275</v>
      </c>
      <c r="J12" s="60" t="s">
        <v>2717</v>
      </c>
      <c r="K12" s="106">
        <v>46162.351446759261</v>
      </c>
      <c r="L12" s="106">
        <v>46162.412881944445</v>
      </c>
      <c r="M12" s="106">
        <v>46162.448541666665</v>
      </c>
      <c r="N12" s="106"/>
      <c r="O12" s="106"/>
      <c r="P12" s="106"/>
      <c r="U12" s="60" t="s">
        <v>428</v>
      </c>
      <c r="Z12" s="107">
        <f t="shared" ca="1" si="5"/>
        <v>25.782529745367359</v>
      </c>
      <c r="AA12" s="108">
        <f t="shared" ca="1" si="6"/>
        <v>68.753412654312967</v>
      </c>
      <c r="AB12" s="107">
        <f t="shared" ca="1" si="7"/>
        <v>25.721094560183705</v>
      </c>
      <c r="AC12" s="108">
        <f t="shared" ca="1" si="8"/>
        <v>68.589585493823222</v>
      </c>
      <c r="AD12" s="107">
        <f t="shared" ca="1" si="2"/>
        <v>3.5659722219861578E-2</v>
      </c>
      <c r="AE12" s="107">
        <f t="shared" ca="1" si="3"/>
        <v>29.14321261573787</v>
      </c>
      <c r="AF12" s="108">
        <f t="shared" ca="1" si="9"/>
        <v>77.715233641967657</v>
      </c>
      <c r="AG12" s="108">
        <f t="shared" ca="1" si="4"/>
        <v>77.715233641967657</v>
      </c>
      <c r="AH12" s="61" t="str" cm="1">
        <f t="array" aca="1" ref="AH12" ca="1">IF((AD12) &lt; (INDEX(ResponseSLA[#All],(MATCH((G12),ResponseSLA[Priority],0))+1,3)),"YES","No")</f>
        <v>YES</v>
      </c>
      <c r="AI12" s="61" t="str">
        <f ca="1">_xlfn.IFNA(IF(AE12 &lt; (INDEX(SLATable[Minimum SLA],MATCH(G12,SLATable[Priority],0))),"YES","NO"),"")</f>
        <v>NO</v>
      </c>
      <c r="AJ12" s="61" t="str">
        <f ca="1">_xlfn.IFNA(IF(AE12 &lt; (INDEX(SLATable[Maximum SLA],MATCH(G12,SLATable[Priority],0))),"YES","NO"),"")</f>
        <v>NO</v>
      </c>
    </row>
    <row r="13" spans="1:36" s="60" customFormat="1" ht="15" hidden="1" customHeight="1">
      <c r="A13" s="60">
        <v>12</v>
      </c>
      <c r="B13" s="60" t="s">
        <v>26</v>
      </c>
      <c r="C13" s="60" t="s">
        <v>27</v>
      </c>
      <c r="D13" s="60" t="s">
        <v>207</v>
      </c>
      <c r="E13" s="60" t="s">
        <v>2723</v>
      </c>
      <c r="F13" s="60" t="s">
        <v>318</v>
      </c>
      <c r="G13" s="105">
        <v>3</v>
      </c>
      <c r="H13" s="212" t="s">
        <v>2724</v>
      </c>
      <c r="I13" s="105" t="s">
        <v>271</v>
      </c>
      <c r="J13" s="60" t="s">
        <v>2725</v>
      </c>
      <c r="K13" s="106">
        <v>46163.274108796293</v>
      </c>
      <c r="L13" s="106">
        <v>46163.290844907409</v>
      </c>
      <c r="M13" s="106">
        <v>46163.290844907409</v>
      </c>
      <c r="N13" s="106">
        <v>46163.409444444442</v>
      </c>
      <c r="O13" s="106"/>
      <c r="P13" s="106"/>
      <c r="Q13" s="60" t="s">
        <v>2726</v>
      </c>
      <c r="R13" s="60" t="s">
        <v>272</v>
      </c>
      <c r="S13" s="60" t="s">
        <v>149</v>
      </c>
      <c r="U13" s="60" t="s">
        <v>371</v>
      </c>
      <c r="Z13" s="107">
        <f t="shared" ca="1" si="5"/>
        <v>7.611111110842711E-2</v>
      </c>
      <c r="AA13" s="108">
        <f t="shared" ca="1" si="6"/>
        <v>0.20296296295580563</v>
      </c>
      <c r="AB13" s="107">
        <f t="shared" ca="1" si="7"/>
        <v>7.611111110842711E-2</v>
      </c>
      <c r="AC13" s="108">
        <f t="shared" ca="1" si="8"/>
        <v>0.20296296295580563</v>
      </c>
      <c r="AD13" s="107">
        <f t="shared" ca="1" si="2"/>
        <v>0</v>
      </c>
      <c r="AE13" s="107">
        <f t="shared" ca="1" si="3"/>
        <v>7.611111110842711E-2</v>
      </c>
      <c r="AF13" s="108">
        <f t="shared" ca="1" si="9"/>
        <v>0.20296296295580563</v>
      </c>
      <c r="AG13" s="108">
        <f t="shared" ca="1" si="4"/>
        <v>0.20296296295580563</v>
      </c>
      <c r="AH13" s="61" t="str" cm="1">
        <f t="array" aca="1" ref="AH13" ca="1">IF((AD13) &lt; (INDEX(ResponseSLA[#All],(MATCH((G13),ResponseSLA[Priority],0))+1,3)),"YES","No")</f>
        <v>YES</v>
      </c>
      <c r="AI13" s="61" t="str">
        <f ca="1">_xlfn.IFNA(IF(AE13 &lt; (INDEX(SLATable[Minimum SLA],MATCH(G13,SLATable[Priority],0))),"YES","NO"),"")</f>
        <v>YES</v>
      </c>
      <c r="AJ13" s="61" t="str">
        <f ca="1">_xlfn.IFNA(IF(AE13 &lt; (INDEX(SLATable[Maximum SLA],MATCH(G13,SLATable[Priority],0))),"YES","NO"),"")</f>
        <v>YES</v>
      </c>
    </row>
    <row r="14" spans="1:36" s="60" customFormat="1" ht="15" customHeight="1">
      <c r="A14" s="60">
        <v>13</v>
      </c>
      <c r="B14" s="60" t="s">
        <v>26</v>
      </c>
      <c r="C14" s="60" t="s">
        <v>54</v>
      </c>
      <c r="D14" s="60" t="s">
        <v>207</v>
      </c>
      <c r="E14" s="60" t="s">
        <v>2727</v>
      </c>
      <c r="F14" s="60" t="s">
        <v>53</v>
      </c>
      <c r="G14" s="105">
        <v>3</v>
      </c>
      <c r="H14" s="212" t="s">
        <v>2728</v>
      </c>
      <c r="I14" s="105" t="s">
        <v>275</v>
      </c>
      <c r="J14" s="291" t="s">
        <v>2694</v>
      </c>
      <c r="K14" s="106">
        <v>46162.525347222225</v>
      </c>
      <c r="L14" s="106">
        <v>46162.525347222225</v>
      </c>
      <c r="M14" s="106">
        <v>46162.536597222221</v>
      </c>
      <c r="N14" s="106">
        <v>46162.639733796299</v>
      </c>
      <c r="O14" s="106"/>
      <c r="P14" s="106"/>
      <c r="U14" s="60" t="s">
        <v>371</v>
      </c>
      <c r="Z14" s="107">
        <f t="shared" ca="1" si="5"/>
        <v>0.11438657407416031</v>
      </c>
      <c r="AA14" s="108">
        <f t="shared" ca="1" si="6"/>
        <v>0.30503086419776082</v>
      </c>
      <c r="AB14" s="107">
        <f t="shared" ca="1" si="7"/>
        <v>0.11438657407416031</v>
      </c>
      <c r="AC14" s="108">
        <f t="shared" ca="1" si="8"/>
        <v>0.30503086419776082</v>
      </c>
      <c r="AD14" s="107">
        <f t="shared" ca="1" si="2"/>
        <v>1.1249999995925464E-2</v>
      </c>
      <c r="AE14" s="107">
        <f t="shared" ca="1" si="3"/>
        <v>2.172719907406039</v>
      </c>
      <c r="AF14" s="108">
        <f t="shared" ca="1" si="9"/>
        <v>5.7939197530827711</v>
      </c>
      <c r="AG14" s="108">
        <f t="shared" ca="1" si="4"/>
        <v>5.7939197530827711</v>
      </c>
      <c r="AH14" s="61" t="str" cm="1">
        <f t="array" aca="1" ref="AH14" ca="1">IF((AD14) &lt; (INDEX(ResponseSLA[#All],(MATCH((G14),ResponseSLA[Priority],0))+1,3)),"YES","No")</f>
        <v>YES</v>
      </c>
      <c r="AI14" s="61" t="str">
        <f ca="1">_xlfn.IFNA(IF(AE14 &lt; (INDEX(SLATable[Minimum SLA],MATCH(G14,SLATable[Priority],0))),"YES","NO"),"")</f>
        <v>NO</v>
      </c>
      <c r="AJ14" s="61" t="str">
        <f ca="1">_xlfn.IFNA(IF(AE14 &lt; (INDEX(SLATable[Maximum SLA],MATCH(G14,SLATable[Priority],0))),"YES","NO"),"")</f>
        <v>NO</v>
      </c>
    </row>
    <row r="15" spans="1:36" s="60" customFormat="1" ht="15" customHeight="1">
      <c r="A15" s="60">
        <v>14</v>
      </c>
      <c r="B15" s="60" t="s">
        <v>26</v>
      </c>
      <c r="C15" s="60" t="s">
        <v>54</v>
      </c>
      <c r="D15" s="60" t="s">
        <v>207</v>
      </c>
      <c r="E15" s="60" t="s">
        <v>2729</v>
      </c>
      <c r="F15" s="60" t="s">
        <v>53</v>
      </c>
      <c r="G15" s="105">
        <v>4</v>
      </c>
      <c r="H15" s="212" t="s">
        <v>2730</v>
      </c>
      <c r="I15" s="105" t="s">
        <v>271</v>
      </c>
      <c r="J15" s="291" t="s">
        <v>2697</v>
      </c>
      <c r="K15" s="106">
        <v>46162.543969907405</v>
      </c>
      <c r="L15" s="106">
        <v>46162.543969907405</v>
      </c>
      <c r="M15" s="106">
        <v>46162.543969907405</v>
      </c>
      <c r="N15" s="106">
        <v>46164.289571759262</v>
      </c>
      <c r="O15" s="106"/>
      <c r="P15" s="106"/>
      <c r="U15" s="60" t="s">
        <v>428</v>
      </c>
      <c r="Z15" s="107">
        <f t="shared" ca="1" si="5"/>
        <v>0.53936342592836217</v>
      </c>
      <c r="AA15" s="108">
        <f t="shared" ca="1" si="6"/>
        <v>1.4383024691422992</v>
      </c>
      <c r="AB15" s="107">
        <f t="shared" ca="1" si="7"/>
        <v>0.53936342592836217</v>
      </c>
      <c r="AC15" s="108">
        <f t="shared" ca="1" si="8"/>
        <v>1.4383024691422992</v>
      </c>
      <c r="AD15" s="107">
        <f t="shared" ca="1" si="2"/>
        <v>0</v>
      </c>
      <c r="AE15" s="107">
        <f t="shared" ca="1" si="3"/>
        <v>1.0787268518567243</v>
      </c>
      <c r="AF15" s="108">
        <f t="shared" ca="1" si="9"/>
        <v>2.8766049382845984</v>
      </c>
      <c r="AG15" s="108">
        <f t="shared" ca="1" si="4"/>
        <v>2.8766049382845984</v>
      </c>
      <c r="AH15" s="61" t="str" cm="1">
        <f t="array" aca="1" ref="AH15" ca="1">IF((AD15) &lt; (INDEX(ResponseSLA[#All],(MATCH((G15),ResponseSLA[Priority],0))+1,3)),"YES","No")</f>
        <v>YES</v>
      </c>
      <c r="AI15" s="61" t="str">
        <f ca="1">_xlfn.IFNA(IF(AE15 &lt; (INDEX(SLATable[Minimum SLA],MATCH(G15,SLATable[Priority],0))),"YES","NO"),"")</f>
        <v>YES</v>
      </c>
      <c r="AJ15" s="61" t="str">
        <f ca="1">_xlfn.IFNA(IF(AE15 &lt; (INDEX(SLATable[Maximum SLA],MATCH(G15,SLATable[Priority],0))),"YES","NO"),"")</f>
        <v>YES</v>
      </c>
    </row>
    <row r="16" spans="1:36" s="60" customFormat="1" ht="15" hidden="1" customHeight="1">
      <c r="A16" s="60">
        <v>15</v>
      </c>
      <c r="B16" s="60" t="s">
        <v>26</v>
      </c>
      <c r="C16" s="60" t="s">
        <v>27</v>
      </c>
      <c r="D16" s="60" t="s">
        <v>207</v>
      </c>
      <c r="E16" s="60" t="s">
        <v>2731</v>
      </c>
      <c r="F16" s="60" t="s">
        <v>318</v>
      </c>
      <c r="G16" s="105">
        <v>3</v>
      </c>
      <c r="H16" s="212" t="s">
        <v>2732</v>
      </c>
      <c r="I16" s="105" t="s">
        <v>271</v>
      </c>
      <c r="J16" s="60" t="s">
        <v>2708</v>
      </c>
      <c r="K16" s="106">
        <v>46163.43309027778</v>
      </c>
      <c r="L16" s="106">
        <v>46163.437118055554</v>
      </c>
      <c r="M16" s="106">
        <v>46163.437118055554</v>
      </c>
      <c r="N16" s="106">
        <v>46185.343599537038</v>
      </c>
      <c r="O16" s="106">
        <v>46147.398564814815</v>
      </c>
      <c r="P16" s="106">
        <v>46185.343599537038</v>
      </c>
      <c r="Q16" s="60" t="s">
        <v>2733</v>
      </c>
      <c r="R16" s="60" t="s">
        <v>272</v>
      </c>
      <c r="S16" s="60" t="s">
        <v>205</v>
      </c>
      <c r="U16" s="60" t="s">
        <v>371</v>
      </c>
      <c r="Z16" s="107">
        <f t="shared" ca="1" si="5"/>
        <v>0</v>
      </c>
      <c r="AA16" s="108">
        <f t="shared" ca="1" si="6"/>
        <v>0</v>
      </c>
      <c r="AB16" s="107">
        <f t="shared" ca="1" si="7"/>
        <v>0</v>
      </c>
      <c r="AC16" s="108">
        <f t="shared" ca="1" si="8"/>
        <v>0</v>
      </c>
      <c r="AD16" s="107">
        <f t="shared" ca="1" si="2"/>
        <v>0</v>
      </c>
      <c r="AE16" s="107">
        <f t="shared" ca="1" si="3"/>
        <v>0</v>
      </c>
      <c r="AF16" s="108">
        <f t="shared" ca="1" si="9"/>
        <v>0</v>
      </c>
      <c r="AG16" s="108">
        <f t="shared" ca="1" si="4"/>
        <v>0</v>
      </c>
      <c r="AH16" s="61" t="str" cm="1">
        <f t="array" aca="1" ref="AH16" ca="1">IF((AD16) &lt; (INDEX(ResponseSLA[#All],(MATCH((G16),ResponseSLA[Priority],0))+1,3)),"YES","No")</f>
        <v>YES</v>
      </c>
      <c r="AI16" s="61" t="str">
        <f ca="1">_xlfn.IFNA(IF(AE16 &lt; (INDEX(SLATable[Minimum SLA],MATCH(G16,SLATable[Priority],0))),"YES","NO"),"")</f>
        <v>YES</v>
      </c>
      <c r="AJ16" s="61" t="str">
        <f ca="1">_xlfn.IFNA(IF(AE16 &lt; (INDEX(SLATable[Maximum SLA],MATCH(G16,SLATable[Priority],0))),"YES","NO"),"")</f>
        <v>YES</v>
      </c>
    </row>
    <row r="17" spans="1:36" s="60" customFormat="1" ht="15" customHeight="1">
      <c r="A17" s="60">
        <v>16</v>
      </c>
      <c r="B17" s="60" t="s">
        <v>26</v>
      </c>
      <c r="C17" s="60" t="s">
        <v>54</v>
      </c>
      <c r="D17" s="60" t="s">
        <v>207</v>
      </c>
      <c r="E17" s="60" t="s">
        <v>2734</v>
      </c>
      <c r="F17" s="60" t="s">
        <v>53</v>
      </c>
      <c r="G17" s="105">
        <v>3</v>
      </c>
      <c r="H17" s="212" t="s">
        <v>2735</v>
      </c>
      <c r="I17" s="105" t="s">
        <v>271</v>
      </c>
      <c r="J17" s="291" t="s">
        <v>2694</v>
      </c>
      <c r="K17" s="106">
        <v>46163.463807870372</v>
      </c>
      <c r="L17" s="106">
        <v>46163.546469907407</v>
      </c>
      <c r="M17" s="106">
        <v>46163.574212962965</v>
      </c>
      <c r="N17" s="62">
        <v>46175.281898148147</v>
      </c>
      <c r="O17" s="106"/>
      <c r="P17" s="106"/>
      <c r="U17" s="60" t="s">
        <v>428</v>
      </c>
      <c r="Z17" s="107">
        <f t="shared" ca="1" si="5"/>
        <v>2.4945254629613682</v>
      </c>
      <c r="AA17" s="108">
        <f t="shared" ca="1" si="6"/>
        <v>6.652067901230315</v>
      </c>
      <c r="AB17" s="107">
        <f t="shared" ca="1" si="7"/>
        <v>2.4118634259260343</v>
      </c>
      <c r="AC17" s="108">
        <f t="shared" ca="1" si="8"/>
        <v>6.4316358024694251</v>
      </c>
      <c r="AD17" s="107">
        <f t="shared" ca="1" si="2"/>
        <v>2.7743055557948537E-2</v>
      </c>
      <c r="AE17" s="107">
        <f t="shared" ca="1" si="3"/>
        <v>2.4118634259260343</v>
      </c>
      <c r="AF17" s="108">
        <f t="shared" ca="1" si="9"/>
        <v>6.4316358024694251</v>
      </c>
      <c r="AG17" s="108">
        <f t="shared" ca="1" si="4"/>
        <v>6.4316358024694251</v>
      </c>
      <c r="AH17" s="61" t="str" cm="1">
        <f t="array" aca="1" ref="AH17" ca="1">IF((AD17) &lt; (INDEX(ResponseSLA[#All],(MATCH((G17),ResponseSLA[Priority],0))+1,3)),"YES","No")</f>
        <v>YES</v>
      </c>
      <c r="AI17" s="61" t="str">
        <f ca="1">_xlfn.IFNA(IF(AE17 &lt; (INDEX(SLATable[Minimum SLA],MATCH(G17,SLATable[Priority],0))),"YES","NO"),"")</f>
        <v>NO</v>
      </c>
      <c r="AJ17" s="61" t="str">
        <f ca="1">_xlfn.IFNA(IF(AE17 &lt; (INDEX(SLATable[Maximum SLA],MATCH(G17,SLATable[Priority],0))),"YES","NO"),"")</f>
        <v>NO</v>
      </c>
    </row>
    <row r="18" spans="1:36" s="60" customFormat="1" ht="15" hidden="1" customHeight="1">
      <c r="A18" s="60">
        <v>17</v>
      </c>
      <c r="B18" s="60" t="s">
        <v>26</v>
      </c>
      <c r="C18" s="60" t="s">
        <v>27</v>
      </c>
      <c r="D18" s="60" t="s">
        <v>208</v>
      </c>
      <c r="E18" s="60" t="s">
        <v>2736</v>
      </c>
      <c r="F18" s="60" t="s">
        <v>318</v>
      </c>
      <c r="G18" s="105" t="s">
        <v>208</v>
      </c>
      <c r="H18" s="212" t="s">
        <v>2737</v>
      </c>
      <c r="I18" s="105" t="s">
        <v>271</v>
      </c>
      <c r="J18" s="60" t="s">
        <v>2738</v>
      </c>
      <c r="K18" s="106">
        <v>46163.574756944443</v>
      </c>
      <c r="L18" s="106">
        <v>46163.577731481484</v>
      </c>
      <c r="M18" s="106">
        <v>46163.577731481484</v>
      </c>
      <c r="N18" s="106">
        <v>46164.217789351853</v>
      </c>
      <c r="O18" s="106"/>
      <c r="P18" s="106"/>
      <c r="U18" s="60" t="s">
        <v>371</v>
      </c>
      <c r="Z18" s="107">
        <f t="shared" ca="1" si="5"/>
        <v>0.13357638889040879</v>
      </c>
      <c r="AA18" s="108">
        <f t="shared" ca="1" si="6"/>
        <v>0.35620370370775678</v>
      </c>
      <c r="AB18" s="107">
        <f t="shared" ca="1" si="7"/>
        <v>0.1306018518492541</v>
      </c>
      <c r="AC18" s="108">
        <f t="shared" ca="1" si="8"/>
        <v>0.34827160493134429</v>
      </c>
      <c r="AD18" s="107">
        <f t="shared" ca="1" si="2"/>
        <v>0</v>
      </c>
      <c r="AE18" s="107">
        <f t="shared" ca="1" si="3"/>
        <v>0.1306018518492541</v>
      </c>
      <c r="AF18" s="108">
        <f t="shared" ca="1" si="9"/>
        <v>0.34827160493134429</v>
      </c>
      <c r="AG18" s="108">
        <f t="shared" ca="1" si="4"/>
        <v>0.34827160493134429</v>
      </c>
      <c r="AH18" s="61" t="str" cm="1">
        <f t="array" aca="1" ref="AH18" ca="1">IF((AD18) &lt; (INDEX(ResponseSLA[#All],(MATCH((G18),ResponseSLA[Priority],0))+1,3)),"YES","No")</f>
        <v>YES</v>
      </c>
      <c r="AI18" s="61" t="str">
        <f ca="1">_xlfn.IFNA(IF(AE18 &lt; (INDEX(SLATable[Minimum SLA],MATCH(G18,SLATable[Priority],0))),"YES","NO"),"")</f>
        <v>YES</v>
      </c>
      <c r="AJ18" s="61" t="str">
        <f ca="1">_xlfn.IFNA(IF(AE18 &lt; (INDEX(SLATable[Maximum SLA],MATCH(G18,SLATable[Priority],0))),"YES","NO"),"")</f>
        <v>YES</v>
      </c>
    </row>
    <row r="19" spans="1:36" s="60" customFormat="1" ht="15" customHeight="1">
      <c r="A19" s="60">
        <v>18</v>
      </c>
      <c r="B19" s="60" t="s">
        <v>26</v>
      </c>
      <c r="C19" s="60" t="s">
        <v>54</v>
      </c>
      <c r="D19" s="60" t="s">
        <v>207</v>
      </c>
      <c r="E19" s="60" t="s">
        <v>2729</v>
      </c>
      <c r="F19" s="60" t="s">
        <v>53</v>
      </c>
      <c r="G19" s="105">
        <v>4</v>
      </c>
      <c r="H19" s="212" t="s">
        <v>2730</v>
      </c>
      <c r="I19" s="105" t="s">
        <v>271</v>
      </c>
      <c r="J19" s="291" t="s">
        <v>2697</v>
      </c>
      <c r="K19" s="106">
        <v>46162.543969907405</v>
      </c>
      <c r="L19" s="106">
        <v>46162.543969907405</v>
      </c>
      <c r="M19" s="106">
        <v>46162.564988425926</v>
      </c>
      <c r="N19" s="106">
        <v>46164.289571759262</v>
      </c>
      <c r="O19" s="106"/>
      <c r="P19" s="106"/>
      <c r="U19" s="60" t="s">
        <v>428</v>
      </c>
      <c r="Z19" s="107">
        <f t="shared" ca="1" si="5"/>
        <v>0.53936342592836217</v>
      </c>
      <c r="AA19" s="108">
        <f t="shared" ca="1" si="6"/>
        <v>1.4383024691422992</v>
      </c>
      <c r="AB19" s="107">
        <f t="shared" ca="1" si="7"/>
        <v>0.53936342592836217</v>
      </c>
      <c r="AC19" s="108">
        <f t="shared" ca="1" si="8"/>
        <v>1.4383024691422992</v>
      </c>
      <c r="AD19" s="107">
        <f t="shared" ca="1" si="2"/>
        <v>2.1018518520577345E-2</v>
      </c>
      <c r="AE19" s="107">
        <f t="shared" ca="1" si="3"/>
        <v>1.0787268518567243</v>
      </c>
      <c r="AF19" s="108">
        <f t="shared" ca="1" si="9"/>
        <v>2.8766049382845984</v>
      </c>
      <c r="AG19" s="108">
        <f t="shared" ca="1" si="4"/>
        <v>2.8766049382845984</v>
      </c>
      <c r="AH19" s="61" t="str" cm="1">
        <f t="array" aca="1" ref="AH19" ca="1">IF((AD19) &lt; (INDEX(ResponseSLA[#All],(MATCH((G19),ResponseSLA[Priority],0))+1,3)),"YES","No")</f>
        <v>YES</v>
      </c>
      <c r="AI19" s="61" t="str">
        <f ca="1">_xlfn.IFNA(IF(AE19 &lt; (INDEX(SLATable[Minimum SLA],MATCH(G19,SLATable[Priority],0))),"YES","NO"),"")</f>
        <v>YES</v>
      </c>
      <c r="AJ19" s="61" t="str">
        <f ca="1">_xlfn.IFNA(IF(AE19 &lt; (INDEX(SLATable[Maximum SLA],MATCH(G19,SLATable[Priority],0))),"YES","NO"),"")</f>
        <v>YES</v>
      </c>
    </row>
    <row r="20" spans="1:36" s="60" customFormat="1" ht="15" customHeight="1">
      <c r="A20" s="60">
        <v>19</v>
      </c>
      <c r="B20" s="60" t="s">
        <v>26</v>
      </c>
      <c r="C20" s="60" t="s">
        <v>54</v>
      </c>
      <c r="D20" s="60" t="s">
        <v>207</v>
      </c>
      <c r="E20" s="60" t="s">
        <v>2739</v>
      </c>
      <c r="F20" s="60" t="s">
        <v>53</v>
      </c>
      <c r="G20" s="105">
        <v>3</v>
      </c>
      <c r="H20" s="212" t="s">
        <v>2740</v>
      </c>
      <c r="I20" s="105" t="s">
        <v>275</v>
      </c>
      <c r="J20" s="291" t="s">
        <v>2741</v>
      </c>
      <c r="K20" s="106">
        <v>46164.290775462963</v>
      </c>
      <c r="L20" s="106">
        <v>46164.29078703704</v>
      </c>
      <c r="M20" s="106">
        <v>46164.312256944446</v>
      </c>
      <c r="N20" s="106">
        <v>46164.636145833334</v>
      </c>
      <c r="O20" s="106"/>
      <c r="P20" s="106"/>
      <c r="U20" s="60" t="s">
        <v>371</v>
      </c>
      <c r="Z20" s="107">
        <f t="shared" ca="1" si="5"/>
        <v>0.30281250000067911</v>
      </c>
      <c r="AA20" s="108">
        <f t="shared" ca="1" si="6"/>
        <v>0.80750000000181088</v>
      </c>
      <c r="AB20" s="107">
        <f t="shared" ca="1" si="7"/>
        <v>0.30281250000067911</v>
      </c>
      <c r="AC20" s="108">
        <f t="shared" ca="1" si="8"/>
        <v>0.80750000000181088</v>
      </c>
      <c r="AD20" s="107">
        <f t="shared" ca="1" si="2"/>
        <v>0</v>
      </c>
      <c r="AE20" s="107">
        <f t="shared" ca="1" si="3"/>
        <v>0.30281250000067911</v>
      </c>
      <c r="AF20" s="108">
        <f t="shared" ca="1" si="9"/>
        <v>0.80750000000181088</v>
      </c>
      <c r="AG20" s="108">
        <f t="shared" ca="1" si="4"/>
        <v>0.80750000000181088</v>
      </c>
      <c r="AH20" s="61" t="str" cm="1">
        <f t="array" aca="1" ref="AH20" ca="1">IF((AD20) &lt; (INDEX(ResponseSLA[#All],(MATCH((G20),ResponseSLA[Priority],0))+1,3)),"YES","No")</f>
        <v>YES</v>
      </c>
      <c r="AI20" s="61" t="str">
        <f ca="1">_xlfn.IFNA(IF(AE20 &lt; (INDEX(SLATable[Minimum SLA],MATCH(G20,SLATable[Priority],0))),"YES","NO"),"")</f>
        <v>YES</v>
      </c>
      <c r="AJ20" s="61" t="str">
        <f ca="1">_xlfn.IFNA(IF(AE20 &lt; (INDEX(SLATable[Maximum SLA],MATCH(G20,SLATable[Priority],0))),"YES","NO"),"")</f>
        <v>YES</v>
      </c>
    </row>
    <row r="21" spans="1:36" s="60" customFormat="1" ht="15" customHeight="1">
      <c r="A21" s="60">
        <v>20</v>
      </c>
      <c r="B21" s="60" t="s">
        <v>26</v>
      </c>
      <c r="C21" s="60" t="s">
        <v>54</v>
      </c>
      <c r="D21" s="60" t="s">
        <v>207</v>
      </c>
      <c r="E21" s="60" t="s">
        <v>2742</v>
      </c>
      <c r="F21" s="60" t="s">
        <v>53</v>
      </c>
      <c r="G21" s="105">
        <v>3</v>
      </c>
      <c r="H21" s="212" t="s">
        <v>2743</v>
      </c>
      <c r="I21" s="105" t="s">
        <v>271</v>
      </c>
      <c r="J21" s="291" t="s">
        <v>2697</v>
      </c>
      <c r="K21" s="106">
        <v>46163.773206018515</v>
      </c>
      <c r="L21" s="106">
        <v>46163.773206018515</v>
      </c>
      <c r="M21" s="106">
        <v>46164.218900462962</v>
      </c>
      <c r="N21" s="166">
        <v>46219.248506944445</v>
      </c>
      <c r="O21" s="106"/>
      <c r="P21" s="106"/>
      <c r="U21" s="60" t="s">
        <v>371</v>
      </c>
      <c r="Z21" s="107">
        <f t="shared" ca="1" si="5"/>
        <v>14.250000000000002</v>
      </c>
      <c r="AA21" s="108">
        <f t="shared" ca="1" si="6"/>
        <v>38.000000000000007</v>
      </c>
      <c r="AB21" s="107">
        <f t="shared" ca="1" si="7"/>
        <v>14.250000000000002</v>
      </c>
      <c r="AC21" s="108">
        <f t="shared" ca="1" si="8"/>
        <v>38.000000000000007</v>
      </c>
      <c r="AD21" s="107">
        <f t="shared" ca="1" si="2"/>
        <v>0</v>
      </c>
      <c r="AE21" s="107">
        <f t="shared" ca="1" si="3"/>
        <v>14.250000000000002</v>
      </c>
      <c r="AF21" s="108">
        <f t="shared" ca="1" si="9"/>
        <v>38.000000000000007</v>
      </c>
      <c r="AG21" s="108">
        <f t="shared" ca="1" si="4"/>
        <v>38.000000000000007</v>
      </c>
      <c r="AH21" s="61" t="str" cm="1">
        <f t="array" aca="1" ref="AH21" ca="1">IF((AD21) &lt; (INDEX(ResponseSLA[#All],(MATCH((G21),ResponseSLA[Priority],0))+1,3)),"YES","No")</f>
        <v>YES</v>
      </c>
      <c r="AI21" s="61" t="str">
        <f ca="1">_xlfn.IFNA(IF(AE21 &lt; (INDEX(SLATable[Minimum SLA],MATCH(G21,SLATable[Priority],0))),"YES","NO"),"")</f>
        <v>NO</v>
      </c>
      <c r="AJ21" s="61" t="str">
        <f ca="1">_xlfn.IFNA(IF(AE21 &lt; (INDEX(SLATable[Maximum SLA],MATCH(G21,SLATable[Priority],0))),"YES","NO"),"")</f>
        <v>NO</v>
      </c>
    </row>
    <row r="22" spans="1:36" s="60" customFormat="1" ht="15" customHeight="1">
      <c r="A22" s="60">
        <v>21</v>
      </c>
      <c r="B22" s="60" t="s">
        <v>26</v>
      </c>
      <c r="C22" s="60" t="s">
        <v>54</v>
      </c>
      <c r="D22" s="60" t="s">
        <v>207</v>
      </c>
      <c r="E22" s="60" t="s">
        <v>2744</v>
      </c>
      <c r="F22" s="60" t="s">
        <v>53</v>
      </c>
      <c r="G22" s="105">
        <v>3</v>
      </c>
      <c r="H22" s="212" t="s">
        <v>2745</v>
      </c>
      <c r="I22" s="105" t="s">
        <v>271</v>
      </c>
      <c r="J22" s="291" t="s">
        <v>2694</v>
      </c>
      <c r="K22" s="106">
        <v>46163.714965277781</v>
      </c>
      <c r="L22" s="106">
        <v>46163.71770833333</v>
      </c>
      <c r="M22" s="106">
        <v>46164.222071759257</v>
      </c>
      <c r="N22" s="62">
        <v>46174.308865740742</v>
      </c>
      <c r="O22" s="106"/>
      <c r="P22" s="106"/>
      <c r="U22" s="60" t="s">
        <v>371</v>
      </c>
      <c r="Z22" s="107">
        <f t="shared" ca="1" si="5"/>
        <v>1.8750000000000004</v>
      </c>
      <c r="AA22" s="108">
        <f t="shared" ca="1" si="6"/>
        <v>5.0000000000000018</v>
      </c>
      <c r="AB22" s="107">
        <f t="shared" ca="1" si="7"/>
        <v>1.8750000000000004</v>
      </c>
      <c r="AC22" s="108">
        <f t="shared" ca="1" si="8"/>
        <v>5.0000000000000018</v>
      </c>
      <c r="AD22" s="107">
        <f t="shared" ca="1" si="2"/>
        <v>0</v>
      </c>
      <c r="AE22" s="107">
        <f t="shared" ca="1" si="3"/>
        <v>1.8750000000000004</v>
      </c>
      <c r="AF22" s="108">
        <f t="shared" ca="1" si="9"/>
        <v>5.0000000000000018</v>
      </c>
      <c r="AG22" s="108">
        <f t="shared" ca="1" si="4"/>
        <v>5.0000000000000018</v>
      </c>
      <c r="AH22" s="61" t="str" cm="1">
        <f t="array" aca="1" ref="AH22" ca="1">IF((AD22) &lt; (INDEX(ResponseSLA[#All],(MATCH((G22),ResponseSLA[Priority],0))+1,3)),"YES","No")</f>
        <v>YES</v>
      </c>
      <c r="AI22" s="61" t="str">
        <f ca="1">_xlfn.IFNA(IF(AE22 &lt; (INDEX(SLATable[Minimum SLA],MATCH(G22,SLATable[Priority],0))),"YES","NO"),"")</f>
        <v>NO</v>
      </c>
      <c r="AJ22" s="61" t="str">
        <f ca="1">_xlfn.IFNA(IF(AE22 &lt; (INDEX(SLATable[Maximum SLA],MATCH(G22,SLATable[Priority],0))),"YES","NO"),"")</f>
        <v>NO</v>
      </c>
    </row>
    <row r="23" spans="1:36" s="60" customFormat="1" ht="15" customHeight="1">
      <c r="A23" s="60">
        <v>22</v>
      </c>
      <c r="B23" s="60" t="s">
        <v>26</v>
      </c>
      <c r="C23" s="60" t="s">
        <v>54</v>
      </c>
      <c r="D23" s="60" t="s">
        <v>207</v>
      </c>
      <c r="E23" s="60" t="s">
        <v>2746</v>
      </c>
      <c r="F23" s="60" t="s">
        <v>53</v>
      </c>
      <c r="G23" s="105">
        <v>3</v>
      </c>
      <c r="H23" s="212" t="s">
        <v>2747</v>
      </c>
      <c r="I23" s="105" t="s">
        <v>275</v>
      </c>
      <c r="J23" s="291" t="s">
        <v>2708</v>
      </c>
      <c r="K23" s="106">
        <v>46164.311782407407</v>
      </c>
      <c r="L23" s="106">
        <v>46164.348020833335</v>
      </c>
      <c r="M23" s="106">
        <v>46164.390925925924</v>
      </c>
      <c r="N23" s="106"/>
      <c r="O23" s="106">
        <v>46164.469409722224</v>
      </c>
      <c r="P23" s="106"/>
      <c r="Q23" s="60" t="s">
        <v>2748</v>
      </c>
      <c r="R23" s="60" t="s">
        <v>272</v>
      </c>
      <c r="S23" s="60" t="s">
        <v>205</v>
      </c>
      <c r="U23" s="60" t="s">
        <v>371</v>
      </c>
      <c r="Z23" s="107">
        <f t="shared" ca="1" si="5"/>
        <v>25.050643171295334</v>
      </c>
      <c r="AA23" s="108">
        <f t="shared" ca="1" si="6"/>
        <v>66.80171512345423</v>
      </c>
      <c r="AB23" s="107">
        <f t="shared" ca="1" si="7"/>
        <v>0.12138888888875954</v>
      </c>
      <c r="AC23" s="108">
        <f t="shared" ca="1" si="8"/>
        <v>0.32370370370335877</v>
      </c>
      <c r="AD23" s="107">
        <f t="shared" ca="1" si="2"/>
        <v>4.2905092588625848E-2</v>
      </c>
      <c r="AE23" s="107">
        <f t="shared" ca="1" si="3"/>
        <v>0.12138888888875954</v>
      </c>
      <c r="AF23" s="108">
        <f t="shared" ca="1" si="9"/>
        <v>0.32370370370335877</v>
      </c>
      <c r="AG23" s="108">
        <f t="shared" ca="1" si="4"/>
        <v>0.32370370370335877</v>
      </c>
      <c r="AH23" s="61" t="str" cm="1">
        <f t="array" aca="1" ref="AH23" ca="1">IF((AD23) &lt; (INDEX(ResponseSLA[#All],(MATCH((G23),ResponseSLA[Priority],0))+1,3)),"YES","No")</f>
        <v>YES</v>
      </c>
      <c r="AI23" s="61" t="str">
        <f ca="1">_xlfn.IFNA(IF(AE23 &lt; (INDEX(SLATable[Minimum SLA],MATCH(G23,SLATable[Priority],0))),"YES","NO"),"")</f>
        <v>YES</v>
      </c>
      <c r="AJ23" s="61" t="str">
        <f ca="1">_xlfn.IFNA(IF(AE23 &lt; (INDEX(SLATable[Maximum SLA],MATCH(G23,SLATable[Priority],0))),"YES","NO"),"")</f>
        <v>YES</v>
      </c>
    </row>
    <row r="24" spans="1:36" s="60" customFormat="1" ht="15" hidden="1" customHeight="1">
      <c r="A24" s="60">
        <v>23</v>
      </c>
      <c r="B24" s="60" t="s">
        <v>26</v>
      </c>
      <c r="C24" s="60" t="s">
        <v>27</v>
      </c>
      <c r="D24" s="60" t="s">
        <v>208</v>
      </c>
      <c r="E24" s="60" t="s">
        <v>2749</v>
      </c>
      <c r="F24" s="60" t="s">
        <v>318</v>
      </c>
      <c r="G24" s="105" t="s">
        <v>208</v>
      </c>
      <c r="H24" s="212" t="s">
        <v>2750</v>
      </c>
      <c r="I24" s="105" t="s">
        <v>271</v>
      </c>
      <c r="J24" s="60" t="s">
        <v>2751</v>
      </c>
      <c r="K24" s="106">
        <v>46163.446238425924</v>
      </c>
      <c r="L24" s="106">
        <v>46164.272789351853</v>
      </c>
      <c r="M24" s="106">
        <v>46164.531307870369</v>
      </c>
      <c r="N24" s="106">
        <v>46167.480798611112</v>
      </c>
      <c r="O24" s="106"/>
      <c r="P24" s="106"/>
      <c r="U24" s="60" t="s">
        <v>371</v>
      </c>
      <c r="Z24" s="107">
        <f t="shared" ca="1" si="5"/>
        <v>0.26209490740923991</v>
      </c>
      <c r="AA24" s="108">
        <f t="shared" ca="1" si="6"/>
        <v>0.69891975309130638</v>
      </c>
      <c r="AB24" s="107">
        <f t="shared" ca="1" si="7"/>
        <v>0</v>
      </c>
      <c r="AC24" s="108">
        <f t="shared" ca="1" si="8"/>
        <v>0</v>
      </c>
      <c r="AD24" s="107">
        <f t="shared" ca="1" si="2"/>
        <v>0.19797453703601303</v>
      </c>
      <c r="AE24" s="107">
        <f t="shared" ca="1" si="3"/>
        <v>0.26002314814589533</v>
      </c>
      <c r="AF24" s="108">
        <f t="shared" ca="1" si="9"/>
        <v>0.69339506172238752</v>
      </c>
      <c r="AG24" s="108">
        <f t="shared" ca="1" si="4"/>
        <v>0.69339506172238752</v>
      </c>
      <c r="AH24" s="61" t="str" cm="1">
        <f t="array" aca="1" ref="AH24" ca="1">IF((AD24) &lt; (INDEX(ResponseSLA[#All],(MATCH((G24),ResponseSLA[Priority],0))+1,3)),"YES","No")</f>
        <v>YES</v>
      </c>
      <c r="AI24" s="61" t="str">
        <f ca="1">_xlfn.IFNA(IF(AE24 &lt; (INDEX(SLATable[Minimum SLA],MATCH(G24,SLATable[Priority],0))),"YES","NO"),"")</f>
        <v>YES</v>
      </c>
      <c r="AJ24" s="61" t="str">
        <f ca="1">_xlfn.IFNA(IF(AE24 &lt; (INDEX(SLATable[Maximum SLA],MATCH(G24,SLATable[Priority],0))),"YES","NO"),"")</f>
        <v>YES</v>
      </c>
    </row>
    <row r="25" spans="1:36" s="60" customFormat="1" ht="15" hidden="1" customHeight="1">
      <c r="A25" s="60">
        <v>24</v>
      </c>
      <c r="B25" s="60" t="s">
        <v>26</v>
      </c>
      <c r="C25" s="60" t="s">
        <v>27</v>
      </c>
      <c r="D25" s="60" t="s">
        <v>207</v>
      </c>
      <c r="E25" s="60" t="s">
        <v>2752</v>
      </c>
      <c r="F25" s="60" t="s">
        <v>318</v>
      </c>
      <c r="G25" s="105">
        <v>3</v>
      </c>
      <c r="H25" s="212" t="s">
        <v>2753</v>
      </c>
      <c r="I25" s="105" t="s">
        <v>260</v>
      </c>
      <c r="J25" s="60" t="s">
        <v>2700</v>
      </c>
      <c r="K25" s="106">
        <v>46164.129965277774</v>
      </c>
      <c r="L25" s="106">
        <v>46164.133287037039</v>
      </c>
      <c r="M25" s="106">
        <v>46164.287847222222</v>
      </c>
      <c r="N25" s="106"/>
      <c r="O25" s="106"/>
      <c r="P25" s="106"/>
      <c r="U25" s="60" t="s">
        <v>371</v>
      </c>
      <c r="Z25" s="107">
        <f t="shared" ca="1" si="5"/>
        <v>25.050643171295334</v>
      </c>
      <c r="AA25" s="108">
        <f t="shared" ca="1" si="6"/>
        <v>66.80171512345423</v>
      </c>
      <c r="AB25" s="107">
        <f t="shared" ca="1" si="7"/>
        <v>25.050643171295334</v>
      </c>
      <c r="AC25" s="108">
        <f t="shared" ca="1" si="8"/>
        <v>66.80171512345423</v>
      </c>
      <c r="AD25" s="107">
        <f t="shared" ca="1" si="2"/>
        <v>0</v>
      </c>
      <c r="AE25" s="107">
        <f t="shared" ca="1" si="3"/>
        <v>25.050643171295334</v>
      </c>
      <c r="AF25" s="108">
        <f t="shared" ca="1" si="9"/>
        <v>66.80171512345423</v>
      </c>
      <c r="AG25" s="108">
        <f t="shared" ca="1" si="4"/>
        <v>66.80171512345423</v>
      </c>
      <c r="AH25" s="61" t="str" cm="1">
        <f t="array" aca="1" ref="AH25" ca="1">IF((AD25) &lt; (INDEX(ResponseSLA[#All],(MATCH((G25),ResponseSLA[Priority],0))+1,3)),"YES","No")</f>
        <v>YES</v>
      </c>
      <c r="AI25" s="61" t="str">
        <f ca="1">_xlfn.IFNA(IF(AE25 &lt; (INDEX(SLATable[Minimum SLA],MATCH(G25,SLATable[Priority],0))),"YES","NO"),"")</f>
        <v>NO</v>
      </c>
      <c r="AJ25" s="61" t="str">
        <f ca="1">_xlfn.IFNA(IF(AE25 &lt; (INDEX(SLATable[Maximum SLA],MATCH(G25,SLATable[Priority],0))),"YES","NO"),"")</f>
        <v>NO</v>
      </c>
    </row>
    <row r="26" spans="1:36" s="60" customFormat="1" ht="15" hidden="1" customHeight="1">
      <c r="A26" s="60">
        <v>25</v>
      </c>
      <c r="B26" s="60" t="s">
        <v>26</v>
      </c>
      <c r="C26" s="60" t="s">
        <v>27</v>
      </c>
      <c r="D26" s="60" t="s">
        <v>207</v>
      </c>
      <c r="E26" s="60" t="s">
        <v>2754</v>
      </c>
      <c r="F26" s="60" t="s">
        <v>318</v>
      </c>
      <c r="G26" s="105">
        <v>3</v>
      </c>
      <c r="H26" s="212" t="s">
        <v>2755</v>
      </c>
      <c r="I26" s="105" t="s">
        <v>275</v>
      </c>
      <c r="J26" s="60" t="s">
        <v>2703</v>
      </c>
      <c r="K26" s="106">
        <v>46164.415393518517</v>
      </c>
      <c r="L26" s="106">
        <v>46164.481192129628</v>
      </c>
      <c r="M26" s="106">
        <v>46164.528680555559</v>
      </c>
      <c r="N26" s="106">
        <v>46168.435613425929</v>
      </c>
      <c r="O26" s="106"/>
      <c r="P26" s="106"/>
      <c r="U26" s="60" t="s">
        <v>428</v>
      </c>
      <c r="Z26" s="107">
        <f t="shared" ca="1" si="5"/>
        <v>0.39521990741195623</v>
      </c>
      <c r="AA26" s="108">
        <f t="shared" ca="1" si="6"/>
        <v>1.05391975309855</v>
      </c>
      <c r="AB26" s="107">
        <f t="shared" ca="1" si="7"/>
        <v>0.32942129630100681</v>
      </c>
      <c r="AC26" s="108">
        <f t="shared" ca="1" si="8"/>
        <v>0.87845679013601818</v>
      </c>
      <c r="AD26" s="107">
        <f t="shared" ca="1" si="2"/>
        <v>4.7488425931078382E-2</v>
      </c>
      <c r="AE26" s="107">
        <f t="shared" ca="1" si="3"/>
        <v>2.0430902777855713</v>
      </c>
      <c r="AF26" s="108">
        <f t="shared" ca="1" si="9"/>
        <v>5.4482407407615234</v>
      </c>
      <c r="AG26" s="108">
        <f t="shared" ca="1" si="4"/>
        <v>5.4482407407615234</v>
      </c>
      <c r="AH26" s="61" t="str" cm="1">
        <f t="array" aca="1" ref="AH26" ca="1">IF((AD26) &lt; (INDEX(ResponseSLA[#All],(MATCH((G26),ResponseSLA[Priority],0))+1,3)),"YES","No")</f>
        <v>YES</v>
      </c>
      <c r="AI26" s="61" t="str">
        <f ca="1">_xlfn.IFNA(IF(AE26 &lt; (INDEX(SLATable[Minimum SLA],MATCH(G26,SLATable[Priority],0))),"YES","NO"),"")</f>
        <v>NO</v>
      </c>
      <c r="AJ26" s="61" t="str">
        <f ca="1">_xlfn.IFNA(IF(AE26 &lt; (INDEX(SLATable[Maximum SLA],MATCH(G26,SLATable[Priority],0))),"YES","NO"),"")</f>
        <v>NO</v>
      </c>
    </row>
    <row r="27" spans="1:36" s="60" customFormat="1" ht="15" hidden="1" customHeight="1">
      <c r="A27" s="60">
        <v>26</v>
      </c>
      <c r="B27" s="60" t="s">
        <v>26</v>
      </c>
      <c r="C27" s="60" t="s">
        <v>27</v>
      </c>
      <c r="D27" s="60" t="s">
        <v>207</v>
      </c>
      <c r="E27" s="60" t="s">
        <v>2756</v>
      </c>
      <c r="F27" s="60" t="s">
        <v>318</v>
      </c>
      <c r="G27" s="105">
        <v>4</v>
      </c>
      <c r="H27" s="212" t="s">
        <v>2757</v>
      </c>
      <c r="I27" s="105" t="s">
        <v>275</v>
      </c>
      <c r="J27" s="60" t="s">
        <v>2708</v>
      </c>
      <c r="K27" s="106">
        <v>46164.309953703705</v>
      </c>
      <c r="L27" s="106">
        <v>46164.310034722221</v>
      </c>
      <c r="M27" s="106">
        <v>46164.529803240737</v>
      </c>
      <c r="N27" s="106"/>
      <c r="O27" s="106"/>
      <c r="P27" s="106"/>
      <c r="U27" s="60" t="s">
        <v>371</v>
      </c>
      <c r="Z27" s="107">
        <f t="shared" ca="1" si="5"/>
        <v>25.050643171295334</v>
      </c>
      <c r="AA27" s="108">
        <f t="shared" ca="1" si="6"/>
        <v>66.80171512345423</v>
      </c>
      <c r="AB27" s="107">
        <f t="shared" ca="1" si="7"/>
        <v>25.050643171295334</v>
      </c>
      <c r="AC27" s="108">
        <f t="shared" ca="1" si="8"/>
        <v>66.80171512345423</v>
      </c>
      <c r="AD27" s="107">
        <f t="shared" ca="1" si="2"/>
        <v>0.19646990740390419</v>
      </c>
      <c r="AE27" s="107">
        <f t="shared" ca="1" si="3"/>
        <v>25.050643171295334</v>
      </c>
      <c r="AF27" s="108">
        <f t="shared" ca="1" si="9"/>
        <v>66.80171512345423</v>
      </c>
      <c r="AG27" s="108">
        <f t="shared" ca="1" si="4"/>
        <v>66.80171512345423</v>
      </c>
      <c r="AH27" s="61" t="str" cm="1">
        <f t="array" aca="1" ref="AH27" ca="1">IF((AD27) &lt; (INDEX(ResponseSLA[#All],(MATCH((G27),ResponseSLA[Priority],0))+1,3)),"YES","No")</f>
        <v>No</v>
      </c>
      <c r="AI27" s="61" t="str">
        <f ca="1">_xlfn.IFNA(IF(AE27 &lt; (INDEX(SLATable[Minimum SLA],MATCH(G27,SLATable[Priority],0))),"YES","NO"),"")</f>
        <v>NO</v>
      </c>
      <c r="AJ27" s="61" t="str">
        <f ca="1">_xlfn.IFNA(IF(AE27 &lt; (INDEX(SLATable[Maximum SLA],MATCH(G27,SLATable[Priority],0))),"YES","NO"),"")</f>
        <v>NO</v>
      </c>
    </row>
    <row r="28" spans="1:36" s="60" customFormat="1" ht="15" hidden="1" customHeight="1">
      <c r="A28" s="60">
        <v>27</v>
      </c>
      <c r="B28" s="60" t="s">
        <v>26</v>
      </c>
      <c r="C28" s="60" t="s">
        <v>27</v>
      </c>
      <c r="D28" s="60" t="s">
        <v>207</v>
      </c>
      <c r="E28" s="60" t="s">
        <v>2758</v>
      </c>
      <c r="F28" s="60" t="s">
        <v>318</v>
      </c>
      <c r="G28" s="105">
        <v>3</v>
      </c>
      <c r="H28" s="212" t="s">
        <v>2759</v>
      </c>
      <c r="I28" s="105" t="s">
        <v>271</v>
      </c>
      <c r="J28" s="60" t="s">
        <v>2708</v>
      </c>
      <c r="K28" s="106">
        <v>46163.646793981483</v>
      </c>
      <c r="L28" s="106">
        <v>46163.648541666669</v>
      </c>
      <c r="M28" s="106">
        <v>46164.28837962963</v>
      </c>
      <c r="N28" s="106">
        <v>46164.294733796298</v>
      </c>
      <c r="O28" s="106"/>
      <c r="P28" s="106"/>
      <c r="Q28" s="60" t="s">
        <v>2709</v>
      </c>
      <c r="S28" s="60" t="s">
        <v>165</v>
      </c>
      <c r="U28" s="60" t="s">
        <v>371</v>
      </c>
      <c r="Z28" s="107">
        <f t="shared" ca="1" si="5"/>
        <v>6.1539351850418256E-2</v>
      </c>
      <c r="AA28" s="108">
        <f t="shared" ca="1" si="6"/>
        <v>0.16410493826778202</v>
      </c>
      <c r="AB28" s="107">
        <f t="shared" ca="1" si="7"/>
        <v>5.9791666664144372E-2</v>
      </c>
      <c r="AC28" s="108">
        <f t="shared" ca="1" si="8"/>
        <v>0.15944444443771832</v>
      </c>
      <c r="AD28" s="107">
        <f t="shared" ca="1" si="2"/>
        <v>5.9791666664144372E-2</v>
      </c>
      <c r="AE28" s="107">
        <f t="shared" ca="1" si="3"/>
        <v>5.9791666664144372E-2</v>
      </c>
      <c r="AF28" s="108">
        <f t="shared" ca="1" si="9"/>
        <v>0.15944444443771832</v>
      </c>
      <c r="AG28" s="108">
        <f t="shared" ca="1" si="4"/>
        <v>0.15944444443771832</v>
      </c>
      <c r="AH28" s="61" t="str" cm="1">
        <f t="array" aca="1" ref="AH28" ca="1">IF((AD28) &lt; (INDEX(ResponseSLA[#All],(MATCH((G28),ResponseSLA[Priority],0))+1,3)),"YES","No")</f>
        <v>YES</v>
      </c>
      <c r="AI28" s="61" t="str">
        <f ca="1">_xlfn.IFNA(IF(AE28 &lt; (INDEX(SLATable[Minimum SLA],MATCH(G28,SLATable[Priority],0))),"YES","NO"),"")</f>
        <v>YES</v>
      </c>
      <c r="AJ28" s="61" t="str">
        <f ca="1">_xlfn.IFNA(IF(AE28 &lt; (INDEX(SLATable[Maximum SLA],MATCH(G28,SLATable[Priority],0))),"YES","NO"),"")</f>
        <v>YES</v>
      </c>
    </row>
    <row r="29" spans="1:36" s="60" customFormat="1" ht="15" hidden="1" customHeight="1">
      <c r="A29" s="60">
        <v>28</v>
      </c>
      <c r="B29" s="60" t="s">
        <v>26</v>
      </c>
      <c r="C29" s="60" t="s">
        <v>27</v>
      </c>
      <c r="D29" s="60" t="s">
        <v>207</v>
      </c>
      <c r="E29" s="60" t="s">
        <v>2760</v>
      </c>
      <c r="F29" s="60" t="s">
        <v>318</v>
      </c>
      <c r="G29" s="105">
        <v>4</v>
      </c>
      <c r="H29" s="212" t="s">
        <v>2761</v>
      </c>
      <c r="I29" s="105" t="s">
        <v>260</v>
      </c>
      <c r="J29" s="60" t="s">
        <v>2700</v>
      </c>
      <c r="K29" s="106">
        <v>46164.625960648147</v>
      </c>
      <c r="L29" s="106">
        <v>46164.626087962963</v>
      </c>
      <c r="M29" s="106">
        <v>46164.649537037039</v>
      </c>
      <c r="N29" s="106"/>
      <c r="O29" s="106"/>
      <c r="P29" s="106"/>
      <c r="U29" s="60" t="s">
        <v>371</v>
      </c>
      <c r="Z29" s="107">
        <f t="shared" ca="1" si="5"/>
        <v>24.75801585648151</v>
      </c>
      <c r="AA29" s="108">
        <f t="shared" ca="1" si="6"/>
        <v>66.021375617284036</v>
      </c>
      <c r="AB29" s="107">
        <f t="shared" ca="1" si="7"/>
        <v>24.757888541666038</v>
      </c>
      <c r="AC29" s="108">
        <f t="shared" ca="1" si="8"/>
        <v>66.021036111109439</v>
      </c>
      <c r="AD29" s="107">
        <f t="shared" ca="1" si="2"/>
        <v>2.3449074076779652E-2</v>
      </c>
      <c r="AE29" s="107">
        <f t="shared" ca="1" si="3"/>
        <v>24.757888541666038</v>
      </c>
      <c r="AF29" s="108">
        <f t="shared" ca="1" si="9"/>
        <v>66.021036111109439</v>
      </c>
      <c r="AG29" s="108">
        <f t="shared" ca="1" si="4"/>
        <v>66.021036111109439</v>
      </c>
      <c r="AH29" s="61" t="str" cm="1">
        <f t="array" aca="1" ref="AH29" ca="1">IF((AD29) &lt; (INDEX(ResponseSLA[#All],(MATCH((G29),ResponseSLA[Priority],0))+1,3)),"YES","No")</f>
        <v>YES</v>
      </c>
      <c r="AI29" s="61" t="str">
        <f ca="1">_xlfn.IFNA(IF(AE29 &lt; (INDEX(SLATable[Minimum SLA],MATCH(G29,SLATable[Priority],0))),"YES","NO"),"")</f>
        <v>NO</v>
      </c>
      <c r="AJ29" s="61" t="str">
        <f ca="1">_xlfn.IFNA(IF(AE29 &lt; (INDEX(SLATable[Maximum SLA],MATCH(G29,SLATable[Priority],0))),"YES","NO"),"")</f>
        <v>NO</v>
      </c>
    </row>
    <row r="30" spans="1:36" s="60" customFormat="1" ht="15" hidden="1" customHeight="1">
      <c r="A30" s="60">
        <v>29</v>
      </c>
      <c r="B30" s="60" t="s">
        <v>26</v>
      </c>
      <c r="C30" s="60" t="s">
        <v>27</v>
      </c>
      <c r="D30" s="60" t="s">
        <v>207</v>
      </c>
      <c r="E30" s="60" t="s">
        <v>2762</v>
      </c>
      <c r="F30" s="60" t="s">
        <v>318</v>
      </c>
      <c r="G30" s="105">
        <v>3</v>
      </c>
      <c r="H30" s="212" t="s">
        <v>2763</v>
      </c>
      <c r="I30" s="105" t="s">
        <v>271</v>
      </c>
      <c r="J30" s="60" t="s">
        <v>2708</v>
      </c>
      <c r="K30" s="106">
        <v>46165.494120370371</v>
      </c>
      <c r="L30" s="106">
        <v>46165.518125000002</v>
      </c>
      <c r="M30" s="106">
        <v>46167.243506944447</v>
      </c>
      <c r="N30" s="106">
        <v>46181.750474537039</v>
      </c>
      <c r="O30" s="106">
        <v>46168.255231481482</v>
      </c>
      <c r="P30" s="106">
        <v>46181.750474537039</v>
      </c>
      <c r="Q30" s="60" t="s">
        <v>2733</v>
      </c>
      <c r="R30" s="60" t="s">
        <v>272</v>
      </c>
      <c r="S30" s="60" t="s">
        <v>205</v>
      </c>
      <c r="U30" s="60" t="s">
        <v>371</v>
      </c>
      <c r="Z30" s="107">
        <f t="shared" ca="1" si="5"/>
        <v>0</v>
      </c>
      <c r="AA30" s="108">
        <f t="shared" ca="1" si="6"/>
        <v>0</v>
      </c>
      <c r="AB30" s="107">
        <f t="shared" ca="1" si="7"/>
        <v>0</v>
      </c>
      <c r="AC30" s="108">
        <f t="shared" ca="1" si="8"/>
        <v>0</v>
      </c>
      <c r="AD30" s="107">
        <f t="shared" ca="1" si="2"/>
        <v>0</v>
      </c>
      <c r="AE30" s="107">
        <f t="shared" ca="1" si="3"/>
        <v>0</v>
      </c>
      <c r="AF30" s="108">
        <f t="shared" ca="1" si="9"/>
        <v>0</v>
      </c>
      <c r="AG30" s="108">
        <f t="shared" ca="1" si="4"/>
        <v>0</v>
      </c>
      <c r="AH30" s="61" t="str" cm="1">
        <f t="array" aca="1" ref="AH30" ca="1">IF((AD30) &lt; (INDEX(ResponseSLA[#All],(MATCH((G30),ResponseSLA[Priority],0))+1,3)),"YES","No")</f>
        <v>YES</v>
      </c>
      <c r="AI30" s="61" t="str">
        <f ca="1">_xlfn.IFNA(IF(AE30 &lt; (INDEX(SLATable[Minimum SLA],MATCH(G30,SLATable[Priority],0))),"YES","NO"),"")</f>
        <v>YES</v>
      </c>
      <c r="AJ30" s="61" t="str">
        <f ca="1">_xlfn.IFNA(IF(AE30 &lt; (INDEX(SLATable[Maximum SLA],MATCH(G30,SLATable[Priority],0))),"YES","NO"),"")</f>
        <v>YES</v>
      </c>
    </row>
    <row r="31" spans="1:36" s="60" customFormat="1" ht="15" hidden="1" customHeight="1">
      <c r="A31" s="60">
        <v>30</v>
      </c>
      <c r="B31" s="60" t="s">
        <v>26</v>
      </c>
      <c r="C31" s="60" t="s">
        <v>27</v>
      </c>
      <c r="D31" s="60" t="s">
        <v>207</v>
      </c>
      <c r="E31" s="60" t="s">
        <v>2764</v>
      </c>
      <c r="F31" s="60" t="s">
        <v>318</v>
      </c>
      <c r="G31" s="105">
        <v>3</v>
      </c>
      <c r="H31" s="212" t="s">
        <v>2765</v>
      </c>
      <c r="I31" s="105" t="s">
        <v>271</v>
      </c>
      <c r="J31" s="60" t="s">
        <v>2708</v>
      </c>
      <c r="K31" s="106">
        <v>46165.815567129626</v>
      </c>
      <c r="L31" s="106">
        <v>46166.334039351852</v>
      </c>
      <c r="M31" s="106">
        <v>46167.244363425925</v>
      </c>
      <c r="N31" s="106">
        <v>46169.436006944445</v>
      </c>
      <c r="O31" s="106">
        <v>46167.281736111108</v>
      </c>
      <c r="P31" s="106"/>
      <c r="Q31" s="60" t="s">
        <v>2733</v>
      </c>
      <c r="S31" s="60" t="s">
        <v>141</v>
      </c>
      <c r="U31" s="60" t="s">
        <v>371</v>
      </c>
      <c r="Z31" s="107">
        <f t="shared" ca="1" si="5"/>
        <v>0.47767361111133749</v>
      </c>
      <c r="AA31" s="108">
        <f t="shared" ca="1" si="6"/>
        <v>1.2737962962968998</v>
      </c>
      <c r="AB31" s="107">
        <f t="shared" ca="1" si="7"/>
        <v>0.47767361111133749</v>
      </c>
      <c r="AC31" s="108">
        <f t="shared" ca="1" si="8"/>
        <v>1.2737962962968998</v>
      </c>
      <c r="AD31" s="107">
        <f t="shared" ca="1" si="2"/>
        <v>0</v>
      </c>
      <c r="AE31" s="107">
        <f t="shared" ca="1" si="3"/>
        <v>0.47767361111133749</v>
      </c>
      <c r="AF31" s="108">
        <f t="shared" ca="1" si="9"/>
        <v>1.2737962962968998</v>
      </c>
      <c r="AG31" s="108">
        <f t="shared" ca="1" si="4"/>
        <v>1.2737962962968998</v>
      </c>
      <c r="AH31" s="61" t="str" cm="1">
        <f t="array" aca="1" ref="AH31" ca="1">IF((AD31) &lt; (INDEX(ResponseSLA[#All],(MATCH((G31),ResponseSLA[Priority],0))+1,3)),"YES","No")</f>
        <v>YES</v>
      </c>
      <c r="AI31" s="61" t="str">
        <f ca="1">_xlfn.IFNA(IF(AE31 &lt; (INDEX(SLATable[Minimum SLA],MATCH(G31,SLATable[Priority],0))),"YES","NO"),"")</f>
        <v>NO</v>
      </c>
      <c r="AJ31" s="61" t="str">
        <f ca="1">_xlfn.IFNA(IF(AE31 &lt; (INDEX(SLATable[Maximum SLA],MATCH(G31,SLATable[Priority],0))),"YES","NO"),"")</f>
        <v>YES</v>
      </c>
    </row>
    <row r="32" spans="1:36" s="60" customFormat="1" ht="15" hidden="1" customHeight="1">
      <c r="A32" s="60">
        <v>31</v>
      </c>
      <c r="B32" s="60" t="s">
        <v>26</v>
      </c>
      <c r="C32" s="60" t="s">
        <v>27</v>
      </c>
      <c r="D32" s="60" t="s">
        <v>207</v>
      </c>
      <c r="E32" s="60" t="s">
        <v>2766</v>
      </c>
      <c r="F32" s="60" t="s">
        <v>318</v>
      </c>
      <c r="G32" s="105">
        <v>3</v>
      </c>
      <c r="H32" s="212" t="s">
        <v>2767</v>
      </c>
      <c r="I32" s="105" t="s">
        <v>260</v>
      </c>
      <c r="J32" s="60" t="s">
        <v>2700</v>
      </c>
      <c r="K32" s="106">
        <v>46165.673576388886</v>
      </c>
      <c r="L32" s="106">
        <v>46166.334768518522</v>
      </c>
      <c r="M32" s="106">
        <v>46167.244791666664</v>
      </c>
      <c r="N32" s="106"/>
      <c r="O32" s="106"/>
      <c r="P32" s="106"/>
      <c r="U32" s="60" t="s">
        <v>371</v>
      </c>
      <c r="Z32" s="107">
        <f t="shared" ca="1" si="5"/>
        <v>24.675643171295334</v>
      </c>
      <c r="AA32" s="108">
        <f t="shared" ca="1" si="6"/>
        <v>65.80171512345423</v>
      </c>
      <c r="AB32" s="107">
        <f t="shared" ca="1" si="7"/>
        <v>24.675643171295334</v>
      </c>
      <c r="AC32" s="108">
        <f t="shared" ca="1" si="8"/>
        <v>65.80171512345423</v>
      </c>
      <c r="AD32" s="107">
        <f t="shared" ca="1" si="2"/>
        <v>0</v>
      </c>
      <c r="AE32" s="107">
        <f t="shared" ca="1" si="3"/>
        <v>24.675643171295334</v>
      </c>
      <c r="AF32" s="108">
        <f t="shared" ca="1" si="9"/>
        <v>65.80171512345423</v>
      </c>
      <c r="AG32" s="108">
        <f t="shared" ca="1" si="4"/>
        <v>65.80171512345423</v>
      </c>
      <c r="AH32" s="61" t="str" cm="1">
        <f t="array" aca="1" ref="AH32" ca="1">IF((AD32) &lt; (INDEX(ResponseSLA[#All],(MATCH((G32),ResponseSLA[Priority],0))+1,3)),"YES","No")</f>
        <v>YES</v>
      </c>
      <c r="AI32" s="61" t="str">
        <f ca="1">_xlfn.IFNA(IF(AE32 &lt; (INDEX(SLATable[Minimum SLA],MATCH(G32,SLATable[Priority],0))),"YES","NO"),"")</f>
        <v>NO</v>
      </c>
      <c r="AJ32" s="61" t="str">
        <f ca="1">_xlfn.IFNA(IF(AE32 &lt; (INDEX(SLATable[Maximum SLA],MATCH(G32,SLATable[Priority],0))),"YES","NO"),"")</f>
        <v>NO</v>
      </c>
    </row>
    <row r="33" spans="1:36" s="60" customFormat="1" ht="15" hidden="1" customHeight="1">
      <c r="A33" s="60">
        <v>32</v>
      </c>
      <c r="B33" s="60" t="s">
        <v>26</v>
      </c>
      <c r="C33" s="60" t="s">
        <v>27</v>
      </c>
      <c r="D33" s="60" t="s">
        <v>207</v>
      </c>
      <c r="E33" s="60" t="s">
        <v>2768</v>
      </c>
      <c r="F33" s="60" t="s">
        <v>318</v>
      </c>
      <c r="G33" s="105">
        <v>3</v>
      </c>
      <c r="H33" s="212" t="s">
        <v>2769</v>
      </c>
      <c r="I33" s="105" t="s">
        <v>260</v>
      </c>
      <c r="J33" s="60" t="s">
        <v>2700</v>
      </c>
      <c r="K33" s="106">
        <v>46167.169247685182</v>
      </c>
      <c r="L33" s="106">
        <v>46167.176608796297</v>
      </c>
      <c r="M33" s="106">
        <v>46167.245289351849</v>
      </c>
      <c r="N33" s="106"/>
      <c r="O33" s="106"/>
      <c r="P33" s="106"/>
      <c r="U33" s="60" t="s">
        <v>371</v>
      </c>
      <c r="Z33" s="107">
        <f t="shared" ca="1" si="5"/>
        <v>24.675643171295334</v>
      </c>
      <c r="AA33" s="108">
        <f t="shared" ca="1" si="6"/>
        <v>65.80171512345423</v>
      </c>
      <c r="AB33" s="107">
        <f t="shared" ca="1" si="7"/>
        <v>24.675643171295334</v>
      </c>
      <c r="AC33" s="108">
        <f t="shared" ca="1" si="8"/>
        <v>65.80171512345423</v>
      </c>
      <c r="AD33" s="107">
        <f t="shared" ca="1" si="2"/>
        <v>0</v>
      </c>
      <c r="AE33" s="107">
        <f t="shared" ca="1" si="3"/>
        <v>24.675643171295334</v>
      </c>
      <c r="AF33" s="108">
        <f t="shared" ca="1" si="9"/>
        <v>65.80171512345423</v>
      </c>
      <c r="AG33" s="108">
        <f t="shared" ca="1" si="4"/>
        <v>65.80171512345423</v>
      </c>
      <c r="AH33" s="61" t="str" cm="1">
        <f t="array" aca="1" ref="AH33" ca="1">IF((AD33) &lt; (INDEX(ResponseSLA[#All],(MATCH((G33),ResponseSLA[Priority],0))+1,3)),"YES","No")</f>
        <v>YES</v>
      </c>
      <c r="AI33" s="61" t="str">
        <f ca="1">_xlfn.IFNA(IF(AE33 &lt; (INDEX(SLATable[Minimum SLA],MATCH(G33,SLATable[Priority],0))),"YES","NO"),"")</f>
        <v>NO</v>
      </c>
      <c r="AJ33" s="61" t="str">
        <f ca="1">_xlfn.IFNA(IF(AE33 &lt; (INDEX(SLATable[Maximum SLA],MATCH(G33,SLATable[Priority],0))),"YES","NO"),"")</f>
        <v>NO</v>
      </c>
    </row>
    <row r="34" spans="1:36" s="60" customFormat="1" ht="15" hidden="1" customHeight="1">
      <c r="A34" s="60">
        <v>33</v>
      </c>
      <c r="B34" s="60" t="s">
        <v>26</v>
      </c>
      <c r="C34" s="60" t="s">
        <v>27</v>
      </c>
      <c r="D34" s="60" t="s">
        <v>207</v>
      </c>
      <c r="E34" s="60" t="s">
        <v>2770</v>
      </c>
      <c r="F34" s="60" t="s">
        <v>318</v>
      </c>
      <c r="G34" s="105">
        <v>3</v>
      </c>
      <c r="H34" s="212" t="s">
        <v>2707</v>
      </c>
      <c r="I34" s="105" t="s">
        <v>271</v>
      </c>
      <c r="J34" s="60" t="s">
        <v>2708</v>
      </c>
      <c r="K34" s="106">
        <v>46164.70076388889</v>
      </c>
      <c r="L34" s="106">
        <v>46164.702592592592</v>
      </c>
      <c r="M34" s="106">
        <v>46167.245810185188</v>
      </c>
      <c r="N34" s="106">
        <v>46167.300219907411</v>
      </c>
      <c r="O34" s="106"/>
      <c r="P34" s="106"/>
      <c r="Q34" s="60" t="s">
        <v>2709</v>
      </c>
      <c r="S34" s="60" t="s">
        <v>165</v>
      </c>
      <c r="U34" s="60" t="s">
        <v>371</v>
      </c>
      <c r="Z34" s="107">
        <f t="shared" ca="1" si="5"/>
        <v>0</v>
      </c>
      <c r="AA34" s="108">
        <f t="shared" ca="1" si="6"/>
        <v>0</v>
      </c>
      <c r="AB34" s="107">
        <f t="shared" ca="1" si="7"/>
        <v>0</v>
      </c>
      <c r="AC34" s="108">
        <f t="shared" ca="1" si="8"/>
        <v>0</v>
      </c>
      <c r="AD34" s="107">
        <f t="shared" ca="1" si="2"/>
        <v>5.7407407415061007E-3</v>
      </c>
      <c r="AE34" s="107">
        <f t="shared" ca="1" si="3"/>
        <v>0</v>
      </c>
      <c r="AF34" s="108">
        <f t="shared" ca="1" si="9"/>
        <v>0</v>
      </c>
      <c r="AG34" s="108">
        <f t="shared" ca="1" si="4"/>
        <v>0</v>
      </c>
      <c r="AH34" s="61" t="str" cm="1">
        <f t="array" aca="1" ref="AH34" ca="1">IF((AD34) &lt; (INDEX(ResponseSLA[#All],(MATCH((G34),ResponseSLA[Priority],0))+1,3)),"YES","No")</f>
        <v>YES</v>
      </c>
      <c r="AI34" s="61" t="str">
        <f ca="1">_xlfn.IFNA(IF(AE34 &lt; (INDEX(SLATable[Minimum SLA],MATCH(G34,SLATable[Priority],0))),"YES","NO"),"")</f>
        <v>YES</v>
      </c>
      <c r="AJ34" s="61" t="str">
        <f ca="1">_xlfn.IFNA(IF(AE34 &lt; (INDEX(SLATable[Maximum SLA],MATCH(G34,SLATable[Priority],0))),"YES","NO"),"")</f>
        <v>YES</v>
      </c>
    </row>
    <row r="35" spans="1:36" s="60" customFormat="1" ht="15" hidden="1" customHeight="1">
      <c r="A35" s="60">
        <v>34</v>
      </c>
      <c r="B35" s="60" t="s">
        <v>26</v>
      </c>
      <c r="C35" s="60" t="s">
        <v>27</v>
      </c>
      <c r="D35" s="60" t="s">
        <v>207</v>
      </c>
      <c r="E35" s="60" t="s">
        <v>2771</v>
      </c>
      <c r="F35" s="60" t="s">
        <v>318</v>
      </c>
      <c r="G35" s="105">
        <v>3</v>
      </c>
      <c r="H35" s="212" t="s">
        <v>2724</v>
      </c>
      <c r="I35" s="105" t="s">
        <v>271</v>
      </c>
      <c r="J35" s="60" t="s">
        <v>2772</v>
      </c>
      <c r="K35" s="106">
        <v>46165.128946759258</v>
      </c>
      <c r="L35" s="106">
        <v>46165.129050925927</v>
      </c>
      <c r="M35" s="106">
        <v>46167.247094907405</v>
      </c>
      <c r="N35" s="106">
        <v>46167.507974537039</v>
      </c>
      <c r="O35" s="106"/>
      <c r="P35" s="106"/>
      <c r="Q35" s="60" t="s">
        <v>2726</v>
      </c>
      <c r="R35" s="60" t="s">
        <v>272</v>
      </c>
      <c r="S35" s="60" t="s">
        <v>149</v>
      </c>
      <c r="T35" s="60" t="s">
        <v>2773</v>
      </c>
      <c r="U35" s="60" t="s">
        <v>371</v>
      </c>
      <c r="Z35" s="107">
        <f t="shared" ca="1" si="5"/>
        <v>0</v>
      </c>
      <c r="AA35" s="108">
        <f t="shared" ca="1" si="6"/>
        <v>0</v>
      </c>
      <c r="AB35" s="107">
        <f t="shared" ca="1" si="7"/>
        <v>0</v>
      </c>
      <c r="AC35" s="108">
        <f t="shared" ca="1" si="8"/>
        <v>0</v>
      </c>
      <c r="AD35" s="107">
        <f t="shared" ca="1" si="2"/>
        <v>0</v>
      </c>
      <c r="AE35" s="107">
        <f t="shared" ca="1" si="3"/>
        <v>0</v>
      </c>
      <c r="AF35" s="108">
        <f t="shared" ca="1" si="9"/>
        <v>0</v>
      </c>
      <c r="AG35" s="108">
        <f t="shared" ca="1" si="4"/>
        <v>0</v>
      </c>
      <c r="AH35" s="61" t="str" cm="1">
        <f t="array" aca="1" ref="AH35" ca="1">IF((AD35) &lt; (INDEX(ResponseSLA[#All],(MATCH((G35),ResponseSLA[Priority],0))+1,3)),"YES","No")</f>
        <v>YES</v>
      </c>
      <c r="AI35" s="61" t="str">
        <f ca="1">_xlfn.IFNA(IF(AE35 &lt; (INDEX(SLATable[Minimum SLA],MATCH(G35,SLATable[Priority],0))),"YES","NO"),"")</f>
        <v>YES</v>
      </c>
      <c r="AJ35" s="61" t="str">
        <f ca="1">_xlfn.IFNA(IF(AE35 &lt; (INDEX(SLATable[Maximum SLA],MATCH(G35,SLATable[Priority],0))),"YES","NO"),"")</f>
        <v>YES</v>
      </c>
    </row>
    <row r="36" spans="1:36" s="60" customFormat="1" ht="15" hidden="1" customHeight="1">
      <c r="A36" s="60">
        <v>35</v>
      </c>
      <c r="B36" s="60" t="s">
        <v>26</v>
      </c>
      <c r="C36" s="60" t="s">
        <v>27</v>
      </c>
      <c r="D36" s="60" t="s">
        <v>207</v>
      </c>
      <c r="E36" s="60" t="s">
        <v>2774</v>
      </c>
      <c r="F36" s="60" t="s">
        <v>318</v>
      </c>
      <c r="G36" s="105">
        <v>3</v>
      </c>
      <c r="H36" s="212" t="s">
        <v>2775</v>
      </c>
      <c r="I36" s="105" t="s">
        <v>271</v>
      </c>
      <c r="J36" s="60" t="s">
        <v>2725</v>
      </c>
      <c r="K36" s="106">
        <v>46165.901770833334</v>
      </c>
      <c r="L36" s="106">
        <v>46165.90185185185</v>
      </c>
      <c r="M36" s="106">
        <v>46167.247916666667</v>
      </c>
      <c r="N36" s="106">
        <v>46167.268680555557</v>
      </c>
      <c r="O36" s="106"/>
      <c r="P36" s="106"/>
      <c r="Q36" s="60" t="s">
        <v>2776</v>
      </c>
      <c r="R36" s="60" t="s">
        <v>272</v>
      </c>
      <c r="S36" s="60" t="s">
        <v>199</v>
      </c>
      <c r="U36" s="60" t="s">
        <v>371</v>
      </c>
      <c r="Z36" s="107">
        <f t="shared" ca="1" si="5"/>
        <v>0</v>
      </c>
      <c r="AA36" s="108">
        <f t="shared" ca="1" si="6"/>
        <v>0</v>
      </c>
      <c r="AB36" s="107">
        <f t="shared" ca="1" si="7"/>
        <v>0</v>
      </c>
      <c r="AC36" s="108">
        <f t="shared" ca="1" si="8"/>
        <v>0</v>
      </c>
      <c r="AD36" s="107">
        <f t="shared" ca="1" si="2"/>
        <v>0</v>
      </c>
      <c r="AE36" s="107">
        <f t="shared" ca="1" si="3"/>
        <v>0</v>
      </c>
      <c r="AF36" s="108">
        <f t="shared" ca="1" si="9"/>
        <v>0</v>
      </c>
      <c r="AG36" s="108">
        <f t="shared" ca="1" si="4"/>
        <v>0</v>
      </c>
      <c r="AH36" s="61" t="str" cm="1">
        <f t="array" aca="1" ref="AH36" ca="1">IF((AD36) &lt; (INDEX(ResponseSLA[#All],(MATCH((G36),ResponseSLA[Priority],0))+1,3)),"YES","No")</f>
        <v>YES</v>
      </c>
      <c r="AI36" s="61" t="str">
        <f ca="1">_xlfn.IFNA(IF(AE36 &lt; (INDEX(SLATable[Minimum SLA],MATCH(G36,SLATable[Priority],0))),"YES","NO"),"")</f>
        <v>YES</v>
      </c>
      <c r="AJ36" s="61" t="str">
        <f ca="1">_xlfn.IFNA(IF(AE36 &lt; (INDEX(SLATable[Maximum SLA],MATCH(G36,SLATable[Priority],0))),"YES","NO"),"")</f>
        <v>YES</v>
      </c>
    </row>
    <row r="37" spans="1:36" s="60" customFormat="1" ht="15" hidden="1" customHeight="1">
      <c r="A37" s="60">
        <v>36</v>
      </c>
      <c r="B37" s="60" t="s">
        <v>26</v>
      </c>
      <c r="C37" s="60" t="s">
        <v>27</v>
      </c>
      <c r="D37" s="60" t="s">
        <v>207</v>
      </c>
      <c r="E37" s="60" t="s">
        <v>2777</v>
      </c>
      <c r="F37" s="60" t="s">
        <v>318</v>
      </c>
      <c r="G37" s="105">
        <v>3</v>
      </c>
      <c r="H37" s="212" t="s">
        <v>2775</v>
      </c>
      <c r="I37" s="105" t="s">
        <v>271</v>
      </c>
      <c r="J37" s="60" t="s">
        <v>2772</v>
      </c>
      <c r="K37" s="106">
        <v>46165.047824074078</v>
      </c>
      <c r="L37" s="106">
        <v>46165.047951388886</v>
      </c>
      <c r="M37" s="106">
        <v>46167.248553240737</v>
      </c>
      <c r="N37" s="106">
        <v>46167.50885416667</v>
      </c>
      <c r="O37" s="106"/>
      <c r="P37" s="106"/>
      <c r="Q37" s="60" t="s">
        <v>2776</v>
      </c>
      <c r="R37" s="60" t="s">
        <v>272</v>
      </c>
      <c r="S37" s="60" t="s">
        <v>149</v>
      </c>
      <c r="T37" s="60" t="s">
        <v>2773</v>
      </c>
      <c r="U37" s="60" t="s">
        <v>371</v>
      </c>
      <c r="Z37" s="107">
        <f t="shared" ca="1" si="5"/>
        <v>0</v>
      </c>
      <c r="AA37" s="108">
        <f t="shared" ca="1" si="6"/>
        <v>0</v>
      </c>
      <c r="AB37" s="107">
        <f t="shared" ca="1" si="7"/>
        <v>0</v>
      </c>
      <c r="AC37" s="108">
        <f t="shared" ca="1" si="8"/>
        <v>0</v>
      </c>
      <c r="AD37" s="107">
        <f t="shared" ca="1" si="2"/>
        <v>0</v>
      </c>
      <c r="AE37" s="107">
        <f t="shared" ca="1" si="3"/>
        <v>0</v>
      </c>
      <c r="AF37" s="108">
        <f t="shared" ca="1" si="9"/>
        <v>0</v>
      </c>
      <c r="AG37" s="108">
        <f t="shared" ca="1" si="4"/>
        <v>0</v>
      </c>
      <c r="AH37" s="61" t="str" cm="1">
        <f t="array" aca="1" ref="AH37" ca="1">IF((AD37) &lt; (INDEX(ResponseSLA[#All],(MATCH((G37),ResponseSLA[Priority],0))+1,3)),"YES","No")</f>
        <v>YES</v>
      </c>
      <c r="AI37" s="61" t="str">
        <f ca="1">_xlfn.IFNA(IF(AE37 &lt; (INDEX(SLATable[Minimum SLA],MATCH(G37,SLATable[Priority],0))),"YES","NO"),"")</f>
        <v>YES</v>
      </c>
      <c r="AJ37" s="61" t="str">
        <f ca="1">_xlfn.IFNA(IF(AE37 &lt; (INDEX(SLATable[Maximum SLA],MATCH(G37,SLATable[Priority],0))),"YES","NO"),"")</f>
        <v>YES</v>
      </c>
    </row>
    <row r="38" spans="1:36" s="60" customFormat="1" ht="15" hidden="1" customHeight="1">
      <c r="A38" s="60">
        <v>37</v>
      </c>
      <c r="B38" s="60" t="s">
        <v>26</v>
      </c>
      <c r="C38" s="60" t="s">
        <v>27</v>
      </c>
      <c r="D38" s="60" t="s">
        <v>207</v>
      </c>
      <c r="E38" s="60" t="s">
        <v>2778</v>
      </c>
      <c r="F38" s="60" t="s">
        <v>318</v>
      </c>
      <c r="G38" s="105">
        <v>3</v>
      </c>
      <c r="H38" s="212" t="s">
        <v>2724</v>
      </c>
      <c r="I38" s="105" t="s">
        <v>271</v>
      </c>
      <c r="J38" s="60" t="s">
        <v>2725</v>
      </c>
      <c r="K38" s="106">
        <v>46165.051168981481</v>
      </c>
      <c r="L38" s="106">
        <v>46165.051226851851</v>
      </c>
      <c r="M38" s="106">
        <v>46167.250659722224</v>
      </c>
      <c r="N38" s="106">
        <v>46167.266793981478</v>
      </c>
      <c r="O38" s="106"/>
      <c r="P38" s="106"/>
      <c r="Q38" s="60" t="s">
        <v>2726</v>
      </c>
      <c r="R38" s="60" t="s">
        <v>272</v>
      </c>
      <c r="S38" s="60" t="s">
        <v>149</v>
      </c>
      <c r="U38" s="60" t="s">
        <v>371</v>
      </c>
      <c r="Z38" s="107">
        <f t="shared" ca="1" si="5"/>
        <v>0</v>
      </c>
      <c r="AA38" s="108">
        <f t="shared" ca="1" si="6"/>
        <v>0</v>
      </c>
      <c r="AB38" s="107">
        <f t="shared" ca="1" si="7"/>
        <v>0</v>
      </c>
      <c r="AC38" s="108">
        <f t="shared" ca="1" si="8"/>
        <v>0</v>
      </c>
      <c r="AD38" s="107">
        <f t="shared" ca="1" si="2"/>
        <v>0</v>
      </c>
      <c r="AE38" s="107">
        <f t="shared" ca="1" si="3"/>
        <v>0</v>
      </c>
      <c r="AF38" s="108">
        <f t="shared" ca="1" si="9"/>
        <v>0</v>
      </c>
      <c r="AG38" s="108">
        <f t="shared" ca="1" si="4"/>
        <v>0</v>
      </c>
      <c r="AH38" s="61" t="str" cm="1">
        <f t="array" aca="1" ref="AH38" ca="1">IF((AD38) &lt; (INDEX(ResponseSLA[#All],(MATCH((G38),ResponseSLA[Priority],0))+1,3)),"YES","No")</f>
        <v>YES</v>
      </c>
      <c r="AI38" s="61" t="str">
        <f ca="1">_xlfn.IFNA(IF(AE38 &lt; (INDEX(SLATable[Minimum SLA],MATCH(G38,SLATable[Priority],0))),"YES","NO"),"")</f>
        <v>YES</v>
      </c>
      <c r="AJ38" s="61" t="str">
        <f ca="1">_xlfn.IFNA(IF(AE38 &lt; (INDEX(SLATable[Maximum SLA],MATCH(G38,SLATable[Priority],0))),"YES","NO"),"")</f>
        <v>YES</v>
      </c>
    </row>
    <row r="39" spans="1:36" s="60" customFormat="1" ht="15" hidden="1" customHeight="1">
      <c r="A39" s="60">
        <v>38</v>
      </c>
      <c r="B39" s="60" t="s">
        <v>26</v>
      </c>
      <c r="C39" s="60" t="s">
        <v>27</v>
      </c>
      <c r="D39" s="60" t="s">
        <v>208</v>
      </c>
      <c r="E39" s="60" t="s">
        <v>2779</v>
      </c>
      <c r="F39" s="60" t="s">
        <v>322</v>
      </c>
      <c r="G39" s="105" t="s">
        <v>208</v>
      </c>
      <c r="H39" s="212" t="s">
        <v>2780</v>
      </c>
      <c r="I39" s="105" t="s">
        <v>275</v>
      </c>
      <c r="J39" s="60" t="s">
        <v>2720</v>
      </c>
      <c r="K39" s="106">
        <v>46167.267118055555</v>
      </c>
      <c r="L39" s="106">
        <v>46167.267118055555</v>
      </c>
      <c r="M39" s="106">
        <v>46167.284780092596</v>
      </c>
      <c r="N39" s="106">
        <v>46167.289780092593</v>
      </c>
      <c r="O39" s="106"/>
      <c r="P39" s="106"/>
      <c r="U39" s="60" t="s">
        <v>371</v>
      </c>
      <c r="Z39" s="107">
        <f t="shared" ca="1" si="5"/>
        <v>0</v>
      </c>
      <c r="AA39" s="108">
        <f t="shared" ca="1" si="6"/>
        <v>0</v>
      </c>
      <c r="AB39" s="107">
        <f t="shared" ca="1" si="7"/>
        <v>0</v>
      </c>
      <c r="AC39" s="108">
        <f t="shared" ca="1" si="8"/>
        <v>0</v>
      </c>
      <c r="AD39" s="107">
        <f t="shared" ca="1" si="2"/>
        <v>0</v>
      </c>
      <c r="AE39" s="107">
        <f t="shared" ca="1" si="3"/>
        <v>0</v>
      </c>
      <c r="AF39" s="108">
        <f t="shared" ca="1" si="9"/>
        <v>0</v>
      </c>
      <c r="AG39" s="108">
        <f t="shared" ca="1" si="4"/>
        <v>0</v>
      </c>
      <c r="AH39" s="61" t="str" cm="1">
        <f t="array" aca="1" ref="AH39" ca="1">IF((AD39) &lt; (INDEX(ResponseSLA[#All],(MATCH((G39),ResponseSLA[Priority],0))+1,3)),"YES","No")</f>
        <v>YES</v>
      </c>
      <c r="AI39" s="61" t="str">
        <f ca="1">_xlfn.IFNA(IF(AE39 &lt; (INDEX(SLATable[Minimum SLA],MATCH(G39,SLATable[Priority],0))),"YES","NO"),"")</f>
        <v>YES</v>
      </c>
      <c r="AJ39" s="61" t="str">
        <f ca="1">_xlfn.IFNA(IF(AE39 &lt; (INDEX(SLATable[Maximum SLA],MATCH(G39,SLATable[Priority],0))),"YES","NO"),"")</f>
        <v>YES</v>
      </c>
    </row>
    <row r="40" spans="1:36" s="60" customFormat="1" ht="15" hidden="1" customHeight="1">
      <c r="A40" s="60">
        <v>39</v>
      </c>
      <c r="B40" s="60" t="s">
        <v>26</v>
      </c>
      <c r="C40" s="60" t="s">
        <v>27</v>
      </c>
      <c r="D40" s="60" t="s">
        <v>208</v>
      </c>
      <c r="E40" s="60" t="s">
        <v>2781</v>
      </c>
      <c r="F40" s="60" t="s">
        <v>322</v>
      </c>
      <c r="G40" s="105" t="s">
        <v>208</v>
      </c>
      <c r="H40" s="212" t="s">
        <v>2782</v>
      </c>
      <c r="I40" s="105" t="s">
        <v>275</v>
      </c>
      <c r="J40" s="60" t="s">
        <v>2717</v>
      </c>
      <c r="K40" s="106">
        <v>46167.26489583333</v>
      </c>
      <c r="L40" s="106">
        <v>46167.26489583333</v>
      </c>
      <c r="M40" s="106">
        <v>46167.283912037034</v>
      </c>
      <c r="N40" s="106">
        <v>46167.290671296294</v>
      </c>
      <c r="O40" s="106"/>
      <c r="P40" s="106"/>
      <c r="U40" s="60" t="s">
        <v>371</v>
      </c>
      <c r="Z40" s="107">
        <f t="shared" ca="1" si="5"/>
        <v>0</v>
      </c>
      <c r="AA40" s="108">
        <f t="shared" ca="1" si="6"/>
        <v>0</v>
      </c>
      <c r="AB40" s="107">
        <f t="shared" ca="1" si="7"/>
        <v>0</v>
      </c>
      <c r="AC40" s="108">
        <f t="shared" ca="1" si="8"/>
        <v>0</v>
      </c>
      <c r="AD40" s="107">
        <f t="shared" ca="1" si="2"/>
        <v>0</v>
      </c>
      <c r="AE40" s="107">
        <f t="shared" ca="1" si="3"/>
        <v>0</v>
      </c>
      <c r="AF40" s="108">
        <f t="shared" ca="1" si="9"/>
        <v>0</v>
      </c>
      <c r="AG40" s="108">
        <f t="shared" ca="1" si="4"/>
        <v>0</v>
      </c>
      <c r="AH40" s="61" t="str" cm="1">
        <f t="array" aca="1" ref="AH40" ca="1">IF((AD40) &lt; (INDEX(ResponseSLA[#All],(MATCH((G40),ResponseSLA[Priority],0))+1,3)),"YES","No")</f>
        <v>YES</v>
      </c>
      <c r="AI40" s="61" t="str">
        <f ca="1">_xlfn.IFNA(IF(AE40 &lt; (INDEX(SLATable[Minimum SLA],MATCH(G40,SLATable[Priority],0))),"YES","NO"),"")</f>
        <v>YES</v>
      </c>
      <c r="AJ40" s="61" t="str">
        <f ca="1">_xlfn.IFNA(IF(AE40 &lt; (INDEX(SLATable[Maximum SLA],MATCH(G40,SLATable[Priority],0))),"YES","NO"),"")</f>
        <v>YES</v>
      </c>
    </row>
    <row r="41" spans="1:36" s="60" customFormat="1" ht="15" customHeight="1">
      <c r="A41" s="60">
        <v>40</v>
      </c>
      <c r="B41" s="60" t="s">
        <v>26</v>
      </c>
      <c r="C41" s="60" t="s">
        <v>54</v>
      </c>
      <c r="D41" s="60" t="s">
        <v>207</v>
      </c>
      <c r="E41" s="60" t="s">
        <v>2783</v>
      </c>
      <c r="F41" s="60" t="s">
        <v>53</v>
      </c>
      <c r="G41" s="105">
        <v>4</v>
      </c>
      <c r="H41" s="212" t="s">
        <v>2784</v>
      </c>
      <c r="I41" s="105" t="s">
        <v>260</v>
      </c>
      <c r="J41" s="291" t="s">
        <v>2700</v>
      </c>
      <c r="K41" s="106">
        <v>46167.435624999998</v>
      </c>
      <c r="L41" s="106">
        <v>46167.435624999998</v>
      </c>
      <c r="M41" s="106">
        <v>46167.481342592589</v>
      </c>
      <c r="N41" s="106"/>
      <c r="O41" s="106"/>
      <c r="P41" s="106"/>
      <c r="U41" s="60" t="s">
        <v>371</v>
      </c>
      <c r="Z41" s="107">
        <f t="shared" ca="1" si="5"/>
        <v>24.675643171295334</v>
      </c>
      <c r="AA41" s="108">
        <f t="shared" ca="1" si="6"/>
        <v>65.80171512345423</v>
      </c>
      <c r="AB41" s="107">
        <f t="shared" ca="1" si="7"/>
        <v>24.675643171295334</v>
      </c>
      <c r="AC41" s="108">
        <f t="shared" ca="1" si="8"/>
        <v>65.80171512345423</v>
      </c>
      <c r="AD41" s="107">
        <f t="shared" ca="1" si="2"/>
        <v>0</v>
      </c>
      <c r="AE41" s="107">
        <f t="shared" ca="1" si="3"/>
        <v>24.675643171295334</v>
      </c>
      <c r="AF41" s="108">
        <f t="shared" ca="1" si="9"/>
        <v>65.80171512345423</v>
      </c>
      <c r="AG41" s="108">
        <f t="shared" ca="1" si="4"/>
        <v>65.80171512345423</v>
      </c>
      <c r="AH41" s="61" t="str" cm="1">
        <f t="array" aca="1" ref="AH41" ca="1">IF((AD41) &lt; (INDEX(ResponseSLA[#All],(MATCH((G41),ResponseSLA[Priority],0))+1,3)),"YES","No")</f>
        <v>YES</v>
      </c>
      <c r="AI41" s="61" t="str">
        <f ca="1">_xlfn.IFNA(IF(AE41 &lt; (INDEX(SLATable[Minimum SLA],MATCH(G41,SLATable[Priority],0))),"YES","NO"),"")</f>
        <v>NO</v>
      </c>
      <c r="AJ41" s="61" t="str">
        <f ca="1">_xlfn.IFNA(IF(AE41 &lt; (INDEX(SLATable[Maximum SLA],MATCH(G41,SLATable[Priority],0))),"YES","NO"),"")</f>
        <v>NO</v>
      </c>
    </row>
    <row r="42" spans="1:36" s="60" customFormat="1" ht="15" customHeight="1">
      <c r="A42" s="60">
        <v>41</v>
      </c>
      <c r="B42" s="60" t="s">
        <v>26</v>
      </c>
      <c r="C42" s="60" t="s">
        <v>54</v>
      </c>
      <c r="D42" s="60" t="s">
        <v>207</v>
      </c>
      <c r="E42" s="60" t="s">
        <v>2785</v>
      </c>
      <c r="F42" s="60" t="s">
        <v>53</v>
      </c>
      <c r="G42" s="105">
        <v>3</v>
      </c>
      <c r="H42" s="212" t="s">
        <v>2786</v>
      </c>
      <c r="I42" s="105" t="s">
        <v>271</v>
      </c>
      <c r="J42" s="291" t="s">
        <v>2697</v>
      </c>
      <c r="K42" s="106">
        <v>46167.477835648147</v>
      </c>
      <c r="L42" s="106">
        <v>46167.479930555557</v>
      </c>
      <c r="M42" s="106">
        <v>46167.479930555557</v>
      </c>
      <c r="N42" s="106">
        <v>46174.452997685185</v>
      </c>
      <c r="O42" s="106"/>
      <c r="P42" s="106"/>
      <c r="U42" s="60" t="s">
        <v>371</v>
      </c>
      <c r="Z42" s="107">
        <f t="shared" ca="1" si="5"/>
        <v>1.6196643518511946</v>
      </c>
      <c r="AA42" s="108">
        <f t="shared" ca="1" si="6"/>
        <v>4.3191049382698523</v>
      </c>
      <c r="AB42" s="107">
        <f t="shared" ca="1" si="7"/>
        <v>1.6196643518511946</v>
      </c>
      <c r="AC42" s="108">
        <f t="shared" ca="1" si="8"/>
        <v>4.3191049382698523</v>
      </c>
      <c r="AD42" s="107">
        <f t="shared" ca="1" si="2"/>
        <v>0</v>
      </c>
      <c r="AE42" s="107">
        <f t="shared" ca="1" si="3"/>
        <v>1.6196643518511946</v>
      </c>
      <c r="AF42" s="108">
        <f t="shared" ca="1" si="9"/>
        <v>4.3191049382698523</v>
      </c>
      <c r="AG42" s="108">
        <f t="shared" ca="1" si="4"/>
        <v>4.3191049382698523</v>
      </c>
      <c r="AH42" s="61" t="str" cm="1">
        <f t="array" aca="1" ref="AH42" ca="1">IF((AD42) &lt; (INDEX(ResponseSLA[#All],(MATCH((G42),ResponseSLA[Priority],0))+1,3)),"YES","No")</f>
        <v>YES</v>
      </c>
      <c r="AI42" s="61" t="str">
        <f ca="1">_xlfn.IFNA(IF(AE42 &lt; (INDEX(SLATable[Minimum SLA],MATCH(G42,SLATable[Priority],0))),"YES","NO"),"")</f>
        <v>NO</v>
      </c>
      <c r="AJ42" s="61" t="str">
        <f ca="1">_xlfn.IFNA(IF(AE42 &lt; (INDEX(SLATable[Maximum SLA],MATCH(G42,SLATable[Priority],0))),"YES","NO"),"")</f>
        <v>YES</v>
      </c>
    </row>
    <row r="43" spans="1:36" s="60" customFormat="1" ht="15" customHeight="1">
      <c r="A43" s="60">
        <v>42</v>
      </c>
      <c r="B43" s="60" t="s">
        <v>26</v>
      </c>
      <c r="C43" s="60" t="s">
        <v>54</v>
      </c>
      <c r="D43" s="60" t="s">
        <v>207</v>
      </c>
      <c r="E43" s="60" t="s">
        <v>2787</v>
      </c>
      <c r="F43" s="60" t="s">
        <v>53</v>
      </c>
      <c r="G43" s="105">
        <v>4</v>
      </c>
      <c r="H43" s="212" t="s">
        <v>2788</v>
      </c>
      <c r="I43" s="105" t="s">
        <v>271</v>
      </c>
      <c r="J43" s="291" t="s">
        <v>2708</v>
      </c>
      <c r="K43" s="106">
        <v>46160.859097222223</v>
      </c>
      <c r="L43" s="106">
        <v>46167.317754629628</v>
      </c>
      <c r="M43" s="106">
        <v>46167.409062500003</v>
      </c>
      <c r="N43" s="106">
        <v>46169.224583333336</v>
      </c>
      <c r="O43" s="106"/>
      <c r="P43" s="106"/>
      <c r="Q43" s="60" t="s">
        <v>2789</v>
      </c>
      <c r="S43" s="60" t="s">
        <v>167</v>
      </c>
      <c r="U43" s="60" t="s">
        <v>371</v>
      </c>
      <c r="Z43" s="107">
        <f t="shared" ca="1" si="5"/>
        <v>1.8750000000000004</v>
      </c>
      <c r="AA43" s="108">
        <f t="shared" ca="1" si="6"/>
        <v>5.0000000000000018</v>
      </c>
      <c r="AB43" s="107">
        <f t="shared" ca="1" si="7"/>
        <v>0.37500000000000006</v>
      </c>
      <c r="AC43" s="108">
        <f t="shared" ca="1" si="8"/>
        <v>1.0000000000000002</v>
      </c>
      <c r="AD43" s="107">
        <f t="shared" ca="1" si="2"/>
        <v>0</v>
      </c>
      <c r="AE43" s="107">
        <f t="shared" ca="1" si="3"/>
        <v>0.37500000000000006</v>
      </c>
      <c r="AF43" s="108">
        <f t="shared" ca="1" si="9"/>
        <v>1.0000000000000002</v>
      </c>
      <c r="AG43" s="108">
        <f t="shared" ca="1" si="4"/>
        <v>1.0000000000000002</v>
      </c>
      <c r="AH43" s="61" t="str" cm="1">
        <f t="array" aca="1" ref="AH43" ca="1">IF((AD43) &lt; (INDEX(ResponseSLA[#All],(MATCH((G43),ResponseSLA[Priority],0))+1,3)),"YES","No")</f>
        <v>YES</v>
      </c>
      <c r="AI43" s="61" t="str">
        <f ca="1">_xlfn.IFNA(IF(AE43 &lt; (INDEX(SLATable[Minimum SLA],MATCH(G43,SLATable[Priority],0))),"YES","NO"),"")</f>
        <v>YES</v>
      </c>
      <c r="AJ43" s="61" t="str">
        <f ca="1">_xlfn.IFNA(IF(AE43 &lt; (INDEX(SLATable[Maximum SLA],MATCH(G43,SLATable[Priority],0))),"YES","NO"),"")</f>
        <v>YES</v>
      </c>
    </row>
    <row r="44" spans="1:36" s="60" customFormat="1" ht="15" hidden="1" customHeight="1">
      <c r="A44" s="60">
        <v>43</v>
      </c>
      <c r="B44" s="60" t="s">
        <v>26</v>
      </c>
      <c r="C44" s="60" t="s">
        <v>27</v>
      </c>
      <c r="D44" s="60" t="s">
        <v>207</v>
      </c>
      <c r="E44" s="60" t="s">
        <v>2790</v>
      </c>
      <c r="F44" s="60" t="s">
        <v>318</v>
      </c>
      <c r="G44" s="105">
        <v>3</v>
      </c>
      <c r="H44" s="212" t="s">
        <v>2791</v>
      </c>
      <c r="I44" s="105" t="s">
        <v>271</v>
      </c>
      <c r="J44" s="60" t="s">
        <v>2708</v>
      </c>
      <c r="K44" s="106">
        <v>46153.316377314812</v>
      </c>
      <c r="L44" s="106">
        <v>46167.306817129633</v>
      </c>
      <c r="M44" s="106">
        <v>46167.511574074073</v>
      </c>
      <c r="N44" s="106">
        <v>46167.553344907406</v>
      </c>
      <c r="O44" s="106">
        <v>46154.334317129629</v>
      </c>
      <c r="P44" s="106">
        <v>46161.459699074076</v>
      </c>
      <c r="Q44" s="60" t="s">
        <v>2733</v>
      </c>
      <c r="S44" s="60" t="s">
        <v>161</v>
      </c>
      <c r="U44" s="60" t="s">
        <v>371</v>
      </c>
      <c r="Z44" s="107">
        <f t="shared" ca="1" si="5"/>
        <v>1.3746180555535834</v>
      </c>
      <c r="AA44" s="108">
        <f t="shared" ca="1" si="6"/>
        <v>3.6656481481428895</v>
      </c>
      <c r="AB44" s="107">
        <f t="shared" ca="1" si="7"/>
        <v>0</v>
      </c>
      <c r="AC44" s="108">
        <f t="shared" ca="1" si="8"/>
        <v>0</v>
      </c>
      <c r="AD44" s="107">
        <f t="shared" ca="1" si="2"/>
        <v>0</v>
      </c>
      <c r="AE44" s="107">
        <f t="shared" ca="1" si="3"/>
        <v>0</v>
      </c>
      <c r="AF44" s="108">
        <f t="shared" ca="1" si="9"/>
        <v>0</v>
      </c>
      <c r="AG44" s="108">
        <f t="shared" ca="1" si="4"/>
        <v>0</v>
      </c>
      <c r="AH44" s="61" t="str" cm="1">
        <f t="array" aca="1" ref="AH44" ca="1">IF((AD44) &lt; (INDEX(ResponseSLA[#All],(MATCH((G44),ResponseSLA[Priority],0))+1,3)),"YES","No")</f>
        <v>YES</v>
      </c>
      <c r="AI44" s="61" t="str">
        <f ca="1">_xlfn.IFNA(IF(AE44 &lt; (INDEX(SLATable[Minimum SLA],MATCH(G44,SLATable[Priority],0))),"YES","NO"),"")</f>
        <v>YES</v>
      </c>
      <c r="AJ44" s="61" t="str">
        <f ca="1">_xlfn.IFNA(IF(AE44 &lt; (INDEX(SLATable[Maximum SLA],MATCH(G44,SLATable[Priority],0))),"YES","NO"),"")</f>
        <v>YES</v>
      </c>
    </row>
    <row r="45" spans="1:36" s="60" customFormat="1" ht="15" hidden="1" customHeight="1">
      <c r="A45" s="60">
        <v>44</v>
      </c>
      <c r="B45" s="60" t="s">
        <v>26</v>
      </c>
      <c r="C45" s="60" t="s">
        <v>27</v>
      </c>
      <c r="D45" s="60" t="s">
        <v>208</v>
      </c>
      <c r="E45" s="60" t="s">
        <v>2792</v>
      </c>
      <c r="F45" s="60" t="s">
        <v>318</v>
      </c>
      <c r="G45" s="105" t="s">
        <v>208</v>
      </c>
      <c r="H45" s="212" t="s">
        <v>2793</v>
      </c>
      <c r="I45" s="105" t="s">
        <v>271</v>
      </c>
      <c r="J45" s="60" t="s">
        <v>2751</v>
      </c>
      <c r="K45" s="106">
        <v>46167.267210648148</v>
      </c>
      <c r="L45" s="106">
        <v>46167.267210648148</v>
      </c>
      <c r="M45" s="106">
        <v>46167.516550925924</v>
      </c>
      <c r="N45" s="62">
        <v>46168.578298611108</v>
      </c>
      <c r="O45" s="106"/>
      <c r="P45" s="106"/>
      <c r="U45" s="60" t="s">
        <v>371</v>
      </c>
      <c r="Z45" s="107">
        <f t="shared" ca="1" si="5"/>
        <v>0.24496527777470573</v>
      </c>
      <c r="AA45" s="108">
        <f t="shared" ca="1" si="6"/>
        <v>0.65324074073254856</v>
      </c>
      <c r="AB45" s="107">
        <f t="shared" ca="1" si="7"/>
        <v>0.24496527777470573</v>
      </c>
      <c r="AC45" s="108">
        <f t="shared" ca="1" si="8"/>
        <v>0.65324074073254856</v>
      </c>
      <c r="AD45" s="107">
        <f t="shared" ca="1" si="2"/>
        <v>0</v>
      </c>
      <c r="AE45" s="107">
        <f t="shared" ca="1" si="3"/>
        <v>0.24496527777470573</v>
      </c>
      <c r="AF45" s="108">
        <f t="shared" ca="1" si="9"/>
        <v>0.65324074073254856</v>
      </c>
      <c r="AG45" s="108">
        <f t="shared" ca="1" si="4"/>
        <v>0.65324074073254856</v>
      </c>
      <c r="AH45" s="61" t="str" cm="1">
        <f t="array" aca="1" ref="AH45" ca="1">IF((AD45) &lt; (INDEX(ResponseSLA[#All],(MATCH((G45),ResponseSLA[Priority],0))+1,3)),"YES","No")</f>
        <v>YES</v>
      </c>
      <c r="AI45" s="61" t="str">
        <f ca="1">_xlfn.IFNA(IF(AE45 &lt; (INDEX(SLATable[Minimum SLA],MATCH(G45,SLATable[Priority],0))),"YES","NO"),"")</f>
        <v>YES</v>
      </c>
      <c r="AJ45" s="61" t="str">
        <f ca="1">_xlfn.IFNA(IF(AE45 &lt; (INDEX(SLATable[Maximum SLA],MATCH(G45,SLATable[Priority],0))),"YES","NO"),"")</f>
        <v>YES</v>
      </c>
    </row>
    <row r="46" spans="1:36" s="60" customFormat="1" ht="15" hidden="1" customHeight="1">
      <c r="A46" s="60">
        <v>45</v>
      </c>
      <c r="B46" s="60" t="s">
        <v>26</v>
      </c>
      <c r="C46" s="60" t="s">
        <v>27</v>
      </c>
      <c r="D46" s="60" t="s">
        <v>208</v>
      </c>
      <c r="E46" s="60" t="s">
        <v>2794</v>
      </c>
      <c r="F46" s="60" t="s">
        <v>318</v>
      </c>
      <c r="G46" s="105" t="s">
        <v>208</v>
      </c>
      <c r="H46" s="212" t="s">
        <v>2795</v>
      </c>
      <c r="I46" s="105" t="s">
        <v>275</v>
      </c>
      <c r="J46" s="60" t="s">
        <v>2725</v>
      </c>
      <c r="K46" s="106">
        <v>46167.267928240741</v>
      </c>
      <c r="L46" s="106">
        <v>46167.267928240741</v>
      </c>
      <c r="M46" s="106">
        <v>46167.516979166663</v>
      </c>
      <c r="N46" s="106">
        <v>46168.280243055553</v>
      </c>
      <c r="O46" s="106"/>
      <c r="P46" s="106"/>
      <c r="U46" s="60" t="s">
        <v>371</v>
      </c>
      <c r="Z46" s="107">
        <f t="shared" ca="1" si="5"/>
        <v>0</v>
      </c>
      <c r="AA46" s="108">
        <f t="shared" ca="1" si="6"/>
        <v>0</v>
      </c>
      <c r="AB46" s="107">
        <f t="shared" ca="1" si="7"/>
        <v>0</v>
      </c>
      <c r="AC46" s="108">
        <f t="shared" ca="1" si="8"/>
        <v>0</v>
      </c>
      <c r="AD46" s="107">
        <f t="shared" ca="1" si="2"/>
        <v>0</v>
      </c>
      <c r="AE46" s="107">
        <f t="shared" ca="1" si="3"/>
        <v>0</v>
      </c>
      <c r="AF46" s="108">
        <f t="shared" ca="1" si="9"/>
        <v>0</v>
      </c>
      <c r="AG46" s="108">
        <f t="shared" ca="1" si="4"/>
        <v>0</v>
      </c>
      <c r="AH46" s="61" t="str" cm="1">
        <f t="array" aca="1" ref="AH46" ca="1">IF((AD46) &lt; (INDEX(ResponseSLA[#All],(MATCH((G46),ResponseSLA[Priority],0))+1,3)),"YES","No")</f>
        <v>YES</v>
      </c>
      <c r="AI46" s="61" t="str">
        <f ca="1">_xlfn.IFNA(IF(AE46 &lt; (INDEX(SLATable[Minimum SLA],MATCH(G46,SLATable[Priority],0))),"YES","NO"),"")</f>
        <v>YES</v>
      </c>
      <c r="AJ46" s="61" t="str">
        <f ca="1">_xlfn.IFNA(IF(AE46 &lt; (INDEX(SLATable[Maximum SLA],MATCH(G46,SLATable[Priority],0))),"YES","NO"),"")</f>
        <v>YES</v>
      </c>
    </row>
    <row r="47" spans="1:36" s="60" customFormat="1" ht="15" hidden="1" customHeight="1">
      <c r="A47" s="60">
        <v>46</v>
      </c>
      <c r="B47" s="60" t="s">
        <v>26</v>
      </c>
      <c r="C47" s="60" t="s">
        <v>27</v>
      </c>
      <c r="D47" s="60" t="s">
        <v>207</v>
      </c>
      <c r="E47" s="60" t="s">
        <v>2796</v>
      </c>
      <c r="F47" s="60" t="s">
        <v>318</v>
      </c>
      <c r="G47" s="105">
        <v>3</v>
      </c>
      <c r="H47" s="212" t="s">
        <v>2797</v>
      </c>
      <c r="I47" s="105" t="s">
        <v>266</v>
      </c>
      <c r="J47" s="60" t="s">
        <v>2772</v>
      </c>
      <c r="K47" s="106">
        <v>46164.511388888888</v>
      </c>
      <c r="L47" s="106">
        <v>46167.553159722222</v>
      </c>
      <c r="M47" s="106">
        <v>46167.560057870367</v>
      </c>
      <c r="N47" s="106"/>
      <c r="O47" s="106">
        <v>46167.726805555554</v>
      </c>
      <c r="P47" s="106"/>
      <c r="Q47" s="60" t="s">
        <v>2798</v>
      </c>
      <c r="T47" s="60" t="s">
        <v>335</v>
      </c>
      <c r="U47" s="60" t="s">
        <v>371</v>
      </c>
      <c r="Z47" s="107">
        <f t="shared" ca="1" si="5"/>
        <v>24.872587615740489</v>
      </c>
      <c r="AA47" s="108">
        <f t="shared" ca="1" si="6"/>
        <v>66.326900308641314</v>
      </c>
      <c r="AB47" s="107">
        <f t="shared" ca="1" si="7"/>
        <v>0</v>
      </c>
      <c r="AC47" s="108">
        <f t="shared" ca="1" si="8"/>
        <v>0</v>
      </c>
      <c r="AD47" s="107">
        <f t="shared" ca="1" si="2"/>
        <v>0</v>
      </c>
      <c r="AE47" s="107">
        <f t="shared" ca="1" si="3"/>
        <v>0</v>
      </c>
      <c r="AF47" s="108">
        <f t="shared" ca="1" si="9"/>
        <v>0</v>
      </c>
      <c r="AG47" s="108">
        <f t="shared" ca="1" si="4"/>
        <v>0</v>
      </c>
      <c r="AH47" s="61" t="str" cm="1">
        <f t="array" aca="1" ref="AH47" ca="1">IF((AD47) &lt; (INDEX(ResponseSLA[#All],(MATCH((G47),ResponseSLA[Priority],0))+1,3)),"YES","No")</f>
        <v>YES</v>
      </c>
      <c r="AI47" s="61" t="str">
        <f ca="1">_xlfn.IFNA(IF(AE47 &lt; (INDEX(SLATable[Minimum SLA],MATCH(G47,SLATable[Priority],0))),"YES","NO"),"")</f>
        <v>YES</v>
      </c>
      <c r="AJ47" s="61" t="str">
        <f ca="1">_xlfn.IFNA(IF(AE47 &lt; (INDEX(SLATable[Maximum SLA],MATCH(G47,SLATable[Priority],0))),"YES","NO"),"")</f>
        <v>YES</v>
      </c>
    </row>
    <row r="48" spans="1:36" s="60" customFormat="1" ht="15" hidden="1" customHeight="1">
      <c r="A48" s="60">
        <v>47</v>
      </c>
      <c r="B48" s="60" t="s">
        <v>26</v>
      </c>
      <c r="C48" s="60" t="s">
        <v>27</v>
      </c>
      <c r="D48" s="60" t="s">
        <v>208</v>
      </c>
      <c r="E48" s="60" t="s">
        <v>2799</v>
      </c>
      <c r="F48" s="60" t="s">
        <v>322</v>
      </c>
      <c r="G48" s="105" t="s">
        <v>208</v>
      </c>
      <c r="H48" s="212" t="s">
        <v>2800</v>
      </c>
      <c r="I48" s="105" t="s">
        <v>275</v>
      </c>
      <c r="J48" s="60" t="s">
        <v>2720</v>
      </c>
      <c r="K48" s="106">
        <v>46167.459432870368</v>
      </c>
      <c r="L48" s="106">
        <v>46167.459432870368</v>
      </c>
      <c r="M48" s="106">
        <v>46168.277071759258</v>
      </c>
      <c r="N48" s="106"/>
      <c r="O48" s="106"/>
      <c r="P48" s="106"/>
      <c r="U48" s="60" t="s">
        <v>428</v>
      </c>
      <c r="Z48" s="107">
        <f t="shared" ca="1" si="5"/>
        <v>24.675643171295334</v>
      </c>
      <c r="AA48" s="108">
        <f t="shared" ca="1" si="6"/>
        <v>65.80171512345423</v>
      </c>
      <c r="AB48" s="107">
        <f t="shared" ca="1" si="7"/>
        <v>24.675643171295334</v>
      </c>
      <c r="AC48" s="108">
        <f t="shared" ca="1" si="8"/>
        <v>65.80171512345423</v>
      </c>
      <c r="AD48" s="107">
        <f t="shared" ca="1" si="2"/>
        <v>0</v>
      </c>
      <c r="AE48" s="107">
        <f t="shared" ca="1" si="3"/>
        <v>25.066164004628572</v>
      </c>
      <c r="AF48" s="108">
        <f t="shared" ca="1" si="9"/>
        <v>66.843104012342849</v>
      </c>
      <c r="AG48" s="108">
        <f t="shared" ca="1" si="4"/>
        <v>66.843104012342849</v>
      </c>
      <c r="AH48" s="61" t="str" cm="1">
        <f t="array" aca="1" ref="AH48" ca="1">IF((AD48) &lt; (INDEX(ResponseSLA[#All],(MATCH((G48),ResponseSLA[Priority],0))+1,3)),"YES","No")</f>
        <v>YES</v>
      </c>
      <c r="AI48" s="61" t="str">
        <f ca="1">_xlfn.IFNA(IF(AE48 &lt; (INDEX(SLATable[Minimum SLA],MATCH(G48,SLATable[Priority],0))),"YES","NO"),"")</f>
        <v>NO</v>
      </c>
      <c r="AJ48" s="61" t="str">
        <f ca="1">_xlfn.IFNA(IF(AE48 &lt; (INDEX(SLATable[Maximum SLA],MATCH(G48,SLATable[Priority],0))),"YES","NO"),"")</f>
        <v>NO</v>
      </c>
    </row>
    <row r="49" spans="1:36" s="60" customFormat="1" ht="15" hidden="1" customHeight="1">
      <c r="A49" s="60">
        <v>48</v>
      </c>
      <c r="B49" s="60" t="s">
        <v>26</v>
      </c>
      <c r="C49" s="60" t="s">
        <v>27</v>
      </c>
      <c r="D49" s="60" t="s">
        <v>207</v>
      </c>
      <c r="E49" s="60" t="s">
        <v>2801</v>
      </c>
      <c r="F49" s="60" t="s">
        <v>318</v>
      </c>
      <c r="G49" s="105">
        <v>4</v>
      </c>
      <c r="H49" s="212" t="s">
        <v>2802</v>
      </c>
      <c r="I49" s="105" t="s">
        <v>271</v>
      </c>
      <c r="J49" s="60" t="s">
        <v>2708</v>
      </c>
      <c r="K49" s="106">
        <v>46167.838495370372</v>
      </c>
      <c r="L49" s="106">
        <v>46168.396087962959</v>
      </c>
      <c r="M49" s="106">
        <v>46168.41101851852</v>
      </c>
      <c r="N49" s="106">
        <v>46168.472800925927</v>
      </c>
      <c r="O49" s="106">
        <v>46168.472453703704</v>
      </c>
      <c r="P49" s="106">
        <v>46168.472800925927</v>
      </c>
      <c r="Q49" s="60" t="s">
        <v>2733</v>
      </c>
      <c r="S49" s="60" t="s">
        <v>161</v>
      </c>
      <c r="U49" s="60" t="s">
        <v>371</v>
      </c>
      <c r="Z49" s="107">
        <f t="shared" ca="1" si="5"/>
        <v>0.13912037037031649</v>
      </c>
      <c r="AA49" s="108">
        <f t="shared" ca="1" si="6"/>
        <v>0.37098765432084396</v>
      </c>
      <c r="AB49" s="107">
        <f t="shared" ca="1" si="7"/>
        <v>7.6365740744222421E-2</v>
      </c>
      <c r="AC49" s="108">
        <f t="shared" ca="1" si="8"/>
        <v>0.20364197531792647</v>
      </c>
      <c r="AD49" s="107">
        <f t="shared" ca="1" si="2"/>
        <v>1.4930555560567882E-2</v>
      </c>
      <c r="AE49" s="107">
        <f t="shared" ca="1" si="3"/>
        <v>7.6365740744222421E-2</v>
      </c>
      <c r="AF49" s="108">
        <f t="shared" ca="1" si="9"/>
        <v>0.20364197531792647</v>
      </c>
      <c r="AG49" s="108">
        <f t="shared" ca="1" si="4"/>
        <v>0.20364197531792647</v>
      </c>
      <c r="AH49" s="61" t="str" cm="1">
        <f t="array" aca="1" ref="AH49" ca="1">IF((AD49) &lt; (INDEX(ResponseSLA[#All],(MATCH((G49),ResponseSLA[Priority],0))+1,3)),"YES","No")</f>
        <v>YES</v>
      </c>
      <c r="AI49" s="61" t="str">
        <f ca="1">_xlfn.IFNA(IF(AE49 &lt; (INDEX(SLATable[Minimum SLA],MATCH(G49,SLATable[Priority],0))),"YES","NO"),"")</f>
        <v>YES</v>
      </c>
      <c r="AJ49" s="61" t="str">
        <f ca="1">_xlfn.IFNA(IF(AE49 &lt; (INDEX(SLATable[Maximum SLA],MATCH(G49,SLATable[Priority],0))),"YES","NO"),"")</f>
        <v>YES</v>
      </c>
    </row>
    <row r="50" spans="1:36" s="60" customFormat="1" ht="15" hidden="1" customHeight="1">
      <c r="A50" s="60">
        <v>49</v>
      </c>
      <c r="B50" s="60" t="s">
        <v>26</v>
      </c>
      <c r="C50" s="60" t="s">
        <v>27</v>
      </c>
      <c r="D50" s="60" t="s">
        <v>207</v>
      </c>
      <c r="E50" s="60" t="s">
        <v>2803</v>
      </c>
      <c r="F50" s="60" t="s">
        <v>318</v>
      </c>
      <c r="G50" s="105">
        <v>3</v>
      </c>
      <c r="H50" s="212" t="s">
        <v>2724</v>
      </c>
      <c r="I50" s="105" t="s">
        <v>271</v>
      </c>
      <c r="J50" s="60" t="s">
        <v>2738</v>
      </c>
      <c r="K50" s="106">
        <v>46168.166342592594</v>
      </c>
      <c r="L50" s="106">
        <v>46168.166342592594</v>
      </c>
      <c r="M50" s="106">
        <v>46168.266481481478</v>
      </c>
      <c r="N50" s="106">
        <v>46168.423958333333</v>
      </c>
      <c r="O50" s="106"/>
      <c r="P50" s="106"/>
      <c r="U50" s="60" t="s">
        <v>371</v>
      </c>
      <c r="Z50" s="107">
        <f t="shared" ca="1" si="5"/>
        <v>9.0624999999514955E-2</v>
      </c>
      <c r="AA50" s="108">
        <f t="shared" ca="1" si="6"/>
        <v>0.2416666666653732</v>
      </c>
      <c r="AB50" s="107">
        <f t="shared" ca="1" si="7"/>
        <v>9.0624999999514955E-2</v>
      </c>
      <c r="AC50" s="108">
        <f t="shared" ca="1" si="8"/>
        <v>0.2416666666653732</v>
      </c>
      <c r="AD50" s="107">
        <f t="shared" ca="1" si="2"/>
        <v>0</v>
      </c>
      <c r="AE50" s="107">
        <f t="shared" ca="1" si="3"/>
        <v>9.0624999999514955E-2</v>
      </c>
      <c r="AF50" s="108">
        <f t="shared" ca="1" si="9"/>
        <v>0.2416666666653732</v>
      </c>
      <c r="AG50" s="108">
        <f t="shared" ca="1" si="4"/>
        <v>0.2416666666653732</v>
      </c>
      <c r="AH50" s="61" t="str" cm="1">
        <f t="array" aca="1" ref="AH50" ca="1">IF((AD50) &lt; (INDEX(ResponseSLA[#All],(MATCH((G50),ResponseSLA[Priority],0))+1,3)),"YES","No")</f>
        <v>YES</v>
      </c>
      <c r="AI50" s="61" t="str">
        <f ca="1">_xlfn.IFNA(IF(AE50 &lt; (INDEX(SLATable[Minimum SLA],MATCH(G50,SLATable[Priority],0))),"YES","NO"),"")</f>
        <v>YES</v>
      </c>
      <c r="AJ50" s="61" t="str">
        <f ca="1">_xlfn.IFNA(IF(AE50 &lt; (INDEX(SLATable[Maximum SLA],MATCH(G50,SLATable[Priority],0))),"YES","NO"),"")</f>
        <v>YES</v>
      </c>
    </row>
    <row r="51" spans="1:36" s="60" customFormat="1" ht="15" hidden="1" customHeight="1">
      <c r="A51" s="60">
        <v>50</v>
      </c>
      <c r="B51" s="60" t="s">
        <v>26</v>
      </c>
      <c r="C51" s="60" t="s">
        <v>27</v>
      </c>
      <c r="D51" s="60" t="s">
        <v>208</v>
      </c>
      <c r="E51" s="60" t="s">
        <v>2804</v>
      </c>
      <c r="F51" s="60" t="s">
        <v>318</v>
      </c>
      <c r="G51" s="105" t="s">
        <v>208</v>
      </c>
      <c r="H51" s="212" t="s">
        <v>2805</v>
      </c>
      <c r="I51" s="105" t="s">
        <v>271</v>
      </c>
      <c r="J51" s="60" t="s">
        <v>2714</v>
      </c>
      <c r="K51" s="106">
        <v>46168.434039351851</v>
      </c>
      <c r="L51" s="106">
        <v>46168.434039351851</v>
      </c>
      <c r="M51" s="106">
        <v>46168.443182870367</v>
      </c>
      <c r="N51" s="106">
        <v>46168.522939814815</v>
      </c>
      <c r="O51" s="106"/>
      <c r="P51" s="106"/>
      <c r="U51" s="60" t="s">
        <v>371</v>
      </c>
      <c r="Z51" s="107">
        <f t="shared" ca="1" si="5"/>
        <v>8.8900462964375038E-2</v>
      </c>
      <c r="AA51" s="108">
        <f t="shared" ca="1" si="6"/>
        <v>0.23706790123833343</v>
      </c>
      <c r="AB51" s="107">
        <f t="shared" ca="1" si="7"/>
        <v>8.8900462964375038E-2</v>
      </c>
      <c r="AC51" s="108">
        <f t="shared" ca="1" si="8"/>
        <v>0.23706790123833343</v>
      </c>
      <c r="AD51" s="107">
        <f t="shared" ca="1" si="2"/>
        <v>9.1435185167938471E-3</v>
      </c>
      <c r="AE51" s="107">
        <f t="shared" ca="1" si="3"/>
        <v>8.8900462964375038E-2</v>
      </c>
      <c r="AF51" s="108">
        <f t="shared" ca="1" si="9"/>
        <v>0.23706790123833343</v>
      </c>
      <c r="AG51" s="108">
        <f t="shared" ca="1" si="4"/>
        <v>0.23706790123833343</v>
      </c>
      <c r="AH51" s="61" t="str" cm="1">
        <f t="array" aca="1" ref="AH51" ca="1">IF((AD51) &lt; (INDEX(ResponseSLA[#All],(MATCH((G51),ResponseSLA[Priority],0))+1,3)),"YES","No")</f>
        <v>YES</v>
      </c>
      <c r="AI51" s="61" t="str">
        <f ca="1">_xlfn.IFNA(IF(AE51 &lt; (INDEX(SLATable[Minimum SLA],MATCH(G51,SLATable[Priority],0))),"YES","NO"),"")</f>
        <v>YES</v>
      </c>
      <c r="AJ51" s="61" t="str">
        <f ca="1">_xlfn.IFNA(IF(AE51 &lt; (INDEX(SLATable[Maximum SLA],MATCH(G51,SLATable[Priority],0))),"YES","NO"),"")</f>
        <v>YES</v>
      </c>
    </row>
    <row r="52" spans="1:36" s="60" customFormat="1" ht="15" hidden="1" customHeight="1">
      <c r="A52" s="60">
        <v>51</v>
      </c>
      <c r="B52" s="60" t="s">
        <v>26</v>
      </c>
      <c r="C52" s="60" t="s">
        <v>27</v>
      </c>
      <c r="D52" s="60" t="s">
        <v>207</v>
      </c>
      <c r="E52" s="60" t="s">
        <v>2806</v>
      </c>
      <c r="F52" s="60" t="s">
        <v>318</v>
      </c>
      <c r="G52" s="105">
        <v>3</v>
      </c>
      <c r="H52" s="212" t="s">
        <v>2707</v>
      </c>
      <c r="I52" s="105" t="s">
        <v>271</v>
      </c>
      <c r="J52" s="60" t="s">
        <v>2708</v>
      </c>
      <c r="K52" s="106">
        <v>46168.580879629626</v>
      </c>
      <c r="L52" s="106">
        <v>46168.585775462961</v>
      </c>
      <c r="M52" s="106">
        <v>46168.597824074073</v>
      </c>
      <c r="N52" s="106">
        <v>46169.242071759261</v>
      </c>
      <c r="O52" s="106"/>
      <c r="P52" s="106"/>
      <c r="Q52" s="60" t="s">
        <v>2709</v>
      </c>
      <c r="S52" s="60" t="s">
        <v>165</v>
      </c>
      <c r="U52" s="60" t="s">
        <v>371</v>
      </c>
      <c r="Z52" s="107">
        <f t="shared" ca="1" si="5"/>
        <v>0.12745370370733633</v>
      </c>
      <c r="AA52" s="108">
        <f t="shared" ca="1" si="6"/>
        <v>0.33987654321956356</v>
      </c>
      <c r="AB52" s="107">
        <f t="shared" ca="1" si="7"/>
        <v>0.12255787037186872</v>
      </c>
      <c r="AC52" s="108">
        <f t="shared" ca="1" si="8"/>
        <v>0.32682098765831658</v>
      </c>
      <c r="AD52" s="107">
        <f t="shared" ca="1" si="2"/>
        <v>1.2048611111822538E-2</v>
      </c>
      <c r="AE52" s="107">
        <f t="shared" ca="1" si="3"/>
        <v>0.12255787037186872</v>
      </c>
      <c r="AF52" s="108">
        <f t="shared" ca="1" si="9"/>
        <v>0.32682098765831658</v>
      </c>
      <c r="AG52" s="108">
        <f t="shared" ca="1" si="4"/>
        <v>0.32682098765831658</v>
      </c>
      <c r="AH52" s="61" t="str" cm="1">
        <f t="array" aca="1" ref="AH52" ca="1">IF((AD52) &lt; (INDEX(ResponseSLA[#All],(MATCH((G52),ResponseSLA[Priority],0))+1,3)),"YES","No")</f>
        <v>YES</v>
      </c>
      <c r="AI52" s="61" t="str">
        <f ca="1">_xlfn.IFNA(IF(AE52 &lt; (INDEX(SLATable[Minimum SLA],MATCH(G52,SLATable[Priority],0))),"YES","NO"),"")</f>
        <v>YES</v>
      </c>
      <c r="AJ52" s="61" t="str">
        <f ca="1">_xlfn.IFNA(IF(AE52 &lt; (INDEX(SLATable[Maximum SLA],MATCH(G52,SLATable[Priority],0))),"YES","NO"),"")</f>
        <v>YES</v>
      </c>
    </row>
    <row r="53" spans="1:36" s="60" customFormat="1" ht="15" hidden="1" customHeight="1">
      <c r="A53" s="60">
        <v>52</v>
      </c>
      <c r="B53" s="60" t="s">
        <v>26</v>
      </c>
      <c r="C53" s="60" t="s">
        <v>27</v>
      </c>
      <c r="D53" s="60" t="s">
        <v>207</v>
      </c>
      <c r="E53" s="60" t="s">
        <v>2807</v>
      </c>
      <c r="F53" s="60" t="s">
        <v>318</v>
      </c>
      <c r="G53" s="105">
        <v>3</v>
      </c>
      <c r="H53" s="212" t="s">
        <v>2775</v>
      </c>
      <c r="I53" s="105" t="s">
        <v>271</v>
      </c>
      <c r="J53" s="60" t="s">
        <v>2772</v>
      </c>
      <c r="K53" s="106">
        <v>46168.52071759259</v>
      </c>
      <c r="L53" s="106">
        <v>46168.52071759259</v>
      </c>
      <c r="M53" s="106">
        <v>46168.590486111112</v>
      </c>
      <c r="N53" s="106">
        <v>46169.450462962966</v>
      </c>
      <c r="O53" s="106"/>
      <c r="P53" s="106"/>
      <c r="Q53" s="60" t="s">
        <v>2776</v>
      </c>
      <c r="R53" s="60" t="s">
        <v>272</v>
      </c>
      <c r="S53" s="60" t="s">
        <v>149</v>
      </c>
      <c r="T53" s="60" t="s">
        <v>2773</v>
      </c>
      <c r="U53" s="60" t="s">
        <v>371</v>
      </c>
      <c r="Z53" s="107">
        <f t="shared" ca="1" si="5"/>
        <v>0.3047453703766223</v>
      </c>
      <c r="AA53" s="108">
        <f t="shared" ca="1" si="6"/>
        <v>0.81265432100432611</v>
      </c>
      <c r="AB53" s="107">
        <f t="shared" ca="1" si="7"/>
        <v>0.3047453703766223</v>
      </c>
      <c r="AC53" s="108">
        <f t="shared" ca="1" si="8"/>
        <v>0.81265432100432611</v>
      </c>
      <c r="AD53" s="107">
        <f t="shared" ca="1" si="2"/>
        <v>6.9768518522323575E-2</v>
      </c>
      <c r="AE53" s="107">
        <f t="shared" ca="1" si="3"/>
        <v>0.3047453703766223</v>
      </c>
      <c r="AF53" s="108">
        <f t="shared" ca="1" si="9"/>
        <v>0.81265432100432611</v>
      </c>
      <c r="AG53" s="108">
        <f t="shared" ca="1" si="4"/>
        <v>0.81265432100432611</v>
      </c>
      <c r="AH53" s="61" t="str" cm="1">
        <f t="array" aca="1" ref="AH53" ca="1">IF((AD53) &lt; (INDEX(ResponseSLA[#All],(MATCH((G53),ResponseSLA[Priority],0))+1,3)),"YES","No")</f>
        <v>YES</v>
      </c>
      <c r="AI53" s="61" t="str">
        <f ca="1">_xlfn.IFNA(IF(AE53 &lt; (INDEX(SLATable[Minimum SLA],MATCH(G53,SLATable[Priority],0))),"YES","NO"),"")</f>
        <v>YES</v>
      </c>
      <c r="AJ53" s="61" t="str">
        <f ca="1">_xlfn.IFNA(IF(AE53 &lt; (INDEX(SLATable[Maximum SLA],MATCH(G53,SLATable[Priority],0))),"YES","NO"),"")</f>
        <v>YES</v>
      </c>
    </row>
    <row r="54" spans="1:36" s="60" customFormat="1" ht="15" hidden="1" customHeight="1">
      <c r="A54" s="60">
        <v>53</v>
      </c>
      <c r="B54" s="60" t="s">
        <v>26</v>
      </c>
      <c r="C54" s="60" t="s">
        <v>27</v>
      </c>
      <c r="D54" s="60" t="s">
        <v>207</v>
      </c>
      <c r="E54" s="60" t="s">
        <v>2754</v>
      </c>
      <c r="F54" s="60" t="s">
        <v>318</v>
      </c>
      <c r="G54" s="105">
        <v>4</v>
      </c>
      <c r="H54" s="212" t="s">
        <v>2755</v>
      </c>
      <c r="I54" s="105" t="s">
        <v>271</v>
      </c>
      <c r="J54" s="60" t="s">
        <v>2703</v>
      </c>
      <c r="K54" s="106">
        <v>46164.415393518517</v>
      </c>
      <c r="L54" s="106">
        <v>46168.494664351849</v>
      </c>
      <c r="M54" s="106">
        <v>46168.563506944447</v>
      </c>
      <c r="N54" s="106">
        <v>46175.31585648148</v>
      </c>
      <c r="O54" s="106">
        <v>46175.31082175926</v>
      </c>
      <c r="P54" s="106"/>
      <c r="U54" s="60" t="s">
        <v>428</v>
      </c>
      <c r="Z54" s="107">
        <f t="shared" ca="1" si="5"/>
        <v>2.1679398148165401</v>
      </c>
      <c r="AA54" s="108">
        <f t="shared" ca="1" si="6"/>
        <v>5.7811728395107735</v>
      </c>
      <c r="AB54" s="107">
        <f t="shared" ca="1" si="7"/>
        <v>1.7136689814845645</v>
      </c>
      <c r="AC54" s="108">
        <f t="shared" ca="1" si="8"/>
        <v>4.5697839506255047</v>
      </c>
      <c r="AD54" s="107">
        <f t="shared" ca="1" si="2"/>
        <v>6.8842592598230112E-2</v>
      </c>
      <c r="AE54" s="107">
        <f t="shared" ca="1" si="3"/>
        <v>2.0430902777855713</v>
      </c>
      <c r="AF54" s="108">
        <f t="shared" ca="1" si="9"/>
        <v>5.4482407407615234</v>
      </c>
      <c r="AG54" s="108">
        <f t="shared" ca="1" si="4"/>
        <v>5.4482407407615234</v>
      </c>
      <c r="AH54" s="61" t="str" cm="1">
        <f t="array" aca="1" ref="AH54" ca="1">IF((AD54) &lt; (INDEX(ResponseSLA[#All],(MATCH((G54),ResponseSLA[Priority],0))+1,3)),"YES","No")</f>
        <v>YES</v>
      </c>
      <c r="AI54" s="61" t="str">
        <f ca="1">_xlfn.IFNA(IF(AE54 &lt; (INDEX(SLATable[Minimum SLA],MATCH(G54,SLATable[Priority],0))),"YES","NO"),"")</f>
        <v>YES</v>
      </c>
      <c r="AJ54" s="61" t="str">
        <f ca="1">_xlfn.IFNA(IF(AE54 &lt; (INDEX(SLATable[Maximum SLA],MATCH(G54,SLATable[Priority],0))),"YES","NO"),"")</f>
        <v>YES</v>
      </c>
    </row>
    <row r="55" spans="1:36" s="60" customFormat="1" ht="15" hidden="1" customHeight="1">
      <c r="A55" s="60">
        <v>54</v>
      </c>
      <c r="B55" s="60" t="s">
        <v>26</v>
      </c>
      <c r="C55" s="60" t="s">
        <v>27</v>
      </c>
      <c r="D55" s="60" t="s">
        <v>207</v>
      </c>
      <c r="E55" s="60" t="s">
        <v>2808</v>
      </c>
      <c r="F55" s="60" t="s">
        <v>318</v>
      </c>
      <c r="G55" s="105">
        <v>3</v>
      </c>
      <c r="H55" s="212" t="s">
        <v>2724</v>
      </c>
      <c r="I55" s="105" t="s">
        <v>271</v>
      </c>
      <c r="J55" s="60" t="s">
        <v>2725</v>
      </c>
      <c r="K55" s="106">
        <v>46168.760995370372</v>
      </c>
      <c r="L55" s="106">
        <v>46168.760995370372</v>
      </c>
      <c r="M55" s="106">
        <v>46169.228807870371</v>
      </c>
      <c r="N55" s="106">
        <v>46169.237037037034</v>
      </c>
      <c r="O55" s="106"/>
      <c r="P55" s="106"/>
      <c r="Q55" s="60" t="s">
        <v>2726</v>
      </c>
      <c r="R55" s="60" t="s">
        <v>272</v>
      </c>
      <c r="S55" s="60" t="s">
        <v>149</v>
      </c>
      <c r="U55" s="60" t="s">
        <v>371</v>
      </c>
      <c r="Z55" s="107">
        <f t="shared" ca="1" si="5"/>
        <v>0</v>
      </c>
      <c r="AA55" s="108">
        <f t="shared" ca="1" si="6"/>
        <v>0</v>
      </c>
      <c r="AB55" s="107">
        <f t="shared" ca="1" si="7"/>
        <v>0</v>
      </c>
      <c r="AC55" s="108">
        <f t="shared" ca="1" si="8"/>
        <v>0</v>
      </c>
      <c r="AD55" s="107">
        <f t="shared" ca="1" si="2"/>
        <v>0</v>
      </c>
      <c r="AE55" s="107">
        <f t="shared" ca="1" si="3"/>
        <v>0</v>
      </c>
      <c r="AF55" s="108">
        <f t="shared" ca="1" si="9"/>
        <v>0</v>
      </c>
      <c r="AG55" s="108">
        <f t="shared" ca="1" si="4"/>
        <v>0</v>
      </c>
      <c r="AH55" s="61" t="str" cm="1">
        <f t="array" aca="1" ref="AH55" ca="1">IF((AD55) &lt; (INDEX(ResponseSLA[#All],(MATCH((G55),ResponseSLA[Priority],0))+1,3)),"YES","No")</f>
        <v>YES</v>
      </c>
      <c r="AI55" s="61" t="str">
        <f ca="1">_xlfn.IFNA(IF(AE55 &lt; (INDEX(SLATable[Minimum SLA],MATCH(G55,SLATable[Priority],0))),"YES","NO"),"")</f>
        <v>YES</v>
      </c>
      <c r="AJ55" s="61" t="str">
        <f ca="1">_xlfn.IFNA(IF(AE55 &lt; (INDEX(SLATable[Maximum SLA],MATCH(G55,SLATable[Priority],0))),"YES","NO"),"")</f>
        <v>YES</v>
      </c>
    </row>
    <row r="56" spans="1:36" s="60" customFormat="1" ht="15" hidden="1" customHeight="1">
      <c r="A56" s="60">
        <v>55</v>
      </c>
      <c r="B56" s="60" t="s">
        <v>26</v>
      </c>
      <c r="C56" s="60" t="s">
        <v>27</v>
      </c>
      <c r="D56" s="60" t="s">
        <v>207</v>
      </c>
      <c r="E56" s="60" t="s">
        <v>2809</v>
      </c>
      <c r="F56" s="60" t="s">
        <v>318</v>
      </c>
      <c r="G56" s="105">
        <v>3</v>
      </c>
      <c r="H56" s="212" t="s">
        <v>2724</v>
      </c>
      <c r="I56" s="105" t="s">
        <v>271</v>
      </c>
      <c r="J56" s="60" t="s">
        <v>2772</v>
      </c>
      <c r="K56" s="106">
        <v>46169.012372685182</v>
      </c>
      <c r="L56" s="106">
        <v>46169.012372685182</v>
      </c>
      <c r="M56" s="106">
        <v>46169.22928240741</v>
      </c>
      <c r="N56" s="106">
        <v>46169.451481481483</v>
      </c>
      <c r="O56" s="106"/>
      <c r="P56" s="106"/>
      <c r="Q56" s="60" t="s">
        <v>2726</v>
      </c>
      <c r="R56" s="60" t="s">
        <v>272</v>
      </c>
      <c r="S56" s="60" t="s">
        <v>149</v>
      </c>
      <c r="T56" s="60" t="s">
        <v>2773</v>
      </c>
      <c r="U56" s="60" t="s">
        <v>371</v>
      </c>
      <c r="Z56" s="107">
        <f t="shared" ca="1" si="5"/>
        <v>0.1181481481495818</v>
      </c>
      <c r="AA56" s="108">
        <f t="shared" ca="1" si="6"/>
        <v>0.3150617283988848</v>
      </c>
      <c r="AB56" s="107">
        <f t="shared" ca="1" si="7"/>
        <v>0.1181481481495818</v>
      </c>
      <c r="AC56" s="108">
        <f t="shared" ca="1" si="8"/>
        <v>0.3150617283988848</v>
      </c>
      <c r="AD56" s="107">
        <f t="shared" ca="1" si="2"/>
        <v>0</v>
      </c>
      <c r="AE56" s="107">
        <f t="shared" ca="1" si="3"/>
        <v>0.1181481481495818</v>
      </c>
      <c r="AF56" s="108">
        <f t="shared" ca="1" si="9"/>
        <v>0.3150617283988848</v>
      </c>
      <c r="AG56" s="108">
        <f t="shared" ca="1" si="4"/>
        <v>0.3150617283988848</v>
      </c>
      <c r="AH56" s="61" t="str" cm="1">
        <f t="array" aca="1" ref="AH56" ca="1">IF((AD56) &lt; (INDEX(ResponseSLA[#All],(MATCH((G56),ResponseSLA[Priority],0))+1,3)),"YES","No")</f>
        <v>YES</v>
      </c>
      <c r="AI56" s="61" t="str">
        <f ca="1">_xlfn.IFNA(IF(AE56 &lt; (INDEX(SLATable[Minimum SLA],MATCH(G56,SLATable[Priority],0))),"YES","NO"),"")</f>
        <v>YES</v>
      </c>
      <c r="AJ56" s="61" t="str">
        <f ca="1">_xlfn.IFNA(IF(AE56 &lt; (INDEX(SLATable[Maximum SLA],MATCH(G56,SLATable[Priority],0))),"YES","NO"),"")</f>
        <v>YES</v>
      </c>
    </row>
    <row r="57" spans="1:36" s="60" customFormat="1" ht="15" customHeight="1">
      <c r="A57" s="60">
        <v>56</v>
      </c>
      <c r="B57" s="60" t="s">
        <v>26</v>
      </c>
      <c r="C57" s="60" t="s">
        <v>54</v>
      </c>
      <c r="D57" s="60" t="s">
        <v>207</v>
      </c>
      <c r="E57" s="60" t="s">
        <v>2810</v>
      </c>
      <c r="F57" s="60" t="s">
        <v>53</v>
      </c>
      <c r="G57" s="105">
        <v>3</v>
      </c>
      <c r="H57" s="212" t="s">
        <v>2811</v>
      </c>
      <c r="I57" s="105" t="s">
        <v>275</v>
      </c>
      <c r="J57" s="291" t="s">
        <v>2714</v>
      </c>
      <c r="K57" s="106">
        <v>46168.849085648151</v>
      </c>
      <c r="L57" s="106">
        <v>46168.849085648151</v>
      </c>
      <c r="M57" s="106">
        <v>46169.356226851851</v>
      </c>
      <c r="N57" s="106">
        <v>46169.356226851851</v>
      </c>
      <c r="O57" s="106"/>
      <c r="P57" s="106"/>
      <c r="U57" s="60" t="s">
        <v>371</v>
      </c>
      <c r="Z57" s="107">
        <f t="shared" ca="1" si="5"/>
        <v>2.2893518517472899E-2</v>
      </c>
      <c r="AA57" s="108">
        <f t="shared" ca="1" si="6"/>
        <v>6.1049382713261068E-2</v>
      </c>
      <c r="AB57" s="107">
        <f t="shared" ca="1" si="7"/>
        <v>2.2893518517472899E-2</v>
      </c>
      <c r="AC57" s="108">
        <f t="shared" ca="1" si="8"/>
        <v>6.1049382713261068E-2</v>
      </c>
      <c r="AD57" s="107">
        <f t="shared" ca="1" si="2"/>
        <v>2.2893518517472955E-2</v>
      </c>
      <c r="AE57" s="107">
        <f t="shared" ca="1" si="3"/>
        <v>2.2893518517472899E-2</v>
      </c>
      <c r="AF57" s="108">
        <f t="shared" ca="1" si="9"/>
        <v>6.1049382713261068E-2</v>
      </c>
      <c r="AG57" s="108">
        <f t="shared" ca="1" si="4"/>
        <v>6.1049382713261068E-2</v>
      </c>
      <c r="AH57" s="61" t="str" cm="1">
        <f t="array" aca="1" ref="AH57" ca="1">IF((AD57) &lt; (INDEX(ResponseSLA[#All],(MATCH((G57),ResponseSLA[Priority],0))+1,3)),"YES","No")</f>
        <v>YES</v>
      </c>
      <c r="AI57" s="61" t="str">
        <f ca="1">_xlfn.IFNA(IF(AE57 &lt; (INDEX(SLATable[Minimum SLA],MATCH(G57,SLATable[Priority],0))),"YES","NO"),"")</f>
        <v>YES</v>
      </c>
      <c r="AJ57" s="61" t="str">
        <f ca="1">_xlfn.IFNA(IF(AE57 &lt; (INDEX(SLATable[Maximum SLA],MATCH(G57,SLATable[Priority],0))),"YES","NO"),"")</f>
        <v>YES</v>
      </c>
    </row>
    <row r="58" spans="1:36" s="60" customFormat="1" ht="15" customHeight="1">
      <c r="A58" s="60">
        <v>57</v>
      </c>
      <c r="B58" s="60" t="s">
        <v>26</v>
      </c>
      <c r="C58" s="60" t="s">
        <v>54</v>
      </c>
      <c r="D58" s="60" t="s">
        <v>207</v>
      </c>
      <c r="E58" s="60" t="s">
        <v>2812</v>
      </c>
      <c r="F58" s="60" t="s">
        <v>53</v>
      </c>
      <c r="G58" s="105">
        <v>3</v>
      </c>
      <c r="H58" s="212" t="s">
        <v>2813</v>
      </c>
      <c r="I58" s="105" t="s">
        <v>275</v>
      </c>
      <c r="J58" s="291" t="s">
        <v>2694</v>
      </c>
      <c r="K58" s="106">
        <v>46169.167129629626</v>
      </c>
      <c r="L58" s="106">
        <v>46169.167129629626</v>
      </c>
      <c r="M58" s="106">
        <v>46169.356944444444</v>
      </c>
      <c r="N58" s="106">
        <v>46169.420868055553</v>
      </c>
      <c r="O58" s="106"/>
      <c r="P58" s="106"/>
      <c r="U58" s="60" t="s">
        <v>371</v>
      </c>
      <c r="Z58" s="107">
        <f t="shared" ca="1" si="5"/>
        <v>8.7534722219667571E-2</v>
      </c>
      <c r="AA58" s="108">
        <f t="shared" ca="1" si="6"/>
        <v>0.23342592591911351</v>
      </c>
      <c r="AB58" s="107">
        <f t="shared" ca="1" si="7"/>
        <v>8.7534722219667571E-2</v>
      </c>
      <c r="AC58" s="108">
        <f t="shared" ca="1" si="8"/>
        <v>0.23342592591911351</v>
      </c>
      <c r="AD58" s="107">
        <f t="shared" ca="1" si="2"/>
        <v>2.3611111110464378E-2</v>
      </c>
      <c r="AE58" s="107">
        <f t="shared" ca="1" si="3"/>
        <v>8.7534722219667571E-2</v>
      </c>
      <c r="AF58" s="108">
        <f t="shared" ca="1" si="9"/>
        <v>0.23342592591911351</v>
      </c>
      <c r="AG58" s="108">
        <f t="shared" ca="1" si="4"/>
        <v>0.23342592591911351</v>
      </c>
      <c r="AH58" s="61" t="str" cm="1">
        <f t="array" aca="1" ref="AH58" ca="1">IF((AD58) &lt; (INDEX(ResponseSLA[#All],(MATCH((G58),ResponseSLA[Priority],0))+1,3)),"YES","No")</f>
        <v>YES</v>
      </c>
      <c r="AI58" s="61" t="str">
        <f ca="1">_xlfn.IFNA(IF(AE58 &lt; (INDEX(SLATable[Minimum SLA],MATCH(G58,SLATable[Priority],0))),"YES","NO"),"")</f>
        <v>YES</v>
      </c>
      <c r="AJ58" s="61" t="str">
        <f ca="1">_xlfn.IFNA(IF(AE58 &lt; (INDEX(SLATable[Maximum SLA],MATCH(G58,SLATable[Priority],0))),"YES","NO"),"")</f>
        <v>YES</v>
      </c>
    </row>
    <row r="59" spans="1:36" s="60" customFormat="1" ht="15" customHeight="1">
      <c r="A59" s="60">
        <v>58</v>
      </c>
      <c r="B59" s="60" t="s">
        <v>26</v>
      </c>
      <c r="C59" s="60" t="s">
        <v>54</v>
      </c>
      <c r="D59" s="60" t="s">
        <v>207</v>
      </c>
      <c r="E59" s="60" t="s">
        <v>2814</v>
      </c>
      <c r="F59" s="60" t="s">
        <v>53</v>
      </c>
      <c r="G59" s="105">
        <v>3</v>
      </c>
      <c r="H59" s="212" t="s">
        <v>2815</v>
      </c>
      <c r="I59" s="105" t="s">
        <v>266</v>
      </c>
      <c r="J59" s="291" t="s">
        <v>2708</v>
      </c>
      <c r="K59" s="106">
        <v>46169.293773148151</v>
      </c>
      <c r="L59" s="106">
        <v>46169.293773148151</v>
      </c>
      <c r="M59" s="106">
        <v>46169.358067129629</v>
      </c>
      <c r="N59" s="106"/>
      <c r="O59" s="106">
        <v>46169.464988425927</v>
      </c>
      <c r="P59" s="106"/>
      <c r="Q59" s="60" t="s">
        <v>2816</v>
      </c>
      <c r="R59" s="60" t="s">
        <v>272</v>
      </c>
      <c r="S59" s="60" t="s">
        <v>153</v>
      </c>
      <c r="U59" s="60" t="s">
        <v>371</v>
      </c>
      <c r="Z59" s="107">
        <f t="shared" ca="1" si="5"/>
        <v>24.300643171295334</v>
      </c>
      <c r="AA59" s="108">
        <f t="shared" ca="1" si="6"/>
        <v>64.80171512345423</v>
      </c>
      <c r="AB59" s="107">
        <f t="shared" ca="1" si="7"/>
        <v>0.13165509259367053</v>
      </c>
      <c r="AC59" s="108">
        <f t="shared" ca="1" si="8"/>
        <v>0.35108024691645473</v>
      </c>
      <c r="AD59" s="107">
        <f t="shared" ca="1" si="2"/>
        <v>2.4733796296156185E-2</v>
      </c>
      <c r="AE59" s="107">
        <f t="shared" ca="1" si="3"/>
        <v>0.13165509259367053</v>
      </c>
      <c r="AF59" s="108">
        <f t="shared" ca="1" si="9"/>
        <v>0.35108024691645473</v>
      </c>
      <c r="AG59" s="108">
        <f t="shared" ca="1" si="4"/>
        <v>0.35108024691645473</v>
      </c>
      <c r="AH59" s="61" t="str" cm="1">
        <f t="array" aca="1" ref="AH59" ca="1">IF((AD59) &lt; (INDEX(ResponseSLA[#All],(MATCH((G59),ResponseSLA[Priority],0))+1,3)),"YES","No")</f>
        <v>YES</v>
      </c>
      <c r="AI59" s="61" t="str">
        <f ca="1">_xlfn.IFNA(IF(AE59 &lt; (INDEX(SLATable[Minimum SLA],MATCH(G59,SLATable[Priority],0))),"YES","NO"),"")</f>
        <v>YES</v>
      </c>
      <c r="AJ59" s="61" t="str">
        <f ca="1">_xlfn.IFNA(IF(AE59 &lt; (INDEX(SLATable[Maximum SLA],MATCH(G59,SLATable[Priority],0))),"YES","NO"),"")</f>
        <v>YES</v>
      </c>
    </row>
    <row r="60" spans="1:36" s="60" customFormat="1" ht="15" hidden="1" customHeight="1">
      <c r="A60" s="60">
        <v>59</v>
      </c>
      <c r="B60" s="60" t="s">
        <v>26</v>
      </c>
      <c r="C60" s="60" t="s">
        <v>27</v>
      </c>
      <c r="D60" s="60" t="s">
        <v>208</v>
      </c>
      <c r="E60" s="60" t="s">
        <v>2721</v>
      </c>
      <c r="F60" s="60" t="s">
        <v>322</v>
      </c>
      <c r="G60" s="105" t="s">
        <v>208</v>
      </c>
      <c r="H60" s="212" t="s">
        <v>2722</v>
      </c>
      <c r="I60" s="105" t="s">
        <v>271</v>
      </c>
      <c r="J60" s="60" t="s">
        <v>2717</v>
      </c>
      <c r="K60" s="106">
        <v>46162.351446759261</v>
      </c>
      <c r="L60" s="106">
        <v>46162.412881944445</v>
      </c>
      <c r="M60" s="106">
        <v>46162.448541666665</v>
      </c>
      <c r="N60" s="106">
        <v>46176.46</v>
      </c>
      <c r="O60" s="106"/>
      <c r="P60" s="106"/>
      <c r="Q60" s="60" t="s">
        <v>2817</v>
      </c>
      <c r="R60" s="60" t="s">
        <v>276</v>
      </c>
      <c r="S60" s="60" t="s">
        <v>175</v>
      </c>
      <c r="T60" s="60" t="s">
        <v>268</v>
      </c>
      <c r="U60" s="60" t="s">
        <v>428</v>
      </c>
      <c r="Z60" s="107">
        <f t="shared" ca="1" si="5"/>
        <v>3.48355324073782</v>
      </c>
      <c r="AA60" s="108">
        <f t="shared" ca="1" si="6"/>
        <v>9.2894753086341879</v>
      </c>
      <c r="AB60" s="107">
        <f t="shared" ca="1" si="7"/>
        <v>3.4221180555541655</v>
      </c>
      <c r="AC60" s="108">
        <f t="shared" ca="1" si="8"/>
        <v>9.1256481481444425</v>
      </c>
      <c r="AD60" s="107">
        <f t="shared" ca="1" si="2"/>
        <v>3.5659722219861578E-2</v>
      </c>
      <c r="AE60" s="107">
        <f t="shared" ca="1" si="3"/>
        <v>29.14321261573787</v>
      </c>
      <c r="AF60" s="108">
        <f t="shared" ca="1" si="9"/>
        <v>77.715233641967657</v>
      </c>
      <c r="AG60" s="108">
        <f t="shared" ca="1" si="4"/>
        <v>77.715233641967657</v>
      </c>
      <c r="AH60" s="61" t="str" cm="1">
        <f t="array" aca="1" ref="AH60" ca="1">IF((AD60) &lt; (INDEX(ResponseSLA[#All],(MATCH((G60),ResponseSLA[Priority],0))+1,3)),"YES","No")</f>
        <v>YES</v>
      </c>
      <c r="AI60" s="61" t="str">
        <f ca="1">_xlfn.IFNA(IF(AE60 &lt; (INDEX(SLATable[Minimum SLA],MATCH(G60,SLATable[Priority],0))),"YES","NO"),"")</f>
        <v>NO</v>
      </c>
      <c r="AJ60" s="61" t="str">
        <f ca="1">_xlfn.IFNA(IF(AE60 &lt; (INDEX(SLATable[Maximum SLA],MATCH(G60,SLATable[Priority],0))),"YES","NO"),"")</f>
        <v>NO</v>
      </c>
    </row>
    <row r="61" spans="1:36" s="60" customFormat="1" ht="15" hidden="1" customHeight="1">
      <c r="A61" s="60">
        <v>60</v>
      </c>
      <c r="B61" s="60" t="s">
        <v>26</v>
      </c>
      <c r="C61" s="60" t="s">
        <v>27</v>
      </c>
      <c r="D61" s="60" t="s">
        <v>208</v>
      </c>
      <c r="E61" s="60" t="s">
        <v>2818</v>
      </c>
      <c r="F61" s="60" t="s">
        <v>318</v>
      </c>
      <c r="G61" s="105" t="s">
        <v>208</v>
      </c>
      <c r="H61" s="212" t="s">
        <v>2819</v>
      </c>
      <c r="I61" s="105" t="s">
        <v>271</v>
      </c>
      <c r="J61" s="60" t="s">
        <v>2725</v>
      </c>
      <c r="K61" s="106">
        <v>46170.372766203705</v>
      </c>
      <c r="L61" s="106">
        <v>46170.372800925928</v>
      </c>
      <c r="M61" s="106">
        <v>46170.517708333333</v>
      </c>
      <c r="N61" s="106">
        <v>46174.537361111114</v>
      </c>
      <c r="O61" s="106"/>
      <c r="P61" s="106"/>
      <c r="U61" s="60" t="s">
        <v>371</v>
      </c>
      <c r="Z61" s="107">
        <f t="shared" ca="1" si="5"/>
        <v>0.91459490740817273</v>
      </c>
      <c r="AA61" s="108">
        <f t="shared" ca="1" si="6"/>
        <v>2.4389197530884608</v>
      </c>
      <c r="AB61" s="107">
        <f t="shared" ca="1" si="7"/>
        <v>0.91456018518510973</v>
      </c>
      <c r="AC61" s="108">
        <f t="shared" ca="1" si="8"/>
        <v>2.4388271604936258</v>
      </c>
      <c r="AD61" s="107">
        <f t="shared" ca="1" si="2"/>
        <v>0.14490740740438923</v>
      </c>
      <c r="AE61" s="107">
        <f t="shared" ca="1" si="3"/>
        <v>0.91456018518510973</v>
      </c>
      <c r="AF61" s="108">
        <f t="shared" ca="1" si="9"/>
        <v>2.4388271604936258</v>
      </c>
      <c r="AG61" s="108">
        <f t="shared" ca="1" si="4"/>
        <v>2.4388271604936258</v>
      </c>
      <c r="AH61" s="61" t="str" cm="1">
        <f t="array" aca="1" ref="AH61" ca="1">IF((AD61) &lt; (INDEX(ResponseSLA[#All],(MATCH((G61),ResponseSLA[Priority],0))+1,3)),"YES","No")</f>
        <v>YES</v>
      </c>
      <c r="AI61" s="61" t="str">
        <f ca="1">_xlfn.IFNA(IF(AE61 &lt; (INDEX(SLATable[Minimum SLA],MATCH(G61,SLATable[Priority],0))),"YES","NO"),"")</f>
        <v>NO</v>
      </c>
      <c r="AJ61" s="61" t="str">
        <f ca="1">_xlfn.IFNA(IF(AE61 &lt; (INDEX(SLATable[Maximum SLA],MATCH(G61,SLATable[Priority],0))),"YES","NO"),"")</f>
        <v>NO</v>
      </c>
    </row>
    <row r="62" spans="1:36" s="60" customFormat="1" ht="15" hidden="1" customHeight="1">
      <c r="A62" s="60">
        <v>61</v>
      </c>
      <c r="B62" s="60" t="s">
        <v>26</v>
      </c>
      <c r="C62" s="60" t="s">
        <v>27</v>
      </c>
      <c r="D62" s="60" t="s">
        <v>207</v>
      </c>
      <c r="E62" s="60" t="s">
        <v>2820</v>
      </c>
      <c r="F62" s="60" t="s">
        <v>318</v>
      </c>
      <c r="G62" s="105">
        <v>4</v>
      </c>
      <c r="H62" s="212" t="s">
        <v>2775</v>
      </c>
      <c r="I62" s="105" t="s">
        <v>271</v>
      </c>
      <c r="J62" s="60" t="s">
        <v>2725</v>
      </c>
      <c r="K62" s="106">
        <v>46170.053159722222</v>
      </c>
      <c r="L62" s="106">
        <v>46170.053159722222</v>
      </c>
      <c r="M62" s="106">
        <v>46170.238726851851</v>
      </c>
      <c r="N62" s="106">
        <v>46170.270891203705</v>
      </c>
      <c r="O62" s="106"/>
      <c r="P62" s="106"/>
      <c r="Q62" s="60" t="s">
        <v>2776</v>
      </c>
      <c r="R62" s="60" t="s">
        <v>272</v>
      </c>
      <c r="S62" s="60" t="s">
        <v>199</v>
      </c>
      <c r="U62" s="60" t="s">
        <v>428</v>
      </c>
      <c r="Z62" s="107">
        <f t="shared" ca="1" si="5"/>
        <v>0</v>
      </c>
      <c r="AA62" s="108">
        <f t="shared" ca="1" si="6"/>
        <v>0</v>
      </c>
      <c r="AB62" s="107">
        <f t="shared" ca="1" si="7"/>
        <v>0</v>
      </c>
      <c r="AC62" s="108">
        <f t="shared" ca="1" si="8"/>
        <v>0</v>
      </c>
      <c r="AD62" s="107">
        <f t="shared" ca="1" si="2"/>
        <v>0</v>
      </c>
      <c r="AE62" s="107">
        <f t="shared" ca="1" si="3"/>
        <v>0</v>
      </c>
      <c r="AF62" s="108">
        <f t="shared" ca="1" si="9"/>
        <v>0</v>
      </c>
      <c r="AG62" s="108">
        <f t="shared" ca="1" si="4"/>
        <v>0</v>
      </c>
      <c r="AH62" s="61" t="str" cm="1">
        <f t="array" aca="1" ref="AH62" ca="1">IF((AD62) &lt; (INDEX(ResponseSLA[#All],(MATCH((G62),ResponseSLA[Priority],0))+1,3)),"YES","No")</f>
        <v>YES</v>
      </c>
      <c r="AI62" s="61" t="str">
        <f ca="1">_xlfn.IFNA(IF(AE62 &lt; (INDEX(SLATable[Minimum SLA],MATCH(G62,SLATable[Priority],0))),"YES","NO"),"")</f>
        <v>YES</v>
      </c>
      <c r="AJ62" s="61" t="str">
        <f ca="1">_xlfn.IFNA(IF(AE62 &lt; (INDEX(SLATable[Maximum SLA],MATCH(G62,SLATable[Priority],0))),"YES","NO"),"")</f>
        <v>YES</v>
      </c>
    </row>
    <row r="63" spans="1:36" s="60" customFormat="1" ht="15" hidden="1" customHeight="1">
      <c r="A63" s="60">
        <v>62</v>
      </c>
      <c r="B63" s="60" t="s">
        <v>26</v>
      </c>
      <c r="C63" s="60" t="s">
        <v>27</v>
      </c>
      <c r="D63" s="60" t="s">
        <v>207</v>
      </c>
      <c r="E63" s="60" t="s">
        <v>2821</v>
      </c>
      <c r="F63" s="60" t="s">
        <v>318</v>
      </c>
      <c r="G63" s="105">
        <v>4</v>
      </c>
      <c r="H63" s="212" t="s">
        <v>2822</v>
      </c>
      <c r="I63" s="105" t="s">
        <v>271</v>
      </c>
      <c r="J63" s="60" t="s">
        <v>2703</v>
      </c>
      <c r="K63" s="106">
        <v>46170.078657407408</v>
      </c>
      <c r="L63" s="106">
        <v>46170.327164351853</v>
      </c>
      <c r="M63" s="106">
        <v>46170.445439814815</v>
      </c>
      <c r="N63" s="106">
        <v>46175.31821759259</v>
      </c>
      <c r="O63" s="106"/>
      <c r="P63" s="106"/>
      <c r="U63" s="60" t="s">
        <v>428</v>
      </c>
      <c r="Z63" s="107">
        <f t="shared" ca="1" si="5"/>
        <v>1.1250000000000002</v>
      </c>
      <c r="AA63" s="108">
        <f t="shared" ca="1" si="6"/>
        <v>3.0000000000000009</v>
      </c>
      <c r="AB63" s="107">
        <f t="shared" ca="1" si="7"/>
        <v>1.1250000000000002</v>
      </c>
      <c r="AC63" s="108">
        <f t="shared" ca="1" si="8"/>
        <v>3.0000000000000009</v>
      </c>
      <c r="AD63" s="107">
        <f t="shared" ca="1" si="2"/>
        <v>0.11210648148213903</v>
      </c>
      <c r="AE63" s="107">
        <f t="shared" ca="1" si="3"/>
        <v>2.2500000000000004</v>
      </c>
      <c r="AF63" s="108">
        <f t="shared" ca="1" si="9"/>
        <v>6.0000000000000018</v>
      </c>
      <c r="AG63" s="108">
        <f t="shared" ca="1" si="4"/>
        <v>6.0000000000000018</v>
      </c>
      <c r="AH63" s="61" t="str" cm="1">
        <f t="array" aca="1" ref="AH63" ca="1">IF((AD63) &lt; (INDEX(ResponseSLA[#All],(MATCH((G63),ResponseSLA[Priority],0))+1,3)),"YES","No")</f>
        <v>YES</v>
      </c>
      <c r="AI63" s="61" t="str">
        <f ca="1">_xlfn.IFNA(IF(AE63 &lt; (INDEX(SLATable[Minimum SLA],MATCH(G63,SLATable[Priority],0))),"YES","NO"),"")</f>
        <v>YES</v>
      </c>
      <c r="AJ63" s="61" t="str">
        <f ca="1">_xlfn.IFNA(IF(AE63 &lt; (INDEX(SLATable[Maximum SLA],MATCH(G63,SLATable[Priority],0))),"YES","NO"),"")</f>
        <v>YES</v>
      </c>
    </row>
    <row r="64" spans="1:36" s="60" customFormat="1" ht="15" hidden="1" customHeight="1">
      <c r="A64" s="60">
        <v>63</v>
      </c>
      <c r="B64" s="60" t="s">
        <v>26</v>
      </c>
      <c r="C64" s="60" t="s">
        <v>27</v>
      </c>
      <c r="D64" s="60" t="s">
        <v>207</v>
      </c>
      <c r="E64" s="60" t="s">
        <v>2823</v>
      </c>
      <c r="F64" s="60" t="s">
        <v>318</v>
      </c>
      <c r="G64" s="105">
        <v>4</v>
      </c>
      <c r="H64" s="212" t="s">
        <v>2724</v>
      </c>
      <c r="I64" s="105" t="s">
        <v>271</v>
      </c>
      <c r="J64" s="60" t="s">
        <v>2772</v>
      </c>
      <c r="K64" s="106">
        <v>46170.3752662037</v>
      </c>
      <c r="L64" s="106">
        <v>46170.3752662037</v>
      </c>
      <c r="M64" s="106">
        <v>46170.442627314813</v>
      </c>
      <c r="N64" s="106">
        <v>46171.195891203701</v>
      </c>
      <c r="O64" s="106"/>
      <c r="P64" s="106"/>
      <c r="Q64" s="60" t="s">
        <v>2726</v>
      </c>
      <c r="R64" s="60" t="s">
        <v>272</v>
      </c>
      <c r="S64" s="60" t="s">
        <v>149</v>
      </c>
      <c r="T64" s="60" t="s">
        <v>2773</v>
      </c>
      <c r="U64" s="60" t="s">
        <v>371</v>
      </c>
      <c r="Z64" s="107">
        <f t="shared" ca="1" si="5"/>
        <v>0.33306712963288498</v>
      </c>
      <c r="AA64" s="108">
        <f t="shared" ca="1" si="6"/>
        <v>0.88817901235435992</v>
      </c>
      <c r="AB64" s="107">
        <f t="shared" ca="1" si="7"/>
        <v>0.33306712963288498</v>
      </c>
      <c r="AC64" s="108">
        <f t="shared" ca="1" si="8"/>
        <v>0.88817901235435992</v>
      </c>
      <c r="AD64" s="107">
        <f t="shared" ca="1" si="2"/>
        <v>6.7361111112404615E-2</v>
      </c>
      <c r="AE64" s="107">
        <f t="shared" ca="1" si="3"/>
        <v>0.66613425926576997</v>
      </c>
      <c r="AF64" s="108">
        <f t="shared" ca="1" si="9"/>
        <v>1.7763580247087198</v>
      </c>
      <c r="AG64" s="108">
        <f t="shared" ca="1" si="4"/>
        <v>1.7763580247087198</v>
      </c>
      <c r="AH64" s="61" t="str" cm="1">
        <f t="array" aca="1" ref="AH64" ca="1">IF((AD64) &lt; (INDEX(ResponseSLA[#All],(MATCH((G64),ResponseSLA[Priority],0))+1,3)),"YES","No")</f>
        <v>YES</v>
      </c>
      <c r="AI64" s="61" t="str">
        <f ca="1">_xlfn.IFNA(IF(AE64 &lt; (INDEX(SLATable[Minimum SLA],MATCH(G64,SLATable[Priority],0))),"YES","NO"),"")</f>
        <v>YES</v>
      </c>
      <c r="AJ64" s="61" t="str">
        <f ca="1">_xlfn.IFNA(IF(AE64 &lt; (INDEX(SLATable[Maximum SLA],MATCH(G64,SLATable[Priority],0))),"YES","NO"),"")</f>
        <v>YES</v>
      </c>
    </row>
    <row r="65" spans="1:36" s="60" customFormat="1" ht="15" hidden="1" customHeight="1">
      <c r="A65" s="60">
        <v>64</v>
      </c>
      <c r="B65" s="60" t="s">
        <v>26</v>
      </c>
      <c r="C65" s="60" t="s">
        <v>27</v>
      </c>
      <c r="D65" s="60" t="s">
        <v>207</v>
      </c>
      <c r="E65" s="60" t="s">
        <v>2824</v>
      </c>
      <c r="F65" s="60" t="s">
        <v>318</v>
      </c>
      <c r="G65" s="105">
        <v>3</v>
      </c>
      <c r="H65" s="212" t="s">
        <v>2707</v>
      </c>
      <c r="I65" s="105" t="s">
        <v>271</v>
      </c>
      <c r="J65" s="60" t="s">
        <v>2708</v>
      </c>
      <c r="K65" s="106">
        <v>46169.699328703704</v>
      </c>
      <c r="L65" s="106">
        <v>46169.700590277775</v>
      </c>
      <c r="M65" s="106">
        <v>46170.236620370371</v>
      </c>
      <c r="N65" s="106">
        <v>46170.244872685187</v>
      </c>
      <c r="O65" s="106"/>
      <c r="P65" s="106"/>
      <c r="Q65" s="60" t="s">
        <v>2709</v>
      </c>
      <c r="S65" s="60" t="s">
        <v>165</v>
      </c>
      <c r="U65" s="60" t="s">
        <v>371</v>
      </c>
      <c r="Z65" s="107">
        <f t="shared" ca="1" si="5"/>
        <v>9.0046296293925243E-3</v>
      </c>
      <c r="AA65" s="108">
        <f t="shared" ca="1" si="6"/>
        <v>2.4012345678380065E-2</v>
      </c>
      <c r="AB65" s="107">
        <f t="shared" ca="1" si="7"/>
        <v>7.7430555587246763E-3</v>
      </c>
      <c r="AC65" s="108">
        <f t="shared" ca="1" si="8"/>
        <v>2.0648148156599138E-2</v>
      </c>
      <c r="AD65" s="107">
        <f t="shared" ref="AD65:AD128" ca="1" si="10">MAX(0,
IF(
OR(G65=1,G65=2),
IF(M65&lt;&gt;"",M65-L65,NOW()-L65),
IF(
M65&lt;&gt;"",
IF(
INT(L65)=INT(M65),
IF(
NETWORKDAYS(L65,L65,UKBankHolidays)=0,
0,
MAX(
0,
MIN(MOD(M65,1),TIME(17,0,0))
-
MAX(MOD(L65,1),TIME(8,0,0))
)
),
MAX(
0,
IF(
NETWORKDAYS(L65,L65,UKBankHolidays)&gt;0,
TIME(17,0,0)-MAX(MOD(L65,1),TIME(8,0,0)),
0
)
)
+
MAX(
0,
NETWORKDAYS(INT(L65)+1,INT(M65)-1,UKBankHolidays)
*(TIME(17,0,0)-TIME(8,0,0))
)
+
MAX(
0,
IF(
NETWORKDAYS(M65,M65,UKBankHolidays)&gt;0,
MIN(MOD(M65,1),TIME(17,0,0))-TIME(8,0,0),
0
)
)
),
IF(M65&lt;&gt;"",M65-L65,NOW()-L65)
)
)
)</f>
        <v>7.7430555587246763E-3</v>
      </c>
      <c r="AE65" s="107">
        <f t="shared" ca="1" si="3"/>
        <v>7.7430555587246763E-3</v>
      </c>
      <c r="AF65" s="108">
        <f t="shared" ca="1" si="9"/>
        <v>2.0648148156599138E-2</v>
      </c>
      <c r="AG65" s="108">
        <f t="shared" ca="1" si="4"/>
        <v>2.0648148156599138E-2</v>
      </c>
      <c r="AH65" s="61" t="str" cm="1">
        <f t="array" aca="1" ref="AH65" ca="1">IF((AD65) &lt; (INDEX(ResponseSLA[#All],(MATCH((G65),ResponseSLA[Priority],0))+1,3)),"YES","No")</f>
        <v>YES</v>
      </c>
      <c r="AI65" s="61" t="str">
        <f ca="1">_xlfn.IFNA(IF(AE65 &lt; (INDEX(SLATable[Minimum SLA],MATCH(G65,SLATable[Priority],0))),"YES","NO"),"")</f>
        <v>YES</v>
      </c>
      <c r="AJ65" s="61" t="str">
        <f ca="1">_xlfn.IFNA(IF(AE65 &lt; (INDEX(SLATable[Maximum SLA],MATCH(G65,SLATable[Priority],0))),"YES","NO"),"")</f>
        <v>YES</v>
      </c>
    </row>
    <row r="66" spans="1:36" s="60" customFormat="1" ht="15" hidden="1" customHeight="1">
      <c r="A66" s="60">
        <v>65</v>
      </c>
      <c r="B66" s="60" t="s">
        <v>26</v>
      </c>
      <c r="C66" s="60" t="s">
        <v>27</v>
      </c>
      <c r="D66" s="60" t="s">
        <v>208</v>
      </c>
      <c r="E66" s="60" t="s">
        <v>2825</v>
      </c>
      <c r="F66" s="60" t="s">
        <v>318</v>
      </c>
      <c r="G66" s="105" t="s">
        <v>208</v>
      </c>
      <c r="H66" s="212" t="s">
        <v>2826</v>
      </c>
      <c r="I66" s="105" t="s">
        <v>275</v>
      </c>
      <c r="J66" s="60" t="s">
        <v>2827</v>
      </c>
      <c r="K66" s="106">
        <v>46169.582569444443</v>
      </c>
      <c r="L66" s="106">
        <v>46169.661689814813</v>
      </c>
      <c r="M66" s="106">
        <v>46170.234733796293</v>
      </c>
      <c r="N66" s="106">
        <v>46170.511331018519</v>
      </c>
      <c r="O66" s="106"/>
      <c r="P66" s="106"/>
      <c r="U66" s="60" t="s">
        <v>428</v>
      </c>
      <c r="Z66" s="107">
        <f t="shared" ref="Z66:Z129" ca="1" si="11">IF(NOT(OR(G66=1,G66=2)),MAX(0,_xlfn.IFS(AND(K66&lt;&gt;"",N66&lt;&gt;""),((MAX(NETWORKDAYS(K66,N66,UKBankHolidays)-1,0))*(TIME(17,0,0)-TIME(8,0,0))+IF(NETWORKDAYS(N66,N66,UKBankHolidays)&gt;0,MEDIAN(TIME(8,0,0),MOD(N66,1),TIME(17,0,0)),TIME(8,0,0))-IF(NETWORKDAYS(K66,K66,UKBankHolidays)&gt;0,MEDIAN(TIME(8,0,0),MOD(K66,1),TIME(17,0,0)),TIME(8,0,0)))-IF(AND(O66&lt;&gt;"",P66&lt;&gt;""),((MAX(NETWORKDAYS(O66,P66,UKBankHolidays)-1,0))*(TIME(17,0,0)-TIME(8,0,0))+IF(NETWORKDAYS(P66,P66,UKBankHolidays)&gt;0,MEDIAN(TIME(8,0,0),MOD(P66,1),TIME(17,0,0)),TIME(8,0,0))-IF(NETWORKDAYS(O66,O66,UKBankHolidays)&gt;0,MEDIAN(TIME(8,0,0),MOD(O66,1),TIME(17,0,0)),TIME(8,0,0))),0),AND(K66&lt;&gt;"",N66=""),((MAX(NETWORKDAYS(K66,NOW(),UKBankHolidays)-1,0))*(TIME(17,0,0)-TIME(8,0,0))+IF(NETWORKDAYS(NOW(),NOW(),UKBankHolidays)&gt;0,MEDIAN(TIME(8,0,0),MOD(NOW(),1),TIME(17,0,0)),TIME(8,0,0))-IF(NETWORKDAYS(K66,K66,UKBankHolidays)&gt;0,MEDIAN(TIME(8,0,0),MOD(K66,1),TIME(17,0,0)),TIME(8,0,0))))),IF(N66="",NOW()-K66,N66-K66))</f>
        <v>0.30376157407590654</v>
      </c>
      <c r="AA66" s="108">
        <f t="shared" ref="AA66:AA129" ca="1" si="12">(Z66*24)/9</f>
        <v>0.81003086420241743</v>
      </c>
      <c r="AB66" s="107">
        <f t="shared" ref="AB66:AB129" ca="1" si="13">IF(NOT(OR(G66=1,G66=2)),MAX(0,_xlfn.IFS(AND(K66&lt;&gt;"",N66&lt;&gt;""),(((MAX(NETWORKDAYS(L66,N66,UKBankHolidays)-1,0))*(TIME(17,0,0)-TIME(8,0,0)))+IF(NETWORKDAYS(N66,N66,UKBankHolidays)&gt;0,MEDIAN(TIME(8,0,0),MOD(N66,1),TIME(17,0,0)),TIME(8,0,0))-IF(NETWORKDAYS(L66,L66,UKBankHolidays)&gt;0,MEDIAN(TIME(8,0,0),MOD(L66,1),TIME(17,0,0)),TIME(8,0,0)))-IF(AND(O66&lt;&gt;"",P66&lt;&gt;""),(((MAX(NETWORKDAYS(O66,P66,UKBankHolidays)-1,0))*(TIME(17,0,0)-TIME(8,0,0)))+IF(NETWORKDAYS(P66,P66,UKBankHolidays)&gt;0,MEDIAN(TIME(8,0,0),MOD(P66,1),TIME(17,0,0)),TIME(8,0,0))-IF(NETWORKDAYS(O66,O66,UKBankHolidays)&gt;0,MEDIAN(TIME(8,0,0),MOD(O66,1),TIME(17,0,0)),TIME(8,0,0))),0),AND(L66&lt;&gt;"",N66="",O66=""),(((MAX(NETWORKDAYS(L66,NOW(),UKBankHolidays)-1,0))*(TIME(17,0,0)-TIME(8,0,0)))+IF(NETWORKDAYS(NOW(),NOW(),UKBankHolidays)&gt;0,MEDIAN(TIME(8,0,0),MOD(NOW(),1),TIME(17,0,0)),TIME(8,0,0))-IF(NETWORKDAYS(L66,L66,UKBankHolidays)&gt;0,MEDIAN(TIME(8,0,0),MOD(L66,1),TIME(17,0,0)),TIME(8,0,0)))-IF(AND(O66&lt;&gt;"",P66&lt;&gt;""),(((MAX(NETWORKDAYS(O66,P66,UKBankHolidays)-1,0))*(TIME(17,0,0)-TIME(8,0,0)))+IF(NETWORKDAYS(P66,P66,UKBankHolidays)&gt;0,MEDIAN(TIME(8,0,0),MOD(P66,1),TIME(17,0,0)),TIME(8,0,0))-IF(NETWORKDAYS(O66,O66,UKBankHolidays)&gt;0,MEDIAN(TIME(8,0,0),MOD(O66,1),TIME(17,0,0)),TIME(8,0,0))),0),AND(L66&lt;&gt;"",N66="",P66="",O66&lt;&gt;""),(((MAX(NETWORKDAYS(L66,O66,UKBankHolidays)-1,0))*(TIME(17,0,0)-TIME(8,0,0)))+IF(NETWORKDAYS(O66,O66,UKBankHolidays)&gt;0,MEDIAN(TIME(8,0,0),MOD(O66,1),TIME(17,0,0)),TIME(8,0,0))-IF(NETWORKDAYS(L66,L66,UKBankHolidays)&gt;0,MEDIAN(TIME(8,0,0),MOD(L66,1),TIME(17,0,0)),TIME(8,0,0))),ISBLANK(K66),"0")),IF(ISBLANK(N66),NOW()-L66,N66-L66))</f>
        <v>0.22464120370568708</v>
      </c>
      <c r="AC66" s="108">
        <f t="shared" ref="AC66:AC129" ca="1" si="14">(AB66*24)/9</f>
        <v>0.59904320988183224</v>
      </c>
      <c r="AD66" s="107">
        <f t="shared" ca="1" si="10"/>
        <v>4.6643518520189331E-2</v>
      </c>
      <c r="AE66" s="107">
        <f t="shared" ref="AE66:AE129" ca="1" si="15">SUMIFS(AB:AB,E:E,E66)</f>
        <v>31.222819097221269</v>
      </c>
      <c r="AF66" s="108">
        <f t="shared" ref="AF66:AF129" ca="1" si="16">(AE66*24)/9</f>
        <v>83.260850925923378</v>
      </c>
      <c r="AG66" s="108">
        <f t="shared" ca="1" si="4"/>
        <v>83.260850925923378</v>
      </c>
      <c r="AH66" s="61" t="str" cm="1">
        <f t="array" aca="1" ref="AH66" ca="1">IF((AD66) &lt; (INDEX(ResponseSLA[#All],(MATCH((G66),ResponseSLA[Priority],0))+1,3)),"YES","No")</f>
        <v>YES</v>
      </c>
      <c r="AI66" s="61" t="str">
        <f ca="1">_xlfn.IFNA(IF(AE66 &lt; (INDEX(SLATable[Minimum SLA],MATCH(G66,SLATable[Priority],0))),"YES","NO"),"")</f>
        <v>NO</v>
      </c>
      <c r="AJ66" s="61" t="str">
        <f ca="1">_xlfn.IFNA(IF(AE66 &lt; (INDEX(SLATable[Maximum SLA],MATCH(G66,SLATable[Priority],0))),"YES","NO"),"")</f>
        <v>NO</v>
      </c>
    </row>
    <row r="67" spans="1:36" s="60" customFormat="1" ht="15" hidden="1" customHeight="1">
      <c r="A67" s="60">
        <v>66</v>
      </c>
      <c r="B67" s="60" t="s">
        <v>26</v>
      </c>
      <c r="C67" s="60" t="s">
        <v>27</v>
      </c>
      <c r="D67" s="60" t="s">
        <v>231</v>
      </c>
      <c r="E67" s="60" t="s">
        <v>2828</v>
      </c>
      <c r="F67" s="60" t="s">
        <v>318</v>
      </c>
      <c r="G67" s="105" t="s">
        <v>270</v>
      </c>
      <c r="H67" s="212" t="s">
        <v>2829</v>
      </c>
      <c r="I67" s="105" t="s">
        <v>260</v>
      </c>
      <c r="J67" s="60" t="s">
        <v>2725</v>
      </c>
      <c r="K67" s="106">
        <v>46169.376712962963</v>
      </c>
      <c r="L67" s="106">
        <v>46169.376712962963</v>
      </c>
      <c r="M67" s="106"/>
      <c r="N67" s="106"/>
      <c r="O67" s="106"/>
      <c r="P67" s="106"/>
      <c r="U67" s="60" t="s">
        <v>371</v>
      </c>
      <c r="Z67" s="107">
        <f t="shared" ca="1" si="11"/>
        <v>24.257263541665456</v>
      </c>
      <c r="AA67" s="108">
        <f t="shared" ca="1" si="12"/>
        <v>64.686036111107882</v>
      </c>
      <c r="AB67" s="107">
        <f t="shared" ca="1" si="13"/>
        <v>24.257263541665456</v>
      </c>
      <c r="AC67" s="108">
        <f t="shared" ca="1" si="14"/>
        <v>64.686036111107882</v>
      </c>
      <c r="AD67" s="107">
        <f t="shared" ca="1" si="10"/>
        <v>90.257261458333232</v>
      </c>
      <c r="AE67" s="107">
        <f t="shared" ca="1" si="15"/>
        <v>24.257263541665456</v>
      </c>
      <c r="AF67" s="108">
        <f t="shared" ca="1" si="16"/>
        <v>64.686036111107882</v>
      </c>
      <c r="AG67" s="108">
        <f t="shared" ca="1" si="4"/>
        <v>64.686036111107882</v>
      </c>
      <c r="AH67" s="61" t="str" cm="1">
        <f t="array" aca="1" ref="AH67" ca="1">IF((AD67) &lt; (INDEX(ResponseSLA[#All],(MATCH((G67),ResponseSLA[Priority],0))+1,3)),"YES","No")</f>
        <v>No</v>
      </c>
      <c r="AI67" s="61" t="str">
        <f ca="1">_xlfn.IFNA(IF(AE67 &lt; (INDEX(SLATable[Minimum SLA],MATCH(G67,SLATable[Priority],0))),"YES","NO"),"")</f>
        <v>NO</v>
      </c>
      <c r="AJ67" s="61" t="str">
        <f ca="1">_xlfn.IFNA(IF(AE67 &lt; (INDEX(SLATable[Maximum SLA],MATCH(G67,SLATable[Priority],0))),"YES","NO"),"")</f>
        <v>NO</v>
      </c>
    </row>
    <row r="68" spans="1:36" s="60" customFormat="1" ht="15" hidden="1" customHeight="1">
      <c r="A68" s="60">
        <v>67</v>
      </c>
      <c r="B68" s="60" t="s">
        <v>26</v>
      </c>
      <c r="C68" s="60" t="s">
        <v>27</v>
      </c>
      <c r="D68" s="60" t="s">
        <v>207</v>
      </c>
      <c r="E68" s="60" t="s">
        <v>2830</v>
      </c>
      <c r="F68" s="60" t="s">
        <v>327</v>
      </c>
      <c r="G68" s="105">
        <v>3</v>
      </c>
      <c r="H68" s="212" t="s">
        <v>2831</v>
      </c>
      <c r="I68" s="105" t="s">
        <v>275</v>
      </c>
      <c r="J68" s="60" t="s">
        <v>2708</v>
      </c>
      <c r="K68" s="106">
        <v>46170.534780092596</v>
      </c>
      <c r="L68" s="106">
        <v>46170.534780092596</v>
      </c>
      <c r="M68" s="106">
        <v>46171.235347222224</v>
      </c>
      <c r="N68" s="106"/>
      <c r="O68" s="106"/>
      <c r="P68" s="106"/>
      <c r="U68" s="60" t="s">
        <v>371</v>
      </c>
      <c r="Z68" s="107">
        <f t="shared" ca="1" si="11"/>
        <v>23.724196412033056</v>
      </c>
      <c r="AA68" s="108">
        <f t="shared" ca="1" si="12"/>
        <v>63.264523765421487</v>
      </c>
      <c r="AB68" s="107">
        <f t="shared" ca="1" si="13"/>
        <v>23.724196412033056</v>
      </c>
      <c r="AC68" s="108">
        <f t="shared" ca="1" si="14"/>
        <v>63.264523765421487</v>
      </c>
      <c r="AD68" s="107">
        <f t="shared" ca="1" si="10"/>
        <v>0.1735532407377226</v>
      </c>
      <c r="AE68" s="107">
        <f t="shared" ca="1" si="15"/>
        <v>23.724196412033056</v>
      </c>
      <c r="AF68" s="108">
        <f t="shared" ca="1" si="16"/>
        <v>63.264523765421487</v>
      </c>
      <c r="AG68" s="108">
        <f t="shared" ca="1" si="4"/>
        <v>63.264523765421487</v>
      </c>
      <c r="AH68" s="61" t="str" cm="1">
        <f t="array" aca="1" ref="AH68" ca="1">IF((AD68) &lt; (INDEX(ResponseSLA[#All],(MATCH((G68),ResponseSLA[Priority],0))+1,3)),"YES","No")</f>
        <v>No</v>
      </c>
      <c r="AI68" s="61" t="str">
        <f ca="1">_xlfn.IFNA(IF(AE68 &lt; (INDEX(SLATable[Minimum SLA],MATCH(G68,SLATable[Priority],0))),"YES","NO"),"")</f>
        <v>NO</v>
      </c>
      <c r="AJ68" s="61" t="str">
        <f ca="1">_xlfn.IFNA(IF(AE68 &lt; (INDEX(SLATable[Maximum SLA],MATCH(G68,SLATable[Priority],0))),"YES","NO"),"")</f>
        <v>NO</v>
      </c>
    </row>
    <row r="69" spans="1:36" s="60" customFormat="1" ht="15" hidden="1" customHeight="1">
      <c r="A69" s="60">
        <v>68</v>
      </c>
      <c r="B69" s="60" t="s">
        <v>26</v>
      </c>
      <c r="C69" s="60" t="s">
        <v>27</v>
      </c>
      <c r="D69" s="60" t="s">
        <v>207</v>
      </c>
      <c r="E69" s="60" t="s">
        <v>2832</v>
      </c>
      <c r="F69" s="60" t="s">
        <v>318</v>
      </c>
      <c r="G69" s="105">
        <v>3</v>
      </c>
      <c r="H69" s="212" t="s">
        <v>2707</v>
      </c>
      <c r="I69" s="105" t="s">
        <v>271</v>
      </c>
      <c r="J69" s="60" t="s">
        <v>2714</v>
      </c>
      <c r="K69" s="106">
        <v>46170.643877314818</v>
      </c>
      <c r="L69" s="106">
        <v>46170.644363425927</v>
      </c>
      <c r="M69" s="106">
        <v>46170.643877314818</v>
      </c>
      <c r="N69" s="106">
        <v>46175.3122337963</v>
      </c>
      <c r="O69" s="106"/>
      <c r="P69" s="106"/>
      <c r="U69" s="60" t="s">
        <v>371</v>
      </c>
      <c r="Z69" s="107">
        <f t="shared" ca="1" si="11"/>
        <v>0.81445601851495075</v>
      </c>
      <c r="AA69" s="108">
        <f t="shared" ca="1" si="12"/>
        <v>2.1718827160398688</v>
      </c>
      <c r="AB69" s="107">
        <f t="shared" ca="1" si="13"/>
        <v>0.81396990740662067</v>
      </c>
      <c r="AC69" s="108">
        <f t="shared" ca="1" si="14"/>
        <v>2.1705864197509883</v>
      </c>
      <c r="AD69" s="107">
        <f t="shared" ca="1" si="10"/>
        <v>0</v>
      </c>
      <c r="AE69" s="107">
        <f t="shared" ca="1" si="15"/>
        <v>0.81396990740662067</v>
      </c>
      <c r="AF69" s="108">
        <f t="shared" ca="1" si="16"/>
        <v>2.1705864197509883</v>
      </c>
      <c r="AG69" s="108">
        <f t="shared" ca="1" si="4"/>
        <v>2.1705864197509883</v>
      </c>
      <c r="AH69" s="61" t="str" cm="1">
        <f t="array" aca="1" ref="AH69" ca="1">IF((AD69) &lt; (INDEX(ResponseSLA[#All],(MATCH((G69),ResponseSLA[Priority],0))+1,3)),"YES","No")</f>
        <v>YES</v>
      </c>
      <c r="AI69" s="61" t="str">
        <f ca="1">_xlfn.IFNA(IF(AE69 &lt; (INDEX(SLATable[Minimum SLA],MATCH(G69,SLATable[Priority],0))),"YES","NO"),"")</f>
        <v>NO</v>
      </c>
      <c r="AJ69" s="61" t="str">
        <f ca="1">_xlfn.IFNA(IF(AE69 &lt; (INDEX(SLATable[Maximum SLA],MATCH(G69,SLATable[Priority],0))),"YES","NO"),"")</f>
        <v>YES</v>
      </c>
    </row>
    <row r="70" spans="1:36" s="60" customFormat="1" ht="15" hidden="1" customHeight="1">
      <c r="A70" s="60">
        <v>69</v>
      </c>
      <c r="B70" s="60" t="s">
        <v>26</v>
      </c>
      <c r="C70" s="60" t="s">
        <v>27</v>
      </c>
      <c r="D70" s="60" t="s">
        <v>207</v>
      </c>
      <c r="E70" s="60" t="s">
        <v>2833</v>
      </c>
      <c r="F70" s="60" t="s">
        <v>318</v>
      </c>
      <c r="G70" s="105">
        <v>3</v>
      </c>
      <c r="H70" s="212" t="s">
        <v>2724</v>
      </c>
      <c r="I70" s="105" t="s">
        <v>271</v>
      </c>
      <c r="J70" s="60" t="s">
        <v>2725</v>
      </c>
      <c r="K70" s="106">
        <v>46171.245798611111</v>
      </c>
      <c r="L70" s="106">
        <v>46171.245844907404</v>
      </c>
      <c r="M70" s="106">
        <v>46171.284328703703</v>
      </c>
      <c r="N70" s="106">
        <v>46171.479375000003</v>
      </c>
      <c r="O70" s="106"/>
      <c r="P70" s="106"/>
      <c r="Q70" s="60" t="s">
        <v>2726</v>
      </c>
      <c r="R70" s="60" t="s">
        <v>272</v>
      </c>
      <c r="S70" s="60" t="s">
        <v>149</v>
      </c>
      <c r="U70" s="60" t="s">
        <v>371</v>
      </c>
      <c r="Z70" s="107">
        <f t="shared" ca="1" si="11"/>
        <v>0.14604166666928603</v>
      </c>
      <c r="AA70" s="108">
        <f t="shared" ca="1" si="12"/>
        <v>0.38944444445142939</v>
      </c>
      <c r="AB70" s="107">
        <f t="shared" ca="1" si="13"/>
        <v>0.14604166666928603</v>
      </c>
      <c r="AC70" s="108">
        <f t="shared" ca="1" si="14"/>
        <v>0.38944444445142939</v>
      </c>
      <c r="AD70" s="107">
        <f t="shared" ca="1" si="10"/>
        <v>0</v>
      </c>
      <c r="AE70" s="107">
        <f t="shared" ca="1" si="15"/>
        <v>0.14604166666928603</v>
      </c>
      <c r="AF70" s="108">
        <f t="shared" ca="1" si="16"/>
        <v>0.38944444445142939</v>
      </c>
      <c r="AG70" s="108">
        <f t="shared" ca="1" si="4"/>
        <v>0.38944444445142939</v>
      </c>
      <c r="AH70" s="61" t="str" cm="1">
        <f t="array" aca="1" ref="AH70" ca="1">IF((AD70) &lt; (INDEX(ResponseSLA[#All],(MATCH((G70),ResponseSLA[Priority],0))+1,3)),"YES","No")</f>
        <v>YES</v>
      </c>
      <c r="AI70" s="61" t="str">
        <f ca="1">_xlfn.IFNA(IF(AE70 &lt; (INDEX(SLATable[Minimum SLA],MATCH(G70,SLATable[Priority],0))),"YES","NO"),"")</f>
        <v>YES</v>
      </c>
      <c r="AJ70" s="61" t="str">
        <f ca="1">_xlfn.IFNA(IF(AE70 &lt; (INDEX(SLATable[Maximum SLA],MATCH(G70,SLATable[Priority],0))),"YES","NO"),"")</f>
        <v>YES</v>
      </c>
    </row>
    <row r="71" spans="1:36" s="60" customFormat="1" ht="15" hidden="1" customHeight="1">
      <c r="A71" s="60">
        <v>70</v>
      </c>
      <c r="B71" s="60" t="s">
        <v>26</v>
      </c>
      <c r="C71" s="60" t="s">
        <v>27</v>
      </c>
      <c r="D71" s="60" t="s">
        <v>207</v>
      </c>
      <c r="E71" s="60" t="s">
        <v>2834</v>
      </c>
      <c r="F71" s="60" t="s">
        <v>318</v>
      </c>
      <c r="G71" s="105">
        <v>3</v>
      </c>
      <c r="H71" s="212" t="s">
        <v>2724</v>
      </c>
      <c r="I71" s="105" t="s">
        <v>271</v>
      </c>
      <c r="J71" s="60" t="s">
        <v>2772</v>
      </c>
      <c r="K71" s="106">
        <v>46170.986597222225</v>
      </c>
      <c r="L71" s="106">
        <v>46170.986701388887</v>
      </c>
      <c r="M71" s="106">
        <v>46171.286666666667</v>
      </c>
      <c r="N71" s="106">
        <v>46171.314016203702</v>
      </c>
      <c r="O71" s="106"/>
      <c r="P71" s="106"/>
      <c r="Q71" s="60" t="s">
        <v>2726</v>
      </c>
      <c r="R71" s="60" t="s">
        <v>272</v>
      </c>
      <c r="S71" s="60" t="s">
        <v>149</v>
      </c>
      <c r="T71" s="60" t="s">
        <v>2773</v>
      </c>
      <c r="U71" s="60" t="s">
        <v>371</v>
      </c>
      <c r="Z71" s="107">
        <f t="shared" ca="1" si="11"/>
        <v>0</v>
      </c>
      <c r="AA71" s="108">
        <f t="shared" ca="1" si="12"/>
        <v>0</v>
      </c>
      <c r="AB71" s="107">
        <f t="shared" ca="1" si="13"/>
        <v>0</v>
      </c>
      <c r="AC71" s="108">
        <f t="shared" ca="1" si="14"/>
        <v>0</v>
      </c>
      <c r="AD71" s="107">
        <f t="shared" ca="1" si="10"/>
        <v>0</v>
      </c>
      <c r="AE71" s="107">
        <f t="shared" ca="1" si="15"/>
        <v>0</v>
      </c>
      <c r="AF71" s="108">
        <f t="shared" ca="1" si="16"/>
        <v>0</v>
      </c>
      <c r="AG71" s="108">
        <f t="shared" ca="1" si="4"/>
        <v>0</v>
      </c>
      <c r="AH71" s="61" t="str" cm="1">
        <f t="array" aca="1" ref="AH71" ca="1">IF((AD71) &lt; (INDEX(ResponseSLA[#All],(MATCH((G71),ResponseSLA[Priority],0))+1,3)),"YES","No")</f>
        <v>YES</v>
      </c>
      <c r="AI71" s="61" t="str">
        <f ca="1">_xlfn.IFNA(IF(AE71 &lt; (INDEX(SLATable[Minimum SLA],MATCH(G71,SLATable[Priority],0))),"YES","NO"),"")</f>
        <v>YES</v>
      </c>
      <c r="AJ71" s="61" t="str">
        <f ca="1">_xlfn.IFNA(IF(AE71 &lt; (INDEX(SLATable[Maximum SLA],MATCH(G71,SLATable[Priority],0))),"YES","NO"),"")</f>
        <v>YES</v>
      </c>
    </row>
    <row r="72" spans="1:36" s="60" customFormat="1" ht="15" hidden="1" customHeight="1">
      <c r="A72" s="60">
        <v>71</v>
      </c>
      <c r="B72" s="60" t="s">
        <v>26</v>
      </c>
      <c r="C72" s="60" t="s">
        <v>27</v>
      </c>
      <c r="D72" s="60" t="s">
        <v>207</v>
      </c>
      <c r="E72" s="60" t="s">
        <v>2835</v>
      </c>
      <c r="F72" s="60" t="s">
        <v>318</v>
      </c>
      <c r="G72" s="105">
        <v>3</v>
      </c>
      <c r="H72" s="212" t="s">
        <v>2724</v>
      </c>
      <c r="I72" s="105" t="s">
        <v>271</v>
      </c>
      <c r="J72" s="60" t="s">
        <v>2738</v>
      </c>
      <c r="K72" s="106">
        <v>46170.779791666668</v>
      </c>
      <c r="L72" s="106">
        <v>46170.779849537037</v>
      </c>
      <c r="M72" s="106">
        <v>46171.288946759261</v>
      </c>
      <c r="N72" s="106">
        <v>46171.388923611114</v>
      </c>
      <c r="O72" s="106"/>
      <c r="P72" s="106"/>
      <c r="U72" s="60" t="s">
        <v>371</v>
      </c>
      <c r="Z72" s="107">
        <f t="shared" ca="1" si="11"/>
        <v>5.5590277780235398E-2</v>
      </c>
      <c r="AA72" s="108">
        <f t="shared" ca="1" si="12"/>
        <v>0.1482407407472944</v>
      </c>
      <c r="AB72" s="107">
        <f t="shared" ca="1" si="13"/>
        <v>5.5590277780235398E-2</v>
      </c>
      <c r="AC72" s="108">
        <f t="shared" ca="1" si="14"/>
        <v>0.1482407407472944</v>
      </c>
      <c r="AD72" s="107">
        <f t="shared" ca="1" si="10"/>
        <v>0</v>
      </c>
      <c r="AE72" s="107">
        <f t="shared" ca="1" si="15"/>
        <v>5.5590277780235398E-2</v>
      </c>
      <c r="AF72" s="108">
        <f t="shared" ca="1" si="16"/>
        <v>0.1482407407472944</v>
      </c>
      <c r="AG72" s="108">
        <f t="shared" ca="1" si="4"/>
        <v>0.1482407407472944</v>
      </c>
      <c r="AH72" s="61" t="str" cm="1">
        <f t="array" aca="1" ref="AH72" ca="1">IF((AD72) &lt; (INDEX(ResponseSLA[#All],(MATCH((G72),ResponseSLA[Priority],0))+1,3)),"YES","No")</f>
        <v>YES</v>
      </c>
      <c r="AI72" s="61" t="str">
        <f ca="1">_xlfn.IFNA(IF(AE72 &lt; (INDEX(SLATable[Minimum SLA],MATCH(G72,SLATable[Priority],0))),"YES","NO"),"")</f>
        <v>YES</v>
      </c>
      <c r="AJ72" s="61" t="str">
        <f ca="1">_xlfn.IFNA(IF(AE72 &lt; (INDEX(SLATable[Maximum SLA],MATCH(G72,SLATable[Priority],0))),"YES","NO"),"")</f>
        <v>YES</v>
      </c>
    </row>
    <row r="73" spans="1:36" s="60" customFormat="1" ht="15" customHeight="1">
      <c r="A73" s="60">
        <v>72</v>
      </c>
      <c r="B73" s="60" t="s">
        <v>26</v>
      </c>
      <c r="C73" s="60" t="s">
        <v>54</v>
      </c>
      <c r="D73" s="60" t="s">
        <v>207</v>
      </c>
      <c r="E73" s="60" t="s">
        <v>2836</v>
      </c>
      <c r="F73" s="60" t="s">
        <v>53</v>
      </c>
      <c r="G73" s="105">
        <v>3</v>
      </c>
      <c r="H73" s="212" t="s">
        <v>2837</v>
      </c>
      <c r="I73" s="105" t="s">
        <v>275</v>
      </c>
      <c r="J73" s="291" t="s">
        <v>2694</v>
      </c>
      <c r="K73" s="106">
        <v>46170.681203703702</v>
      </c>
      <c r="L73" s="106">
        <v>46170.681203703702</v>
      </c>
      <c r="M73" s="106">
        <v>46171.220821759256</v>
      </c>
      <c r="N73" s="106">
        <v>46171.472824074073</v>
      </c>
      <c r="O73" s="106"/>
      <c r="P73" s="106"/>
      <c r="U73" s="60" t="s">
        <v>371</v>
      </c>
      <c r="Z73" s="107">
        <f t="shared" ca="1" si="11"/>
        <v>0.16662037037167465</v>
      </c>
      <c r="AA73" s="108">
        <f t="shared" ca="1" si="12"/>
        <v>0.44432098765779909</v>
      </c>
      <c r="AB73" s="107">
        <f t="shared" ca="1" si="13"/>
        <v>0.16662037037167465</v>
      </c>
      <c r="AC73" s="108">
        <f t="shared" ca="1" si="14"/>
        <v>0.44432098765779909</v>
      </c>
      <c r="AD73" s="107">
        <f t="shared" ca="1" si="10"/>
        <v>2.7129629631720831E-2</v>
      </c>
      <c r="AE73" s="107">
        <f t="shared" ca="1" si="15"/>
        <v>0.16662037037167465</v>
      </c>
      <c r="AF73" s="108">
        <f t="shared" ca="1" si="16"/>
        <v>0.44432098765779909</v>
      </c>
      <c r="AG73" s="108">
        <f t="shared" ca="1" si="4"/>
        <v>0.44432098765779909</v>
      </c>
      <c r="AH73" s="61" t="str" cm="1">
        <f t="array" aca="1" ref="AH73" ca="1">IF((AD73) &lt; (INDEX(ResponseSLA[#All],(MATCH((G73),ResponseSLA[Priority],0))+1,3)),"YES","No")</f>
        <v>YES</v>
      </c>
      <c r="AI73" s="61" t="str">
        <f ca="1">_xlfn.IFNA(IF(AE73 &lt; (INDEX(SLATable[Minimum SLA],MATCH(G73,SLATable[Priority],0))),"YES","NO"),"")</f>
        <v>YES</v>
      </c>
      <c r="AJ73" s="61" t="str">
        <f ca="1">_xlfn.IFNA(IF(AE73 &lt; (INDEX(SLATable[Maximum SLA],MATCH(G73,SLATable[Priority],0))),"YES","NO"),"")</f>
        <v>YES</v>
      </c>
    </row>
    <row r="74" spans="1:36" s="60" customFormat="1" ht="15" customHeight="1">
      <c r="A74" s="60">
        <v>73</v>
      </c>
      <c r="B74" s="60" t="s">
        <v>26</v>
      </c>
      <c r="C74" s="60" t="s">
        <v>54</v>
      </c>
      <c r="D74" s="60" t="s">
        <v>207</v>
      </c>
      <c r="E74" s="60" t="s">
        <v>2838</v>
      </c>
      <c r="F74" s="60" t="s">
        <v>53</v>
      </c>
      <c r="G74" s="105">
        <v>3</v>
      </c>
      <c r="H74" s="212" t="s">
        <v>2839</v>
      </c>
      <c r="I74" s="105" t="s">
        <v>275</v>
      </c>
      <c r="J74" s="291" t="s">
        <v>2708</v>
      </c>
      <c r="K74" s="106">
        <v>46052.54886574074</v>
      </c>
      <c r="L74" s="106">
        <v>46170.657129629632</v>
      </c>
      <c r="M74" s="106">
        <v>46171.222812499997</v>
      </c>
      <c r="N74" s="106"/>
      <c r="O74" s="106"/>
      <c r="P74" s="106"/>
      <c r="U74" s="60" t="s">
        <v>371</v>
      </c>
      <c r="Z74" s="107">
        <f t="shared" ca="1" si="11"/>
        <v>53.335110763888231</v>
      </c>
      <c r="AA74" s="108">
        <f t="shared" ca="1" si="12"/>
        <v>142.22696203703529</v>
      </c>
      <c r="AB74" s="107">
        <f t="shared" ca="1" si="13"/>
        <v>23.60184687499714</v>
      </c>
      <c r="AC74" s="108">
        <f t="shared" ca="1" si="14"/>
        <v>62.938258333325706</v>
      </c>
      <c r="AD74" s="107">
        <f t="shared" ca="1" si="10"/>
        <v>5.1203703701806602E-2</v>
      </c>
      <c r="AE74" s="107">
        <f t="shared" ca="1" si="15"/>
        <v>23.60184687499714</v>
      </c>
      <c r="AF74" s="108">
        <f t="shared" ca="1" si="16"/>
        <v>62.938258333325706</v>
      </c>
      <c r="AG74" s="108">
        <f t="shared" ca="1" si="4"/>
        <v>62.938258333325706</v>
      </c>
      <c r="AH74" s="61" t="str" cm="1">
        <f t="array" aca="1" ref="AH74" ca="1">IF((AD74) &lt; (INDEX(ResponseSLA[#All],(MATCH((G74),ResponseSLA[Priority],0))+1,3)),"YES","No")</f>
        <v>YES</v>
      </c>
      <c r="AI74" s="61" t="str">
        <f ca="1">_xlfn.IFNA(IF(AE74 &lt; (INDEX(SLATable[Minimum SLA],MATCH(G74,SLATable[Priority],0))),"YES","NO"),"")</f>
        <v>NO</v>
      </c>
      <c r="AJ74" s="61" t="str">
        <f ca="1">_xlfn.IFNA(IF(AE74 &lt; (INDEX(SLATable[Maximum SLA],MATCH(G74,SLATable[Priority],0))),"YES","NO"),"")</f>
        <v>NO</v>
      </c>
    </row>
    <row r="75" spans="1:36" s="60" customFormat="1" ht="15" customHeight="1">
      <c r="A75" s="60">
        <v>74</v>
      </c>
      <c r="B75" s="60" t="s">
        <v>26</v>
      </c>
      <c r="C75" s="60" t="s">
        <v>54</v>
      </c>
      <c r="D75" s="60" t="s">
        <v>207</v>
      </c>
      <c r="E75" s="60" t="s">
        <v>2840</v>
      </c>
      <c r="F75" s="60" t="s">
        <v>53</v>
      </c>
      <c r="G75" s="223">
        <v>3</v>
      </c>
      <c r="H75" s="224" t="s">
        <v>2786</v>
      </c>
      <c r="I75" s="105" t="s">
        <v>271</v>
      </c>
      <c r="J75" s="292" t="s">
        <v>2697</v>
      </c>
      <c r="K75" s="106">
        <v>46167.477777777778</v>
      </c>
      <c r="L75" s="106">
        <v>46167.477777777778</v>
      </c>
      <c r="M75" s="106">
        <v>46167.479861111111</v>
      </c>
      <c r="N75" s="106">
        <v>46168.29791666667</v>
      </c>
      <c r="O75" s="106"/>
      <c r="P75" s="106"/>
      <c r="U75" s="60" t="s">
        <v>371</v>
      </c>
      <c r="Z75" s="107">
        <f t="shared" ca="1" si="11"/>
        <v>0</v>
      </c>
      <c r="AA75" s="108">
        <f t="shared" ca="1" si="12"/>
        <v>0</v>
      </c>
      <c r="AB75" s="107">
        <f t="shared" ca="1" si="13"/>
        <v>0</v>
      </c>
      <c r="AC75" s="108">
        <f t="shared" ca="1" si="14"/>
        <v>0</v>
      </c>
      <c r="AD75" s="107">
        <f t="shared" ca="1" si="10"/>
        <v>0</v>
      </c>
      <c r="AE75" s="107">
        <f t="shared" ca="1" si="15"/>
        <v>0</v>
      </c>
      <c r="AF75" s="108">
        <f t="shared" ca="1" si="16"/>
        <v>0</v>
      </c>
      <c r="AG75" s="108">
        <f t="shared" ca="1" si="4"/>
        <v>0</v>
      </c>
      <c r="AH75" s="61" t="str" cm="1">
        <f t="array" aca="1" ref="AH75" ca="1">IF((AD75) &lt; (INDEX(ResponseSLA[#All],(MATCH((G75),ResponseSLA[Priority],0))+1,3)),"YES","No")</f>
        <v>YES</v>
      </c>
      <c r="AI75" s="61" t="str">
        <f ca="1">_xlfn.IFNA(IF(AE75 &lt; (INDEX(SLATable[Minimum SLA],MATCH(G75,SLATable[Priority],0))),"YES","NO"),"")</f>
        <v>YES</v>
      </c>
      <c r="AJ75" s="61" t="str">
        <f ca="1">_xlfn.IFNA(IF(AE75 &lt; (INDEX(SLATable[Maximum SLA],MATCH(G75,SLATable[Priority],0))),"YES","NO"),"")</f>
        <v>YES</v>
      </c>
    </row>
    <row r="76" spans="1:36" s="60" customFormat="1" ht="15" customHeight="1">
      <c r="A76" s="60">
        <v>75</v>
      </c>
      <c r="B76" s="60" t="s">
        <v>26</v>
      </c>
      <c r="C76" s="60" t="s">
        <v>54</v>
      </c>
      <c r="D76" s="60" t="s">
        <v>207</v>
      </c>
      <c r="E76" s="60" t="s">
        <v>2841</v>
      </c>
      <c r="F76" s="60" t="s">
        <v>53</v>
      </c>
      <c r="G76" s="223">
        <v>3</v>
      </c>
      <c r="H76" s="224" t="s">
        <v>2842</v>
      </c>
      <c r="I76" s="223" t="s">
        <v>275</v>
      </c>
      <c r="J76" s="292" t="s">
        <v>2703</v>
      </c>
      <c r="K76" s="106">
        <v>46168.236805555556</v>
      </c>
      <c r="L76" s="106">
        <v>46168.236805555556</v>
      </c>
      <c r="M76" s="106">
        <v>46168.240277777775</v>
      </c>
      <c r="N76" s="106">
        <v>46168.246527777781</v>
      </c>
      <c r="O76" s="106"/>
      <c r="P76" s="106"/>
      <c r="U76" s="60" t="s">
        <v>371</v>
      </c>
      <c r="Z76" s="107">
        <f t="shared" ca="1" si="11"/>
        <v>0</v>
      </c>
      <c r="AA76" s="108">
        <f t="shared" ca="1" si="12"/>
        <v>0</v>
      </c>
      <c r="AB76" s="107">
        <f t="shared" ca="1" si="13"/>
        <v>0</v>
      </c>
      <c r="AC76" s="108">
        <f t="shared" ca="1" si="14"/>
        <v>0</v>
      </c>
      <c r="AD76" s="107">
        <f t="shared" ca="1" si="10"/>
        <v>0</v>
      </c>
      <c r="AE76" s="107">
        <f t="shared" ca="1" si="15"/>
        <v>0</v>
      </c>
      <c r="AF76" s="108">
        <f t="shared" ca="1" si="16"/>
        <v>0</v>
      </c>
      <c r="AG76" s="108">
        <f t="shared" ca="1" si="4"/>
        <v>0</v>
      </c>
      <c r="AH76" s="61" t="str" cm="1">
        <f t="array" aca="1" ref="AH76" ca="1">IF((AD76) &lt; (INDEX(ResponseSLA[#All],(MATCH((G76),ResponseSLA[Priority],0))+1,3)),"YES","No")</f>
        <v>YES</v>
      </c>
      <c r="AI76" s="61" t="str">
        <f ca="1">_xlfn.IFNA(IF(AE76 &lt; (INDEX(SLATable[Minimum SLA],MATCH(G76,SLATable[Priority],0))),"YES","NO"),"")</f>
        <v>YES</v>
      </c>
      <c r="AJ76" s="61" t="str">
        <f ca="1">_xlfn.IFNA(IF(AE76 &lt; (INDEX(SLATable[Maximum SLA],MATCH(G76,SLATable[Priority],0))),"YES","NO"),"")</f>
        <v>YES</v>
      </c>
    </row>
    <row r="77" spans="1:36" s="60" customFormat="1" ht="15" customHeight="1">
      <c r="A77" s="60">
        <v>76</v>
      </c>
      <c r="B77" s="60" t="s">
        <v>26</v>
      </c>
      <c r="C77" s="60" t="s">
        <v>54</v>
      </c>
      <c r="D77" s="60" t="s">
        <v>207</v>
      </c>
      <c r="E77" s="60" t="s">
        <v>2843</v>
      </c>
      <c r="F77" s="60" t="s">
        <v>53</v>
      </c>
      <c r="G77" s="223">
        <v>4</v>
      </c>
      <c r="H77" s="224" t="s">
        <v>2844</v>
      </c>
      <c r="I77" s="223" t="s">
        <v>271</v>
      </c>
      <c r="J77" s="292" t="s">
        <v>2697</v>
      </c>
      <c r="K77" s="106">
        <v>46169.754166666666</v>
      </c>
      <c r="L77" s="106">
        <v>46169.805555555555</v>
      </c>
      <c r="M77" s="106">
        <v>46170.289583333331</v>
      </c>
      <c r="N77" s="166">
        <v>46198.750405092593</v>
      </c>
      <c r="O77" s="106"/>
      <c r="P77" s="106"/>
      <c r="U77" s="60" t="s">
        <v>371</v>
      </c>
      <c r="Z77" s="107">
        <f t="shared" ca="1" si="11"/>
        <v>7.8750000000000009</v>
      </c>
      <c r="AA77" s="108">
        <f t="shared" ca="1" si="12"/>
        <v>21.000000000000004</v>
      </c>
      <c r="AB77" s="107">
        <f t="shared" ca="1" si="13"/>
        <v>7.8750000000000009</v>
      </c>
      <c r="AC77" s="108">
        <f t="shared" ca="1" si="14"/>
        <v>21.000000000000004</v>
      </c>
      <c r="AD77" s="107">
        <f t="shared" ca="1" si="10"/>
        <v>0</v>
      </c>
      <c r="AE77" s="107">
        <f t="shared" ca="1" si="15"/>
        <v>7.8750000000000009</v>
      </c>
      <c r="AF77" s="108">
        <f t="shared" ca="1" si="16"/>
        <v>21.000000000000004</v>
      </c>
      <c r="AG77" s="108">
        <f t="shared" ca="1" si="4"/>
        <v>21.000000000000004</v>
      </c>
      <c r="AH77" s="61" t="str" cm="1">
        <f t="array" aca="1" ref="AH77" ca="1">IF((AD77) &lt; (INDEX(ResponseSLA[#All],(MATCH((G77),ResponseSLA[Priority],0))+1,3)),"YES","No")</f>
        <v>YES</v>
      </c>
      <c r="AI77" s="61" t="str">
        <f ca="1">_xlfn.IFNA(IF(AE77 &lt; (INDEX(SLATable[Minimum SLA],MATCH(G77,SLATable[Priority],0))),"YES","NO"),"")</f>
        <v>NO</v>
      </c>
      <c r="AJ77" s="61" t="str">
        <f ca="1">_xlfn.IFNA(IF(AE77 &lt; (INDEX(SLATable[Maximum SLA],MATCH(G77,SLATable[Priority],0))),"YES","NO"),"")</f>
        <v>NO</v>
      </c>
    </row>
    <row r="78" spans="1:36" s="60" customFormat="1" ht="15" customHeight="1">
      <c r="A78" s="60">
        <v>77</v>
      </c>
      <c r="B78" s="60" t="s">
        <v>26</v>
      </c>
      <c r="C78" s="60" t="s">
        <v>54</v>
      </c>
      <c r="D78" s="60" t="s">
        <v>207</v>
      </c>
      <c r="E78" s="60" t="s">
        <v>2845</v>
      </c>
      <c r="F78" s="60" t="s">
        <v>53</v>
      </c>
      <c r="G78" s="223">
        <v>3</v>
      </c>
      <c r="H78" s="224" t="s">
        <v>2846</v>
      </c>
      <c r="I78" s="223" t="s">
        <v>275</v>
      </c>
      <c r="J78" s="291" t="s">
        <v>2708</v>
      </c>
      <c r="K78" s="106">
        <v>46169.928472222222</v>
      </c>
      <c r="L78" s="106">
        <v>46170.002083333333</v>
      </c>
      <c r="M78" s="106">
        <v>46170.289583333331</v>
      </c>
      <c r="N78" s="106">
        <v>46170.434027777781</v>
      </c>
      <c r="O78" s="106"/>
      <c r="P78" s="106"/>
      <c r="U78" s="60" t="s">
        <v>371</v>
      </c>
      <c r="Z78" s="107">
        <f t="shared" ca="1" si="11"/>
        <v>0.10069444444767817</v>
      </c>
      <c r="AA78" s="108">
        <f t="shared" ca="1" si="12"/>
        <v>0.26851851852714176</v>
      </c>
      <c r="AB78" s="107">
        <f t="shared" ca="1" si="13"/>
        <v>0.10069444444767822</v>
      </c>
      <c r="AC78" s="108">
        <f t="shared" ca="1" si="14"/>
        <v>0.26851851852714193</v>
      </c>
      <c r="AD78" s="107">
        <f t="shared" ca="1" si="10"/>
        <v>0</v>
      </c>
      <c r="AE78" s="107">
        <f t="shared" ca="1" si="15"/>
        <v>0.10069444444767822</v>
      </c>
      <c r="AF78" s="108">
        <f t="shared" ca="1" si="16"/>
        <v>0.26851851852714193</v>
      </c>
      <c r="AG78" s="108">
        <f t="shared" ca="1" si="4"/>
        <v>0.26851851852714193</v>
      </c>
      <c r="AH78" s="61" t="str" cm="1">
        <f t="array" aca="1" ref="AH78" ca="1">IF((AD78) &lt; (INDEX(ResponseSLA[#All],(MATCH((G78),ResponseSLA[Priority],0))+1,3)),"YES","No")</f>
        <v>YES</v>
      </c>
      <c r="AI78" s="61" t="str">
        <f ca="1">_xlfn.IFNA(IF(AE78 &lt; (INDEX(SLATable[Minimum SLA],MATCH(G78,SLATable[Priority],0))),"YES","NO"),"")</f>
        <v>YES</v>
      </c>
      <c r="AJ78" s="61" t="str">
        <f ca="1">_xlfn.IFNA(IF(AE78 &lt; (INDEX(SLATable[Maximum SLA],MATCH(G78,SLATable[Priority],0))),"YES","NO"),"")</f>
        <v>YES</v>
      </c>
    </row>
    <row r="79" spans="1:36" s="60" customFormat="1" ht="15" customHeight="1">
      <c r="A79" s="60">
        <v>78</v>
      </c>
      <c r="B79" s="60" t="s">
        <v>26</v>
      </c>
      <c r="C79" s="60" t="s">
        <v>54</v>
      </c>
      <c r="D79" s="60" t="s">
        <v>207</v>
      </c>
      <c r="E79" s="60" t="s">
        <v>2727</v>
      </c>
      <c r="F79" s="60" t="s">
        <v>53</v>
      </c>
      <c r="G79" s="223">
        <v>3</v>
      </c>
      <c r="H79" s="224" t="s">
        <v>2728</v>
      </c>
      <c r="I79" s="223" t="s">
        <v>271</v>
      </c>
      <c r="J79" s="291" t="s">
        <v>2694</v>
      </c>
      <c r="K79" s="106">
        <v>46162.525000000001</v>
      </c>
      <c r="L79" s="106">
        <v>46162.525000000001</v>
      </c>
      <c r="M79" s="106">
        <v>46162.536111111112</v>
      </c>
      <c r="N79" s="106">
        <v>46171.263310185182</v>
      </c>
      <c r="O79" s="106"/>
      <c r="P79" s="106"/>
      <c r="U79" s="60" t="s">
        <v>371</v>
      </c>
      <c r="Z79" s="107">
        <f t="shared" ca="1" si="11"/>
        <v>2.0583333333318787</v>
      </c>
      <c r="AA79" s="108">
        <f t="shared" ca="1" si="12"/>
        <v>5.4888888888850103</v>
      </c>
      <c r="AB79" s="107">
        <f t="shared" ca="1" si="13"/>
        <v>2.0583333333318787</v>
      </c>
      <c r="AC79" s="108">
        <f t="shared" ca="1" si="14"/>
        <v>5.4888888888850103</v>
      </c>
      <c r="AD79" s="107">
        <f t="shared" ca="1" si="10"/>
        <v>1.1111111110949423E-2</v>
      </c>
      <c r="AE79" s="107">
        <f t="shared" ca="1" si="15"/>
        <v>2.172719907406039</v>
      </c>
      <c r="AF79" s="108">
        <f t="shared" ca="1" si="16"/>
        <v>5.7939197530827711</v>
      </c>
      <c r="AG79" s="108">
        <f t="shared" ca="1" si="4"/>
        <v>5.7939197530827711</v>
      </c>
      <c r="AH79" s="61" t="str" cm="1">
        <f t="array" aca="1" ref="AH79" ca="1">IF((AD79) &lt; (INDEX(ResponseSLA[#All],(MATCH((G79),ResponseSLA[Priority],0))+1,3)),"YES","No")</f>
        <v>YES</v>
      </c>
      <c r="AI79" s="61" t="str">
        <f ca="1">_xlfn.IFNA(IF(AE79 &lt; (INDEX(SLATable[Minimum SLA],MATCH(G79,SLATable[Priority],0))),"YES","NO"),"")</f>
        <v>NO</v>
      </c>
      <c r="AJ79" s="61" t="str">
        <f ca="1">_xlfn.IFNA(IF(AE79 &lt; (INDEX(SLATable[Maximum SLA],MATCH(G79,SLATable[Priority],0))),"YES","NO"),"")</f>
        <v>NO</v>
      </c>
    </row>
    <row r="80" spans="1:36" s="60" customFormat="1" ht="15" customHeight="1">
      <c r="A80" s="60">
        <v>79</v>
      </c>
      <c r="B80" s="60" t="s">
        <v>26</v>
      </c>
      <c r="C80" s="60" t="s">
        <v>54</v>
      </c>
      <c r="D80" s="60" t="s">
        <v>207</v>
      </c>
      <c r="E80" s="60" t="s">
        <v>2847</v>
      </c>
      <c r="F80" s="60" t="s">
        <v>53</v>
      </c>
      <c r="G80" s="223">
        <v>4</v>
      </c>
      <c r="H80" s="224" t="s">
        <v>2848</v>
      </c>
      <c r="I80" s="223" t="s">
        <v>275</v>
      </c>
      <c r="J80" s="291" t="s">
        <v>2708</v>
      </c>
      <c r="K80" s="106">
        <v>46170.368750000001</v>
      </c>
      <c r="L80" s="106">
        <v>46170.368750000001</v>
      </c>
      <c r="M80" s="106">
        <v>46170.415277777778</v>
      </c>
      <c r="N80" s="106">
        <v>46170.428472222222</v>
      </c>
      <c r="O80" s="106"/>
      <c r="P80" s="106"/>
      <c r="U80" s="60" t="s">
        <v>371</v>
      </c>
      <c r="Z80" s="107">
        <f t="shared" ca="1" si="11"/>
        <v>5.9722222220443655E-2</v>
      </c>
      <c r="AA80" s="108">
        <f t="shared" ca="1" si="12"/>
        <v>0.15925925925451642</v>
      </c>
      <c r="AB80" s="107">
        <f t="shared" ca="1" si="13"/>
        <v>5.9722222220443655E-2</v>
      </c>
      <c r="AC80" s="108">
        <f t="shared" ca="1" si="14"/>
        <v>0.15925925925451642</v>
      </c>
      <c r="AD80" s="107">
        <f t="shared" ca="1" si="10"/>
        <v>4.6527777776645962E-2</v>
      </c>
      <c r="AE80" s="107">
        <f t="shared" ca="1" si="15"/>
        <v>5.9722222220443655E-2</v>
      </c>
      <c r="AF80" s="108">
        <f t="shared" ca="1" si="16"/>
        <v>0.15925925925451642</v>
      </c>
      <c r="AG80" s="108">
        <f t="shared" ca="1" si="4"/>
        <v>0.15925925925451642</v>
      </c>
      <c r="AH80" s="61" t="str" cm="1">
        <f t="array" aca="1" ref="AH80" ca="1">IF((AD80) &lt; (INDEX(ResponseSLA[#All],(MATCH((G80),ResponseSLA[Priority],0))+1,3)),"YES","No")</f>
        <v>YES</v>
      </c>
      <c r="AI80" s="61" t="str">
        <f ca="1">_xlfn.IFNA(IF(AE80 &lt; (INDEX(SLATable[Minimum SLA],MATCH(G80,SLATable[Priority],0))),"YES","NO"),"")</f>
        <v>YES</v>
      </c>
      <c r="AJ80" s="61" t="str">
        <f ca="1">_xlfn.IFNA(IF(AE80 &lt; (INDEX(SLATable[Maximum SLA],MATCH(G80,SLATable[Priority],0))),"YES","NO"),"")</f>
        <v>YES</v>
      </c>
    </row>
    <row r="81" spans="1:36" s="60" customFormat="1" ht="15" customHeight="1">
      <c r="A81" s="60">
        <v>80</v>
      </c>
      <c r="B81" s="60" t="s">
        <v>26</v>
      </c>
      <c r="C81" s="60" t="s">
        <v>54</v>
      </c>
      <c r="D81" s="60" t="s">
        <v>207</v>
      </c>
      <c r="E81" s="60" t="s">
        <v>2783</v>
      </c>
      <c r="F81" s="60" t="s">
        <v>53</v>
      </c>
      <c r="G81" s="223">
        <v>4</v>
      </c>
      <c r="H81" s="224" t="s">
        <v>2784</v>
      </c>
      <c r="I81" s="223" t="s">
        <v>260</v>
      </c>
      <c r="J81" s="292" t="s">
        <v>2700</v>
      </c>
      <c r="K81" s="106">
        <v>46167.435416666667</v>
      </c>
      <c r="L81" s="106">
        <v>46167.435416666667</v>
      </c>
      <c r="M81" s="106">
        <v>46167.481249999997</v>
      </c>
      <c r="N81" s="106">
        <v>46168.304861111108</v>
      </c>
      <c r="O81" s="106"/>
      <c r="P81" s="106"/>
      <c r="U81" s="60" t="s">
        <v>371</v>
      </c>
      <c r="Z81" s="107">
        <f t="shared" ca="1" si="11"/>
        <v>0</v>
      </c>
      <c r="AA81" s="108">
        <f t="shared" ca="1" si="12"/>
        <v>0</v>
      </c>
      <c r="AB81" s="107">
        <f t="shared" ca="1" si="13"/>
        <v>0</v>
      </c>
      <c r="AC81" s="108">
        <f t="shared" ca="1" si="14"/>
        <v>0</v>
      </c>
      <c r="AD81" s="107">
        <f t="shared" ca="1" si="10"/>
        <v>0</v>
      </c>
      <c r="AE81" s="107">
        <f t="shared" ca="1" si="15"/>
        <v>24.675643171295334</v>
      </c>
      <c r="AF81" s="108">
        <f t="shared" ca="1" si="16"/>
        <v>65.80171512345423</v>
      </c>
      <c r="AG81" s="108">
        <f t="shared" ca="1" si="4"/>
        <v>65.80171512345423</v>
      </c>
      <c r="AH81" s="61" t="str" cm="1">
        <f t="array" aca="1" ref="AH81" ca="1">IF((AD81) &lt; (INDEX(ResponseSLA[#All],(MATCH((G81),ResponseSLA[Priority],0))+1,3)),"YES","No")</f>
        <v>YES</v>
      </c>
      <c r="AI81" s="61" t="str">
        <f ca="1">_xlfn.IFNA(IF(AE81 &lt; (INDEX(SLATable[Minimum SLA],MATCH(G81,SLATable[Priority],0))),"YES","NO"),"")</f>
        <v>NO</v>
      </c>
      <c r="AJ81" s="61" t="str">
        <f ca="1">_xlfn.IFNA(IF(AE81 &lt; (INDEX(SLATable[Maximum SLA],MATCH(G81,SLATable[Priority],0))),"YES","NO"),"")</f>
        <v>NO</v>
      </c>
    </row>
    <row r="82" spans="1:36" s="60" customFormat="1" ht="15" customHeight="1">
      <c r="A82" s="60">
        <v>81</v>
      </c>
      <c r="B82" s="60" t="s">
        <v>26</v>
      </c>
      <c r="C82" s="60" t="s">
        <v>54</v>
      </c>
      <c r="D82" s="60" t="s">
        <v>207</v>
      </c>
      <c r="E82" s="60" t="s">
        <v>2849</v>
      </c>
      <c r="F82" s="60" t="s">
        <v>53</v>
      </c>
      <c r="G82" s="105">
        <v>3</v>
      </c>
      <c r="H82" s="213" t="s">
        <v>2850</v>
      </c>
      <c r="I82" s="105" t="s">
        <v>271</v>
      </c>
      <c r="J82" s="291" t="s">
        <v>2697</v>
      </c>
      <c r="K82" s="106">
        <v>46170.462523148148</v>
      </c>
      <c r="L82" s="106">
        <v>46170.4684375</v>
      </c>
      <c r="M82" s="106">
        <v>46170.472719907404</v>
      </c>
      <c r="N82" s="166">
        <v>46182.262071759258</v>
      </c>
      <c r="O82" s="106"/>
      <c r="P82" s="106"/>
      <c r="U82" s="60" t="s">
        <v>371</v>
      </c>
      <c r="Z82" s="107">
        <f t="shared" ca="1" si="11"/>
        <v>2.8708101851855954</v>
      </c>
      <c r="AA82" s="108">
        <f t="shared" ca="1" si="12"/>
        <v>7.655493827161588</v>
      </c>
      <c r="AB82" s="107">
        <f t="shared" ca="1" si="13"/>
        <v>2.864895833333625</v>
      </c>
      <c r="AC82" s="108">
        <f t="shared" ca="1" si="14"/>
        <v>7.6397222222229999</v>
      </c>
      <c r="AD82" s="107">
        <f t="shared" ca="1" si="10"/>
        <v>4.2824074043892324E-3</v>
      </c>
      <c r="AE82" s="107">
        <f t="shared" ca="1" si="15"/>
        <v>2.864895833333625</v>
      </c>
      <c r="AF82" s="108">
        <f t="shared" ca="1" si="16"/>
        <v>7.6397222222229999</v>
      </c>
      <c r="AG82" s="108">
        <f t="shared" ca="1" si="4"/>
        <v>7.6397222222229999</v>
      </c>
      <c r="AH82" s="61" t="str" cm="1">
        <f t="array" aca="1" ref="AH82" ca="1">IF((AD82) &lt; (INDEX(ResponseSLA[#All],(MATCH((G82),ResponseSLA[Priority],0))+1,3)),"YES","No")</f>
        <v>YES</v>
      </c>
      <c r="AI82" s="61" t="str">
        <f ca="1">_xlfn.IFNA(IF(AE82 &lt; (INDEX(SLATable[Minimum SLA],MATCH(G82,SLATable[Priority],0))),"YES","NO"),"")</f>
        <v>NO</v>
      </c>
      <c r="AJ82" s="61" t="str">
        <f ca="1">_xlfn.IFNA(IF(AE82 &lt; (INDEX(SLATable[Maximum SLA],MATCH(G82,SLATable[Priority],0))),"YES","NO"),"")</f>
        <v>NO</v>
      </c>
    </row>
    <row r="83" spans="1:36" s="60" customFormat="1" ht="15" customHeight="1">
      <c r="A83" s="60">
        <v>82</v>
      </c>
      <c r="B83" s="60" t="s">
        <v>26</v>
      </c>
      <c r="C83" s="60" t="s">
        <v>54</v>
      </c>
      <c r="D83" s="60" t="s">
        <v>207</v>
      </c>
      <c r="E83" s="60" t="s">
        <v>2851</v>
      </c>
      <c r="F83" s="60" t="s">
        <v>53</v>
      </c>
      <c r="G83" s="105">
        <v>3</v>
      </c>
      <c r="H83" s="213" t="s">
        <v>2852</v>
      </c>
      <c r="I83" s="105" t="s">
        <v>271</v>
      </c>
      <c r="J83" s="291" t="s">
        <v>2703</v>
      </c>
      <c r="K83" s="106">
        <v>46170.425081018519</v>
      </c>
      <c r="L83" s="106">
        <v>46170.425081018519</v>
      </c>
      <c r="M83" s="106">
        <v>46170.450706018521</v>
      </c>
      <c r="N83" s="106">
        <v>46177.420034722221</v>
      </c>
      <c r="O83" s="106">
        <v>46175.318692129629</v>
      </c>
      <c r="P83" s="106"/>
      <c r="U83" s="60" t="s">
        <v>371</v>
      </c>
      <c r="Z83" s="107">
        <f t="shared" ca="1" si="11"/>
        <v>1.8699537037027767</v>
      </c>
      <c r="AA83" s="108">
        <f t="shared" ca="1" si="12"/>
        <v>4.9865432098740712</v>
      </c>
      <c r="AB83" s="107">
        <f t="shared" ca="1" si="13"/>
        <v>1.8699537037027767</v>
      </c>
      <c r="AC83" s="108">
        <f t="shared" ca="1" si="14"/>
        <v>4.9865432098740712</v>
      </c>
      <c r="AD83" s="107">
        <f t="shared" ca="1" si="10"/>
        <v>2.5625000002037268E-2</v>
      </c>
      <c r="AE83" s="107">
        <f t="shared" ca="1" si="15"/>
        <v>1.8699537037027767</v>
      </c>
      <c r="AF83" s="108">
        <f t="shared" ca="1" si="16"/>
        <v>4.9865432098740712</v>
      </c>
      <c r="AG83" s="108">
        <f t="shared" ca="1" si="4"/>
        <v>4.9865432098740712</v>
      </c>
      <c r="AH83" s="61" t="str" cm="1">
        <f t="array" aca="1" ref="AH83" ca="1">IF((AD83) &lt; (INDEX(ResponseSLA[#All],(MATCH((G83),ResponseSLA[Priority],0))+1,3)),"YES","No")</f>
        <v>YES</v>
      </c>
      <c r="AI83" s="61" t="str">
        <f ca="1">_xlfn.IFNA(IF(AE83 &lt; (INDEX(SLATable[Minimum SLA],MATCH(G83,SLATable[Priority],0))),"YES","NO"),"")</f>
        <v>NO</v>
      </c>
      <c r="AJ83" s="61" t="str">
        <f ca="1">_xlfn.IFNA(IF(AE83 &lt; (INDEX(SLATable[Maximum SLA],MATCH(G83,SLATable[Priority],0))),"YES","NO"),"")</f>
        <v>YES</v>
      </c>
    </row>
    <row r="84" spans="1:36" s="60" customFormat="1" ht="15" hidden="1" customHeight="1">
      <c r="A84" s="60">
        <v>83</v>
      </c>
      <c r="B84" s="60" t="s">
        <v>26</v>
      </c>
      <c r="C84" s="60" t="s">
        <v>54</v>
      </c>
      <c r="D84" s="60" t="s">
        <v>208</v>
      </c>
      <c r="E84" s="60" t="s">
        <v>2853</v>
      </c>
      <c r="F84" s="60" t="s">
        <v>325</v>
      </c>
      <c r="G84" s="111" t="s">
        <v>208</v>
      </c>
      <c r="H84" s="225" t="s">
        <v>2854</v>
      </c>
      <c r="I84" s="111" t="s">
        <v>271</v>
      </c>
      <c r="J84" s="100" t="s">
        <v>2855</v>
      </c>
      <c r="K84" s="106">
        <v>46146.488113425927</v>
      </c>
      <c r="L84" s="106">
        <v>46146.716180555559</v>
      </c>
      <c r="M84" s="106">
        <v>46146.716180555559</v>
      </c>
      <c r="N84" s="106">
        <v>46150.522106481483</v>
      </c>
      <c r="O84" s="106"/>
      <c r="P84" s="106"/>
      <c r="U84" s="60" t="s">
        <v>371</v>
      </c>
      <c r="Z84" s="107">
        <f t="shared" ca="1" si="11"/>
        <v>1.3137731481498731</v>
      </c>
      <c r="AA84" s="108">
        <f t="shared" ca="1" si="12"/>
        <v>3.503395061732995</v>
      </c>
      <c r="AB84" s="107">
        <f t="shared" ca="1" si="13"/>
        <v>1.3137731481498731</v>
      </c>
      <c r="AC84" s="108">
        <f t="shared" ca="1" si="14"/>
        <v>3.503395061732995</v>
      </c>
      <c r="AD84" s="107">
        <f t="shared" ca="1" si="10"/>
        <v>0</v>
      </c>
      <c r="AE84" s="107">
        <f t="shared" ca="1" si="15"/>
        <v>1.3137731481498731</v>
      </c>
      <c r="AF84" s="108">
        <f t="shared" ca="1" si="16"/>
        <v>3.503395061732995</v>
      </c>
      <c r="AG84" s="108">
        <f t="shared" ca="1" si="4"/>
        <v>3.503395061732995</v>
      </c>
      <c r="AH84" s="61" t="str" cm="1">
        <f t="array" aca="1" ref="AH84" ca="1">IF((AD84) &lt; (INDEX(ResponseSLA[#All],(MATCH((G84),ResponseSLA[Priority],0))+1,3)),"YES","No")</f>
        <v>YES</v>
      </c>
      <c r="AI84" s="61" t="str">
        <f ca="1">_xlfn.IFNA(IF(AE84 &lt; (INDEX(SLATable[Minimum SLA],MATCH(G84,SLATable[Priority],0))),"YES","NO"),"")</f>
        <v>NO</v>
      </c>
      <c r="AJ84" s="61" t="str">
        <f ca="1">_xlfn.IFNA(IF(AE84 &lt; (INDEX(SLATable[Maximum SLA],MATCH(G84,SLATable[Priority],0))),"YES","NO"),"")</f>
        <v>NO</v>
      </c>
    </row>
    <row r="85" spans="1:36" s="60" customFormat="1" ht="15" customHeight="1">
      <c r="A85" s="60">
        <v>84</v>
      </c>
      <c r="B85" s="60" t="s">
        <v>26</v>
      </c>
      <c r="C85" s="60" t="s">
        <v>54</v>
      </c>
      <c r="D85" s="60" t="s">
        <v>207</v>
      </c>
      <c r="E85" s="60" t="s">
        <v>2856</v>
      </c>
      <c r="F85" s="60" t="s">
        <v>53</v>
      </c>
      <c r="G85" s="111">
        <v>4</v>
      </c>
      <c r="H85" s="214" t="s">
        <v>2857</v>
      </c>
      <c r="I85" s="111" t="s">
        <v>271</v>
      </c>
      <c r="J85" s="293" t="s">
        <v>2703</v>
      </c>
      <c r="K85" s="106">
        <v>46170.412152777775</v>
      </c>
      <c r="L85" s="106">
        <v>46170.417442129627</v>
      </c>
      <c r="M85" s="106">
        <v>46170.44971064815</v>
      </c>
      <c r="N85" s="106">
        <v>46170.628888888888</v>
      </c>
      <c r="O85" s="106"/>
      <c r="P85" s="106"/>
      <c r="U85" s="60" t="s">
        <v>371</v>
      </c>
      <c r="Z85" s="107">
        <f t="shared" ca="1" si="11"/>
        <v>0.21673611111327773</v>
      </c>
      <c r="AA85" s="108">
        <f t="shared" ca="1" si="12"/>
        <v>0.57796296296874061</v>
      </c>
      <c r="AB85" s="107">
        <f t="shared" ca="1" si="13"/>
        <v>0.21144675926188938</v>
      </c>
      <c r="AC85" s="108">
        <f t="shared" ca="1" si="14"/>
        <v>0.56385802469837165</v>
      </c>
      <c r="AD85" s="107">
        <f t="shared" ca="1" si="10"/>
        <v>3.2268518523778766E-2</v>
      </c>
      <c r="AE85" s="107">
        <f t="shared" ca="1" si="15"/>
        <v>0.21144675926188938</v>
      </c>
      <c r="AF85" s="108">
        <f t="shared" ca="1" si="16"/>
        <v>0.56385802469837165</v>
      </c>
      <c r="AG85" s="108">
        <f t="shared" ca="1" si="4"/>
        <v>0.56385802469837165</v>
      </c>
      <c r="AH85" s="61" t="str" cm="1">
        <f t="array" aca="1" ref="AH85" ca="1">IF((AD85) &lt; (INDEX(ResponseSLA[#All],(MATCH((G85),ResponseSLA[Priority],0))+1,3)),"YES","No")</f>
        <v>YES</v>
      </c>
      <c r="AI85" s="61" t="str">
        <f ca="1">_xlfn.IFNA(IF(AE85 &lt; (INDEX(SLATable[Minimum SLA],MATCH(G85,SLATable[Priority],0))),"YES","NO"),"")</f>
        <v>YES</v>
      </c>
      <c r="AJ85" s="61" t="str">
        <f ca="1">_xlfn.IFNA(IF(AE85 &lt; (INDEX(SLATable[Maximum SLA],MATCH(G85,SLATable[Priority],0))),"YES","NO"),"")</f>
        <v>YES</v>
      </c>
    </row>
    <row r="86" spans="1:36" s="60" customFormat="1" ht="15" hidden="1" customHeight="1">
      <c r="A86" s="60">
        <v>85</v>
      </c>
      <c r="B86" s="60" t="s">
        <v>26</v>
      </c>
      <c r="C86" s="60" t="s">
        <v>54</v>
      </c>
      <c r="D86" s="60" t="s">
        <v>208</v>
      </c>
      <c r="E86" s="60" t="s">
        <v>2858</v>
      </c>
      <c r="F86" s="60" t="s">
        <v>325</v>
      </c>
      <c r="G86" s="111" t="s">
        <v>208</v>
      </c>
      <c r="H86" s="226" t="s">
        <v>2859</v>
      </c>
      <c r="I86" s="111" t="s">
        <v>271</v>
      </c>
      <c r="J86" s="110" t="s">
        <v>2855</v>
      </c>
      <c r="K86" s="106">
        <v>46147.457175925927</v>
      </c>
      <c r="L86" s="106">
        <v>46147.605509259258</v>
      </c>
      <c r="M86" s="106">
        <v>46147.620648148149</v>
      </c>
      <c r="N86" s="106">
        <v>46148.501388888886</v>
      </c>
      <c r="O86" s="106"/>
      <c r="P86" s="106"/>
      <c r="U86" s="60" t="s">
        <v>371</v>
      </c>
      <c r="Z86" s="107">
        <f t="shared" ca="1" si="11"/>
        <v>0.41921296295913635</v>
      </c>
      <c r="AA86" s="108">
        <f t="shared" ca="1" si="12"/>
        <v>1.1179012345576969</v>
      </c>
      <c r="AB86" s="107">
        <f t="shared" ca="1" si="13"/>
        <v>0.27087962962832535</v>
      </c>
      <c r="AC86" s="108">
        <f t="shared" ca="1" si="14"/>
        <v>0.72234567900886759</v>
      </c>
      <c r="AD86" s="107">
        <f t="shared" ca="1" si="10"/>
        <v>1.5138888891669922E-2</v>
      </c>
      <c r="AE86" s="107">
        <f t="shared" ca="1" si="15"/>
        <v>0.27087962962832535</v>
      </c>
      <c r="AF86" s="108">
        <f t="shared" ca="1" si="16"/>
        <v>0.72234567900886759</v>
      </c>
      <c r="AG86" s="108">
        <f t="shared" ca="1" si="4"/>
        <v>0.72234567900886759</v>
      </c>
      <c r="AH86" s="61" t="str" cm="1">
        <f t="array" aca="1" ref="AH86" ca="1">IF((AD86) &lt; (INDEX(ResponseSLA[#All],(MATCH((G86),ResponseSLA[Priority],0))+1,3)),"YES","No")</f>
        <v>YES</v>
      </c>
      <c r="AI86" s="61" t="str">
        <f ca="1">_xlfn.IFNA(IF(AE86 &lt; (INDEX(SLATable[Minimum SLA],MATCH(G86,SLATable[Priority],0))),"YES","NO"),"")</f>
        <v>YES</v>
      </c>
      <c r="AJ86" s="61" t="str">
        <f ca="1">_xlfn.IFNA(IF(AE86 &lt; (INDEX(SLATable[Maximum SLA],MATCH(G86,SLATable[Priority],0))),"YES","NO"),"")</f>
        <v>YES</v>
      </c>
    </row>
    <row r="87" spans="1:36" s="60" customFormat="1" ht="15" hidden="1" customHeight="1">
      <c r="A87" s="60">
        <v>86</v>
      </c>
      <c r="B87" s="60" t="s">
        <v>26</v>
      </c>
      <c r="C87" s="60" t="s">
        <v>54</v>
      </c>
      <c r="D87" s="60" t="s">
        <v>208</v>
      </c>
      <c r="E87" s="60" t="s">
        <v>2860</v>
      </c>
      <c r="F87" s="60" t="s">
        <v>325</v>
      </c>
      <c r="G87" s="111" t="s">
        <v>208</v>
      </c>
      <c r="H87" s="226" t="s">
        <v>2859</v>
      </c>
      <c r="I87" s="111" t="s">
        <v>271</v>
      </c>
      <c r="J87" s="110" t="s">
        <v>2855</v>
      </c>
      <c r="K87" s="106">
        <v>46147.459629629629</v>
      </c>
      <c r="L87" s="106">
        <v>46147.60465277778</v>
      </c>
      <c r="M87" s="106">
        <v>46147.620833333334</v>
      </c>
      <c r="N87" s="106">
        <v>46151.500694444447</v>
      </c>
      <c r="O87" s="106"/>
      <c r="P87" s="106"/>
      <c r="U87" s="60" t="s">
        <v>371</v>
      </c>
      <c r="Z87" s="107">
        <f t="shared" ca="1" si="11"/>
        <v>0.99870370370384398</v>
      </c>
      <c r="AA87" s="108">
        <f t="shared" ca="1" si="12"/>
        <v>2.6632098765435841</v>
      </c>
      <c r="AB87" s="107">
        <f t="shared" ca="1" si="13"/>
        <v>0.8536805555534861</v>
      </c>
      <c r="AC87" s="108">
        <f t="shared" ca="1" si="14"/>
        <v>2.2764814814759631</v>
      </c>
      <c r="AD87" s="107">
        <f t="shared" ca="1" si="10"/>
        <v>1.6180555554456078E-2</v>
      </c>
      <c r="AE87" s="107">
        <f t="shared" ca="1" si="15"/>
        <v>0.8536805555534861</v>
      </c>
      <c r="AF87" s="108">
        <f t="shared" ca="1" si="16"/>
        <v>2.2764814814759631</v>
      </c>
      <c r="AG87" s="108">
        <f t="shared" ca="1" si="4"/>
        <v>2.2764814814759631</v>
      </c>
      <c r="AH87" s="61" t="str" cm="1">
        <f t="array" aca="1" ref="AH87" ca="1">IF((AD87) &lt; (INDEX(ResponseSLA[#All],(MATCH((G87),ResponseSLA[Priority],0))+1,3)),"YES","No")</f>
        <v>YES</v>
      </c>
      <c r="AI87" s="61" t="str">
        <f ca="1">_xlfn.IFNA(IF(AE87 &lt; (INDEX(SLATable[Minimum SLA],MATCH(G87,SLATable[Priority],0))),"YES","NO"),"")</f>
        <v>NO</v>
      </c>
      <c r="AJ87" s="61" t="str">
        <f ca="1">_xlfn.IFNA(IF(AE87 &lt; (INDEX(SLATable[Maximum SLA],MATCH(G87,SLATable[Priority],0))),"YES","NO"),"")</f>
        <v>NO</v>
      </c>
    </row>
    <row r="88" spans="1:36" s="60" customFormat="1" ht="15" customHeight="1">
      <c r="A88" s="60">
        <v>87</v>
      </c>
      <c r="B88" s="60" t="s">
        <v>26</v>
      </c>
      <c r="C88" s="60" t="s">
        <v>54</v>
      </c>
      <c r="D88" s="60" t="s">
        <v>207</v>
      </c>
      <c r="E88" s="60" t="s">
        <v>2861</v>
      </c>
      <c r="F88" s="60" t="s">
        <v>53</v>
      </c>
      <c r="G88" s="111">
        <v>3</v>
      </c>
      <c r="H88" s="214" t="s">
        <v>2862</v>
      </c>
      <c r="I88" s="111" t="s">
        <v>271</v>
      </c>
      <c r="J88" s="291" t="s">
        <v>2694</v>
      </c>
      <c r="K88" s="106">
        <v>46170.307500000003</v>
      </c>
      <c r="L88" s="106">
        <v>46170.421655092592</v>
      </c>
      <c r="M88" s="106">
        <v>46170.436712962961</v>
      </c>
      <c r="N88" s="106">
        <v>46170.44494212963</v>
      </c>
      <c r="O88" s="106"/>
      <c r="P88" s="106"/>
      <c r="U88" s="60" t="s">
        <v>371</v>
      </c>
      <c r="Z88" s="107">
        <f t="shared" ca="1" si="11"/>
        <v>0.1116087962970293</v>
      </c>
      <c r="AA88" s="108">
        <f t="shared" ca="1" si="12"/>
        <v>0.29762345679207813</v>
      </c>
      <c r="AB88" s="107">
        <f t="shared" ca="1" si="13"/>
        <v>2.3287037038244307E-2</v>
      </c>
      <c r="AC88" s="108">
        <f t="shared" ca="1" si="14"/>
        <v>6.209876543531815E-2</v>
      </c>
      <c r="AD88" s="107">
        <f t="shared" ca="1" si="10"/>
        <v>1.505787036876427E-2</v>
      </c>
      <c r="AE88" s="107">
        <f t="shared" ca="1" si="15"/>
        <v>2.3287037038244307E-2</v>
      </c>
      <c r="AF88" s="108">
        <f t="shared" ca="1" si="16"/>
        <v>6.209876543531815E-2</v>
      </c>
      <c r="AG88" s="108">
        <f t="shared" ca="1" si="4"/>
        <v>6.209876543531815E-2</v>
      </c>
      <c r="AH88" s="61" t="str" cm="1">
        <f t="array" aca="1" ref="AH88" ca="1">IF((AD88) &lt; (INDEX(ResponseSLA[#All],(MATCH((G88),ResponseSLA[Priority],0))+1,3)),"YES","No")</f>
        <v>YES</v>
      </c>
      <c r="AI88" s="61" t="str">
        <f ca="1">_xlfn.IFNA(IF(AE88 &lt; (INDEX(SLATable[Minimum SLA],MATCH(G88,SLATable[Priority],0))),"YES","NO"),"")</f>
        <v>YES</v>
      </c>
      <c r="AJ88" s="61" t="str">
        <f ca="1">_xlfn.IFNA(IF(AE88 &lt; (INDEX(SLATable[Maximum SLA],MATCH(G88,SLATable[Priority],0))),"YES","NO"),"")</f>
        <v>YES</v>
      </c>
    </row>
    <row r="89" spans="1:36" s="60" customFormat="1" ht="15" hidden="1" customHeight="1">
      <c r="A89" s="60">
        <v>88</v>
      </c>
      <c r="B89" s="60" t="s">
        <v>26</v>
      </c>
      <c r="C89" s="60" t="s">
        <v>54</v>
      </c>
      <c r="D89" s="60" t="s">
        <v>208</v>
      </c>
      <c r="E89" s="60" t="s">
        <v>2863</v>
      </c>
      <c r="F89" s="60" t="s">
        <v>325</v>
      </c>
      <c r="G89" s="111" t="s">
        <v>208</v>
      </c>
      <c r="H89" s="226" t="s">
        <v>2864</v>
      </c>
      <c r="I89" s="111" t="s">
        <v>275</v>
      </c>
      <c r="J89" s="110" t="s">
        <v>2855</v>
      </c>
      <c r="K89" s="106">
        <v>46132.70888888889</v>
      </c>
      <c r="L89" s="106">
        <v>46148.561203703706</v>
      </c>
      <c r="M89" s="106">
        <v>46148.633877314816</v>
      </c>
      <c r="N89" s="106">
        <v>46148.636423611111</v>
      </c>
      <c r="O89" s="106"/>
      <c r="P89" s="106"/>
      <c r="U89" s="60" t="s">
        <v>371</v>
      </c>
      <c r="Z89" s="107">
        <f t="shared" ca="1" si="11"/>
        <v>3.678090277777907</v>
      </c>
      <c r="AA89" s="108">
        <f t="shared" ca="1" si="12"/>
        <v>9.8082407407410859</v>
      </c>
      <c r="AB89" s="107">
        <f t="shared" ca="1" si="13"/>
        <v>7.5219907404971309E-2</v>
      </c>
      <c r="AC89" s="108">
        <f t="shared" ca="1" si="14"/>
        <v>0.20058641974659017</v>
      </c>
      <c r="AD89" s="107">
        <f t="shared" ca="1" si="10"/>
        <v>7.2673611110076308E-2</v>
      </c>
      <c r="AE89" s="107">
        <f t="shared" ca="1" si="15"/>
        <v>7.5219907404971309E-2</v>
      </c>
      <c r="AF89" s="108">
        <f t="shared" ca="1" si="16"/>
        <v>0.20058641974659017</v>
      </c>
      <c r="AG89" s="108">
        <f t="shared" ca="1" si="4"/>
        <v>0.20058641974659017</v>
      </c>
      <c r="AH89" s="61" t="str" cm="1">
        <f t="array" aca="1" ref="AH89" ca="1">IF((AD89) &lt; (INDEX(ResponseSLA[#All],(MATCH((G89),ResponseSLA[Priority],0))+1,3)),"YES","No")</f>
        <v>YES</v>
      </c>
      <c r="AI89" s="61" t="str">
        <f ca="1">_xlfn.IFNA(IF(AE89 &lt; (INDEX(SLATable[Minimum SLA],MATCH(G89,SLATable[Priority],0))),"YES","NO"),"")</f>
        <v>YES</v>
      </c>
      <c r="AJ89" s="61" t="str">
        <f ca="1">_xlfn.IFNA(IF(AE89 &lt; (INDEX(SLATable[Maximum SLA],MATCH(G89,SLATable[Priority],0))),"YES","NO"),"")</f>
        <v>YES</v>
      </c>
    </row>
    <row r="90" spans="1:36" s="60" customFormat="1" ht="15" hidden="1" customHeight="1">
      <c r="A90" s="60">
        <v>89</v>
      </c>
      <c r="B90" s="60" t="s">
        <v>26</v>
      </c>
      <c r="C90" s="60" t="s">
        <v>54</v>
      </c>
      <c r="D90" s="60" t="s">
        <v>208</v>
      </c>
      <c r="E90" s="60" t="s">
        <v>2865</v>
      </c>
      <c r="F90" s="60" t="s">
        <v>325</v>
      </c>
      <c r="G90" s="227" t="s">
        <v>208</v>
      </c>
      <c r="H90" s="226" t="s">
        <v>2866</v>
      </c>
      <c r="I90" s="227" t="s">
        <v>271</v>
      </c>
      <c r="J90" s="226" t="s">
        <v>2855</v>
      </c>
      <c r="K90" s="106">
        <v>46149.895405092589</v>
      </c>
      <c r="L90" s="106">
        <v>46149.897847222222</v>
      </c>
      <c r="M90" s="106">
        <v>46150.401990740742</v>
      </c>
      <c r="N90" s="106">
        <v>46154.506643518522</v>
      </c>
      <c r="O90" s="106"/>
      <c r="P90" s="106"/>
      <c r="U90" s="60" t="s">
        <v>371</v>
      </c>
      <c r="Z90" s="107">
        <f t="shared" ca="1" si="11"/>
        <v>0.92331018518840835</v>
      </c>
      <c r="AA90" s="108">
        <f t="shared" ca="1" si="12"/>
        <v>2.4621604938357553</v>
      </c>
      <c r="AB90" s="107">
        <f t="shared" ca="1" si="13"/>
        <v>0.92331018518840835</v>
      </c>
      <c r="AC90" s="108">
        <f t="shared" ca="1" si="14"/>
        <v>2.4621604938357553</v>
      </c>
      <c r="AD90" s="107">
        <f t="shared" ca="1" si="10"/>
        <v>6.86574074085608E-2</v>
      </c>
      <c r="AE90" s="107">
        <f t="shared" ca="1" si="15"/>
        <v>0.92331018518840835</v>
      </c>
      <c r="AF90" s="108">
        <f t="shared" ca="1" si="16"/>
        <v>2.4621604938357553</v>
      </c>
      <c r="AG90" s="108">
        <f t="shared" ca="1" si="4"/>
        <v>2.4621604938357553</v>
      </c>
      <c r="AH90" s="61" t="str" cm="1">
        <f t="array" aca="1" ref="AH90" ca="1">IF((AD90) &lt; (INDEX(ResponseSLA[#All],(MATCH((G90),ResponseSLA[Priority],0))+1,3)),"YES","No")</f>
        <v>YES</v>
      </c>
      <c r="AI90" s="61" t="str">
        <f ca="1">_xlfn.IFNA(IF(AE90 &lt; (INDEX(SLATable[Minimum SLA],MATCH(G90,SLATable[Priority],0))),"YES","NO"),"")</f>
        <v>NO</v>
      </c>
      <c r="AJ90" s="61" t="str">
        <f ca="1">_xlfn.IFNA(IF(AE90 &lt; (INDEX(SLATable[Maximum SLA],MATCH(G90,SLATable[Priority],0))),"YES","NO"),"")</f>
        <v>NO</v>
      </c>
    </row>
    <row r="91" spans="1:36" s="60" customFormat="1" ht="15" hidden="1" customHeight="1">
      <c r="A91" s="60">
        <v>90</v>
      </c>
      <c r="B91" s="60" t="s">
        <v>26</v>
      </c>
      <c r="C91" s="60" t="s">
        <v>54</v>
      </c>
      <c r="D91" s="60" t="s">
        <v>208</v>
      </c>
      <c r="E91" s="60" t="s">
        <v>2867</v>
      </c>
      <c r="F91" s="60" t="s">
        <v>325</v>
      </c>
      <c r="G91" s="227" t="s">
        <v>208</v>
      </c>
      <c r="H91" s="226" t="s">
        <v>1174</v>
      </c>
      <c r="I91" s="227" t="s">
        <v>271</v>
      </c>
      <c r="J91" s="226" t="s">
        <v>2855</v>
      </c>
      <c r="K91" s="106">
        <v>46149.699004629627</v>
      </c>
      <c r="L91" s="106">
        <v>46150.405590277776</v>
      </c>
      <c r="M91" s="106">
        <v>46150.406840277778</v>
      </c>
      <c r="N91" s="106">
        <v>46150.719849537039</v>
      </c>
      <c r="O91" s="106"/>
      <c r="P91" s="106"/>
      <c r="U91" s="60" t="s">
        <v>371</v>
      </c>
      <c r="Z91" s="107">
        <f t="shared" ca="1" si="11"/>
        <v>0.38432870370646333</v>
      </c>
      <c r="AA91" s="108">
        <f t="shared" ca="1" si="12"/>
        <v>1.0248765432172355</v>
      </c>
      <c r="AB91" s="107">
        <f t="shared" ca="1" si="13"/>
        <v>0.30274305555697845</v>
      </c>
      <c r="AC91" s="108">
        <f t="shared" ca="1" si="14"/>
        <v>0.80731481481860923</v>
      </c>
      <c r="AD91" s="107">
        <f t="shared" ca="1" si="10"/>
        <v>1.2500000011641532E-3</v>
      </c>
      <c r="AE91" s="107">
        <f t="shared" ca="1" si="15"/>
        <v>0.30274305555697845</v>
      </c>
      <c r="AF91" s="108">
        <f t="shared" ca="1" si="16"/>
        <v>0.80731481481860923</v>
      </c>
      <c r="AG91" s="108">
        <f t="shared" ca="1" si="4"/>
        <v>0.80731481481860923</v>
      </c>
      <c r="AH91" s="61" t="str" cm="1">
        <f t="array" aca="1" ref="AH91" ca="1">IF((AD91) &lt; (INDEX(ResponseSLA[#All],(MATCH((G91),ResponseSLA[Priority],0))+1,3)),"YES","No")</f>
        <v>YES</v>
      </c>
      <c r="AI91" s="61" t="str">
        <f ca="1">_xlfn.IFNA(IF(AE91 &lt; (INDEX(SLATable[Minimum SLA],MATCH(G91,SLATable[Priority],0))),"YES","NO"),"")</f>
        <v>YES</v>
      </c>
      <c r="AJ91" s="61" t="str">
        <f ca="1">_xlfn.IFNA(IF(AE91 &lt; (INDEX(SLATable[Maximum SLA],MATCH(G91,SLATable[Priority],0))),"YES","NO"),"")</f>
        <v>YES</v>
      </c>
    </row>
    <row r="92" spans="1:36" s="60" customFormat="1" ht="15" hidden="1" customHeight="1">
      <c r="A92" s="60">
        <v>91</v>
      </c>
      <c r="B92" s="60" t="s">
        <v>26</v>
      </c>
      <c r="C92" s="60" t="s">
        <v>54</v>
      </c>
      <c r="D92" s="60" t="s">
        <v>208</v>
      </c>
      <c r="E92" s="60" t="s">
        <v>2868</v>
      </c>
      <c r="F92" s="60" t="s">
        <v>325</v>
      </c>
      <c r="G92" s="227" t="s">
        <v>208</v>
      </c>
      <c r="H92" s="226" t="s">
        <v>2869</v>
      </c>
      <c r="I92" s="227" t="s">
        <v>275</v>
      </c>
      <c r="J92" s="226" t="s">
        <v>2855</v>
      </c>
      <c r="K92" s="106">
        <v>46136.657430555555</v>
      </c>
      <c r="L92" s="106">
        <v>46150.527256944442</v>
      </c>
      <c r="M92" s="106">
        <v>46150.596435185187</v>
      </c>
      <c r="N92" s="106">
        <v>46150.622071759259</v>
      </c>
      <c r="O92" s="106"/>
      <c r="P92" s="106"/>
      <c r="U92" s="60" t="s">
        <v>371</v>
      </c>
      <c r="Z92" s="107">
        <f t="shared" ca="1" si="11"/>
        <v>2.9646412037036503</v>
      </c>
      <c r="AA92" s="108">
        <f t="shared" ca="1" si="12"/>
        <v>7.9057098765430673</v>
      </c>
      <c r="AB92" s="107">
        <f t="shared" ca="1" si="13"/>
        <v>9.4814814816345461E-2</v>
      </c>
      <c r="AC92" s="108">
        <f t="shared" ca="1" si="14"/>
        <v>0.25283950617692125</v>
      </c>
      <c r="AD92" s="107">
        <f t="shared" ca="1" si="10"/>
        <v>6.9178240744804498E-2</v>
      </c>
      <c r="AE92" s="107">
        <f t="shared" ca="1" si="15"/>
        <v>9.3566435185202881</v>
      </c>
      <c r="AF92" s="108">
        <f t="shared" ca="1" si="16"/>
        <v>24.951049382720768</v>
      </c>
      <c r="AG92" s="108">
        <f t="shared" ca="1" si="4"/>
        <v>24.951049382720768</v>
      </c>
      <c r="AH92" s="61" t="str" cm="1">
        <f t="array" aca="1" ref="AH92" ca="1">IF((AD92) &lt; (INDEX(ResponseSLA[#All],(MATCH((G92),ResponseSLA[Priority],0))+1,3)),"YES","No")</f>
        <v>YES</v>
      </c>
      <c r="AI92" s="61" t="str">
        <f ca="1">_xlfn.IFNA(IF(AE92 &lt; (INDEX(SLATable[Minimum SLA],MATCH(G92,SLATable[Priority],0))),"YES","NO"),"")</f>
        <v>NO</v>
      </c>
      <c r="AJ92" s="61" t="str">
        <f ca="1">_xlfn.IFNA(IF(AE92 &lt; (INDEX(SLATable[Maximum SLA],MATCH(G92,SLATable[Priority],0))),"YES","NO"),"")</f>
        <v>NO</v>
      </c>
    </row>
    <row r="93" spans="1:36" s="60" customFormat="1" ht="15" hidden="1" customHeight="1">
      <c r="A93" s="60">
        <v>92</v>
      </c>
      <c r="B93" s="60" t="s">
        <v>26</v>
      </c>
      <c r="C93" s="60" t="s">
        <v>54</v>
      </c>
      <c r="D93" s="60" t="s">
        <v>208</v>
      </c>
      <c r="E93" s="60" t="s">
        <v>2870</v>
      </c>
      <c r="F93" s="60" t="s">
        <v>325</v>
      </c>
      <c r="G93" s="227" t="s">
        <v>208</v>
      </c>
      <c r="H93" s="226" t="s">
        <v>2871</v>
      </c>
      <c r="I93" s="227" t="s">
        <v>271</v>
      </c>
      <c r="J93" s="226" t="s">
        <v>2872</v>
      </c>
      <c r="K93" s="106">
        <v>46150.54792824074</v>
      </c>
      <c r="L93" s="106">
        <v>46150.822337962964</v>
      </c>
      <c r="M93" s="106">
        <v>46153.405671296299</v>
      </c>
      <c r="N93" s="106">
        <v>46153.598946759259</v>
      </c>
      <c r="O93" s="106"/>
      <c r="P93" s="106"/>
      <c r="U93" s="60" t="s">
        <v>371</v>
      </c>
      <c r="Z93" s="107">
        <f t="shared" ca="1" si="11"/>
        <v>0.42601851851941319</v>
      </c>
      <c r="AA93" s="108">
        <f t="shared" ca="1" si="12"/>
        <v>1.1360493827184353</v>
      </c>
      <c r="AB93" s="107">
        <f t="shared" ca="1" si="13"/>
        <v>0.26561342592564563</v>
      </c>
      <c r="AC93" s="108">
        <f t="shared" ca="1" si="14"/>
        <v>0.70830246913505501</v>
      </c>
      <c r="AD93" s="107">
        <f t="shared" ca="1" si="10"/>
        <v>7.233796296592726E-2</v>
      </c>
      <c r="AE93" s="107">
        <f t="shared" ca="1" si="15"/>
        <v>0.26561342592564563</v>
      </c>
      <c r="AF93" s="108">
        <f t="shared" ca="1" si="16"/>
        <v>0.70830246913505501</v>
      </c>
      <c r="AG93" s="108">
        <f t="shared" ca="1" si="4"/>
        <v>0.70830246913505501</v>
      </c>
      <c r="AH93" s="61" t="str" cm="1">
        <f t="array" aca="1" ref="AH93" ca="1">IF((AD93) &lt; (INDEX(ResponseSLA[#All],(MATCH((G93),ResponseSLA[Priority],0))+1,3)),"YES","No")</f>
        <v>YES</v>
      </c>
      <c r="AI93" s="61" t="str">
        <f ca="1">_xlfn.IFNA(IF(AE93 &lt; (INDEX(SLATable[Minimum SLA],MATCH(G93,SLATable[Priority],0))),"YES","NO"),"")</f>
        <v>YES</v>
      </c>
      <c r="AJ93" s="61" t="str">
        <f ca="1">_xlfn.IFNA(IF(AE93 &lt; (INDEX(SLATable[Maximum SLA],MATCH(G93,SLATable[Priority],0))),"YES","NO"),"")</f>
        <v>YES</v>
      </c>
    </row>
    <row r="94" spans="1:36" s="60" customFormat="1" ht="15" hidden="1" customHeight="1">
      <c r="A94" s="60">
        <v>93</v>
      </c>
      <c r="B94" s="60" t="s">
        <v>26</v>
      </c>
      <c r="C94" s="60" t="s">
        <v>54</v>
      </c>
      <c r="D94" s="60" t="s">
        <v>207</v>
      </c>
      <c r="E94" s="60" t="s">
        <v>2873</v>
      </c>
      <c r="F94" s="60" t="s">
        <v>325</v>
      </c>
      <c r="G94" s="227">
        <v>3</v>
      </c>
      <c r="H94" s="226" t="s">
        <v>2874</v>
      </c>
      <c r="I94" s="227" t="s">
        <v>271</v>
      </c>
      <c r="J94" s="226" t="s">
        <v>2855</v>
      </c>
      <c r="K94" s="106">
        <v>46140.43172453704</v>
      </c>
      <c r="L94" s="106">
        <v>46146.748761574076</v>
      </c>
      <c r="M94" s="106">
        <v>46147.406053240738</v>
      </c>
      <c r="N94" s="106">
        <v>46147.514768518522</v>
      </c>
      <c r="O94" s="106"/>
      <c r="P94" s="106"/>
      <c r="U94" s="60" t="s">
        <v>371</v>
      </c>
      <c r="Z94" s="107">
        <f t="shared" ca="1" si="11"/>
        <v>1.2080439814817512</v>
      </c>
      <c r="AA94" s="108">
        <f t="shared" ca="1" si="12"/>
        <v>3.22145061728467</v>
      </c>
      <c r="AB94" s="107">
        <f t="shared" ca="1" si="13"/>
        <v>0.18143518518869922</v>
      </c>
      <c r="AC94" s="108">
        <f t="shared" ca="1" si="14"/>
        <v>0.48382716050319785</v>
      </c>
      <c r="AD94" s="107">
        <f t="shared" ca="1" si="10"/>
        <v>7.271990740506834E-2</v>
      </c>
      <c r="AE94" s="107">
        <f t="shared" ca="1" si="15"/>
        <v>0.18143518518869922</v>
      </c>
      <c r="AF94" s="108">
        <f t="shared" ca="1" si="16"/>
        <v>0.48382716050319785</v>
      </c>
      <c r="AG94" s="108">
        <f t="shared" ca="1" si="4"/>
        <v>0.48382716050319785</v>
      </c>
      <c r="AH94" s="61" t="str" cm="1">
        <f t="array" aca="1" ref="AH94" ca="1">IF((AD94) &lt; (INDEX(ResponseSLA[#All],(MATCH((G94),ResponseSLA[Priority],0))+1,3)),"YES","No")</f>
        <v>YES</v>
      </c>
      <c r="AI94" s="61" t="str">
        <f ca="1">_xlfn.IFNA(IF(AE94 &lt; (INDEX(SLATable[Minimum SLA],MATCH(G94,SLATable[Priority],0))),"YES","NO"),"")</f>
        <v>YES</v>
      </c>
      <c r="AJ94" s="61" t="str">
        <f ca="1">_xlfn.IFNA(IF(AE94 &lt; (INDEX(SLATable[Maximum SLA],MATCH(G94,SLATable[Priority],0))),"YES","NO"),"")</f>
        <v>YES</v>
      </c>
    </row>
    <row r="95" spans="1:36" s="60" customFormat="1" ht="15" hidden="1" customHeight="1">
      <c r="A95" s="60">
        <v>94</v>
      </c>
      <c r="B95" s="60" t="s">
        <v>26</v>
      </c>
      <c r="C95" s="60" t="s">
        <v>54</v>
      </c>
      <c r="D95" s="60" t="s">
        <v>208</v>
      </c>
      <c r="E95" s="60" t="s">
        <v>2875</v>
      </c>
      <c r="F95" s="60" t="s">
        <v>325</v>
      </c>
      <c r="G95" s="227" t="s">
        <v>208</v>
      </c>
      <c r="H95" s="226" t="s">
        <v>2876</v>
      </c>
      <c r="I95" s="227" t="s">
        <v>271</v>
      </c>
      <c r="J95" s="226" t="s">
        <v>2855</v>
      </c>
      <c r="K95" s="106">
        <v>46153.432349537034</v>
      </c>
      <c r="L95" s="106">
        <v>46153.498414351852</v>
      </c>
      <c r="M95" s="106">
        <v>46153.529594907406</v>
      </c>
      <c r="N95" s="106">
        <v>46154.506226851852</v>
      </c>
      <c r="O95" s="106"/>
      <c r="P95" s="106"/>
      <c r="U95" s="60" t="s">
        <v>371</v>
      </c>
      <c r="Z95" s="107">
        <f t="shared" ca="1" si="11"/>
        <v>0.44887731481867377</v>
      </c>
      <c r="AA95" s="108">
        <f t="shared" ca="1" si="12"/>
        <v>1.1970061728497967</v>
      </c>
      <c r="AB95" s="107">
        <f t="shared" ca="1" si="13"/>
        <v>0.3828125</v>
      </c>
      <c r="AC95" s="108">
        <f t="shared" ca="1" si="14"/>
        <v>1.0208333333333333</v>
      </c>
      <c r="AD95" s="107">
        <f t="shared" ca="1" si="10"/>
        <v>3.1180555553874001E-2</v>
      </c>
      <c r="AE95" s="107">
        <f t="shared" ca="1" si="15"/>
        <v>0.3828125</v>
      </c>
      <c r="AF95" s="108">
        <f t="shared" ca="1" si="16"/>
        <v>1.0208333333333333</v>
      </c>
      <c r="AG95" s="108">
        <f t="shared" ca="1" si="4"/>
        <v>1.0208333333333333</v>
      </c>
      <c r="AH95" s="61" t="str" cm="1">
        <f t="array" aca="1" ref="AH95" ca="1">IF((AD95) &lt; (INDEX(ResponseSLA[#All],(MATCH((G95),ResponseSLA[Priority],0))+1,3)),"YES","No")</f>
        <v>YES</v>
      </c>
      <c r="AI95" s="61" t="str">
        <f ca="1">_xlfn.IFNA(IF(AE95 &lt; (INDEX(SLATable[Minimum SLA],MATCH(G95,SLATable[Priority],0))),"YES","NO"),"")</f>
        <v>YES</v>
      </c>
      <c r="AJ95" s="61" t="str">
        <f ca="1">_xlfn.IFNA(IF(AE95 &lt; (INDEX(SLATable[Maximum SLA],MATCH(G95,SLATable[Priority],0))),"YES","NO"),"")</f>
        <v>YES</v>
      </c>
    </row>
    <row r="96" spans="1:36" s="60" customFormat="1" ht="15" hidden="1" customHeight="1">
      <c r="A96" s="60">
        <v>95</v>
      </c>
      <c r="B96" s="60" t="s">
        <v>26</v>
      </c>
      <c r="C96" s="60" t="s">
        <v>54</v>
      </c>
      <c r="D96" s="60" t="s">
        <v>208</v>
      </c>
      <c r="E96" s="60" t="s">
        <v>2877</v>
      </c>
      <c r="F96" s="60" t="s">
        <v>325</v>
      </c>
      <c r="G96" s="227" t="s">
        <v>208</v>
      </c>
      <c r="H96" s="226" t="s">
        <v>2878</v>
      </c>
      <c r="I96" s="227" t="s">
        <v>275</v>
      </c>
      <c r="J96" s="226" t="s">
        <v>2855</v>
      </c>
      <c r="K96" s="106">
        <v>46143.867534722223</v>
      </c>
      <c r="L96" s="106">
        <v>46153.684907407405</v>
      </c>
      <c r="M96" s="106">
        <v>46153.694351851853</v>
      </c>
      <c r="N96" s="106">
        <v>46154.505624999998</v>
      </c>
      <c r="O96" s="106"/>
      <c r="P96" s="106"/>
      <c r="U96" s="60" t="s">
        <v>371</v>
      </c>
      <c r="Z96" s="107">
        <f t="shared" ca="1" si="11"/>
        <v>2.0472916666646293</v>
      </c>
      <c r="AA96" s="108">
        <f t="shared" ca="1" si="12"/>
        <v>5.4594444444390113</v>
      </c>
      <c r="AB96" s="107">
        <f t="shared" ca="1" si="13"/>
        <v>0.19571759259270038</v>
      </c>
      <c r="AC96" s="108">
        <f t="shared" ca="1" si="14"/>
        <v>0.52191358024720103</v>
      </c>
      <c r="AD96" s="107">
        <f t="shared" ca="1" si="10"/>
        <v>9.4444444475811906E-3</v>
      </c>
      <c r="AE96" s="107">
        <f t="shared" ca="1" si="15"/>
        <v>0.19571759259270038</v>
      </c>
      <c r="AF96" s="108">
        <f t="shared" ca="1" si="16"/>
        <v>0.52191358024720103</v>
      </c>
      <c r="AG96" s="108">
        <f t="shared" ca="1" si="4"/>
        <v>0.52191358024720103</v>
      </c>
      <c r="AH96" s="61" t="str" cm="1">
        <f t="array" aca="1" ref="AH96" ca="1">IF((AD96) &lt; (INDEX(ResponseSLA[#All],(MATCH((G96),ResponseSLA[Priority],0))+1,3)),"YES","No")</f>
        <v>YES</v>
      </c>
      <c r="AI96" s="61" t="str">
        <f ca="1">_xlfn.IFNA(IF(AE96 &lt; (INDEX(SLATable[Minimum SLA],MATCH(G96,SLATable[Priority],0))),"YES","NO"),"")</f>
        <v>YES</v>
      </c>
      <c r="AJ96" s="61" t="str">
        <f ca="1">_xlfn.IFNA(IF(AE96 &lt; (INDEX(SLATable[Maximum SLA],MATCH(G96,SLATable[Priority],0))),"YES","NO"),"")</f>
        <v>YES</v>
      </c>
    </row>
    <row r="97" spans="1:36" s="60" customFormat="1" ht="15" hidden="1" customHeight="1">
      <c r="A97" s="60">
        <v>96</v>
      </c>
      <c r="B97" s="60" t="s">
        <v>26</v>
      </c>
      <c r="C97" s="60" t="s">
        <v>54</v>
      </c>
      <c r="D97" s="60" t="s">
        <v>208</v>
      </c>
      <c r="E97" s="60" t="s">
        <v>2879</v>
      </c>
      <c r="F97" s="60" t="s">
        <v>325</v>
      </c>
      <c r="G97" s="227" t="s">
        <v>208</v>
      </c>
      <c r="H97" s="226" t="s">
        <v>2880</v>
      </c>
      <c r="I97" s="227" t="s">
        <v>271</v>
      </c>
      <c r="J97" s="226" t="s">
        <v>2855</v>
      </c>
      <c r="K97" s="106">
        <v>46154.600428240738</v>
      </c>
      <c r="L97" s="106">
        <v>46154.600428240738</v>
      </c>
      <c r="M97" s="106">
        <v>46154.607141203705</v>
      </c>
      <c r="N97" s="106">
        <v>46156.547291666669</v>
      </c>
      <c r="O97" s="106"/>
      <c r="P97" s="106"/>
      <c r="U97" s="60" t="s">
        <v>371</v>
      </c>
      <c r="Z97" s="107">
        <f t="shared" ca="1" si="11"/>
        <v>0.6968634259319515</v>
      </c>
      <c r="AA97" s="108">
        <f t="shared" ca="1" si="12"/>
        <v>1.8583024691518706</v>
      </c>
      <c r="AB97" s="107">
        <f t="shared" ca="1" si="13"/>
        <v>0.6968634259319515</v>
      </c>
      <c r="AC97" s="108">
        <f t="shared" ca="1" si="14"/>
        <v>1.8583024691518706</v>
      </c>
      <c r="AD97" s="107">
        <f t="shared" ca="1" si="10"/>
        <v>6.7129629678674974E-3</v>
      </c>
      <c r="AE97" s="107">
        <f t="shared" ca="1" si="15"/>
        <v>0.6968634259319515</v>
      </c>
      <c r="AF97" s="108">
        <f t="shared" ca="1" si="16"/>
        <v>1.8583024691518706</v>
      </c>
      <c r="AG97" s="108">
        <f t="shared" ca="1" si="4"/>
        <v>1.8583024691518706</v>
      </c>
      <c r="AH97" s="61" t="str" cm="1">
        <f t="array" aca="1" ref="AH97" ca="1">IF((AD97) &lt; (INDEX(ResponseSLA[#All],(MATCH((G97),ResponseSLA[Priority],0))+1,3)),"YES","No")</f>
        <v>YES</v>
      </c>
      <c r="AI97" s="61" t="str">
        <f ca="1">_xlfn.IFNA(IF(AE97 &lt; (INDEX(SLATable[Minimum SLA],MATCH(G97,SLATable[Priority],0))),"YES","NO"),"")</f>
        <v>YES</v>
      </c>
      <c r="AJ97" s="61" t="str">
        <f ca="1">_xlfn.IFNA(IF(AE97 &lt; (INDEX(SLATable[Maximum SLA],MATCH(G97,SLATable[Priority],0))),"YES","NO"),"")</f>
        <v>YES</v>
      </c>
    </row>
    <row r="98" spans="1:36" s="60" customFormat="1" ht="15" hidden="1" customHeight="1">
      <c r="A98" s="60">
        <v>97</v>
      </c>
      <c r="B98" s="60" t="s">
        <v>26</v>
      </c>
      <c r="C98" s="60" t="s">
        <v>54</v>
      </c>
      <c r="D98" s="60" t="s">
        <v>208</v>
      </c>
      <c r="E98" s="60" t="s">
        <v>2881</v>
      </c>
      <c r="F98" s="60" t="s">
        <v>325</v>
      </c>
      <c r="G98" s="227" t="s">
        <v>208</v>
      </c>
      <c r="H98" s="226" t="s">
        <v>2882</v>
      </c>
      <c r="I98" s="227" t="s">
        <v>271</v>
      </c>
      <c r="J98" s="226" t="s">
        <v>2855</v>
      </c>
      <c r="K98" s="106">
        <v>46154.480694444443</v>
      </c>
      <c r="L98" s="106">
        <v>46154.763344907406</v>
      </c>
      <c r="M98" s="106">
        <v>46155.401261574072</v>
      </c>
      <c r="N98" s="106">
        <v>46155.547546296293</v>
      </c>
      <c r="O98" s="106"/>
      <c r="P98" s="106"/>
      <c r="U98" s="60" t="s">
        <v>371</v>
      </c>
      <c r="Z98" s="107">
        <f t="shared" ca="1" si="11"/>
        <v>0.44185185185051523</v>
      </c>
      <c r="AA98" s="108">
        <f t="shared" ca="1" si="12"/>
        <v>1.1782716049347073</v>
      </c>
      <c r="AB98" s="107">
        <f t="shared" ca="1" si="13"/>
        <v>0.2142129629598154</v>
      </c>
      <c r="AC98" s="108">
        <f t="shared" ca="1" si="14"/>
        <v>0.57123456789284111</v>
      </c>
      <c r="AD98" s="107">
        <f t="shared" ca="1" si="10"/>
        <v>6.7928240738789725E-2</v>
      </c>
      <c r="AE98" s="107">
        <f t="shared" ca="1" si="15"/>
        <v>1.7762152777771307</v>
      </c>
      <c r="AF98" s="108">
        <f t="shared" ca="1" si="16"/>
        <v>4.7365740740723483</v>
      </c>
      <c r="AG98" s="108">
        <f t="shared" ca="1" si="4"/>
        <v>4.7365740740723483</v>
      </c>
      <c r="AH98" s="61" t="str" cm="1">
        <f t="array" aca="1" ref="AH98" ca="1">IF((AD98) &lt; (INDEX(ResponseSLA[#All],(MATCH((G98),ResponseSLA[Priority],0))+1,3)),"YES","No")</f>
        <v>YES</v>
      </c>
      <c r="AI98" s="61" t="str">
        <f ca="1">_xlfn.IFNA(IF(AE98 &lt; (INDEX(SLATable[Minimum SLA],MATCH(G98,SLATable[Priority],0))),"YES","NO"),"")</f>
        <v>NO</v>
      </c>
      <c r="AJ98" s="61" t="str">
        <f ca="1">_xlfn.IFNA(IF(AE98 &lt; (INDEX(SLATable[Maximum SLA],MATCH(G98,SLATable[Priority],0))),"YES","NO"),"")</f>
        <v>NO</v>
      </c>
    </row>
    <row r="99" spans="1:36" s="60" customFormat="1" ht="15" hidden="1" customHeight="1">
      <c r="A99" s="60">
        <v>98</v>
      </c>
      <c r="B99" s="60" t="s">
        <v>26</v>
      </c>
      <c r="C99" s="60" t="s">
        <v>54</v>
      </c>
      <c r="D99" s="60" t="s">
        <v>208</v>
      </c>
      <c r="E99" s="60" t="s">
        <v>2883</v>
      </c>
      <c r="F99" s="60" t="s">
        <v>325</v>
      </c>
      <c r="G99" s="227" t="s">
        <v>208</v>
      </c>
      <c r="H99" s="226" t="s">
        <v>2884</v>
      </c>
      <c r="I99" s="227" t="s">
        <v>271</v>
      </c>
      <c r="J99" s="226" t="s">
        <v>2872</v>
      </c>
      <c r="K99" s="106">
        <v>46155.557025462964</v>
      </c>
      <c r="L99" s="106">
        <v>46155.616087962961</v>
      </c>
      <c r="M99" s="106">
        <v>46155.61859953704</v>
      </c>
      <c r="N99" s="106">
        <v>46157.405150462961</v>
      </c>
      <c r="O99" s="106"/>
      <c r="P99" s="106"/>
      <c r="U99" s="60" t="s">
        <v>371</v>
      </c>
      <c r="Z99" s="107">
        <f t="shared" ca="1" si="11"/>
        <v>0.59812499999679858</v>
      </c>
      <c r="AA99" s="108">
        <f t="shared" ca="1" si="12"/>
        <v>1.5949999999914628</v>
      </c>
      <c r="AB99" s="107">
        <f t="shared" ca="1" si="13"/>
        <v>0.5390625</v>
      </c>
      <c r="AC99" s="108">
        <f t="shared" ca="1" si="14"/>
        <v>1.4375</v>
      </c>
      <c r="AD99" s="107">
        <f t="shared" ca="1" si="10"/>
        <v>2.5115740791079588E-3</v>
      </c>
      <c r="AE99" s="107">
        <f t="shared" ca="1" si="15"/>
        <v>0.5390625</v>
      </c>
      <c r="AF99" s="108">
        <f t="shared" ca="1" si="16"/>
        <v>1.4375</v>
      </c>
      <c r="AG99" s="108">
        <f t="shared" ca="1" si="4"/>
        <v>1.4375</v>
      </c>
      <c r="AH99" s="61" t="str" cm="1">
        <f t="array" aca="1" ref="AH99" ca="1">IF((AD99) &lt; (INDEX(ResponseSLA[#All],(MATCH((G99),ResponseSLA[Priority],0))+1,3)),"YES","No")</f>
        <v>YES</v>
      </c>
      <c r="AI99" s="61" t="str">
        <f ca="1">_xlfn.IFNA(IF(AE99 &lt; (INDEX(SLATable[Minimum SLA],MATCH(G99,SLATable[Priority],0))),"YES","NO"),"")</f>
        <v>YES</v>
      </c>
      <c r="AJ99" s="61" t="str">
        <f ca="1">_xlfn.IFNA(IF(AE99 &lt; (INDEX(SLATable[Maximum SLA],MATCH(G99,SLATable[Priority],0))),"YES","NO"),"")</f>
        <v>YES</v>
      </c>
    </row>
    <row r="100" spans="1:36" s="60" customFormat="1" ht="15" hidden="1" customHeight="1">
      <c r="A100" s="60">
        <v>99</v>
      </c>
      <c r="B100" s="60" t="s">
        <v>26</v>
      </c>
      <c r="C100" s="60" t="s">
        <v>54</v>
      </c>
      <c r="D100" s="60" t="s">
        <v>208</v>
      </c>
      <c r="E100" s="60" t="s">
        <v>2885</v>
      </c>
      <c r="F100" s="60" t="s">
        <v>325</v>
      </c>
      <c r="G100" s="227" t="s">
        <v>208</v>
      </c>
      <c r="H100" s="226" t="s">
        <v>2866</v>
      </c>
      <c r="I100" s="227" t="s">
        <v>271</v>
      </c>
      <c r="J100" s="226" t="s">
        <v>2855</v>
      </c>
      <c r="K100" s="106">
        <v>46156.901400462964</v>
      </c>
      <c r="L100" s="106">
        <v>46156.960289351853</v>
      </c>
      <c r="M100" s="106">
        <v>46157.404675925929</v>
      </c>
      <c r="N100" s="106">
        <v>46160.565729166665</v>
      </c>
      <c r="O100" s="106"/>
      <c r="P100" s="106"/>
      <c r="U100" s="60" t="s">
        <v>371</v>
      </c>
      <c r="Z100" s="107">
        <f t="shared" ca="1" si="11"/>
        <v>0.60739583333149005</v>
      </c>
      <c r="AA100" s="108">
        <f t="shared" ca="1" si="12"/>
        <v>1.6197222222173069</v>
      </c>
      <c r="AB100" s="107">
        <f t="shared" ca="1" si="13"/>
        <v>0.60739583333149005</v>
      </c>
      <c r="AC100" s="108">
        <f t="shared" ca="1" si="14"/>
        <v>1.6197222222173069</v>
      </c>
      <c r="AD100" s="107">
        <f t="shared" ca="1" si="10"/>
        <v>7.1342592595707799E-2</v>
      </c>
      <c r="AE100" s="107">
        <f t="shared" ca="1" si="15"/>
        <v>0.60739583333149005</v>
      </c>
      <c r="AF100" s="108">
        <f t="shared" ca="1" si="16"/>
        <v>1.6197222222173069</v>
      </c>
      <c r="AG100" s="108">
        <f t="shared" ca="1" si="4"/>
        <v>1.6197222222173069</v>
      </c>
      <c r="AH100" s="61" t="str" cm="1">
        <f t="array" aca="1" ref="AH100" ca="1">IF((AD100) &lt; (INDEX(ResponseSLA[#All],(MATCH((G100),ResponseSLA[Priority],0))+1,3)),"YES","No")</f>
        <v>YES</v>
      </c>
      <c r="AI100" s="61" t="str">
        <f ca="1">_xlfn.IFNA(IF(AE100 &lt; (INDEX(SLATable[Minimum SLA],MATCH(G100,SLATable[Priority],0))),"YES","NO"),"")</f>
        <v>YES</v>
      </c>
      <c r="AJ100" s="61" t="str">
        <f ca="1">_xlfn.IFNA(IF(AE100 &lt; (INDEX(SLATable[Maximum SLA],MATCH(G100,SLATable[Priority],0))),"YES","NO"),"")</f>
        <v>YES</v>
      </c>
    </row>
    <row r="101" spans="1:36" s="60" customFormat="1" ht="15" hidden="1" customHeight="1">
      <c r="A101" s="60">
        <v>100</v>
      </c>
      <c r="B101" s="60" t="s">
        <v>26</v>
      </c>
      <c r="C101" s="60" t="s">
        <v>54</v>
      </c>
      <c r="D101" s="60" t="s">
        <v>208</v>
      </c>
      <c r="E101" s="60" t="s">
        <v>2881</v>
      </c>
      <c r="F101" s="60" t="s">
        <v>325</v>
      </c>
      <c r="G101" s="227" t="s">
        <v>208</v>
      </c>
      <c r="H101" s="226" t="s">
        <v>2882</v>
      </c>
      <c r="I101" s="227" t="s">
        <v>271</v>
      </c>
      <c r="J101" s="226" t="s">
        <v>2855</v>
      </c>
      <c r="K101" s="106">
        <v>46154.480694444443</v>
      </c>
      <c r="L101" s="106">
        <v>46155.813946759263</v>
      </c>
      <c r="M101" s="106">
        <v>46156.414710648147</v>
      </c>
      <c r="N101" s="106">
        <v>46162.395335648151</v>
      </c>
      <c r="O101" s="106"/>
      <c r="P101" s="106"/>
      <c r="U101" s="60" t="s">
        <v>371</v>
      </c>
      <c r="Z101" s="107">
        <f t="shared" ca="1" si="11"/>
        <v>2.1646412037080158</v>
      </c>
      <c r="AA101" s="108">
        <f t="shared" ca="1" si="12"/>
        <v>5.7723765432213758</v>
      </c>
      <c r="AB101" s="107">
        <f t="shared" ca="1" si="13"/>
        <v>1.5620023148173154</v>
      </c>
      <c r="AC101" s="108">
        <f t="shared" ca="1" si="14"/>
        <v>4.1653395061795084</v>
      </c>
      <c r="AD101" s="107">
        <f t="shared" ca="1" si="10"/>
        <v>8.1377314813532109E-2</v>
      </c>
      <c r="AE101" s="107">
        <f t="shared" ca="1" si="15"/>
        <v>1.7762152777771307</v>
      </c>
      <c r="AF101" s="108">
        <f t="shared" ca="1" si="16"/>
        <v>4.7365740740723483</v>
      </c>
      <c r="AG101" s="108">
        <f t="shared" ca="1" si="4"/>
        <v>4.7365740740723483</v>
      </c>
      <c r="AH101" s="61" t="str" cm="1">
        <f t="array" aca="1" ref="AH101" ca="1">IF((AD101) &lt; (INDEX(ResponseSLA[#All],(MATCH((G101),ResponseSLA[Priority],0))+1,3)),"YES","No")</f>
        <v>YES</v>
      </c>
      <c r="AI101" s="61" t="str">
        <f ca="1">_xlfn.IFNA(IF(AE101 &lt; (INDEX(SLATable[Minimum SLA],MATCH(G101,SLATable[Priority],0))),"YES","NO"),"")</f>
        <v>NO</v>
      </c>
      <c r="AJ101" s="61" t="str">
        <f ca="1">_xlfn.IFNA(IF(AE101 &lt; (INDEX(SLATable[Maximum SLA],MATCH(G101,SLATable[Priority],0))),"YES","NO"),"")</f>
        <v>NO</v>
      </c>
    </row>
    <row r="102" spans="1:36" s="60" customFormat="1" ht="15" hidden="1" customHeight="1">
      <c r="A102" s="60">
        <v>101</v>
      </c>
      <c r="B102" s="60" t="s">
        <v>26</v>
      </c>
      <c r="C102" s="60" t="s">
        <v>54</v>
      </c>
      <c r="D102" s="60" t="s">
        <v>208</v>
      </c>
      <c r="E102" s="60" t="s">
        <v>2886</v>
      </c>
      <c r="F102" s="60" t="s">
        <v>325</v>
      </c>
      <c r="G102" s="227" t="s">
        <v>208</v>
      </c>
      <c r="H102" s="226" t="s">
        <v>2882</v>
      </c>
      <c r="I102" s="227" t="s">
        <v>275</v>
      </c>
      <c r="J102" s="226" t="s">
        <v>2855</v>
      </c>
      <c r="K102" s="106">
        <v>46154.575752314813</v>
      </c>
      <c r="L102" s="106">
        <v>46156.560706018521</v>
      </c>
      <c r="M102" s="106">
        <v>46156.669456018521</v>
      </c>
      <c r="N102" s="106">
        <v>46157.680081018516</v>
      </c>
      <c r="O102" s="106"/>
      <c r="P102" s="106"/>
      <c r="U102" s="60" t="s">
        <v>371</v>
      </c>
      <c r="Z102" s="107">
        <f t="shared" ca="1" si="11"/>
        <v>1.2293287037027769</v>
      </c>
      <c r="AA102" s="108">
        <f t="shared" ca="1" si="12"/>
        <v>3.2782098765407386</v>
      </c>
      <c r="AB102" s="107">
        <f t="shared" ca="1" si="13"/>
        <v>0.49437499999476131</v>
      </c>
      <c r="AC102" s="108">
        <f t="shared" ca="1" si="14"/>
        <v>1.3183333333193634</v>
      </c>
      <c r="AD102" s="107">
        <f t="shared" ca="1" si="10"/>
        <v>0.10874999999941792</v>
      </c>
      <c r="AE102" s="107">
        <f t="shared" ca="1" si="15"/>
        <v>0.49437499999476131</v>
      </c>
      <c r="AF102" s="108">
        <f t="shared" ca="1" si="16"/>
        <v>1.3183333333193634</v>
      </c>
      <c r="AG102" s="108">
        <f t="shared" ca="1" si="4"/>
        <v>1.3183333333193634</v>
      </c>
      <c r="AH102" s="61" t="str" cm="1">
        <f t="array" aca="1" ref="AH102" ca="1">IF((AD102) &lt; (INDEX(ResponseSLA[#All],(MATCH((G102),ResponseSLA[Priority],0))+1,3)),"YES","No")</f>
        <v>YES</v>
      </c>
      <c r="AI102" s="61" t="str">
        <f ca="1">_xlfn.IFNA(IF(AE102 &lt; (INDEX(SLATable[Minimum SLA],MATCH(G102,SLATable[Priority],0))),"YES","NO"),"")</f>
        <v>YES</v>
      </c>
      <c r="AJ102" s="61" t="str">
        <f ca="1">_xlfn.IFNA(IF(AE102 &lt; (INDEX(SLATable[Maximum SLA],MATCH(G102,SLATable[Priority],0))),"YES","NO"),"")</f>
        <v>YES</v>
      </c>
    </row>
    <row r="103" spans="1:36" s="60" customFormat="1" ht="15" hidden="1" customHeight="1">
      <c r="A103" s="60">
        <v>102</v>
      </c>
      <c r="B103" s="60" t="s">
        <v>26</v>
      </c>
      <c r="C103" s="60" t="s">
        <v>54</v>
      </c>
      <c r="D103" s="60" t="s">
        <v>208</v>
      </c>
      <c r="E103" s="60" t="s">
        <v>2887</v>
      </c>
      <c r="F103" s="60" t="s">
        <v>325</v>
      </c>
      <c r="G103" s="227" t="s">
        <v>208</v>
      </c>
      <c r="H103" s="226" t="s">
        <v>2888</v>
      </c>
      <c r="I103" s="227" t="s">
        <v>271</v>
      </c>
      <c r="J103" s="226" t="s">
        <v>2855</v>
      </c>
      <c r="K103" s="106">
        <v>46150.719560185185</v>
      </c>
      <c r="L103" s="106">
        <v>46156.647256944445</v>
      </c>
      <c r="M103" s="106">
        <v>46156.670092592591</v>
      </c>
      <c r="N103" s="106">
        <v>46157.679108796299</v>
      </c>
      <c r="O103" s="106"/>
      <c r="P103" s="106"/>
      <c r="Z103" s="107">
        <f t="shared" ca="1" si="11"/>
        <v>1.8457754629659271</v>
      </c>
      <c r="AA103" s="108">
        <f t="shared" ca="1" si="12"/>
        <v>4.9220679012424728</v>
      </c>
      <c r="AB103" s="107">
        <f t="shared" ca="1" si="13"/>
        <v>0.40685185185429873</v>
      </c>
      <c r="AC103" s="108">
        <f t="shared" ca="1" si="14"/>
        <v>1.0849382716114633</v>
      </c>
      <c r="AD103" s="107">
        <f t="shared" ca="1" si="10"/>
        <v>2.2835648145701271E-2</v>
      </c>
      <c r="AE103" s="107">
        <f t="shared" ca="1" si="15"/>
        <v>0.40685185185429873</v>
      </c>
      <c r="AF103" s="108">
        <f t="shared" ca="1" si="16"/>
        <v>1.0849382716114633</v>
      </c>
      <c r="AG103" s="108">
        <f t="shared" ca="1" si="4"/>
        <v>1.0849382716114633</v>
      </c>
      <c r="AH103" s="61" t="str" cm="1">
        <f t="array" aca="1" ref="AH103" ca="1">IF((AD103) &lt; (INDEX(ResponseSLA[#All],(MATCH((G103),ResponseSLA[Priority],0))+1,3)),"YES","No")</f>
        <v>YES</v>
      </c>
      <c r="AI103" s="61" t="str">
        <f ca="1">_xlfn.IFNA(IF(AE103 &lt; (INDEX(SLATable[Minimum SLA],MATCH(G103,SLATable[Priority],0))),"YES","NO"),"")</f>
        <v>YES</v>
      </c>
      <c r="AJ103" s="61" t="str">
        <f ca="1">_xlfn.IFNA(IF(AE103 &lt; (INDEX(SLATable[Maximum SLA],MATCH(G103,SLATable[Priority],0))),"YES","NO"),"")</f>
        <v>YES</v>
      </c>
    </row>
    <row r="104" spans="1:36" s="60" customFormat="1" ht="15" hidden="1" customHeight="1">
      <c r="A104" s="60">
        <v>103</v>
      </c>
      <c r="B104" s="60" t="s">
        <v>26</v>
      </c>
      <c r="C104" s="60" t="s">
        <v>27</v>
      </c>
      <c r="D104" s="60" t="s">
        <v>207</v>
      </c>
      <c r="E104" s="60" t="s">
        <v>2889</v>
      </c>
      <c r="F104" s="60" t="s">
        <v>318</v>
      </c>
      <c r="G104" s="111">
        <v>3</v>
      </c>
      <c r="H104" s="214" t="s">
        <v>2890</v>
      </c>
      <c r="I104" s="111" t="s">
        <v>271</v>
      </c>
      <c r="J104" s="60" t="s">
        <v>2751</v>
      </c>
      <c r="K104" s="106">
        <v>46171.343182870369</v>
      </c>
      <c r="L104" s="106">
        <v>46171.343287037038</v>
      </c>
      <c r="M104" s="106">
        <v>46171.347222222219</v>
      </c>
      <c r="N104" s="106">
        <v>46175.258981481478</v>
      </c>
      <c r="O104" s="106"/>
      <c r="P104" s="106"/>
      <c r="Z104" s="107">
        <f t="shared" ca="1" si="11"/>
        <v>0.74015046296456921</v>
      </c>
      <c r="AA104" s="108">
        <f t="shared" ca="1" si="12"/>
        <v>1.9737345679055178</v>
      </c>
      <c r="AB104" s="107">
        <f t="shared" ca="1" si="13"/>
        <v>0.74004629629538021</v>
      </c>
      <c r="AC104" s="108">
        <f t="shared" ca="1" si="14"/>
        <v>1.9734567901210138</v>
      </c>
      <c r="AD104" s="107">
        <f t="shared" ca="1" si="10"/>
        <v>3.9351851810351945E-3</v>
      </c>
      <c r="AE104" s="107">
        <f t="shared" ca="1" si="15"/>
        <v>0.74004629629538021</v>
      </c>
      <c r="AF104" s="108">
        <f t="shared" ca="1" si="16"/>
        <v>1.9734567901210138</v>
      </c>
      <c r="AG104" s="108">
        <f t="shared" ca="1" si="4"/>
        <v>1.9734567901210138</v>
      </c>
      <c r="AH104" s="61" t="str" cm="1">
        <f t="array" aca="1" ref="AH104" ca="1">IF((AD104) &lt; (INDEX(ResponseSLA[#All],(MATCH((G104),ResponseSLA[Priority],0))+1,3)),"YES","No")</f>
        <v>YES</v>
      </c>
      <c r="AI104" s="61" t="str">
        <f ca="1">_xlfn.IFNA(IF(AE104 &lt; (INDEX(SLATable[Minimum SLA],MATCH(G104,SLATable[Priority],0))),"YES","NO"),"")</f>
        <v>NO</v>
      </c>
      <c r="AJ104" s="61" t="str">
        <f ca="1">_xlfn.IFNA(IF(AE104 &lt; (INDEX(SLATable[Maximum SLA],MATCH(G104,SLATable[Priority],0))),"YES","NO"),"")</f>
        <v>YES</v>
      </c>
    </row>
    <row r="105" spans="1:36" s="60" customFormat="1" ht="15" hidden="1" customHeight="1">
      <c r="A105" s="60">
        <v>104</v>
      </c>
      <c r="B105" s="60" t="s">
        <v>26</v>
      </c>
      <c r="C105" s="60" t="s">
        <v>27</v>
      </c>
      <c r="D105" s="60" t="s">
        <v>207</v>
      </c>
      <c r="E105" s="60" t="s">
        <v>2891</v>
      </c>
      <c r="F105" s="60" t="s">
        <v>318</v>
      </c>
      <c r="G105" s="111">
        <v>3</v>
      </c>
      <c r="H105" s="215" t="s">
        <v>2892</v>
      </c>
      <c r="I105" s="111" t="s">
        <v>271</v>
      </c>
      <c r="J105" s="60" t="s">
        <v>2708</v>
      </c>
      <c r="K105" s="106">
        <v>46144.79109953704</v>
      </c>
      <c r="L105" s="106">
        <v>46144.818078703705</v>
      </c>
      <c r="M105" s="106">
        <v>46146.241238425922</v>
      </c>
      <c r="N105" s="106">
        <v>46147.362384259257</v>
      </c>
      <c r="O105" s="106">
        <v>46147.345601851855</v>
      </c>
      <c r="P105" s="106">
        <v>46147.362384259257</v>
      </c>
      <c r="Q105" s="60" t="s">
        <v>2733</v>
      </c>
      <c r="S105" s="60" t="s">
        <v>205</v>
      </c>
      <c r="U105" s="60" t="s">
        <v>371</v>
      </c>
      <c r="Z105" s="107">
        <f t="shared" ca="1" si="11"/>
        <v>1.2268518522129568E-2</v>
      </c>
      <c r="AA105" s="108">
        <f t="shared" ca="1" si="12"/>
        <v>3.2716049392345514E-2</v>
      </c>
      <c r="AB105" s="107">
        <f t="shared" ca="1" si="13"/>
        <v>1.2268518522129568E-2</v>
      </c>
      <c r="AC105" s="108">
        <f t="shared" ca="1" si="14"/>
        <v>3.2716049392345514E-2</v>
      </c>
      <c r="AD105" s="107">
        <f t="shared" ca="1" si="10"/>
        <v>0</v>
      </c>
      <c r="AE105" s="107">
        <f t="shared" ca="1" si="15"/>
        <v>1.2268518522129568E-2</v>
      </c>
      <c r="AF105" s="108">
        <f t="shared" ca="1" si="16"/>
        <v>3.2716049392345514E-2</v>
      </c>
      <c r="AG105" s="108">
        <f t="shared" ca="1" si="4"/>
        <v>3.2716049392345514E-2</v>
      </c>
      <c r="AH105" s="61" t="str" cm="1">
        <f t="array" aca="1" ref="AH105" ca="1">IF((AD105) &lt; (INDEX(ResponseSLA[#All],(MATCH((G105),ResponseSLA[Priority],0))+1,3)),"YES","No")</f>
        <v>YES</v>
      </c>
      <c r="AI105" s="61" t="str">
        <f ca="1">_xlfn.IFNA(IF(AE105 &lt; (INDEX(SLATable[Minimum SLA],MATCH(G105,SLATable[Priority],0))),"YES","NO"),"")</f>
        <v>YES</v>
      </c>
      <c r="AJ105" s="61" t="str">
        <f ca="1">_xlfn.IFNA(IF(AE105 &lt; (INDEX(SLATable[Maximum SLA],MATCH(G105,SLATable[Priority],0))),"YES","NO"),"")</f>
        <v>YES</v>
      </c>
    </row>
    <row r="106" spans="1:36" s="60" customFormat="1" ht="15" hidden="1" customHeight="1">
      <c r="A106" s="60">
        <v>105</v>
      </c>
      <c r="B106" s="60" t="s">
        <v>26</v>
      </c>
      <c r="C106" s="60" t="s">
        <v>27</v>
      </c>
      <c r="D106" s="60" t="s">
        <v>207</v>
      </c>
      <c r="E106" s="60" t="s">
        <v>2893</v>
      </c>
      <c r="F106" s="60" t="s">
        <v>318</v>
      </c>
      <c r="G106" s="105">
        <v>3</v>
      </c>
      <c r="H106" s="212" t="s">
        <v>2707</v>
      </c>
      <c r="I106" s="105" t="s">
        <v>271</v>
      </c>
      <c r="J106" s="60" t="s">
        <v>2708</v>
      </c>
      <c r="K106" s="106">
        <v>46145.665636574071</v>
      </c>
      <c r="L106" s="106">
        <v>46145.666087962964</v>
      </c>
      <c r="M106" s="106">
        <v>46146.239120370374</v>
      </c>
      <c r="N106" s="106">
        <v>46146.287835648145</v>
      </c>
      <c r="O106" s="106"/>
      <c r="P106" s="106"/>
      <c r="Q106" s="60" t="s">
        <v>2709</v>
      </c>
      <c r="S106" s="60" t="s">
        <v>165</v>
      </c>
      <c r="U106" s="60" t="s">
        <v>371</v>
      </c>
      <c r="Z106" s="107">
        <f t="shared" ca="1" si="11"/>
        <v>0</v>
      </c>
      <c r="AA106" s="108">
        <f t="shared" ca="1" si="12"/>
        <v>0</v>
      </c>
      <c r="AB106" s="107">
        <f t="shared" ca="1" si="13"/>
        <v>0</v>
      </c>
      <c r="AC106" s="108">
        <f t="shared" ca="1" si="14"/>
        <v>0</v>
      </c>
      <c r="AD106" s="107">
        <f t="shared" ca="1" si="10"/>
        <v>0</v>
      </c>
      <c r="AE106" s="107">
        <f t="shared" ca="1" si="15"/>
        <v>0</v>
      </c>
      <c r="AF106" s="108">
        <f t="shared" ca="1" si="16"/>
        <v>0</v>
      </c>
      <c r="AG106" s="108">
        <f t="shared" ca="1" si="4"/>
        <v>0</v>
      </c>
      <c r="AH106" s="61" t="str" cm="1">
        <f t="array" aca="1" ref="AH106" ca="1">IF((AD106) &lt; (INDEX(ResponseSLA[#All],(MATCH((G106),ResponseSLA[Priority],0))+1,3)),"YES","No")</f>
        <v>YES</v>
      </c>
      <c r="AI106" s="61" t="str">
        <f ca="1">_xlfn.IFNA(IF(AE106 &lt; (INDEX(SLATable[Minimum SLA],MATCH(G106,SLATable[Priority],0))),"YES","NO"),"")</f>
        <v>YES</v>
      </c>
      <c r="AJ106" s="61" t="str">
        <f ca="1">_xlfn.IFNA(IF(AE106 &lt; (INDEX(SLATable[Maximum SLA],MATCH(G106,SLATable[Priority],0))),"YES","NO"),"")</f>
        <v>YES</v>
      </c>
    </row>
    <row r="107" spans="1:36" s="60" customFormat="1" ht="15" hidden="1" customHeight="1">
      <c r="A107" s="60">
        <v>106</v>
      </c>
      <c r="B107" s="60" t="s">
        <v>26</v>
      </c>
      <c r="C107" s="60" t="s">
        <v>27</v>
      </c>
      <c r="D107" s="60" t="s">
        <v>207</v>
      </c>
      <c r="E107" s="60" t="s">
        <v>2894</v>
      </c>
      <c r="F107" s="60" t="s">
        <v>318</v>
      </c>
      <c r="G107" s="105">
        <v>3</v>
      </c>
      <c r="H107" s="212" t="s">
        <v>2895</v>
      </c>
      <c r="I107" s="105" t="s">
        <v>271</v>
      </c>
      <c r="J107" s="60" t="s">
        <v>2708</v>
      </c>
      <c r="K107" s="106">
        <v>46146.302627314813</v>
      </c>
      <c r="L107" s="106">
        <v>46146.337685185186</v>
      </c>
      <c r="M107" s="106">
        <v>46146.359525462962</v>
      </c>
      <c r="N107" s="106">
        <v>46154.421041666668</v>
      </c>
      <c r="O107" s="106">
        <v>46146.420474537037</v>
      </c>
      <c r="P107" s="106">
        <v>46154.421041666668</v>
      </c>
      <c r="Q107" s="60" t="s">
        <v>2733</v>
      </c>
      <c r="S107" s="60" t="s">
        <v>205</v>
      </c>
      <c r="U107" s="60" t="s">
        <v>371</v>
      </c>
      <c r="Z107" s="107">
        <f t="shared" ca="1" si="11"/>
        <v>0</v>
      </c>
      <c r="AA107" s="108">
        <f t="shared" ca="1" si="12"/>
        <v>0</v>
      </c>
      <c r="AB107" s="107">
        <f t="shared" ca="1" si="13"/>
        <v>0</v>
      </c>
      <c r="AC107" s="108">
        <f t="shared" ca="1" si="14"/>
        <v>0</v>
      </c>
      <c r="AD107" s="107">
        <f t="shared" ca="1" si="10"/>
        <v>0</v>
      </c>
      <c r="AE107" s="107">
        <f t="shared" ca="1" si="15"/>
        <v>0</v>
      </c>
      <c r="AF107" s="108">
        <f t="shared" ca="1" si="16"/>
        <v>0</v>
      </c>
      <c r="AG107" s="108">
        <f t="shared" ca="1" si="4"/>
        <v>0</v>
      </c>
      <c r="AH107" s="61" t="str" cm="1">
        <f t="array" aca="1" ref="AH107" ca="1">IF((AD107) &lt; (INDEX(ResponseSLA[#All],(MATCH((G107),ResponseSLA[Priority],0))+1,3)),"YES","No")</f>
        <v>YES</v>
      </c>
      <c r="AI107" s="61" t="str">
        <f ca="1">_xlfn.IFNA(IF(AE107 &lt; (INDEX(SLATable[Minimum SLA],MATCH(G107,SLATable[Priority],0))),"YES","NO"),"")</f>
        <v>YES</v>
      </c>
      <c r="AJ107" s="61" t="str">
        <f ca="1">_xlfn.IFNA(IF(AE107 &lt; (INDEX(SLATable[Maximum SLA],MATCH(G107,SLATable[Priority],0))),"YES","NO"),"")</f>
        <v>YES</v>
      </c>
    </row>
    <row r="108" spans="1:36" s="60" customFormat="1" ht="15" hidden="1" customHeight="1">
      <c r="A108" s="60">
        <v>107</v>
      </c>
      <c r="B108" s="60" t="s">
        <v>26</v>
      </c>
      <c r="C108" s="60" t="s">
        <v>27</v>
      </c>
      <c r="D108" s="60" t="s">
        <v>207</v>
      </c>
      <c r="E108" s="60" t="s">
        <v>2896</v>
      </c>
      <c r="F108" s="60" t="s">
        <v>318</v>
      </c>
      <c r="G108" s="105">
        <v>3</v>
      </c>
      <c r="H108" s="212" t="s">
        <v>2897</v>
      </c>
      <c r="I108" s="105" t="s">
        <v>271</v>
      </c>
      <c r="J108" s="60" t="s">
        <v>2708</v>
      </c>
      <c r="K108" s="106">
        <v>46147.464432870373</v>
      </c>
      <c r="L108" s="106">
        <v>46147.46471064815</v>
      </c>
      <c r="M108" s="106">
        <v>46147.569641203707</v>
      </c>
      <c r="N108" s="106">
        <v>46149.316307870373</v>
      </c>
      <c r="O108" s="106">
        <v>46148.345752314817</v>
      </c>
      <c r="P108" s="106">
        <v>46149.316307870373</v>
      </c>
      <c r="Q108" s="60" t="s">
        <v>2733</v>
      </c>
      <c r="S108" s="60" t="s">
        <v>165</v>
      </c>
      <c r="U108" s="60" t="s">
        <v>371</v>
      </c>
      <c r="Z108" s="107">
        <f t="shared" ca="1" si="11"/>
        <v>0.25631944444467092</v>
      </c>
      <c r="AA108" s="108">
        <f t="shared" ca="1" si="12"/>
        <v>0.68351851851912249</v>
      </c>
      <c r="AB108" s="107">
        <f t="shared" ca="1" si="13"/>
        <v>0.25604166666744288</v>
      </c>
      <c r="AC108" s="108">
        <f t="shared" ca="1" si="14"/>
        <v>0.68277777777984772</v>
      </c>
      <c r="AD108" s="107">
        <f t="shared" ca="1" si="10"/>
        <v>0.10493055555707542</v>
      </c>
      <c r="AE108" s="107">
        <f t="shared" ca="1" si="15"/>
        <v>0.25604166666744288</v>
      </c>
      <c r="AF108" s="108">
        <f t="shared" ca="1" si="16"/>
        <v>0.68277777777984772</v>
      </c>
      <c r="AG108" s="108">
        <f t="shared" ca="1" si="4"/>
        <v>0.68277777777984772</v>
      </c>
      <c r="AH108" s="61" t="str" cm="1">
        <f t="array" aca="1" ref="AH108" ca="1">IF((AD108) &lt; (INDEX(ResponseSLA[#All],(MATCH((G108),ResponseSLA[Priority],0))+1,3)),"YES","No")</f>
        <v>No</v>
      </c>
      <c r="AI108" s="61" t="str">
        <f ca="1">_xlfn.IFNA(IF(AE108 &lt; (INDEX(SLATable[Minimum SLA],MATCH(G108,SLATable[Priority],0))),"YES","NO"),"")</f>
        <v>YES</v>
      </c>
      <c r="AJ108" s="61" t="str">
        <f ca="1">_xlfn.IFNA(IF(AE108 &lt; (INDEX(SLATable[Maximum SLA],MATCH(G108,SLATable[Priority],0))),"YES","NO"),"")</f>
        <v>YES</v>
      </c>
    </row>
    <row r="109" spans="1:36" s="60" customFormat="1" ht="15" hidden="1" customHeight="1">
      <c r="A109" s="60">
        <v>108</v>
      </c>
      <c r="B109" s="60" t="s">
        <v>26</v>
      </c>
      <c r="C109" s="60" t="s">
        <v>27</v>
      </c>
      <c r="D109" s="60" t="s">
        <v>207</v>
      </c>
      <c r="E109" s="60" t="s">
        <v>2898</v>
      </c>
      <c r="F109" s="60" t="s">
        <v>318</v>
      </c>
      <c r="G109" s="105">
        <v>3</v>
      </c>
      <c r="H109" s="212" t="s">
        <v>2899</v>
      </c>
      <c r="I109" s="105" t="s">
        <v>271</v>
      </c>
      <c r="J109" s="60" t="s">
        <v>2708</v>
      </c>
      <c r="K109" s="106">
        <v>46147.806238425925</v>
      </c>
      <c r="L109" s="106">
        <v>46147.807210648149</v>
      </c>
      <c r="M109" s="106">
        <v>46148.290092592593</v>
      </c>
      <c r="N109" s="106">
        <v>46148.357187499998</v>
      </c>
      <c r="O109" s="106"/>
      <c r="P109" s="106"/>
      <c r="Q109" s="60" t="s">
        <v>2709</v>
      </c>
      <c r="S109" s="60" t="s">
        <v>165</v>
      </c>
      <c r="U109" s="60" t="s">
        <v>371</v>
      </c>
      <c r="Z109" s="107">
        <f t="shared" ca="1" si="11"/>
        <v>2.3854166664629362E-2</v>
      </c>
      <c r="AA109" s="108">
        <f t="shared" ca="1" si="12"/>
        <v>6.3611111105678297E-2</v>
      </c>
      <c r="AB109" s="107">
        <f t="shared" ca="1" si="13"/>
        <v>2.3854166664629362E-2</v>
      </c>
      <c r="AC109" s="108">
        <f t="shared" ca="1" si="14"/>
        <v>6.3611111105678297E-2</v>
      </c>
      <c r="AD109" s="107">
        <f t="shared" ca="1" si="10"/>
        <v>0</v>
      </c>
      <c r="AE109" s="107">
        <f t="shared" ca="1" si="15"/>
        <v>2.3854166664629362E-2</v>
      </c>
      <c r="AF109" s="108">
        <f t="shared" ca="1" si="16"/>
        <v>6.3611111105678297E-2</v>
      </c>
      <c r="AG109" s="108">
        <f t="shared" ca="1" si="4"/>
        <v>6.3611111105678297E-2</v>
      </c>
      <c r="AH109" s="61" t="str" cm="1">
        <f t="array" aca="1" ref="AH109" ca="1">IF((AD109) &lt; (INDEX(ResponseSLA[#All],(MATCH((G109),ResponseSLA[Priority],0))+1,3)),"YES","No")</f>
        <v>YES</v>
      </c>
      <c r="AI109" s="61" t="str">
        <f ca="1">_xlfn.IFNA(IF(AE109 &lt; (INDEX(SLATable[Minimum SLA],MATCH(G109,SLATable[Priority],0))),"YES","NO"),"")</f>
        <v>YES</v>
      </c>
      <c r="AJ109" s="61" t="str">
        <f ca="1">_xlfn.IFNA(IF(AE109 &lt; (INDEX(SLATable[Maximum SLA],MATCH(G109,SLATable[Priority],0))),"YES","NO"),"")</f>
        <v>YES</v>
      </c>
    </row>
    <row r="110" spans="1:36" s="60" customFormat="1" ht="15" hidden="1" customHeight="1">
      <c r="A110" s="60">
        <v>109</v>
      </c>
      <c r="B110" s="60" t="s">
        <v>26</v>
      </c>
      <c r="C110" s="60" t="s">
        <v>27</v>
      </c>
      <c r="D110" s="60" t="s">
        <v>207</v>
      </c>
      <c r="E110" s="60" t="s">
        <v>2900</v>
      </c>
      <c r="F110" s="60" t="s">
        <v>318</v>
      </c>
      <c r="G110" s="105">
        <v>4</v>
      </c>
      <c r="H110" s="212" t="s">
        <v>2901</v>
      </c>
      <c r="I110" s="105" t="s">
        <v>271</v>
      </c>
      <c r="J110" s="60" t="s">
        <v>2708</v>
      </c>
      <c r="K110" s="106">
        <v>46148.459421296298</v>
      </c>
      <c r="L110" s="106">
        <v>46148.459421296298</v>
      </c>
      <c r="M110" s="106">
        <v>46148.50204861111</v>
      </c>
      <c r="N110" s="106">
        <v>46162.427453703705</v>
      </c>
      <c r="O110" s="106">
        <v>46149.226319444446</v>
      </c>
      <c r="P110" s="106">
        <v>46162.427453703705</v>
      </c>
      <c r="Q110" s="60" t="s">
        <v>2733</v>
      </c>
      <c r="S110" s="60" t="s">
        <v>165</v>
      </c>
      <c r="U110" s="60" t="s">
        <v>371</v>
      </c>
      <c r="Z110" s="107">
        <f t="shared" ca="1" si="11"/>
        <v>0.24891203703494558</v>
      </c>
      <c r="AA110" s="108">
        <f t="shared" ca="1" si="12"/>
        <v>0.66376543209318817</v>
      </c>
      <c r="AB110" s="107">
        <f t="shared" ca="1" si="13"/>
        <v>0.24891203703494558</v>
      </c>
      <c r="AC110" s="108">
        <f t="shared" ca="1" si="14"/>
        <v>0.66376543209318817</v>
      </c>
      <c r="AD110" s="107">
        <f t="shared" ca="1" si="10"/>
        <v>4.262731481139781E-2</v>
      </c>
      <c r="AE110" s="107">
        <f t="shared" ca="1" si="15"/>
        <v>0.24891203703494558</v>
      </c>
      <c r="AF110" s="108">
        <f t="shared" ca="1" si="16"/>
        <v>0.66376543209318817</v>
      </c>
      <c r="AG110" s="108">
        <f t="shared" ca="1" si="4"/>
        <v>0.66376543209318817</v>
      </c>
      <c r="AH110" s="61" t="str" cm="1">
        <f t="array" aca="1" ref="AH110" ca="1">IF((AD110) &lt; (INDEX(ResponseSLA[#All],(MATCH((G110),ResponseSLA[Priority],0))+1,3)),"YES","No")</f>
        <v>YES</v>
      </c>
      <c r="AI110" s="61" t="str">
        <f ca="1">_xlfn.IFNA(IF(AE110 &lt; (INDEX(SLATable[Minimum SLA],MATCH(G110,SLATable[Priority],0))),"YES","NO"),"")</f>
        <v>YES</v>
      </c>
      <c r="AJ110" s="61" t="str">
        <f ca="1">_xlfn.IFNA(IF(AE110 &lt; (INDEX(SLATable[Maximum SLA],MATCH(G110,SLATable[Priority],0))),"YES","NO"),"")</f>
        <v>YES</v>
      </c>
    </row>
    <row r="111" spans="1:36" s="60" customFormat="1" ht="15" hidden="1" customHeight="1">
      <c r="A111" s="60">
        <v>110</v>
      </c>
      <c r="B111" s="60" t="s">
        <v>26</v>
      </c>
      <c r="C111" s="60" t="s">
        <v>27</v>
      </c>
      <c r="D111" s="60" t="s">
        <v>207</v>
      </c>
      <c r="E111" s="60" t="s">
        <v>2902</v>
      </c>
      <c r="F111" s="60" t="s">
        <v>318</v>
      </c>
      <c r="G111" s="105">
        <v>3</v>
      </c>
      <c r="H111" s="212" t="s">
        <v>2903</v>
      </c>
      <c r="I111" s="105" t="s">
        <v>271</v>
      </c>
      <c r="J111" s="60" t="s">
        <v>2708</v>
      </c>
      <c r="K111" s="106">
        <v>46148.679120370369</v>
      </c>
      <c r="L111" s="106">
        <v>46148.679629629631</v>
      </c>
      <c r="M111" s="106">
        <v>46149.233530092592</v>
      </c>
      <c r="N111" s="106">
        <v>46149.252604166664</v>
      </c>
      <c r="O111" s="106"/>
      <c r="P111" s="106"/>
      <c r="Q111" s="60" t="s">
        <v>2709</v>
      </c>
      <c r="S111" s="60" t="s">
        <v>165</v>
      </c>
      <c r="U111" s="60" t="s">
        <v>371</v>
      </c>
      <c r="Z111" s="107">
        <f t="shared" ca="1" si="11"/>
        <v>2.92129629645691E-2</v>
      </c>
      <c r="AA111" s="108">
        <f t="shared" ca="1" si="12"/>
        <v>7.7901234572184272E-2</v>
      </c>
      <c r="AB111" s="107">
        <f t="shared" ca="1" si="13"/>
        <v>2.8703703702679717E-2</v>
      </c>
      <c r="AC111" s="108">
        <f t="shared" ca="1" si="14"/>
        <v>7.6543209873812579E-2</v>
      </c>
      <c r="AD111" s="107">
        <f t="shared" ca="1" si="10"/>
        <v>2.8703703702679717E-2</v>
      </c>
      <c r="AE111" s="107">
        <f t="shared" ca="1" si="15"/>
        <v>2.8703703702679717E-2</v>
      </c>
      <c r="AF111" s="108">
        <f t="shared" ca="1" si="16"/>
        <v>7.6543209873812579E-2</v>
      </c>
      <c r="AG111" s="108">
        <f t="shared" ca="1" si="4"/>
        <v>7.6543209873812579E-2</v>
      </c>
      <c r="AH111" s="61" t="str" cm="1">
        <f t="array" aca="1" ref="AH111" ca="1">IF((AD111) &lt; (INDEX(ResponseSLA[#All],(MATCH((G111),ResponseSLA[Priority],0))+1,3)),"YES","No")</f>
        <v>YES</v>
      </c>
      <c r="AI111" s="61" t="str">
        <f ca="1">_xlfn.IFNA(IF(AE111 &lt; (INDEX(SLATable[Minimum SLA],MATCH(G111,SLATable[Priority],0))),"YES","NO"),"")</f>
        <v>YES</v>
      </c>
      <c r="AJ111" s="61" t="str">
        <f ca="1">_xlfn.IFNA(IF(AE111 &lt; (INDEX(SLATable[Maximum SLA],MATCH(G111,SLATable[Priority],0))),"YES","NO"),"")</f>
        <v>YES</v>
      </c>
    </row>
    <row r="112" spans="1:36" s="60" customFormat="1" ht="15" hidden="1" customHeight="1">
      <c r="A112" s="60">
        <v>111</v>
      </c>
      <c r="B112" s="60" t="s">
        <v>26</v>
      </c>
      <c r="C112" s="60" t="s">
        <v>27</v>
      </c>
      <c r="D112" s="60" t="s">
        <v>207</v>
      </c>
      <c r="E112" s="60" t="s">
        <v>2904</v>
      </c>
      <c r="F112" s="60" t="s">
        <v>318</v>
      </c>
      <c r="G112" s="105">
        <v>3</v>
      </c>
      <c r="H112" s="212" t="s">
        <v>2707</v>
      </c>
      <c r="I112" s="105" t="s">
        <v>271</v>
      </c>
      <c r="J112" s="60" t="s">
        <v>2708</v>
      </c>
      <c r="K112" s="106">
        <v>46150.599687499998</v>
      </c>
      <c r="L112" s="106">
        <v>46150.602581018517</v>
      </c>
      <c r="M112" s="106">
        <v>46150.620069444441</v>
      </c>
      <c r="N112" s="106">
        <v>46153.257013888891</v>
      </c>
      <c r="O112" s="106"/>
      <c r="P112" s="106"/>
      <c r="Q112" s="60" t="s">
        <v>2709</v>
      </c>
      <c r="S112" s="60" t="s">
        <v>165</v>
      </c>
      <c r="U112" s="60" t="s">
        <v>371</v>
      </c>
      <c r="Z112" s="107">
        <f t="shared" ca="1" si="11"/>
        <v>0.1086458333350796</v>
      </c>
      <c r="AA112" s="108">
        <f t="shared" ca="1" si="12"/>
        <v>0.28972222222687893</v>
      </c>
      <c r="AB112" s="107">
        <f t="shared" ca="1" si="13"/>
        <v>0.10575231481683056</v>
      </c>
      <c r="AC112" s="108">
        <f t="shared" ca="1" si="14"/>
        <v>0.2820061728448815</v>
      </c>
      <c r="AD112" s="107">
        <f t="shared" ca="1" si="10"/>
        <v>1.7488425924966577E-2</v>
      </c>
      <c r="AE112" s="107">
        <f t="shared" ca="1" si="15"/>
        <v>0.10575231481683056</v>
      </c>
      <c r="AF112" s="108">
        <f t="shared" ca="1" si="16"/>
        <v>0.2820061728448815</v>
      </c>
      <c r="AG112" s="108">
        <f t="shared" ca="1" si="4"/>
        <v>0.2820061728448815</v>
      </c>
      <c r="AH112" s="61" t="str" cm="1">
        <f t="array" aca="1" ref="AH112" ca="1">IF((AD112) &lt; (INDEX(ResponseSLA[#All],(MATCH((G112),ResponseSLA[Priority],0))+1,3)),"YES","No")</f>
        <v>YES</v>
      </c>
      <c r="AI112" s="61" t="str">
        <f ca="1">_xlfn.IFNA(IF(AE112 &lt; (INDEX(SLATable[Minimum SLA],MATCH(G112,SLATable[Priority],0))),"YES","NO"),"")</f>
        <v>YES</v>
      </c>
      <c r="AJ112" s="61" t="str">
        <f ca="1">_xlfn.IFNA(IF(AE112 &lt; (INDEX(SLATable[Maximum SLA],MATCH(G112,SLATable[Priority],0))),"YES","NO"),"")</f>
        <v>YES</v>
      </c>
    </row>
    <row r="113" spans="1:36" s="60" customFormat="1" ht="15" hidden="1" customHeight="1">
      <c r="A113" s="60">
        <v>112</v>
      </c>
      <c r="B113" s="60" t="s">
        <v>26</v>
      </c>
      <c r="C113" s="60" t="s">
        <v>27</v>
      </c>
      <c r="D113" s="60" t="s">
        <v>207</v>
      </c>
      <c r="E113" s="60" t="s">
        <v>2905</v>
      </c>
      <c r="F113" s="60" t="s">
        <v>318</v>
      </c>
      <c r="G113" s="105">
        <v>4</v>
      </c>
      <c r="H113" s="212" t="s">
        <v>2906</v>
      </c>
      <c r="I113" s="105" t="s">
        <v>271</v>
      </c>
      <c r="J113" s="60" t="s">
        <v>2708</v>
      </c>
      <c r="K113" s="106">
        <v>46150.635185185187</v>
      </c>
      <c r="L113" s="106">
        <v>46150.635185185187</v>
      </c>
      <c r="M113" s="106">
        <v>46153.262870370374</v>
      </c>
      <c r="N113" s="106">
        <v>46160.7503125</v>
      </c>
      <c r="O113" s="106">
        <v>46161.417384259257</v>
      </c>
      <c r="P113" s="106">
        <v>46162.416539351849</v>
      </c>
      <c r="Q113" s="60" t="s">
        <v>2733</v>
      </c>
      <c r="S113" s="60" t="s">
        <v>165</v>
      </c>
      <c r="U113" s="60" t="s">
        <v>371</v>
      </c>
      <c r="Z113" s="107">
        <f t="shared" ca="1" si="11"/>
        <v>1.9489930555549417</v>
      </c>
      <c r="AA113" s="108">
        <f t="shared" ca="1" si="12"/>
        <v>5.1973148148131783</v>
      </c>
      <c r="AB113" s="107">
        <f t="shared" ca="1" si="13"/>
        <v>1.9489930555549417</v>
      </c>
      <c r="AC113" s="108">
        <f t="shared" ca="1" si="14"/>
        <v>5.1973148148131783</v>
      </c>
      <c r="AD113" s="107">
        <f t="shared" ca="1" si="10"/>
        <v>7.314814814647741E-2</v>
      </c>
      <c r="AE113" s="107">
        <f t="shared" ca="1" si="15"/>
        <v>1.9489930555549417</v>
      </c>
      <c r="AF113" s="108">
        <f t="shared" ca="1" si="16"/>
        <v>5.1973148148131783</v>
      </c>
      <c r="AG113" s="108">
        <f t="shared" ca="1" si="4"/>
        <v>5.1973148148131783</v>
      </c>
      <c r="AH113" s="61" t="str" cm="1">
        <f t="array" aca="1" ref="AH113" ca="1">IF((AD113) &lt; (INDEX(ResponseSLA[#All],(MATCH((G113),ResponseSLA[Priority],0))+1,3)),"YES","No")</f>
        <v>YES</v>
      </c>
      <c r="AI113" s="61" t="str">
        <f ca="1">_xlfn.IFNA(IF(AE113 &lt; (INDEX(SLATable[Minimum SLA],MATCH(G113,SLATable[Priority],0))),"YES","NO"),"")</f>
        <v>YES</v>
      </c>
      <c r="AJ113" s="61" t="str">
        <f ca="1">_xlfn.IFNA(IF(AE113 &lt; (INDEX(SLATable[Maximum SLA],MATCH(G113,SLATable[Priority],0))),"YES","NO"),"")</f>
        <v>YES</v>
      </c>
    </row>
    <row r="114" spans="1:36" s="60" customFormat="1" ht="15" hidden="1" customHeight="1">
      <c r="A114" s="60">
        <v>113</v>
      </c>
      <c r="B114" s="60" t="s">
        <v>26</v>
      </c>
      <c r="C114" s="60" t="s">
        <v>27</v>
      </c>
      <c r="D114" s="60" t="s">
        <v>207</v>
      </c>
      <c r="E114" s="60" t="s">
        <v>2907</v>
      </c>
      <c r="F114" s="60" t="s">
        <v>318</v>
      </c>
      <c r="G114" s="105">
        <v>3</v>
      </c>
      <c r="H114" s="212" t="s">
        <v>2908</v>
      </c>
      <c r="I114" s="105" t="s">
        <v>271</v>
      </c>
      <c r="J114" s="60" t="s">
        <v>2708</v>
      </c>
      <c r="K114" s="106">
        <v>46153.305104166669</v>
      </c>
      <c r="L114" s="106">
        <v>46153.329201388886</v>
      </c>
      <c r="M114" s="106">
        <v>46153.41196759259</v>
      </c>
      <c r="N114" s="106">
        <v>46153.41196759259</v>
      </c>
      <c r="O114" s="106"/>
      <c r="P114" s="106"/>
      <c r="Q114" s="60" t="s">
        <v>2733</v>
      </c>
      <c r="S114" s="60" t="s">
        <v>197</v>
      </c>
      <c r="U114" s="60" t="s">
        <v>371</v>
      </c>
      <c r="Z114" s="107">
        <f t="shared" ca="1" si="11"/>
        <v>7.8634259257038763E-2</v>
      </c>
      <c r="AA114" s="108">
        <f t="shared" ca="1" si="12"/>
        <v>0.20969135801877004</v>
      </c>
      <c r="AB114" s="107">
        <f t="shared" ca="1" si="13"/>
        <v>7.8634259257038763E-2</v>
      </c>
      <c r="AC114" s="108">
        <f t="shared" ca="1" si="14"/>
        <v>0.20969135801877004</v>
      </c>
      <c r="AD114" s="107">
        <f t="shared" ca="1" si="10"/>
        <v>7.8634259257038763E-2</v>
      </c>
      <c r="AE114" s="107">
        <f t="shared" ca="1" si="15"/>
        <v>7.8634259257038763E-2</v>
      </c>
      <c r="AF114" s="108">
        <f t="shared" ca="1" si="16"/>
        <v>0.20969135801877004</v>
      </c>
      <c r="AG114" s="108">
        <f t="shared" ca="1" si="4"/>
        <v>0.20969135801877004</v>
      </c>
      <c r="AH114" s="61" t="str" cm="1">
        <f t="array" aca="1" ref="AH114" ca="1">IF((AD114) &lt; (INDEX(ResponseSLA[#All],(MATCH((G114),ResponseSLA[Priority],0))+1,3)),"YES","No")</f>
        <v>YES</v>
      </c>
      <c r="AI114" s="61" t="str">
        <f ca="1">_xlfn.IFNA(IF(AE114 &lt; (INDEX(SLATable[Minimum SLA],MATCH(G114,SLATable[Priority],0))),"YES","NO"),"")</f>
        <v>YES</v>
      </c>
      <c r="AJ114" s="61" t="str">
        <f ca="1">_xlfn.IFNA(IF(AE114 &lt; (INDEX(SLATable[Maximum SLA],MATCH(G114,SLATable[Priority],0))),"YES","NO"),"")</f>
        <v>YES</v>
      </c>
    </row>
    <row r="115" spans="1:36" s="60" customFormat="1" ht="15" hidden="1" customHeight="1">
      <c r="A115" s="60">
        <v>114</v>
      </c>
      <c r="B115" s="60" t="s">
        <v>26</v>
      </c>
      <c r="C115" s="60" t="s">
        <v>27</v>
      </c>
      <c r="D115" s="60" t="s">
        <v>207</v>
      </c>
      <c r="E115" s="60" t="s">
        <v>2909</v>
      </c>
      <c r="F115" s="60" t="s">
        <v>318</v>
      </c>
      <c r="G115" s="105">
        <v>3</v>
      </c>
      <c r="H115" s="212" t="s">
        <v>2910</v>
      </c>
      <c r="I115" s="105" t="s">
        <v>271</v>
      </c>
      <c r="J115" s="60" t="s">
        <v>2708</v>
      </c>
      <c r="K115" s="106">
        <v>46155.494803240741</v>
      </c>
      <c r="L115" s="106">
        <v>46155.496296296296</v>
      </c>
      <c r="M115" s="106">
        <v>46155.517557870371</v>
      </c>
      <c r="N115" s="106">
        <v>46163.276909722219</v>
      </c>
      <c r="O115" s="106">
        <v>46156.27107638889</v>
      </c>
      <c r="P115" s="106">
        <v>46163.276909722219</v>
      </c>
      <c r="Q115" s="60" t="s">
        <v>2733</v>
      </c>
      <c r="S115" s="60" t="s">
        <v>141</v>
      </c>
      <c r="U115" s="60" t="s">
        <v>371</v>
      </c>
      <c r="Z115" s="107">
        <f t="shared" ca="1" si="11"/>
        <v>0.2135300925923127</v>
      </c>
      <c r="AA115" s="108">
        <f t="shared" ca="1" si="12"/>
        <v>0.56941358024616717</v>
      </c>
      <c r="AB115" s="107">
        <f t="shared" ca="1" si="13"/>
        <v>0.21203703703698351</v>
      </c>
      <c r="AC115" s="108">
        <f t="shared" ca="1" si="14"/>
        <v>0.56543209876528933</v>
      </c>
      <c r="AD115" s="107">
        <f t="shared" ca="1" si="10"/>
        <v>2.1261574074742384E-2</v>
      </c>
      <c r="AE115" s="107">
        <f t="shared" ca="1" si="15"/>
        <v>0.21203703703698351</v>
      </c>
      <c r="AF115" s="108">
        <f t="shared" ca="1" si="16"/>
        <v>0.56543209876528933</v>
      </c>
      <c r="AG115" s="108">
        <f t="shared" ca="1" si="4"/>
        <v>0.56543209876528933</v>
      </c>
      <c r="AH115" s="61" t="str" cm="1">
        <f t="array" aca="1" ref="AH115" ca="1">IF((AD115) &lt; (INDEX(ResponseSLA[#All],(MATCH((G115),ResponseSLA[Priority],0))+1,3)),"YES","No")</f>
        <v>YES</v>
      </c>
      <c r="AI115" s="61" t="str">
        <f ca="1">_xlfn.IFNA(IF(AE115 &lt; (INDEX(SLATable[Minimum SLA],MATCH(G115,SLATable[Priority],0))),"YES","NO"),"")</f>
        <v>YES</v>
      </c>
      <c r="AJ115" s="61" t="str">
        <f ca="1">_xlfn.IFNA(IF(AE115 &lt; (INDEX(SLATable[Maximum SLA],MATCH(G115,SLATable[Priority],0))),"YES","NO"),"")</f>
        <v>YES</v>
      </c>
    </row>
    <row r="116" spans="1:36" s="60" customFormat="1" ht="15" hidden="1" customHeight="1">
      <c r="A116" s="60">
        <v>115</v>
      </c>
      <c r="B116" s="60" t="s">
        <v>26</v>
      </c>
      <c r="C116" s="60" t="s">
        <v>27</v>
      </c>
      <c r="D116" s="60" t="s">
        <v>207</v>
      </c>
      <c r="E116" s="60" t="s">
        <v>2911</v>
      </c>
      <c r="F116" s="60" t="s">
        <v>318</v>
      </c>
      <c r="G116" s="105">
        <v>3</v>
      </c>
      <c r="H116" s="212" t="s">
        <v>2912</v>
      </c>
      <c r="I116" s="105" t="s">
        <v>271</v>
      </c>
      <c r="J116" s="60" t="s">
        <v>2708</v>
      </c>
      <c r="K116" s="106">
        <v>46155.627453703702</v>
      </c>
      <c r="L116" s="106">
        <v>46155.627453703702</v>
      </c>
      <c r="M116" s="106">
        <v>46156.291284722225</v>
      </c>
      <c r="N116" s="106">
        <v>46157.470613425925</v>
      </c>
      <c r="O116" s="106">
        <v>46156.318599537037</v>
      </c>
      <c r="P116" s="106">
        <v>46157.470613425925</v>
      </c>
      <c r="Q116" s="60" t="s">
        <v>2733</v>
      </c>
      <c r="S116" s="60" t="s">
        <v>205</v>
      </c>
      <c r="U116" s="60" t="s">
        <v>371</v>
      </c>
      <c r="Z116" s="107">
        <f t="shared" ca="1" si="11"/>
        <v>8.0879629630847605E-2</v>
      </c>
      <c r="AA116" s="108">
        <f t="shared" ca="1" si="12"/>
        <v>0.21567901234892695</v>
      </c>
      <c r="AB116" s="107">
        <f t="shared" ca="1" si="13"/>
        <v>8.0879629630847605E-2</v>
      </c>
      <c r="AC116" s="108">
        <f t="shared" ca="1" si="14"/>
        <v>0.21567901234892695</v>
      </c>
      <c r="AD116" s="107">
        <f t="shared" ca="1" si="10"/>
        <v>8.0879629630847716E-2</v>
      </c>
      <c r="AE116" s="107">
        <f t="shared" ca="1" si="15"/>
        <v>8.0879629630847605E-2</v>
      </c>
      <c r="AF116" s="108">
        <f t="shared" ca="1" si="16"/>
        <v>0.21567901234892695</v>
      </c>
      <c r="AG116" s="108">
        <f t="shared" ca="1" si="4"/>
        <v>0.21567901234892695</v>
      </c>
      <c r="AH116" s="61" t="str" cm="1">
        <f t="array" aca="1" ref="AH116" ca="1">IF((AD116) &lt; (INDEX(ResponseSLA[#All],(MATCH((G116),ResponseSLA[Priority],0))+1,3)),"YES","No")</f>
        <v>YES</v>
      </c>
      <c r="AI116" s="61" t="str">
        <f ca="1">_xlfn.IFNA(IF(AE116 &lt; (INDEX(SLATable[Minimum SLA],MATCH(G116,SLATable[Priority],0))),"YES","NO"),"")</f>
        <v>YES</v>
      </c>
      <c r="AJ116" s="61" t="str">
        <f ca="1">_xlfn.IFNA(IF(AE116 &lt; (INDEX(SLATable[Maximum SLA],MATCH(G116,SLATable[Priority],0))),"YES","NO"),"")</f>
        <v>YES</v>
      </c>
    </row>
    <row r="117" spans="1:36" s="60" customFormat="1" ht="15" hidden="1" customHeight="1">
      <c r="A117" s="60">
        <v>116</v>
      </c>
      <c r="B117" s="60" t="s">
        <v>26</v>
      </c>
      <c r="C117" s="60" t="s">
        <v>27</v>
      </c>
      <c r="D117" s="60" t="s">
        <v>207</v>
      </c>
      <c r="E117" s="60" t="s">
        <v>2913</v>
      </c>
      <c r="F117" s="60" t="s">
        <v>318</v>
      </c>
      <c r="G117" s="105">
        <v>3</v>
      </c>
      <c r="H117" s="212" t="s">
        <v>2707</v>
      </c>
      <c r="I117" s="105" t="s">
        <v>271</v>
      </c>
      <c r="J117" s="60" t="s">
        <v>2708</v>
      </c>
      <c r="K117" s="106">
        <v>46156.630879629629</v>
      </c>
      <c r="L117" s="106">
        <v>46156.634444444448</v>
      </c>
      <c r="M117" s="106">
        <v>46157.240312499998</v>
      </c>
      <c r="N117" s="106">
        <v>46157.342187499999</v>
      </c>
      <c r="O117" s="106"/>
      <c r="P117" s="106"/>
      <c r="Q117" s="60" t="s">
        <v>2709</v>
      </c>
      <c r="S117" s="60" t="s">
        <v>165</v>
      </c>
      <c r="U117" s="60" t="s">
        <v>371</v>
      </c>
      <c r="Z117" s="107">
        <f t="shared" ca="1" si="11"/>
        <v>8.6307870369637385E-2</v>
      </c>
      <c r="AA117" s="108">
        <f t="shared" ca="1" si="12"/>
        <v>0.23015432098569968</v>
      </c>
      <c r="AB117" s="107">
        <f t="shared" ca="1" si="13"/>
        <v>8.2743055550963618E-2</v>
      </c>
      <c r="AC117" s="108">
        <f t="shared" ca="1" si="14"/>
        <v>0.22064814813590297</v>
      </c>
      <c r="AD117" s="107">
        <f t="shared" ca="1" si="10"/>
        <v>7.388888888575218E-2</v>
      </c>
      <c r="AE117" s="107">
        <f t="shared" ca="1" si="15"/>
        <v>8.2743055550963618E-2</v>
      </c>
      <c r="AF117" s="108">
        <f t="shared" ca="1" si="16"/>
        <v>0.22064814813590297</v>
      </c>
      <c r="AG117" s="108">
        <f t="shared" ca="1" si="4"/>
        <v>0.22064814813590297</v>
      </c>
      <c r="AH117" s="61" t="str" cm="1">
        <f t="array" aca="1" ref="AH117" ca="1">IF((AD117) &lt; (INDEX(ResponseSLA[#All],(MATCH((G117),ResponseSLA[Priority],0))+1,3)),"YES","No")</f>
        <v>YES</v>
      </c>
      <c r="AI117" s="61" t="str">
        <f ca="1">_xlfn.IFNA(IF(AE117 &lt; (INDEX(SLATable[Minimum SLA],MATCH(G117,SLATable[Priority],0))),"YES","NO"),"")</f>
        <v>YES</v>
      </c>
      <c r="AJ117" s="61" t="str">
        <f ca="1">_xlfn.IFNA(IF(AE117 &lt; (INDEX(SLATable[Maximum SLA],MATCH(G117,SLATable[Priority],0))),"YES","NO"),"")</f>
        <v>YES</v>
      </c>
    </row>
    <row r="118" spans="1:36" s="60" customFormat="1" ht="15" hidden="1" customHeight="1">
      <c r="A118" s="60">
        <v>117</v>
      </c>
      <c r="B118" s="60" t="s">
        <v>26</v>
      </c>
      <c r="C118" s="60" t="s">
        <v>27</v>
      </c>
      <c r="D118" s="60" t="s">
        <v>207</v>
      </c>
      <c r="E118" s="60" t="s">
        <v>2914</v>
      </c>
      <c r="F118" s="60" t="s">
        <v>318</v>
      </c>
      <c r="G118" s="105">
        <v>3</v>
      </c>
      <c r="H118" s="212" t="s">
        <v>2915</v>
      </c>
      <c r="I118" s="105" t="s">
        <v>271</v>
      </c>
      <c r="J118" s="60" t="s">
        <v>2708</v>
      </c>
      <c r="K118" s="106">
        <v>46156.822083333333</v>
      </c>
      <c r="L118" s="106">
        <v>46156.822847222225</v>
      </c>
      <c r="M118" s="106">
        <v>46157.241967592592</v>
      </c>
      <c r="N118" s="106">
        <v>46157.355312500003</v>
      </c>
      <c r="O118" s="106"/>
      <c r="P118" s="106"/>
      <c r="Q118" s="60" t="s">
        <v>2709</v>
      </c>
      <c r="S118" s="60" t="s">
        <v>165</v>
      </c>
      <c r="U118" s="60" t="s">
        <v>371</v>
      </c>
      <c r="Z118" s="107">
        <f t="shared" ca="1" si="11"/>
        <v>2.1979166670159089E-2</v>
      </c>
      <c r="AA118" s="108">
        <f t="shared" ca="1" si="12"/>
        <v>5.861111112042424E-2</v>
      </c>
      <c r="AB118" s="107">
        <f t="shared" ca="1" si="13"/>
        <v>2.1979166670159089E-2</v>
      </c>
      <c r="AC118" s="108">
        <f t="shared" ca="1" si="14"/>
        <v>5.861111112042424E-2</v>
      </c>
      <c r="AD118" s="107">
        <f t="shared" ca="1" si="10"/>
        <v>0</v>
      </c>
      <c r="AE118" s="107">
        <f t="shared" ca="1" si="15"/>
        <v>2.1979166670159089E-2</v>
      </c>
      <c r="AF118" s="108">
        <f t="shared" ca="1" si="16"/>
        <v>5.861111112042424E-2</v>
      </c>
      <c r="AG118" s="108">
        <f t="shared" ca="1" si="4"/>
        <v>5.861111112042424E-2</v>
      </c>
      <c r="AH118" s="61" t="str" cm="1">
        <f t="array" aca="1" ref="AH118" ca="1">IF((AD118) &lt; (INDEX(ResponseSLA[#All],(MATCH((G118),ResponseSLA[Priority],0))+1,3)),"YES","No")</f>
        <v>YES</v>
      </c>
      <c r="AI118" s="61" t="str">
        <f ca="1">_xlfn.IFNA(IF(AE118 &lt; (INDEX(SLATable[Minimum SLA],MATCH(G118,SLATable[Priority],0))),"YES","NO"),"")</f>
        <v>YES</v>
      </c>
      <c r="AJ118" s="61" t="str">
        <f ca="1">_xlfn.IFNA(IF(AE118 &lt; (INDEX(SLATable[Maximum SLA],MATCH(G118,SLATable[Priority],0))),"YES","NO"),"")</f>
        <v>YES</v>
      </c>
    </row>
    <row r="119" spans="1:36" s="60" customFormat="1" ht="15" hidden="1" customHeight="1">
      <c r="A119" s="60">
        <v>118</v>
      </c>
      <c r="B119" s="60" t="s">
        <v>26</v>
      </c>
      <c r="C119" s="60" t="s">
        <v>27</v>
      </c>
      <c r="D119" s="60" t="s">
        <v>207</v>
      </c>
      <c r="E119" s="60" t="s">
        <v>2916</v>
      </c>
      <c r="F119" s="60" t="s">
        <v>318</v>
      </c>
      <c r="G119" s="105">
        <v>3</v>
      </c>
      <c r="H119" s="212" t="s">
        <v>2917</v>
      </c>
      <c r="I119" s="105" t="s">
        <v>271</v>
      </c>
      <c r="J119" s="60" t="s">
        <v>2708</v>
      </c>
      <c r="K119" s="106">
        <v>46157.404409722221</v>
      </c>
      <c r="L119" s="106">
        <v>46157.405289351853</v>
      </c>
      <c r="M119" s="106">
        <v>46157.474131944444</v>
      </c>
      <c r="N119" s="106">
        <v>46160.222314814811</v>
      </c>
      <c r="O119" s="106"/>
      <c r="P119" s="106"/>
      <c r="Q119" s="60" t="s">
        <v>2709</v>
      </c>
      <c r="S119" s="60" t="s">
        <v>165</v>
      </c>
      <c r="U119" s="60" t="s">
        <v>371</v>
      </c>
      <c r="Z119" s="107">
        <f t="shared" ca="1" si="11"/>
        <v>0.3039236111120166</v>
      </c>
      <c r="AA119" s="108">
        <f t="shared" ca="1" si="12"/>
        <v>0.81046296296537756</v>
      </c>
      <c r="AB119" s="107">
        <f t="shared" ca="1" si="13"/>
        <v>0.30304398148048983</v>
      </c>
      <c r="AC119" s="108">
        <f t="shared" ca="1" si="14"/>
        <v>0.80811728394797289</v>
      </c>
      <c r="AD119" s="107">
        <f t="shared" ca="1" si="10"/>
        <v>6.8842592590954155E-2</v>
      </c>
      <c r="AE119" s="107">
        <f t="shared" ca="1" si="15"/>
        <v>0.30304398148048983</v>
      </c>
      <c r="AF119" s="108">
        <f t="shared" ca="1" si="16"/>
        <v>0.80811728394797289</v>
      </c>
      <c r="AG119" s="108">
        <f t="shared" ca="1" si="4"/>
        <v>0.80811728394797289</v>
      </c>
      <c r="AH119" s="61" t="str" cm="1">
        <f t="array" aca="1" ref="AH119" ca="1">IF((AD119) &lt; (INDEX(ResponseSLA[#All],(MATCH((G119),ResponseSLA[Priority],0))+1,3)),"YES","No")</f>
        <v>YES</v>
      </c>
      <c r="AI119" s="61" t="str">
        <f ca="1">_xlfn.IFNA(IF(AE119 &lt; (INDEX(SLATable[Minimum SLA],MATCH(G119,SLATable[Priority],0))),"YES","NO"),"")</f>
        <v>YES</v>
      </c>
      <c r="AJ119" s="61" t="str">
        <f ca="1">_xlfn.IFNA(IF(AE119 &lt; (INDEX(SLATable[Maximum SLA],MATCH(G119,SLATable[Priority],0))),"YES","NO"),"")</f>
        <v>YES</v>
      </c>
    </row>
    <row r="120" spans="1:36" s="60" customFormat="1" ht="15" hidden="1" customHeight="1">
      <c r="A120" s="60">
        <v>119</v>
      </c>
      <c r="B120" s="60" t="s">
        <v>26</v>
      </c>
      <c r="C120" s="60" t="s">
        <v>27</v>
      </c>
      <c r="D120" s="60" t="s">
        <v>207</v>
      </c>
      <c r="E120" s="60" t="s">
        <v>2918</v>
      </c>
      <c r="F120" s="60" t="s">
        <v>318</v>
      </c>
      <c r="G120" s="105">
        <v>3</v>
      </c>
      <c r="H120" s="212" t="s">
        <v>2919</v>
      </c>
      <c r="I120" s="105" t="s">
        <v>271</v>
      </c>
      <c r="J120" s="60" t="s">
        <v>2708</v>
      </c>
      <c r="K120" s="106">
        <v>46157.632511574076</v>
      </c>
      <c r="L120" s="106">
        <v>46157.633622685185</v>
      </c>
      <c r="M120" s="106">
        <v>46160.251481481479</v>
      </c>
      <c r="N120" s="106">
        <v>46160.296215277776</v>
      </c>
      <c r="O120" s="106"/>
      <c r="P120" s="106"/>
      <c r="Q120" s="60" t="s">
        <v>2709</v>
      </c>
      <c r="S120" s="60" t="s">
        <v>165</v>
      </c>
      <c r="U120" s="60" t="s">
        <v>371</v>
      </c>
      <c r="Z120" s="107">
        <f t="shared" ca="1" si="11"/>
        <v>7.5821759256844756E-2</v>
      </c>
      <c r="AA120" s="108">
        <f t="shared" ca="1" si="12"/>
        <v>0.20219135801825269</v>
      </c>
      <c r="AB120" s="107">
        <f t="shared" ca="1" si="13"/>
        <v>7.4710648147932601E-2</v>
      </c>
      <c r="AC120" s="108">
        <f t="shared" ca="1" si="14"/>
        <v>0.19922839506115361</v>
      </c>
      <c r="AD120" s="107">
        <f t="shared" ca="1" si="10"/>
        <v>7.4710648147932601E-2</v>
      </c>
      <c r="AE120" s="107">
        <f t="shared" ca="1" si="15"/>
        <v>7.4710648147932601E-2</v>
      </c>
      <c r="AF120" s="108">
        <f t="shared" ca="1" si="16"/>
        <v>0.19922839506115361</v>
      </c>
      <c r="AG120" s="108">
        <f t="shared" ca="1" si="4"/>
        <v>0.19922839506115361</v>
      </c>
      <c r="AH120" s="61" t="str" cm="1">
        <f t="array" aca="1" ref="AH120" ca="1">IF((AD120) &lt; (INDEX(ResponseSLA[#All],(MATCH((G120),ResponseSLA[Priority],0))+1,3)),"YES","No")</f>
        <v>YES</v>
      </c>
      <c r="AI120" s="61" t="str">
        <f ca="1">_xlfn.IFNA(IF(AE120 &lt; (INDEX(SLATable[Minimum SLA],MATCH(G120,SLATable[Priority],0))),"YES","NO"),"")</f>
        <v>YES</v>
      </c>
      <c r="AJ120" s="61" t="str">
        <f ca="1">_xlfn.IFNA(IF(AE120 &lt; (INDEX(SLATable[Maximum SLA],MATCH(G120,SLATable[Priority],0))),"YES","NO"),"")</f>
        <v>YES</v>
      </c>
    </row>
    <row r="121" spans="1:36" s="60" customFormat="1" ht="15" hidden="1" customHeight="1">
      <c r="A121" s="60">
        <v>120</v>
      </c>
      <c r="B121" s="60" t="s">
        <v>26</v>
      </c>
      <c r="C121" s="60" t="s">
        <v>27</v>
      </c>
      <c r="D121" s="60" t="s">
        <v>207</v>
      </c>
      <c r="E121" s="60" t="s">
        <v>2920</v>
      </c>
      <c r="F121" s="60" t="s">
        <v>318</v>
      </c>
      <c r="G121" s="105">
        <v>3</v>
      </c>
      <c r="H121" s="212" t="s">
        <v>2921</v>
      </c>
      <c r="I121" s="105" t="s">
        <v>271</v>
      </c>
      <c r="J121" s="60" t="s">
        <v>2708</v>
      </c>
      <c r="K121" s="106">
        <v>46158.629803240743</v>
      </c>
      <c r="L121" s="106">
        <v>46158.631342592591</v>
      </c>
      <c r="M121" s="106">
        <v>46160.250462962962</v>
      </c>
      <c r="N121" s="106">
        <v>46160.289039351854</v>
      </c>
      <c r="O121" s="106"/>
      <c r="P121" s="106"/>
      <c r="Q121" s="60" t="s">
        <v>2709</v>
      </c>
      <c r="S121" s="60" t="s">
        <v>165</v>
      </c>
      <c r="U121" s="60" t="s">
        <v>371</v>
      </c>
      <c r="Z121" s="107">
        <f t="shared" ca="1" si="11"/>
        <v>0</v>
      </c>
      <c r="AA121" s="108">
        <f t="shared" ca="1" si="12"/>
        <v>0</v>
      </c>
      <c r="AB121" s="107">
        <f t="shared" ca="1" si="13"/>
        <v>0</v>
      </c>
      <c r="AC121" s="108">
        <f t="shared" ca="1" si="14"/>
        <v>0</v>
      </c>
      <c r="AD121" s="107">
        <f t="shared" ca="1" si="10"/>
        <v>0</v>
      </c>
      <c r="AE121" s="107">
        <f t="shared" ca="1" si="15"/>
        <v>0</v>
      </c>
      <c r="AF121" s="108">
        <f t="shared" ca="1" si="16"/>
        <v>0</v>
      </c>
      <c r="AG121" s="108">
        <f t="shared" ca="1" si="4"/>
        <v>0</v>
      </c>
      <c r="AH121" s="61" t="str" cm="1">
        <f t="array" aca="1" ref="AH121" ca="1">IF((AD121) &lt; (INDEX(ResponseSLA[#All],(MATCH((G121),ResponseSLA[Priority],0))+1,3)),"YES","No")</f>
        <v>YES</v>
      </c>
      <c r="AI121" s="61" t="str">
        <f ca="1">_xlfn.IFNA(IF(AE121 &lt; (INDEX(SLATable[Minimum SLA],MATCH(G121,SLATable[Priority],0))),"YES","NO"),"")</f>
        <v>YES</v>
      </c>
      <c r="AJ121" s="61" t="str">
        <f ca="1">_xlfn.IFNA(IF(AE121 &lt; (INDEX(SLATable[Maximum SLA],MATCH(G121,SLATable[Priority],0))),"YES","NO"),"")</f>
        <v>YES</v>
      </c>
    </row>
    <row r="122" spans="1:36" s="60" customFormat="1" ht="15" hidden="1" customHeight="1">
      <c r="A122" s="60">
        <v>121</v>
      </c>
      <c r="B122" s="60" t="s">
        <v>26</v>
      </c>
      <c r="C122" s="60" t="s">
        <v>27</v>
      </c>
      <c r="D122" s="60" t="s">
        <v>207</v>
      </c>
      <c r="E122" s="60" t="s">
        <v>2922</v>
      </c>
      <c r="F122" s="60" t="s">
        <v>318</v>
      </c>
      <c r="G122" s="105">
        <v>3</v>
      </c>
      <c r="H122" s="212" t="s">
        <v>2923</v>
      </c>
      <c r="I122" s="105" t="s">
        <v>271</v>
      </c>
      <c r="J122" s="60" t="s">
        <v>2708</v>
      </c>
      <c r="K122" s="106">
        <v>46160.137152777781</v>
      </c>
      <c r="L122" s="106">
        <v>46160.137638888889</v>
      </c>
      <c r="M122" s="106">
        <v>46160.2500462963</v>
      </c>
      <c r="N122" s="106">
        <v>46161.276250000003</v>
      </c>
      <c r="O122" s="106"/>
      <c r="P122" s="106"/>
      <c r="Q122" s="60" t="s">
        <v>2709</v>
      </c>
      <c r="S122" s="60" t="s">
        <v>165</v>
      </c>
      <c r="U122" s="60" t="s">
        <v>371</v>
      </c>
      <c r="Z122" s="107">
        <f t="shared" ca="1" si="11"/>
        <v>0.37500000000000006</v>
      </c>
      <c r="AA122" s="108">
        <f t="shared" ca="1" si="12"/>
        <v>1.0000000000000002</v>
      </c>
      <c r="AB122" s="107">
        <f t="shared" ca="1" si="13"/>
        <v>0.37500000000000006</v>
      </c>
      <c r="AC122" s="108">
        <f t="shared" ca="1" si="14"/>
        <v>1.0000000000000002</v>
      </c>
      <c r="AD122" s="107">
        <f t="shared" ca="1" si="10"/>
        <v>0</v>
      </c>
      <c r="AE122" s="107">
        <f t="shared" ca="1" si="15"/>
        <v>0.37500000000000006</v>
      </c>
      <c r="AF122" s="108">
        <f t="shared" ca="1" si="16"/>
        <v>1.0000000000000002</v>
      </c>
      <c r="AG122" s="108">
        <f t="shared" ca="1" si="4"/>
        <v>1.0000000000000002</v>
      </c>
      <c r="AH122" s="61" t="str" cm="1">
        <f t="array" aca="1" ref="AH122" ca="1">IF((AD122) &lt; (INDEX(ResponseSLA[#All],(MATCH((G122),ResponseSLA[Priority],0))+1,3)),"YES","No")</f>
        <v>YES</v>
      </c>
      <c r="AI122" s="61" t="str">
        <f ca="1">_xlfn.IFNA(IF(AE122 &lt; (INDEX(SLATable[Minimum SLA],MATCH(G122,SLATable[Priority],0))),"YES","NO"),"")</f>
        <v>NO</v>
      </c>
      <c r="AJ122" s="61" t="str">
        <f ca="1">_xlfn.IFNA(IF(AE122 &lt; (INDEX(SLATable[Maximum SLA],MATCH(G122,SLATable[Priority],0))),"YES","NO"),"")</f>
        <v>YES</v>
      </c>
    </row>
    <row r="123" spans="1:36" s="60" customFormat="1" ht="15" hidden="1" customHeight="1">
      <c r="A123" s="60">
        <v>122</v>
      </c>
      <c r="B123" s="60" t="s">
        <v>26</v>
      </c>
      <c r="C123" s="60" t="s">
        <v>27</v>
      </c>
      <c r="D123" s="60" t="s">
        <v>207</v>
      </c>
      <c r="E123" s="60" t="s">
        <v>2924</v>
      </c>
      <c r="F123" s="60" t="s">
        <v>318</v>
      </c>
      <c r="G123" s="105">
        <v>4</v>
      </c>
      <c r="H123" s="212" t="s">
        <v>2925</v>
      </c>
      <c r="I123" s="105" t="s">
        <v>271</v>
      </c>
      <c r="J123" s="60" t="s">
        <v>2708</v>
      </c>
      <c r="K123" s="106">
        <v>46160.670694444445</v>
      </c>
      <c r="L123" s="106">
        <v>46160.670694444445</v>
      </c>
      <c r="M123" s="106">
        <v>46161.257939814815</v>
      </c>
      <c r="N123" s="106">
        <v>46161.474675925929</v>
      </c>
      <c r="O123" s="106"/>
      <c r="P123" s="106"/>
      <c r="Q123" s="60" t="s">
        <v>2733</v>
      </c>
      <c r="S123" s="60" t="s">
        <v>190</v>
      </c>
      <c r="U123" s="60" t="s">
        <v>371</v>
      </c>
      <c r="Z123" s="107">
        <f t="shared" ca="1" si="11"/>
        <v>0.17898148148378823</v>
      </c>
      <c r="AA123" s="108">
        <f t="shared" ca="1" si="12"/>
        <v>0.47728395062343526</v>
      </c>
      <c r="AB123" s="107">
        <f t="shared" ca="1" si="13"/>
        <v>0.17898148148378823</v>
      </c>
      <c r="AC123" s="108">
        <f t="shared" ca="1" si="14"/>
        <v>0.47728395062343526</v>
      </c>
      <c r="AD123" s="107">
        <f t="shared" ca="1" si="10"/>
        <v>3.7638888888371524E-2</v>
      </c>
      <c r="AE123" s="107">
        <f t="shared" ca="1" si="15"/>
        <v>0.17898148148378823</v>
      </c>
      <c r="AF123" s="108">
        <f t="shared" ca="1" si="16"/>
        <v>0.47728395062343526</v>
      </c>
      <c r="AG123" s="108">
        <f t="shared" ca="1" si="4"/>
        <v>0.47728395062343526</v>
      </c>
      <c r="AH123" s="61" t="str" cm="1">
        <f t="array" aca="1" ref="AH123" ca="1">IF((AD123) &lt; (INDEX(ResponseSLA[#All],(MATCH((G123),ResponseSLA[Priority],0))+1,3)),"YES","No")</f>
        <v>YES</v>
      </c>
      <c r="AI123" s="61" t="str">
        <f ca="1">_xlfn.IFNA(IF(AE123 &lt; (INDEX(SLATable[Minimum SLA],MATCH(G123,SLATable[Priority],0))),"YES","NO"),"")</f>
        <v>YES</v>
      </c>
      <c r="AJ123" s="61" t="str">
        <f ca="1">_xlfn.IFNA(IF(AE123 &lt; (INDEX(SLATable[Maximum SLA],MATCH(G123,SLATable[Priority],0))),"YES","NO"),"")</f>
        <v>YES</v>
      </c>
    </row>
    <row r="124" spans="1:36" s="60" customFormat="1" ht="15" hidden="1" customHeight="1">
      <c r="A124" s="60">
        <v>123</v>
      </c>
      <c r="B124" s="60" t="s">
        <v>26</v>
      </c>
      <c r="C124" s="60" t="s">
        <v>27</v>
      </c>
      <c r="D124" s="60" t="s">
        <v>207</v>
      </c>
      <c r="E124" s="60" t="s">
        <v>2926</v>
      </c>
      <c r="F124" s="60" t="s">
        <v>318</v>
      </c>
      <c r="G124" s="105">
        <v>3</v>
      </c>
      <c r="H124" s="212" t="s">
        <v>2707</v>
      </c>
      <c r="I124" s="105" t="s">
        <v>271</v>
      </c>
      <c r="J124" s="60" t="s">
        <v>2708</v>
      </c>
      <c r="K124" s="106">
        <v>46160.748263888891</v>
      </c>
      <c r="L124" s="106">
        <v>46160.74863425926</v>
      </c>
      <c r="M124" s="106">
        <v>46161.249861111108</v>
      </c>
      <c r="N124" s="106">
        <v>46161.278171296297</v>
      </c>
      <c r="O124" s="106"/>
      <c r="P124" s="106"/>
      <c r="Q124" s="60" t="s">
        <v>2709</v>
      </c>
      <c r="S124" s="60" t="s">
        <v>165</v>
      </c>
      <c r="U124" s="60" t="s">
        <v>371</v>
      </c>
      <c r="Z124" s="107">
        <f t="shared" ca="1" si="11"/>
        <v>0</v>
      </c>
      <c r="AA124" s="108">
        <f t="shared" ca="1" si="12"/>
        <v>0</v>
      </c>
      <c r="AB124" s="107">
        <f t="shared" ca="1" si="13"/>
        <v>0</v>
      </c>
      <c r="AC124" s="108">
        <f t="shared" ca="1" si="14"/>
        <v>0</v>
      </c>
      <c r="AD124" s="107">
        <f t="shared" ca="1" si="10"/>
        <v>0</v>
      </c>
      <c r="AE124" s="107">
        <f t="shared" ca="1" si="15"/>
        <v>0</v>
      </c>
      <c r="AF124" s="108">
        <f t="shared" ca="1" si="16"/>
        <v>0</v>
      </c>
      <c r="AG124" s="108">
        <f t="shared" ca="1" si="4"/>
        <v>0</v>
      </c>
      <c r="AH124" s="61" t="str" cm="1">
        <f t="array" aca="1" ref="AH124" ca="1">IF((AD124) &lt; (INDEX(ResponseSLA[#All],(MATCH((G124),ResponseSLA[Priority],0))+1,3)),"YES","No")</f>
        <v>YES</v>
      </c>
      <c r="AI124" s="61" t="str">
        <f ca="1">_xlfn.IFNA(IF(AE124 &lt; (INDEX(SLATable[Minimum SLA],MATCH(G124,SLATable[Priority],0))),"YES","NO"),"")</f>
        <v>YES</v>
      </c>
      <c r="AJ124" s="61" t="str">
        <f ca="1">_xlfn.IFNA(IF(AE124 &lt; (INDEX(SLATable[Maximum SLA],MATCH(G124,SLATable[Priority],0))),"YES","NO"),"")</f>
        <v>YES</v>
      </c>
    </row>
    <row r="125" spans="1:36" s="60" customFormat="1" ht="15" hidden="1" customHeight="1">
      <c r="A125" s="60">
        <v>124</v>
      </c>
      <c r="B125" s="60" t="s">
        <v>26</v>
      </c>
      <c r="C125" s="60" t="s">
        <v>27</v>
      </c>
      <c r="D125" s="60" t="s">
        <v>207</v>
      </c>
      <c r="E125" s="60" t="s">
        <v>2927</v>
      </c>
      <c r="F125" s="60" t="s">
        <v>318</v>
      </c>
      <c r="G125" s="105">
        <v>4</v>
      </c>
      <c r="H125" s="224" t="s">
        <v>2928</v>
      </c>
      <c r="I125" s="105" t="s">
        <v>271</v>
      </c>
      <c r="J125" s="60" t="s">
        <v>2725</v>
      </c>
      <c r="K125" s="106">
        <v>46144.117222222223</v>
      </c>
      <c r="L125" s="106">
        <v>46156.670416666668</v>
      </c>
      <c r="M125" s="106">
        <v>46157.24559027778</v>
      </c>
      <c r="N125" s="106">
        <v>46157.492106481484</v>
      </c>
      <c r="O125" s="106"/>
      <c r="P125" s="106"/>
      <c r="Q125" s="60" t="s">
        <v>2929</v>
      </c>
      <c r="R125" s="60" t="s">
        <v>272</v>
      </c>
      <c r="S125" s="60" t="s">
        <v>187</v>
      </c>
      <c r="Z125" s="107">
        <f t="shared" ca="1" si="11"/>
        <v>3.1587731481510373</v>
      </c>
      <c r="AA125" s="108">
        <f t="shared" ca="1" si="12"/>
        <v>8.4233950617360982</v>
      </c>
      <c r="AB125" s="107">
        <f t="shared" ca="1" si="13"/>
        <v>0.1966898148166365</v>
      </c>
      <c r="AC125" s="108">
        <f t="shared" ca="1" si="14"/>
        <v>0.52450617284436396</v>
      </c>
      <c r="AD125" s="107">
        <f t="shared" ca="1" si="10"/>
        <v>3.7916666665599563E-2</v>
      </c>
      <c r="AE125" s="107">
        <f t="shared" ca="1" si="15"/>
        <v>0.1966898148166365</v>
      </c>
      <c r="AF125" s="108">
        <f t="shared" ca="1" si="16"/>
        <v>0.52450617284436396</v>
      </c>
      <c r="AG125" s="108">
        <f t="shared" ca="1" si="4"/>
        <v>0.52450617284436396</v>
      </c>
      <c r="AH125" s="61" t="str" cm="1">
        <f t="array" aca="1" ref="AH125" ca="1">IF((AD125) &lt; (INDEX(ResponseSLA[#All],(MATCH((G125),ResponseSLA[Priority],0))+1,3)),"YES","No")</f>
        <v>YES</v>
      </c>
      <c r="AI125" s="61" t="str">
        <f ca="1">_xlfn.IFNA(IF(AE125 &lt; (INDEX(SLATable[Minimum SLA],MATCH(G125,SLATable[Priority],0))),"YES","NO"),"")</f>
        <v>YES</v>
      </c>
      <c r="AJ125" s="61" t="str">
        <f ca="1">_xlfn.IFNA(IF(AE125 &lt; (INDEX(SLATable[Maximum SLA],MATCH(G125,SLATable[Priority],0))),"YES","NO"),"")</f>
        <v>YES</v>
      </c>
    </row>
    <row r="126" spans="1:36" s="60" customFormat="1" ht="15" hidden="1" customHeight="1">
      <c r="A126" s="60">
        <v>125</v>
      </c>
      <c r="B126" s="60" t="s">
        <v>26</v>
      </c>
      <c r="C126" s="60" t="s">
        <v>27</v>
      </c>
      <c r="D126" s="60" t="s">
        <v>207</v>
      </c>
      <c r="E126" s="60" t="s">
        <v>2930</v>
      </c>
      <c r="F126" s="60" t="s">
        <v>318</v>
      </c>
      <c r="G126" s="105">
        <v>4</v>
      </c>
      <c r="H126" s="224" t="s">
        <v>2931</v>
      </c>
      <c r="I126" s="105" t="s">
        <v>271</v>
      </c>
      <c r="J126" s="60" t="s">
        <v>2725</v>
      </c>
      <c r="K126" s="106">
        <v>46147.537395833337</v>
      </c>
      <c r="L126" s="106">
        <v>46147.538726851853</v>
      </c>
      <c r="M126" s="106">
        <v>46147.568958333337</v>
      </c>
      <c r="N126" s="106">
        <v>46148.298333333332</v>
      </c>
      <c r="O126" s="106"/>
      <c r="P126" s="106"/>
      <c r="Q126" s="61" t="s">
        <v>2932</v>
      </c>
      <c r="R126" s="60" t="s">
        <v>272</v>
      </c>
      <c r="S126" s="60" t="s">
        <v>187</v>
      </c>
      <c r="Z126" s="107">
        <f t="shared" ca="1" si="11"/>
        <v>0.1709374999967016</v>
      </c>
      <c r="AA126" s="108">
        <f t="shared" ca="1" si="12"/>
        <v>0.45583333332453763</v>
      </c>
      <c r="AB126" s="107">
        <f t="shared" ca="1" si="13"/>
        <v>0.16960648147990776</v>
      </c>
      <c r="AC126" s="108">
        <f t="shared" ca="1" si="14"/>
        <v>0.45228395061308735</v>
      </c>
      <c r="AD126" s="107">
        <f t="shared" ca="1" si="10"/>
        <v>3.0231481483497191E-2</v>
      </c>
      <c r="AE126" s="107">
        <f t="shared" ca="1" si="15"/>
        <v>0.16960648147990776</v>
      </c>
      <c r="AF126" s="108">
        <f t="shared" ca="1" si="16"/>
        <v>0.45228395061308735</v>
      </c>
      <c r="AG126" s="108">
        <f t="shared" ca="1" si="4"/>
        <v>0.45228395061308735</v>
      </c>
      <c r="AH126" s="61" t="str" cm="1">
        <f t="array" aca="1" ref="AH126" ca="1">IF((AD126) &lt; (INDEX(ResponseSLA[#All],(MATCH((G126),ResponseSLA[Priority],0))+1,3)),"YES","No")</f>
        <v>YES</v>
      </c>
      <c r="AI126" s="61" t="str">
        <f ca="1">_xlfn.IFNA(IF(AE126 &lt; (INDEX(SLATable[Minimum SLA],MATCH(G126,SLATable[Priority],0))),"YES","NO"),"")</f>
        <v>YES</v>
      </c>
      <c r="AJ126" s="61" t="str">
        <f ca="1">_xlfn.IFNA(IF(AE126 &lt; (INDEX(SLATable[Maximum SLA],MATCH(G126,SLATable[Priority],0))),"YES","NO"),"")</f>
        <v>YES</v>
      </c>
    </row>
    <row r="127" spans="1:36" s="60" customFormat="1" ht="15" hidden="1" customHeight="1">
      <c r="A127" s="60">
        <v>126</v>
      </c>
      <c r="B127" s="60" t="s">
        <v>26</v>
      </c>
      <c r="C127" s="60" t="s">
        <v>27</v>
      </c>
      <c r="D127" s="60" t="s">
        <v>207</v>
      </c>
      <c r="E127" s="60" t="s">
        <v>2933</v>
      </c>
      <c r="F127" s="60" t="s">
        <v>318</v>
      </c>
      <c r="G127" s="105">
        <v>4</v>
      </c>
      <c r="H127" s="224" t="s">
        <v>2934</v>
      </c>
      <c r="I127" s="105" t="s">
        <v>271</v>
      </c>
      <c r="J127" s="60" t="s">
        <v>2725</v>
      </c>
      <c r="K127" s="106">
        <v>46147.554861111108</v>
      </c>
      <c r="L127" s="106">
        <v>46155.289675925924</v>
      </c>
      <c r="M127" s="106">
        <v>46155.390185185184</v>
      </c>
      <c r="N127" s="106">
        <v>46155.539942129632</v>
      </c>
      <c r="O127" s="106"/>
      <c r="P127" s="106"/>
      <c r="Q127" s="61" t="s">
        <v>2935</v>
      </c>
      <c r="R127" s="60" t="s">
        <v>272</v>
      </c>
      <c r="S127" s="60" t="s">
        <v>187</v>
      </c>
      <c r="Z127" s="107">
        <f t="shared" ca="1" si="11"/>
        <v>2.2350810185234882</v>
      </c>
      <c r="AA127" s="108">
        <f t="shared" ca="1" si="12"/>
        <v>5.9602160493959691</v>
      </c>
      <c r="AB127" s="107">
        <f t="shared" ca="1" si="13"/>
        <v>0.20660879629819345</v>
      </c>
      <c r="AC127" s="108">
        <f t="shared" ca="1" si="14"/>
        <v>0.55095679012851584</v>
      </c>
      <c r="AD127" s="107">
        <f t="shared" ca="1" si="10"/>
        <v>5.6851851850903301E-2</v>
      </c>
      <c r="AE127" s="107">
        <f t="shared" ca="1" si="15"/>
        <v>0.20660879629819345</v>
      </c>
      <c r="AF127" s="108">
        <f t="shared" ca="1" si="16"/>
        <v>0.55095679012851584</v>
      </c>
      <c r="AG127" s="108">
        <f t="shared" ca="1" si="4"/>
        <v>0.55095679012851584</v>
      </c>
      <c r="AH127" s="61" t="str" cm="1">
        <f t="array" aca="1" ref="AH127" ca="1">IF((AD127) &lt; (INDEX(ResponseSLA[#All],(MATCH((G127),ResponseSLA[Priority],0))+1,3)),"YES","No")</f>
        <v>YES</v>
      </c>
      <c r="AI127" s="61" t="str">
        <f ca="1">_xlfn.IFNA(IF(AE127 &lt; (INDEX(SLATable[Minimum SLA],MATCH(G127,SLATable[Priority],0))),"YES","NO"),"")</f>
        <v>YES</v>
      </c>
      <c r="AJ127" s="61" t="str">
        <f ca="1">_xlfn.IFNA(IF(AE127 &lt; (INDEX(SLATable[Maximum SLA],MATCH(G127,SLATable[Priority],0))),"YES","NO"),"")</f>
        <v>YES</v>
      </c>
    </row>
    <row r="128" spans="1:36" s="60" customFormat="1" ht="15" hidden="1" customHeight="1">
      <c r="A128" s="60">
        <v>127</v>
      </c>
      <c r="B128" s="60" t="s">
        <v>26</v>
      </c>
      <c r="C128" s="60" t="s">
        <v>27</v>
      </c>
      <c r="D128" s="60" t="s">
        <v>207</v>
      </c>
      <c r="E128" s="60" t="s">
        <v>2936</v>
      </c>
      <c r="F128" s="60" t="s">
        <v>318</v>
      </c>
      <c r="G128" s="105">
        <v>3</v>
      </c>
      <c r="H128" s="224" t="s">
        <v>2775</v>
      </c>
      <c r="I128" s="105" t="s">
        <v>271</v>
      </c>
      <c r="J128" s="60" t="s">
        <v>2725</v>
      </c>
      <c r="K128" s="106">
        <v>46148.73096064815</v>
      </c>
      <c r="L128" s="106">
        <v>46148.73096064815</v>
      </c>
      <c r="M128" s="106">
        <v>46149.234918981485</v>
      </c>
      <c r="N128" s="106">
        <v>46150.272662037038</v>
      </c>
      <c r="O128" s="106"/>
      <c r="P128" s="106"/>
      <c r="Q128" s="61" t="s">
        <v>2776</v>
      </c>
      <c r="R128" s="60" t="s">
        <v>272</v>
      </c>
      <c r="S128" s="60" t="s">
        <v>187</v>
      </c>
      <c r="Z128" s="107">
        <f t="shared" ca="1" si="11"/>
        <v>0.37500000000000011</v>
      </c>
      <c r="AA128" s="108">
        <f t="shared" ca="1" si="12"/>
        <v>1.0000000000000004</v>
      </c>
      <c r="AB128" s="107">
        <f t="shared" ca="1" si="13"/>
        <v>0.37500000000000011</v>
      </c>
      <c r="AC128" s="108">
        <f t="shared" ca="1" si="14"/>
        <v>1.0000000000000004</v>
      </c>
      <c r="AD128" s="107">
        <f t="shared" ca="1" si="10"/>
        <v>0</v>
      </c>
      <c r="AE128" s="107">
        <f t="shared" ca="1" si="15"/>
        <v>0.37500000000000011</v>
      </c>
      <c r="AF128" s="108">
        <f t="shared" ca="1" si="16"/>
        <v>1.0000000000000004</v>
      </c>
      <c r="AG128" s="108">
        <f t="shared" ca="1" si="4"/>
        <v>1.0000000000000004</v>
      </c>
      <c r="AH128" s="61" t="str" cm="1">
        <f t="array" aca="1" ref="AH128" ca="1">IF((AD128) &lt; (INDEX(ResponseSLA[#All],(MATCH((G128),ResponseSLA[Priority],0))+1,3)),"YES","No")</f>
        <v>YES</v>
      </c>
      <c r="AI128" s="61" t="str">
        <f ca="1">_xlfn.IFNA(IF(AE128 &lt; (INDEX(SLATable[Minimum SLA],MATCH(G128,SLATable[Priority],0))),"YES","NO"),"")</f>
        <v>NO</v>
      </c>
      <c r="AJ128" s="61" t="str">
        <f ca="1">_xlfn.IFNA(IF(AE128 &lt; (INDEX(SLATable[Maximum SLA],MATCH(G128,SLATable[Priority],0))),"YES","NO"),"")</f>
        <v>YES</v>
      </c>
    </row>
    <row r="129" spans="1:36" s="60" customFormat="1" ht="15" hidden="1" customHeight="1">
      <c r="A129" s="60">
        <v>128</v>
      </c>
      <c r="B129" s="60" t="s">
        <v>26</v>
      </c>
      <c r="C129" s="60" t="s">
        <v>27</v>
      </c>
      <c r="D129" s="60" t="s">
        <v>207</v>
      </c>
      <c r="E129" s="60" t="s">
        <v>2937</v>
      </c>
      <c r="F129" s="60" t="s">
        <v>318</v>
      </c>
      <c r="G129" s="105">
        <v>3</v>
      </c>
      <c r="H129" s="224" t="s">
        <v>2724</v>
      </c>
      <c r="I129" s="105" t="s">
        <v>271</v>
      </c>
      <c r="J129" s="60" t="s">
        <v>2725</v>
      </c>
      <c r="K129" s="106">
        <v>46149.201886574076</v>
      </c>
      <c r="L129" s="106">
        <v>46149.201886574076</v>
      </c>
      <c r="M129" s="106">
        <v>46149.235833333332</v>
      </c>
      <c r="N129" s="106">
        <v>46150.270902777775</v>
      </c>
      <c r="O129" s="106"/>
      <c r="P129" s="106"/>
      <c r="Q129" s="61" t="s">
        <v>2726</v>
      </c>
      <c r="R129" s="60" t="s">
        <v>272</v>
      </c>
      <c r="S129" s="60" t="s">
        <v>149</v>
      </c>
      <c r="Z129" s="107">
        <f t="shared" ca="1" si="11"/>
        <v>0.37500000000000006</v>
      </c>
      <c r="AA129" s="108">
        <f t="shared" ca="1" si="12"/>
        <v>1.0000000000000002</v>
      </c>
      <c r="AB129" s="107">
        <f t="shared" ca="1" si="13"/>
        <v>0.37500000000000006</v>
      </c>
      <c r="AC129" s="108">
        <f t="shared" ca="1" si="14"/>
        <v>1.0000000000000002</v>
      </c>
      <c r="AD129" s="107">
        <f t="shared" ref="AD129:AD192" ca="1" si="17">MAX(0,
IF(
OR(G129=1,G129=2),
IF(M129&lt;&gt;"",M129-L129,NOW()-L129),
IF(
M129&lt;&gt;"",
IF(
INT(L129)=INT(M129),
IF(
NETWORKDAYS(L129,L129,UKBankHolidays)=0,
0,
MAX(
0,
MIN(MOD(M129,1),TIME(17,0,0))
-
MAX(MOD(L129,1),TIME(8,0,0))
)
),
MAX(
0,
IF(
NETWORKDAYS(L129,L129,UKBankHolidays)&gt;0,
TIME(17,0,0)-MAX(MOD(L129,1),TIME(8,0,0)),
0
)
)
+
MAX(
0,
NETWORKDAYS(INT(L129)+1,INT(M129)-1,UKBankHolidays)
*(TIME(17,0,0)-TIME(8,0,0))
)
+
MAX(
0,
IF(
NETWORKDAYS(M129,M129,UKBankHolidays)&gt;0,
MIN(MOD(M129,1),TIME(17,0,0))-TIME(8,0,0),
0
)
)
),
IF(M129&lt;&gt;"",M129-L129,NOW()-L129)
)
)
)</f>
        <v>0</v>
      </c>
      <c r="AE129" s="107">
        <f t="shared" ca="1" si="15"/>
        <v>0.37500000000000006</v>
      </c>
      <c r="AF129" s="108">
        <f t="shared" ca="1" si="16"/>
        <v>1.0000000000000002</v>
      </c>
      <c r="AG129" s="108">
        <f t="shared" ca="1" si="4"/>
        <v>1.0000000000000002</v>
      </c>
      <c r="AH129" s="61" t="str" cm="1">
        <f t="array" aca="1" ref="AH129" ca="1">IF((AD129) &lt; (INDEX(ResponseSLA[#All],(MATCH((G129),ResponseSLA[Priority],0))+1,3)),"YES","No")</f>
        <v>YES</v>
      </c>
      <c r="AI129" s="61" t="str">
        <f ca="1">_xlfn.IFNA(IF(AE129 &lt; (INDEX(SLATable[Minimum SLA],MATCH(G129,SLATable[Priority],0))),"YES","NO"),"")</f>
        <v>NO</v>
      </c>
      <c r="AJ129" s="61" t="str">
        <f ca="1">_xlfn.IFNA(IF(AE129 &lt; (INDEX(SLATable[Maximum SLA],MATCH(G129,SLATable[Priority],0))),"YES","NO"),"")</f>
        <v>YES</v>
      </c>
    </row>
    <row r="130" spans="1:36" s="60" customFormat="1" ht="15" hidden="1" customHeight="1">
      <c r="A130" s="60">
        <v>129</v>
      </c>
      <c r="B130" s="60" t="s">
        <v>26</v>
      </c>
      <c r="C130" s="60" t="s">
        <v>27</v>
      </c>
      <c r="D130" s="60" t="s">
        <v>207</v>
      </c>
      <c r="E130" s="60" t="s">
        <v>2938</v>
      </c>
      <c r="F130" s="60" t="s">
        <v>318</v>
      </c>
      <c r="G130" s="105">
        <v>3</v>
      </c>
      <c r="H130" s="224" t="s">
        <v>2939</v>
      </c>
      <c r="I130" s="105" t="s">
        <v>271</v>
      </c>
      <c r="J130" s="60" t="s">
        <v>2725</v>
      </c>
      <c r="K130" s="106">
        <v>46149.268067129633</v>
      </c>
      <c r="L130" s="106">
        <v>46150.5465625</v>
      </c>
      <c r="M130" s="106">
        <v>46150.590324074074</v>
      </c>
      <c r="N130" s="106">
        <v>46150.767106481479</v>
      </c>
      <c r="O130" s="106"/>
      <c r="P130" s="106"/>
      <c r="Q130" s="61" t="s">
        <v>2041</v>
      </c>
      <c r="R130" s="60" t="s">
        <v>272</v>
      </c>
      <c r="S130" s="60" t="s">
        <v>149</v>
      </c>
      <c r="Z130" s="107">
        <f t="shared" ref="Z130:Z193" ca="1" si="18">IF(NOT(OR(G130=1,G130=2)),MAX(0,_xlfn.IFS(AND(K130&lt;&gt;"",N130&lt;&gt;""),((MAX(NETWORKDAYS(K130,N130,UKBankHolidays)-1,0))*(TIME(17,0,0)-TIME(8,0,0))+IF(NETWORKDAYS(N130,N130,UKBankHolidays)&gt;0,MEDIAN(TIME(8,0,0),MOD(N130,1),TIME(17,0,0)),TIME(8,0,0))-IF(NETWORKDAYS(K130,K130,UKBankHolidays)&gt;0,MEDIAN(TIME(8,0,0),MOD(K130,1),TIME(17,0,0)),TIME(8,0,0)))-IF(AND(O130&lt;&gt;"",P130&lt;&gt;""),((MAX(NETWORKDAYS(O130,P130,UKBankHolidays)-1,0))*(TIME(17,0,0)-TIME(8,0,0))+IF(NETWORKDAYS(P130,P130,UKBankHolidays)&gt;0,MEDIAN(TIME(8,0,0),MOD(P130,1),TIME(17,0,0)),TIME(8,0,0))-IF(NETWORKDAYS(O130,O130,UKBankHolidays)&gt;0,MEDIAN(TIME(8,0,0),MOD(O130,1),TIME(17,0,0)),TIME(8,0,0))),0),AND(K130&lt;&gt;"",N130=""),((MAX(NETWORKDAYS(K130,NOW(),UKBankHolidays)-1,0))*(TIME(17,0,0)-TIME(8,0,0))+IF(NETWORKDAYS(NOW(),NOW(),UKBankHolidays)&gt;0,MEDIAN(TIME(8,0,0),MOD(NOW(),1),TIME(17,0,0)),TIME(8,0,0))-IF(NETWORKDAYS(K130,K130,UKBankHolidays)&gt;0,MEDIAN(TIME(8,0,0),MOD(K130,1),TIME(17,0,0)),TIME(8,0,0))))),IF(N130="",NOW()-K130,N130-K130))</f>
        <v>0.75000000000000022</v>
      </c>
      <c r="AA130" s="108">
        <f t="shared" ref="AA130:AA193" ca="1" si="19">(Z130*24)/9</f>
        <v>2.0000000000000009</v>
      </c>
      <c r="AB130" s="107">
        <f t="shared" ref="AB130:AB193" ca="1" si="20">IF(NOT(OR(G130=1,G130=2)),MAX(0,_xlfn.IFS(AND(K130&lt;&gt;"",N130&lt;&gt;""),(((MAX(NETWORKDAYS(L130,N130,UKBankHolidays)-1,0))*(TIME(17,0,0)-TIME(8,0,0)))+IF(NETWORKDAYS(N130,N130,UKBankHolidays)&gt;0,MEDIAN(TIME(8,0,0),MOD(N130,1),TIME(17,0,0)),TIME(8,0,0))-IF(NETWORKDAYS(L130,L130,UKBankHolidays)&gt;0,MEDIAN(TIME(8,0,0),MOD(L130,1),TIME(17,0,0)),TIME(8,0,0)))-IF(AND(O130&lt;&gt;"",P130&lt;&gt;""),(((MAX(NETWORKDAYS(O130,P130,UKBankHolidays)-1,0))*(TIME(17,0,0)-TIME(8,0,0)))+IF(NETWORKDAYS(P130,P130,UKBankHolidays)&gt;0,MEDIAN(TIME(8,0,0),MOD(P130,1),TIME(17,0,0)),TIME(8,0,0))-IF(NETWORKDAYS(O130,O130,UKBankHolidays)&gt;0,MEDIAN(TIME(8,0,0),MOD(O130,1),TIME(17,0,0)),TIME(8,0,0))),0),AND(L130&lt;&gt;"",N130="",O130=""),(((MAX(NETWORKDAYS(L130,NOW(),UKBankHolidays)-1,0))*(TIME(17,0,0)-TIME(8,0,0)))+IF(NETWORKDAYS(NOW(),NOW(),UKBankHolidays)&gt;0,MEDIAN(TIME(8,0,0),MOD(NOW(),1),TIME(17,0,0)),TIME(8,0,0))-IF(NETWORKDAYS(L130,L130,UKBankHolidays)&gt;0,MEDIAN(TIME(8,0,0),MOD(L130,1),TIME(17,0,0)),TIME(8,0,0)))-IF(AND(O130&lt;&gt;"",P130&lt;&gt;""),(((MAX(NETWORKDAYS(O130,P130,UKBankHolidays)-1,0))*(TIME(17,0,0)-TIME(8,0,0)))+IF(NETWORKDAYS(P130,P130,UKBankHolidays)&gt;0,MEDIAN(TIME(8,0,0),MOD(P130,1),TIME(17,0,0)),TIME(8,0,0))-IF(NETWORKDAYS(O130,O130,UKBankHolidays)&gt;0,MEDIAN(TIME(8,0,0),MOD(O130,1),TIME(17,0,0)),TIME(8,0,0))),0),AND(L130&lt;&gt;"",N130="",P130="",O130&lt;&gt;""),(((MAX(NETWORKDAYS(L130,O130,UKBankHolidays)-1,0))*(TIME(17,0,0)-TIME(8,0,0)))+IF(NETWORKDAYS(O130,O130,UKBankHolidays)&gt;0,MEDIAN(TIME(8,0,0),MOD(O130,1),TIME(17,0,0)),TIME(8,0,0))-IF(NETWORKDAYS(L130,L130,UKBankHolidays)&gt;0,MEDIAN(TIME(8,0,0),MOD(L130,1),TIME(17,0,0)),TIME(8,0,0))),ISBLANK(K130),"0")),IF(ISBLANK(N130),NOW()-L130,N130-L130))</f>
        <v>0.16177083333362441</v>
      </c>
      <c r="AC130" s="108">
        <f t="shared" ref="AC130:AC193" ca="1" si="21">(AB130*24)/9</f>
        <v>0.43138888888966509</v>
      </c>
      <c r="AD130" s="107">
        <f t="shared" ca="1" si="17"/>
        <v>4.3761574073869269E-2</v>
      </c>
      <c r="AE130" s="107">
        <f t="shared" ref="AE130:AE193" ca="1" si="22">SUMIFS(AB:AB,E:E,E130)</f>
        <v>0.16177083333362441</v>
      </c>
      <c r="AF130" s="108">
        <f t="shared" ref="AF130:AF193" ca="1" si="23">(AE130*24)/9</f>
        <v>0.43138888888966509</v>
      </c>
      <c r="AG130" s="108">
        <f t="shared" ca="1" si="4"/>
        <v>0.43138888888966509</v>
      </c>
      <c r="AH130" s="61" t="str" cm="1">
        <f t="array" aca="1" ref="AH130" ca="1">IF((AD130) &lt; (INDEX(ResponseSLA[#All],(MATCH((G130),ResponseSLA[Priority],0))+1,3)),"YES","No")</f>
        <v>YES</v>
      </c>
      <c r="AI130" s="61" t="str">
        <f ca="1">_xlfn.IFNA(IF(AE130 &lt; (INDEX(SLATable[Minimum SLA],MATCH(G130,SLATable[Priority],0))),"YES","NO"),"")</f>
        <v>YES</v>
      </c>
      <c r="AJ130" s="61" t="str">
        <f ca="1">_xlfn.IFNA(IF(AE130 &lt; (INDEX(SLATable[Maximum SLA],MATCH(G130,SLATable[Priority],0))),"YES","NO"),"")</f>
        <v>YES</v>
      </c>
    </row>
    <row r="131" spans="1:36" s="60" customFormat="1" ht="15" hidden="1" customHeight="1">
      <c r="A131" s="60">
        <v>130</v>
      </c>
      <c r="B131" s="60" t="s">
        <v>26</v>
      </c>
      <c r="C131" s="60" t="s">
        <v>27</v>
      </c>
      <c r="D131" s="60" t="s">
        <v>207</v>
      </c>
      <c r="E131" s="60" t="s">
        <v>2940</v>
      </c>
      <c r="F131" s="60" t="s">
        <v>318</v>
      </c>
      <c r="G131" s="105">
        <v>4</v>
      </c>
      <c r="H131" s="224" t="s">
        <v>2941</v>
      </c>
      <c r="I131" s="105" t="s">
        <v>271</v>
      </c>
      <c r="J131" s="60" t="s">
        <v>2725</v>
      </c>
      <c r="K131" s="106">
        <v>46154.28665509259</v>
      </c>
      <c r="L131" s="106">
        <v>46154.29283564815</v>
      </c>
      <c r="M131" s="106">
        <v>46154.407881944448</v>
      </c>
      <c r="N131" s="106">
        <v>46155.236886574072</v>
      </c>
      <c r="O131" s="106"/>
      <c r="P131" s="106"/>
      <c r="Q131" s="61" t="s">
        <v>2942</v>
      </c>
      <c r="R131" s="60" t="s">
        <v>272</v>
      </c>
      <c r="S131" s="60" t="s">
        <v>187</v>
      </c>
      <c r="Z131" s="107">
        <f t="shared" ca="1" si="18"/>
        <v>0.37500000000000006</v>
      </c>
      <c r="AA131" s="108">
        <f t="shared" ca="1" si="19"/>
        <v>1.0000000000000002</v>
      </c>
      <c r="AB131" s="107">
        <f t="shared" ca="1" si="20"/>
        <v>0.37500000000000006</v>
      </c>
      <c r="AC131" s="108">
        <f t="shared" ca="1" si="21"/>
        <v>1.0000000000000002</v>
      </c>
      <c r="AD131" s="107">
        <f t="shared" ca="1" si="17"/>
        <v>7.4548611114247876E-2</v>
      </c>
      <c r="AE131" s="107">
        <f t="shared" ca="1" si="22"/>
        <v>0.37500000000000006</v>
      </c>
      <c r="AF131" s="108">
        <f t="shared" ca="1" si="23"/>
        <v>1.0000000000000002</v>
      </c>
      <c r="AG131" s="108">
        <f t="shared" ca="1" si="4"/>
        <v>1.0000000000000002</v>
      </c>
      <c r="AH131" s="61" t="str" cm="1">
        <f t="array" aca="1" ref="AH131" ca="1">IF((AD131) &lt; (INDEX(ResponseSLA[#All],(MATCH((G131),ResponseSLA[Priority],0))+1,3)),"YES","No")</f>
        <v>YES</v>
      </c>
      <c r="AI131" s="61" t="str">
        <f ca="1">_xlfn.IFNA(IF(AE131 &lt; (INDEX(SLATable[Minimum SLA],MATCH(G131,SLATable[Priority],0))),"YES","NO"),"")</f>
        <v>YES</v>
      </c>
      <c r="AJ131" s="61" t="str">
        <f ca="1">_xlfn.IFNA(IF(AE131 &lt; (INDEX(SLATable[Maximum SLA],MATCH(G131,SLATable[Priority],0))),"YES","NO"),"")</f>
        <v>YES</v>
      </c>
    </row>
    <row r="132" spans="1:36" s="60" customFormat="1" ht="15" hidden="1" customHeight="1">
      <c r="A132" s="60">
        <v>131</v>
      </c>
      <c r="B132" s="60" t="s">
        <v>26</v>
      </c>
      <c r="C132" s="60" t="s">
        <v>27</v>
      </c>
      <c r="D132" s="60" t="s">
        <v>207</v>
      </c>
      <c r="E132" s="60" t="s">
        <v>2943</v>
      </c>
      <c r="F132" s="60" t="s">
        <v>318</v>
      </c>
      <c r="G132" s="105">
        <v>3</v>
      </c>
      <c r="H132" s="224" t="s">
        <v>2724</v>
      </c>
      <c r="I132" s="105" t="s">
        <v>271</v>
      </c>
      <c r="J132" s="60" t="s">
        <v>2725</v>
      </c>
      <c r="K132" s="106">
        <v>46154.512152777781</v>
      </c>
      <c r="L132" s="106">
        <v>46154.512152777781</v>
      </c>
      <c r="M132" s="106">
        <v>46154.561307870368</v>
      </c>
      <c r="N132" s="106">
        <v>46155.227523148147</v>
      </c>
      <c r="O132" s="106"/>
      <c r="P132" s="106"/>
      <c r="Q132" s="61" t="s">
        <v>2726</v>
      </c>
      <c r="R132" s="60" t="s">
        <v>272</v>
      </c>
      <c r="S132" s="60" t="s">
        <v>149</v>
      </c>
      <c r="Z132" s="107">
        <f t="shared" ca="1" si="18"/>
        <v>0.19618055555232183</v>
      </c>
      <c r="AA132" s="108">
        <f t="shared" ca="1" si="19"/>
        <v>0.52314814813952493</v>
      </c>
      <c r="AB132" s="107">
        <f t="shared" ca="1" si="20"/>
        <v>0.19618055555232183</v>
      </c>
      <c r="AC132" s="108">
        <f t="shared" ca="1" si="21"/>
        <v>0.52314814813952493</v>
      </c>
      <c r="AD132" s="107">
        <f t="shared" ca="1" si="17"/>
        <v>4.9155092587170657E-2</v>
      </c>
      <c r="AE132" s="107">
        <f t="shared" ca="1" si="22"/>
        <v>0.19618055555232183</v>
      </c>
      <c r="AF132" s="108">
        <f t="shared" ca="1" si="23"/>
        <v>0.52314814813952493</v>
      </c>
      <c r="AG132" s="108">
        <f t="shared" ca="1" si="4"/>
        <v>0.52314814813952493</v>
      </c>
      <c r="AH132" s="61" t="str" cm="1">
        <f t="array" aca="1" ref="AH132" ca="1">IF((AD132) &lt; (INDEX(ResponseSLA[#All],(MATCH((G132),ResponseSLA[Priority],0))+1,3)),"YES","No")</f>
        <v>YES</v>
      </c>
      <c r="AI132" s="61" t="str">
        <f ca="1">_xlfn.IFNA(IF(AE132 &lt; (INDEX(SLATable[Minimum SLA],MATCH(G132,SLATable[Priority],0))),"YES","NO"),"")</f>
        <v>YES</v>
      </c>
      <c r="AJ132" s="61" t="str">
        <f ca="1">_xlfn.IFNA(IF(AE132 &lt; (INDEX(SLATable[Maximum SLA],MATCH(G132,SLATable[Priority],0))),"YES","NO"),"")</f>
        <v>YES</v>
      </c>
    </row>
    <row r="133" spans="1:36" s="60" customFormat="1" ht="15" hidden="1" customHeight="1">
      <c r="A133" s="60">
        <v>132</v>
      </c>
      <c r="B133" s="60" t="s">
        <v>26</v>
      </c>
      <c r="C133" s="60" t="s">
        <v>27</v>
      </c>
      <c r="D133" s="60" t="s">
        <v>207</v>
      </c>
      <c r="E133" s="60" t="s">
        <v>2944</v>
      </c>
      <c r="F133" s="60" t="s">
        <v>318</v>
      </c>
      <c r="G133" s="105">
        <v>3</v>
      </c>
      <c r="H133" s="224" t="s">
        <v>2724</v>
      </c>
      <c r="I133" s="105" t="s">
        <v>271</v>
      </c>
      <c r="J133" s="60" t="s">
        <v>2725</v>
      </c>
      <c r="K133" s="106">
        <v>46155.981689814813</v>
      </c>
      <c r="L133" s="106">
        <v>46155.981689814813</v>
      </c>
      <c r="M133" s="106">
        <v>46156.290752314817</v>
      </c>
      <c r="N133" s="106">
        <v>46156.525555555556</v>
      </c>
      <c r="O133" s="106"/>
      <c r="P133" s="106"/>
      <c r="Q133" s="61" t="s">
        <v>2726</v>
      </c>
      <c r="R133" s="60" t="s">
        <v>272</v>
      </c>
      <c r="S133" s="60" t="s">
        <v>149</v>
      </c>
      <c r="Z133" s="107">
        <f t="shared" ca="1" si="18"/>
        <v>0.1922222222225779</v>
      </c>
      <c r="AA133" s="108">
        <f t="shared" ca="1" si="19"/>
        <v>0.51259259259354106</v>
      </c>
      <c r="AB133" s="107">
        <f t="shared" ca="1" si="20"/>
        <v>0.1922222222225779</v>
      </c>
      <c r="AC133" s="108">
        <f t="shared" ca="1" si="21"/>
        <v>0.51259259259354106</v>
      </c>
      <c r="AD133" s="107">
        <f t="shared" ca="1" si="17"/>
        <v>0</v>
      </c>
      <c r="AE133" s="107">
        <f t="shared" ca="1" si="22"/>
        <v>0.1922222222225779</v>
      </c>
      <c r="AF133" s="108">
        <f t="shared" ca="1" si="23"/>
        <v>0.51259259259354106</v>
      </c>
      <c r="AG133" s="108">
        <f t="shared" ca="1" si="4"/>
        <v>0.51259259259354106</v>
      </c>
      <c r="AH133" s="61" t="str" cm="1">
        <f t="array" aca="1" ref="AH133" ca="1">IF((AD133) &lt; (INDEX(ResponseSLA[#All],(MATCH((G133),ResponseSLA[Priority],0))+1,3)),"YES","No")</f>
        <v>YES</v>
      </c>
      <c r="AI133" s="61" t="str">
        <f ca="1">_xlfn.IFNA(IF(AE133 &lt; (INDEX(SLATable[Minimum SLA],MATCH(G133,SLATable[Priority],0))),"YES","NO"),"")</f>
        <v>YES</v>
      </c>
      <c r="AJ133" s="61" t="str">
        <f ca="1">_xlfn.IFNA(IF(AE133 &lt; (INDEX(SLATable[Maximum SLA],MATCH(G133,SLATable[Priority],0))),"YES","NO"),"")</f>
        <v>YES</v>
      </c>
    </row>
    <row r="134" spans="1:36" s="60" customFormat="1" ht="15" hidden="1" customHeight="1">
      <c r="A134" s="60">
        <v>133</v>
      </c>
      <c r="B134" s="60" t="s">
        <v>26</v>
      </c>
      <c r="C134" s="60" t="s">
        <v>27</v>
      </c>
      <c r="D134" s="60" t="s">
        <v>207</v>
      </c>
      <c r="E134" s="60" t="s">
        <v>2945</v>
      </c>
      <c r="F134" s="60" t="s">
        <v>318</v>
      </c>
      <c r="G134" s="105">
        <v>4</v>
      </c>
      <c r="H134" s="224" t="s">
        <v>2946</v>
      </c>
      <c r="I134" s="105" t="s">
        <v>271</v>
      </c>
      <c r="J134" s="60" t="s">
        <v>2725</v>
      </c>
      <c r="K134" s="106">
        <v>46156.064166666663</v>
      </c>
      <c r="L134" s="106">
        <v>46161.458229166667</v>
      </c>
      <c r="M134" s="106">
        <v>46161.557187500002</v>
      </c>
      <c r="N134" s="106">
        <v>46162.62122685185</v>
      </c>
      <c r="O134" s="106"/>
      <c r="P134" s="106"/>
      <c r="Q134" s="61" t="s">
        <v>2942</v>
      </c>
      <c r="R134" s="60" t="s">
        <v>272</v>
      </c>
      <c r="S134" s="60" t="s">
        <v>187</v>
      </c>
      <c r="Z134" s="107">
        <f t="shared" ca="1" si="18"/>
        <v>1.7878935185168909</v>
      </c>
      <c r="AA134" s="108">
        <f t="shared" ca="1" si="19"/>
        <v>4.7677160493783752</v>
      </c>
      <c r="AB134" s="107">
        <f t="shared" ca="1" si="20"/>
        <v>0.53799768518365454</v>
      </c>
      <c r="AC134" s="108">
        <f t="shared" ca="1" si="21"/>
        <v>1.4346604938230787</v>
      </c>
      <c r="AD134" s="107">
        <f t="shared" ca="1" si="17"/>
        <v>9.8958333335758653E-2</v>
      </c>
      <c r="AE134" s="107">
        <f t="shared" ca="1" si="22"/>
        <v>0.53799768518365454</v>
      </c>
      <c r="AF134" s="108">
        <f t="shared" ca="1" si="23"/>
        <v>1.4346604938230787</v>
      </c>
      <c r="AG134" s="108">
        <f t="shared" ca="1" si="4"/>
        <v>1.4346604938230787</v>
      </c>
      <c r="AH134" s="61" t="str" cm="1">
        <f t="array" aca="1" ref="AH134" ca="1">IF((AD134) &lt; (INDEX(ResponseSLA[#All],(MATCH((G134),ResponseSLA[Priority],0))+1,3)),"YES","No")</f>
        <v>YES</v>
      </c>
      <c r="AI134" s="61" t="str">
        <f ca="1">_xlfn.IFNA(IF(AE134 &lt; (INDEX(SLATable[Minimum SLA],MATCH(G134,SLATable[Priority],0))),"YES","NO"),"")</f>
        <v>YES</v>
      </c>
      <c r="AJ134" s="61" t="str">
        <f ca="1">_xlfn.IFNA(IF(AE134 &lt; (INDEX(SLATable[Maximum SLA],MATCH(G134,SLATable[Priority],0))),"YES","NO"),"")</f>
        <v>YES</v>
      </c>
    </row>
    <row r="135" spans="1:36" s="60" customFormat="1" ht="15" hidden="1" customHeight="1">
      <c r="A135" s="60">
        <v>134</v>
      </c>
      <c r="B135" s="60" t="s">
        <v>26</v>
      </c>
      <c r="C135" s="60" t="s">
        <v>27</v>
      </c>
      <c r="D135" s="60" t="s">
        <v>207</v>
      </c>
      <c r="E135" s="60" t="s">
        <v>2947</v>
      </c>
      <c r="F135" s="60" t="s">
        <v>318</v>
      </c>
      <c r="G135" s="105">
        <v>3</v>
      </c>
      <c r="H135" s="224" t="s">
        <v>2724</v>
      </c>
      <c r="I135" s="105" t="s">
        <v>271</v>
      </c>
      <c r="J135" s="60" t="s">
        <v>2725</v>
      </c>
      <c r="K135" s="106">
        <v>46157.387303240743</v>
      </c>
      <c r="L135" s="106">
        <v>46157.387303240743</v>
      </c>
      <c r="M135" s="106">
        <v>46157.404143518521</v>
      </c>
      <c r="N135" s="106">
        <v>46157.490937499999</v>
      </c>
      <c r="O135" s="106"/>
      <c r="P135" s="106"/>
      <c r="Q135" s="61" t="s">
        <v>2726</v>
      </c>
      <c r="R135" s="60" t="s">
        <v>272</v>
      </c>
      <c r="S135" s="60" t="s">
        <v>149</v>
      </c>
      <c r="Z135" s="107">
        <f t="shared" ca="1" si="18"/>
        <v>0.10363425925606862</v>
      </c>
      <c r="AA135" s="108">
        <f t="shared" ca="1" si="19"/>
        <v>0.27635802468284965</v>
      </c>
      <c r="AB135" s="107">
        <f t="shared" ca="1" si="20"/>
        <v>0.10363425925606862</v>
      </c>
      <c r="AC135" s="108">
        <f t="shared" ca="1" si="21"/>
        <v>0.27635802468284965</v>
      </c>
      <c r="AD135" s="107">
        <f t="shared" ca="1" si="17"/>
        <v>1.6840277778101154E-2</v>
      </c>
      <c r="AE135" s="107">
        <f t="shared" ca="1" si="22"/>
        <v>0.10363425925606862</v>
      </c>
      <c r="AF135" s="108">
        <f t="shared" ca="1" si="23"/>
        <v>0.27635802468284965</v>
      </c>
      <c r="AG135" s="108">
        <f t="shared" ca="1" si="4"/>
        <v>0.27635802468284965</v>
      </c>
      <c r="AH135" s="61" t="str" cm="1">
        <f t="array" aca="1" ref="AH135" ca="1">IF((AD135) &lt; (INDEX(ResponseSLA[#All],(MATCH((G135),ResponseSLA[Priority],0))+1,3)),"YES","No")</f>
        <v>YES</v>
      </c>
      <c r="AI135" s="61" t="str">
        <f ca="1">_xlfn.IFNA(IF(AE135 &lt; (INDEX(SLATable[Minimum SLA],MATCH(G135,SLATable[Priority],0))),"YES","NO"),"")</f>
        <v>YES</v>
      </c>
      <c r="AJ135" s="61" t="str">
        <f ca="1">_xlfn.IFNA(IF(AE135 &lt; (INDEX(SLATable[Maximum SLA],MATCH(G135,SLATable[Priority],0))),"YES","NO"),"")</f>
        <v>YES</v>
      </c>
    </row>
    <row r="136" spans="1:36" s="60" customFormat="1" ht="15" hidden="1" customHeight="1">
      <c r="A136" s="60">
        <v>135</v>
      </c>
      <c r="B136" s="60" t="s">
        <v>26</v>
      </c>
      <c r="C136" s="60" t="s">
        <v>27</v>
      </c>
      <c r="D136" s="60" t="s">
        <v>207</v>
      </c>
      <c r="E136" s="60" t="s">
        <v>2948</v>
      </c>
      <c r="F136" s="60" t="s">
        <v>318</v>
      </c>
      <c r="G136" s="105">
        <v>3</v>
      </c>
      <c r="H136" s="224" t="s">
        <v>2724</v>
      </c>
      <c r="I136" s="105" t="s">
        <v>271</v>
      </c>
      <c r="J136" s="60" t="s">
        <v>2725</v>
      </c>
      <c r="K136" s="106">
        <v>46158.471296296295</v>
      </c>
      <c r="L136" s="106">
        <v>46158.471296296295</v>
      </c>
      <c r="M136" s="106">
        <v>46160.247812499998</v>
      </c>
      <c r="N136" s="106">
        <v>46160.298854166664</v>
      </c>
      <c r="O136" s="106"/>
      <c r="P136" s="106"/>
      <c r="Q136" s="61" t="s">
        <v>2726</v>
      </c>
      <c r="R136" s="60" t="s">
        <v>272</v>
      </c>
      <c r="S136" s="60" t="s">
        <v>149</v>
      </c>
      <c r="Z136" s="107">
        <f t="shared" ca="1" si="18"/>
        <v>0</v>
      </c>
      <c r="AA136" s="108">
        <f t="shared" ca="1" si="19"/>
        <v>0</v>
      </c>
      <c r="AB136" s="107">
        <f t="shared" ca="1" si="20"/>
        <v>0</v>
      </c>
      <c r="AC136" s="108">
        <f t="shared" ca="1" si="21"/>
        <v>0</v>
      </c>
      <c r="AD136" s="107">
        <f t="shared" ca="1" si="17"/>
        <v>0</v>
      </c>
      <c r="AE136" s="107">
        <f t="shared" ca="1" si="22"/>
        <v>0</v>
      </c>
      <c r="AF136" s="108">
        <f t="shared" ca="1" si="23"/>
        <v>0</v>
      </c>
      <c r="AG136" s="108">
        <f t="shared" ca="1" si="4"/>
        <v>0</v>
      </c>
      <c r="AH136" s="61" t="str" cm="1">
        <f t="array" aca="1" ref="AH136" ca="1">IF((AD136) &lt; (INDEX(ResponseSLA[#All],(MATCH((G136),ResponseSLA[Priority],0))+1,3)),"YES","No")</f>
        <v>YES</v>
      </c>
      <c r="AI136" s="61" t="str">
        <f ca="1">_xlfn.IFNA(IF(AE136 &lt; (INDEX(SLATable[Minimum SLA],MATCH(G136,SLATable[Priority],0))),"YES","NO"),"")</f>
        <v>YES</v>
      </c>
      <c r="AJ136" s="61" t="str">
        <f ca="1">_xlfn.IFNA(IF(AE136 &lt; (INDEX(SLATable[Maximum SLA],MATCH(G136,SLATable[Priority],0))),"YES","NO"),"")</f>
        <v>YES</v>
      </c>
    </row>
    <row r="137" spans="1:36" s="60" customFormat="1" ht="15" hidden="1" customHeight="1">
      <c r="A137" s="60">
        <v>136</v>
      </c>
      <c r="B137" s="60" t="s">
        <v>26</v>
      </c>
      <c r="C137" s="60" t="s">
        <v>27</v>
      </c>
      <c r="D137" s="60" t="s">
        <v>207</v>
      </c>
      <c r="E137" s="60" t="s">
        <v>2949</v>
      </c>
      <c r="F137" s="60" t="s">
        <v>318</v>
      </c>
      <c r="G137" s="105">
        <v>3</v>
      </c>
      <c r="H137" s="224" t="s">
        <v>2775</v>
      </c>
      <c r="I137" s="105" t="s">
        <v>271</v>
      </c>
      <c r="J137" s="60" t="s">
        <v>2725</v>
      </c>
      <c r="K137" s="106">
        <v>46158.864259259259</v>
      </c>
      <c r="L137" s="106">
        <v>46158.864259259259</v>
      </c>
      <c r="M137" s="106">
        <v>46160.246157407404</v>
      </c>
      <c r="N137" s="106">
        <v>46160.301759259259</v>
      </c>
      <c r="O137" s="106"/>
      <c r="P137" s="106"/>
      <c r="Q137" s="61" t="s">
        <v>2776</v>
      </c>
      <c r="R137" s="60" t="s">
        <v>272</v>
      </c>
      <c r="S137" s="60" t="s">
        <v>199</v>
      </c>
      <c r="Z137" s="107">
        <f t="shared" ca="1" si="18"/>
        <v>0</v>
      </c>
      <c r="AA137" s="108">
        <f t="shared" ca="1" si="19"/>
        <v>0</v>
      </c>
      <c r="AB137" s="107">
        <f t="shared" ca="1" si="20"/>
        <v>0</v>
      </c>
      <c r="AC137" s="108">
        <f t="shared" ca="1" si="21"/>
        <v>0</v>
      </c>
      <c r="AD137" s="107">
        <f t="shared" ca="1" si="17"/>
        <v>0</v>
      </c>
      <c r="AE137" s="107">
        <f t="shared" ca="1" si="22"/>
        <v>0</v>
      </c>
      <c r="AF137" s="108">
        <f t="shared" ca="1" si="23"/>
        <v>0</v>
      </c>
      <c r="AG137" s="108">
        <f t="shared" ca="1" si="4"/>
        <v>0</v>
      </c>
      <c r="AH137" s="61" t="str" cm="1">
        <f t="array" aca="1" ref="AH137" ca="1">IF((AD137) &lt; (INDEX(ResponseSLA[#All],(MATCH((G137),ResponseSLA[Priority],0))+1,3)),"YES","No")</f>
        <v>YES</v>
      </c>
      <c r="AI137" s="61" t="str">
        <f ca="1">_xlfn.IFNA(IF(AE137 &lt; (INDEX(SLATable[Minimum SLA],MATCH(G137,SLATable[Priority],0))),"YES","NO"),"")</f>
        <v>YES</v>
      </c>
      <c r="AJ137" s="61" t="str">
        <f ca="1">_xlfn.IFNA(IF(AE137 &lt; (INDEX(SLATable[Maximum SLA],MATCH(G137,SLATable[Priority],0))),"YES","NO"),"")</f>
        <v>YES</v>
      </c>
    </row>
    <row r="138" spans="1:36" s="60" customFormat="1" ht="15" hidden="1" customHeight="1">
      <c r="A138" s="60">
        <v>137</v>
      </c>
      <c r="B138" s="60" t="s">
        <v>26</v>
      </c>
      <c r="C138" s="60" t="s">
        <v>27</v>
      </c>
      <c r="D138" s="60" t="s">
        <v>207</v>
      </c>
      <c r="E138" s="60" t="s">
        <v>2950</v>
      </c>
      <c r="F138" s="60" t="s">
        <v>318</v>
      </c>
      <c r="G138" s="105">
        <v>3</v>
      </c>
      <c r="H138" s="224" t="s">
        <v>2724</v>
      </c>
      <c r="I138" s="105" t="s">
        <v>271</v>
      </c>
      <c r="J138" s="60" t="s">
        <v>2725</v>
      </c>
      <c r="K138" s="106">
        <v>46160.853402777779</v>
      </c>
      <c r="L138" s="106">
        <v>46160.853402777779</v>
      </c>
      <c r="M138" s="106">
        <v>46161.256111111114</v>
      </c>
      <c r="N138" s="106">
        <v>46161.340833333335</v>
      </c>
      <c r="O138" s="106"/>
      <c r="P138" s="106"/>
      <c r="Q138" s="61" t="s">
        <v>2726</v>
      </c>
      <c r="R138" s="60" t="s">
        <v>272</v>
      </c>
      <c r="S138" s="60" t="s">
        <v>149</v>
      </c>
      <c r="Z138" s="107">
        <f t="shared" ca="1" si="18"/>
        <v>7.5000000021342439E-3</v>
      </c>
      <c r="AA138" s="108">
        <f t="shared" ca="1" si="19"/>
        <v>2.0000000005691316E-2</v>
      </c>
      <c r="AB138" s="107">
        <f t="shared" ca="1" si="20"/>
        <v>7.5000000021342439E-3</v>
      </c>
      <c r="AC138" s="108">
        <f t="shared" ca="1" si="21"/>
        <v>2.0000000005691316E-2</v>
      </c>
      <c r="AD138" s="107">
        <f t="shared" ca="1" si="17"/>
        <v>0</v>
      </c>
      <c r="AE138" s="107">
        <f t="shared" ca="1" si="22"/>
        <v>7.5000000021342439E-3</v>
      </c>
      <c r="AF138" s="108">
        <f t="shared" ca="1" si="23"/>
        <v>2.0000000005691316E-2</v>
      </c>
      <c r="AG138" s="108">
        <f t="shared" ca="1" si="4"/>
        <v>2.0000000005691316E-2</v>
      </c>
      <c r="AH138" s="61" t="str" cm="1">
        <f t="array" aca="1" ref="AH138" ca="1">IF((AD138) &lt; (INDEX(ResponseSLA[#All],(MATCH((G138),ResponseSLA[Priority],0))+1,3)),"YES","No")</f>
        <v>YES</v>
      </c>
      <c r="AI138" s="61" t="str">
        <f ca="1">_xlfn.IFNA(IF(AE138 &lt; (INDEX(SLATable[Minimum SLA],MATCH(G138,SLATable[Priority],0))),"YES","NO"),"")</f>
        <v>YES</v>
      </c>
      <c r="AJ138" s="61" t="str">
        <f ca="1">_xlfn.IFNA(IF(AE138 &lt; (INDEX(SLATable[Maximum SLA],MATCH(G138,SLATable[Priority],0))),"YES","NO"),"")</f>
        <v>YES</v>
      </c>
    </row>
    <row r="139" spans="1:36" s="60" customFormat="1" ht="15" hidden="1" customHeight="1">
      <c r="A139" s="60">
        <v>138</v>
      </c>
      <c r="B139" s="60" t="s">
        <v>26</v>
      </c>
      <c r="C139" s="60" t="s">
        <v>27</v>
      </c>
      <c r="D139" s="60" t="s">
        <v>207</v>
      </c>
      <c r="E139" s="60" t="s">
        <v>2951</v>
      </c>
      <c r="F139" s="60" t="s">
        <v>318</v>
      </c>
      <c r="G139" s="105">
        <v>3</v>
      </c>
      <c r="H139" s="224" t="s">
        <v>2775</v>
      </c>
      <c r="I139" s="105" t="s">
        <v>271</v>
      </c>
      <c r="J139" s="60" t="s">
        <v>2725</v>
      </c>
      <c r="K139" s="106">
        <v>46160.954479166663</v>
      </c>
      <c r="L139" s="106">
        <v>46160.954479166663</v>
      </c>
      <c r="M139" s="106">
        <v>46161.251793981479</v>
      </c>
      <c r="N139" s="106">
        <v>46161.342604166668</v>
      </c>
      <c r="O139" s="106"/>
      <c r="P139" s="106"/>
      <c r="Q139" s="61" t="s">
        <v>2776</v>
      </c>
      <c r="R139" s="60" t="s">
        <v>272</v>
      </c>
      <c r="S139" s="60" t="s">
        <v>187</v>
      </c>
      <c r="Z139" s="107">
        <f t="shared" ca="1" si="18"/>
        <v>9.2708333346914751E-3</v>
      </c>
      <c r="AA139" s="108">
        <f t="shared" ca="1" si="19"/>
        <v>2.4722222225843932E-2</v>
      </c>
      <c r="AB139" s="107">
        <f t="shared" ca="1" si="20"/>
        <v>9.2708333346914751E-3</v>
      </c>
      <c r="AC139" s="108">
        <f t="shared" ca="1" si="21"/>
        <v>2.4722222225843932E-2</v>
      </c>
      <c r="AD139" s="107">
        <f t="shared" ca="1" si="17"/>
        <v>0</v>
      </c>
      <c r="AE139" s="107">
        <f t="shared" ca="1" si="22"/>
        <v>9.2708333346914751E-3</v>
      </c>
      <c r="AF139" s="108">
        <f t="shared" ca="1" si="23"/>
        <v>2.4722222225843932E-2</v>
      </c>
      <c r="AG139" s="108">
        <f t="shared" ca="1" si="4"/>
        <v>2.4722222225843932E-2</v>
      </c>
      <c r="AH139" s="61" t="str" cm="1">
        <f t="array" aca="1" ref="AH139" ca="1">IF((AD139) &lt; (INDEX(ResponseSLA[#All],(MATCH((G139),ResponseSLA[Priority],0))+1,3)),"YES","No")</f>
        <v>YES</v>
      </c>
      <c r="AI139" s="61" t="str">
        <f ca="1">_xlfn.IFNA(IF(AE139 &lt; (INDEX(SLATable[Minimum SLA],MATCH(G139,SLATable[Priority],0))),"YES","NO"),"")</f>
        <v>YES</v>
      </c>
      <c r="AJ139" s="61" t="str">
        <f ca="1">_xlfn.IFNA(IF(AE139 &lt; (INDEX(SLATable[Maximum SLA],MATCH(G139,SLATable[Priority],0))),"YES","NO"),"")</f>
        <v>YES</v>
      </c>
    </row>
    <row r="140" spans="1:36" s="60" customFormat="1" ht="15" hidden="1" customHeight="1">
      <c r="A140" s="60">
        <v>139</v>
      </c>
      <c r="B140" s="60" t="s">
        <v>26</v>
      </c>
      <c r="C140" s="60" t="s">
        <v>27</v>
      </c>
      <c r="D140" s="60" t="s">
        <v>207</v>
      </c>
      <c r="E140" s="60" t="s">
        <v>2952</v>
      </c>
      <c r="F140" s="60" t="s">
        <v>318</v>
      </c>
      <c r="G140" s="105">
        <v>3</v>
      </c>
      <c r="H140" s="224" t="s">
        <v>2724</v>
      </c>
      <c r="I140" s="105" t="s">
        <v>271</v>
      </c>
      <c r="J140" s="60" t="s">
        <v>2725</v>
      </c>
      <c r="K140" s="106">
        <v>46161.654490740744</v>
      </c>
      <c r="L140" s="106">
        <v>46161.654490740744</v>
      </c>
      <c r="M140" s="106">
        <v>46162.230590277781</v>
      </c>
      <c r="N140" s="106">
        <v>46162.633553240739</v>
      </c>
      <c r="O140" s="106"/>
      <c r="P140" s="106"/>
      <c r="Q140" s="61" t="s">
        <v>2726</v>
      </c>
      <c r="R140" s="60" t="s">
        <v>272</v>
      </c>
      <c r="S140" s="60" t="s">
        <v>149</v>
      </c>
      <c r="Z140" s="107">
        <f t="shared" ca="1" si="18"/>
        <v>0.35406249999505235</v>
      </c>
      <c r="AA140" s="108">
        <f t="shared" ca="1" si="19"/>
        <v>0.94416666665347293</v>
      </c>
      <c r="AB140" s="107">
        <f t="shared" ca="1" si="20"/>
        <v>0.35406249999505235</v>
      </c>
      <c r="AC140" s="108">
        <f t="shared" ca="1" si="21"/>
        <v>0.94416666665347293</v>
      </c>
      <c r="AD140" s="107">
        <f t="shared" ca="1" si="17"/>
        <v>5.3842592589110949E-2</v>
      </c>
      <c r="AE140" s="107">
        <f t="shared" ca="1" si="22"/>
        <v>0.35406249999505235</v>
      </c>
      <c r="AF140" s="108">
        <f t="shared" ca="1" si="23"/>
        <v>0.94416666665347293</v>
      </c>
      <c r="AG140" s="108">
        <f t="shared" ca="1" si="4"/>
        <v>0.94416666665347293</v>
      </c>
      <c r="AH140" s="61" t="str" cm="1">
        <f t="array" aca="1" ref="AH140" ca="1">IF((AD140) &lt; (INDEX(ResponseSLA[#All],(MATCH((G140),ResponseSLA[Priority],0))+1,3)),"YES","No")</f>
        <v>YES</v>
      </c>
      <c r="AI140" s="61" t="str">
        <f ca="1">_xlfn.IFNA(IF(AE140 &lt; (INDEX(SLATable[Minimum SLA],MATCH(G140,SLATable[Priority],0))),"YES","NO"),"")</f>
        <v>YES</v>
      </c>
      <c r="AJ140" s="61" t="str">
        <f ca="1">_xlfn.IFNA(IF(AE140 &lt; (INDEX(SLATable[Maximum SLA],MATCH(G140,SLATable[Priority],0))),"YES","NO"),"")</f>
        <v>YES</v>
      </c>
    </row>
    <row r="141" spans="1:36" s="60" customFormat="1" ht="15" hidden="1" customHeight="1">
      <c r="A141" s="60">
        <v>140</v>
      </c>
      <c r="B141" s="60" t="s">
        <v>26</v>
      </c>
      <c r="C141" s="60" t="s">
        <v>27</v>
      </c>
      <c r="D141" s="60" t="s">
        <v>207</v>
      </c>
      <c r="E141" s="60" t="s">
        <v>2953</v>
      </c>
      <c r="F141" s="60" t="s">
        <v>318</v>
      </c>
      <c r="G141" s="105">
        <v>3</v>
      </c>
      <c r="H141" s="212" t="s">
        <v>2724</v>
      </c>
      <c r="I141" s="105" t="s">
        <v>271</v>
      </c>
      <c r="J141" s="60" t="s">
        <v>2954</v>
      </c>
      <c r="K141" s="106">
        <v>46154.406168981484</v>
      </c>
      <c r="L141" s="106">
        <v>46154.561342592591</v>
      </c>
      <c r="M141" s="106">
        <v>46154.561342592591</v>
      </c>
      <c r="N141" s="106">
        <v>46160.634722222225</v>
      </c>
      <c r="O141" s="106"/>
      <c r="P141" s="106"/>
      <c r="Z141" s="107">
        <f t="shared" ca="1" si="18"/>
        <v>1.7285532407404389</v>
      </c>
      <c r="AA141" s="108">
        <f t="shared" ca="1" si="19"/>
        <v>4.6094753086411702</v>
      </c>
      <c r="AB141" s="107">
        <f t="shared" ca="1" si="20"/>
        <v>1.573379629633564</v>
      </c>
      <c r="AC141" s="108">
        <f t="shared" ca="1" si="21"/>
        <v>4.1956790123561705</v>
      </c>
      <c r="AD141" s="107">
        <f t="shared" ca="1" si="17"/>
        <v>0</v>
      </c>
      <c r="AE141" s="107">
        <f t="shared" ca="1" si="22"/>
        <v>1.573379629633564</v>
      </c>
      <c r="AF141" s="108">
        <f t="shared" ca="1" si="23"/>
        <v>4.1956790123561705</v>
      </c>
      <c r="AG141" s="108">
        <f t="shared" ca="1" si="4"/>
        <v>4.1956790123561705</v>
      </c>
      <c r="AH141" s="61" t="str" cm="1">
        <f t="array" aca="1" ref="AH141" ca="1">IF((AD141) &lt; (INDEX(ResponseSLA[#All],(MATCH((G141),ResponseSLA[Priority],0))+1,3)),"YES","No")</f>
        <v>YES</v>
      </c>
      <c r="AI141" s="61" t="str">
        <f ca="1">_xlfn.IFNA(IF(AE141 &lt; (INDEX(SLATable[Minimum SLA],MATCH(G141,SLATable[Priority],0))),"YES","NO"),"")</f>
        <v>NO</v>
      </c>
      <c r="AJ141" s="61" t="str">
        <f ca="1">_xlfn.IFNA(IF(AE141 &lt; (INDEX(SLATable[Maximum SLA],MATCH(G141,SLATable[Priority],0))),"YES","NO"),"")</f>
        <v>YES</v>
      </c>
    </row>
    <row r="142" spans="1:36" s="60" customFormat="1" ht="15" hidden="1" customHeight="1">
      <c r="A142" s="60">
        <v>141</v>
      </c>
      <c r="B142" s="60" t="s">
        <v>26</v>
      </c>
      <c r="C142" s="60" t="s">
        <v>27</v>
      </c>
      <c r="D142" s="60" t="s">
        <v>207</v>
      </c>
      <c r="E142" s="60" t="s">
        <v>2955</v>
      </c>
      <c r="F142" s="60" t="s">
        <v>318</v>
      </c>
      <c r="G142" s="105">
        <v>3</v>
      </c>
      <c r="H142" s="212" t="s">
        <v>2724</v>
      </c>
      <c r="I142" s="105" t="s">
        <v>271</v>
      </c>
      <c r="J142" s="60" t="s">
        <v>2954</v>
      </c>
      <c r="K142" s="106">
        <v>46151.188634259262</v>
      </c>
      <c r="L142" s="106">
        <v>46151.188703703701</v>
      </c>
      <c r="M142" s="106">
        <v>46153.262858796297</v>
      </c>
      <c r="N142" s="106">
        <v>46157.426585648151</v>
      </c>
      <c r="O142" s="106"/>
      <c r="P142" s="106"/>
      <c r="Z142" s="107">
        <f t="shared" ca="1" si="18"/>
        <v>1.5932523148173159</v>
      </c>
      <c r="AA142" s="108">
        <f t="shared" ca="1" si="19"/>
        <v>4.2486728395128424</v>
      </c>
      <c r="AB142" s="107">
        <f t="shared" ca="1" si="20"/>
        <v>1.5932523148173159</v>
      </c>
      <c r="AC142" s="108">
        <f t="shared" ca="1" si="21"/>
        <v>4.2486728395128424</v>
      </c>
      <c r="AD142" s="107">
        <f t="shared" ca="1" si="17"/>
        <v>0</v>
      </c>
      <c r="AE142" s="107">
        <f t="shared" ca="1" si="22"/>
        <v>1.5932523148173159</v>
      </c>
      <c r="AF142" s="108">
        <f t="shared" ca="1" si="23"/>
        <v>4.2486728395128424</v>
      </c>
      <c r="AG142" s="108">
        <f t="shared" ca="1" si="4"/>
        <v>4.2486728395128424</v>
      </c>
      <c r="AH142" s="61" t="str" cm="1">
        <f t="array" aca="1" ref="AH142" ca="1">IF((AD142) &lt; (INDEX(ResponseSLA[#All],(MATCH((G142),ResponseSLA[Priority],0))+1,3)),"YES","No")</f>
        <v>YES</v>
      </c>
      <c r="AI142" s="61" t="str">
        <f ca="1">_xlfn.IFNA(IF(AE142 &lt; (INDEX(SLATable[Minimum SLA],MATCH(G142,SLATable[Priority],0))),"YES","NO"),"")</f>
        <v>NO</v>
      </c>
      <c r="AJ142" s="61" t="str">
        <f ca="1">_xlfn.IFNA(IF(AE142 &lt; (INDEX(SLATable[Maximum SLA],MATCH(G142,SLATable[Priority],0))),"YES","NO"),"")</f>
        <v>YES</v>
      </c>
    </row>
    <row r="143" spans="1:36" s="60" customFormat="1" ht="15" hidden="1" customHeight="1">
      <c r="A143" s="60">
        <v>142</v>
      </c>
      <c r="B143" s="60" t="s">
        <v>26</v>
      </c>
      <c r="C143" s="60" t="s">
        <v>27</v>
      </c>
      <c r="D143" s="60" t="s">
        <v>207</v>
      </c>
      <c r="E143" s="60" t="s">
        <v>2956</v>
      </c>
      <c r="F143" s="60" t="s">
        <v>318</v>
      </c>
      <c r="G143" s="105">
        <v>3</v>
      </c>
      <c r="H143" s="212" t="s">
        <v>2775</v>
      </c>
      <c r="I143" s="105" t="s">
        <v>271</v>
      </c>
      <c r="J143" s="60" t="s">
        <v>2954</v>
      </c>
      <c r="K143" s="106">
        <v>46149.203935185185</v>
      </c>
      <c r="L143" s="106">
        <v>46149.236145833333</v>
      </c>
      <c r="M143" s="106">
        <v>46149.236145833333</v>
      </c>
      <c r="N143" s="106">
        <v>46153.551377314812</v>
      </c>
      <c r="O143" s="106"/>
      <c r="P143" s="106"/>
      <c r="Z143" s="107">
        <f t="shared" ca="1" si="18"/>
        <v>0.96804398147893767</v>
      </c>
      <c r="AA143" s="108">
        <f t="shared" ca="1" si="19"/>
        <v>2.581450617277167</v>
      </c>
      <c r="AB143" s="107">
        <f t="shared" ca="1" si="20"/>
        <v>0.96804398147893767</v>
      </c>
      <c r="AC143" s="108">
        <f t="shared" ca="1" si="21"/>
        <v>2.581450617277167</v>
      </c>
      <c r="AD143" s="107">
        <f t="shared" ca="1" si="17"/>
        <v>0</v>
      </c>
      <c r="AE143" s="107">
        <f t="shared" ca="1" si="22"/>
        <v>0.96804398147893767</v>
      </c>
      <c r="AF143" s="108">
        <f t="shared" ca="1" si="23"/>
        <v>2.581450617277167</v>
      </c>
      <c r="AG143" s="108">
        <f t="shared" ca="1" si="4"/>
        <v>2.581450617277167</v>
      </c>
      <c r="AH143" s="61" t="str" cm="1">
        <f t="array" aca="1" ref="AH143" ca="1">IF((AD143) &lt; (INDEX(ResponseSLA[#All],(MATCH((G143),ResponseSLA[Priority],0))+1,3)),"YES","No")</f>
        <v>YES</v>
      </c>
      <c r="AI143" s="61" t="str">
        <f ca="1">_xlfn.IFNA(IF(AE143 &lt; (INDEX(SLATable[Minimum SLA],MATCH(G143,SLATable[Priority],0))),"YES","NO"),"")</f>
        <v>NO</v>
      </c>
      <c r="AJ143" s="61" t="str">
        <f ca="1">_xlfn.IFNA(IF(AE143 &lt; (INDEX(SLATable[Maximum SLA],MATCH(G143,SLATable[Priority],0))),"YES","NO"),"")</f>
        <v>YES</v>
      </c>
    </row>
    <row r="144" spans="1:36" s="60" customFormat="1" ht="15" hidden="1" customHeight="1">
      <c r="A144" s="60">
        <v>143</v>
      </c>
      <c r="B144" s="60" t="s">
        <v>26</v>
      </c>
      <c r="C144" s="60" t="s">
        <v>27</v>
      </c>
      <c r="D144" s="60" t="s">
        <v>207</v>
      </c>
      <c r="E144" s="60" t="s">
        <v>2957</v>
      </c>
      <c r="F144" s="60" t="s">
        <v>318</v>
      </c>
      <c r="G144" s="105">
        <v>4</v>
      </c>
      <c r="H144" s="212" t="s">
        <v>2958</v>
      </c>
      <c r="I144" s="105" t="s">
        <v>271</v>
      </c>
      <c r="J144" s="60" t="s">
        <v>2954</v>
      </c>
      <c r="K144" s="106">
        <v>46150.201805555553</v>
      </c>
      <c r="L144" s="106">
        <v>46150.202476851853</v>
      </c>
      <c r="M144" s="106">
        <v>46150.214189814818</v>
      </c>
      <c r="N144" s="106">
        <v>46153.551527777781</v>
      </c>
      <c r="O144" s="106"/>
      <c r="P144" s="106"/>
      <c r="Z144" s="107">
        <f t="shared" ca="1" si="18"/>
        <v>0.59319444444796932</v>
      </c>
      <c r="AA144" s="108">
        <f t="shared" ca="1" si="19"/>
        <v>1.5818518518612514</v>
      </c>
      <c r="AB144" s="107">
        <f t="shared" ca="1" si="20"/>
        <v>0.59319444444796932</v>
      </c>
      <c r="AC144" s="108">
        <f t="shared" ca="1" si="21"/>
        <v>1.5818518518612514</v>
      </c>
      <c r="AD144" s="107">
        <f t="shared" ca="1" si="17"/>
        <v>0</v>
      </c>
      <c r="AE144" s="107">
        <f t="shared" ca="1" si="22"/>
        <v>0.59319444444796932</v>
      </c>
      <c r="AF144" s="108">
        <f t="shared" ca="1" si="23"/>
        <v>1.5818518518612514</v>
      </c>
      <c r="AG144" s="108">
        <f t="shared" ca="1" si="4"/>
        <v>1.5818518518612514</v>
      </c>
      <c r="AH144" s="61" t="str" cm="1">
        <f t="array" aca="1" ref="AH144" ca="1">IF((AD144) &lt; (INDEX(ResponseSLA[#All],(MATCH((G144),ResponseSLA[Priority],0))+1,3)),"YES","No")</f>
        <v>YES</v>
      </c>
      <c r="AI144" s="61" t="str">
        <f ca="1">_xlfn.IFNA(IF(AE144 &lt; (INDEX(SLATable[Minimum SLA],MATCH(G144,SLATable[Priority],0))),"YES","NO"),"")</f>
        <v>YES</v>
      </c>
      <c r="AJ144" s="61" t="str">
        <f ca="1">_xlfn.IFNA(IF(AE144 &lt; (INDEX(SLATable[Maximum SLA],MATCH(G144,SLATable[Priority],0))),"YES","NO"),"")</f>
        <v>YES</v>
      </c>
    </row>
    <row r="145" spans="1:36" s="60" customFormat="1" ht="15" hidden="1" customHeight="1">
      <c r="A145" s="60">
        <v>144</v>
      </c>
      <c r="B145" s="60" t="s">
        <v>26</v>
      </c>
      <c r="C145" s="60" t="s">
        <v>27</v>
      </c>
      <c r="D145" s="60" t="s">
        <v>207</v>
      </c>
      <c r="E145" s="60" t="s">
        <v>2959</v>
      </c>
      <c r="F145" s="60" t="s">
        <v>318</v>
      </c>
      <c r="G145" s="105">
        <v>3</v>
      </c>
      <c r="H145" s="212" t="s">
        <v>2960</v>
      </c>
      <c r="I145" s="105" t="s">
        <v>271</v>
      </c>
      <c r="J145" s="60" t="s">
        <v>2772</v>
      </c>
      <c r="K145" s="106">
        <v>46106.193078703705</v>
      </c>
      <c r="L145" s="106">
        <v>46153.757256944446</v>
      </c>
      <c r="M145" s="106">
        <v>46154.407025462962</v>
      </c>
      <c r="N145" s="106">
        <v>46162.750138888892</v>
      </c>
      <c r="O145" s="106">
        <v>46155.249895833331</v>
      </c>
      <c r="P145" s="106">
        <v>46162.750138888892</v>
      </c>
      <c r="Q145" s="60" t="s">
        <v>2798</v>
      </c>
      <c r="R145" s="60" t="s">
        <v>272</v>
      </c>
      <c r="S145" s="60" t="s">
        <v>165</v>
      </c>
      <c r="T145" s="60" t="s">
        <v>304</v>
      </c>
      <c r="U145" s="60" t="s">
        <v>371</v>
      </c>
      <c r="Z145" s="107">
        <f t="shared" ca="1" si="18"/>
        <v>11.625000000000002</v>
      </c>
      <c r="AA145" s="108">
        <f t="shared" ca="1" si="19"/>
        <v>31.000000000000007</v>
      </c>
      <c r="AB145" s="107">
        <f t="shared" ca="1" si="20"/>
        <v>0.37500000000000044</v>
      </c>
      <c r="AC145" s="108">
        <f t="shared" ca="1" si="21"/>
        <v>1.0000000000000011</v>
      </c>
      <c r="AD145" s="107">
        <f t="shared" ca="1" si="17"/>
        <v>7.3692129629004455E-2</v>
      </c>
      <c r="AE145" s="107">
        <f t="shared" ca="1" si="22"/>
        <v>0.37500000000000044</v>
      </c>
      <c r="AF145" s="108">
        <f t="shared" ca="1" si="23"/>
        <v>1.0000000000000011</v>
      </c>
      <c r="AG145" s="108">
        <f t="shared" ca="1" si="4"/>
        <v>1.0000000000000011</v>
      </c>
      <c r="AH145" s="61" t="str" cm="1">
        <f t="array" aca="1" ref="AH145" ca="1">IF((AD145) &lt; (INDEX(ResponseSLA[#All],(MATCH((G145),ResponseSLA[Priority],0))+1,3)),"YES","No")</f>
        <v>YES</v>
      </c>
      <c r="AI145" s="61" t="str">
        <f ca="1">_xlfn.IFNA(IF(AE145 &lt; (INDEX(SLATable[Minimum SLA],MATCH(G145,SLATable[Priority],0))),"YES","NO"),"")</f>
        <v>NO</v>
      </c>
      <c r="AJ145" s="61" t="str">
        <f ca="1">_xlfn.IFNA(IF(AE145 &lt; (INDEX(SLATable[Maximum SLA],MATCH(G145,SLATable[Priority],0))),"YES","NO"),"")</f>
        <v>YES</v>
      </c>
    </row>
    <row r="146" spans="1:36" s="60" customFormat="1" ht="15" hidden="1" customHeight="1">
      <c r="A146" s="60">
        <v>145</v>
      </c>
      <c r="B146" s="60" t="s">
        <v>26</v>
      </c>
      <c r="C146" s="60" t="s">
        <v>27</v>
      </c>
      <c r="D146" s="60" t="s">
        <v>207</v>
      </c>
      <c r="E146" s="60" t="s">
        <v>2961</v>
      </c>
      <c r="F146" s="60" t="s">
        <v>318</v>
      </c>
      <c r="G146" s="105">
        <v>3</v>
      </c>
      <c r="H146" s="212" t="s">
        <v>2724</v>
      </c>
      <c r="I146" s="105" t="s">
        <v>271</v>
      </c>
      <c r="J146" s="60" t="s">
        <v>2772</v>
      </c>
      <c r="K146" s="106">
        <v>46157.562824074077</v>
      </c>
      <c r="L146" s="106">
        <v>46157.562916666669</v>
      </c>
      <c r="M146" s="106">
        <v>46157.621319444443</v>
      </c>
      <c r="N146" s="106">
        <v>46160.378310185188</v>
      </c>
      <c r="O146" s="106"/>
      <c r="P146" s="106"/>
      <c r="Q146" s="60" t="s">
        <v>2726</v>
      </c>
      <c r="R146" s="60" t="s">
        <v>272</v>
      </c>
      <c r="S146" s="60" t="s">
        <v>149</v>
      </c>
      <c r="T146" s="60" t="s">
        <v>2773</v>
      </c>
      <c r="U146" s="60" t="s">
        <v>371</v>
      </c>
      <c r="Z146" s="107">
        <f t="shared" ca="1" si="18"/>
        <v>0.19048611111065838</v>
      </c>
      <c r="AA146" s="108">
        <f t="shared" ca="1" si="19"/>
        <v>0.50796296296175569</v>
      </c>
      <c r="AB146" s="107">
        <f t="shared" ca="1" si="20"/>
        <v>0.19039351851824904</v>
      </c>
      <c r="AC146" s="108">
        <f t="shared" ca="1" si="21"/>
        <v>0.50771604938199744</v>
      </c>
      <c r="AD146" s="107">
        <f t="shared" ca="1" si="17"/>
        <v>5.8402777773153502E-2</v>
      </c>
      <c r="AE146" s="107">
        <f t="shared" ca="1" si="22"/>
        <v>0.19039351851824904</v>
      </c>
      <c r="AF146" s="108">
        <f t="shared" ca="1" si="23"/>
        <v>0.50771604938199744</v>
      </c>
      <c r="AG146" s="108">
        <f t="shared" ca="1" si="4"/>
        <v>0.50771604938199744</v>
      </c>
      <c r="AH146" s="61" t="str" cm="1">
        <f t="array" aca="1" ref="AH146" ca="1">IF((AD146) &lt; (INDEX(ResponseSLA[#All],(MATCH((G146),ResponseSLA[Priority],0))+1,3)),"YES","No")</f>
        <v>YES</v>
      </c>
      <c r="AI146" s="61" t="str">
        <f ca="1">_xlfn.IFNA(IF(AE146 &lt; (INDEX(SLATable[Minimum SLA],MATCH(G146,SLATable[Priority],0))),"YES","NO"),"")</f>
        <v>YES</v>
      </c>
      <c r="AJ146" s="61" t="str">
        <f ca="1">_xlfn.IFNA(IF(AE146 &lt; (INDEX(SLATable[Maximum SLA],MATCH(G146,SLATable[Priority],0))),"YES","NO"),"")</f>
        <v>YES</v>
      </c>
    </row>
    <row r="147" spans="1:36" s="60" customFormat="1" ht="15" hidden="1" customHeight="1">
      <c r="A147" s="60">
        <v>146</v>
      </c>
      <c r="B147" s="60" t="s">
        <v>26</v>
      </c>
      <c r="C147" s="60" t="s">
        <v>27</v>
      </c>
      <c r="D147" s="60" t="s">
        <v>207</v>
      </c>
      <c r="E147" s="60" t="s">
        <v>2962</v>
      </c>
      <c r="F147" s="60" t="s">
        <v>318</v>
      </c>
      <c r="G147" s="105">
        <v>3</v>
      </c>
      <c r="H147" s="212" t="s">
        <v>2775</v>
      </c>
      <c r="I147" s="105" t="s">
        <v>271</v>
      </c>
      <c r="J147" s="60" t="s">
        <v>2772</v>
      </c>
      <c r="K147" s="106">
        <v>46158.946458333332</v>
      </c>
      <c r="L147" s="106">
        <v>46158.946574074071</v>
      </c>
      <c r="M147" s="106">
        <v>46160.24726851852</v>
      </c>
      <c r="N147" s="106">
        <v>46160.377245370371</v>
      </c>
      <c r="O147" s="106"/>
      <c r="P147" s="106"/>
      <c r="Q147" s="60" t="s">
        <v>2776</v>
      </c>
      <c r="R147" s="60" t="s">
        <v>272</v>
      </c>
      <c r="S147" s="60" t="s">
        <v>149</v>
      </c>
      <c r="T147" s="60" t="s">
        <v>2773</v>
      </c>
      <c r="U147" s="60" t="s">
        <v>371</v>
      </c>
      <c r="Z147" s="107">
        <f t="shared" ca="1" si="18"/>
        <v>4.39120370380503E-2</v>
      </c>
      <c r="AA147" s="108">
        <f t="shared" ca="1" si="19"/>
        <v>0.1170987654348008</v>
      </c>
      <c r="AB147" s="107">
        <f t="shared" ca="1" si="20"/>
        <v>4.39120370380503E-2</v>
      </c>
      <c r="AC147" s="108">
        <f t="shared" ca="1" si="21"/>
        <v>0.1170987654348008</v>
      </c>
      <c r="AD147" s="107">
        <f t="shared" ca="1" si="17"/>
        <v>0</v>
      </c>
      <c r="AE147" s="107">
        <f t="shared" ca="1" si="22"/>
        <v>4.39120370380503E-2</v>
      </c>
      <c r="AF147" s="108">
        <f t="shared" ca="1" si="23"/>
        <v>0.1170987654348008</v>
      </c>
      <c r="AG147" s="108">
        <f t="shared" ca="1" si="4"/>
        <v>0.1170987654348008</v>
      </c>
      <c r="AH147" s="61" t="str" cm="1">
        <f t="array" aca="1" ref="AH147" ca="1">IF((AD147) &lt; (INDEX(ResponseSLA[#All],(MATCH((G147),ResponseSLA[Priority],0))+1,3)),"YES","No")</f>
        <v>YES</v>
      </c>
      <c r="AI147" s="61" t="str">
        <f ca="1">_xlfn.IFNA(IF(AE147 &lt; (INDEX(SLATable[Minimum SLA],MATCH(G147,SLATable[Priority],0))),"YES","NO"),"")</f>
        <v>YES</v>
      </c>
      <c r="AJ147" s="61" t="str">
        <f ca="1">_xlfn.IFNA(IF(AE147 &lt; (INDEX(SLATable[Maximum SLA],MATCH(G147,SLATable[Priority],0))),"YES","NO"),"")</f>
        <v>YES</v>
      </c>
    </row>
    <row r="148" spans="1:36" s="60" customFormat="1" ht="15" hidden="1" customHeight="1">
      <c r="A148" s="60">
        <v>147</v>
      </c>
      <c r="B148" s="60" t="s">
        <v>26</v>
      </c>
      <c r="C148" s="60" t="s">
        <v>27</v>
      </c>
      <c r="D148" s="60" t="s">
        <v>207</v>
      </c>
      <c r="E148" s="60" t="s">
        <v>2963</v>
      </c>
      <c r="F148" s="60" t="s">
        <v>318</v>
      </c>
      <c r="G148" s="105">
        <v>3</v>
      </c>
      <c r="H148" s="212" t="s">
        <v>2724</v>
      </c>
      <c r="I148" s="105" t="s">
        <v>271</v>
      </c>
      <c r="J148" s="60" t="s">
        <v>2772</v>
      </c>
      <c r="K148" s="106">
        <v>46158.380439814813</v>
      </c>
      <c r="L148" s="106">
        <v>46158.380520833336</v>
      </c>
      <c r="M148" s="106">
        <v>46160.248888888891</v>
      </c>
      <c r="N148" s="106">
        <v>46160.370289351849</v>
      </c>
      <c r="O148" s="106"/>
      <c r="P148" s="106"/>
      <c r="Q148" s="60" t="s">
        <v>2726</v>
      </c>
      <c r="R148" s="60" t="s">
        <v>272</v>
      </c>
      <c r="S148" s="60" t="s">
        <v>149</v>
      </c>
      <c r="T148" s="60" t="s">
        <v>2773</v>
      </c>
      <c r="U148" s="60" t="s">
        <v>371</v>
      </c>
      <c r="Z148" s="107">
        <f t="shared" ca="1" si="18"/>
        <v>3.6956018516017763E-2</v>
      </c>
      <c r="AA148" s="108">
        <f t="shared" ca="1" si="19"/>
        <v>9.8549382709380698E-2</v>
      </c>
      <c r="AB148" s="107">
        <f t="shared" ca="1" si="20"/>
        <v>3.6956018516017763E-2</v>
      </c>
      <c r="AC148" s="108">
        <f t="shared" ca="1" si="21"/>
        <v>9.8549382709380698E-2</v>
      </c>
      <c r="AD148" s="107">
        <f t="shared" ca="1" si="17"/>
        <v>0</v>
      </c>
      <c r="AE148" s="107">
        <f t="shared" ca="1" si="22"/>
        <v>3.6956018516017763E-2</v>
      </c>
      <c r="AF148" s="108">
        <f t="shared" ca="1" si="23"/>
        <v>9.8549382709380698E-2</v>
      </c>
      <c r="AG148" s="108">
        <f t="shared" ca="1" si="4"/>
        <v>9.8549382709380698E-2</v>
      </c>
      <c r="AH148" s="61" t="str" cm="1">
        <f t="array" aca="1" ref="AH148" ca="1">IF((AD148) &lt; (INDEX(ResponseSLA[#All],(MATCH((G148),ResponseSLA[Priority],0))+1,3)),"YES","No")</f>
        <v>YES</v>
      </c>
      <c r="AI148" s="61" t="str">
        <f ca="1">_xlfn.IFNA(IF(AE148 &lt; (INDEX(SLATable[Minimum SLA],MATCH(G148,SLATable[Priority],0))),"YES","NO"),"")</f>
        <v>YES</v>
      </c>
      <c r="AJ148" s="61" t="str">
        <f ca="1">_xlfn.IFNA(IF(AE148 &lt; (INDEX(SLATable[Maximum SLA],MATCH(G148,SLATable[Priority],0))),"YES","NO"),"")</f>
        <v>YES</v>
      </c>
    </row>
    <row r="149" spans="1:36" s="60" customFormat="1" ht="15" hidden="1" customHeight="1">
      <c r="A149" s="60">
        <v>148</v>
      </c>
      <c r="B149" s="60" t="s">
        <v>26</v>
      </c>
      <c r="C149" s="60" t="s">
        <v>27</v>
      </c>
      <c r="D149" s="60" t="s">
        <v>207</v>
      </c>
      <c r="E149" s="60" t="s">
        <v>2964</v>
      </c>
      <c r="F149" s="60" t="s">
        <v>318</v>
      </c>
      <c r="G149" s="105">
        <v>4</v>
      </c>
      <c r="H149" s="212" t="s">
        <v>2965</v>
      </c>
      <c r="I149" s="105" t="s">
        <v>271</v>
      </c>
      <c r="J149" s="60" t="s">
        <v>2772</v>
      </c>
      <c r="K149" s="106">
        <v>46153.021770833337</v>
      </c>
      <c r="L149" s="106">
        <v>46153.388657407406</v>
      </c>
      <c r="M149" s="106">
        <v>46153.408958333333</v>
      </c>
      <c r="N149" s="106">
        <v>46157.488726851851</v>
      </c>
      <c r="O149" s="106"/>
      <c r="P149" s="106"/>
      <c r="Q149" s="60" t="s">
        <v>2966</v>
      </c>
      <c r="R149" s="60" t="s">
        <v>272</v>
      </c>
      <c r="S149" s="60" t="s">
        <v>157</v>
      </c>
      <c r="T149" s="60" t="s">
        <v>1519</v>
      </c>
      <c r="U149" s="60" t="s">
        <v>371</v>
      </c>
      <c r="Z149" s="107">
        <f t="shared" ca="1" si="18"/>
        <v>1.6553935185171822</v>
      </c>
      <c r="AA149" s="108">
        <f t="shared" ca="1" si="19"/>
        <v>4.4143827160458189</v>
      </c>
      <c r="AB149" s="107">
        <f t="shared" ca="1" si="20"/>
        <v>1.600069444444671</v>
      </c>
      <c r="AC149" s="108">
        <f t="shared" ca="1" si="21"/>
        <v>4.2668518518524561</v>
      </c>
      <c r="AD149" s="107">
        <f t="shared" ca="1" si="17"/>
        <v>2.0300925927585922E-2</v>
      </c>
      <c r="AE149" s="107">
        <f t="shared" ca="1" si="22"/>
        <v>1.600069444444671</v>
      </c>
      <c r="AF149" s="108">
        <f t="shared" ca="1" si="23"/>
        <v>4.2668518518524561</v>
      </c>
      <c r="AG149" s="108">
        <f t="shared" ca="1" si="4"/>
        <v>4.2668518518524561</v>
      </c>
      <c r="AH149" s="61" t="str" cm="1">
        <f t="array" aca="1" ref="AH149" ca="1">IF((AD149) &lt; (INDEX(ResponseSLA[#All],(MATCH((G149),ResponseSLA[Priority],0))+1,3)),"YES","No")</f>
        <v>YES</v>
      </c>
      <c r="AI149" s="61" t="str">
        <f ca="1">_xlfn.IFNA(IF(AE149 &lt; (INDEX(SLATable[Minimum SLA],MATCH(G149,SLATable[Priority],0))),"YES","NO"),"")</f>
        <v>YES</v>
      </c>
      <c r="AJ149" s="61" t="str">
        <f ca="1">_xlfn.IFNA(IF(AE149 &lt; (INDEX(SLATable[Maximum SLA],MATCH(G149,SLATable[Priority],0))),"YES","NO"),"")</f>
        <v>YES</v>
      </c>
    </row>
    <row r="150" spans="1:36" s="60" customFormat="1" ht="15" hidden="1" customHeight="1">
      <c r="A150" s="60">
        <v>149</v>
      </c>
      <c r="B150" s="60" t="s">
        <v>26</v>
      </c>
      <c r="C150" s="60" t="s">
        <v>27</v>
      </c>
      <c r="D150" s="60" t="s">
        <v>207</v>
      </c>
      <c r="E150" s="60" t="s">
        <v>2967</v>
      </c>
      <c r="F150" s="60" t="s">
        <v>318</v>
      </c>
      <c r="G150" s="105">
        <v>3</v>
      </c>
      <c r="H150" s="212" t="s">
        <v>2775</v>
      </c>
      <c r="I150" s="105" t="s">
        <v>271</v>
      </c>
      <c r="J150" s="60" t="s">
        <v>2772</v>
      </c>
      <c r="K150" s="106">
        <v>46156.023032407407</v>
      </c>
      <c r="L150" s="106">
        <v>46156.023194444446</v>
      </c>
      <c r="M150" s="106">
        <v>46156.290046296293</v>
      </c>
      <c r="N150" s="106">
        <v>46157.479247685187</v>
      </c>
      <c r="O150" s="106"/>
      <c r="P150" s="106"/>
      <c r="Q150" s="60" t="s">
        <v>2776</v>
      </c>
      <c r="R150" s="60" t="s">
        <v>272</v>
      </c>
      <c r="S150" s="60" t="s">
        <v>149</v>
      </c>
      <c r="T150" s="60" t="s">
        <v>2773</v>
      </c>
      <c r="U150" s="60" t="s">
        <v>371</v>
      </c>
      <c r="Z150" s="107">
        <f t="shared" ca="1" si="18"/>
        <v>0.52091435185381374</v>
      </c>
      <c r="AA150" s="108">
        <f t="shared" ca="1" si="19"/>
        <v>1.3891049382768366</v>
      </c>
      <c r="AB150" s="107">
        <f t="shared" ca="1" si="20"/>
        <v>0.52091435185381374</v>
      </c>
      <c r="AC150" s="108">
        <f t="shared" ca="1" si="21"/>
        <v>1.3891049382768366</v>
      </c>
      <c r="AD150" s="107">
        <f t="shared" ca="1" si="17"/>
        <v>0</v>
      </c>
      <c r="AE150" s="107">
        <f t="shared" ca="1" si="22"/>
        <v>0.52091435185381374</v>
      </c>
      <c r="AF150" s="108">
        <f t="shared" ca="1" si="23"/>
        <v>1.3891049382768366</v>
      </c>
      <c r="AG150" s="108">
        <f t="shared" ca="1" si="4"/>
        <v>1.3891049382768366</v>
      </c>
      <c r="AH150" s="61" t="str" cm="1">
        <f t="array" aca="1" ref="AH150" ca="1">IF((AD150) &lt; (INDEX(ResponseSLA[#All],(MATCH((G150),ResponseSLA[Priority],0))+1,3)),"YES","No")</f>
        <v>YES</v>
      </c>
      <c r="AI150" s="61" t="str">
        <f ca="1">_xlfn.IFNA(IF(AE150 &lt; (INDEX(SLATable[Minimum SLA],MATCH(G150,SLATable[Priority],0))),"YES","NO"),"")</f>
        <v>NO</v>
      </c>
      <c r="AJ150" s="61" t="str">
        <f ca="1">_xlfn.IFNA(IF(AE150 &lt; (INDEX(SLATable[Maximum SLA],MATCH(G150,SLATable[Priority],0))),"YES","NO"),"")</f>
        <v>YES</v>
      </c>
    </row>
    <row r="151" spans="1:36" s="60" customFormat="1" ht="15" hidden="1" customHeight="1">
      <c r="A151" s="60">
        <v>150</v>
      </c>
      <c r="B151" s="60" t="s">
        <v>26</v>
      </c>
      <c r="C151" s="60" t="s">
        <v>27</v>
      </c>
      <c r="D151" s="60" t="s">
        <v>207</v>
      </c>
      <c r="E151" s="60" t="s">
        <v>2968</v>
      </c>
      <c r="F151" s="60" t="s">
        <v>318</v>
      </c>
      <c r="G151" s="105">
        <v>3</v>
      </c>
      <c r="H151" s="212" t="s">
        <v>2775</v>
      </c>
      <c r="I151" s="105" t="s">
        <v>271</v>
      </c>
      <c r="J151" s="60" t="s">
        <v>2772</v>
      </c>
      <c r="K151" s="106">
        <v>46155.858634259261</v>
      </c>
      <c r="L151" s="106">
        <v>46155.858761574076</v>
      </c>
      <c r="M151" s="106">
        <v>46156.290972222225</v>
      </c>
      <c r="N151" s="106">
        <v>46157.478483796294</v>
      </c>
      <c r="O151" s="106"/>
      <c r="P151" s="106"/>
      <c r="Q151" s="60" t="s">
        <v>2776</v>
      </c>
      <c r="R151" s="60" t="s">
        <v>272</v>
      </c>
      <c r="S151" s="60" t="s">
        <v>149</v>
      </c>
      <c r="T151" s="60" t="s">
        <v>2773</v>
      </c>
      <c r="U151" s="60" t="s">
        <v>371</v>
      </c>
      <c r="Z151" s="107">
        <f t="shared" ca="1" si="18"/>
        <v>0.52015046296097955</v>
      </c>
      <c r="AA151" s="108">
        <f t="shared" ca="1" si="19"/>
        <v>1.3870679012292788</v>
      </c>
      <c r="AB151" s="107">
        <f t="shared" ca="1" si="20"/>
        <v>0.52015046296097955</v>
      </c>
      <c r="AC151" s="108">
        <f t="shared" ca="1" si="21"/>
        <v>1.3870679012292788</v>
      </c>
      <c r="AD151" s="107">
        <f t="shared" ca="1" si="17"/>
        <v>0</v>
      </c>
      <c r="AE151" s="107">
        <f t="shared" ca="1" si="22"/>
        <v>0.52015046296097955</v>
      </c>
      <c r="AF151" s="108">
        <f t="shared" ca="1" si="23"/>
        <v>1.3870679012292788</v>
      </c>
      <c r="AG151" s="108">
        <f t="shared" ca="1" si="4"/>
        <v>1.3870679012292788</v>
      </c>
      <c r="AH151" s="61" t="str" cm="1">
        <f t="array" aca="1" ref="AH151" ca="1">IF((AD151) &lt; (INDEX(ResponseSLA[#All],(MATCH((G151),ResponseSLA[Priority],0))+1,3)),"YES","No")</f>
        <v>YES</v>
      </c>
      <c r="AI151" s="61" t="str">
        <f ca="1">_xlfn.IFNA(IF(AE151 &lt; (INDEX(SLATable[Minimum SLA],MATCH(G151,SLATable[Priority],0))),"YES","NO"),"")</f>
        <v>NO</v>
      </c>
      <c r="AJ151" s="61" t="str">
        <f ca="1">_xlfn.IFNA(IF(AE151 &lt; (INDEX(SLATable[Maximum SLA],MATCH(G151,SLATable[Priority],0))),"YES","NO"),"")</f>
        <v>YES</v>
      </c>
    </row>
    <row r="152" spans="1:36" s="60" customFormat="1" ht="15" hidden="1" customHeight="1">
      <c r="A152" s="60">
        <v>151</v>
      </c>
      <c r="B152" s="60" t="s">
        <v>26</v>
      </c>
      <c r="C152" s="60" t="s">
        <v>27</v>
      </c>
      <c r="D152" s="60" t="s">
        <v>207</v>
      </c>
      <c r="E152" s="60" t="s">
        <v>2969</v>
      </c>
      <c r="F152" s="60" t="s">
        <v>318</v>
      </c>
      <c r="G152" s="105">
        <v>3</v>
      </c>
      <c r="H152" s="212" t="s">
        <v>2724</v>
      </c>
      <c r="I152" s="105" t="s">
        <v>271</v>
      </c>
      <c r="J152" s="60" t="s">
        <v>2772</v>
      </c>
      <c r="K152" s="106">
        <v>46156.640902777777</v>
      </c>
      <c r="L152" s="106">
        <v>46156.641041666669</v>
      </c>
      <c r="M152" s="106">
        <v>46157.249988425923</v>
      </c>
      <c r="N152" s="106">
        <v>46157.476701388892</v>
      </c>
      <c r="O152" s="106"/>
      <c r="P152" s="106"/>
      <c r="Q152" s="60" t="s">
        <v>2726</v>
      </c>
      <c r="R152" s="60" t="s">
        <v>272</v>
      </c>
      <c r="S152" s="60" t="s">
        <v>149</v>
      </c>
      <c r="T152" s="60" t="s">
        <v>2773</v>
      </c>
      <c r="U152" s="60" t="s">
        <v>371</v>
      </c>
      <c r="Z152" s="107">
        <f t="shared" ca="1" si="18"/>
        <v>0.21079861111502396</v>
      </c>
      <c r="AA152" s="108">
        <f t="shared" ca="1" si="19"/>
        <v>0.56212962964006385</v>
      </c>
      <c r="AB152" s="107">
        <f t="shared" ca="1" si="20"/>
        <v>0.21065972222277196</v>
      </c>
      <c r="AC152" s="108">
        <f t="shared" ca="1" si="21"/>
        <v>0.56175925926072523</v>
      </c>
      <c r="AD152" s="107">
        <f t="shared" ca="1" si="17"/>
        <v>6.7291666663853333E-2</v>
      </c>
      <c r="AE152" s="107">
        <f t="shared" ca="1" si="22"/>
        <v>0.21065972222277196</v>
      </c>
      <c r="AF152" s="108">
        <f t="shared" ca="1" si="23"/>
        <v>0.56175925926072523</v>
      </c>
      <c r="AG152" s="108">
        <f t="shared" ca="1" si="4"/>
        <v>0.56175925926072523</v>
      </c>
      <c r="AH152" s="61" t="str" cm="1">
        <f t="array" aca="1" ref="AH152" ca="1">IF((AD152) &lt; (INDEX(ResponseSLA[#All],(MATCH((G152),ResponseSLA[Priority],0))+1,3)),"YES","No")</f>
        <v>YES</v>
      </c>
      <c r="AI152" s="61" t="str">
        <f ca="1">_xlfn.IFNA(IF(AE152 &lt; (INDEX(SLATable[Minimum SLA],MATCH(G152,SLATable[Priority],0))),"YES","NO"),"")</f>
        <v>YES</v>
      </c>
      <c r="AJ152" s="61" t="str">
        <f ca="1">_xlfn.IFNA(IF(AE152 &lt; (INDEX(SLATable[Maximum SLA],MATCH(G152,SLATable[Priority],0))),"YES","NO"),"")</f>
        <v>YES</v>
      </c>
    </row>
    <row r="153" spans="1:36" s="60" customFormat="1" ht="15" hidden="1" customHeight="1">
      <c r="A153" s="60">
        <v>152</v>
      </c>
      <c r="B153" s="60" t="s">
        <v>26</v>
      </c>
      <c r="C153" s="60" t="s">
        <v>27</v>
      </c>
      <c r="D153" s="60" t="s">
        <v>207</v>
      </c>
      <c r="E153" s="60" t="s">
        <v>2970</v>
      </c>
      <c r="F153" s="60" t="s">
        <v>318</v>
      </c>
      <c r="G153" s="105">
        <v>3</v>
      </c>
      <c r="H153" s="212" t="s">
        <v>2724</v>
      </c>
      <c r="I153" s="105" t="s">
        <v>271</v>
      </c>
      <c r="J153" s="60" t="s">
        <v>2772</v>
      </c>
      <c r="K153" s="106">
        <v>46154.405115740738</v>
      </c>
      <c r="L153" s="106">
        <v>46154.405219907407</v>
      </c>
      <c r="M153" s="106">
        <v>46154.561319444445</v>
      </c>
      <c r="N153" s="106">
        <v>46155.252708333333</v>
      </c>
      <c r="O153" s="106"/>
      <c r="P153" s="106"/>
      <c r="Q153" s="60" t="s">
        <v>2726</v>
      </c>
      <c r="R153" s="60" t="s">
        <v>272</v>
      </c>
      <c r="S153" s="60" t="s">
        <v>187</v>
      </c>
      <c r="T153" s="60" t="s">
        <v>2773</v>
      </c>
      <c r="U153" s="60" t="s">
        <v>371</v>
      </c>
      <c r="Z153" s="107">
        <f t="shared" ca="1" si="18"/>
        <v>0.30321759259580483</v>
      </c>
      <c r="AA153" s="108">
        <f t="shared" ca="1" si="19"/>
        <v>0.80858024692214625</v>
      </c>
      <c r="AB153" s="107">
        <f t="shared" ca="1" si="20"/>
        <v>0.30311342592661583</v>
      </c>
      <c r="AC153" s="108">
        <f t="shared" ca="1" si="21"/>
        <v>0.80830246913764225</v>
      </c>
      <c r="AD153" s="107">
        <f t="shared" ca="1" si="17"/>
        <v>0.15609953703824431</v>
      </c>
      <c r="AE153" s="107">
        <f t="shared" ca="1" si="22"/>
        <v>0.30311342592661583</v>
      </c>
      <c r="AF153" s="108">
        <f t="shared" ca="1" si="23"/>
        <v>0.80830246913764225</v>
      </c>
      <c r="AG153" s="108">
        <f t="shared" ca="1" si="4"/>
        <v>0.80830246913764225</v>
      </c>
      <c r="AH153" s="61" t="str" cm="1">
        <f t="array" aca="1" ref="AH153" ca="1">IF((AD153) &lt; (INDEX(ResponseSLA[#All],(MATCH((G153),ResponseSLA[Priority],0))+1,3)),"YES","No")</f>
        <v>No</v>
      </c>
      <c r="AI153" s="61" t="str">
        <f ca="1">_xlfn.IFNA(IF(AE153 &lt; (INDEX(SLATable[Minimum SLA],MATCH(G153,SLATable[Priority],0))),"YES","NO"),"")</f>
        <v>YES</v>
      </c>
      <c r="AJ153" s="61" t="str">
        <f ca="1">_xlfn.IFNA(IF(AE153 &lt; (INDEX(SLATable[Maximum SLA],MATCH(G153,SLATable[Priority],0))),"YES","NO"),"")</f>
        <v>YES</v>
      </c>
    </row>
    <row r="154" spans="1:36" s="60" customFormat="1" ht="15" hidden="1" customHeight="1">
      <c r="A154" s="60">
        <v>153</v>
      </c>
      <c r="B154" s="60" t="s">
        <v>26</v>
      </c>
      <c r="C154" s="60" t="s">
        <v>27</v>
      </c>
      <c r="D154" s="60" t="s">
        <v>207</v>
      </c>
      <c r="E154" s="60" t="s">
        <v>2971</v>
      </c>
      <c r="F154" s="60" t="s">
        <v>320</v>
      </c>
      <c r="G154" s="105">
        <v>4</v>
      </c>
      <c r="H154" s="212" t="s">
        <v>2972</v>
      </c>
      <c r="I154" s="105" t="s">
        <v>271</v>
      </c>
      <c r="J154" s="60" t="s">
        <v>2772</v>
      </c>
      <c r="K154" s="106">
        <v>46141.351238425923</v>
      </c>
      <c r="L154" s="106">
        <v>46146.569155092591</v>
      </c>
      <c r="M154" s="106">
        <v>46146.569155092591</v>
      </c>
      <c r="N154" s="106">
        <v>46154.750324074077</v>
      </c>
      <c r="O154" s="106">
        <v>46147.285104166665</v>
      </c>
      <c r="P154" s="106">
        <v>46154.750324074077</v>
      </c>
      <c r="Q154" s="60" t="s">
        <v>2973</v>
      </c>
      <c r="R154" s="60" t="s">
        <v>272</v>
      </c>
      <c r="S154" s="60" t="s">
        <v>165</v>
      </c>
      <c r="T154" s="60" t="s">
        <v>1519</v>
      </c>
      <c r="U154" s="60" t="s">
        <v>371</v>
      </c>
      <c r="Z154" s="107">
        <f t="shared" ca="1" si="18"/>
        <v>0.73209490741040462</v>
      </c>
      <c r="AA154" s="108">
        <f t="shared" ca="1" si="19"/>
        <v>1.9522530864277456</v>
      </c>
      <c r="AB154" s="107">
        <f t="shared" ca="1" si="20"/>
        <v>0</v>
      </c>
      <c r="AC154" s="108">
        <f t="shared" ca="1" si="21"/>
        <v>0</v>
      </c>
      <c r="AD154" s="107">
        <f t="shared" ca="1" si="17"/>
        <v>0</v>
      </c>
      <c r="AE154" s="107">
        <f t="shared" ca="1" si="22"/>
        <v>0</v>
      </c>
      <c r="AF154" s="108">
        <f t="shared" ca="1" si="23"/>
        <v>0</v>
      </c>
      <c r="AG154" s="108">
        <f t="shared" ca="1" si="4"/>
        <v>0</v>
      </c>
      <c r="AH154" s="61" t="str" cm="1">
        <f t="array" aca="1" ref="AH154" ca="1">IF((AD154) &lt; (INDEX(ResponseSLA[#All],(MATCH((G154),ResponseSLA[Priority],0))+1,3)),"YES","No")</f>
        <v>YES</v>
      </c>
      <c r="AI154" s="61" t="str">
        <f ca="1">_xlfn.IFNA(IF(AE154 &lt; (INDEX(SLATable[Minimum SLA],MATCH(G154,SLATable[Priority],0))),"YES","NO"),"")</f>
        <v>YES</v>
      </c>
      <c r="AJ154" s="61" t="str">
        <f ca="1">_xlfn.IFNA(IF(AE154 &lt; (INDEX(SLATable[Maximum SLA],MATCH(G154,SLATable[Priority],0))),"YES","NO"),"")</f>
        <v>YES</v>
      </c>
    </row>
    <row r="155" spans="1:36" s="60" customFormat="1" ht="15" hidden="1" customHeight="1">
      <c r="A155" s="60">
        <v>154</v>
      </c>
      <c r="B155" s="60" t="s">
        <v>26</v>
      </c>
      <c r="C155" s="60" t="s">
        <v>27</v>
      </c>
      <c r="D155" s="60" t="s">
        <v>207</v>
      </c>
      <c r="E155" s="60" t="s">
        <v>2974</v>
      </c>
      <c r="F155" s="60" t="s">
        <v>320</v>
      </c>
      <c r="G155" s="105">
        <v>4</v>
      </c>
      <c r="H155" s="212" t="s">
        <v>2975</v>
      </c>
      <c r="I155" s="105" t="s">
        <v>271</v>
      </c>
      <c r="J155" s="60" t="s">
        <v>2772</v>
      </c>
      <c r="K155" s="106">
        <v>46136.429050925923</v>
      </c>
      <c r="L155" s="106">
        <v>46136.431770833333</v>
      </c>
      <c r="M155" s="106">
        <v>46136.481574074074</v>
      </c>
      <c r="N155" s="106">
        <v>46154.451979166668</v>
      </c>
      <c r="O155" s="106">
        <v>46139.443078703705</v>
      </c>
      <c r="P155" s="106">
        <v>46142.441990740743</v>
      </c>
      <c r="Q155" s="60" t="s">
        <v>2973</v>
      </c>
      <c r="R155" s="60" t="s">
        <v>272</v>
      </c>
      <c r="S155" s="60" t="s">
        <v>165</v>
      </c>
      <c r="T155" s="60" t="s">
        <v>1519</v>
      </c>
      <c r="U155" s="60" t="s">
        <v>371</v>
      </c>
      <c r="Z155" s="107">
        <f t="shared" ca="1" si="18"/>
        <v>2.6490162037080154</v>
      </c>
      <c r="AA155" s="108">
        <f t="shared" ca="1" si="19"/>
        <v>7.064043209888041</v>
      </c>
      <c r="AB155" s="107">
        <f t="shared" ca="1" si="20"/>
        <v>2.6462962962978054</v>
      </c>
      <c r="AC155" s="108">
        <f t="shared" ca="1" si="21"/>
        <v>7.0567901234608144</v>
      </c>
      <c r="AD155" s="107">
        <f t="shared" ca="1" si="17"/>
        <v>4.9803240741312038E-2</v>
      </c>
      <c r="AE155" s="107">
        <f t="shared" ca="1" si="22"/>
        <v>2.6462962962978054</v>
      </c>
      <c r="AF155" s="108">
        <f t="shared" ca="1" si="23"/>
        <v>7.0567901234608144</v>
      </c>
      <c r="AG155" s="108">
        <f t="shared" ca="1" si="4"/>
        <v>7.0567901234608144</v>
      </c>
      <c r="AH155" s="61" t="str" cm="1">
        <f t="array" aca="1" ref="AH155" ca="1">IF((AD155) &lt; (INDEX(ResponseSLA[#All],(MATCH((G155),ResponseSLA[Priority],0))+1,3)),"YES","No")</f>
        <v>YES</v>
      </c>
      <c r="AI155" s="61" t="str">
        <f ca="1">_xlfn.IFNA(IF(AE155 &lt; (INDEX(SLATable[Minimum SLA],MATCH(G155,SLATable[Priority],0))),"YES","NO"),"")</f>
        <v>YES</v>
      </c>
      <c r="AJ155" s="61" t="str">
        <f ca="1">_xlfn.IFNA(IF(AE155 &lt; (INDEX(SLATable[Maximum SLA],MATCH(G155,SLATable[Priority],0))),"YES","NO"),"")</f>
        <v>YES</v>
      </c>
    </row>
    <row r="156" spans="1:36" s="60" customFormat="1" ht="15" hidden="1" customHeight="1">
      <c r="A156" s="60">
        <v>155</v>
      </c>
      <c r="B156" s="60" t="s">
        <v>26</v>
      </c>
      <c r="C156" s="60" t="s">
        <v>27</v>
      </c>
      <c r="D156" s="60" t="s">
        <v>207</v>
      </c>
      <c r="E156" s="60" t="s">
        <v>2976</v>
      </c>
      <c r="F156" s="60" t="s">
        <v>318</v>
      </c>
      <c r="G156" s="105">
        <v>3</v>
      </c>
      <c r="H156" s="224" t="s">
        <v>2775</v>
      </c>
      <c r="I156" s="105" t="s">
        <v>271</v>
      </c>
      <c r="J156" s="60" t="s">
        <v>2772</v>
      </c>
      <c r="K156" s="106">
        <v>46147.844849537039</v>
      </c>
      <c r="L156" s="106">
        <v>46147.844861111109</v>
      </c>
      <c r="M156" s="106">
        <v>46148.290370370371</v>
      </c>
      <c r="N156" s="106">
        <v>46150.313726851855</v>
      </c>
      <c r="O156" s="106"/>
      <c r="P156" s="106"/>
      <c r="Q156" s="60" t="s">
        <v>2776</v>
      </c>
      <c r="R156" s="60" t="s">
        <v>272</v>
      </c>
      <c r="S156" s="60" t="s">
        <v>149</v>
      </c>
      <c r="T156" s="60" t="s">
        <v>2773</v>
      </c>
      <c r="U156" s="60" t="s">
        <v>371</v>
      </c>
      <c r="Z156" s="107">
        <f t="shared" ca="1" si="18"/>
        <v>0.75000000000000011</v>
      </c>
      <c r="AA156" s="108">
        <f t="shared" ca="1" si="19"/>
        <v>2.0000000000000004</v>
      </c>
      <c r="AB156" s="107">
        <f t="shared" ca="1" si="20"/>
        <v>0.75000000000000011</v>
      </c>
      <c r="AC156" s="108">
        <f t="shared" ca="1" si="21"/>
        <v>2.0000000000000004</v>
      </c>
      <c r="AD156" s="107">
        <f t="shared" ca="1" si="17"/>
        <v>0</v>
      </c>
      <c r="AE156" s="107">
        <f t="shared" ca="1" si="22"/>
        <v>0.75000000000000011</v>
      </c>
      <c r="AF156" s="108">
        <f t="shared" ca="1" si="23"/>
        <v>2.0000000000000004</v>
      </c>
      <c r="AG156" s="108">
        <f t="shared" ca="1" si="4"/>
        <v>2.0000000000000004</v>
      </c>
      <c r="AH156" s="61" t="str" cm="1">
        <f t="array" aca="1" ref="AH156" ca="1">IF((AD156) &lt; (INDEX(ResponseSLA[#All],(MATCH((G156),ResponseSLA[Priority],0))+1,3)),"YES","No")</f>
        <v>YES</v>
      </c>
      <c r="AI156" s="61" t="str">
        <f ca="1">_xlfn.IFNA(IF(AE156 &lt; (INDEX(SLATable[Minimum SLA],MATCH(G156,SLATable[Priority],0))),"YES","NO"),"")</f>
        <v>NO</v>
      </c>
      <c r="AJ156" s="61" t="str">
        <f ca="1">_xlfn.IFNA(IF(AE156 &lt; (INDEX(SLATable[Maximum SLA],MATCH(G156,SLATable[Priority],0))),"YES","NO"),"")</f>
        <v>YES</v>
      </c>
    </row>
    <row r="157" spans="1:36" s="60" customFormat="1" ht="15" hidden="1" customHeight="1">
      <c r="A157" s="60">
        <v>156</v>
      </c>
      <c r="B157" s="60" t="s">
        <v>26</v>
      </c>
      <c r="C157" s="60" t="s">
        <v>27</v>
      </c>
      <c r="D157" s="60" t="s">
        <v>207</v>
      </c>
      <c r="E157" s="60" t="s">
        <v>2977</v>
      </c>
      <c r="F157" s="60" t="s">
        <v>318</v>
      </c>
      <c r="G157" s="105">
        <v>3</v>
      </c>
      <c r="H157" s="212" t="s">
        <v>2724</v>
      </c>
      <c r="I157" s="105" t="s">
        <v>271</v>
      </c>
      <c r="J157" s="60" t="s">
        <v>2772</v>
      </c>
      <c r="K157" s="106">
        <v>46148.900416666664</v>
      </c>
      <c r="L157" s="106">
        <v>46148.90053240741</v>
      </c>
      <c r="M157" s="106">
        <v>46149.234733796293</v>
      </c>
      <c r="N157" s="106">
        <v>46150.312627314815</v>
      </c>
      <c r="O157" s="106"/>
      <c r="P157" s="106"/>
      <c r="Q157" s="60" t="s">
        <v>2726</v>
      </c>
      <c r="R157" s="60" t="s">
        <v>272</v>
      </c>
      <c r="S157" s="60" t="s">
        <v>149</v>
      </c>
      <c r="T157" s="60" t="s">
        <v>2773</v>
      </c>
      <c r="U157" s="60" t="s">
        <v>371</v>
      </c>
      <c r="Z157" s="107">
        <f t="shared" ca="1" si="18"/>
        <v>0.37500000000000011</v>
      </c>
      <c r="AA157" s="108">
        <f t="shared" ca="1" si="19"/>
        <v>1.0000000000000004</v>
      </c>
      <c r="AB157" s="107">
        <f t="shared" ca="1" si="20"/>
        <v>0.37500000000000011</v>
      </c>
      <c r="AC157" s="108">
        <f t="shared" ca="1" si="21"/>
        <v>1.0000000000000004</v>
      </c>
      <c r="AD157" s="107">
        <f t="shared" ca="1" si="17"/>
        <v>0</v>
      </c>
      <c r="AE157" s="107">
        <f t="shared" ca="1" si="22"/>
        <v>0.37500000000000011</v>
      </c>
      <c r="AF157" s="108">
        <f t="shared" ca="1" si="23"/>
        <v>1.0000000000000004</v>
      </c>
      <c r="AG157" s="108">
        <f t="shared" ca="1" si="4"/>
        <v>1.0000000000000004</v>
      </c>
      <c r="AH157" s="61" t="str" cm="1">
        <f t="array" aca="1" ref="AH157" ca="1">IF((AD157) &lt; (INDEX(ResponseSLA[#All],(MATCH((G157),ResponseSLA[Priority],0))+1,3)),"YES","No")</f>
        <v>YES</v>
      </c>
      <c r="AI157" s="61" t="str">
        <f ca="1">_xlfn.IFNA(IF(AE157 &lt; (INDEX(SLATable[Minimum SLA],MATCH(G157,SLATable[Priority],0))),"YES","NO"),"")</f>
        <v>NO</v>
      </c>
      <c r="AJ157" s="61" t="str">
        <f ca="1">_xlfn.IFNA(IF(AE157 &lt; (INDEX(SLATable[Maximum SLA],MATCH(G157,SLATable[Priority],0))),"YES","NO"),"")</f>
        <v>YES</v>
      </c>
    </row>
    <row r="158" spans="1:36" s="60" customFormat="1" ht="15" hidden="1" customHeight="1">
      <c r="A158" s="60">
        <v>157</v>
      </c>
      <c r="B158" s="60" t="s">
        <v>26</v>
      </c>
      <c r="C158" s="60" t="s">
        <v>27</v>
      </c>
      <c r="D158" s="60" t="s">
        <v>207</v>
      </c>
      <c r="E158" s="60" t="s">
        <v>2978</v>
      </c>
      <c r="F158" s="60" t="s">
        <v>318</v>
      </c>
      <c r="G158" s="105">
        <v>3</v>
      </c>
      <c r="H158" s="212" t="s">
        <v>2724</v>
      </c>
      <c r="I158" s="105" t="s">
        <v>271</v>
      </c>
      <c r="J158" s="60" t="s">
        <v>2772</v>
      </c>
      <c r="K158" s="106">
        <v>46149.191446759258</v>
      </c>
      <c r="L158" s="106">
        <v>46149.191550925927</v>
      </c>
      <c r="M158" s="106">
        <v>46149.235219907408</v>
      </c>
      <c r="N158" s="106">
        <v>46150.31177083333</v>
      </c>
      <c r="O158" s="106"/>
      <c r="P158" s="106"/>
      <c r="Q158" s="60" t="s">
        <v>2726</v>
      </c>
      <c r="R158" s="60" t="s">
        <v>272</v>
      </c>
      <c r="S158" s="60" t="s">
        <v>149</v>
      </c>
      <c r="T158" s="60" t="s">
        <v>2773</v>
      </c>
      <c r="U158" s="60" t="s">
        <v>371</v>
      </c>
      <c r="Z158" s="107">
        <f t="shared" ca="1" si="18"/>
        <v>0.37500000000000006</v>
      </c>
      <c r="AA158" s="108">
        <f t="shared" ca="1" si="19"/>
        <v>1.0000000000000002</v>
      </c>
      <c r="AB158" s="107">
        <f t="shared" ca="1" si="20"/>
        <v>0.37500000000000006</v>
      </c>
      <c r="AC158" s="108">
        <f t="shared" ca="1" si="21"/>
        <v>1.0000000000000002</v>
      </c>
      <c r="AD158" s="107">
        <f t="shared" ca="1" si="17"/>
        <v>0</v>
      </c>
      <c r="AE158" s="107">
        <f t="shared" ca="1" si="22"/>
        <v>0.37500000000000006</v>
      </c>
      <c r="AF158" s="108">
        <f t="shared" ca="1" si="23"/>
        <v>1.0000000000000002</v>
      </c>
      <c r="AG158" s="108">
        <f t="shared" ca="1" si="4"/>
        <v>1.0000000000000002</v>
      </c>
      <c r="AH158" s="61" t="str" cm="1">
        <f t="array" aca="1" ref="AH158" ca="1">IF((AD158) &lt; (INDEX(ResponseSLA[#All],(MATCH((G158),ResponseSLA[Priority],0))+1,3)),"YES","No")</f>
        <v>YES</v>
      </c>
      <c r="AI158" s="61" t="str">
        <f ca="1">_xlfn.IFNA(IF(AE158 &lt; (INDEX(SLATable[Minimum SLA],MATCH(G158,SLATable[Priority],0))),"YES","NO"),"")</f>
        <v>NO</v>
      </c>
      <c r="AJ158" s="61" t="str">
        <f ca="1">_xlfn.IFNA(IF(AE158 &lt; (INDEX(SLATable[Maximum SLA],MATCH(G158,SLATable[Priority],0))),"YES","NO"),"")</f>
        <v>YES</v>
      </c>
    </row>
    <row r="159" spans="1:36" s="60" customFormat="1" ht="15" hidden="1" customHeight="1">
      <c r="A159" s="60">
        <v>158</v>
      </c>
      <c r="B159" s="60" t="s">
        <v>26</v>
      </c>
      <c r="C159" s="60" t="s">
        <v>27</v>
      </c>
      <c r="D159" s="60" t="s">
        <v>207</v>
      </c>
      <c r="E159" s="60" t="s">
        <v>2979</v>
      </c>
      <c r="F159" s="60" t="s">
        <v>318</v>
      </c>
      <c r="G159" s="105">
        <v>3</v>
      </c>
      <c r="H159" s="212" t="s">
        <v>2724</v>
      </c>
      <c r="I159" s="105" t="s">
        <v>271</v>
      </c>
      <c r="J159" s="60" t="s">
        <v>2772</v>
      </c>
      <c r="K159" s="106">
        <v>46149.658090277779</v>
      </c>
      <c r="L159" s="106">
        <v>46149.658252314817</v>
      </c>
      <c r="M159" s="106">
        <v>46150.215011574073</v>
      </c>
      <c r="N159" s="106">
        <v>46150.311018518521</v>
      </c>
      <c r="O159" s="106"/>
      <c r="P159" s="106"/>
      <c r="Q159" s="60" t="s">
        <v>2726</v>
      </c>
      <c r="R159" s="60" t="s">
        <v>272</v>
      </c>
      <c r="S159" s="60" t="s">
        <v>149</v>
      </c>
      <c r="T159" s="60" t="s">
        <v>2773</v>
      </c>
      <c r="U159" s="60" t="s">
        <v>371</v>
      </c>
      <c r="Z159" s="107">
        <f t="shared" ca="1" si="18"/>
        <v>5.024305555465014E-2</v>
      </c>
      <c r="AA159" s="108">
        <f t="shared" ca="1" si="19"/>
        <v>0.13398148147906705</v>
      </c>
      <c r="AB159" s="107">
        <f t="shared" ca="1" si="20"/>
        <v>5.0081018516114795E-2</v>
      </c>
      <c r="AC159" s="108">
        <f t="shared" ca="1" si="21"/>
        <v>0.13354938270963945</v>
      </c>
      <c r="AD159" s="107">
        <f t="shared" ca="1" si="17"/>
        <v>5.0081018516114795E-2</v>
      </c>
      <c r="AE159" s="107">
        <f t="shared" ca="1" si="22"/>
        <v>5.0081018516114795E-2</v>
      </c>
      <c r="AF159" s="108">
        <f t="shared" ca="1" si="23"/>
        <v>0.13354938270963945</v>
      </c>
      <c r="AG159" s="108">
        <f t="shared" ca="1" si="4"/>
        <v>0.13354938270963945</v>
      </c>
      <c r="AH159" s="61" t="str" cm="1">
        <f t="array" aca="1" ref="AH159" ca="1">IF((AD159) &lt; (INDEX(ResponseSLA[#All],(MATCH((G159),ResponseSLA[Priority],0))+1,3)),"YES","No")</f>
        <v>YES</v>
      </c>
      <c r="AI159" s="61" t="str">
        <f ca="1">_xlfn.IFNA(IF(AE159 &lt; (INDEX(SLATable[Minimum SLA],MATCH(G159,SLATable[Priority],0))),"YES","NO"),"")</f>
        <v>YES</v>
      </c>
      <c r="AJ159" s="61" t="str">
        <f ca="1">_xlfn.IFNA(IF(AE159 &lt; (INDEX(SLATable[Maximum SLA],MATCH(G159,SLATable[Priority],0))),"YES","NO"),"")</f>
        <v>YES</v>
      </c>
    </row>
    <row r="160" spans="1:36" s="60" customFormat="1" ht="15" hidden="1" customHeight="1">
      <c r="A160" s="60">
        <v>159</v>
      </c>
      <c r="B160" s="60" t="s">
        <v>26</v>
      </c>
      <c r="C160" s="60" t="s">
        <v>27</v>
      </c>
      <c r="D160" s="60" t="s">
        <v>207</v>
      </c>
      <c r="E160" s="60" t="s">
        <v>2980</v>
      </c>
      <c r="F160" s="60" t="s">
        <v>318</v>
      </c>
      <c r="G160" s="105">
        <v>3</v>
      </c>
      <c r="H160" s="212" t="s">
        <v>2775</v>
      </c>
      <c r="I160" s="105" t="s">
        <v>271</v>
      </c>
      <c r="J160" s="60" t="s">
        <v>2772</v>
      </c>
      <c r="K160" s="106">
        <v>46147.071284722224</v>
      </c>
      <c r="L160" s="106">
        <v>46147.071342592593</v>
      </c>
      <c r="M160" s="106">
        <v>46147.242997685185</v>
      </c>
      <c r="N160" s="106">
        <v>46147.270243055558</v>
      </c>
      <c r="O160" s="106"/>
      <c r="P160" s="106"/>
      <c r="Q160" s="60" t="s">
        <v>2776</v>
      </c>
      <c r="R160" s="60" t="s">
        <v>272</v>
      </c>
      <c r="S160" s="60" t="s">
        <v>149</v>
      </c>
      <c r="T160" s="60" t="s">
        <v>2773</v>
      </c>
      <c r="U160" s="60" t="s">
        <v>371</v>
      </c>
      <c r="Z160" s="107">
        <f t="shared" ca="1" si="18"/>
        <v>0</v>
      </c>
      <c r="AA160" s="108">
        <f t="shared" ca="1" si="19"/>
        <v>0</v>
      </c>
      <c r="AB160" s="107">
        <f t="shared" ca="1" si="20"/>
        <v>0</v>
      </c>
      <c r="AC160" s="108">
        <f t="shared" ca="1" si="21"/>
        <v>0</v>
      </c>
      <c r="AD160" s="107">
        <f t="shared" ca="1" si="17"/>
        <v>0</v>
      </c>
      <c r="AE160" s="107">
        <f t="shared" ca="1" si="22"/>
        <v>0</v>
      </c>
      <c r="AF160" s="108">
        <f t="shared" ca="1" si="23"/>
        <v>0</v>
      </c>
      <c r="AG160" s="108">
        <f t="shared" ca="1" si="4"/>
        <v>0</v>
      </c>
      <c r="AH160" s="61" t="str" cm="1">
        <f t="array" aca="1" ref="AH160" ca="1">IF((AD160) &lt; (INDEX(ResponseSLA[#All],(MATCH((G160),ResponseSLA[Priority],0))+1,3)),"YES","No")</f>
        <v>YES</v>
      </c>
      <c r="AI160" s="61" t="str">
        <f ca="1">_xlfn.IFNA(IF(AE160 &lt; (INDEX(SLATable[Minimum SLA],MATCH(G160,SLATable[Priority],0))),"YES","NO"),"")</f>
        <v>YES</v>
      </c>
      <c r="AJ160" s="61" t="str">
        <f ca="1">_xlfn.IFNA(IF(AE160 &lt; (INDEX(SLATable[Maximum SLA],MATCH(G160,SLATable[Priority],0))),"YES","NO"),"")</f>
        <v>YES</v>
      </c>
    </row>
    <row r="161" spans="1:36" s="60" customFormat="1" ht="15" hidden="1" customHeight="1">
      <c r="A161" s="60">
        <v>160</v>
      </c>
      <c r="B161" s="60" t="s">
        <v>26</v>
      </c>
      <c r="C161" s="60" t="s">
        <v>27</v>
      </c>
      <c r="D161" s="60" t="s">
        <v>207</v>
      </c>
      <c r="E161" s="60" t="s">
        <v>2981</v>
      </c>
      <c r="F161" s="60" t="s">
        <v>318</v>
      </c>
      <c r="G161" s="105">
        <v>3</v>
      </c>
      <c r="H161" s="212" t="s">
        <v>2775</v>
      </c>
      <c r="I161" s="105" t="s">
        <v>271</v>
      </c>
      <c r="J161" s="60" t="s">
        <v>2772</v>
      </c>
      <c r="K161" s="106">
        <v>46146.115011574075</v>
      </c>
      <c r="L161" s="106">
        <v>46146.115081018521</v>
      </c>
      <c r="M161" s="106">
        <v>46146.237187500003</v>
      </c>
      <c r="N161" s="106">
        <v>46146.438819444447</v>
      </c>
      <c r="O161" s="106"/>
      <c r="P161" s="106"/>
      <c r="Q161" s="60" t="s">
        <v>2776</v>
      </c>
      <c r="R161" s="60" t="s">
        <v>272</v>
      </c>
      <c r="S161" s="60" t="s">
        <v>149</v>
      </c>
      <c r="T161" s="60" t="s">
        <v>2773</v>
      </c>
      <c r="U161" s="60" t="s">
        <v>371</v>
      </c>
      <c r="Z161" s="107">
        <f t="shared" ca="1" si="18"/>
        <v>0</v>
      </c>
      <c r="AA161" s="108">
        <f t="shared" ca="1" si="19"/>
        <v>0</v>
      </c>
      <c r="AB161" s="107">
        <f t="shared" ca="1" si="20"/>
        <v>0</v>
      </c>
      <c r="AC161" s="108">
        <f t="shared" ca="1" si="21"/>
        <v>0</v>
      </c>
      <c r="AD161" s="107">
        <f t="shared" ca="1" si="17"/>
        <v>0</v>
      </c>
      <c r="AE161" s="107">
        <f t="shared" ca="1" si="22"/>
        <v>0</v>
      </c>
      <c r="AF161" s="108">
        <f t="shared" ca="1" si="23"/>
        <v>0</v>
      </c>
      <c r="AG161" s="108">
        <f t="shared" ca="1" si="4"/>
        <v>0</v>
      </c>
      <c r="AH161" s="61" t="str" cm="1">
        <f t="array" aca="1" ref="AH161" ca="1">IF((AD161) &lt; (INDEX(ResponseSLA[#All],(MATCH((G161),ResponseSLA[Priority],0))+1,3)),"YES","No")</f>
        <v>YES</v>
      </c>
      <c r="AI161" s="61" t="str">
        <f ca="1">_xlfn.IFNA(IF(AE161 &lt; (INDEX(SLATable[Minimum SLA],MATCH(G161,SLATable[Priority],0))),"YES","NO"),"")</f>
        <v>YES</v>
      </c>
      <c r="AJ161" s="61" t="str">
        <f ca="1">_xlfn.IFNA(IF(AE161 &lt; (INDEX(SLATable[Maximum SLA],MATCH(G161,SLATable[Priority],0))),"YES","NO"),"")</f>
        <v>YES</v>
      </c>
    </row>
    <row r="162" spans="1:36" s="60" customFormat="1" ht="15" hidden="1" customHeight="1">
      <c r="A162" s="60">
        <v>161</v>
      </c>
      <c r="B162" s="60" t="s">
        <v>26</v>
      </c>
      <c r="C162" s="60" t="s">
        <v>27</v>
      </c>
      <c r="D162" s="60" t="s">
        <v>207</v>
      </c>
      <c r="E162" s="60" t="s">
        <v>2982</v>
      </c>
      <c r="F162" s="60" t="s">
        <v>318</v>
      </c>
      <c r="G162" s="105">
        <v>3</v>
      </c>
      <c r="H162" s="212" t="s">
        <v>2724</v>
      </c>
      <c r="I162" s="105" t="s">
        <v>271</v>
      </c>
      <c r="J162" s="60" t="s">
        <v>2772</v>
      </c>
      <c r="K162" s="106">
        <v>46145.147685185184</v>
      </c>
      <c r="L162" s="106">
        <v>46145.14775462963</v>
      </c>
      <c r="M162" s="106">
        <v>46146.237592592595</v>
      </c>
      <c r="N162" s="106">
        <v>46146.437407407408</v>
      </c>
      <c r="O162" s="106"/>
      <c r="P162" s="106"/>
      <c r="Q162" s="60" t="s">
        <v>2726</v>
      </c>
      <c r="R162" s="60" t="s">
        <v>272</v>
      </c>
      <c r="S162" s="60" t="s">
        <v>149</v>
      </c>
      <c r="T162" s="60" t="s">
        <v>2773</v>
      </c>
      <c r="U162" s="60" t="s">
        <v>371</v>
      </c>
      <c r="Z162" s="107">
        <f t="shared" ca="1" si="18"/>
        <v>0</v>
      </c>
      <c r="AA162" s="108">
        <f t="shared" ca="1" si="19"/>
        <v>0</v>
      </c>
      <c r="AB162" s="107">
        <f t="shared" ca="1" si="20"/>
        <v>0</v>
      </c>
      <c r="AC162" s="108">
        <f t="shared" ca="1" si="21"/>
        <v>0</v>
      </c>
      <c r="AD162" s="107">
        <f t="shared" ca="1" si="17"/>
        <v>0</v>
      </c>
      <c r="AE162" s="107">
        <f t="shared" ca="1" si="22"/>
        <v>0</v>
      </c>
      <c r="AF162" s="108">
        <f t="shared" ca="1" si="23"/>
        <v>0</v>
      </c>
      <c r="AG162" s="108">
        <f t="shared" ca="1" si="4"/>
        <v>0</v>
      </c>
      <c r="AH162" s="61" t="str" cm="1">
        <f t="array" aca="1" ref="AH162" ca="1">IF((AD162) &lt; (INDEX(ResponseSLA[#All],(MATCH((G162),ResponseSLA[Priority],0))+1,3)),"YES","No")</f>
        <v>YES</v>
      </c>
      <c r="AI162" s="61" t="str">
        <f ca="1">_xlfn.IFNA(IF(AE162 &lt; (INDEX(SLATable[Minimum SLA],MATCH(G162,SLATable[Priority],0))),"YES","NO"),"")</f>
        <v>YES</v>
      </c>
      <c r="AJ162" s="61" t="str">
        <f ca="1">_xlfn.IFNA(IF(AE162 &lt; (INDEX(SLATable[Maximum SLA],MATCH(G162,SLATable[Priority],0))),"YES","NO"),"")</f>
        <v>YES</v>
      </c>
    </row>
    <row r="163" spans="1:36" s="60" customFormat="1" ht="15" hidden="1" customHeight="1">
      <c r="A163" s="60">
        <v>162</v>
      </c>
      <c r="B163" s="60" t="s">
        <v>26</v>
      </c>
      <c r="C163" s="60" t="s">
        <v>27</v>
      </c>
      <c r="D163" s="60" t="s">
        <v>207</v>
      </c>
      <c r="E163" s="60" t="s">
        <v>2983</v>
      </c>
      <c r="F163" s="60" t="s">
        <v>318</v>
      </c>
      <c r="G163" s="105">
        <v>3</v>
      </c>
      <c r="H163" s="212" t="s">
        <v>2724</v>
      </c>
      <c r="I163" s="105" t="s">
        <v>271</v>
      </c>
      <c r="J163" s="60" t="s">
        <v>2954</v>
      </c>
      <c r="K163" s="106">
        <v>46149.126145833332</v>
      </c>
      <c r="L163" s="106">
        <v>46149.235555555555</v>
      </c>
      <c r="M163" s="106">
        <v>46149.235555555555</v>
      </c>
      <c r="N163" s="106">
        <v>46152.468263888892</v>
      </c>
      <c r="O163" s="106"/>
      <c r="P163" s="106"/>
      <c r="Z163" s="107">
        <f t="shared" ca="1" si="18"/>
        <v>0.37500000000000006</v>
      </c>
      <c r="AA163" s="108">
        <f t="shared" ca="1" si="19"/>
        <v>1.0000000000000002</v>
      </c>
      <c r="AB163" s="107">
        <f t="shared" ca="1" si="20"/>
        <v>0.37500000000000006</v>
      </c>
      <c r="AC163" s="108">
        <f t="shared" ca="1" si="21"/>
        <v>1.0000000000000002</v>
      </c>
      <c r="AD163" s="107">
        <f t="shared" ca="1" si="17"/>
        <v>0</v>
      </c>
      <c r="AE163" s="107">
        <f t="shared" ca="1" si="22"/>
        <v>0.37500000000000006</v>
      </c>
      <c r="AF163" s="108">
        <f t="shared" ca="1" si="23"/>
        <v>1.0000000000000002</v>
      </c>
      <c r="AG163" s="108">
        <f t="shared" ca="1" si="4"/>
        <v>1.0000000000000002</v>
      </c>
      <c r="AH163" s="61" t="str" cm="1">
        <f t="array" aca="1" ref="AH163" ca="1">IF((AD163) &lt; (INDEX(ResponseSLA[#All],(MATCH((G163),ResponseSLA[Priority],0))+1,3)),"YES","No")</f>
        <v>YES</v>
      </c>
      <c r="AI163" s="61" t="str">
        <f ca="1">_xlfn.IFNA(IF(AE163 &lt; (INDEX(SLATable[Minimum SLA],MATCH(G163,SLATable[Priority],0))),"YES","NO"),"")</f>
        <v>NO</v>
      </c>
      <c r="AJ163" s="61" t="str">
        <f ca="1">_xlfn.IFNA(IF(AE163 &lt; (INDEX(SLATable[Maximum SLA],MATCH(G163,SLATable[Priority],0))),"YES","NO"),"")</f>
        <v>YES</v>
      </c>
    </row>
    <row r="164" spans="1:36" s="60" customFormat="1" ht="15" hidden="1" customHeight="1">
      <c r="A164" s="60">
        <v>163</v>
      </c>
      <c r="B164" s="60" t="s">
        <v>26</v>
      </c>
      <c r="C164" s="60" t="s">
        <v>27</v>
      </c>
      <c r="D164" s="60" t="s">
        <v>207</v>
      </c>
      <c r="E164" s="60" t="s">
        <v>2984</v>
      </c>
      <c r="F164" s="60" t="s">
        <v>318</v>
      </c>
      <c r="G164" s="105">
        <v>3</v>
      </c>
      <c r="H164" s="212" t="s">
        <v>2775</v>
      </c>
      <c r="I164" s="105" t="s">
        <v>271</v>
      </c>
      <c r="J164" s="60" t="s">
        <v>2954</v>
      </c>
      <c r="K164" s="106">
        <v>46147.812893518516</v>
      </c>
      <c r="L164" s="106">
        <v>46147.813009259262</v>
      </c>
      <c r="M164" s="106">
        <v>46148.290439814817</v>
      </c>
      <c r="N164" s="106">
        <v>46152.468252314815</v>
      </c>
      <c r="O164" s="106"/>
      <c r="P164" s="106"/>
      <c r="Z164" s="107">
        <f t="shared" ca="1" si="18"/>
        <v>0.75000000000000011</v>
      </c>
      <c r="AA164" s="108">
        <f t="shared" ca="1" si="19"/>
        <v>2.0000000000000004</v>
      </c>
      <c r="AB164" s="107">
        <f t="shared" ca="1" si="20"/>
        <v>0.75000000000000011</v>
      </c>
      <c r="AC164" s="108">
        <f t="shared" ca="1" si="21"/>
        <v>2.0000000000000004</v>
      </c>
      <c r="AD164" s="107">
        <f t="shared" ca="1" si="17"/>
        <v>0</v>
      </c>
      <c r="AE164" s="107">
        <f t="shared" ca="1" si="22"/>
        <v>0.75000000000000011</v>
      </c>
      <c r="AF164" s="108">
        <f t="shared" ca="1" si="23"/>
        <v>2.0000000000000004</v>
      </c>
      <c r="AG164" s="108">
        <f t="shared" ca="1" si="4"/>
        <v>2.0000000000000004</v>
      </c>
      <c r="AH164" s="61" t="str" cm="1">
        <f t="array" aca="1" ref="AH164" ca="1">IF((AD164) &lt; (INDEX(ResponseSLA[#All],(MATCH((G164),ResponseSLA[Priority],0))+1,3)),"YES","No")</f>
        <v>YES</v>
      </c>
      <c r="AI164" s="61" t="str">
        <f ca="1">_xlfn.IFNA(IF(AE164 &lt; (INDEX(SLATable[Minimum SLA],MATCH(G164,SLATable[Priority],0))),"YES","NO"),"")</f>
        <v>NO</v>
      </c>
      <c r="AJ164" s="61" t="str">
        <f ca="1">_xlfn.IFNA(IF(AE164 &lt; (INDEX(SLATable[Maximum SLA],MATCH(G164,SLATable[Priority],0))),"YES","NO"),"")</f>
        <v>YES</v>
      </c>
    </row>
    <row r="165" spans="1:36" s="60" customFormat="1" ht="15" hidden="1" customHeight="1">
      <c r="A165" s="60">
        <v>164</v>
      </c>
      <c r="B165" s="60" t="s">
        <v>26</v>
      </c>
      <c r="C165" s="60" t="s">
        <v>27</v>
      </c>
      <c r="D165" s="60" t="s">
        <v>207</v>
      </c>
      <c r="E165" s="60" t="s">
        <v>2985</v>
      </c>
      <c r="F165" s="60" t="s">
        <v>318</v>
      </c>
      <c r="G165" s="105">
        <v>3</v>
      </c>
      <c r="H165" s="212" t="s">
        <v>2986</v>
      </c>
      <c r="I165" s="105" t="s">
        <v>271</v>
      </c>
      <c r="J165" s="60" t="s">
        <v>2751</v>
      </c>
      <c r="K165" s="106">
        <v>46157.513148148151</v>
      </c>
      <c r="L165" s="106">
        <v>46157.608622685184</v>
      </c>
      <c r="M165" s="106">
        <v>46157.608622685184</v>
      </c>
      <c r="N165" s="106">
        <v>46169.450648148151</v>
      </c>
      <c r="O165" s="106"/>
      <c r="P165" s="106"/>
      <c r="Z165" s="107">
        <f t="shared" ca="1" si="18"/>
        <v>2.5625000000000004</v>
      </c>
      <c r="AA165" s="108">
        <f t="shared" ca="1" si="19"/>
        <v>6.8333333333333348</v>
      </c>
      <c r="AB165" s="107">
        <f t="shared" ca="1" si="20"/>
        <v>2.4670254629672859</v>
      </c>
      <c r="AC165" s="108">
        <f t="shared" ca="1" si="21"/>
        <v>6.5787345679127629</v>
      </c>
      <c r="AD165" s="107">
        <f t="shared" ca="1" si="17"/>
        <v>0</v>
      </c>
      <c r="AE165" s="107">
        <f t="shared" ca="1" si="22"/>
        <v>2.4670254629672859</v>
      </c>
      <c r="AF165" s="108">
        <f t="shared" ca="1" si="23"/>
        <v>6.5787345679127629</v>
      </c>
      <c r="AG165" s="108">
        <f t="shared" ca="1" si="4"/>
        <v>6.5787345679127629</v>
      </c>
      <c r="AH165" s="61" t="str" cm="1">
        <f t="array" aca="1" ref="AH165" ca="1">IF((AD165) &lt; (INDEX(ResponseSLA[#All],(MATCH((G165),ResponseSLA[Priority],0))+1,3)),"YES","No")</f>
        <v>YES</v>
      </c>
      <c r="AI165" s="61" t="str">
        <f ca="1">_xlfn.IFNA(IF(AE165 &lt; (INDEX(SLATable[Minimum SLA],MATCH(G165,SLATable[Priority],0))),"YES","NO"),"")</f>
        <v>NO</v>
      </c>
      <c r="AJ165" s="61" t="str">
        <f ca="1">_xlfn.IFNA(IF(AE165 &lt; (INDEX(SLATable[Maximum SLA],MATCH(G165,SLATable[Priority],0))),"YES","NO"),"")</f>
        <v>NO</v>
      </c>
    </row>
    <row r="166" spans="1:36" s="60" customFormat="1" ht="15" hidden="1" customHeight="1">
      <c r="A166" s="60">
        <v>165</v>
      </c>
      <c r="B166" s="60" t="s">
        <v>26</v>
      </c>
      <c r="C166" s="60" t="s">
        <v>27</v>
      </c>
      <c r="D166" s="60" t="s">
        <v>207</v>
      </c>
      <c r="E166" s="60" t="s">
        <v>2987</v>
      </c>
      <c r="F166" s="60" t="s">
        <v>318</v>
      </c>
      <c r="G166" s="105">
        <v>3</v>
      </c>
      <c r="H166" s="212" t="s">
        <v>2775</v>
      </c>
      <c r="I166" s="105" t="s">
        <v>271</v>
      </c>
      <c r="J166" s="60" t="s">
        <v>2751</v>
      </c>
      <c r="K166" s="106">
        <v>46163.003888888888</v>
      </c>
      <c r="L166" s="106">
        <v>46163.003981481481</v>
      </c>
      <c r="M166" s="106">
        <v>46163.228750000002</v>
      </c>
      <c r="N166" s="106">
        <v>46166.301724537036</v>
      </c>
      <c r="O166" s="106"/>
      <c r="P166" s="106"/>
      <c r="U166" s="60" t="s">
        <v>428</v>
      </c>
      <c r="Z166" s="107">
        <f t="shared" ca="1" si="18"/>
        <v>0.37500000000000006</v>
      </c>
      <c r="AA166" s="108">
        <f t="shared" ca="1" si="19"/>
        <v>1.0000000000000002</v>
      </c>
      <c r="AB166" s="107">
        <f t="shared" ca="1" si="20"/>
        <v>0.37500000000000006</v>
      </c>
      <c r="AC166" s="108">
        <f t="shared" ca="1" si="21"/>
        <v>1.0000000000000002</v>
      </c>
      <c r="AD166" s="107">
        <f t="shared" ca="1" si="17"/>
        <v>0</v>
      </c>
      <c r="AE166" s="107">
        <f t="shared" ca="1" si="22"/>
        <v>0.37500000000000006</v>
      </c>
      <c r="AF166" s="108">
        <f t="shared" ca="1" si="23"/>
        <v>1.0000000000000002</v>
      </c>
      <c r="AG166" s="108">
        <f t="shared" ca="1" si="4"/>
        <v>1.0000000000000002</v>
      </c>
      <c r="AH166" s="61" t="str" cm="1">
        <f t="array" aca="1" ref="AH166" ca="1">IF((AD166) &lt; (INDEX(ResponseSLA[#All],(MATCH((G166),ResponseSLA[Priority],0))+1,3)),"YES","No")</f>
        <v>YES</v>
      </c>
      <c r="AI166" s="61" t="str">
        <f ca="1">_xlfn.IFNA(IF(AE166 &lt; (INDEX(SLATable[Minimum SLA],MATCH(G166,SLATable[Priority],0))),"YES","NO"),"")</f>
        <v>NO</v>
      </c>
      <c r="AJ166" s="61" t="str">
        <f ca="1">_xlfn.IFNA(IF(AE166 &lt; (INDEX(SLATable[Maximum SLA],MATCH(G166,SLATable[Priority],0))),"YES","NO"),"")</f>
        <v>YES</v>
      </c>
    </row>
    <row r="167" spans="1:36" s="60" customFormat="1" ht="15" hidden="1" customHeight="1">
      <c r="A167" s="60">
        <v>166</v>
      </c>
      <c r="B167" s="60" t="s">
        <v>26</v>
      </c>
      <c r="C167" s="60" t="s">
        <v>27</v>
      </c>
      <c r="D167" s="60" t="s">
        <v>207</v>
      </c>
      <c r="E167" s="60" t="s">
        <v>2988</v>
      </c>
      <c r="F167" s="60" t="s">
        <v>318</v>
      </c>
      <c r="G167" s="105">
        <v>3</v>
      </c>
      <c r="H167" s="212" t="s">
        <v>2775</v>
      </c>
      <c r="I167" s="105" t="s">
        <v>271</v>
      </c>
      <c r="J167" s="60" t="s">
        <v>2738</v>
      </c>
      <c r="K167" s="106">
        <v>46160.861689814818</v>
      </c>
      <c r="L167" s="106">
        <v>46160.861689814818</v>
      </c>
      <c r="M167" s="106">
        <v>46161.254143518519</v>
      </c>
      <c r="N167" s="106">
        <v>46161.324618055558</v>
      </c>
      <c r="O167" s="106"/>
      <c r="P167" s="106"/>
      <c r="Z167" s="107">
        <f t="shared" ca="1" si="18"/>
        <v>0</v>
      </c>
      <c r="AA167" s="108">
        <f t="shared" ca="1" si="19"/>
        <v>0</v>
      </c>
      <c r="AB167" s="107">
        <f t="shared" ca="1" si="20"/>
        <v>0</v>
      </c>
      <c r="AC167" s="108">
        <f t="shared" ca="1" si="21"/>
        <v>0</v>
      </c>
      <c r="AD167" s="107">
        <f t="shared" ca="1" si="17"/>
        <v>0</v>
      </c>
      <c r="AE167" s="107">
        <f t="shared" ca="1" si="22"/>
        <v>0</v>
      </c>
      <c r="AF167" s="108">
        <f t="shared" ca="1" si="23"/>
        <v>0</v>
      </c>
      <c r="AG167" s="108">
        <f t="shared" ca="1" si="4"/>
        <v>0</v>
      </c>
      <c r="AH167" s="61" t="str" cm="1">
        <f t="array" aca="1" ref="AH167" ca="1">IF((AD167) &lt; (INDEX(ResponseSLA[#All],(MATCH((G167),ResponseSLA[Priority],0))+1,3)),"YES","No")</f>
        <v>YES</v>
      </c>
      <c r="AI167" s="61" t="str">
        <f ca="1">_xlfn.IFNA(IF(AE167 &lt; (INDEX(SLATable[Minimum SLA],MATCH(G167,SLATable[Priority],0))),"YES","NO"),"")</f>
        <v>YES</v>
      </c>
      <c r="AJ167" s="61" t="str">
        <f ca="1">_xlfn.IFNA(IF(AE167 &lt; (INDEX(SLATable[Maximum SLA],MATCH(G167,SLATable[Priority],0))),"YES","NO"),"")</f>
        <v>YES</v>
      </c>
    </row>
    <row r="168" spans="1:36" s="60" customFormat="1" ht="15" hidden="1" customHeight="1">
      <c r="A168" s="60">
        <v>167</v>
      </c>
      <c r="B168" s="60" t="s">
        <v>26</v>
      </c>
      <c r="C168" s="60" t="s">
        <v>27</v>
      </c>
      <c r="D168" s="60" t="s">
        <v>207</v>
      </c>
      <c r="E168" s="60" t="s">
        <v>2989</v>
      </c>
      <c r="F168" s="60" t="s">
        <v>318</v>
      </c>
      <c r="G168" s="105">
        <v>3</v>
      </c>
      <c r="H168" s="212" t="s">
        <v>2724</v>
      </c>
      <c r="I168" s="105" t="s">
        <v>271</v>
      </c>
      <c r="J168" s="60" t="s">
        <v>2738</v>
      </c>
      <c r="K168" s="106">
        <v>46149.224803240744</v>
      </c>
      <c r="L168" s="106">
        <v>46149.224803240744</v>
      </c>
      <c r="M168" s="106">
        <v>46149.23636574074</v>
      </c>
      <c r="N168" s="106">
        <v>46149.546273148146</v>
      </c>
      <c r="O168" s="106"/>
      <c r="P168" s="106"/>
      <c r="Z168" s="107">
        <f t="shared" ca="1" si="18"/>
        <v>0.21293981481236796</v>
      </c>
      <c r="AA168" s="108">
        <f t="shared" ca="1" si="19"/>
        <v>0.56783950616631451</v>
      </c>
      <c r="AB168" s="107">
        <f t="shared" ca="1" si="20"/>
        <v>0.21293981481236796</v>
      </c>
      <c r="AC168" s="108">
        <f t="shared" ca="1" si="21"/>
        <v>0.56783950616631451</v>
      </c>
      <c r="AD168" s="107">
        <f t="shared" ca="1" si="17"/>
        <v>0</v>
      </c>
      <c r="AE168" s="107">
        <f t="shared" ca="1" si="22"/>
        <v>0.21293981481236796</v>
      </c>
      <c r="AF168" s="108">
        <f t="shared" ca="1" si="23"/>
        <v>0.56783950616631451</v>
      </c>
      <c r="AG168" s="108">
        <f t="shared" ca="1" si="4"/>
        <v>0.56783950616631451</v>
      </c>
      <c r="AH168" s="61" t="str" cm="1">
        <f t="array" aca="1" ref="AH168" ca="1">IF((AD168) &lt; (INDEX(ResponseSLA[#All],(MATCH((G168),ResponseSLA[Priority],0))+1,3)),"YES","No")</f>
        <v>YES</v>
      </c>
      <c r="AI168" s="61" t="str">
        <f ca="1">_xlfn.IFNA(IF(AE168 &lt; (INDEX(SLATable[Minimum SLA],MATCH(G168,SLATable[Priority],0))),"YES","NO"),"")</f>
        <v>YES</v>
      </c>
      <c r="AJ168" s="61" t="str">
        <f ca="1">_xlfn.IFNA(IF(AE168 &lt; (INDEX(SLATable[Maximum SLA],MATCH(G168,SLATable[Priority],0))),"YES","NO"),"")</f>
        <v>YES</v>
      </c>
    </row>
    <row r="169" spans="1:36" s="60" customFormat="1" ht="15" hidden="1" customHeight="1">
      <c r="A169" s="60">
        <v>168</v>
      </c>
      <c r="B169" s="60" t="s">
        <v>26</v>
      </c>
      <c r="C169" s="60" t="s">
        <v>27</v>
      </c>
      <c r="D169" s="60" t="s">
        <v>207</v>
      </c>
      <c r="E169" s="60" t="s">
        <v>2990</v>
      </c>
      <c r="F169" s="60" t="s">
        <v>318</v>
      </c>
      <c r="G169" s="105">
        <v>3</v>
      </c>
      <c r="H169" s="212" t="s">
        <v>2724</v>
      </c>
      <c r="I169" s="105" t="s">
        <v>271</v>
      </c>
      <c r="J169" s="60" t="s">
        <v>2725</v>
      </c>
      <c r="K169" s="106">
        <v>46171.382395833331</v>
      </c>
      <c r="L169" s="106">
        <v>46171.382511574076</v>
      </c>
      <c r="M169" s="106">
        <v>46171.284328703703</v>
      </c>
      <c r="N169" s="106">
        <v>46171.479375000003</v>
      </c>
      <c r="O169" s="106"/>
      <c r="P169" s="106"/>
      <c r="Q169" s="60" t="s">
        <v>2726</v>
      </c>
      <c r="R169" s="60" t="s">
        <v>272</v>
      </c>
      <c r="S169" s="60" t="s">
        <v>149</v>
      </c>
      <c r="Z169" s="107">
        <f t="shared" ca="1" si="18"/>
        <v>9.6979166672099382E-2</v>
      </c>
      <c r="AA169" s="108">
        <f t="shared" ca="1" si="19"/>
        <v>0.25861111112559837</v>
      </c>
      <c r="AB169" s="107">
        <f t="shared" ca="1" si="20"/>
        <v>9.6863425926130731E-2</v>
      </c>
      <c r="AC169" s="108">
        <f t="shared" ca="1" si="21"/>
        <v>0.25830246913634863</v>
      </c>
      <c r="AD169" s="107">
        <f t="shared" ca="1" si="17"/>
        <v>0</v>
      </c>
      <c r="AE169" s="107">
        <f t="shared" ca="1" si="22"/>
        <v>9.6863425926130731E-2</v>
      </c>
      <c r="AF169" s="108">
        <f t="shared" ca="1" si="23"/>
        <v>0.25830246913634863</v>
      </c>
      <c r="AG169" s="108">
        <f t="shared" ca="1" si="4"/>
        <v>0.25830246913634863</v>
      </c>
      <c r="AH169" s="61" t="str" cm="1">
        <f t="array" aca="1" ref="AH169" ca="1">IF((AD169) &lt; (INDEX(ResponseSLA[#All],(MATCH((G169),ResponseSLA[Priority],0))+1,3)),"YES","No")</f>
        <v>YES</v>
      </c>
      <c r="AI169" s="61" t="str">
        <f ca="1">_xlfn.IFNA(IF(AE169 &lt; (INDEX(SLATable[Minimum SLA],MATCH(G169,SLATable[Priority],0))),"YES","NO"),"")</f>
        <v>YES</v>
      </c>
      <c r="AJ169" s="61" t="str">
        <f ca="1">_xlfn.IFNA(IF(AE169 &lt; (INDEX(SLATable[Maximum SLA],MATCH(G169,SLATable[Priority],0))),"YES","NO"),"")</f>
        <v>YES</v>
      </c>
    </row>
    <row r="170" spans="1:36" s="60" customFormat="1" ht="15" hidden="1" customHeight="1">
      <c r="A170" s="60">
        <v>169</v>
      </c>
      <c r="B170" s="60" t="s">
        <v>26</v>
      </c>
      <c r="C170" s="60" t="s">
        <v>27</v>
      </c>
      <c r="D170" s="60" t="s">
        <v>207</v>
      </c>
      <c r="E170" s="60" t="s">
        <v>2991</v>
      </c>
      <c r="F170" s="60" t="s">
        <v>318</v>
      </c>
      <c r="G170" s="105">
        <v>3</v>
      </c>
      <c r="H170" s="212" t="s">
        <v>2775</v>
      </c>
      <c r="I170" s="105" t="s">
        <v>271</v>
      </c>
      <c r="J170" s="60" t="s">
        <v>2738</v>
      </c>
      <c r="K170" s="106">
        <v>46161.656064814815</v>
      </c>
      <c r="L170" s="106">
        <v>46161.656064814815</v>
      </c>
      <c r="M170" s="106">
        <v>46162.229212962964</v>
      </c>
      <c r="N170" s="106">
        <v>46162.393969907411</v>
      </c>
      <c r="O170" s="106"/>
      <c r="P170" s="106"/>
      <c r="Z170" s="107">
        <f t="shared" ca="1" si="18"/>
        <v>0.11290509259561077</v>
      </c>
      <c r="AA170" s="108">
        <f t="shared" ca="1" si="19"/>
        <v>0.30108024692162871</v>
      </c>
      <c r="AB170" s="107">
        <f t="shared" ca="1" si="20"/>
        <v>0.11290509259561077</v>
      </c>
      <c r="AC170" s="108">
        <f t="shared" ca="1" si="21"/>
        <v>0.30108024692162871</v>
      </c>
      <c r="AD170" s="107">
        <f t="shared" ca="1" si="17"/>
        <v>5.2268518518152063E-2</v>
      </c>
      <c r="AE170" s="107">
        <f t="shared" ca="1" si="22"/>
        <v>0.11290509259561077</v>
      </c>
      <c r="AF170" s="108">
        <f t="shared" ca="1" si="23"/>
        <v>0.30108024692162871</v>
      </c>
      <c r="AG170" s="108">
        <f t="shared" ca="1" si="4"/>
        <v>0.30108024692162871</v>
      </c>
      <c r="AH170" s="61" t="str" cm="1">
        <f t="array" aca="1" ref="AH170" ca="1">IF((AD170) &lt; (INDEX(ResponseSLA[#All],(MATCH((G170),ResponseSLA[Priority],0))+1,3)),"YES","No")</f>
        <v>YES</v>
      </c>
      <c r="AI170" s="61" t="str">
        <f ca="1">_xlfn.IFNA(IF(AE170 &lt; (INDEX(SLATable[Minimum SLA],MATCH(G170,SLATable[Priority],0))),"YES","NO"),"")</f>
        <v>YES</v>
      </c>
      <c r="AJ170" s="61" t="str">
        <f ca="1">_xlfn.IFNA(IF(AE170 &lt; (INDEX(SLATable[Maximum SLA],MATCH(G170,SLATable[Priority],0))),"YES","NO"),"")</f>
        <v>YES</v>
      </c>
    </row>
    <row r="171" spans="1:36" s="60" customFormat="1" ht="15" hidden="1" customHeight="1">
      <c r="A171" s="60">
        <v>170</v>
      </c>
      <c r="B171" s="60" t="s">
        <v>26</v>
      </c>
      <c r="C171" s="60" t="s">
        <v>27</v>
      </c>
      <c r="D171" s="60" t="s">
        <v>207</v>
      </c>
      <c r="E171" s="60" t="s">
        <v>2992</v>
      </c>
      <c r="F171" s="60" t="s">
        <v>318</v>
      </c>
      <c r="G171" s="105">
        <v>4</v>
      </c>
      <c r="H171" s="212" t="s">
        <v>2993</v>
      </c>
      <c r="I171" s="105" t="s">
        <v>271</v>
      </c>
      <c r="J171" s="60" t="s">
        <v>2738</v>
      </c>
      <c r="K171" s="106">
        <v>46156.652685185189</v>
      </c>
      <c r="L171" s="106">
        <v>46156.654548611114</v>
      </c>
      <c r="M171" s="106">
        <v>46157.24827546296</v>
      </c>
      <c r="N171" s="106">
        <v>46160.287731481483</v>
      </c>
      <c r="O171" s="106"/>
      <c r="P171" s="106"/>
      <c r="Z171" s="107">
        <f t="shared" ca="1" si="18"/>
        <v>0.43064814814473129</v>
      </c>
      <c r="AA171" s="108">
        <f t="shared" ca="1" si="19"/>
        <v>1.1483950617192835</v>
      </c>
      <c r="AB171" s="107">
        <f t="shared" ca="1" si="20"/>
        <v>0.42878472221976471</v>
      </c>
      <c r="AC171" s="108">
        <f t="shared" ca="1" si="21"/>
        <v>1.1434259259193726</v>
      </c>
      <c r="AD171" s="107">
        <f t="shared" ca="1" si="17"/>
        <v>5.3784722219764602E-2</v>
      </c>
      <c r="AE171" s="107">
        <f t="shared" ca="1" si="22"/>
        <v>0.42878472221976471</v>
      </c>
      <c r="AF171" s="108">
        <f t="shared" ca="1" si="23"/>
        <v>1.1434259259193726</v>
      </c>
      <c r="AG171" s="108">
        <f t="shared" ca="1" si="4"/>
        <v>1.1434259259193726</v>
      </c>
      <c r="AH171" s="61" t="str" cm="1">
        <f t="array" aca="1" ref="AH171" ca="1">IF((AD171) &lt; (INDEX(ResponseSLA[#All],(MATCH((G171),ResponseSLA[Priority],0))+1,3)),"YES","No")</f>
        <v>YES</v>
      </c>
      <c r="AI171" s="61" t="str">
        <f ca="1">_xlfn.IFNA(IF(AE171 &lt; (INDEX(SLATable[Minimum SLA],MATCH(G171,SLATable[Priority],0))),"YES","NO"),"")</f>
        <v>YES</v>
      </c>
      <c r="AJ171" s="61" t="str">
        <f ca="1">_xlfn.IFNA(IF(AE171 &lt; (INDEX(SLATable[Maximum SLA],MATCH(G171,SLATable[Priority],0))),"YES","NO"),"")</f>
        <v>YES</v>
      </c>
    </row>
    <row r="172" spans="1:36" s="60" customFormat="1" ht="15" hidden="1" customHeight="1">
      <c r="A172" s="60">
        <v>171</v>
      </c>
      <c r="B172" s="60" t="s">
        <v>26</v>
      </c>
      <c r="C172" s="60" t="s">
        <v>27</v>
      </c>
      <c r="D172" s="60" t="s">
        <v>207</v>
      </c>
      <c r="E172" s="60" t="s">
        <v>2994</v>
      </c>
      <c r="F172" s="60" t="s">
        <v>318</v>
      </c>
      <c r="G172" s="105">
        <v>3</v>
      </c>
      <c r="H172" s="212" t="s">
        <v>2775</v>
      </c>
      <c r="I172" s="105" t="s">
        <v>271</v>
      </c>
      <c r="J172" s="60" t="s">
        <v>2751</v>
      </c>
      <c r="K172" s="106">
        <v>46161.733842592592</v>
      </c>
      <c r="L172" s="106">
        <v>46161.733877314815</v>
      </c>
      <c r="M172" s="106">
        <v>46162.231608796297</v>
      </c>
      <c r="N172" s="106">
        <v>46165.301365740743</v>
      </c>
      <c r="O172" s="106"/>
      <c r="P172" s="106"/>
      <c r="Z172" s="107">
        <f t="shared" ca="1" si="18"/>
        <v>0.75000000000000011</v>
      </c>
      <c r="AA172" s="108">
        <f t="shared" ca="1" si="19"/>
        <v>2.0000000000000004</v>
      </c>
      <c r="AB172" s="107">
        <f t="shared" ca="1" si="20"/>
        <v>0.75000000000000011</v>
      </c>
      <c r="AC172" s="108">
        <f t="shared" ca="1" si="21"/>
        <v>2.0000000000000004</v>
      </c>
      <c r="AD172" s="107">
        <f t="shared" ca="1" si="17"/>
        <v>0</v>
      </c>
      <c r="AE172" s="107">
        <f t="shared" ca="1" si="22"/>
        <v>0.75000000000000011</v>
      </c>
      <c r="AF172" s="108">
        <f t="shared" ca="1" si="23"/>
        <v>2.0000000000000004</v>
      </c>
      <c r="AG172" s="108">
        <f t="shared" ca="1" si="4"/>
        <v>2.0000000000000004</v>
      </c>
      <c r="AH172" s="61" t="str" cm="1">
        <f t="array" aca="1" ref="AH172" ca="1">IF((AD172) &lt; (INDEX(ResponseSLA[#All],(MATCH((G172),ResponseSLA[Priority],0))+1,3)),"YES","No")</f>
        <v>YES</v>
      </c>
      <c r="AI172" s="61" t="str">
        <f ca="1">_xlfn.IFNA(IF(AE172 &lt; (INDEX(SLATable[Minimum SLA],MATCH(G172,SLATable[Priority],0))),"YES","NO"),"")</f>
        <v>NO</v>
      </c>
      <c r="AJ172" s="61" t="str">
        <f ca="1">_xlfn.IFNA(IF(AE172 &lt; (INDEX(SLATable[Maximum SLA],MATCH(G172,SLATable[Priority],0))),"YES","NO"),"")</f>
        <v>YES</v>
      </c>
    </row>
    <row r="173" spans="1:36" s="60" customFormat="1" ht="15" hidden="1" customHeight="1">
      <c r="A173" s="60">
        <v>172</v>
      </c>
      <c r="B173" s="60" t="s">
        <v>26</v>
      </c>
      <c r="C173" s="60" t="s">
        <v>27</v>
      </c>
      <c r="D173" s="60" t="s">
        <v>207</v>
      </c>
      <c r="E173" s="60" t="s">
        <v>2995</v>
      </c>
      <c r="F173" s="60" t="s">
        <v>318</v>
      </c>
      <c r="G173" s="105">
        <v>3</v>
      </c>
      <c r="H173" s="212" t="s">
        <v>2724</v>
      </c>
      <c r="I173" s="105" t="s">
        <v>271</v>
      </c>
      <c r="J173" s="60" t="s">
        <v>2738</v>
      </c>
      <c r="K173" s="106">
        <v>46160.483969907407</v>
      </c>
      <c r="L173" s="106">
        <v>46160.484027777777</v>
      </c>
      <c r="M173" s="106">
        <v>46160.486724537041</v>
      </c>
      <c r="N173" s="106">
        <v>46160.489236111112</v>
      </c>
      <c r="O173" s="106"/>
      <c r="P173" s="106"/>
      <c r="Z173" s="107">
        <f t="shared" ca="1" si="18"/>
        <v>5.2662037051049992E-3</v>
      </c>
      <c r="AA173" s="108">
        <f t="shared" ca="1" si="19"/>
        <v>1.4043209880279997E-2</v>
      </c>
      <c r="AB173" s="107">
        <f t="shared" ca="1" si="20"/>
        <v>5.2083333357586525E-3</v>
      </c>
      <c r="AC173" s="108">
        <f t="shared" ca="1" si="21"/>
        <v>1.3888888895356407E-2</v>
      </c>
      <c r="AD173" s="107">
        <f t="shared" ca="1" si="17"/>
        <v>2.6967592639266513E-3</v>
      </c>
      <c r="AE173" s="107">
        <f t="shared" ca="1" si="22"/>
        <v>5.2083333357586525E-3</v>
      </c>
      <c r="AF173" s="108">
        <f t="shared" ca="1" si="23"/>
        <v>1.3888888895356407E-2</v>
      </c>
      <c r="AG173" s="108">
        <f t="shared" ca="1" si="4"/>
        <v>1.3888888895356407E-2</v>
      </c>
      <c r="AH173" s="61" t="str" cm="1">
        <f t="array" aca="1" ref="AH173" ca="1">IF((AD173) &lt; (INDEX(ResponseSLA[#All],(MATCH((G173),ResponseSLA[Priority],0))+1,3)),"YES","No")</f>
        <v>YES</v>
      </c>
      <c r="AI173" s="61" t="str">
        <f ca="1">_xlfn.IFNA(IF(AE173 &lt; (INDEX(SLATable[Minimum SLA],MATCH(G173,SLATable[Priority],0))),"YES","NO"),"")</f>
        <v>YES</v>
      </c>
      <c r="AJ173" s="61" t="str">
        <f ca="1">_xlfn.IFNA(IF(AE173 &lt; (INDEX(SLATable[Maximum SLA],MATCH(G173,SLATable[Priority],0))),"YES","NO"),"")</f>
        <v>YES</v>
      </c>
    </row>
    <row r="174" spans="1:36" s="60" customFormat="1" ht="15" hidden="1" customHeight="1">
      <c r="A174" s="60">
        <v>173</v>
      </c>
      <c r="B174" s="60" t="s">
        <v>26</v>
      </c>
      <c r="C174" s="60" t="s">
        <v>27</v>
      </c>
      <c r="D174" s="60" t="s">
        <v>207</v>
      </c>
      <c r="E174" s="60" t="s">
        <v>2996</v>
      </c>
      <c r="F174" s="60" t="s">
        <v>318</v>
      </c>
      <c r="G174" s="105">
        <v>3</v>
      </c>
      <c r="H174" s="212" t="s">
        <v>2775</v>
      </c>
      <c r="I174" s="105" t="s">
        <v>271</v>
      </c>
      <c r="J174" s="60" t="s">
        <v>2738</v>
      </c>
      <c r="K174" s="106">
        <v>46161.656759259262</v>
      </c>
      <c r="L174" s="106">
        <v>46161.656817129631</v>
      </c>
      <c r="M174" s="106">
        <v>46162.227141203701</v>
      </c>
      <c r="N174" s="106">
        <v>46165.426759259259</v>
      </c>
      <c r="O174" s="106"/>
      <c r="P174" s="106"/>
      <c r="Z174" s="107">
        <f t="shared" ca="1" si="18"/>
        <v>0.8015740740714441</v>
      </c>
      <c r="AA174" s="108">
        <f t="shared" ca="1" si="19"/>
        <v>2.1375308641905177</v>
      </c>
      <c r="AB174" s="107">
        <f t="shared" ca="1" si="20"/>
        <v>0.80151620370209775</v>
      </c>
      <c r="AC174" s="108">
        <f t="shared" ca="1" si="21"/>
        <v>2.137376543205594</v>
      </c>
      <c r="AD174" s="107">
        <f t="shared" ca="1" si="17"/>
        <v>5.151620370209764E-2</v>
      </c>
      <c r="AE174" s="107">
        <f t="shared" ca="1" si="22"/>
        <v>0.80151620370209775</v>
      </c>
      <c r="AF174" s="108">
        <f t="shared" ca="1" si="23"/>
        <v>2.137376543205594</v>
      </c>
      <c r="AG174" s="108">
        <f t="shared" ca="1" si="4"/>
        <v>2.137376543205594</v>
      </c>
      <c r="AH174" s="61" t="str" cm="1">
        <f t="array" aca="1" ref="AH174" ca="1">IF((AD174) &lt; (INDEX(ResponseSLA[#All],(MATCH((G174),ResponseSLA[Priority],0))+1,3)),"YES","No")</f>
        <v>YES</v>
      </c>
      <c r="AI174" s="61" t="str">
        <f ca="1">_xlfn.IFNA(IF(AE174 &lt; (INDEX(SLATable[Minimum SLA],MATCH(G174,SLATable[Priority],0))),"YES","NO"),"")</f>
        <v>NO</v>
      </c>
      <c r="AJ174" s="61" t="str">
        <f ca="1">_xlfn.IFNA(IF(AE174 &lt; (INDEX(SLATable[Maximum SLA],MATCH(G174,SLATable[Priority],0))),"YES","NO"),"")</f>
        <v>YES</v>
      </c>
    </row>
    <row r="175" spans="1:36" s="60" customFormat="1" ht="15" hidden="1" customHeight="1">
      <c r="A175" s="60">
        <v>174</v>
      </c>
      <c r="B175" s="60" t="s">
        <v>26</v>
      </c>
      <c r="C175" s="60" t="s">
        <v>27</v>
      </c>
      <c r="D175" s="60" t="s">
        <v>207</v>
      </c>
      <c r="E175" s="60" t="s">
        <v>2997</v>
      </c>
      <c r="F175" s="60" t="s">
        <v>318</v>
      </c>
      <c r="G175" s="105">
        <v>3</v>
      </c>
      <c r="H175" s="212" t="s">
        <v>2775</v>
      </c>
      <c r="I175" s="105" t="s">
        <v>271</v>
      </c>
      <c r="J175" s="60" t="s">
        <v>2751</v>
      </c>
      <c r="K175" s="106">
        <v>46159.760879629626</v>
      </c>
      <c r="L175" s="106">
        <v>46159.760995370372</v>
      </c>
      <c r="M175" s="106">
        <v>46160.246747685182</v>
      </c>
      <c r="N175" s="106">
        <v>46164.468923611108</v>
      </c>
      <c r="O175" s="106"/>
      <c r="P175" s="106"/>
      <c r="Z175" s="107">
        <f t="shared" ca="1" si="18"/>
        <v>1.635590277774706</v>
      </c>
      <c r="AA175" s="108">
        <f t="shared" ca="1" si="19"/>
        <v>4.3615740740658824</v>
      </c>
      <c r="AB175" s="107">
        <f t="shared" ca="1" si="20"/>
        <v>1.635590277774706</v>
      </c>
      <c r="AC175" s="108">
        <f t="shared" ca="1" si="21"/>
        <v>4.3615740740658824</v>
      </c>
      <c r="AD175" s="107">
        <f t="shared" ca="1" si="17"/>
        <v>0</v>
      </c>
      <c r="AE175" s="107">
        <f t="shared" ca="1" si="22"/>
        <v>1.635590277774706</v>
      </c>
      <c r="AF175" s="108">
        <f t="shared" ca="1" si="23"/>
        <v>4.3615740740658824</v>
      </c>
      <c r="AG175" s="108">
        <f t="shared" ca="1" si="4"/>
        <v>4.3615740740658824</v>
      </c>
      <c r="AH175" s="61" t="str" cm="1">
        <f t="array" aca="1" ref="AH175" ca="1">IF((AD175) &lt; (INDEX(ResponseSLA[#All],(MATCH((G175),ResponseSLA[Priority],0))+1,3)),"YES","No")</f>
        <v>YES</v>
      </c>
      <c r="AI175" s="61" t="str">
        <f ca="1">_xlfn.IFNA(IF(AE175 &lt; (INDEX(SLATable[Minimum SLA],MATCH(G175,SLATable[Priority],0))),"YES","NO"),"")</f>
        <v>NO</v>
      </c>
      <c r="AJ175" s="61" t="str">
        <f ca="1">_xlfn.IFNA(IF(AE175 &lt; (INDEX(SLATable[Maximum SLA],MATCH(G175,SLATable[Priority],0))),"YES","NO"),"")</f>
        <v>YES</v>
      </c>
    </row>
    <row r="176" spans="1:36" s="60" customFormat="1" ht="15" hidden="1" customHeight="1">
      <c r="A176" s="60">
        <v>175</v>
      </c>
      <c r="B176" s="60" t="s">
        <v>26</v>
      </c>
      <c r="C176" s="60" t="s">
        <v>27</v>
      </c>
      <c r="D176" s="60" t="s">
        <v>207</v>
      </c>
      <c r="E176" s="60" t="s">
        <v>2998</v>
      </c>
      <c r="F176" s="60" t="s">
        <v>318</v>
      </c>
      <c r="G176" s="105">
        <v>3</v>
      </c>
      <c r="H176" s="212" t="s">
        <v>2999</v>
      </c>
      <c r="I176" s="105" t="s">
        <v>271</v>
      </c>
      <c r="J176" s="60" t="s">
        <v>2751</v>
      </c>
      <c r="K176" s="106">
        <v>46157.34447916667</v>
      </c>
      <c r="L176" s="106">
        <v>46157.344606481478</v>
      </c>
      <c r="M176" s="106">
        <v>46157.362754629627</v>
      </c>
      <c r="N176" s="106">
        <v>46164.472384259258</v>
      </c>
      <c r="O176" s="106"/>
      <c r="P176" s="106"/>
      <c r="Z176" s="107">
        <f t="shared" ca="1" si="18"/>
        <v>2.0029050925877527</v>
      </c>
      <c r="AA176" s="108">
        <f t="shared" ca="1" si="19"/>
        <v>5.341080246900674</v>
      </c>
      <c r="AB176" s="107">
        <f t="shared" ca="1" si="20"/>
        <v>2.0027777777795563</v>
      </c>
      <c r="AC176" s="108">
        <f t="shared" ca="1" si="21"/>
        <v>5.3407407407454839</v>
      </c>
      <c r="AD176" s="107">
        <f t="shared" ca="1" si="17"/>
        <v>1.8148148148611654E-2</v>
      </c>
      <c r="AE176" s="107">
        <f t="shared" ca="1" si="22"/>
        <v>2.0027777777795563</v>
      </c>
      <c r="AF176" s="108">
        <f t="shared" ca="1" si="23"/>
        <v>5.3407407407454839</v>
      </c>
      <c r="AG176" s="108">
        <f t="shared" ca="1" si="4"/>
        <v>5.3407407407454839</v>
      </c>
      <c r="AH176" s="61" t="str" cm="1">
        <f t="array" aca="1" ref="AH176" ca="1">IF((AD176) &lt; (INDEX(ResponseSLA[#All],(MATCH((G176),ResponseSLA[Priority],0))+1,3)),"YES","No")</f>
        <v>YES</v>
      </c>
      <c r="AI176" s="61" t="str">
        <f ca="1">_xlfn.IFNA(IF(AE176 &lt; (INDEX(SLATable[Minimum SLA],MATCH(G176,SLATable[Priority],0))),"YES","NO"),"")</f>
        <v>NO</v>
      </c>
      <c r="AJ176" s="61" t="str">
        <f ca="1">_xlfn.IFNA(IF(AE176 &lt; (INDEX(SLATable[Maximum SLA],MATCH(G176,SLATable[Priority],0))),"YES","NO"),"")</f>
        <v>NO</v>
      </c>
    </row>
    <row r="177" spans="1:36" s="60" customFormat="1" ht="15" hidden="1" customHeight="1">
      <c r="A177" s="60">
        <v>176</v>
      </c>
      <c r="B177" s="60" t="s">
        <v>26</v>
      </c>
      <c r="C177" s="60" t="s">
        <v>27</v>
      </c>
      <c r="D177" s="60" t="s">
        <v>207</v>
      </c>
      <c r="E177" s="60" t="s">
        <v>3000</v>
      </c>
      <c r="F177" s="60" t="s">
        <v>318</v>
      </c>
      <c r="G177" s="105">
        <v>3</v>
      </c>
      <c r="H177" s="212" t="s">
        <v>2775</v>
      </c>
      <c r="I177" s="105" t="s">
        <v>271</v>
      </c>
      <c r="J177" s="60" t="s">
        <v>2751</v>
      </c>
      <c r="K177" s="106">
        <v>46158.047592592593</v>
      </c>
      <c r="L177" s="106">
        <v>46158.047615740739</v>
      </c>
      <c r="M177" s="106">
        <v>46160.249432870369</v>
      </c>
      <c r="N177" s="106">
        <v>46164.468761574077</v>
      </c>
      <c r="O177" s="106"/>
      <c r="P177" s="106"/>
      <c r="Z177" s="107">
        <f t="shared" ca="1" si="18"/>
        <v>1.6354282407434466</v>
      </c>
      <c r="AA177" s="108">
        <f t="shared" ca="1" si="19"/>
        <v>4.3611419753158573</v>
      </c>
      <c r="AB177" s="107">
        <f t="shared" ca="1" si="20"/>
        <v>1.6354282407434466</v>
      </c>
      <c r="AC177" s="108">
        <f t="shared" ca="1" si="21"/>
        <v>4.3611419753158573</v>
      </c>
      <c r="AD177" s="107">
        <f t="shared" ca="1" si="17"/>
        <v>0</v>
      </c>
      <c r="AE177" s="107">
        <f t="shared" ca="1" si="22"/>
        <v>1.6354282407434466</v>
      </c>
      <c r="AF177" s="108">
        <f t="shared" ca="1" si="23"/>
        <v>4.3611419753158573</v>
      </c>
      <c r="AG177" s="108">
        <f t="shared" ca="1" si="4"/>
        <v>4.3611419753158573</v>
      </c>
      <c r="AH177" s="61" t="str" cm="1">
        <f t="array" aca="1" ref="AH177" ca="1">IF((AD177) &lt; (INDEX(ResponseSLA[#All],(MATCH((G177),ResponseSLA[Priority],0))+1,3)),"YES","No")</f>
        <v>YES</v>
      </c>
      <c r="AI177" s="61" t="str">
        <f ca="1">_xlfn.IFNA(IF(AE177 &lt; (INDEX(SLATable[Minimum SLA],MATCH(G177,SLATable[Priority],0))),"YES","NO"),"")</f>
        <v>NO</v>
      </c>
      <c r="AJ177" s="61" t="str">
        <f ca="1">_xlfn.IFNA(IF(AE177 &lt; (INDEX(SLATable[Maximum SLA],MATCH(G177,SLATable[Priority],0))),"YES","NO"),"")</f>
        <v>YES</v>
      </c>
    </row>
    <row r="178" spans="1:36" s="60" customFormat="1" ht="15" hidden="1" customHeight="1">
      <c r="A178" s="60">
        <v>177</v>
      </c>
      <c r="B178" s="60" t="s">
        <v>26</v>
      </c>
      <c r="C178" s="60" t="s">
        <v>27</v>
      </c>
      <c r="D178" s="60" t="s">
        <v>207</v>
      </c>
      <c r="E178" s="60" t="s">
        <v>3001</v>
      </c>
      <c r="F178" s="60" t="s">
        <v>318</v>
      </c>
      <c r="G178" s="105">
        <v>3</v>
      </c>
      <c r="H178" s="212" t="s">
        <v>3002</v>
      </c>
      <c r="I178" s="105" t="s">
        <v>271</v>
      </c>
      <c r="J178" s="60" t="s">
        <v>2751</v>
      </c>
      <c r="K178" s="106">
        <v>46156.429166666669</v>
      </c>
      <c r="L178" s="106">
        <v>46156.429212962961</v>
      </c>
      <c r="M178" s="106">
        <v>46156.477696759262</v>
      </c>
      <c r="N178" s="106">
        <v>46161.437175925923</v>
      </c>
      <c r="O178" s="106"/>
      <c r="P178" s="106"/>
      <c r="Z178" s="107">
        <f t="shared" ca="1" si="18"/>
        <v>1.1330092592543226</v>
      </c>
      <c r="AA178" s="108">
        <f t="shared" ca="1" si="19"/>
        <v>3.0213580246781939</v>
      </c>
      <c r="AB178" s="107">
        <f t="shared" ca="1" si="20"/>
        <v>1.1329629629617559</v>
      </c>
      <c r="AC178" s="108">
        <f t="shared" ca="1" si="21"/>
        <v>3.0212345678980159</v>
      </c>
      <c r="AD178" s="107">
        <f t="shared" ca="1" si="17"/>
        <v>4.8483796301297843E-2</v>
      </c>
      <c r="AE178" s="107">
        <f t="shared" ca="1" si="22"/>
        <v>1.1329629629617559</v>
      </c>
      <c r="AF178" s="108">
        <f t="shared" ca="1" si="23"/>
        <v>3.0212345678980159</v>
      </c>
      <c r="AG178" s="108">
        <f t="shared" ca="1" si="4"/>
        <v>3.0212345678980159</v>
      </c>
      <c r="AH178" s="61" t="str" cm="1">
        <f t="array" aca="1" ref="AH178" ca="1">IF((AD178) &lt; (INDEX(ResponseSLA[#All],(MATCH((G178),ResponseSLA[Priority],0))+1,3)),"YES","No")</f>
        <v>YES</v>
      </c>
      <c r="AI178" s="61" t="str">
        <f ca="1">_xlfn.IFNA(IF(AE178 &lt; (INDEX(SLATable[Minimum SLA],MATCH(G178,SLATable[Priority],0))),"YES","NO"),"")</f>
        <v>NO</v>
      </c>
      <c r="AJ178" s="61" t="str">
        <f ca="1">_xlfn.IFNA(IF(AE178 &lt; (INDEX(SLATable[Maximum SLA],MATCH(G178,SLATable[Priority],0))),"YES","NO"),"")</f>
        <v>YES</v>
      </c>
    </row>
    <row r="179" spans="1:36" s="60" customFormat="1" ht="15" hidden="1" customHeight="1">
      <c r="A179" s="60">
        <v>178</v>
      </c>
      <c r="B179" s="60" t="s">
        <v>26</v>
      </c>
      <c r="C179" s="60" t="s">
        <v>27</v>
      </c>
      <c r="D179" s="60" t="s">
        <v>208</v>
      </c>
      <c r="E179" s="60" t="s">
        <v>3003</v>
      </c>
      <c r="F179" s="60" t="s">
        <v>318</v>
      </c>
      <c r="G179" s="105" t="s">
        <v>208</v>
      </c>
      <c r="H179" s="212" t="s">
        <v>3004</v>
      </c>
      <c r="I179" s="105" t="s">
        <v>271</v>
      </c>
      <c r="J179" s="60" t="s">
        <v>2725</v>
      </c>
      <c r="K179" s="106">
        <v>46160.422824074078</v>
      </c>
      <c r="L179" s="106">
        <v>46160.422824074078</v>
      </c>
      <c r="M179" s="106">
        <v>46160.507465277777</v>
      </c>
      <c r="N179" s="106">
        <v>46163.411990740744</v>
      </c>
      <c r="O179" s="106"/>
      <c r="P179" s="106"/>
      <c r="Z179" s="107">
        <f t="shared" ca="1" si="18"/>
        <v>1.1141666666662788</v>
      </c>
      <c r="AA179" s="108">
        <f t="shared" ca="1" si="19"/>
        <v>2.9711111111100772</v>
      </c>
      <c r="AB179" s="107">
        <f t="shared" ca="1" si="20"/>
        <v>1.1141666666662788</v>
      </c>
      <c r="AC179" s="108">
        <f t="shared" ca="1" si="21"/>
        <v>2.9711111111100772</v>
      </c>
      <c r="AD179" s="107">
        <f t="shared" ca="1" si="17"/>
        <v>8.4641203698993195E-2</v>
      </c>
      <c r="AE179" s="107">
        <f t="shared" ca="1" si="22"/>
        <v>1.1141666666662788</v>
      </c>
      <c r="AF179" s="108">
        <f t="shared" ca="1" si="23"/>
        <v>2.9711111111100772</v>
      </c>
      <c r="AG179" s="108">
        <f t="shared" ca="1" si="4"/>
        <v>2.9711111111100772</v>
      </c>
      <c r="AH179" s="61" t="str" cm="1">
        <f t="array" aca="1" ref="AH179" ca="1">IF((AD179) &lt; (INDEX(ResponseSLA[#All],(MATCH((G179),ResponseSLA[Priority],0))+1,3)),"YES","No")</f>
        <v>YES</v>
      </c>
      <c r="AI179" s="61" t="str">
        <f ca="1">_xlfn.IFNA(IF(AE179 &lt; (INDEX(SLATable[Minimum SLA],MATCH(G179,SLATable[Priority],0))),"YES","NO"),"")</f>
        <v>NO</v>
      </c>
      <c r="AJ179" s="61" t="str">
        <f ca="1">_xlfn.IFNA(IF(AE179 &lt; (INDEX(SLATable[Maximum SLA],MATCH(G179,SLATable[Priority],0))),"YES","NO"),"")</f>
        <v>NO</v>
      </c>
    </row>
    <row r="180" spans="1:36" s="60" customFormat="1" ht="15" hidden="1" customHeight="1">
      <c r="A180" s="60">
        <v>179</v>
      </c>
      <c r="B180" s="60" t="s">
        <v>26</v>
      </c>
      <c r="C180" s="60" t="s">
        <v>54</v>
      </c>
      <c r="D180" s="60" t="s">
        <v>208</v>
      </c>
      <c r="E180" s="60" t="s">
        <v>3005</v>
      </c>
      <c r="F180" s="60" t="s">
        <v>325</v>
      </c>
      <c r="G180" s="105" t="s">
        <v>208</v>
      </c>
      <c r="H180" s="212" t="s">
        <v>3006</v>
      </c>
      <c r="I180" s="105" t="s">
        <v>271</v>
      </c>
      <c r="J180" s="212" t="s">
        <v>2855</v>
      </c>
      <c r="K180" s="106">
        <v>46157.684988425928</v>
      </c>
      <c r="L180" s="106">
        <v>46160.341469907406</v>
      </c>
      <c r="M180" s="106">
        <v>46160.355439814812</v>
      </c>
      <c r="N180" s="106">
        <v>46161.321643518517</v>
      </c>
      <c r="O180" s="106"/>
      <c r="P180" s="106"/>
      <c r="Z180" s="107">
        <f t="shared" ca="1" si="18"/>
        <v>0.39834490740516548</v>
      </c>
      <c r="AA180" s="108">
        <f t="shared" ca="1" si="19"/>
        <v>1.0622530864137747</v>
      </c>
      <c r="AB180" s="107">
        <f t="shared" ca="1" si="20"/>
        <v>0.36686342592777998</v>
      </c>
      <c r="AC180" s="108">
        <f t="shared" ca="1" si="21"/>
        <v>0.97830246914074648</v>
      </c>
      <c r="AD180" s="107">
        <f t="shared" ca="1" si="17"/>
        <v>1.3969907406135462E-2</v>
      </c>
      <c r="AE180" s="107">
        <f t="shared" ca="1" si="22"/>
        <v>0.36686342592777998</v>
      </c>
      <c r="AF180" s="108">
        <f t="shared" ca="1" si="23"/>
        <v>0.97830246914074648</v>
      </c>
      <c r="AG180" s="108">
        <f t="shared" ca="1" si="4"/>
        <v>0.97830246914074648</v>
      </c>
      <c r="AH180" s="61" t="str" cm="1">
        <f t="array" aca="1" ref="AH180" ca="1">IF((AD180) &lt; (INDEX(ResponseSLA[#All],(MATCH((G180),ResponseSLA[Priority],0))+1,3)),"YES","No")</f>
        <v>YES</v>
      </c>
      <c r="AI180" s="61" t="str">
        <f ca="1">_xlfn.IFNA(IF(AE180 &lt; (INDEX(SLATable[Minimum SLA],MATCH(G180,SLATable[Priority],0))),"YES","NO"),"")</f>
        <v>YES</v>
      </c>
      <c r="AJ180" s="61" t="str">
        <f ca="1">_xlfn.IFNA(IF(AE180 &lt; (INDEX(SLATable[Maximum SLA],MATCH(G180,SLATable[Priority],0))),"YES","NO"),"")</f>
        <v>YES</v>
      </c>
    </row>
    <row r="181" spans="1:36" s="60" customFormat="1" ht="15" hidden="1" customHeight="1">
      <c r="A181" s="60">
        <v>180</v>
      </c>
      <c r="B181" s="60" t="s">
        <v>26</v>
      </c>
      <c r="C181" s="60" t="s">
        <v>54</v>
      </c>
      <c r="D181" s="60" t="s">
        <v>208</v>
      </c>
      <c r="E181" s="60" t="s">
        <v>3007</v>
      </c>
      <c r="F181" s="60" t="s">
        <v>325</v>
      </c>
      <c r="G181" s="105" t="s">
        <v>208</v>
      </c>
      <c r="H181" s="212" t="s">
        <v>3008</v>
      </c>
      <c r="I181" s="105" t="s">
        <v>271</v>
      </c>
      <c r="J181" s="212" t="s">
        <v>2855</v>
      </c>
      <c r="K181" s="106">
        <v>46154.402337962965</v>
      </c>
      <c r="L181" s="106">
        <v>46160.562465277777</v>
      </c>
      <c r="M181" s="106">
        <v>46161.215416666666</v>
      </c>
      <c r="N181" s="106">
        <v>46169.324780092589</v>
      </c>
      <c r="O181" s="106"/>
      <c r="P181" s="106"/>
      <c r="Z181" s="107">
        <f t="shared" ca="1" si="18"/>
        <v>3.6809953703680858</v>
      </c>
      <c r="AA181" s="108">
        <f t="shared" ca="1" si="19"/>
        <v>9.8159876543148954</v>
      </c>
      <c r="AB181" s="107">
        <f t="shared" ca="1" si="20"/>
        <v>2.0208680555563969</v>
      </c>
      <c r="AC181" s="108">
        <f t="shared" ca="1" si="21"/>
        <v>5.3889814814837251</v>
      </c>
      <c r="AD181" s="107">
        <f t="shared" ca="1" si="17"/>
        <v>0.14586805555639637</v>
      </c>
      <c r="AE181" s="107">
        <f t="shared" ca="1" si="22"/>
        <v>4.0417361111127938</v>
      </c>
      <c r="AF181" s="108">
        <f t="shared" ca="1" si="23"/>
        <v>10.77796296296745</v>
      </c>
      <c r="AG181" s="108">
        <f t="shared" ca="1" si="4"/>
        <v>10.77796296296745</v>
      </c>
      <c r="AH181" s="61" t="str" cm="1">
        <f t="array" aca="1" ref="AH181" ca="1">IF((AD181) &lt; (INDEX(ResponseSLA[#All],(MATCH((G181),ResponseSLA[Priority],0))+1,3)),"YES","No")</f>
        <v>YES</v>
      </c>
      <c r="AI181" s="61" t="str">
        <f ca="1">_xlfn.IFNA(IF(AE181 &lt; (INDEX(SLATable[Minimum SLA],MATCH(G181,SLATable[Priority],0))),"YES","NO"),"")</f>
        <v>NO</v>
      </c>
      <c r="AJ181" s="61" t="str">
        <f ca="1">_xlfn.IFNA(IF(AE181 &lt; (INDEX(SLATable[Maximum SLA],MATCH(G181,SLATable[Priority],0))),"YES","NO"),"")</f>
        <v>NO</v>
      </c>
    </row>
    <row r="182" spans="1:36" s="60" customFormat="1" ht="15" hidden="1" customHeight="1">
      <c r="A182" s="60">
        <v>181</v>
      </c>
      <c r="B182" s="60" t="s">
        <v>26</v>
      </c>
      <c r="C182" s="60" t="s">
        <v>54</v>
      </c>
      <c r="D182" s="60" t="s">
        <v>208</v>
      </c>
      <c r="E182" s="60" t="s">
        <v>3009</v>
      </c>
      <c r="F182" s="60" t="s">
        <v>325</v>
      </c>
      <c r="G182" s="105" t="s">
        <v>208</v>
      </c>
      <c r="H182" s="212" t="s">
        <v>3010</v>
      </c>
      <c r="I182" s="105" t="s">
        <v>271</v>
      </c>
      <c r="J182" s="212" t="s">
        <v>2855</v>
      </c>
      <c r="K182" s="106">
        <v>46161.365925925929</v>
      </c>
      <c r="L182" s="106">
        <v>46161.375810185185</v>
      </c>
      <c r="M182" s="106">
        <v>46161.393923611111</v>
      </c>
      <c r="N182" s="106">
        <v>46163.377523148149</v>
      </c>
      <c r="O182" s="106"/>
      <c r="P182" s="106"/>
      <c r="Z182" s="107">
        <f t="shared" ca="1" si="18"/>
        <v>0.7615972222192795</v>
      </c>
      <c r="AA182" s="108">
        <f t="shared" ca="1" si="19"/>
        <v>2.0309259259180785</v>
      </c>
      <c r="AB182" s="107">
        <f t="shared" ca="1" si="20"/>
        <v>0.75171296296321088</v>
      </c>
      <c r="AC182" s="108">
        <f t="shared" ca="1" si="21"/>
        <v>2.0045679012352289</v>
      </c>
      <c r="AD182" s="107">
        <f t="shared" ca="1" si="17"/>
        <v>1.8113425925548654E-2</v>
      </c>
      <c r="AE182" s="107">
        <f t="shared" ca="1" si="22"/>
        <v>0.75171296296321088</v>
      </c>
      <c r="AF182" s="108">
        <f t="shared" ca="1" si="23"/>
        <v>2.0045679012352289</v>
      </c>
      <c r="AG182" s="108">
        <f t="shared" ca="1" si="4"/>
        <v>2.0045679012352289</v>
      </c>
      <c r="AH182" s="61" t="str" cm="1">
        <f t="array" aca="1" ref="AH182" ca="1">IF((AD182) &lt; (INDEX(ResponseSLA[#All],(MATCH((G182),ResponseSLA[Priority],0))+1,3)),"YES","No")</f>
        <v>YES</v>
      </c>
      <c r="AI182" s="61" t="str">
        <f ca="1">_xlfn.IFNA(IF(AE182 &lt; (INDEX(SLATable[Minimum SLA],MATCH(G182,SLATable[Priority],0))),"YES","NO"),"")</f>
        <v>NO</v>
      </c>
      <c r="AJ182" s="61" t="str">
        <f ca="1">_xlfn.IFNA(IF(AE182 &lt; (INDEX(SLATable[Maximum SLA],MATCH(G182,SLATable[Priority],0))),"YES","NO"),"")</f>
        <v>NO</v>
      </c>
    </row>
    <row r="183" spans="1:36" s="60" customFormat="1" ht="15" hidden="1" customHeight="1">
      <c r="A183" s="60">
        <v>182</v>
      </c>
      <c r="B183" s="60" t="s">
        <v>26</v>
      </c>
      <c r="C183" s="60" t="s">
        <v>27</v>
      </c>
      <c r="D183" s="60" t="s">
        <v>208</v>
      </c>
      <c r="E183" s="60" t="s">
        <v>3011</v>
      </c>
      <c r="F183" s="60" t="s">
        <v>318</v>
      </c>
      <c r="G183" s="105" t="s">
        <v>208</v>
      </c>
      <c r="H183" s="212" t="s">
        <v>2313</v>
      </c>
      <c r="I183" s="105" t="s">
        <v>271</v>
      </c>
      <c r="J183" s="60" t="s">
        <v>2827</v>
      </c>
      <c r="K183" s="106">
        <v>46157.558599537035</v>
      </c>
      <c r="L183" s="106">
        <v>46157.558599537035</v>
      </c>
      <c r="M183" s="106">
        <v>46157.623761574076</v>
      </c>
      <c r="N183" s="106">
        <v>46168.322465277779</v>
      </c>
      <c r="O183" s="106"/>
      <c r="P183" s="106"/>
      <c r="Z183" s="107">
        <f t="shared" ca="1" si="18"/>
        <v>2.0247337962985821</v>
      </c>
      <c r="AA183" s="108">
        <f t="shared" ca="1" si="19"/>
        <v>5.3992901234628858</v>
      </c>
      <c r="AB183" s="107">
        <f t="shared" ca="1" si="20"/>
        <v>2.0247337962985821</v>
      </c>
      <c r="AC183" s="108">
        <f t="shared" ca="1" si="21"/>
        <v>5.3992901234628858</v>
      </c>
      <c r="AD183" s="107">
        <f t="shared" ca="1" si="17"/>
        <v>6.5162037040863652E-2</v>
      </c>
      <c r="AE183" s="107">
        <f t="shared" ca="1" si="22"/>
        <v>2.0247337962985821</v>
      </c>
      <c r="AF183" s="108">
        <f t="shared" ca="1" si="23"/>
        <v>5.3992901234628858</v>
      </c>
      <c r="AG183" s="108">
        <f t="shared" ca="1" si="4"/>
        <v>5.3992901234628858</v>
      </c>
      <c r="AH183" s="61" t="str" cm="1">
        <f t="array" aca="1" ref="AH183" ca="1">IF((AD183) &lt; (INDEX(ResponseSLA[#All],(MATCH((G183),ResponseSLA[Priority],0))+1,3)),"YES","No")</f>
        <v>YES</v>
      </c>
      <c r="AI183" s="61" t="str">
        <f ca="1">_xlfn.IFNA(IF(AE183 &lt; (INDEX(SLATable[Minimum SLA],MATCH(G183,SLATable[Priority],0))),"YES","NO"),"")</f>
        <v>NO</v>
      </c>
      <c r="AJ183" s="61" t="str">
        <f ca="1">_xlfn.IFNA(IF(AE183 &lt; (INDEX(SLATable[Maximum SLA],MATCH(G183,SLATable[Priority],0))),"YES","NO"),"")</f>
        <v>NO</v>
      </c>
    </row>
    <row r="184" spans="1:36" s="60" customFormat="1" ht="15" hidden="1" customHeight="1">
      <c r="A184" s="60">
        <v>183</v>
      </c>
      <c r="B184" s="60" t="s">
        <v>26</v>
      </c>
      <c r="C184" s="60" t="s">
        <v>27</v>
      </c>
      <c r="D184" s="60" t="s">
        <v>208</v>
      </c>
      <c r="E184" s="60" t="s">
        <v>3012</v>
      </c>
      <c r="F184" s="60" t="s">
        <v>318</v>
      </c>
      <c r="G184" s="105" t="s">
        <v>208</v>
      </c>
      <c r="H184" s="212" t="s">
        <v>2313</v>
      </c>
      <c r="I184" s="105" t="s">
        <v>271</v>
      </c>
      <c r="J184" s="60" t="s">
        <v>2827</v>
      </c>
      <c r="K184" s="106">
        <v>46156.610451388886</v>
      </c>
      <c r="L184" s="106">
        <v>46156.610451388886</v>
      </c>
      <c r="M184" s="106">
        <v>46156.614039351851</v>
      </c>
      <c r="N184" s="106">
        <v>46168.322800925926</v>
      </c>
      <c r="O184" s="106"/>
      <c r="P184" s="106"/>
      <c r="Z184" s="107">
        <f t="shared" ca="1" si="18"/>
        <v>2.3478819444474848</v>
      </c>
      <c r="AA184" s="108">
        <f t="shared" ca="1" si="19"/>
        <v>6.2610185185266261</v>
      </c>
      <c r="AB184" s="107">
        <f t="shared" ca="1" si="20"/>
        <v>2.3478819444474848</v>
      </c>
      <c r="AC184" s="108">
        <f t="shared" ca="1" si="21"/>
        <v>6.2610185185266261</v>
      </c>
      <c r="AD184" s="107">
        <f t="shared" ca="1" si="17"/>
        <v>3.5879629649571143E-3</v>
      </c>
      <c r="AE184" s="107">
        <f t="shared" ca="1" si="22"/>
        <v>2.3478819444474848</v>
      </c>
      <c r="AF184" s="108">
        <f t="shared" ca="1" si="23"/>
        <v>6.2610185185266261</v>
      </c>
      <c r="AG184" s="108">
        <f t="shared" ca="1" si="4"/>
        <v>6.2610185185266261</v>
      </c>
      <c r="AH184" s="61" t="str" cm="1">
        <f t="array" aca="1" ref="AH184" ca="1">IF((AD184) &lt; (INDEX(ResponseSLA[#All],(MATCH((G184),ResponseSLA[Priority],0))+1,3)),"YES","No")</f>
        <v>YES</v>
      </c>
      <c r="AI184" s="61" t="str">
        <f ca="1">_xlfn.IFNA(IF(AE184 &lt; (INDEX(SLATable[Minimum SLA],MATCH(G184,SLATable[Priority],0))),"YES","NO"),"")</f>
        <v>NO</v>
      </c>
      <c r="AJ184" s="61" t="str">
        <f ca="1">_xlfn.IFNA(IF(AE184 &lt; (INDEX(SLATable[Maximum SLA],MATCH(G184,SLATable[Priority],0))),"YES","NO"),"")</f>
        <v>NO</v>
      </c>
    </row>
    <row r="185" spans="1:36" s="60" customFormat="1" ht="15" hidden="1" customHeight="1">
      <c r="A185" s="60">
        <v>184</v>
      </c>
      <c r="B185" s="60" t="s">
        <v>26</v>
      </c>
      <c r="C185" s="60" t="s">
        <v>27</v>
      </c>
      <c r="D185" s="60" t="s">
        <v>208</v>
      </c>
      <c r="E185" s="60" t="s">
        <v>3013</v>
      </c>
      <c r="F185" s="60" t="s">
        <v>318</v>
      </c>
      <c r="G185" s="105" t="s">
        <v>208</v>
      </c>
      <c r="H185" s="212" t="s">
        <v>3014</v>
      </c>
      <c r="I185" s="105" t="s">
        <v>260</v>
      </c>
      <c r="J185" s="60" t="s">
        <v>3015</v>
      </c>
      <c r="K185" s="106">
        <v>46160.418506944443</v>
      </c>
      <c r="L185" s="106">
        <v>46160.418506944443</v>
      </c>
      <c r="M185" s="106">
        <v>46160.602766203701</v>
      </c>
      <c r="N185" s="106">
        <v>46169.349930555552</v>
      </c>
      <c r="O185" s="106"/>
      <c r="P185" s="106"/>
      <c r="Z185" s="107">
        <f t="shared" ca="1" si="18"/>
        <v>2.1814236111094947</v>
      </c>
      <c r="AA185" s="108">
        <f t="shared" ca="1" si="19"/>
        <v>5.8171296296253194</v>
      </c>
      <c r="AB185" s="107">
        <f t="shared" ca="1" si="20"/>
        <v>2.1814236111094947</v>
      </c>
      <c r="AC185" s="108">
        <f t="shared" ca="1" si="21"/>
        <v>5.8171296296253194</v>
      </c>
      <c r="AD185" s="107">
        <f t="shared" ca="1" si="17"/>
        <v>0.18425925925839692</v>
      </c>
      <c r="AE185" s="107">
        <f t="shared" ca="1" si="22"/>
        <v>2.1814236111094947</v>
      </c>
      <c r="AF185" s="108">
        <f t="shared" ca="1" si="23"/>
        <v>5.8171296296253194</v>
      </c>
      <c r="AG185" s="108">
        <f t="shared" ca="1" si="4"/>
        <v>5.8171296296253194</v>
      </c>
      <c r="AH185" s="61" t="str" cm="1">
        <f t="array" aca="1" ref="AH185" ca="1">IF((AD185) &lt; (INDEX(ResponseSLA[#All],(MATCH((G185),ResponseSLA[Priority],0))+1,3)),"YES","No")</f>
        <v>YES</v>
      </c>
      <c r="AI185" s="61" t="str">
        <f ca="1">_xlfn.IFNA(IF(AE185 &lt; (INDEX(SLATable[Minimum SLA],MATCH(G185,SLATable[Priority],0))),"YES","NO"),"")</f>
        <v>NO</v>
      </c>
      <c r="AJ185" s="61" t="str">
        <f ca="1">_xlfn.IFNA(IF(AE185 &lt; (INDEX(SLATable[Maximum SLA],MATCH(G185,SLATable[Priority],0))),"YES","NO"),"")</f>
        <v>NO</v>
      </c>
    </row>
    <row r="186" spans="1:36" s="60" customFormat="1" ht="15" hidden="1" customHeight="1">
      <c r="A186" s="60">
        <v>185</v>
      </c>
      <c r="B186" s="60" t="s">
        <v>26</v>
      </c>
      <c r="C186" s="60" t="s">
        <v>27</v>
      </c>
      <c r="D186" s="60" t="s">
        <v>208</v>
      </c>
      <c r="E186" s="60" t="s">
        <v>3016</v>
      </c>
      <c r="F186" s="60" t="s">
        <v>318</v>
      </c>
      <c r="G186" s="105" t="s">
        <v>208</v>
      </c>
      <c r="H186" s="212" t="s">
        <v>3017</v>
      </c>
      <c r="I186" s="105" t="s">
        <v>271</v>
      </c>
      <c r="J186" s="60" t="s">
        <v>2700</v>
      </c>
      <c r="K186" s="106">
        <v>46155.566076388888</v>
      </c>
      <c r="L186" s="106">
        <v>46156.451724537037</v>
      </c>
      <c r="M186" s="106">
        <v>46156.452384259261</v>
      </c>
      <c r="N186" s="106">
        <v>46161.274409722224</v>
      </c>
      <c r="O186" s="106"/>
      <c r="P186" s="106"/>
      <c r="Z186" s="107">
        <f t="shared" ca="1" si="18"/>
        <v>1.267256944445156</v>
      </c>
      <c r="AA186" s="108">
        <f t="shared" ca="1" si="19"/>
        <v>3.3793518518537495</v>
      </c>
      <c r="AB186" s="107">
        <f t="shared" ca="1" si="20"/>
        <v>1.0066087962962533</v>
      </c>
      <c r="AC186" s="108">
        <f t="shared" ca="1" si="21"/>
        <v>2.6842901234566754</v>
      </c>
      <c r="AD186" s="107">
        <f t="shared" ca="1" si="17"/>
        <v>6.5972222364507616E-4</v>
      </c>
      <c r="AE186" s="107">
        <f t="shared" ca="1" si="22"/>
        <v>1.0066087962962533</v>
      </c>
      <c r="AF186" s="108">
        <f t="shared" ca="1" si="23"/>
        <v>2.6842901234566754</v>
      </c>
      <c r="AG186" s="108">
        <f t="shared" ca="1" si="4"/>
        <v>2.6842901234566754</v>
      </c>
      <c r="AH186" s="61" t="str" cm="1">
        <f t="array" aca="1" ref="AH186" ca="1">IF((AD186) &lt; (INDEX(ResponseSLA[#All],(MATCH((G186),ResponseSLA[Priority],0))+1,3)),"YES","No")</f>
        <v>YES</v>
      </c>
      <c r="AI186" s="61" t="str">
        <f ca="1">_xlfn.IFNA(IF(AE186 &lt; (INDEX(SLATable[Minimum SLA],MATCH(G186,SLATable[Priority],0))),"YES","NO"),"")</f>
        <v>NO</v>
      </c>
      <c r="AJ186" s="61" t="str">
        <f ca="1">_xlfn.IFNA(IF(AE186 &lt; (INDEX(SLATable[Maximum SLA],MATCH(G186,SLATable[Priority],0))),"YES","NO"),"")</f>
        <v>NO</v>
      </c>
    </row>
    <row r="187" spans="1:36" s="60" customFormat="1" ht="15" hidden="1" customHeight="1">
      <c r="A187" s="60">
        <v>186</v>
      </c>
      <c r="B187" s="60" t="s">
        <v>26</v>
      </c>
      <c r="C187" s="60" t="s">
        <v>27</v>
      </c>
      <c r="D187" s="60" t="s">
        <v>207</v>
      </c>
      <c r="E187" s="60" t="s">
        <v>3018</v>
      </c>
      <c r="F187" s="60" t="s">
        <v>318</v>
      </c>
      <c r="G187" s="105">
        <v>3</v>
      </c>
      <c r="H187" s="212" t="s">
        <v>2724</v>
      </c>
      <c r="I187" s="105" t="s">
        <v>271</v>
      </c>
      <c r="J187" s="60" t="s">
        <v>2751</v>
      </c>
      <c r="K187" s="106">
        <v>46169.527453703704</v>
      </c>
      <c r="L187" s="106">
        <v>46169.527453703704</v>
      </c>
      <c r="M187" s="106">
        <v>46169.565995370373</v>
      </c>
      <c r="N187" s="106">
        <v>46174.481226851851</v>
      </c>
      <c r="O187" s="106"/>
      <c r="P187" s="106"/>
      <c r="Z187" s="107">
        <f t="shared" ca="1" si="18"/>
        <v>1.0787731481468656</v>
      </c>
      <c r="AA187" s="108">
        <f t="shared" ca="1" si="19"/>
        <v>2.8767283950583087</v>
      </c>
      <c r="AB187" s="107">
        <f t="shared" ca="1" si="20"/>
        <v>1.0787731481468656</v>
      </c>
      <c r="AC187" s="108">
        <f t="shared" ca="1" si="21"/>
        <v>2.8767283950583087</v>
      </c>
      <c r="AD187" s="107">
        <f t="shared" ca="1" si="17"/>
        <v>3.8541666668606922E-2</v>
      </c>
      <c r="AE187" s="107">
        <f t="shared" ca="1" si="22"/>
        <v>1.0787731481468656</v>
      </c>
      <c r="AF187" s="108">
        <f t="shared" ca="1" si="23"/>
        <v>2.8767283950583087</v>
      </c>
      <c r="AG187" s="108">
        <f t="shared" ca="1" si="4"/>
        <v>2.8767283950583087</v>
      </c>
      <c r="AH187" s="61" t="str" cm="1">
        <f t="array" aca="1" ref="AH187" ca="1">IF((AD187) &lt; (INDEX(ResponseSLA[#All],(MATCH((G187),ResponseSLA[Priority],0))+1,3)),"YES","No")</f>
        <v>YES</v>
      </c>
      <c r="AI187" s="61" t="str">
        <f ca="1">_xlfn.IFNA(IF(AE187 &lt; (INDEX(SLATable[Minimum SLA],MATCH(G187,SLATable[Priority],0))),"YES","NO"),"")</f>
        <v>NO</v>
      </c>
      <c r="AJ187" s="61" t="str">
        <f ca="1">_xlfn.IFNA(IF(AE187 &lt; (INDEX(SLATable[Maximum SLA],MATCH(G187,SLATable[Priority],0))),"YES","NO"),"")</f>
        <v>YES</v>
      </c>
    </row>
    <row r="188" spans="1:36" s="60" customFormat="1" ht="15" hidden="1" customHeight="1">
      <c r="A188" s="60">
        <v>187</v>
      </c>
      <c r="B188" s="60" t="s">
        <v>26</v>
      </c>
      <c r="C188" s="60" t="s">
        <v>27</v>
      </c>
      <c r="D188" s="60" t="s">
        <v>208</v>
      </c>
      <c r="E188" s="60" t="s">
        <v>2825</v>
      </c>
      <c r="F188" s="60" t="s">
        <v>318</v>
      </c>
      <c r="G188" s="105" t="s">
        <v>208</v>
      </c>
      <c r="H188" s="212" t="s">
        <v>2826</v>
      </c>
      <c r="I188" s="105" t="s">
        <v>260</v>
      </c>
      <c r="J188" s="60" t="s">
        <v>2827</v>
      </c>
      <c r="K188" s="106">
        <v>46169.582569444443</v>
      </c>
      <c r="L188" s="106">
        <v>46169.661689814813</v>
      </c>
      <c r="M188" s="106">
        <v>46170.234733796293</v>
      </c>
      <c r="N188" s="106"/>
      <c r="O188" s="106"/>
      <c r="P188" s="106"/>
      <c r="U188" s="60" t="s">
        <v>428</v>
      </c>
      <c r="Z188" s="107">
        <f t="shared" ca="1" si="18"/>
        <v>24.051407060185742</v>
      </c>
      <c r="AA188" s="108">
        <f t="shared" ca="1" si="19"/>
        <v>64.13708549382865</v>
      </c>
      <c r="AB188" s="107">
        <f t="shared" ca="1" si="20"/>
        <v>23.972286689815522</v>
      </c>
      <c r="AC188" s="108">
        <f t="shared" ca="1" si="21"/>
        <v>63.92609783950806</v>
      </c>
      <c r="AD188" s="107">
        <f t="shared" ca="1" si="17"/>
        <v>4.6643518520189331E-2</v>
      </c>
      <c r="AE188" s="107">
        <f t="shared" ca="1" si="22"/>
        <v>31.222819097221269</v>
      </c>
      <c r="AF188" s="108">
        <f t="shared" ca="1" si="23"/>
        <v>83.260850925923378</v>
      </c>
      <c r="AG188" s="108">
        <f t="shared" ca="1" si="4"/>
        <v>83.260850925923378</v>
      </c>
      <c r="AH188" s="61" t="str" cm="1">
        <f t="array" aca="1" ref="AH188" ca="1">IF((AD188) &lt; (INDEX(ResponseSLA[#All],(MATCH((G188),ResponseSLA[Priority],0))+1,3)),"YES","No")</f>
        <v>YES</v>
      </c>
      <c r="AI188" s="61" t="str">
        <f ca="1">_xlfn.IFNA(IF(AE188 &lt; (INDEX(SLATable[Minimum SLA],MATCH(G188,SLATable[Priority],0))),"YES","NO"),"")</f>
        <v>NO</v>
      </c>
      <c r="AJ188" s="61" t="str">
        <f ca="1">_xlfn.IFNA(IF(AE188 &lt; (INDEX(SLATable[Maximum SLA],MATCH(G188,SLATable[Priority],0))),"YES","NO"),"")</f>
        <v>NO</v>
      </c>
    </row>
    <row r="189" spans="1:36" s="60" customFormat="1" ht="15" hidden="1" customHeight="1">
      <c r="A189" s="60">
        <v>188</v>
      </c>
      <c r="B189" s="60" t="s">
        <v>26</v>
      </c>
      <c r="C189" s="60" t="s">
        <v>27</v>
      </c>
      <c r="D189" s="60" t="s">
        <v>208</v>
      </c>
      <c r="E189" s="60" t="s">
        <v>2799</v>
      </c>
      <c r="F189" s="60" t="s">
        <v>322</v>
      </c>
      <c r="G189" s="105" t="s">
        <v>208</v>
      </c>
      <c r="H189" s="212" t="s">
        <v>3019</v>
      </c>
      <c r="I189" s="105" t="s">
        <v>275</v>
      </c>
      <c r="J189" s="60" t="s">
        <v>2720</v>
      </c>
      <c r="K189" s="106">
        <v>46167.459432870368</v>
      </c>
      <c r="L189" s="106">
        <v>46168.277071759258</v>
      </c>
      <c r="M189" s="106">
        <v>46168.277071759258</v>
      </c>
      <c r="N189" s="106">
        <v>46168.437013888892</v>
      </c>
      <c r="O189" s="106"/>
      <c r="P189" s="106"/>
      <c r="U189" s="60" t="s">
        <v>428</v>
      </c>
      <c r="Z189" s="107">
        <f t="shared" ca="1" si="18"/>
        <v>0.10368055555833661</v>
      </c>
      <c r="AA189" s="108">
        <f t="shared" ca="1" si="19"/>
        <v>0.27648148148889762</v>
      </c>
      <c r="AB189" s="107">
        <f t="shared" ca="1" si="20"/>
        <v>0.10368055555833661</v>
      </c>
      <c r="AC189" s="108">
        <f t="shared" ca="1" si="21"/>
        <v>0.27648148148889762</v>
      </c>
      <c r="AD189" s="107">
        <f t="shared" ca="1" si="17"/>
        <v>0</v>
      </c>
      <c r="AE189" s="107">
        <f t="shared" ca="1" si="22"/>
        <v>25.066164004628572</v>
      </c>
      <c r="AF189" s="108">
        <f t="shared" ca="1" si="23"/>
        <v>66.843104012342849</v>
      </c>
      <c r="AG189" s="108">
        <f t="shared" ca="1" si="4"/>
        <v>66.843104012342849</v>
      </c>
      <c r="AH189" s="61" t="str" cm="1">
        <f t="array" aca="1" ref="AH189" ca="1">IF((AD189) &lt; (INDEX(ResponseSLA[#All],(MATCH((G189),ResponseSLA[Priority],0))+1,3)),"YES","No")</f>
        <v>YES</v>
      </c>
      <c r="AI189" s="61" t="str">
        <f ca="1">_xlfn.IFNA(IF(AE189 &lt; (INDEX(SLATable[Minimum SLA],MATCH(G189,SLATable[Priority],0))),"YES","NO"),"")</f>
        <v>NO</v>
      </c>
      <c r="AJ189" s="61" t="str">
        <f ca="1">_xlfn.IFNA(IF(AE189 &lt; (INDEX(SLATable[Maximum SLA],MATCH(G189,SLATable[Priority],0))),"YES","NO"),"")</f>
        <v>NO</v>
      </c>
    </row>
    <row r="190" spans="1:36" s="60" customFormat="1" ht="15" hidden="1" customHeight="1">
      <c r="A190" s="60">
        <v>189</v>
      </c>
      <c r="B190" s="60" t="s">
        <v>26</v>
      </c>
      <c r="C190" s="60" t="s">
        <v>27</v>
      </c>
      <c r="D190" s="60" t="s">
        <v>207</v>
      </c>
      <c r="E190" s="60" t="s">
        <v>2823</v>
      </c>
      <c r="F190" s="60" t="s">
        <v>318</v>
      </c>
      <c r="G190" s="105">
        <v>4</v>
      </c>
      <c r="H190" s="212" t="s">
        <v>2724</v>
      </c>
      <c r="I190" s="105" t="s">
        <v>271</v>
      </c>
      <c r="J190" s="60" t="s">
        <v>2772</v>
      </c>
      <c r="K190" s="106">
        <v>46170.3752662037</v>
      </c>
      <c r="L190" s="106">
        <v>46170.3752662037</v>
      </c>
      <c r="M190" s="106">
        <v>46170.442627314813</v>
      </c>
      <c r="N190" s="106">
        <v>46171.195891203701</v>
      </c>
      <c r="O190" s="106"/>
      <c r="P190" s="106"/>
      <c r="Q190" s="60" t="s">
        <v>2726</v>
      </c>
      <c r="R190" s="60" t="s">
        <v>272</v>
      </c>
      <c r="S190" s="60" t="s">
        <v>149</v>
      </c>
      <c r="T190" s="60" t="s">
        <v>2773</v>
      </c>
      <c r="U190" s="60" t="s">
        <v>371</v>
      </c>
      <c r="Z190" s="107">
        <f t="shared" ca="1" si="18"/>
        <v>0.33306712963288498</v>
      </c>
      <c r="AA190" s="108">
        <f t="shared" ca="1" si="19"/>
        <v>0.88817901235435992</v>
      </c>
      <c r="AB190" s="107">
        <f t="shared" ca="1" si="20"/>
        <v>0.33306712963288498</v>
      </c>
      <c r="AC190" s="108">
        <f t="shared" ca="1" si="21"/>
        <v>0.88817901235435992</v>
      </c>
      <c r="AD190" s="107">
        <f t="shared" ca="1" si="17"/>
        <v>6.7361111112404615E-2</v>
      </c>
      <c r="AE190" s="107">
        <f t="shared" ca="1" si="22"/>
        <v>0.66613425926576997</v>
      </c>
      <c r="AF190" s="108">
        <f t="shared" ca="1" si="23"/>
        <v>1.7763580247087198</v>
      </c>
      <c r="AG190" s="108">
        <f t="shared" ca="1" si="4"/>
        <v>1.7763580247087198</v>
      </c>
      <c r="AH190" s="61" t="str" cm="1">
        <f t="array" aca="1" ref="AH190" ca="1">IF((AD190) &lt; (INDEX(ResponseSLA[#All],(MATCH((G190),ResponseSLA[Priority],0))+1,3)),"YES","No")</f>
        <v>YES</v>
      </c>
      <c r="AI190" s="61" t="str">
        <f ca="1">_xlfn.IFNA(IF(AE190 &lt; (INDEX(SLATable[Minimum SLA],MATCH(G190,SLATable[Priority],0))),"YES","NO"),"")</f>
        <v>YES</v>
      </c>
      <c r="AJ190" s="61" t="str">
        <f ca="1">_xlfn.IFNA(IF(AE190 &lt; (INDEX(SLATable[Maximum SLA],MATCH(G190,SLATable[Priority],0))),"YES","NO"),"")</f>
        <v>YES</v>
      </c>
    </row>
    <row r="191" spans="1:36" s="60" customFormat="1" ht="15" hidden="1" customHeight="1">
      <c r="A191" s="60">
        <v>190</v>
      </c>
      <c r="B191" s="60" t="s">
        <v>26</v>
      </c>
      <c r="C191" s="60" t="s">
        <v>27</v>
      </c>
      <c r="D191" s="60" t="s">
        <v>207</v>
      </c>
      <c r="E191" s="60" t="s">
        <v>2821</v>
      </c>
      <c r="F191" s="60" t="s">
        <v>318</v>
      </c>
      <c r="G191" s="105">
        <v>4</v>
      </c>
      <c r="H191" s="212" t="s">
        <v>2822</v>
      </c>
      <c r="I191" s="105" t="s">
        <v>271</v>
      </c>
      <c r="J191" s="60" t="s">
        <v>2703</v>
      </c>
      <c r="K191" s="106">
        <v>46170.078657407408</v>
      </c>
      <c r="L191" s="106">
        <v>46170.327164351853</v>
      </c>
      <c r="M191" s="106">
        <v>46170.445451388892</v>
      </c>
      <c r="N191" s="106">
        <v>46175.31821759259</v>
      </c>
      <c r="O191" s="106"/>
      <c r="P191" s="106"/>
      <c r="U191" s="60" t="s">
        <v>428</v>
      </c>
      <c r="Z191" s="107">
        <f t="shared" ca="1" si="18"/>
        <v>1.1250000000000002</v>
      </c>
      <c r="AA191" s="108">
        <f t="shared" ca="1" si="19"/>
        <v>3.0000000000000009</v>
      </c>
      <c r="AB191" s="107">
        <f t="shared" ca="1" si="20"/>
        <v>1.1250000000000002</v>
      </c>
      <c r="AC191" s="108">
        <f t="shared" ca="1" si="21"/>
        <v>3.0000000000000009</v>
      </c>
      <c r="AD191" s="107">
        <f t="shared" ca="1" si="17"/>
        <v>0.11211805555891868</v>
      </c>
      <c r="AE191" s="107">
        <f t="shared" ca="1" si="22"/>
        <v>2.2500000000000004</v>
      </c>
      <c r="AF191" s="108">
        <f t="shared" ca="1" si="23"/>
        <v>6.0000000000000018</v>
      </c>
      <c r="AG191" s="108">
        <f t="shared" ca="1" si="4"/>
        <v>6.0000000000000018</v>
      </c>
      <c r="AH191" s="61" t="str" cm="1">
        <f t="array" aca="1" ref="AH191" ca="1">IF((AD191) &lt; (INDEX(ResponseSLA[#All],(MATCH((G191),ResponseSLA[Priority],0))+1,3)),"YES","No")</f>
        <v>YES</v>
      </c>
      <c r="AI191" s="61" t="str">
        <f ca="1">_xlfn.IFNA(IF(AE191 &lt; (INDEX(SLATable[Minimum SLA],MATCH(G191,SLATable[Priority],0))),"YES","NO"),"")</f>
        <v>YES</v>
      </c>
      <c r="AJ191" s="61" t="str">
        <f ca="1">_xlfn.IFNA(IF(AE191 &lt; (INDEX(SLATable[Maximum SLA],MATCH(G191,SLATable[Priority],0))),"YES","NO"),"")</f>
        <v>YES</v>
      </c>
    </row>
    <row r="192" spans="1:36" s="60" customFormat="1" ht="15" hidden="1" customHeight="1">
      <c r="A192" s="60">
        <v>191</v>
      </c>
      <c r="B192" s="60" t="s">
        <v>26</v>
      </c>
      <c r="C192" s="60" t="s">
        <v>27</v>
      </c>
      <c r="D192" s="60" t="s">
        <v>231</v>
      </c>
      <c r="E192" s="60" t="s">
        <v>3020</v>
      </c>
      <c r="F192" s="60" t="s">
        <v>318</v>
      </c>
      <c r="G192" s="105" t="s">
        <v>265</v>
      </c>
      <c r="H192" s="212" t="s">
        <v>3021</v>
      </c>
      <c r="I192" s="105" t="s">
        <v>260</v>
      </c>
      <c r="J192" s="60" t="s">
        <v>2827</v>
      </c>
      <c r="K192" s="106">
        <v>46162.474131944444</v>
      </c>
      <c r="L192" s="106">
        <v>46162.474131944444</v>
      </c>
      <c r="M192" s="106">
        <v>46162.474131944444</v>
      </c>
      <c r="N192" s="106"/>
      <c r="O192" s="106"/>
      <c r="P192" s="106"/>
      <c r="Z192" s="107">
        <f t="shared" ca="1" si="18"/>
        <v>25.659844560184869</v>
      </c>
      <c r="AA192" s="108">
        <f t="shared" ca="1" si="19"/>
        <v>68.426252160492993</v>
      </c>
      <c r="AB192" s="107">
        <f t="shared" ca="1" si="20"/>
        <v>25.659844560184869</v>
      </c>
      <c r="AC192" s="108">
        <f t="shared" ca="1" si="21"/>
        <v>68.426252160492993</v>
      </c>
      <c r="AD192" s="107">
        <f t="shared" ca="1" si="17"/>
        <v>0</v>
      </c>
      <c r="AE192" s="107">
        <f t="shared" ca="1" si="22"/>
        <v>25.659844560184869</v>
      </c>
      <c r="AF192" s="108">
        <f t="shared" ca="1" si="23"/>
        <v>68.426252160492993</v>
      </c>
      <c r="AG192" s="108">
        <f t="shared" ca="1" si="4"/>
        <v>68.426252160492993</v>
      </c>
      <c r="AH192" s="61" t="str" cm="1">
        <f t="array" aca="1" ref="AH192" ca="1">IF((AD192) &lt; (INDEX(ResponseSLA[#All],(MATCH((G192),ResponseSLA[Priority],0))+1,3)),"YES","No")</f>
        <v>YES</v>
      </c>
      <c r="AI192" s="61" t="str">
        <f ca="1">_xlfn.IFNA(IF(AE192 &lt; (INDEX(SLATable[Minimum SLA],MATCH(G192,SLATable[Priority],0))),"YES","NO"),"")</f>
        <v>NO</v>
      </c>
      <c r="AJ192" s="61" t="str">
        <f ca="1">_xlfn.IFNA(IF(AE192 &lt; (INDEX(SLATable[Maximum SLA],MATCH(G192,SLATable[Priority],0))),"YES","NO"),"")</f>
        <v>NO</v>
      </c>
    </row>
    <row r="193" spans="1:36" s="60" customFormat="1" ht="15" hidden="1" customHeight="1">
      <c r="A193" s="60">
        <v>192</v>
      </c>
      <c r="B193" s="60" t="s">
        <v>26</v>
      </c>
      <c r="C193" s="60" t="s">
        <v>27</v>
      </c>
      <c r="D193" s="60" t="s">
        <v>207</v>
      </c>
      <c r="E193" s="60" t="s">
        <v>3022</v>
      </c>
      <c r="F193" s="60" t="s">
        <v>318</v>
      </c>
      <c r="G193" s="105">
        <v>3</v>
      </c>
      <c r="H193" s="212" t="s">
        <v>3023</v>
      </c>
      <c r="I193" s="105" t="s">
        <v>271</v>
      </c>
      <c r="J193" s="60" t="s">
        <v>2827</v>
      </c>
      <c r="K193" s="106">
        <v>46161.659120370372</v>
      </c>
      <c r="L193" s="106">
        <v>46161.6719212963</v>
      </c>
      <c r="M193" s="106">
        <v>46162.23541666667</v>
      </c>
      <c r="N193" s="106">
        <v>46162.620046296295</v>
      </c>
      <c r="O193" s="106"/>
      <c r="P193" s="106"/>
      <c r="V193" s="60" t="s">
        <v>3020</v>
      </c>
      <c r="Z193" s="107">
        <f t="shared" ca="1" si="18"/>
        <v>0.33592592592322035</v>
      </c>
      <c r="AA193" s="108">
        <f t="shared" ca="1" si="19"/>
        <v>0.89580246912858763</v>
      </c>
      <c r="AB193" s="107">
        <f t="shared" ca="1" si="20"/>
        <v>0.32312499999534339</v>
      </c>
      <c r="AC193" s="108">
        <f t="shared" ca="1" si="21"/>
        <v>0.86166666665424907</v>
      </c>
      <c r="AD193" s="107">
        <f t="shared" ref="AD193:AD256" ca="1" si="24">MAX(0,
IF(
OR(G193=1,G193=2),
IF(M193&lt;&gt;"",M193-L193,NOW()-L193),
IF(
M193&lt;&gt;"",
IF(
INT(L193)=INT(M193),
IF(
NETWORKDAYS(L193,L193,UKBankHolidays)=0,
0,
MAX(
0,
MIN(MOD(M193,1),TIME(17,0,0))
-
MAX(MOD(L193,1),TIME(8,0,0))
)
),
MAX(
0,
IF(
NETWORKDAYS(L193,L193,UKBankHolidays)&gt;0,
TIME(17,0,0)-MAX(MOD(L193,1),TIME(8,0,0)),
0
)
)
+
MAX(
0,
NETWORKDAYS(INT(L193)+1,INT(M193)-1,UKBankHolidays)
*(TIME(17,0,0)-TIME(8,0,0))
)
+
MAX(
0,
IF(
NETWORKDAYS(M193,M193,UKBankHolidays)&gt;0,
MIN(MOD(M193,1),TIME(17,0,0))-TIME(8,0,0),
0
)
)
),
IF(M193&lt;&gt;"",M193-L193,NOW()-L193)
)
)
)</f>
        <v>3.6412037033490718E-2</v>
      </c>
      <c r="AE193" s="107">
        <f t="shared" ca="1" si="22"/>
        <v>0.32312499999534339</v>
      </c>
      <c r="AF193" s="108">
        <f t="shared" ca="1" si="23"/>
        <v>0.86166666665424907</v>
      </c>
      <c r="AG193" s="108">
        <f t="shared" ca="1" si="4"/>
        <v>0.86166666665424907</v>
      </c>
      <c r="AH193" s="61" t="str" cm="1">
        <f t="array" aca="1" ref="AH193" ca="1">IF((AD193) &lt; (INDEX(ResponseSLA[#All],(MATCH((G193),ResponseSLA[Priority],0))+1,3)),"YES","No")</f>
        <v>YES</v>
      </c>
      <c r="AI193" s="61" t="str">
        <f ca="1">_xlfn.IFNA(IF(AE193 &lt; (INDEX(SLATable[Minimum SLA],MATCH(G193,SLATable[Priority],0))),"YES","NO"),"")</f>
        <v>YES</v>
      </c>
      <c r="AJ193" s="61" t="str">
        <f ca="1">_xlfn.IFNA(IF(AE193 &lt; (INDEX(SLATable[Maximum SLA],MATCH(G193,SLATable[Priority],0))),"YES","NO"),"")</f>
        <v>YES</v>
      </c>
    </row>
    <row r="194" spans="1:36" s="60" customFormat="1" ht="15" hidden="1" customHeight="1">
      <c r="A194" s="60">
        <v>193</v>
      </c>
      <c r="B194" s="60" t="s">
        <v>26</v>
      </c>
      <c r="C194" s="60" t="s">
        <v>27</v>
      </c>
      <c r="D194" s="60" t="s">
        <v>207</v>
      </c>
      <c r="E194" s="60" t="s">
        <v>3024</v>
      </c>
      <c r="F194" s="60" t="s">
        <v>318</v>
      </c>
      <c r="G194" s="105">
        <v>3</v>
      </c>
      <c r="H194" s="212" t="s">
        <v>3025</v>
      </c>
      <c r="I194" s="105" t="s">
        <v>271</v>
      </c>
      <c r="J194" s="60" t="s">
        <v>2827</v>
      </c>
      <c r="K194" s="106">
        <v>46149.26599537037</v>
      </c>
      <c r="L194" s="106">
        <v>46149.371145833335</v>
      </c>
      <c r="M194" s="106">
        <v>46149.380277777775</v>
      </c>
      <c r="N194" s="106">
        <v>46154.370023148149</v>
      </c>
      <c r="O194" s="106"/>
      <c r="P194" s="106"/>
      <c r="V194" s="60" t="s">
        <v>3026</v>
      </c>
      <c r="Z194" s="107">
        <f t="shared" ref="Z194:Z257" ca="1" si="25">IF(NOT(OR(G194=1,G194=2)),MAX(0,_xlfn.IFS(AND(K194&lt;&gt;"",N194&lt;&gt;""),((MAX(NETWORKDAYS(K194,N194,UKBankHolidays)-1,0))*(TIME(17,0,0)-TIME(8,0,0))+IF(NETWORKDAYS(N194,N194,UKBankHolidays)&gt;0,MEDIAN(TIME(8,0,0),MOD(N194,1),TIME(17,0,0)),TIME(8,0,0))-IF(NETWORKDAYS(K194,K194,UKBankHolidays)&gt;0,MEDIAN(TIME(8,0,0),MOD(K194,1),TIME(17,0,0)),TIME(8,0,0)))-IF(AND(O194&lt;&gt;"",P194&lt;&gt;""),((MAX(NETWORKDAYS(O194,P194,UKBankHolidays)-1,0))*(TIME(17,0,0)-TIME(8,0,0))+IF(NETWORKDAYS(P194,P194,UKBankHolidays)&gt;0,MEDIAN(TIME(8,0,0),MOD(P194,1),TIME(17,0,0)),TIME(8,0,0))-IF(NETWORKDAYS(O194,O194,UKBankHolidays)&gt;0,MEDIAN(TIME(8,0,0),MOD(O194,1),TIME(17,0,0)),TIME(8,0,0))),0),AND(K194&lt;&gt;"",N194=""),((MAX(NETWORKDAYS(K194,NOW(),UKBankHolidays)-1,0))*(TIME(17,0,0)-TIME(8,0,0))+IF(NETWORKDAYS(NOW(),NOW(),UKBankHolidays)&gt;0,MEDIAN(TIME(8,0,0),MOD(NOW(),1),TIME(17,0,0)),TIME(8,0,0))-IF(NETWORKDAYS(K194,K194,UKBankHolidays)&gt;0,MEDIAN(TIME(8,0,0),MOD(K194,1),TIME(17,0,0)),TIME(8,0,0))))),IF(N194="",NOW()-K194,N194-K194))</f>
        <v>1.1616898148155697</v>
      </c>
      <c r="AA194" s="108">
        <f t="shared" ref="AA194:AA257" ca="1" si="26">(Z194*24)/9</f>
        <v>3.0978395061748523</v>
      </c>
      <c r="AB194" s="107">
        <f t="shared" ref="AB194:AB257" ca="1" si="27">IF(NOT(OR(G194=1,G194=2)),MAX(0,_xlfn.IFS(AND(K194&lt;&gt;"",N194&lt;&gt;""),(((MAX(NETWORKDAYS(L194,N194,UKBankHolidays)-1,0))*(TIME(17,0,0)-TIME(8,0,0)))+IF(NETWORKDAYS(N194,N194,UKBankHolidays)&gt;0,MEDIAN(TIME(8,0,0),MOD(N194,1),TIME(17,0,0)),TIME(8,0,0))-IF(NETWORKDAYS(L194,L194,UKBankHolidays)&gt;0,MEDIAN(TIME(8,0,0),MOD(L194,1),TIME(17,0,0)),TIME(8,0,0)))-IF(AND(O194&lt;&gt;"",P194&lt;&gt;""),(((MAX(NETWORKDAYS(O194,P194,UKBankHolidays)-1,0))*(TIME(17,0,0)-TIME(8,0,0)))+IF(NETWORKDAYS(P194,P194,UKBankHolidays)&gt;0,MEDIAN(TIME(8,0,0),MOD(P194,1),TIME(17,0,0)),TIME(8,0,0))-IF(NETWORKDAYS(O194,O194,UKBankHolidays)&gt;0,MEDIAN(TIME(8,0,0),MOD(O194,1),TIME(17,0,0)),TIME(8,0,0))),0),AND(L194&lt;&gt;"",N194="",O194=""),(((MAX(NETWORKDAYS(L194,NOW(),UKBankHolidays)-1,0))*(TIME(17,0,0)-TIME(8,0,0)))+IF(NETWORKDAYS(NOW(),NOW(),UKBankHolidays)&gt;0,MEDIAN(TIME(8,0,0),MOD(NOW(),1),TIME(17,0,0)),TIME(8,0,0))-IF(NETWORKDAYS(L194,L194,UKBankHolidays)&gt;0,MEDIAN(TIME(8,0,0),MOD(L194,1),TIME(17,0,0)),TIME(8,0,0)))-IF(AND(O194&lt;&gt;"",P194&lt;&gt;""),(((MAX(NETWORKDAYS(O194,P194,UKBankHolidays)-1,0))*(TIME(17,0,0)-TIME(8,0,0)))+IF(NETWORKDAYS(P194,P194,UKBankHolidays)&gt;0,MEDIAN(TIME(8,0,0),MOD(P194,1),TIME(17,0,0)),TIME(8,0,0))-IF(NETWORKDAYS(O194,O194,UKBankHolidays)&gt;0,MEDIAN(TIME(8,0,0),MOD(O194,1),TIME(17,0,0)),TIME(8,0,0))),0),AND(L194&lt;&gt;"",N194="",P194="",O194&lt;&gt;""),(((MAX(NETWORKDAYS(L194,O194,UKBankHolidays)-1,0))*(TIME(17,0,0)-TIME(8,0,0)))+IF(NETWORKDAYS(O194,O194,UKBankHolidays)&gt;0,MEDIAN(TIME(8,0,0),MOD(O194,1),TIME(17,0,0)),TIME(8,0,0))-IF(NETWORKDAYS(L194,L194,UKBankHolidays)&gt;0,MEDIAN(TIME(8,0,0),MOD(L194,1),TIME(17,0,0)),TIME(8,0,0))),ISBLANK(K194),"0")),IF(ISBLANK(N194),NOW()-L194,N194-L194))</f>
        <v>1.1238773148143084</v>
      </c>
      <c r="AC194" s="108">
        <f t="shared" ref="AC194:AC257" ca="1" si="28">(AB194*24)/9</f>
        <v>2.9970061728381561</v>
      </c>
      <c r="AD194" s="107">
        <f t="shared" ca="1" si="24"/>
        <v>9.1319444400141947E-3</v>
      </c>
      <c r="AE194" s="107">
        <f t="shared" ref="AE194:AE257" ca="1" si="29">SUMIFS(AB:AB,E:E,E194)</f>
        <v>1.1238773148143084</v>
      </c>
      <c r="AF194" s="108">
        <f t="shared" ref="AF194:AF257" ca="1" si="30">(AE194*24)/9</f>
        <v>2.9970061728381561</v>
      </c>
      <c r="AG194" s="108">
        <f t="shared" ca="1" si="4"/>
        <v>2.9970061728381561</v>
      </c>
      <c r="AH194" s="61" t="str" cm="1">
        <f t="array" aca="1" ref="AH194" ca="1">IF((AD194) &lt; (INDEX(ResponseSLA[#All],(MATCH((G194),ResponseSLA[Priority],0))+1,3)),"YES","No")</f>
        <v>YES</v>
      </c>
      <c r="AI194" s="61" t="str">
        <f ca="1">_xlfn.IFNA(IF(AE194 &lt; (INDEX(SLATable[Minimum SLA],MATCH(G194,SLATable[Priority],0))),"YES","NO"),"")</f>
        <v>NO</v>
      </c>
      <c r="AJ194" s="61" t="str">
        <f ca="1">_xlfn.IFNA(IF(AE194 &lt; (INDEX(SLATable[Maximum SLA],MATCH(G194,SLATable[Priority],0))),"YES","NO"),"")</f>
        <v>YES</v>
      </c>
    </row>
    <row r="195" spans="1:36" s="60" customFormat="1" ht="15" hidden="1" customHeight="1">
      <c r="A195" s="60">
        <v>194</v>
      </c>
      <c r="B195" s="60" t="s">
        <v>26</v>
      </c>
      <c r="C195" s="60" t="s">
        <v>27</v>
      </c>
      <c r="D195" s="60" t="s">
        <v>231</v>
      </c>
      <c r="E195" s="60" t="s">
        <v>3027</v>
      </c>
      <c r="F195" s="60" t="s">
        <v>318</v>
      </c>
      <c r="G195" s="105" t="s">
        <v>270</v>
      </c>
      <c r="H195" s="212" t="s">
        <v>3028</v>
      </c>
      <c r="I195" s="105" t="s">
        <v>271</v>
      </c>
      <c r="J195" s="60" t="s">
        <v>2827</v>
      </c>
      <c r="K195" s="106">
        <v>46014.400914351849</v>
      </c>
      <c r="L195" s="106">
        <v>46014.400914351849</v>
      </c>
      <c r="M195" s="106">
        <v>46014.400914351849</v>
      </c>
      <c r="N195" s="106">
        <v>46147.429178240738</v>
      </c>
      <c r="O195" s="106"/>
      <c r="P195" s="106"/>
      <c r="Z195" s="107">
        <f t="shared" ca="1" si="25"/>
        <v>33.778263888889349</v>
      </c>
      <c r="AA195" s="108">
        <f t="shared" ca="1" si="26"/>
        <v>90.075370370371601</v>
      </c>
      <c r="AB195" s="107">
        <f t="shared" ca="1" si="27"/>
        <v>33.778263888889349</v>
      </c>
      <c r="AC195" s="108">
        <f t="shared" ca="1" si="28"/>
        <v>90.075370370371601</v>
      </c>
      <c r="AD195" s="107">
        <f t="shared" ca="1" si="24"/>
        <v>0</v>
      </c>
      <c r="AE195" s="107">
        <f t="shared" ca="1" si="29"/>
        <v>33.778263888889349</v>
      </c>
      <c r="AF195" s="108">
        <f t="shared" ca="1" si="30"/>
        <v>90.075370370371601</v>
      </c>
      <c r="AG195" s="108">
        <f t="shared" ca="1" si="4"/>
        <v>90.075370370371601</v>
      </c>
      <c r="AH195" s="61" t="str" cm="1">
        <f t="array" aca="1" ref="AH195" ca="1">IF((AD195) &lt; (INDEX(ResponseSLA[#All],(MATCH((G195),ResponseSLA[Priority],0))+1,3)),"YES","No")</f>
        <v>YES</v>
      </c>
      <c r="AI195" s="61" t="str">
        <f ca="1">_xlfn.IFNA(IF(AE195 &lt; (INDEX(SLATable[Minimum SLA],MATCH(G195,SLATable[Priority],0))),"YES","NO"),"")</f>
        <v>NO</v>
      </c>
      <c r="AJ195" s="61" t="str">
        <f ca="1">_xlfn.IFNA(IF(AE195 &lt; (INDEX(SLATable[Maximum SLA],MATCH(G195,SLATable[Priority],0))),"YES","NO"),"")</f>
        <v>NO</v>
      </c>
    </row>
    <row r="196" spans="1:36" s="60" customFormat="1" ht="15" hidden="1" customHeight="1">
      <c r="A196" s="60">
        <v>195</v>
      </c>
      <c r="B196" s="60" t="s">
        <v>26</v>
      </c>
      <c r="C196" s="60" t="s">
        <v>27</v>
      </c>
      <c r="D196" s="60" t="s">
        <v>231</v>
      </c>
      <c r="E196" s="60" t="s">
        <v>3029</v>
      </c>
      <c r="F196" s="60" t="s">
        <v>318</v>
      </c>
      <c r="G196" s="105" t="s">
        <v>270</v>
      </c>
      <c r="H196" s="212" t="s">
        <v>3030</v>
      </c>
      <c r="I196" s="105" t="s">
        <v>271</v>
      </c>
      <c r="J196" s="60" t="s">
        <v>2827</v>
      </c>
      <c r="K196" s="106">
        <v>46121.333252314813</v>
      </c>
      <c r="L196" s="106">
        <v>46121.333252314813</v>
      </c>
      <c r="M196" s="106">
        <v>46121.333252314813</v>
      </c>
      <c r="N196" s="106">
        <v>46162.401134259257</v>
      </c>
      <c r="O196" s="106"/>
      <c r="P196" s="106"/>
      <c r="Z196" s="107">
        <f t="shared" ca="1" si="25"/>
        <v>10.192800925923319</v>
      </c>
      <c r="AA196" s="108">
        <f t="shared" ca="1" si="26"/>
        <v>27.180802469128849</v>
      </c>
      <c r="AB196" s="107">
        <f t="shared" ca="1" si="27"/>
        <v>10.192800925923319</v>
      </c>
      <c r="AC196" s="108">
        <f t="shared" ca="1" si="28"/>
        <v>27.180802469128849</v>
      </c>
      <c r="AD196" s="107">
        <f t="shared" ca="1" si="24"/>
        <v>0</v>
      </c>
      <c r="AE196" s="107">
        <f t="shared" ca="1" si="29"/>
        <v>10.192800925923319</v>
      </c>
      <c r="AF196" s="108">
        <f t="shared" ca="1" si="30"/>
        <v>27.180802469128849</v>
      </c>
      <c r="AG196" s="108">
        <f t="shared" ca="1" si="4"/>
        <v>27.180802469128849</v>
      </c>
      <c r="AH196" s="61" t="str" cm="1">
        <f t="array" aca="1" ref="AH196" ca="1">IF((AD196) &lt; (INDEX(ResponseSLA[#All],(MATCH((G196),ResponseSLA[Priority],0))+1,3)),"YES","No")</f>
        <v>YES</v>
      </c>
      <c r="AI196" s="61" t="str">
        <f ca="1">_xlfn.IFNA(IF(AE196 &lt; (INDEX(SLATable[Minimum SLA],MATCH(G196,SLATable[Priority],0))),"YES","NO"),"")</f>
        <v>NO</v>
      </c>
      <c r="AJ196" s="61" t="str">
        <f ca="1">_xlfn.IFNA(IF(AE196 &lt; (INDEX(SLATable[Maximum SLA],MATCH(G196,SLATable[Priority],0))),"YES","NO"),"")</f>
        <v>NO</v>
      </c>
    </row>
    <row r="197" spans="1:36" s="60" customFormat="1" ht="15" hidden="1" customHeight="1">
      <c r="A197" s="60">
        <v>196</v>
      </c>
      <c r="B197" s="60" t="s">
        <v>26</v>
      </c>
      <c r="C197" s="60" t="s">
        <v>27</v>
      </c>
      <c r="D197" s="60" t="s">
        <v>231</v>
      </c>
      <c r="E197" s="60" t="s">
        <v>3031</v>
      </c>
      <c r="F197" s="60" t="s">
        <v>318</v>
      </c>
      <c r="G197" s="105" t="s">
        <v>270</v>
      </c>
      <c r="H197" s="212" t="s">
        <v>3032</v>
      </c>
      <c r="I197" s="105" t="s">
        <v>271</v>
      </c>
      <c r="J197" s="60" t="s">
        <v>2827</v>
      </c>
      <c r="K197" s="106">
        <v>46121.520868055559</v>
      </c>
      <c r="L197" s="106">
        <v>46121.520868055559</v>
      </c>
      <c r="M197" s="106">
        <v>46121.520868055559</v>
      </c>
      <c r="N197" s="106">
        <v>46162.485393518517</v>
      </c>
      <c r="O197" s="106"/>
      <c r="P197" s="106"/>
      <c r="Z197" s="107">
        <f t="shared" ca="1" si="25"/>
        <v>10.089525462957683</v>
      </c>
      <c r="AA197" s="108">
        <f t="shared" ca="1" si="26"/>
        <v>26.905401234553821</v>
      </c>
      <c r="AB197" s="107">
        <f t="shared" ca="1" si="27"/>
        <v>10.089525462957683</v>
      </c>
      <c r="AC197" s="108">
        <f t="shared" ca="1" si="28"/>
        <v>26.905401234553821</v>
      </c>
      <c r="AD197" s="107">
        <f t="shared" ca="1" si="24"/>
        <v>0</v>
      </c>
      <c r="AE197" s="107">
        <f t="shared" ca="1" si="29"/>
        <v>10.089525462957683</v>
      </c>
      <c r="AF197" s="108">
        <f t="shared" ca="1" si="30"/>
        <v>26.905401234553821</v>
      </c>
      <c r="AG197" s="108">
        <f t="shared" ca="1" si="4"/>
        <v>26.905401234553821</v>
      </c>
      <c r="AH197" s="61" t="str" cm="1">
        <f t="array" aca="1" ref="AH197" ca="1">IF((AD197) &lt; (INDEX(ResponseSLA[#All],(MATCH((G197),ResponseSLA[Priority],0))+1,3)),"YES","No")</f>
        <v>YES</v>
      </c>
      <c r="AI197" s="61" t="str">
        <f ca="1">_xlfn.IFNA(IF(AE197 &lt; (INDEX(SLATable[Minimum SLA],MATCH(G197,SLATable[Priority],0))),"YES","NO"),"")</f>
        <v>NO</v>
      </c>
      <c r="AJ197" s="61" t="str">
        <f ca="1">_xlfn.IFNA(IF(AE197 &lt; (INDEX(SLATable[Maximum SLA],MATCH(G197,SLATable[Priority],0))),"YES","NO"),"")</f>
        <v>NO</v>
      </c>
    </row>
    <row r="198" spans="1:36" s="60" customFormat="1" ht="15" hidden="1" customHeight="1">
      <c r="A198" s="60">
        <v>197</v>
      </c>
      <c r="B198" s="60" t="s">
        <v>26</v>
      </c>
      <c r="C198" s="60" t="s">
        <v>27</v>
      </c>
      <c r="D198" s="60" t="s">
        <v>231</v>
      </c>
      <c r="E198" s="60" t="s">
        <v>3033</v>
      </c>
      <c r="F198" s="60" t="s">
        <v>318</v>
      </c>
      <c r="G198" s="105" t="s">
        <v>270</v>
      </c>
      <c r="H198" s="212" t="s">
        <v>3034</v>
      </c>
      <c r="I198" s="105" t="s">
        <v>271</v>
      </c>
      <c r="J198" s="60" t="s">
        <v>2827</v>
      </c>
      <c r="K198" s="106">
        <v>46085.82613425926</v>
      </c>
      <c r="L198" s="106">
        <v>46085.82613425926</v>
      </c>
      <c r="M198" s="106">
        <v>46085.82613425926</v>
      </c>
      <c r="N198" s="106">
        <v>46168.541747685187</v>
      </c>
      <c r="O198" s="106"/>
      <c r="P198" s="106"/>
      <c r="Z198" s="107">
        <f t="shared" ca="1" si="25"/>
        <v>20.083414351853818</v>
      </c>
      <c r="AA198" s="108">
        <f t="shared" ca="1" si="26"/>
        <v>53.555771604943516</v>
      </c>
      <c r="AB198" s="107">
        <f t="shared" ca="1" si="27"/>
        <v>20.083414351853818</v>
      </c>
      <c r="AC198" s="108">
        <f t="shared" ca="1" si="28"/>
        <v>53.555771604943516</v>
      </c>
      <c r="AD198" s="107">
        <f t="shared" ca="1" si="24"/>
        <v>0</v>
      </c>
      <c r="AE198" s="107">
        <f t="shared" ca="1" si="29"/>
        <v>20.083414351853818</v>
      </c>
      <c r="AF198" s="108">
        <f t="shared" ca="1" si="30"/>
        <v>53.555771604943516</v>
      </c>
      <c r="AG198" s="108">
        <f t="shared" ca="1" si="4"/>
        <v>53.555771604943516</v>
      </c>
      <c r="AH198" s="61" t="str" cm="1">
        <f t="array" aca="1" ref="AH198" ca="1">IF((AD198) &lt; (INDEX(ResponseSLA[#All],(MATCH((G198),ResponseSLA[Priority],0))+1,3)),"YES","No")</f>
        <v>YES</v>
      </c>
      <c r="AI198" s="61" t="str">
        <f ca="1">_xlfn.IFNA(IF(AE198 &lt; (INDEX(SLATable[Minimum SLA],MATCH(G198,SLATable[Priority],0))),"YES","NO"),"")</f>
        <v>NO</v>
      </c>
      <c r="AJ198" s="61" t="str">
        <f ca="1">_xlfn.IFNA(IF(AE198 &lt; (INDEX(SLATable[Maximum SLA],MATCH(G198,SLATable[Priority],0))),"YES","NO"),"")</f>
        <v>NO</v>
      </c>
    </row>
    <row r="199" spans="1:36" s="60" customFormat="1" ht="15" hidden="1" customHeight="1">
      <c r="A199" s="60">
        <v>198</v>
      </c>
      <c r="B199" s="60" t="s">
        <v>26</v>
      </c>
      <c r="C199" s="60" t="s">
        <v>54</v>
      </c>
      <c r="D199" s="60" t="s">
        <v>208</v>
      </c>
      <c r="E199" s="60" t="s">
        <v>2868</v>
      </c>
      <c r="F199" s="60" t="s">
        <v>325</v>
      </c>
      <c r="G199" s="105" t="s">
        <v>208</v>
      </c>
      <c r="H199" s="212" t="s">
        <v>2869</v>
      </c>
      <c r="I199" s="105" t="s">
        <v>271</v>
      </c>
      <c r="J199" s="212" t="s">
        <v>2855</v>
      </c>
      <c r="K199" s="106">
        <v>46136.469930555555</v>
      </c>
      <c r="L199" s="106">
        <v>46170.459513888891</v>
      </c>
      <c r="M199" s="106">
        <v>46170.485358796293</v>
      </c>
      <c r="N199" s="106">
        <v>46188.590428240743</v>
      </c>
      <c r="O199" s="106">
        <v>46171.589733796296</v>
      </c>
      <c r="P199" s="106"/>
      <c r="Z199" s="107">
        <f t="shared" ca="1" si="25"/>
        <v>12.495497685187731</v>
      </c>
      <c r="AA199" s="108">
        <f t="shared" ca="1" si="26"/>
        <v>33.321327160500616</v>
      </c>
      <c r="AB199" s="107">
        <f t="shared" ca="1" si="27"/>
        <v>4.6309143518519713</v>
      </c>
      <c r="AC199" s="108">
        <f t="shared" ca="1" si="28"/>
        <v>12.349104938271925</v>
      </c>
      <c r="AD199" s="107">
        <f t="shared" ca="1" si="24"/>
        <v>2.5844907402643003E-2</v>
      </c>
      <c r="AE199" s="107">
        <f t="shared" ca="1" si="29"/>
        <v>9.3566435185202881</v>
      </c>
      <c r="AF199" s="108">
        <f t="shared" ca="1" si="30"/>
        <v>24.951049382720768</v>
      </c>
      <c r="AG199" s="108">
        <f t="shared" ca="1" si="4"/>
        <v>24.951049382720768</v>
      </c>
      <c r="AH199" s="61" t="str" cm="1">
        <f t="array" aca="1" ref="AH199" ca="1">IF((AD199) &lt; (INDEX(ResponseSLA[#All],(MATCH((G199),ResponseSLA[Priority],0))+1,3)),"YES","No")</f>
        <v>YES</v>
      </c>
      <c r="AI199" s="61" t="str">
        <f ca="1">_xlfn.IFNA(IF(AE199 &lt; (INDEX(SLATable[Minimum SLA],MATCH(G199,SLATable[Priority],0))),"YES","NO"),"")</f>
        <v>NO</v>
      </c>
      <c r="AJ199" s="61" t="str">
        <f ca="1">_xlfn.IFNA(IF(AE199 &lt; (INDEX(SLATable[Maximum SLA],MATCH(G199,SLATable[Priority],0))),"YES","NO"),"")</f>
        <v>NO</v>
      </c>
    </row>
    <row r="200" spans="1:36" s="60" customFormat="1" ht="15" hidden="1" customHeight="1">
      <c r="A200" s="60">
        <v>199</v>
      </c>
      <c r="B200" s="60" t="s">
        <v>26</v>
      </c>
      <c r="C200" s="60" t="s">
        <v>54</v>
      </c>
      <c r="D200" s="60" t="s">
        <v>208</v>
      </c>
      <c r="E200" s="60" t="s">
        <v>3035</v>
      </c>
      <c r="F200" s="60" t="s">
        <v>325</v>
      </c>
      <c r="G200" s="105" t="s">
        <v>208</v>
      </c>
      <c r="H200" s="212" t="s">
        <v>3036</v>
      </c>
      <c r="I200" s="105" t="s">
        <v>275</v>
      </c>
      <c r="J200" s="212" t="s">
        <v>2855</v>
      </c>
      <c r="K200" s="106">
        <v>46154.398784722223</v>
      </c>
      <c r="L200" s="106">
        <v>46161.398784722223</v>
      </c>
      <c r="M200" s="106">
        <v>46161.401354166665</v>
      </c>
      <c r="N200" s="106">
        <v>46177.516932870371</v>
      </c>
      <c r="O200" s="106"/>
      <c r="P200" s="106"/>
      <c r="Z200" s="107">
        <f t="shared" ca="1" si="25"/>
        <v>6.1181481481471574</v>
      </c>
      <c r="AA200" s="108">
        <f t="shared" ca="1" si="26"/>
        <v>16.315061728392422</v>
      </c>
      <c r="AB200" s="107">
        <f t="shared" ca="1" si="27"/>
        <v>4.2431481481471574</v>
      </c>
      <c r="AC200" s="108">
        <f t="shared" ca="1" si="28"/>
        <v>11.31506172839242</v>
      </c>
      <c r="AD200" s="107">
        <f t="shared" ca="1" si="24"/>
        <v>2.5694444411783479E-3</v>
      </c>
      <c r="AE200" s="107">
        <f t="shared" ca="1" si="29"/>
        <v>30.353339930552469</v>
      </c>
      <c r="AF200" s="108">
        <f t="shared" ca="1" si="30"/>
        <v>80.942239814806584</v>
      </c>
      <c r="AG200" s="108">
        <f t="shared" ca="1" si="4"/>
        <v>80.942239814806584</v>
      </c>
      <c r="AH200" s="61" t="str" cm="1">
        <f t="array" aca="1" ref="AH200" ca="1">IF((AD200) &lt; (INDEX(ResponseSLA[#All],(MATCH((G200),ResponseSLA[Priority],0))+1,3)),"YES","No")</f>
        <v>YES</v>
      </c>
      <c r="AI200" s="61" t="str">
        <f ca="1">_xlfn.IFNA(IF(AE200 &lt; (INDEX(SLATable[Minimum SLA],MATCH(G200,SLATable[Priority],0))),"YES","NO"),"")</f>
        <v>NO</v>
      </c>
      <c r="AJ200" s="61" t="str">
        <f ca="1">_xlfn.IFNA(IF(AE200 &lt; (INDEX(SLATable[Maximum SLA],MATCH(G200,SLATable[Priority],0))),"YES","NO"),"")</f>
        <v>NO</v>
      </c>
    </row>
    <row r="201" spans="1:36" s="60" customFormat="1" ht="15" hidden="1" customHeight="1">
      <c r="A201" s="60">
        <v>200</v>
      </c>
      <c r="B201" s="60" t="s">
        <v>26</v>
      </c>
      <c r="C201" s="60" t="s">
        <v>54</v>
      </c>
      <c r="D201" s="60" t="s">
        <v>208</v>
      </c>
      <c r="E201" s="60" t="s">
        <v>3037</v>
      </c>
      <c r="F201" s="60" t="s">
        <v>325</v>
      </c>
      <c r="G201" s="105" t="s">
        <v>208</v>
      </c>
      <c r="H201" s="212" t="s">
        <v>3038</v>
      </c>
      <c r="I201" s="105" t="s">
        <v>271</v>
      </c>
      <c r="J201" s="212" t="s">
        <v>2855</v>
      </c>
      <c r="K201" s="106">
        <v>46160.464062500003</v>
      </c>
      <c r="L201" s="106">
        <v>46161.426423611112</v>
      </c>
      <c r="M201" s="106">
        <v>46161.498518518521</v>
      </c>
      <c r="N201" s="106">
        <v>46162.460150462961</v>
      </c>
      <c r="O201" s="106"/>
      <c r="P201" s="106"/>
      <c r="Z201" s="107">
        <f t="shared" ca="1" si="25"/>
        <v>0.74608796295797219</v>
      </c>
      <c r="AA201" s="108">
        <f t="shared" ca="1" si="26"/>
        <v>1.9895679012212593</v>
      </c>
      <c r="AB201" s="107">
        <f t="shared" ca="1" si="27"/>
        <v>0.408726851848769</v>
      </c>
      <c r="AC201" s="108">
        <f t="shared" ca="1" si="28"/>
        <v>1.0899382715967174</v>
      </c>
      <c r="AD201" s="107">
        <f t="shared" ca="1" si="24"/>
        <v>7.2094907409336884E-2</v>
      </c>
      <c r="AE201" s="107">
        <f t="shared" ca="1" si="29"/>
        <v>0.408726851848769</v>
      </c>
      <c r="AF201" s="108">
        <f t="shared" ca="1" si="30"/>
        <v>1.0899382715967174</v>
      </c>
      <c r="AG201" s="108">
        <f t="shared" ca="1" si="4"/>
        <v>1.0899382715967174</v>
      </c>
      <c r="AH201" s="61" t="str" cm="1">
        <f t="array" aca="1" ref="AH201" ca="1">IF((AD201) &lt; (INDEX(ResponseSLA[#All],(MATCH((G201),ResponseSLA[Priority],0))+1,3)),"YES","No")</f>
        <v>YES</v>
      </c>
      <c r="AI201" s="61" t="str">
        <f ca="1">_xlfn.IFNA(IF(AE201 &lt; (INDEX(SLATable[Minimum SLA],MATCH(G201,SLATable[Priority],0))),"YES","NO"),"")</f>
        <v>YES</v>
      </c>
      <c r="AJ201" s="61" t="str">
        <f ca="1">_xlfn.IFNA(IF(AE201 &lt; (INDEX(SLATable[Maximum SLA],MATCH(G201,SLATable[Priority],0))),"YES","NO"),"")</f>
        <v>YES</v>
      </c>
    </row>
    <row r="202" spans="1:36" s="60" customFormat="1" ht="15" hidden="1" customHeight="1">
      <c r="A202" s="60">
        <v>201</v>
      </c>
      <c r="B202" s="60" t="s">
        <v>26</v>
      </c>
      <c r="C202" s="60" t="s">
        <v>54</v>
      </c>
      <c r="D202" s="60" t="s">
        <v>208</v>
      </c>
      <c r="E202" s="60" t="s">
        <v>3039</v>
      </c>
      <c r="F202" s="60" t="s">
        <v>325</v>
      </c>
      <c r="G202" s="105" t="s">
        <v>208</v>
      </c>
      <c r="H202" s="212" t="s">
        <v>3040</v>
      </c>
      <c r="I202" s="105" t="s">
        <v>271</v>
      </c>
      <c r="J202" s="212" t="s">
        <v>2855</v>
      </c>
      <c r="K202" s="106">
        <v>46161.743495370371</v>
      </c>
      <c r="L202" s="106">
        <v>46161.743090277778</v>
      </c>
      <c r="M202" s="106">
        <v>46162.225532407407</v>
      </c>
      <c r="N202" s="106">
        <v>46170.358472222222</v>
      </c>
      <c r="O202" s="106"/>
      <c r="P202" s="106"/>
      <c r="Z202" s="107">
        <f t="shared" ca="1" si="25"/>
        <v>1.9001388888888568</v>
      </c>
      <c r="AA202" s="108">
        <f t="shared" ca="1" si="26"/>
        <v>5.0670370370369513</v>
      </c>
      <c r="AB202" s="107">
        <f t="shared" ca="1" si="27"/>
        <v>1.9001388888888568</v>
      </c>
      <c r="AC202" s="108">
        <f t="shared" ca="1" si="28"/>
        <v>5.0670370370369513</v>
      </c>
      <c r="AD202" s="107">
        <f t="shared" ca="1" si="24"/>
        <v>0</v>
      </c>
      <c r="AE202" s="107">
        <f t="shared" ca="1" si="29"/>
        <v>1.9001388888888568</v>
      </c>
      <c r="AF202" s="108">
        <f t="shared" ca="1" si="30"/>
        <v>5.0670370370369513</v>
      </c>
      <c r="AG202" s="108">
        <f t="shared" ca="1" si="4"/>
        <v>5.0670370370369513</v>
      </c>
      <c r="AH202" s="61" t="str" cm="1">
        <f t="array" aca="1" ref="AH202" ca="1">IF((AD202) &lt; (INDEX(ResponseSLA[#All],(MATCH((G202),ResponseSLA[Priority],0))+1,3)),"YES","No")</f>
        <v>YES</v>
      </c>
      <c r="AI202" s="61" t="str">
        <f ca="1">_xlfn.IFNA(IF(AE202 &lt; (INDEX(SLATable[Minimum SLA],MATCH(G202,SLATable[Priority],0))),"YES","NO"),"")</f>
        <v>NO</v>
      </c>
      <c r="AJ202" s="61" t="str">
        <f ca="1">_xlfn.IFNA(IF(AE202 &lt; (INDEX(SLATable[Maximum SLA],MATCH(G202,SLATable[Priority],0))),"YES","NO"),"")</f>
        <v>NO</v>
      </c>
    </row>
    <row r="203" spans="1:36" s="60" customFormat="1" ht="15" hidden="1" customHeight="1">
      <c r="A203" s="60">
        <v>202</v>
      </c>
      <c r="B203" s="60" t="s">
        <v>26</v>
      </c>
      <c r="C203" s="60" t="s">
        <v>54</v>
      </c>
      <c r="D203" s="60" t="s">
        <v>208</v>
      </c>
      <c r="E203" s="60" t="s">
        <v>3007</v>
      </c>
      <c r="F203" s="60" t="s">
        <v>325</v>
      </c>
      <c r="G203" s="105" t="s">
        <v>208</v>
      </c>
      <c r="H203" s="212" t="s">
        <v>3008</v>
      </c>
      <c r="I203" s="105" t="s">
        <v>271</v>
      </c>
      <c r="J203" s="212" t="s">
        <v>2855</v>
      </c>
      <c r="K203" s="106">
        <v>46154.402337962965</v>
      </c>
      <c r="L203" s="106">
        <v>46160.562465277777</v>
      </c>
      <c r="M203" s="106">
        <v>46161.215416666666</v>
      </c>
      <c r="N203" s="106">
        <v>46169.324780092589</v>
      </c>
      <c r="O203" s="106"/>
      <c r="P203" s="106"/>
      <c r="Z203" s="107">
        <f t="shared" ca="1" si="25"/>
        <v>3.6809953703680858</v>
      </c>
      <c r="AA203" s="108">
        <f t="shared" ca="1" si="26"/>
        <v>9.8159876543148954</v>
      </c>
      <c r="AB203" s="107">
        <f t="shared" ca="1" si="27"/>
        <v>2.0208680555563969</v>
      </c>
      <c r="AC203" s="108">
        <f t="shared" ca="1" si="28"/>
        <v>5.3889814814837251</v>
      </c>
      <c r="AD203" s="107">
        <f t="shared" ca="1" si="24"/>
        <v>0.14586805555639637</v>
      </c>
      <c r="AE203" s="107">
        <f t="shared" ca="1" si="29"/>
        <v>4.0417361111127938</v>
      </c>
      <c r="AF203" s="108">
        <f t="shared" ca="1" si="30"/>
        <v>10.77796296296745</v>
      </c>
      <c r="AG203" s="108">
        <f t="shared" ca="1" si="4"/>
        <v>10.77796296296745</v>
      </c>
      <c r="AH203" s="61" t="str" cm="1">
        <f t="array" aca="1" ref="AH203" ca="1">IF((AD203) &lt; (INDEX(ResponseSLA[#All],(MATCH((G203),ResponseSLA[Priority],0))+1,3)),"YES","No")</f>
        <v>YES</v>
      </c>
      <c r="AI203" s="61" t="str">
        <f ca="1">_xlfn.IFNA(IF(AE203 &lt; (INDEX(SLATable[Minimum SLA],MATCH(G203,SLATable[Priority],0))),"YES","NO"),"")</f>
        <v>NO</v>
      </c>
      <c r="AJ203" s="61" t="str">
        <f ca="1">_xlfn.IFNA(IF(AE203 &lt; (INDEX(SLATable[Maximum SLA],MATCH(G203,SLATable[Priority],0))),"YES","NO"),"")</f>
        <v>NO</v>
      </c>
    </row>
    <row r="204" spans="1:36" s="60" customFormat="1" ht="15" hidden="1" customHeight="1">
      <c r="A204" s="60">
        <v>203</v>
      </c>
      <c r="B204" s="60" t="s">
        <v>26</v>
      </c>
      <c r="C204" s="60" t="s">
        <v>54</v>
      </c>
      <c r="D204" s="60" t="s">
        <v>207</v>
      </c>
      <c r="E204" s="60" t="s">
        <v>3041</v>
      </c>
      <c r="F204" s="60" t="s">
        <v>325</v>
      </c>
      <c r="G204" s="105" t="s">
        <v>208</v>
      </c>
      <c r="H204" s="212" t="s">
        <v>3042</v>
      </c>
      <c r="I204" s="105" t="s">
        <v>271</v>
      </c>
      <c r="J204" s="212" t="s">
        <v>2855</v>
      </c>
      <c r="K204" s="106">
        <v>46161.464097222219</v>
      </c>
      <c r="L204" s="106">
        <v>46162.352916666663</v>
      </c>
      <c r="M204" s="106">
        <v>46162.359652777777</v>
      </c>
      <c r="N204" s="106">
        <v>46168.414976851855</v>
      </c>
      <c r="O204" s="106"/>
      <c r="P204" s="106"/>
      <c r="Z204" s="107">
        <f t="shared" ca="1" si="25"/>
        <v>1.4508796296358926</v>
      </c>
      <c r="AA204" s="108">
        <f t="shared" ca="1" si="26"/>
        <v>3.8690123456957135</v>
      </c>
      <c r="AB204" s="107">
        <f t="shared" ca="1" si="27"/>
        <v>1.1870601851915128</v>
      </c>
      <c r="AC204" s="108">
        <f t="shared" ca="1" si="28"/>
        <v>3.1654938271773676</v>
      </c>
      <c r="AD204" s="107">
        <f t="shared" ca="1" si="24"/>
        <v>6.7361111141508445E-3</v>
      </c>
      <c r="AE204" s="107">
        <f t="shared" ca="1" si="29"/>
        <v>1.1870601851915128</v>
      </c>
      <c r="AF204" s="108">
        <f t="shared" ca="1" si="30"/>
        <v>3.1654938271773676</v>
      </c>
      <c r="AG204" s="108">
        <f t="shared" ca="1" si="4"/>
        <v>3.1654938271773676</v>
      </c>
      <c r="AH204" s="61" t="str" cm="1">
        <f t="array" aca="1" ref="AH204" ca="1">IF((AD204) &lt; (INDEX(ResponseSLA[#All],(MATCH((G204),ResponseSLA[Priority],0))+1,3)),"YES","No")</f>
        <v>YES</v>
      </c>
      <c r="AI204" s="61" t="str">
        <f ca="1">_xlfn.IFNA(IF(AE204 &lt; (INDEX(SLATable[Minimum SLA],MATCH(G204,SLATable[Priority],0))),"YES","NO"),"")</f>
        <v>NO</v>
      </c>
      <c r="AJ204" s="61" t="str">
        <f ca="1">_xlfn.IFNA(IF(AE204 &lt; (INDEX(SLATable[Maximum SLA],MATCH(G204,SLATable[Priority],0))),"YES","NO"),"")</f>
        <v>NO</v>
      </c>
    </row>
    <row r="205" spans="1:36" s="60" customFormat="1" ht="15" hidden="1" customHeight="1">
      <c r="A205" s="60">
        <v>204</v>
      </c>
      <c r="B205" s="60" t="s">
        <v>26</v>
      </c>
      <c r="C205" s="60" t="s">
        <v>54</v>
      </c>
      <c r="D205" s="60" t="s">
        <v>208</v>
      </c>
      <c r="E205" s="60" t="s">
        <v>3043</v>
      </c>
      <c r="F205" s="60" t="s">
        <v>325</v>
      </c>
      <c r="G205" s="105" t="s">
        <v>208</v>
      </c>
      <c r="H205" s="212" t="s">
        <v>3044</v>
      </c>
      <c r="I205" s="105" t="s">
        <v>271</v>
      </c>
      <c r="J205" s="212" t="s">
        <v>2855</v>
      </c>
      <c r="K205" s="106">
        <v>46160.721030092594</v>
      </c>
      <c r="L205" s="106">
        <v>46162.400694444441</v>
      </c>
      <c r="M205" s="106">
        <v>46162.411157407405</v>
      </c>
      <c r="N205" s="106">
        <v>46163.669525462959</v>
      </c>
      <c r="O205" s="106"/>
      <c r="P205" s="106"/>
      <c r="Z205" s="107">
        <f t="shared" ca="1" si="25"/>
        <v>1.0861921296260943</v>
      </c>
      <c r="AA205" s="108">
        <f t="shared" ca="1" si="26"/>
        <v>2.8965123456695849</v>
      </c>
      <c r="AB205" s="107">
        <f t="shared" ca="1" si="27"/>
        <v>0.64383101851854008</v>
      </c>
      <c r="AC205" s="108">
        <f t="shared" ca="1" si="28"/>
        <v>1.7168827160494402</v>
      </c>
      <c r="AD205" s="107">
        <f t="shared" ca="1" si="24"/>
        <v>1.0462962964083999E-2</v>
      </c>
      <c r="AE205" s="107">
        <f t="shared" ca="1" si="29"/>
        <v>0.64383101851854008</v>
      </c>
      <c r="AF205" s="108">
        <f t="shared" ca="1" si="30"/>
        <v>1.7168827160494402</v>
      </c>
      <c r="AG205" s="108">
        <f t="shared" ca="1" si="4"/>
        <v>1.7168827160494402</v>
      </c>
      <c r="AH205" s="61" t="str" cm="1">
        <f t="array" aca="1" ref="AH205" ca="1">IF((AD205) &lt; (INDEX(ResponseSLA[#All],(MATCH((G205),ResponseSLA[Priority],0))+1,3)),"YES","No")</f>
        <v>YES</v>
      </c>
      <c r="AI205" s="61" t="str">
        <f ca="1">_xlfn.IFNA(IF(AE205 &lt; (INDEX(SLATable[Minimum SLA],MATCH(G205,SLATable[Priority],0))),"YES","NO"),"")</f>
        <v>YES</v>
      </c>
      <c r="AJ205" s="61" t="str">
        <f ca="1">_xlfn.IFNA(IF(AE205 &lt; (INDEX(SLATable[Maximum SLA],MATCH(G205,SLATable[Priority],0))),"YES","NO"),"")</f>
        <v>YES</v>
      </c>
    </row>
    <row r="206" spans="1:36" s="60" customFormat="1" ht="15" hidden="1" customHeight="1">
      <c r="A206" s="60">
        <v>205</v>
      </c>
      <c r="B206" s="60" t="s">
        <v>26</v>
      </c>
      <c r="C206" s="60" t="s">
        <v>54</v>
      </c>
      <c r="D206" s="60" t="s">
        <v>208</v>
      </c>
      <c r="E206" s="60" t="s">
        <v>3035</v>
      </c>
      <c r="F206" s="60" t="s">
        <v>325</v>
      </c>
      <c r="G206" s="105" t="s">
        <v>208</v>
      </c>
      <c r="H206" s="212" t="s">
        <v>3036</v>
      </c>
      <c r="I206" s="105" t="s">
        <v>271</v>
      </c>
      <c r="J206" s="212" t="s">
        <v>2855</v>
      </c>
      <c r="K206" s="106">
        <v>46154.398784722223</v>
      </c>
      <c r="L206" s="106">
        <v>46161.398784722223</v>
      </c>
      <c r="M206" s="106">
        <v>46161.401354166665</v>
      </c>
      <c r="N206" s="106"/>
      <c r="O206" s="106"/>
      <c r="P206" s="106"/>
      <c r="Z206" s="107">
        <f t="shared" ca="1" si="25"/>
        <v>27.985191782405312</v>
      </c>
      <c r="AA206" s="108">
        <f t="shared" ca="1" si="26"/>
        <v>74.627178086414176</v>
      </c>
      <c r="AB206" s="107">
        <f t="shared" ca="1" si="27"/>
        <v>26.110191782405312</v>
      </c>
      <c r="AC206" s="108">
        <f t="shared" ca="1" si="28"/>
        <v>69.627178086414176</v>
      </c>
      <c r="AD206" s="107">
        <f t="shared" ca="1" si="24"/>
        <v>2.5694444411783479E-3</v>
      </c>
      <c r="AE206" s="107">
        <f t="shared" ca="1" si="29"/>
        <v>30.353339930552469</v>
      </c>
      <c r="AF206" s="108">
        <f t="shared" ca="1" si="30"/>
        <v>80.942239814806584</v>
      </c>
      <c r="AG206" s="108">
        <f t="shared" ca="1" si="4"/>
        <v>80.942239814806584</v>
      </c>
      <c r="AH206" s="61" t="str" cm="1">
        <f t="array" aca="1" ref="AH206" ca="1">IF((AD206) &lt; (INDEX(ResponseSLA[#All],(MATCH((G206),ResponseSLA[Priority],0))+1,3)),"YES","No")</f>
        <v>YES</v>
      </c>
      <c r="AI206" s="61" t="str">
        <f ca="1">_xlfn.IFNA(IF(AE206 &lt; (INDEX(SLATable[Minimum SLA],MATCH(G206,SLATable[Priority],0))),"YES","NO"),"")</f>
        <v>NO</v>
      </c>
      <c r="AJ206" s="61" t="str">
        <f ca="1">_xlfn.IFNA(IF(AE206 &lt; (INDEX(SLATable[Maximum SLA],MATCH(G206,SLATable[Priority],0))),"YES","NO"),"")</f>
        <v>NO</v>
      </c>
    </row>
    <row r="207" spans="1:36" s="60" customFormat="1" ht="15" hidden="1" customHeight="1">
      <c r="A207" s="60">
        <v>206</v>
      </c>
      <c r="B207" s="60" t="s">
        <v>26</v>
      </c>
      <c r="C207" s="60" t="s">
        <v>54</v>
      </c>
      <c r="D207" s="60" t="s">
        <v>208</v>
      </c>
      <c r="E207" s="60" t="s">
        <v>3045</v>
      </c>
      <c r="F207" s="60" t="s">
        <v>325</v>
      </c>
      <c r="G207" s="105" t="s">
        <v>208</v>
      </c>
      <c r="H207" s="212" t="s">
        <v>3046</v>
      </c>
      <c r="I207" s="105" t="s">
        <v>271</v>
      </c>
      <c r="J207" s="212" t="s">
        <v>2855</v>
      </c>
      <c r="K207" s="106">
        <v>46157.544305555559</v>
      </c>
      <c r="L207" s="106">
        <v>46162.442789351851</v>
      </c>
      <c r="M207" s="106">
        <v>46163.214456018519</v>
      </c>
      <c r="N207" s="106">
        <v>46164.572881944441</v>
      </c>
      <c r="O207" s="106"/>
      <c r="P207" s="106"/>
      <c r="Z207" s="107">
        <f t="shared" ca="1" si="25"/>
        <v>1.9035763888823567</v>
      </c>
      <c r="AA207" s="108">
        <f t="shared" ca="1" si="26"/>
        <v>5.0762037036862848</v>
      </c>
      <c r="AB207" s="107">
        <f t="shared" ca="1" si="27"/>
        <v>0.88009259258979</v>
      </c>
      <c r="AC207" s="108">
        <f t="shared" ca="1" si="28"/>
        <v>2.3469135802394399</v>
      </c>
      <c r="AD207" s="107">
        <f t="shared" ca="1" si="24"/>
        <v>0.26554398148194502</v>
      </c>
      <c r="AE207" s="107">
        <f t="shared" ca="1" si="29"/>
        <v>0.88009259258979</v>
      </c>
      <c r="AF207" s="108">
        <f t="shared" ca="1" si="30"/>
        <v>2.3469135802394399</v>
      </c>
      <c r="AG207" s="108">
        <f t="shared" ca="1" si="4"/>
        <v>2.3469135802394399</v>
      </c>
      <c r="AH207" s="61" t="str" cm="1">
        <f t="array" aca="1" ref="AH207" ca="1">IF((AD207) &lt; (INDEX(ResponseSLA[#All],(MATCH((G207),ResponseSLA[Priority],0))+1,3)),"YES","No")</f>
        <v>YES</v>
      </c>
      <c r="AI207" s="61" t="str">
        <f ca="1">_xlfn.IFNA(IF(AE207 &lt; (INDEX(SLATable[Minimum SLA],MATCH(G207,SLATable[Priority],0))),"YES","NO"),"")</f>
        <v>NO</v>
      </c>
      <c r="AJ207" s="61" t="str">
        <f ca="1">_xlfn.IFNA(IF(AE207 &lt; (INDEX(SLATable[Maximum SLA],MATCH(G207,SLATable[Priority],0))),"YES","NO"),"")</f>
        <v>NO</v>
      </c>
    </row>
    <row r="208" spans="1:36" s="60" customFormat="1" ht="15" hidden="1" customHeight="1">
      <c r="A208" s="60">
        <v>207</v>
      </c>
      <c r="B208" s="60" t="s">
        <v>26</v>
      </c>
      <c r="C208" s="60" t="s">
        <v>54</v>
      </c>
      <c r="D208" s="60" t="s">
        <v>208</v>
      </c>
      <c r="E208" s="60" t="s">
        <v>3047</v>
      </c>
      <c r="F208" s="60" t="s">
        <v>325</v>
      </c>
      <c r="G208" s="105" t="s">
        <v>208</v>
      </c>
      <c r="H208" s="212" t="s">
        <v>3048</v>
      </c>
      <c r="I208" s="105" t="s">
        <v>271</v>
      </c>
      <c r="J208" s="212" t="s">
        <v>2855</v>
      </c>
      <c r="K208" s="106">
        <v>46162.842534722222</v>
      </c>
      <c r="L208" s="106">
        <v>46163.381782407407</v>
      </c>
      <c r="M208" s="106">
        <v>46163.393067129633</v>
      </c>
      <c r="N208" s="106">
        <v>46167.262013888889</v>
      </c>
      <c r="O208" s="106"/>
      <c r="P208" s="106"/>
      <c r="Z208" s="107">
        <f t="shared" ca="1" si="25"/>
        <v>0.37500000000000011</v>
      </c>
      <c r="AA208" s="108">
        <f t="shared" ca="1" si="26"/>
        <v>1.0000000000000004</v>
      </c>
      <c r="AB208" s="107">
        <f t="shared" ca="1" si="27"/>
        <v>0.32655092592661583</v>
      </c>
      <c r="AC208" s="108">
        <f t="shared" ca="1" si="28"/>
        <v>0.87080246913764225</v>
      </c>
      <c r="AD208" s="107">
        <f t="shared" ca="1" si="24"/>
        <v>1.1284722226264421E-2</v>
      </c>
      <c r="AE208" s="107">
        <f t="shared" ca="1" si="29"/>
        <v>0.32655092592661583</v>
      </c>
      <c r="AF208" s="108">
        <f t="shared" ca="1" si="30"/>
        <v>0.87080246913764225</v>
      </c>
      <c r="AG208" s="108">
        <f t="shared" ca="1" si="4"/>
        <v>0.87080246913764225</v>
      </c>
      <c r="AH208" s="61" t="str" cm="1">
        <f t="array" aca="1" ref="AH208" ca="1">IF((AD208) &lt; (INDEX(ResponseSLA[#All],(MATCH((G208),ResponseSLA[Priority],0))+1,3)),"YES","No")</f>
        <v>YES</v>
      </c>
      <c r="AI208" s="61" t="str">
        <f ca="1">_xlfn.IFNA(IF(AE208 &lt; (INDEX(SLATable[Minimum SLA],MATCH(G208,SLATable[Priority],0))),"YES","NO"),"")</f>
        <v>YES</v>
      </c>
      <c r="AJ208" s="61" t="str">
        <f ca="1">_xlfn.IFNA(IF(AE208 &lt; (INDEX(SLATable[Maximum SLA],MATCH(G208,SLATable[Priority],0))),"YES","NO"),"")</f>
        <v>YES</v>
      </c>
    </row>
    <row r="209" spans="1:36" s="60" customFormat="1" ht="15" hidden="1" customHeight="1">
      <c r="A209" s="60">
        <v>208</v>
      </c>
      <c r="B209" s="60" t="s">
        <v>26</v>
      </c>
      <c r="C209" s="60" t="s">
        <v>54</v>
      </c>
      <c r="D209" s="60" t="s">
        <v>208</v>
      </c>
      <c r="E209" s="60" t="s">
        <v>2749</v>
      </c>
      <c r="F209" s="60" t="s">
        <v>325</v>
      </c>
      <c r="G209" s="105" t="s">
        <v>208</v>
      </c>
      <c r="H209" s="212" t="s">
        <v>3049</v>
      </c>
      <c r="I209" s="105" t="s">
        <v>271</v>
      </c>
      <c r="J209" s="212" t="s">
        <v>2855</v>
      </c>
      <c r="K209" s="106">
        <v>46163.446238425924</v>
      </c>
      <c r="L209" s="106">
        <v>46163.448310185187</v>
      </c>
      <c r="M209" s="106">
        <v>46163.470509259256</v>
      </c>
      <c r="N209" s="106">
        <v>46167.480798611112</v>
      </c>
      <c r="O209" s="106"/>
      <c r="P209" s="106"/>
      <c r="Z209" s="107">
        <f t="shared" ca="1" si="25"/>
        <v>0.26209490740923991</v>
      </c>
      <c r="AA209" s="108">
        <f t="shared" ca="1" si="26"/>
        <v>0.69891975309130638</v>
      </c>
      <c r="AB209" s="107">
        <f t="shared" ca="1" si="27"/>
        <v>0.26002314814589533</v>
      </c>
      <c r="AC209" s="108">
        <f t="shared" ca="1" si="28"/>
        <v>0.69339506172238752</v>
      </c>
      <c r="AD209" s="107">
        <f t="shared" ca="1" si="24"/>
        <v>2.2199074068339542E-2</v>
      </c>
      <c r="AE209" s="107">
        <f t="shared" ca="1" si="29"/>
        <v>0.26002314814589533</v>
      </c>
      <c r="AF209" s="108">
        <f t="shared" ca="1" si="30"/>
        <v>0.69339506172238752</v>
      </c>
      <c r="AG209" s="108">
        <f t="shared" ca="1" si="4"/>
        <v>0.69339506172238752</v>
      </c>
      <c r="AH209" s="61" t="str" cm="1">
        <f t="array" aca="1" ref="AH209" ca="1">IF((AD209) &lt; (INDEX(ResponseSLA[#All],(MATCH((G209),ResponseSLA[Priority],0))+1,3)),"YES","No")</f>
        <v>YES</v>
      </c>
      <c r="AI209" s="61" t="str">
        <f ca="1">_xlfn.IFNA(IF(AE209 &lt; (INDEX(SLATable[Minimum SLA],MATCH(G209,SLATable[Priority],0))),"YES","NO"),"")</f>
        <v>YES</v>
      </c>
      <c r="AJ209" s="61" t="str">
        <f ca="1">_xlfn.IFNA(IF(AE209 &lt; (INDEX(SLATable[Maximum SLA],MATCH(G209,SLATable[Priority],0))),"YES","NO"),"")</f>
        <v>YES</v>
      </c>
    </row>
    <row r="210" spans="1:36" s="60" customFormat="1" ht="15" hidden="1" customHeight="1">
      <c r="A210" s="60">
        <v>209</v>
      </c>
      <c r="B210" s="60" t="s">
        <v>26</v>
      </c>
      <c r="C210" s="60" t="s">
        <v>54</v>
      </c>
      <c r="D210" s="60" t="s">
        <v>208</v>
      </c>
      <c r="E210" s="60" t="s">
        <v>3050</v>
      </c>
      <c r="F210" s="60" t="s">
        <v>325</v>
      </c>
      <c r="G210" s="105" t="s">
        <v>208</v>
      </c>
      <c r="H210" s="212" t="s">
        <v>2866</v>
      </c>
      <c r="I210" s="105" t="s">
        <v>271</v>
      </c>
      <c r="J210" s="212" t="s">
        <v>2872</v>
      </c>
      <c r="K210" s="106">
        <v>46163.712083333332</v>
      </c>
      <c r="L210" s="106">
        <v>46163.713229166664</v>
      </c>
      <c r="M210" s="106">
        <v>46164.276956018519</v>
      </c>
      <c r="N210" s="106">
        <v>46167.311365740738</v>
      </c>
      <c r="O210" s="106"/>
      <c r="P210" s="106"/>
      <c r="Z210" s="107">
        <f t="shared" ca="1" si="25"/>
        <v>0</v>
      </c>
      <c r="AA210" s="108">
        <f t="shared" ca="1" si="26"/>
        <v>0</v>
      </c>
      <c r="AB210" s="107">
        <f t="shared" ca="1" si="27"/>
        <v>0</v>
      </c>
      <c r="AC210" s="108">
        <f t="shared" ca="1" si="28"/>
        <v>0</v>
      </c>
      <c r="AD210" s="107">
        <f t="shared" ca="1" si="24"/>
        <v>0</v>
      </c>
      <c r="AE210" s="107">
        <f t="shared" ca="1" si="29"/>
        <v>0</v>
      </c>
      <c r="AF210" s="108">
        <f t="shared" ca="1" si="30"/>
        <v>0</v>
      </c>
      <c r="AG210" s="108">
        <f t="shared" ca="1" si="4"/>
        <v>0</v>
      </c>
      <c r="AH210" s="61" t="str" cm="1">
        <f t="array" aca="1" ref="AH210" ca="1">IF((AD210) &lt; (INDEX(ResponseSLA[#All],(MATCH((G210),ResponseSLA[Priority],0))+1,3)),"YES","No")</f>
        <v>YES</v>
      </c>
      <c r="AI210" s="61" t="str">
        <f ca="1">_xlfn.IFNA(IF(AE210 &lt; (INDEX(SLATable[Minimum SLA],MATCH(G210,SLATable[Priority],0))),"YES","NO"),"")</f>
        <v>YES</v>
      </c>
      <c r="AJ210" s="61" t="str">
        <f ca="1">_xlfn.IFNA(IF(AE210 &lt; (INDEX(SLATable[Maximum SLA],MATCH(G210,SLATable[Priority],0))),"YES","NO"),"")</f>
        <v>YES</v>
      </c>
    </row>
    <row r="211" spans="1:36" s="60" customFormat="1" ht="15" hidden="1" customHeight="1">
      <c r="A211" s="60">
        <v>210</v>
      </c>
      <c r="B211" s="60" t="s">
        <v>26</v>
      </c>
      <c r="C211" s="60" t="s">
        <v>54</v>
      </c>
      <c r="D211" s="60" t="s">
        <v>208</v>
      </c>
      <c r="E211" s="60" t="s">
        <v>3051</v>
      </c>
      <c r="F211" s="60" t="s">
        <v>325</v>
      </c>
      <c r="G211" s="105" t="s">
        <v>208</v>
      </c>
      <c r="H211" s="212" t="s">
        <v>3038</v>
      </c>
      <c r="I211" s="105" t="s">
        <v>271</v>
      </c>
      <c r="J211" s="212" t="s">
        <v>2872</v>
      </c>
      <c r="K211" s="106">
        <v>46154.605694444443</v>
      </c>
      <c r="L211" s="106">
        <v>46164.629131944443</v>
      </c>
      <c r="M211" s="106">
        <v>46167.214699074073</v>
      </c>
      <c r="N211" s="106">
        <v>46181.7503125</v>
      </c>
      <c r="O211" s="106">
        <v>46167.320694444446</v>
      </c>
      <c r="P211" s="106"/>
      <c r="Z211" s="107">
        <f t="shared" ca="1" si="25"/>
        <v>6.8526388888907004</v>
      </c>
      <c r="AA211" s="108">
        <f t="shared" ca="1" si="26"/>
        <v>18.273703703708534</v>
      </c>
      <c r="AB211" s="107">
        <f t="shared" ca="1" si="27"/>
        <v>3.8292013888907004</v>
      </c>
      <c r="AC211" s="108">
        <f t="shared" ca="1" si="28"/>
        <v>10.211203703708534</v>
      </c>
      <c r="AD211" s="107">
        <f t="shared" ca="1" si="24"/>
        <v>7.9201388890699831E-2</v>
      </c>
      <c r="AE211" s="107">
        <f t="shared" ca="1" si="29"/>
        <v>3.8292013888907004</v>
      </c>
      <c r="AF211" s="108">
        <f t="shared" ca="1" si="30"/>
        <v>10.211203703708534</v>
      </c>
      <c r="AG211" s="108">
        <f t="shared" ca="1" si="4"/>
        <v>10.211203703708534</v>
      </c>
      <c r="AH211" s="61" t="str" cm="1">
        <f t="array" aca="1" ref="AH211" ca="1">IF((AD211) &lt; (INDEX(ResponseSLA[#All],(MATCH((G211),ResponseSLA[Priority],0))+1,3)),"YES","No")</f>
        <v>YES</v>
      </c>
      <c r="AI211" s="61" t="str">
        <f ca="1">_xlfn.IFNA(IF(AE211 &lt; (INDEX(SLATable[Minimum SLA],MATCH(G211,SLATable[Priority],0))),"YES","NO"),"")</f>
        <v>NO</v>
      </c>
      <c r="AJ211" s="61" t="str">
        <f ca="1">_xlfn.IFNA(IF(AE211 &lt; (INDEX(SLATable[Maximum SLA],MATCH(G211,SLATable[Priority],0))),"YES","NO"),"")</f>
        <v>NO</v>
      </c>
    </row>
    <row r="212" spans="1:36" s="60" customFormat="1" ht="15" hidden="1" customHeight="1">
      <c r="A212" s="60">
        <v>211</v>
      </c>
      <c r="B212" s="60" t="s">
        <v>26</v>
      </c>
      <c r="C212" s="60" t="s">
        <v>27</v>
      </c>
      <c r="D212" s="60" t="s">
        <v>208</v>
      </c>
      <c r="E212" s="60" t="s">
        <v>2825</v>
      </c>
      <c r="F212" s="60" t="s">
        <v>318</v>
      </c>
      <c r="G212" s="105" t="s">
        <v>208</v>
      </c>
      <c r="H212" s="212" t="s">
        <v>2826</v>
      </c>
      <c r="I212" s="105" t="s">
        <v>271</v>
      </c>
      <c r="J212" s="60" t="s">
        <v>2751</v>
      </c>
      <c r="K212" s="106">
        <v>46171.448831018519</v>
      </c>
      <c r="L212" s="106">
        <v>46171.448831018519</v>
      </c>
      <c r="M212" s="106">
        <v>46171.475983796299</v>
      </c>
      <c r="N212" s="106">
        <v>46197.527719907404</v>
      </c>
      <c r="O212" s="106"/>
      <c r="P212" s="106"/>
      <c r="Z212" s="107">
        <f t="shared" ca="1" si="25"/>
        <v>6.828888888885559</v>
      </c>
      <c r="AA212" s="108">
        <f t="shared" ca="1" si="26"/>
        <v>18.210370370361492</v>
      </c>
      <c r="AB212" s="107">
        <f t="shared" ca="1" si="27"/>
        <v>6.828888888885559</v>
      </c>
      <c r="AC212" s="108">
        <f t="shared" ca="1" si="28"/>
        <v>18.210370370361492</v>
      </c>
      <c r="AD212" s="107">
        <f t="shared" ca="1" si="24"/>
        <v>2.715277778042946E-2</v>
      </c>
      <c r="AE212" s="107">
        <f t="shared" ca="1" si="29"/>
        <v>31.222819097221269</v>
      </c>
      <c r="AF212" s="108">
        <f t="shared" ca="1" si="30"/>
        <v>83.260850925923378</v>
      </c>
      <c r="AG212" s="108">
        <f t="shared" ca="1" si="4"/>
        <v>83.260850925923378</v>
      </c>
      <c r="AH212" s="61" t="str" cm="1">
        <f t="array" aca="1" ref="AH212" ca="1">IF((AD212) &lt; (INDEX(ResponseSLA[#All],(MATCH((G212),ResponseSLA[Priority],0))+1,3)),"YES","No")</f>
        <v>YES</v>
      </c>
      <c r="AI212" s="61" t="str">
        <f ca="1">_xlfn.IFNA(IF(AE212 &lt; (INDEX(SLATable[Minimum SLA],MATCH(G212,SLATable[Priority],0))),"YES","NO"),"")</f>
        <v>NO</v>
      </c>
      <c r="AJ212" s="61" t="str">
        <f ca="1">_xlfn.IFNA(IF(AE212 &lt; (INDEX(SLATable[Maximum SLA],MATCH(G212,SLATable[Priority],0))),"YES","NO"),"")</f>
        <v>NO</v>
      </c>
    </row>
    <row r="213" spans="1:36" s="60" customFormat="1" ht="15" hidden="1" customHeight="1">
      <c r="A213" s="60">
        <v>212</v>
      </c>
      <c r="B213" s="60" t="s">
        <v>26</v>
      </c>
      <c r="C213" s="60" t="s">
        <v>27</v>
      </c>
      <c r="D213" s="60" t="s">
        <v>207</v>
      </c>
      <c r="E213" s="60" t="s">
        <v>3052</v>
      </c>
      <c r="F213" s="60" t="s">
        <v>318</v>
      </c>
      <c r="G213" s="105">
        <v>3</v>
      </c>
      <c r="H213" s="212" t="s">
        <v>3053</v>
      </c>
      <c r="I213" s="105" t="s">
        <v>271</v>
      </c>
      <c r="J213" s="60" t="s">
        <v>2751</v>
      </c>
      <c r="K213" s="106">
        <v>46153.458194444444</v>
      </c>
      <c r="L213" s="106">
        <v>46153.45826388889</v>
      </c>
      <c r="M213" s="106">
        <v>46153.565821759257</v>
      </c>
      <c r="N213" s="106">
        <v>46160.217847222222</v>
      </c>
      <c r="O213" s="106"/>
      <c r="P213" s="106"/>
      <c r="Z213" s="107">
        <f t="shared" ca="1" si="25"/>
        <v>1.7501388888898268</v>
      </c>
      <c r="AA213" s="108">
        <f t="shared" ca="1" si="26"/>
        <v>4.6670370370395382</v>
      </c>
      <c r="AB213" s="107">
        <f t="shared" ca="1" si="27"/>
        <v>1.7500694444437008</v>
      </c>
      <c r="AC213" s="108">
        <f t="shared" ca="1" si="28"/>
        <v>4.6668518518498683</v>
      </c>
      <c r="AD213" s="107">
        <f t="shared" ca="1" si="24"/>
        <v>0.10755787036760012</v>
      </c>
      <c r="AE213" s="107">
        <f t="shared" ca="1" si="29"/>
        <v>1.7500694444437008</v>
      </c>
      <c r="AF213" s="108">
        <f t="shared" ca="1" si="30"/>
        <v>4.6668518518498683</v>
      </c>
      <c r="AG213" s="108">
        <f t="shared" ca="1" si="4"/>
        <v>4.6668518518498683</v>
      </c>
      <c r="AH213" s="61" t="str" cm="1">
        <f t="array" aca="1" ref="AH213" ca="1">IF((AD213) &lt; (INDEX(ResponseSLA[#All],(MATCH((G213),ResponseSLA[Priority],0))+1,3)),"YES","No")</f>
        <v>No</v>
      </c>
      <c r="AI213" s="61" t="str">
        <f ca="1">_xlfn.IFNA(IF(AE213 &lt; (INDEX(SLATable[Minimum SLA],MATCH(G213,SLATable[Priority],0))),"YES","NO"),"")</f>
        <v>NO</v>
      </c>
      <c r="AJ213" s="61" t="str">
        <f ca="1">_xlfn.IFNA(IF(AE213 &lt; (INDEX(SLATable[Maximum SLA],MATCH(G213,SLATable[Priority],0))),"YES","NO"),"")</f>
        <v>YES</v>
      </c>
    </row>
    <row r="214" spans="1:36" s="60" customFormat="1" ht="15" hidden="1" customHeight="1">
      <c r="A214" s="60">
        <v>213</v>
      </c>
      <c r="B214" s="60" t="s">
        <v>26</v>
      </c>
      <c r="C214" s="60" t="s">
        <v>54</v>
      </c>
      <c r="D214" s="60" t="s">
        <v>208</v>
      </c>
      <c r="E214" s="60" t="s">
        <v>3054</v>
      </c>
      <c r="F214" s="60" t="s">
        <v>325</v>
      </c>
      <c r="G214" s="105" t="s">
        <v>208</v>
      </c>
      <c r="H214" s="212" t="s">
        <v>3055</v>
      </c>
      <c r="I214" s="228" t="s">
        <v>271</v>
      </c>
      <c r="J214" s="212" t="s">
        <v>2872</v>
      </c>
      <c r="K214" s="106">
        <v>46164.595023148147</v>
      </c>
      <c r="L214" s="106">
        <v>46164.605393518519</v>
      </c>
      <c r="M214" s="106">
        <v>46167.215358796297</v>
      </c>
      <c r="N214" s="106">
        <v>46167.314097222225</v>
      </c>
      <c r="O214" s="106"/>
      <c r="P214" s="106"/>
      <c r="Z214" s="107">
        <f t="shared" ca="1" si="25"/>
        <v>0</v>
      </c>
      <c r="AA214" s="108">
        <f t="shared" ca="1" si="26"/>
        <v>0</v>
      </c>
      <c r="AB214" s="107">
        <f t="shared" ca="1" si="27"/>
        <v>0</v>
      </c>
      <c r="AC214" s="108">
        <f t="shared" ca="1" si="28"/>
        <v>0</v>
      </c>
      <c r="AD214" s="107">
        <f t="shared" ca="1" si="24"/>
        <v>0.10293981481421122</v>
      </c>
      <c r="AE214" s="107">
        <f t="shared" ca="1" si="29"/>
        <v>0</v>
      </c>
      <c r="AF214" s="108">
        <f t="shared" ca="1" si="30"/>
        <v>0</v>
      </c>
      <c r="AG214" s="108">
        <f t="shared" ca="1" si="4"/>
        <v>0</v>
      </c>
      <c r="AH214" s="61" t="str" cm="1">
        <f t="array" aca="1" ref="AH214" ca="1">IF((AD214) &lt; (INDEX(ResponseSLA[#All],(MATCH((G214),ResponseSLA[Priority],0))+1,3)),"YES","No")</f>
        <v>YES</v>
      </c>
      <c r="AI214" s="61" t="str">
        <f ca="1">_xlfn.IFNA(IF(AE214 &lt; (INDEX(SLATable[Minimum SLA],MATCH(G214,SLATable[Priority],0))),"YES","NO"),"")</f>
        <v>YES</v>
      </c>
      <c r="AJ214" s="61" t="str">
        <f ca="1">_xlfn.IFNA(IF(AE214 &lt; (INDEX(SLATable[Maximum SLA],MATCH(G214,SLATable[Priority],0))),"YES","NO"),"")</f>
        <v>YES</v>
      </c>
    </row>
    <row r="215" spans="1:36" s="60" customFormat="1" ht="15" hidden="1" customHeight="1">
      <c r="A215" s="60">
        <v>214</v>
      </c>
      <c r="B215" s="60" t="s">
        <v>26</v>
      </c>
      <c r="C215" s="60" t="s">
        <v>27</v>
      </c>
      <c r="D215" s="60" t="s">
        <v>207</v>
      </c>
      <c r="E215" s="60" t="s">
        <v>3056</v>
      </c>
      <c r="F215" s="60" t="s">
        <v>318</v>
      </c>
      <c r="G215" s="105">
        <v>3</v>
      </c>
      <c r="H215" s="212" t="s">
        <v>3057</v>
      </c>
      <c r="I215" s="105" t="s">
        <v>271</v>
      </c>
      <c r="J215" s="60" t="s">
        <v>2751</v>
      </c>
      <c r="K215" s="106">
        <v>46149.21366898148</v>
      </c>
      <c r="L215" s="106">
        <v>46149.213692129626</v>
      </c>
      <c r="M215" s="106">
        <v>46150.678483796299</v>
      </c>
      <c r="N215" s="106">
        <v>46159.384583333333</v>
      </c>
      <c r="O215" s="106"/>
      <c r="P215" s="106"/>
      <c r="Z215" s="107">
        <f t="shared" ca="1" si="25"/>
        <v>2.2500000000000004</v>
      </c>
      <c r="AA215" s="108">
        <f t="shared" ca="1" si="26"/>
        <v>6.0000000000000018</v>
      </c>
      <c r="AB215" s="107">
        <f t="shared" ca="1" si="27"/>
        <v>2.2500000000000004</v>
      </c>
      <c r="AC215" s="108">
        <f t="shared" ca="1" si="28"/>
        <v>6.0000000000000018</v>
      </c>
      <c r="AD215" s="107">
        <f t="shared" ca="1" si="24"/>
        <v>0.72015046296534524</v>
      </c>
      <c r="AE215" s="107">
        <f t="shared" ca="1" si="29"/>
        <v>2.2500000000000004</v>
      </c>
      <c r="AF215" s="108">
        <f t="shared" ca="1" si="30"/>
        <v>6.0000000000000018</v>
      </c>
      <c r="AG215" s="108">
        <f t="shared" ca="1" si="4"/>
        <v>6.0000000000000018</v>
      </c>
      <c r="AH215" s="61" t="str" cm="1">
        <f t="array" aca="1" ref="AH215" ca="1">IF((AD215) &lt; (INDEX(ResponseSLA[#All],(MATCH((G215),ResponseSLA[Priority],0))+1,3)),"YES","No")</f>
        <v>No</v>
      </c>
      <c r="AI215" s="61" t="str">
        <f ca="1">_xlfn.IFNA(IF(AE215 &lt; (INDEX(SLATable[Minimum SLA],MATCH(G215,SLATable[Priority],0))),"YES","NO"),"")</f>
        <v>NO</v>
      </c>
      <c r="AJ215" s="61" t="str">
        <f ca="1">_xlfn.IFNA(IF(AE215 &lt; (INDEX(SLATable[Maximum SLA],MATCH(G215,SLATable[Priority],0))),"YES","NO"),"")</f>
        <v>NO</v>
      </c>
    </row>
    <row r="216" spans="1:36" s="60" customFormat="1" ht="15" hidden="1" customHeight="1">
      <c r="A216" s="60">
        <v>215</v>
      </c>
      <c r="B216" s="60" t="s">
        <v>26</v>
      </c>
      <c r="C216" s="60" t="s">
        <v>54</v>
      </c>
      <c r="D216" s="60" t="s">
        <v>208</v>
      </c>
      <c r="E216" s="60" t="s">
        <v>3058</v>
      </c>
      <c r="F216" s="60" t="s">
        <v>325</v>
      </c>
      <c r="G216" s="105" t="s">
        <v>208</v>
      </c>
      <c r="H216" s="212" t="s">
        <v>3059</v>
      </c>
      <c r="I216" s="105" t="s">
        <v>271</v>
      </c>
      <c r="J216" s="212" t="s">
        <v>2855</v>
      </c>
      <c r="K216" s="106">
        <v>46164.661493055559</v>
      </c>
      <c r="L216" s="106">
        <v>46164.661493055559</v>
      </c>
      <c r="M216" s="106">
        <v>46167.215740740743</v>
      </c>
      <c r="N216" s="106">
        <v>46167.449930555558</v>
      </c>
      <c r="O216" s="106"/>
      <c r="P216" s="106"/>
      <c r="Z216" s="107">
        <f t="shared" ca="1" si="25"/>
        <v>0</v>
      </c>
      <c r="AA216" s="108">
        <f t="shared" ca="1" si="26"/>
        <v>0</v>
      </c>
      <c r="AB216" s="107">
        <f t="shared" ca="1" si="27"/>
        <v>0</v>
      </c>
      <c r="AC216" s="108">
        <f t="shared" ca="1" si="28"/>
        <v>0</v>
      </c>
      <c r="AD216" s="107">
        <f t="shared" ca="1" si="24"/>
        <v>4.6840277774511718E-2</v>
      </c>
      <c r="AE216" s="107">
        <f t="shared" ca="1" si="29"/>
        <v>0</v>
      </c>
      <c r="AF216" s="108">
        <f t="shared" ca="1" si="30"/>
        <v>0</v>
      </c>
      <c r="AG216" s="108">
        <f t="shared" ca="1" si="4"/>
        <v>0</v>
      </c>
      <c r="AH216" s="61" t="str" cm="1">
        <f t="array" aca="1" ref="AH216" ca="1">IF((AD216) &lt; (INDEX(ResponseSLA[#All],(MATCH((G216),ResponseSLA[Priority],0))+1,3)),"YES","No")</f>
        <v>YES</v>
      </c>
      <c r="AI216" s="61" t="str">
        <f ca="1">_xlfn.IFNA(IF(AE216 &lt; (INDEX(SLATable[Minimum SLA],MATCH(G216,SLATable[Priority],0))),"YES","NO"),"")</f>
        <v>YES</v>
      </c>
      <c r="AJ216" s="61" t="str">
        <f ca="1">_xlfn.IFNA(IF(AE216 &lt; (INDEX(SLATable[Maximum SLA],MATCH(G216,SLATable[Priority],0))),"YES","NO"),"")</f>
        <v>YES</v>
      </c>
    </row>
    <row r="217" spans="1:36" s="60" customFormat="1" ht="15" hidden="1" customHeight="1">
      <c r="A217" s="60">
        <v>216</v>
      </c>
      <c r="B217" s="60" t="s">
        <v>26</v>
      </c>
      <c r="C217" s="60" t="s">
        <v>27</v>
      </c>
      <c r="D217" s="60" t="s">
        <v>207</v>
      </c>
      <c r="E217" s="60" t="s">
        <v>3060</v>
      </c>
      <c r="F217" s="60" t="s">
        <v>318</v>
      </c>
      <c r="G217" s="105">
        <v>3</v>
      </c>
      <c r="H217" s="212" t="s">
        <v>3061</v>
      </c>
      <c r="I217" s="105" t="s">
        <v>271</v>
      </c>
      <c r="J217" s="60" t="s">
        <v>2751</v>
      </c>
      <c r="K217" s="106">
        <v>46149.251342592594</v>
      </c>
      <c r="L217" s="106">
        <v>46149.251400462963</v>
      </c>
      <c r="M217" s="106">
        <v>46149.255729166667</v>
      </c>
      <c r="N217" s="106">
        <v>46159.38484953704</v>
      </c>
      <c r="O217" s="106"/>
      <c r="P217" s="106"/>
      <c r="Z217" s="107">
        <f t="shared" ca="1" si="25"/>
        <v>2.2500000000000004</v>
      </c>
      <c r="AA217" s="108">
        <f t="shared" ca="1" si="26"/>
        <v>6.0000000000000018</v>
      </c>
      <c r="AB217" s="107">
        <f t="shared" ca="1" si="27"/>
        <v>2.2500000000000004</v>
      </c>
      <c r="AC217" s="108">
        <f t="shared" ca="1" si="28"/>
        <v>6.0000000000000018</v>
      </c>
      <c r="AD217" s="107">
        <f t="shared" ca="1" si="24"/>
        <v>0</v>
      </c>
      <c r="AE217" s="107">
        <f t="shared" ca="1" si="29"/>
        <v>2.2500000000000004</v>
      </c>
      <c r="AF217" s="108">
        <f t="shared" ca="1" si="30"/>
        <v>6.0000000000000018</v>
      </c>
      <c r="AG217" s="108">
        <f t="shared" ca="1" si="4"/>
        <v>6.0000000000000018</v>
      </c>
      <c r="AH217" s="61" t="str" cm="1">
        <f t="array" aca="1" ref="AH217" ca="1">IF((AD217) &lt; (INDEX(ResponseSLA[#All],(MATCH((G217),ResponseSLA[Priority],0))+1,3)),"YES","No")</f>
        <v>YES</v>
      </c>
      <c r="AI217" s="61" t="str">
        <f ca="1">_xlfn.IFNA(IF(AE217 &lt; (INDEX(SLATable[Minimum SLA],MATCH(G217,SLATable[Priority],0))),"YES","NO"),"")</f>
        <v>NO</v>
      </c>
      <c r="AJ217" s="61" t="str">
        <f ca="1">_xlfn.IFNA(IF(AE217 &lt; (INDEX(SLATable[Maximum SLA],MATCH(G217,SLATable[Priority],0))),"YES","NO"),"")</f>
        <v>NO</v>
      </c>
    </row>
    <row r="218" spans="1:36" s="60" customFormat="1" ht="15" hidden="1" customHeight="1">
      <c r="A218" s="60">
        <v>217</v>
      </c>
      <c r="B218" s="60" t="s">
        <v>26</v>
      </c>
      <c r="C218" s="60" t="s">
        <v>27</v>
      </c>
      <c r="D218" s="60" t="s">
        <v>207</v>
      </c>
      <c r="E218" s="60" t="s">
        <v>3062</v>
      </c>
      <c r="F218" s="60" t="s">
        <v>318</v>
      </c>
      <c r="G218" s="105">
        <v>3</v>
      </c>
      <c r="H218" s="212" t="s">
        <v>2724</v>
      </c>
      <c r="I218" s="105" t="s">
        <v>271</v>
      </c>
      <c r="J218" s="60" t="s">
        <v>2751</v>
      </c>
      <c r="K218" s="106">
        <v>46152.223356481481</v>
      </c>
      <c r="L218" s="106">
        <v>46152.223391203705</v>
      </c>
      <c r="M218" s="106">
        <v>46152.233969907407</v>
      </c>
      <c r="N218" s="106">
        <v>46155.259513888886</v>
      </c>
      <c r="O218" s="106"/>
      <c r="P218" s="106"/>
      <c r="Z218" s="107">
        <f t="shared" ca="1" si="25"/>
        <v>0.75000000000000022</v>
      </c>
      <c r="AA218" s="108">
        <f t="shared" ca="1" si="26"/>
        <v>2.0000000000000009</v>
      </c>
      <c r="AB218" s="107">
        <f t="shared" ca="1" si="27"/>
        <v>0.75000000000000022</v>
      </c>
      <c r="AC218" s="108">
        <f t="shared" ca="1" si="28"/>
        <v>2.0000000000000009</v>
      </c>
      <c r="AD218" s="107">
        <f t="shared" ca="1" si="24"/>
        <v>0</v>
      </c>
      <c r="AE218" s="107">
        <f t="shared" ca="1" si="29"/>
        <v>0.75000000000000022</v>
      </c>
      <c r="AF218" s="108">
        <f t="shared" ca="1" si="30"/>
        <v>2.0000000000000009</v>
      </c>
      <c r="AG218" s="108">
        <f t="shared" ca="1" si="4"/>
        <v>2.0000000000000009</v>
      </c>
      <c r="AH218" s="61" t="str" cm="1">
        <f t="array" aca="1" ref="AH218" ca="1">IF((AD218) &lt; (INDEX(ResponseSLA[#All],(MATCH((G218),ResponseSLA[Priority],0))+1,3)),"YES","No")</f>
        <v>YES</v>
      </c>
      <c r="AI218" s="61" t="str">
        <f ca="1">_xlfn.IFNA(IF(AE218 &lt; (INDEX(SLATable[Minimum SLA],MATCH(G218,SLATable[Priority],0))),"YES","NO"),"")</f>
        <v>NO</v>
      </c>
      <c r="AJ218" s="61" t="str">
        <f ca="1">_xlfn.IFNA(IF(AE218 &lt; (INDEX(SLATable[Maximum SLA],MATCH(G218,SLATable[Priority],0))),"YES","NO"),"")</f>
        <v>YES</v>
      </c>
    </row>
    <row r="219" spans="1:36" s="60" customFormat="1" ht="15" hidden="1" customHeight="1">
      <c r="A219" s="60">
        <v>218</v>
      </c>
      <c r="B219" s="60" t="s">
        <v>26</v>
      </c>
      <c r="C219" s="60" t="s">
        <v>27</v>
      </c>
      <c r="D219" s="60" t="s">
        <v>207</v>
      </c>
      <c r="E219" s="60" t="s">
        <v>3063</v>
      </c>
      <c r="F219" s="60" t="s">
        <v>318</v>
      </c>
      <c r="G219" s="105">
        <v>3</v>
      </c>
      <c r="H219" s="212" t="s">
        <v>2724</v>
      </c>
      <c r="I219" s="105" t="s">
        <v>271</v>
      </c>
      <c r="J219" s="60" t="s">
        <v>2751</v>
      </c>
      <c r="K219" s="106">
        <v>46149.126134259262</v>
      </c>
      <c r="L219" s="106">
        <v>46149.234351851854</v>
      </c>
      <c r="M219" s="106">
        <v>46149.234351851854</v>
      </c>
      <c r="N219" s="106">
        <v>46152.468275462961</v>
      </c>
      <c r="O219" s="106"/>
      <c r="P219" s="106"/>
      <c r="Z219" s="107">
        <f t="shared" ca="1" si="25"/>
        <v>0.37500000000000006</v>
      </c>
      <c r="AA219" s="108">
        <f t="shared" ca="1" si="26"/>
        <v>1.0000000000000002</v>
      </c>
      <c r="AB219" s="107">
        <f t="shared" ca="1" si="27"/>
        <v>0.37500000000000006</v>
      </c>
      <c r="AC219" s="108">
        <f t="shared" ca="1" si="28"/>
        <v>1.0000000000000002</v>
      </c>
      <c r="AD219" s="107">
        <f t="shared" ca="1" si="24"/>
        <v>0</v>
      </c>
      <c r="AE219" s="107">
        <f t="shared" ca="1" si="29"/>
        <v>0.37500000000000006</v>
      </c>
      <c r="AF219" s="108">
        <f t="shared" ca="1" si="30"/>
        <v>1.0000000000000002</v>
      </c>
      <c r="AG219" s="108">
        <f t="shared" ca="1" si="4"/>
        <v>1.0000000000000002</v>
      </c>
      <c r="AH219" s="61" t="str" cm="1">
        <f t="array" aca="1" ref="AH219" ca="1">IF((AD219) &lt; (INDEX(ResponseSLA[#All],(MATCH((G219),ResponseSLA[Priority],0))+1,3)),"YES","No")</f>
        <v>YES</v>
      </c>
      <c r="AI219" s="61" t="str">
        <f ca="1">_xlfn.IFNA(IF(AE219 &lt; (INDEX(SLATable[Minimum SLA],MATCH(G219,SLATable[Priority],0))),"YES","NO"),"")</f>
        <v>NO</v>
      </c>
      <c r="AJ219" s="61" t="str">
        <f ca="1">_xlfn.IFNA(IF(AE219 &lt; (INDEX(SLATable[Maximum SLA],MATCH(G219,SLATable[Priority],0))),"YES","NO"),"")</f>
        <v>YES</v>
      </c>
    </row>
    <row r="220" spans="1:36" s="60" customFormat="1" ht="15" hidden="1" customHeight="1">
      <c r="A220" s="60">
        <v>219</v>
      </c>
      <c r="B220" s="60" t="s">
        <v>26</v>
      </c>
      <c r="C220" s="60" t="s">
        <v>27</v>
      </c>
      <c r="D220" s="60" t="s">
        <v>207</v>
      </c>
      <c r="E220" s="60" t="s">
        <v>3064</v>
      </c>
      <c r="F220" s="60" t="s">
        <v>318</v>
      </c>
      <c r="G220" s="105">
        <v>4</v>
      </c>
      <c r="H220" s="212" t="s">
        <v>3065</v>
      </c>
      <c r="I220" s="105" t="s">
        <v>271</v>
      </c>
      <c r="J220" s="60" t="s">
        <v>2751</v>
      </c>
      <c r="K220" s="106">
        <v>46146.849583333336</v>
      </c>
      <c r="L220" s="106">
        <v>46146.849583333336</v>
      </c>
      <c r="M220" s="106">
        <v>46147.243310185186</v>
      </c>
      <c r="N220" s="106">
        <v>46152.469699074078</v>
      </c>
      <c r="O220" s="106"/>
      <c r="P220" s="106"/>
      <c r="Z220" s="107">
        <f t="shared" ca="1" si="25"/>
        <v>1.1250000000000002</v>
      </c>
      <c r="AA220" s="108">
        <f t="shared" ca="1" si="26"/>
        <v>3.0000000000000009</v>
      </c>
      <c r="AB220" s="107">
        <f t="shared" ca="1" si="27"/>
        <v>1.1250000000000002</v>
      </c>
      <c r="AC220" s="108">
        <f t="shared" ca="1" si="28"/>
        <v>3.0000000000000009</v>
      </c>
      <c r="AD220" s="107">
        <f t="shared" ca="1" si="24"/>
        <v>0</v>
      </c>
      <c r="AE220" s="107">
        <f t="shared" ca="1" si="29"/>
        <v>1.1250000000000002</v>
      </c>
      <c r="AF220" s="108">
        <f t="shared" ca="1" si="30"/>
        <v>3.0000000000000009</v>
      </c>
      <c r="AG220" s="108">
        <f t="shared" ca="1" si="4"/>
        <v>3.0000000000000009</v>
      </c>
      <c r="AH220" s="61" t="str" cm="1">
        <f t="array" aca="1" ref="AH220" ca="1">IF((AD220) &lt; (INDEX(ResponseSLA[#All],(MATCH((G220),ResponseSLA[Priority],0))+1,3)),"YES","No")</f>
        <v>YES</v>
      </c>
      <c r="AI220" s="61" t="str">
        <f ca="1">_xlfn.IFNA(IF(AE220 &lt; (INDEX(SLATable[Minimum SLA],MATCH(G220,SLATable[Priority],0))),"YES","NO"),"")</f>
        <v>YES</v>
      </c>
      <c r="AJ220" s="61" t="str">
        <f ca="1">_xlfn.IFNA(IF(AE220 &lt; (INDEX(SLATable[Maximum SLA],MATCH(G220,SLATable[Priority],0))),"YES","NO"),"")</f>
        <v>YES</v>
      </c>
    </row>
    <row r="221" spans="1:36" s="60" customFormat="1" ht="15" hidden="1" customHeight="1">
      <c r="A221" s="60">
        <v>220</v>
      </c>
      <c r="B221" s="60" t="s">
        <v>26</v>
      </c>
      <c r="C221" s="60" t="s">
        <v>27</v>
      </c>
      <c r="D221" s="60" t="s">
        <v>207</v>
      </c>
      <c r="E221" s="60" t="s">
        <v>3066</v>
      </c>
      <c r="F221" s="60" t="s">
        <v>318</v>
      </c>
      <c r="G221" s="105">
        <v>3</v>
      </c>
      <c r="H221" s="212" t="s">
        <v>3067</v>
      </c>
      <c r="I221" s="105" t="s">
        <v>271</v>
      </c>
      <c r="J221" s="60" t="s">
        <v>2751</v>
      </c>
      <c r="K221" s="106">
        <v>46147.457662037035</v>
      </c>
      <c r="L221" s="106">
        <v>46147.267291666663</v>
      </c>
      <c r="M221" s="106">
        <v>46147.307847222219</v>
      </c>
      <c r="N221" s="106">
        <v>46151.218032407407</v>
      </c>
      <c r="O221" s="106"/>
      <c r="P221" s="106"/>
      <c r="Z221" s="107">
        <f t="shared" ca="1" si="25"/>
        <v>1.0006712962979996</v>
      </c>
      <c r="AA221" s="108">
        <f t="shared" ca="1" si="26"/>
        <v>2.668456790127999</v>
      </c>
      <c r="AB221" s="107">
        <f t="shared" ca="1" si="27"/>
        <v>1.1250000000000002</v>
      </c>
      <c r="AC221" s="108">
        <f t="shared" ca="1" si="28"/>
        <v>3.0000000000000009</v>
      </c>
      <c r="AD221" s="107">
        <f t="shared" ca="1" si="24"/>
        <v>0</v>
      </c>
      <c r="AE221" s="107">
        <f t="shared" ca="1" si="29"/>
        <v>1.1250000000000002</v>
      </c>
      <c r="AF221" s="108">
        <f t="shared" ca="1" si="30"/>
        <v>3.0000000000000009</v>
      </c>
      <c r="AG221" s="108">
        <f t="shared" ca="1" si="4"/>
        <v>3.0000000000000009</v>
      </c>
      <c r="AH221" s="61" t="str" cm="1">
        <f t="array" aca="1" ref="AH221" ca="1">IF((AD221) &lt; (INDEX(ResponseSLA[#All],(MATCH((G221),ResponseSLA[Priority],0))+1,3)),"YES","No")</f>
        <v>YES</v>
      </c>
      <c r="AI221" s="61" t="str">
        <f ca="1">_xlfn.IFNA(IF(AE221 &lt; (INDEX(SLATable[Minimum SLA],MATCH(G221,SLATable[Priority],0))),"YES","NO"),"")</f>
        <v>NO</v>
      </c>
      <c r="AJ221" s="61" t="str">
        <f ca="1">_xlfn.IFNA(IF(AE221 &lt; (INDEX(SLATable[Maximum SLA],MATCH(G221,SLATable[Priority],0))),"YES","NO"),"")</f>
        <v>YES</v>
      </c>
    </row>
    <row r="222" spans="1:36" s="60" customFormat="1" ht="15" hidden="1" customHeight="1">
      <c r="A222" s="60">
        <v>221</v>
      </c>
      <c r="B222" s="60" t="s">
        <v>26</v>
      </c>
      <c r="C222" s="60" t="s">
        <v>27</v>
      </c>
      <c r="D222" s="60" t="s">
        <v>207</v>
      </c>
      <c r="E222" s="60" t="s">
        <v>3068</v>
      </c>
      <c r="F222" s="60" t="s">
        <v>318</v>
      </c>
      <c r="G222" s="105">
        <v>3</v>
      </c>
      <c r="H222" s="212" t="s">
        <v>2724</v>
      </c>
      <c r="I222" s="105" t="s">
        <v>271</v>
      </c>
      <c r="J222" s="60" t="s">
        <v>2751</v>
      </c>
      <c r="K222" s="106">
        <v>46146.352592592593</v>
      </c>
      <c r="L222" s="106">
        <v>46146.352696759262</v>
      </c>
      <c r="M222" s="106">
        <v>46146.357835648145</v>
      </c>
      <c r="N222" s="106">
        <v>46149.593032407407</v>
      </c>
      <c r="O222" s="106"/>
      <c r="P222" s="106"/>
      <c r="Z222" s="107">
        <f t="shared" ca="1" si="25"/>
        <v>1.0096990740736753</v>
      </c>
      <c r="AA222" s="108">
        <f t="shared" ca="1" si="26"/>
        <v>2.6925308641964674</v>
      </c>
      <c r="AB222" s="107">
        <f t="shared" ca="1" si="27"/>
        <v>1.0096990740736753</v>
      </c>
      <c r="AC222" s="108">
        <f t="shared" ca="1" si="28"/>
        <v>2.6925308641964674</v>
      </c>
      <c r="AD222" s="107">
        <f t="shared" ca="1" si="24"/>
        <v>0</v>
      </c>
      <c r="AE222" s="107">
        <f t="shared" ca="1" si="29"/>
        <v>1.0096990740736753</v>
      </c>
      <c r="AF222" s="108">
        <f t="shared" ca="1" si="30"/>
        <v>2.6925308641964674</v>
      </c>
      <c r="AG222" s="108">
        <f t="shared" ca="1" si="4"/>
        <v>2.6925308641964674</v>
      </c>
      <c r="AH222" s="61" t="str" cm="1">
        <f t="array" aca="1" ref="AH222" ca="1">IF((AD222) &lt; (INDEX(ResponseSLA[#All],(MATCH((G222),ResponseSLA[Priority],0))+1,3)),"YES","No")</f>
        <v>YES</v>
      </c>
      <c r="AI222" s="61" t="str">
        <f ca="1">_xlfn.IFNA(IF(AE222 &lt; (INDEX(SLATable[Minimum SLA],MATCH(G222,SLATable[Priority],0))),"YES","NO"),"")</f>
        <v>NO</v>
      </c>
      <c r="AJ222" s="61" t="str">
        <f ca="1">_xlfn.IFNA(IF(AE222 &lt; (INDEX(SLATable[Maximum SLA],MATCH(G222,SLATable[Priority],0))),"YES","NO"),"")</f>
        <v>YES</v>
      </c>
    </row>
    <row r="223" spans="1:36" s="60" customFormat="1" ht="15" hidden="1" customHeight="1">
      <c r="A223" s="60">
        <v>222</v>
      </c>
      <c r="B223" s="60" t="s">
        <v>26</v>
      </c>
      <c r="C223" s="60" t="s">
        <v>27</v>
      </c>
      <c r="D223" s="60" t="s">
        <v>207</v>
      </c>
      <c r="E223" s="60" t="s">
        <v>3069</v>
      </c>
      <c r="F223" s="60" t="s">
        <v>320</v>
      </c>
      <c r="G223" s="105">
        <v>3</v>
      </c>
      <c r="H223" s="212" t="s">
        <v>3070</v>
      </c>
      <c r="I223" s="105" t="s">
        <v>271</v>
      </c>
      <c r="J223" s="60" t="s">
        <v>2772</v>
      </c>
      <c r="K223" s="106">
        <v>46171.451215277775</v>
      </c>
      <c r="L223" s="106">
        <v>46171.451261574075</v>
      </c>
      <c r="M223" s="106">
        <v>46171.495219907411</v>
      </c>
      <c r="N223" s="106">
        <v>46175.254687499997</v>
      </c>
      <c r="O223" s="106"/>
      <c r="P223" s="106"/>
      <c r="Q223" s="60" t="s">
        <v>2798</v>
      </c>
      <c r="R223" s="60" t="s">
        <v>276</v>
      </c>
      <c r="S223" s="60" t="s">
        <v>165</v>
      </c>
      <c r="T223" s="60" t="s">
        <v>1519</v>
      </c>
      <c r="Z223" s="107">
        <f t="shared" ca="1" si="25"/>
        <v>0.63211805555814271</v>
      </c>
      <c r="AA223" s="108">
        <f t="shared" ca="1" si="26"/>
        <v>1.6856481481550472</v>
      </c>
      <c r="AB223" s="107">
        <f t="shared" ca="1" si="27"/>
        <v>0.63207175925830006</v>
      </c>
      <c r="AC223" s="108">
        <f t="shared" ca="1" si="28"/>
        <v>1.6855246913554669</v>
      </c>
      <c r="AD223" s="107">
        <f t="shared" ca="1" si="24"/>
        <v>4.3958333335467614E-2</v>
      </c>
      <c r="AE223" s="107">
        <f t="shared" ca="1" si="29"/>
        <v>0.63207175925830006</v>
      </c>
      <c r="AF223" s="108">
        <f t="shared" ca="1" si="30"/>
        <v>1.6855246913554669</v>
      </c>
      <c r="AG223" s="108">
        <f t="shared" ca="1" si="4"/>
        <v>1.6855246913554669</v>
      </c>
      <c r="AH223" s="61" t="str" cm="1">
        <f t="array" aca="1" ref="AH223" ca="1">IF((AD223) &lt; (INDEX(ResponseSLA[#All],(MATCH((G223),ResponseSLA[Priority],0))+1,3)),"YES","No")</f>
        <v>YES</v>
      </c>
      <c r="AI223" s="61" t="str">
        <f ca="1">_xlfn.IFNA(IF(AE223 &lt; (INDEX(SLATable[Minimum SLA],MATCH(G223,SLATable[Priority],0))),"YES","NO"),"")</f>
        <v>NO</v>
      </c>
      <c r="AJ223" s="61" t="str">
        <f ca="1">_xlfn.IFNA(IF(AE223 &lt; (INDEX(SLATable[Maximum SLA],MATCH(G223,SLATable[Priority],0))),"YES","NO"),"")</f>
        <v>YES</v>
      </c>
    </row>
    <row r="224" spans="1:36" s="60" customFormat="1" ht="15" hidden="1" customHeight="1">
      <c r="A224" s="60">
        <v>223</v>
      </c>
      <c r="B224" s="60" t="s">
        <v>26</v>
      </c>
      <c r="C224" s="60" t="s">
        <v>27</v>
      </c>
      <c r="D224" s="60" t="s">
        <v>207</v>
      </c>
      <c r="E224" s="60" t="s">
        <v>3071</v>
      </c>
      <c r="F224" s="60" t="s">
        <v>318</v>
      </c>
      <c r="G224" s="105">
        <v>3</v>
      </c>
      <c r="H224" s="212" t="s">
        <v>3072</v>
      </c>
      <c r="I224" s="105" t="s">
        <v>3073</v>
      </c>
      <c r="J224" s="60" t="s">
        <v>3074</v>
      </c>
      <c r="K224" s="106">
        <v>46147.626296296294</v>
      </c>
      <c r="L224" s="106">
        <v>46147.627372685187</v>
      </c>
      <c r="M224" s="106">
        <v>46148.29005787037</v>
      </c>
      <c r="N224" s="106">
        <v>46148.500844907408</v>
      </c>
      <c r="O224" s="106"/>
      <c r="P224" s="106"/>
      <c r="Q224" s="60" t="s">
        <v>2709</v>
      </c>
      <c r="R224" s="60" t="s">
        <v>276</v>
      </c>
      <c r="S224" s="60" t="s">
        <v>3075</v>
      </c>
      <c r="Z224" s="107">
        <f t="shared" ca="1" si="25"/>
        <v>0.24954861111473292</v>
      </c>
      <c r="AA224" s="108">
        <f t="shared" ca="1" si="26"/>
        <v>0.66546296297262109</v>
      </c>
      <c r="AB224" s="107">
        <f t="shared" ca="1" si="27"/>
        <v>0.24847222222160781</v>
      </c>
      <c r="AC224" s="108">
        <f t="shared" ca="1" si="28"/>
        <v>0.66259259259095415</v>
      </c>
      <c r="AD224" s="107">
        <f t="shared" ca="1" si="24"/>
        <v>8.096064814647741E-2</v>
      </c>
      <c r="AE224" s="107">
        <f t="shared" ca="1" si="29"/>
        <v>0.24847222222160781</v>
      </c>
      <c r="AF224" s="108">
        <f t="shared" ca="1" si="30"/>
        <v>0.66259259259095415</v>
      </c>
      <c r="AG224" s="108">
        <f t="shared" ca="1" si="4"/>
        <v>0.66259259259095415</v>
      </c>
      <c r="AH224" s="61" t="str" cm="1">
        <f t="array" aca="1" ref="AH224" ca="1">IF((AD224) &lt; (INDEX(ResponseSLA[#All],(MATCH((G224),ResponseSLA[Priority],0))+1,3)),"YES","No")</f>
        <v>YES</v>
      </c>
      <c r="AI224" s="61" t="str">
        <f ca="1">_xlfn.IFNA(IF(AE224 &lt; (INDEX(SLATable[Minimum SLA],MATCH(G224,SLATable[Priority],0))),"YES","NO"),"")</f>
        <v>YES</v>
      </c>
      <c r="AJ224" s="61" t="str">
        <f ca="1">_xlfn.IFNA(IF(AE224 &lt; (INDEX(SLATable[Maximum SLA],MATCH(G224,SLATable[Priority],0))),"YES","NO"),"")</f>
        <v>YES</v>
      </c>
    </row>
    <row r="225" spans="1:36" s="60" customFormat="1" ht="15" hidden="1" customHeight="1">
      <c r="A225" s="60">
        <v>224</v>
      </c>
      <c r="B225" s="60" t="s">
        <v>26</v>
      </c>
      <c r="C225" s="60" t="s">
        <v>27</v>
      </c>
      <c r="D225" s="60" t="s">
        <v>207</v>
      </c>
      <c r="E225" s="60" t="s">
        <v>3076</v>
      </c>
      <c r="F225" s="60" t="s">
        <v>318</v>
      </c>
      <c r="G225" s="105">
        <v>3</v>
      </c>
      <c r="H225" s="212" t="s">
        <v>3072</v>
      </c>
      <c r="I225" s="105" t="s">
        <v>3073</v>
      </c>
      <c r="J225" s="60" t="s">
        <v>3074</v>
      </c>
      <c r="K225" s="106">
        <v>46149.797384259262</v>
      </c>
      <c r="L225" s="106">
        <v>46149.798252314817</v>
      </c>
      <c r="M225" s="106">
        <v>46150.215243055558</v>
      </c>
      <c r="N225" s="106">
        <v>46150.231909722221</v>
      </c>
      <c r="O225" s="106"/>
      <c r="P225" s="106"/>
      <c r="Q225" s="60" t="s">
        <v>2709</v>
      </c>
      <c r="R225" s="60" t="s">
        <v>276</v>
      </c>
      <c r="S225" s="60" t="s">
        <v>3075</v>
      </c>
      <c r="Z225" s="107">
        <f t="shared" ca="1" si="25"/>
        <v>0</v>
      </c>
      <c r="AA225" s="108">
        <f t="shared" ca="1" si="26"/>
        <v>0</v>
      </c>
      <c r="AB225" s="107">
        <f t="shared" ca="1" si="27"/>
        <v>0</v>
      </c>
      <c r="AC225" s="108">
        <f t="shared" ca="1" si="28"/>
        <v>0</v>
      </c>
      <c r="AD225" s="107">
        <f t="shared" ca="1" si="24"/>
        <v>0</v>
      </c>
      <c r="AE225" s="107">
        <f t="shared" ca="1" si="29"/>
        <v>0</v>
      </c>
      <c r="AF225" s="108">
        <f t="shared" ca="1" si="30"/>
        <v>0</v>
      </c>
      <c r="AG225" s="108">
        <f t="shared" ca="1" si="4"/>
        <v>0</v>
      </c>
      <c r="AH225" s="61" t="str" cm="1">
        <f t="array" aca="1" ref="AH225" ca="1">IF((AD225) &lt; (INDEX(ResponseSLA[#All],(MATCH((G225),ResponseSLA[Priority],0))+1,3)),"YES","No")</f>
        <v>YES</v>
      </c>
      <c r="AI225" s="61" t="str">
        <f ca="1">_xlfn.IFNA(IF(AE225 &lt; (INDEX(SLATable[Minimum SLA],MATCH(G225,SLATable[Priority],0))),"YES","NO"),"")</f>
        <v>YES</v>
      </c>
      <c r="AJ225" s="61" t="str">
        <f ca="1">_xlfn.IFNA(IF(AE225 &lt; (INDEX(SLATable[Maximum SLA],MATCH(G225,SLATable[Priority],0))),"YES","NO"),"")</f>
        <v>YES</v>
      </c>
    </row>
    <row r="226" spans="1:36" s="60" customFormat="1" ht="15" hidden="1" customHeight="1">
      <c r="A226" s="60">
        <v>225</v>
      </c>
      <c r="B226" s="60" t="s">
        <v>26</v>
      </c>
      <c r="C226" s="60" t="s">
        <v>27</v>
      </c>
      <c r="D226" s="60" t="s">
        <v>207</v>
      </c>
      <c r="E226" s="60" t="s">
        <v>3077</v>
      </c>
      <c r="F226" s="60" t="s">
        <v>318</v>
      </c>
      <c r="G226" s="105">
        <v>3</v>
      </c>
      <c r="H226" s="212" t="s">
        <v>2903</v>
      </c>
      <c r="I226" s="105" t="s">
        <v>3073</v>
      </c>
      <c r="J226" s="60" t="s">
        <v>3074</v>
      </c>
      <c r="K226" s="106">
        <v>46150.60355324074</v>
      </c>
      <c r="L226" s="106">
        <v>46150.603750000002</v>
      </c>
      <c r="M226" s="106">
        <v>46150.620057870372</v>
      </c>
      <c r="N226" s="106">
        <v>46153.24863425926</v>
      </c>
      <c r="O226" s="106"/>
      <c r="P226" s="106"/>
      <c r="Q226" s="60" t="s">
        <v>2709</v>
      </c>
      <c r="R226" s="60" t="s">
        <v>276</v>
      </c>
      <c r="S226" s="60" t="s">
        <v>3075</v>
      </c>
      <c r="Z226" s="107">
        <f t="shared" ca="1" si="25"/>
        <v>0.10478009259289445</v>
      </c>
      <c r="AA226" s="108">
        <f t="shared" ca="1" si="26"/>
        <v>0.27941358024771851</v>
      </c>
      <c r="AB226" s="107">
        <f t="shared" ca="1" si="27"/>
        <v>0.1045833333312961</v>
      </c>
      <c r="AC226" s="108">
        <f t="shared" ca="1" si="28"/>
        <v>0.27888888888345625</v>
      </c>
      <c r="AD226" s="107">
        <f t="shared" ca="1" si="24"/>
        <v>1.6307870369928423E-2</v>
      </c>
      <c r="AE226" s="107">
        <f t="shared" ca="1" si="29"/>
        <v>0.1045833333312961</v>
      </c>
      <c r="AF226" s="108">
        <f t="shared" ca="1" si="30"/>
        <v>0.27888888888345625</v>
      </c>
      <c r="AG226" s="108">
        <f t="shared" ca="1" si="4"/>
        <v>0.27888888888345625</v>
      </c>
      <c r="AH226" s="61" t="str" cm="1">
        <f t="array" aca="1" ref="AH226" ca="1">IF((AD226) &lt; (INDEX(ResponseSLA[#All],(MATCH((G226),ResponseSLA[Priority],0))+1,3)),"YES","No")</f>
        <v>YES</v>
      </c>
      <c r="AI226" s="61" t="str">
        <f ca="1">_xlfn.IFNA(IF(AE226 &lt; (INDEX(SLATable[Minimum SLA],MATCH(G226,SLATable[Priority],0))),"YES","NO"),"")</f>
        <v>YES</v>
      </c>
      <c r="AJ226" s="61" t="str">
        <f ca="1">_xlfn.IFNA(IF(AE226 &lt; (INDEX(SLATable[Maximum SLA],MATCH(G226,SLATable[Priority],0))),"YES","NO"),"")</f>
        <v>YES</v>
      </c>
    </row>
    <row r="227" spans="1:36" s="60" customFormat="1" ht="15" hidden="1" customHeight="1">
      <c r="A227" s="60">
        <v>226</v>
      </c>
      <c r="B227" s="60" t="s">
        <v>26</v>
      </c>
      <c r="C227" s="60" t="s">
        <v>27</v>
      </c>
      <c r="D227" s="60" t="s">
        <v>207</v>
      </c>
      <c r="E227" s="60" t="s">
        <v>3078</v>
      </c>
      <c r="F227" s="60" t="s">
        <v>318</v>
      </c>
      <c r="G227" s="105">
        <v>3</v>
      </c>
      <c r="H227" s="212" t="s">
        <v>2765</v>
      </c>
      <c r="I227" s="105" t="s">
        <v>3073</v>
      </c>
      <c r="J227" s="60" t="s">
        <v>3074</v>
      </c>
      <c r="K227" s="106">
        <v>46149.19494212963</v>
      </c>
      <c r="L227" s="106">
        <v>46149.436180555553</v>
      </c>
      <c r="M227" s="106">
        <v>46149.48233796296</v>
      </c>
      <c r="N227" s="106">
        <v>46154.228807870371</v>
      </c>
      <c r="O227" s="106">
        <v>46149.502962962964</v>
      </c>
      <c r="P227" s="106">
        <v>46154.228807870371</v>
      </c>
      <c r="Q227" s="60" t="s">
        <v>2733</v>
      </c>
      <c r="R227" s="60" t="s">
        <v>276</v>
      </c>
      <c r="S227" s="60" t="s">
        <v>3079</v>
      </c>
      <c r="Z227" s="107">
        <f t="shared" ca="1" si="25"/>
        <v>0.16962962963104178</v>
      </c>
      <c r="AA227" s="108">
        <f t="shared" ca="1" si="26"/>
        <v>0.45234567901611139</v>
      </c>
      <c r="AB227" s="107">
        <f t="shared" ca="1" si="27"/>
        <v>6.678240741166519E-2</v>
      </c>
      <c r="AC227" s="108">
        <f t="shared" ca="1" si="28"/>
        <v>0.17808641976444051</v>
      </c>
      <c r="AD227" s="107">
        <f t="shared" ca="1" si="24"/>
        <v>4.6157407407008577E-2</v>
      </c>
      <c r="AE227" s="107">
        <f t="shared" ca="1" si="29"/>
        <v>6.678240741166519E-2</v>
      </c>
      <c r="AF227" s="108">
        <f t="shared" ca="1" si="30"/>
        <v>0.17808641976444051</v>
      </c>
      <c r="AG227" s="108">
        <f t="shared" ca="1" si="4"/>
        <v>0.17808641976444051</v>
      </c>
      <c r="AH227" s="61" t="str" cm="1">
        <f t="array" aca="1" ref="AH227" ca="1">IF((AD227) &lt; (INDEX(ResponseSLA[#All],(MATCH((G227),ResponseSLA[Priority],0))+1,3)),"YES","No")</f>
        <v>YES</v>
      </c>
      <c r="AI227" s="61" t="str">
        <f ca="1">_xlfn.IFNA(IF(AE227 &lt; (INDEX(SLATable[Minimum SLA],MATCH(G227,SLATable[Priority],0))),"YES","NO"),"")</f>
        <v>YES</v>
      </c>
      <c r="AJ227" s="61" t="str">
        <f ca="1">_xlfn.IFNA(IF(AE227 &lt; (INDEX(SLATable[Maximum SLA],MATCH(G227,SLATable[Priority],0))),"YES","NO"),"")</f>
        <v>YES</v>
      </c>
    </row>
    <row r="228" spans="1:36" s="60" customFormat="1" ht="15" hidden="1" customHeight="1">
      <c r="A228" s="60">
        <v>227</v>
      </c>
      <c r="B228" s="60" t="s">
        <v>26</v>
      </c>
      <c r="C228" s="60" t="s">
        <v>27</v>
      </c>
      <c r="D228" s="60" t="s">
        <v>207</v>
      </c>
      <c r="E228" s="60" t="s">
        <v>3080</v>
      </c>
      <c r="F228" s="60" t="s">
        <v>318</v>
      </c>
      <c r="G228" s="105">
        <v>3</v>
      </c>
      <c r="H228" s="212" t="s">
        <v>3072</v>
      </c>
      <c r="I228" s="105" t="s">
        <v>3073</v>
      </c>
      <c r="J228" s="60" t="s">
        <v>3074</v>
      </c>
      <c r="K228" s="106">
        <v>46155.571655092594</v>
      </c>
      <c r="L228" s="106">
        <v>46155.572233796294</v>
      </c>
      <c r="M228" s="106">
        <v>46155.617662037039</v>
      </c>
      <c r="N228" s="106">
        <v>46156.205925925926</v>
      </c>
      <c r="O228" s="106"/>
      <c r="P228" s="106"/>
      <c r="Q228" s="60" t="s">
        <v>2709</v>
      </c>
      <c r="R228" s="60" t="s">
        <v>276</v>
      </c>
      <c r="S228" s="60" t="s">
        <v>3075</v>
      </c>
      <c r="Z228" s="107">
        <f t="shared" ca="1" si="25"/>
        <v>0.13667824073975987</v>
      </c>
      <c r="AA228" s="108">
        <f t="shared" ca="1" si="26"/>
        <v>0.36447530863935967</v>
      </c>
      <c r="AB228" s="107">
        <f t="shared" ca="1" si="27"/>
        <v>0.13609953703902045</v>
      </c>
      <c r="AC228" s="108">
        <f t="shared" ca="1" si="28"/>
        <v>0.36293209877072119</v>
      </c>
      <c r="AD228" s="107">
        <f t="shared" ca="1" si="24"/>
        <v>4.542824074451346E-2</v>
      </c>
      <c r="AE228" s="107">
        <f t="shared" ca="1" si="29"/>
        <v>0.13609953703902045</v>
      </c>
      <c r="AF228" s="108">
        <f t="shared" ca="1" si="30"/>
        <v>0.36293209877072119</v>
      </c>
      <c r="AG228" s="108">
        <f t="shared" ca="1" si="4"/>
        <v>0.36293209877072119</v>
      </c>
      <c r="AH228" s="61" t="str" cm="1">
        <f t="array" aca="1" ref="AH228" ca="1">IF((AD228) &lt; (INDEX(ResponseSLA[#All],(MATCH((G228),ResponseSLA[Priority],0))+1,3)),"YES","No")</f>
        <v>YES</v>
      </c>
      <c r="AI228" s="61" t="str">
        <f ca="1">_xlfn.IFNA(IF(AE228 &lt; (INDEX(SLATable[Minimum SLA],MATCH(G228,SLATable[Priority],0))),"YES","NO"),"")</f>
        <v>YES</v>
      </c>
      <c r="AJ228" s="61" t="str">
        <f ca="1">_xlfn.IFNA(IF(AE228 &lt; (INDEX(SLATable[Maximum SLA],MATCH(G228,SLATable[Priority],0))),"YES","NO"),"")</f>
        <v>YES</v>
      </c>
    </row>
    <row r="229" spans="1:36" s="60" customFormat="1" ht="15" hidden="1" customHeight="1">
      <c r="A229" s="60">
        <v>228</v>
      </c>
      <c r="B229" s="60" t="s">
        <v>26</v>
      </c>
      <c r="C229" s="60" t="s">
        <v>27</v>
      </c>
      <c r="D229" s="60" t="s">
        <v>207</v>
      </c>
      <c r="E229" s="60" t="s">
        <v>3081</v>
      </c>
      <c r="F229" s="60" t="s">
        <v>318</v>
      </c>
      <c r="G229" s="105">
        <v>3</v>
      </c>
      <c r="H229" s="212" t="s">
        <v>2923</v>
      </c>
      <c r="I229" s="105" t="s">
        <v>271</v>
      </c>
      <c r="J229" s="60" t="s">
        <v>2708</v>
      </c>
      <c r="K229" s="106">
        <v>46172.594710648147</v>
      </c>
      <c r="L229" s="106">
        <v>46172.597407407404</v>
      </c>
      <c r="M229" s="106">
        <v>46174.287060185183</v>
      </c>
      <c r="N229" s="106">
        <v>46174.30667824074</v>
      </c>
      <c r="O229" s="106"/>
      <c r="P229" s="106"/>
      <c r="Q229" s="60" t="s">
        <v>2709</v>
      </c>
      <c r="R229" s="60" t="s">
        <v>272</v>
      </c>
      <c r="S229" s="60" t="s">
        <v>165</v>
      </c>
      <c r="U229" s="60" t="s">
        <v>371</v>
      </c>
      <c r="Z229" s="107">
        <f t="shared" ca="1" si="25"/>
        <v>0</v>
      </c>
      <c r="AA229" s="108">
        <f t="shared" ca="1" si="26"/>
        <v>0</v>
      </c>
      <c r="AB229" s="107">
        <f t="shared" ca="1" si="27"/>
        <v>0</v>
      </c>
      <c r="AC229" s="108">
        <f t="shared" ca="1" si="28"/>
        <v>0</v>
      </c>
      <c r="AD229" s="107">
        <f t="shared" ca="1" si="24"/>
        <v>0</v>
      </c>
      <c r="AE229" s="107">
        <f t="shared" ca="1" si="29"/>
        <v>0</v>
      </c>
      <c r="AF229" s="108">
        <f t="shared" ca="1" si="30"/>
        <v>0</v>
      </c>
      <c r="AG229" s="108">
        <f t="shared" ca="1" si="4"/>
        <v>0</v>
      </c>
      <c r="AH229" s="61" t="str" cm="1">
        <f t="array" aca="1" ref="AH229" ca="1">IF((AD229) &lt; (INDEX(ResponseSLA[#All],(MATCH((G229),ResponseSLA[Priority],0))+1,3)),"YES","No")</f>
        <v>YES</v>
      </c>
      <c r="AI229" s="61" t="str">
        <f ca="1">_xlfn.IFNA(IF(AE229 &lt; (INDEX(SLATable[Minimum SLA],MATCH(G229,SLATable[Priority],0))),"YES","NO"),"")</f>
        <v>YES</v>
      </c>
      <c r="AJ229" s="61" t="str">
        <f ca="1">_xlfn.IFNA(IF(AE229 &lt; (INDEX(SLATable[Maximum SLA],MATCH(G229,SLATable[Priority],0))),"YES","NO"),"")</f>
        <v>YES</v>
      </c>
    </row>
    <row r="230" spans="1:36" s="60" customFormat="1" ht="15" hidden="1" customHeight="1">
      <c r="A230" s="60">
        <v>229</v>
      </c>
      <c r="B230" s="60" t="s">
        <v>26</v>
      </c>
      <c r="C230" s="60" t="s">
        <v>27</v>
      </c>
      <c r="D230" s="60" t="s">
        <v>207</v>
      </c>
      <c r="E230" s="60" t="s">
        <v>3082</v>
      </c>
      <c r="F230" s="60" t="s">
        <v>318</v>
      </c>
      <c r="G230" s="105">
        <v>3</v>
      </c>
      <c r="H230" s="212" t="s">
        <v>2759</v>
      </c>
      <c r="I230" s="105" t="s">
        <v>271</v>
      </c>
      <c r="J230" s="60" t="s">
        <v>2703</v>
      </c>
      <c r="K230" s="106">
        <v>46171.647476851853</v>
      </c>
      <c r="L230" s="106">
        <v>46171.648842592593</v>
      </c>
      <c r="M230" s="106">
        <v>46174.287060185183</v>
      </c>
      <c r="N230" s="106">
        <v>46174.587696759256</v>
      </c>
      <c r="O230" s="106"/>
      <c r="P230" s="106"/>
      <c r="Z230" s="107">
        <f t="shared" ca="1" si="25"/>
        <v>0.31521990740293404</v>
      </c>
      <c r="AA230" s="108">
        <f t="shared" ca="1" si="26"/>
        <v>0.84058641974115744</v>
      </c>
      <c r="AB230" s="107">
        <f t="shared" ca="1" si="27"/>
        <v>0.31385416666307719</v>
      </c>
      <c r="AC230" s="108">
        <f t="shared" ca="1" si="28"/>
        <v>0.83694444443487248</v>
      </c>
      <c r="AD230" s="107">
        <f t="shared" ca="1" si="24"/>
        <v>5.9490740740632986E-2</v>
      </c>
      <c r="AE230" s="107">
        <f t="shared" ca="1" si="29"/>
        <v>0.31385416666307719</v>
      </c>
      <c r="AF230" s="108">
        <f t="shared" ca="1" si="30"/>
        <v>0.83694444443487248</v>
      </c>
      <c r="AG230" s="108">
        <f t="shared" ca="1" si="4"/>
        <v>0.83694444443487248</v>
      </c>
      <c r="AH230" s="61" t="str" cm="1">
        <f t="array" aca="1" ref="AH230" ca="1">IF((AD230) &lt; (INDEX(ResponseSLA[#All],(MATCH((G230),ResponseSLA[Priority],0))+1,3)),"YES","No")</f>
        <v>YES</v>
      </c>
      <c r="AI230" s="61" t="str">
        <f ca="1">_xlfn.IFNA(IF(AE230 &lt; (INDEX(SLATable[Minimum SLA],MATCH(G230,SLATable[Priority],0))),"YES","NO"),"")</f>
        <v>YES</v>
      </c>
      <c r="AJ230" s="61" t="str">
        <f ca="1">_xlfn.IFNA(IF(AE230 &lt; (INDEX(SLATable[Maximum SLA],MATCH(G230,SLATable[Priority],0))),"YES","NO"),"")</f>
        <v>YES</v>
      </c>
    </row>
    <row r="231" spans="1:36" s="60" customFormat="1" ht="15" hidden="1" customHeight="1">
      <c r="A231" s="60">
        <v>230</v>
      </c>
      <c r="B231" s="60" t="s">
        <v>26</v>
      </c>
      <c r="C231" s="60" t="s">
        <v>27</v>
      </c>
      <c r="D231" s="60" t="s">
        <v>207</v>
      </c>
      <c r="E231" s="60" t="s">
        <v>3083</v>
      </c>
      <c r="F231" s="60" t="s">
        <v>318</v>
      </c>
      <c r="G231" s="105">
        <v>4</v>
      </c>
      <c r="H231" s="224" t="s">
        <v>2724</v>
      </c>
      <c r="I231" s="105" t="s">
        <v>271</v>
      </c>
      <c r="J231" s="60" t="s">
        <v>2725</v>
      </c>
      <c r="K231" s="106">
        <v>46171.646956018521</v>
      </c>
      <c r="L231" s="106">
        <v>46171.646956018521</v>
      </c>
      <c r="M231" s="106">
        <v>46174.294282407405</v>
      </c>
      <c r="N231" s="106">
        <v>46174.549409722225</v>
      </c>
      <c r="O231" s="106"/>
      <c r="P231" s="106"/>
      <c r="Q231" s="60" t="s">
        <v>2726</v>
      </c>
      <c r="R231" s="60" t="s">
        <v>272</v>
      </c>
      <c r="S231" s="60" t="s">
        <v>149</v>
      </c>
      <c r="Z231" s="107">
        <f t="shared" ca="1" si="25"/>
        <v>0.27745370370394085</v>
      </c>
      <c r="AA231" s="108">
        <f t="shared" ca="1" si="26"/>
        <v>0.73987654321050889</v>
      </c>
      <c r="AB231" s="107">
        <f t="shared" ca="1" si="27"/>
        <v>0.27745370370394085</v>
      </c>
      <c r="AC231" s="108">
        <f t="shared" ca="1" si="28"/>
        <v>0.73987654321050889</v>
      </c>
      <c r="AD231" s="107">
        <f t="shared" ca="1" si="24"/>
        <v>6.137731481188291E-2</v>
      </c>
      <c r="AE231" s="107">
        <f t="shared" ca="1" si="29"/>
        <v>0.27745370370394085</v>
      </c>
      <c r="AF231" s="108">
        <f t="shared" ca="1" si="30"/>
        <v>0.73987654321050889</v>
      </c>
      <c r="AG231" s="108">
        <f t="shared" ca="1" si="4"/>
        <v>0.73987654321050889</v>
      </c>
      <c r="AH231" s="61" t="str" cm="1">
        <f t="array" aca="1" ref="AH231" ca="1">IF((AD231) &lt; (INDEX(ResponseSLA[#All],(MATCH((G231),ResponseSLA[Priority],0))+1,3)),"YES","No")</f>
        <v>YES</v>
      </c>
      <c r="AI231" s="61" t="str">
        <f ca="1">_xlfn.IFNA(IF(AE231 &lt; (INDEX(SLATable[Minimum SLA],MATCH(G231,SLATable[Priority],0))),"YES","NO"),"")</f>
        <v>YES</v>
      </c>
      <c r="AJ231" s="61" t="str">
        <f ca="1">_xlfn.IFNA(IF(AE231 &lt; (INDEX(SLATable[Maximum SLA],MATCH(G231,SLATable[Priority],0))),"YES","NO"),"")</f>
        <v>YES</v>
      </c>
    </row>
    <row r="232" spans="1:36" s="60" customFormat="1" ht="15" hidden="1" customHeight="1">
      <c r="A232" s="60">
        <v>231</v>
      </c>
      <c r="B232" s="60" t="s">
        <v>26</v>
      </c>
      <c r="C232" s="60" t="s">
        <v>27</v>
      </c>
      <c r="D232" s="60" t="s">
        <v>207</v>
      </c>
      <c r="E232" s="60" t="s">
        <v>3084</v>
      </c>
      <c r="F232" s="60" t="s">
        <v>318</v>
      </c>
      <c r="G232" s="105">
        <v>4</v>
      </c>
      <c r="H232" s="224" t="s">
        <v>3085</v>
      </c>
      <c r="I232" s="105" t="s">
        <v>271</v>
      </c>
      <c r="J232" s="60" t="s">
        <v>2708</v>
      </c>
      <c r="K232" s="106">
        <v>46171.709791666668</v>
      </c>
      <c r="L232" s="106">
        <v>46171.709791666668</v>
      </c>
      <c r="M232" s="106">
        <v>46174.295868055553</v>
      </c>
      <c r="N232" s="106">
        <v>46185.693379629629</v>
      </c>
      <c r="O232" s="106">
        <v>46174.308900462966</v>
      </c>
      <c r="P232" s="106"/>
      <c r="Q232" s="60" t="s">
        <v>2733</v>
      </c>
      <c r="R232" s="60" t="s">
        <v>272</v>
      </c>
      <c r="S232" s="60" t="s">
        <v>157</v>
      </c>
      <c r="Z232" s="107">
        <f t="shared" ca="1" si="25"/>
        <v>3.7350462962955739</v>
      </c>
      <c r="AA232" s="108">
        <f t="shared" ca="1" si="26"/>
        <v>9.9601234567881978</v>
      </c>
      <c r="AB232" s="107">
        <f t="shared" ca="1" si="27"/>
        <v>3.7350462962955739</v>
      </c>
      <c r="AC232" s="108">
        <f t="shared" ca="1" si="28"/>
        <v>9.9601234567881978</v>
      </c>
      <c r="AD232" s="107">
        <f t="shared" ca="1" si="24"/>
        <v>0</v>
      </c>
      <c r="AE232" s="107">
        <f t="shared" ca="1" si="29"/>
        <v>3.7350462962955739</v>
      </c>
      <c r="AF232" s="108">
        <f t="shared" ca="1" si="30"/>
        <v>9.9601234567881978</v>
      </c>
      <c r="AG232" s="108">
        <f t="shared" ca="1" si="4"/>
        <v>9.9601234567881978</v>
      </c>
      <c r="AH232" s="61" t="str" cm="1">
        <f t="array" aca="1" ref="AH232" ca="1">IF((AD232) &lt; (INDEX(ResponseSLA[#All],(MATCH((G232),ResponseSLA[Priority],0))+1,3)),"YES","No")</f>
        <v>YES</v>
      </c>
      <c r="AI232" s="61" t="str">
        <f ca="1">_xlfn.IFNA(IF(AE232 &lt; (INDEX(SLATable[Minimum SLA],MATCH(G232,SLATable[Priority],0))),"YES","NO"),"")</f>
        <v>YES</v>
      </c>
      <c r="AJ232" s="61" t="str">
        <f ca="1">_xlfn.IFNA(IF(AE232 &lt; (INDEX(SLATable[Maximum SLA],MATCH(G232,SLATable[Priority],0))),"YES","NO"),"")</f>
        <v>YES</v>
      </c>
    </row>
    <row r="233" spans="1:36" s="60" customFormat="1" ht="15" hidden="1" customHeight="1">
      <c r="A233" s="60">
        <v>232</v>
      </c>
      <c r="B233" s="60" t="s">
        <v>26</v>
      </c>
      <c r="C233" s="60" t="s">
        <v>27</v>
      </c>
      <c r="D233" s="60" t="s">
        <v>207</v>
      </c>
      <c r="E233" s="60" t="s">
        <v>3086</v>
      </c>
      <c r="F233" s="60" t="s">
        <v>318</v>
      </c>
      <c r="G233" s="105">
        <v>4</v>
      </c>
      <c r="H233" s="224" t="s">
        <v>2724</v>
      </c>
      <c r="I233" s="105" t="s">
        <v>271</v>
      </c>
      <c r="J233" s="60" t="s">
        <v>2725</v>
      </c>
      <c r="K233" s="106">
        <v>46171.72483796296</v>
      </c>
      <c r="L233" s="106">
        <v>46171.72483796296</v>
      </c>
      <c r="M233" s="106">
        <v>46174.297118055554</v>
      </c>
      <c r="N233" s="106">
        <v>46174.545972222222</v>
      </c>
      <c r="O233" s="106"/>
      <c r="P233" s="106"/>
      <c r="Q233" s="60" t="s">
        <v>2726</v>
      </c>
      <c r="R233" s="60" t="s">
        <v>272</v>
      </c>
      <c r="S233" s="60" t="s">
        <v>149</v>
      </c>
      <c r="Z233" s="107">
        <f t="shared" ca="1" si="25"/>
        <v>0.21263888888885651</v>
      </c>
      <c r="AA233" s="108">
        <f t="shared" ca="1" si="26"/>
        <v>0.56703703703695074</v>
      </c>
      <c r="AB233" s="107">
        <f t="shared" ca="1" si="27"/>
        <v>0.21263888888885651</v>
      </c>
      <c r="AC233" s="108">
        <f t="shared" ca="1" si="28"/>
        <v>0.56703703703695074</v>
      </c>
      <c r="AD233" s="107">
        <f t="shared" ca="1" si="24"/>
        <v>0</v>
      </c>
      <c r="AE233" s="107">
        <f t="shared" ca="1" si="29"/>
        <v>0.21263888888885651</v>
      </c>
      <c r="AF233" s="108">
        <f t="shared" ca="1" si="30"/>
        <v>0.56703703703695074</v>
      </c>
      <c r="AG233" s="108">
        <f t="shared" ca="1" si="4"/>
        <v>0.56703703703695074</v>
      </c>
      <c r="AH233" s="61" t="str" cm="1">
        <f t="array" aca="1" ref="AH233" ca="1">IF((AD233) &lt; (INDEX(ResponseSLA[#All],(MATCH((G233),ResponseSLA[Priority],0))+1,3)),"YES","No")</f>
        <v>YES</v>
      </c>
      <c r="AI233" s="61" t="str">
        <f ca="1">_xlfn.IFNA(IF(AE233 &lt; (INDEX(SLATable[Minimum SLA],MATCH(G233,SLATable[Priority],0))),"YES","NO"),"")</f>
        <v>YES</v>
      </c>
      <c r="AJ233" s="61" t="str">
        <f ca="1">_xlfn.IFNA(IF(AE233 &lt; (INDEX(SLATable[Maximum SLA],MATCH(G233,SLATable[Priority],0))),"YES","NO"),"")</f>
        <v>YES</v>
      </c>
    </row>
    <row r="234" spans="1:36" s="60" customFormat="1" ht="15" hidden="1" customHeight="1">
      <c r="A234" s="60">
        <v>233</v>
      </c>
      <c r="B234" s="60" t="s">
        <v>26</v>
      </c>
      <c r="C234" s="60" t="s">
        <v>27</v>
      </c>
      <c r="D234" s="60" t="s">
        <v>207</v>
      </c>
      <c r="E234" s="60" t="s">
        <v>3087</v>
      </c>
      <c r="F234" s="60" t="s">
        <v>318</v>
      </c>
      <c r="G234" s="105">
        <v>4</v>
      </c>
      <c r="H234" s="224" t="s">
        <v>2724</v>
      </c>
      <c r="I234" s="105" t="s">
        <v>271</v>
      </c>
      <c r="J234" s="60" t="s">
        <v>2725</v>
      </c>
      <c r="K234" s="106">
        <v>46172.203819444447</v>
      </c>
      <c r="L234" s="106">
        <v>46172.203819444447</v>
      </c>
      <c r="M234" s="106">
        <v>46174.301111111112</v>
      </c>
      <c r="N234" s="106">
        <v>46174.543553240743</v>
      </c>
      <c r="O234" s="106"/>
      <c r="P234" s="106"/>
      <c r="Q234" s="60" t="s">
        <v>2726</v>
      </c>
      <c r="R234" s="60" t="s">
        <v>272</v>
      </c>
      <c r="S234" s="60" t="s">
        <v>149</v>
      </c>
      <c r="Z234" s="107">
        <f t="shared" ca="1" si="25"/>
        <v>0.21021990740943391</v>
      </c>
      <c r="AA234" s="108">
        <f t="shared" ca="1" si="26"/>
        <v>0.56058641975849044</v>
      </c>
      <c r="AB234" s="107">
        <f t="shared" ca="1" si="27"/>
        <v>0.21021990740943391</v>
      </c>
      <c r="AC234" s="108">
        <f t="shared" ca="1" si="28"/>
        <v>0.56058641975849044</v>
      </c>
      <c r="AD234" s="107">
        <f t="shared" ca="1" si="24"/>
        <v>0</v>
      </c>
      <c r="AE234" s="107">
        <f t="shared" ca="1" si="29"/>
        <v>0.21021990740943391</v>
      </c>
      <c r="AF234" s="108">
        <f t="shared" ca="1" si="30"/>
        <v>0.56058641975849044</v>
      </c>
      <c r="AG234" s="108">
        <f t="shared" ca="1" si="4"/>
        <v>0.56058641975849044</v>
      </c>
      <c r="AH234" s="61" t="str" cm="1">
        <f t="array" aca="1" ref="AH234" ca="1">IF((AD234) &lt; (INDEX(ResponseSLA[#All],(MATCH((G234),ResponseSLA[Priority],0))+1,3)),"YES","No")</f>
        <v>YES</v>
      </c>
      <c r="AI234" s="61" t="str">
        <f ca="1">_xlfn.IFNA(IF(AE234 &lt; (INDEX(SLATable[Minimum SLA],MATCH(G234,SLATable[Priority],0))),"YES","NO"),"")</f>
        <v>YES</v>
      </c>
      <c r="AJ234" s="61" t="str">
        <f ca="1">_xlfn.IFNA(IF(AE234 &lt; (INDEX(SLATable[Maximum SLA],MATCH(G234,SLATable[Priority],0))),"YES","NO"),"")</f>
        <v>YES</v>
      </c>
    </row>
    <row r="235" spans="1:36" s="60" customFormat="1" ht="15" hidden="1" customHeight="1">
      <c r="A235" s="60">
        <v>234</v>
      </c>
      <c r="B235" s="60" t="s">
        <v>26</v>
      </c>
      <c r="C235" s="60" t="s">
        <v>27</v>
      </c>
      <c r="D235" s="60" t="s">
        <v>207</v>
      </c>
      <c r="E235" s="60" t="s">
        <v>3088</v>
      </c>
      <c r="F235" s="60" t="s">
        <v>318</v>
      </c>
      <c r="G235" s="105">
        <v>4</v>
      </c>
      <c r="H235" s="224" t="s">
        <v>2775</v>
      </c>
      <c r="I235" s="105" t="s">
        <v>271</v>
      </c>
      <c r="J235" s="60" t="s">
        <v>2772</v>
      </c>
      <c r="K235" s="106">
        <v>46172.389201388891</v>
      </c>
      <c r="L235" s="106">
        <v>46172.389201388891</v>
      </c>
      <c r="M235" s="106">
        <v>46174.302256944444</v>
      </c>
      <c r="N235" s="106">
        <v>46174.427152777775</v>
      </c>
      <c r="O235" s="106"/>
      <c r="P235" s="106"/>
      <c r="Q235" s="60" t="s">
        <v>2776</v>
      </c>
      <c r="R235" s="60" t="s">
        <v>272</v>
      </c>
      <c r="S235" s="60" t="s">
        <v>187</v>
      </c>
      <c r="T235" s="60" t="s">
        <v>2773</v>
      </c>
      <c r="U235" s="60" t="s">
        <v>371</v>
      </c>
      <c r="Z235" s="107">
        <f t="shared" ca="1" si="25"/>
        <v>9.3819444441275379E-2</v>
      </c>
      <c r="AA235" s="108">
        <f t="shared" ca="1" si="26"/>
        <v>0.25018518517673433</v>
      </c>
      <c r="AB235" s="107">
        <f t="shared" ca="1" si="27"/>
        <v>9.3819444441275379E-2</v>
      </c>
      <c r="AC235" s="108">
        <f t="shared" ca="1" si="28"/>
        <v>0.25018518517673433</v>
      </c>
      <c r="AD235" s="107">
        <f t="shared" ca="1" si="24"/>
        <v>0</v>
      </c>
      <c r="AE235" s="107">
        <f t="shared" ca="1" si="29"/>
        <v>9.3819444441275379E-2</v>
      </c>
      <c r="AF235" s="108">
        <f t="shared" ca="1" si="30"/>
        <v>0.25018518517673433</v>
      </c>
      <c r="AG235" s="108">
        <f t="shared" ca="1" si="4"/>
        <v>0.25018518517673433</v>
      </c>
      <c r="AH235" s="61" t="str" cm="1">
        <f t="array" aca="1" ref="AH235" ca="1">IF((AD235) &lt; (INDEX(ResponseSLA[#All],(MATCH((G235),ResponseSLA[Priority],0))+1,3)),"YES","No")</f>
        <v>YES</v>
      </c>
      <c r="AI235" s="61" t="str">
        <f ca="1">_xlfn.IFNA(IF(AE235 &lt; (INDEX(SLATable[Minimum SLA],MATCH(G235,SLATable[Priority],0))),"YES","NO"),"")</f>
        <v>YES</v>
      </c>
      <c r="AJ235" s="61" t="str">
        <f ca="1">_xlfn.IFNA(IF(AE235 &lt; (INDEX(SLATable[Maximum SLA],MATCH(G235,SLATable[Priority],0))),"YES","NO"),"")</f>
        <v>YES</v>
      </c>
    </row>
    <row r="236" spans="1:36" s="60" customFormat="1" ht="15" hidden="1" customHeight="1">
      <c r="A236" s="60">
        <v>235</v>
      </c>
      <c r="B236" s="60" t="s">
        <v>26</v>
      </c>
      <c r="C236" s="60" t="s">
        <v>27</v>
      </c>
      <c r="D236" s="60" t="s">
        <v>207</v>
      </c>
      <c r="E236" s="60" t="s">
        <v>3089</v>
      </c>
      <c r="F236" s="60" t="s">
        <v>318</v>
      </c>
      <c r="G236" s="105">
        <v>4</v>
      </c>
      <c r="H236" s="224" t="s">
        <v>2775</v>
      </c>
      <c r="I236" s="105" t="s">
        <v>271</v>
      </c>
      <c r="J236" s="60" t="s">
        <v>2772</v>
      </c>
      <c r="K236" s="106">
        <v>46172.423958333333</v>
      </c>
      <c r="L236" s="106">
        <v>46172.423958333333</v>
      </c>
      <c r="M236" s="106">
        <v>46174.30332175926</v>
      </c>
      <c r="N236" s="106">
        <v>46174.423935185187</v>
      </c>
      <c r="O236" s="106"/>
      <c r="P236" s="106"/>
      <c r="Q236" s="60" t="s">
        <v>2776</v>
      </c>
      <c r="R236" s="60" t="s">
        <v>272</v>
      </c>
      <c r="S236" s="60" t="s">
        <v>187</v>
      </c>
      <c r="T236" s="60" t="s">
        <v>2773</v>
      </c>
      <c r="U236" s="60" t="s">
        <v>371</v>
      </c>
      <c r="Z236" s="107">
        <f t="shared" ca="1" si="25"/>
        <v>9.0601851853231608E-2</v>
      </c>
      <c r="AA236" s="108">
        <f t="shared" ca="1" si="26"/>
        <v>0.24160493827528429</v>
      </c>
      <c r="AB236" s="107">
        <f t="shared" ca="1" si="27"/>
        <v>9.0601851853231608E-2</v>
      </c>
      <c r="AC236" s="108">
        <f t="shared" ca="1" si="28"/>
        <v>0.24160493827528429</v>
      </c>
      <c r="AD236" s="107">
        <f t="shared" ca="1" si="24"/>
        <v>0</v>
      </c>
      <c r="AE236" s="107">
        <f t="shared" ca="1" si="29"/>
        <v>9.0601851853231608E-2</v>
      </c>
      <c r="AF236" s="108">
        <f t="shared" ca="1" si="30"/>
        <v>0.24160493827528429</v>
      </c>
      <c r="AG236" s="108">
        <f t="shared" ca="1" si="4"/>
        <v>0.24160493827528429</v>
      </c>
      <c r="AH236" s="61" t="str" cm="1">
        <f t="array" aca="1" ref="AH236" ca="1">IF((AD236) &lt; (INDEX(ResponseSLA[#All],(MATCH((G236),ResponseSLA[Priority],0))+1,3)),"YES","No")</f>
        <v>YES</v>
      </c>
      <c r="AI236" s="61" t="str">
        <f ca="1">_xlfn.IFNA(IF(AE236 &lt; (INDEX(SLATable[Minimum SLA],MATCH(G236,SLATable[Priority],0))),"YES","NO"),"")</f>
        <v>YES</v>
      </c>
      <c r="AJ236" s="61" t="str">
        <f ca="1">_xlfn.IFNA(IF(AE236 &lt; (INDEX(SLATable[Maximum SLA],MATCH(G236,SLATable[Priority],0))),"YES","NO"),"")</f>
        <v>YES</v>
      </c>
    </row>
    <row r="237" spans="1:36" s="60" customFormat="1" ht="15" hidden="1" customHeight="1">
      <c r="A237" s="60">
        <v>236</v>
      </c>
      <c r="B237" s="60" t="s">
        <v>26</v>
      </c>
      <c r="C237" s="60" t="s">
        <v>27</v>
      </c>
      <c r="D237" s="60" t="s">
        <v>207</v>
      </c>
      <c r="E237" s="60" t="s">
        <v>3090</v>
      </c>
      <c r="F237" s="60" t="s">
        <v>318</v>
      </c>
      <c r="G237" s="105">
        <v>4</v>
      </c>
      <c r="H237" s="224" t="s">
        <v>2724</v>
      </c>
      <c r="I237" s="105" t="s">
        <v>271</v>
      </c>
      <c r="J237" s="60" t="s">
        <v>2751</v>
      </c>
      <c r="K237" s="106">
        <v>46172.731562499997</v>
      </c>
      <c r="L237" s="106">
        <v>46172.731562499997</v>
      </c>
      <c r="M237" s="106">
        <v>46174.30332175926</v>
      </c>
      <c r="N237" s="106">
        <v>46174.481828703705</v>
      </c>
      <c r="O237" s="106"/>
      <c r="P237" s="106"/>
      <c r="Z237" s="107">
        <f t="shared" ca="1" si="25"/>
        <v>0.14849537037177168</v>
      </c>
      <c r="AA237" s="108">
        <f t="shared" ca="1" si="26"/>
        <v>0.39598765432472449</v>
      </c>
      <c r="AB237" s="107">
        <f t="shared" ca="1" si="27"/>
        <v>0.14849537037177168</v>
      </c>
      <c r="AC237" s="108">
        <f t="shared" ca="1" si="28"/>
        <v>0.39598765432472449</v>
      </c>
      <c r="AD237" s="107">
        <f t="shared" ca="1" si="24"/>
        <v>0</v>
      </c>
      <c r="AE237" s="107">
        <f t="shared" ca="1" si="29"/>
        <v>0.14849537037177168</v>
      </c>
      <c r="AF237" s="108">
        <f t="shared" ca="1" si="30"/>
        <v>0.39598765432472449</v>
      </c>
      <c r="AG237" s="108">
        <f t="shared" ca="1" si="4"/>
        <v>0.39598765432472449</v>
      </c>
      <c r="AH237" s="61" t="str" cm="1">
        <f t="array" aca="1" ref="AH237" ca="1">IF((AD237) &lt; (INDEX(ResponseSLA[#All],(MATCH((G237),ResponseSLA[Priority],0))+1,3)),"YES","No")</f>
        <v>YES</v>
      </c>
      <c r="AI237" s="61" t="str">
        <f ca="1">_xlfn.IFNA(IF(AE237 &lt; (INDEX(SLATable[Minimum SLA],MATCH(G237,SLATable[Priority],0))),"YES","NO"),"")</f>
        <v>YES</v>
      </c>
      <c r="AJ237" s="61" t="str">
        <f ca="1">_xlfn.IFNA(IF(AE237 &lt; (INDEX(SLATable[Maximum SLA],MATCH(G237,SLATable[Priority],0))),"YES","NO"),"")</f>
        <v>YES</v>
      </c>
    </row>
    <row r="238" spans="1:36" s="60" customFormat="1" ht="15" hidden="1" customHeight="1">
      <c r="A238" s="60">
        <v>237</v>
      </c>
      <c r="B238" s="60" t="s">
        <v>26</v>
      </c>
      <c r="C238" s="60" t="s">
        <v>27</v>
      </c>
      <c r="D238" s="60" t="s">
        <v>207</v>
      </c>
      <c r="E238" s="60" t="s">
        <v>3091</v>
      </c>
      <c r="F238" s="60" t="s">
        <v>318</v>
      </c>
      <c r="G238" s="105">
        <v>4</v>
      </c>
      <c r="H238" s="224" t="s">
        <v>2775</v>
      </c>
      <c r="I238" s="105" t="s">
        <v>271</v>
      </c>
      <c r="J238" s="60" t="s">
        <v>2751</v>
      </c>
      <c r="K238" s="106">
        <v>46173.097685185188</v>
      </c>
      <c r="L238" s="106">
        <v>46173.097685185188</v>
      </c>
      <c r="M238" s="106">
        <v>46174.308854166666</v>
      </c>
      <c r="N238" s="106">
        <v>46176.473113425927</v>
      </c>
      <c r="O238" s="106"/>
      <c r="P238" s="106"/>
      <c r="Z238" s="107">
        <f t="shared" ca="1" si="25"/>
        <v>0.88978009259396162</v>
      </c>
      <c r="AA238" s="108">
        <f t="shared" ca="1" si="26"/>
        <v>2.3727469135838977</v>
      </c>
      <c r="AB238" s="107">
        <f t="shared" ca="1" si="27"/>
        <v>0.88978009259396162</v>
      </c>
      <c r="AC238" s="108">
        <f t="shared" ca="1" si="28"/>
        <v>2.3727469135838977</v>
      </c>
      <c r="AD238" s="107">
        <f t="shared" ca="1" si="24"/>
        <v>0</v>
      </c>
      <c r="AE238" s="107">
        <f t="shared" ca="1" si="29"/>
        <v>0.88978009259396162</v>
      </c>
      <c r="AF238" s="108">
        <f t="shared" ca="1" si="30"/>
        <v>2.3727469135838977</v>
      </c>
      <c r="AG238" s="108">
        <f t="shared" ca="1" si="4"/>
        <v>2.3727469135838977</v>
      </c>
      <c r="AH238" s="61" t="str" cm="1">
        <f t="array" aca="1" ref="AH238" ca="1">IF((AD238) &lt; (INDEX(ResponseSLA[#All],(MATCH((G238),ResponseSLA[Priority],0))+1,3)),"YES","No")</f>
        <v>YES</v>
      </c>
      <c r="AI238" s="61" t="str">
        <f ca="1">_xlfn.IFNA(IF(AE238 &lt; (INDEX(SLATable[Minimum SLA],MATCH(G238,SLATable[Priority],0))),"YES","NO"),"")</f>
        <v>YES</v>
      </c>
      <c r="AJ238" s="61" t="str">
        <f ca="1">_xlfn.IFNA(IF(AE238 &lt; (INDEX(SLATable[Maximum SLA],MATCH(G238,SLATable[Priority],0))),"YES","NO"),"")</f>
        <v>YES</v>
      </c>
    </row>
    <row r="239" spans="1:36" s="60" customFormat="1" ht="15" hidden="1" customHeight="1">
      <c r="A239" s="60">
        <v>238</v>
      </c>
      <c r="B239" s="60" t="s">
        <v>26</v>
      </c>
      <c r="C239" s="60" t="s">
        <v>27</v>
      </c>
      <c r="D239" s="60" t="s">
        <v>207</v>
      </c>
      <c r="E239" s="60" t="s">
        <v>3092</v>
      </c>
      <c r="F239" s="60" t="s">
        <v>318</v>
      </c>
      <c r="G239" s="105">
        <v>4</v>
      </c>
      <c r="H239" s="224" t="s">
        <v>2775</v>
      </c>
      <c r="I239" s="105" t="s">
        <v>271</v>
      </c>
      <c r="J239" s="60" t="s">
        <v>2751</v>
      </c>
      <c r="K239" s="106">
        <v>46173.279166666667</v>
      </c>
      <c r="L239" s="106">
        <v>46173.279166666667</v>
      </c>
      <c r="M239" s="106">
        <v>46174.311099537037</v>
      </c>
      <c r="N239" s="106">
        <v>46174.482986111114</v>
      </c>
      <c r="O239" s="106"/>
      <c r="P239" s="106"/>
      <c r="Z239" s="107">
        <f t="shared" ca="1" si="25"/>
        <v>0.14965277778052649</v>
      </c>
      <c r="AA239" s="108">
        <f t="shared" ca="1" si="26"/>
        <v>0.399074074081404</v>
      </c>
      <c r="AB239" s="107">
        <f t="shared" ca="1" si="27"/>
        <v>0.14965277778052649</v>
      </c>
      <c r="AC239" s="108">
        <f t="shared" ca="1" si="28"/>
        <v>0.399074074081404</v>
      </c>
      <c r="AD239" s="107">
        <f t="shared" ca="1" si="24"/>
        <v>0</v>
      </c>
      <c r="AE239" s="107">
        <f t="shared" ca="1" si="29"/>
        <v>0.14965277778052649</v>
      </c>
      <c r="AF239" s="108">
        <f t="shared" ca="1" si="30"/>
        <v>0.399074074081404</v>
      </c>
      <c r="AG239" s="108">
        <f t="shared" ca="1" si="4"/>
        <v>0.399074074081404</v>
      </c>
      <c r="AH239" s="61" t="str" cm="1">
        <f t="array" aca="1" ref="AH239" ca="1">IF((AD239) &lt; (INDEX(ResponseSLA[#All],(MATCH((G239),ResponseSLA[Priority],0))+1,3)),"YES","No")</f>
        <v>YES</v>
      </c>
      <c r="AI239" s="61" t="str">
        <f ca="1">_xlfn.IFNA(IF(AE239 &lt; (INDEX(SLATable[Minimum SLA],MATCH(G239,SLATable[Priority],0))),"YES","NO"),"")</f>
        <v>YES</v>
      </c>
      <c r="AJ239" s="61" t="str">
        <f ca="1">_xlfn.IFNA(IF(AE239 &lt; (INDEX(SLATable[Maximum SLA],MATCH(G239,SLATable[Priority],0))),"YES","NO"),"")</f>
        <v>YES</v>
      </c>
    </row>
    <row r="240" spans="1:36" s="60" customFormat="1" ht="15" hidden="1" customHeight="1">
      <c r="A240" s="60">
        <v>239</v>
      </c>
      <c r="B240" s="60" t="s">
        <v>26</v>
      </c>
      <c r="C240" s="60" t="s">
        <v>27</v>
      </c>
      <c r="D240" s="60" t="s">
        <v>207</v>
      </c>
      <c r="E240" s="60" t="s">
        <v>3093</v>
      </c>
      <c r="F240" s="60" t="s">
        <v>318</v>
      </c>
      <c r="G240" s="105">
        <v>3</v>
      </c>
      <c r="H240" s="224" t="s">
        <v>2724</v>
      </c>
      <c r="I240" s="105" t="s">
        <v>271</v>
      </c>
      <c r="J240" s="60" t="s">
        <v>2827</v>
      </c>
      <c r="K240" s="106">
        <v>46174.222511574073</v>
      </c>
      <c r="L240" s="106">
        <v>46174.222511574073</v>
      </c>
      <c r="M240" s="106">
        <v>46174.312743055554</v>
      </c>
      <c r="N240" s="106">
        <v>46174.35765046296</v>
      </c>
      <c r="O240" s="106"/>
      <c r="P240" s="106"/>
      <c r="Z240" s="107">
        <f t="shared" ca="1" si="25"/>
        <v>2.4317129626676148E-2</v>
      </c>
      <c r="AA240" s="108">
        <f t="shared" ca="1" si="26"/>
        <v>6.4845679004469733E-2</v>
      </c>
      <c r="AB240" s="107">
        <f t="shared" ca="1" si="27"/>
        <v>2.4317129626676148E-2</v>
      </c>
      <c r="AC240" s="108">
        <f t="shared" ca="1" si="28"/>
        <v>6.4845679004469733E-2</v>
      </c>
      <c r="AD240" s="107">
        <f t="shared" ca="1" si="24"/>
        <v>0</v>
      </c>
      <c r="AE240" s="107">
        <f t="shared" ca="1" si="29"/>
        <v>2.4317129626676148E-2</v>
      </c>
      <c r="AF240" s="108">
        <f t="shared" ca="1" si="30"/>
        <v>6.4845679004469733E-2</v>
      </c>
      <c r="AG240" s="108">
        <f t="shared" ca="1" si="4"/>
        <v>6.4845679004469733E-2</v>
      </c>
      <c r="AH240" s="61" t="str" cm="1">
        <f t="array" aca="1" ref="AH240" ca="1">IF((AD240) &lt; (INDEX(ResponseSLA[#All],(MATCH((G240),ResponseSLA[Priority],0))+1,3)),"YES","No")</f>
        <v>YES</v>
      </c>
      <c r="AI240" s="61" t="str">
        <f ca="1">_xlfn.IFNA(IF(AE240 &lt; (INDEX(SLATable[Minimum SLA],MATCH(G240,SLATable[Priority],0))),"YES","NO"),"")</f>
        <v>YES</v>
      </c>
      <c r="AJ240" s="61" t="str">
        <f ca="1">_xlfn.IFNA(IF(AE240 &lt; (INDEX(SLATable[Maximum SLA],MATCH(G240,SLATable[Priority],0))),"YES","NO"),"")</f>
        <v>YES</v>
      </c>
    </row>
    <row r="241" spans="1:36" s="60" customFormat="1" ht="15" hidden="1" customHeight="1">
      <c r="A241" s="60">
        <v>240</v>
      </c>
      <c r="B241" s="60" t="s">
        <v>26</v>
      </c>
      <c r="C241" s="60" t="s">
        <v>27</v>
      </c>
      <c r="D241" s="60" t="s">
        <v>207</v>
      </c>
      <c r="E241" s="60" t="s">
        <v>3094</v>
      </c>
      <c r="F241" s="60" t="s">
        <v>318</v>
      </c>
      <c r="G241" s="105">
        <v>4</v>
      </c>
      <c r="H241" s="224" t="s">
        <v>3095</v>
      </c>
      <c r="I241" s="105" t="s">
        <v>271</v>
      </c>
      <c r="J241" s="60" t="s">
        <v>2703</v>
      </c>
      <c r="K241" s="106">
        <v>46171.894421296296</v>
      </c>
      <c r="L241" s="106">
        <v>46171.916863425926</v>
      </c>
      <c r="M241" s="106">
        <v>46174.315613425926</v>
      </c>
      <c r="N241" s="106">
        <v>46174.592673611114</v>
      </c>
      <c r="O241" s="106"/>
      <c r="P241" s="106"/>
      <c r="Z241" s="107">
        <f t="shared" ca="1" si="25"/>
        <v>0.25934027778081747</v>
      </c>
      <c r="AA241" s="108">
        <f t="shared" ca="1" si="26"/>
        <v>0.69157407408217997</v>
      </c>
      <c r="AB241" s="107">
        <f t="shared" ca="1" si="27"/>
        <v>0.25934027778081747</v>
      </c>
      <c r="AC241" s="108">
        <f t="shared" ca="1" si="28"/>
        <v>0.69157407408217997</v>
      </c>
      <c r="AD241" s="107">
        <f t="shared" ca="1" si="24"/>
        <v>0</v>
      </c>
      <c r="AE241" s="107">
        <f t="shared" ca="1" si="29"/>
        <v>0.25934027778081747</v>
      </c>
      <c r="AF241" s="108">
        <f t="shared" ca="1" si="30"/>
        <v>0.69157407408217997</v>
      </c>
      <c r="AG241" s="108">
        <f t="shared" ca="1" si="4"/>
        <v>0.69157407408217997</v>
      </c>
      <c r="AH241" s="61" t="str" cm="1">
        <f t="array" aca="1" ref="AH241" ca="1">IF((AD241) &lt; (INDEX(ResponseSLA[#All],(MATCH((G241),ResponseSLA[Priority],0))+1,3)),"YES","No")</f>
        <v>YES</v>
      </c>
      <c r="AI241" s="61" t="str">
        <f ca="1">_xlfn.IFNA(IF(AE241 &lt; (INDEX(SLATable[Minimum SLA],MATCH(G241,SLATable[Priority],0))),"YES","NO"),"")</f>
        <v>YES</v>
      </c>
      <c r="AJ241" s="61" t="str">
        <f ca="1">_xlfn.IFNA(IF(AE241 &lt; (INDEX(SLATable[Maximum SLA],MATCH(G241,SLATable[Priority],0))),"YES","NO"),"")</f>
        <v>YES</v>
      </c>
    </row>
    <row r="242" spans="1:36" s="60" customFormat="1" ht="15" hidden="1" customHeight="1">
      <c r="A242" s="60">
        <v>241</v>
      </c>
      <c r="B242" s="60" t="s">
        <v>26</v>
      </c>
      <c r="C242" s="60" t="s">
        <v>27</v>
      </c>
      <c r="D242" s="60" t="s">
        <v>207</v>
      </c>
      <c r="E242" s="60" t="s">
        <v>3096</v>
      </c>
      <c r="F242" s="60" t="s">
        <v>318</v>
      </c>
      <c r="G242" s="105">
        <v>4</v>
      </c>
      <c r="H242" s="224" t="s">
        <v>2765</v>
      </c>
      <c r="I242" s="105" t="s">
        <v>260</v>
      </c>
      <c r="J242" s="60" t="s">
        <v>2700</v>
      </c>
      <c r="K242" s="106">
        <v>46171.947858796295</v>
      </c>
      <c r="L242" s="106">
        <v>46172.061365740738</v>
      </c>
      <c r="M242" s="106">
        <v>46174.317418981482</v>
      </c>
      <c r="N242" s="106"/>
      <c r="O242" s="106"/>
      <c r="P242" s="106"/>
      <c r="Z242" s="107">
        <f t="shared" ca="1" si="25"/>
        <v>23.175643402779926</v>
      </c>
      <c r="AA242" s="108">
        <f t="shared" ca="1" si="26"/>
        <v>61.801715740746467</v>
      </c>
      <c r="AB242" s="107">
        <f t="shared" ca="1" si="27"/>
        <v>23.175643171295334</v>
      </c>
      <c r="AC242" s="108">
        <f t="shared" ca="1" si="28"/>
        <v>61.801715123454223</v>
      </c>
      <c r="AD242" s="107">
        <f t="shared" ca="1" si="24"/>
        <v>0</v>
      </c>
      <c r="AE242" s="107">
        <f t="shared" ca="1" si="29"/>
        <v>23.175643171295334</v>
      </c>
      <c r="AF242" s="108">
        <f t="shared" ca="1" si="30"/>
        <v>61.801715123454223</v>
      </c>
      <c r="AG242" s="108">
        <f t="shared" ca="1" si="4"/>
        <v>61.801715123454223</v>
      </c>
      <c r="AH242" s="61" t="str" cm="1">
        <f t="array" aca="1" ref="AH242" ca="1">IF((AD242) &lt; (INDEX(ResponseSLA[#All],(MATCH((G242),ResponseSLA[Priority],0))+1,3)),"YES","No")</f>
        <v>YES</v>
      </c>
      <c r="AI242" s="61" t="str">
        <f ca="1">_xlfn.IFNA(IF(AE242 &lt; (INDEX(SLATable[Minimum SLA],MATCH(G242,SLATable[Priority],0))),"YES","NO"),"")</f>
        <v>NO</v>
      </c>
      <c r="AJ242" s="61" t="str">
        <f ca="1">_xlfn.IFNA(IF(AE242 &lt; (INDEX(SLATable[Maximum SLA],MATCH(G242,SLATable[Priority],0))),"YES","NO"),"")</f>
        <v>NO</v>
      </c>
    </row>
    <row r="243" spans="1:36" s="60" customFormat="1" ht="15" hidden="1" customHeight="1">
      <c r="A243" s="60">
        <v>242</v>
      </c>
      <c r="B243" s="60" t="s">
        <v>26</v>
      </c>
      <c r="C243" s="60" t="s">
        <v>27</v>
      </c>
      <c r="D243" s="60" t="s">
        <v>207</v>
      </c>
      <c r="E243" s="60" t="s">
        <v>3097</v>
      </c>
      <c r="F243" s="60" t="s">
        <v>318</v>
      </c>
      <c r="G243" s="105">
        <v>4</v>
      </c>
      <c r="H243" s="224" t="s">
        <v>3098</v>
      </c>
      <c r="I243" s="105" t="s">
        <v>271</v>
      </c>
      <c r="J243" s="60" t="s">
        <v>2714</v>
      </c>
      <c r="K243" s="106">
        <v>46171.997581018521</v>
      </c>
      <c r="L243" s="106">
        <v>46172.057650462964</v>
      </c>
      <c r="M243" s="106">
        <v>46174.319178240738</v>
      </c>
      <c r="N243" s="106">
        <v>46184.75037037037</v>
      </c>
      <c r="O243" s="106">
        <v>46177.353078703702</v>
      </c>
      <c r="P243" s="106"/>
      <c r="Z243" s="107">
        <f t="shared" ca="1" si="25"/>
        <v>3.3750000000000004</v>
      </c>
      <c r="AA243" s="108">
        <f t="shared" ca="1" si="26"/>
        <v>9.0000000000000018</v>
      </c>
      <c r="AB243" s="107">
        <f t="shared" ca="1" si="27"/>
        <v>3.3750000000000004</v>
      </c>
      <c r="AC243" s="108">
        <f t="shared" ca="1" si="28"/>
        <v>9.0000000000000018</v>
      </c>
      <c r="AD243" s="107">
        <f t="shared" ca="1" si="24"/>
        <v>0</v>
      </c>
      <c r="AE243" s="107">
        <f t="shared" ca="1" si="29"/>
        <v>3.3750000000000004</v>
      </c>
      <c r="AF243" s="108">
        <f t="shared" ca="1" si="30"/>
        <v>9.0000000000000018</v>
      </c>
      <c r="AG243" s="108">
        <f t="shared" ca="1" si="4"/>
        <v>9.0000000000000018</v>
      </c>
      <c r="AH243" s="61" t="str" cm="1">
        <f t="array" aca="1" ref="AH243" ca="1">IF((AD243) &lt; (INDEX(ResponseSLA[#All],(MATCH((G243),ResponseSLA[Priority],0))+1,3)),"YES","No")</f>
        <v>YES</v>
      </c>
      <c r="AI243" s="61" t="str">
        <f ca="1">_xlfn.IFNA(IF(AE243 &lt; (INDEX(SLATable[Minimum SLA],MATCH(G243,SLATable[Priority],0))),"YES","NO"),"")</f>
        <v>YES</v>
      </c>
      <c r="AJ243" s="61" t="str">
        <f ca="1">_xlfn.IFNA(IF(AE243 &lt; (INDEX(SLATable[Maximum SLA],MATCH(G243,SLATable[Priority],0))),"YES","NO"),"")</f>
        <v>YES</v>
      </c>
    </row>
    <row r="244" spans="1:36" s="60" customFormat="1" ht="15" hidden="1" customHeight="1">
      <c r="A244" s="60">
        <v>243</v>
      </c>
      <c r="B244" s="60" t="s">
        <v>26</v>
      </c>
      <c r="C244" s="60" t="s">
        <v>27</v>
      </c>
      <c r="D244" s="60" t="s">
        <v>207</v>
      </c>
      <c r="E244" s="60" t="s">
        <v>3099</v>
      </c>
      <c r="F244" s="60" t="s">
        <v>318</v>
      </c>
      <c r="G244" s="105">
        <v>4</v>
      </c>
      <c r="H244" s="224" t="s">
        <v>3100</v>
      </c>
      <c r="I244" s="105" t="s">
        <v>271</v>
      </c>
      <c r="J244" s="60" t="s">
        <v>2725</v>
      </c>
      <c r="K244" s="106">
        <v>46172.657141203701</v>
      </c>
      <c r="L244" s="106">
        <v>46172.660624999997</v>
      </c>
      <c r="M244" s="106">
        <v>46174.320763888885</v>
      </c>
      <c r="N244" s="106">
        <v>46174.541828703703</v>
      </c>
      <c r="O244" s="106"/>
      <c r="P244" s="106"/>
      <c r="Q244" s="60" t="s">
        <v>3101</v>
      </c>
      <c r="R244" s="60" t="s">
        <v>272</v>
      </c>
      <c r="S244" s="60" t="s">
        <v>187</v>
      </c>
      <c r="Z244" s="107">
        <f t="shared" ca="1" si="25"/>
        <v>0.20849537036944338</v>
      </c>
      <c r="AA244" s="108">
        <f t="shared" ca="1" si="26"/>
        <v>0.5559876543185156</v>
      </c>
      <c r="AB244" s="107">
        <f t="shared" ca="1" si="27"/>
        <v>0.20849537036944338</v>
      </c>
      <c r="AC244" s="108">
        <f t="shared" ca="1" si="28"/>
        <v>0.5559876543185156</v>
      </c>
      <c r="AD244" s="107">
        <f t="shared" ca="1" si="24"/>
        <v>0</v>
      </c>
      <c r="AE244" s="107">
        <f t="shared" ca="1" si="29"/>
        <v>0.20849537036944338</v>
      </c>
      <c r="AF244" s="108">
        <f t="shared" ca="1" si="30"/>
        <v>0.5559876543185156</v>
      </c>
      <c r="AG244" s="108">
        <f t="shared" ca="1" si="4"/>
        <v>0.5559876543185156</v>
      </c>
      <c r="AH244" s="61" t="str" cm="1">
        <f t="array" aca="1" ref="AH244" ca="1">IF((AD244) &lt; (INDEX(ResponseSLA[#All],(MATCH((G244),ResponseSLA[Priority],0))+1,3)),"YES","No")</f>
        <v>YES</v>
      </c>
      <c r="AI244" s="61" t="str">
        <f ca="1">_xlfn.IFNA(IF(AE244 &lt; (INDEX(SLATable[Minimum SLA],MATCH(G244,SLATable[Priority],0))),"YES","NO"),"")</f>
        <v>YES</v>
      </c>
      <c r="AJ244" s="61" t="str">
        <f ca="1">_xlfn.IFNA(IF(AE244 &lt; (INDEX(SLATable[Maximum SLA],MATCH(G244,SLATable[Priority],0))),"YES","NO"),"")</f>
        <v>YES</v>
      </c>
    </row>
    <row r="245" spans="1:36" s="60" customFormat="1" ht="15" hidden="1" customHeight="1">
      <c r="A245" s="60">
        <v>244</v>
      </c>
      <c r="B245" s="60" t="s">
        <v>26</v>
      </c>
      <c r="C245" s="60" t="s">
        <v>27</v>
      </c>
      <c r="D245" s="60" t="s">
        <v>207</v>
      </c>
      <c r="E245" s="60" t="s">
        <v>3102</v>
      </c>
      <c r="F245" s="60" t="s">
        <v>318</v>
      </c>
      <c r="G245" s="105">
        <v>4</v>
      </c>
      <c r="H245" s="224" t="s">
        <v>2769</v>
      </c>
      <c r="I245" s="105" t="s">
        <v>260</v>
      </c>
      <c r="J245" s="60" t="s">
        <v>2700</v>
      </c>
      <c r="K245" s="106">
        <v>46173.14502314815</v>
      </c>
      <c r="L245" s="106">
        <v>46173.151319444441</v>
      </c>
      <c r="M245" s="106">
        <v>46174.321851851855</v>
      </c>
      <c r="N245" s="106"/>
      <c r="O245" s="106"/>
      <c r="P245" s="106"/>
      <c r="Z245" s="107">
        <f t="shared" ca="1" si="25"/>
        <v>23.175643402779926</v>
      </c>
      <c r="AA245" s="108">
        <f t="shared" ca="1" si="26"/>
        <v>61.801715740746467</v>
      </c>
      <c r="AB245" s="107">
        <f t="shared" ca="1" si="27"/>
        <v>23.175643171295334</v>
      </c>
      <c r="AC245" s="108">
        <f t="shared" ca="1" si="28"/>
        <v>61.801715123454223</v>
      </c>
      <c r="AD245" s="107">
        <f t="shared" ca="1" si="24"/>
        <v>0</v>
      </c>
      <c r="AE245" s="107">
        <f t="shared" ca="1" si="29"/>
        <v>23.175643171295334</v>
      </c>
      <c r="AF245" s="108">
        <f t="shared" ca="1" si="30"/>
        <v>61.801715123454223</v>
      </c>
      <c r="AG245" s="108">
        <f t="shared" ca="1" si="4"/>
        <v>61.801715123454223</v>
      </c>
      <c r="AH245" s="61" t="str" cm="1">
        <f t="array" aca="1" ref="AH245" ca="1">IF((AD245) &lt; (INDEX(ResponseSLA[#All],(MATCH((G245),ResponseSLA[Priority],0))+1,3)),"YES","No")</f>
        <v>YES</v>
      </c>
      <c r="AI245" s="61" t="str">
        <f ca="1">_xlfn.IFNA(IF(AE245 &lt; (INDEX(SLATable[Minimum SLA],MATCH(G245,SLATable[Priority],0))),"YES","NO"),"")</f>
        <v>NO</v>
      </c>
      <c r="AJ245" s="61" t="str">
        <f ca="1">_xlfn.IFNA(IF(AE245 &lt; (INDEX(SLATable[Maximum SLA],MATCH(G245,SLATable[Priority],0))),"YES","NO"),"")</f>
        <v>NO</v>
      </c>
    </row>
    <row r="246" spans="1:36" s="60" customFormat="1" ht="15" hidden="1" customHeight="1">
      <c r="A246" s="60">
        <v>245</v>
      </c>
      <c r="B246" s="60" t="s">
        <v>26</v>
      </c>
      <c r="C246" s="60" t="s">
        <v>27</v>
      </c>
      <c r="D246" s="60" t="s">
        <v>207</v>
      </c>
      <c r="E246" s="60" t="s">
        <v>3103</v>
      </c>
      <c r="F246" s="60" t="s">
        <v>318</v>
      </c>
      <c r="G246" s="105">
        <v>4</v>
      </c>
      <c r="H246" s="224" t="s">
        <v>3104</v>
      </c>
      <c r="I246" s="105" t="s">
        <v>271</v>
      </c>
      <c r="J246" s="60" t="s">
        <v>2714</v>
      </c>
      <c r="K246" s="229">
        <v>46174.011840277781</v>
      </c>
      <c r="L246" s="229">
        <v>46174.030231481483</v>
      </c>
      <c r="M246" s="229">
        <v>46174.323368055557</v>
      </c>
      <c r="N246" s="229">
        <v>46177.348553240743</v>
      </c>
      <c r="O246" s="106"/>
      <c r="P246" s="106"/>
      <c r="Z246" s="107">
        <f t="shared" ca="1" si="25"/>
        <v>1.1402199074097252</v>
      </c>
      <c r="AA246" s="108">
        <f t="shared" ca="1" si="26"/>
        <v>3.0405864197592671</v>
      </c>
      <c r="AB246" s="107">
        <f t="shared" ca="1" si="27"/>
        <v>1.1402199074097252</v>
      </c>
      <c r="AC246" s="108">
        <f t="shared" ca="1" si="28"/>
        <v>3.0405864197592671</v>
      </c>
      <c r="AD246" s="107">
        <f t="shared" ca="1" si="24"/>
        <v>0</v>
      </c>
      <c r="AE246" s="107">
        <f t="shared" ca="1" si="29"/>
        <v>1.1402199074097252</v>
      </c>
      <c r="AF246" s="108">
        <f t="shared" ca="1" si="30"/>
        <v>3.0405864197592671</v>
      </c>
      <c r="AG246" s="108">
        <f t="shared" ca="1" si="4"/>
        <v>3.0405864197592671</v>
      </c>
      <c r="AH246" s="61" t="str" cm="1">
        <f t="array" aca="1" ref="AH246" ca="1">IF((AD246) &lt; (INDEX(ResponseSLA[#All],(MATCH((G246),ResponseSLA[Priority],0))+1,3)),"YES","No")</f>
        <v>YES</v>
      </c>
      <c r="AI246" s="61" t="str">
        <f ca="1">_xlfn.IFNA(IF(AE246 &lt; (INDEX(SLATable[Minimum SLA],MATCH(G246,SLATable[Priority],0))),"YES","NO"),"")</f>
        <v>YES</v>
      </c>
      <c r="AJ246" s="61" t="str">
        <f ca="1">_xlfn.IFNA(IF(AE246 &lt; (INDEX(SLATable[Maximum SLA],MATCH(G246,SLATable[Priority],0))),"YES","NO"),"")</f>
        <v>YES</v>
      </c>
    </row>
    <row r="247" spans="1:36" s="60" customFormat="1" ht="15" hidden="1" customHeight="1">
      <c r="A247" s="60">
        <v>246</v>
      </c>
      <c r="B247" s="60" t="s">
        <v>26</v>
      </c>
      <c r="C247" s="60" t="s">
        <v>27</v>
      </c>
      <c r="D247" s="60" t="s">
        <v>207</v>
      </c>
      <c r="E247" s="60" t="s">
        <v>3105</v>
      </c>
      <c r="F247" s="60" t="s">
        <v>318</v>
      </c>
      <c r="G247" s="105">
        <v>4</v>
      </c>
      <c r="H247" s="224" t="s">
        <v>3106</v>
      </c>
      <c r="I247" s="105" t="s">
        <v>271</v>
      </c>
      <c r="J247" s="60" t="s">
        <v>2708</v>
      </c>
      <c r="K247" s="106">
        <v>46174.012685185182</v>
      </c>
      <c r="L247" s="106">
        <v>46174.030752314815</v>
      </c>
      <c r="M247" s="106">
        <v>46174.325104166666</v>
      </c>
      <c r="N247" s="106">
        <v>46181.750115740739</v>
      </c>
      <c r="O247" s="106">
        <v>46174.339224537034</v>
      </c>
      <c r="P247" s="106">
        <v>46181.750115740739</v>
      </c>
      <c r="Q247" s="60" t="s">
        <v>2733</v>
      </c>
      <c r="R247" s="60" t="s">
        <v>272</v>
      </c>
      <c r="S247" s="60" t="s">
        <v>161</v>
      </c>
      <c r="Z247" s="107">
        <f t="shared" ca="1" si="25"/>
        <v>5.8912037008362894E-3</v>
      </c>
      <c r="AA247" s="108">
        <f t="shared" ca="1" si="26"/>
        <v>1.5709876535563438E-2</v>
      </c>
      <c r="AB247" s="107">
        <f t="shared" ca="1" si="27"/>
        <v>5.8912037008362894E-3</v>
      </c>
      <c r="AC247" s="108">
        <f t="shared" ca="1" si="28"/>
        <v>1.5709876535563438E-2</v>
      </c>
      <c r="AD247" s="107">
        <f t="shared" ca="1" si="24"/>
        <v>0</v>
      </c>
      <c r="AE247" s="107">
        <f t="shared" ca="1" si="29"/>
        <v>5.8912037008362894E-3</v>
      </c>
      <c r="AF247" s="108">
        <f t="shared" ca="1" si="30"/>
        <v>1.5709876535563438E-2</v>
      </c>
      <c r="AG247" s="108">
        <f t="shared" ca="1" si="4"/>
        <v>1.5709876535563438E-2</v>
      </c>
      <c r="AH247" s="61" t="str" cm="1">
        <f t="array" aca="1" ref="AH247" ca="1">IF((AD247) &lt; (INDEX(ResponseSLA[#All],(MATCH((G247),ResponseSLA[Priority],0))+1,3)),"YES","No")</f>
        <v>YES</v>
      </c>
      <c r="AI247" s="61" t="str">
        <f ca="1">_xlfn.IFNA(IF(AE247 &lt; (INDEX(SLATable[Minimum SLA],MATCH(G247,SLATable[Priority],0))),"YES","NO"),"")</f>
        <v>YES</v>
      </c>
      <c r="AJ247" s="61" t="str">
        <f ca="1">_xlfn.IFNA(IF(AE247 &lt; (INDEX(SLATable[Maximum SLA],MATCH(G247,SLATable[Priority],0))),"YES","NO"),"")</f>
        <v>YES</v>
      </c>
    </row>
    <row r="248" spans="1:36" s="60" customFormat="1" ht="15" customHeight="1">
      <c r="A248" s="60">
        <v>247</v>
      </c>
      <c r="B248" s="60" t="s">
        <v>26</v>
      </c>
      <c r="C248" s="60" t="s">
        <v>54</v>
      </c>
      <c r="D248" s="60" t="s">
        <v>207</v>
      </c>
      <c r="E248" s="60" t="s">
        <v>2838</v>
      </c>
      <c r="F248" s="60" t="s">
        <v>53</v>
      </c>
      <c r="G248" s="105">
        <v>3</v>
      </c>
      <c r="H248" s="212" t="s">
        <v>2839</v>
      </c>
      <c r="I248" s="105" t="s">
        <v>266</v>
      </c>
      <c r="J248" s="291" t="s">
        <v>2708</v>
      </c>
      <c r="K248" s="106">
        <v>46052.54886574074</v>
      </c>
      <c r="L248" s="106">
        <v>46174.406481481485</v>
      </c>
      <c r="M248" s="106">
        <v>46174.41128472222</v>
      </c>
      <c r="N248" s="106"/>
      <c r="O248" s="106">
        <v>46121.275127314817</v>
      </c>
      <c r="P248" s="106"/>
      <c r="Q248" s="60" t="s">
        <v>2816</v>
      </c>
      <c r="R248" s="60" t="s">
        <v>272</v>
      </c>
      <c r="S248" s="60" t="s">
        <v>165</v>
      </c>
      <c r="Z248" s="107">
        <f t="shared" ca="1" si="25"/>
        <v>53.335110995372823</v>
      </c>
      <c r="AA248" s="108">
        <f t="shared" ca="1" si="26"/>
        <v>142.22696265432754</v>
      </c>
      <c r="AB248" s="107">
        <f t="shared" ca="1" si="27"/>
        <v>0</v>
      </c>
      <c r="AC248" s="108">
        <f t="shared" ca="1" si="28"/>
        <v>0</v>
      </c>
      <c r="AD248" s="107">
        <f t="shared" ca="1" si="24"/>
        <v>4.8032407357823104E-3</v>
      </c>
      <c r="AE248" s="107">
        <f t="shared" ca="1" si="29"/>
        <v>23.60184687499714</v>
      </c>
      <c r="AF248" s="108">
        <f t="shared" ca="1" si="30"/>
        <v>62.938258333325706</v>
      </c>
      <c r="AG248" s="108">
        <f t="shared" ca="1" si="4"/>
        <v>62.938258333325706</v>
      </c>
      <c r="AH248" s="61" t="str" cm="1">
        <f t="array" aca="1" ref="AH248" ca="1">IF((AD248) &lt; (INDEX(ResponseSLA[#All],(MATCH((G248),ResponseSLA[Priority],0))+1,3)),"YES","No")</f>
        <v>YES</v>
      </c>
      <c r="AI248" s="61" t="str">
        <f ca="1">_xlfn.IFNA(IF(AE248 &lt; (INDEX(SLATable[Minimum SLA],MATCH(G248,SLATable[Priority],0))),"YES","NO"),"")</f>
        <v>NO</v>
      </c>
      <c r="AJ248" s="61" t="str">
        <f ca="1">_xlfn.IFNA(IF(AE248 &lt; (INDEX(SLATable[Maximum SLA],MATCH(G248,SLATable[Priority],0))),"YES","NO"),"")</f>
        <v>NO</v>
      </c>
    </row>
    <row r="249" spans="1:36" s="60" customFormat="1" ht="15" customHeight="1">
      <c r="A249" s="60">
        <v>248</v>
      </c>
      <c r="B249" s="60" t="s">
        <v>26</v>
      </c>
      <c r="C249" s="60" t="s">
        <v>54</v>
      </c>
      <c r="D249" s="60" t="s">
        <v>207</v>
      </c>
      <c r="E249" s="60" t="s">
        <v>3107</v>
      </c>
      <c r="F249" s="60" t="s">
        <v>53</v>
      </c>
      <c r="G249" s="105">
        <v>3</v>
      </c>
      <c r="H249" s="212" t="s">
        <v>3108</v>
      </c>
      <c r="I249" s="105" t="s">
        <v>271</v>
      </c>
      <c r="J249" s="291" t="s">
        <v>2694</v>
      </c>
      <c r="K249" s="106">
        <v>46174.362442129626</v>
      </c>
      <c r="L249" s="106">
        <v>46174.362442129626</v>
      </c>
      <c r="M249" s="106">
        <v>46174.409780092596</v>
      </c>
      <c r="N249" s="106">
        <v>46175.334814814814</v>
      </c>
      <c r="O249" s="106"/>
      <c r="P249" s="106"/>
      <c r="Z249" s="107">
        <f t="shared" ca="1" si="25"/>
        <v>0.34737268518802011</v>
      </c>
      <c r="AA249" s="108">
        <f t="shared" ca="1" si="26"/>
        <v>0.92632716050138697</v>
      </c>
      <c r="AB249" s="107">
        <f t="shared" ca="1" si="27"/>
        <v>0.34737268518802011</v>
      </c>
      <c r="AC249" s="108">
        <f t="shared" ca="1" si="28"/>
        <v>0.92632716050138697</v>
      </c>
      <c r="AD249" s="107">
        <f t="shared" ca="1" si="24"/>
        <v>4.7337962969322689E-2</v>
      </c>
      <c r="AE249" s="107">
        <f t="shared" ca="1" si="29"/>
        <v>0.34737268518802011</v>
      </c>
      <c r="AF249" s="108">
        <f t="shared" ca="1" si="30"/>
        <v>0.92632716050138697</v>
      </c>
      <c r="AG249" s="108">
        <f t="shared" ca="1" si="4"/>
        <v>0.92632716050138697</v>
      </c>
      <c r="AH249" s="61" t="str" cm="1">
        <f t="array" aca="1" ref="AH249" ca="1">IF((AD249) &lt; (INDEX(ResponseSLA[#All],(MATCH((G249),ResponseSLA[Priority],0))+1,3)),"YES","No")</f>
        <v>YES</v>
      </c>
      <c r="AI249" s="61" t="str">
        <f ca="1">_xlfn.IFNA(IF(AE249 &lt; (INDEX(SLATable[Minimum SLA],MATCH(G249,SLATable[Priority],0))),"YES","NO"),"")</f>
        <v>YES</v>
      </c>
      <c r="AJ249" s="61" t="str">
        <f ca="1">_xlfn.IFNA(IF(AE249 &lt; (INDEX(SLATable[Maximum SLA],MATCH(G249,SLATable[Priority],0))),"YES","NO"),"")</f>
        <v>YES</v>
      </c>
    </row>
    <row r="250" spans="1:36" s="60" customFormat="1" ht="15" hidden="1" customHeight="1">
      <c r="A250" s="60">
        <v>249</v>
      </c>
      <c r="B250" s="60" t="s">
        <v>26</v>
      </c>
      <c r="C250" s="60" t="s">
        <v>27</v>
      </c>
      <c r="D250" s="60" t="s">
        <v>208</v>
      </c>
      <c r="E250" s="60" t="s">
        <v>3109</v>
      </c>
      <c r="F250" s="60" t="s">
        <v>320</v>
      </c>
      <c r="G250" s="105" t="s">
        <v>208</v>
      </c>
      <c r="H250" s="212" t="s">
        <v>3110</v>
      </c>
      <c r="I250" s="105" t="s">
        <v>275</v>
      </c>
      <c r="J250" s="60" t="s">
        <v>3111</v>
      </c>
      <c r="K250" s="106">
        <v>46174.26358796296</v>
      </c>
      <c r="L250" s="106">
        <v>46174.26358796296</v>
      </c>
      <c r="M250" s="106">
        <v>46174.448773148149</v>
      </c>
      <c r="N250" s="106"/>
      <c r="O250" s="106"/>
      <c r="P250" s="106"/>
      <c r="Z250" s="107">
        <f t="shared" ca="1" si="25"/>
        <v>23.175643171295334</v>
      </c>
      <c r="AA250" s="108">
        <f t="shared" ca="1" si="26"/>
        <v>61.801715123454223</v>
      </c>
      <c r="AB250" s="107">
        <f t="shared" ca="1" si="27"/>
        <v>23.175643171295334</v>
      </c>
      <c r="AC250" s="108">
        <f t="shared" ca="1" si="28"/>
        <v>61.801715123454223</v>
      </c>
      <c r="AD250" s="107">
        <f t="shared" ca="1" si="24"/>
        <v>0.11543981481615145</v>
      </c>
      <c r="AE250" s="107">
        <f t="shared" ca="1" si="29"/>
        <v>23.175643171295334</v>
      </c>
      <c r="AF250" s="108">
        <f t="shared" ca="1" si="30"/>
        <v>61.801715123454223</v>
      </c>
      <c r="AG250" s="108">
        <f t="shared" ca="1" si="4"/>
        <v>61.801715123454223</v>
      </c>
      <c r="AH250" s="61" t="str" cm="1">
        <f t="array" aca="1" ref="AH250" ca="1">IF((AD250) &lt; (INDEX(ResponseSLA[#All],(MATCH((G250),ResponseSLA[Priority],0))+1,3)),"YES","No")</f>
        <v>YES</v>
      </c>
      <c r="AI250" s="61" t="str">
        <f ca="1">_xlfn.IFNA(IF(AE250 &lt; (INDEX(SLATable[Minimum SLA],MATCH(G250,SLATable[Priority],0))),"YES","NO"),"")</f>
        <v>NO</v>
      </c>
      <c r="AJ250" s="61" t="str">
        <f ca="1">_xlfn.IFNA(IF(AE250 &lt; (INDEX(SLATable[Maximum SLA],MATCH(G250,SLATable[Priority],0))),"YES","NO"),"")</f>
        <v>NO</v>
      </c>
    </row>
    <row r="251" spans="1:36" s="60" customFormat="1" ht="15" hidden="1" customHeight="1">
      <c r="A251" s="60">
        <v>250</v>
      </c>
      <c r="B251" s="60" t="s">
        <v>26</v>
      </c>
      <c r="C251" s="60" t="s">
        <v>27</v>
      </c>
      <c r="D251" s="60" t="s">
        <v>208</v>
      </c>
      <c r="E251" s="60" t="s">
        <v>3112</v>
      </c>
      <c r="F251" s="60" t="s">
        <v>322</v>
      </c>
      <c r="G251" s="105" t="s">
        <v>208</v>
      </c>
      <c r="H251" s="212" t="s">
        <v>3113</v>
      </c>
      <c r="I251" s="105" t="s">
        <v>275</v>
      </c>
      <c r="J251" s="60" t="s">
        <v>2720</v>
      </c>
      <c r="K251" s="106">
        <v>46174.266643518517</v>
      </c>
      <c r="L251" s="106">
        <v>46174.266643518517</v>
      </c>
      <c r="M251" s="106">
        <v>46174.45590277778</v>
      </c>
      <c r="N251" s="106">
        <v>46174.458692129629</v>
      </c>
      <c r="O251" s="106"/>
      <c r="P251" s="106"/>
      <c r="U251" s="60" t="s">
        <v>371</v>
      </c>
      <c r="Z251" s="107">
        <f t="shared" ca="1" si="25"/>
        <v>0.12535879629528307</v>
      </c>
      <c r="AA251" s="108">
        <f t="shared" ca="1" si="26"/>
        <v>0.33429012345408821</v>
      </c>
      <c r="AB251" s="107">
        <f t="shared" ca="1" si="27"/>
        <v>0.12535879629528307</v>
      </c>
      <c r="AC251" s="108">
        <f t="shared" ca="1" si="28"/>
        <v>0.33429012345408821</v>
      </c>
      <c r="AD251" s="107">
        <f t="shared" ca="1" si="24"/>
        <v>0.12256944444622303</v>
      </c>
      <c r="AE251" s="107">
        <f t="shared" ca="1" si="29"/>
        <v>0.12535879629528307</v>
      </c>
      <c r="AF251" s="108">
        <f t="shared" ca="1" si="30"/>
        <v>0.33429012345408821</v>
      </c>
      <c r="AG251" s="108">
        <f t="shared" ca="1" si="4"/>
        <v>0.33429012345408821</v>
      </c>
      <c r="AH251" s="61" t="str" cm="1">
        <f t="array" aca="1" ref="AH251" ca="1">IF((AD251) &lt; (INDEX(ResponseSLA[#All],(MATCH((G251),ResponseSLA[Priority],0))+1,3)),"YES","No")</f>
        <v>YES</v>
      </c>
      <c r="AI251" s="61" t="str">
        <f ca="1">_xlfn.IFNA(IF(AE251 &lt; (INDEX(SLATable[Minimum SLA],MATCH(G251,SLATable[Priority],0))),"YES","NO"),"")</f>
        <v>YES</v>
      </c>
      <c r="AJ251" s="61" t="str">
        <f ca="1">_xlfn.IFNA(IF(AE251 &lt; (INDEX(SLATable[Maximum SLA],MATCH(G251,SLATable[Priority],0))),"YES","NO"),"")</f>
        <v>YES</v>
      </c>
    </row>
    <row r="252" spans="1:36" s="60" customFormat="1" ht="15" hidden="1" customHeight="1">
      <c r="A252" s="60">
        <v>251</v>
      </c>
      <c r="B252" s="60" t="s">
        <v>26</v>
      </c>
      <c r="C252" s="60" t="s">
        <v>27</v>
      </c>
      <c r="D252" s="60" t="s">
        <v>208</v>
      </c>
      <c r="E252" s="60" t="s">
        <v>3114</v>
      </c>
      <c r="F252" s="60" t="s">
        <v>322</v>
      </c>
      <c r="G252" s="105" t="s">
        <v>208</v>
      </c>
      <c r="H252" s="212" t="s">
        <v>3115</v>
      </c>
      <c r="I252" s="105" t="s">
        <v>275</v>
      </c>
      <c r="J252" s="60" t="s">
        <v>2717</v>
      </c>
      <c r="K252" s="106">
        <v>46174.264398148145</v>
      </c>
      <c r="L252" s="106">
        <v>46174.264398148145</v>
      </c>
      <c r="M252" s="106">
        <v>46174.455543981479</v>
      </c>
      <c r="N252" s="106">
        <v>46174.479548611111</v>
      </c>
      <c r="O252" s="106"/>
      <c r="P252" s="106"/>
      <c r="U252" s="60" t="s">
        <v>371</v>
      </c>
      <c r="Z252" s="107">
        <f t="shared" ca="1" si="25"/>
        <v>0.14621527777732507</v>
      </c>
      <c r="AA252" s="108">
        <f t="shared" ca="1" si="26"/>
        <v>0.38990740740620017</v>
      </c>
      <c r="AB252" s="107">
        <f t="shared" ca="1" si="27"/>
        <v>0.14621527777732507</v>
      </c>
      <c r="AC252" s="108">
        <f t="shared" ca="1" si="28"/>
        <v>0.38990740740620017</v>
      </c>
      <c r="AD252" s="107">
        <f t="shared" ca="1" si="24"/>
        <v>0.12221064814608934</v>
      </c>
      <c r="AE252" s="107">
        <f t="shared" ca="1" si="29"/>
        <v>0.14621527777732507</v>
      </c>
      <c r="AF252" s="108">
        <f t="shared" ca="1" si="30"/>
        <v>0.38990740740620017</v>
      </c>
      <c r="AG252" s="108">
        <f t="shared" ca="1" si="4"/>
        <v>0.38990740740620017</v>
      </c>
      <c r="AH252" s="61" t="str" cm="1">
        <f t="array" aca="1" ref="AH252" ca="1">IF((AD252) &lt; (INDEX(ResponseSLA[#All],(MATCH((G252),ResponseSLA[Priority],0))+1,3)),"YES","No")</f>
        <v>YES</v>
      </c>
      <c r="AI252" s="61" t="str">
        <f ca="1">_xlfn.IFNA(IF(AE252 &lt; (INDEX(SLATable[Minimum SLA],MATCH(G252,SLATable[Priority],0))),"YES","NO"),"")</f>
        <v>YES</v>
      </c>
      <c r="AJ252" s="61" t="str">
        <f ca="1">_xlfn.IFNA(IF(AE252 &lt; (INDEX(SLATable[Maximum SLA],MATCH(G252,SLATable[Priority],0))),"YES","NO"),"")</f>
        <v>YES</v>
      </c>
    </row>
    <row r="253" spans="1:36" s="60" customFormat="1" ht="15" hidden="1" customHeight="1">
      <c r="A253" s="60">
        <v>252</v>
      </c>
      <c r="B253" s="60" t="s">
        <v>26</v>
      </c>
      <c r="C253" s="60" t="s">
        <v>27</v>
      </c>
      <c r="D253" s="60" t="s">
        <v>207</v>
      </c>
      <c r="E253" s="60" t="s">
        <v>3116</v>
      </c>
      <c r="F253" s="60" t="s">
        <v>318</v>
      </c>
      <c r="G253" s="105">
        <v>3</v>
      </c>
      <c r="H253" s="212" t="s">
        <v>2724</v>
      </c>
      <c r="I253" s="105" t="s">
        <v>271</v>
      </c>
      <c r="J253" s="60" t="s">
        <v>2772</v>
      </c>
      <c r="K253" s="106">
        <v>46175.043530092589</v>
      </c>
      <c r="L253" s="106">
        <v>46175.043622685182</v>
      </c>
      <c r="M253" s="106">
        <v>46175.284513888888</v>
      </c>
      <c r="N253" s="106">
        <v>46176.44798611111</v>
      </c>
      <c r="O253" s="106"/>
      <c r="P253" s="106"/>
      <c r="Q253" s="60" t="s">
        <v>2726</v>
      </c>
      <c r="R253" s="60" t="s">
        <v>272</v>
      </c>
      <c r="S253" s="60" t="s">
        <v>187</v>
      </c>
      <c r="T253" s="60" t="s">
        <v>2773</v>
      </c>
      <c r="Z253" s="107">
        <f t="shared" ca="1" si="25"/>
        <v>0.48965277777703403</v>
      </c>
      <c r="AA253" s="108">
        <f t="shared" ca="1" si="26"/>
        <v>1.3057407407387573</v>
      </c>
      <c r="AB253" s="107">
        <f t="shared" ca="1" si="27"/>
        <v>0.48965277777703403</v>
      </c>
      <c r="AC253" s="108">
        <f t="shared" ca="1" si="28"/>
        <v>1.3057407407387573</v>
      </c>
      <c r="AD253" s="107">
        <f t="shared" ca="1" si="24"/>
        <v>0</v>
      </c>
      <c r="AE253" s="107">
        <f t="shared" ca="1" si="29"/>
        <v>0.48965277777703403</v>
      </c>
      <c r="AF253" s="108">
        <f t="shared" ca="1" si="30"/>
        <v>1.3057407407387573</v>
      </c>
      <c r="AG253" s="108">
        <f t="shared" ca="1" si="4"/>
        <v>1.3057407407387573</v>
      </c>
      <c r="AH253" s="61" t="str" cm="1">
        <f t="array" aca="1" ref="AH253" ca="1">IF((AD253) &lt; (INDEX(ResponseSLA[#All],(MATCH((G253),ResponseSLA[Priority],0))+1,3)),"YES","No")</f>
        <v>YES</v>
      </c>
      <c r="AI253" s="61" t="str">
        <f ca="1">_xlfn.IFNA(IF(AE253 &lt; (INDEX(SLATable[Minimum SLA],MATCH(G253,SLATable[Priority],0))),"YES","NO"),"")</f>
        <v>NO</v>
      </c>
      <c r="AJ253" s="61" t="str">
        <f ca="1">_xlfn.IFNA(IF(AE253 &lt; (INDEX(SLATable[Maximum SLA],MATCH(G253,SLATable[Priority],0))),"YES","NO"),"")</f>
        <v>YES</v>
      </c>
    </row>
    <row r="254" spans="1:36" s="60" customFormat="1" ht="15" hidden="1" customHeight="1">
      <c r="A254" s="60">
        <v>253</v>
      </c>
      <c r="B254" s="60" t="s">
        <v>26</v>
      </c>
      <c r="C254" s="60" t="s">
        <v>27</v>
      </c>
      <c r="D254" s="60" t="s">
        <v>207</v>
      </c>
      <c r="E254" s="60" t="s">
        <v>3117</v>
      </c>
      <c r="F254" s="60" t="s">
        <v>318</v>
      </c>
      <c r="G254" s="105">
        <v>3</v>
      </c>
      <c r="H254" s="212" t="s">
        <v>2724</v>
      </c>
      <c r="I254" s="105" t="s">
        <v>271</v>
      </c>
      <c r="J254" s="60" t="s">
        <v>2725</v>
      </c>
      <c r="K254" s="106">
        <v>46175.402708333335</v>
      </c>
      <c r="L254" s="106">
        <v>46175.402951388889</v>
      </c>
      <c r="M254" s="106">
        <v>46175.492245370369</v>
      </c>
      <c r="N254" s="106">
        <v>46176.417916666665</v>
      </c>
      <c r="O254" s="106"/>
      <c r="P254" s="106"/>
      <c r="Q254" s="60" t="s">
        <v>2726</v>
      </c>
      <c r="R254" s="60" t="s">
        <v>272</v>
      </c>
      <c r="S254" s="60" t="s">
        <v>187</v>
      </c>
      <c r="T254" s="60" t="s">
        <v>2773</v>
      </c>
      <c r="Z254" s="107">
        <f t="shared" ca="1" si="25"/>
        <v>0.39020833333051996</v>
      </c>
      <c r="AA254" s="108">
        <f t="shared" ca="1" si="26"/>
        <v>1.0405555555480532</v>
      </c>
      <c r="AB254" s="107">
        <f t="shared" ca="1" si="27"/>
        <v>0.38996527777635492</v>
      </c>
      <c r="AC254" s="108">
        <f t="shared" ca="1" si="28"/>
        <v>1.0399074074036132</v>
      </c>
      <c r="AD254" s="107">
        <f t="shared" ca="1" si="24"/>
        <v>8.929398148029577E-2</v>
      </c>
      <c r="AE254" s="107">
        <f t="shared" ca="1" si="29"/>
        <v>0.38996527777635492</v>
      </c>
      <c r="AF254" s="108">
        <f t="shared" ca="1" si="30"/>
        <v>1.0399074074036132</v>
      </c>
      <c r="AG254" s="108">
        <f t="shared" ca="1" si="4"/>
        <v>1.0399074074036132</v>
      </c>
      <c r="AH254" s="61" t="str" cm="1">
        <f t="array" aca="1" ref="AH254" ca="1">IF((AD254) &lt; (INDEX(ResponseSLA[#All],(MATCH((G254),ResponseSLA[Priority],0))+1,3)),"YES","No")</f>
        <v>No</v>
      </c>
      <c r="AI254" s="61" t="str">
        <f ca="1">_xlfn.IFNA(IF(AE254 &lt; (INDEX(SLATable[Minimum SLA],MATCH(G254,SLATable[Priority],0))),"YES","NO"),"")</f>
        <v>NO</v>
      </c>
      <c r="AJ254" s="61" t="str">
        <f ca="1">_xlfn.IFNA(IF(AE254 &lt; (INDEX(SLATable[Maximum SLA],MATCH(G254,SLATable[Priority],0))),"YES","NO"),"")</f>
        <v>YES</v>
      </c>
    </row>
    <row r="255" spans="1:36" s="60" customFormat="1" ht="15" hidden="1" customHeight="1">
      <c r="A255" s="60">
        <v>254</v>
      </c>
      <c r="B255" s="60" t="s">
        <v>26</v>
      </c>
      <c r="C255" s="60" t="s">
        <v>27</v>
      </c>
      <c r="D255" s="60" t="s">
        <v>207</v>
      </c>
      <c r="E255" s="60" t="s">
        <v>3118</v>
      </c>
      <c r="F255" s="60" t="s">
        <v>318</v>
      </c>
      <c r="G255" s="105">
        <v>3</v>
      </c>
      <c r="H255" s="212" t="s">
        <v>2775</v>
      </c>
      <c r="I255" s="105" t="s">
        <v>271</v>
      </c>
      <c r="J255" s="60" t="s">
        <v>2772</v>
      </c>
      <c r="K255" s="106">
        <v>46175.492928240739</v>
      </c>
      <c r="L255" s="106">
        <v>46175.493043981478</v>
      </c>
      <c r="M255" s="106">
        <v>46175.495625000003</v>
      </c>
      <c r="N255" s="106">
        <v>46176.449305555558</v>
      </c>
      <c r="O255" s="106"/>
      <c r="P255" s="106"/>
      <c r="Q255" s="60" t="s">
        <v>2776</v>
      </c>
      <c r="R255" s="60" t="s">
        <v>272</v>
      </c>
      <c r="S255" s="60" t="s">
        <v>187</v>
      </c>
      <c r="T255" s="60" t="s">
        <v>2773</v>
      </c>
      <c r="Z255" s="107">
        <f t="shared" ca="1" si="25"/>
        <v>0.33137731481838273</v>
      </c>
      <c r="AA255" s="108">
        <f t="shared" ca="1" si="26"/>
        <v>0.88367283951568731</v>
      </c>
      <c r="AB255" s="107">
        <f t="shared" ca="1" si="27"/>
        <v>0.33126157407969004</v>
      </c>
      <c r="AC255" s="108">
        <f t="shared" ca="1" si="28"/>
        <v>0.88336419754584006</v>
      </c>
      <c r="AD255" s="107">
        <f t="shared" ca="1" si="24"/>
        <v>2.5810185252339579E-3</v>
      </c>
      <c r="AE255" s="107">
        <f t="shared" ca="1" si="29"/>
        <v>0.33126157407969004</v>
      </c>
      <c r="AF255" s="108">
        <f t="shared" ca="1" si="30"/>
        <v>0.88336419754584006</v>
      </c>
      <c r="AG255" s="108">
        <f t="shared" ca="1" si="4"/>
        <v>0.88336419754584006</v>
      </c>
      <c r="AH255" s="61" t="str" cm="1">
        <f t="array" aca="1" ref="AH255" ca="1">IF((AD255) &lt; (INDEX(ResponseSLA[#All],(MATCH((G255),ResponseSLA[Priority],0))+1,3)),"YES","No")</f>
        <v>YES</v>
      </c>
      <c r="AI255" s="61" t="str">
        <f ca="1">_xlfn.IFNA(IF(AE255 &lt; (INDEX(SLATable[Minimum SLA],MATCH(G255,SLATable[Priority],0))),"YES","NO"),"")</f>
        <v>YES</v>
      </c>
      <c r="AJ255" s="61" t="str">
        <f ca="1">_xlfn.IFNA(IF(AE255 &lt; (INDEX(SLATable[Maximum SLA],MATCH(G255,SLATable[Priority],0))),"YES","NO"),"")</f>
        <v>YES</v>
      </c>
    </row>
    <row r="256" spans="1:36" s="60" customFormat="1" ht="15" hidden="1" customHeight="1">
      <c r="A256" s="60">
        <v>255</v>
      </c>
      <c r="B256" s="60" t="s">
        <v>26</v>
      </c>
      <c r="C256" s="60" t="s">
        <v>27</v>
      </c>
      <c r="D256" s="60" t="s">
        <v>207</v>
      </c>
      <c r="E256" s="60" t="s">
        <v>3119</v>
      </c>
      <c r="F256" s="60" t="s">
        <v>327</v>
      </c>
      <c r="G256" s="105">
        <v>3</v>
      </c>
      <c r="H256" s="212" t="s">
        <v>3120</v>
      </c>
      <c r="I256" s="105" t="s">
        <v>275</v>
      </c>
      <c r="J256" s="60" t="s">
        <v>2708</v>
      </c>
      <c r="K256" s="106">
        <v>46175.281770833331</v>
      </c>
      <c r="L256" s="106">
        <v>46175.281770833331</v>
      </c>
      <c r="M256" s="106">
        <v>46175.286840277775</v>
      </c>
      <c r="N256" s="106"/>
      <c r="O256" s="106"/>
      <c r="P256" s="106"/>
      <c r="Z256" s="107">
        <f t="shared" ca="1" si="25"/>
        <v>22.800643402779926</v>
      </c>
      <c r="AA256" s="108">
        <f t="shared" ca="1" si="26"/>
        <v>60.801715740746467</v>
      </c>
      <c r="AB256" s="107">
        <f t="shared" ca="1" si="27"/>
        <v>22.800643171295334</v>
      </c>
      <c r="AC256" s="108">
        <f t="shared" ca="1" si="28"/>
        <v>60.801715123454223</v>
      </c>
      <c r="AD256" s="107">
        <f t="shared" ca="1" si="24"/>
        <v>0</v>
      </c>
      <c r="AE256" s="107">
        <f t="shared" ca="1" si="29"/>
        <v>22.800643171295334</v>
      </c>
      <c r="AF256" s="108">
        <f t="shared" ca="1" si="30"/>
        <v>60.801715123454223</v>
      </c>
      <c r="AG256" s="108">
        <f t="shared" ref="AG256:AG318" ca="1" si="31">AF256</f>
        <v>60.801715123454223</v>
      </c>
      <c r="AH256" s="61" t="str" cm="1">
        <f t="array" aca="1" ref="AH256" ca="1">IF((AD256) &lt; (INDEX(ResponseSLA[#All],(MATCH((G256),ResponseSLA[Priority],0))+1,3)),"YES","No")</f>
        <v>YES</v>
      </c>
      <c r="AI256" s="61" t="str">
        <f ca="1">_xlfn.IFNA(IF(AE256 &lt; (INDEX(SLATable[Minimum SLA],MATCH(G256,SLATable[Priority],0))),"YES","NO"),"")</f>
        <v>NO</v>
      </c>
      <c r="AJ256" s="61" t="str">
        <f ca="1">_xlfn.IFNA(IF(AE256 &lt; (INDEX(SLATable[Maximum SLA],MATCH(G256,SLATable[Priority],0))),"YES","NO"),"")</f>
        <v>NO</v>
      </c>
    </row>
    <row r="257" spans="1:36" s="60" customFormat="1" ht="15" hidden="1" customHeight="1">
      <c r="A257" s="60">
        <v>256</v>
      </c>
      <c r="B257" s="60" t="s">
        <v>26</v>
      </c>
      <c r="C257" s="60" t="s">
        <v>54</v>
      </c>
      <c r="D257" s="60" t="s">
        <v>207</v>
      </c>
      <c r="E257" s="60" t="s">
        <v>3121</v>
      </c>
      <c r="F257" s="60" t="s">
        <v>325</v>
      </c>
      <c r="G257" s="105">
        <v>3</v>
      </c>
      <c r="H257" s="212" t="s">
        <v>3122</v>
      </c>
      <c r="I257" s="105" t="s">
        <v>271</v>
      </c>
      <c r="J257" s="60" t="s">
        <v>2855</v>
      </c>
      <c r="K257" s="106">
        <v>46160.483854166669</v>
      </c>
      <c r="L257" s="106">
        <v>46167.322453703702</v>
      </c>
      <c r="M257" s="106">
        <v>46167.335115740738</v>
      </c>
      <c r="N257" s="166">
        <v>46175.449224537035</v>
      </c>
      <c r="O257" s="106">
        <v>46167.44835648148</v>
      </c>
      <c r="P257" s="106"/>
      <c r="Q257" s="60" t="s">
        <v>3123</v>
      </c>
      <c r="R257" s="60" t="s">
        <v>276</v>
      </c>
      <c r="S257" s="60" t="s">
        <v>155</v>
      </c>
      <c r="T257" s="60" t="s">
        <v>268</v>
      </c>
      <c r="U257" s="60" t="s">
        <v>371</v>
      </c>
      <c r="Z257" s="107">
        <f t="shared" ca="1" si="25"/>
        <v>3.7153703703661449</v>
      </c>
      <c r="AA257" s="108">
        <f t="shared" ca="1" si="26"/>
        <v>9.9076543209763859</v>
      </c>
      <c r="AB257" s="107">
        <f t="shared" ca="1" si="27"/>
        <v>1.9908912037014186</v>
      </c>
      <c r="AC257" s="108">
        <f t="shared" ca="1" si="28"/>
        <v>5.309043209870449</v>
      </c>
      <c r="AD257" s="107">
        <f t="shared" ref="AD257:AD320" ca="1" si="32">MAX(0,
IF(
OR(G257=1,G257=2),
IF(M257&lt;&gt;"",M257-L257,NOW()-L257),
IF(
M257&lt;&gt;"",
IF(
INT(L257)=INT(M257),
IF(
NETWORKDAYS(L257,L257,UKBankHolidays)=0,
0,
MAX(
0,
MIN(MOD(M257,1),TIME(17,0,0))
-
MAX(MOD(L257,1),TIME(8,0,0))
)
),
MAX(
0,
IF(
NETWORKDAYS(L257,L257,UKBankHolidays)&gt;0,
TIME(17,0,0)-MAX(MOD(L257,1),TIME(8,0,0)),
0
)
)
+
MAX(
0,
NETWORKDAYS(INT(L257)+1,INT(M257)-1,UKBankHolidays)
*(TIME(17,0,0)-TIME(8,0,0))
)
+
MAX(
0,
IF(
NETWORKDAYS(M257,M257,UKBankHolidays)&gt;0,
MIN(MOD(M257,1),TIME(17,0,0))-TIME(8,0,0),
0
)
)
),
IF(M257&lt;&gt;"",M257-L257,NOW()-L257)
)
)
)</f>
        <v>0</v>
      </c>
      <c r="AE257" s="107">
        <f t="shared" ca="1" si="29"/>
        <v>1.9908912037014186</v>
      </c>
      <c r="AF257" s="108">
        <f t="shared" ca="1" si="30"/>
        <v>5.309043209870449</v>
      </c>
      <c r="AG257" s="108">
        <f t="shared" ca="1" si="31"/>
        <v>5.309043209870449</v>
      </c>
      <c r="AH257" s="61" t="str" cm="1">
        <f t="array" aca="1" ref="AH257" ca="1">IF((AD257) &lt; (INDEX(ResponseSLA[#All],(MATCH((G257),ResponseSLA[Priority],0))+1,3)),"YES","No")</f>
        <v>YES</v>
      </c>
      <c r="AI257" s="61" t="str">
        <f ca="1">_xlfn.IFNA(IF(AE257 &lt; (INDEX(SLATable[Minimum SLA],MATCH(G257,SLATable[Priority],0))),"YES","NO"),"")</f>
        <v>NO</v>
      </c>
      <c r="AJ257" s="61" t="str">
        <f ca="1">_xlfn.IFNA(IF(AE257 &lt; (INDEX(SLATable[Maximum SLA],MATCH(G257,SLATable[Priority],0))),"YES","NO"),"")</f>
        <v>NO</v>
      </c>
    </row>
    <row r="258" spans="1:36" s="60" customFormat="1" ht="15" hidden="1" customHeight="1">
      <c r="A258" s="60">
        <v>257</v>
      </c>
      <c r="B258" s="60" t="s">
        <v>26</v>
      </c>
      <c r="C258" s="60" t="s">
        <v>54</v>
      </c>
      <c r="D258" s="60" t="s">
        <v>208</v>
      </c>
      <c r="E258" s="60" t="s">
        <v>3124</v>
      </c>
      <c r="F258" s="60" t="s">
        <v>325</v>
      </c>
      <c r="G258" s="105" t="s">
        <v>208</v>
      </c>
      <c r="H258" s="212" t="s">
        <v>2859</v>
      </c>
      <c r="I258" s="105" t="s">
        <v>271</v>
      </c>
      <c r="J258" s="60" t="s">
        <v>2855</v>
      </c>
      <c r="K258" s="106">
        <v>46168.128252314818</v>
      </c>
      <c r="L258" s="106">
        <v>46168.299224537041</v>
      </c>
      <c r="M258" s="106">
        <v>46168.323506944442</v>
      </c>
      <c r="N258" s="106">
        <v>46168.378981481481</v>
      </c>
      <c r="O258" s="106"/>
      <c r="P258" s="106"/>
      <c r="S258" s="60" t="s">
        <v>155</v>
      </c>
      <c r="U258" s="60" t="s">
        <v>371</v>
      </c>
      <c r="Z258" s="107">
        <f t="shared" ref="Z258:Z320" ca="1" si="33">IF(NOT(OR(G258=1,G258=2)),MAX(0,_xlfn.IFS(AND(K258&lt;&gt;"",N258&lt;&gt;""),((MAX(NETWORKDAYS(K258,N258,UKBankHolidays)-1,0))*(TIME(17,0,0)-TIME(8,0,0))+IF(NETWORKDAYS(N258,N258,UKBankHolidays)&gt;0,MEDIAN(TIME(8,0,0),MOD(N258,1),TIME(17,0,0)),TIME(8,0,0))-IF(NETWORKDAYS(K258,K258,UKBankHolidays)&gt;0,MEDIAN(TIME(8,0,0),MOD(K258,1),TIME(17,0,0)),TIME(8,0,0)))-IF(AND(O258&lt;&gt;"",P258&lt;&gt;""),((MAX(NETWORKDAYS(O258,P258,UKBankHolidays)-1,0))*(TIME(17,0,0)-TIME(8,0,0))+IF(NETWORKDAYS(P258,P258,UKBankHolidays)&gt;0,MEDIAN(TIME(8,0,0),MOD(P258,1),TIME(17,0,0)),TIME(8,0,0))-IF(NETWORKDAYS(O258,O258,UKBankHolidays)&gt;0,MEDIAN(TIME(8,0,0),MOD(O258,1),TIME(17,0,0)),TIME(8,0,0))),0),AND(K258&lt;&gt;"",N258=""),((MAX(NETWORKDAYS(K258,NOW(),UKBankHolidays)-1,0))*(TIME(17,0,0)-TIME(8,0,0))+IF(NETWORKDAYS(NOW(),NOW(),UKBankHolidays)&gt;0,MEDIAN(TIME(8,0,0),MOD(NOW(),1),TIME(17,0,0)),TIME(8,0,0))-IF(NETWORKDAYS(K258,K258,UKBankHolidays)&gt;0,MEDIAN(TIME(8,0,0),MOD(K258,1),TIME(17,0,0)),TIME(8,0,0))))),IF(N258="",NOW()-K258,N258-K258))</f>
        <v>4.5648148147544532E-2</v>
      </c>
      <c r="AA258" s="108">
        <f t="shared" ref="AA258:AA320" ca="1" si="34">(Z258*24)/9</f>
        <v>0.12172839506011875</v>
      </c>
      <c r="AB258" s="107">
        <f t="shared" ref="AB258:AB320" ca="1" si="35">IF(NOT(OR(G258=1,G258=2)),MAX(0,_xlfn.IFS(AND(K258&lt;&gt;"",N258&lt;&gt;""),(((MAX(NETWORKDAYS(L258,N258,UKBankHolidays)-1,0))*(TIME(17,0,0)-TIME(8,0,0)))+IF(NETWORKDAYS(N258,N258,UKBankHolidays)&gt;0,MEDIAN(TIME(8,0,0),MOD(N258,1),TIME(17,0,0)),TIME(8,0,0))-IF(NETWORKDAYS(L258,L258,UKBankHolidays)&gt;0,MEDIAN(TIME(8,0,0),MOD(L258,1),TIME(17,0,0)),TIME(8,0,0)))-IF(AND(O258&lt;&gt;"",P258&lt;&gt;""),(((MAX(NETWORKDAYS(O258,P258,UKBankHolidays)-1,0))*(TIME(17,0,0)-TIME(8,0,0)))+IF(NETWORKDAYS(P258,P258,UKBankHolidays)&gt;0,MEDIAN(TIME(8,0,0),MOD(P258,1),TIME(17,0,0)),TIME(8,0,0))-IF(NETWORKDAYS(O258,O258,UKBankHolidays)&gt;0,MEDIAN(TIME(8,0,0),MOD(O258,1),TIME(17,0,0)),TIME(8,0,0))),0),AND(L258&lt;&gt;"",N258="",O258=""),(((MAX(NETWORKDAYS(L258,NOW(),UKBankHolidays)-1,0))*(TIME(17,0,0)-TIME(8,0,0)))+IF(NETWORKDAYS(NOW(),NOW(),UKBankHolidays)&gt;0,MEDIAN(TIME(8,0,0),MOD(NOW(),1),TIME(17,0,0)),TIME(8,0,0))-IF(NETWORKDAYS(L258,L258,UKBankHolidays)&gt;0,MEDIAN(TIME(8,0,0),MOD(L258,1),TIME(17,0,0)),TIME(8,0,0)))-IF(AND(O258&lt;&gt;"",P258&lt;&gt;""),(((MAX(NETWORKDAYS(O258,P258,UKBankHolidays)-1,0))*(TIME(17,0,0)-TIME(8,0,0)))+IF(NETWORKDAYS(P258,P258,UKBankHolidays)&gt;0,MEDIAN(TIME(8,0,0),MOD(P258,1),TIME(17,0,0)),TIME(8,0,0))-IF(NETWORKDAYS(O258,O258,UKBankHolidays)&gt;0,MEDIAN(TIME(8,0,0),MOD(O258,1),TIME(17,0,0)),TIME(8,0,0))),0),AND(L258&lt;&gt;"",N258="",P258="",O258&lt;&gt;""),(((MAX(NETWORKDAYS(L258,O258,UKBankHolidays)-1,0))*(TIME(17,0,0)-TIME(8,0,0)))+IF(NETWORKDAYS(O258,O258,UKBankHolidays)&gt;0,MEDIAN(TIME(8,0,0),MOD(O258,1),TIME(17,0,0)),TIME(8,0,0))-IF(NETWORKDAYS(L258,L258,UKBankHolidays)&gt;0,MEDIAN(TIME(8,0,0),MOD(L258,1),TIME(17,0,0)),TIME(8,0,0))),ISBLANK(K258),"0")),IF(ISBLANK(N258),NOW()-L258,N258-L258))</f>
        <v>4.5648148147544532E-2</v>
      </c>
      <c r="AC258" s="108">
        <f t="shared" ref="AC258:AC320" ca="1" si="36">(AB258*24)/9</f>
        <v>0.12172839506011875</v>
      </c>
      <c r="AD258" s="107">
        <f t="shared" ca="1" si="32"/>
        <v>0</v>
      </c>
      <c r="AE258" s="107">
        <f t="shared" ref="AE258:AE321" ca="1" si="37">SUMIFS(AB:AB,E:E,E258)</f>
        <v>4.5648148147544532E-2</v>
      </c>
      <c r="AF258" s="108">
        <f t="shared" ref="AF258:AF320" ca="1" si="38">(AE258*24)/9</f>
        <v>0.12172839506011875</v>
      </c>
      <c r="AG258" s="108">
        <f t="shared" ca="1" si="31"/>
        <v>0.12172839506011875</v>
      </c>
      <c r="AH258" s="61" t="str" cm="1">
        <f t="array" aca="1" ref="AH258" ca="1">IF((AD258) &lt; (INDEX(ResponseSLA[#All],(MATCH((G258),ResponseSLA[Priority],0))+1,3)),"YES","No")</f>
        <v>YES</v>
      </c>
      <c r="AI258" s="61" t="str">
        <f ca="1">_xlfn.IFNA(IF(AE258 &lt; (INDEX(SLATable[Minimum SLA],MATCH(G258,SLATable[Priority],0))),"YES","NO"),"")</f>
        <v>YES</v>
      </c>
      <c r="AJ258" s="61" t="str">
        <f ca="1">_xlfn.IFNA(IF(AE258 &lt; (INDEX(SLATable[Maximum SLA],MATCH(G258,SLATable[Priority],0))),"YES","NO"),"")</f>
        <v>YES</v>
      </c>
    </row>
    <row r="259" spans="1:36" s="60" customFormat="1" ht="15" hidden="1" customHeight="1">
      <c r="A259" s="60">
        <v>258</v>
      </c>
      <c r="B259" s="60" t="s">
        <v>26</v>
      </c>
      <c r="C259" s="60" t="s">
        <v>54</v>
      </c>
      <c r="D259" s="60" t="s">
        <v>207</v>
      </c>
      <c r="E259" s="60" t="s">
        <v>3125</v>
      </c>
      <c r="F259" s="60" t="s">
        <v>325</v>
      </c>
      <c r="G259" s="105">
        <v>3</v>
      </c>
      <c r="H259" s="212" t="s">
        <v>3126</v>
      </c>
      <c r="I259" s="105" t="s">
        <v>275</v>
      </c>
      <c r="J259" s="60" t="s">
        <v>2855</v>
      </c>
      <c r="K259" s="106">
        <v>46164.636377314811</v>
      </c>
      <c r="L259" s="106">
        <v>46168.487002314818</v>
      </c>
      <c r="M259" s="106">
        <v>46168.561412037037</v>
      </c>
      <c r="N259" s="106">
        <v>46175.340578703705</v>
      </c>
      <c r="O259" s="106"/>
      <c r="P259" s="106"/>
      <c r="Q259" s="60" t="s">
        <v>2816</v>
      </c>
      <c r="R259" s="60" t="s">
        <v>267</v>
      </c>
      <c r="S259" s="60" t="s">
        <v>155</v>
      </c>
      <c r="T259" s="60" t="s">
        <v>268</v>
      </c>
      <c r="U259" s="60" t="s">
        <v>371</v>
      </c>
      <c r="Z259" s="107">
        <f t="shared" ca="1" si="33"/>
        <v>1.9542013888931256</v>
      </c>
      <c r="AA259" s="108">
        <f t="shared" ca="1" si="34"/>
        <v>5.2112037037150021</v>
      </c>
      <c r="AB259" s="107">
        <f t="shared" ca="1" si="35"/>
        <v>1.7285763888867223</v>
      </c>
      <c r="AC259" s="108">
        <f t="shared" ca="1" si="36"/>
        <v>4.6095370370312594</v>
      </c>
      <c r="AD259" s="107">
        <f t="shared" ca="1" si="32"/>
        <v>7.440972221957054E-2</v>
      </c>
      <c r="AE259" s="107">
        <f t="shared" ca="1" si="37"/>
        <v>1.7285763888867223</v>
      </c>
      <c r="AF259" s="108">
        <f t="shared" ca="1" si="38"/>
        <v>4.6095370370312594</v>
      </c>
      <c r="AG259" s="108">
        <f t="shared" ca="1" si="31"/>
        <v>4.6095370370312594</v>
      </c>
      <c r="AH259" s="61" t="str" cm="1">
        <f t="array" aca="1" ref="AH259" ca="1">IF((AD259) &lt; (INDEX(ResponseSLA[#All],(MATCH((G259),ResponseSLA[Priority],0))+1,3)),"YES","No")</f>
        <v>YES</v>
      </c>
      <c r="AI259" s="61" t="str">
        <f ca="1">_xlfn.IFNA(IF(AE259 &lt; (INDEX(SLATable[Minimum SLA],MATCH(G259,SLATable[Priority],0))),"YES","NO"),"")</f>
        <v>NO</v>
      </c>
      <c r="AJ259" s="61" t="str">
        <f ca="1">_xlfn.IFNA(IF(AE259 &lt; (INDEX(SLATable[Maximum SLA],MATCH(G259,SLATable[Priority],0))),"YES","NO"),"")</f>
        <v>YES</v>
      </c>
    </row>
    <row r="260" spans="1:36" s="60" customFormat="1" ht="15" hidden="1" customHeight="1">
      <c r="A260" s="60">
        <v>259</v>
      </c>
      <c r="B260" s="60" t="s">
        <v>26</v>
      </c>
      <c r="C260" s="60" t="s">
        <v>54</v>
      </c>
      <c r="D260" s="60" t="s">
        <v>207</v>
      </c>
      <c r="E260" s="60" t="s">
        <v>3127</v>
      </c>
      <c r="F260" s="60" t="s">
        <v>325</v>
      </c>
      <c r="G260" s="105">
        <v>3</v>
      </c>
      <c r="H260" s="212" t="s">
        <v>3126</v>
      </c>
      <c r="I260" s="105" t="s">
        <v>275</v>
      </c>
      <c r="J260" s="60" t="s">
        <v>2855</v>
      </c>
      <c r="K260" s="106">
        <v>46160.396793981483</v>
      </c>
      <c r="L260" s="106">
        <v>46168.481249999997</v>
      </c>
      <c r="M260" s="106">
        <v>46168.562060185184</v>
      </c>
      <c r="N260" s="106"/>
      <c r="O260" s="106"/>
      <c r="P260" s="106"/>
      <c r="Q260" s="60" t="s">
        <v>2816</v>
      </c>
      <c r="R260" s="60" t="s">
        <v>267</v>
      </c>
      <c r="S260" s="60" t="s">
        <v>155</v>
      </c>
      <c r="T260" s="60" t="s">
        <v>335</v>
      </c>
      <c r="U260" s="60" t="s">
        <v>371</v>
      </c>
      <c r="Z260" s="107">
        <f t="shared" ca="1" si="33"/>
        <v>26.487182754630343</v>
      </c>
      <c r="AA260" s="108">
        <f t="shared" ca="1" si="34"/>
        <v>70.632487345680914</v>
      </c>
      <c r="AB260" s="107">
        <f t="shared" ca="1" si="35"/>
        <v>24.527726736116168</v>
      </c>
      <c r="AC260" s="108">
        <f t="shared" ca="1" si="36"/>
        <v>65.407271296309787</v>
      </c>
      <c r="AD260" s="107">
        <f t="shared" ca="1" si="32"/>
        <v>8.0810185187146999E-2</v>
      </c>
      <c r="AE260" s="107">
        <f t="shared" ca="1" si="37"/>
        <v>24.527726736116168</v>
      </c>
      <c r="AF260" s="108">
        <f t="shared" ca="1" si="38"/>
        <v>65.407271296309787</v>
      </c>
      <c r="AG260" s="108">
        <f t="shared" ca="1" si="31"/>
        <v>65.407271296309787</v>
      </c>
      <c r="AH260" s="61" t="str" cm="1">
        <f t="array" aca="1" ref="AH260" ca="1">IF((AD260) &lt; (INDEX(ResponseSLA[#All],(MATCH((G260),ResponseSLA[Priority],0))+1,3)),"YES","No")</f>
        <v>YES</v>
      </c>
      <c r="AI260" s="61" t="str">
        <f ca="1">_xlfn.IFNA(IF(AE260 &lt; (INDEX(SLATable[Minimum SLA],MATCH(G260,SLATable[Priority],0))),"YES","NO"),"")</f>
        <v>NO</v>
      </c>
      <c r="AJ260" s="61" t="str">
        <f ca="1">_xlfn.IFNA(IF(AE260 &lt; (INDEX(SLATable[Maximum SLA],MATCH(G260,SLATable[Priority],0))),"YES","NO"),"")</f>
        <v>NO</v>
      </c>
    </row>
    <row r="261" spans="1:36" s="60" customFormat="1" ht="15" customHeight="1">
      <c r="A261" s="60">
        <v>260</v>
      </c>
      <c r="B261" s="60" t="s">
        <v>26</v>
      </c>
      <c r="C261" s="60" t="s">
        <v>54</v>
      </c>
      <c r="D261" s="60" t="s">
        <v>207</v>
      </c>
      <c r="E261" s="60" t="s">
        <v>3128</v>
      </c>
      <c r="F261" s="60" t="s">
        <v>53</v>
      </c>
      <c r="G261" s="105">
        <v>3</v>
      </c>
      <c r="H261" s="212" t="s">
        <v>3129</v>
      </c>
      <c r="I261" s="105" t="s">
        <v>275</v>
      </c>
      <c r="J261" s="291" t="s">
        <v>2697</v>
      </c>
      <c r="K261" s="106">
        <v>46175.285509259258</v>
      </c>
      <c r="L261" s="106">
        <v>46175.285509259258</v>
      </c>
      <c r="M261" s="106">
        <v>46175.308946759258</v>
      </c>
      <c r="N261" s="106">
        <v>46175.32435185185</v>
      </c>
      <c r="O261" s="106"/>
      <c r="P261" s="106"/>
      <c r="Q261" s="60" t="s">
        <v>2816</v>
      </c>
      <c r="Z261" s="107">
        <f t="shared" ca="1" si="33"/>
        <v>0</v>
      </c>
      <c r="AA261" s="108">
        <f t="shared" ca="1" si="34"/>
        <v>0</v>
      </c>
      <c r="AB261" s="107">
        <f t="shared" ca="1" si="35"/>
        <v>0</v>
      </c>
      <c r="AC261" s="108">
        <f t="shared" ca="1" si="36"/>
        <v>0</v>
      </c>
      <c r="AD261" s="107">
        <f t="shared" ca="1" si="32"/>
        <v>0</v>
      </c>
      <c r="AE261" s="107">
        <f t="shared" ca="1" si="37"/>
        <v>0</v>
      </c>
      <c r="AF261" s="108">
        <f t="shared" ca="1" si="38"/>
        <v>0</v>
      </c>
      <c r="AG261" s="108">
        <f t="shared" ca="1" si="31"/>
        <v>0</v>
      </c>
      <c r="AH261" s="61" t="str" cm="1">
        <f t="array" aca="1" ref="AH261" ca="1">IF((AD261) &lt; (INDEX(ResponseSLA[#All],(MATCH((G261),ResponseSLA[Priority],0))+1,3)),"YES","No")</f>
        <v>YES</v>
      </c>
      <c r="AI261" s="61" t="str">
        <f ca="1">_xlfn.IFNA(IF(AE261 &lt; (INDEX(SLATable[Minimum SLA],MATCH(G261,SLATable[Priority],0))),"YES","NO"),"")</f>
        <v>YES</v>
      </c>
      <c r="AJ261" s="61" t="str">
        <f ca="1">_xlfn.IFNA(IF(AE261 &lt; (INDEX(SLATable[Maximum SLA],MATCH(G261,SLATable[Priority],0))),"YES","NO"),"")</f>
        <v>YES</v>
      </c>
    </row>
    <row r="262" spans="1:36" s="60" customFormat="1" ht="15" hidden="1" customHeight="1">
      <c r="A262" s="60">
        <v>261</v>
      </c>
      <c r="B262" s="60" t="s">
        <v>26</v>
      </c>
      <c r="C262" s="60" t="s">
        <v>54</v>
      </c>
      <c r="D262" s="60" t="s">
        <v>208</v>
      </c>
      <c r="E262" s="60" t="s">
        <v>2868</v>
      </c>
      <c r="F262" s="60" t="s">
        <v>325</v>
      </c>
      <c r="G262" s="105" t="s">
        <v>208</v>
      </c>
      <c r="H262" s="212" t="s">
        <v>2869</v>
      </c>
      <c r="I262" s="105" t="s">
        <v>271</v>
      </c>
      <c r="J262" s="60" t="s">
        <v>2855</v>
      </c>
      <c r="K262" s="106">
        <v>46136.469930555555</v>
      </c>
      <c r="L262" s="106">
        <v>46170.459513888891</v>
      </c>
      <c r="M262" s="106">
        <v>46170.485358796293</v>
      </c>
      <c r="N262" s="106">
        <v>46188.590428240743</v>
      </c>
      <c r="O262" s="106"/>
      <c r="P262" s="106"/>
      <c r="Q262" s="60" t="s">
        <v>2816</v>
      </c>
      <c r="U262" s="60" t="s">
        <v>371</v>
      </c>
      <c r="Z262" s="107">
        <f t="shared" ca="1" si="33"/>
        <v>12.495497685187731</v>
      </c>
      <c r="AA262" s="108">
        <f t="shared" ca="1" si="34"/>
        <v>33.321327160500616</v>
      </c>
      <c r="AB262" s="107">
        <f t="shared" ca="1" si="35"/>
        <v>4.6309143518519713</v>
      </c>
      <c r="AC262" s="108">
        <f t="shared" ca="1" si="36"/>
        <v>12.349104938271925</v>
      </c>
      <c r="AD262" s="107">
        <f t="shared" ca="1" si="32"/>
        <v>2.5844907402643003E-2</v>
      </c>
      <c r="AE262" s="107">
        <f t="shared" ca="1" si="37"/>
        <v>9.3566435185202881</v>
      </c>
      <c r="AF262" s="108">
        <f t="shared" ca="1" si="38"/>
        <v>24.951049382720768</v>
      </c>
      <c r="AG262" s="108">
        <f t="shared" ca="1" si="31"/>
        <v>24.951049382720768</v>
      </c>
      <c r="AH262" s="61" t="str" cm="1">
        <f t="array" aca="1" ref="AH262" ca="1">IF((AD262) &lt; (INDEX(ResponseSLA[#All],(MATCH((G262),ResponseSLA[Priority],0))+1,3)),"YES","No")</f>
        <v>YES</v>
      </c>
      <c r="AI262" s="61" t="str">
        <f ca="1">_xlfn.IFNA(IF(AE262 &lt; (INDEX(SLATable[Minimum SLA],MATCH(G262,SLATable[Priority],0))),"YES","NO"),"")</f>
        <v>NO</v>
      </c>
      <c r="AJ262" s="61" t="str">
        <f ca="1">_xlfn.IFNA(IF(AE262 &lt; (INDEX(SLATable[Maximum SLA],MATCH(G262,SLATable[Priority],0))),"YES","NO"),"")</f>
        <v>NO</v>
      </c>
    </row>
    <row r="263" spans="1:36" s="60" customFormat="1" ht="15" hidden="1" customHeight="1">
      <c r="A263" s="60">
        <v>262</v>
      </c>
      <c r="B263" s="60" t="s">
        <v>26</v>
      </c>
      <c r="C263" s="60" t="s">
        <v>54</v>
      </c>
      <c r="D263" s="60" t="s">
        <v>208</v>
      </c>
      <c r="E263" s="60" t="s">
        <v>2825</v>
      </c>
      <c r="F263" s="60" t="s">
        <v>325</v>
      </c>
      <c r="G263" s="105" t="s">
        <v>208</v>
      </c>
      <c r="H263" s="212" t="s">
        <v>2826</v>
      </c>
      <c r="I263" s="105" t="s">
        <v>275</v>
      </c>
      <c r="J263" s="60" t="s">
        <v>2872</v>
      </c>
      <c r="K263" s="106">
        <v>46169.582569444443</v>
      </c>
      <c r="L263" s="106">
        <v>46170.511331018519</v>
      </c>
      <c r="M263" s="106">
        <v>46171.222245370373</v>
      </c>
      <c r="N263" s="106">
        <v>46171.306481481479</v>
      </c>
      <c r="O263" s="106"/>
      <c r="P263" s="106"/>
      <c r="Z263" s="107">
        <f t="shared" ca="1" si="33"/>
        <v>0.5007638888904089</v>
      </c>
      <c r="AA263" s="108">
        <f t="shared" ca="1" si="34"/>
        <v>1.3353703703744237</v>
      </c>
      <c r="AB263" s="107">
        <f t="shared" ca="1" si="35"/>
        <v>0.19700231481450226</v>
      </c>
      <c r="AC263" s="108">
        <f t="shared" ca="1" si="36"/>
        <v>0.52533950617200598</v>
      </c>
      <c r="AD263" s="107">
        <f t="shared" ca="1" si="32"/>
        <v>0.19700231481450226</v>
      </c>
      <c r="AE263" s="107">
        <f t="shared" ca="1" si="37"/>
        <v>31.222819097221269</v>
      </c>
      <c r="AF263" s="108">
        <f t="shared" ca="1" si="38"/>
        <v>83.260850925923378</v>
      </c>
      <c r="AG263" s="108">
        <f t="shared" ca="1" si="31"/>
        <v>83.260850925923378</v>
      </c>
      <c r="AH263" s="61" t="str" cm="1">
        <f t="array" aca="1" ref="AH263" ca="1">IF((AD263) &lt; (INDEX(ResponseSLA[#All],(MATCH((G263),ResponseSLA[Priority],0))+1,3)),"YES","No")</f>
        <v>YES</v>
      </c>
      <c r="AI263" s="61" t="str">
        <f ca="1">_xlfn.IFNA(IF(AE263 &lt; (INDEX(SLATable[Minimum SLA],MATCH(G263,SLATable[Priority],0))),"YES","NO"),"")</f>
        <v>NO</v>
      </c>
      <c r="AJ263" s="61" t="str">
        <f ca="1">_xlfn.IFNA(IF(AE263 &lt; (INDEX(SLATable[Maximum SLA],MATCH(G263,SLATable[Priority],0))),"YES","NO"),"")</f>
        <v>NO</v>
      </c>
    </row>
    <row r="264" spans="1:36" s="60" customFormat="1" ht="15" customHeight="1">
      <c r="A264" s="60">
        <v>263</v>
      </c>
      <c r="B264" s="60" t="s">
        <v>26</v>
      </c>
      <c r="C264" s="60" t="s">
        <v>54</v>
      </c>
      <c r="D264" s="60" t="s">
        <v>207</v>
      </c>
      <c r="E264" s="60" t="s">
        <v>3130</v>
      </c>
      <c r="F264" s="60" t="s">
        <v>53</v>
      </c>
      <c r="G264" s="105">
        <v>3</v>
      </c>
      <c r="H264" s="212" t="s">
        <v>3131</v>
      </c>
      <c r="I264" s="105" t="s">
        <v>271</v>
      </c>
      <c r="J264" s="291" t="s">
        <v>3132</v>
      </c>
      <c r="K264" s="106">
        <v>46174.762106481481</v>
      </c>
      <c r="L264" s="106">
        <v>46174.574618055558</v>
      </c>
      <c r="M264" s="106">
        <v>46174.779328703706</v>
      </c>
      <c r="N264" s="106">
        <v>46175.669409722221</v>
      </c>
      <c r="O264" s="106"/>
      <c r="P264" s="106"/>
      <c r="Q264" s="60" t="s">
        <v>2816</v>
      </c>
      <c r="Z264" s="107">
        <f t="shared" ca="1" si="33"/>
        <v>0.33607638888740132</v>
      </c>
      <c r="AA264" s="108">
        <f t="shared" ca="1" si="34"/>
        <v>0.89620370369973701</v>
      </c>
      <c r="AB264" s="107">
        <f t="shared" ca="1" si="35"/>
        <v>0.46979166666278616</v>
      </c>
      <c r="AC264" s="108">
        <f t="shared" ca="1" si="36"/>
        <v>1.2527777777674298</v>
      </c>
      <c r="AD264" s="107">
        <f t="shared" ca="1" si="32"/>
        <v>0.13371527777538483</v>
      </c>
      <c r="AE264" s="107">
        <f t="shared" ca="1" si="37"/>
        <v>0.46979166666278616</v>
      </c>
      <c r="AF264" s="108">
        <f t="shared" ca="1" si="38"/>
        <v>1.2527777777674298</v>
      </c>
      <c r="AG264" s="108">
        <f t="shared" ca="1" si="31"/>
        <v>1.2527777777674298</v>
      </c>
      <c r="AH264" s="61" t="str" cm="1">
        <f t="array" aca="1" ref="AH264" ca="1">IF((AD264) &lt; (INDEX(ResponseSLA[#All],(MATCH((G264),ResponseSLA[Priority],0))+1,3)),"YES","No")</f>
        <v>No</v>
      </c>
      <c r="AI264" s="61" t="str">
        <f ca="1">_xlfn.IFNA(IF(AE264 &lt; (INDEX(SLATable[Minimum SLA],MATCH(G264,SLATable[Priority],0))),"YES","NO"),"")</f>
        <v>NO</v>
      </c>
      <c r="AJ264" s="61" t="str">
        <f ca="1">_xlfn.IFNA(IF(AE264 &lt; (INDEX(SLATable[Maximum SLA],MATCH(G264,SLATable[Priority],0))),"YES","NO"),"")</f>
        <v>YES</v>
      </c>
    </row>
    <row r="265" spans="1:36" s="60" customFormat="1" ht="15" customHeight="1">
      <c r="A265" s="60">
        <v>264</v>
      </c>
      <c r="B265" s="60" t="s">
        <v>26</v>
      </c>
      <c r="C265" s="60" t="s">
        <v>54</v>
      </c>
      <c r="D265" s="60" t="s">
        <v>207</v>
      </c>
      <c r="E265" s="60" t="s">
        <v>3133</v>
      </c>
      <c r="F265" s="60" t="s">
        <v>53</v>
      </c>
      <c r="G265" s="105">
        <v>3</v>
      </c>
      <c r="H265" s="212" t="s">
        <v>3134</v>
      </c>
      <c r="I265" s="105" t="s">
        <v>266</v>
      </c>
      <c r="J265" s="291" t="s">
        <v>2700</v>
      </c>
      <c r="K265" s="106">
        <v>46174.564837962964</v>
      </c>
      <c r="L265" s="106">
        <v>46174.564837962964</v>
      </c>
      <c r="M265" s="106">
        <v>46174.568159722221</v>
      </c>
      <c r="N265" s="106"/>
      <c r="O265" s="106">
        <v>46175.311874999999</v>
      </c>
      <c r="P265" s="106"/>
      <c r="Q265" s="60" t="s">
        <v>2816</v>
      </c>
      <c r="Z265" s="107">
        <f t="shared" ca="1" si="33"/>
        <v>22.944138541664874</v>
      </c>
      <c r="AA265" s="108">
        <f t="shared" ca="1" si="34"/>
        <v>61.184369444439668</v>
      </c>
      <c r="AB265" s="107">
        <f t="shared" ca="1" si="35"/>
        <v>0.14349537036954041</v>
      </c>
      <c r="AC265" s="108">
        <f t="shared" ca="1" si="36"/>
        <v>0.38265432098544111</v>
      </c>
      <c r="AD265" s="107">
        <f t="shared" ca="1" si="32"/>
        <v>3.3217592572327703E-3</v>
      </c>
      <c r="AE265" s="107">
        <f t="shared" ca="1" si="37"/>
        <v>0.14349537036954041</v>
      </c>
      <c r="AF265" s="108">
        <f t="shared" ca="1" si="38"/>
        <v>0.38265432098544111</v>
      </c>
      <c r="AG265" s="108">
        <f t="shared" ca="1" si="31"/>
        <v>0.38265432098544111</v>
      </c>
      <c r="AH265" s="61" t="str" cm="1">
        <f t="array" aca="1" ref="AH265" ca="1">IF((AD265) &lt; (INDEX(ResponseSLA[#All],(MATCH((G265),ResponseSLA[Priority],0))+1,3)),"YES","No")</f>
        <v>YES</v>
      </c>
      <c r="AI265" s="61" t="str">
        <f ca="1">_xlfn.IFNA(IF(AE265 &lt; (INDEX(SLATable[Minimum SLA],MATCH(G265,SLATable[Priority],0))),"YES","NO"),"")</f>
        <v>YES</v>
      </c>
      <c r="AJ265" s="61" t="str">
        <f ca="1">_xlfn.IFNA(IF(AE265 &lt; (INDEX(SLATable[Maximum SLA],MATCH(G265,SLATable[Priority],0))),"YES","NO"),"")</f>
        <v>YES</v>
      </c>
    </row>
    <row r="266" spans="1:36" s="60" customFormat="1" ht="15" hidden="1" customHeight="1">
      <c r="A266" s="60">
        <v>265</v>
      </c>
      <c r="B266" s="60" t="s">
        <v>26</v>
      </c>
      <c r="C266" s="60" t="s">
        <v>27</v>
      </c>
      <c r="D266" s="60" t="s">
        <v>207</v>
      </c>
      <c r="E266" s="60" t="s">
        <v>3135</v>
      </c>
      <c r="F266" s="60" t="s">
        <v>318</v>
      </c>
      <c r="G266" s="105">
        <v>2</v>
      </c>
      <c r="H266" s="212" t="s">
        <v>2829</v>
      </c>
      <c r="I266" s="105" t="s">
        <v>271</v>
      </c>
      <c r="J266" s="60" t="s">
        <v>2725</v>
      </c>
      <c r="K266" s="106">
        <v>46168.478796296295</v>
      </c>
      <c r="L266" s="106">
        <v>46168.478796296295</v>
      </c>
      <c r="M266" s="106">
        <v>46168.500740740739</v>
      </c>
      <c r="N266" s="106">
        <v>46168.566157407404</v>
      </c>
      <c r="O266" s="106"/>
      <c r="P266" s="106"/>
      <c r="V266" s="60" t="s">
        <v>2828</v>
      </c>
      <c r="Z266" s="107">
        <f t="shared" ca="1" si="33"/>
        <v>8.7361111109203193E-2</v>
      </c>
      <c r="AA266" s="108">
        <f t="shared" ca="1" si="34"/>
        <v>0.23296296295787519</v>
      </c>
      <c r="AB266" s="107">
        <f t="shared" ca="1" si="35"/>
        <v>8.7361111109203193E-2</v>
      </c>
      <c r="AC266" s="108">
        <f t="shared" ca="1" si="36"/>
        <v>0.23296296295787519</v>
      </c>
      <c r="AD266" s="107">
        <f t="shared" ca="1" si="32"/>
        <v>2.1944444444670808E-2</v>
      </c>
      <c r="AE266" s="107">
        <f t="shared" ca="1" si="37"/>
        <v>8.7361111109203193E-2</v>
      </c>
      <c r="AF266" s="108">
        <f t="shared" ca="1" si="38"/>
        <v>0.23296296295787519</v>
      </c>
      <c r="AG266" s="108">
        <f t="shared" ca="1" si="31"/>
        <v>0.23296296295787519</v>
      </c>
      <c r="AH266" s="61" t="str" cm="1">
        <f t="array" aca="1" ref="AH266" ca="1">IF((AD266) &lt; (INDEX(ResponseSLA[#All],(MATCH((G266),ResponseSLA[Priority],0))+1,3)),"YES","No")</f>
        <v>No</v>
      </c>
      <c r="AI266" s="61" t="str">
        <f ca="1">_xlfn.IFNA(IF(AE266 &lt; (INDEX(SLATable[Minimum SLA],MATCH(G266,SLATable[Priority],0))),"YES","NO"),"")</f>
        <v>NO</v>
      </c>
      <c r="AJ266" s="61" t="str">
        <f ca="1">_xlfn.IFNA(IF(AE266 &lt; (INDEX(SLATable[Maximum SLA],MATCH(G266,SLATable[Priority],0))),"YES","NO"),"")</f>
        <v>YES</v>
      </c>
    </row>
    <row r="267" spans="1:36" s="60" customFormat="1" ht="15" hidden="1" customHeight="1">
      <c r="A267" s="60">
        <v>266</v>
      </c>
      <c r="B267" s="60" t="s">
        <v>26</v>
      </c>
      <c r="C267" s="60" t="s">
        <v>27</v>
      </c>
      <c r="D267" s="60" t="s">
        <v>207</v>
      </c>
      <c r="E267" s="60" t="s">
        <v>3136</v>
      </c>
      <c r="F267" s="60" t="s">
        <v>318</v>
      </c>
      <c r="G267" s="105">
        <v>3</v>
      </c>
      <c r="H267" s="212" t="s">
        <v>3137</v>
      </c>
      <c r="I267" s="105" t="s">
        <v>271</v>
      </c>
      <c r="J267" s="60" t="s">
        <v>2772</v>
      </c>
      <c r="K267" s="106">
        <v>46174.333298611113</v>
      </c>
      <c r="L267" s="106">
        <v>46175.502534722225</v>
      </c>
      <c r="M267" s="106">
        <v>46175.624027777776</v>
      </c>
      <c r="N267" s="106">
        <v>46176.452337962961</v>
      </c>
      <c r="O267" s="106"/>
      <c r="P267" s="106"/>
      <c r="Q267" s="60" t="s">
        <v>3138</v>
      </c>
      <c r="R267" s="60" t="s">
        <v>276</v>
      </c>
      <c r="S267" s="60" t="s">
        <v>165</v>
      </c>
      <c r="T267" s="60" t="s">
        <v>1519</v>
      </c>
      <c r="Z267" s="107">
        <f t="shared" ca="1" si="33"/>
        <v>0.86900462962754932</v>
      </c>
      <c r="AA267" s="108">
        <f t="shared" ca="1" si="34"/>
        <v>2.3173456790067979</v>
      </c>
      <c r="AB267" s="107">
        <f t="shared" ca="1" si="35"/>
        <v>0.32480324073549127</v>
      </c>
      <c r="AC267" s="108">
        <f t="shared" ca="1" si="36"/>
        <v>0.86614197529464343</v>
      </c>
      <c r="AD267" s="107">
        <f t="shared" ca="1" si="32"/>
        <v>0.12149305555067258</v>
      </c>
      <c r="AE267" s="107">
        <f t="shared" ca="1" si="37"/>
        <v>0.32480324073549127</v>
      </c>
      <c r="AF267" s="108">
        <f t="shared" ca="1" si="38"/>
        <v>0.86614197529464343</v>
      </c>
      <c r="AG267" s="108">
        <f t="shared" ca="1" si="31"/>
        <v>0.86614197529464343</v>
      </c>
      <c r="AH267" s="61" t="str" cm="1">
        <f t="array" aca="1" ref="AH267" ca="1">IF((AD267) &lt; (INDEX(ResponseSLA[#All],(MATCH((G267),ResponseSLA[Priority],0))+1,3)),"YES","No")</f>
        <v>No</v>
      </c>
      <c r="AI267" s="61" t="str">
        <f ca="1">_xlfn.IFNA(IF(AE267 &lt; (INDEX(SLATable[Minimum SLA],MATCH(G267,SLATable[Priority],0))),"YES","NO"),"")</f>
        <v>YES</v>
      </c>
      <c r="AJ267" s="61" t="str">
        <f ca="1">_xlfn.IFNA(IF(AE267 &lt; (INDEX(SLATable[Maximum SLA],MATCH(G267,SLATable[Priority],0))),"YES","NO"),"")</f>
        <v>YES</v>
      </c>
    </row>
    <row r="268" spans="1:36" s="60" customFormat="1" ht="15" hidden="1" customHeight="1">
      <c r="A268" s="60">
        <v>267</v>
      </c>
      <c r="B268" s="60" t="s">
        <v>26</v>
      </c>
      <c r="C268" s="60" t="s">
        <v>27</v>
      </c>
      <c r="D268" s="60" t="s">
        <v>207</v>
      </c>
      <c r="E268" s="60" t="s">
        <v>3139</v>
      </c>
      <c r="F268" s="60" t="s">
        <v>318</v>
      </c>
      <c r="G268" s="105">
        <v>3</v>
      </c>
      <c r="H268" s="212" t="s">
        <v>3140</v>
      </c>
      <c r="I268" s="105" t="s">
        <v>271</v>
      </c>
      <c r="J268" s="60" t="s">
        <v>2708</v>
      </c>
      <c r="K268" s="106">
        <v>46175.517905092594</v>
      </c>
      <c r="L268" s="106">
        <v>46175.522615740738</v>
      </c>
      <c r="M268" s="106">
        <v>46175.628530092596</v>
      </c>
      <c r="N268" s="106">
        <v>46184.24726851852</v>
      </c>
      <c r="O268" s="106">
        <v>46176.611678240741</v>
      </c>
      <c r="P268" s="106">
        <v>46184.24726851852</v>
      </c>
      <c r="Q268" s="60" t="s">
        <v>2733</v>
      </c>
      <c r="R268" s="60" t="s">
        <v>272</v>
      </c>
      <c r="S268" s="60" t="s">
        <v>205</v>
      </c>
      <c r="T268" s="60" t="s">
        <v>1519</v>
      </c>
      <c r="Z268" s="107">
        <f t="shared" ca="1" si="33"/>
        <v>0.46877314814628335</v>
      </c>
      <c r="AA268" s="108">
        <f t="shared" ca="1" si="34"/>
        <v>1.250061728390089</v>
      </c>
      <c r="AB268" s="107">
        <f t="shared" ca="1" si="35"/>
        <v>0.46406250000291038</v>
      </c>
      <c r="AC268" s="108">
        <f t="shared" ca="1" si="36"/>
        <v>1.2375000000077609</v>
      </c>
      <c r="AD268" s="107">
        <f t="shared" ca="1" si="32"/>
        <v>0.10591435185779119</v>
      </c>
      <c r="AE268" s="107">
        <f t="shared" ca="1" si="37"/>
        <v>0.46406250000291038</v>
      </c>
      <c r="AF268" s="108">
        <f t="shared" ca="1" si="38"/>
        <v>1.2375000000077609</v>
      </c>
      <c r="AG268" s="108">
        <f t="shared" ca="1" si="31"/>
        <v>1.2375000000077609</v>
      </c>
      <c r="AH268" s="61" t="str" cm="1">
        <f t="array" aca="1" ref="AH268" ca="1">IF((AD268) &lt; (INDEX(ResponseSLA[#All],(MATCH((G268),ResponseSLA[Priority],0))+1,3)),"YES","No")</f>
        <v>No</v>
      </c>
      <c r="AI268" s="61" t="str">
        <f ca="1">_xlfn.IFNA(IF(AE268 &lt; (INDEX(SLATable[Minimum SLA],MATCH(G268,SLATable[Priority],0))),"YES","NO"),"")</f>
        <v>NO</v>
      </c>
      <c r="AJ268" s="61" t="str">
        <f ca="1">_xlfn.IFNA(IF(AE268 &lt; (INDEX(SLATable[Maximum SLA],MATCH(G268,SLATable[Priority],0))),"YES","NO"),"")</f>
        <v>YES</v>
      </c>
    </row>
    <row r="269" spans="1:36" s="60" customFormat="1" ht="15" hidden="1" customHeight="1">
      <c r="A269" s="60">
        <v>268</v>
      </c>
      <c r="B269" s="60" t="s">
        <v>26</v>
      </c>
      <c r="C269" s="60" t="s">
        <v>27</v>
      </c>
      <c r="D269" s="60" t="s">
        <v>208</v>
      </c>
      <c r="E269" s="60" t="s">
        <v>3141</v>
      </c>
      <c r="F269" s="60" t="s">
        <v>318</v>
      </c>
      <c r="G269" s="105" t="s">
        <v>208</v>
      </c>
      <c r="H269" s="212" t="s">
        <v>2750</v>
      </c>
      <c r="I269" s="105" t="s">
        <v>260</v>
      </c>
      <c r="J269" s="60" t="s">
        <v>2827</v>
      </c>
      <c r="K269" s="106">
        <v>46175.582268518519</v>
      </c>
      <c r="L269" s="106">
        <v>46175.582453703704</v>
      </c>
      <c r="M269" s="106">
        <v>46175.632418981484</v>
      </c>
      <c r="N269" s="106"/>
      <c r="O269" s="106"/>
      <c r="P269" s="106"/>
      <c r="Z269" s="107">
        <f t="shared" ca="1" si="33"/>
        <v>22.551708217593845</v>
      </c>
      <c r="AA269" s="108">
        <f t="shared" ca="1" si="34"/>
        <v>60.137888580250255</v>
      </c>
      <c r="AB269" s="107">
        <f t="shared" ca="1" si="35"/>
        <v>22.551522800924435</v>
      </c>
      <c r="AC269" s="108">
        <f t="shared" ca="1" si="36"/>
        <v>60.137394135798495</v>
      </c>
      <c r="AD269" s="107">
        <f t="shared" ca="1" si="32"/>
        <v>4.9965277779847383E-2</v>
      </c>
      <c r="AE269" s="107">
        <f t="shared" ca="1" si="37"/>
        <v>22.551522800924435</v>
      </c>
      <c r="AF269" s="108">
        <f t="shared" ca="1" si="38"/>
        <v>60.137394135798495</v>
      </c>
      <c r="AG269" s="108">
        <f t="shared" ca="1" si="31"/>
        <v>60.137394135798495</v>
      </c>
      <c r="AH269" s="61" t="str" cm="1">
        <f t="array" aca="1" ref="AH269" ca="1">IF((AD269) &lt; (INDEX(ResponseSLA[#All],(MATCH((G269),ResponseSLA[Priority],0))+1,3)),"YES","No")</f>
        <v>YES</v>
      </c>
      <c r="AI269" s="61" t="str">
        <f ca="1">_xlfn.IFNA(IF(AE269 &lt; (INDEX(SLATable[Minimum SLA],MATCH(G269,SLATable[Priority],0))),"YES","NO"),"")</f>
        <v>NO</v>
      </c>
      <c r="AJ269" s="61" t="str">
        <f ca="1">_xlfn.IFNA(IF(AE269 &lt; (INDEX(SLATable[Maximum SLA],MATCH(G269,SLATable[Priority],0))),"YES","NO"),"")</f>
        <v>NO</v>
      </c>
    </row>
    <row r="270" spans="1:36" s="60" customFormat="1" ht="15" hidden="1" customHeight="1">
      <c r="A270" s="60">
        <v>269</v>
      </c>
      <c r="B270" s="60" t="s">
        <v>26</v>
      </c>
      <c r="C270" s="60" t="s">
        <v>27</v>
      </c>
      <c r="D270" s="60" t="s">
        <v>207</v>
      </c>
      <c r="E270" s="60" t="s">
        <v>3142</v>
      </c>
      <c r="F270" s="60" t="s">
        <v>318</v>
      </c>
      <c r="G270" s="105">
        <v>3</v>
      </c>
      <c r="H270" s="212" t="s">
        <v>2724</v>
      </c>
      <c r="I270" s="247" t="s">
        <v>271</v>
      </c>
      <c r="J270" s="60" t="s">
        <v>2725</v>
      </c>
      <c r="K270" s="106">
        <v>46175.735312500001</v>
      </c>
      <c r="L270" s="106">
        <v>46175.735312500001</v>
      </c>
      <c r="M270" s="106">
        <v>46176.220081018517</v>
      </c>
      <c r="N270" s="106">
        <v>46176.415682870371</v>
      </c>
      <c r="O270" s="106"/>
      <c r="P270" s="106"/>
      <c r="Q270" s="60" t="s">
        <v>2726</v>
      </c>
      <c r="Z270" s="107">
        <f t="shared" ca="1" si="33"/>
        <v>8.2349537037468168E-2</v>
      </c>
      <c r="AA270" s="108">
        <f t="shared" ca="1" si="34"/>
        <v>0.21959876543324844</v>
      </c>
      <c r="AB270" s="107">
        <f t="shared" ca="1" si="35"/>
        <v>8.2349537037468168E-2</v>
      </c>
      <c r="AC270" s="108">
        <f t="shared" ca="1" si="36"/>
        <v>0.21959876543324844</v>
      </c>
      <c r="AD270" s="107">
        <f t="shared" ca="1" si="32"/>
        <v>0</v>
      </c>
      <c r="AE270" s="107">
        <f t="shared" ca="1" si="37"/>
        <v>8.2349537037468168E-2</v>
      </c>
      <c r="AF270" s="108">
        <f t="shared" ca="1" si="38"/>
        <v>0.21959876543324844</v>
      </c>
      <c r="AG270" s="108">
        <f t="shared" ca="1" si="31"/>
        <v>0.21959876543324844</v>
      </c>
      <c r="AH270" s="61" t="str" cm="1">
        <f t="array" aca="1" ref="AH270" ca="1">IF((AD270) &lt; (INDEX(ResponseSLA[#All],(MATCH((G270),ResponseSLA[Priority],0))+1,3)),"YES","No")</f>
        <v>YES</v>
      </c>
      <c r="AI270" s="61" t="str">
        <f ca="1">_xlfn.IFNA(IF(AE270 &lt; (INDEX(SLATable[Minimum SLA],MATCH(G270,SLATable[Priority],0))),"YES","NO"),"")</f>
        <v>YES</v>
      </c>
      <c r="AJ270" s="61" t="str">
        <f ca="1">_xlfn.IFNA(IF(AE270 &lt; (INDEX(SLATable[Maximum SLA],MATCH(G270,SLATable[Priority],0))),"YES","NO"),"")</f>
        <v>YES</v>
      </c>
    </row>
    <row r="271" spans="1:36" s="60" customFormat="1" ht="15" hidden="1" customHeight="1">
      <c r="A271" s="60">
        <v>270</v>
      </c>
      <c r="B271" s="60" t="s">
        <v>26</v>
      </c>
      <c r="C271" s="60" t="s">
        <v>27</v>
      </c>
      <c r="D271" s="60" t="s">
        <v>207</v>
      </c>
      <c r="E271" s="60" t="s">
        <v>3143</v>
      </c>
      <c r="F271" s="60" t="s">
        <v>318</v>
      </c>
      <c r="G271" s="105">
        <v>3</v>
      </c>
      <c r="H271" s="212" t="s">
        <v>2724</v>
      </c>
      <c r="I271" s="247" t="s">
        <v>271</v>
      </c>
      <c r="J271" s="60" t="s">
        <v>2772</v>
      </c>
      <c r="K271" s="106">
        <v>46176.209594907406</v>
      </c>
      <c r="L271" s="106">
        <v>46176.209594907406</v>
      </c>
      <c r="M271" s="106">
        <v>46176.221030092594</v>
      </c>
      <c r="N271" s="106">
        <v>46176.443310185183</v>
      </c>
      <c r="O271" s="106"/>
      <c r="P271" s="106"/>
      <c r="Q271" s="60" t="s">
        <v>2726</v>
      </c>
      <c r="Z271" s="107">
        <f t="shared" ca="1" si="33"/>
        <v>0.10997685184944811</v>
      </c>
      <c r="AA271" s="108">
        <f t="shared" ca="1" si="34"/>
        <v>0.29327160493186161</v>
      </c>
      <c r="AB271" s="107">
        <f t="shared" ca="1" si="35"/>
        <v>0.10997685184944811</v>
      </c>
      <c r="AC271" s="108">
        <f t="shared" ca="1" si="36"/>
        <v>0.29327160493186161</v>
      </c>
      <c r="AD271" s="107">
        <f t="shared" ca="1" si="32"/>
        <v>0</v>
      </c>
      <c r="AE271" s="107">
        <f t="shared" ca="1" si="37"/>
        <v>0.10997685184944811</v>
      </c>
      <c r="AF271" s="108">
        <f t="shared" ca="1" si="38"/>
        <v>0.29327160493186161</v>
      </c>
      <c r="AG271" s="108">
        <f t="shared" ca="1" si="31"/>
        <v>0.29327160493186161</v>
      </c>
      <c r="AH271" s="61" t="str" cm="1">
        <f t="array" aca="1" ref="AH271" ca="1">IF((AD271) &lt; (INDEX(ResponseSLA[#All],(MATCH((G271),ResponseSLA[Priority],0))+1,3)),"YES","No")</f>
        <v>YES</v>
      </c>
      <c r="AI271" s="61" t="str">
        <f ca="1">_xlfn.IFNA(IF(AE271 &lt; (INDEX(SLATable[Minimum SLA],MATCH(G271,SLATable[Priority],0))),"YES","NO"),"")</f>
        <v>YES</v>
      </c>
      <c r="AJ271" s="61" t="str">
        <f ca="1">_xlfn.IFNA(IF(AE271 &lt; (INDEX(SLATable[Maximum SLA],MATCH(G271,SLATable[Priority],0))),"YES","NO"),"")</f>
        <v>YES</v>
      </c>
    </row>
    <row r="272" spans="1:36" s="60" customFormat="1" ht="15" hidden="1" customHeight="1">
      <c r="A272" s="60">
        <v>271</v>
      </c>
      <c r="B272" s="60" t="s">
        <v>26</v>
      </c>
      <c r="C272" s="60" t="s">
        <v>27</v>
      </c>
      <c r="D272" s="60" t="s">
        <v>207</v>
      </c>
      <c r="E272" s="60" t="s">
        <v>3144</v>
      </c>
      <c r="F272" s="60" t="s">
        <v>318</v>
      </c>
      <c r="G272" s="105">
        <v>3</v>
      </c>
      <c r="H272" s="212" t="s">
        <v>2707</v>
      </c>
      <c r="I272" s="247" t="s">
        <v>271</v>
      </c>
      <c r="J272" s="60" t="s">
        <v>2703</v>
      </c>
      <c r="K272" s="106">
        <v>46175.635763888888</v>
      </c>
      <c r="L272" s="106">
        <v>46175.637291666666</v>
      </c>
      <c r="M272" s="106">
        <v>46176.217650462961</v>
      </c>
      <c r="N272" s="106">
        <v>46177.421307870369</v>
      </c>
      <c r="O272" s="106"/>
      <c r="P272" s="106"/>
      <c r="Q272" s="60" t="s">
        <v>2709</v>
      </c>
      <c r="Z272" s="107">
        <f t="shared" ca="1" si="33"/>
        <v>0.53554398148116888</v>
      </c>
      <c r="AA272" s="108">
        <f t="shared" ca="1" si="34"/>
        <v>1.4281172839497838</v>
      </c>
      <c r="AB272" s="107">
        <f t="shared" ca="1" si="35"/>
        <v>0.53401620370277669</v>
      </c>
      <c r="AC272" s="108">
        <f t="shared" ca="1" si="36"/>
        <v>1.4240432098740712</v>
      </c>
      <c r="AD272" s="107">
        <f t="shared" ca="1" si="32"/>
        <v>7.1041666667345793E-2</v>
      </c>
      <c r="AE272" s="107">
        <f t="shared" ca="1" si="37"/>
        <v>0.53401620370277669</v>
      </c>
      <c r="AF272" s="108">
        <f t="shared" ca="1" si="38"/>
        <v>1.4240432098740712</v>
      </c>
      <c r="AG272" s="108">
        <f t="shared" ca="1" si="31"/>
        <v>1.4240432098740712</v>
      </c>
      <c r="AH272" s="61" t="str" cm="1">
        <f t="array" aca="1" ref="AH272" ca="1">IF((AD272) &lt; (INDEX(ResponseSLA[#All],(MATCH((G272),ResponseSLA[Priority],0))+1,3)),"YES","No")</f>
        <v>YES</v>
      </c>
      <c r="AI272" s="61" t="str">
        <f ca="1">_xlfn.IFNA(IF(AE272 &lt; (INDEX(SLATable[Minimum SLA],MATCH(G272,SLATable[Priority],0))),"YES","NO"),"")</f>
        <v>NO</v>
      </c>
      <c r="AJ272" s="61" t="str">
        <f ca="1">_xlfn.IFNA(IF(AE272 &lt; (INDEX(SLATable[Maximum SLA],MATCH(G272,SLATable[Priority],0))),"YES","NO"),"")</f>
        <v>YES</v>
      </c>
    </row>
    <row r="273" spans="1:36" s="60" customFormat="1" ht="15" hidden="1" customHeight="1">
      <c r="A273" s="60">
        <v>272</v>
      </c>
      <c r="B273" s="60" t="s">
        <v>26</v>
      </c>
      <c r="C273" s="60" t="s">
        <v>27</v>
      </c>
      <c r="D273" s="60" t="s">
        <v>207</v>
      </c>
      <c r="E273" s="60" t="s">
        <v>3145</v>
      </c>
      <c r="F273" s="60" t="s">
        <v>318</v>
      </c>
      <c r="G273" s="105">
        <v>3</v>
      </c>
      <c r="H273" s="212" t="s">
        <v>3146</v>
      </c>
      <c r="I273" s="247" t="s">
        <v>275</v>
      </c>
      <c r="J273" s="60" t="s">
        <v>2738</v>
      </c>
      <c r="K273" s="106">
        <v>46176.2034375</v>
      </c>
      <c r="L273" s="106">
        <v>46176.22314814815</v>
      </c>
      <c r="M273" s="106">
        <v>46176.370706018519</v>
      </c>
      <c r="N273" s="106">
        <v>46181.41783564815</v>
      </c>
      <c r="O273" s="106"/>
      <c r="P273" s="106"/>
      <c r="Q273" s="60" t="s">
        <v>2709</v>
      </c>
      <c r="R273" s="60" t="s">
        <v>272</v>
      </c>
      <c r="S273" s="60" t="s">
        <v>165</v>
      </c>
      <c r="Z273" s="107">
        <f t="shared" ca="1" si="33"/>
        <v>1.2095023148164428</v>
      </c>
      <c r="AA273" s="108">
        <f t="shared" ca="1" si="34"/>
        <v>3.2253395061771806</v>
      </c>
      <c r="AB273" s="107">
        <f t="shared" ca="1" si="35"/>
        <v>1.2095023148164428</v>
      </c>
      <c r="AC273" s="108">
        <f t="shared" ca="1" si="36"/>
        <v>3.2253395061771806</v>
      </c>
      <c r="AD273" s="107">
        <f t="shared" ca="1" si="32"/>
        <v>3.73726851854978E-2</v>
      </c>
      <c r="AE273" s="107">
        <f t="shared" ca="1" si="37"/>
        <v>1.2095023148164428</v>
      </c>
      <c r="AF273" s="108">
        <f t="shared" ca="1" si="38"/>
        <v>3.2253395061771806</v>
      </c>
      <c r="AG273" s="108">
        <f t="shared" ca="1" si="31"/>
        <v>3.2253395061771806</v>
      </c>
      <c r="AH273" s="61" t="str" cm="1">
        <f t="array" aca="1" ref="AH273" ca="1">IF((AD273) &lt; (INDEX(ResponseSLA[#All],(MATCH((G273),ResponseSLA[Priority],0))+1,3)),"YES","No")</f>
        <v>YES</v>
      </c>
      <c r="AI273" s="61" t="str">
        <f ca="1">_xlfn.IFNA(IF(AE273 &lt; (INDEX(SLATable[Minimum SLA],MATCH(G273,SLATable[Priority],0))),"YES","NO"),"")</f>
        <v>NO</v>
      </c>
      <c r="AJ273" s="61" t="str">
        <f ca="1">_xlfn.IFNA(IF(AE273 &lt; (INDEX(SLATable[Maximum SLA],MATCH(G273,SLATable[Priority],0))),"YES","NO"),"")</f>
        <v>YES</v>
      </c>
    </row>
    <row r="274" spans="1:36" s="60" customFormat="1" ht="15" hidden="1" customHeight="1">
      <c r="A274" s="60">
        <v>273</v>
      </c>
      <c r="B274" s="60" t="s">
        <v>26</v>
      </c>
      <c r="C274" s="60" t="s">
        <v>27</v>
      </c>
      <c r="D274" s="60" t="s">
        <v>207</v>
      </c>
      <c r="E274" s="60" t="s">
        <v>3147</v>
      </c>
      <c r="F274" s="60" t="s">
        <v>318</v>
      </c>
      <c r="G274" s="105">
        <v>3</v>
      </c>
      <c r="H274" s="212" t="s">
        <v>3148</v>
      </c>
      <c r="I274" s="105" t="s">
        <v>271</v>
      </c>
      <c r="J274" s="60" t="s">
        <v>2703</v>
      </c>
      <c r="K274" s="106">
        <v>46175.882650462961</v>
      </c>
      <c r="L274" s="106">
        <v>46176.358368055553</v>
      </c>
      <c r="M274" s="106">
        <v>46176.400034722225</v>
      </c>
      <c r="N274" s="106">
        <v>46178.615694444445</v>
      </c>
      <c r="O274" s="106"/>
      <c r="P274" s="106"/>
      <c r="Q274" s="60" t="s">
        <v>2733</v>
      </c>
      <c r="Z274" s="107">
        <f t="shared" ca="1" si="33"/>
        <v>1.0323611111113378</v>
      </c>
      <c r="AA274" s="108">
        <f t="shared" ca="1" si="34"/>
        <v>2.7529629629635672</v>
      </c>
      <c r="AB274" s="107">
        <f t="shared" ca="1" si="35"/>
        <v>1.0073263888916699</v>
      </c>
      <c r="AC274" s="108">
        <f t="shared" ca="1" si="36"/>
        <v>2.6862037037111199</v>
      </c>
      <c r="AD274" s="107">
        <f t="shared" ca="1" si="32"/>
        <v>4.1666666671517305E-2</v>
      </c>
      <c r="AE274" s="107">
        <f t="shared" ca="1" si="37"/>
        <v>1.0073263888916699</v>
      </c>
      <c r="AF274" s="108">
        <f t="shared" ca="1" si="38"/>
        <v>2.6862037037111199</v>
      </c>
      <c r="AG274" s="108">
        <f t="shared" ca="1" si="31"/>
        <v>2.6862037037111199</v>
      </c>
      <c r="AH274" s="61" t="str" cm="1">
        <f t="array" aca="1" ref="AH274" ca="1">IF((AD274) &lt; (INDEX(ResponseSLA[#All],(MATCH((G274),ResponseSLA[Priority],0))+1,3)),"YES","No")</f>
        <v>YES</v>
      </c>
      <c r="AI274" s="61" t="str">
        <f ca="1">_xlfn.IFNA(IF(AE274 &lt; (INDEX(SLATable[Minimum SLA],MATCH(G274,SLATable[Priority],0))),"YES","NO"),"")</f>
        <v>NO</v>
      </c>
      <c r="AJ274" s="61" t="str">
        <f ca="1">_xlfn.IFNA(IF(AE274 &lt; (INDEX(SLATable[Maximum SLA],MATCH(G274,SLATable[Priority],0))),"YES","NO"),"")</f>
        <v>YES</v>
      </c>
    </row>
    <row r="275" spans="1:36" s="60" customFormat="1" ht="15" hidden="1" customHeight="1">
      <c r="A275" s="60">
        <v>274</v>
      </c>
      <c r="B275" s="60" t="s">
        <v>26</v>
      </c>
      <c r="C275" s="60" t="s">
        <v>27</v>
      </c>
      <c r="D275" s="60" t="s">
        <v>207</v>
      </c>
      <c r="E275" s="60" t="s">
        <v>3149</v>
      </c>
      <c r="F275" s="60" t="s">
        <v>318</v>
      </c>
      <c r="G275" s="105">
        <v>3</v>
      </c>
      <c r="H275" s="212" t="s">
        <v>3150</v>
      </c>
      <c r="I275" s="105" t="s">
        <v>271</v>
      </c>
      <c r="J275" s="60" t="s">
        <v>2751</v>
      </c>
      <c r="K275" s="106">
        <v>46176.114490740743</v>
      </c>
      <c r="L275" s="106">
        <v>46176.288298611114</v>
      </c>
      <c r="M275" s="106">
        <v>46176.398935185185</v>
      </c>
      <c r="N275" s="106">
        <v>46176.467488425929</v>
      </c>
      <c r="O275" s="106"/>
      <c r="P275" s="106"/>
      <c r="Q275" s="60" t="s">
        <v>2929</v>
      </c>
      <c r="Z275" s="107">
        <f t="shared" ca="1" si="33"/>
        <v>0.13415509259599884</v>
      </c>
      <c r="AA275" s="108">
        <f t="shared" ca="1" si="34"/>
        <v>0.35774691358933025</v>
      </c>
      <c r="AB275" s="107">
        <f t="shared" ca="1" si="35"/>
        <v>0.13415509259599884</v>
      </c>
      <c r="AC275" s="108">
        <f t="shared" ca="1" si="36"/>
        <v>0.35774691358933025</v>
      </c>
      <c r="AD275" s="107">
        <f t="shared" ca="1" si="32"/>
        <v>6.5601851851776416E-2</v>
      </c>
      <c r="AE275" s="107">
        <f t="shared" ca="1" si="37"/>
        <v>0.13415509259599884</v>
      </c>
      <c r="AF275" s="108">
        <f t="shared" ca="1" si="38"/>
        <v>0.35774691358933025</v>
      </c>
      <c r="AG275" s="108">
        <f t="shared" ca="1" si="31"/>
        <v>0.35774691358933025</v>
      </c>
      <c r="AH275" s="61" t="str" cm="1">
        <f t="array" aca="1" ref="AH275" ca="1">IF((AD275) &lt; (INDEX(ResponseSLA[#All],(MATCH((G275),ResponseSLA[Priority],0))+1,3)),"YES","No")</f>
        <v>YES</v>
      </c>
      <c r="AI275" s="61" t="str">
        <f ca="1">_xlfn.IFNA(IF(AE275 &lt; (INDEX(SLATable[Minimum SLA],MATCH(G275,SLATable[Priority],0))),"YES","NO"),"")</f>
        <v>YES</v>
      </c>
      <c r="AJ275" s="61" t="str">
        <f ca="1">_xlfn.IFNA(IF(AE275 &lt; (INDEX(SLATable[Maximum SLA],MATCH(G275,SLATable[Priority],0))),"YES","NO"),"")</f>
        <v>YES</v>
      </c>
    </row>
    <row r="276" spans="1:36" s="60" customFormat="1" ht="15" hidden="1" customHeight="1">
      <c r="A276" s="60">
        <v>275</v>
      </c>
      <c r="B276" s="60" t="s">
        <v>26</v>
      </c>
      <c r="C276" s="60" t="s">
        <v>27</v>
      </c>
      <c r="D276" s="60" t="s">
        <v>207</v>
      </c>
      <c r="E276" s="60" t="s">
        <v>3151</v>
      </c>
      <c r="F276" s="60" t="s">
        <v>318</v>
      </c>
      <c r="G276" s="105">
        <v>3</v>
      </c>
      <c r="H276" s="212" t="s">
        <v>2724</v>
      </c>
      <c r="I276" s="105" t="s">
        <v>271</v>
      </c>
      <c r="J276" s="60" t="s">
        <v>2738</v>
      </c>
      <c r="K276" s="106">
        <v>46175.693645833337</v>
      </c>
      <c r="L276" s="106">
        <v>46175.693645833337</v>
      </c>
      <c r="M276" s="106">
        <v>46176.219259259262</v>
      </c>
      <c r="N276" s="106">
        <v>46176.414282407408</v>
      </c>
      <c r="O276" s="106"/>
      <c r="P276" s="106"/>
      <c r="Q276" s="60" t="s">
        <v>2726</v>
      </c>
      <c r="Z276" s="107">
        <f t="shared" ca="1" si="33"/>
        <v>9.5636574071249925E-2</v>
      </c>
      <c r="AA276" s="108">
        <f t="shared" ca="1" si="34"/>
        <v>0.25503086418999982</v>
      </c>
      <c r="AB276" s="107">
        <f t="shared" ca="1" si="35"/>
        <v>9.5636574071249925E-2</v>
      </c>
      <c r="AC276" s="108">
        <f t="shared" ca="1" si="36"/>
        <v>0.25503086418999982</v>
      </c>
      <c r="AD276" s="107">
        <f t="shared" ca="1" si="32"/>
        <v>1.4687499996701603E-2</v>
      </c>
      <c r="AE276" s="107">
        <f t="shared" ca="1" si="37"/>
        <v>9.5636574071249925E-2</v>
      </c>
      <c r="AF276" s="108">
        <f t="shared" ca="1" si="38"/>
        <v>0.25503086418999982</v>
      </c>
      <c r="AG276" s="108">
        <f t="shared" ca="1" si="31"/>
        <v>0.25503086418999982</v>
      </c>
      <c r="AH276" s="61" t="str" cm="1">
        <f t="array" aca="1" ref="AH276" ca="1">IF((AD276) &lt; (INDEX(ResponseSLA[#All],(MATCH((G276),ResponseSLA[Priority],0))+1,3)),"YES","No")</f>
        <v>YES</v>
      </c>
      <c r="AI276" s="61" t="str">
        <f ca="1">_xlfn.IFNA(IF(AE276 &lt; (INDEX(SLATable[Minimum SLA],MATCH(G276,SLATable[Priority],0))),"YES","NO"),"")</f>
        <v>YES</v>
      </c>
      <c r="AJ276" s="61" t="str">
        <f ca="1">_xlfn.IFNA(IF(AE276 &lt; (INDEX(SLATable[Maximum SLA],MATCH(G276,SLATable[Priority],0))),"YES","NO"),"")</f>
        <v>YES</v>
      </c>
    </row>
    <row r="277" spans="1:36" s="60" customFormat="1" ht="15" hidden="1" customHeight="1">
      <c r="A277" s="60">
        <v>276</v>
      </c>
      <c r="B277" s="60" t="s">
        <v>26</v>
      </c>
      <c r="C277" s="60" t="s">
        <v>27</v>
      </c>
      <c r="D277" s="60" t="s">
        <v>207</v>
      </c>
      <c r="E277" s="60" t="s">
        <v>3152</v>
      </c>
      <c r="F277" s="60" t="s">
        <v>318</v>
      </c>
      <c r="G277" s="105">
        <v>3</v>
      </c>
      <c r="H277" s="212" t="s">
        <v>2775</v>
      </c>
      <c r="I277" s="105" t="s">
        <v>271</v>
      </c>
      <c r="J277" s="60" t="s">
        <v>2738</v>
      </c>
      <c r="K277" s="106">
        <v>46176.403749999998</v>
      </c>
      <c r="L277" s="106">
        <v>46176.403749999998</v>
      </c>
      <c r="M277" s="106">
        <v>46176.411620370367</v>
      </c>
      <c r="N277" s="106">
        <v>46176.578935185185</v>
      </c>
      <c r="O277" s="106"/>
      <c r="P277" s="106"/>
      <c r="Q277" s="60" t="s">
        <v>2776</v>
      </c>
      <c r="Z277" s="107">
        <f t="shared" ca="1" si="33"/>
        <v>0.17518518518772908</v>
      </c>
      <c r="AA277" s="108">
        <f t="shared" ca="1" si="34"/>
        <v>0.4671604938339442</v>
      </c>
      <c r="AB277" s="107">
        <f t="shared" ca="1" si="35"/>
        <v>0.17518518518772908</v>
      </c>
      <c r="AC277" s="108">
        <f t="shared" ca="1" si="36"/>
        <v>0.4671604938339442</v>
      </c>
      <c r="AD277" s="107">
        <f t="shared" ca="1" si="32"/>
        <v>7.8703703693463467E-3</v>
      </c>
      <c r="AE277" s="107">
        <f t="shared" ca="1" si="37"/>
        <v>0.17518518518772908</v>
      </c>
      <c r="AF277" s="108">
        <f t="shared" ca="1" si="38"/>
        <v>0.4671604938339442</v>
      </c>
      <c r="AG277" s="108">
        <f t="shared" ca="1" si="31"/>
        <v>0.4671604938339442</v>
      </c>
      <c r="AH277" s="61" t="str" cm="1">
        <f t="array" aca="1" ref="AH277" ca="1">IF((AD277) &lt; (INDEX(ResponseSLA[#All],(MATCH((G277),ResponseSLA[Priority],0))+1,3)),"YES","No")</f>
        <v>YES</v>
      </c>
      <c r="AI277" s="61" t="str">
        <f ca="1">_xlfn.IFNA(IF(AE277 &lt; (INDEX(SLATable[Minimum SLA],MATCH(G277,SLATable[Priority],0))),"YES","NO"),"")</f>
        <v>YES</v>
      </c>
      <c r="AJ277" s="61" t="str">
        <f ca="1">_xlfn.IFNA(IF(AE277 &lt; (INDEX(SLATable[Maximum SLA],MATCH(G277,SLATable[Priority],0))),"YES","NO"),"")</f>
        <v>YES</v>
      </c>
    </row>
    <row r="278" spans="1:36" s="60" customFormat="1" ht="15" customHeight="1">
      <c r="A278" s="60">
        <v>277</v>
      </c>
      <c r="B278" s="60" t="s">
        <v>26</v>
      </c>
      <c r="C278" s="60" t="s">
        <v>54</v>
      </c>
      <c r="D278" s="60" t="s">
        <v>207</v>
      </c>
      <c r="E278" s="60" t="s">
        <v>3153</v>
      </c>
      <c r="F278" s="60" t="s">
        <v>53</v>
      </c>
      <c r="G278" s="105">
        <v>4</v>
      </c>
      <c r="H278" s="212" t="s">
        <v>3154</v>
      </c>
      <c r="I278" s="105" t="s">
        <v>271</v>
      </c>
      <c r="J278" s="291" t="s">
        <v>2694</v>
      </c>
      <c r="K278" s="106">
        <v>46176.280243055553</v>
      </c>
      <c r="L278" s="106">
        <v>46176.280243055553</v>
      </c>
      <c r="M278" s="106">
        <v>46176.306805555556</v>
      </c>
      <c r="N278" s="62">
        <v>46177.484398148146</v>
      </c>
      <c r="O278" s="106">
        <v>46176.338240740741</v>
      </c>
      <c r="P278" s="106"/>
      <c r="Q278" s="60" t="s">
        <v>2816</v>
      </c>
      <c r="Z278" s="107">
        <f t="shared" ca="1" si="33"/>
        <v>0.52606481481295009</v>
      </c>
      <c r="AA278" s="108">
        <f t="shared" ca="1" si="34"/>
        <v>1.4028395061678669</v>
      </c>
      <c r="AB278" s="107">
        <f t="shared" ca="1" si="35"/>
        <v>0.52606481481295009</v>
      </c>
      <c r="AC278" s="108">
        <f t="shared" ca="1" si="36"/>
        <v>1.4028395061678669</v>
      </c>
      <c r="AD278" s="107">
        <f t="shared" ca="1" si="32"/>
        <v>0</v>
      </c>
      <c r="AE278" s="107">
        <f t="shared" ca="1" si="37"/>
        <v>0.52606481481295009</v>
      </c>
      <c r="AF278" s="108">
        <f t="shared" ca="1" si="38"/>
        <v>1.4028395061678669</v>
      </c>
      <c r="AG278" s="108">
        <f t="shared" ca="1" si="31"/>
        <v>1.4028395061678669</v>
      </c>
      <c r="AH278" s="61" t="str" cm="1">
        <f t="array" aca="1" ref="AH278" ca="1">IF((AD278) &lt; (INDEX(ResponseSLA[#All],(MATCH((G278),ResponseSLA[Priority],0))+1,3)),"YES","No")</f>
        <v>YES</v>
      </c>
      <c r="AI278" s="61" t="str">
        <f ca="1">_xlfn.IFNA(IF(AE278 &lt; (INDEX(SLATable[Minimum SLA],MATCH(G278,SLATable[Priority],0))),"YES","NO"),"")</f>
        <v>YES</v>
      </c>
      <c r="AJ278" s="61" t="str">
        <f ca="1">_xlfn.IFNA(IF(AE278 &lt; (INDEX(SLATable[Maximum SLA],MATCH(G278,SLATable[Priority],0))),"YES","NO"),"")</f>
        <v>YES</v>
      </c>
    </row>
    <row r="279" spans="1:36" s="60" customFormat="1" ht="15" customHeight="1">
      <c r="A279" s="60">
        <v>278</v>
      </c>
      <c r="B279" s="60" t="s">
        <v>26</v>
      </c>
      <c r="C279" s="60" t="s">
        <v>54</v>
      </c>
      <c r="D279" s="60" t="s">
        <v>207</v>
      </c>
      <c r="E279" s="60" t="s">
        <v>3155</v>
      </c>
      <c r="F279" s="60" t="s">
        <v>53</v>
      </c>
      <c r="G279" s="105">
        <v>4</v>
      </c>
      <c r="H279" s="212" t="s">
        <v>3156</v>
      </c>
      <c r="I279" s="105" t="s">
        <v>275</v>
      </c>
      <c r="J279" s="291" t="s">
        <v>2697</v>
      </c>
      <c r="K279" s="106">
        <v>46176.3672337963</v>
      </c>
      <c r="L279" s="106">
        <v>46176.3672337963</v>
      </c>
      <c r="M279" s="106">
        <v>46176.395104166666</v>
      </c>
      <c r="N279" s="106">
        <v>46176.666481481479</v>
      </c>
      <c r="O279" s="106"/>
      <c r="P279" s="106"/>
      <c r="Q279" s="60" t="s">
        <v>2816</v>
      </c>
      <c r="Z279" s="107">
        <f t="shared" ca="1" si="33"/>
        <v>0.29924768517958</v>
      </c>
      <c r="AA279" s="108">
        <f t="shared" ca="1" si="34"/>
        <v>0.79799382714554667</v>
      </c>
      <c r="AB279" s="107">
        <f t="shared" ca="1" si="35"/>
        <v>0.29924768517958</v>
      </c>
      <c r="AC279" s="108">
        <f t="shared" ca="1" si="36"/>
        <v>0.79799382714554667</v>
      </c>
      <c r="AD279" s="107">
        <f t="shared" ca="1" si="32"/>
        <v>2.7870370366144925E-2</v>
      </c>
      <c r="AE279" s="107">
        <f t="shared" ca="1" si="37"/>
        <v>0.29924768517958</v>
      </c>
      <c r="AF279" s="108">
        <f t="shared" ca="1" si="38"/>
        <v>0.79799382714554667</v>
      </c>
      <c r="AG279" s="108">
        <f t="shared" ca="1" si="31"/>
        <v>0.79799382714554667</v>
      </c>
      <c r="AH279" s="61" t="str" cm="1">
        <f t="array" aca="1" ref="AH279" ca="1">IF((AD279) &lt; (INDEX(ResponseSLA[#All],(MATCH((G279),ResponseSLA[Priority],0))+1,3)),"YES","No")</f>
        <v>YES</v>
      </c>
      <c r="AI279" s="61" t="str">
        <f ca="1">_xlfn.IFNA(IF(AE279 &lt; (INDEX(SLATable[Minimum SLA],MATCH(G279,SLATable[Priority],0))),"YES","NO"),"")</f>
        <v>YES</v>
      </c>
      <c r="AJ279" s="61" t="str">
        <f ca="1">_xlfn.IFNA(IF(AE279 &lt; (INDEX(SLATable[Maximum SLA],MATCH(G279,SLATable[Priority],0))),"YES","NO"),"")</f>
        <v>YES</v>
      </c>
    </row>
    <row r="280" spans="1:36" s="60" customFormat="1" ht="15" hidden="1" customHeight="1">
      <c r="A280" s="60">
        <v>279</v>
      </c>
      <c r="B280" s="60" t="s">
        <v>26</v>
      </c>
      <c r="C280" s="60" t="s">
        <v>27</v>
      </c>
      <c r="D280" s="60" t="s">
        <v>208</v>
      </c>
      <c r="E280" s="60" t="s">
        <v>2799</v>
      </c>
      <c r="F280" s="60" t="s">
        <v>322</v>
      </c>
      <c r="G280" s="105" t="s">
        <v>208</v>
      </c>
      <c r="H280" s="212" t="s">
        <v>3019</v>
      </c>
      <c r="I280" s="105" t="s">
        <v>271</v>
      </c>
      <c r="J280" s="60" t="s">
        <v>2720</v>
      </c>
      <c r="K280" s="106">
        <v>46167.459432870368</v>
      </c>
      <c r="L280" s="106">
        <v>46175.558391203704</v>
      </c>
      <c r="M280" s="106">
        <v>46176.453148148146</v>
      </c>
      <c r="N280" s="106">
        <v>46176.470231481479</v>
      </c>
      <c r="O280" s="106"/>
      <c r="P280" s="106"/>
      <c r="Q280" s="60" t="s">
        <v>3157</v>
      </c>
      <c r="R280" s="60" t="s">
        <v>276</v>
      </c>
      <c r="T280" s="60" t="s">
        <v>302</v>
      </c>
      <c r="U280" s="60" t="s">
        <v>371</v>
      </c>
      <c r="Z280" s="107">
        <f t="shared" ca="1" si="33"/>
        <v>2.3868981481452165</v>
      </c>
      <c r="AA280" s="108">
        <f t="shared" ca="1" si="34"/>
        <v>6.3650617283872437</v>
      </c>
      <c r="AB280" s="107">
        <f t="shared" ca="1" si="35"/>
        <v>0.28684027777489973</v>
      </c>
      <c r="AC280" s="108">
        <f t="shared" ca="1" si="36"/>
        <v>0.76490740739973262</v>
      </c>
      <c r="AD280" s="107">
        <f t="shared" ca="1" si="32"/>
        <v>0.26975694444263359</v>
      </c>
      <c r="AE280" s="107">
        <f t="shared" ca="1" si="37"/>
        <v>25.066164004628572</v>
      </c>
      <c r="AF280" s="108">
        <f t="shared" ca="1" si="38"/>
        <v>66.843104012342849</v>
      </c>
      <c r="AG280" s="108">
        <f t="shared" ca="1" si="31"/>
        <v>66.843104012342849</v>
      </c>
      <c r="AH280" s="61" t="str" cm="1">
        <f t="array" aca="1" ref="AH280" ca="1">IF((AD280) &lt; (INDEX(ResponseSLA[#All],(MATCH((G280),ResponseSLA[Priority],0))+1,3)),"YES","No")</f>
        <v>YES</v>
      </c>
      <c r="AI280" s="61" t="str">
        <f ca="1">_xlfn.IFNA(IF(AE280 &lt; (INDEX(SLATable[Minimum SLA],MATCH(G280,SLATable[Priority],0))),"YES","NO"),"")</f>
        <v>NO</v>
      </c>
      <c r="AJ280" s="61" t="str">
        <f ca="1">_xlfn.IFNA(IF(AE280 &lt; (INDEX(SLATable[Maximum SLA],MATCH(G280,SLATable[Priority],0))),"YES","NO"),"")</f>
        <v>NO</v>
      </c>
    </row>
    <row r="281" spans="1:36" s="60" customFormat="1" ht="15" hidden="1" customHeight="1">
      <c r="A281" s="60">
        <v>280</v>
      </c>
      <c r="B281" s="60" t="s">
        <v>26</v>
      </c>
      <c r="C281" s="60" t="s">
        <v>27</v>
      </c>
      <c r="D281" s="60" t="s">
        <v>207</v>
      </c>
      <c r="E281" s="60" t="s">
        <v>3158</v>
      </c>
      <c r="F281" s="60" t="s">
        <v>318</v>
      </c>
      <c r="G281" s="105">
        <v>3</v>
      </c>
      <c r="H281" s="212" t="s">
        <v>2724</v>
      </c>
      <c r="I281" s="105" t="s">
        <v>271</v>
      </c>
      <c r="J281" s="60" t="s">
        <v>2725</v>
      </c>
      <c r="K281" s="106">
        <v>46176.457430555558</v>
      </c>
      <c r="L281" s="106">
        <v>46176.457430555558</v>
      </c>
      <c r="M281" s="106">
        <v>46176.463831018518</v>
      </c>
      <c r="N281" s="106">
        <v>46177.392210648148</v>
      </c>
      <c r="O281" s="106"/>
      <c r="P281" s="106"/>
      <c r="Q281" s="60" t="s">
        <v>2726</v>
      </c>
      <c r="R281" s="60" t="s">
        <v>272</v>
      </c>
      <c r="Z281" s="107">
        <f t="shared" ca="1" si="33"/>
        <v>0.30978009258979</v>
      </c>
      <c r="AA281" s="108">
        <f t="shared" ca="1" si="34"/>
        <v>0.82608024690610671</v>
      </c>
      <c r="AB281" s="107">
        <f t="shared" ca="1" si="35"/>
        <v>0.30978009258979</v>
      </c>
      <c r="AC281" s="108">
        <f t="shared" ca="1" si="36"/>
        <v>0.82608024690610671</v>
      </c>
      <c r="AD281" s="107">
        <f t="shared" ca="1" si="32"/>
        <v>6.4004629603005014E-3</v>
      </c>
      <c r="AE281" s="107">
        <f t="shared" ca="1" si="37"/>
        <v>0.30978009258979</v>
      </c>
      <c r="AF281" s="108">
        <f t="shared" ca="1" si="38"/>
        <v>0.82608024690610671</v>
      </c>
      <c r="AG281" s="108">
        <f t="shared" ca="1" si="31"/>
        <v>0.82608024690610671</v>
      </c>
      <c r="AH281" s="61" t="str" cm="1">
        <f t="array" aca="1" ref="AH281" ca="1">IF((AD281) &lt; (INDEX(ResponseSLA[#All],(MATCH((G281),ResponseSLA[Priority],0))+1,3)),"YES","No")</f>
        <v>YES</v>
      </c>
      <c r="AI281" s="61" t="str">
        <f ca="1">_xlfn.IFNA(IF(AE281 &lt; (INDEX(SLATable[Minimum SLA],MATCH(G281,SLATable[Priority],0))),"YES","NO"),"")</f>
        <v>YES</v>
      </c>
      <c r="AJ281" s="61" t="str">
        <f ca="1">_xlfn.IFNA(IF(AE281 &lt; (INDEX(SLATable[Maximum SLA],MATCH(G281,SLATable[Priority],0))),"YES","NO"),"")</f>
        <v>YES</v>
      </c>
    </row>
    <row r="282" spans="1:36" s="60" customFormat="1" ht="15" hidden="1" customHeight="1">
      <c r="A282" s="60">
        <v>281</v>
      </c>
      <c r="B282" s="60" t="s">
        <v>26</v>
      </c>
      <c r="C282" s="60" t="s">
        <v>27</v>
      </c>
      <c r="D282" s="60" t="s">
        <v>207</v>
      </c>
      <c r="E282" s="60" t="s">
        <v>3159</v>
      </c>
      <c r="F282" s="60" t="s">
        <v>320</v>
      </c>
      <c r="G282" s="105">
        <v>3</v>
      </c>
      <c r="H282" s="212" t="s">
        <v>3160</v>
      </c>
      <c r="I282" s="105" t="s">
        <v>275</v>
      </c>
      <c r="J282" s="60" t="s">
        <v>2772</v>
      </c>
      <c r="K282" s="106">
        <v>46176.477534722224</v>
      </c>
      <c r="L282" s="106">
        <v>46176.47755787037</v>
      </c>
      <c r="M282" s="106">
        <v>46176.509710648148</v>
      </c>
      <c r="N282" s="106"/>
      <c r="O282" s="106"/>
      <c r="P282" s="106"/>
      <c r="Z282" s="107">
        <f t="shared" ca="1" si="33"/>
        <v>22.281442013889322</v>
      </c>
      <c r="AA282" s="108">
        <f t="shared" ca="1" si="34"/>
        <v>59.417178703704863</v>
      </c>
      <c r="AB282" s="107">
        <f t="shared" ca="1" si="35"/>
        <v>22.281418634258447</v>
      </c>
      <c r="AC282" s="108">
        <f t="shared" ca="1" si="36"/>
        <v>59.417116358022525</v>
      </c>
      <c r="AD282" s="107">
        <f t="shared" ca="1" si="32"/>
        <v>3.2152777777810115E-2</v>
      </c>
      <c r="AE282" s="107">
        <f t="shared" ca="1" si="37"/>
        <v>22.281418634258447</v>
      </c>
      <c r="AF282" s="108">
        <f t="shared" ca="1" si="38"/>
        <v>59.417116358022525</v>
      </c>
      <c r="AG282" s="108">
        <f t="shared" ca="1" si="31"/>
        <v>59.417116358022525</v>
      </c>
      <c r="AH282" s="61" t="str" cm="1">
        <f t="array" aca="1" ref="AH282" ca="1">IF((AD282) &lt; (INDEX(ResponseSLA[#All],(MATCH((G282),ResponseSLA[Priority],0))+1,3)),"YES","No")</f>
        <v>YES</v>
      </c>
      <c r="AI282" s="61" t="str">
        <f ca="1">_xlfn.IFNA(IF(AE282 &lt; (INDEX(SLATable[Minimum SLA],MATCH(G282,SLATable[Priority],0))),"YES","NO"),"")</f>
        <v>NO</v>
      </c>
      <c r="AJ282" s="61" t="str">
        <f ca="1">_xlfn.IFNA(IF(AE282 &lt; (INDEX(SLATable[Maximum SLA],MATCH(G282,SLATable[Priority],0))),"YES","NO"),"")</f>
        <v>NO</v>
      </c>
    </row>
    <row r="283" spans="1:36" s="60" customFormat="1" ht="15" hidden="1" customHeight="1">
      <c r="A283" s="60">
        <v>282</v>
      </c>
      <c r="B283" s="60" t="s">
        <v>26</v>
      </c>
      <c r="C283" s="60" t="s">
        <v>27</v>
      </c>
      <c r="D283" s="60" t="s">
        <v>207</v>
      </c>
      <c r="E283" s="60" t="s">
        <v>3161</v>
      </c>
      <c r="F283" s="60" t="s">
        <v>318</v>
      </c>
      <c r="G283" s="105">
        <v>3</v>
      </c>
      <c r="H283" s="212" t="s">
        <v>3162</v>
      </c>
      <c r="I283" s="105" t="s">
        <v>271</v>
      </c>
      <c r="J283" s="60" t="s">
        <v>2827</v>
      </c>
      <c r="K283" s="106">
        <v>46176.088379629633</v>
      </c>
      <c r="L283" s="106">
        <v>46176.416759259257</v>
      </c>
      <c r="M283" s="106">
        <v>46176.474976851852</v>
      </c>
      <c r="N283" s="106">
        <v>46180.509722222225</v>
      </c>
      <c r="O283" s="106"/>
      <c r="P283" s="106"/>
      <c r="Z283" s="107">
        <f t="shared" ca="1" si="33"/>
        <v>0.75000000000000022</v>
      </c>
      <c r="AA283" s="108">
        <f t="shared" ca="1" si="34"/>
        <v>2.0000000000000009</v>
      </c>
      <c r="AB283" s="107">
        <f t="shared" ca="1" si="35"/>
        <v>0.66657407407668279</v>
      </c>
      <c r="AC283" s="108">
        <f t="shared" ca="1" si="36"/>
        <v>1.7775308642044874</v>
      </c>
      <c r="AD283" s="107">
        <f t="shared" ca="1" si="32"/>
        <v>5.8217592595610768E-2</v>
      </c>
      <c r="AE283" s="107">
        <f t="shared" ca="1" si="37"/>
        <v>0.66657407407668279</v>
      </c>
      <c r="AF283" s="108">
        <f t="shared" ca="1" si="38"/>
        <v>1.7775308642044874</v>
      </c>
      <c r="AG283" s="108">
        <f t="shared" ca="1" si="31"/>
        <v>1.7775308642044874</v>
      </c>
      <c r="AH283" s="61" t="str" cm="1">
        <f t="array" aca="1" ref="AH283" ca="1">IF((AD283) &lt; (INDEX(ResponseSLA[#All],(MATCH((G283),ResponseSLA[Priority],0))+1,3)),"YES","No")</f>
        <v>YES</v>
      </c>
      <c r="AI283" s="61" t="str">
        <f ca="1">_xlfn.IFNA(IF(AE283 &lt; (INDEX(SLATable[Minimum SLA],MATCH(G283,SLATable[Priority],0))),"YES","NO"),"")</f>
        <v>NO</v>
      </c>
      <c r="AJ283" s="61" t="str">
        <f ca="1">_xlfn.IFNA(IF(AE283 &lt; (INDEX(SLATable[Maximum SLA],MATCH(G283,SLATable[Priority],0))),"YES","NO"),"")</f>
        <v>YES</v>
      </c>
    </row>
    <row r="284" spans="1:36" s="60" customFormat="1" ht="15" hidden="1" customHeight="1">
      <c r="A284" s="60">
        <v>283</v>
      </c>
      <c r="B284" s="60" t="s">
        <v>26</v>
      </c>
      <c r="C284" s="60" t="s">
        <v>27</v>
      </c>
      <c r="D284" s="60" t="s">
        <v>207</v>
      </c>
      <c r="E284" s="60" t="s">
        <v>3163</v>
      </c>
      <c r="F284" s="60" t="s">
        <v>318</v>
      </c>
      <c r="G284" s="105">
        <v>3</v>
      </c>
      <c r="H284" s="212" t="s">
        <v>3164</v>
      </c>
      <c r="I284" s="105" t="s">
        <v>271</v>
      </c>
      <c r="J284" s="60" t="s">
        <v>2751</v>
      </c>
      <c r="K284" s="106">
        <v>46176.33488425926</v>
      </c>
      <c r="L284" s="106">
        <v>46176.353773148148</v>
      </c>
      <c r="M284" s="106">
        <v>46176.35560185185</v>
      </c>
      <c r="N284" s="62">
        <v>46190.435416666667</v>
      </c>
      <c r="O284" s="106"/>
      <c r="P284" s="106"/>
      <c r="Z284" s="107">
        <f t="shared" ca="1" si="33"/>
        <v>3.8505324074067175</v>
      </c>
      <c r="AA284" s="108">
        <f t="shared" ca="1" si="34"/>
        <v>10.268086419751247</v>
      </c>
      <c r="AB284" s="107">
        <f t="shared" ca="1" si="35"/>
        <v>3.8316435185188311</v>
      </c>
      <c r="AC284" s="108">
        <f t="shared" ca="1" si="36"/>
        <v>10.217716049383549</v>
      </c>
      <c r="AD284" s="107">
        <f t="shared" ca="1" si="32"/>
        <v>1.8287037019035779E-3</v>
      </c>
      <c r="AE284" s="107">
        <f t="shared" ca="1" si="37"/>
        <v>3.8316435185188311</v>
      </c>
      <c r="AF284" s="108">
        <f t="shared" ca="1" si="38"/>
        <v>10.217716049383549</v>
      </c>
      <c r="AG284" s="108">
        <f t="shared" ca="1" si="31"/>
        <v>10.217716049383549</v>
      </c>
      <c r="AH284" s="61" t="str" cm="1">
        <f t="array" aca="1" ref="AH284" ca="1">IF((AD284) &lt; (INDEX(ResponseSLA[#All],(MATCH((G284),ResponseSLA[Priority],0))+1,3)),"YES","No")</f>
        <v>YES</v>
      </c>
      <c r="AI284" s="61" t="str">
        <f ca="1">_xlfn.IFNA(IF(AE284 &lt; (INDEX(SLATable[Minimum SLA],MATCH(G284,SLATable[Priority],0))),"YES","NO"),"")</f>
        <v>NO</v>
      </c>
      <c r="AJ284" s="61" t="str">
        <f ca="1">_xlfn.IFNA(IF(AE284 &lt; (INDEX(SLATable[Maximum SLA],MATCH(G284,SLATable[Priority],0))),"YES","NO"),"")</f>
        <v>NO</v>
      </c>
    </row>
    <row r="285" spans="1:36" s="60" customFormat="1" ht="15" customHeight="1">
      <c r="A285" s="60">
        <v>284</v>
      </c>
      <c r="B285" s="60" t="s">
        <v>26</v>
      </c>
      <c r="C285" s="60" t="s">
        <v>54</v>
      </c>
      <c r="D285" s="60" t="s">
        <v>207</v>
      </c>
      <c r="E285" s="60" t="s">
        <v>3165</v>
      </c>
      <c r="F285" s="60" t="s">
        <v>53</v>
      </c>
      <c r="G285" s="105">
        <v>3</v>
      </c>
      <c r="H285" s="212" t="s">
        <v>3166</v>
      </c>
      <c r="I285" s="105" t="s">
        <v>271</v>
      </c>
      <c r="J285" s="291" t="s">
        <v>3132</v>
      </c>
      <c r="K285" s="106">
        <v>46176.603344907409</v>
      </c>
      <c r="L285" s="106">
        <v>46176.611793981479</v>
      </c>
      <c r="M285" s="106">
        <v>46176.670081018521</v>
      </c>
      <c r="N285" s="106">
        <v>46186.509722222225</v>
      </c>
      <c r="O285" s="106"/>
      <c r="P285" s="106"/>
      <c r="Q285" s="60" t="s">
        <v>2816</v>
      </c>
      <c r="Z285" s="107">
        <f t="shared" ca="1" si="33"/>
        <v>2.354988425923997</v>
      </c>
      <c r="AA285" s="108">
        <f t="shared" ca="1" si="34"/>
        <v>6.2799691357973257</v>
      </c>
      <c r="AB285" s="107">
        <f t="shared" ca="1" si="35"/>
        <v>2.3465393518539113</v>
      </c>
      <c r="AC285" s="108">
        <f t="shared" ca="1" si="36"/>
        <v>6.2574382716104298</v>
      </c>
      <c r="AD285" s="107">
        <f t="shared" ca="1" si="32"/>
        <v>5.8287037041736767E-2</v>
      </c>
      <c r="AE285" s="107">
        <f t="shared" ca="1" si="37"/>
        <v>2.3465393518539113</v>
      </c>
      <c r="AF285" s="108">
        <f t="shared" ca="1" si="38"/>
        <v>6.2574382716104298</v>
      </c>
      <c r="AG285" s="108">
        <f t="shared" ca="1" si="31"/>
        <v>6.2574382716104298</v>
      </c>
      <c r="AH285" s="61" t="str" cm="1">
        <f t="array" aca="1" ref="AH285" ca="1">IF((AD285) &lt; (INDEX(ResponseSLA[#All],(MATCH((G285),ResponseSLA[Priority],0))+1,3)),"YES","No")</f>
        <v>YES</v>
      </c>
      <c r="AI285" s="61" t="str">
        <f ca="1">_xlfn.IFNA(IF(AE285 &lt; (INDEX(SLATable[Minimum SLA],MATCH(G285,SLATable[Priority],0))),"YES","NO"),"")</f>
        <v>NO</v>
      </c>
      <c r="AJ285" s="61" t="str">
        <f ca="1">_xlfn.IFNA(IF(AE285 &lt; (INDEX(SLATable[Maximum SLA],MATCH(G285,SLATable[Priority],0))),"YES","NO"),"")</f>
        <v>NO</v>
      </c>
    </row>
    <row r="286" spans="1:36" s="60" customFormat="1" ht="15" customHeight="1">
      <c r="A286" s="60">
        <v>285</v>
      </c>
      <c r="B286" s="60" t="s">
        <v>26</v>
      </c>
      <c r="C286" s="60" t="s">
        <v>54</v>
      </c>
      <c r="D286" s="60" t="s">
        <v>207</v>
      </c>
      <c r="E286" s="60" t="s">
        <v>3167</v>
      </c>
      <c r="F286" s="60" t="s">
        <v>53</v>
      </c>
      <c r="G286" s="105">
        <v>3</v>
      </c>
      <c r="H286" s="212" t="s">
        <v>3168</v>
      </c>
      <c r="I286" s="105" t="s">
        <v>271</v>
      </c>
      <c r="J286" s="291" t="s">
        <v>3132</v>
      </c>
      <c r="K286" s="106">
        <v>46175.624050925922</v>
      </c>
      <c r="L286" s="106">
        <v>46176.772743055553</v>
      </c>
      <c r="M286" s="106">
        <v>46176.794710648152</v>
      </c>
      <c r="N286" s="106">
        <v>46183.495833333334</v>
      </c>
      <c r="O286" s="106"/>
      <c r="P286" s="106"/>
      <c r="Q286" s="60" t="s">
        <v>2816</v>
      </c>
      <c r="Z286" s="107">
        <f t="shared" ca="1" si="33"/>
        <v>2.1217824074119567</v>
      </c>
      <c r="AA286" s="108">
        <f t="shared" ca="1" si="34"/>
        <v>5.6580864197652181</v>
      </c>
      <c r="AB286" s="107">
        <f t="shared" ca="1" si="35"/>
        <v>1.66250000000097</v>
      </c>
      <c r="AC286" s="108">
        <f t="shared" ca="1" si="36"/>
        <v>4.4333333333359199</v>
      </c>
      <c r="AD286" s="107">
        <f t="shared" ca="1" si="32"/>
        <v>0</v>
      </c>
      <c r="AE286" s="107">
        <f t="shared" ca="1" si="37"/>
        <v>1.66250000000097</v>
      </c>
      <c r="AF286" s="108">
        <f t="shared" ca="1" si="38"/>
        <v>4.4333333333359199</v>
      </c>
      <c r="AG286" s="108">
        <f t="shared" ca="1" si="31"/>
        <v>4.4333333333359199</v>
      </c>
      <c r="AH286" s="61" t="str" cm="1">
        <f t="array" aca="1" ref="AH286" ca="1">IF((AD286) &lt; (INDEX(ResponseSLA[#All],(MATCH((G286),ResponseSLA[Priority],0))+1,3)),"YES","No")</f>
        <v>YES</v>
      </c>
      <c r="AI286" s="61" t="str">
        <f ca="1">_xlfn.IFNA(IF(AE286 &lt; (INDEX(SLATable[Minimum SLA],MATCH(G286,SLATable[Priority],0))),"YES","NO"),"")</f>
        <v>NO</v>
      </c>
      <c r="AJ286" s="61" t="str">
        <f ca="1">_xlfn.IFNA(IF(AE286 &lt; (INDEX(SLATable[Maximum SLA],MATCH(G286,SLATable[Priority],0))),"YES","NO"),"")</f>
        <v>YES</v>
      </c>
    </row>
    <row r="287" spans="1:36" s="60" customFormat="1" ht="15" customHeight="1">
      <c r="A287" s="60">
        <v>286</v>
      </c>
      <c r="B287" s="60" t="s">
        <v>26</v>
      </c>
      <c r="C287" s="60" t="s">
        <v>54</v>
      </c>
      <c r="D287" s="60" t="s">
        <v>207</v>
      </c>
      <c r="E287" s="60" t="s">
        <v>3169</v>
      </c>
      <c r="F287" s="60" t="s">
        <v>53</v>
      </c>
      <c r="G287" s="105">
        <v>3</v>
      </c>
      <c r="H287" s="212" t="s">
        <v>3170</v>
      </c>
      <c r="I287" s="105" t="s">
        <v>260</v>
      </c>
      <c r="J287" s="291" t="s">
        <v>2700</v>
      </c>
      <c r="K287" s="106">
        <v>46174.417337962965</v>
      </c>
      <c r="L287" s="106">
        <v>46176.484988425924</v>
      </c>
      <c r="M287" s="106">
        <v>46176.606736111113</v>
      </c>
      <c r="N287" s="106"/>
      <c r="O287" s="106"/>
      <c r="P287" s="106"/>
      <c r="Q287" s="60" t="s">
        <v>2816</v>
      </c>
      <c r="Z287" s="107">
        <f t="shared" ca="1" si="33"/>
        <v>23.091638541664</v>
      </c>
      <c r="AA287" s="108">
        <f t="shared" ca="1" si="34"/>
        <v>61.577702777770668</v>
      </c>
      <c r="AB287" s="107">
        <f t="shared" ca="1" si="35"/>
        <v>22.273988310189456</v>
      </c>
      <c r="AC287" s="108">
        <f t="shared" ca="1" si="36"/>
        <v>59.39730216050522</v>
      </c>
      <c r="AD287" s="107">
        <f t="shared" ca="1" si="32"/>
        <v>0.12174768518889323</v>
      </c>
      <c r="AE287" s="107">
        <f t="shared" ca="1" si="37"/>
        <v>22.273988310189456</v>
      </c>
      <c r="AF287" s="108">
        <f t="shared" ca="1" si="38"/>
        <v>59.39730216050522</v>
      </c>
      <c r="AG287" s="108">
        <f t="shared" ca="1" si="31"/>
        <v>59.39730216050522</v>
      </c>
      <c r="AH287" s="61" t="str" cm="1">
        <f t="array" aca="1" ref="AH287" ca="1">IF((AD287) &lt; (INDEX(ResponseSLA[#All],(MATCH((G287),ResponseSLA[Priority],0))+1,3)),"YES","No")</f>
        <v>No</v>
      </c>
      <c r="AI287" s="61" t="str">
        <f ca="1">_xlfn.IFNA(IF(AE287 &lt; (INDEX(SLATable[Minimum SLA],MATCH(G287,SLATable[Priority],0))),"YES","NO"),"")</f>
        <v>NO</v>
      </c>
      <c r="AJ287" s="61" t="str">
        <f ca="1">_xlfn.IFNA(IF(AE287 &lt; (INDEX(SLATable[Maximum SLA],MATCH(G287,SLATable[Priority],0))),"YES","NO"),"")</f>
        <v>NO</v>
      </c>
    </row>
    <row r="288" spans="1:36" s="60" customFormat="1" ht="15" hidden="1" customHeight="1">
      <c r="A288" s="60">
        <v>287</v>
      </c>
      <c r="B288" s="60" t="s">
        <v>26</v>
      </c>
      <c r="C288" s="60" t="s">
        <v>27</v>
      </c>
      <c r="D288" s="60" t="s">
        <v>207</v>
      </c>
      <c r="E288" s="60" t="s">
        <v>3171</v>
      </c>
      <c r="F288" s="60" t="s">
        <v>318</v>
      </c>
      <c r="G288" s="105">
        <v>3</v>
      </c>
      <c r="H288" s="212" t="s">
        <v>2775</v>
      </c>
      <c r="I288" s="105" t="s">
        <v>271</v>
      </c>
      <c r="J288" s="60" t="s">
        <v>2725</v>
      </c>
      <c r="K288" s="106">
        <v>46177.129664351851</v>
      </c>
      <c r="L288" s="106">
        <v>46177.129664351851</v>
      </c>
      <c r="M288" s="106">
        <v>46177.253032407411</v>
      </c>
      <c r="N288" s="106">
        <v>46177.394976851851</v>
      </c>
      <c r="O288" s="106"/>
      <c r="P288" s="106"/>
      <c r="Q288" s="60" t="s">
        <v>2776</v>
      </c>
      <c r="R288" s="60" t="s">
        <v>272</v>
      </c>
      <c r="Z288" s="107">
        <f t="shared" ca="1" si="33"/>
        <v>6.1643518517181917E-2</v>
      </c>
      <c r="AA288" s="108">
        <f t="shared" ca="1" si="34"/>
        <v>0.16438271604581844</v>
      </c>
      <c r="AB288" s="107">
        <f t="shared" ca="1" si="35"/>
        <v>6.1643518517181917E-2</v>
      </c>
      <c r="AC288" s="108">
        <f t="shared" ca="1" si="36"/>
        <v>0.16438271604581844</v>
      </c>
      <c r="AD288" s="107">
        <f t="shared" ca="1" si="32"/>
        <v>0</v>
      </c>
      <c r="AE288" s="107">
        <f t="shared" ca="1" si="37"/>
        <v>6.1643518517181917E-2</v>
      </c>
      <c r="AF288" s="108">
        <f t="shared" ca="1" si="38"/>
        <v>0.16438271604581844</v>
      </c>
      <c r="AG288" s="108">
        <f t="shared" ca="1" si="31"/>
        <v>0.16438271604581844</v>
      </c>
      <c r="AH288" s="61" t="str" cm="1">
        <f t="array" aca="1" ref="AH288" ca="1">IF((AD288) &lt; (INDEX(ResponseSLA[#All],(MATCH((G288),ResponseSLA[Priority],0))+1,3)),"YES","No")</f>
        <v>YES</v>
      </c>
      <c r="AI288" s="61" t="str">
        <f ca="1">_xlfn.IFNA(IF(AE288 &lt; (INDEX(SLATable[Minimum SLA],MATCH(G288,SLATable[Priority],0))),"YES","NO"),"")</f>
        <v>YES</v>
      </c>
      <c r="AJ288" s="61" t="str">
        <f ca="1">_xlfn.IFNA(IF(AE288 &lt; (INDEX(SLATable[Maximum SLA],MATCH(G288,SLATable[Priority],0))),"YES","NO"),"")</f>
        <v>YES</v>
      </c>
    </row>
    <row r="289" spans="1:36" s="60" customFormat="1" ht="15" hidden="1" customHeight="1">
      <c r="A289" s="60">
        <v>288</v>
      </c>
      <c r="B289" s="60" t="s">
        <v>26</v>
      </c>
      <c r="C289" s="60" t="s">
        <v>27</v>
      </c>
      <c r="D289" s="60" t="s">
        <v>207</v>
      </c>
      <c r="E289" s="60" t="s">
        <v>3172</v>
      </c>
      <c r="F289" s="60" t="s">
        <v>318</v>
      </c>
      <c r="G289" s="105">
        <v>3</v>
      </c>
      <c r="H289" s="212" t="s">
        <v>2775</v>
      </c>
      <c r="I289" s="105" t="s">
        <v>271</v>
      </c>
      <c r="J289" s="60" t="s">
        <v>2772</v>
      </c>
      <c r="K289" s="106">
        <v>46177.083935185183</v>
      </c>
      <c r="L289" s="106">
        <v>46177.083935185183</v>
      </c>
      <c r="M289" s="106">
        <v>46177.253530092596</v>
      </c>
      <c r="N289" s="106">
        <v>46177.474537037036</v>
      </c>
      <c r="O289" s="106"/>
      <c r="P289" s="106"/>
      <c r="Q289" s="60" t="s">
        <v>2776</v>
      </c>
      <c r="R289" s="60" t="s">
        <v>272</v>
      </c>
      <c r="S289" s="60" t="s">
        <v>187</v>
      </c>
      <c r="T289" s="60" t="s">
        <v>2773</v>
      </c>
      <c r="Z289" s="107">
        <f t="shared" ca="1" si="33"/>
        <v>0.14120370370316476</v>
      </c>
      <c r="AA289" s="108">
        <f t="shared" ca="1" si="34"/>
        <v>0.37654320987510603</v>
      </c>
      <c r="AB289" s="107">
        <f t="shared" ca="1" si="35"/>
        <v>0.14120370370316476</v>
      </c>
      <c r="AC289" s="108">
        <f t="shared" ca="1" si="36"/>
        <v>0.37654320987510603</v>
      </c>
      <c r="AD289" s="107">
        <f t="shared" ca="1" si="32"/>
        <v>0</v>
      </c>
      <c r="AE289" s="107">
        <f t="shared" ca="1" si="37"/>
        <v>0.14120370370316476</v>
      </c>
      <c r="AF289" s="108">
        <f t="shared" ca="1" si="38"/>
        <v>0.37654320987510603</v>
      </c>
      <c r="AG289" s="108">
        <f t="shared" ca="1" si="31"/>
        <v>0.37654320987510603</v>
      </c>
      <c r="AH289" s="61" t="str" cm="1">
        <f t="array" aca="1" ref="AH289" ca="1">IF((AD289) &lt; (INDEX(ResponseSLA[#All],(MATCH((G289),ResponseSLA[Priority],0))+1,3)),"YES","No")</f>
        <v>YES</v>
      </c>
      <c r="AI289" s="61" t="str">
        <f ca="1">_xlfn.IFNA(IF(AE289 &lt; (INDEX(SLATable[Minimum SLA],MATCH(G289,SLATable[Priority],0))),"YES","NO"),"")</f>
        <v>YES</v>
      </c>
      <c r="AJ289" s="61" t="str">
        <f ca="1">_xlfn.IFNA(IF(AE289 &lt; (INDEX(SLATable[Maximum SLA],MATCH(G289,SLATable[Priority],0))),"YES","NO"),"")</f>
        <v>YES</v>
      </c>
    </row>
    <row r="290" spans="1:36" s="60" customFormat="1" ht="15" hidden="1" customHeight="1">
      <c r="A290" s="60">
        <v>289</v>
      </c>
      <c r="B290" s="60" t="s">
        <v>26</v>
      </c>
      <c r="C290" s="60" t="s">
        <v>27</v>
      </c>
      <c r="D290" s="60" t="s">
        <v>207</v>
      </c>
      <c r="E290" s="60" t="s">
        <v>3173</v>
      </c>
      <c r="F290" s="60" t="s">
        <v>318</v>
      </c>
      <c r="G290" s="105">
        <v>3</v>
      </c>
      <c r="H290" s="212" t="s">
        <v>2775</v>
      </c>
      <c r="I290" s="105" t="s">
        <v>271</v>
      </c>
      <c r="J290" s="60" t="s">
        <v>2751</v>
      </c>
      <c r="K290" s="106">
        <v>46177.088692129626</v>
      </c>
      <c r="L290" s="106">
        <v>46177.088692129626</v>
      </c>
      <c r="M290" s="106">
        <v>46177.25409722222</v>
      </c>
      <c r="N290" s="106">
        <v>46181.255173611113</v>
      </c>
      <c r="O290" s="106"/>
      <c r="P290" s="106"/>
      <c r="Z290" s="107">
        <f t="shared" ca="1" si="33"/>
        <v>0.75000000000000022</v>
      </c>
      <c r="AA290" s="108">
        <f t="shared" ca="1" si="34"/>
        <v>2.0000000000000009</v>
      </c>
      <c r="AB290" s="107">
        <f t="shared" ca="1" si="35"/>
        <v>0.75000000000000022</v>
      </c>
      <c r="AC290" s="108">
        <f t="shared" ca="1" si="36"/>
        <v>2.0000000000000009</v>
      </c>
      <c r="AD290" s="107">
        <f t="shared" ca="1" si="32"/>
        <v>0</v>
      </c>
      <c r="AE290" s="107">
        <f t="shared" ca="1" si="37"/>
        <v>0.75000000000000022</v>
      </c>
      <c r="AF290" s="108">
        <f t="shared" ca="1" si="38"/>
        <v>2.0000000000000009</v>
      </c>
      <c r="AG290" s="108">
        <f t="shared" ca="1" si="31"/>
        <v>2.0000000000000009</v>
      </c>
      <c r="AH290" s="61" t="str" cm="1">
        <f t="array" aca="1" ref="AH290" ca="1">IF((AD290) &lt; (INDEX(ResponseSLA[#All],(MATCH((G290),ResponseSLA[Priority],0))+1,3)),"YES","No")</f>
        <v>YES</v>
      </c>
      <c r="AI290" s="61" t="str">
        <f ca="1">_xlfn.IFNA(IF(AE290 &lt; (INDEX(SLATable[Minimum SLA],MATCH(G290,SLATable[Priority],0))),"YES","NO"),"")</f>
        <v>NO</v>
      </c>
      <c r="AJ290" s="61" t="str">
        <f ca="1">_xlfn.IFNA(IF(AE290 &lt; (INDEX(SLATable[Maximum SLA],MATCH(G290,SLATable[Priority],0))),"YES","NO"),"")</f>
        <v>YES</v>
      </c>
    </row>
    <row r="291" spans="1:36" s="60" customFormat="1" ht="15" hidden="1" customHeight="1">
      <c r="A291" s="60">
        <v>290</v>
      </c>
      <c r="B291" s="60" t="s">
        <v>26</v>
      </c>
      <c r="C291" s="60" t="s">
        <v>27</v>
      </c>
      <c r="D291" s="60" t="s">
        <v>207</v>
      </c>
      <c r="E291" s="60" t="s">
        <v>3174</v>
      </c>
      <c r="F291" s="60" t="s">
        <v>318</v>
      </c>
      <c r="G291" s="105">
        <v>3</v>
      </c>
      <c r="H291" s="212" t="s">
        <v>2724</v>
      </c>
      <c r="I291" s="105" t="s">
        <v>271</v>
      </c>
      <c r="J291" s="60" t="s">
        <v>2738</v>
      </c>
      <c r="K291" s="106">
        <v>46177.063796296294</v>
      </c>
      <c r="L291" s="106">
        <v>46177.063796296294</v>
      </c>
      <c r="M291" s="106">
        <v>46177.255601851852</v>
      </c>
      <c r="N291" s="106">
        <v>46177.421458333331</v>
      </c>
      <c r="O291" s="106"/>
      <c r="P291" s="106"/>
      <c r="Z291" s="107">
        <f t="shared" ca="1" si="33"/>
        <v>8.8124999997186648E-2</v>
      </c>
      <c r="AA291" s="108">
        <f t="shared" ca="1" si="34"/>
        <v>0.23499999999249774</v>
      </c>
      <c r="AB291" s="107">
        <f t="shared" ca="1" si="35"/>
        <v>8.8124999997186648E-2</v>
      </c>
      <c r="AC291" s="108">
        <f t="shared" ca="1" si="36"/>
        <v>0.23499999999249774</v>
      </c>
      <c r="AD291" s="107">
        <f t="shared" ca="1" si="32"/>
        <v>0</v>
      </c>
      <c r="AE291" s="107">
        <f t="shared" ca="1" si="37"/>
        <v>8.8124999997186648E-2</v>
      </c>
      <c r="AF291" s="108">
        <f t="shared" ca="1" si="38"/>
        <v>0.23499999999249774</v>
      </c>
      <c r="AG291" s="108">
        <f t="shared" ca="1" si="31"/>
        <v>0.23499999999249774</v>
      </c>
      <c r="AH291" s="61" t="str" cm="1">
        <f t="array" aca="1" ref="AH291" ca="1">IF((AD291) &lt; (INDEX(ResponseSLA[#All],(MATCH((G291),ResponseSLA[Priority],0))+1,3)),"YES","No")</f>
        <v>YES</v>
      </c>
      <c r="AI291" s="61" t="str">
        <f ca="1">_xlfn.IFNA(IF(AE291 &lt; (INDEX(SLATable[Minimum SLA],MATCH(G291,SLATable[Priority],0))),"YES","NO"),"")</f>
        <v>YES</v>
      </c>
      <c r="AJ291" s="61" t="str">
        <f ca="1">_xlfn.IFNA(IF(AE291 &lt; (INDEX(SLATable[Maximum SLA],MATCH(G291,SLATable[Priority],0))),"YES","NO"),"")</f>
        <v>YES</v>
      </c>
    </row>
    <row r="292" spans="1:36" s="60" customFormat="1" ht="15" hidden="1" customHeight="1">
      <c r="A292" s="60">
        <v>291</v>
      </c>
      <c r="B292" s="60" t="s">
        <v>26</v>
      </c>
      <c r="C292" s="60" t="s">
        <v>27</v>
      </c>
      <c r="D292" s="60" t="s">
        <v>207</v>
      </c>
      <c r="E292" s="60" t="s">
        <v>3175</v>
      </c>
      <c r="F292" s="60" t="s">
        <v>318</v>
      </c>
      <c r="G292" s="105">
        <v>4</v>
      </c>
      <c r="H292" s="212" t="s">
        <v>3176</v>
      </c>
      <c r="I292" s="105" t="s">
        <v>271</v>
      </c>
      <c r="J292" s="60" t="s">
        <v>2738</v>
      </c>
      <c r="K292" s="106">
        <v>46177.076655092591</v>
      </c>
      <c r="L292" s="106">
        <v>46177.077928240738</v>
      </c>
      <c r="M292" s="106">
        <v>46177.260682870372</v>
      </c>
      <c r="N292" s="106">
        <v>46181.42763888889</v>
      </c>
      <c r="O292" s="106"/>
      <c r="P292" s="106"/>
      <c r="Z292" s="107">
        <f t="shared" ca="1" si="33"/>
        <v>0.84430555555688147</v>
      </c>
      <c r="AA292" s="108">
        <f t="shared" ca="1" si="34"/>
        <v>2.2514814814850173</v>
      </c>
      <c r="AB292" s="107">
        <f t="shared" ca="1" si="35"/>
        <v>0.84430555555688147</v>
      </c>
      <c r="AC292" s="108">
        <f t="shared" ca="1" si="36"/>
        <v>2.2514814814850173</v>
      </c>
      <c r="AD292" s="107">
        <f t="shared" ca="1" si="32"/>
        <v>0</v>
      </c>
      <c r="AE292" s="107">
        <f t="shared" ca="1" si="37"/>
        <v>0.84430555555688147</v>
      </c>
      <c r="AF292" s="108">
        <f t="shared" ca="1" si="38"/>
        <v>2.2514814814850173</v>
      </c>
      <c r="AG292" s="108">
        <f t="shared" ca="1" si="31"/>
        <v>2.2514814814850173</v>
      </c>
      <c r="AH292" s="61" t="str" cm="1">
        <f t="array" aca="1" ref="AH292" ca="1">IF((AD292) &lt; (INDEX(ResponseSLA[#All],(MATCH((G292),ResponseSLA[Priority],0))+1,3)),"YES","No")</f>
        <v>YES</v>
      </c>
      <c r="AI292" s="61" t="str">
        <f ca="1">_xlfn.IFNA(IF(AE292 &lt; (INDEX(SLATable[Minimum SLA],MATCH(G292,SLATable[Priority],0))),"YES","NO"),"")</f>
        <v>YES</v>
      </c>
      <c r="AJ292" s="61" t="str">
        <f ca="1">_xlfn.IFNA(IF(AE292 &lt; (INDEX(SLATable[Maximum SLA],MATCH(G292,SLATable[Priority],0))),"YES","NO"),"")</f>
        <v>YES</v>
      </c>
    </row>
    <row r="293" spans="1:36" s="60" customFormat="1" ht="15" hidden="1" customHeight="1">
      <c r="A293" s="60">
        <v>292</v>
      </c>
      <c r="B293" s="60" t="s">
        <v>26</v>
      </c>
      <c r="C293" s="60" t="s">
        <v>27</v>
      </c>
      <c r="D293" s="60" t="s">
        <v>207</v>
      </c>
      <c r="E293" s="60" t="s">
        <v>3177</v>
      </c>
      <c r="F293" s="60" t="s">
        <v>318</v>
      </c>
      <c r="G293" s="105">
        <v>3</v>
      </c>
      <c r="H293" s="212" t="s">
        <v>2707</v>
      </c>
      <c r="I293" s="105" t="s">
        <v>271</v>
      </c>
      <c r="J293" s="60" t="s">
        <v>2708</v>
      </c>
      <c r="K293" s="106">
        <v>46176.699189814812</v>
      </c>
      <c r="L293" s="106">
        <v>46176.700231481482</v>
      </c>
      <c r="M293" s="106">
        <v>46177.261041666665</v>
      </c>
      <c r="N293" s="106">
        <v>46177.272118055553</v>
      </c>
      <c r="O293" s="106"/>
      <c r="P293" s="106"/>
      <c r="Q293" s="60" t="s">
        <v>2709</v>
      </c>
      <c r="R293" s="60" t="s">
        <v>272</v>
      </c>
      <c r="S293" s="60" t="s">
        <v>165</v>
      </c>
      <c r="Z293" s="107">
        <f t="shared" ca="1" si="33"/>
        <v>9.1435185216445225E-3</v>
      </c>
      <c r="AA293" s="108">
        <f t="shared" ca="1" si="34"/>
        <v>2.4382716057718728E-2</v>
      </c>
      <c r="AB293" s="107">
        <f t="shared" ca="1" si="35"/>
        <v>8.1018518515824089E-3</v>
      </c>
      <c r="AC293" s="108">
        <f t="shared" ca="1" si="36"/>
        <v>2.1604938270886425E-2</v>
      </c>
      <c r="AD293" s="107">
        <f t="shared" ca="1" si="32"/>
        <v>8.1018518515824089E-3</v>
      </c>
      <c r="AE293" s="107">
        <f t="shared" ca="1" si="37"/>
        <v>8.1018518515824089E-3</v>
      </c>
      <c r="AF293" s="108">
        <f t="shared" ca="1" si="38"/>
        <v>2.1604938270886425E-2</v>
      </c>
      <c r="AG293" s="108">
        <f t="shared" ca="1" si="31"/>
        <v>2.1604938270886425E-2</v>
      </c>
      <c r="AH293" s="61" t="str" cm="1">
        <f t="array" aca="1" ref="AH293" ca="1">IF((AD293) &lt; (INDEX(ResponseSLA[#All],(MATCH((G293),ResponseSLA[Priority],0))+1,3)),"YES","No")</f>
        <v>YES</v>
      </c>
      <c r="AI293" s="61" t="str">
        <f ca="1">_xlfn.IFNA(IF(AE293 &lt; (INDEX(SLATable[Minimum SLA],MATCH(G293,SLATable[Priority],0))),"YES","NO"),"")</f>
        <v>YES</v>
      </c>
      <c r="AJ293" s="61" t="str">
        <f ca="1">_xlfn.IFNA(IF(AE293 &lt; (INDEX(SLATable[Maximum SLA],MATCH(G293,SLATable[Priority],0))),"YES","NO"),"")</f>
        <v>YES</v>
      </c>
    </row>
    <row r="294" spans="1:36" s="60" customFormat="1" ht="15" hidden="1" customHeight="1">
      <c r="A294" s="60">
        <v>293</v>
      </c>
      <c r="B294" s="60" t="s">
        <v>26</v>
      </c>
      <c r="C294" s="60" t="s">
        <v>27</v>
      </c>
      <c r="D294" s="60" t="s">
        <v>207</v>
      </c>
      <c r="E294" s="60" t="s">
        <v>3178</v>
      </c>
      <c r="F294" s="60" t="s">
        <v>318</v>
      </c>
      <c r="G294" s="105">
        <v>4</v>
      </c>
      <c r="H294" s="212" t="s">
        <v>3179</v>
      </c>
      <c r="I294" s="105" t="s">
        <v>266</v>
      </c>
      <c r="J294" s="60" t="s">
        <v>2725</v>
      </c>
      <c r="K294" s="106">
        <v>46163.898402777777</v>
      </c>
      <c r="L294" s="106">
        <v>46176.684675925928</v>
      </c>
      <c r="M294" s="106">
        <v>46177.261608796296</v>
      </c>
      <c r="N294" s="106"/>
      <c r="O294" s="106"/>
      <c r="P294" s="106"/>
      <c r="Z294" s="107">
        <f t="shared" ca="1" si="33"/>
        <v>25.050643171295334</v>
      </c>
      <c r="AA294" s="108">
        <f t="shared" ca="1" si="34"/>
        <v>66.80171512345423</v>
      </c>
      <c r="AB294" s="107">
        <f t="shared" ca="1" si="35"/>
        <v>22.074300810185381</v>
      </c>
      <c r="AC294" s="108">
        <f t="shared" ca="1" si="36"/>
        <v>58.864802160494349</v>
      </c>
      <c r="AD294" s="107">
        <f t="shared" ca="1" si="32"/>
        <v>2.365740740545641E-2</v>
      </c>
      <c r="AE294" s="107">
        <f t="shared" ca="1" si="37"/>
        <v>22.074300810185381</v>
      </c>
      <c r="AF294" s="108">
        <f t="shared" ca="1" si="38"/>
        <v>58.864802160494349</v>
      </c>
      <c r="AG294" s="108">
        <f t="shared" ca="1" si="31"/>
        <v>58.864802160494349</v>
      </c>
      <c r="AH294" s="61" t="str" cm="1">
        <f t="array" aca="1" ref="AH294" ca="1">IF((AD294) &lt; (INDEX(ResponseSLA[#All],(MATCH((G294),ResponseSLA[Priority],0))+1,3)),"YES","No")</f>
        <v>YES</v>
      </c>
      <c r="AI294" s="61" t="str">
        <f ca="1">_xlfn.IFNA(IF(AE294 &lt; (INDEX(SLATable[Minimum SLA],MATCH(G294,SLATable[Priority],0))),"YES","NO"),"")</f>
        <v>NO</v>
      </c>
      <c r="AJ294" s="61" t="str">
        <f ca="1">_xlfn.IFNA(IF(AE294 &lt; (INDEX(SLATable[Maximum SLA],MATCH(G294,SLATable[Priority],0))),"YES","NO"),"")</f>
        <v>NO</v>
      </c>
    </row>
    <row r="295" spans="1:36" s="60" customFormat="1" ht="15" hidden="1" customHeight="1">
      <c r="A295" s="60">
        <v>294</v>
      </c>
      <c r="B295" s="60" t="s">
        <v>26</v>
      </c>
      <c r="C295" s="60" t="s">
        <v>27</v>
      </c>
      <c r="D295" s="60" t="s">
        <v>207</v>
      </c>
      <c r="E295" s="60" t="s">
        <v>3180</v>
      </c>
      <c r="F295" s="60" t="s">
        <v>327</v>
      </c>
      <c r="G295" s="105">
        <v>3</v>
      </c>
      <c r="H295" s="212" t="s">
        <v>3181</v>
      </c>
      <c r="I295" s="105" t="s">
        <v>275</v>
      </c>
      <c r="K295" s="106">
        <v>46176.657025462962</v>
      </c>
      <c r="L295" s="106">
        <v>46176.657025462962</v>
      </c>
      <c r="M295" s="106"/>
      <c r="N295" s="106"/>
      <c r="O295" s="106"/>
      <c r="P295" s="106"/>
      <c r="Z295" s="107">
        <f t="shared" ca="1" si="33"/>
        <v>22.10195127315092</v>
      </c>
      <c r="AA295" s="108">
        <f t="shared" ca="1" si="34"/>
        <v>58.938536728402454</v>
      </c>
      <c r="AB295" s="107">
        <f t="shared" ca="1" si="35"/>
        <v>22.101951041666329</v>
      </c>
      <c r="AC295" s="108">
        <f t="shared" ca="1" si="36"/>
        <v>58.93853611111021</v>
      </c>
      <c r="AD295" s="107">
        <f t="shared" ca="1" si="32"/>
        <v>82.976948958334106</v>
      </c>
      <c r="AE295" s="107">
        <f t="shared" ca="1" si="37"/>
        <v>22.101951041666329</v>
      </c>
      <c r="AF295" s="108">
        <f t="shared" ca="1" si="38"/>
        <v>58.93853611111021</v>
      </c>
      <c r="AG295" s="108">
        <f t="shared" ca="1" si="31"/>
        <v>58.93853611111021</v>
      </c>
      <c r="AH295" s="61" t="str" cm="1">
        <f t="array" aca="1" ref="AH295" ca="1">IF((AD295) &lt; (INDEX(ResponseSLA[#All],(MATCH((G295),ResponseSLA[Priority],0))+1,3)),"YES","No")</f>
        <v>No</v>
      </c>
      <c r="AI295" s="61" t="str">
        <f ca="1">_xlfn.IFNA(IF(AE295 &lt; (INDEX(SLATable[Minimum SLA],MATCH(G295,SLATable[Priority],0))),"YES","NO"),"")</f>
        <v>NO</v>
      </c>
      <c r="AJ295" s="61" t="str">
        <f ca="1">_xlfn.IFNA(IF(AE295 &lt; (INDEX(SLATable[Maximum SLA],MATCH(G295,SLATable[Priority],0))),"YES","NO"),"")</f>
        <v>NO</v>
      </c>
    </row>
    <row r="296" spans="1:36" s="60" customFormat="1" ht="15" hidden="1" customHeight="1">
      <c r="A296" s="60">
        <v>295</v>
      </c>
      <c r="B296" s="60" t="s">
        <v>26</v>
      </c>
      <c r="C296" s="60" t="s">
        <v>27</v>
      </c>
      <c r="D296" s="60" t="s">
        <v>207</v>
      </c>
      <c r="E296" s="60" t="s">
        <v>3182</v>
      </c>
      <c r="F296" s="60" t="s">
        <v>318</v>
      </c>
      <c r="G296" s="105">
        <v>3</v>
      </c>
      <c r="H296" s="212" t="s">
        <v>3183</v>
      </c>
      <c r="I296" s="105" t="s">
        <v>271</v>
      </c>
      <c r="J296" s="60" t="s">
        <v>2751</v>
      </c>
      <c r="K296" s="106">
        <v>46177.214548611111</v>
      </c>
      <c r="L296" s="106">
        <v>46177.283379629633</v>
      </c>
      <c r="M296" s="106">
        <v>46177.286932870367</v>
      </c>
      <c r="N296" s="106">
        <v>46181.252199074072</v>
      </c>
      <c r="O296" s="106"/>
      <c r="P296" s="106"/>
      <c r="Z296" s="107">
        <f t="shared" ca="1" si="33"/>
        <v>0.75000000000000022</v>
      </c>
      <c r="AA296" s="108">
        <f t="shared" ca="1" si="34"/>
        <v>2.0000000000000009</v>
      </c>
      <c r="AB296" s="107">
        <f t="shared" ca="1" si="35"/>
        <v>0.75000000000000022</v>
      </c>
      <c r="AC296" s="108">
        <f t="shared" ca="1" si="36"/>
        <v>2.0000000000000009</v>
      </c>
      <c r="AD296" s="107">
        <f t="shared" ca="1" si="32"/>
        <v>0</v>
      </c>
      <c r="AE296" s="107">
        <f t="shared" ca="1" si="37"/>
        <v>0.75000000000000022</v>
      </c>
      <c r="AF296" s="108">
        <f t="shared" ca="1" si="38"/>
        <v>2.0000000000000009</v>
      </c>
      <c r="AG296" s="108">
        <f t="shared" ca="1" si="31"/>
        <v>2.0000000000000009</v>
      </c>
      <c r="AH296" s="61" t="str" cm="1">
        <f t="array" aca="1" ref="AH296" ca="1">IF((AD296) &lt; (INDEX(ResponseSLA[#All],(MATCH((G296),ResponseSLA[Priority],0))+1,3)),"YES","No")</f>
        <v>YES</v>
      </c>
      <c r="AI296" s="61" t="str">
        <f ca="1">_xlfn.IFNA(IF(AE296 &lt; (INDEX(SLATable[Minimum SLA],MATCH(G296,SLATable[Priority],0))),"YES","NO"),"")</f>
        <v>NO</v>
      </c>
      <c r="AJ296" s="61" t="str">
        <f ca="1">_xlfn.IFNA(IF(AE296 &lt; (INDEX(SLATable[Maximum SLA],MATCH(G296,SLATable[Priority],0))),"YES","NO"),"")</f>
        <v>YES</v>
      </c>
    </row>
    <row r="297" spans="1:36" s="60" customFormat="1" ht="15" hidden="1" customHeight="1">
      <c r="A297" s="60">
        <v>296</v>
      </c>
      <c r="B297" s="60" t="s">
        <v>26</v>
      </c>
      <c r="C297" s="60" t="s">
        <v>27</v>
      </c>
      <c r="D297" s="60" t="s">
        <v>208</v>
      </c>
      <c r="E297" s="60" t="s">
        <v>3184</v>
      </c>
      <c r="F297" s="60" t="s">
        <v>318</v>
      </c>
      <c r="G297" s="105" t="s">
        <v>208</v>
      </c>
      <c r="H297" s="212" t="s">
        <v>3185</v>
      </c>
      <c r="I297" s="105" t="s">
        <v>271</v>
      </c>
      <c r="J297" s="60" t="s">
        <v>2827</v>
      </c>
      <c r="K297" s="106">
        <v>46177.334282407406</v>
      </c>
      <c r="L297" s="106">
        <v>46177.334282407406</v>
      </c>
      <c r="M297" s="106">
        <v>46177.399953703702</v>
      </c>
      <c r="N297" s="106">
        <v>46190.435543981483</v>
      </c>
      <c r="O297" s="106"/>
      <c r="P297" s="106"/>
      <c r="Z297" s="107">
        <f t="shared" ca="1" si="33"/>
        <v>3.4762615740764891</v>
      </c>
      <c r="AA297" s="108">
        <f t="shared" ca="1" si="34"/>
        <v>9.2700308642039708</v>
      </c>
      <c r="AB297" s="107">
        <f t="shared" ca="1" si="35"/>
        <v>3.4762615740764891</v>
      </c>
      <c r="AC297" s="108">
        <f t="shared" ca="1" si="36"/>
        <v>9.2700308642039708</v>
      </c>
      <c r="AD297" s="107">
        <f t="shared" ca="1" si="32"/>
        <v>6.5671296295477077E-2</v>
      </c>
      <c r="AE297" s="107">
        <f t="shared" ca="1" si="37"/>
        <v>3.4762615740764891</v>
      </c>
      <c r="AF297" s="108">
        <f t="shared" ca="1" si="38"/>
        <v>9.2700308642039708</v>
      </c>
      <c r="AG297" s="108">
        <f t="shared" ca="1" si="31"/>
        <v>9.2700308642039708</v>
      </c>
      <c r="AH297" s="61" t="str" cm="1">
        <f t="array" aca="1" ref="AH297" ca="1">IF((AD297) &lt; (INDEX(ResponseSLA[#All],(MATCH((G297),ResponseSLA[Priority],0))+1,3)),"YES","No")</f>
        <v>YES</v>
      </c>
      <c r="AI297" s="61" t="str">
        <f ca="1">_xlfn.IFNA(IF(AE297 &lt; (INDEX(SLATable[Minimum SLA],MATCH(G297,SLATable[Priority],0))),"YES","NO"),"")</f>
        <v>NO</v>
      </c>
      <c r="AJ297" s="61" t="str">
        <f ca="1">_xlfn.IFNA(IF(AE297 &lt; (INDEX(SLATable[Maximum SLA],MATCH(G297,SLATable[Priority],0))),"YES","NO"),"")</f>
        <v>NO</v>
      </c>
    </row>
    <row r="298" spans="1:36" s="60" customFormat="1" ht="15" hidden="1" customHeight="1">
      <c r="A298" s="60">
        <v>297</v>
      </c>
      <c r="B298" s="60" t="s">
        <v>26</v>
      </c>
      <c r="C298" s="60" t="s">
        <v>27</v>
      </c>
      <c r="D298" s="60" t="s">
        <v>208</v>
      </c>
      <c r="E298" s="60" t="s">
        <v>3186</v>
      </c>
      <c r="F298" s="60" t="s">
        <v>318</v>
      </c>
      <c r="G298" s="105" t="s">
        <v>208</v>
      </c>
      <c r="H298" s="212" t="s">
        <v>3185</v>
      </c>
      <c r="I298" s="105" t="s">
        <v>260</v>
      </c>
      <c r="J298" s="60" t="s">
        <v>3015</v>
      </c>
      <c r="K298" s="106">
        <v>46177.334467592591</v>
      </c>
      <c r="L298" s="106">
        <v>46177.334467592591</v>
      </c>
      <c r="M298" s="106">
        <v>46177.400358796294</v>
      </c>
      <c r="N298" s="106"/>
      <c r="O298" s="106"/>
      <c r="P298" s="106"/>
      <c r="Z298" s="107">
        <f t="shared" ca="1" si="33"/>
        <v>22.049509143522304</v>
      </c>
      <c r="AA298" s="108">
        <f t="shared" ca="1" si="34"/>
        <v>58.798691049392815</v>
      </c>
      <c r="AB298" s="107">
        <f t="shared" ca="1" si="35"/>
        <v>22.049508912037712</v>
      </c>
      <c r="AC298" s="108">
        <f t="shared" ca="1" si="36"/>
        <v>58.798690432100571</v>
      </c>
      <c r="AD298" s="107">
        <f t="shared" ca="1" si="32"/>
        <v>6.5891203703358769E-2</v>
      </c>
      <c r="AE298" s="107">
        <f t="shared" ca="1" si="37"/>
        <v>22.049508912037712</v>
      </c>
      <c r="AF298" s="108">
        <f t="shared" ca="1" si="38"/>
        <v>58.798690432100571</v>
      </c>
      <c r="AG298" s="108">
        <f t="shared" ca="1" si="31"/>
        <v>58.798690432100571</v>
      </c>
      <c r="AH298" s="61" t="str" cm="1">
        <f t="array" aca="1" ref="AH298" ca="1">IF((AD298) &lt; (INDEX(ResponseSLA[#All],(MATCH((G298),ResponseSLA[Priority],0))+1,3)),"YES","No")</f>
        <v>YES</v>
      </c>
      <c r="AI298" s="61" t="str">
        <f ca="1">_xlfn.IFNA(IF(AE298 &lt; (INDEX(SLATable[Minimum SLA],MATCH(G298,SLATable[Priority],0))),"YES","NO"),"")</f>
        <v>NO</v>
      </c>
      <c r="AJ298" s="61" t="str">
        <f ca="1">_xlfn.IFNA(IF(AE298 &lt; (INDEX(SLATable[Maximum SLA],MATCH(G298,SLATable[Priority],0))),"YES","NO"),"")</f>
        <v>NO</v>
      </c>
    </row>
    <row r="299" spans="1:36" s="60" customFormat="1" ht="15" hidden="1" customHeight="1">
      <c r="A299" s="60">
        <v>298</v>
      </c>
      <c r="B299" s="60" t="s">
        <v>26</v>
      </c>
      <c r="C299" s="60" t="s">
        <v>27</v>
      </c>
      <c r="D299" s="60" t="s">
        <v>208</v>
      </c>
      <c r="E299" s="60" t="s">
        <v>3187</v>
      </c>
      <c r="F299" s="60" t="s">
        <v>318</v>
      </c>
      <c r="G299" s="105" t="s">
        <v>208</v>
      </c>
      <c r="H299" s="212" t="s">
        <v>3185</v>
      </c>
      <c r="I299" s="105" t="s">
        <v>271</v>
      </c>
      <c r="J299" s="60" t="s">
        <v>2751</v>
      </c>
      <c r="K299" s="106">
        <v>46177.334699074076</v>
      </c>
      <c r="L299" s="106">
        <v>46177.334699074076</v>
      </c>
      <c r="M299" s="106">
        <v>46177.401701388888</v>
      </c>
      <c r="N299" s="106">
        <v>46190.406817129631</v>
      </c>
      <c r="O299" s="106"/>
      <c r="P299" s="106"/>
      <c r="Z299" s="107">
        <f t="shared" ca="1" si="33"/>
        <v>3.4471180555556207</v>
      </c>
      <c r="AA299" s="108">
        <f t="shared" ca="1" si="34"/>
        <v>9.1923148148149885</v>
      </c>
      <c r="AB299" s="107">
        <f t="shared" ca="1" si="35"/>
        <v>3.4471180555556207</v>
      </c>
      <c r="AC299" s="108">
        <f t="shared" ca="1" si="36"/>
        <v>9.1923148148149885</v>
      </c>
      <c r="AD299" s="107">
        <f t="shared" ca="1" si="32"/>
        <v>6.7002314812270924E-2</v>
      </c>
      <c r="AE299" s="107">
        <f t="shared" ca="1" si="37"/>
        <v>3.4471180555556207</v>
      </c>
      <c r="AF299" s="108">
        <f t="shared" ca="1" si="38"/>
        <v>9.1923148148149885</v>
      </c>
      <c r="AG299" s="108">
        <f t="shared" ca="1" si="31"/>
        <v>9.1923148148149885</v>
      </c>
      <c r="AH299" s="61" t="str" cm="1">
        <f t="array" aca="1" ref="AH299" ca="1">IF((AD299) &lt; (INDEX(ResponseSLA[#All],(MATCH((G299),ResponseSLA[Priority],0))+1,3)),"YES","No")</f>
        <v>YES</v>
      </c>
      <c r="AI299" s="61" t="str">
        <f ca="1">_xlfn.IFNA(IF(AE299 &lt; (INDEX(SLATable[Minimum SLA],MATCH(G299,SLATable[Priority],0))),"YES","NO"),"")</f>
        <v>NO</v>
      </c>
      <c r="AJ299" s="61" t="str">
        <f ca="1">_xlfn.IFNA(IF(AE299 &lt; (INDEX(SLATable[Maximum SLA],MATCH(G299,SLATable[Priority],0))),"YES","NO"),"")</f>
        <v>NO</v>
      </c>
    </row>
    <row r="300" spans="1:36" s="60" customFormat="1" ht="15" hidden="1" customHeight="1">
      <c r="A300" s="60">
        <v>299</v>
      </c>
      <c r="B300" s="60" t="s">
        <v>26</v>
      </c>
      <c r="C300" s="60" t="s">
        <v>27</v>
      </c>
      <c r="D300" s="60" t="s">
        <v>208</v>
      </c>
      <c r="E300" s="60" t="s">
        <v>3188</v>
      </c>
      <c r="F300" s="60" t="s">
        <v>322</v>
      </c>
      <c r="G300" s="105" t="s">
        <v>208</v>
      </c>
      <c r="H300" s="212" t="s">
        <v>3189</v>
      </c>
      <c r="I300" s="105" t="s">
        <v>275</v>
      </c>
      <c r="J300" s="60" t="s">
        <v>2717</v>
      </c>
      <c r="K300" s="106">
        <v>46177.334374999999</v>
      </c>
      <c r="L300" s="106">
        <v>46177.334374999999</v>
      </c>
      <c r="M300" s="106">
        <v>46177.420127314814</v>
      </c>
      <c r="N300" s="106">
        <v>46177.487939814811</v>
      </c>
      <c r="O300" s="106"/>
      <c r="P300" s="106"/>
      <c r="R300" s="60" t="s">
        <v>276</v>
      </c>
      <c r="U300" s="60" t="s">
        <v>371</v>
      </c>
      <c r="Z300" s="107">
        <f t="shared" ca="1" si="33"/>
        <v>0.153564814812853</v>
      </c>
      <c r="AA300" s="108">
        <f t="shared" ca="1" si="34"/>
        <v>0.40950617283427465</v>
      </c>
      <c r="AB300" s="107">
        <f t="shared" ca="1" si="35"/>
        <v>0.153564814812853</v>
      </c>
      <c r="AC300" s="108">
        <f t="shared" ca="1" si="36"/>
        <v>0.40950617283427465</v>
      </c>
      <c r="AD300" s="107">
        <f t="shared" ca="1" si="32"/>
        <v>8.5752314815181307E-2</v>
      </c>
      <c r="AE300" s="107">
        <f t="shared" ca="1" si="37"/>
        <v>22.203062384258377</v>
      </c>
      <c r="AF300" s="108">
        <f t="shared" ca="1" si="38"/>
        <v>59.208166358022339</v>
      </c>
      <c r="AG300" s="108">
        <f t="shared" ca="1" si="31"/>
        <v>59.208166358022339</v>
      </c>
      <c r="AH300" s="61" t="str" cm="1">
        <f t="array" aca="1" ref="AH300" ca="1">IF((AD300) &lt; (INDEX(ResponseSLA[#All],(MATCH((G300),ResponseSLA[Priority],0))+1,3)),"YES","No")</f>
        <v>YES</v>
      </c>
      <c r="AI300" s="61" t="str">
        <f ca="1">_xlfn.IFNA(IF(AE300 &lt; (INDEX(SLATable[Minimum SLA],MATCH(G300,SLATable[Priority],0))),"YES","NO"),"")</f>
        <v>NO</v>
      </c>
      <c r="AJ300" s="61" t="str">
        <f ca="1">_xlfn.IFNA(IF(AE300 &lt; (INDEX(SLATable[Maximum SLA],MATCH(G300,SLATable[Priority],0))),"YES","NO"),"")</f>
        <v>NO</v>
      </c>
    </row>
    <row r="301" spans="1:36" s="60" customFormat="1" ht="15" hidden="1" customHeight="1">
      <c r="A301" s="60">
        <v>300</v>
      </c>
      <c r="B301" s="60" t="s">
        <v>26</v>
      </c>
      <c r="C301" s="60" t="s">
        <v>27</v>
      </c>
      <c r="D301" s="60" t="s">
        <v>208</v>
      </c>
      <c r="E301" s="60" t="s">
        <v>3190</v>
      </c>
      <c r="F301" s="60" t="s">
        <v>322</v>
      </c>
      <c r="G301" s="105" t="s">
        <v>208</v>
      </c>
      <c r="H301" s="212" t="s">
        <v>3191</v>
      </c>
      <c r="I301" s="105" t="s">
        <v>271</v>
      </c>
      <c r="J301" s="60" t="s">
        <v>2720</v>
      </c>
      <c r="K301" s="106">
        <v>46177.334953703707</v>
      </c>
      <c r="L301" s="106">
        <v>46177.334953703707</v>
      </c>
      <c r="M301" s="106">
        <v>46177.422534722224</v>
      </c>
      <c r="N301" s="106">
        <v>46177.515983796293</v>
      </c>
      <c r="O301" s="106"/>
      <c r="P301" s="106"/>
      <c r="R301" s="60" t="s">
        <v>276</v>
      </c>
      <c r="U301" s="60" t="s">
        <v>371</v>
      </c>
      <c r="Z301" s="107">
        <f t="shared" ca="1" si="33"/>
        <v>0.18103009258629754</v>
      </c>
      <c r="AA301" s="108">
        <f t="shared" ca="1" si="34"/>
        <v>0.48274691356346011</v>
      </c>
      <c r="AB301" s="107">
        <f t="shared" ca="1" si="35"/>
        <v>0.18103009258629754</v>
      </c>
      <c r="AC301" s="108">
        <f t="shared" ca="1" si="36"/>
        <v>0.48274691356346011</v>
      </c>
      <c r="AD301" s="107">
        <f t="shared" ca="1" si="32"/>
        <v>8.7581018517084885E-2</v>
      </c>
      <c r="AE301" s="107">
        <f t="shared" ca="1" si="37"/>
        <v>0.18103009258629754</v>
      </c>
      <c r="AF301" s="108">
        <f t="shared" ca="1" si="38"/>
        <v>0.48274691356346011</v>
      </c>
      <c r="AG301" s="108">
        <f t="shared" ca="1" si="31"/>
        <v>0.48274691356346011</v>
      </c>
      <c r="AH301" s="61" t="str" cm="1">
        <f t="array" aca="1" ref="AH301" ca="1">IF((AD301) &lt; (INDEX(ResponseSLA[#All],(MATCH((G301),ResponseSLA[Priority],0))+1,3)),"YES","No")</f>
        <v>YES</v>
      </c>
      <c r="AI301" s="61" t="str">
        <f ca="1">_xlfn.IFNA(IF(AE301 &lt; (INDEX(SLATable[Minimum SLA],MATCH(G301,SLATable[Priority],0))),"YES","NO"),"")</f>
        <v>YES</v>
      </c>
      <c r="AJ301" s="61" t="str">
        <f ca="1">_xlfn.IFNA(IF(AE301 &lt; (INDEX(SLATable[Maximum SLA],MATCH(G301,SLATable[Priority],0))),"YES","NO"),"")</f>
        <v>YES</v>
      </c>
    </row>
    <row r="302" spans="1:36" s="60" customFormat="1" ht="15" hidden="1" customHeight="1">
      <c r="A302" s="60">
        <v>301</v>
      </c>
      <c r="B302" s="60" t="s">
        <v>26</v>
      </c>
      <c r="C302" s="60" t="s">
        <v>27</v>
      </c>
      <c r="D302" s="60" t="s">
        <v>208</v>
      </c>
      <c r="E302" s="60" t="s">
        <v>3188</v>
      </c>
      <c r="F302" s="60" t="s">
        <v>320</v>
      </c>
      <c r="G302" s="105" t="s">
        <v>208</v>
      </c>
      <c r="H302" s="212" t="s">
        <v>3189</v>
      </c>
      <c r="I302" s="105" t="s">
        <v>260</v>
      </c>
      <c r="J302" s="60" t="s">
        <v>3015</v>
      </c>
      <c r="K302" s="106">
        <v>46177.334374999999</v>
      </c>
      <c r="L302" s="106">
        <v>46177.334479166668</v>
      </c>
      <c r="M302" s="106">
        <v>46177.420127314814</v>
      </c>
      <c r="N302" s="106"/>
      <c r="O302" s="106"/>
      <c r="P302" s="106"/>
      <c r="Z302" s="107">
        <f t="shared" ca="1" si="33"/>
        <v>22.049601736114713</v>
      </c>
      <c r="AA302" s="108">
        <f t="shared" ca="1" si="34"/>
        <v>58.798937962972573</v>
      </c>
      <c r="AB302" s="107">
        <f t="shared" ca="1" si="35"/>
        <v>22.049497569445524</v>
      </c>
      <c r="AC302" s="108">
        <f t="shared" ca="1" si="36"/>
        <v>58.798660185188069</v>
      </c>
      <c r="AD302" s="107">
        <f t="shared" ca="1" si="32"/>
        <v>8.5648148145992309E-2</v>
      </c>
      <c r="AE302" s="107">
        <f t="shared" ca="1" si="37"/>
        <v>22.203062384258377</v>
      </c>
      <c r="AF302" s="108">
        <f t="shared" ca="1" si="38"/>
        <v>59.208166358022339</v>
      </c>
      <c r="AG302" s="108">
        <f t="shared" ca="1" si="31"/>
        <v>59.208166358022339</v>
      </c>
      <c r="AH302" s="61" t="str" cm="1">
        <f t="array" aca="1" ref="AH302" ca="1">IF((AD302) &lt; (INDEX(ResponseSLA[#All],(MATCH((G302),ResponseSLA[Priority],0))+1,3)),"YES","No")</f>
        <v>YES</v>
      </c>
      <c r="AI302" s="61" t="str">
        <f ca="1">_xlfn.IFNA(IF(AE302 &lt; (INDEX(SLATable[Minimum SLA],MATCH(G302,SLATable[Priority],0))),"YES","NO"),"")</f>
        <v>NO</v>
      </c>
      <c r="AJ302" s="61" t="str">
        <f ca="1">_xlfn.IFNA(IF(AE302 &lt; (INDEX(SLATable[Maximum SLA],MATCH(G302,SLATable[Priority],0))),"YES","NO"),"")</f>
        <v>NO</v>
      </c>
    </row>
    <row r="303" spans="1:36" s="60" customFormat="1" ht="15" hidden="1" customHeight="1">
      <c r="A303" s="60">
        <v>302</v>
      </c>
      <c r="B303" s="60" t="s">
        <v>26</v>
      </c>
      <c r="C303" s="60" t="s">
        <v>27</v>
      </c>
      <c r="D303" s="60" t="s">
        <v>207</v>
      </c>
      <c r="E303" s="60" t="s">
        <v>3192</v>
      </c>
      <c r="F303" s="60" t="s">
        <v>318</v>
      </c>
      <c r="G303" s="105">
        <v>3</v>
      </c>
      <c r="H303" s="212" t="s">
        <v>2724</v>
      </c>
      <c r="I303" s="105" t="s">
        <v>271</v>
      </c>
      <c r="J303" s="60" t="s">
        <v>2738</v>
      </c>
      <c r="K303" s="106">
        <v>46177.594363425924</v>
      </c>
      <c r="L303" s="106">
        <v>46177.594363425924</v>
      </c>
      <c r="M303" s="106">
        <v>46177.644699074073</v>
      </c>
      <c r="N303" s="106">
        <v>46178.214780092596</v>
      </c>
      <c r="O303" s="106"/>
      <c r="P303" s="106"/>
      <c r="Q303" s="60" t="s">
        <v>2726</v>
      </c>
      <c r="Z303" s="107">
        <f t="shared" ca="1" si="33"/>
        <v>0.11396990740953095</v>
      </c>
      <c r="AA303" s="108">
        <f t="shared" ca="1" si="34"/>
        <v>0.30391975309208252</v>
      </c>
      <c r="AB303" s="107">
        <f t="shared" ca="1" si="35"/>
        <v>0.11396990740953095</v>
      </c>
      <c r="AC303" s="108">
        <f t="shared" ca="1" si="36"/>
        <v>0.30391975309208252</v>
      </c>
      <c r="AD303" s="107">
        <f t="shared" ca="1" si="32"/>
        <v>5.0335648149484769E-2</v>
      </c>
      <c r="AE303" s="107">
        <f t="shared" ca="1" si="37"/>
        <v>0.11396990740953095</v>
      </c>
      <c r="AF303" s="108">
        <f t="shared" ca="1" si="38"/>
        <v>0.30391975309208252</v>
      </c>
      <c r="AG303" s="108">
        <f t="shared" ca="1" si="31"/>
        <v>0.30391975309208252</v>
      </c>
      <c r="AH303" s="61" t="str" cm="1">
        <f t="array" aca="1" ref="AH303" ca="1">IF((AD303) &lt; (INDEX(ResponseSLA[#All],(MATCH((G303),ResponseSLA[Priority],0))+1,3)),"YES","No")</f>
        <v>YES</v>
      </c>
      <c r="AI303" s="61" t="str">
        <f ca="1">_xlfn.IFNA(IF(AE303 &lt; (INDEX(SLATable[Minimum SLA],MATCH(G303,SLATable[Priority],0))),"YES","NO"),"")</f>
        <v>YES</v>
      </c>
      <c r="AJ303" s="61" t="str">
        <f ca="1">_xlfn.IFNA(IF(AE303 &lt; (INDEX(SLATable[Maximum SLA],MATCH(G303,SLATable[Priority],0))),"YES","NO"),"")</f>
        <v>YES</v>
      </c>
    </row>
    <row r="304" spans="1:36" s="60" customFormat="1" ht="15" hidden="1" customHeight="1">
      <c r="A304" s="60">
        <v>303</v>
      </c>
      <c r="B304" s="60" t="s">
        <v>26</v>
      </c>
      <c r="C304" s="60" t="s">
        <v>27</v>
      </c>
      <c r="D304" s="60" t="s">
        <v>207</v>
      </c>
      <c r="E304" s="60" t="s">
        <v>3193</v>
      </c>
      <c r="F304" s="60" t="s">
        <v>318</v>
      </c>
      <c r="G304" s="105">
        <v>3</v>
      </c>
      <c r="H304" s="212" t="s">
        <v>3194</v>
      </c>
      <c r="I304" s="105" t="s">
        <v>275</v>
      </c>
      <c r="J304" s="60" t="s">
        <v>2772</v>
      </c>
      <c r="K304" s="106">
        <v>46177.630972222221</v>
      </c>
      <c r="L304" s="106">
        <v>46177.632349537038</v>
      </c>
      <c r="M304" s="106">
        <v>46177.644236111111</v>
      </c>
      <c r="N304" s="62">
        <v>46185.319247685184</v>
      </c>
      <c r="O304" s="106"/>
      <c r="P304" s="106"/>
      <c r="Q304" s="60" t="s">
        <v>3195</v>
      </c>
      <c r="Z304" s="107">
        <f t="shared" ca="1" si="33"/>
        <v>1.9523611111120172</v>
      </c>
      <c r="AA304" s="108">
        <f t="shared" ca="1" si="34"/>
        <v>5.2062962962987127</v>
      </c>
      <c r="AB304" s="107">
        <f t="shared" ca="1" si="35"/>
        <v>1.9509837962953807</v>
      </c>
      <c r="AC304" s="108">
        <f t="shared" ca="1" si="36"/>
        <v>5.2026234567876815</v>
      </c>
      <c r="AD304" s="107">
        <f t="shared" ca="1" si="32"/>
        <v>1.1886574073287193E-2</v>
      </c>
      <c r="AE304" s="107">
        <f t="shared" ca="1" si="37"/>
        <v>1.9509837962953807</v>
      </c>
      <c r="AF304" s="108">
        <f t="shared" ca="1" si="38"/>
        <v>5.2026234567876815</v>
      </c>
      <c r="AG304" s="108">
        <f t="shared" ca="1" si="31"/>
        <v>5.2026234567876815</v>
      </c>
      <c r="AH304" s="61" t="str" cm="1">
        <f t="array" aca="1" ref="AH304" ca="1">IF((AD304) &lt; (INDEX(ResponseSLA[#All],(MATCH((G304),ResponseSLA[Priority],0))+1,3)),"YES","No")</f>
        <v>YES</v>
      </c>
      <c r="AI304" s="61" t="str">
        <f ca="1">_xlfn.IFNA(IF(AE304 &lt; (INDEX(SLATable[Minimum SLA],MATCH(G304,SLATable[Priority],0))),"YES","NO"),"")</f>
        <v>NO</v>
      </c>
      <c r="AJ304" s="61" t="str">
        <f ca="1">_xlfn.IFNA(IF(AE304 &lt; (INDEX(SLATable[Maximum SLA],MATCH(G304,SLATable[Priority],0))),"YES","NO"),"")</f>
        <v>NO</v>
      </c>
    </row>
    <row r="305" spans="1:36" s="60" customFormat="1" ht="15" hidden="1" customHeight="1">
      <c r="A305" s="60">
        <v>304</v>
      </c>
      <c r="B305" s="60" t="s">
        <v>26</v>
      </c>
      <c r="C305" s="60" t="s">
        <v>27</v>
      </c>
      <c r="D305" s="60" t="s">
        <v>207</v>
      </c>
      <c r="E305" s="60" t="s">
        <v>3196</v>
      </c>
      <c r="F305" s="60" t="s">
        <v>318</v>
      </c>
      <c r="G305" s="105">
        <v>3</v>
      </c>
      <c r="H305" s="212" t="s">
        <v>2707</v>
      </c>
      <c r="I305" s="105" t="s">
        <v>271</v>
      </c>
      <c r="J305" s="60" t="s">
        <v>2708</v>
      </c>
      <c r="K305" s="106">
        <v>46177.648009259261</v>
      </c>
      <c r="L305" s="106">
        <v>46177.648020833331</v>
      </c>
      <c r="M305" s="106">
        <v>46178.202407407407</v>
      </c>
      <c r="N305" s="106">
        <v>46178.217858796299</v>
      </c>
      <c r="O305" s="106"/>
      <c r="P305" s="106"/>
      <c r="Q305" s="60" t="s">
        <v>2709</v>
      </c>
      <c r="R305" s="60" t="s">
        <v>272</v>
      </c>
      <c r="S305" s="60" t="s">
        <v>165</v>
      </c>
      <c r="W305" s="106"/>
      <c r="Z305" s="107">
        <f t="shared" ca="1" si="33"/>
        <v>6.0324074072317102E-2</v>
      </c>
      <c r="AA305" s="108">
        <f t="shared" ca="1" si="34"/>
        <v>0.16086419752617895</v>
      </c>
      <c r="AB305" s="107">
        <f t="shared" ca="1" si="35"/>
        <v>6.0312500002813407E-2</v>
      </c>
      <c r="AC305" s="108">
        <f t="shared" ca="1" si="36"/>
        <v>0.16083333334083574</v>
      </c>
      <c r="AD305" s="107">
        <f t="shared" ca="1" si="32"/>
        <v>6.0312500002813407E-2</v>
      </c>
      <c r="AE305" s="107">
        <f t="shared" ca="1" si="37"/>
        <v>6.0312500002813407E-2</v>
      </c>
      <c r="AF305" s="108">
        <f t="shared" ca="1" si="38"/>
        <v>0.16083333334083574</v>
      </c>
      <c r="AG305" s="108">
        <f t="shared" ca="1" si="31"/>
        <v>0.16083333334083574</v>
      </c>
      <c r="AH305" s="61" t="str" cm="1">
        <f t="array" aca="1" ref="AH305" ca="1">IF((AD305) &lt; (INDEX(ResponseSLA[#All],(MATCH((G305),ResponseSLA[Priority],0))+1,3)),"YES","No")</f>
        <v>YES</v>
      </c>
      <c r="AI305" s="61" t="str">
        <f ca="1">_xlfn.IFNA(IF(AE305 &lt; (INDEX(SLATable[Minimum SLA],MATCH(G305,SLATable[Priority],0))),"YES","NO"),"")</f>
        <v>YES</v>
      </c>
      <c r="AJ305" s="61" t="str">
        <f ca="1">_xlfn.IFNA(IF(AE305 &lt; (INDEX(SLATable[Maximum SLA],MATCH(G305,SLATable[Priority],0))),"YES","NO"),"")</f>
        <v>YES</v>
      </c>
    </row>
    <row r="306" spans="1:36" s="60" customFormat="1" ht="15" hidden="1" customHeight="1">
      <c r="A306" s="60">
        <v>305</v>
      </c>
      <c r="B306" s="60" t="s">
        <v>26</v>
      </c>
      <c r="C306" s="60" t="s">
        <v>27</v>
      </c>
      <c r="D306" s="60" t="s">
        <v>207</v>
      </c>
      <c r="E306" s="60" t="s">
        <v>3197</v>
      </c>
      <c r="F306" s="60" t="s">
        <v>318</v>
      </c>
      <c r="G306" s="105">
        <v>4</v>
      </c>
      <c r="H306" s="212" t="s">
        <v>3198</v>
      </c>
      <c r="I306" s="105" t="s">
        <v>271</v>
      </c>
      <c r="J306" s="60" t="s">
        <v>3199</v>
      </c>
      <c r="K306" s="217">
        <v>46177.849895833337</v>
      </c>
      <c r="L306" s="106">
        <v>46177.849930555552</v>
      </c>
      <c r="M306" s="106">
        <v>46178.211261574077</v>
      </c>
      <c r="N306" s="106">
        <v>46186.510393518518</v>
      </c>
      <c r="O306" s="106"/>
      <c r="P306" s="106"/>
      <c r="Z306" s="107">
        <f t="shared" ca="1" si="33"/>
        <v>1.8750000000000004</v>
      </c>
      <c r="AA306" s="108">
        <f t="shared" ca="1" si="34"/>
        <v>5.0000000000000018</v>
      </c>
      <c r="AB306" s="107">
        <f t="shared" ca="1" si="35"/>
        <v>1.8750000000000004</v>
      </c>
      <c r="AC306" s="108">
        <f t="shared" ca="1" si="36"/>
        <v>5.0000000000000018</v>
      </c>
      <c r="AD306" s="107">
        <f t="shared" ca="1" si="32"/>
        <v>0</v>
      </c>
      <c r="AE306" s="107">
        <f t="shared" ca="1" si="37"/>
        <v>1.8750000000000004</v>
      </c>
      <c r="AF306" s="108">
        <f t="shared" ca="1" si="38"/>
        <v>5.0000000000000018</v>
      </c>
      <c r="AG306" s="108">
        <f t="shared" ca="1" si="31"/>
        <v>5.0000000000000018</v>
      </c>
      <c r="AH306" s="61" t="str" cm="1">
        <f t="array" aca="1" ref="AH306" ca="1">IF((AD306) &lt; (INDEX(ResponseSLA[#All],(MATCH((G306),ResponseSLA[Priority],0))+1,3)),"YES","No")</f>
        <v>YES</v>
      </c>
      <c r="AI306" s="61" t="str">
        <f ca="1">_xlfn.IFNA(IF(AE306 &lt; (INDEX(SLATable[Minimum SLA],MATCH(G306,SLATable[Priority],0))),"YES","NO"),"")</f>
        <v>YES</v>
      </c>
      <c r="AJ306" s="61" t="str">
        <f ca="1">_xlfn.IFNA(IF(AE306 &lt; (INDEX(SLATable[Maximum SLA],MATCH(G306,SLATable[Priority],0))),"YES","NO"),"")</f>
        <v>YES</v>
      </c>
    </row>
    <row r="307" spans="1:36" s="60" customFormat="1" ht="15" hidden="1" customHeight="1">
      <c r="A307" s="60">
        <v>306</v>
      </c>
      <c r="B307" s="60" t="s">
        <v>26</v>
      </c>
      <c r="C307" s="60" t="s">
        <v>27</v>
      </c>
      <c r="D307" s="60" t="s">
        <v>207</v>
      </c>
      <c r="E307" s="60" t="s">
        <v>3200</v>
      </c>
      <c r="F307" s="60" t="s">
        <v>318</v>
      </c>
      <c r="G307" s="105">
        <v>3</v>
      </c>
      <c r="H307" s="212" t="s">
        <v>2775</v>
      </c>
      <c r="I307" s="105" t="s">
        <v>271</v>
      </c>
      <c r="J307" s="60" t="s">
        <v>2738</v>
      </c>
      <c r="K307" s="106">
        <v>46177.740682870368</v>
      </c>
      <c r="L307" s="106">
        <v>46177.740763888891</v>
      </c>
      <c r="M307" s="106">
        <v>46178.214918981481</v>
      </c>
      <c r="N307" s="106">
        <v>46181.433368055557</v>
      </c>
      <c r="O307" s="106"/>
      <c r="P307" s="106"/>
      <c r="Z307" s="107">
        <f t="shared" ca="1" si="33"/>
        <v>0.47503472222403309</v>
      </c>
      <c r="AA307" s="108">
        <f t="shared" ca="1" si="34"/>
        <v>1.2667592592640884</v>
      </c>
      <c r="AB307" s="107">
        <f t="shared" ca="1" si="35"/>
        <v>0.47503472222403309</v>
      </c>
      <c r="AC307" s="108">
        <f t="shared" ca="1" si="36"/>
        <v>1.2667592592640884</v>
      </c>
      <c r="AD307" s="107">
        <f t="shared" ca="1" si="32"/>
        <v>0</v>
      </c>
      <c r="AE307" s="107">
        <f t="shared" ca="1" si="37"/>
        <v>0.47503472222403309</v>
      </c>
      <c r="AF307" s="108">
        <f t="shared" ca="1" si="38"/>
        <v>1.2667592592640884</v>
      </c>
      <c r="AG307" s="108">
        <f t="shared" ca="1" si="31"/>
        <v>1.2667592592640884</v>
      </c>
      <c r="AH307" s="61" t="str" cm="1">
        <f t="array" aca="1" ref="AH307" ca="1">IF((AD307) &lt; (INDEX(ResponseSLA[#All],(MATCH((G307),ResponseSLA[Priority],0))+1,3)),"YES","No")</f>
        <v>YES</v>
      </c>
      <c r="AI307" s="61" t="str">
        <f ca="1">_xlfn.IFNA(IF(AE307 &lt; (INDEX(SLATable[Minimum SLA],MATCH(G307,SLATable[Priority],0))),"YES","NO"),"")</f>
        <v>NO</v>
      </c>
      <c r="AJ307" s="61" t="str">
        <f ca="1">_xlfn.IFNA(IF(AE307 &lt; (INDEX(SLATable[Maximum SLA],MATCH(G307,SLATable[Priority],0))),"YES","NO"),"")</f>
        <v>YES</v>
      </c>
    </row>
    <row r="308" spans="1:36" s="60" customFormat="1" ht="15" hidden="1" customHeight="1">
      <c r="A308" s="60">
        <v>307</v>
      </c>
      <c r="B308" s="60" t="s">
        <v>26</v>
      </c>
      <c r="C308" s="60" t="s">
        <v>27</v>
      </c>
      <c r="D308" s="60" t="s">
        <v>207</v>
      </c>
      <c r="E308" s="60" t="s">
        <v>3201</v>
      </c>
      <c r="F308" s="60" t="s">
        <v>318</v>
      </c>
      <c r="G308" s="105">
        <v>3</v>
      </c>
      <c r="H308" s="212" t="s">
        <v>2724</v>
      </c>
      <c r="I308" s="105" t="s">
        <v>271</v>
      </c>
      <c r="J308" s="60" t="s">
        <v>2738</v>
      </c>
      <c r="K308" s="106">
        <v>46178.546134259261</v>
      </c>
      <c r="L308" s="106">
        <v>46178.546168981484</v>
      </c>
      <c r="M308" s="106">
        <v>46178.558067129627</v>
      </c>
      <c r="N308" s="106">
        <v>46179.415659722225</v>
      </c>
      <c r="O308" s="106"/>
      <c r="P308" s="106"/>
      <c r="Z308" s="107">
        <f t="shared" ca="1" si="33"/>
        <v>0</v>
      </c>
      <c r="AA308" s="108">
        <f t="shared" ca="1" si="34"/>
        <v>0</v>
      </c>
      <c r="AB308" s="107">
        <f t="shared" ca="1" si="35"/>
        <v>0</v>
      </c>
      <c r="AC308" s="108">
        <f t="shared" ca="1" si="36"/>
        <v>0</v>
      </c>
      <c r="AD308" s="107">
        <f t="shared" ca="1" si="32"/>
        <v>1.1898148142790888E-2</v>
      </c>
      <c r="AE308" s="107">
        <f t="shared" ca="1" si="37"/>
        <v>0</v>
      </c>
      <c r="AF308" s="108">
        <f t="shared" ca="1" si="38"/>
        <v>0</v>
      </c>
      <c r="AG308" s="108">
        <f t="shared" ca="1" si="31"/>
        <v>0</v>
      </c>
      <c r="AH308" s="61" t="str" cm="1">
        <f t="array" aca="1" ref="AH308" ca="1">IF((AD308) &lt; (INDEX(ResponseSLA[#All],(MATCH((G308),ResponseSLA[Priority],0))+1,3)),"YES","No")</f>
        <v>YES</v>
      </c>
      <c r="AI308" s="61" t="str">
        <f ca="1">_xlfn.IFNA(IF(AE308 &lt; (INDEX(SLATable[Minimum SLA],MATCH(G308,SLATable[Priority],0))),"YES","NO"),"")</f>
        <v>YES</v>
      </c>
      <c r="AJ308" s="61" t="str">
        <f ca="1">_xlfn.IFNA(IF(AE308 &lt; (INDEX(SLATable[Maximum SLA],MATCH(G308,SLATable[Priority],0))),"YES","NO"),"")</f>
        <v>YES</v>
      </c>
    </row>
    <row r="309" spans="1:36" s="60" customFormat="1" ht="15" hidden="1" customHeight="1">
      <c r="A309" s="60">
        <v>308</v>
      </c>
      <c r="B309" s="60" t="s">
        <v>26</v>
      </c>
      <c r="C309" s="60" t="s">
        <v>27</v>
      </c>
      <c r="D309" s="60" t="s">
        <v>207</v>
      </c>
      <c r="E309" s="60" t="s">
        <v>3202</v>
      </c>
      <c r="F309" s="60" t="s">
        <v>318</v>
      </c>
      <c r="G309" s="105">
        <v>3</v>
      </c>
      <c r="H309" s="212" t="s">
        <v>2724</v>
      </c>
      <c r="I309" s="105" t="s">
        <v>271</v>
      </c>
      <c r="J309" s="60" t="s">
        <v>2751</v>
      </c>
      <c r="K309" s="106">
        <v>46178.545555555553</v>
      </c>
      <c r="L309" s="106">
        <v>46178.545624999999</v>
      </c>
      <c r="M309" s="106">
        <v>46178.559537037036</v>
      </c>
      <c r="N309" s="106">
        <v>46181.25675925926</v>
      </c>
      <c r="O309" s="106"/>
      <c r="P309" s="106"/>
      <c r="Z309" s="107">
        <f t="shared" ca="1" si="33"/>
        <v>0.16277777778062352</v>
      </c>
      <c r="AA309" s="108">
        <f t="shared" ca="1" si="34"/>
        <v>0.43407407408166271</v>
      </c>
      <c r="AB309" s="107">
        <f t="shared" ca="1" si="35"/>
        <v>0.16270833333449752</v>
      </c>
      <c r="AC309" s="108">
        <f t="shared" ca="1" si="36"/>
        <v>0.4338888888919934</v>
      </c>
      <c r="AD309" s="107">
        <f t="shared" ca="1" si="32"/>
        <v>1.3912037036789116E-2</v>
      </c>
      <c r="AE309" s="107">
        <f t="shared" ca="1" si="37"/>
        <v>0.16270833333449752</v>
      </c>
      <c r="AF309" s="108">
        <f t="shared" ca="1" si="38"/>
        <v>0.4338888888919934</v>
      </c>
      <c r="AG309" s="108">
        <f t="shared" ca="1" si="31"/>
        <v>0.4338888888919934</v>
      </c>
      <c r="AH309" s="61" t="str" cm="1">
        <f t="array" aca="1" ref="AH309" ca="1">IF((AD309) &lt; (INDEX(ResponseSLA[#All],(MATCH((G309),ResponseSLA[Priority],0))+1,3)),"YES","No")</f>
        <v>YES</v>
      </c>
      <c r="AI309" s="61" t="str">
        <f ca="1">_xlfn.IFNA(IF(AE309 &lt; (INDEX(SLATable[Minimum SLA],MATCH(G309,SLATable[Priority],0))),"YES","NO"),"")</f>
        <v>YES</v>
      </c>
      <c r="AJ309" s="61" t="str">
        <f ca="1">_xlfn.IFNA(IF(AE309 &lt; (INDEX(SLATable[Maximum SLA],MATCH(G309,SLATable[Priority],0))),"YES","NO"),"")</f>
        <v>YES</v>
      </c>
    </row>
    <row r="310" spans="1:36" s="60" customFormat="1" ht="15" hidden="1" customHeight="1">
      <c r="A310" s="60">
        <v>309</v>
      </c>
      <c r="B310" s="60" t="s">
        <v>26</v>
      </c>
      <c r="C310" s="60" t="s">
        <v>27</v>
      </c>
      <c r="D310" s="60" t="s">
        <v>207</v>
      </c>
      <c r="E310" s="60" t="s">
        <v>3203</v>
      </c>
      <c r="F310" s="60" t="s">
        <v>318</v>
      </c>
      <c r="G310" s="105">
        <v>3</v>
      </c>
      <c r="H310" s="212" t="s">
        <v>3204</v>
      </c>
      <c r="I310" s="105" t="s">
        <v>271</v>
      </c>
      <c r="J310" s="60" t="s">
        <v>2751</v>
      </c>
      <c r="K310" s="106">
        <v>46179.372094907405</v>
      </c>
      <c r="L310" s="106">
        <v>46179.380509259259</v>
      </c>
      <c r="M310" s="106">
        <v>46179.385671296295</v>
      </c>
      <c r="N310" s="106">
        <v>46179.412534722222</v>
      </c>
      <c r="O310" s="106"/>
      <c r="P310" s="106"/>
      <c r="Z310" s="107">
        <f t="shared" ca="1" si="33"/>
        <v>0</v>
      </c>
      <c r="AA310" s="108">
        <f t="shared" ca="1" si="34"/>
        <v>0</v>
      </c>
      <c r="AB310" s="107">
        <f t="shared" ca="1" si="35"/>
        <v>0</v>
      </c>
      <c r="AC310" s="108">
        <f t="shared" ca="1" si="36"/>
        <v>0</v>
      </c>
      <c r="AD310" s="107">
        <f t="shared" ca="1" si="32"/>
        <v>0</v>
      </c>
      <c r="AE310" s="107">
        <f t="shared" ca="1" si="37"/>
        <v>0</v>
      </c>
      <c r="AF310" s="108">
        <f t="shared" ca="1" si="38"/>
        <v>0</v>
      </c>
      <c r="AG310" s="108">
        <f t="shared" ca="1" si="31"/>
        <v>0</v>
      </c>
      <c r="AH310" s="61" t="str" cm="1">
        <f t="array" aca="1" ref="AH310" ca="1">IF((AD310) &lt; (INDEX(ResponseSLA[#All],(MATCH((G310),ResponseSLA[Priority],0))+1,3)),"YES","No")</f>
        <v>YES</v>
      </c>
      <c r="AI310" s="61" t="str">
        <f ca="1">_xlfn.IFNA(IF(AE310 &lt; (INDEX(SLATable[Minimum SLA],MATCH(G310,SLATable[Priority],0))),"YES","NO"),"")</f>
        <v>YES</v>
      </c>
      <c r="AJ310" s="61" t="str">
        <f ca="1">_xlfn.IFNA(IF(AE310 &lt; (INDEX(SLATable[Maximum SLA],MATCH(G310,SLATable[Priority],0))),"YES","NO"),"")</f>
        <v>YES</v>
      </c>
    </row>
    <row r="311" spans="1:36" s="60" customFormat="1" ht="15" hidden="1" customHeight="1">
      <c r="A311" s="60">
        <v>310</v>
      </c>
      <c r="B311" s="60" t="s">
        <v>26</v>
      </c>
      <c r="C311" s="60" t="s">
        <v>27</v>
      </c>
      <c r="D311" s="60" t="s">
        <v>207</v>
      </c>
      <c r="E311" s="60" t="s">
        <v>3205</v>
      </c>
      <c r="F311" s="60" t="s">
        <v>318</v>
      </c>
      <c r="G311" s="105">
        <v>3</v>
      </c>
      <c r="H311" s="212" t="s">
        <v>2775</v>
      </c>
      <c r="I311" s="105" t="s">
        <v>271</v>
      </c>
      <c r="J311" s="60" t="s">
        <v>2725</v>
      </c>
      <c r="K311" s="106">
        <v>46181.179108796299</v>
      </c>
      <c r="L311" s="106">
        <v>46181.179108796299</v>
      </c>
      <c r="M311" s="106">
        <v>46181.265844907408</v>
      </c>
      <c r="N311" s="106">
        <v>46181.435740740744</v>
      </c>
      <c r="O311" s="106"/>
      <c r="P311" s="106"/>
      <c r="Q311" s="60" t="s">
        <v>2776</v>
      </c>
      <c r="R311" s="60" t="s">
        <v>272</v>
      </c>
      <c r="S311" s="60" t="s">
        <v>149</v>
      </c>
      <c r="Z311" s="107">
        <f t="shared" ca="1" si="33"/>
        <v>0.10240740741088911</v>
      </c>
      <c r="AA311" s="108">
        <f t="shared" ca="1" si="34"/>
        <v>0.27308641976237097</v>
      </c>
      <c r="AB311" s="107">
        <f t="shared" ca="1" si="35"/>
        <v>0.10240740741088911</v>
      </c>
      <c r="AC311" s="108">
        <f t="shared" ca="1" si="36"/>
        <v>0.27308641976237097</v>
      </c>
      <c r="AD311" s="107">
        <f t="shared" ca="1" si="32"/>
        <v>0</v>
      </c>
      <c r="AE311" s="107">
        <f t="shared" ca="1" si="37"/>
        <v>0.10240740741088911</v>
      </c>
      <c r="AF311" s="108">
        <f t="shared" ca="1" si="38"/>
        <v>0.27308641976237097</v>
      </c>
      <c r="AG311" s="108">
        <f t="shared" ca="1" si="31"/>
        <v>0.27308641976237097</v>
      </c>
      <c r="AH311" s="61" t="str" cm="1">
        <f t="array" aca="1" ref="AH311" ca="1">IF((AD311) &lt; (INDEX(ResponseSLA[#All],(MATCH((G311),ResponseSLA[Priority],0))+1,3)),"YES","No")</f>
        <v>YES</v>
      </c>
      <c r="AI311" s="61" t="str">
        <f ca="1">_xlfn.IFNA(IF(AE311 &lt; (INDEX(SLATable[Minimum SLA],MATCH(G311,SLATable[Priority],0))),"YES","NO"),"")</f>
        <v>YES</v>
      </c>
      <c r="AJ311" s="61" t="str">
        <f ca="1">_xlfn.IFNA(IF(AE311 &lt; (INDEX(SLATable[Maximum SLA],MATCH(G311,SLATable[Priority],0))),"YES","NO"),"")</f>
        <v>YES</v>
      </c>
    </row>
    <row r="312" spans="1:36" s="60" customFormat="1" ht="15" hidden="1" customHeight="1">
      <c r="A312" s="60">
        <v>311</v>
      </c>
      <c r="B312" s="60" t="s">
        <v>26</v>
      </c>
      <c r="C312" s="60" t="s">
        <v>27</v>
      </c>
      <c r="D312" s="60" t="s">
        <v>207</v>
      </c>
      <c r="E312" s="60" t="s">
        <v>3206</v>
      </c>
      <c r="F312" s="60" t="s">
        <v>318</v>
      </c>
      <c r="G312" s="105">
        <v>3</v>
      </c>
      <c r="H312" s="212" t="s">
        <v>2775</v>
      </c>
      <c r="I312" s="105" t="s">
        <v>271</v>
      </c>
      <c r="J312" s="60" t="s">
        <v>2772</v>
      </c>
      <c r="K312" s="106">
        <v>46179.408750000002</v>
      </c>
      <c r="L312" s="106">
        <v>46179.408750000002</v>
      </c>
      <c r="M312" s="106">
        <v>46181.266840277778</v>
      </c>
      <c r="N312" s="106">
        <v>46181.437696759262</v>
      </c>
      <c r="O312" s="106"/>
      <c r="P312" s="106"/>
      <c r="Q312" s="60" t="s">
        <v>2776</v>
      </c>
      <c r="R312" s="60" t="s">
        <v>272</v>
      </c>
      <c r="S312" s="60" t="s">
        <v>149</v>
      </c>
      <c r="T312" s="60" t="s">
        <v>1519</v>
      </c>
      <c r="Z312" s="107">
        <f t="shared" ca="1" si="33"/>
        <v>0.10436342592826503</v>
      </c>
      <c r="AA312" s="108">
        <f t="shared" ca="1" si="34"/>
        <v>0.2783024691420401</v>
      </c>
      <c r="AB312" s="107">
        <f t="shared" ca="1" si="35"/>
        <v>0.10436342592826503</v>
      </c>
      <c r="AC312" s="108">
        <f t="shared" ca="1" si="36"/>
        <v>0.2783024691420401</v>
      </c>
      <c r="AD312" s="107">
        <f t="shared" ca="1" si="32"/>
        <v>0</v>
      </c>
      <c r="AE312" s="107">
        <f t="shared" ca="1" si="37"/>
        <v>0.10436342592826503</v>
      </c>
      <c r="AF312" s="108">
        <f t="shared" ca="1" si="38"/>
        <v>0.2783024691420401</v>
      </c>
      <c r="AG312" s="108">
        <f t="shared" ca="1" si="31"/>
        <v>0.2783024691420401</v>
      </c>
      <c r="AH312" s="61" t="str" cm="1">
        <f t="array" aca="1" ref="AH312" ca="1">IF((AD312) &lt; (INDEX(ResponseSLA[#All],(MATCH((G312),ResponseSLA[Priority],0))+1,3)),"YES","No")</f>
        <v>YES</v>
      </c>
      <c r="AI312" s="61" t="str">
        <f ca="1">_xlfn.IFNA(IF(AE312 &lt; (INDEX(SLATable[Minimum SLA],MATCH(G312,SLATable[Priority],0))),"YES","NO"),"")</f>
        <v>YES</v>
      </c>
      <c r="AJ312" s="61" t="str">
        <f ca="1">_xlfn.IFNA(IF(AE312 &lt; (INDEX(SLATable[Maximum SLA],MATCH(G312,SLATable[Priority],0))),"YES","NO"),"")</f>
        <v>YES</v>
      </c>
    </row>
    <row r="313" spans="1:36" s="60" customFormat="1" ht="15" hidden="1" customHeight="1">
      <c r="A313" s="60">
        <v>312</v>
      </c>
      <c r="B313" s="60" t="s">
        <v>26</v>
      </c>
      <c r="C313" s="60" t="s">
        <v>27</v>
      </c>
      <c r="D313" s="60" t="s">
        <v>207</v>
      </c>
      <c r="E313" s="60" t="s">
        <v>3207</v>
      </c>
      <c r="F313" s="60" t="s">
        <v>318</v>
      </c>
      <c r="G313" s="105">
        <v>3</v>
      </c>
      <c r="H313" s="212" t="s">
        <v>2724</v>
      </c>
      <c r="I313" s="105" t="s">
        <v>271</v>
      </c>
      <c r="J313" s="60" t="s">
        <v>2738</v>
      </c>
      <c r="K313" s="106">
        <v>46179.376215277778</v>
      </c>
      <c r="L313" s="106">
        <v>46179.376215277778</v>
      </c>
      <c r="M313" s="106">
        <v>46181.267800925925</v>
      </c>
      <c r="N313" s="106">
        <v>46181.431516203702</v>
      </c>
      <c r="O313" s="106"/>
      <c r="P313" s="106"/>
      <c r="Z313" s="107">
        <f t="shared" ca="1" si="33"/>
        <v>9.8182870368570263E-2</v>
      </c>
      <c r="AA313" s="108">
        <f t="shared" ca="1" si="34"/>
        <v>0.26182098764952072</v>
      </c>
      <c r="AB313" s="107">
        <f t="shared" ca="1" si="35"/>
        <v>9.8182870368570263E-2</v>
      </c>
      <c r="AC313" s="108">
        <f t="shared" ca="1" si="36"/>
        <v>0.26182098764952072</v>
      </c>
      <c r="AD313" s="107">
        <f t="shared" ca="1" si="32"/>
        <v>0</v>
      </c>
      <c r="AE313" s="107">
        <f t="shared" ca="1" si="37"/>
        <v>9.8182870368570263E-2</v>
      </c>
      <c r="AF313" s="108">
        <f t="shared" ca="1" si="38"/>
        <v>0.26182098764952072</v>
      </c>
      <c r="AG313" s="108">
        <f t="shared" ca="1" si="31"/>
        <v>0.26182098764952072</v>
      </c>
      <c r="AH313" s="61" t="str" cm="1">
        <f t="array" aca="1" ref="AH313" ca="1">IF((AD313) &lt; (INDEX(ResponseSLA[#All],(MATCH((G313),ResponseSLA[Priority],0))+1,3)),"YES","No")</f>
        <v>YES</v>
      </c>
      <c r="AI313" s="61" t="str">
        <f ca="1">_xlfn.IFNA(IF(AE313 &lt; (INDEX(SLATable[Minimum SLA],MATCH(G313,SLATable[Priority],0))),"YES","NO"),"")</f>
        <v>YES</v>
      </c>
      <c r="AJ313" s="61" t="str">
        <f ca="1">_xlfn.IFNA(IF(AE313 &lt; (INDEX(SLATable[Maximum SLA],MATCH(G313,SLATable[Priority],0))),"YES","NO"),"")</f>
        <v>YES</v>
      </c>
    </row>
    <row r="314" spans="1:36" s="60" customFormat="1" ht="15" hidden="1" customHeight="1">
      <c r="A314" s="60">
        <v>313</v>
      </c>
      <c r="B314" s="60" t="s">
        <v>26</v>
      </c>
      <c r="C314" s="60" t="s">
        <v>27</v>
      </c>
      <c r="D314" s="60" t="s">
        <v>207</v>
      </c>
      <c r="E314" s="60" t="s">
        <v>3208</v>
      </c>
      <c r="F314" s="60" t="s">
        <v>318</v>
      </c>
      <c r="G314" s="105">
        <v>3</v>
      </c>
      <c r="H314" s="212" t="s">
        <v>2923</v>
      </c>
      <c r="I314" s="105" t="s">
        <v>271</v>
      </c>
      <c r="J314" s="60" t="s">
        <v>2708</v>
      </c>
      <c r="K314" s="106">
        <v>46179.011967592596</v>
      </c>
      <c r="L314" s="106">
        <v>46179.018912037034</v>
      </c>
      <c r="M314" s="106">
        <v>46181.268854166665</v>
      </c>
      <c r="N314" s="106">
        <v>46181.300694444442</v>
      </c>
      <c r="O314" s="106"/>
      <c r="P314" s="106"/>
      <c r="Z314" s="107">
        <f t="shared" ca="1" si="33"/>
        <v>0</v>
      </c>
      <c r="AA314" s="108">
        <f t="shared" ca="1" si="34"/>
        <v>0</v>
      </c>
      <c r="AB314" s="107">
        <f t="shared" ca="1" si="35"/>
        <v>0</v>
      </c>
      <c r="AC314" s="108">
        <f t="shared" ca="1" si="36"/>
        <v>0</v>
      </c>
      <c r="AD314" s="107">
        <f t="shared" ca="1" si="32"/>
        <v>0</v>
      </c>
      <c r="AE314" s="107">
        <f t="shared" ca="1" si="37"/>
        <v>0</v>
      </c>
      <c r="AF314" s="108">
        <f t="shared" ca="1" si="38"/>
        <v>0</v>
      </c>
      <c r="AG314" s="108">
        <f t="shared" ca="1" si="31"/>
        <v>0</v>
      </c>
      <c r="AH314" s="61" t="str" cm="1">
        <f t="array" aca="1" ref="AH314" ca="1">IF((AD314) &lt; (INDEX(ResponseSLA[#All],(MATCH((G314),ResponseSLA[Priority],0))+1,3)),"YES","No")</f>
        <v>YES</v>
      </c>
      <c r="AI314" s="61" t="str">
        <f ca="1">_xlfn.IFNA(IF(AE314 &lt; (INDEX(SLATable[Minimum SLA],MATCH(G314,SLATable[Priority],0))),"YES","NO"),"")</f>
        <v>YES</v>
      </c>
      <c r="AJ314" s="61" t="str">
        <f ca="1">_xlfn.IFNA(IF(AE314 &lt; (INDEX(SLATable[Maximum SLA],MATCH(G314,SLATable[Priority],0))),"YES","NO"),"")</f>
        <v>YES</v>
      </c>
    </row>
    <row r="315" spans="1:36" s="60" customFormat="1" ht="15" hidden="1" customHeight="1">
      <c r="A315" s="60">
        <v>314</v>
      </c>
      <c r="B315" s="60" t="s">
        <v>26</v>
      </c>
      <c r="C315" s="60" t="s">
        <v>27</v>
      </c>
      <c r="D315" s="60" t="s">
        <v>207</v>
      </c>
      <c r="E315" s="60" t="s">
        <v>3209</v>
      </c>
      <c r="F315" s="60" t="s">
        <v>318</v>
      </c>
      <c r="G315" s="105">
        <v>4</v>
      </c>
      <c r="H315" s="212" t="s">
        <v>3210</v>
      </c>
      <c r="I315" s="105" t="s">
        <v>271</v>
      </c>
      <c r="J315" s="60" t="s">
        <v>2751</v>
      </c>
      <c r="K315" s="106">
        <v>46180.327361111114</v>
      </c>
      <c r="L315" s="106">
        <v>46180.329780092594</v>
      </c>
      <c r="M315" s="106">
        <v>46181.269768518519</v>
      </c>
      <c r="N315" s="106">
        <v>46181.421550925923</v>
      </c>
      <c r="O315" s="106"/>
      <c r="P315" s="106"/>
      <c r="Z315" s="107">
        <f t="shared" ca="1" si="33"/>
        <v>8.8217592589595994E-2</v>
      </c>
      <c r="AA315" s="108">
        <f t="shared" ca="1" si="34"/>
        <v>0.23524691357225599</v>
      </c>
      <c r="AB315" s="107">
        <f t="shared" ca="1" si="35"/>
        <v>8.8217592589595994E-2</v>
      </c>
      <c r="AC315" s="108">
        <f t="shared" ca="1" si="36"/>
        <v>0.23524691357225599</v>
      </c>
      <c r="AD315" s="107">
        <f t="shared" ca="1" si="32"/>
        <v>0</v>
      </c>
      <c r="AE315" s="107">
        <f t="shared" ca="1" si="37"/>
        <v>8.8217592589595994E-2</v>
      </c>
      <c r="AF315" s="108">
        <f t="shared" ca="1" si="38"/>
        <v>0.23524691357225599</v>
      </c>
      <c r="AG315" s="108">
        <f t="shared" ca="1" si="31"/>
        <v>0.23524691357225599</v>
      </c>
      <c r="AH315" s="61" t="str" cm="1">
        <f t="array" aca="1" ref="AH315" ca="1">IF((AD315) &lt; (INDEX(ResponseSLA[#All],(MATCH((G315),ResponseSLA[Priority],0))+1,3)),"YES","No")</f>
        <v>YES</v>
      </c>
      <c r="AI315" s="61" t="str">
        <f ca="1">_xlfn.IFNA(IF(AE315 &lt; (INDEX(SLATable[Minimum SLA],MATCH(G315,SLATable[Priority],0))),"YES","NO"),"")</f>
        <v>YES</v>
      </c>
      <c r="AJ315" s="61" t="str">
        <f ca="1">_xlfn.IFNA(IF(AE315 &lt; (INDEX(SLATable[Maximum SLA],MATCH(G315,SLATable[Priority],0))),"YES","NO"),"")</f>
        <v>YES</v>
      </c>
    </row>
    <row r="316" spans="1:36" s="60" customFormat="1" ht="15" hidden="1" customHeight="1">
      <c r="A316" s="60">
        <v>315</v>
      </c>
      <c r="B316" s="60" t="s">
        <v>26</v>
      </c>
      <c r="C316" s="60" t="s">
        <v>27</v>
      </c>
      <c r="D316" s="60" t="s">
        <v>207</v>
      </c>
      <c r="E316" s="60" t="s">
        <v>3211</v>
      </c>
      <c r="F316" s="60" t="s">
        <v>318</v>
      </c>
      <c r="G316" s="105">
        <v>3</v>
      </c>
      <c r="H316" s="212" t="s">
        <v>3212</v>
      </c>
      <c r="I316" s="105" t="s">
        <v>271</v>
      </c>
      <c r="J316" s="60" t="s">
        <v>2703</v>
      </c>
      <c r="K316" s="106">
        <v>46179.806990740741</v>
      </c>
      <c r="L316" s="106">
        <v>46180.144687499997</v>
      </c>
      <c r="M316" s="106">
        <v>46181.274386574078</v>
      </c>
      <c r="N316" s="106">
        <v>46183.29791666667</v>
      </c>
      <c r="O316" s="106"/>
      <c r="P316" s="106"/>
      <c r="Z316" s="107">
        <f t="shared" ca="1" si="33"/>
        <v>0.75000000000000022</v>
      </c>
      <c r="AA316" s="108">
        <f t="shared" ca="1" si="34"/>
        <v>2.0000000000000009</v>
      </c>
      <c r="AB316" s="107">
        <f t="shared" ca="1" si="35"/>
        <v>0.75000000000000022</v>
      </c>
      <c r="AC316" s="108">
        <f t="shared" ca="1" si="36"/>
        <v>2.0000000000000009</v>
      </c>
      <c r="AD316" s="107">
        <f t="shared" ca="1" si="32"/>
        <v>0</v>
      </c>
      <c r="AE316" s="107">
        <f t="shared" ca="1" si="37"/>
        <v>0.75000000000000022</v>
      </c>
      <c r="AF316" s="108">
        <f t="shared" ca="1" si="38"/>
        <v>2.0000000000000009</v>
      </c>
      <c r="AG316" s="108">
        <f t="shared" ca="1" si="31"/>
        <v>2.0000000000000009</v>
      </c>
      <c r="AH316" s="61" t="str" cm="1">
        <f t="array" aca="1" ref="AH316" ca="1">IF((AD316) &lt; (INDEX(ResponseSLA[#All],(MATCH((G316),ResponseSLA[Priority],0))+1,3)),"YES","No")</f>
        <v>YES</v>
      </c>
      <c r="AI316" s="61" t="str">
        <f ca="1">_xlfn.IFNA(IF(AE316 &lt; (INDEX(SLATable[Minimum SLA],MATCH(G316,SLATable[Priority],0))),"YES","NO"),"")</f>
        <v>NO</v>
      </c>
      <c r="AJ316" s="61" t="str">
        <f ca="1">_xlfn.IFNA(IF(AE316 &lt; (INDEX(SLATable[Maximum SLA],MATCH(G316,SLATable[Priority],0))),"YES","NO"),"")</f>
        <v>YES</v>
      </c>
    </row>
    <row r="317" spans="1:36" s="60" customFormat="1" ht="15" hidden="1" customHeight="1">
      <c r="A317" s="60">
        <v>316</v>
      </c>
      <c r="B317" s="60" t="s">
        <v>26</v>
      </c>
      <c r="C317" s="60" t="s">
        <v>27</v>
      </c>
      <c r="D317" s="60" t="s">
        <v>207</v>
      </c>
      <c r="E317" s="60" t="s">
        <v>3213</v>
      </c>
      <c r="F317" s="60" t="s">
        <v>318</v>
      </c>
      <c r="G317" s="105">
        <v>3</v>
      </c>
      <c r="H317" s="212" t="s">
        <v>3214</v>
      </c>
      <c r="I317" s="105" t="s">
        <v>271</v>
      </c>
      <c r="J317" s="60" t="s">
        <v>2725</v>
      </c>
      <c r="K317" s="106">
        <v>46179.416585648149</v>
      </c>
      <c r="L317" s="106">
        <v>46179.429560185185</v>
      </c>
      <c r="M317" s="106">
        <v>46181.275590277779</v>
      </c>
      <c r="N317" s="106">
        <v>46183.310891203706</v>
      </c>
      <c r="O317" s="106"/>
      <c r="P317" s="106"/>
      <c r="Q317" s="60" t="s">
        <v>3215</v>
      </c>
      <c r="R317" s="60" t="s">
        <v>272</v>
      </c>
      <c r="S317" s="60" t="s">
        <v>197</v>
      </c>
      <c r="Z317" s="107">
        <f t="shared" ca="1" si="33"/>
        <v>0.75000000000000022</v>
      </c>
      <c r="AA317" s="108">
        <f t="shared" ca="1" si="34"/>
        <v>2.0000000000000009</v>
      </c>
      <c r="AB317" s="107">
        <f t="shared" ca="1" si="35"/>
        <v>0.75000000000000022</v>
      </c>
      <c r="AC317" s="108">
        <f t="shared" ca="1" si="36"/>
        <v>2.0000000000000009</v>
      </c>
      <c r="AD317" s="107">
        <f t="shared" ca="1" si="32"/>
        <v>0</v>
      </c>
      <c r="AE317" s="107">
        <f t="shared" ca="1" si="37"/>
        <v>0.75000000000000022</v>
      </c>
      <c r="AF317" s="108">
        <f t="shared" ca="1" si="38"/>
        <v>2.0000000000000009</v>
      </c>
      <c r="AG317" s="108">
        <f t="shared" ca="1" si="31"/>
        <v>2.0000000000000009</v>
      </c>
      <c r="AH317" s="61" t="str" cm="1">
        <f t="array" aca="1" ref="AH317" ca="1">IF((AD317) &lt; (INDEX(ResponseSLA[#All],(MATCH((G317),ResponseSLA[Priority],0))+1,3)),"YES","No")</f>
        <v>YES</v>
      </c>
      <c r="AI317" s="61" t="str">
        <f ca="1">_xlfn.IFNA(IF(AE317 &lt; (INDEX(SLATable[Minimum SLA],MATCH(G317,SLATable[Priority],0))),"YES","NO"),"")</f>
        <v>NO</v>
      </c>
      <c r="AJ317" s="61" t="str">
        <f ca="1">_xlfn.IFNA(IF(AE317 &lt; (INDEX(SLATable[Maximum SLA],MATCH(G317,SLATable[Priority],0))),"YES","NO"),"")</f>
        <v>YES</v>
      </c>
    </row>
    <row r="318" spans="1:36" s="60" customFormat="1" ht="15" hidden="1" customHeight="1">
      <c r="A318" s="60">
        <v>317</v>
      </c>
      <c r="B318" s="60" t="s">
        <v>26</v>
      </c>
      <c r="C318" s="60" t="s">
        <v>27</v>
      </c>
      <c r="D318" s="60" t="s">
        <v>207</v>
      </c>
      <c r="E318" s="60" t="s">
        <v>3216</v>
      </c>
      <c r="F318" s="60" t="s">
        <v>318</v>
      </c>
      <c r="G318" s="105">
        <v>4</v>
      </c>
      <c r="H318" s="212" t="s">
        <v>3217</v>
      </c>
      <c r="I318" s="105" t="s">
        <v>271</v>
      </c>
      <c r="J318" s="60" t="s">
        <v>2738</v>
      </c>
      <c r="K318" s="106">
        <v>46179.096898148149</v>
      </c>
      <c r="L318" s="106">
        <v>46179.098530092589</v>
      </c>
      <c r="M318" s="106">
        <v>46181.277291666665</v>
      </c>
      <c r="N318" s="106">
        <v>46183.463240740741</v>
      </c>
      <c r="O318" s="106"/>
      <c r="P318" s="106"/>
      <c r="Z318" s="107">
        <f t="shared" ca="1" si="33"/>
        <v>0.8799074074073967</v>
      </c>
      <c r="AA318" s="108">
        <f t="shared" ca="1" si="34"/>
        <v>2.3464197530863911</v>
      </c>
      <c r="AB318" s="107">
        <f t="shared" ca="1" si="35"/>
        <v>0.8799074074073967</v>
      </c>
      <c r="AC318" s="108">
        <f t="shared" ca="1" si="36"/>
        <v>2.3464197530863911</v>
      </c>
      <c r="AD318" s="107">
        <f t="shared" ca="1" si="32"/>
        <v>0</v>
      </c>
      <c r="AE318" s="107">
        <f t="shared" ca="1" si="37"/>
        <v>0.8799074074073967</v>
      </c>
      <c r="AF318" s="108">
        <f t="shared" ca="1" si="38"/>
        <v>2.3464197530863911</v>
      </c>
      <c r="AG318" s="108">
        <f t="shared" ca="1" si="31"/>
        <v>2.3464197530863911</v>
      </c>
      <c r="AH318" s="61" t="str" cm="1">
        <f t="array" aca="1" ref="AH318" ca="1">IF((AD318) &lt; (INDEX(ResponseSLA[#All],(MATCH((G318),ResponseSLA[Priority],0))+1,3)),"YES","No")</f>
        <v>YES</v>
      </c>
      <c r="AI318" s="61" t="str">
        <f ca="1">_xlfn.IFNA(IF(AE318 &lt; (INDEX(SLATable[Minimum SLA],MATCH(G318,SLATable[Priority],0))),"YES","NO"),"")</f>
        <v>YES</v>
      </c>
      <c r="AJ318" s="61" t="str">
        <f ca="1">_xlfn.IFNA(IF(AE318 &lt; (INDEX(SLATable[Maximum SLA],MATCH(G318,SLATable[Priority],0))),"YES","NO"),"")</f>
        <v>YES</v>
      </c>
    </row>
    <row r="319" spans="1:36" s="60" customFormat="1" ht="15" hidden="1" customHeight="1">
      <c r="A319" s="60">
        <v>318</v>
      </c>
      <c r="B319" s="60" t="s">
        <v>26</v>
      </c>
      <c r="C319" s="60" t="s">
        <v>27</v>
      </c>
      <c r="D319" s="60" t="s">
        <v>207</v>
      </c>
      <c r="E319" s="60" t="s">
        <v>3218</v>
      </c>
      <c r="F319" s="60" t="s">
        <v>318</v>
      </c>
      <c r="G319" s="105">
        <v>3</v>
      </c>
      <c r="H319" s="212" t="s">
        <v>3219</v>
      </c>
      <c r="I319" s="105" t="s">
        <v>271</v>
      </c>
      <c r="J319" s="60" t="s">
        <v>2708</v>
      </c>
      <c r="K319" s="106">
        <v>46178.900127314817</v>
      </c>
      <c r="L319" s="106">
        <v>46178.902569444443</v>
      </c>
      <c r="M319" s="106">
        <v>46181.279062499998</v>
      </c>
      <c r="N319" s="106">
        <v>46181.316053240742</v>
      </c>
      <c r="O319" s="106"/>
      <c r="P319" s="106"/>
      <c r="Z319" s="107">
        <f t="shared" ca="1" si="33"/>
        <v>0</v>
      </c>
      <c r="AA319" s="108">
        <f t="shared" ca="1" si="34"/>
        <v>0</v>
      </c>
      <c r="AB319" s="107">
        <f t="shared" ca="1" si="35"/>
        <v>0</v>
      </c>
      <c r="AC319" s="108">
        <f t="shared" ca="1" si="36"/>
        <v>0</v>
      </c>
      <c r="AD319" s="107">
        <f t="shared" ca="1" si="32"/>
        <v>0</v>
      </c>
      <c r="AE319" s="107">
        <f t="shared" ca="1" si="37"/>
        <v>0</v>
      </c>
      <c r="AF319" s="108">
        <f t="shared" ca="1" si="38"/>
        <v>0</v>
      </c>
      <c r="AG319" s="108">
        <f t="shared" ref="AG319:AG343" ca="1" si="39">AF319</f>
        <v>0</v>
      </c>
      <c r="AH319" s="61" t="str" cm="1">
        <f t="array" aca="1" ref="AH319" ca="1">IF((AD319) &lt; (INDEX(ResponseSLA[#All],(MATCH((G319),ResponseSLA[Priority],0))+1,3)),"YES","No")</f>
        <v>YES</v>
      </c>
      <c r="AI319" s="61" t="str">
        <f ca="1">_xlfn.IFNA(IF(AE319 &lt; (INDEX(SLATable[Minimum SLA],MATCH(G319,SLATable[Priority],0))),"YES","NO"),"")</f>
        <v>YES</v>
      </c>
      <c r="AJ319" s="61" t="str">
        <f ca="1">_xlfn.IFNA(IF(AE319 &lt; (INDEX(SLATable[Maximum SLA],MATCH(G319,SLATable[Priority],0))),"YES","NO"),"")</f>
        <v>YES</v>
      </c>
    </row>
    <row r="320" spans="1:36" s="60" customFormat="1" ht="15" hidden="1" customHeight="1">
      <c r="A320" s="60">
        <v>319</v>
      </c>
      <c r="B320" s="60" t="s">
        <v>26</v>
      </c>
      <c r="C320" s="60" t="s">
        <v>27</v>
      </c>
      <c r="D320" s="60" t="s">
        <v>207</v>
      </c>
      <c r="E320" s="60" t="s">
        <v>3220</v>
      </c>
      <c r="F320" s="60" t="s">
        <v>327</v>
      </c>
      <c r="G320" s="105">
        <v>3</v>
      </c>
      <c r="H320" s="212" t="s">
        <v>3221</v>
      </c>
      <c r="I320" s="105" t="s">
        <v>275</v>
      </c>
      <c r="J320" s="60" t="s">
        <v>2708</v>
      </c>
      <c r="K320" s="106">
        <v>46179.393449074072</v>
      </c>
      <c r="L320" s="106">
        <v>46179.393449074072</v>
      </c>
      <c r="M320" s="106">
        <v>46181.277581018519</v>
      </c>
      <c r="N320" s="106"/>
      <c r="O320" s="106"/>
      <c r="P320" s="106"/>
      <c r="Z320" s="107">
        <f t="shared" ca="1" si="33"/>
        <v>21.300643402779926</v>
      </c>
      <c r="AA320" s="108">
        <f t="shared" ca="1" si="34"/>
        <v>56.801715740746467</v>
      </c>
      <c r="AB320" s="107">
        <f t="shared" ca="1" si="35"/>
        <v>21.300643402779926</v>
      </c>
      <c r="AC320" s="108">
        <f t="shared" ca="1" si="36"/>
        <v>56.801715740746467</v>
      </c>
      <c r="AD320" s="107">
        <f t="shared" ca="1" si="32"/>
        <v>0</v>
      </c>
      <c r="AE320" s="107">
        <f t="shared" ca="1" si="37"/>
        <v>21.300643402779926</v>
      </c>
      <c r="AF320" s="108">
        <f t="shared" ca="1" si="38"/>
        <v>56.801715740746467</v>
      </c>
      <c r="AG320" s="108">
        <f t="shared" ca="1" si="39"/>
        <v>56.801715740746467</v>
      </c>
      <c r="AH320" s="61" t="str" cm="1">
        <f t="array" aca="1" ref="AH320" ca="1">IF((AD320) &lt; (INDEX(ResponseSLA[#All],(MATCH((G320),ResponseSLA[Priority],0))+1,3)),"YES","No")</f>
        <v>YES</v>
      </c>
      <c r="AI320" s="61" t="str">
        <f ca="1">_xlfn.IFNA(IF(AE320 &lt; (INDEX(SLATable[Minimum SLA],MATCH(G320,SLATable[Priority],0))),"YES","NO"),"")</f>
        <v>NO</v>
      </c>
      <c r="AJ320" s="61" t="str">
        <f ca="1">_xlfn.IFNA(IF(AE320 &lt; (INDEX(SLATable[Maximum SLA],MATCH(G320,SLATable[Priority],0))),"YES","NO"),"")</f>
        <v>NO</v>
      </c>
    </row>
    <row r="321" spans="1:36" s="60" customFormat="1" ht="15" customHeight="1">
      <c r="A321" s="60">
        <v>320</v>
      </c>
      <c r="B321" s="60" t="s">
        <v>26</v>
      </c>
      <c r="C321" s="60" t="s">
        <v>54</v>
      </c>
      <c r="D321" s="60" t="s">
        <v>207</v>
      </c>
      <c r="E321" s="60" t="s">
        <v>2841</v>
      </c>
      <c r="F321" s="60" t="s">
        <v>53</v>
      </c>
      <c r="G321" s="105">
        <v>3</v>
      </c>
      <c r="H321" s="212" t="s">
        <v>2842</v>
      </c>
      <c r="I321" s="105" t="s">
        <v>275</v>
      </c>
      <c r="J321" s="291" t="s">
        <v>2703</v>
      </c>
      <c r="K321" s="106">
        <v>46168.237372685187</v>
      </c>
      <c r="L321" s="106">
        <v>46168.237372685187</v>
      </c>
      <c r="M321" s="106">
        <v>46168.240358796298</v>
      </c>
      <c r="N321" s="106">
        <v>46168.24658564815</v>
      </c>
      <c r="O321" s="106"/>
      <c r="P321" s="106"/>
      <c r="Z321" s="107">
        <f t="shared" ref="Z321:Z343" ca="1" si="40">IF(NOT(OR(G321=1,G321=2)),MAX(0,_xlfn.IFS(AND(K321&lt;&gt;"",N321&lt;&gt;""),((MAX(NETWORKDAYS(K321,N321,UKBankHolidays)-1,0))*(TIME(17,0,0)-TIME(8,0,0))+IF(NETWORKDAYS(N321,N321,UKBankHolidays)&gt;0,MEDIAN(TIME(8,0,0),MOD(N321,1),TIME(17,0,0)),TIME(8,0,0))-IF(NETWORKDAYS(K321,K321,UKBankHolidays)&gt;0,MEDIAN(TIME(8,0,0),MOD(K321,1),TIME(17,0,0)),TIME(8,0,0)))-IF(AND(O321&lt;&gt;"",P321&lt;&gt;""),((MAX(NETWORKDAYS(O321,P321,UKBankHolidays)-1,0))*(TIME(17,0,0)-TIME(8,0,0))+IF(NETWORKDAYS(P321,P321,UKBankHolidays)&gt;0,MEDIAN(TIME(8,0,0),MOD(P321,1),TIME(17,0,0)),TIME(8,0,0))-IF(NETWORKDAYS(O321,O321,UKBankHolidays)&gt;0,MEDIAN(TIME(8,0,0),MOD(O321,1),TIME(17,0,0)),TIME(8,0,0))),0),AND(K321&lt;&gt;"",N321=""),((MAX(NETWORKDAYS(K321,NOW(),UKBankHolidays)-1,0))*(TIME(17,0,0)-TIME(8,0,0))+IF(NETWORKDAYS(NOW(),NOW(),UKBankHolidays)&gt;0,MEDIAN(TIME(8,0,0),MOD(NOW(),1),TIME(17,0,0)),TIME(8,0,0))-IF(NETWORKDAYS(K321,K321,UKBankHolidays)&gt;0,MEDIAN(TIME(8,0,0),MOD(K321,1),TIME(17,0,0)),TIME(8,0,0))))),IF(N321="",NOW()-K321,N321-K321))</f>
        <v>0</v>
      </c>
      <c r="AA321" s="108">
        <f t="shared" ref="AA321:AA343" ca="1" si="41">(Z321*24)/9</f>
        <v>0</v>
      </c>
      <c r="AB321" s="107">
        <f t="shared" ref="AB321:AB343" ca="1" si="42">IF(NOT(OR(G321=1,G321=2)),MAX(0,_xlfn.IFS(AND(K321&lt;&gt;"",N321&lt;&gt;""),(((MAX(NETWORKDAYS(L321,N321,UKBankHolidays)-1,0))*(TIME(17,0,0)-TIME(8,0,0)))+IF(NETWORKDAYS(N321,N321,UKBankHolidays)&gt;0,MEDIAN(TIME(8,0,0),MOD(N321,1),TIME(17,0,0)),TIME(8,0,0))-IF(NETWORKDAYS(L321,L321,UKBankHolidays)&gt;0,MEDIAN(TIME(8,0,0),MOD(L321,1),TIME(17,0,0)),TIME(8,0,0)))-IF(AND(O321&lt;&gt;"",P321&lt;&gt;""),(((MAX(NETWORKDAYS(O321,P321,UKBankHolidays)-1,0))*(TIME(17,0,0)-TIME(8,0,0)))+IF(NETWORKDAYS(P321,P321,UKBankHolidays)&gt;0,MEDIAN(TIME(8,0,0),MOD(P321,1),TIME(17,0,0)),TIME(8,0,0))-IF(NETWORKDAYS(O321,O321,UKBankHolidays)&gt;0,MEDIAN(TIME(8,0,0),MOD(O321,1),TIME(17,0,0)),TIME(8,0,0))),0),AND(L321&lt;&gt;"",N321="",O321=""),(((MAX(NETWORKDAYS(L321,NOW(),UKBankHolidays)-1,0))*(TIME(17,0,0)-TIME(8,0,0)))+IF(NETWORKDAYS(NOW(),NOW(),UKBankHolidays)&gt;0,MEDIAN(TIME(8,0,0),MOD(NOW(),1),TIME(17,0,0)),TIME(8,0,0))-IF(NETWORKDAYS(L321,L321,UKBankHolidays)&gt;0,MEDIAN(TIME(8,0,0),MOD(L321,1),TIME(17,0,0)),TIME(8,0,0)))-IF(AND(O321&lt;&gt;"",P321&lt;&gt;""),(((MAX(NETWORKDAYS(O321,P321,UKBankHolidays)-1,0))*(TIME(17,0,0)-TIME(8,0,0)))+IF(NETWORKDAYS(P321,P321,UKBankHolidays)&gt;0,MEDIAN(TIME(8,0,0),MOD(P321,1),TIME(17,0,0)),TIME(8,0,0))-IF(NETWORKDAYS(O321,O321,UKBankHolidays)&gt;0,MEDIAN(TIME(8,0,0),MOD(O321,1),TIME(17,0,0)),TIME(8,0,0))),0),AND(L321&lt;&gt;"",N321="",P321="",O321&lt;&gt;""),(((MAX(NETWORKDAYS(L321,O321,UKBankHolidays)-1,0))*(TIME(17,0,0)-TIME(8,0,0)))+IF(NETWORKDAYS(O321,O321,UKBankHolidays)&gt;0,MEDIAN(TIME(8,0,0),MOD(O321,1),TIME(17,0,0)),TIME(8,0,0))-IF(NETWORKDAYS(L321,L321,UKBankHolidays)&gt;0,MEDIAN(TIME(8,0,0),MOD(L321,1),TIME(17,0,0)),TIME(8,0,0))),ISBLANK(K321),"0")),IF(ISBLANK(N321),NOW()-L321,N321-L321))</f>
        <v>0</v>
      </c>
      <c r="AC321" s="108">
        <f t="shared" ref="AC321:AC343" ca="1" si="43">(AB321*24)/9</f>
        <v>0</v>
      </c>
      <c r="AD321" s="107">
        <f t="shared" ref="AD321:AD343" ca="1" si="44">MAX(0,
IF(
OR(G321=1,G321=2),
IF(M321&lt;&gt;"",M321-L321,NOW()-L321),
IF(
M321&lt;&gt;"",
IF(
INT(L321)=INT(M321),
IF(
NETWORKDAYS(L321,L321,UKBankHolidays)=0,
0,
MAX(
0,
MIN(MOD(M321,1),TIME(17,0,0))
-
MAX(MOD(L321,1),TIME(8,0,0))
)
),
MAX(
0,
IF(
NETWORKDAYS(L321,L321,UKBankHolidays)&gt;0,
TIME(17,0,0)-MAX(MOD(L321,1),TIME(8,0,0)),
0
)
)
+
MAX(
0,
NETWORKDAYS(INT(L321)+1,INT(M321)-1,UKBankHolidays)
*(TIME(17,0,0)-TIME(8,0,0))
)
+
MAX(
0,
IF(
NETWORKDAYS(M321,M321,UKBankHolidays)&gt;0,
MIN(MOD(M321,1),TIME(17,0,0))-TIME(8,0,0),
0
)
)
),
IF(M321&lt;&gt;"",M321-L321,NOW()-L321)
)
)
)</f>
        <v>0</v>
      </c>
      <c r="AE321" s="107">
        <f t="shared" ca="1" si="37"/>
        <v>0</v>
      </c>
      <c r="AF321" s="108">
        <f t="shared" ref="AF321:AF343" ca="1" si="45">(AE321*24)/9</f>
        <v>0</v>
      </c>
      <c r="AG321" s="108">
        <f t="shared" ca="1" si="39"/>
        <v>0</v>
      </c>
      <c r="AH321" s="61" t="str" cm="1">
        <f t="array" aca="1" ref="AH321" ca="1">IF((AD321) &lt; (INDEX(ResponseSLA[#All],(MATCH((G321),ResponseSLA[Priority],0))+1,3)),"YES","No")</f>
        <v>YES</v>
      </c>
      <c r="AI321" s="61" t="str">
        <f ca="1">_xlfn.IFNA(IF(AE321 &lt; (INDEX(SLATable[Minimum SLA],MATCH(G321,SLATable[Priority],0))),"YES","NO"),"")</f>
        <v>YES</v>
      </c>
      <c r="AJ321" s="61" t="str">
        <f ca="1">_xlfn.IFNA(IF(AE321 &lt; (INDEX(SLATable[Maximum SLA],MATCH(G321,SLATable[Priority],0))),"YES","NO"),"")</f>
        <v>YES</v>
      </c>
    </row>
    <row r="322" spans="1:36" s="60" customFormat="1" ht="15" customHeight="1">
      <c r="A322" s="60">
        <v>321</v>
      </c>
      <c r="B322" s="60" t="s">
        <v>26</v>
      </c>
      <c r="C322" s="60" t="s">
        <v>54</v>
      </c>
      <c r="D322" s="60" t="s">
        <v>207</v>
      </c>
      <c r="E322" s="60" t="s">
        <v>3222</v>
      </c>
      <c r="F322" s="60" t="s">
        <v>53</v>
      </c>
      <c r="G322" s="105">
        <v>3</v>
      </c>
      <c r="H322" s="212" t="s">
        <v>3223</v>
      </c>
      <c r="I322" s="105" t="s">
        <v>275</v>
      </c>
      <c r="J322" s="291" t="s">
        <v>2708</v>
      </c>
      <c r="K322" s="106">
        <v>46167.727222222224</v>
      </c>
      <c r="L322" s="106">
        <v>46167.727222222224</v>
      </c>
      <c r="M322" s="106">
        <v>46168.241238425922</v>
      </c>
      <c r="N322" s="106">
        <v>46168.573472222219</v>
      </c>
      <c r="O322" s="106"/>
      <c r="P322" s="106"/>
      <c r="Z322" s="107">
        <f t="shared" ca="1" si="40"/>
        <v>0.24013888888536411</v>
      </c>
      <c r="AA322" s="108">
        <f t="shared" ca="1" si="41"/>
        <v>0.64037037036097089</v>
      </c>
      <c r="AB322" s="107">
        <f t="shared" ca="1" si="42"/>
        <v>0.24013888888536411</v>
      </c>
      <c r="AC322" s="108">
        <f t="shared" ca="1" si="43"/>
        <v>0.64037037036097089</v>
      </c>
      <c r="AD322" s="107">
        <f t="shared" ca="1" si="44"/>
        <v>0</v>
      </c>
      <c r="AE322" s="107">
        <f t="shared" ref="AE322:AE343" ca="1" si="46">SUMIFS(AB:AB,E:E,E322)</f>
        <v>0.24013888888536411</v>
      </c>
      <c r="AF322" s="108">
        <f t="shared" ca="1" si="45"/>
        <v>0.64037037036097089</v>
      </c>
      <c r="AG322" s="108">
        <f t="shared" ca="1" si="39"/>
        <v>0.64037037036097089</v>
      </c>
      <c r="AH322" s="61" t="str" cm="1">
        <f t="array" aca="1" ref="AH322" ca="1">IF((AD322) &lt; (INDEX(ResponseSLA[#All],(MATCH((G322),ResponseSLA[Priority],0))+1,3)),"YES","No")</f>
        <v>YES</v>
      </c>
      <c r="AI322" s="61" t="str">
        <f ca="1">_xlfn.IFNA(IF(AE322 &lt; (INDEX(SLATable[Minimum SLA],MATCH(G322,SLATable[Priority],0))),"YES","NO"),"")</f>
        <v>YES</v>
      </c>
      <c r="AJ322" s="61" t="str">
        <f ca="1">_xlfn.IFNA(IF(AE322 &lt; (INDEX(SLATable[Maximum SLA],MATCH(G322,SLATable[Priority],0))),"YES","NO"),"")</f>
        <v>YES</v>
      </c>
    </row>
    <row r="323" spans="1:36" s="60" customFormat="1" ht="15" customHeight="1">
      <c r="A323" s="60">
        <v>322</v>
      </c>
      <c r="B323" s="60" t="s">
        <v>26</v>
      </c>
      <c r="C323" s="60" t="s">
        <v>54</v>
      </c>
      <c r="D323" s="60" t="s">
        <v>207</v>
      </c>
      <c r="E323" s="60" t="s">
        <v>3224</v>
      </c>
      <c r="F323" s="60" t="s">
        <v>53</v>
      </c>
      <c r="G323" s="105">
        <v>3</v>
      </c>
      <c r="H323" s="212" t="s">
        <v>3225</v>
      </c>
      <c r="I323" s="105" t="s">
        <v>271</v>
      </c>
      <c r="J323" s="291" t="s">
        <v>2697</v>
      </c>
      <c r="K323" s="106">
        <v>46167.737881944442</v>
      </c>
      <c r="L323" s="106">
        <v>46167.737881944442</v>
      </c>
      <c r="M323" s="106">
        <v>46168.242002314815</v>
      </c>
      <c r="N323" s="106">
        <v>46170.342164351852</v>
      </c>
      <c r="O323" s="106"/>
      <c r="P323" s="106"/>
      <c r="Z323" s="107">
        <f t="shared" ca="1" si="40"/>
        <v>0.7588310185189282</v>
      </c>
      <c r="AA323" s="108">
        <f t="shared" ca="1" si="41"/>
        <v>2.0235493827171416</v>
      </c>
      <c r="AB323" s="107">
        <f t="shared" ca="1" si="42"/>
        <v>0.7588310185189282</v>
      </c>
      <c r="AC323" s="108">
        <f t="shared" ca="1" si="43"/>
        <v>2.0235493827171416</v>
      </c>
      <c r="AD323" s="107">
        <f t="shared" ca="1" si="44"/>
        <v>0</v>
      </c>
      <c r="AE323" s="107">
        <f t="shared" ca="1" si="46"/>
        <v>0.7588310185189282</v>
      </c>
      <c r="AF323" s="108">
        <f t="shared" ca="1" si="45"/>
        <v>2.0235493827171416</v>
      </c>
      <c r="AG323" s="108">
        <f t="shared" ca="1" si="39"/>
        <v>2.0235493827171416</v>
      </c>
      <c r="AH323" s="61" t="str" cm="1">
        <f t="array" aca="1" ref="AH323" ca="1">IF((AD323) &lt; (INDEX(ResponseSLA[#All],(MATCH((G323),ResponseSLA[Priority],0))+1,3)),"YES","No")</f>
        <v>YES</v>
      </c>
      <c r="AI323" s="61" t="str">
        <f ca="1">_xlfn.IFNA(IF(AE323 &lt; (INDEX(SLATable[Minimum SLA],MATCH(G323,SLATable[Priority],0))),"YES","NO"),"")</f>
        <v>NO</v>
      </c>
      <c r="AJ323" s="61" t="str">
        <f ca="1">_xlfn.IFNA(IF(AE323 &lt; (INDEX(SLATable[Maximum SLA],MATCH(G323,SLATable[Priority],0))),"YES","NO"),"")</f>
        <v>YES</v>
      </c>
    </row>
    <row r="324" spans="1:36" s="60" customFormat="1" ht="15" customHeight="1">
      <c r="A324" s="60">
        <v>323</v>
      </c>
      <c r="B324" s="60" t="s">
        <v>26</v>
      </c>
      <c r="C324" s="60" t="s">
        <v>54</v>
      </c>
      <c r="D324" s="60" t="s">
        <v>207</v>
      </c>
      <c r="E324" s="60" t="s">
        <v>3226</v>
      </c>
      <c r="F324" s="60" t="s">
        <v>53</v>
      </c>
      <c r="G324" s="105">
        <v>3</v>
      </c>
      <c r="H324" s="212" t="s">
        <v>3227</v>
      </c>
      <c r="I324" s="105" t="s">
        <v>271</v>
      </c>
      <c r="J324" s="291" t="s">
        <v>2700</v>
      </c>
      <c r="K324" s="106">
        <v>46167.902499999997</v>
      </c>
      <c r="L324" s="106">
        <v>46167.902499999997</v>
      </c>
      <c r="M324" s="106">
        <v>46168.241666666669</v>
      </c>
      <c r="N324" s="106">
        <v>46175.750474537039</v>
      </c>
      <c r="O324" s="106"/>
      <c r="P324" s="106"/>
      <c r="Z324" s="107">
        <f t="shared" ca="1" si="40"/>
        <v>2.25</v>
      </c>
      <c r="AA324" s="108">
        <f t="shared" ca="1" si="41"/>
        <v>6</v>
      </c>
      <c r="AB324" s="107">
        <f t="shared" ca="1" si="42"/>
        <v>2.25</v>
      </c>
      <c r="AC324" s="108">
        <f t="shared" ca="1" si="43"/>
        <v>6</v>
      </c>
      <c r="AD324" s="107">
        <f t="shared" ca="1" si="44"/>
        <v>0</v>
      </c>
      <c r="AE324" s="107">
        <f t="shared" ca="1" si="46"/>
        <v>2.25</v>
      </c>
      <c r="AF324" s="108">
        <f t="shared" ca="1" si="45"/>
        <v>6</v>
      </c>
      <c r="AG324" s="108">
        <f t="shared" ca="1" si="39"/>
        <v>6</v>
      </c>
      <c r="AH324" s="61" t="str" cm="1">
        <f t="array" aca="1" ref="AH324" ca="1">IF((AD324) &lt; (INDEX(ResponseSLA[#All],(MATCH((G324),ResponseSLA[Priority],0))+1,3)),"YES","No")</f>
        <v>YES</v>
      </c>
      <c r="AI324" s="61" t="str">
        <f ca="1">_xlfn.IFNA(IF(AE324 &lt; (INDEX(SLATable[Minimum SLA],MATCH(G324,SLATable[Priority],0))),"YES","NO"),"")</f>
        <v>NO</v>
      </c>
      <c r="AJ324" s="61" t="str">
        <f ca="1">_xlfn.IFNA(IF(AE324 &lt; (INDEX(SLATable[Maximum SLA],MATCH(G324,SLATable[Priority],0))),"YES","NO"),"")</f>
        <v>NO</v>
      </c>
    </row>
    <row r="325" spans="1:36" s="60" customFormat="1" ht="15" customHeight="1">
      <c r="A325" s="60">
        <v>324</v>
      </c>
      <c r="B325" s="60" t="s">
        <v>26</v>
      </c>
      <c r="C325" s="60" t="s">
        <v>54</v>
      </c>
      <c r="D325" s="60" t="s">
        <v>207</v>
      </c>
      <c r="E325" s="60" t="s">
        <v>3228</v>
      </c>
      <c r="F325" s="60" t="s">
        <v>53</v>
      </c>
      <c r="G325" s="105">
        <v>3</v>
      </c>
      <c r="H325" s="212" t="s">
        <v>3229</v>
      </c>
      <c r="I325" s="105" t="s">
        <v>271</v>
      </c>
      <c r="J325" s="291" t="s">
        <v>2714</v>
      </c>
      <c r="K325" s="106">
        <v>46167.607731481483</v>
      </c>
      <c r="L325" s="106">
        <v>46167.656701388885</v>
      </c>
      <c r="M325" s="106">
        <v>46168.23878472222</v>
      </c>
      <c r="N325" s="106">
        <v>46189.332916666666</v>
      </c>
      <c r="O325" s="106">
        <v>46169.428020833337</v>
      </c>
      <c r="P325" s="106"/>
      <c r="Z325" s="107">
        <f t="shared" ca="1" si="40"/>
        <v>5.6250000000000009</v>
      </c>
      <c r="AA325" s="108">
        <f t="shared" ca="1" si="41"/>
        <v>15.000000000000004</v>
      </c>
      <c r="AB325" s="107">
        <f t="shared" ca="1" si="42"/>
        <v>5.6250000000000009</v>
      </c>
      <c r="AC325" s="108">
        <f t="shared" ca="1" si="43"/>
        <v>15.000000000000004</v>
      </c>
      <c r="AD325" s="107">
        <f t="shared" ca="1" si="44"/>
        <v>0</v>
      </c>
      <c r="AE325" s="107">
        <f t="shared" ca="1" si="46"/>
        <v>5.6250000000000009</v>
      </c>
      <c r="AF325" s="108">
        <f t="shared" ca="1" si="45"/>
        <v>15.000000000000004</v>
      </c>
      <c r="AG325" s="108">
        <f t="shared" ca="1" si="39"/>
        <v>15.000000000000004</v>
      </c>
      <c r="AH325" s="61" t="str" cm="1">
        <f t="array" aca="1" ref="AH325" ca="1">IF((AD325) &lt; (INDEX(ResponseSLA[#All],(MATCH((G325),ResponseSLA[Priority],0))+1,3)),"YES","No")</f>
        <v>YES</v>
      </c>
      <c r="AI325" s="61" t="str">
        <f ca="1">_xlfn.IFNA(IF(AE325 &lt; (INDEX(SLATable[Minimum SLA],MATCH(G325,SLATable[Priority],0))),"YES","NO"),"")</f>
        <v>NO</v>
      </c>
      <c r="AJ325" s="61" t="str">
        <f ca="1">_xlfn.IFNA(IF(AE325 &lt; (INDEX(SLATable[Maximum SLA],MATCH(G325,SLATable[Priority],0))),"YES","NO"),"")</f>
        <v>NO</v>
      </c>
    </row>
    <row r="326" spans="1:36" s="60" customFormat="1" ht="15" customHeight="1">
      <c r="A326" s="60">
        <v>325</v>
      </c>
      <c r="B326" s="60" t="s">
        <v>26</v>
      </c>
      <c r="C326" s="60" t="s">
        <v>54</v>
      </c>
      <c r="D326" s="60" t="s">
        <v>207</v>
      </c>
      <c r="E326" s="60" t="s">
        <v>3230</v>
      </c>
      <c r="F326" s="60" t="s">
        <v>53</v>
      </c>
      <c r="G326" s="105">
        <v>4</v>
      </c>
      <c r="H326" s="212" t="s">
        <v>3231</v>
      </c>
      <c r="I326" s="105" t="s">
        <v>271</v>
      </c>
      <c r="J326" s="291" t="s">
        <v>2694</v>
      </c>
      <c r="K326" s="106">
        <v>46167.846331018518</v>
      </c>
      <c r="L326" s="106">
        <v>46167.84646990741</v>
      </c>
      <c r="M326" s="106">
        <v>46168.239641203705</v>
      </c>
      <c r="N326" s="106">
        <v>46176.385000000002</v>
      </c>
      <c r="O326" s="106"/>
      <c r="P326" s="106"/>
      <c r="Z326" s="107">
        <f t="shared" ca="1" si="40"/>
        <v>2.3016666666687042</v>
      </c>
      <c r="AA326" s="108">
        <f t="shared" ca="1" si="41"/>
        <v>6.137777777783211</v>
      </c>
      <c r="AB326" s="107">
        <f t="shared" ca="1" si="42"/>
        <v>2.3016666666687042</v>
      </c>
      <c r="AC326" s="108">
        <f t="shared" ca="1" si="43"/>
        <v>6.137777777783211</v>
      </c>
      <c r="AD326" s="107">
        <f t="shared" ca="1" si="44"/>
        <v>0</v>
      </c>
      <c r="AE326" s="107">
        <f t="shared" ca="1" si="46"/>
        <v>2.3016666666687042</v>
      </c>
      <c r="AF326" s="108">
        <f t="shared" ca="1" si="45"/>
        <v>6.137777777783211</v>
      </c>
      <c r="AG326" s="108">
        <f t="shared" ca="1" si="39"/>
        <v>6.137777777783211</v>
      </c>
      <c r="AH326" s="61" t="str" cm="1">
        <f t="array" aca="1" ref="AH326" ca="1">IF((AD326) &lt; (INDEX(ResponseSLA[#All],(MATCH((G326),ResponseSLA[Priority],0))+1,3)),"YES","No")</f>
        <v>YES</v>
      </c>
      <c r="AI326" s="61" t="str">
        <f ca="1">_xlfn.IFNA(IF(AE326 &lt; (INDEX(SLATable[Minimum SLA],MATCH(G326,SLATable[Priority],0))),"YES","NO"),"")</f>
        <v>YES</v>
      </c>
      <c r="AJ326" s="61" t="str">
        <f ca="1">_xlfn.IFNA(IF(AE326 &lt; (INDEX(SLATable[Maximum SLA],MATCH(G326,SLATable[Priority],0))),"YES","NO"),"")</f>
        <v>YES</v>
      </c>
    </row>
    <row r="327" spans="1:36" s="60" customFormat="1" ht="15" hidden="1" customHeight="1">
      <c r="A327" s="60">
        <v>326</v>
      </c>
      <c r="B327" s="60" t="s">
        <v>26</v>
      </c>
      <c r="C327" s="60" t="s">
        <v>27</v>
      </c>
      <c r="D327" s="60" t="s">
        <v>208</v>
      </c>
      <c r="E327" s="60" t="s">
        <v>3232</v>
      </c>
      <c r="F327" s="60" t="s">
        <v>318</v>
      </c>
      <c r="G327" s="105" t="s">
        <v>208</v>
      </c>
      <c r="H327" s="212" t="s">
        <v>3233</v>
      </c>
      <c r="I327" s="105" t="s">
        <v>275</v>
      </c>
      <c r="J327" s="60" t="s">
        <v>2708</v>
      </c>
      <c r="K327" s="106">
        <v>46181.267199074071</v>
      </c>
      <c r="L327" s="106">
        <v>46181.267199074071</v>
      </c>
      <c r="M327" s="106">
        <v>46181.34883101852</v>
      </c>
      <c r="N327" s="106"/>
      <c r="O327" s="106"/>
      <c r="P327" s="106"/>
      <c r="Z327" s="107">
        <f t="shared" ca="1" si="40"/>
        <v>21.300643402779926</v>
      </c>
      <c r="AA327" s="108">
        <f t="shared" ca="1" si="41"/>
        <v>56.801715740746467</v>
      </c>
      <c r="AB327" s="107">
        <f t="shared" ca="1" si="42"/>
        <v>21.300643402779926</v>
      </c>
      <c r="AC327" s="108">
        <f t="shared" ca="1" si="43"/>
        <v>56.801715740746467</v>
      </c>
      <c r="AD327" s="107">
        <f t="shared" ca="1" si="44"/>
        <v>1.5497685186952992E-2</v>
      </c>
      <c r="AE327" s="107">
        <f t="shared" ca="1" si="46"/>
        <v>21.300643402779926</v>
      </c>
      <c r="AF327" s="108">
        <f t="shared" ca="1" si="45"/>
        <v>56.801715740746467</v>
      </c>
      <c r="AG327" s="108">
        <f t="shared" ca="1" si="39"/>
        <v>56.801715740746467</v>
      </c>
      <c r="AH327" s="61" t="str" cm="1">
        <f t="array" aca="1" ref="AH327" ca="1">IF((AD327) &lt; (INDEX(ResponseSLA[#All],(MATCH((G327),ResponseSLA[Priority],0))+1,3)),"YES","No")</f>
        <v>YES</v>
      </c>
      <c r="AI327" s="61" t="str">
        <f ca="1">_xlfn.IFNA(IF(AE327 &lt; (INDEX(SLATable[Minimum SLA],MATCH(G327,SLATable[Priority],0))),"YES","NO"),"")</f>
        <v>NO</v>
      </c>
      <c r="AJ327" s="61" t="str">
        <f ca="1">_xlfn.IFNA(IF(AE327 &lt; (INDEX(SLATable[Maximum SLA],MATCH(G327,SLATable[Priority],0))),"YES","NO"),"")</f>
        <v>NO</v>
      </c>
    </row>
    <row r="328" spans="1:36" s="60" customFormat="1" ht="15" hidden="1" customHeight="1">
      <c r="A328" s="60">
        <v>327</v>
      </c>
      <c r="B328" s="60" t="s">
        <v>26</v>
      </c>
      <c r="C328" s="60" t="s">
        <v>27</v>
      </c>
      <c r="D328" s="60" t="s">
        <v>207</v>
      </c>
      <c r="E328" s="60" t="s">
        <v>3234</v>
      </c>
      <c r="F328" s="60" t="s">
        <v>318</v>
      </c>
      <c r="G328" s="105">
        <v>3</v>
      </c>
      <c r="H328" s="212" t="s">
        <v>3235</v>
      </c>
      <c r="I328" s="105" t="s">
        <v>271</v>
      </c>
      <c r="J328" s="60" t="s">
        <v>2714</v>
      </c>
      <c r="K328" s="229">
        <v>46180.486631944441</v>
      </c>
      <c r="L328" s="229">
        <v>46181.330266203702</v>
      </c>
      <c r="M328" s="229">
        <v>46181.350960648146</v>
      </c>
      <c r="N328" s="229">
        <v>46182.338391203702</v>
      </c>
      <c r="O328" s="106"/>
      <c r="P328" s="106"/>
      <c r="Z328" s="107">
        <f t="shared" ca="1" si="40"/>
        <v>0.38005787036915234</v>
      </c>
      <c r="AA328" s="108">
        <f t="shared" ca="1" si="41"/>
        <v>1.0134876543177396</v>
      </c>
      <c r="AB328" s="107">
        <f t="shared" ca="1" si="42"/>
        <v>0.38005787036915234</v>
      </c>
      <c r="AC328" s="108">
        <f t="shared" ca="1" si="43"/>
        <v>1.0134876543177396</v>
      </c>
      <c r="AD328" s="107">
        <f t="shared" ca="1" si="44"/>
        <v>1.7627314812367956E-2</v>
      </c>
      <c r="AE328" s="107">
        <f t="shared" ca="1" si="46"/>
        <v>0.38005787036915234</v>
      </c>
      <c r="AF328" s="108">
        <f t="shared" ca="1" si="45"/>
        <v>1.0134876543177396</v>
      </c>
      <c r="AG328" s="108">
        <f t="shared" ca="1" si="39"/>
        <v>1.0134876543177396</v>
      </c>
      <c r="AH328" s="61" t="str" cm="1">
        <f t="array" aca="1" ref="AH328" ca="1">IF((AD328) &lt; (INDEX(ResponseSLA[#All],(MATCH((G328),ResponseSLA[Priority],0))+1,3)),"YES","No")</f>
        <v>YES</v>
      </c>
      <c r="AI328" s="61" t="str">
        <f ca="1">_xlfn.IFNA(IF(AE328 &lt; (INDEX(SLATable[Minimum SLA],MATCH(G328,SLATable[Priority],0))),"YES","NO"),"")</f>
        <v>NO</v>
      </c>
      <c r="AJ328" s="61" t="str">
        <f ca="1">_xlfn.IFNA(IF(AE328 &lt; (INDEX(SLATable[Maximum SLA],MATCH(G328,SLATable[Priority],0))),"YES","NO"),"")</f>
        <v>YES</v>
      </c>
    </row>
    <row r="329" spans="1:36" s="60" customFormat="1" ht="15" hidden="1" customHeight="1">
      <c r="A329" s="60">
        <v>328</v>
      </c>
      <c r="B329" s="60" t="s">
        <v>26</v>
      </c>
      <c r="C329" s="60" t="s">
        <v>27</v>
      </c>
      <c r="D329" s="60" t="s">
        <v>207</v>
      </c>
      <c r="E329" s="60" t="s">
        <v>3236</v>
      </c>
      <c r="F329" s="60" t="s">
        <v>318</v>
      </c>
      <c r="G329" s="105">
        <v>4</v>
      </c>
      <c r="H329" s="212" t="s">
        <v>3237</v>
      </c>
      <c r="I329" s="105" t="s">
        <v>271</v>
      </c>
      <c r="J329" s="60" t="s">
        <v>2738</v>
      </c>
      <c r="K329" s="106">
        <v>46181.081666666665</v>
      </c>
      <c r="L329" s="106">
        <v>46181.416481481479</v>
      </c>
      <c r="M329" s="106">
        <v>46181.445127314815</v>
      </c>
      <c r="N329" s="106">
        <v>46184.482824074075</v>
      </c>
      <c r="O329" s="106"/>
      <c r="P329" s="106"/>
      <c r="Z329" s="107">
        <f t="shared" ca="1" si="40"/>
        <v>1.2744907407419914</v>
      </c>
      <c r="AA329" s="108">
        <f t="shared" ca="1" si="41"/>
        <v>3.398641975311977</v>
      </c>
      <c r="AB329" s="107">
        <f t="shared" ca="1" si="42"/>
        <v>1.191342592595902</v>
      </c>
      <c r="AC329" s="108">
        <f t="shared" ca="1" si="43"/>
        <v>3.1769135802557389</v>
      </c>
      <c r="AD329" s="107">
        <f t="shared" ca="1" si="44"/>
        <v>2.8645833335758653E-2</v>
      </c>
      <c r="AE329" s="107">
        <f t="shared" ca="1" si="46"/>
        <v>1.191342592595902</v>
      </c>
      <c r="AF329" s="108">
        <f t="shared" ca="1" si="45"/>
        <v>3.1769135802557389</v>
      </c>
      <c r="AG329" s="108">
        <f t="shared" ca="1" si="39"/>
        <v>3.1769135802557389</v>
      </c>
      <c r="AH329" s="61" t="str" cm="1">
        <f t="array" aca="1" ref="AH329" ca="1">IF((AD329) &lt; (INDEX(ResponseSLA[#All],(MATCH((G329),ResponseSLA[Priority],0))+1,3)),"YES","No")</f>
        <v>YES</v>
      </c>
      <c r="AI329" s="61" t="str">
        <f ca="1">_xlfn.IFNA(IF(AE329 &lt; (INDEX(SLATable[Minimum SLA],MATCH(G329,SLATable[Priority],0))),"YES","NO"),"")</f>
        <v>YES</v>
      </c>
      <c r="AJ329" s="61" t="str">
        <f ca="1">_xlfn.IFNA(IF(AE329 &lt; (INDEX(SLATable[Maximum SLA],MATCH(G329,SLATable[Priority],0))),"YES","NO"),"")</f>
        <v>YES</v>
      </c>
    </row>
    <row r="330" spans="1:36" s="60" customFormat="1" ht="15" hidden="1" customHeight="1">
      <c r="A330" s="60">
        <v>329</v>
      </c>
      <c r="B330" s="60" t="s">
        <v>26</v>
      </c>
      <c r="C330" s="60" t="s">
        <v>27</v>
      </c>
      <c r="D330" s="60" t="s">
        <v>207</v>
      </c>
      <c r="E330" s="60" t="s">
        <v>3238</v>
      </c>
      <c r="F330" s="60" t="s">
        <v>318</v>
      </c>
      <c r="G330" s="105">
        <v>4</v>
      </c>
      <c r="H330" s="212" t="s">
        <v>3239</v>
      </c>
      <c r="I330" s="105" t="s">
        <v>275</v>
      </c>
      <c r="J330" s="60" t="s">
        <v>2827</v>
      </c>
      <c r="K330" s="106">
        <v>46181.464803240742</v>
      </c>
      <c r="L330" s="106">
        <v>46181.475682870368</v>
      </c>
      <c r="M330" s="106">
        <v>46181.476863425924</v>
      </c>
      <c r="N330" s="106">
        <v>46183.495833333334</v>
      </c>
      <c r="O330" s="106"/>
      <c r="P330" s="106"/>
      <c r="Z330" s="107">
        <f t="shared" ca="1" si="40"/>
        <v>0.78103009259211831</v>
      </c>
      <c r="AA330" s="108">
        <f t="shared" ca="1" si="41"/>
        <v>2.082746913578982</v>
      </c>
      <c r="AB330" s="107">
        <f t="shared" ca="1" si="42"/>
        <v>0.77015046296583023</v>
      </c>
      <c r="AC330" s="108">
        <f t="shared" ca="1" si="43"/>
        <v>2.0537345679088808</v>
      </c>
      <c r="AD330" s="107">
        <f t="shared" ca="1" si="44"/>
        <v>1.1805555550381541E-3</v>
      </c>
      <c r="AE330" s="107">
        <f t="shared" ca="1" si="46"/>
        <v>0.77015046296583023</v>
      </c>
      <c r="AF330" s="108">
        <f t="shared" ca="1" si="45"/>
        <v>2.0537345679088808</v>
      </c>
      <c r="AG330" s="108">
        <f t="shared" ca="1" si="39"/>
        <v>2.0537345679088808</v>
      </c>
      <c r="AH330" s="61" t="str" cm="1">
        <f t="array" aca="1" ref="AH330" ca="1">IF((AD330) &lt; (INDEX(ResponseSLA[#All],(MATCH((G330),ResponseSLA[Priority],0))+1,3)),"YES","No")</f>
        <v>YES</v>
      </c>
      <c r="AI330" s="61" t="str">
        <f ca="1">_xlfn.IFNA(IF(AE330 &lt; (INDEX(SLATable[Minimum SLA],MATCH(G330,SLATable[Priority],0))),"YES","NO"),"")</f>
        <v>YES</v>
      </c>
      <c r="AJ330" s="61" t="str">
        <f ca="1">_xlfn.IFNA(IF(AE330 &lt; (INDEX(SLATable[Maximum SLA],MATCH(G330,SLATable[Priority],0))),"YES","NO"),"")</f>
        <v>YES</v>
      </c>
    </row>
    <row r="331" spans="1:36" s="60" customFormat="1" ht="15" hidden="1" customHeight="1">
      <c r="A331" s="60">
        <v>330</v>
      </c>
      <c r="B331" s="60" t="s">
        <v>26</v>
      </c>
      <c r="C331" s="60" t="s">
        <v>27</v>
      </c>
      <c r="D331" s="60" t="s">
        <v>207</v>
      </c>
      <c r="E331" s="60" t="s">
        <v>3240</v>
      </c>
      <c r="F331" s="60" t="s">
        <v>318</v>
      </c>
      <c r="G331" s="105">
        <v>3</v>
      </c>
      <c r="H331" s="212" t="s">
        <v>3241</v>
      </c>
      <c r="I331" s="105" t="s">
        <v>260</v>
      </c>
      <c r="J331" s="60" t="s">
        <v>2700</v>
      </c>
      <c r="K331" s="106">
        <v>46181.462002314816</v>
      </c>
      <c r="L331" s="106">
        <v>46181.574317129627</v>
      </c>
      <c r="M331" s="106">
        <v>46181.595347222225</v>
      </c>
      <c r="N331" s="106"/>
      <c r="O331" s="106"/>
      <c r="P331" s="106"/>
      <c r="Z331" s="107">
        <f t="shared" ca="1" si="40"/>
        <v>21.171974421296913</v>
      </c>
      <c r="AA331" s="108">
        <f t="shared" ca="1" si="41"/>
        <v>56.458598456791769</v>
      </c>
      <c r="AB331" s="107">
        <f t="shared" ca="1" si="42"/>
        <v>21.059659606486097</v>
      </c>
      <c r="AC331" s="108">
        <f t="shared" ca="1" si="43"/>
        <v>56.159092283962927</v>
      </c>
      <c r="AD331" s="107">
        <f t="shared" ca="1" si="44"/>
        <v>2.1030092597356997E-2</v>
      </c>
      <c r="AE331" s="107">
        <f t="shared" ca="1" si="46"/>
        <v>21.059659606486097</v>
      </c>
      <c r="AF331" s="108">
        <f t="shared" ca="1" si="45"/>
        <v>56.159092283962927</v>
      </c>
      <c r="AG331" s="108">
        <f t="shared" ca="1" si="39"/>
        <v>56.159092283962927</v>
      </c>
      <c r="AH331" s="61" t="str" cm="1">
        <f t="array" aca="1" ref="AH331" ca="1">IF((AD331) &lt; (INDEX(ResponseSLA[#All],(MATCH((G331),ResponseSLA[Priority],0))+1,3)),"YES","No")</f>
        <v>YES</v>
      </c>
      <c r="AI331" s="61" t="str">
        <f ca="1">_xlfn.IFNA(IF(AE331 &lt; (INDEX(SLATable[Minimum SLA],MATCH(G331,SLATable[Priority],0))),"YES","NO"),"")</f>
        <v>NO</v>
      </c>
      <c r="AJ331" s="61" t="str">
        <f ca="1">_xlfn.IFNA(IF(AE331 &lt; (INDEX(SLATable[Maximum SLA],MATCH(G331,SLATable[Priority],0))),"YES","NO"),"")</f>
        <v>NO</v>
      </c>
    </row>
    <row r="332" spans="1:36" s="60" customFormat="1" ht="15" hidden="1" customHeight="1">
      <c r="A332" s="60">
        <v>331</v>
      </c>
      <c r="B332" s="60" t="s">
        <v>26</v>
      </c>
      <c r="C332" s="60" t="s">
        <v>27</v>
      </c>
      <c r="D332" s="60" t="s">
        <v>207</v>
      </c>
      <c r="E332" s="60" t="s">
        <v>3242</v>
      </c>
      <c r="F332" s="60" t="s">
        <v>318</v>
      </c>
      <c r="G332" s="105">
        <v>3</v>
      </c>
      <c r="H332" s="212" t="s">
        <v>2724</v>
      </c>
      <c r="I332" s="105" t="s">
        <v>271</v>
      </c>
      <c r="J332" s="60" t="s">
        <v>2725</v>
      </c>
      <c r="K332" s="106">
        <v>46181.568680555552</v>
      </c>
      <c r="L332" s="106">
        <v>46181.568680555552</v>
      </c>
      <c r="M332" s="106">
        <v>46181.601099537038</v>
      </c>
      <c r="N332" s="106">
        <v>46182.257939814815</v>
      </c>
      <c r="O332" s="106"/>
      <c r="P332" s="106"/>
      <c r="Z332" s="107">
        <f t="shared" ca="1" si="40"/>
        <v>0.13965277778091456</v>
      </c>
      <c r="AA332" s="108">
        <f t="shared" ca="1" si="41"/>
        <v>0.37240740741577216</v>
      </c>
      <c r="AB332" s="107">
        <f t="shared" ca="1" si="42"/>
        <v>0.13965277778091456</v>
      </c>
      <c r="AC332" s="108">
        <f t="shared" ca="1" si="43"/>
        <v>0.37240740741577216</v>
      </c>
      <c r="AD332" s="107">
        <f t="shared" ca="1" si="44"/>
        <v>3.2418981485534459E-2</v>
      </c>
      <c r="AE332" s="107">
        <f t="shared" ca="1" si="46"/>
        <v>0.13965277778091456</v>
      </c>
      <c r="AF332" s="108">
        <f t="shared" ca="1" si="45"/>
        <v>0.37240740741577216</v>
      </c>
      <c r="AG332" s="108">
        <f t="shared" ca="1" si="39"/>
        <v>0.37240740741577216</v>
      </c>
      <c r="AH332" s="61" t="str" cm="1">
        <f t="array" aca="1" ref="AH332" ca="1">IF((AD332) &lt; (INDEX(ResponseSLA[#All],(MATCH((G332),ResponseSLA[Priority],0))+1,3)),"YES","No")</f>
        <v>YES</v>
      </c>
      <c r="AI332" s="61" t="str">
        <f ca="1">_xlfn.IFNA(IF(AE332 &lt; (INDEX(SLATable[Minimum SLA],MATCH(G332,SLATable[Priority],0))),"YES","NO"),"")</f>
        <v>YES</v>
      </c>
      <c r="AJ332" s="61" t="str">
        <f ca="1">_xlfn.IFNA(IF(AE332 &lt; (INDEX(SLATable[Maximum SLA],MATCH(G332,SLATable[Priority],0))),"YES","NO"),"")</f>
        <v>YES</v>
      </c>
    </row>
    <row r="333" spans="1:36" s="60" customFormat="1" ht="15" hidden="1" customHeight="1">
      <c r="A333" s="60">
        <v>332</v>
      </c>
      <c r="B333" s="60" t="s">
        <v>26</v>
      </c>
      <c r="C333" s="60" t="s">
        <v>27</v>
      </c>
      <c r="D333" s="60" t="s">
        <v>207</v>
      </c>
      <c r="E333" s="60" t="s">
        <v>3243</v>
      </c>
      <c r="F333" s="60" t="s">
        <v>318</v>
      </c>
      <c r="G333" s="105">
        <v>4</v>
      </c>
      <c r="H333" s="212" t="s">
        <v>3244</v>
      </c>
      <c r="I333" s="105" t="s">
        <v>271</v>
      </c>
      <c r="J333" s="60" t="s">
        <v>2708</v>
      </c>
      <c r="K333" s="106">
        <v>46181.552511574075</v>
      </c>
      <c r="L333" s="106">
        <v>46181.552511574075</v>
      </c>
      <c r="M333" s="106">
        <v>46181.60261574074</v>
      </c>
      <c r="N333" s="106">
        <v>46195.471122685187</v>
      </c>
      <c r="O333" s="106">
        <v>46190.363217592596</v>
      </c>
      <c r="P333" s="106">
        <v>46195.471122685187</v>
      </c>
      <c r="Q333" s="60" t="s">
        <v>2733</v>
      </c>
      <c r="R333" s="60" t="s">
        <v>272</v>
      </c>
      <c r="S333" s="60" t="s">
        <v>157</v>
      </c>
      <c r="Z333" s="107">
        <f t="shared" ca="1" si="40"/>
        <v>2.4357060185211594</v>
      </c>
      <c r="AA333" s="108">
        <f t="shared" ca="1" si="41"/>
        <v>6.4952160493897582</v>
      </c>
      <c r="AB333" s="107">
        <f t="shared" ca="1" si="42"/>
        <v>2.4357060185211594</v>
      </c>
      <c r="AC333" s="108">
        <f t="shared" ca="1" si="43"/>
        <v>6.4952160493897582</v>
      </c>
      <c r="AD333" s="107">
        <f t="shared" ca="1" si="44"/>
        <v>5.0104166664823424E-2</v>
      </c>
      <c r="AE333" s="107">
        <f t="shared" ca="1" si="46"/>
        <v>2.4357060185211594</v>
      </c>
      <c r="AF333" s="108">
        <f t="shared" ca="1" si="45"/>
        <v>6.4952160493897582</v>
      </c>
      <c r="AG333" s="108">
        <f t="shared" ca="1" si="39"/>
        <v>6.4952160493897582</v>
      </c>
      <c r="AH333" s="61" t="str" cm="1">
        <f t="array" aca="1" ref="AH333" ca="1">IF((AD333) &lt; (INDEX(ResponseSLA[#All],(MATCH((G333),ResponseSLA[Priority],0))+1,3)),"YES","No")</f>
        <v>YES</v>
      </c>
      <c r="AI333" s="61" t="str">
        <f ca="1">_xlfn.IFNA(IF(AE333 &lt; (INDEX(SLATable[Minimum SLA],MATCH(G333,SLATable[Priority],0))),"YES","NO"),"")</f>
        <v>YES</v>
      </c>
      <c r="AJ333" s="61" t="str">
        <f ca="1">_xlfn.IFNA(IF(AE333 &lt; (INDEX(SLATable[Maximum SLA],MATCH(G333,SLATable[Priority],0))),"YES","NO"),"")</f>
        <v>YES</v>
      </c>
    </row>
    <row r="334" spans="1:36" s="60" customFormat="1" ht="15" customHeight="1">
      <c r="A334" s="60">
        <v>333</v>
      </c>
      <c r="B334" s="60" t="s">
        <v>26</v>
      </c>
      <c r="C334" s="60" t="s">
        <v>54</v>
      </c>
      <c r="D334" s="60" t="s">
        <v>208</v>
      </c>
      <c r="E334" s="60" t="s">
        <v>3245</v>
      </c>
      <c r="F334" s="60" t="s">
        <v>336</v>
      </c>
      <c r="G334" s="105" t="s">
        <v>208</v>
      </c>
      <c r="H334" s="212" t="s">
        <v>3246</v>
      </c>
      <c r="I334" s="105" t="s">
        <v>271</v>
      </c>
      <c r="J334" s="291" t="s">
        <v>2703</v>
      </c>
      <c r="K334" s="106">
        <v>46181.632071759261</v>
      </c>
      <c r="L334" s="106">
        <v>46181.632071759261</v>
      </c>
      <c r="M334" s="106">
        <v>46183.434074074074</v>
      </c>
      <c r="N334" s="106">
        <v>46188.515625</v>
      </c>
      <c r="O334" s="106">
        <v>46184.451851851853</v>
      </c>
      <c r="P334" s="106">
        <v>46187.374340277776</v>
      </c>
      <c r="Z334" s="107">
        <f t="shared" ca="1" si="40"/>
        <v>1.5020717592584938</v>
      </c>
      <c r="AA334" s="108">
        <f t="shared" ca="1" si="41"/>
        <v>4.0055246913559834</v>
      </c>
      <c r="AB334" s="107">
        <f t="shared" ca="1" si="42"/>
        <v>1.5020717592584938</v>
      </c>
      <c r="AC334" s="108">
        <f t="shared" ca="1" si="43"/>
        <v>4.0055246913559834</v>
      </c>
      <c r="AD334" s="107">
        <f t="shared" ca="1" si="44"/>
        <v>0.55200231481285311</v>
      </c>
      <c r="AE334" s="107">
        <f t="shared" ca="1" si="46"/>
        <v>1.5020717592584938</v>
      </c>
      <c r="AF334" s="108">
        <f t="shared" ca="1" si="45"/>
        <v>4.0055246913559834</v>
      </c>
      <c r="AG334" s="108">
        <f t="shared" ca="1" si="39"/>
        <v>4.0055246913559834</v>
      </c>
      <c r="AH334" s="61" t="str" cm="1">
        <f t="array" aca="1" ref="AH334" ca="1">IF((AD334) &lt; (INDEX(ResponseSLA[#All],(MATCH((G334),ResponseSLA[Priority],0))+1,3)),"YES","No")</f>
        <v>No</v>
      </c>
      <c r="AI334" s="61" t="str">
        <f ca="1">_xlfn.IFNA(IF(AE334 &lt; (INDEX(SLATable[Minimum SLA],MATCH(G334,SLATable[Priority],0))),"YES","NO"),"")</f>
        <v>NO</v>
      </c>
      <c r="AJ334" s="61" t="str">
        <f ca="1">_xlfn.IFNA(IF(AE334 &lt; (INDEX(SLATable[Maximum SLA],MATCH(G334,SLATable[Priority],0))),"YES","NO"),"")</f>
        <v>NO</v>
      </c>
    </row>
    <row r="335" spans="1:36" s="60" customFormat="1" ht="15" hidden="1" customHeight="1">
      <c r="A335" s="60">
        <v>334</v>
      </c>
      <c r="B335" s="60" t="s">
        <v>26</v>
      </c>
      <c r="C335" s="60" t="s">
        <v>27</v>
      </c>
      <c r="D335" s="60" t="s">
        <v>208</v>
      </c>
      <c r="E335" s="60" t="s">
        <v>3247</v>
      </c>
      <c r="F335" s="60" t="s">
        <v>322</v>
      </c>
      <c r="G335" s="105" t="s">
        <v>208</v>
      </c>
      <c r="H335" s="212" t="s">
        <v>3248</v>
      </c>
      <c r="I335" s="105" t="s">
        <v>275</v>
      </c>
      <c r="J335" s="60" t="s">
        <v>2717</v>
      </c>
      <c r="K335" s="106">
        <v>46188.267650462964</v>
      </c>
      <c r="L335" s="106">
        <v>46188.267650462964</v>
      </c>
      <c r="M335" s="106">
        <v>46188.277465277781</v>
      </c>
      <c r="N335" s="106">
        <v>46188.283194444448</v>
      </c>
      <c r="O335" s="106"/>
      <c r="P335" s="106"/>
      <c r="U335" s="60" t="s">
        <v>371</v>
      </c>
      <c r="Z335" s="107">
        <f t="shared" ca="1" si="40"/>
        <v>0</v>
      </c>
      <c r="AA335" s="108">
        <f t="shared" ca="1" si="41"/>
        <v>0</v>
      </c>
      <c r="AB335" s="107">
        <f t="shared" ca="1" si="42"/>
        <v>0</v>
      </c>
      <c r="AC335" s="108">
        <f t="shared" ca="1" si="43"/>
        <v>0</v>
      </c>
      <c r="AD335" s="107">
        <f t="shared" ca="1" si="44"/>
        <v>0</v>
      </c>
      <c r="AE335" s="107">
        <f t="shared" ca="1" si="46"/>
        <v>0</v>
      </c>
      <c r="AF335" s="108">
        <f t="shared" ca="1" si="45"/>
        <v>0</v>
      </c>
      <c r="AG335" s="108">
        <f t="shared" ca="1" si="39"/>
        <v>0</v>
      </c>
      <c r="AH335" s="61" t="str" cm="1">
        <f t="array" aca="1" ref="AH335" ca="1">IF((AD335) &lt; (INDEX(ResponseSLA[#All],(MATCH((G335),ResponseSLA[Priority],0))+1,3)),"YES","No")</f>
        <v>YES</v>
      </c>
      <c r="AI335" s="61" t="str">
        <f ca="1">_xlfn.IFNA(IF(AE335 &lt; (INDEX(SLATable[Minimum SLA],MATCH(G335,SLATable[Priority],0))),"YES","NO"),"")</f>
        <v>YES</v>
      </c>
      <c r="AJ335" s="61" t="str">
        <f ca="1">_xlfn.IFNA(IF(AE335 &lt; (INDEX(SLATable[Maximum SLA],MATCH(G335,SLATable[Priority],0))),"YES","NO"),"")</f>
        <v>YES</v>
      </c>
    </row>
    <row r="336" spans="1:36" s="60" customFormat="1" ht="15" hidden="1" customHeight="1">
      <c r="A336" s="60">
        <v>335</v>
      </c>
      <c r="B336" s="60" t="s">
        <v>26</v>
      </c>
      <c r="C336" s="60" t="s">
        <v>27</v>
      </c>
      <c r="D336" s="60" t="s">
        <v>208</v>
      </c>
      <c r="E336" s="60" t="s">
        <v>3249</v>
      </c>
      <c r="F336" s="60" t="s">
        <v>322</v>
      </c>
      <c r="G336" s="105" t="s">
        <v>208</v>
      </c>
      <c r="H336" s="212" t="s">
        <v>3250</v>
      </c>
      <c r="I336" s="105" t="s">
        <v>275</v>
      </c>
      <c r="J336" s="60" t="s">
        <v>2717</v>
      </c>
      <c r="K336" s="106">
        <v>46188.263865740744</v>
      </c>
      <c r="L336" s="106">
        <v>46188.263865740744</v>
      </c>
      <c r="M336" s="106">
        <v>46188.269490740742</v>
      </c>
      <c r="N336" s="106">
        <v>46188.290972222225</v>
      </c>
      <c r="O336" s="106"/>
      <c r="P336" s="106"/>
      <c r="U336" s="60" t="s">
        <v>371</v>
      </c>
      <c r="Z336" s="107">
        <f t="shared" ca="1" si="40"/>
        <v>0</v>
      </c>
      <c r="AA336" s="108">
        <f t="shared" ca="1" si="41"/>
        <v>0</v>
      </c>
      <c r="AB336" s="107">
        <f t="shared" ca="1" si="42"/>
        <v>0</v>
      </c>
      <c r="AC336" s="108">
        <f t="shared" ca="1" si="43"/>
        <v>0</v>
      </c>
      <c r="AD336" s="107">
        <f t="shared" ca="1" si="44"/>
        <v>0</v>
      </c>
      <c r="AE336" s="107">
        <f t="shared" ca="1" si="46"/>
        <v>0</v>
      </c>
      <c r="AF336" s="108">
        <f t="shared" ca="1" si="45"/>
        <v>0</v>
      </c>
      <c r="AG336" s="108">
        <f t="shared" ca="1" si="39"/>
        <v>0</v>
      </c>
      <c r="AH336" s="61" t="str" cm="1">
        <f t="array" aca="1" ref="AH336" ca="1">IF((AD336) &lt; (INDEX(ResponseSLA[#All],(MATCH((G336),ResponseSLA[Priority],0))+1,3)),"YES","No")</f>
        <v>YES</v>
      </c>
      <c r="AI336" s="61" t="str">
        <f ca="1">_xlfn.IFNA(IF(AE336 &lt; (INDEX(SLATable[Minimum SLA],MATCH(G336,SLATable[Priority],0))),"YES","NO"),"")</f>
        <v>YES</v>
      </c>
      <c r="AJ336" s="61" t="str">
        <f ca="1">_xlfn.IFNA(IF(AE336 &lt; (INDEX(SLATable[Maximum SLA],MATCH(G336,SLATable[Priority],0))),"YES","NO"),"")</f>
        <v>YES</v>
      </c>
    </row>
    <row r="337" spans="1:36" s="60" customFormat="1" ht="15" hidden="1" customHeight="1">
      <c r="A337" s="60">
        <v>336</v>
      </c>
      <c r="B337" s="60" t="s">
        <v>26</v>
      </c>
      <c r="C337" s="60" t="s">
        <v>27</v>
      </c>
      <c r="D337" s="60" t="s">
        <v>208</v>
      </c>
      <c r="E337" s="60" t="s">
        <v>3251</v>
      </c>
      <c r="F337" s="60" t="s">
        <v>322</v>
      </c>
      <c r="G337" s="105" t="s">
        <v>208</v>
      </c>
      <c r="H337" s="212" t="s">
        <v>3252</v>
      </c>
      <c r="I337" s="105" t="s">
        <v>275</v>
      </c>
      <c r="J337" s="60" t="s">
        <v>2717</v>
      </c>
      <c r="K337" s="106">
        <v>46188.2658912037</v>
      </c>
      <c r="L337" s="106">
        <v>46188.2658912037</v>
      </c>
      <c r="M337" s="106">
        <v>46188.277291666665</v>
      </c>
      <c r="N337" s="106">
        <v>46188.292372685188</v>
      </c>
      <c r="O337" s="106"/>
      <c r="P337" s="106"/>
      <c r="U337" s="60" t="s">
        <v>371</v>
      </c>
      <c r="Z337" s="107">
        <f t="shared" ca="1" si="40"/>
        <v>0</v>
      </c>
      <c r="AA337" s="108">
        <f t="shared" ca="1" si="41"/>
        <v>0</v>
      </c>
      <c r="AB337" s="107">
        <f t="shared" ca="1" si="42"/>
        <v>0</v>
      </c>
      <c r="AC337" s="108">
        <f t="shared" ca="1" si="43"/>
        <v>0</v>
      </c>
      <c r="AD337" s="107">
        <f t="shared" ca="1" si="44"/>
        <v>0</v>
      </c>
      <c r="AE337" s="107">
        <f t="shared" ca="1" si="46"/>
        <v>0</v>
      </c>
      <c r="AF337" s="108">
        <f t="shared" ca="1" si="45"/>
        <v>0</v>
      </c>
      <c r="AG337" s="108">
        <f t="shared" ca="1" si="39"/>
        <v>0</v>
      </c>
      <c r="AH337" s="61" t="str" cm="1">
        <f t="array" aca="1" ref="AH337" ca="1">IF((AD337) &lt; (INDEX(ResponseSLA[#All],(MATCH((G337),ResponseSLA[Priority],0))+1,3)),"YES","No")</f>
        <v>YES</v>
      </c>
      <c r="AI337" s="61" t="str">
        <f ca="1">_xlfn.IFNA(IF(AE337 &lt; (INDEX(SLATable[Minimum SLA],MATCH(G337,SLATable[Priority],0))),"YES","NO"),"")</f>
        <v>YES</v>
      </c>
      <c r="AJ337" s="61" t="str">
        <f ca="1">_xlfn.IFNA(IF(AE337 &lt; (INDEX(SLATable[Maximum SLA],MATCH(G337,SLATable[Priority],0))),"YES","NO"),"")</f>
        <v>YES</v>
      </c>
    </row>
    <row r="338" spans="1:36" s="60" customFormat="1" ht="15" hidden="1" customHeight="1">
      <c r="A338" s="60">
        <v>337</v>
      </c>
      <c r="B338" s="60" t="s">
        <v>26</v>
      </c>
      <c r="C338" s="60" t="s">
        <v>27</v>
      </c>
      <c r="D338" s="60" t="s">
        <v>207</v>
      </c>
      <c r="E338" s="60" t="s">
        <v>3253</v>
      </c>
      <c r="F338" s="60" t="s">
        <v>318</v>
      </c>
      <c r="G338" s="105">
        <v>3</v>
      </c>
      <c r="H338" s="212" t="s">
        <v>2923</v>
      </c>
      <c r="I338" s="105" t="s">
        <v>271</v>
      </c>
      <c r="J338" s="60" t="s">
        <v>2703</v>
      </c>
      <c r="K338" s="106">
        <v>46190.381990740738</v>
      </c>
      <c r="L338" s="106">
        <v>46190.382523148146</v>
      </c>
      <c r="M338" s="106">
        <v>46190.410451388889</v>
      </c>
      <c r="N338" s="106">
        <v>46190.469224537039</v>
      </c>
      <c r="O338" s="106"/>
      <c r="P338" s="106"/>
      <c r="Z338" s="107">
        <f t="shared" ca="1" si="40"/>
        <v>8.7233796301006805E-2</v>
      </c>
      <c r="AA338" s="108">
        <f t="shared" ca="1" si="41"/>
        <v>0.23262345680268481</v>
      </c>
      <c r="AB338" s="107">
        <f t="shared" ca="1" si="42"/>
        <v>8.6701388892834075E-2</v>
      </c>
      <c r="AC338" s="108">
        <f t="shared" ca="1" si="43"/>
        <v>0.23120370371422419</v>
      </c>
      <c r="AD338" s="107">
        <f t="shared" ca="1" si="44"/>
        <v>2.792824074276723E-2</v>
      </c>
      <c r="AE338" s="107">
        <f t="shared" ca="1" si="46"/>
        <v>8.6701388892834075E-2</v>
      </c>
      <c r="AF338" s="108">
        <f t="shared" ca="1" si="45"/>
        <v>0.23120370371422419</v>
      </c>
      <c r="AG338" s="108">
        <f t="shared" ca="1" si="39"/>
        <v>0.23120370371422419</v>
      </c>
      <c r="AH338" s="61" t="str" cm="1">
        <f t="array" aca="1" ref="AH338" ca="1">IF((AD338) &lt; (INDEX(ResponseSLA[#All],(MATCH((G338),ResponseSLA[Priority],0))+1,3)),"YES","No")</f>
        <v>YES</v>
      </c>
      <c r="AI338" s="61" t="str">
        <f ca="1">_xlfn.IFNA(IF(AE338 &lt; (INDEX(SLATable[Minimum SLA],MATCH(G338,SLATable[Priority],0))),"YES","NO"),"")</f>
        <v>YES</v>
      </c>
      <c r="AJ338" s="61" t="str">
        <f ca="1">_xlfn.IFNA(IF(AE338 &lt; (INDEX(SLATable[Maximum SLA],MATCH(G338,SLATable[Priority],0))),"YES","NO"),"")</f>
        <v>YES</v>
      </c>
    </row>
    <row r="339" spans="1:36" s="60" customFormat="1" ht="15" customHeight="1">
      <c r="A339" s="60">
        <v>338</v>
      </c>
      <c r="B339" s="60" t="s">
        <v>26</v>
      </c>
      <c r="C339" s="60" t="s">
        <v>54</v>
      </c>
      <c r="D339" s="60" t="s">
        <v>207</v>
      </c>
      <c r="E339" s="60" t="s">
        <v>3254</v>
      </c>
      <c r="F339" s="60" t="s">
        <v>53</v>
      </c>
      <c r="G339" s="105">
        <v>3</v>
      </c>
      <c r="H339" s="212" t="s">
        <v>3255</v>
      </c>
      <c r="I339" s="105" t="s">
        <v>271</v>
      </c>
      <c r="J339" s="291" t="s">
        <v>2694</v>
      </c>
      <c r="K339" s="106">
        <v>46190.511458333334</v>
      </c>
      <c r="L339" s="106">
        <v>46190.511458333334</v>
      </c>
      <c r="M339" s="106">
        <v>46190.521307870367</v>
      </c>
      <c r="N339" s="62">
        <v>46191.670729166668</v>
      </c>
      <c r="O339" s="106"/>
      <c r="P339" s="106"/>
      <c r="Z339" s="107">
        <f t="shared" ca="1" si="40"/>
        <v>0.53427083333372138</v>
      </c>
      <c r="AA339" s="108">
        <f t="shared" ca="1" si="41"/>
        <v>1.424722222223257</v>
      </c>
      <c r="AB339" s="107">
        <f t="shared" ca="1" si="42"/>
        <v>0.53427083333372138</v>
      </c>
      <c r="AC339" s="108">
        <f t="shared" ca="1" si="43"/>
        <v>1.424722222223257</v>
      </c>
      <c r="AD339" s="107">
        <f t="shared" ca="1" si="44"/>
        <v>9.8495370330056176E-3</v>
      </c>
      <c r="AE339" s="107">
        <f t="shared" ca="1" si="46"/>
        <v>0.53427083333372138</v>
      </c>
      <c r="AF339" s="108">
        <f t="shared" ca="1" si="45"/>
        <v>1.424722222223257</v>
      </c>
      <c r="AG339" s="108">
        <f t="shared" ca="1" si="39"/>
        <v>1.424722222223257</v>
      </c>
      <c r="AH339" s="61" t="str" cm="1">
        <f t="array" aca="1" ref="AH339" ca="1">IF((AD339) &lt; (INDEX(ResponseSLA[#All],(MATCH((G339),ResponseSLA[Priority],0))+1,3)),"YES","No")</f>
        <v>YES</v>
      </c>
      <c r="AI339" s="61" t="str">
        <f ca="1">_xlfn.IFNA(IF(AE339 &lt; (INDEX(SLATable[Minimum SLA],MATCH(G339,SLATable[Priority],0))),"YES","NO"),"")</f>
        <v>NO</v>
      </c>
      <c r="AJ339" s="61" t="str">
        <f ca="1">_xlfn.IFNA(IF(AE339 &lt; (INDEX(SLATable[Maximum SLA],MATCH(G339,SLATable[Priority],0))),"YES","NO"),"")</f>
        <v>YES</v>
      </c>
    </row>
    <row r="340" spans="1:36" s="60" customFormat="1" ht="15" customHeight="1">
      <c r="A340" s="60">
        <v>339</v>
      </c>
      <c r="B340" s="60" t="s">
        <v>26</v>
      </c>
      <c r="C340" s="60" t="s">
        <v>54</v>
      </c>
      <c r="D340" s="60" t="s">
        <v>208</v>
      </c>
      <c r="E340" s="60" t="s">
        <v>3256</v>
      </c>
      <c r="F340" s="60" t="s">
        <v>53</v>
      </c>
      <c r="G340" s="105" t="s">
        <v>208</v>
      </c>
      <c r="H340" s="212" t="s">
        <v>3255</v>
      </c>
      <c r="I340" s="105" t="s">
        <v>266</v>
      </c>
      <c r="J340" s="291" t="s">
        <v>2694</v>
      </c>
      <c r="K340" s="106">
        <v>46183.632187499999</v>
      </c>
      <c r="L340" s="106">
        <v>46190.534444444442</v>
      </c>
      <c r="M340" s="106">
        <v>46190.553240740737</v>
      </c>
      <c r="N340" s="106"/>
      <c r="O340" s="106"/>
      <c r="P340" s="106"/>
      <c r="Z340" s="107">
        <f t="shared" ca="1" si="40"/>
        <v>20.25178923611384</v>
      </c>
      <c r="AA340" s="108">
        <f t="shared" ca="1" si="41"/>
        <v>54.004771296303574</v>
      </c>
      <c r="AB340" s="107">
        <f t="shared" ca="1" si="42"/>
        <v>18.474532060186906</v>
      </c>
      <c r="AC340" s="108">
        <f t="shared" ca="1" si="43"/>
        <v>49.265418827165085</v>
      </c>
      <c r="AD340" s="107">
        <f t="shared" ca="1" si="44"/>
        <v>1.8796296295477077E-2</v>
      </c>
      <c r="AE340" s="107">
        <f t="shared" ca="1" si="46"/>
        <v>18.474532060186906</v>
      </c>
      <c r="AF340" s="108">
        <f t="shared" ca="1" si="45"/>
        <v>49.265418827165085</v>
      </c>
      <c r="AG340" s="108">
        <f t="shared" ca="1" si="39"/>
        <v>49.265418827165085</v>
      </c>
      <c r="AH340" s="61" t="str" cm="1">
        <f t="array" aca="1" ref="AH340" ca="1">IF((AD340) &lt; (INDEX(ResponseSLA[#All],(MATCH((G340),ResponseSLA[Priority],0))+1,3)),"YES","No")</f>
        <v>YES</v>
      </c>
      <c r="AI340" s="61" t="str">
        <f ca="1">_xlfn.IFNA(IF(AE340 &lt; (INDEX(SLATable[Minimum SLA],MATCH(G340,SLATable[Priority],0))),"YES","NO"),"")</f>
        <v>NO</v>
      </c>
      <c r="AJ340" s="61" t="str">
        <f ca="1">_xlfn.IFNA(IF(AE340 &lt; (INDEX(SLATable[Maximum SLA],MATCH(G340,SLATable[Priority],0))),"YES","NO"),"")</f>
        <v>NO</v>
      </c>
    </row>
    <row r="341" spans="1:36" s="60" customFormat="1" ht="15" customHeight="1">
      <c r="A341" s="60">
        <v>340</v>
      </c>
      <c r="B341" s="60" t="s">
        <v>26</v>
      </c>
      <c r="C341" s="60" t="s">
        <v>54</v>
      </c>
      <c r="D341" s="60" t="s">
        <v>207</v>
      </c>
      <c r="E341" s="60" t="s">
        <v>3257</v>
      </c>
      <c r="F341" s="60" t="s">
        <v>336</v>
      </c>
      <c r="G341" s="105">
        <v>4</v>
      </c>
      <c r="H341" s="212" t="s">
        <v>3258</v>
      </c>
      <c r="I341" s="105" t="s">
        <v>266</v>
      </c>
      <c r="J341" s="291" t="s">
        <v>2714</v>
      </c>
      <c r="K341" s="106">
        <v>46181.560787037037</v>
      </c>
      <c r="L341" s="106">
        <v>46181.560787037037</v>
      </c>
      <c r="M341" s="106">
        <v>46181.633020833331</v>
      </c>
      <c r="N341" s="106"/>
      <c r="O341" s="106">
        <v>46185.430266203701</v>
      </c>
      <c r="P341" s="106"/>
      <c r="Z341" s="107" t="e">
        <f ca="1">IF(NOT(OR(G341=1,G341=2)),MAX(0,_xlfn.IFS(AND(K341&lt;&gt;"",O341&lt;&gt;""),((MAX(NETWORKDAYS(K341,O341,UKBankHolidays)-1,0))*(TIME(17,0,0)-TIME(8,0,0))+IF(NETWORKDAYS(O341,O341,UKBankHolidays)&gt;0,MEDIAN(TIME(8,0,0),MOD(O341,1),TIME(17,0,0)),TIME(8,0,0))-IF(NETWORKDAYS(K341,K341,UKBankHolidays)&gt;0,MEDIAN(TIME(8,0,0),MOD(K341,1),TIME(17,0,0)),TIME(8,0,0)))-IF(AND(#REF!&lt;&gt;"",P341&lt;&gt;""),((MAX(NETWORKDAYS(#REF!,P341,UKBankHolidays)-1,0))*(TIME(17,0,0)-TIME(8,0,0))+IF(NETWORKDAYS(P341,P341,UKBankHolidays)&gt;0,MEDIAN(TIME(8,0,0),MOD(P341,1),TIME(17,0,0)),TIME(8,0,0))-IF(NETWORKDAYS(#REF!,#REF!,UKBankHolidays)&gt;0,MEDIAN(TIME(8,0,0),MOD(#REF!,1),TIME(17,0,0)),TIME(8,0,0))),0),AND(K341&lt;&gt;"",O341=""),((MAX(NETWORKDAYS(K341,NOW(),UKBankHolidays)-1,0))*(TIME(17,0,0)-TIME(8,0,0))+IF(NETWORKDAYS(NOW(),NOW(),UKBankHolidays)&gt;0,MEDIAN(TIME(8,0,0),MOD(NOW(),1),TIME(17,0,0)),TIME(8,0,0))-IF(NETWORKDAYS(K341,K341,UKBankHolidays)&gt;0,MEDIAN(TIME(8,0,0),MOD(K341,1),TIME(17,0,0)),TIME(8,0,0))))),IF(O341="",NOW()-K341,O341-K341))</f>
        <v>#REF!</v>
      </c>
      <c r="AA341" s="108" t="e">
        <f t="shared" ca="1" si="41"/>
        <v>#REF!</v>
      </c>
      <c r="AB341" s="107" t="e">
        <f ca="1">IF(NOT(OR(G341=1,G341=2)),MAX(0,_xlfn.IFS(AND(K341&lt;&gt;"",O341&lt;&gt;""),(((MAX(NETWORKDAYS(L341,O341,UKBankHolidays)-1,0))*(TIME(17,0,0)-TIME(8,0,0)))+IF(NETWORKDAYS(O341,O341,UKBankHolidays)&gt;0,MEDIAN(TIME(8,0,0),MOD(O341,1),TIME(17,0,0)),TIME(8,0,0))-IF(NETWORKDAYS(L341,L341,UKBankHolidays)&gt;0,MEDIAN(TIME(8,0,0),MOD(L341,1),TIME(17,0,0)),TIME(8,0,0)))-IF(AND(#REF!&lt;&gt;"",P341&lt;&gt;""),(((MAX(NETWORKDAYS(#REF!,P341,UKBankHolidays)-1,0))*(TIME(17,0,0)-TIME(8,0,0)))+IF(NETWORKDAYS(P341,P341,UKBankHolidays)&gt;0,MEDIAN(TIME(8,0,0),MOD(P341,1),TIME(17,0,0)),TIME(8,0,0))-IF(NETWORKDAYS(#REF!,#REF!,UKBankHolidays)&gt;0,MEDIAN(TIME(8,0,0),MOD(#REF!,1),TIME(17,0,0)),TIME(8,0,0))),0),AND(L341&lt;&gt;"",O341="",#REF!=""),(((MAX(NETWORKDAYS(L341,NOW(),UKBankHolidays)-1,0))*(TIME(17,0,0)-TIME(8,0,0)))+IF(NETWORKDAYS(NOW(),NOW(),UKBankHolidays)&gt;0,MEDIAN(TIME(8,0,0),MOD(NOW(),1),TIME(17,0,0)),TIME(8,0,0))-IF(NETWORKDAYS(L341,L341,UKBankHolidays)&gt;0,MEDIAN(TIME(8,0,0),MOD(L341,1),TIME(17,0,0)),TIME(8,0,0)))-IF(AND(#REF!&lt;&gt;"",P341&lt;&gt;""),(((MAX(NETWORKDAYS(#REF!,P341,UKBankHolidays)-1,0))*(TIME(17,0,0)-TIME(8,0,0)))+IF(NETWORKDAYS(P341,P341,UKBankHolidays)&gt;0,MEDIAN(TIME(8,0,0),MOD(P341,1),TIME(17,0,0)),TIME(8,0,0))-IF(NETWORKDAYS(#REF!,#REF!,UKBankHolidays)&gt;0,MEDIAN(TIME(8,0,0),MOD(#REF!,1),TIME(17,0,0)),TIME(8,0,0))),0),AND(L341&lt;&gt;"",O341="",P341="",#REF!&lt;&gt;""),(((MAX(NETWORKDAYS(L341,#REF!,UKBankHolidays)-1,0))*(TIME(17,0,0)-TIME(8,0,0)))+IF(NETWORKDAYS(#REF!,#REF!,UKBankHolidays)&gt;0,MEDIAN(TIME(8,0,0),MOD(#REF!,1),TIME(17,0,0)),TIME(8,0,0))-IF(NETWORKDAYS(L341,L341,UKBankHolidays)&gt;0,MEDIAN(TIME(8,0,0),MOD(L341,1),TIME(17,0,0)),TIME(8,0,0))),ISBLANK(K341),"0")),IF(ISBLANK(O341),NOW()-L341,O341-L341))</f>
        <v>#REF!</v>
      </c>
      <c r="AC341" s="108" t="e">
        <f t="shared" ca="1" si="43"/>
        <v>#REF!</v>
      </c>
      <c r="AD341" s="107">
        <f t="shared" ca="1" si="44"/>
        <v>7.2233796294312924E-2</v>
      </c>
      <c r="AE341" s="107" t="e">
        <f t="shared" ca="1" si="46"/>
        <v>#REF!</v>
      </c>
      <c r="AF341" s="108" t="e">
        <f t="shared" ca="1" si="45"/>
        <v>#REF!</v>
      </c>
      <c r="AG341" s="108" t="e">
        <f t="shared" ca="1" si="39"/>
        <v>#REF!</v>
      </c>
      <c r="AH341" s="61" t="str" cm="1">
        <f t="array" aca="1" ref="AH341" ca="1">IF((AD341) &lt; (INDEX(ResponseSLA[#All],(MATCH((G341),ResponseSLA[Priority],0))+1,3)),"YES","No")</f>
        <v>YES</v>
      </c>
      <c r="AI341" s="61" t="e">
        <f ca="1">_xlfn.IFNA(IF(AE341 &lt; (INDEX(SLATable[Minimum SLA],MATCH(G341,SLATable[Priority],0))),"YES","NO"),"")</f>
        <v>#REF!</v>
      </c>
      <c r="AJ341" s="61" t="e">
        <f ca="1">_xlfn.IFNA(IF(AE341 &lt; (INDEX(SLATable[Maximum SLA],MATCH(G341,SLATable[Priority],0))),"YES","NO"),"")</f>
        <v>#REF!</v>
      </c>
    </row>
    <row r="342" spans="1:36" s="60" customFormat="1" ht="15" customHeight="1">
      <c r="A342" s="60">
        <v>341</v>
      </c>
      <c r="B342" s="60" t="s">
        <v>26</v>
      </c>
      <c r="C342" s="60" t="s">
        <v>54</v>
      </c>
      <c r="D342" s="60" t="s">
        <v>207</v>
      </c>
      <c r="E342" s="60" t="s">
        <v>3259</v>
      </c>
      <c r="F342" s="60" t="s">
        <v>53</v>
      </c>
      <c r="G342" s="105">
        <v>4</v>
      </c>
      <c r="H342" s="212" t="s">
        <v>3260</v>
      </c>
      <c r="I342" s="105" t="s">
        <v>266</v>
      </c>
      <c r="J342" s="291" t="s">
        <v>2714</v>
      </c>
      <c r="K342" s="106">
        <v>46154.779641203706</v>
      </c>
      <c r="L342" s="106">
        <v>46190.348576388889</v>
      </c>
      <c r="M342" s="106">
        <v>46190.373101851852</v>
      </c>
      <c r="N342" s="106"/>
      <c r="O342" s="106">
        <v>46198.450046296297</v>
      </c>
      <c r="P342" s="106"/>
      <c r="Z342" s="107" t="e">
        <f ca="1">IF(NOT(OR(G342=1,G342=2)),MAX(0,_xlfn.IFS(AND(K342&lt;&gt;"",O342&lt;&gt;""),((MAX(NETWORKDAYS(K342,O342,UKBankHolidays)-1,0))*(TIME(17,0,0)-TIME(8,0,0))+IF(NETWORKDAYS(O342,O342,UKBankHolidays)&gt;0,MEDIAN(TIME(8,0,0),MOD(O342,1),TIME(17,0,0)),TIME(8,0,0))-IF(NETWORKDAYS(K342,K342,UKBankHolidays)&gt;0,MEDIAN(TIME(8,0,0),MOD(K342,1),TIME(17,0,0)),TIME(8,0,0)))-IF(AND(#REF!&lt;&gt;"",P342&lt;&gt;""),((MAX(NETWORKDAYS(#REF!,P342,UKBankHolidays)-1,0))*(TIME(17,0,0)-TIME(8,0,0))+IF(NETWORKDAYS(P342,P342,UKBankHolidays)&gt;0,MEDIAN(TIME(8,0,0),MOD(P342,1),TIME(17,0,0)),TIME(8,0,0))-IF(NETWORKDAYS(#REF!,#REF!,UKBankHolidays)&gt;0,MEDIAN(TIME(8,0,0),MOD(#REF!,1),TIME(17,0,0)),TIME(8,0,0))),0),AND(K342&lt;&gt;"",O342=""),((MAX(NETWORKDAYS(K342,NOW(),UKBankHolidays)-1,0))*(TIME(17,0,0)-TIME(8,0,0))+IF(NETWORKDAYS(NOW(),NOW(),UKBankHolidays)&gt;0,MEDIAN(TIME(8,0,0),MOD(NOW(),1),TIME(17,0,0)),TIME(8,0,0))-IF(NETWORKDAYS(K342,K342,UKBankHolidays)&gt;0,MEDIAN(TIME(8,0,0),MOD(K342,1),TIME(17,0,0)),TIME(8,0,0))))),IF(O342="",NOW()-K342,O342-K342))</f>
        <v>#REF!</v>
      </c>
      <c r="AA342" s="108" t="e">
        <f t="shared" ca="1" si="41"/>
        <v>#REF!</v>
      </c>
      <c r="AB342" s="107" t="e">
        <f ca="1">IF(NOT(OR(G342=1,G342=2)),MAX(0,_xlfn.IFS(AND(K342&lt;&gt;"",O342&lt;&gt;""),(((MAX(NETWORKDAYS(L342,O342,UKBankHolidays)-1,0))*(TIME(17,0,0)-TIME(8,0,0)))+IF(NETWORKDAYS(O342,O342,UKBankHolidays)&gt;0,MEDIAN(TIME(8,0,0),MOD(O342,1),TIME(17,0,0)),TIME(8,0,0))-IF(NETWORKDAYS(L342,L342,UKBankHolidays)&gt;0,MEDIAN(TIME(8,0,0),MOD(L342,1),TIME(17,0,0)),TIME(8,0,0)))-IF(AND(#REF!&lt;&gt;"",P342&lt;&gt;""),(((MAX(NETWORKDAYS(#REF!,P342,UKBankHolidays)-1,0))*(TIME(17,0,0)-TIME(8,0,0)))+IF(NETWORKDAYS(P342,P342,UKBankHolidays)&gt;0,MEDIAN(TIME(8,0,0),MOD(P342,1),TIME(17,0,0)),TIME(8,0,0))-IF(NETWORKDAYS(#REF!,#REF!,UKBankHolidays)&gt;0,MEDIAN(TIME(8,0,0),MOD(#REF!,1),TIME(17,0,0)),TIME(8,0,0))),0),AND(L342&lt;&gt;"",O342="",#REF!=""),(((MAX(NETWORKDAYS(L342,NOW(),UKBankHolidays)-1,0))*(TIME(17,0,0)-TIME(8,0,0)))+IF(NETWORKDAYS(NOW(),NOW(),UKBankHolidays)&gt;0,MEDIAN(TIME(8,0,0),MOD(NOW(),1),TIME(17,0,0)),TIME(8,0,0))-IF(NETWORKDAYS(L342,L342,UKBankHolidays)&gt;0,MEDIAN(TIME(8,0,0),MOD(L342,1),TIME(17,0,0)),TIME(8,0,0)))-IF(AND(#REF!&lt;&gt;"",P342&lt;&gt;""),(((MAX(NETWORKDAYS(#REF!,P342,UKBankHolidays)-1,0))*(TIME(17,0,0)-TIME(8,0,0)))+IF(NETWORKDAYS(P342,P342,UKBankHolidays)&gt;0,MEDIAN(TIME(8,0,0),MOD(P342,1),TIME(17,0,0)),TIME(8,0,0))-IF(NETWORKDAYS(#REF!,#REF!,UKBankHolidays)&gt;0,MEDIAN(TIME(8,0,0),MOD(#REF!,1),TIME(17,0,0)),TIME(8,0,0))),0),AND(L342&lt;&gt;"",O342="",P342="",#REF!&lt;&gt;""),(((MAX(NETWORKDAYS(L342,#REF!,UKBankHolidays)-1,0))*(TIME(17,0,0)-TIME(8,0,0)))+IF(NETWORKDAYS(#REF!,#REF!,UKBankHolidays)&gt;0,MEDIAN(TIME(8,0,0),MOD(#REF!,1),TIME(17,0,0)),TIME(8,0,0))-IF(NETWORKDAYS(L342,L342,UKBankHolidays)&gt;0,MEDIAN(TIME(8,0,0),MOD(L342,1),TIME(17,0,0)),TIME(8,0,0))),ISBLANK(K342),"0")),IF(ISBLANK(O342),NOW()-L342,O342-L342))</f>
        <v>#REF!</v>
      </c>
      <c r="AC342" s="108" t="e">
        <f t="shared" ca="1" si="43"/>
        <v>#REF!</v>
      </c>
      <c r="AD342" s="107">
        <f t="shared" ca="1" si="44"/>
        <v>2.4525462962628808E-2</v>
      </c>
      <c r="AE342" s="107" t="e">
        <f t="shared" ca="1" si="46"/>
        <v>#REF!</v>
      </c>
      <c r="AF342" s="108" t="e">
        <f t="shared" ca="1" si="45"/>
        <v>#REF!</v>
      </c>
      <c r="AG342" s="108" t="e">
        <f t="shared" ca="1" si="39"/>
        <v>#REF!</v>
      </c>
      <c r="AH342" s="61" t="str" cm="1">
        <f t="array" aca="1" ref="AH342" ca="1">IF((AD342) &lt; (INDEX(ResponseSLA[#All],(MATCH((G342),ResponseSLA[Priority],0))+1,3)),"YES","No")</f>
        <v>YES</v>
      </c>
      <c r="AI342" s="61" t="e">
        <f ca="1">_xlfn.IFNA(IF(AE342 &lt; (INDEX(SLATable[Minimum SLA],MATCH(G342,SLATable[Priority],0))),"YES","NO"),"")</f>
        <v>#REF!</v>
      </c>
      <c r="AJ342" s="61" t="e">
        <f ca="1">_xlfn.IFNA(IF(AE342 &lt; (INDEX(SLATable[Maximum SLA],MATCH(G342,SLATable[Priority],0))),"YES","NO"),"")</f>
        <v>#REF!</v>
      </c>
    </row>
    <row r="343" spans="1:36" s="60" customFormat="1" ht="15" customHeight="1">
      <c r="A343" s="60">
        <v>342</v>
      </c>
      <c r="B343" s="60" t="s">
        <v>26</v>
      </c>
      <c r="C343" s="60" t="s">
        <v>54</v>
      </c>
      <c r="D343" s="60" t="s">
        <v>208</v>
      </c>
      <c r="E343" s="60" t="s">
        <v>3261</v>
      </c>
      <c r="F343" s="60" t="s">
        <v>53</v>
      </c>
      <c r="G343" s="105" t="s">
        <v>208</v>
      </c>
      <c r="H343" s="212" t="s">
        <v>3262</v>
      </c>
      <c r="I343" s="105" t="s">
        <v>271</v>
      </c>
      <c r="J343" s="291" t="s">
        <v>2714</v>
      </c>
      <c r="K343" s="106">
        <v>46196.433368055557</v>
      </c>
      <c r="L343" s="106">
        <v>46196.506064814814</v>
      </c>
      <c r="M343" s="106">
        <v>46197.292453703703</v>
      </c>
      <c r="N343" s="106">
        <v>46202.555706018517</v>
      </c>
      <c r="O343" s="106"/>
      <c r="P343" s="106"/>
      <c r="Z343" s="107">
        <f t="shared" ca="1" si="40"/>
        <v>1.6223379629591363</v>
      </c>
      <c r="AA343" s="108">
        <f t="shared" ca="1" si="41"/>
        <v>4.3262345678910306</v>
      </c>
      <c r="AB343" s="107">
        <f t="shared" ca="1" si="42"/>
        <v>1.5496412037027767</v>
      </c>
      <c r="AC343" s="108">
        <f t="shared" ca="1" si="43"/>
        <v>4.1323765432074042</v>
      </c>
      <c r="AD343" s="107">
        <f t="shared" ca="1" si="44"/>
        <v>0.20226851851960725</v>
      </c>
      <c r="AE343" s="107">
        <f t="shared" ca="1" si="46"/>
        <v>1.5496412037027767</v>
      </c>
      <c r="AF343" s="108">
        <f t="shared" ca="1" si="45"/>
        <v>4.1323765432074042</v>
      </c>
      <c r="AG343" s="108">
        <f t="shared" ca="1" si="39"/>
        <v>4.1323765432074042</v>
      </c>
      <c r="AH343" s="61" t="str" cm="1">
        <f t="array" aca="1" ref="AH343" ca="1">IF((AD343) &lt; (INDEX(ResponseSLA[#All],(MATCH((G343),ResponseSLA[Priority],0))+1,3)),"YES","No")</f>
        <v>YES</v>
      </c>
      <c r="AI343" s="61" t="str">
        <f ca="1">_xlfn.IFNA(IF(AE343 &lt; (INDEX(SLATable[Minimum SLA],MATCH(G343,SLATable[Priority],0))),"YES","NO"),"")</f>
        <v>NO</v>
      </c>
      <c r="AJ343" s="61" t="str">
        <f ca="1">_xlfn.IFNA(IF(AE343 &lt; (INDEX(SLATable[Maximum SLA],MATCH(G343,SLATable[Priority],0))),"YES","NO"),"")</f>
        <v>NO</v>
      </c>
    </row>
    <row r="344" spans="1:36" ht="15" hidden="1" customHeight="1">
      <c r="A344" s="60">
        <v>343</v>
      </c>
      <c r="B344" s="60" t="s">
        <v>26</v>
      </c>
      <c r="C344" s="60" t="s">
        <v>27</v>
      </c>
      <c r="D344" s="60" t="s">
        <v>207</v>
      </c>
      <c r="E344" s="60" t="s">
        <v>3263</v>
      </c>
      <c r="F344" s="60" t="s">
        <v>318</v>
      </c>
      <c r="G344" s="105">
        <v>3</v>
      </c>
      <c r="H344" s="212" t="s">
        <v>3264</v>
      </c>
      <c r="I344" s="105" t="s">
        <v>271</v>
      </c>
      <c r="J344" s="60" t="s">
        <v>2738</v>
      </c>
      <c r="K344" s="106">
        <v>46177.483842592592</v>
      </c>
      <c r="L344" s="106">
        <v>46181.355995370373</v>
      </c>
      <c r="M344" s="106">
        <v>46181.370844907404</v>
      </c>
      <c r="N344" s="106">
        <v>46190.531284722223</v>
      </c>
      <c r="O344" s="106"/>
      <c r="P344" s="106"/>
      <c r="Q344" s="60"/>
      <c r="R344" s="60"/>
      <c r="S344" s="60"/>
      <c r="T344" s="60"/>
      <c r="U344" s="60"/>
      <c r="V344" s="60"/>
      <c r="W344" s="60"/>
      <c r="X344" s="60"/>
      <c r="Y344" s="60"/>
      <c r="Z344" s="61"/>
      <c r="AA344" s="61"/>
      <c r="AB344" s="61"/>
      <c r="AC344" s="61"/>
      <c r="AD344" s="218"/>
      <c r="AE344" s="61"/>
      <c r="AF344" s="61"/>
      <c r="AG344" s="61"/>
      <c r="AH344" s="61"/>
      <c r="AI344" s="61"/>
      <c r="AJ344" s="61"/>
    </row>
    <row r="345" spans="1:36" s="60" customFormat="1" ht="15" hidden="1" customHeight="1">
      <c r="A345" s="60">
        <v>344</v>
      </c>
      <c r="B345" s="60" t="s">
        <v>26</v>
      </c>
      <c r="C345" s="60" t="s">
        <v>27</v>
      </c>
      <c r="D345" s="60" t="s">
        <v>208</v>
      </c>
      <c r="E345" s="60" t="s">
        <v>3265</v>
      </c>
      <c r="F345" s="60" t="s">
        <v>318</v>
      </c>
      <c r="G345" s="105" t="s">
        <v>208</v>
      </c>
      <c r="H345" s="212" t="s">
        <v>3266</v>
      </c>
      <c r="I345" s="105" t="s">
        <v>271</v>
      </c>
      <c r="J345" s="60" t="s">
        <v>2725</v>
      </c>
      <c r="K345" s="106">
        <v>46178.357083333336</v>
      </c>
      <c r="L345" s="106">
        <v>46178.357175925928</v>
      </c>
      <c r="M345" s="106">
        <v>46178.408090277779</v>
      </c>
      <c r="N345" s="106">
        <v>46212.59511574074</v>
      </c>
      <c r="O345" s="106"/>
      <c r="P345" s="106"/>
      <c r="Z345" s="61"/>
      <c r="AA345" s="61"/>
      <c r="AB345" s="61"/>
      <c r="AC345" s="61"/>
      <c r="AD345" s="218"/>
      <c r="AE345" s="61"/>
      <c r="AF345" s="61"/>
      <c r="AG345" s="61"/>
      <c r="AH345" s="61"/>
      <c r="AI345" s="61"/>
      <c r="AJ345" s="61"/>
    </row>
    <row r="346" spans="1:36" ht="15" hidden="1" customHeight="1">
      <c r="A346" s="60">
        <v>345</v>
      </c>
      <c r="B346" s="60" t="s">
        <v>26</v>
      </c>
      <c r="C346" s="60" t="s">
        <v>27</v>
      </c>
      <c r="D346" s="60" t="s">
        <v>207</v>
      </c>
      <c r="E346" s="60" t="s">
        <v>3267</v>
      </c>
      <c r="F346" s="60" t="s">
        <v>318</v>
      </c>
      <c r="G346" s="105">
        <v>4</v>
      </c>
      <c r="H346" s="212" t="s">
        <v>2923</v>
      </c>
      <c r="I346" s="105" t="s">
        <v>271</v>
      </c>
      <c r="J346" s="60" t="s">
        <v>2708</v>
      </c>
      <c r="K346" s="106">
        <v>46182.059039351851</v>
      </c>
      <c r="L346" s="106">
        <v>46182.070324074077</v>
      </c>
      <c r="M346" s="106">
        <v>46182.248749999999</v>
      </c>
      <c r="N346" s="106">
        <v>46182.268495370372</v>
      </c>
      <c r="O346" s="106"/>
      <c r="P346" s="106"/>
      <c r="Q346" s="60"/>
      <c r="R346" s="60"/>
      <c r="S346" s="60"/>
      <c r="T346" s="60"/>
      <c r="U346" s="60"/>
      <c r="V346" s="60"/>
      <c r="W346" s="60"/>
      <c r="X346" s="60"/>
      <c r="Y346" s="60"/>
      <c r="Z346" s="61"/>
      <c r="AA346" s="61"/>
      <c r="AB346" s="61"/>
      <c r="AC346" s="61"/>
      <c r="AD346" s="218"/>
      <c r="AE346" s="61"/>
      <c r="AF346" s="61"/>
      <c r="AG346" s="61"/>
      <c r="AH346" s="61"/>
      <c r="AI346" s="61"/>
      <c r="AJ346" s="61"/>
    </row>
    <row r="347" spans="1:36" s="60" customFormat="1" ht="15" hidden="1" customHeight="1">
      <c r="A347" s="60">
        <v>346</v>
      </c>
      <c r="B347" s="60" t="s">
        <v>26</v>
      </c>
      <c r="C347" s="60" t="s">
        <v>27</v>
      </c>
      <c r="D347" s="60" t="s">
        <v>207</v>
      </c>
      <c r="E347" s="60" t="s">
        <v>3268</v>
      </c>
      <c r="F347" s="60" t="s">
        <v>318</v>
      </c>
      <c r="G347" s="105">
        <v>4</v>
      </c>
      <c r="H347" s="212" t="s">
        <v>3269</v>
      </c>
      <c r="I347" s="105" t="s">
        <v>271</v>
      </c>
      <c r="J347" s="60" t="s">
        <v>2703</v>
      </c>
      <c r="K347" s="106">
        <v>46181.853888888887</v>
      </c>
      <c r="L347" s="106">
        <v>46181.853888888887</v>
      </c>
      <c r="M347" s="106">
        <v>46182.250428240739</v>
      </c>
      <c r="N347" s="106">
        <v>46183.302928240744</v>
      </c>
      <c r="O347" s="106"/>
      <c r="P347" s="106"/>
      <c r="Z347" s="61"/>
      <c r="AA347" s="61"/>
      <c r="AB347" s="61"/>
      <c r="AC347" s="61"/>
      <c r="AD347" s="218"/>
      <c r="AE347" s="61"/>
      <c r="AF347" s="61"/>
      <c r="AG347" s="61"/>
      <c r="AH347" s="61"/>
      <c r="AI347" s="61"/>
      <c r="AJ347" s="61"/>
    </row>
    <row r="348" spans="1:36" ht="15" hidden="1" customHeight="1">
      <c r="A348" s="60">
        <v>347</v>
      </c>
      <c r="B348" s="60" t="s">
        <v>26</v>
      </c>
      <c r="C348" s="60" t="s">
        <v>27</v>
      </c>
      <c r="D348" s="60" t="s">
        <v>207</v>
      </c>
      <c r="E348" s="60" t="s">
        <v>3270</v>
      </c>
      <c r="F348" s="60" t="s">
        <v>318</v>
      </c>
      <c r="G348" s="105">
        <v>4</v>
      </c>
      <c r="H348" s="212" t="s">
        <v>3241</v>
      </c>
      <c r="I348" s="105" t="s">
        <v>271</v>
      </c>
      <c r="J348" s="60" t="s">
        <v>2714</v>
      </c>
      <c r="K348" s="229">
        <v>46181.686550925922</v>
      </c>
      <c r="L348" s="229">
        <v>46181.692025462966</v>
      </c>
      <c r="M348" s="229">
        <v>46182.252071759256</v>
      </c>
      <c r="N348" s="229">
        <v>46184.177337962959</v>
      </c>
      <c r="O348" s="106"/>
      <c r="P348" s="106"/>
      <c r="Q348" s="60"/>
      <c r="R348" s="60"/>
      <c r="S348" s="60"/>
      <c r="T348" s="60"/>
      <c r="U348" s="60"/>
      <c r="V348" s="60"/>
      <c r="W348" s="60"/>
      <c r="X348" s="60"/>
      <c r="Y348" s="60"/>
      <c r="Z348" s="61"/>
      <c r="AA348" s="61"/>
      <c r="AB348" s="61"/>
      <c r="AC348" s="61"/>
      <c r="AD348" s="218"/>
      <c r="AE348" s="61"/>
      <c r="AF348" s="61"/>
      <c r="AG348" s="61"/>
      <c r="AH348" s="61"/>
      <c r="AI348" s="61"/>
      <c r="AJ348" s="61"/>
    </row>
    <row r="349" spans="1:36" ht="15" hidden="1" customHeight="1">
      <c r="A349" s="60">
        <v>348</v>
      </c>
      <c r="B349" s="60" t="s">
        <v>26</v>
      </c>
      <c r="C349" s="60" t="s">
        <v>27</v>
      </c>
      <c r="D349" s="60" t="s">
        <v>207</v>
      </c>
      <c r="E349" s="60" t="s">
        <v>3271</v>
      </c>
      <c r="F349" s="60" t="s">
        <v>318</v>
      </c>
      <c r="G349" s="105">
        <v>3</v>
      </c>
      <c r="H349" s="212" t="s">
        <v>3272</v>
      </c>
      <c r="I349" s="105" t="s">
        <v>275</v>
      </c>
      <c r="J349" s="60" t="s">
        <v>2772</v>
      </c>
      <c r="K349" s="106">
        <v>46182.234699074077</v>
      </c>
      <c r="L349" s="106">
        <v>46182.237569444442</v>
      </c>
      <c r="M349" s="106">
        <v>46182.254004629627</v>
      </c>
      <c r="N349" s="106"/>
      <c r="O349" s="106"/>
      <c r="P349" s="106"/>
      <c r="Q349" s="60"/>
      <c r="R349" s="60"/>
      <c r="S349" s="60"/>
      <c r="T349" s="60"/>
      <c r="U349" s="60"/>
      <c r="V349" s="60"/>
      <c r="W349" s="60"/>
      <c r="X349" s="60"/>
      <c r="Y349" s="60"/>
      <c r="Z349" s="61"/>
      <c r="AA349" s="61"/>
      <c r="AB349" s="61"/>
      <c r="AC349" s="61"/>
      <c r="AD349" s="218"/>
      <c r="AE349" s="61"/>
      <c r="AF349" s="61"/>
      <c r="AG349" s="61"/>
      <c r="AH349" s="61"/>
      <c r="AI349" s="61"/>
      <c r="AJ349" s="61"/>
    </row>
    <row r="350" spans="1:36" ht="15" hidden="1" customHeight="1">
      <c r="A350" s="60">
        <v>349</v>
      </c>
      <c r="B350" s="60" t="s">
        <v>26</v>
      </c>
      <c r="C350" s="60" t="s">
        <v>27</v>
      </c>
      <c r="D350" s="60" t="s">
        <v>207</v>
      </c>
      <c r="E350" s="60" t="s">
        <v>3273</v>
      </c>
      <c r="F350" s="60" t="s">
        <v>318</v>
      </c>
      <c r="G350" s="105">
        <v>3</v>
      </c>
      <c r="H350" s="212" t="s">
        <v>3274</v>
      </c>
      <c r="I350" s="105" t="s">
        <v>271</v>
      </c>
      <c r="J350" s="60" t="s">
        <v>2738</v>
      </c>
      <c r="K350" s="106">
        <v>46182.041435185187</v>
      </c>
      <c r="L350" s="106">
        <v>46182.043587962966</v>
      </c>
      <c r="M350" s="106">
        <v>46182.255590277775</v>
      </c>
      <c r="N350" s="106">
        <v>46185.468298611115</v>
      </c>
      <c r="O350" s="106"/>
      <c r="P350" s="106"/>
      <c r="Q350" s="60"/>
      <c r="R350" s="60"/>
      <c r="S350" s="60"/>
      <c r="T350" s="60"/>
      <c r="U350" s="60"/>
      <c r="V350" s="60"/>
      <c r="W350" s="60"/>
      <c r="X350" s="60"/>
      <c r="Y350" s="60"/>
      <c r="Z350" s="61"/>
      <c r="AA350" s="61"/>
      <c r="AB350" s="61"/>
      <c r="AC350" s="61"/>
      <c r="AD350" s="218"/>
      <c r="AE350" s="61"/>
      <c r="AF350" s="61"/>
      <c r="AG350" s="61"/>
      <c r="AH350" s="61"/>
      <c r="AI350" s="61"/>
      <c r="AJ350" s="61"/>
    </row>
    <row r="351" spans="1:36" s="60" customFormat="1" ht="15" hidden="1" customHeight="1">
      <c r="A351" s="60">
        <v>350</v>
      </c>
      <c r="B351" s="60" t="s">
        <v>26</v>
      </c>
      <c r="C351" s="60" t="s">
        <v>27</v>
      </c>
      <c r="D351" s="60" t="s">
        <v>208</v>
      </c>
      <c r="E351" s="60" t="s">
        <v>3275</v>
      </c>
      <c r="F351" s="60" t="s">
        <v>318</v>
      </c>
      <c r="G351" s="105" t="s">
        <v>208</v>
      </c>
      <c r="H351" s="212" t="s">
        <v>3276</v>
      </c>
      <c r="I351" s="105" t="s">
        <v>271</v>
      </c>
      <c r="J351" s="60" t="s">
        <v>2827</v>
      </c>
      <c r="K351" s="106">
        <v>46182.376504629632</v>
      </c>
      <c r="L351" s="106">
        <v>46182.376504629632</v>
      </c>
      <c r="M351" s="106">
        <v>46182.420844907407</v>
      </c>
      <c r="N351" s="248">
        <v>46190.435416666667</v>
      </c>
      <c r="O351" s="106"/>
      <c r="P351" s="106"/>
      <c r="Z351" s="61"/>
      <c r="AA351" s="61"/>
      <c r="AB351" s="61"/>
      <c r="AC351" s="61"/>
      <c r="AD351" s="218"/>
      <c r="AE351" s="61"/>
      <c r="AF351" s="61"/>
      <c r="AG351" s="61"/>
      <c r="AH351" s="61"/>
      <c r="AI351" s="61"/>
      <c r="AJ351" s="61"/>
    </row>
    <row r="352" spans="1:36" s="60" customFormat="1" ht="15" customHeight="1">
      <c r="A352" s="60">
        <v>351</v>
      </c>
      <c r="B352" s="60" t="s">
        <v>26</v>
      </c>
      <c r="C352" s="60" t="s">
        <v>54</v>
      </c>
      <c r="D352" s="60" t="s">
        <v>207</v>
      </c>
      <c r="E352" s="60" t="s">
        <v>3277</v>
      </c>
      <c r="F352" s="60" t="s">
        <v>53</v>
      </c>
      <c r="G352" s="105">
        <v>3</v>
      </c>
      <c r="H352" s="212" t="s">
        <v>3278</v>
      </c>
      <c r="I352" s="105" t="s">
        <v>275</v>
      </c>
      <c r="J352" s="291" t="s">
        <v>2703</v>
      </c>
      <c r="K352" s="106">
        <v>46182.446956018517</v>
      </c>
      <c r="L352" s="106">
        <v>46182.453668981485</v>
      </c>
      <c r="M352" s="106">
        <v>46182.465462962966</v>
      </c>
      <c r="N352" s="106">
        <v>46182.493321759262</v>
      </c>
      <c r="O352" s="106"/>
      <c r="P352" s="106"/>
      <c r="Q352" s="60" t="s">
        <v>2816</v>
      </c>
      <c r="Z352" s="61"/>
      <c r="AA352" s="61"/>
      <c r="AB352" s="61"/>
      <c r="AC352" s="61"/>
      <c r="AD352" s="218"/>
      <c r="AE352" s="61"/>
      <c r="AF352" s="61"/>
      <c r="AG352" s="61"/>
      <c r="AH352" s="61"/>
      <c r="AI352" s="61"/>
      <c r="AJ352" s="61"/>
    </row>
    <row r="353" spans="1:36" ht="15" hidden="1" customHeight="1">
      <c r="A353" s="60">
        <v>352</v>
      </c>
      <c r="B353" s="60" t="s">
        <v>26</v>
      </c>
      <c r="C353" s="60" t="s">
        <v>27</v>
      </c>
      <c r="D353" s="60" t="s">
        <v>207</v>
      </c>
      <c r="E353" s="60" t="s">
        <v>3279</v>
      </c>
      <c r="F353" s="60" t="s">
        <v>318</v>
      </c>
      <c r="G353" s="105">
        <v>3</v>
      </c>
      <c r="H353" s="212" t="s">
        <v>3280</v>
      </c>
      <c r="I353" s="105" t="s">
        <v>266</v>
      </c>
      <c r="J353" s="60" t="s">
        <v>2725</v>
      </c>
      <c r="K353" s="106">
        <v>46181.153541666667</v>
      </c>
      <c r="L353" s="106">
        <v>46182.518483796295</v>
      </c>
      <c r="M353" s="106">
        <v>46182.557951388888</v>
      </c>
      <c r="N353" s="106"/>
      <c r="O353" s="106"/>
      <c r="P353" s="106"/>
      <c r="Q353" s="60"/>
      <c r="R353" s="60"/>
      <c r="S353" s="60"/>
      <c r="T353" s="60"/>
      <c r="U353" s="60"/>
      <c r="V353" s="60"/>
      <c r="W353" s="60"/>
      <c r="X353" s="60"/>
      <c r="Y353" s="60"/>
      <c r="Z353" s="61"/>
      <c r="AA353" s="61"/>
      <c r="AB353" s="61"/>
      <c r="AC353" s="61"/>
      <c r="AD353" s="218"/>
      <c r="AE353" s="61"/>
      <c r="AF353" s="61"/>
      <c r="AG353" s="61"/>
      <c r="AH353" s="61"/>
      <c r="AI353" s="61"/>
      <c r="AJ353" s="61"/>
    </row>
    <row r="354" spans="1:36" s="60" customFormat="1" ht="15" hidden="1" customHeight="1">
      <c r="A354" s="60">
        <v>353</v>
      </c>
      <c r="B354" s="60" t="s">
        <v>26</v>
      </c>
      <c r="C354" s="60" t="s">
        <v>27</v>
      </c>
      <c r="D354" s="60" t="s">
        <v>207</v>
      </c>
      <c r="E354" s="60" t="s">
        <v>3281</v>
      </c>
      <c r="F354" s="60" t="s">
        <v>318</v>
      </c>
      <c r="G354" s="105">
        <v>3</v>
      </c>
      <c r="H354" s="212" t="s">
        <v>3282</v>
      </c>
      <c r="I354" s="105" t="s">
        <v>271</v>
      </c>
      <c r="J354" s="60" t="s">
        <v>2827</v>
      </c>
      <c r="K354" s="106">
        <v>46176.566296296296</v>
      </c>
      <c r="L354" s="106">
        <v>46182.505312499998</v>
      </c>
      <c r="M354" s="106">
        <v>46182.559942129628</v>
      </c>
      <c r="N354" s="248">
        <v>46200.468055555553</v>
      </c>
      <c r="O354" s="106"/>
      <c r="P354" s="106"/>
      <c r="Z354" s="61"/>
      <c r="AA354" s="61"/>
      <c r="AB354" s="61"/>
      <c r="AC354" s="61"/>
      <c r="AD354" s="218"/>
      <c r="AE354" s="61"/>
      <c r="AF354" s="61"/>
      <c r="AG354" s="61"/>
      <c r="AH354" s="61"/>
      <c r="AI354" s="61"/>
      <c r="AJ354" s="61"/>
    </row>
    <row r="355" spans="1:36" ht="15" hidden="1" customHeight="1">
      <c r="A355" s="60">
        <v>354</v>
      </c>
      <c r="B355" s="60" t="s">
        <v>26</v>
      </c>
      <c r="C355" s="60" t="s">
        <v>27</v>
      </c>
      <c r="D355" s="60" t="s">
        <v>207</v>
      </c>
      <c r="E355" s="60" t="s">
        <v>3283</v>
      </c>
      <c r="F355" s="60" t="s">
        <v>318</v>
      </c>
      <c r="G355" s="105">
        <v>3</v>
      </c>
      <c r="H355" s="212" t="s">
        <v>2775</v>
      </c>
      <c r="I355" s="105" t="s">
        <v>271</v>
      </c>
      <c r="J355" s="60" t="s">
        <v>2738</v>
      </c>
      <c r="K355" s="106">
        <v>46182.577499999999</v>
      </c>
      <c r="L355" s="106">
        <v>46182.577499999999</v>
      </c>
      <c r="M355" s="106">
        <v>46182.592002314814</v>
      </c>
      <c r="N355" s="106">
        <v>46183.425682870373</v>
      </c>
      <c r="O355" s="106"/>
      <c r="P355" s="106"/>
      <c r="Q355" s="60"/>
      <c r="R355" s="60"/>
      <c r="S355" s="60"/>
      <c r="T355" s="60"/>
      <c r="U355" s="60"/>
      <c r="V355" s="60"/>
      <c r="W355" s="60"/>
      <c r="X355" s="60"/>
      <c r="Y355" s="60"/>
      <c r="Z355" s="61"/>
      <c r="AA355" s="61"/>
      <c r="AB355" s="61"/>
      <c r="AC355" s="61"/>
      <c r="AD355" s="218"/>
      <c r="AE355" s="61"/>
      <c r="AF355" s="61"/>
      <c r="AG355" s="61"/>
      <c r="AH355" s="61"/>
      <c r="AI355" s="61"/>
      <c r="AJ355" s="61"/>
    </row>
    <row r="356" spans="1:36" ht="15" hidden="1" customHeight="1">
      <c r="A356" s="60">
        <v>355</v>
      </c>
      <c r="B356" s="60" t="s">
        <v>26</v>
      </c>
      <c r="C356" s="60" t="s">
        <v>27</v>
      </c>
      <c r="D356" s="60" t="s">
        <v>207</v>
      </c>
      <c r="E356" s="60" t="s">
        <v>3284</v>
      </c>
      <c r="F356" s="60" t="s">
        <v>318</v>
      </c>
      <c r="G356" s="105">
        <v>4</v>
      </c>
      <c r="H356" s="212" t="s">
        <v>2775</v>
      </c>
      <c r="I356" s="105" t="s">
        <v>271</v>
      </c>
      <c r="J356" s="60" t="s">
        <v>2725</v>
      </c>
      <c r="K356" s="106">
        <v>46182.639560185184</v>
      </c>
      <c r="L356" s="106">
        <v>46182.639560185184</v>
      </c>
      <c r="M356" s="106">
        <v>46182.671238425923</v>
      </c>
      <c r="N356" s="106">
        <v>46183.313425925924</v>
      </c>
      <c r="O356" s="106"/>
      <c r="P356" s="106"/>
      <c r="Q356" s="60" t="s">
        <v>2776</v>
      </c>
      <c r="R356" s="60" t="s">
        <v>272</v>
      </c>
      <c r="S356" s="60" t="s">
        <v>149</v>
      </c>
      <c r="T356" s="60"/>
      <c r="U356" s="60"/>
      <c r="V356" s="60"/>
      <c r="W356" s="60"/>
      <c r="X356" s="60"/>
      <c r="Y356" s="60"/>
      <c r="Z356" s="61"/>
      <c r="AA356" s="61"/>
      <c r="AB356" s="61"/>
      <c r="AC356" s="61"/>
      <c r="AD356" s="218"/>
      <c r="AE356" s="61"/>
      <c r="AF356" s="61"/>
      <c r="AG356" s="61"/>
      <c r="AH356" s="61"/>
      <c r="AI356" s="61"/>
      <c r="AJ356" s="61"/>
    </row>
    <row r="357" spans="1:36" ht="15" hidden="1" customHeight="1">
      <c r="A357" s="60">
        <v>356</v>
      </c>
      <c r="B357" s="60" t="s">
        <v>26</v>
      </c>
      <c r="C357" s="60" t="s">
        <v>27</v>
      </c>
      <c r="D357" s="60" t="s">
        <v>207</v>
      </c>
      <c r="E357" s="60" t="s">
        <v>3285</v>
      </c>
      <c r="F357" s="60" t="s">
        <v>327</v>
      </c>
      <c r="G357" s="105">
        <v>4</v>
      </c>
      <c r="H357" s="212" t="s">
        <v>3286</v>
      </c>
      <c r="I357" s="105" t="s">
        <v>275</v>
      </c>
      <c r="J357" s="60" t="s">
        <v>2708</v>
      </c>
      <c r="K357" s="106">
        <v>46182.738379629627</v>
      </c>
      <c r="L357" s="106">
        <v>46182.739236111112</v>
      </c>
      <c r="M357" s="106"/>
      <c r="N357" s="106"/>
      <c r="O357" s="106"/>
      <c r="P357" s="106"/>
      <c r="Q357" s="60"/>
      <c r="R357" s="60"/>
      <c r="S357" s="60"/>
      <c r="T357" s="60"/>
      <c r="U357" s="60"/>
      <c r="V357" s="60"/>
      <c r="W357" s="60"/>
      <c r="X357" s="60"/>
      <c r="Y357" s="60"/>
      <c r="Z357" s="61"/>
      <c r="AA357" s="61"/>
      <c r="AB357" s="61"/>
      <c r="AC357" s="61"/>
      <c r="AD357" s="218"/>
      <c r="AE357" s="61"/>
      <c r="AF357" s="61"/>
      <c r="AG357" s="61"/>
      <c r="AH357" s="61"/>
      <c r="AI357" s="61"/>
      <c r="AJ357" s="61"/>
    </row>
    <row r="358" spans="1:36" ht="15" hidden="1" customHeight="1">
      <c r="A358" s="60">
        <v>357</v>
      </c>
      <c r="B358" s="60" t="s">
        <v>26</v>
      </c>
      <c r="C358" s="60" t="s">
        <v>27</v>
      </c>
      <c r="D358" s="60" t="s">
        <v>207</v>
      </c>
      <c r="E358" s="60" t="s">
        <v>3287</v>
      </c>
      <c r="F358" s="60" t="s">
        <v>327</v>
      </c>
      <c r="G358" s="105">
        <v>4</v>
      </c>
      <c r="H358" s="212" t="s">
        <v>3288</v>
      </c>
      <c r="I358" s="105" t="s">
        <v>275</v>
      </c>
      <c r="J358" s="60" t="s">
        <v>2708</v>
      </c>
      <c r="K358" s="106">
        <v>46182.502453703702</v>
      </c>
      <c r="L358" s="106">
        <v>46182.505694444444</v>
      </c>
      <c r="M358" s="106"/>
      <c r="N358" s="106"/>
      <c r="O358" s="106"/>
      <c r="P358" s="106"/>
      <c r="Q358" s="60"/>
      <c r="R358" s="60"/>
      <c r="S358" s="60"/>
      <c r="T358" s="60"/>
      <c r="U358" s="60"/>
      <c r="V358" s="60"/>
      <c r="W358" s="60"/>
      <c r="X358" s="60"/>
      <c r="Y358" s="60"/>
      <c r="Z358" s="61"/>
      <c r="AA358" s="61"/>
      <c r="AB358" s="61"/>
      <c r="AC358" s="61"/>
      <c r="AD358" s="218"/>
      <c r="AE358" s="61"/>
      <c r="AF358" s="61"/>
      <c r="AG358" s="61"/>
      <c r="AH358" s="61"/>
      <c r="AI358" s="61"/>
      <c r="AJ358" s="61"/>
    </row>
    <row r="359" spans="1:36" ht="15" hidden="1" customHeight="1">
      <c r="A359" s="60">
        <v>358</v>
      </c>
      <c r="B359" s="60" t="s">
        <v>26</v>
      </c>
      <c r="C359" s="60" t="s">
        <v>27</v>
      </c>
      <c r="D359" s="60" t="s">
        <v>208</v>
      </c>
      <c r="E359" s="60" t="s">
        <v>3289</v>
      </c>
      <c r="F359" s="60" t="s">
        <v>322</v>
      </c>
      <c r="G359" s="105" t="s">
        <v>208</v>
      </c>
      <c r="H359" s="212" t="s">
        <v>3191</v>
      </c>
      <c r="I359" s="105" t="s">
        <v>271</v>
      </c>
      <c r="J359" s="60" t="s">
        <v>2717</v>
      </c>
      <c r="K359" s="106">
        <v>46182.376145833332</v>
      </c>
      <c r="L359" s="106">
        <v>46182.376145833332</v>
      </c>
      <c r="M359" s="106">
        <v>46183.269768518519</v>
      </c>
      <c r="N359" s="106">
        <v>46183.323009259257</v>
      </c>
      <c r="O359" s="106"/>
      <c r="P359" s="106"/>
      <c r="Q359" s="60" t="s">
        <v>3290</v>
      </c>
      <c r="R359" s="60"/>
      <c r="S359" s="60"/>
      <c r="T359" s="60"/>
      <c r="U359" s="60" t="s">
        <v>371</v>
      </c>
      <c r="V359" s="60"/>
      <c r="W359" s="60"/>
      <c r="X359" s="60"/>
      <c r="Y359" s="60"/>
      <c r="Z359" s="61"/>
      <c r="AA359" s="61"/>
      <c r="AB359" s="61"/>
      <c r="AC359" s="61"/>
      <c r="AD359" s="218"/>
      <c r="AE359" s="61"/>
      <c r="AF359" s="61"/>
      <c r="AG359" s="61"/>
      <c r="AH359" s="61"/>
      <c r="AI359" s="61"/>
      <c r="AJ359" s="61"/>
    </row>
    <row r="360" spans="1:36" ht="15" customHeight="1">
      <c r="A360" s="60">
        <v>359</v>
      </c>
      <c r="B360" s="60" t="s">
        <v>26</v>
      </c>
      <c r="C360" s="60" t="s">
        <v>54</v>
      </c>
      <c r="D360" s="60" t="s">
        <v>207</v>
      </c>
      <c r="E360" s="60" t="s">
        <v>3291</v>
      </c>
      <c r="F360" s="60" t="s">
        <v>53</v>
      </c>
      <c r="G360" s="105">
        <v>3</v>
      </c>
      <c r="H360" s="212" t="s">
        <v>3292</v>
      </c>
      <c r="I360" s="105" t="s">
        <v>266</v>
      </c>
      <c r="J360" s="291" t="s">
        <v>3132</v>
      </c>
      <c r="K360" s="106">
        <v>46175.592615740738</v>
      </c>
      <c r="L360" s="106">
        <v>46177.467453703706</v>
      </c>
      <c r="M360" s="106">
        <v>46177.473391203705</v>
      </c>
      <c r="N360" s="106"/>
      <c r="O360" s="106">
        <v>46178.424513888887</v>
      </c>
      <c r="P360" s="106"/>
      <c r="Q360" s="106" t="s">
        <v>2816</v>
      </c>
      <c r="R360" s="60"/>
      <c r="S360" s="60"/>
      <c r="T360" s="60"/>
      <c r="U360" s="60"/>
      <c r="V360" s="60"/>
      <c r="W360" s="60"/>
      <c r="X360" s="60"/>
      <c r="Y360" s="60"/>
      <c r="Z360" s="61"/>
      <c r="AA360" s="61"/>
      <c r="AB360" s="61"/>
      <c r="AC360" s="61"/>
      <c r="AD360" s="218"/>
      <c r="AE360" s="61"/>
      <c r="AF360" s="61"/>
      <c r="AG360" s="61"/>
      <c r="AH360" s="61"/>
      <c r="AI360" s="61"/>
      <c r="AJ360" s="61"/>
    </row>
    <row r="361" spans="1:36" ht="15" customHeight="1">
      <c r="A361" s="60">
        <v>360</v>
      </c>
      <c r="B361" s="60" t="s">
        <v>26</v>
      </c>
      <c r="C361" s="60" t="s">
        <v>54</v>
      </c>
      <c r="D361" s="60" t="s">
        <v>207</v>
      </c>
      <c r="E361" s="60" t="s">
        <v>3293</v>
      </c>
      <c r="F361" s="60" t="s">
        <v>53</v>
      </c>
      <c r="G361" s="105">
        <v>4</v>
      </c>
      <c r="H361" s="212" t="s">
        <v>3294</v>
      </c>
      <c r="I361" s="105" t="s">
        <v>271</v>
      </c>
      <c r="J361" s="291" t="s">
        <v>2703</v>
      </c>
      <c r="K361" s="106">
        <v>46177.414259259262</v>
      </c>
      <c r="L361" s="106">
        <v>46177.414259259262</v>
      </c>
      <c r="M361" s="106">
        <v>46177.474872685183</v>
      </c>
      <c r="N361" s="106">
        <v>46178.502523148149</v>
      </c>
      <c r="O361" s="106">
        <v>46177.670624999999</v>
      </c>
      <c r="P361" s="106">
        <v>46177.678171296298</v>
      </c>
      <c r="Q361" s="60" t="s">
        <v>2816</v>
      </c>
      <c r="R361" s="60"/>
      <c r="S361" s="60"/>
      <c r="T361" s="60"/>
      <c r="U361" s="60"/>
      <c r="V361" s="60"/>
      <c r="W361" s="60"/>
      <c r="X361" s="60"/>
      <c r="Y361" s="60"/>
      <c r="Z361" s="61"/>
      <c r="AA361" s="61"/>
      <c r="AB361" s="61"/>
      <c r="AC361" s="61"/>
      <c r="AD361" s="218"/>
      <c r="AE361" s="61"/>
      <c r="AF361" s="61"/>
      <c r="AG361" s="61"/>
      <c r="AH361" s="61"/>
      <c r="AI361" s="61"/>
      <c r="AJ361" s="61"/>
    </row>
    <row r="362" spans="1:36" ht="15" customHeight="1">
      <c r="A362" s="60">
        <v>361</v>
      </c>
      <c r="B362" s="60" t="s">
        <v>26</v>
      </c>
      <c r="C362" s="60" t="s">
        <v>54</v>
      </c>
      <c r="D362" s="60" t="s">
        <v>207</v>
      </c>
      <c r="E362" s="60" t="s">
        <v>3295</v>
      </c>
      <c r="F362" s="60" t="s">
        <v>336</v>
      </c>
      <c r="G362" s="105">
        <v>4</v>
      </c>
      <c r="H362" s="212" t="s">
        <v>3296</v>
      </c>
      <c r="I362" s="105" t="s">
        <v>271</v>
      </c>
      <c r="J362" s="291" t="s">
        <v>3132</v>
      </c>
      <c r="K362" s="106">
        <v>46181.443055555559</v>
      </c>
      <c r="L362" s="106">
        <v>46181.443067129629</v>
      </c>
      <c r="M362" s="106">
        <v>46181.484942129631</v>
      </c>
      <c r="N362" s="106">
        <v>46182.529374999998</v>
      </c>
      <c r="O362" s="106">
        <v>46182.390162037038</v>
      </c>
      <c r="P362" s="106">
        <v>46182.513969907406</v>
      </c>
      <c r="Q362" s="60" t="s">
        <v>3297</v>
      </c>
      <c r="R362" s="60"/>
      <c r="S362" s="60"/>
      <c r="T362" s="60"/>
      <c r="U362" s="60"/>
      <c r="V362" s="60"/>
      <c r="W362" s="60"/>
      <c r="X362" s="60"/>
      <c r="Y362" s="60"/>
      <c r="Z362" s="61"/>
      <c r="AA362" s="61"/>
      <c r="AB362" s="61"/>
      <c r="AC362" s="61"/>
      <c r="AD362" s="218"/>
      <c r="AE362" s="61"/>
      <c r="AF362" s="61"/>
      <c r="AG362" s="61"/>
      <c r="AH362" s="61"/>
      <c r="AI362" s="61"/>
      <c r="AJ362" s="61"/>
    </row>
    <row r="363" spans="1:36" ht="15" customHeight="1">
      <c r="A363" s="60">
        <v>362</v>
      </c>
      <c r="B363" s="60" t="s">
        <v>26</v>
      </c>
      <c r="C363" s="60" t="s">
        <v>54</v>
      </c>
      <c r="D363" s="60" t="s">
        <v>207</v>
      </c>
      <c r="E363" s="60" t="s">
        <v>3298</v>
      </c>
      <c r="F363" s="60" t="s">
        <v>336</v>
      </c>
      <c r="G363" s="105">
        <v>4</v>
      </c>
      <c r="H363" s="212" t="s">
        <v>3299</v>
      </c>
      <c r="I363" s="105" t="s">
        <v>275</v>
      </c>
      <c r="J363" s="291" t="s">
        <v>2703</v>
      </c>
      <c r="K363" s="106">
        <v>46181.474062499998</v>
      </c>
      <c r="L363" s="106">
        <v>46181.474062499998</v>
      </c>
      <c r="M363" s="106">
        <v>46181.486168981479</v>
      </c>
      <c r="N363" s="106">
        <v>46181.574386574073</v>
      </c>
      <c r="O363" s="106"/>
      <c r="P363" s="106"/>
      <c r="Q363" s="60" t="s">
        <v>2816</v>
      </c>
      <c r="R363" s="60"/>
      <c r="S363" s="60"/>
      <c r="T363" s="60"/>
      <c r="U363" s="60"/>
      <c r="V363" s="60"/>
      <c r="W363" s="60"/>
      <c r="X363" s="60"/>
      <c r="Y363" s="60"/>
      <c r="Z363" s="61"/>
      <c r="AA363" s="61"/>
      <c r="AB363" s="61"/>
      <c r="AC363" s="61"/>
      <c r="AD363" s="218"/>
      <c r="AE363" s="61"/>
      <c r="AF363" s="61"/>
      <c r="AG363" s="61"/>
      <c r="AH363" s="61"/>
      <c r="AI363" s="61"/>
      <c r="AJ363" s="61"/>
    </row>
    <row r="364" spans="1:36" ht="15" customHeight="1">
      <c r="A364" s="60">
        <v>363</v>
      </c>
      <c r="B364" s="60" t="s">
        <v>26</v>
      </c>
      <c r="C364" s="60" t="s">
        <v>54</v>
      </c>
      <c r="D364" s="60" t="s">
        <v>207</v>
      </c>
      <c r="E364" s="60" t="s">
        <v>3300</v>
      </c>
      <c r="F364" s="60" t="s">
        <v>53</v>
      </c>
      <c r="G364" s="105">
        <v>3</v>
      </c>
      <c r="H364" s="212" t="s">
        <v>3301</v>
      </c>
      <c r="I364" s="105" t="s">
        <v>275</v>
      </c>
      <c r="J364" s="291" t="s">
        <v>2700</v>
      </c>
      <c r="K364" s="106">
        <v>46169.436249999999</v>
      </c>
      <c r="L364" s="106">
        <v>46181.489340277774</v>
      </c>
      <c r="M364" s="106">
        <v>46181.499872685185</v>
      </c>
      <c r="N364" s="106">
        <v>46181.53402777778</v>
      </c>
      <c r="O364" s="106"/>
      <c r="P364" s="106"/>
      <c r="Q364" s="60" t="s">
        <v>3302</v>
      </c>
      <c r="R364" s="60"/>
      <c r="S364" s="60"/>
      <c r="T364" s="60"/>
      <c r="U364" s="60"/>
      <c r="V364" s="60"/>
      <c r="W364" s="60"/>
      <c r="X364" s="60"/>
      <c r="Y364" s="60"/>
      <c r="Z364" s="61"/>
      <c r="AA364" s="61"/>
      <c r="AB364" s="61"/>
      <c r="AC364" s="61"/>
      <c r="AD364" s="218"/>
      <c r="AE364" s="61"/>
      <c r="AF364" s="61"/>
      <c r="AG364" s="61"/>
      <c r="AH364" s="61"/>
      <c r="AI364" s="61"/>
      <c r="AJ364" s="61"/>
    </row>
    <row r="365" spans="1:36" ht="15" customHeight="1">
      <c r="A365" s="60">
        <v>364</v>
      </c>
      <c r="B365" s="60" t="s">
        <v>26</v>
      </c>
      <c r="C365" s="60" t="s">
        <v>54</v>
      </c>
      <c r="D365" s="60" t="s">
        <v>207</v>
      </c>
      <c r="E365" s="60" t="s">
        <v>3303</v>
      </c>
      <c r="F365" s="60" t="s">
        <v>336</v>
      </c>
      <c r="G365" s="105">
        <v>3</v>
      </c>
      <c r="H365" s="212" t="s">
        <v>3304</v>
      </c>
      <c r="I365" s="105" t="s">
        <v>271</v>
      </c>
      <c r="J365" s="291" t="s">
        <v>2697</v>
      </c>
      <c r="K365" s="106">
        <v>46181.551481481481</v>
      </c>
      <c r="L365" s="106">
        <v>46181.551481481481</v>
      </c>
      <c r="M365" s="106">
        <v>46181.561435185184</v>
      </c>
      <c r="N365" s="166">
        <v>46224.303553240738</v>
      </c>
      <c r="O365" s="106"/>
      <c r="P365" s="106"/>
      <c r="Q365" s="60"/>
      <c r="R365" s="60"/>
      <c r="S365" s="60"/>
      <c r="T365" s="60"/>
      <c r="U365" s="60"/>
      <c r="V365" s="60"/>
      <c r="W365" s="60"/>
      <c r="X365" s="60"/>
      <c r="Y365" s="60"/>
      <c r="Z365" s="61"/>
      <c r="AA365" s="61"/>
      <c r="AB365" s="61"/>
      <c r="AC365" s="61"/>
      <c r="AD365" s="218"/>
      <c r="AE365" s="61"/>
      <c r="AF365" s="61"/>
      <c r="AG365" s="61"/>
      <c r="AH365" s="61"/>
      <c r="AI365" s="61"/>
      <c r="AJ365" s="61"/>
    </row>
    <row r="366" spans="1:36" ht="15" customHeight="1">
      <c r="A366" s="60">
        <v>365</v>
      </c>
      <c r="B366" s="60" t="s">
        <v>26</v>
      </c>
      <c r="C366" s="60" t="s">
        <v>54</v>
      </c>
      <c r="D366" s="60" t="s">
        <v>207</v>
      </c>
      <c r="E366" s="60" t="s">
        <v>3305</v>
      </c>
      <c r="F366" s="60" t="s">
        <v>53</v>
      </c>
      <c r="G366" s="105">
        <v>4</v>
      </c>
      <c r="H366" s="212" t="s">
        <v>3306</v>
      </c>
      <c r="I366" s="105" t="s">
        <v>275</v>
      </c>
      <c r="J366" s="291" t="s">
        <v>3307</v>
      </c>
      <c r="K366" s="106">
        <v>46182.783865740741</v>
      </c>
      <c r="L366" s="106">
        <v>46182.783865740741</v>
      </c>
      <c r="M366" s="106">
        <v>46183.265277777777</v>
      </c>
      <c r="N366" s="106">
        <v>46183.269016203703</v>
      </c>
      <c r="O366" s="106"/>
      <c r="P366" s="106"/>
      <c r="Q366" s="60" t="s">
        <v>2816</v>
      </c>
      <c r="R366" s="60"/>
      <c r="S366" s="60"/>
      <c r="T366" s="60"/>
      <c r="U366" s="60"/>
      <c r="V366" s="60"/>
      <c r="W366" s="60"/>
      <c r="X366" s="60"/>
      <c r="Y366" s="60"/>
      <c r="Z366" s="61"/>
      <c r="AA366" s="61"/>
      <c r="AB366" s="61"/>
      <c r="AC366" s="61"/>
      <c r="AD366" s="218"/>
      <c r="AE366" s="61"/>
      <c r="AF366" s="61"/>
      <c r="AG366" s="61"/>
      <c r="AH366" s="61"/>
      <c r="AI366" s="61"/>
      <c r="AJ366" s="61"/>
    </row>
    <row r="367" spans="1:36" ht="15" customHeight="1">
      <c r="A367" s="60">
        <v>366</v>
      </c>
      <c r="B367" s="60" t="s">
        <v>26</v>
      </c>
      <c r="C367" s="60" t="s">
        <v>54</v>
      </c>
      <c r="D367" s="60" t="s">
        <v>207</v>
      </c>
      <c r="E367" s="60" t="s">
        <v>3308</v>
      </c>
      <c r="F367" s="60" t="s">
        <v>53</v>
      </c>
      <c r="G367" s="105">
        <v>3</v>
      </c>
      <c r="H367" s="212" t="s">
        <v>3309</v>
      </c>
      <c r="I367" s="105" t="s">
        <v>271</v>
      </c>
      <c r="J367" s="291" t="s">
        <v>2697</v>
      </c>
      <c r="K367" s="106">
        <v>46178.407777777778</v>
      </c>
      <c r="L367" s="106">
        <v>46183.373622685183</v>
      </c>
      <c r="M367" s="106">
        <v>46183.418553240743</v>
      </c>
      <c r="N367" s="166">
        <v>46218.428437499999</v>
      </c>
      <c r="O367" s="106"/>
      <c r="P367" s="106"/>
      <c r="Q367" s="60" t="s">
        <v>3310</v>
      </c>
      <c r="R367" s="60"/>
      <c r="S367" s="60"/>
      <c r="T367" s="60"/>
      <c r="U367" s="60"/>
      <c r="V367" s="60"/>
      <c r="W367" s="60"/>
      <c r="X367" s="60"/>
      <c r="Y367" s="60"/>
      <c r="Z367" s="61"/>
      <c r="AA367" s="61"/>
      <c r="AB367" s="61"/>
      <c r="AC367" s="61"/>
      <c r="AD367" s="218"/>
      <c r="AE367" s="61"/>
      <c r="AF367" s="61"/>
      <c r="AG367" s="61"/>
      <c r="AH367" s="61"/>
      <c r="AI367" s="61"/>
      <c r="AJ367" s="61"/>
    </row>
    <row r="368" spans="1:36" s="60" customFormat="1" ht="15" customHeight="1">
      <c r="A368" s="60">
        <v>367</v>
      </c>
      <c r="B368" s="60" t="s">
        <v>26</v>
      </c>
      <c r="C368" s="60" t="s">
        <v>54</v>
      </c>
      <c r="D368" s="60" t="s">
        <v>207</v>
      </c>
      <c r="E368" s="60" t="s">
        <v>3311</v>
      </c>
      <c r="F368" s="60" t="s">
        <v>53</v>
      </c>
      <c r="G368" s="105">
        <v>3</v>
      </c>
      <c r="H368" s="212" t="s">
        <v>3312</v>
      </c>
      <c r="I368" s="105" t="s">
        <v>271</v>
      </c>
      <c r="J368" s="291" t="s">
        <v>2694</v>
      </c>
      <c r="K368" s="106">
        <v>46181.196759259263</v>
      </c>
      <c r="L368" s="106">
        <v>46183.38177083333</v>
      </c>
      <c r="M368" s="106">
        <v>46183.417094907411</v>
      </c>
      <c r="N368" s="62">
        <v>46191.490914351853</v>
      </c>
      <c r="O368" s="106"/>
      <c r="P368" s="106"/>
      <c r="Z368" s="61"/>
      <c r="AA368" s="61"/>
      <c r="AB368" s="61"/>
      <c r="AC368" s="61"/>
      <c r="AD368" s="218"/>
      <c r="AE368" s="61"/>
      <c r="AF368" s="61"/>
      <c r="AG368" s="61"/>
      <c r="AH368" s="61"/>
      <c r="AI368" s="61"/>
      <c r="AJ368" s="61"/>
    </row>
    <row r="369" spans="1:36" s="60" customFormat="1" ht="15" hidden="1" customHeight="1">
      <c r="A369" s="60">
        <v>368</v>
      </c>
      <c r="B369" s="60" t="s">
        <v>26</v>
      </c>
      <c r="C369" s="60" t="s">
        <v>27</v>
      </c>
      <c r="D369" s="60" t="s">
        <v>208</v>
      </c>
      <c r="E369" s="60" t="s">
        <v>3313</v>
      </c>
      <c r="F369" s="60" t="s">
        <v>318</v>
      </c>
      <c r="G369" s="105" t="s">
        <v>208</v>
      </c>
      <c r="H369" s="212" t="s">
        <v>3185</v>
      </c>
      <c r="I369" s="105" t="s">
        <v>271</v>
      </c>
      <c r="J369" s="60" t="s">
        <v>2751</v>
      </c>
      <c r="K369" s="106">
        <v>46182.376030092593</v>
      </c>
      <c r="L369" s="106">
        <v>46182.376030092593</v>
      </c>
      <c r="M369" s="106">
        <v>46182.574803240743</v>
      </c>
      <c r="N369" s="106">
        <v>46190.406574074077</v>
      </c>
      <c r="O369" s="106"/>
      <c r="P369" s="106"/>
      <c r="Z369" s="61"/>
      <c r="AA369" s="61"/>
      <c r="AB369" s="61"/>
      <c r="AC369" s="61"/>
      <c r="AD369" s="218"/>
      <c r="AE369" s="61"/>
      <c r="AF369" s="61"/>
      <c r="AG369" s="61"/>
      <c r="AH369" s="61"/>
      <c r="AI369" s="61"/>
      <c r="AJ369" s="61"/>
    </row>
    <row r="370" spans="1:36" ht="15" hidden="1" customHeight="1">
      <c r="A370" s="60">
        <v>369</v>
      </c>
      <c r="B370" s="60" t="s">
        <v>26</v>
      </c>
      <c r="C370" s="60" t="s">
        <v>27</v>
      </c>
      <c r="D370" s="60" t="s">
        <v>207</v>
      </c>
      <c r="E370" s="60" t="s">
        <v>3236</v>
      </c>
      <c r="F370" s="60" t="s">
        <v>318</v>
      </c>
      <c r="G370" s="105">
        <v>4</v>
      </c>
      <c r="H370" s="212" t="s">
        <v>3237</v>
      </c>
      <c r="I370" s="105" t="s">
        <v>271</v>
      </c>
      <c r="J370" s="60" t="s">
        <v>2738</v>
      </c>
      <c r="K370" s="106">
        <v>46181.081678240742</v>
      </c>
      <c r="L370" s="106">
        <v>46183.063043981485</v>
      </c>
      <c r="M370" s="106">
        <v>46183.431493055556</v>
      </c>
      <c r="N370" s="106">
        <v>46184.482824074075</v>
      </c>
      <c r="O370" s="106"/>
      <c r="P370" s="106"/>
      <c r="Q370" s="60"/>
      <c r="R370" s="60"/>
      <c r="S370" s="60"/>
      <c r="T370" s="60"/>
      <c r="U370" s="60"/>
      <c r="V370" s="60"/>
      <c r="W370" s="60"/>
      <c r="X370" s="60"/>
      <c r="Y370" s="60"/>
      <c r="Z370" s="61"/>
      <c r="AA370" s="61"/>
      <c r="AB370" s="61"/>
      <c r="AC370" s="61"/>
      <c r="AD370" s="218"/>
      <c r="AE370" s="61"/>
      <c r="AF370" s="61"/>
      <c r="AG370" s="61"/>
      <c r="AH370" s="61"/>
      <c r="AI370" s="61"/>
      <c r="AJ370" s="61"/>
    </row>
    <row r="371" spans="1:36" ht="15" hidden="1" customHeight="1">
      <c r="A371" s="60">
        <v>370</v>
      </c>
      <c r="B371" s="60" t="s">
        <v>26</v>
      </c>
      <c r="C371" s="60" t="s">
        <v>27</v>
      </c>
      <c r="D371" s="60" t="s">
        <v>207</v>
      </c>
      <c r="E371" s="60" t="s">
        <v>3314</v>
      </c>
      <c r="F371" s="60" t="s">
        <v>318</v>
      </c>
      <c r="G371" s="105">
        <v>3</v>
      </c>
      <c r="H371" s="212" t="s">
        <v>2765</v>
      </c>
      <c r="I371" s="105" t="s">
        <v>271</v>
      </c>
      <c r="J371" s="60" t="s">
        <v>2708</v>
      </c>
      <c r="K371" s="106">
        <v>46183.170486111114</v>
      </c>
      <c r="L371" s="106">
        <v>46183.433217592596</v>
      </c>
      <c r="M371" s="106">
        <v>46183.177881944444</v>
      </c>
      <c r="N371" s="106">
        <v>46188.41505787037</v>
      </c>
      <c r="O371" s="106">
        <v>46183.451932870368</v>
      </c>
      <c r="P371" s="106">
        <v>46188.41505787037</v>
      </c>
      <c r="Q371" s="60"/>
      <c r="R371" s="60"/>
      <c r="S371" s="60"/>
      <c r="T371" s="60"/>
      <c r="U371" s="60"/>
      <c r="V371" s="60"/>
      <c r="W371" s="60"/>
      <c r="X371" s="60"/>
      <c r="Y371" s="60"/>
      <c r="Z371" s="61"/>
      <c r="AA371" s="61"/>
      <c r="AB371" s="61"/>
      <c r="AC371" s="61"/>
      <c r="AD371" s="218"/>
      <c r="AE371" s="61"/>
      <c r="AF371" s="61"/>
      <c r="AG371" s="61"/>
      <c r="AH371" s="61"/>
      <c r="AI371" s="61"/>
      <c r="AJ371" s="61"/>
    </row>
    <row r="372" spans="1:36" s="60" customFormat="1" ht="15" hidden="1" customHeight="1">
      <c r="A372" s="60">
        <v>371</v>
      </c>
      <c r="B372" s="60" t="s">
        <v>26</v>
      </c>
      <c r="C372" s="60" t="s">
        <v>27</v>
      </c>
      <c r="D372" s="60" t="s">
        <v>207</v>
      </c>
      <c r="E372" s="60" t="s">
        <v>3315</v>
      </c>
      <c r="F372" s="60" t="s">
        <v>318</v>
      </c>
      <c r="G372" s="105">
        <v>3</v>
      </c>
      <c r="H372" s="212" t="s">
        <v>3316</v>
      </c>
      <c r="I372" s="105" t="s">
        <v>271</v>
      </c>
      <c r="J372" s="60" t="s">
        <v>2751</v>
      </c>
      <c r="K372" s="106">
        <v>46178.349953703706</v>
      </c>
      <c r="L372" s="106">
        <v>46183.357939814814</v>
      </c>
      <c r="M372" s="106">
        <v>46183.434189814812</v>
      </c>
      <c r="N372" s="106">
        <v>46197.466435185182</v>
      </c>
      <c r="O372" s="106"/>
      <c r="P372" s="106"/>
      <c r="Z372" s="61"/>
      <c r="AA372" s="61"/>
      <c r="AB372" s="61"/>
      <c r="AC372" s="61"/>
      <c r="AD372" s="218"/>
      <c r="AE372" s="61"/>
      <c r="AF372" s="61"/>
      <c r="AG372" s="61"/>
      <c r="AH372" s="61"/>
      <c r="AI372" s="61"/>
      <c r="AJ372" s="61"/>
    </row>
    <row r="373" spans="1:36" ht="15" hidden="1" customHeight="1">
      <c r="A373" s="60">
        <v>372</v>
      </c>
      <c r="B373" s="60" t="s">
        <v>26</v>
      </c>
      <c r="C373" s="60" t="s">
        <v>27</v>
      </c>
      <c r="D373" s="60" t="s">
        <v>207</v>
      </c>
      <c r="E373" s="60" t="s">
        <v>3317</v>
      </c>
      <c r="F373" s="60" t="s">
        <v>318</v>
      </c>
      <c r="G373" s="105">
        <v>3</v>
      </c>
      <c r="H373" s="212" t="s">
        <v>3318</v>
      </c>
      <c r="I373" s="105" t="s">
        <v>271</v>
      </c>
      <c r="J373" s="60" t="s">
        <v>2772</v>
      </c>
      <c r="K373" s="106">
        <v>46181.925798611112</v>
      </c>
      <c r="L373" s="106">
        <v>46182.766782407409</v>
      </c>
      <c r="M373" s="106">
        <v>46183.439421296294</v>
      </c>
      <c r="N373" s="106">
        <v>46197.466574074075</v>
      </c>
      <c r="O373" s="106"/>
      <c r="P373" s="106"/>
      <c r="Q373" s="60" t="s">
        <v>2798</v>
      </c>
      <c r="R373" s="60" t="s">
        <v>261</v>
      </c>
      <c r="S373" s="60" t="s">
        <v>137</v>
      </c>
      <c r="T373" s="60" t="s">
        <v>268</v>
      </c>
      <c r="U373" s="60"/>
      <c r="V373" s="60"/>
      <c r="W373" s="60"/>
      <c r="X373" s="60"/>
      <c r="Y373" s="60"/>
      <c r="Z373" s="61"/>
      <c r="AA373" s="61"/>
      <c r="AB373" s="61"/>
      <c r="AC373" s="61"/>
      <c r="AD373" s="218"/>
      <c r="AE373" s="61"/>
      <c r="AF373" s="61"/>
      <c r="AG373" s="61"/>
      <c r="AH373" s="61"/>
      <c r="AI373" s="61"/>
      <c r="AJ373" s="61"/>
    </row>
    <row r="374" spans="1:36" ht="15" hidden="1" customHeight="1">
      <c r="A374" s="60">
        <v>373</v>
      </c>
      <c r="B374" s="60" t="s">
        <v>26</v>
      </c>
      <c r="C374" s="60" t="s">
        <v>27</v>
      </c>
      <c r="D374" s="60" t="s">
        <v>207</v>
      </c>
      <c r="E374" s="60" t="s">
        <v>3319</v>
      </c>
      <c r="F374" s="60" t="s">
        <v>318</v>
      </c>
      <c r="G374" s="105">
        <v>3</v>
      </c>
      <c r="H374" s="212" t="s">
        <v>3320</v>
      </c>
      <c r="I374" s="105" t="s">
        <v>266</v>
      </c>
      <c r="J374" s="60" t="s">
        <v>2725</v>
      </c>
      <c r="K374" s="106">
        <v>46182.673032407409</v>
      </c>
      <c r="L374" s="106">
        <v>46182.675844907404</v>
      </c>
      <c r="M374" s="106">
        <v>46183.445613425924</v>
      </c>
      <c r="N374" s="106"/>
      <c r="O374" s="106"/>
      <c r="P374" s="106"/>
      <c r="Q374" s="60"/>
      <c r="R374" s="60"/>
      <c r="S374" s="60"/>
      <c r="T374" s="60"/>
      <c r="U374" s="60"/>
      <c r="V374" s="60"/>
      <c r="W374" s="60"/>
      <c r="X374" s="60"/>
      <c r="Y374" s="60"/>
      <c r="Z374" s="61"/>
      <c r="AA374" s="61"/>
      <c r="AB374" s="61"/>
      <c r="AC374" s="61"/>
      <c r="AD374" s="218"/>
      <c r="AE374" s="61"/>
      <c r="AF374" s="61"/>
      <c r="AG374" s="61"/>
      <c r="AH374" s="61"/>
      <c r="AI374" s="61"/>
      <c r="AJ374" s="61"/>
    </row>
    <row r="375" spans="1:36" ht="15" hidden="1" customHeight="1">
      <c r="A375" s="60">
        <v>374</v>
      </c>
      <c r="B375" s="60" t="s">
        <v>26</v>
      </c>
      <c r="C375" s="60" t="s">
        <v>27</v>
      </c>
      <c r="D375" s="60" t="s">
        <v>207</v>
      </c>
      <c r="E375" s="60" t="s">
        <v>3321</v>
      </c>
      <c r="F375" s="60" t="s">
        <v>320</v>
      </c>
      <c r="G375" s="105">
        <v>3</v>
      </c>
      <c r="H375" s="212" t="s">
        <v>3322</v>
      </c>
      <c r="I375" s="105" t="s">
        <v>271</v>
      </c>
      <c r="J375" s="60" t="s">
        <v>2772</v>
      </c>
      <c r="K375" s="106">
        <v>46183.41574074074</v>
      </c>
      <c r="L375" s="106">
        <v>46183.424062500002</v>
      </c>
      <c r="M375" s="106">
        <v>46183.446655092594</v>
      </c>
      <c r="N375" s="106">
        <v>46192.750405092593</v>
      </c>
      <c r="O375" s="62">
        <v>46185.31653935185</v>
      </c>
      <c r="P375" s="62">
        <v>46192.750405092593</v>
      </c>
      <c r="Q375" s="60" t="s">
        <v>2973</v>
      </c>
      <c r="R375" s="60" t="s">
        <v>272</v>
      </c>
      <c r="S375" s="60" t="s">
        <v>165</v>
      </c>
      <c r="T375" s="60" t="s">
        <v>304</v>
      </c>
      <c r="U375" s="60"/>
      <c r="V375" s="60"/>
      <c r="W375" s="60"/>
      <c r="X375" s="60"/>
      <c r="Y375" s="60"/>
      <c r="Z375" s="61"/>
      <c r="AA375" s="61"/>
      <c r="AB375" s="61"/>
      <c r="AC375" s="61"/>
      <c r="AD375" s="218"/>
      <c r="AE375" s="61"/>
      <c r="AF375" s="61"/>
      <c r="AG375" s="61"/>
      <c r="AH375" s="61"/>
      <c r="AI375" s="61"/>
      <c r="AJ375" s="61"/>
    </row>
    <row r="376" spans="1:36" ht="15" hidden="1" customHeight="1">
      <c r="A376" s="60">
        <v>375</v>
      </c>
      <c r="B376" s="60" t="s">
        <v>26</v>
      </c>
      <c r="C376" s="60" t="s">
        <v>27</v>
      </c>
      <c r="D376" s="60" t="s">
        <v>208</v>
      </c>
      <c r="E376" s="60" t="s">
        <v>3323</v>
      </c>
      <c r="F376" s="60" t="s">
        <v>318</v>
      </c>
      <c r="G376" s="105" t="s">
        <v>208</v>
      </c>
      <c r="H376" s="212" t="s">
        <v>3324</v>
      </c>
      <c r="I376" s="105" t="s">
        <v>271</v>
      </c>
      <c r="J376" s="60" t="s">
        <v>2772</v>
      </c>
      <c r="K376" s="106">
        <v>46178.667986111112</v>
      </c>
      <c r="L376" s="106">
        <v>46183.419108796297</v>
      </c>
      <c r="M376" s="106">
        <v>46183.462418981479</v>
      </c>
      <c r="N376" s="62">
        <v>46204.310104166667</v>
      </c>
      <c r="O376" s="106"/>
      <c r="P376" s="106"/>
      <c r="Q376" s="60"/>
      <c r="R376" s="60"/>
      <c r="S376" s="60"/>
      <c r="T376" s="60"/>
      <c r="U376" s="60"/>
      <c r="V376" s="60"/>
      <c r="W376" s="60"/>
      <c r="X376" s="60"/>
      <c r="Y376" s="60"/>
      <c r="Z376" s="61"/>
      <c r="AA376" s="61"/>
      <c r="AB376" s="61"/>
      <c r="AC376" s="61"/>
      <c r="AD376" s="218"/>
      <c r="AE376" s="61"/>
      <c r="AF376" s="61"/>
      <c r="AG376" s="61"/>
      <c r="AH376" s="61"/>
      <c r="AI376" s="61"/>
      <c r="AJ376" s="61"/>
    </row>
    <row r="377" spans="1:36" ht="15" hidden="1" customHeight="1">
      <c r="A377" s="60">
        <v>376</v>
      </c>
      <c r="B377" s="60" t="s">
        <v>26</v>
      </c>
      <c r="C377" s="60" t="s">
        <v>27</v>
      </c>
      <c r="D377" s="60" t="s">
        <v>207</v>
      </c>
      <c r="E377" s="60" t="s">
        <v>3325</v>
      </c>
      <c r="F377" s="60" t="s">
        <v>327</v>
      </c>
      <c r="G377" s="105">
        <v>3</v>
      </c>
      <c r="H377" s="212" t="s">
        <v>3326</v>
      </c>
      <c r="I377" s="105" t="s">
        <v>275</v>
      </c>
      <c r="J377" s="60" t="s">
        <v>2708</v>
      </c>
      <c r="K377" s="106">
        <v>46183.453136574077</v>
      </c>
      <c r="L377" s="106">
        <v>46183.453136574077</v>
      </c>
      <c r="M377" s="106">
        <v>46183.603217592594</v>
      </c>
      <c r="N377" s="106"/>
      <c r="O377" s="106"/>
      <c r="P377" s="106"/>
      <c r="Q377" s="60"/>
      <c r="R377" s="60"/>
      <c r="S377" s="60"/>
      <c r="T377" s="60"/>
      <c r="U377" s="60"/>
      <c r="V377" s="60"/>
      <c r="W377" s="60"/>
      <c r="X377" s="60"/>
      <c r="Y377" s="60"/>
      <c r="Z377" s="61"/>
      <c r="AA377" s="61"/>
      <c r="AB377" s="61"/>
      <c r="AC377" s="61"/>
      <c r="AD377" s="218"/>
      <c r="AE377" s="61"/>
      <c r="AF377" s="61"/>
      <c r="AG377" s="61"/>
      <c r="AH377" s="61"/>
      <c r="AI377" s="61"/>
      <c r="AJ377" s="61"/>
    </row>
    <row r="378" spans="1:36" ht="15" hidden="1" customHeight="1">
      <c r="A378" s="60">
        <v>377</v>
      </c>
      <c r="B378" s="60" t="s">
        <v>26</v>
      </c>
      <c r="C378" s="60" t="s">
        <v>27</v>
      </c>
      <c r="D378" s="60" t="s">
        <v>207</v>
      </c>
      <c r="E378" s="60" t="s">
        <v>3327</v>
      </c>
      <c r="F378" s="60" t="s">
        <v>327</v>
      </c>
      <c r="G378" s="105">
        <v>3</v>
      </c>
      <c r="H378" s="212" t="s">
        <v>3328</v>
      </c>
      <c r="I378" s="105" t="s">
        <v>275</v>
      </c>
      <c r="J378" s="60" t="s">
        <v>2708</v>
      </c>
      <c r="K378" s="106">
        <v>46166.327280092592</v>
      </c>
      <c r="L378" s="106">
        <v>46183.584131944444</v>
      </c>
      <c r="M378" s="106">
        <v>46183.602638888886</v>
      </c>
      <c r="N378" s="106"/>
      <c r="O378" s="106"/>
      <c r="P378" s="106"/>
      <c r="Q378" s="60"/>
      <c r="R378" s="60"/>
      <c r="S378" s="60"/>
      <c r="T378" s="60"/>
      <c r="U378" s="60"/>
      <c r="V378" s="60"/>
      <c r="W378" s="60"/>
      <c r="X378" s="60"/>
      <c r="Y378" s="60"/>
      <c r="Z378" s="61"/>
      <c r="AA378" s="61"/>
      <c r="AB378" s="61"/>
      <c r="AC378" s="61"/>
      <c r="AD378" s="218"/>
      <c r="AE378" s="61"/>
      <c r="AF378" s="61"/>
      <c r="AG378" s="61"/>
      <c r="AH378" s="61"/>
      <c r="AI378" s="61"/>
      <c r="AJ378" s="61"/>
    </row>
    <row r="379" spans="1:36" s="60" customFormat="1" ht="15" hidden="1" customHeight="1">
      <c r="A379" s="60">
        <v>378</v>
      </c>
      <c r="B379" s="60" t="s">
        <v>26</v>
      </c>
      <c r="C379" s="60" t="s">
        <v>27</v>
      </c>
      <c r="D379" s="60" t="s">
        <v>207</v>
      </c>
      <c r="E379" s="60" t="s">
        <v>3329</v>
      </c>
      <c r="F379" s="60" t="s">
        <v>318</v>
      </c>
      <c r="G379" s="105">
        <v>3</v>
      </c>
      <c r="H379" s="212" t="s">
        <v>3330</v>
      </c>
      <c r="I379" s="105" t="s">
        <v>271</v>
      </c>
      <c r="J379" s="60" t="s">
        <v>2703</v>
      </c>
      <c r="K379" s="106">
        <v>46184.203819444447</v>
      </c>
      <c r="L379" s="106">
        <v>46184.203831018516</v>
      </c>
      <c r="M379" s="106">
        <v>46184.317442129628</v>
      </c>
      <c r="N379" s="106">
        <v>46185.595833333333</v>
      </c>
      <c r="O379" s="106"/>
      <c r="P379" s="106"/>
      <c r="Z379" s="61"/>
      <c r="AA379" s="61"/>
      <c r="AB379" s="61"/>
      <c r="AC379" s="61"/>
      <c r="AD379" s="218"/>
      <c r="AE379" s="61"/>
      <c r="AF379" s="61"/>
      <c r="AG379" s="61"/>
      <c r="AH379" s="61"/>
      <c r="AI379" s="61"/>
      <c r="AJ379" s="61"/>
    </row>
    <row r="380" spans="1:36" ht="15" hidden="1" customHeight="1">
      <c r="A380" s="60">
        <v>379</v>
      </c>
      <c r="B380" s="60" t="s">
        <v>26</v>
      </c>
      <c r="C380" s="60" t="s">
        <v>27</v>
      </c>
      <c r="D380" s="60" t="s">
        <v>207</v>
      </c>
      <c r="E380" s="60" t="s">
        <v>3331</v>
      </c>
      <c r="F380" s="60" t="s">
        <v>318</v>
      </c>
      <c r="G380" s="105">
        <v>3</v>
      </c>
      <c r="H380" s="212" t="s">
        <v>2775</v>
      </c>
      <c r="I380" s="105" t="s">
        <v>271</v>
      </c>
      <c r="J380" s="60" t="s">
        <v>2738</v>
      </c>
      <c r="K380" s="106">
        <v>46184.127372685187</v>
      </c>
      <c r="L380" s="106">
        <v>46184.127488425926</v>
      </c>
      <c r="M380" s="106">
        <v>46184.325659722221</v>
      </c>
      <c r="N380" s="106">
        <v>46184.444722222222</v>
      </c>
      <c r="O380" s="106"/>
      <c r="P380" s="106"/>
      <c r="Q380" s="60"/>
      <c r="R380" s="60"/>
      <c r="S380" s="60"/>
      <c r="T380" s="60"/>
      <c r="U380" s="60"/>
      <c r="V380" s="60"/>
      <c r="W380" s="60"/>
      <c r="X380" s="60"/>
      <c r="Y380" s="60"/>
      <c r="Z380" s="61"/>
      <c r="AA380" s="61"/>
      <c r="AB380" s="61"/>
      <c r="AC380" s="61"/>
      <c r="AD380" s="218"/>
      <c r="AE380" s="61"/>
      <c r="AF380" s="61"/>
      <c r="AG380" s="61"/>
      <c r="AH380" s="61"/>
      <c r="AI380" s="61"/>
      <c r="AJ380" s="61"/>
    </row>
    <row r="381" spans="1:36" ht="15" hidden="1" customHeight="1">
      <c r="A381" s="60">
        <v>380</v>
      </c>
      <c r="B381" s="60" t="s">
        <v>26</v>
      </c>
      <c r="C381" s="60" t="s">
        <v>27</v>
      </c>
      <c r="D381" s="60" t="s">
        <v>207</v>
      </c>
      <c r="E381" s="60" t="s">
        <v>3332</v>
      </c>
      <c r="F381" s="60" t="s">
        <v>318</v>
      </c>
      <c r="G381" s="105">
        <v>4</v>
      </c>
      <c r="H381" s="212" t="s">
        <v>3333</v>
      </c>
      <c r="I381" s="105" t="s">
        <v>275</v>
      </c>
      <c r="J381" s="60" t="s">
        <v>3111</v>
      </c>
      <c r="K381" s="106">
        <v>46184.095034722224</v>
      </c>
      <c r="L381" s="106">
        <v>46184.095127314817</v>
      </c>
      <c r="M381" s="106">
        <v>46184.325659722221</v>
      </c>
      <c r="N381" s="106"/>
      <c r="O381" s="106"/>
      <c r="P381" s="106"/>
      <c r="Q381" s="60"/>
      <c r="R381" s="60"/>
      <c r="S381" s="60"/>
      <c r="T381" s="60"/>
      <c r="U381" s="60"/>
      <c r="V381" s="60"/>
      <c r="W381" s="60"/>
      <c r="X381" s="60"/>
      <c r="Y381" s="60"/>
      <c r="Z381" s="61"/>
      <c r="AA381" s="61"/>
      <c r="AB381" s="61"/>
      <c r="AC381" s="61"/>
      <c r="AD381" s="218"/>
      <c r="AE381" s="61"/>
      <c r="AF381" s="61"/>
      <c r="AG381" s="61"/>
      <c r="AH381" s="61"/>
      <c r="AI381" s="61"/>
      <c r="AJ381" s="61"/>
    </row>
    <row r="382" spans="1:36" s="60" customFormat="1" ht="15" hidden="1" customHeight="1">
      <c r="A382" s="60">
        <v>381</v>
      </c>
      <c r="B382" s="60" t="s">
        <v>26</v>
      </c>
      <c r="C382" s="60" t="s">
        <v>27</v>
      </c>
      <c r="D382" s="60" t="s">
        <v>207</v>
      </c>
      <c r="E382" s="60" t="s">
        <v>3334</v>
      </c>
      <c r="F382" s="60" t="s">
        <v>318</v>
      </c>
      <c r="G382" s="105">
        <v>3</v>
      </c>
      <c r="H382" s="212" t="s">
        <v>3335</v>
      </c>
      <c r="I382" s="105" t="s">
        <v>271</v>
      </c>
      <c r="J382" s="60" t="s">
        <v>2751</v>
      </c>
      <c r="K382" s="106">
        <v>46182.40115740741</v>
      </c>
      <c r="L382" s="106">
        <v>46182.40115740741</v>
      </c>
      <c r="M382" s="106">
        <v>46184.340277777781</v>
      </c>
      <c r="N382" s="106">
        <v>46197.466562499998</v>
      </c>
      <c r="O382" s="106"/>
      <c r="P382" s="106"/>
      <c r="Z382" s="61"/>
      <c r="AA382" s="61"/>
      <c r="AB382" s="61"/>
      <c r="AC382" s="61"/>
      <c r="AD382" s="218"/>
      <c r="AE382" s="61"/>
      <c r="AF382" s="61"/>
      <c r="AG382" s="61"/>
      <c r="AH382" s="61"/>
      <c r="AI382" s="61"/>
      <c r="AJ382" s="61"/>
    </row>
    <row r="383" spans="1:36" ht="15" hidden="1" customHeight="1">
      <c r="A383" s="60">
        <v>382</v>
      </c>
      <c r="B383" s="60" t="s">
        <v>26</v>
      </c>
      <c r="C383" s="60" t="s">
        <v>27</v>
      </c>
      <c r="D383" s="60" t="s">
        <v>207</v>
      </c>
      <c r="E383" s="60" t="s">
        <v>3336</v>
      </c>
      <c r="F383" s="60" t="s">
        <v>318</v>
      </c>
      <c r="G383" s="105">
        <v>4</v>
      </c>
      <c r="H383" s="212" t="s">
        <v>3337</v>
      </c>
      <c r="I383" s="105" t="s">
        <v>271</v>
      </c>
      <c r="J383" s="60" t="s">
        <v>2725</v>
      </c>
      <c r="K383" s="106">
        <v>46184.0471875</v>
      </c>
      <c r="L383" s="106">
        <v>46184.047210648147</v>
      </c>
      <c r="M383" s="106">
        <v>46184.072106481479</v>
      </c>
      <c r="N383" s="106">
        <v>46189.637731481482</v>
      </c>
      <c r="O383" s="106"/>
      <c r="P383" s="106"/>
      <c r="Q383" s="60" t="s">
        <v>3338</v>
      </c>
      <c r="R383" s="60"/>
      <c r="S383" s="60"/>
      <c r="T383" s="60"/>
      <c r="U383" s="60"/>
      <c r="V383" s="60"/>
      <c r="W383" s="60"/>
      <c r="X383" s="60"/>
      <c r="Y383" s="60"/>
      <c r="Z383" s="61"/>
      <c r="AA383" s="61"/>
      <c r="AB383" s="61"/>
      <c r="AC383" s="61"/>
      <c r="AD383" s="218"/>
      <c r="AE383" s="61"/>
      <c r="AF383" s="61"/>
      <c r="AG383" s="61"/>
      <c r="AH383" s="61"/>
      <c r="AI383" s="61"/>
      <c r="AJ383" s="61"/>
    </row>
    <row r="384" spans="1:36" ht="15" hidden="1" customHeight="1">
      <c r="A384" s="60">
        <v>383</v>
      </c>
      <c r="B384" s="60" t="s">
        <v>26</v>
      </c>
      <c r="C384" s="60" t="s">
        <v>27</v>
      </c>
      <c r="D384" s="60" t="s">
        <v>207</v>
      </c>
      <c r="E384" s="60" t="s">
        <v>3339</v>
      </c>
      <c r="F384" s="60" t="s">
        <v>318</v>
      </c>
      <c r="G384" s="105">
        <v>3</v>
      </c>
      <c r="H384" s="212" t="s">
        <v>3340</v>
      </c>
      <c r="I384" s="105" t="s">
        <v>271</v>
      </c>
      <c r="J384" s="60" t="s">
        <v>2772</v>
      </c>
      <c r="K384" s="106">
        <v>46184.464594907404</v>
      </c>
      <c r="L384" s="106">
        <v>46184.46471064815</v>
      </c>
      <c r="M384" s="106">
        <v>46184.471400462964</v>
      </c>
      <c r="N384" s="106">
        <v>46185.476504629631</v>
      </c>
      <c r="O384" s="106"/>
      <c r="P384" s="106"/>
      <c r="Q384" s="60" t="s">
        <v>2929</v>
      </c>
      <c r="R384" s="60" t="s">
        <v>272</v>
      </c>
      <c r="S384" s="60" t="s">
        <v>149</v>
      </c>
      <c r="T384" s="60" t="s">
        <v>2773</v>
      </c>
      <c r="U384" s="60"/>
      <c r="V384" s="60"/>
      <c r="W384" s="60"/>
      <c r="X384" s="60"/>
      <c r="Y384" s="60"/>
      <c r="Z384" s="61"/>
      <c r="AA384" s="61"/>
      <c r="AB384" s="61"/>
      <c r="AC384" s="61"/>
      <c r="AD384" s="218"/>
      <c r="AE384" s="61"/>
      <c r="AF384" s="61"/>
      <c r="AG384" s="61"/>
      <c r="AH384" s="61"/>
      <c r="AI384" s="61"/>
      <c r="AJ384" s="61"/>
    </row>
    <row r="385" spans="1:36" s="60" customFormat="1" ht="15" hidden="1" customHeight="1">
      <c r="A385" s="60">
        <v>384</v>
      </c>
      <c r="B385" s="60" t="s">
        <v>26</v>
      </c>
      <c r="C385" s="60" t="s">
        <v>27</v>
      </c>
      <c r="D385" s="60" t="s">
        <v>207</v>
      </c>
      <c r="E385" s="60" t="s">
        <v>3341</v>
      </c>
      <c r="F385" s="60" t="s">
        <v>318</v>
      </c>
      <c r="G385" s="105">
        <v>3</v>
      </c>
      <c r="H385" s="212" t="s">
        <v>3342</v>
      </c>
      <c r="I385" s="105" t="s">
        <v>271</v>
      </c>
      <c r="J385" s="60" t="s">
        <v>3015</v>
      </c>
      <c r="K385" s="106">
        <v>46184.133958333332</v>
      </c>
      <c r="L385" s="106">
        <v>46184.134027777778</v>
      </c>
      <c r="M385" s="106">
        <v>46184.5547337963</v>
      </c>
      <c r="N385" s="62">
        <v>46189.465451388889</v>
      </c>
      <c r="O385" s="106"/>
      <c r="P385" s="106"/>
      <c r="Z385" s="61"/>
      <c r="AA385" s="61"/>
      <c r="AB385" s="61"/>
      <c r="AC385" s="61"/>
      <c r="AD385" s="218"/>
      <c r="AE385" s="61"/>
      <c r="AF385" s="61"/>
      <c r="AG385" s="61"/>
      <c r="AH385" s="61"/>
      <c r="AI385" s="61"/>
      <c r="AJ385" s="61"/>
    </row>
    <row r="386" spans="1:36" s="60" customFormat="1" ht="15" hidden="1" customHeight="1">
      <c r="A386" s="60">
        <v>385</v>
      </c>
      <c r="B386" s="60" t="s">
        <v>26</v>
      </c>
      <c r="C386" s="60" t="s">
        <v>27</v>
      </c>
      <c r="D386" s="60" t="s">
        <v>207</v>
      </c>
      <c r="E386" s="60" t="s">
        <v>3343</v>
      </c>
      <c r="F386" s="60" t="s">
        <v>318</v>
      </c>
      <c r="G386" s="105">
        <v>3</v>
      </c>
      <c r="H386" s="212" t="s">
        <v>3344</v>
      </c>
      <c r="I386" s="105" t="s">
        <v>260</v>
      </c>
      <c r="J386" s="60" t="s">
        <v>2700</v>
      </c>
      <c r="K386" s="106">
        <v>46177.729097222225</v>
      </c>
      <c r="L386" s="106">
        <v>46185.285405092596</v>
      </c>
      <c r="M386" s="106">
        <v>46185.301168981481</v>
      </c>
      <c r="N386" s="106"/>
      <c r="O386" s="106"/>
      <c r="P386" s="106"/>
      <c r="Z386" s="61"/>
      <c r="AA386" s="61"/>
      <c r="AB386" s="61"/>
      <c r="AC386" s="61"/>
      <c r="AD386" s="218"/>
      <c r="AE386" s="61"/>
      <c r="AF386" s="61"/>
      <c r="AG386" s="61"/>
      <c r="AH386" s="61"/>
      <c r="AI386" s="61"/>
      <c r="AJ386" s="61"/>
    </row>
    <row r="387" spans="1:36" ht="15" hidden="1" customHeight="1">
      <c r="A387" s="60">
        <v>386</v>
      </c>
      <c r="B387" s="60" t="s">
        <v>26</v>
      </c>
      <c r="C387" s="60" t="s">
        <v>27</v>
      </c>
      <c r="D387" s="60" t="s">
        <v>207</v>
      </c>
      <c r="E387" s="60" t="s">
        <v>3345</v>
      </c>
      <c r="F387" s="60" t="s">
        <v>327</v>
      </c>
      <c r="G387" s="105">
        <v>3</v>
      </c>
      <c r="H387" s="212" t="s">
        <v>3346</v>
      </c>
      <c r="I387" s="105" t="s">
        <v>275</v>
      </c>
      <c r="J387" s="106"/>
      <c r="K387" s="106">
        <v>46183.310358796298</v>
      </c>
      <c r="L387" s="106">
        <v>46183.313252314816</v>
      </c>
      <c r="M387" s="106">
        <v>46183.603726851848</v>
      </c>
      <c r="N387" s="106"/>
      <c r="O387" s="106"/>
      <c r="P387" s="106"/>
      <c r="Q387" s="60"/>
      <c r="R387" s="60"/>
      <c r="S387" s="60"/>
      <c r="T387" s="60"/>
      <c r="U387" s="60"/>
      <c r="V387" s="60"/>
      <c r="W387" s="60"/>
      <c r="X387" s="60"/>
      <c r="Y387" s="60"/>
      <c r="Z387" s="61"/>
      <c r="AA387" s="61"/>
      <c r="AB387" s="61"/>
      <c r="AC387" s="61"/>
      <c r="AD387" s="218"/>
      <c r="AE387" s="61"/>
      <c r="AF387" s="61"/>
      <c r="AG387" s="61"/>
      <c r="AH387" s="61"/>
      <c r="AI387" s="61"/>
      <c r="AJ387" s="61"/>
    </row>
    <row r="388" spans="1:36" ht="15" hidden="1" customHeight="1">
      <c r="A388" s="60">
        <v>387</v>
      </c>
      <c r="B388" s="60" t="s">
        <v>26</v>
      </c>
      <c r="C388" s="60" t="s">
        <v>27</v>
      </c>
      <c r="D388" s="60" t="s">
        <v>207</v>
      </c>
      <c r="E388" s="60" t="s">
        <v>3347</v>
      </c>
      <c r="F388" s="60" t="s">
        <v>318</v>
      </c>
      <c r="G388" s="105">
        <v>3</v>
      </c>
      <c r="H388" s="212" t="s">
        <v>2724</v>
      </c>
      <c r="I388" s="105" t="s">
        <v>271</v>
      </c>
      <c r="J388" s="60" t="s">
        <v>2738</v>
      </c>
      <c r="K388" s="106">
        <v>46185.151087962964</v>
      </c>
      <c r="L388" s="106">
        <v>46185.151087962964</v>
      </c>
      <c r="M388" s="106">
        <v>46185.236574074072</v>
      </c>
      <c r="N388" s="106">
        <v>46185.457881944443</v>
      </c>
      <c r="O388" s="106"/>
      <c r="P388" s="106"/>
      <c r="Q388" s="60" t="s">
        <v>2726</v>
      </c>
      <c r="R388" s="60"/>
      <c r="S388" s="60"/>
      <c r="T388" s="60"/>
      <c r="U388" s="60"/>
      <c r="V388" s="60"/>
      <c r="W388" s="60"/>
      <c r="X388" s="60"/>
      <c r="Y388" s="60"/>
      <c r="Z388" s="61"/>
      <c r="AA388" s="61"/>
      <c r="AB388" s="61"/>
      <c r="AC388" s="61"/>
      <c r="AD388" s="218"/>
      <c r="AE388" s="61"/>
      <c r="AF388" s="61"/>
      <c r="AG388" s="61"/>
      <c r="AH388" s="61"/>
      <c r="AI388" s="61"/>
      <c r="AJ388" s="61"/>
    </row>
    <row r="389" spans="1:36" ht="15" hidden="1" customHeight="1">
      <c r="A389" s="60">
        <v>388</v>
      </c>
      <c r="B389" s="60" t="s">
        <v>26</v>
      </c>
      <c r="C389" s="60" t="s">
        <v>27</v>
      </c>
      <c r="D389" s="60" t="s">
        <v>207</v>
      </c>
      <c r="E389" s="60" t="s">
        <v>3348</v>
      </c>
      <c r="F389" s="60" t="s">
        <v>318</v>
      </c>
      <c r="G389" s="105">
        <v>3</v>
      </c>
      <c r="H389" s="212" t="s">
        <v>2775</v>
      </c>
      <c r="I389" s="105" t="s">
        <v>271</v>
      </c>
      <c r="J389" s="60" t="s">
        <v>2738</v>
      </c>
      <c r="K389" s="106">
        <v>46184.974710648145</v>
      </c>
      <c r="L389" s="106">
        <v>46184.974710648145</v>
      </c>
      <c r="M389" s="106">
        <v>46185.237037037034</v>
      </c>
      <c r="N389" s="106">
        <v>46185.456793981481</v>
      </c>
      <c r="O389" s="106"/>
      <c r="P389" s="106"/>
      <c r="Q389" s="60" t="s">
        <v>2726</v>
      </c>
      <c r="R389" s="60"/>
      <c r="S389" s="60"/>
      <c r="T389" s="60"/>
      <c r="U389" s="60"/>
      <c r="V389" s="60"/>
      <c r="W389" s="60"/>
      <c r="X389" s="60"/>
      <c r="Y389" s="60"/>
      <c r="Z389" s="61"/>
      <c r="AA389" s="61"/>
      <c r="AB389" s="61"/>
      <c r="AC389" s="61"/>
      <c r="AD389" s="218"/>
      <c r="AE389" s="61"/>
      <c r="AF389" s="61"/>
      <c r="AG389" s="61"/>
      <c r="AH389" s="61"/>
      <c r="AI389" s="61"/>
      <c r="AJ389" s="61"/>
    </row>
    <row r="390" spans="1:36" ht="15" hidden="1" customHeight="1">
      <c r="A390" s="60">
        <v>389</v>
      </c>
      <c r="B390" s="60" t="s">
        <v>26</v>
      </c>
      <c r="C390" s="60" t="s">
        <v>27</v>
      </c>
      <c r="D390" s="60" t="s">
        <v>207</v>
      </c>
      <c r="E390" s="60" t="s">
        <v>3349</v>
      </c>
      <c r="F390" s="60" t="s">
        <v>318</v>
      </c>
      <c r="G390" s="105">
        <v>3</v>
      </c>
      <c r="H390" s="212" t="s">
        <v>2923</v>
      </c>
      <c r="I390" s="105" t="s">
        <v>271</v>
      </c>
      <c r="J390" s="60" t="s">
        <v>2708</v>
      </c>
      <c r="K390" s="106">
        <v>46185.125509259262</v>
      </c>
      <c r="L390" s="106">
        <v>46185.131157407406</v>
      </c>
      <c r="M390" s="106">
        <v>46185.237743055557</v>
      </c>
      <c r="N390" s="106">
        <v>46185.276099537034</v>
      </c>
      <c r="O390" s="106"/>
      <c r="P390" s="106"/>
      <c r="Q390" s="60"/>
      <c r="R390" s="60"/>
      <c r="S390" s="60"/>
      <c r="T390" s="60"/>
      <c r="U390" s="60"/>
      <c r="V390" s="60"/>
      <c r="W390" s="60"/>
      <c r="X390" s="60"/>
      <c r="Y390" s="60"/>
      <c r="Z390" s="61"/>
      <c r="AA390" s="61"/>
      <c r="AB390" s="61"/>
      <c r="AC390" s="61"/>
      <c r="AD390" s="218"/>
      <c r="AE390" s="61"/>
      <c r="AF390" s="61"/>
      <c r="AG390" s="61"/>
      <c r="AH390" s="61"/>
      <c r="AI390" s="61"/>
      <c r="AJ390" s="61"/>
    </row>
    <row r="391" spans="1:36" ht="15" hidden="1" customHeight="1">
      <c r="A391" s="60">
        <v>390</v>
      </c>
      <c r="B391" s="60" t="s">
        <v>26</v>
      </c>
      <c r="C391" s="60" t="s">
        <v>27</v>
      </c>
      <c r="D391" s="60" t="s">
        <v>207</v>
      </c>
      <c r="E391" s="60" t="s">
        <v>3350</v>
      </c>
      <c r="F391" s="60" t="s">
        <v>318</v>
      </c>
      <c r="G391" s="105">
        <v>3</v>
      </c>
      <c r="H391" s="212" t="s">
        <v>3351</v>
      </c>
      <c r="I391" s="105" t="s">
        <v>275</v>
      </c>
      <c r="J391" s="60" t="s">
        <v>2703</v>
      </c>
      <c r="K391" s="106">
        <v>46182.592928240738</v>
      </c>
      <c r="L391" s="106">
        <v>46184.629606481481</v>
      </c>
      <c r="M391" s="106">
        <v>46185.238344907404</v>
      </c>
      <c r="N391" s="106"/>
      <c r="O391" s="106"/>
      <c r="P391" s="106"/>
      <c r="Q391" s="60"/>
      <c r="R391" s="60"/>
      <c r="S391" s="60"/>
      <c r="T391" s="60"/>
      <c r="U391" s="60"/>
      <c r="V391" s="60"/>
      <c r="W391" s="60"/>
      <c r="X391" s="60"/>
      <c r="Y391" s="60"/>
      <c r="Z391" s="61"/>
      <c r="AA391" s="61"/>
      <c r="AB391" s="61"/>
      <c r="AC391" s="61"/>
      <c r="AD391" s="218"/>
      <c r="AE391" s="61"/>
      <c r="AF391" s="61"/>
      <c r="AG391" s="61"/>
      <c r="AH391" s="61"/>
      <c r="AI391" s="61"/>
      <c r="AJ391" s="61"/>
    </row>
    <row r="392" spans="1:36" s="60" customFormat="1" ht="15" hidden="1" customHeight="1">
      <c r="A392" s="60">
        <v>391</v>
      </c>
      <c r="B392" s="60" t="s">
        <v>26</v>
      </c>
      <c r="C392" s="60" t="s">
        <v>27</v>
      </c>
      <c r="D392" s="60" t="s">
        <v>207</v>
      </c>
      <c r="E392" s="60" t="s">
        <v>3352</v>
      </c>
      <c r="F392" s="60" t="s">
        <v>318</v>
      </c>
      <c r="G392" s="105">
        <v>3</v>
      </c>
      <c r="H392" s="212" t="s">
        <v>3353</v>
      </c>
      <c r="I392" s="105" t="s">
        <v>271</v>
      </c>
      <c r="J392" s="60" t="s">
        <v>2827</v>
      </c>
      <c r="K392" s="106">
        <v>46164.443657407406</v>
      </c>
      <c r="L392" s="106">
        <v>46184.84884259259</v>
      </c>
      <c r="M392" s="106">
        <v>46185.238877314812</v>
      </c>
      <c r="N392" s="248">
        <v>46200.467361111114</v>
      </c>
      <c r="O392" s="106"/>
      <c r="P392" s="106"/>
      <c r="Z392" s="61"/>
      <c r="AA392" s="61"/>
      <c r="AB392" s="61"/>
      <c r="AC392" s="61"/>
      <c r="AD392" s="218"/>
      <c r="AE392" s="61"/>
      <c r="AF392" s="61"/>
      <c r="AG392" s="61"/>
      <c r="AH392" s="61"/>
      <c r="AI392" s="61"/>
      <c r="AJ392" s="61"/>
    </row>
    <row r="393" spans="1:36" ht="15" hidden="1" customHeight="1">
      <c r="A393" s="60">
        <v>392</v>
      </c>
      <c r="B393" s="60" t="s">
        <v>26</v>
      </c>
      <c r="C393" s="60" t="s">
        <v>27</v>
      </c>
      <c r="D393" s="60" t="s">
        <v>207</v>
      </c>
      <c r="E393" s="60" t="s">
        <v>3354</v>
      </c>
      <c r="F393" s="60" t="s">
        <v>318</v>
      </c>
      <c r="G393" s="105">
        <v>4</v>
      </c>
      <c r="H393" s="212" t="s">
        <v>3355</v>
      </c>
      <c r="I393" s="105" t="s">
        <v>271</v>
      </c>
      <c r="J393" s="60" t="s">
        <v>2725</v>
      </c>
      <c r="K393" s="106">
        <v>46185.326736111114</v>
      </c>
      <c r="L393" s="106">
        <v>46185.333437499998</v>
      </c>
      <c r="M393" s="106">
        <v>46185.343321759261</v>
      </c>
      <c r="N393" s="106">
        <v>46185.412361111114</v>
      </c>
      <c r="O393" s="106"/>
      <c r="P393" s="106"/>
      <c r="Q393" s="60" t="s">
        <v>3356</v>
      </c>
      <c r="R393" s="60" t="s">
        <v>272</v>
      </c>
      <c r="S393" s="60" t="s">
        <v>149</v>
      </c>
      <c r="T393" s="60"/>
      <c r="U393" s="60"/>
      <c r="V393" s="60"/>
      <c r="W393" s="60"/>
      <c r="X393" s="60"/>
      <c r="Y393" s="60"/>
      <c r="Z393" s="61"/>
      <c r="AA393" s="61"/>
      <c r="AB393" s="61"/>
      <c r="AC393" s="61"/>
      <c r="AD393" s="218"/>
      <c r="AE393" s="61"/>
      <c r="AF393" s="61"/>
      <c r="AG393" s="61"/>
      <c r="AH393" s="61"/>
      <c r="AI393" s="61"/>
      <c r="AJ393" s="61"/>
    </row>
    <row r="394" spans="1:36" ht="15" hidden="1" customHeight="1">
      <c r="A394" s="60">
        <v>393</v>
      </c>
      <c r="B394" s="60" t="s">
        <v>26</v>
      </c>
      <c r="C394" s="60" t="s">
        <v>27</v>
      </c>
      <c r="D394" s="60" t="s">
        <v>207</v>
      </c>
      <c r="E394" s="60" t="s">
        <v>3357</v>
      </c>
      <c r="F394" s="60" t="s">
        <v>327</v>
      </c>
      <c r="G394" s="105">
        <v>3</v>
      </c>
      <c r="H394" s="212" t="s">
        <v>3358</v>
      </c>
      <c r="I394" s="105" t="s">
        <v>275</v>
      </c>
      <c r="J394" s="60"/>
      <c r="K394" s="106">
        <v>46185.316296296296</v>
      </c>
      <c r="L394" s="106">
        <v>46185.316296296296</v>
      </c>
      <c r="M394" s="106">
        <v>46185.358344907407</v>
      </c>
      <c r="N394" s="106"/>
      <c r="O394" s="106"/>
      <c r="P394" s="106"/>
      <c r="Q394" s="60"/>
      <c r="R394" s="60"/>
      <c r="S394" s="60"/>
      <c r="T394" s="60"/>
      <c r="U394" s="60"/>
      <c r="V394" s="60"/>
      <c r="W394" s="60"/>
      <c r="X394" s="60"/>
      <c r="Y394" s="60"/>
      <c r="Z394" s="61"/>
      <c r="AA394" s="61"/>
      <c r="AB394" s="61"/>
      <c r="AC394" s="61"/>
      <c r="AD394" s="218"/>
      <c r="AE394" s="61"/>
      <c r="AF394" s="61"/>
      <c r="AG394" s="61"/>
      <c r="AH394" s="61"/>
      <c r="AI394" s="61"/>
      <c r="AJ394" s="61"/>
    </row>
    <row r="395" spans="1:36" ht="15" hidden="1" customHeight="1">
      <c r="A395" s="60">
        <v>394</v>
      </c>
      <c r="B395" s="60" t="s">
        <v>26</v>
      </c>
      <c r="C395" s="60" t="s">
        <v>27</v>
      </c>
      <c r="D395" s="60" t="s">
        <v>207</v>
      </c>
      <c r="E395" s="60" t="s">
        <v>3359</v>
      </c>
      <c r="F395" s="60" t="s">
        <v>318</v>
      </c>
      <c r="G395" s="105">
        <v>3</v>
      </c>
      <c r="H395" s="212" t="s">
        <v>2707</v>
      </c>
      <c r="I395" s="105" t="s">
        <v>271</v>
      </c>
      <c r="J395" s="60" t="s">
        <v>2708</v>
      </c>
      <c r="K395" s="106">
        <v>46185.630312499998</v>
      </c>
      <c r="L395" s="106">
        <v>46185.630844907406</v>
      </c>
      <c r="M395" s="106">
        <v>46185.637175925927</v>
      </c>
      <c r="N395" s="106">
        <v>46188.253425925926</v>
      </c>
      <c r="O395" s="106"/>
      <c r="P395" s="106"/>
      <c r="Q395" s="60"/>
      <c r="R395" s="60"/>
      <c r="S395" s="60"/>
      <c r="T395" s="60"/>
      <c r="U395" s="60"/>
      <c r="V395" s="60"/>
      <c r="W395" s="60"/>
      <c r="X395" s="60"/>
      <c r="Y395" s="60"/>
      <c r="Z395" s="61"/>
      <c r="AA395" s="61"/>
      <c r="AB395" s="61"/>
      <c r="AC395" s="61"/>
      <c r="AD395" s="218"/>
      <c r="AE395" s="61"/>
      <c r="AF395" s="61"/>
      <c r="AG395" s="61"/>
      <c r="AH395" s="61"/>
      <c r="AI395" s="61"/>
      <c r="AJ395" s="61"/>
    </row>
    <row r="396" spans="1:36" s="60" customFormat="1" ht="15" hidden="1" customHeight="1">
      <c r="A396" s="60">
        <v>395</v>
      </c>
      <c r="B396" s="60" t="s">
        <v>26</v>
      </c>
      <c r="C396" s="60" t="s">
        <v>27</v>
      </c>
      <c r="D396" s="60" t="s">
        <v>207</v>
      </c>
      <c r="E396" s="60" t="s">
        <v>3360</v>
      </c>
      <c r="F396" s="60" t="s">
        <v>318</v>
      </c>
      <c r="G396" s="105">
        <v>4</v>
      </c>
      <c r="H396" s="212" t="s">
        <v>3361</v>
      </c>
      <c r="I396" s="105" t="s">
        <v>271</v>
      </c>
      <c r="J396" s="60" t="s">
        <v>2751</v>
      </c>
      <c r="K396" s="106">
        <v>46188.189965277779</v>
      </c>
      <c r="L396" s="106">
        <v>46188.189965277779</v>
      </c>
      <c r="M396" s="106">
        <v>46188.252175925925</v>
      </c>
      <c r="N396" s="106">
        <v>46190.383993055555</v>
      </c>
      <c r="O396" s="106"/>
      <c r="P396" s="106"/>
      <c r="Z396" s="61"/>
      <c r="AA396" s="61"/>
      <c r="AB396" s="61"/>
      <c r="AC396" s="61"/>
      <c r="AD396" s="218"/>
      <c r="AE396" s="61"/>
      <c r="AF396" s="61"/>
      <c r="AG396" s="61"/>
      <c r="AH396" s="61"/>
      <c r="AI396" s="61"/>
      <c r="AJ396" s="61"/>
    </row>
    <row r="397" spans="1:36" s="60" customFormat="1" ht="15" hidden="1" customHeight="1">
      <c r="A397" s="60">
        <v>396</v>
      </c>
      <c r="B397" s="60" t="s">
        <v>26</v>
      </c>
      <c r="C397" s="60" t="s">
        <v>27</v>
      </c>
      <c r="D397" s="60" t="s">
        <v>207</v>
      </c>
      <c r="E397" s="60" t="s">
        <v>3362</v>
      </c>
      <c r="F397" s="60" t="s">
        <v>318</v>
      </c>
      <c r="G397" s="105">
        <v>3</v>
      </c>
      <c r="H397" s="212" t="s">
        <v>3363</v>
      </c>
      <c r="I397" s="105" t="s">
        <v>260</v>
      </c>
      <c r="J397" s="60" t="s">
        <v>2700</v>
      </c>
      <c r="K397" s="106">
        <v>46187.290381944447</v>
      </c>
      <c r="L397" s="106">
        <v>46187.290497685186</v>
      </c>
      <c r="M397" s="106">
        <v>46188.271898148145</v>
      </c>
      <c r="N397" s="106"/>
      <c r="O397" s="106"/>
      <c r="P397" s="106"/>
      <c r="Z397" s="61"/>
      <c r="AA397" s="61"/>
      <c r="AB397" s="61"/>
      <c r="AC397" s="61"/>
      <c r="AD397" s="218"/>
      <c r="AE397" s="61"/>
      <c r="AF397" s="61"/>
      <c r="AG397" s="61"/>
      <c r="AH397" s="61"/>
      <c r="AI397" s="61"/>
      <c r="AJ397" s="61"/>
    </row>
    <row r="398" spans="1:36" s="60" customFormat="1" ht="15" hidden="1" customHeight="1">
      <c r="A398" s="60">
        <v>397</v>
      </c>
      <c r="B398" s="60" t="s">
        <v>26</v>
      </c>
      <c r="C398" s="60" t="s">
        <v>27</v>
      </c>
      <c r="D398" s="60" t="s">
        <v>207</v>
      </c>
      <c r="E398" s="60" t="s">
        <v>3364</v>
      </c>
      <c r="F398" s="60" t="s">
        <v>318</v>
      </c>
      <c r="G398" s="105">
        <v>4</v>
      </c>
      <c r="H398" s="212" t="s">
        <v>3365</v>
      </c>
      <c r="I398" s="105" t="s">
        <v>271</v>
      </c>
      <c r="J398" s="60" t="s">
        <v>2703</v>
      </c>
      <c r="K398" s="106">
        <v>46187.867384259262</v>
      </c>
      <c r="L398" s="106">
        <v>46187.867476851854</v>
      </c>
      <c r="M398" s="106">
        <v>46188.268703703703</v>
      </c>
      <c r="N398" s="106">
        <v>46197.513784722221</v>
      </c>
      <c r="O398" s="106"/>
      <c r="P398" s="106"/>
      <c r="Z398" s="61"/>
      <c r="AA398" s="61"/>
      <c r="AB398" s="61"/>
      <c r="AC398" s="61"/>
      <c r="AD398" s="218"/>
      <c r="AE398" s="61"/>
      <c r="AF398" s="61"/>
      <c r="AG398" s="61"/>
      <c r="AH398" s="61"/>
      <c r="AI398" s="61"/>
      <c r="AJ398" s="61"/>
    </row>
    <row r="399" spans="1:36" ht="15" hidden="1" customHeight="1">
      <c r="A399" s="60">
        <v>398</v>
      </c>
      <c r="B399" s="60" t="s">
        <v>26</v>
      </c>
      <c r="C399" s="60" t="s">
        <v>27</v>
      </c>
      <c r="D399" s="60" t="s">
        <v>207</v>
      </c>
      <c r="E399" s="60" t="s">
        <v>3366</v>
      </c>
      <c r="F399" s="60" t="s">
        <v>327</v>
      </c>
      <c r="G399" s="105">
        <v>4</v>
      </c>
      <c r="H399" s="212" t="s">
        <v>3367</v>
      </c>
      <c r="I399" s="105" t="s">
        <v>275</v>
      </c>
      <c r="J399" s="60"/>
      <c r="K399" s="106">
        <v>46185.989351851851</v>
      </c>
      <c r="L399" s="106">
        <v>46185.989351851851</v>
      </c>
      <c r="M399" s="106">
        <v>46188.265138888892</v>
      </c>
      <c r="N399" s="106"/>
      <c r="O399" s="106"/>
      <c r="P399" s="106"/>
      <c r="Q399" s="60"/>
      <c r="R399" s="60"/>
      <c r="S399" s="60"/>
      <c r="T399" s="60"/>
      <c r="U399" s="60"/>
      <c r="V399" s="60"/>
      <c r="W399" s="60"/>
      <c r="X399" s="60"/>
      <c r="Y399" s="60"/>
      <c r="Z399" s="61"/>
      <c r="AA399" s="61"/>
      <c r="AB399" s="61"/>
      <c r="AC399" s="61"/>
      <c r="AD399" s="218"/>
      <c r="AE399" s="61"/>
      <c r="AF399" s="61"/>
      <c r="AG399" s="61"/>
      <c r="AH399" s="61"/>
      <c r="AI399" s="61"/>
      <c r="AJ399" s="61"/>
    </row>
    <row r="400" spans="1:36" s="60" customFormat="1" ht="15" hidden="1" customHeight="1">
      <c r="A400" s="60">
        <v>399</v>
      </c>
      <c r="B400" s="60" t="s">
        <v>26</v>
      </c>
      <c r="C400" s="60" t="s">
        <v>27</v>
      </c>
      <c r="D400" s="60" t="s">
        <v>207</v>
      </c>
      <c r="E400" s="60" t="s">
        <v>3368</v>
      </c>
      <c r="F400" s="60" t="s">
        <v>318</v>
      </c>
      <c r="G400" s="105">
        <v>3</v>
      </c>
      <c r="H400" s="212" t="s">
        <v>2775</v>
      </c>
      <c r="I400" s="105" t="s">
        <v>271</v>
      </c>
      <c r="J400" s="60" t="s">
        <v>2827</v>
      </c>
      <c r="K400" s="106">
        <v>46186.598391203705</v>
      </c>
      <c r="L400" s="106">
        <v>46186.598495370374</v>
      </c>
      <c r="M400" s="106">
        <v>46188.275023148148</v>
      </c>
      <c r="N400" s="248">
        <v>46194.509722222225</v>
      </c>
      <c r="O400" s="106"/>
      <c r="P400" s="106"/>
      <c r="Z400" s="61"/>
      <c r="AA400" s="61"/>
      <c r="AB400" s="61"/>
      <c r="AC400" s="61"/>
      <c r="AD400" s="218"/>
      <c r="AE400" s="61"/>
      <c r="AF400" s="61"/>
      <c r="AG400" s="61"/>
      <c r="AH400" s="61"/>
      <c r="AI400" s="61"/>
      <c r="AJ400" s="61"/>
    </row>
    <row r="401" spans="1:36" ht="15" hidden="1" customHeight="1">
      <c r="A401" s="60">
        <v>400</v>
      </c>
      <c r="B401" s="60" t="s">
        <v>26</v>
      </c>
      <c r="C401" s="60" t="s">
        <v>27</v>
      </c>
      <c r="D401" s="60" t="s">
        <v>207</v>
      </c>
      <c r="E401" s="60" t="s">
        <v>3369</v>
      </c>
      <c r="F401" s="60" t="s">
        <v>318</v>
      </c>
      <c r="G401" s="105">
        <v>4</v>
      </c>
      <c r="H401" s="212" t="s">
        <v>3370</v>
      </c>
      <c r="I401" s="105" t="s">
        <v>271</v>
      </c>
      <c r="J401" s="60" t="s">
        <v>2738</v>
      </c>
      <c r="K401" s="106">
        <v>46186.605671296296</v>
      </c>
      <c r="L401" s="106">
        <v>46186.605671296296</v>
      </c>
      <c r="M401" s="106">
        <v>46188.27847222222</v>
      </c>
      <c r="N401" s="106">
        <v>46189.49927083333</v>
      </c>
      <c r="O401" s="106"/>
      <c r="P401" s="106"/>
      <c r="Q401" s="60"/>
      <c r="R401" s="60"/>
      <c r="S401" s="60"/>
      <c r="T401" s="60"/>
      <c r="U401" s="60"/>
      <c r="V401" s="60"/>
      <c r="W401" s="60"/>
      <c r="X401" s="60"/>
      <c r="Y401" s="60"/>
      <c r="Z401" s="61"/>
      <c r="AA401" s="61"/>
      <c r="AB401" s="61"/>
      <c r="AC401" s="61"/>
      <c r="AD401" s="218"/>
      <c r="AE401" s="61"/>
      <c r="AF401" s="61"/>
      <c r="AG401" s="61"/>
      <c r="AH401" s="61"/>
      <c r="AI401" s="61"/>
      <c r="AJ401" s="61"/>
    </row>
    <row r="402" spans="1:36" ht="15" hidden="1" customHeight="1">
      <c r="A402" s="60">
        <v>401</v>
      </c>
      <c r="B402" s="60" t="s">
        <v>26</v>
      </c>
      <c r="C402" s="60" t="s">
        <v>27</v>
      </c>
      <c r="D402" s="60" t="s">
        <v>207</v>
      </c>
      <c r="E402" s="60" t="s">
        <v>3371</v>
      </c>
      <c r="F402" s="60" t="s">
        <v>318</v>
      </c>
      <c r="G402" s="105">
        <v>4</v>
      </c>
      <c r="H402" s="212" t="s">
        <v>3372</v>
      </c>
      <c r="I402" s="105" t="s">
        <v>271</v>
      </c>
      <c r="J402" s="60" t="s">
        <v>2772</v>
      </c>
      <c r="K402" s="106">
        <v>46186.597662037035</v>
      </c>
      <c r="L402" s="106">
        <v>46188.280995370369</v>
      </c>
      <c r="M402" s="106">
        <v>46188.280995370369</v>
      </c>
      <c r="N402" s="106">
        <v>46195.457719907405</v>
      </c>
      <c r="O402" s="106"/>
      <c r="P402" s="106"/>
      <c r="Q402" s="60" t="s">
        <v>3373</v>
      </c>
      <c r="R402" s="60" t="s">
        <v>272</v>
      </c>
      <c r="S402" s="60" t="s">
        <v>149</v>
      </c>
      <c r="T402" s="60" t="s">
        <v>2773</v>
      </c>
      <c r="U402" s="60"/>
      <c r="V402" s="60"/>
      <c r="W402" s="60"/>
      <c r="X402" s="60"/>
      <c r="Y402" s="60"/>
      <c r="Z402" s="61"/>
      <c r="AA402" s="61"/>
      <c r="AB402" s="61"/>
      <c r="AC402" s="61"/>
      <c r="AD402" s="218"/>
      <c r="AE402" s="61"/>
      <c r="AF402" s="61"/>
      <c r="AG402" s="61"/>
      <c r="AH402" s="61"/>
      <c r="AI402" s="61"/>
      <c r="AJ402" s="61"/>
    </row>
    <row r="403" spans="1:36" ht="15" hidden="1" customHeight="1">
      <c r="A403" s="60">
        <v>402</v>
      </c>
      <c r="B403" s="60" t="s">
        <v>26</v>
      </c>
      <c r="C403" s="60" t="s">
        <v>27</v>
      </c>
      <c r="D403" s="60" t="s">
        <v>207</v>
      </c>
      <c r="E403" s="60" t="s">
        <v>3374</v>
      </c>
      <c r="F403" s="60" t="s">
        <v>318</v>
      </c>
      <c r="G403" s="105">
        <v>4</v>
      </c>
      <c r="H403" s="212" t="s">
        <v>3375</v>
      </c>
      <c r="I403" s="105" t="s">
        <v>271</v>
      </c>
      <c r="J403" s="60" t="s">
        <v>2708</v>
      </c>
      <c r="K403" s="106">
        <v>46186.310439814813</v>
      </c>
      <c r="L403" s="106">
        <v>46186.310532407406</v>
      </c>
      <c r="M403" s="106">
        <v>46188.283993055556</v>
      </c>
      <c r="N403" s="106">
        <v>46195.579108796293</v>
      </c>
      <c r="O403" s="106">
        <v>46188.362025462964</v>
      </c>
      <c r="P403" s="106">
        <v>46195.579108796293</v>
      </c>
      <c r="Q403" s="60" t="s">
        <v>3376</v>
      </c>
      <c r="R403" s="60" t="s">
        <v>272</v>
      </c>
      <c r="S403" s="60" t="s">
        <v>190</v>
      </c>
      <c r="T403" s="60"/>
      <c r="U403" s="60"/>
      <c r="V403" s="60"/>
      <c r="W403" s="60"/>
      <c r="X403" s="60"/>
      <c r="Y403" s="60"/>
      <c r="Z403" s="61"/>
      <c r="AA403" s="61"/>
      <c r="AB403" s="61"/>
      <c r="AC403" s="61"/>
      <c r="AD403" s="218"/>
      <c r="AE403" s="61"/>
      <c r="AF403" s="61"/>
      <c r="AG403" s="61"/>
      <c r="AH403" s="61"/>
      <c r="AI403" s="61"/>
      <c r="AJ403" s="61"/>
    </row>
    <row r="404" spans="1:36" ht="15" hidden="1" customHeight="1">
      <c r="A404" s="60">
        <v>403</v>
      </c>
      <c r="B404" s="60" t="s">
        <v>26</v>
      </c>
      <c r="C404" s="60" t="s">
        <v>27</v>
      </c>
      <c r="D404" s="60" t="s">
        <v>207</v>
      </c>
      <c r="E404" s="60" t="s">
        <v>3377</v>
      </c>
      <c r="F404" s="60" t="s">
        <v>318</v>
      </c>
      <c r="G404" s="105">
        <v>4</v>
      </c>
      <c r="H404" s="212" t="s">
        <v>3378</v>
      </c>
      <c r="I404" s="105" t="s">
        <v>271</v>
      </c>
      <c r="J404" s="60" t="s">
        <v>2714</v>
      </c>
      <c r="K404" s="229">
        <v>46186.309791666667</v>
      </c>
      <c r="L404" s="229">
        <v>46186.309791666667</v>
      </c>
      <c r="M404" s="106">
        <v>46188.288726851853</v>
      </c>
      <c r="N404" s="229">
        <v>46189.333807870367</v>
      </c>
      <c r="O404" s="106"/>
      <c r="P404" s="106"/>
      <c r="Q404" s="60"/>
      <c r="R404" s="60"/>
      <c r="S404" s="60"/>
      <c r="T404" s="60"/>
      <c r="U404" s="60"/>
      <c r="V404" s="60"/>
      <c r="W404" s="60"/>
      <c r="X404" s="60"/>
      <c r="Y404" s="60"/>
      <c r="Z404" s="61"/>
      <c r="AA404" s="61"/>
      <c r="AB404" s="61"/>
      <c r="AC404" s="61"/>
      <c r="AD404" s="218"/>
      <c r="AE404" s="61"/>
      <c r="AF404" s="61"/>
      <c r="AG404" s="61"/>
      <c r="AH404" s="61"/>
      <c r="AI404" s="61"/>
      <c r="AJ404" s="61"/>
    </row>
    <row r="405" spans="1:36" s="60" customFormat="1" ht="15" hidden="1" customHeight="1">
      <c r="A405" s="60">
        <v>404</v>
      </c>
      <c r="B405" s="60" t="s">
        <v>26</v>
      </c>
      <c r="C405" s="60" t="s">
        <v>27</v>
      </c>
      <c r="D405" s="60" t="s">
        <v>207</v>
      </c>
      <c r="E405" s="60" t="s">
        <v>3379</v>
      </c>
      <c r="F405" s="60" t="s">
        <v>318</v>
      </c>
      <c r="G405" s="105">
        <v>4</v>
      </c>
      <c r="H405" s="212" t="s">
        <v>3380</v>
      </c>
      <c r="I405" s="105" t="s">
        <v>271</v>
      </c>
      <c r="J405" s="60" t="s">
        <v>2703</v>
      </c>
      <c r="K405" s="106">
        <v>46186.265138888892</v>
      </c>
      <c r="L405" s="106">
        <v>46186.265150462961</v>
      </c>
      <c r="M405" s="106">
        <v>46188.292071759257</v>
      </c>
      <c r="N405" s="106">
        <v>46195.412395833337</v>
      </c>
      <c r="O405" s="106">
        <v>46188.529641203706</v>
      </c>
      <c r="P405" s="106">
        <v>46195.412395833337</v>
      </c>
      <c r="Z405" s="61"/>
      <c r="AA405" s="61"/>
      <c r="AB405" s="61"/>
      <c r="AC405" s="61"/>
      <c r="AD405" s="218"/>
      <c r="AE405" s="61"/>
      <c r="AF405" s="61"/>
      <c r="AG405" s="61"/>
      <c r="AH405" s="61"/>
      <c r="AI405" s="61"/>
      <c r="AJ405" s="61"/>
    </row>
    <row r="406" spans="1:36" ht="15" hidden="1" customHeight="1">
      <c r="A406" s="60">
        <v>405</v>
      </c>
      <c r="B406" s="60" t="s">
        <v>26</v>
      </c>
      <c r="C406" s="60" t="s">
        <v>27</v>
      </c>
      <c r="D406" s="60" t="s">
        <v>207</v>
      </c>
      <c r="E406" s="60" t="s">
        <v>3381</v>
      </c>
      <c r="F406" s="60" t="s">
        <v>318</v>
      </c>
      <c r="G406" s="105">
        <v>4</v>
      </c>
      <c r="H406" s="212" t="s">
        <v>3382</v>
      </c>
      <c r="I406" s="105" t="s">
        <v>271</v>
      </c>
      <c r="J406" s="60" t="s">
        <v>2738</v>
      </c>
      <c r="K406" s="106">
        <v>46188.290682870371</v>
      </c>
      <c r="L406" s="106">
        <v>46188.290995370371</v>
      </c>
      <c r="M406" s="106">
        <v>46188.295393518521</v>
      </c>
      <c r="N406" s="106">
        <v>46189.50199074074</v>
      </c>
      <c r="O406" s="106"/>
      <c r="P406" s="106"/>
      <c r="Q406" s="60"/>
      <c r="R406" s="60"/>
      <c r="S406" s="60"/>
      <c r="T406" s="60"/>
      <c r="U406" s="60"/>
      <c r="V406" s="60"/>
      <c r="W406" s="60"/>
      <c r="X406" s="60"/>
      <c r="Y406" s="60"/>
      <c r="Z406" s="61"/>
      <c r="AA406" s="61"/>
      <c r="AB406" s="61"/>
      <c r="AC406" s="61"/>
      <c r="AD406" s="218"/>
      <c r="AE406" s="61"/>
      <c r="AF406" s="61"/>
      <c r="AG406" s="61"/>
      <c r="AH406" s="61"/>
      <c r="AI406" s="61"/>
      <c r="AJ406" s="61"/>
    </row>
    <row r="407" spans="1:36" s="60" customFormat="1" ht="15" hidden="1" customHeight="1">
      <c r="A407" s="60">
        <v>406</v>
      </c>
      <c r="B407" s="60" t="s">
        <v>26</v>
      </c>
      <c r="C407" s="60" t="s">
        <v>27</v>
      </c>
      <c r="D407" s="60" t="s">
        <v>207</v>
      </c>
      <c r="E407" s="60" t="s">
        <v>3383</v>
      </c>
      <c r="F407" s="60" t="s">
        <v>318</v>
      </c>
      <c r="G407" s="105">
        <v>3</v>
      </c>
      <c r="H407" s="212" t="s">
        <v>2724</v>
      </c>
      <c r="I407" s="105" t="s">
        <v>271</v>
      </c>
      <c r="J407" s="60" t="s">
        <v>2751</v>
      </c>
      <c r="K407" s="106">
        <v>46186.169745370367</v>
      </c>
      <c r="L407" s="106">
        <v>46186.169791666667</v>
      </c>
      <c r="M407" s="106">
        <v>46188.297847222224</v>
      </c>
      <c r="N407" s="106">
        <v>46190.38108796296</v>
      </c>
      <c r="O407" s="106"/>
      <c r="P407" s="106"/>
      <c r="Z407" s="61"/>
      <c r="AA407" s="61"/>
      <c r="AB407" s="61"/>
      <c r="AC407" s="61"/>
      <c r="AD407" s="218"/>
      <c r="AE407" s="61"/>
      <c r="AF407" s="61"/>
      <c r="AG407" s="61"/>
      <c r="AH407" s="61"/>
      <c r="AI407" s="61"/>
      <c r="AJ407" s="61"/>
    </row>
    <row r="408" spans="1:36" s="60" customFormat="1" ht="15" hidden="1" customHeight="1">
      <c r="A408" s="60">
        <v>407</v>
      </c>
      <c r="B408" s="60" t="s">
        <v>26</v>
      </c>
      <c r="C408" s="60" t="s">
        <v>27</v>
      </c>
      <c r="D408" s="60" t="s">
        <v>207</v>
      </c>
      <c r="E408" s="60" t="s">
        <v>3384</v>
      </c>
      <c r="F408" s="60" t="s">
        <v>318</v>
      </c>
      <c r="G408" s="105">
        <v>3</v>
      </c>
      <c r="H408" s="212" t="s">
        <v>3385</v>
      </c>
      <c r="I408" s="105" t="s">
        <v>271</v>
      </c>
      <c r="J408" s="60" t="s">
        <v>3015</v>
      </c>
      <c r="K408" s="106">
        <v>46185.817696759259</v>
      </c>
      <c r="L408" s="106">
        <v>46185.817812499998</v>
      </c>
      <c r="M408" s="106">
        <v>46188.300451388888</v>
      </c>
      <c r="N408" s="62">
        <v>46190.390474537038</v>
      </c>
      <c r="O408" s="106"/>
      <c r="P408" s="106"/>
      <c r="Z408" s="61"/>
      <c r="AA408" s="61"/>
      <c r="AB408" s="61"/>
      <c r="AC408" s="61"/>
      <c r="AD408" s="218"/>
      <c r="AE408" s="61"/>
      <c r="AF408" s="61"/>
      <c r="AG408" s="61"/>
      <c r="AH408" s="61"/>
      <c r="AI408" s="61"/>
      <c r="AJ408" s="61"/>
    </row>
    <row r="409" spans="1:36" s="60" customFormat="1" ht="15" hidden="1" customHeight="1">
      <c r="A409" s="60">
        <v>408</v>
      </c>
      <c r="B409" s="60" t="s">
        <v>26</v>
      </c>
      <c r="C409" s="60" t="s">
        <v>27</v>
      </c>
      <c r="D409" s="60" t="s">
        <v>207</v>
      </c>
      <c r="E409" s="60" t="s">
        <v>3317</v>
      </c>
      <c r="F409" s="60" t="s">
        <v>318</v>
      </c>
      <c r="G409" s="105">
        <v>3</v>
      </c>
      <c r="H409" s="212" t="s">
        <v>3318</v>
      </c>
      <c r="I409" s="105" t="s">
        <v>271</v>
      </c>
      <c r="J409" s="106" t="s">
        <v>2751</v>
      </c>
      <c r="K409" s="106">
        <v>46181.925798611112</v>
      </c>
      <c r="L409" s="106">
        <v>46181.925856481481</v>
      </c>
      <c r="M409" s="106">
        <v>46188.304456018515</v>
      </c>
      <c r="N409" s="106">
        <v>46197.466574074075</v>
      </c>
      <c r="O409" s="106"/>
      <c r="P409" s="106"/>
      <c r="Z409" s="61"/>
      <c r="AA409" s="61"/>
      <c r="AB409" s="61"/>
      <c r="AC409" s="61"/>
      <c r="AD409" s="218"/>
      <c r="AE409" s="61"/>
      <c r="AF409" s="61"/>
      <c r="AG409" s="61"/>
      <c r="AH409" s="61"/>
      <c r="AI409" s="61"/>
      <c r="AJ409" s="61"/>
    </row>
    <row r="410" spans="1:36" s="60" customFormat="1" ht="15" hidden="1" customHeight="1">
      <c r="A410" s="60">
        <v>409</v>
      </c>
      <c r="B410" s="60" t="s">
        <v>26</v>
      </c>
      <c r="C410" s="60" t="s">
        <v>27</v>
      </c>
      <c r="D410" s="60" t="s">
        <v>207</v>
      </c>
      <c r="E410" s="60" t="s">
        <v>3386</v>
      </c>
      <c r="F410" s="60" t="s">
        <v>318</v>
      </c>
      <c r="G410" s="105">
        <v>3</v>
      </c>
      <c r="H410" s="212" t="s">
        <v>3387</v>
      </c>
      <c r="I410" s="105" t="s">
        <v>271</v>
      </c>
      <c r="J410" s="60" t="s">
        <v>2827</v>
      </c>
      <c r="K410" s="106">
        <v>46181.515011574076</v>
      </c>
      <c r="L410" s="106">
        <v>46181.515069444446</v>
      </c>
      <c r="M410" s="106">
        <v>46188.307337962964</v>
      </c>
      <c r="N410" s="248">
        <v>46200.468055555553</v>
      </c>
      <c r="O410" s="106"/>
      <c r="P410" s="106"/>
      <c r="Z410" s="61"/>
      <c r="AA410" s="61"/>
      <c r="AB410" s="61"/>
      <c r="AC410" s="61"/>
      <c r="AD410" s="218"/>
      <c r="AE410" s="61"/>
      <c r="AF410" s="61"/>
      <c r="AG410" s="61"/>
      <c r="AH410" s="61"/>
      <c r="AI410" s="61"/>
      <c r="AJ410" s="61"/>
    </row>
    <row r="411" spans="1:36" s="60" customFormat="1" ht="15" hidden="1" customHeight="1">
      <c r="A411" s="60">
        <v>410</v>
      </c>
      <c r="B411" s="60" t="s">
        <v>26</v>
      </c>
      <c r="C411" s="60" t="s">
        <v>27</v>
      </c>
      <c r="D411" s="60" t="s">
        <v>207</v>
      </c>
      <c r="E411" s="60" t="s">
        <v>3281</v>
      </c>
      <c r="F411" s="60" t="s">
        <v>318</v>
      </c>
      <c r="G411" s="105">
        <v>3</v>
      </c>
      <c r="H411" s="212" t="s">
        <v>3282</v>
      </c>
      <c r="I411" s="105" t="s">
        <v>271</v>
      </c>
      <c r="J411" s="60" t="s">
        <v>3015</v>
      </c>
      <c r="K411" s="106">
        <v>46182.505312499998</v>
      </c>
      <c r="L411" s="106">
        <v>46182.505428240744</v>
      </c>
      <c r="M411" s="106">
        <v>46188.309895833336</v>
      </c>
      <c r="N411" s="106">
        <v>46190.400995370372</v>
      </c>
      <c r="O411" s="106"/>
      <c r="P411" s="106"/>
      <c r="Z411" s="61"/>
      <c r="AA411" s="61"/>
      <c r="AB411" s="61"/>
      <c r="AC411" s="61"/>
      <c r="AD411" s="218"/>
      <c r="AE411" s="61"/>
      <c r="AF411" s="61"/>
      <c r="AG411" s="61"/>
      <c r="AH411" s="61"/>
      <c r="AI411" s="61"/>
      <c r="AJ411" s="61"/>
    </row>
    <row r="412" spans="1:36" ht="15" hidden="1" customHeight="1">
      <c r="A412" s="60">
        <v>411</v>
      </c>
      <c r="B412" s="60" t="s">
        <v>26</v>
      </c>
      <c r="C412" s="60" t="s">
        <v>27</v>
      </c>
      <c r="D412" s="60" t="s">
        <v>207</v>
      </c>
      <c r="E412" s="60" t="s">
        <v>3388</v>
      </c>
      <c r="F412" s="60" t="s">
        <v>318</v>
      </c>
      <c r="G412" s="105">
        <v>4</v>
      </c>
      <c r="H412" s="212" t="s">
        <v>3389</v>
      </c>
      <c r="I412" s="105" t="s">
        <v>271</v>
      </c>
      <c r="J412" s="60" t="s">
        <v>2772</v>
      </c>
      <c r="K412" s="106">
        <v>46185.649895833332</v>
      </c>
      <c r="L412" s="106">
        <v>46185.649942129632</v>
      </c>
      <c r="M412" s="106">
        <v>46188.315625000003</v>
      </c>
      <c r="N412" s="106">
        <v>46195.456921296296</v>
      </c>
      <c r="O412" s="106"/>
      <c r="P412" s="106"/>
      <c r="Q412" s="60" t="s">
        <v>3356</v>
      </c>
      <c r="R412" s="60" t="s">
        <v>272</v>
      </c>
      <c r="S412" s="60" t="s">
        <v>149</v>
      </c>
      <c r="T412" s="60" t="s">
        <v>2773</v>
      </c>
      <c r="U412" s="60"/>
      <c r="V412" s="60"/>
      <c r="W412" s="60"/>
      <c r="X412" s="60"/>
      <c r="Y412" s="60"/>
      <c r="Z412" s="61"/>
      <c r="AA412" s="61"/>
      <c r="AB412" s="61"/>
      <c r="AC412" s="61"/>
      <c r="AD412" s="218"/>
      <c r="AE412" s="61"/>
      <c r="AF412" s="61"/>
      <c r="AG412" s="61"/>
      <c r="AH412" s="61"/>
      <c r="AI412" s="61"/>
      <c r="AJ412" s="61"/>
    </row>
    <row r="413" spans="1:36" s="60" customFormat="1" ht="15" hidden="1" customHeight="1">
      <c r="A413" s="60">
        <v>412</v>
      </c>
      <c r="B413" s="60" t="s">
        <v>26</v>
      </c>
      <c r="C413" s="60" t="s">
        <v>27</v>
      </c>
      <c r="D413" s="60" t="s">
        <v>207</v>
      </c>
      <c r="E413" s="60" t="s">
        <v>3390</v>
      </c>
      <c r="F413" s="60" t="s">
        <v>318</v>
      </c>
      <c r="G413" s="105">
        <v>3</v>
      </c>
      <c r="H413" s="212" t="s">
        <v>3391</v>
      </c>
      <c r="I413" s="105" t="s">
        <v>271</v>
      </c>
      <c r="J413" s="60" t="s">
        <v>2827</v>
      </c>
      <c r="K413" s="106">
        <v>46188.319907407407</v>
      </c>
      <c r="L413" s="106">
        <v>46188.319953703707</v>
      </c>
      <c r="M413" s="106">
        <v>46188.345127314817</v>
      </c>
      <c r="N413" s="248">
        <v>46203.75</v>
      </c>
      <c r="O413" s="106"/>
      <c r="P413" s="106"/>
      <c r="Z413" s="61"/>
      <c r="AA413" s="61"/>
      <c r="AB413" s="61"/>
      <c r="AC413" s="61"/>
      <c r="AD413" s="218"/>
      <c r="AE413" s="61"/>
      <c r="AF413" s="61"/>
      <c r="AG413" s="61"/>
      <c r="AH413" s="61"/>
      <c r="AI413" s="61"/>
      <c r="AJ413" s="61"/>
    </row>
    <row r="414" spans="1:36" ht="15" hidden="1" customHeight="1">
      <c r="A414" s="60">
        <v>413</v>
      </c>
      <c r="B414" s="60" t="s">
        <v>26</v>
      </c>
      <c r="C414" s="60" t="s">
        <v>27</v>
      </c>
      <c r="D414" s="60" t="s">
        <v>208</v>
      </c>
      <c r="E414" s="60" t="s">
        <v>3392</v>
      </c>
      <c r="F414" s="60" t="s">
        <v>318</v>
      </c>
      <c r="G414" s="105" t="s">
        <v>208</v>
      </c>
      <c r="H414" s="212" t="s">
        <v>3393</v>
      </c>
      <c r="I414" s="105" t="s">
        <v>275</v>
      </c>
      <c r="J414" s="60" t="s">
        <v>2827</v>
      </c>
      <c r="K414" s="106">
        <v>46188.269525462965</v>
      </c>
      <c r="L414" s="106">
        <v>46188.269525462965</v>
      </c>
      <c r="M414" s="106">
        <v>46188.360254629632</v>
      </c>
      <c r="N414" s="106"/>
      <c r="O414" s="106"/>
      <c r="P414" s="106"/>
      <c r="Q414" s="60"/>
      <c r="R414" s="60"/>
      <c r="S414" s="60"/>
      <c r="T414" s="60"/>
      <c r="U414" s="60"/>
      <c r="V414" s="60"/>
      <c r="W414" s="60"/>
      <c r="X414" s="60"/>
      <c r="Y414" s="60"/>
      <c r="Z414" s="61"/>
      <c r="AA414" s="61"/>
      <c r="AB414" s="61"/>
      <c r="AC414" s="61"/>
      <c r="AD414" s="218"/>
      <c r="AE414" s="61"/>
      <c r="AF414" s="61"/>
      <c r="AG414" s="61"/>
      <c r="AH414" s="61"/>
      <c r="AI414" s="61"/>
      <c r="AJ414" s="61"/>
    </row>
    <row r="415" spans="1:36" ht="15" hidden="1" customHeight="1">
      <c r="A415" s="60">
        <v>414</v>
      </c>
      <c r="B415" s="60" t="s">
        <v>26</v>
      </c>
      <c r="C415" s="60" t="s">
        <v>27</v>
      </c>
      <c r="D415" s="60" t="s">
        <v>208</v>
      </c>
      <c r="E415" s="60" t="s">
        <v>3394</v>
      </c>
      <c r="F415" s="60" t="s">
        <v>318</v>
      </c>
      <c r="G415" s="105" t="s">
        <v>208</v>
      </c>
      <c r="H415" s="212" t="s">
        <v>3395</v>
      </c>
      <c r="I415" s="105" t="s">
        <v>275</v>
      </c>
      <c r="J415" s="60" t="s">
        <v>2751</v>
      </c>
      <c r="K415" s="106">
        <v>46188.268009259256</v>
      </c>
      <c r="L415" s="106">
        <v>46188.268009259256</v>
      </c>
      <c r="M415" s="106">
        <v>46188.36273148148</v>
      </c>
      <c r="N415" s="106"/>
      <c r="O415" s="106"/>
      <c r="P415" s="106"/>
      <c r="Q415" s="60"/>
      <c r="R415" s="60"/>
      <c r="S415" s="60"/>
      <c r="T415" s="60"/>
      <c r="U415" s="60"/>
      <c r="V415" s="60"/>
      <c r="W415" s="60"/>
      <c r="X415" s="60"/>
      <c r="Y415" s="60"/>
      <c r="Z415" s="61"/>
      <c r="AA415" s="61"/>
      <c r="AB415" s="61"/>
      <c r="AC415" s="61"/>
      <c r="AD415" s="218"/>
      <c r="AE415" s="61"/>
      <c r="AF415" s="61"/>
      <c r="AG415" s="61"/>
      <c r="AH415" s="61"/>
      <c r="AI415" s="61"/>
      <c r="AJ415" s="61"/>
    </row>
    <row r="416" spans="1:36" s="60" customFormat="1" ht="15" hidden="1" customHeight="1">
      <c r="A416" s="60">
        <v>415</v>
      </c>
      <c r="B416" s="60" t="s">
        <v>26</v>
      </c>
      <c r="C416" s="60" t="s">
        <v>27</v>
      </c>
      <c r="D416" s="60" t="s">
        <v>208</v>
      </c>
      <c r="E416" s="60" t="s">
        <v>3396</v>
      </c>
      <c r="F416" s="60" t="s">
        <v>320</v>
      </c>
      <c r="G416" s="105" t="s">
        <v>208</v>
      </c>
      <c r="H416" s="212" t="s">
        <v>3397</v>
      </c>
      <c r="I416" s="105" t="s">
        <v>260</v>
      </c>
      <c r="J416" s="60" t="s">
        <v>3015</v>
      </c>
      <c r="K416" s="106">
        <v>46188.273125</v>
      </c>
      <c r="L416" s="106">
        <v>46188.273125</v>
      </c>
      <c r="M416" s="106">
        <v>46188.365416666667</v>
      </c>
      <c r="N416" s="106"/>
      <c r="O416" s="106"/>
      <c r="P416" s="106"/>
      <c r="Z416" s="61"/>
      <c r="AA416" s="61"/>
      <c r="AB416" s="61"/>
      <c r="AC416" s="61"/>
      <c r="AD416" s="218"/>
      <c r="AE416" s="61"/>
      <c r="AF416" s="61"/>
      <c r="AG416" s="61"/>
      <c r="AH416" s="61"/>
      <c r="AI416" s="61"/>
      <c r="AJ416" s="61"/>
    </row>
    <row r="417" spans="1:36" s="60" customFormat="1" ht="15" hidden="1" customHeight="1">
      <c r="A417" s="60">
        <v>416</v>
      </c>
      <c r="B417" s="60" t="s">
        <v>26</v>
      </c>
      <c r="C417" s="60" t="s">
        <v>27</v>
      </c>
      <c r="D417" s="60" t="s">
        <v>208</v>
      </c>
      <c r="E417" s="60" t="s">
        <v>3398</v>
      </c>
      <c r="F417" s="60" t="s">
        <v>320</v>
      </c>
      <c r="G417" s="105" t="s">
        <v>208</v>
      </c>
      <c r="H417" s="212" t="s">
        <v>3399</v>
      </c>
      <c r="I417" s="105" t="s">
        <v>260</v>
      </c>
      <c r="J417" s="60" t="s">
        <v>3111</v>
      </c>
      <c r="K417" s="106">
        <v>46188.272870370369</v>
      </c>
      <c r="L417" s="106">
        <v>46188.272870370369</v>
      </c>
      <c r="M417" s="106">
        <v>46188.367326388892</v>
      </c>
      <c r="N417" s="106"/>
      <c r="O417" s="106"/>
      <c r="P417" s="106"/>
      <c r="Z417" s="61"/>
      <c r="AA417" s="61"/>
      <c r="AB417" s="61"/>
      <c r="AC417" s="61"/>
      <c r="AD417" s="218"/>
      <c r="AE417" s="61"/>
      <c r="AF417" s="61"/>
      <c r="AG417" s="61"/>
      <c r="AH417" s="61"/>
      <c r="AI417" s="61"/>
      <c r="AJ417" s="61"/>
    </row>
    <row r="418" spans="1:36" ht="15" hidden="1" customHeight="1">
      <c r="A418" s="60">
        <v>417</v>
      </c>
      <c r="B418" s="60" t="s">
        <v>26</v>
      </c>
      <c r="C418" s="60" t="s">
        <v>27</v>
      </c>
      <c r="D418" s="60" t="s">
        <v>208</v>
      </c>
      <c r="E418" s="60" t="s">
        <v>3400</v>
      </c>
      <c r="F418" s="60" t="s">
        <v>318</v>
      </c>
      <c r="G418" s="105" t="s">
        <v>208</v>
      </c>
      <c r="H418" s="212" t="s">
        <v>3401</v>
      </c>
      <c r="I418" s="105" t="s">
        <v>275</v>
      </c>
      <c r="J418" s="60" t="s">
        <v>2751</v>
      </c>
      <c r="K418" s="106">
        <v>46188.272800925923</v>
      </c>
      <c r="L418" s="106">
        <v>46188.272800925923</v>
      </c>
      <c r="M418" s="106">
        <v>46188.369490740741</v>
      </c>
      <c r="N418" s="106"/>
      <c r="O418" s="106"/>
      <c r="P418" s="106"/>
      <c r="Q418" s="60"/>
      <c r="R418" s="60"/>
      <c r="S418" s="60"/>
      <c r="T418" s="60"/>
      <c r="U418" s="60"/>
      <c r="V418" s="60"/>
      <c r="W418" s="60"/>
      <c r="X418" s="60"/>
      <c r="Y418" s="60"/>
      <c r="Z418" s="61"/>
      <c r="AA418" s="61"/>
      <c r="AB418" s="61"/>
      <c r="AC418" s="61"/>
      <c r="AD418" s="218"/>
      <c r="AE418" s="61"/>
      <c r="AF418" s="61"/>
      <c r="AG418" s="61"/>
      <c r="AH418" s="61"/>
      <c r="AI418" s="61"/>
      <c r="AJ418" s="61"/>
    </row>
    <row r="419" spans="1:36" ht="15" hidden="1" customHeight="1">
      <c r="A419" s="60">
        <v>418</v>
      </c>
      <c r="B419" s="60" t="s">
        <v>26</v>
      </c>
      <c r="C419" s="60" t="s">
        <v>27</v>
      </c>
      <c r="D419" s="60" t="s">
        <v>208</v>
      </c>
      <c r="E419" s="60" t="s">
        <v>3402</v>
      </c>
      <c r="F419" s="60" t="s">
        <v>320</v>
      </c>
      <c r="G419" s="105" t="s">
        <v>208</v>
      </c>
      <c r="H419" s="212" t="s">
        <v>3403</v>
      </c>
      <c r="I419" s="105" t="s">
        <v>275</v>
      </c>
      <c r="J419" s="60" t="s">
        <v>2772</v>
      </c>
      <c r="K419" s="106">
        <v>46188.271087962959</v>
      </c>
      <c r="L419" s="106">
        <v>46188.271087962959</v>
      </c>
      <c r="M419" s="106" t="s">
        <v>3404</v>
      </c>
      <c r="N419" s="62">
        <v>46191.346319444441</v>
      </c>
      <c r="O419" s="106"/>
      <c r="P419" s="106"/>
      <c r="Q419" s="60"/>
      <c r="R419" s="60"/>
      <c r="S419" s="60"/>
      <c r="T419" s="60"/>
      <c r="U419" s="60"/>
      <c r="V419" s="60"/>
      <c r="W419" s="60"/>
      <c r="X419" s="60"/>
      <c r="Y419" s="60"/>
      <c r="Z419" s="61"/>
      <c r="AA419" s="61"/>
      <c r="AB419" s="61"/>
      <c r="AC419" s="61"/>
      <c r="AD419" s="218"/>
      <c r="AE419" s="61"/>
      <c r="AF419" s="61"/>
      <c r="AG419" s="61"/>
      <c r="AH419" s="61"/>
      <c r="AI419" s="61"/>
      <c r="AJ419" s="61"/>
    </row>
    <row r="420" spans="1:36" s="60" customFormat="1" ht="15" hidden="1" customHeight="1">
      <c r="A420" s="60">
        <v>419</v>
      </c>
      <c r="B420" s="60" t="s">
        <v>26</v>
      </c>
      <c r="C420" s="60" t="s">
        <v>27</v>
      </c>
      <c r="D420" s="60" t="s">
        <v>208</v>
      </c>
      <c r="E420" s="60" t="s">
        <v>3405</v>
      </c>
      <c r="F420" s="60" t="s">
        <v>320</v>
      </c>
      <c r="G420" s="105" t="s">
        <v>208</v>
      </c>
      <c r="H420" s="212" t="s">
        <v>3406</v>
      </c>
      <c r="I420" s="105" t="s">
        <v>260</v>
      </c>
      <c r="J420" s="60" t="s">
        <v>3015</v>
      </c>
      <c r="K420" s="106">
        <v>46188.269895833335</v>
      </c>
      <c r="L420" s="106">
        <v>46188.269895833335</v>
      </c>
      <c r="M420" s="106">
        <v>46188.373472222222</v>
      </c>
      <c r="N420" s="106"/>
      <c r="O420" s="106"/>
      <c r="P420" s="106"/>
      <c r="Z420" s="61"/>
      <c r="AA420" s="61"/>
      <c r="AB420" s="61"/>
      <c r="AC420" s="61"/>
      <c r="AD420" s="218"/>
      <c r="AE420" s="61"/>
      <c r="AF420" s="61"/>
      <c r="AG420" s="61"/>
      <c r="AH420" s="61"/>
      <c r="AI420" s="61"/>
      <c r="AJ420" s="61"/>
    </row>
    <row r="421" spans="1:36" ht="15" hidden="1" customHeight="1">
      <c r="A421" s="60">
        <v>420</v>
      </c>
      <c r="B421" s="60" t="s">
        <v>26</v>
      </c>
      <c r="C421" s="60" t="s">
        <v>27</v>
      </c>
      <c r="D421" s="60" t="s">
        <v>208</v>
      </c>
      <c r="E421" s="60" t="s">
        <v>3407</v>
      </c>
      <c r="F421" s="60" t="s">
        <v>320</v>
      </c>
      <c r="G421" s="105" t="s">
        <v>208</v>
      </c>
      <c r="H421" s="212" t="s">
        <v>3408</v>
      </c>
      <c r="I421" s="105" t="s">
        <v>275</v>
      </c>
      <c r="J421" s="60" t="s">
        <v>2738</v>
      </c>
      <c r="K421" s="106">
        <v>46188.265729166669</v>
      </c>
      <c r="L421" s="106">
        <v>46188.265729166669</v>
      </c>
      <c r="M421" s="106">
        <v>46188.375486111108</v>
      </c>
      <c r="N421" s="106"/>
      <c r="O421" s="106"/>
      <c r="P421" s="106"/>
      <c r="Q421" s="60"/>
      <c r="R421" s="60"/>
      <c r="S421" s="60"/>
      <c r="T421" s="60"/>
      <c r="U421" s="60"/>
      <c r="V421" s="60"/>
      <c r="W421" s="60"/>
      <c r="X421" s="60"/>
      <c r="Y421" s="60"/>
      <c r="Z421" s="61"/>
      <c r="AA421" s="61"/>
      <c r="AB421" s="61"/>
      <c r="AC421" s="61"/>
      <c r="AD421" s="218"/>
      <c r="AE421" s="61"/>
      <c r="AF421" s="61"/>
      <c r="AG421" s="61"/>
      <c r="AH421" s="61"/>
      <c r="AI421" s="61"/>
      <c r="AJ421" s="61"/>
    </row>
    <row r="422" spans="1:36" ht="15" hidden="1" customHeight="1">
      <c r="A422" s="60">
        <v>421</v>
      </c>
      <c r="B422" s="60" t="s">
        <v>26</v>
      </c>
      <c r="C422" s="60" t="s">
        <v>27</v>
      </c>
      <c r="D422" s="60" t="s">
        <v>208</v>
      </c>
      <c r="E422" s="60" t="s">
        <v>3409</v>
      </c>
      <c r="F422" s="60" t="s">
        <v>320</v>
      </c>
      <c r="G422" s="105" t="s">
        <v>208</v>
      </c>
      <c r="H422" s="212" t="s">
        <v>3410</v>
      </c>
      <c r="I422" s="105" t="s">
        <v>275</v>
      </c>
      <c r="J422" s="60" t="s">
        <v>2772</v>
      </c>
      <c r="K422" s="106">
        <v>46188.265763888892</v>
      </c>
      <c r="L422" s="106">
        <v>46188.265763888892</v>
      </c>
      <c r="M422" s="106">
        <v>46188.37877314815</v>
      </c>
      <c r="N422" s="62">
        <v>46191.345972222225</v>
      </c>
      <c r="O422" s="106"/>
      <c r="P422" s="106"/>
      <c r="Q422" s="60"/>
      <c r="R422" s="60"/>
      <c r="S422" s="60"/>
      <c r="T422" s="60"/>
      <c r="U422" s="60"/>
      <c r="V422" s="60"/>
      <c r="W422" s="60"/>
      <c r="X422" s="60"/>
      <c r="Y422" s="60"/>
      <c r="Z422" s="61"/>
      <c r="AA422" s="61"/>
      <c r="AB422" s="61"/>
      <c r="AC422" s="61"/>
      <c r="AD422" s="218"/>
      <c r="AE422" s="61"/>
      <c r="AF422" s="61"/>
      <c r="AG422" s="61"/>
      <c r="AH422" s="61"/>
      <c r="AI422" s="61"/>
      <c r="AJ422" s="61"/>
    </row>
    <row r="423" spans="1:36" ht="15" hidden="1" customHeight="1">
      <c r="A423" s="60">
        <v>422</v>
      </c>
      <c r="B423" s="60" t="s">
        <v>26</v>
      </c>
      <c r="C423" s="60" t="s">
        <v>27</v>
      </c>
      <c r="D423" s="60" t="s">
        <v>208</v>
      </c>
      <c r="E423" s="60" t="s">
        <v>3411</v>
      </c>
      <c r="F423" s="60" t="s">
        <v>320</v>
      </c>
      <c r="G423" s="105" t="s">
        <v>208</v>
      </c>
      <c r="H423" s="212" t="s">
        <v>3412</v>
      </c>
      <c r="I423" s="105" t="s">
        <v>275</v>
      </c>
      <c r="J423" s="60" t="s">
        <v>2738</v>
      </c>
      <c r="K423" s="106">
        <v>46188.262870370374</v>
      </c>
      <c r="L423" s="106">
        <v>46188.262870370374</v>
      </c>
      <c r="M423" s="106" t="s">
        <v>3413</v>
      </c>
      <c r="N423" s="106"/>
      <c r="O423" s="106"/>
      <c r="P423" s="106"/>
      <c r="Q423" s="60"/>
      <c r="R423" s="60"/>
      <c r="S423" s="60"/>
      <c r="T423" s="60"/>
      <c r="U423" s="60"/>
      <c r="V423" s="60"/>
      <c r="W423" s="60"/>
      <c r="X423" s="60"/>
      <c r="Y423" s="60"/>
      <c r="Z423" s="61"/>
      <c r="AA423" s="61"/>
      <c r="AB423" s="61"/>
      <c r="AC423" s="61"/>
      <c r="AD423" s="218"/>
      <c r="AE423" s="61"/>
      <c r="AF423" s="61"/>
      <c r="AG423" s="61"/>
      <c r="AH423" s="61"/>
      <c r="AI423" s="61"/>
      <c r="AJ423" s="61"/>
    </row>
    <row r="424" spans="1:36" s="60" customFormat="1" ht="15" hidden="1" customHeight="1">
      <c r="A424" s="60">
        <v>423</v>
      </c>
      <c r="B424" s="60" t="s">
        <v>26</v>
      </c>
      <c r="C424" s="60" t="s">
        <v>27</v>
      </c>
      <c r="D424" s="60" t="s">
        <v>208</v>
      </c>
      <c r="E424" s="60" t="s">
        <v>3414</v>
      </c>
      <c r="F424" s="60" t="s">
        <v>320</v>
      </c>
      <c r="G424" s="105" t="s">
        <v>208</v>
      </c>
      <c r="H424" s="216" t="s">
        <v>3415</v>
      </c>
      <c r="I424" s="105" t="s">
        <v>260</v>
      </c>
      <c r="J424" s="60" t="s">
        <v>3111</v>
      </c>
      <c r="K424" s="106">
        <v>46188.263831018521</v>
      </c>
      <c r="L424" s="106">
        <v>46188.263831018521</v>
      </c>
      <c r="M424" s="106">
        <v>46188.38490740741</v>
      </c>
      <c r="N424" s="106"/>
      <c r="O424" s="106"/>
      <c r="P424" s="106"/>
      <c r="Z424" s="61"/>
      <c r="AA424" s="61"/>
      <c r="AB424" s="61"/>
      <c r="AC424" s="61"/>
      <c r="AD424" s="218"/>
      <c r="AE424" s="61"/>
      <c r="AF424" s="61"/>
      <c r="AG424" s="61"/>
      <c r="AH424" s="61"/>
      <c r="AI424" s="61"/>
      <c r="AJ424" s="61"/>
    </row>
    <row r="425" spans="1:36" s="60" customFormat="1" ht="15" hidden="1" customHeight="1">
      <c r="A425" s="60">
        <v>424</v>
      </c>
      <c r="B425" s="60" t="s">
        <v>26</v>
      </c>
      <c r="C425" s="60" t="s">
        <v>27</v>
      </c>
      <c r="D425" s="60" t="s">
        <v>208</v>
      </c>
      <c r="E425" s="60" t="s">
        <v>3416</v>
      </c>
      <c r="F425" s="60" t="s">
        <v>320</v>
      </c>
      <c r="G425" s="105" t="s">
        <v>208</v>
      </c>
      <c r="H425" s="212" t="s">
        <v>3417</v>
      </c>
      <c r="I425" s="105" t="s">
        <v>275</v>
      </c>
      <c r="J425" s="60" t="s">
        <v>2827</v>
      </c>
      <c r="K425" s="106">
        <v>46188.267546296294</v>
      </c>
      <c r="L425" s="106">
        <v>46188.267546296294</v>
      </c>
      <c r="M425" s="106">
        <v>46188.387037037035</v>
      </c>
      <c r="N425" s="106">
        <v>46190.383333333331</v>
      </c>
      <c r="O425" s="106"/>
      <c r="P425" s="106"/>
      <c r="Z425" s="61"/>
      <c r="AA425" s="61"/>
      <c r="AB425" s="61"/>
      <c r="AC425" s="61"/>
      <c r="AD425" s="218"/>
      <c r="AE425" s="61"/>
      <c r="AF425" s="61"/>
      <c r="AG425" s="61"/>
      <c r="AH425" s="61"/>
      <c r="AI425" s="61"/>
      <c r="AJ425" s="61"/>
    </row>
    <row r="426" spans="1:36" ht="15" hidden="1" customHeight="1">
      <c r="A426" s="60">
        <v>425</v>
      </c>
      <c r="B426" s="60" t="s">
        <v>26</v>
      </c>
      <c r="C426" s="60" t="s">
        <v>27</v>
      </c>
      <c r="D426" s="60" t="s">
        <v>208</v>
      </c>
      <c r="E426" s="60" t="s">
        <v>3418</v>
      </c>
      <c r="F426" s="60" t="s">
        <v>318</v>
      </c>
      <c r="G426" s="105" t="s">
        <v>208</v>
      </c>
      <c r="H426" s="212" t="s">
        <v>3419</v>
      </c>
      <c r="I426" s="105" t="s">
        <v>275</v>
      </c>
      <c r="J426" s="60" t="s">
        <v>3015</v>
      </c>
      <c r="K426" s="106">
        <v>46188.268159722225</v>
      </c>
      <c r="L426" s="106">
        <v>46188.268159722225</v>
      </c>
      <c r="M426" s="106">
        <v>46188.389282407406</v>
      </c>
      <c r="N426" s="106"/>
      <c r="O426" s="106"/>
      <c r="P426" s="106"/>
      <c r="Q426" s="60"/>
      <c r="R426" s="60"/>
      <c r="S426" s="60"/>
      <c r="T426" s="60"/>
      <c r="U426" s="60"/>
      <c r="V426" s="60"/>
      <c r="W426" s="60"/>
      <c r="X426" s="60"/>
      <c r="Y426" s="60"/>
      <c r="Z426" s="61"/>
      <c r="AA426" s="61"/>
      <c r="AB426" s="61"/>
      <c r="AC426" s="61"/>
      <c r="AD426" s="218"/>
      <c r="AE426" s="61"/>
      <c r="AF426" s="61"/>
      <c r="AG426" s="61"/>
      <c r="AH426" s="61"/>
      <c r="AI426" s="61"/>
      <c r="AJ426" s="61"/>
    </row>
    <row r="427" spans="1:36" ht="15" hidden="1" customHeight="1">
      <c r="A427" s="60">
        <v>426</v>
      </c>
      <c r="B427" s="60" t="s">
        <v>26</v>
      </c>
      <c r="C427" s="60" t="s">
        <v>27</v>
      </c>
      <c r="D427" s="60" t="s">
        <v>207</v>
      </c>
      <c r="E427" s="60" t="s">
        <v>3420</v>
      </c>
      <c r="F427" s="60" t="s">
        <v>318</v>
      </c>
      <c r="G427" s="105">
        <v>3</v>
      </c>
      <c r="H427" s="212" t="s">
        <v>2724</v>
      </c>
      <c r="I427" s="105" t="s">
        <v>271</v>
      </c>
      <c r="J427" s="60" t="s">
        <v>2738</v>
      </c>
      <c r="K427" s="106">
        <v>46188.383935185186</v>
      </c>
      <c r="L427" s="106">
        <v>46188.383935185186</v>
      </c>
      <c r="M427" s="106">
        <v>46188.395069444443</v>
      </c>
      <c r="N427" s="106">
        <v>46188.488275462965</v>
      </c>
      <c r="O427" s="106"/>
      <c r="P427" s="106"/>
      <c r="Q427" s="60"/>
      <c r="R427" s="60"/>
      <c r="S427" s="60"/>
      <c r="T427" s="60"/>
      <c r="U427" s="60"/>
      <c r="V427" s="60"/>
      <c r="W427" s="60"/>
      <c r="X427" s="60"/>
      <c r="Y427" s="60"/>
      <c r="Z427" s="61"/>
      <c r="AA427" s="61"/>
      <c r="AB427" s="61"/>
      <c r="AC427" s="61"/>
      <c r="AD427" s="218"/>
      <c r="AE427" s="61"/>
      <c r="AF427" s="61"/>
      <c r="AG427" s="61"/>
      <c r="AH427" s="61"/>
      <c r="AI427" s="61"/>
      <c r="AJ427" s="61"/>
    </row>
    <row r="428" spans="1:36" s="60" customFormat="1" ht="15" hidden="1" customHeight="1">
      <c r="A428" s="60">
        <v>427</v>
      </c>
      <c r="B428" s="60" t="s">
        <v>26</v>
      </c>
      <c r="C428" s="60" t="s">
        <v>27</v>
      </c>
      <c r="D428" s="60" t="s">
        <v>207</v>
      </c>
      <c r="E428" s="60" t="s">
        <v>3421</v>
      </c>
      <c r="F428" s="60" t="s">
        <v>318</v>
      </c>
      <c r="G428" s="105">
        <v>3</v>
      </c>
      <c r="H428" s="212" t="s">
        <v>2724</v>
      </c>
      <c r="I428" s="105" t="s">
        <v>271</v>
      </c>
      <c r="J428" s="60" t="s">
        <v>2827</v>
      </c>
      <c r="K428" s="106">
        <v>46188.373935185184</v>
      </c>
      <c r="L428" s="106">
        <v>46188.374328703707</v>
      </c>
      <c r="M428" s="106">
        <v>46188.397789351853</v>
      </c>
      <c r="N428" s="248">
        <v>46191.482638888891</v>
      </c>
      <c r="O428" s="106"/>
      <c r="P428" s="106"/>
      <c r="Z428" s="61"/>
      <c r="AA428" s="61"/>
      <c r="AB428" s="61"/>
      <c r="AC428" s="61"/>
      <c r="AD428" s="218"/>
      <c r="AE428" s="61"/>
      <c r="AF428" s="61"/>
      <c r="AG428" s="61"/>
      <c r="AH428" s="61"/>
      <c r="AI428" s="61"/>
      <c r="AJ428" s="61"/>
    </row>
    <row r="429" spans="1:36" ht="15" hidden="1" customHeight="1">
      <c r="A429" s="60">
        <v>428</v>
      </c>
      <c r="B429" s="60" t="s">
        <v>26</v>
      </c>
      <c r="C429" s="60" t="s">
        <v>27</v>
      </c>
      <c r="D429" s="60" t="s">
        <v>207</v>
      </c>
      <c r="E429" s="60" t="s">
        <v>3422</v>
      </c>
      <c r="F429" s="60" t="s">
        <v>327</v>
      </c>
      <c r="G429" s="105">
        <v>3</v>
      </c>
      <c r="H429" s="212" t="s">
        <v>3423</v>
      </c>
      <c r="I429" s="105" t="s">
        <v>275</v>
      </c>
      <c r="J429" s="60"/>
      <c r="K429" s="106">
        <v>46188.399583333332</v>
      </c>
      <c r="L429" s="106">
        <v>46188.399583333332</v>
      </c>
      <c r="M429" s="106">
        <v>46188.405891203707</v>
      </c>
      <c r="N429" s="106"/>
      <c r="O429" s="106"/>
      <c r="P429" s="106"/>
      <c r="Q429" s="60"/>
      <c r="R429" s="60"/>
      <c r="S429" s="60"/>
      <c r="T429" s="60"/>
      <c r="U429" s="60"/>
      <c r="V429" s="60"/>
      <c r="W429" s="60"/>
      <c r="X429" s="60"/>
      <c r="Y429" s="60"/>
      <c r="Z429" s="61"/>
      <c r="AA429" s="61"/>
      <c r="AB429" s="61"/>
      <c r="AC429" s="61"/>
      <c r="AD429" s="218"/>
      <c r="AE429" s="61"/>
      <c r="AF429" s="61"/>
      <c r="AG429" s="61"/>
      <c r="AH429" s="61"/>
      <c r="AI429" s="61"/>
      <c r="AJ429" s="61"/>
    </row>
    <row r="430" spans="1:36" ht="15" hidden="1" customHeight="1">
      <c r="A430" s="60">
        <v>429</v>
      </c>
      <c r="B430" s="60" t="s">
        <v>26</v>
      </c>
      <c r="C430" s="60" t="s">
        <v>27</v>
      </c>
      <c r="D430" s="60" t="s">
        <v>207</v>
      </c>
      <c r="E430" s="60" t="s">
        <v>3424</v>
      </c>
      <c r="F430" s="60" t="s">
        <v>318</v>
      </c>
      <c r="G430" s="105">
        <v>3</v>
      </c>
      <c r="H430" s="212" t="s">
        <v>3425</v>
      </c>
      <c r="I430" s="105" t="s">
        <v>271</v>
      </c>
      <c r="J430" s="60" t="s">
        <v>2772</v>
      </c>
      <c r="K430" s="106">
        <v>46188.389502314814</v>
      </c>
      <c r="L430" s="106">
        <v>46188.38957175926</v>
      </c>
      <c r="M430" s="106">
        <v>46188.420289351852</v>
      </c>
      <c r="N430" s="106">
        <v>46195.455439814818</v>
      </c>
      <c r="O430" s="106"/>
      <c r="P430" s="106"/>
      <c r="Q430" s="60" t="s">
        <v>3215</v>
      </c>
      <c r="R430" s="60" t="s">
        <v>272</v>
      </c>
      <c r="S430" s="60" t="s">
        <v>149</v>
      </c>
      <c r="T430" s="60" t="s">
        <v>2773</v>
      </c>
      <c r="U430" s="60"/>
      <c r="V430" s="60"/>
      <c r="W430" s="60"/>
      <c r="X430" s="60"/>
      <c r="Y430" s="60"/>
      <c r="Z430" s="61"/>
      <c r="AA430" s="61"/>
      <c r="AB430" s="61"/>
      <c r="AC430" s="61"/>
      <c r="AD430" s="218"/>
      <c r="AE430" s="61"/>
      <c r="AF430" s="61"/>
      <c r="AG430" s="61"/>
      <c r="AH430" s="61"/>
      <c r="AI430" s="61"/>
      <c r="AJ430" s="61"/>
    </row>
    <row r="431" spans="1:36" s="60" customFormat="1" ht="15" hidden="1" customHeight="1">
      <c r="A431" s="60">
        <v>430</v>
      </c>
      <c r="B431" s="60" t="s">
        <v>26</v>
      </c>
      <c r="C431" s="60" t="s">
        <v>27</v>
      </c>
      <c r="D431" s="60" t="s">
        <v>208</v>
      </c>
      <c r="E431" s="60" t="s">
        <v>3426</v>
      </c>
      <c r="F431" s="60" t="s">
        <v>318</v>
      </c>
      <c r="G431" s="105" t="s">
        <v>208</v>
      </c>
      <c r="H431" s="212" t="s">
        <v>1264</v>
      </c>
      <c r="I431" s="105" t="s">
        <v>271</v>
      </c>
      <c r="J431" s="60" t="s">
        <v>2751</v>
      </c>
      <c r="K431" s="106">
        <v>46188.399201388886</v>
      </c>
      <c r="L431" s="106">
        <v>46188.399201388886</v>
      </c>
      <c r="M431" s="106">
        <v>46188.422569444447</v>
      </c>
      <c r="N431" s="106">
        <v>46203.37703703704</v>
      </c>
      <c r="O431" s="106"/>
      <c r="P431" s="106"/>
      <c r="Z431" s="61"/>
      <c r="AA431" s="61"/>
      <c r="AB431" s="61"/>
      <c r="AC431" s="61"/>
      <c r="AD431" s="218"/>
      <c r="AE431" s="61"/>
      <c r="AF431" s="61"/>
      <c r="AG431" s="61"/>
      <c r="AH431" s="61"/>
      <c r="AI431" s="61"/>
      <c r="AJ431" s="61"/>
    </row>
    <row r="432" spans="1:36" ht="15" customHeight="1">
      <c r="A432" s="60">
        <v>431</v>
      </c>
      <c r="B432" s="60" t="s">
        <v>26</v>
      </c>
      <c r="C432" s="60" t="s">
        <v>54</v>
      </c>
      <c r="D432" s="60" t="s">
        <v>207</v>
      </c>
      <c r="E432" s="60" t="s">
        <v>3427</v>
      </c>
      <c r="F432" s="60" t="s">
        <v>53</v>
      </c>
      <c r="G432" s="105">
        <v>4</v>
      </c>
      <c r="H432" s="212" t="s">
        <v>3428</v>
      </c>
      <c r="I432" s="105" t="s">
        <v>266</v>
      </c>
      <c r="J432" s="291" t="s">
        <v>3132</v>
      </c>
      <c r="K432" s="106">
        <v>46186.133125</v>
      </c>
      <c r="L432" s="106">
        <v>46186.134004629632</v>
      </c>
      <c r="M432" s="106">
        <v>46186.134004629632</v>
      </c>
      <c r="N432" s="106"/>
      <c r="O432" s="106">
        <v>46188.369201388887</v>
      </c>
      <c r="P432" s="106"/>
      <c r="Q432" s="60" t="s">
        <v>2816</v>
      </c>
      <c r="R432" s="60"/>
      <c r="S432" s="60"/>
      <c r="T432" s="60"/>
      <c r="U432" s="60"/>
      <c r="V432" s="60"/>
      <c r="W432" s="60"/>
      <c r="X432" s="60"/>
      <c r="Y432" s="60"/>
      <c r="Z432" s="61"/>
      <c r="AA432" s="61"/>
      <c r="AB432" s="61"/>
      <c r="AC432" s="61"/>
      <c r="AD432" s="218"/>
      <c r="AE432" s="61"/>
      <c r="AF432" s="61"/>
      <c r="AG432" s="61"/>
      <c r="AH432" s="61"/>
      <c r="AI432" s="61"/>
      <c r="AJ432" s="61"/>
    </row>
    <row r="433" spans="1:36" ht="15" customHeight="1">
      <c r="A433" s="60">
        <v>432</v>
      </c>
      <c r="B433" s="60" t="s">
        <v>26</v>
      </c>
      <c r="C433" s="60" t="s">
        <v>54</v>
      </c>
      <c r="D433" s="60" t="s">
        <v>207</v>
      </c>
      <c r="E433" s="60" t="s">
        <v>3429</v>
      </c>
      <c r="F433" s="60" t="s">
        <v>53</v>
      </c>
      <c r="G433" s="105">
        <v>4</v>
      </c>
      <c r="H433" s="212" t="s">
        <v>3430</v>
      </c>
      <c r="I433" s="105" t="s">
        <v>271</v>
      </c>
      <c r="J433" s="291" t="s">
        <v>2697</v>
      </c>
      <c r="K433" s="106">
        <v>46187.886608796296</v>
      </c>
      <c r="L433" s="106">
        <v>46188.570567129631</v>
      </c>
      <c r="M433" s="106">
        <v>46188.578541666669</v>
      </c>
      <c r="N433" s="166">
        <v>46198.267384259256</v>
      </c>
      <c r="O433" s="106"/>
      <c r="P433" s="106"/>
      <c r="Q433" s="60" t="s">
        <v>2816</v>
      </c>
      <c r="R433" s="60"/>
      <c r="S433" s="60"/>
      <c r="T433" s="60"/>
      <c r="U433" s="60"/>
      <c r="V433" s="60"/>
      <c r="W433" s="60"/>
      <c r="X433" s="60"/>
      <c r="Y433" s="60"/>
      <c r="Z433" s="61"/>
      <c r="AA433" s="61"/>
      <c r="AB433" s="61"/>
      <c r="AC433" s="61"/>
      <c r="AD433" s="218"/>
      <c r="AE433" s="61"/>
      <c r="AF433" s="61"/>
      <c r="AG433" s="61"/>
      <c r="AH433" s="61"/>
      <c r="AI433" s="61"/>
      <c r="AJ433" s="61"/>
    </row>
    <row r="434" spans="1:36" ht="15" customHeight="1">
      <c r="A434" s="60">
        <v>433</v>
      </c>
      <c r="B434" s="60" t="s">
        <v>26</v>
      </c>
      <c r="C434" s="60" t="s">
        <v>54</v>
      </c>
      <c r="D434" s="60" t="s">
        <v>207</v>
      </c>
      <c r="E434" s="60" t="s">
        <v>3431</v>
      </c>
      <c r="F434" s="60" t="s">
        <v>53</v>
      </c>
      <c r="G434" s="105">
        <v>4</v>
      </c>
      <c r="H434" s="212" t="s">
        <v>3432</v>
      </c>
      <c r="I434" s="105" t="s">
        <v>271</v>
      </c>
      <c r="J434" s="291" t="s">
        <v>2694</v>
      </c>
      <c r="K434" s="106">
        <v>46187.403402777774</v>
      </c>
      <c r="L434" s="106">
        <v>46187.403402777774</v>
      </c>
      <c r="M434" s="106">
        <v>46188.310254629629</v>
      </c>
      <c r="N434" s="106">
        <v>46188.565347222226</v>
      </c>
      <c r="O434" s="106"/>
      <c r="P434" s="106"/>
      <c r="Q434" s="60" t="s">
        <v>2816</v>
      </c>
      <c r="R434" s="60"/>
      <c r="S434" s="60"/>
      <c r="T434" s="60"/>
      <c r="U434" s="60"/>
      <c r="V434" s="60"/>
      <c r="W434" s="60"/>
      <c r="X434" s="60"/>
      <c r="Y434" s="60"/>
      <c r="Z434" s="61"/>
      <c r="AA434" s="61"/>
      <c r="AB434" s="61"/>
      <c r="AC434" s="61"/>
      <c r="AD434" s="218"/>
      <c r="AE434" s="61"/>
      <c r="AF434" s="61"/>
      <c r="AG434" s="61"/>
      <c r="AH434" s="61"/>
      <c r="AI434" s="61"/>
      <c r="AJ434" s="61"/>
    </row>
    <row r="435" spans="1:36" ht="15" customHeight="1">
      <c r="A435" s="60">
        <v>434</v>
      </c>
      <c r="B435" s="60" t="s">
        <v>26</v>
      </c>
      <c r="C435" s="60" t="s">
        <v>54</v>
      </c>
      <c r="D435" s="60" t="s">
        <v>207</v>
      </c>
      <c r="E435" s="60" t="s">
        <v>3433</v>
      </c>
      <c r="F435" s="60" t="s">
        <v>53</v>
      </c>
      <c r="G435" s="105">
        <v>3</v>
      </c>
      <c r="H435" s="212" t="s">
        <v>3434</v>
      </c>
      <c r="I435" s="105" t="s">
        <v>266</v>
      </c>
      <c r="J435" s="291" t="s">
        <v>2708</v>
      </c>
      <c r="K435" s="106">
        <v>46188.286689814813</v>
      </c>
      <c r="L435" s="106">
        <v>46188.286944444444</v>
      </c>
      <c r="M435" s="106">
        <v>46188.31082175926</v>
      </c>
      <c r="N435" s="106"/>
      <c r="O435" s="106">
        <v>46188.35260416667</v>
      </c>
      <c r="P435" s="106"/>
      <c r="Q435" s="60" t="s">
        <v>2816</v>
      </c>
      <c r="R435" s="60" t="s">
        <v>272</v>
      </c>
      <c r="S435" s="60" t="s">
        <v>190</v>
      </c>
      <c r="T435" s="60"/>
      <c r="U435" s="60"/>
      <c r="V435" s="60"/>
      <c r="W435" s="60"/>
      <c r="X435" s="60"/>
      <c r="Y435" s="60"/>
      <c r="Z435" s="61"/>
      <c r="AA435" s="61"/>
      <c r="AB435" s="61"/>
      <c r="AC435" s="61"/>
      <c r="AD435" s="218"/>
      <c r="AE435" s="61"/>
      <c r="AF435" s="61"/>
      <c r="AG435" s="61"/>
      <c r="AH435" s="61"/>
      <c r="AI435" s="61"/>
      <c r="AJ435" s="61"/>
    </row>
    <row r="436" spans="1:36" ht="15" customHeight="1">
      <c r="A436" s="60">
        <v>435</v>
      </c>
      <c r="B436" s="60" t="s">
        <v>26</v>
      </c>
      <c r="C436" s="60" t="s">
        <v>54</v>
      </c>
      <c r="D436" s="60" t="s">
        <v>207</v>
      </c>
      <c r="E436" s="60" t="s">
        <v>3435</v>
      </c>
      <c r="F436" s="60" t="s">
        <v>336</v>
      </c>
      <c r="G436" s="105">
        <v>3</v>
      </c>
      <c r="H436" s="212" t="s">
        <v>3436</v>
      </c>
      <c r="I436" s="105" t="s">
        <v>266</v>
      </c>
      <c r="J436" s="291" t="s">
        <v>2700</v>
      </c>
      <c r="K436" s="106">
        <v>46185.916817129626</v>
      </c>
      <c r="L436" s="106">
        <v>46185.917071759257</v>
      </c>
      <c r="M436" s="106">
        <v>46188.311296296299</v>
      </c>
      <c r="N436" s="106"/>
      <c r="O436" s="106">
        <v>46188.564641203702</v>
      </c>
      <c r="P436" s="106"/>
      <c r="Q436" s="60" t="s">
        <v>3297</v>
      </c>
      <c r="R436" s="60"/>
      <c r="S436" s="60"/>
      <c r="T436" s="60"/>
      <c r="U436" s="60"/>
      <c r="V436" s="60"/>
      <c r="W436" s="60"/>
      <c r="X436" s="60"/>
      <c r="Y436" s="60"/>
      <c r="Z436" s="61"/>
      <c r="AA436" s="61"/>
      <c r="AB436" s="61"/>
      <c r="AC436" s="61"/>
      <c r="AD436" s="218"/>
      <c r="AE436" s="61"/>
      <c r="AF436" s="61"/>
      <c r="AG436" s="61"/>
      <c r="AH436" s="61"/>
      <c r="AI436" s="61"/>
      <c r="AJ436" s="61"/>
    </row>
    <row r="437" spans="1:36" ht="15" customHeight="1">
      <c r="A437" s="60">
        <v>436</v>
      </c>
      <c r="B437" s="60" t="s">
        <v>26</v>
      </c>
      <c r="C437" s="60" t="s">
        <v>54</v>
      </c>
      <c r="D437" s="60" t="s">
        <v>207</v>
      </c>
      <c r="E437" s="60" t="s">
        <v>3437</v>
      </c>
      <c r="F437" s="60" t="s">
        <v>53</v>
      </c>
      <c r="G437" s="105">
        <v>4</v>
      </c>
      <c r="H437" s="212" t="s">
        <v>3438</v>
      </c>
      <c r="I437" s="105" t="s">
        <v>266</v>
      </c>
      <c r="J437" s="291" t="s">
        <v>3132</v>
      </c>
      <c r="K437" s="106">
        <v>46184.358611111114</v>
      </c>
      <c r="L437" s="106">
        <v>46188.373217592591</v>
      </c>
      <c r="M437" s="106">
        <v>46188.413888888892</v>
      </c>
      <c r="N437" s="106"/>
      <c r="O437" s="106">
        <v>46188.413888888892</v>
      </c>
      <c r="P437" s="106"/>
      <c r="Q437" s="60" t="s">
        <v>2816</v>
      </c>
      <c r="R437" s="60"/>
      <c r="S437" s="60"/>
      <c r="T437" s="60"/>
      <c r="U437" s="60"/>
      <c r="V437" s="60"/>
      <c r="W437" s="60"/>
      <c r="X437" s="60"/>
      <c r="Y437" s="60"/>
      <c r="Z437" s="61"/>
      <c r="AA437" s="61"/>
      <c r="AB437" s="61"/>
      <c r="AC437" s="61"/>
      <c r="AD437" s="218"/>
      <c r="AE437" s="61"/>
      <c r="AF437" s="61"/>
      <c r="AG437" s="61"/>
      <c r="AH437" s="61"/>
      <c r="AI437" s="61"/>
      <c r="AJ437" s="61"/>
    </row>
    <row r="438" spans="1:36" ht="15" customHeight="1">
      <c r="A438" s="60">
        <v>437</v>
      </c>
      <c r="B438" s="60" t="s">
        <v>26</v>
      </c>
      <c r="C438" s="60" t="s">
        <v>54</v>
      </c>
      <c r="D438" s="60" t="s">
        <v>207</v>
      </c>
      <c r="E438" s="60" t="s">
        <v>3439</v>
      </c>
      <c r="F438" s="60" t="s">
        <v>53</v>
      </c>
      <c r="G438" s="105">
        <v>3</v>
      </c>
      <c r="H438" s="212" t="s">
        <v>3440</v>
      </c>
      <c r="I438" s="105" t="s">
        <v>271</v>
      </c>
      <c r="J438" s="291" t="s">
        <v>2697</v>
      </c>
      <c r="K438" s="106">
        <v>46188.367349537039</v>
      </c>
      <c r="L438" s="106">
        <v>46188.367349537039</v>
      </c>
      <c r="M438" s="106">
        <v>46188.414606481485</v>
      </c>
      <c r="N438" s="166">
        <v>46195.359398148146</v>
      </c>
      <c r="O438" s="106"/>
      <c r="P438" s="106"/>
      <c r="Q438" s="60" t="s">
        <v>3441</v>
      </c>
      <c r="R438" s="60"/>
      <c r="S438" s="60"/>
      <c r="T438" s="60"/>
      <c r="U438" s="60"/>
      <c r="V438" s="60"/>
      <c r="W438" s="60"/>
      <c r="X438" s="60"/>
      <c r="Y438" s="60"/>
      <c r="Z438" s="61"/>
      <c r="AA438" s="61"/>
      <c r="AB438" s="61"/>
      <c r="AC438" s="61"/>
      <c r="AD438" s="218"/>
      <c r="AE438" s="61"/>
      <c r="AF438" s="61"/>
      <c r="AG438" s="61"/>
      <c r="AH438" s="61"/>
      <c r="AI438" s="61"/>
      <c r="AJ438" s="61"/>
    </row>
    <row r="439" spans="1:36" ht="15" customHeight="1">
      <c r="A439" s="60">
        <v>438</v>
      </c>
      <c r="B439" s="60" t="s">
        <v>26</v>
      </c>
      <c r="C439" s="60" t="s">
        <v>54</v>
      </c>
      <c r="D439" s="60" t="s">
        <v>207</v>
      </c>
      <c r="E439" s="60" t="s">
        <v>3305</v>
      </c>
      <c r="F439" s="60" t="s">
        <v>53</v>
      </c>
      <c r="G439" s="105">
        <v>4</v>
      </c>
      <c r="H439" s="212" t="s">
        <v>3306</v>
      </c>
      <c r="I439" s="105" t="s">
        <v>271</v>
      </c>
      <c r="J439" s="291" t="s">
        <v>2708</v>
      </c>
      <c r="K439" s="106">
        <v>46182.783865740741</v>
      </c>
      <c r="L439" s="106">
        <v>46188.614039351851</v>
      </c>
      <c r="M439" s="106">
        <v>46188.627581018518</v>
      </c>
      <c r="N439" s="106">
        <v>46203.462881944448</v>
      </c>
      <c r="O439" s="106">
        <v>46190.259120370371</v>
      </c>
      <c r="P439" s="106"/>
      <c r="Q439" s="60" t="s">
        <v>2816</v>
      </c>
      <c r="R439" s="60" t="s">
        <v>272</v>
      </c>
      <c r="S439" s="60" t="s">
        <v>205</v>
      </c>
      <c r="T439" s="60"/>
      <c r="U439" s="60"/>
      <c r="V439" s="60"/>
      <c r="W439" s="60"/>
      <c r="X439" s="60"/>
      <c r="Y439" s="60"/>
      <c r="Z439" s="61"/>
      <c r="AA439" s="61"/>
      <c r="AB439" s="61"/>
      <c r="AC439" s="61"/>
      <c r="AD439" s="218"/>
      <c r="AE439" s="61"/>
      <c r="AF439" s="61"/>
      <c r="AG439" s="61"/>
      <c r="AH439" s="61"/>
      <c r="AI439" s="61"/>
      <c r="AJ439" s="61"/>
    </row>
    <row r="440" spans="1:36" ht="15" customHeight="1">
      <c r="A440" s="60">
        <v>439</v>
      </c>
      <c r="B440" s="60" t="s">
        <v>26</v>
      </c>
      <c r="C440" s="60" t="s">
        <v>54</v>
      </c>
      <c r="D440" s="60" t="s">
        <v>207</v>
      </c>
      <c r="E440" s="60" t="s">
        <v>3429</v>
      </c>
      <c r="F440" s="60" t="s">
        <v>53</v>
      </c>
      <c r="G440" s="105">
        <v>4</v>
      </c>
      <c r="H440" s="212" t="s">
        <v>3430</v>
      </c>
      <c r="I440" s="105" t="s">
        <v>271</v>
      </c>
      <c r="J440" s="291" t="s">
        <v>2697</v>
      </c>
      <c r="K440" s="106">
        <v>46187.886608796296</v>
      </c>
      <c r="L440" s="106">
        <v>46188.570567129631</v>
      </c>
      <c r="M440" s="106">
        <v>46188.578541666669</v>
      </c>
      <c r="N440" s="219" t="s">
        <v>3442</v>
      </c>
      <c r="O440" s="106"/>
      <c r="P440" s="106"/>
      <c r="Q440" s="60" t="s">
        <v>2816</v>
      </c>
      <c r="R440" s="60"/>
      <c r="S440" s="60"/>
      <c r="T440" s="60"/>
      <c r="U440" s="60"/>
      <c r="V440" s="60"/>
      <c r="W440" s="60"/>
      <c r="X440" s="60"/>
      <c r="Y440" s="60"/>
      <c r="Z440" s="61"/>
      <c r="AA440" s="61"/>
      <c r="AB440" s="61"/>
      <c r="AC440" s="61"/>
      <c r="AD440" s="218"/>
      <c r="AE440" s="61"/>
      <c r="AF440" s="61"/>
      <c r="AG440" s="61"/>
      <c r="AH440" s="61"/>
      <c r="AI440" s="61"/>
      <c r="AJ440" s="61"/>
    </row>
    <row r="441" spans="1:36" ht="15" hidden="1" customHeight="1">
      <c r="A441" s="60">
        <v>440</v>
      </c>
      <c r="B441" s="60" t="s">
        <v>26</v>
      </c>
      <c r="C441" s="60" t="s">
        <v>54</v>
      </c>
      <c r="D441" s="60" t="s">
        <v>207</v>
      </c>
      <c r="E441" s="60" t="s">
        <v>3443</v>
      </c>
      <c r="F441" s="60" t="s">
        <v>327</v>
      </c>
      <c r="G441" s="105">
        <v>3</v>
      </c>
      <c r="H441" s="212" t="s">
        <v>3444</v>
      </c>
      <c r="I441" s="105" t="s">
        <v>275</v>
      </c>
      <c r="J441" s="60"/>
      <c r="K441" s="106">
        <v>46188.452326388891</v>
      </c>
      <c r="L441" s="106">
        <v>46188.452326388891</v>
      </c>
      <c r="M441" s="106">
        <v>46189.230509259258</v>
      </c>
      <c r="N441" s="230">
        <v>46198.267384259256</v>
      </c>
      <c r="O441" s="106"/>
      <c r="P441" s="106"/>
      <c r="Q441" s="60"/>
      <c r="R441" s="60"/>
      <c r="S441" s="60"/>
      <c r="T441" s="60"/>
      <c r="U441" s="60"/>
      <c r="V441" s="60"/>
      <c r="W441" s="60"/>
      <c r="X441" s="60"/>
      <c r="Y441" s="60"/>
      <c r="Z441" s="61"/>
      <c r="AA441" s="61"/>
      <c r="AB441" s="61"/>
      <c r="AC441" s="61"/>
      <c r="AD441" s="218"/>
      <c r="AE441" s="61"/>
      <c r="AF441" s="61"/>
      <c r="AG441" s="61"/>
      <c r="AH441" s="61"/>
      <c r="AI441" s="61"/>
      <c r="AJ441" s="61"/>
    </row>
    <row r="442" spans="1:36" s="60" customFormat="1" ht="15" hidden="1" customHeight="1">
      <c r="A442" s="60">
        <v>441</v>
      </c>
      <c r="B442" s="60" t="s">
        <v>26</v>
      </c>
      <c r="C442" s="60" t="s">
        <v>27</v>
      </c>
      <c r="D442" s="60" t="s">
        <v>207</v>
      </c>
      <c r="E442" s="60" t="s">
        <v>3445</v>
      </c>
      <c r="F442" s="60" t="s">
        <v>318</v>
      </c>
      <c r="G442" s="105">
        <v>3</v>
      </c>
      <c r="H442" s="212" t="s">
        <v>3446</v>
      </c>
      <c r="I442" s="105" t="s">
        <v>271</v>
      </c>
      <c r="J442" s="60" t="s">
        <v>2751</v>
      </c>
      <c r="K442" s="106">
        <v>46189.077256944445</v>
      </c>
      <c r="L442" s="106">
        <v>46189.078020833331</v>
      </c>
      <c r="M442" s="106">
        <v>46189.23296296296</v>
      </c>
      <c r="N442" s="106">
        <v>46192.345949074072</v>
      </c>
      <c r="O442" s="106"/>
      <c r="P442" s="106"/>
      <c r="Z442" s="61"/>
      <c r="AA442" s="61"/>
      <c r="AB442" s="61"/>
      <c r="AC442" s="61"/>
      <c r="AD442" s="218"/>
      <c r="AE442" s="61"/>
      <c r="AF442" s="61"/>
      <c r="AG442" s="61"/>
      <c r="AH442" s="61"/>
      <c r="AI442" s="61"/>
      <c r="AJ442" s="61"/>
    </row>
    <row r="443" spans="1:36" ht="15" hidden="1" customHeight="1">
      <c r="A443" s="60">
        <v>442</v>
      </c>
      <c r="B443" s="60" t="s">
        <v>26</v>
      </c>
      <c r="C443" s="60" t="s">
        <v>27</v>
      </c>
      <c r="D443" s="60" t="s">
        <v>207</v>
      </c>
      <c r="E443" s="60" t="s">
        <v>3447</v>
      </c>
      <c r="F443" s="60" t="s">
        <v>318</v>
      </c>
      <c r="G443" s="105">
        <v>3</v>
      </c>
      <c r="H443" s="212" t="s">
        <v>2724</v>
      </c>
      <c r="I443" s="105" t="s">
        <v>271</v>
      </c>
      <c r="J443" s="60" t="s">
        <v>2738</v>
      </c>
      <c r="K443" s="106">
        <v>46188.863692129627</v>
      </c>
      <c r="L443" s="106">
        <v>46188.863692129627</v>
      </c>
      <c r="M443" s="106">
        <v>46189.238356481481</v>
      </c>
      <c r="N443" s="106">
        <v>46189.495659722219</v>
      </c>
      <c r="O443" s="106"/>
      <c r="P443" s="106"/>
      <c r="Q443" s="60"/>
      <c r="R443" s="60"/>
      <c r="S443" s="60"/>
      <c r="T443" s="60"/>
      <c r="U443" s="60"/>
      <c r="V443" s="60"/>
      <c r="W443" s="60"/>
      <c r="X443" s="60"/>
      <c r="Y443" s="60"/>
      <c r="Z443" s="61"/>
      <c r="AA443" s="61"/>
      <c r="AB443" s="61"/>
      <c r="AC443" s="61"/>
      <c r="AD443" s="218"/>
      <c r="AE443" s="61"/>
      <c r="AF443" s="61"/>
      <c r="AG443" s="61"/>
      <c r="AH443" s="61"/>
      <c r="AI443" s="61"/>
      <c r="AJ443" s="61"/>
    </row>
    <row r="444" spans="1:36" ht="15" hidden="1" customHeight="1">
      <c r="A444" s="60">
        <v>443</v>
      </c>
      <c r="B444" s="60" t="s">
        <v>26</v>
      </c>
      <c r="C444" s="60" t="s">
        <v>27</v>
      </c>
      <c r="D444" s="60" t="s">
        <v>207</v>
      </c>
      <c r="E444" s="60" t="s">
        <v>3448</v>
      </c>
      <c r="F444" s="60" t="s">
        <v>318</v>
      </c>
      <c r="G444" s="105">
        <v>3</v>
      </c>
      <c r="H444" s="212" t="s">
        <v>3449</v>
      </c>
      <c r="I444" s="105" t="s">
        <v>271</v>
      </c>
      <c r="J444" s="60" t="s">
        <v>3015</v>
      </c>
      <c r="K444" s="106">
        <v>46189.363796296297</v>
      </c>
      <c r="L444" s="106">
        <v>46189.378275462965</v>
      </c>
      <c r="M444" s="106">
        <v>46189.378344907411</v>
      </c>
      <c r="N444" s="106">
        <v>46189.381712962961</v>
      </c>
      <c r="O444" s="106"/>
      <c r="P444" s="106"/>
      <c r="Q444" s="60"/>
      <c r="R444" s="60"/>
      <c r="S444" s="60"/>
      <c r="T444" s="60"/>
      <c r="U444" s="60"/>
      <c r="V444" s="60"/>
      <c r="W444" s="60"/>
      <c r="X444" s="60"/>
      <c r="Y444" s="60"/>
      <c r="Z444" s="61"/>
      <c r="AA444" s="61"/>
      <c r="AB444" s="61"/>
      <c r="AC444" s="61"/>
      <c r="AD444" s="218"/>
      <c r="AE444" s="61"/>
      <c r="AF444" s="61"/>
      <c r="AG444" s="61"/>
      <c r="AH444" s="61"/>
      <c r="AI444" s="61"/>
      <c r="AJ444" s="61"/>
    </row>
    <row r="445" spans="1:36" ht="15" hidden="1" customHeight="1">
      <c r="A445" s="60">
        <v>444</v>
      </c>
      <c r="B445" s="60" t="s">
        <v>26</v>
      </c>
      <c r="C445" s="60" t="s">
        <v>27</v>
      </c>
      <c r="D445" s="60" t="s">
        <v>207</v>
      </c>
      <c r="E445" s="60" t="s">
        <v>3450</v>
      </c>
      <c r="F445" s="60" t="s">
        <v>318</v>
      </c>
      <c r="G445" s="105">
        <v>3</v>
      </c>
      <c r="H445" s="212" t="s">
        <v>2775</v>
      </c>
      <c r="I445" s="105" t="s">
        <v>271</v>
      </c>
      <c r="J445" s="60" t="s">
        <v>2738</v>
      </c>
      <c r="K445" s="106">
        <v>46189.358171296299</v>
      </c>
      <c r="L445" s="106">
        <v>46189.358171296299</v>
      </c>
      <c r="M445" s="106">
        <v>46189.418495370373</v>
      </c>
      <c r="N445" s="106">
        <v>46190.302847222221</v>
      </c>
      <c r="O445" s="106"/>
      <c r="P445" s="106"/>
      <c r="Q445" s="60"/>
      <c r="R445" s="60"/>
      <c r="S445" s="60"/>
      <c r="T445" s="60"/>
      <c r="U445" s="60"/>
      <c r="V445" s="60"/>
      <c r="W445" s="60"/>
      <c r="X445" s="60"/>
      <c r="Y445" s="60"/>
      <c r="Z445" s="61"/>
      <c r="AA445" s="61"/>
      <c r="AB445" s="61"/>
      <c r="AC445" s="61"/>
      <c r="AD445" s="218"/>
      <c r="AE445" s="61"/>
      <c r="AF445" s="61"/>
      <c r="AG445" s="61"/>
      <c r="AH445" s="61"/>
      <c r="AI445" s="61"/>
      <c r="AJ445" s="61"/>
    </row>
    <row r="446" spans="1:36" ht="15" hidden="1" customHeight="1">
      <c r="A446" s="60">
        <v>445</v>
      </c>
      <c r="B446" s="60" t="s">
        <v>26</v>
      </c>
      <c r="C446" s="60" t="s">
        <v>27</v>
      </c>
      <c r="D446" s="60" t="s">
        <v>208</v>
      </c>
      <c r="E446" s="60" t="s">
        <v>3451</v>
      </c>
      <c r="F446" s="60" t="s">
        <v>322</v>
      </c>
      <c r="G446" s="105" t="s">
        <v>208</v>
      </c>
      <c r="H446" s="212" t="s">
        <v>3191</v>
      </c>
      <c r="I446" s="105" t="s">
        <v>275</v>
      </c>
      <c r="J446" s="60" t="s">
        <v>2717</v>
      </c>
      <c r="K446" s="106">
        <v>46189.376157407409</v>
      </c>
      <c r="L446" s="106">
        <v>46189.376157407409</v>
      </c>
      <c r="M446" s="106">
        <v>46189.454467592594</v>
      </c>
      <c r="N446" s="106">
        <v>46189.460243055553</v>
      </c>
      <c r="O446" s="106"/>
      <c r="P446" s="106"/>
      <c r="Q446" s="60" t="s">
        <v>3452</v>
      </c>
      <c r="R446" s="60"/>
      <c r="S446" s="60"/>
      <c r="T446" s="60"/>
      <c r="U446" s="60" t="s">
        <v>371</v>
      </c>
      <c r="V446" s="60"/>
      <c r="W446" s="60"/>
      <c r="X446" s="60"/>
      <c r="Y446" s="60">
        <v>434</v>
      </c>
      <c r="Z446" s="61"/>
      <c r="AA446" s="61"/>
      <c r="AB446" s="61"/>
      <c r="AC446" s="61"/>
      <c r="AD446" s="218"/>
      <c r="AE446" s="61"/>
      <c r="AF446" s="61"/>
      <c r="AG446" s="61"/>
      <c r="AH446" s="61"/>
      <c r="AI446" s="61"/>
      <c r="AJ446" s="61"/>
    </row>
    <row r="447" spans="1:36" ht="15" hidden="1" customHeight="1">
      <c r="A447" s="60">
        <v>446</v>
      </c>
      <c r="B447" s="60" t="s">
        <v>26</v>
      </c>
      <c r="C447" s="60" t="s">
        <v>27</v>
      </c>
      <c r="D447" s="60" t="s">
        <v>207</v>
      </c>
      <c r="E447" s="60" t="s">
        <v>3453</v>
      </c>
      <c r="F447" s="60" t="s">
        <v>318</v>
      </c>
      <c r="G447" s="105">
        <v>3</v>
      </c>
      <c r="H447" s="212" t="s">
        <v>2775</v>
      </c>
      <c r="I447" s="105" t="s">
        <v>271</v>
      </c>
      <c r="J447" s="60" t="s">
        <v>2772</v>
      </c>
      <c r="K447" s="106">
        <v>46189.446562500001</v>
      </c>
      <c r="L447" s="106">
        <v>46189.446562500001</v>
      </c>
      <c r="M447" s="106">
        <v>46189.475312499999</v>
      </c>
      <c r="N447" s="106">
        <v>46191.290659722225</v>
      </c>
      <c r="O447" s="106"/>
      <c r="P447" s="106"/>
      <c r="Q447" s="60" t="s">
        <v>2776</v>
      </c>
      <c r="R447" s="60" t="s">
        <v>272</v>
      </c>
      <c r="S447" s="60" t="s">
        <v>187</v>
      </c>
      <c r="T447" s="60" t="s">
        <v>2773</v>
      </c>
      <c r="U447" s="60"/>
      <c r="V447" s="60"/>
      <c r="W447" s="60"/>
      <c r="X447" s="60"/>
      <c r="Y447" s="60"/>
      <c r="Z447" s="61"/>
      <c r="AA447" s="61"/>
      <c r="AB447" s="61"/>
      <c r="AC447" s="61"/>
      <c r="AD447" s="218"/>
      <c r="AE447" s="61"/>
      <c r="AF447" s="61"/>
      <c r="AG447" s="61"/>
      <c r="AH447" s="61"/>
      <c r="AI447" s="61"/>
      <c r="AJ447" s="61"/>
    </row>
    <row r="448" spans="1:36" s="60" customFormat="1" ht="15" hidden="1" customHeight="1">
      <c r="A448" s="60">
        <v>447</v>
      </c>
      <c r="B448" s="60" t="s">
        <v>26</v>
      </c>
      <c r="C448" s="60" t="s">
        <v>27</v>
      </c>
      <c r="D448" s="60" t="s">
        <v>208</v>
      </c>
      <c r="E448" s="60" t="s">
        <v>3454</v>
      </c>
      <c r="F448" s="60" t="s">
        <v>320</v>
      </c>
      <c r="G448" s="105" t="s">
        <v>208</v>
      </c>
      <c r="H448" s="212" t="s">
        <v>3455</v>
      </c>
      <c r="I448" s="105" t="s">
        <v>260</v>
      </c>
      <c r="J448" s="60" t="s">
        <v>3015</v>
      </c>
      <c r="K448" s="106">
        <v>46189.376400462963</v>
      </c>
      <c r="L448" s="106">
        <v>46189.376400462963</v>
      </c>
      <c r="M448" s="106">
        <v>46190.243993055556</v>
      </c>
      <c r="N448" s="106"/>
      <c r="O448" s="106"/>
      <c r="P448" s="106"/>
      <c r="Z448" s="61"/>
      <c r="AA448" s="61"/>
      <c r="AB448" s="61"/>
      <c r="AC448" s="61"/>
      <c r="AD448" s="218"/>
      <c r="AE448" s="61"/>
      <c r="AF448" s="61"/>
      <c r="AG448" s="61"/>
      <c r="AH448" s="61"/>
      <c r="AI448" s="61"/>
      <c r="AJ448" s="61"/>
    </row>
    <row r="449" spans="1:36" ht="15" hidden="1" customHeight="1">
      <c r="A449" s="60">
        <v>448</v>
      </c>
      <c r="B449" s="60" t="s">
        <v>26</v>
      </c>
      <c r="C449" s="60" t="s">
        <v>27</v>
      </c>
      <c r="D449" s="60" t="s">
        <v>207</v>
      </c>
      <c r="E449" s="60" t="s">
        <v>3456</v>
      </c>
      <c r="F449" s="60" t="s">
        <v>318</v>
      </c>
      <c r="G449" s="105">
        <v>3</v>
      </c>
      <c r="H449" s="212" t="s">
        <v>2707</v>
      </c>
      <c r="I449" s="105" t="s">
        <v>271</v>
      </c>
      <c r="J449" s="60" t="s">
        <v>2708</v>
      </c>
      <c r="K449" s="106">
        <v>46189.908101851855</v>
      </c>
      <c r="L449" s="106">
        <v>46189.908807870372</v>
      </c>
      <c r="M449" s="106">
        <v>46190.234386574077</v>
      </c>
      <c r="N449" s="106">
        <v>46190.262604166666</v>
      </c>
      <c r="O449" s="106"/>
      <c r="P449" s="106"/>
      <c r="Q449" s="60"/>
      <c r="R449" s="60"/>
      <c r="S449" s="60"/>
      <c r="T449" s="60"/>
      <c r="U449" s="60"/>
      <c r="V449" s="60"/>
      <c r="W449" s="60"/>
      <c r="X449" s="60"/>
      <c r="Y449" s="60"/>
      <c r="Z449" s="61"/>
      <c r="AA449" s="61"/>
      <c r="AB449" s="61"/>
      <c r="AC449" s="61"/>
      <c r="AD449" s="218"/>
      <c r="AE449" s="61"/>
      <c r="AF449" s="61"/>
      <c r="AG449" s="61"/>
      <c r="AH449" s="61"/>
      <c r="AI449" s="61"/>
      <c r="AJ449" s="61"/>
    </row>
    <row r="450" spans="1:36" s="60" customFormat="1" ht="15" hidden="1" customHeight="1">
      <c r="A450" s="60">
        <v>449</v>
      </c>
      <c r="B450" s="60" t="s">
        <v>26</v>
      </c>
      <c r="C450" s="60" t="s">
        <v>27</v>
      </c>
      <c r="D450" s="60" t="s">
        <v>207</v>
      </c>
      <c r="E450" s="60" t="s">
        <v>3457</v>
      </c>
      <c r="F450" s="60" t="s">
        <v>318</v>
      </c>
      <c r="G450" s="105">
        <v>3</v>
      </c>
      <c r="H450" s="212" t="s">
        <v>3458</v>
      </c>
      <c r="I450" s="105" t="s">
        <v>260</v>
      </c>
      <c r="J450" s="106" t="s">
        <v>2700</v>
      </c>
      <c r="K450" s="106">
        <v>46190.052233796298</v>
      </c>
      <c r="L450" s="106">
        <v>46190.20689814815</v>
      </c>
      <c r="M450" s="106">
        <v>46190.240428240744</v>
      </c>
      <c r="N450" s="106"/>
      <c r="O450" s="106"/>
      <c r="P450" s="106"/>
      <c r="Z450" s="61"/>
      <c r="AA450" s="61"/>
      <c r="AB450" s="61"/>
      <c r="AC450" s="61"/>
      <c r="AD450" s="218"/>
      <c r="AE450" s="61"/>
      <c r="AF450" s="61"/>
      <c r="AG450" s="61"/>
      <c r="AH450" s="61"/>
      <c r="AI450" s="61"/>
      <c r="AJ450" s="61"/>
    </row>
    <row r="451" spans="1:36" ht="15" hidden="1" customHeight="1">
      <c r="A451" s="60">
        <v>450</v>
      </c>
      <c r="B451" s="60" t="s">
        <v>26</v>
      </c>
      <c r="C451" s="60" t="s">
        <v>27</v>
      </c>
      <c r="D451" s="60" t="s">
        <v>207</v>
      </c>
      <c r="E451" s="60" t="s">
        <v>3459</v>
      </c>
      <c r="F451" s="60" t="s">
        <v>318</v>
      </c>
      <c r="G451" s="105">
        <v>3</v>
      </c>
      <c r="H451" s="212" t="s">
        <v>2775</v>
      </c>
      <c r="I451" s="105" t="s">
        <v>271</v>
      </c>
      <c r="J451" s="60" t="s">
        <v>2738</v>
      </c>
      <c r="K451" s="106">
        <v>46189.978391203702</v>
      </c>
      <c r="L451" s="106">
        <v>46189.978391203702</v>
      </c>
      <c r="M451" s="106">
        <v>46190.241793981484</v>
      </c>
      <c r="N451" s="106">
        <v>46191.223240740743</v>
      </c>
      <c r="O451" s="106"/>
      <c r="P451" s="106"/>
      <c r="Q451" s="60"/>
      <c r="R451" s="60"/>
      <c r="S451" s="60"/>
      <c r="T451" s="60"/>
      <c r="U451" s="60"/>
      <c r="V451" s="60"/>
      <c r="W451" s="60"/>
      <c r="X451" s="60"/>
      <c r="Y451" s="60"/>
      <c r="Z451" s="61"/>
      <c r="AA451" s="61"/>
      <c r="AB451" s="61"/>
      <c r="AC451" s="61"/>
      <c r="AD451" s="218"/>
      <c r="AE451" s="61"/>
      <c r="AF451" s="61"/>
      <c r="AG451" s="61"/>
      <c r="AH451" s="61"/>
      <c r="AI451" s="61"/>
      <c r="AJ451" s="61"/>
    </row>
    <row r="452" spans="1:36" ht="15" hidden="1" customHeight="1">
      <c r="A452" s="60">
        <v>451</v>
      </c>
      <c r="B452" s="60" t="s">
        <v>26</v>
      </c>
      <c r="C452" s="60" t="s">
        <v>27</v>
      </c>
      <c r="D452" s="60" t="s">
        <v>207</v>
      </c>
      <c r="E452" s="60" t="s">
        <v>3460</v>
      </c>
      <c r="F452" s="60" t="s">
        <v>318</v>
      </c>
      <c r="G452" s="105">
        <v>3</v>
      </c>
      <c r="H452" s="212" t="s">
        <v>2775</v>
      </c>
      <c r="I452" s="105" t="s">
        <v>271</v>
      </c>
      <c r="J452" s="60" t="s">
        <v>2738</v>
      </c>
      <c r="K452" s="106">
        <v>46189.567210648151</v>
      </c>
      <c r="L452" s="106">
        <v>46189.567210648151</v>
      </c>
      <c r="M452" s="106">
        <v>46189.621805555558</v>
      </c>
      <c r="N452" s="106">
        <v>46190.302847222221</v>
      </c>
      <c r="O452" s="106"/>
      <c r="P452" s="106"/>
      <c r="Q452" s="60"/>
      <c r="R452" s="60"/>
      <c r="S452" s="60"/>
      <c r="T452" s="60"/>
      <c r="U452" s="60"/>
      <c r="V452" s="60"/>
      <c r="W452" s="60"/>
      <c r="X452" s="60"/>
      <c r="Y452" s="60"/>
      <c r="Z452" s="61"/>
      <c r="AA452" s="61"/>
      <c r="AB452" s="61"/>
      <c r="AC452" s="61"/>
      <c r="AD452" s="218"/>
      <c r="AE452" s="61"/>
      <c r="AF452" s="61"/>
      <c r="AG452" s="61"/>
      <c r="AH452" s="61"/>
      <c r="AI452" s="61"/>
      <c r="AJ452" s="61"/>
    </row>
    <row r="453" spans="1:36" ht="15" hidden="1" customHeight="1">
      <c r="A453" s="60">
        <v>452</v>
      </c>
      <c r="B453" s="60" t="s">
        <v>26</v>
      </c>
      <c r="C453" s="60" t="s">
        <v>27</v>
      </c>
      <c r="D453" s="60" t="s">
        <v>207</v>
      </c>
      <c r="E453" s="60" t="s">
        <v>3461</v>
      </c>
      <c r="F453" s="60" t="s">
        <v>318</v>
      </c>
      <c r="G453" s="105">
        <v>3</v>
      </c>
      <c r="H453" s="212" t="s">
        <v>3462</v>
      </c>
      <c r="I453" s="105" t="s">
        <v>275</v>
      </c>
      <c r="J453" s="60"/>
      <c r="K453" s="106">
        <v>46189.600810185184</v>
      </c>
      <c r="L453" s="106">
        <v>46189.600810185184</v>
      </c>
      <c r="M453" s="106">
        <v>46189.623483796298</v>
      </c>
      <c r="N453" s="106"/>
      <c r="O453" s="106"/>
      <c r="P453" s="106"/>
      <c r="Q453" s="60"/>
      <c r="R453" s="60"/>
      <c r="S453" s="60"/>
      <c r="T453" s="60"/>
      <c r="U453" s="60"/>
      <c r="V453" s="60"/>
      <c r="W453" s="60"/>
      <c r="X453" s="60"/>
      <c r="Y453" s="60"/>
      <c r="Z453" s="61"/>
      <c r="AA453" s="61"/>
      <c r="AB453" s="61"/>
      <c r="AC453" s="61"/>
      <c r="AD453" s="218"/>
      <c r="AE453" s="61"/>
      <c r="AF453" s="61"/>
      <c r="AG453" s="61"/>
      <c r="AH453" s="61"/>
      <c r="AI453" s="61"/>
      <c r="AJ453" s="61"/>
    </row>
    <row r="454" spans="1:36" s="60" customFormat="1" ht="15" hidden="1" customHeight="1">
      <c r="A454" s="60">
        <v>453</v>
      </c>
      <c r="B454" s="60" t="s">
        <v>26</v>
      </c>
      <c r="C454" s="60" t="s">
        <v>27</v>
      </c>
      <c r="D454" s="60" t="s">
        <v>207</v>
      </c>
      <c r="E454" s="60" t="s">
        <v>3463</v>
      </c>
      <c r="F454" s="60" t="s">
        <v>318</v>
      </c>
      <c r="G454" s="105">
        <v>3</v>
      </c>
      <c r="H454" s="212" t="s">
        <v>2775</v>
      </c>
      <c r="I454" s="105" t="s">
        <v>271</v>
      </c>
      <c r="J454" s="60" t="s">
        <v>2751</v>
      </c>
      <c r="K454" s="106">
        <v>46189.594814814816</v>
      </c>
      <c r="L454" s="106">
        <v>46189.594814814816</v>
      </c>
      <c r="M454" s="106">
        <v>46189.624097222222</v>
      </c>
      <c r="N454" s="106">
        <v>46190.381678240738</v>
      </c>
      <c r="O454" s="106"/>
      <c r="P454" s="106"/>
      <c r="Z454" s="61"/>
      <c r="AA454" s="61"/>
      <c r="AB454" s="61"/>
      <c r="AC454" s="61"/>
      <c r="AD454" s="218"/>
      <c r="AE454" s="61"/>
      <c r="AF454" s="61"/>
      <c r="AG454" s="61"/>
      <c r="AH454" s="61"/>
      <c r="AI454" s="61"/>
      <c r="AJ454" s="61"/>
    </row>
    <row r="455" spans="1:36" s="60" customFormat="1" ht="15" hidden="1" customHeight="1">
      <c r="A455" s="60">
        <v>454</v>
      </c>
      <c r="B455" s="60" t="s">
        <v>26</v>
      </c>
      <c r="C455" s="60" t="s">
        <v>27</v>
      </c>
      <c r="D455" s="60" t="s">
        <v>207</v>
      </c>
      <c r="E455" s="60" t="s">
        <v>3464</v>
      </c>
      <c r="F455" s="60" t="s">
        <v>318</v>
      </c>
      <c r="G455" s="105">
        <v>3</v>
      </c>
      <c r="H455" s="212" t="s">
        <v>2775</v>
      </c>
      <c r="I455" s="105" t="s">
        <v>271</v>
      </c>
      <c r="J455" s="60" t="s">
        <v>2827</v>
      </c>
      <c r="K455" s="106">
        <v>46189.579074074078</v>
      </c>
      <c r="L455" s="106">
        <v>46189.579074074078</v>
      </c>
      <c r="M455" s="106">
        <v>46189.624675925923</v>
      </c>
      <c r="N455" s="248">
        <v>46196.224305555559</v>
      </c>
      <c r="O455" s="106"/>
      <c r="P455" s="106"/>
      <c r="Z455" s="61"/>
      <c r="AA455" s="61"/>
      <c r="AB455" s="61"/>
      <c r="AC455" s="61"/>
      <c r="AD455" s="218"/>
      <c r="AE455" s="61"/>
      <c r="AF455" s="61"/>
      <c r="AG455" s="61"/>
      <c r="AH455" s="61"/>
      <c r="AI455" s="61"/>
      <c r="AJ455" s="61"/>
    </row>
    <row r="456" spans="1:36" ht="15" hidden="1" customHeight="1">
      <c r="A456" s="60">
        <v>455</v>
      </c>
      <c r="B456" s="60" t="s">
        <v>26</v>
      </c>
      <c r="C456" s="60" t="s">
        <v>27</v>
      </c>
      <c r="D456" s="60" t="s">
        <v>207</v>
      </c>
      <c r="E456" s="60" t="s">
        <v>3465</v>
      </c>
      <c r="F456" s="60" t="s">
        <v>318</v>
      </c>
      <c r="G456" s="105">
        <v>3</v>
      </c>
      <c r="H456" s="212" t="s">
        <v>3466</v>
      </c>
      <c r="I456" s="105" t="s">
        <v>266</v>
      </c>
      <c r="J456" s="60" t="s">
        <v>3015</v>
      </c>
      <c r="K456" s="106">
        <v>46189.571666666663</v>
      </c>
      <c r="L456" s="106">
        <v>46189.571666666663</v>
      </c>
      <c r="M456" s="106">
        <v>46189.625150462962</v>
      </c>
      <c r="N456" s="106">
        <v>46201.509571759256</v>
      </c>
      <c r="O456" s="106">
        <v>46190.482916666668</v>
      </c>
      <c r="P456" s="106">
        <v>46201.509571759256</v>
      </c>
      <c r="Q456" s="60"/>
      <c r="R456" s="60"/>
      <c r="S456" s="60"/>
      <c r="T456" s="60"/>
      <c r="U456" s="60"/>
      <c r="V456" s="60"/>
      <c r="W456" s="60"/>
      <c r="X456" s="60"/>
      <c r="Y456" s="60"/>
      <c r="Z456" s="61"/>
      <c r="AA456" s="61"/>
      <c r="AB456" s="61"/>
      <c r="AC456" s="61"/>
      <c r="AD456" s="218"/>
      <c r="AE456" s="61"/>
      <c r="AF456" s="61"/>
      <c r="AG456" s="61"/>
      <c r="AH456" s="61"/>
      <c r="AI456" s="61"/>
      <c r="AJ456" s="61"/>
    </row>
    <row r="457" spans="1:36" s="60" customFormat="1" ht="15" hidden="1" customHeight="1">
      <c r="A457" s="60">
        <v>456</v>
      </c>
      <c r="B457" s="60" t="s">
        <v>26</v>
      </c>
      <c r="C457" s="60" t="s">
        <v>27</v>
      </c>
      <c r="D457" s="60" t="s">
        <v>207</v>
      </c>
      <c r="E457" s="60" t="s">
        <v>3467</v>
      </c>
      <c r="F457" s="60" t="s">
        <v>318</v>
      </c>
      <c r="G457" s="105">
        <v>3</v>
      </c>
      <c r="H457" s="212" t="s">
        <v>3468</v>
      </c>
      <c r="I457" s="105" t="s">
        <v>275</v>
      </c>
      <c r="J457" s="60" t="s">
        <v>3015</v>
      </c>
      <c r="K457" s="106">
        <v>46183.177442129629</v>
      </c>
      <c r="L457" s="106">
        <v>46189.507638888892</v>
      </c>
      <c r="M457" s="106">
        <v>46189.627557870372</v>
      </c>
      <c r="N457" s="106">
        <v>46190.391863425924</v>
      </c>
      <c r="O457" s="106"/>
      <c r="P457" s="106"/>
      <c r="Z457" s="61"/>
      <c r="AA457" s="61"/>
      <c r="AB457" s="61"/>
      <c r="AC457" s="61"/>
      <c r="AD457" s="218"/>
      <c r="AE457" s="61"/>
      <c r="AF457" s="61"/>
      <c r="AG457" s="61"/>
      <c r="AH457" s="61"/>
      <c r="AI457" s="61"/>
      <c r="AJ457" s="61"/>
    </row>
    <row r="458" spans="1:36" ht="15" hidden="1" customHeight="1">
      <c r="A458" s="60">
        <v>457</v>
      </c>
      <c r="B458" s="60" t="s">
        <v>26</v>
      </c>
      <c r="C458" s="60" t="s">
        <v>27</v>
      </c>
      <c r="D458" s="60" t="s">
        <v>207</v>
      </c>
      <c r="E458" s="60" t="s">
        <v>3469</v>
      </c>
      <c r="F458" s="60" t="s">
        <v>318</v>
      </c>
      <c r="G458" s="105">
        <v>4</v>
      </c>
      <c r="H458" s="212" t="s">
        <v>3470</v>
      </c>
      <c r="I458" s="105" t="s">
        <v>271</v>
      </c>
      <c r="J458" s="60" t="s">
        <v>2738</v>
      </c>
      <c r="K458" s="106">
        <v>46189.559675925928</v>
      </c>
      <c r="L458" s="106">
        <v>46189.564247685186</v>
      </c>
      <c r="M458" s="106">
        <v>46189.626793981479</v>
      </c>
      <c r="N458" s="106">
        <v>46192.469143518516</v>
      </c>
      <c r="O458" s="106"/>
      <c r="P458" s="106"/>
      <c r="Q458" s="60"/>
      <c r="R458" s="60"/>
      <c r="S458" s="60"/>
      <c r="T458" s="60"/>
      <c r="U458" s="60"/>
      <c r="V458" s="60"/>
      <c r="W458" s="60"/>
      <c r="X458" s="60"/>
      <c r="Y458" s="60"/>
      <c r="Z458" s="61"/>
      <c r="AA458" s="61"/>
      <c r="AB458" s="61"/>
      <c r="AC458" s="61"/>
      <c r="AD458" s="218"/>
      <c r="AE458" s="61"/>
      <c r="AF458" s="61"/>
      <c r="AG458" s="61"/>
      <c r="AH458" s="61"/>
      <c r="AI458" s="61"/>
      <c r="AJ458" s="61"/>
    </row>
    <row r="459" spans="1:36" ht="15" customHeight="1">
      <c r="A459" s="60">
        <v>458</v>
      </c>
      <c r="B459" s="60" t="s">
        <v>26</v>
      </c>
      <c r="C459" s="60" t="s">
        <v>54</v>
      </c>
      <c r="D459" s="60" t="s">
        <v>207</v>
      </c>
      <c r="E459" s="60" t="s">
        <v>3471</v>
      </c>
      <c r="F459" s="60" t="s">
        <v>53</v>
      </c>
      <c r="G459" s="105">
        <v>3</v>
      </c>
      <c r="H459" s="212" t="s">
        <v>3472</v>
      </c>
      <c r="I459" s="105" t="s">
        <v>275</v>
      </c>
      <c r="J459" s="291" t="s">
        <v>3132</v>
      </c>
      <c r="K459" s="106">
        <v>46184.343263888892</v>
      </c>
      <c r="L459" s="106">
        <v>46188.516516203701</v>
      </c>
      <c r="M459" s="106">
        <v>46188.525659722225</v>
      </c>
      <c r="N459" s="106">
        <v>46189.392476851855</v>
      </c>
      <c r="O459" s="106"/>
      <c r="P459" s="106"/>
      <c r="Q459" s="60"/>
      <c r="R459" s="60"/>
      <c r="S459" s="60"/>
      <c r="T459" s="60"/>
      <c r="U459" s="60"/>
      <c r="V459" s="60"/>
      <c r="W459" s="60"/>
      <c r="X459" s="60"/>
      <c r="Y459" s="60"/>
      <c r="Z459" s="61"/>
      <c r="AA459" s="61"/>
      <c r="AB459" s="61"/>
      <c r="AC459" s="61"/>
      <c r="AD459" s="218"/>
      <c r="AE459" s="61"/>
      <c r="AF459" s="61"/>
      <c r="AG459" s="61"/>
      <c r="AH459" s="61"/>
      <c r="AI459" s="61"/>
      <c r="AJ459" s="61"/>
    </row>
    <row r="460" spans="1:36" ht="15" customHeight="1">
      <c r="A460" s="60">
        <v>459</v>
      </c>
      <c r="B460" s="60" t="s">
        <v>26</v>
      </c>
      <c r="C460" s="60" t="s">
        <v>54</v>
      </c>
      <c r="D460" s="60" t="s">
        <v>207</v>
      </c>
      <c r="E460" s="60" t="s">
        <v>3473</v>
      </c>
      <c r="F460" s="60" t="s">
        <v>336</v>
      </c>
      <c r="G460" s="105">
        <v>3</v>
      </c>
      <c r="H460" s="212" t="s">
        <v>3474</v>
      </c>
      <c r="I460" s="105" t="s">
        <v>266</v>
      </c>
      <c r="J460" s="291" t="s">
        <v>2703</v>
      </c>
      <c r="K460" s="106">
        <v>46184.492442129631</v>
      </c>
      <c r="L460" s="106">
        <v>46188.492592592593</v>
      </c>
      <c r="M460" s="106">
        <v>46188.527488425927</v>
      </c>
      <c r="N460" s="106"/>
      <c r="O460" s="106">
        <v>46188.531215277777</v>
      </c>
      <c r="P460" s="106"/>
      <c r="Q460" s="60"/>
      <c r="R460" s="60"/>
      <c r="S460" s="60"/>
      <c r="T460" s="60"/>
      <c r="U460" s="60"/>
      <c r="V460" s="60"/>
      <c r="W460" s="60"/>
      <c r="X460" s="60"/>
      <c r="Y460" s="60"/>
      <c r="Z460" s="61"/>
      <c r="AA460" s="61"/>
      <c r="AB460" s="61"/>
      <c r="AC460" s="61"/>
      <c r="AD460" s="218"/>
      <c r="AE460" s="61"/>
      <c r="AF460" s="61"/>
      <c r="AG460" s="61"/>
      <c r="AH460" s="61"/>
      <c r="AI460" s="61"/>
      <c r="AJ460" s="61"/>
    </row>
    <row r="461" spans="1:36" ht="15" customHeight="1">
      <c r="A461" s="60">
        <v>460</v>
      </c>
      <c r="B461" s="60" t="s">
        <v>26</v>
      </c>
      <c r="C461" s="60" t="s">
        <v>54</v>
      </c>
      <c r="D461" s="60" t="s">
        <v>207</v>
      </c>
      <c r="E461" s="60" t="s">
        <v>3475</v>
      </c>
      <c r="F461" s="60" t="s">
        <v>53</v>
      </c>
      <c r="G461" s="105">
        <v>3</v>
      </c>
      <c r="H461" s="212" t="s">
        <v>3476</v>
      </c>
      <c r="I461" s="105" t="s">
        <v>275</v>
      </c>
      <c r="J461" s="291" t="s">
        <v>2703</v>
      </c>
      <c r="K461" s="106">
        <v>46188.628472222219</v>
      </c>
      <c r="L461" s="106">
        <v>46188.628483796296</v>
      </c>
      <c r="M461" s="106">
        <v>46189.253275462965</v>
      </c>
      <c r="N461" s="106">
        <v>46189.356168981481</v>
      </c>
      <c r="O461" s="106"/>
      <c r="P461" s="106"/>
      <c r="Q461" s="60"/>
      <c r="R461" s="60"/>
      <c r="S461" s="60"/>
      <c r="T461" s="60"/>
      <c r="U461" s="60"/>
      <c r="V461" s="60"/>
      <c r="W461" s="60"/>
      <c r="X461" s="60"/>
      <c r="Y461" s="60"/>
      <c r="Z461" s="61"/>
      <c r="AA461" s="61"/>
      <c r="AB461" s="61"/>
      <c r="AC461" s="61"/>
      <c r="AD461" s="218"/>
      <c r="AE461" s="61"/>
      <c r="AF461" s="61"/>
      <c r="AG461" s="61"/>
      <c r="AH461" s="61"/>
      <c r="AI461" s="61"/>
      <c r="AJ461" s="61"/>
    </row>
    <row r="462" spans="1:36" ht="15" customHeight="1">
      <c r="A462" s="60">
        <v>461</v>
      </c>
      <c r="B462" s="60" t="s">
        <v>26</v>
      </c>
      <c r="C462" s="60" t="s">
        <v>54</v>
      </c>
      <c r="D462" s="60" t="s">
        <v>207</v>
      </c>
      <c r="E462" s="60" t="s">
        <v>3477</v>
      </c>
      <c r="F462" s="60" t="s">
        <v>53</v>
      </c>
      <c r="G462" s="105">
        <v>3</v>
      </c>
      <c r="H462" s="212" t="s">
        <v>3478</v>
      </c>
      <c r="I462" s="105" t="s">
        <v>271</v>
      </c>
      <c r="J462" s="291" t="s">
        <v>2694</v>
      </c>
      <c r="K462" s="106">
        <v>46188.725960648146</v>
      </c>
      <c r="L462" s="106">
        <v>46188.730995370373</v>
      </c>
      <c r="M462" s="106">
        <v>46189.254386574074</v>
      </c>
      <c r="N462" s="62">
        <v>46196.215219907404</v>
      </c>
      <c r="O462" s="106"/>
      <c r="P462" s="106"/>
      <c r="Q462" s="60"/>
      <c r="R462" s="60"/>
      <c r="S462" s="60"/>
      <c r="T462" s="60"/>
      <c r="U462" s="60"/>
      <c r="V462" s="60"/>
      <c r="W462" s="60"/>
      <c r="X462" s="60"/>
      <c r="Y462" s="60"/>
      <c r="Z462" s="61"/>
      <c r="AA462" s="61"/>
      <c r="AB462" s="61"/>
      <c r="AC462" s="61"/>
      <c r="AD462" s="218"/>
      <c r="AE462" s="61"/>
      <c r="AF462" s="61"/>
      <c r="AG462" s="61"/>
      <c r="AH462" s="61"/>
      <c r="AI462" s="61"/>
      <c r="AJ462" s="61"/>
    </row>
    <row r="463" spans="1:36" s="60" customFormat="1" ht="15" customHeight="1">
      <c r="A463" s="60">
        <v>462</v>
      </c>
      <c r="B463" s="60" t="s">
        <v>26</v>
      </c>
      <c r="C463" s="60" t="s">
        <v>54</v>
      </c>
      <c r="D463" s="60" t="s">
        <v>207</v>
      </c>
      <c r="E463" s="60" t="s">
        <v>3479</v>
      </c>
      <c r="F463" s="60" t="s">
        <v>53</v>
      </c>
      <c r="G463" s="105">
        <v>3</v>
      </c>
      <c r="H463" s="212" t="s">
        <v>3480</v>
      </c>
      <c r="I463" s="105" t="s">
        <v>266</v>
      </c>
      <c r="J463" s="291" t="s">
        <v>2703</v>
      </c>
      <c r="K463" s="106">
        <v>46189.398356481484</v>
      </c>
      <c r="L463" s="106">
        <v>46189.523298611108</v>
      </c>
      <c r="M463" s="106">
        <v>46189.523298611108</v>
      </c>
      <c r="N463" s="106"/>
      <c r="O463" s="106">
        <v>46192.353020833332</v>
      </c>
      <c r="P463" s="106"/>
      <c r="Z463" s="61"/>
      <c r="AA463" s="61"/>
      <c r="AB463" s="61"/>
      <c r="AC463" s="61"/>
      <c r="AD463" s="218"/>
      <c r="AE463" s="61"/>
      <c r="AF463" s="61"/>
      <c r="AG463" s="61"/>
      <c r="AH463" s="61"/>
      <c r="AI463" s="61"/>
      <c r="AJ463" s="61"/>
    </row>
    <row r="464" spans="1:36" ht="15" customHeight="1">
      <c r="A464" s="60">
        <v>463</v>
      </c>
      <c r="B464" s="60" t="s">
        <v>26</v>
      </c>
      <c r="C464" s="60" t="s">
        <v>54</v>
      </c>
      <c r="D464" s="60" t="s">
        <v>207</v>
      </c>
      <c r="E464" s="60" t="s">
        <v>3481</v>
      </c>
      <c r="F464" s="60" t="s">
        <v>53</v>
      </c>
      <c r="G464" s="105">
        <v>3</v>
      </c>
      <c r="H464" s="212" t="s">
        <v>3482</v>
      </c>
      <c r="I464" s="105" t="s">
        <v>275</v>
      </c>
      <c r="J464" s="291" t="s">
        <v>2703</v>
      </c>
      <c r="K464" s="106">
        <v>46189.489282407405</v>
      </c>
      <c r="L464" s="106">
        <v>46189.489282407405</v>
      </c>
      <c r="M464" s="106">
        <v>46189.513472222221</v>
      </c>
      <c r="N464" s="106">
        <v>46189.516006944446</v>
      </c>
      <c r="O464" s="106"/>
      <c r="P464" s="106"/>
      <c r="Q464" s="60"/>
      <c r="R464" s="60"/>
      <c r="S464" s="60"/>
      <c r="T464" s="60"/>
      <c r="U464" s="60"/>
      <c r="V464" s="60"/>
      <c r="W464" s="60"/>
      <c r="X464" s="60"/>
      <c r="Y464" s="60"/>
      <c r="Z464" s="61"/>
      <c r="AA464" s="61"/>
      <c r="AB464" s="61"/>
      <c r="AC464" s="61"/>
      <c r="AD464" s="218"/>
      <c r="AE464" s="61"/>
      <c r="AF464" s="61"/>
      <c r="AG464" s="61"/>
      <c r="AH464" s="61"/>
      <c r="AI464" s="61"/>
      <c r="AJ464" s="61"/>
    </row>
    <row r="465" spans="1:36" ht="15" customHeight="1">
      <c r="A465" s="60">
        <v>464</v>
      </c>
      <c r="B465" s="60" t="s">
        <v>26</v>
      </c>
      <c r="C465" s="60" t="s">
        <v>54</v>
      </c>
      <c r="D465" s="60" t="s">
        <v>207</v>
      </c>
      <c r="E465" s="60" t="s">
        <v>3483</v>
      </c>
      <c r="F465" s="60" t="s">
        <v>53</v>
      </c>
      <c r="G465" s="105">
        <v>3</v>
      </c>
      <c r="H465" s="212" t="s">
        <v>3484</v>
      </c>
      <c r="I465" s="105" t="s">
        <v>271</v>
      </c>
      <c r="J465" s="291" t="s">
        <v>2714</v>
      </c>
      <c r="K465" s="106">
        <v>46188.789537037039</v>
      </c>
      <c r="L465" s="106">
        <v>46189.481747685182</v>
      </c>
      <c r="M465" s="106">
        <v>46189.514745370368</v>
      </c>
      <c r="N465" s="106">
        <v>46191.316562499997</v>
      </c>
      <c r="O465" s="106"/>
      <c r="P465" s="106"/>
      <c r="Q465" s="60"/>
      <c r="R465" s="60"/>
      <c r="S465" s="60"/>
      <c r="T465" s="60"/>
      <c r="U465" s="60"/>
      <c r="V465" s="60"/>
      <c r="W465" s="60"/>
      <c r="X465" s="60"/>
      <c r="Y465" s="60"/>
      <c r="Z465" s="61"/>
      <c r="AA465" s="61"/>
      <c r="AB465" s="61"/>
      <c r="AC465" s="61"/>
      <c r="AD465" s="218"/>
      <c r="AE465" s="61"/>
      <c r="AF465" s="61"/>
      <c r="AG465" s="61"/>
      <c r="AH465" s="61"/>
      <c r="AI465" s="61"/>
      <c r="AJ465" s="61"/>
    </row>
    <row r="466" spans="1:36" ht="15" customHeight="1">
      <c r="A466" s="60">
        <v>465</v>
      </c>
      <c r="B466" s="60" t="s">
        <v>26</v>
      </c>
      <c r="C466" s="60" t="s">
        <v>54</v>
      </c>
      <c r="D466" s="60" t="s">
        <v>207</v>
      </c>
      <c r="E466" s="60" t="s">
        <v>3485</v>
      </c>
      <c r="F466" s="60" t="s">
        <v>53</v>
      </c>
      <c r="G466" s="105">
        <v>3</v>
      </c>
      <c r="H466" s="212" t="s">
        <v>3486</v>
      </c>
      <c r="I466" s="105" t="s">
        <v>260</v>
      </c>
      <c r="J466" s="291" t="s">
        <v>2703</v>
      </c>
      <c r="K466" s="106">
        <v>46163.386296296296</v>
      </c>
      <c r="L466" s="106">
        <v>46163.386296296296</v>
      </c>
      <c r="M466" s="106">
        <v>46163.3903587963</v>
      </c>
      <c r="N466" s="106"/>
      <c r="O466" s="106"/>
      <c r="P466" s="106"/>
      <c r="Q466" s="60"/>
      <c r="R466" s="60"/>
      <c r="S466" s="60"/>
      <c r="T466" s="60"/>
      <c r="U466" s="60"/>
      <c r="V466" s="60"/>
      <c r="W466" s="60"/>
      <c r="X466" s="60"/>
      <c r="Y466" s="60"/>
      <c r="Z466" s="61"/>
      <c r="AA466" s="61"/>
      <c r="AB466" s="61"/>
      <c r="AC466" s="61"/>
      <c r="AD466" s="218"/>
      <c r="AE466" s="61"/>
      <c r="AF466" s="61"/>
      <c r="AG466" s="61"/>
      <c r="AH466" s="61"/>
      <c r="AI466" s="61"/>
      <c r="AJ466" s="61"/>
    </row>
    <row r="467" spans="1:36" ht="15" hidden="1" customHeight="1">
      <c r="A467" s="60">
        <v>466</v>
      </c>
      <c r="B467" s="60" t="s">
        <v>26</v>
      </c>
      <c r="C467" s="60" t="s">
        <v>54</v>
      </c>
      <c r="D467" s="60" t="s">
        <v>207</v>
      </c>
      <c r="E467" s="60" t="s">
        <v>3308</v>
      </c>
      <c r="F467" s="60" t="s">
        <v>325</v>
      </c>
      <c r="G467" s="105">
        <v>3</v>
      </c>
      <c r="H467" s="212" t="s">
        <v>3309</v>
      </c>
      <c r="I467" s="105" t="s">
        <v>275</v>
      </c>
      <c r="J467" s="60" t="s">
        <v>2855</v>
      </c>
      <c r="K467" s="106">
        <v>46178.407777777778</v>
      </c>
      <c r="L467" s="106">
        <v>46182.579837962963</v>
      </c>
      <c r="M467" s="106">
        <v>46183.215405092589</v>
      </c>
      <c r="N467" s="106">
        <v>46183.373622685183</v>
      </c>
      <c r="O467" s="106"/>
      <c r="P467" s="106"/>
      <c r="Q467" s="60"/>
      <c r="R467" s="60"/>
      <c r="S467" s="60"/>
      <c r="T467" s="60"/>
      <c r="U467" s="60"/>
      <c r="V467" s="60"/>
      <c r="W467" s="60"/>
      <c r="X467" s="60"/>
      <c r="Y467" s="60"/>
      <c r="Z467" s="61"/>
      <c r="AA467" s="61"/>
      <c r="AB467" s="61"/>
      <c r="AC467" s="61"/>
      <c r="AD467" s="218"/>
      <c r="AE467" s="61"/>
      <c r="AF467" s="61"/>
      <c r="AG467" s="61"/>
      <c r="AH467" s="61"/>
      <c r="AI467" s="61"/>
      <c r="AJ467" s="61"/>
    </row>
    <row r="468" spans="1:36" ht="15" hidden="1" customHeight="1">
      <c r="A468" s="60">
        <v>467</v>
      </c>
      <c r="B468" s="60" t="s">
        <v>26</v>
      </c>
      <c r="C468" s="60" t="s">
        <v>54</v>
      </c>
      <c r="D468" s="60" t="s">
        <v>208</v>
      </c>
      <c r="E468" s="60" t="s">
        <v>3487</v>
      </c>
      <c r="F468" s="60" t="s">
        <v>325</v>
      </c>
      <c r="G468" s="105" t="s">
        <v>208</v>
      </c>
      <c r="H468" s="212" t="s">
        <v>3038</v>
      </c>
      <c r="I468" s="105" t="s">
        <v>271</v>
      </c>
      <c r="J468" s="106" t="s">
        <v>2872</v>
      </c>
      <c r="K468" s="106">
        <v>46178.462557870371</v>
      </c>
      <c r="L468" s="106">
        <v>46181.357106481482</v>
      </c>
      <c r="M468" s="106">
        <v>46181.399664351855</v>
      </c>
      <c r="N468" s="106">
        <v>46182.246874999997</v>
      </c>
      <c r="O468" s="106"/>
      <c r="P468" s="106"/>
      <c r="Q468" s="60"/>
      <c r="R468" s="60"/>
      <c r="S468" s="60"/>
      <c r="T468" s="60"/>
      <c r="U468" s="60"/>
      <c r="V468" s="60"/>
      <c r="W468" s="60"/>
      <c r="X468" s="60"/>
      <c r="Y468" s="60"/>
      <c r="Z468" s="61"/>
      <c r="AA468" s="61"/>
      <c r="AB468" s="61"/>
      <c r="AC468" s="61"/>
      <c r="AD468" s="218"/>
      <c r="AE468" s="61"/>
      <c r="AF468" s="61"/>
      <c r="AG468" s="61"/>
      <c r="AH468" s="61"/>
      <c r="AI468" s="61"/>
      <c r="AJ468" s="61"/>
    </row>
    <row r="469" spans="1:36" ht="15" hidden="1" customHeight="1">
      <c r="A469" s="60">
        <v>468</v>
      </c>
      <c r="B469" s="60" t="s">
        <v>26</v>
      </c>
      <c r="C469" s="60" t="s">
        <v>54</v>
      </c>
      <c r="D469" s="60" t="s">
        <v>208</v>
      </c>
      <c r="E469" s="60" t="s">
        <v>3488</v>
      </c>
      <c r="F469" s="60" t="s">
        <v>325</v>
      </c>
      <c r="G469" s="105" t="s">
        <v>208</v>
      </c>
      <c r="H469" s="212" t="s">
        <v>2859</v>
      </c>
      <c r="I469" s="105" t="s">
        <v>271</v>
      </c>
      <c r="J469" s="60" t="s">
        <v>2872</v>
      </c>
      <c r="K469" s="106">
        <v>46181.478634259256</v>
      </c>
      <c r="L469" s="106">
        <v>46181.480555555558</v>
      </c>
      <c r="M469" s="106">
        <v>46181.515925925924</v>
      </c>
      <c r="N469" s="106">
        <v>46182.443553240744</v>
      </c>
      <c r="O469" s="106"/>
      <c r="P469" s="106"/>
      <c r="Q469" s="60"/>
      <c r="R469" s="60"/>
      <c r="S469" s="60"/>
      <c r="T469" s="60"/>
      <c r="U469" s="60"/>
      <c r="V469" s="60"/>
      <c r="W469" s="60"/>
      <c r="X469" s="60"/>
      <c r="Y469" s="60"/>
      <c r="Z469" s="61"/>
      <c r="AA469" s="61"/>
      <c r="AB469" s="61"/>
      <c r="AC469" s="61"/>
      <c r="AD469" s="218"/>
      <c r="AE469" s="61"/>
      <c r="AF469" s="61"/>
      <c r="AG469" s="61"/>
      <c r="AH469" s="61"/>
      <c r="AI469" s="61"/>
      <c r="AJ469" s="61"/>
    </row>
    <row r="470" spans="1:36" ht="15" hidden="1" customHeight="1">
      <c r="A470" s="60">
        <v>469</v>
      </c>
      <c r="B470" s="60" t="s">
        <v>26</v>
      </c>
      <c r="C470" s="60" t="s">
        <v>54</v>
      </c>
      <c r="D470" s="60" t="s">
        <v>208</v>
      </c>
      <c r="E470" s="60" t="s">
        <v>3489</v>
      </c>
      <c r="F470" s="60" t="s">
        <v>325</v>
      </c>
      <c r="G470" s="105" t="s">
        <v>208</v>
      </c>
      <c r="H470" s="212" t="s">
        <v>3490</v>
      </c>
      <c r="I470" s="105" t="s">
        <v>271</v>
      </c>
      <c r="J470" s="60" t="s">
        <v>2872</v>
      </c>
      <c r="K470" s="106">
        <v>46182.287835648145</v>
      </c>
      <c r="L470" s="106">
        <v>46182.287835648145</v>
      </c>
      <c r="M470" s="106">
        <v>46182.301990740743</v>
      </c>
      <c r="N470" s="106">
        <v>46183.509479166663</v>
      </c>
      <c r="O470" s="106"/>
      <c r="P470" s="106"/>
      <c r="Q470" s="60"/>
      <c r="R470" s="60"/>
      <c r="S470" s="60"/>
      <c r="T470" s="60"/>
      <c r="U470" s="60"/>
      <c r="V470" s="60"/>
      <c r="W470" s="60"/>
      <c r="X470" s="60"/>
      <c r="Y470" s="60"/>
      <c r="Z470" s="61"/>
      <c r="AA470" s="61"/>
      <c r="AB470" s="61"/>
      <c r="AC470" s="61"/>
      <c r="AD470" s="218"/>
      <c r="AE470" s="61"/>
      <c r="AF470" s="61"/>
      <c r="AG470" s="61"/>
      <c r="AH470" s="61"/>
      <c r="AI470" s="61"/>
      <c r="AJ470" s="61"/>
    </row>
    <row r="471" spans="1:36" ht="15" hidden="1" customHeight="1">
      <c r="A471" s="60">
        <v>470</v>
      </c>
      <c r="B471" s="60" t="s">
        <v>26</v>
      </c>
      <c r="C471" s="60" t="s">
        <v>54</v>
      </c>
      <c r="D471" s="60" t="s">
        <v>208</v>
      </c>
      <c r="E471" s="60" t="s">
        <v>3491</v>
      </c>
      <c r="F471" s="60" t="s">
        <v>325</v>
      </c>
      <c r="G471" s="105" t="s">
        <v>208</v>
      </c>
      <c r="H471" s="212" t="s">
        <v>3038</v>
      </c>
      <c r="I471" s="105" t="s">
        <v>275</v>
      </c>
      <c r="J471" s="60" t="s">
        <v>2872</v>
      </c>
      <c r="K471" s="106">
        <v>46182.50513888889</v>
      </c>
      <c r="L471" s="106">
        <v>46182.576261574075</v>
      </c>
      <c r="M471" s="106">
        <v>46183.214722222219</v>
      </c>
      <c r="N471" s="106">
        <v>46183.306134259263</v>
      </c>
      <c r="O471" s="106"/>
      <c r="P471" s="106"/>
      <c r="Q471" s="60"/>
      <c r="R471" s="60"/>
      <c r="S471" s="60"/>
      <c r="T471" s="60"/>
      <c r="U471" s="60"/>
      <c r="V471" s="60"/>
      <c r="W471" s="60"/>
      <c r="X471" s="60"/>
      <c r="Y471" s="60"/>
      <c r="Z471" s="61"/>
      <c r="AA471" s="61"/>
      <c r="AB471" s="61"/>
      <c r="AC471" s="61"/>
      <c r="AD471" s="218"/>
      <c r="AE471" s="61"/>
      <c r="AF471" s="61"/>
      <c r="AG471" s="61"/>
      <c r="AH471" s="61"/>
      <c r="AI471" s="61"/>
      <c r="AJ471" s="61"/>
    </row>
    <row r="472" spans="1:36" ht="15" hidden="1" customHeight="1">
      <c r="A472" s="60">
        <v>471</v>
      </c>
      <c r="B472" s="60" t="s">
        <v>26</v>
      </c>
      <c r="C472" s="60" t="s">
        <v>54</v>
      </c>
      <c r="D472" s="60" t="s">
        <v>207</v>
      </c>
      <c r="E472" s="60" t="s">
        <v>3308</v>
      </c>
      <c r="F472" s="60" t="s">
        <v>325</v>
      </c>
      <c r="G472" s="105">
        <v>3</v>
      </c>
      <c r="H472" s="212" t="s">
        <v>3309</v>
      </c>
      <c r="I472" s="105" t="s">
        <v>275</v>
      </c>
      <c r="J472" s="60" t="s">
        <v>2855</v>
      </c>
      <c r="K472" s="106">
        <v>46178.462557870371</v>
      </c>
      <c r="L472" s="106">
        <v>46181.270567129628</v>
      </c>
      <c r="M472" s="106">
        <v>46181.28229166667</v>
      </c>
      <c r="N472" s="106">
        <v>46182.43917824074</v>
      </c>
      <c r="O472" s="106"/>
      <c r="P472" s="106"/>
      <c r="Q472" s="60"/>
      <c r="R472" s="60"/>
      <c r="S472" s="60"/>
      <c r="T472" s="60"/>
      <c r="U472" s="60"/>
      <c r="V472" s="60"/>
      <c r="W472" s="60"/>
      <c r="X472" s="60"/>
      <c r="Y472" s="60"/>
      <c r="Z472" s="61"/>
      <c r="AA472" s="61"/>
      <c r="AB472" s="61"/>
      <c r="AC472" s="61"/>
      <c r="AD472" s="218"/>
      <c r="AE472" s="61"/>
      <c r="AF472" s="61"/>
      <c r="AG472" s="61"/>
      <c r="AH472" s="61"/>
      <c r="AI472" s="61"/>
      <c r="AJ472" s="61"/>
    </row>
    <row r="473" spans="1:36" s="60" customFormat="1" ht="15" hidden="1" customHeight="1">
      <c r="A473" s="60">
        <v>472</v>
      </c>
      <c r="B473" s="60" t="s">
        <v>26</v>
      </c>
      <c r="C473" s="60" t="s">
        <v>54</v>
      </c>
      <c r="D473" s="60" t="s">
        <v>208</v>
      </c>
      <c r="E473" s="60" t="s">
        <v>3492</v>
      </c>
      <c r="F473" s="60" t="s">
        <v>325</v>
      </c>
      <c r="G473" s="105" t="s">
        <v>208</v>
      </c>
      <c r="H473" s="212" t="s">
        <v>3493</v>
      </c>
      <c r="I473" s="105" t="s">
        <v>271</v>
      </c>
      <c r="J473" s="60" t="s">
        <v>2872</v>
      </c>
      <c r="K473" s="106">
        <v>46184.401689814818</v>
      </c>
      <c r="L473" s="106">
        <v>46184.449861111112</v>
      </c>
      <c r="M473" s="106">
        <v>46184.46497685185</v>
      </c>
      <c r="N473" s="62">
        <v>46196.726145833331</v>
      </c>
      <c r="O473" s="106"/>
      <c r="P473" s="106"/>
      <c r="Z473" s="61"/>
      <c r="AA473" s="61"/>
      <c r="AB473" s="61"/>
      <c r="AC473" s="61"/>
      <c r="AD473" s="218"/>
      <c r="AE473" s="61"/>
      <c r="AF473" s="61"/>
      <c r="AG473" s="61"/>
      <c r="AH473" s="61"/>
      <c r="AI473" s="61"/>
      <c r="AJ473" s="61"/>
    </row>
    <row r="474" spans="1:36" s="60" customFormat="1" ht="15" hidden="1" customHeight="1">
      <c r="A474" s="60">
        <v>473</v>
      </c>
      <c r="B474" s="60" t="s">
        <v>26</v>
      </c>
      <c r="C474" s="60" t="s">
        <v>54</v>
      </c>
      <c r="D474" s="60" t="s">
        <v>208</v>
      </c>
      <c r="E474" s="60" t="s">
        <v>3494</v>
      </c>
      <c r="F474" s="60" t="s">
        <v>325</v>
      </c>
      <c r="G474" s="105" t="s">
        <v>208</v>
      </c>
      <c r="H474" s="212" t="s">
        <v>3495</v>
      </c>
      <c r="I474" s="105" t="s">
        <v>271</v>
      </c>
      <c r="J474" s="60" t="s">
        <v>2872</v>
      </c>
      <c r="K474" s="106">
        <v>46184.632280092592</v>
      </c>
      <c r="L474" s="106">
        <v>46184.661956018521</v>
      </c>
      <c r="M474" s="106">
        <v>46185.269259259258</v>
      </c>
      <c r="N474" s="62">
        <v>46192.449421296296</v>
      </c>
      <c r="O474" s="106"/>
      <c r="P474" s="106"/>
      <c r="Z474" s="61"/>
      <c r="AA474" s="61"/>
      <c r="AB474" s="61"/>
      <c r="AC474" s="61"/>
      <c r="AD474" s="218"/>
      <c r="AE474" s="61"/>
      <c r="AF474" s="61"/>
      <c r="AG474" s="61"/>
      <c r="AH474" s="61"/>
      <c r="AI474" s="61"/>
      <c r="AJ474" s="61"/>
    </row>
    <row r="475" spans="1:36" ht="15" hidden="1" customHeight="1">
      <c r="A475" s="60">
        <v>474</v>
      </c>
      <c r="B475" s="60" t="s">
        <v>26</v>
      </c>
      <c r="C475" s="60" t="s">
        <v>54</v>
      </c>
      <c r="D475" s="60" t="s">
        <v>208</v>
      </c>
      <c r="E475" s="60" t="s">
        <v>3496</v>
      </c>
      <c r="F475" s="60" t="s">
        <v>325</v>
      </c>
      <c r="G475" s="105" t="s">
        <v>208</v>
      </c>
      <c r="H475" s="212" t="s">
        <v>3497</v>
      </c>
      <c r="I475" s="105" t="s">
        <v>271</v>
      </c>
      <c r="J475" s="60" t="s">
        <v>2855</v>
      </c>
      <c r="K475" s="106">
        <v>46184.711342592593</v>
      </c>
      <c r="L475" s="106">
        <v>46184.725555555553</v>
      </c>
      <c r="M475" s="106">
        <v>46185.269791666666</v>
      </c>
      <c r="N475" s="106">
        <v>46189.463391203702</v>
      </c>
      <c r="O475" s="106"/>
      <c r="P475" s="106"/>
      <c r="Q475" s="60"/>
      <c r="R475" s="60"/>
      <c r="S475" s="60"/>
      <c r="T475" s="60"/>
      <c r="U475" s="60"/>
      <c r="V475" s="60"/>
      <c r="W475" s="60"/>
      <c r="X475" s="60"/>
      <c r="Y475" s="60"/>
      <c r="Z475" s="61"/>
      <c r="AA475" s="61"/>
      <c r="AB475" s="61"/>
      <c r="AC475" s="61"/>
      <c r="AD475" s="218"/>
      <c r="AE475" s="61"/>
      <c r="AF475" s="61"/>
      <c r="AG475" s="61"/>
      <c r="AH475" s="61"/>
      <c r="AI475" s="61"/>
      <c r="AJ475" s="61"/>
    </row>
    <row r="476" spans="1:36" ht="15" hidden="1" customHeight="1">
      <c r="A476" s="60">
        <v>475</v>
      </c>
      <c r="B476" s="60" t="s">
        <v>26</v>
      </c>
      <c r="C476" s="60" t="s">
        <v>54</v>
      </c>
      <c r="D476" s="60" t="s">
        <v>208</v>
      </c>
      <c r="E476" s="60" t="s">
        <v>3498</v>
      </c>
      <c r="F476" s="60" t="s">
        <v>325</v>
      </c>
      <c r="G476" s="105" t="s">
        <v>208</v>
      </c>
      <c r="H476" s="212" t="s">
        <v>3499</v>
      </c>
      <c r="I476" s="105" t="s">
        <v>271</v>
      </c>
      <c r="J476" s="60" t="s">
        <v>2872</v>
      </c>
      <c r="K476" s="106">
        <v>46184.717141203706</v>
      </c>
      <c r="L476" s="106">
        <v>46184.724328703705</v>
      </c>
      <c r="M476" s="106">
        <v>46185.270578703705</v>
      </c>
      <c r="N476" s="106">
        <v>46189.290983796294</v>
      </c>
      <c r="O476" s="106"/>
      <c r="P476" s="106"/>
      <c r="Q476" s="60"/>
      <c r="R476" s="60"/>
      <c r="S476" s="60"/>
      <c r="T476" s="60"/>
      <c r="U476" s="60"/>
      <c r="V476" s="60"/>
      <c r="W476" s="60"/>
      <c r="X476" s="60"/>
      <c r="Y476" s="60"/>
      <c r="Z476" s="61"/>
      <c r="AA476" s="61"/>
      <c r="AB476" s="61"/>
      <c r="AC476" s="61"/>
      <c r="AD476" s="218"/>
      <c r="AE476" s="61"/>
      <c r="AF476" s="61"/>
      <c r="AG476" s="61"/>
      <c r="AH476" s="61"/>
      <c r="AI476" s="61"/>
      <c r="AJ476" s="61"/>
    </row>
    <row r="477" spans="1:36" ht="15" hidden="1" customHeight="1">
      <c r="A477" s="60">
        <v>476</v>
      </c>
      <c r="B477" s="60" t="s">
        <v>26</v>
      </c>
      <c r="C477" s="60" t="s">
        <v>54</v>
      </c>
      <c r="D477" s="60" t="s">
        <v>208</v>
      </c>
      <c r="E477" s="60" t="s">
        <v>3500</v>
      </c>
      <c r="F477" s="60" t="s">
        <v>325</v>
      </c>
      <c r="G477" s="105" t="s">
        <v>208</v>
      </c>
      <c r="H477" s="212" t="s">
        <v>2866</v>
      </c>
      <c r="I477" s="105" t="s">
        <v>271</v>
      </c>
      <c r="J477" s="60" t="s">
        <v>2694</v>
      </c>
      <c r="K477" s="106">
        <v>46185.386770833335</v>
      </c>
      <c r="L477" s="106">
        <v>46185.420891203707</v>
      </c>
      <c r="M477" s="106">
        <v>46185.441562499997</v>
      </c>
      <c r="N477" s="106">
        <v>46189.357222222221</v>
      </c>
      <c r="O477" s="106"/>
      <c r="P477" s="106"/>
      <c r="Q477" s="60"/>
      <c r="R477" s="60"/>
      <c r="S477" s="60"/>
      <c r="T477" s="60"/>
      <c r="U477" s="60"/>
      <c r="V477" s="60"/>
      <c r="W477" s="60"/>
      <c r="X477" s="60"/>
      <c r="Y477" s="60"/>
      <c r="Z477" s="61"/>
      <c r="AA477" s="61"/>
      <c r="AB477" s="61"/>
      <c r="AC477" s="61"/>
      <c r="AD477" s="218"/>
      <c r="AE477" s="61"/>
      <c r="AF477" s="61"/>
      <c r="AG477" s="61"/>
      <c r="AH477" s="61"/>
      <c r="AI477" s="61"/>
      <c r="AJ477" s="61"/>
    </row>
    <row r="478" spans="1:36" ht="15" hidden="1" customHeight="1">
      <c r="A478" s="60">
        <v>477</v>
      </c>
      <c r="B478" s="60" t="s">
        <v>26</v>
      </c>
      <c r="C478" s="60" t="s">
        <v>54</v>
      </c>
      <c r="D478" s="60" t="s">
        <v>208</v>
      </c>
      <c r="E478" s="60" t="s">
        <v>3501</v>
      </c>
      <c r="F478" s="60" t="s">
        <v>325</v>
      </c>
      <c r="G478" s="105" t="s">
        <v>208</v>
      </c>
      <c r="H478" s="212" t="s">
        <v>3502</v>
      </c>
      <c r="I478" s="105" t="s">
        <v>271</v>
      </c>
      <c r="J478" s="60" t="s">
        <v>2872</v>
      </c>
      <c r="K478" s="106">
        <v>46185.425833333335</v>
      </c>
      <c r="L478" s="106">
        <v>46185.448831018519</v>
      </c>
      <c r="M478" s="106">
        <v>46185.497858796298</v>
      </c>
      <c r="N478" s="106">
        <v>46190.355937499997</v>
      </c>
      <c r="O478" s="106"/>
      <c r="P478" s="106"/>
      <c r="Q478" s="60"/>
      <c r="R478" s="60"/>
      <c r="S478" s="60"/>
      <c r="T478" s="60"/>
      <c r="U478" s="60"/>
      <c r="V478" s="60"/>
      <c r="W478" s="60"/>
      <c r="X478" s="60"/>
      <c r="Y478" s="60"/>
      <c r="Z478" s="61"/>
      <c r="AA478" s="61"/>
      <c r="AB478" s="61"/>
      <c r="AC478" s="61"/>
      <c r="AD478" s="218"/>
      <c r="AE478" s="61"/>
      <c r="AF478" s="61"/>
      <c r="AG478" s="61"/>
      <c r="AH478" s="61"/>
      <c r="AI478" s="61"/>
      <c r="AJ478" s="61"/>
    </row>
    <row r="479" spans="1:36" ht="15" hidden="1" customHeight="1">
      <c r="A479" s="60">
        <v>478</v>
      </c>
      <c r="B479" s="60" t="s">
        <v>26</v>
      </c>
      <c r="C479" s="60" t="s">
        <v>54</v>
      </c>
      <c r="D479" s="60" t="s">
        <v>207</v>
      </c>
      <c r="E479" s="60" t="s">
        <v>3503</v>
      </c>
      <c r="F479" s="60" t="s">
        <v>325</v>
      </c>
      <c r="G479" s="105">
        <v>3</v>
      </c>
      <c r="H479" s="212" t="s">
        <v>3504</v>
      </c>
      <c r="I479" s="105" t="s">
        <v>275</v>
      </c>
      <c r="J479" s="60" t="s">
        <v>2855</v>
      </c>
      <c r="K479" s="106">
        <v>46177.522569444445</v>
      </c>
      <c r="L479" s="106">
        <v>46185.627523148149</v>
      </c>
      <c r="M479" s="106">
        <v>46188.276331018518</v>
      </c>
      <c r="N479" s="106">
        <v>46188.384710648148</v>
      </c>
      <c r="O479" s="106"/>
      <c r="P479" s="106"/>
      <c r="Q479" s="60"/>
      <c r="R479" s="60"/>
      <c r="S479" s="60"/>
      <c r="T479" s="60"/>
      <c r="U479" s="60"/>
      <c r="V479" s="60"/>
      <c r="W479" s="60"/>
      <c r="X479" s="60"/>
      <c r="Y479" s="60"/>
      <c r="Z479" s="61"/>
      <c r="AA479" s="61"/>
      <c r="AB479" s="61"/>
      <c r="AC479" s="61"/>
      <c r="AD479" s="218"/>
      <c r="AE479" s="61"/>
      <c r="AF479" s="61"/>
      <c r="AG479" s="61"/>
      <c r="AH479" s="61"/>
      <c r="AI479" s="61"/>
      <c r="AJ479" s="61"/>
    </row>
    <row r="480" spans="1:36" ht="15" hidden="1" customHeight="1">
      <c r="A480" s="60">
        <v>479</v>
      </c>
      <c r="B480" s="60" t="s">
        <v>26</v>
      </c>
      <c r="C480" s="60" t="s">
        <v>54</v>
      </c>
      <c r="D480" s="60" t="s">
        <v>208</v>
      </c>
      <c r="E480" s="60" t="s">
        <v>3505</v>
      </c>
      <c r="F480" s="60" t="s">
        <v>325</v>
      </c>
      <c r="G480" s="105" t="s">
        <v>208</v>
      </c>
      <c r="H480" s="212" t="s">
        <v>2251</v>
      </c>
      <c r="I480" s="105" t="s">
        <v>271</v>
      </c>
      <c r="J480" s="60" t="s">
        <v>2872</v>
      </c>
      <c r="K480" s="106">
        <v>46184.383900462963</v>
      </c>
      <c r="L480" s="106">
        <v>46185.542094907411</v>
      </c>
      <c r="M480" s="106">
        <v>46185.611944444441</v>
      </c>
      <c r="N480" s="106">
        <v>46189.342893518522</v>
      </c>
      <c r="O480" s="106"/>
      <c r="P480" s="106"/>
      <c r="Q480" s="60"/>
      <c r="R480" s="60"/>
      <c r="S480" s="60"/>
      <c r="T480" s="60"/>
      <c r="U480" s="60"/>
      <c r="V480" s="60"/>
      <c r="W480" s="60"/>
      <c r="X480" s="60"/>
      <c r="Y480" s="60"/>
      <c r="Z480" s="61"/>
      <c r="AA480" s="61"/>
      <c r="AB480" s="61"/>
      <c r="AC480" s="61"/>
      <c r="AD480" s="218"/>
      <c r="AE480" s="61"/>
      <c r="AF480" s="61"/>
      <c r="AG480" s="61"/>
      <c r="AH480" s="61"/>
      <c r="AI480" s="61"/>
      <c r="AJ480" s="61"/>
    </row>
    <row r="481" spans="1:36" s="60" customFormat="1" ht="15" hidden="1" customHeight="1">
      <c r="A481" s="60">
        <v>480</v>
      </c>
      <c r="B481" s="60" t="s">
        <v>26</v>
      </c>
      <c r="C481" s="60" t="s">
        <v>27</v>
      </c>
      <c r="D481" s="60" t="s">
        <v>207</v>
      </c>
      <c r="E481" s="60" t="s">
        <v>3506</v>
      </c>
      <c r="F481" s="60" t="s">
        <v>318</v>
      </c>
      <c r="G481" s="105">
        <v>3</v>
      </c>
      <c r="H481" s="212" t="s">
        <v>3507</v>
      </c>
      <c r="I481" s="105" t="s">
        <v>271</v>
      </c>
      <c r="J481" s="60" t="s">
        <v>2827</v>
      </c>
      <c r="K481" s="106">
        <v>46190.306145833332</v>
      </c>
      <c r="L481" s="106">
        <v>46190.526886574073</v>
      </c>
      <c r="M481" s="106">
        <v>46190.598321759258</v>
      </c>
      <c r="N481" s="248">
        <v>46197.46597222222</v>
      </c>
      <c r="O481" s="106"/>
      <c r="P481" s="106"/>
      <c r="Z481" s="61"/>
      <c r="AA481" s="61"/>
      <c r="AB481" s="61"/>
      <c r="AC481" s="61"/>
      <c r="AD481" s="218"/>
      <c r="AE481" s="61"/>
      <c r="AF481" s="61"/>
      <c r="AG481" s="61"/>
      <c r="AH481" s="61"/>
      <c r="AI481" s="61"/>
      <c r="AJ481" s="61"/>
    </row>
    <row r="482" spans="1:36" ht="15" customHeight="1">
      <c r="A482" s="60">
        <v>481</v>
      </c>
      <c r="B482" s="60" t="s">
        <v>26</v>
      </c>
      <c r="C482" s="60" t="s">
        <v>54</v>
      </c>
      <c r="D482" s="60" t="s">
        <v>207</v>
      </c>
      <c r="E482" s="60" t="s">
        <v>3508</v>
      </c>
      <c r="F482" s="60" t="s">
        <v>53</v>
      </c>
      <c r="G482" s="105">
        <v>3</v>
      </c>
      <c r="H482" s="212" t="s">
        <v>3509</v>
      </c>
      <c r="I482" s="105" t="s">
        <v>275</v>
      </c>
      <c r="J482" s="291" t="s">
        <v>2703</v>
      </c>
      <c r="K482" s="106">
        <v>46190.438009259262</v>
      </c>
      <c r="L482" s="106">
        <v>46190.438009259262</v>
      </c>
      <c r="M482" s="106">
        <v>46190.45521990741</v>
      </c>
      <c r="N482" s="106">
        <v>46190.486643518518</v>
      </c>
      <c r="O482" s="106"/>
      <c r="P482" s="106"/>
      <c r="Q482" s="60"/>
      <c r="R482" s="60"/>
      <c r="S482" s="60"/>
      <c r="T482" s="60"/>
      <c r="U482" s="60"/>
      <c r="V482" s="60"/>
      <c r="W482" s="60"/>
      <c r="X482" s="60"/>
      <c r="Y482" s="60"/>
      <c r="Z482" s="61"/>
      <c r="AA482" s="61"/>
      <c r="AB482" s="61"/>
      <c r="AC482" s="61"/>
      <c r="AD482" s="218"/>
      <c r="AE482" s="61"/>
      <c r="AF482" s="61"/>
      <c r="AG482" s="61"/>
      <c r="AH482" s="61"/>
      <c r="AI482" s="61"/>
      <c r="AJ482" s="61"/>
    </row>
    <row r="483" spans="1:36" ht="15" customHeight="1">
      <c r="A483" s="60">
        <v>482</v>
      </c>
      <c r="B483" s="60" t="s">
        <v>26</v>
      </c>
      <c r="C483" s="60" t="s">
        <v>54</v>
      </c>
      <c r="D483" s="60" t="s">
        <v>207</v>
      </c>
      <c r="E483" s="60" t="s">
        <v>3510</v>
      </c>
      <c r="F483" s="60" t="s">
        <v>336</v>
      </c>
      <c r="G483" s="105">
        <v>3</v>
      </c>
      <c r="H483" s="212" t="s">
        <v>3511</v>
      </c>
      <c r="I483" s="105" t="s">
        <v>271</v>
      </c>
      <c r="J483" s="291" t="s">
        <v>2714</v>
      </c>
      <c r="K483" s="106">
        <v>46190.121400462966</v>
      </c>
      <c r="L483" s="106">
        <v>46190.477094907408</v>
      </c>
      <c r="M483" s="106">
        <v>46190.481805555559</v>
      </c>
      <c r="N483" s="106">
        <v>46203.32267361111</v>
      </c>
      <c r="O483" s="106"/>
      <c r="P483" s="106"/>
      <c r="Q483" s="60"/>
      <c r="R483" s="60"/>
      <c r="S483" s="60"/>
      <c r="T483" s="60"/>
      <c r="U483" s="60"/>
      <c r="V483" s="60"/>
      <c r="W483" s="60"/>
      <c r="X483" s="60"/>
      <c r="Y483" s="60"/>
      <c r="Z483" s="61"/>
      <c r="AA483" s="61"/>
      <c r="AB483" s="61"/>
      <c r="AC483" s="61"/>
      <c r="AD483" s="218"/>
      <c r="AE483" s="61"/>
      <c r="AF483" s="61"/>
      <c r="AG483" s="61"/>
      <c r="AH483" s="61"/>
      <c r="AI483" s="61"/>
      <c r="AJ483" s="61"/>
    </row>
    <row r="484" spans="1:36" ht="15" hidden="1" customHeight="1">
      <c r="A484" s="60">
        <v>483</v>
      </c>
      <c r="B484" s="60" t="s">
        <v>26</v>
      </c>
      <c r="C484" s="60" t="s">
        <v>27</v>
      </c>
      <c r="D484" s="60" t="s">
        <v>208</v>
      </c>
      <c r="E484" s="60" t="s">
        <v>3512</v>
      </c>
      <c r="F484" s="60" t="s">
        <v>318</v>
      </c>
      <c r="G484" s="105" t="s">
        <v>208</v>
      </c>
      <c r="H484" s="212" t="s">
        <v>3513</v>
      </c>
      <c r="I484" s="105" t="s">
        <v>271</v>
      </c>
      <c r="J484" s="60" t="s">
        <v>2738</v>
      </c>
      <c r="K484" s="106">
        <v>46190.485289351855</v>
      </c>
      <c r="L484" s="106">
        <v>46190.485289351855</v>
      </c>
      <c r="M484" s="106">
        <v>46190.604699074072</v>
      </c>
      <c r="N484" s="106">
        <v>46190.620844907404</v>
      </c>
      <c r="O484" s="106"/>
      <c r="P484" s="106"/>
      <c r="Q484" s="60"/>
      <c r="R484" s="60"/>
      <c r="S484" s="60"/>
      <c r="T484" s="60"/>
      <c r="U484" s="60"/>
      <c r="V484" s="60"/>
      <c r="W484" s="60"/>
      <c r="X484" s="60"/>
      <c r="Y484" s="60"/>
      <c r="Z484" s="61"/>
      <c r="AA484" s="61"/>
      <c r="AB484" s="61"/>
      <c r="AC484" s="61"/>
      <c r="AD484" s="218"/>
      <c r="AE484" s="61"/>
      <c r="AF484" s="61"/>
      <c r="AG484" s="61"/>
      <c r="AH484" s="61"/>
      <c r="AI484" s="61"/>
      <c r="AJ484" s="61"/>
    </row>
    <row r="485" spans="1:36" ht="15" customHeight="1">
      <c r="A485" s="60">
        <v>484</v>
      </c>
      <c r="B485" s="60" t="s">
        <v>26</v>
      </c>
      <c r="C485" s="60" t="s">
        <v>54</v>
      </c>
      <c r="D485" s="60" t="s">
        <v>207</v>
      </c>
      <c r="E485" s="60" t="s">
        <v>2843</v>
      </c>
      <c r="F485" s="60" t="s">
        <v>53</v>
      </c>
      <c r="G485" s="105">
        <v>4</v>
      </c>
      <c r="H485" s="212" t="s">
        <v>2844</v>
      </c>
      <c r="I485" s="105" t="s">
        <v>271</v>
      </c>
      <c r="J485" s="291" t="s">
        <v>2697</v>
      </c>
      <c r="K485" s="106">
        <v>46169.754745370374</v>
      </c>
      <c r="L485" s="106">
        <v>46169.805914351855</v>
      </c>
      <c r="M485" s="106">
        <v>46170.289826388886</v>
      </c>
      <c r="N485" s="166">
        <v>46198.750497685185</v>
      </c>
      <c r="O485" s="106"/>
      <c r="P485" s="106"/>
      <c r="Q485" s="60" t="s">
        <v>3514</v>
      </c>
      <c r="R485" s="60"/>
      <c r="S485" s="60"/>
      <c r="T485" s="60"/>
      <c r="U485" s="60"/>
      <c r="V485" s="60"/>
      <c r="W485" s="60"/>
      <c r="X485" s="60"/>
      <c r="Y485" s="60"/>
      <c r="Z485" s="61"/>
      <c r="AA485" s="61"/>
      <c r="AB485" s="61"/>
      <c r="AC485" s="61"/>
      <c r="AD485" s="218"/>
      <c r="AE485" s="61"/>
      <c r="AF485" s="61"/>
      <c r="AG485" s="61"/>
      <c r="AH485" s="61"/>
      <c r="AI485" s="61"/>
      <c r="AJ485" s="61"/>
    </row>
    <row r="486" spans="1:36" ht="15" customHeight="1">
      <c r="A486" s="60">
        <v>486</v>
      </c>
      <c r="B486" s="60" t="s">
        <v>26</v>
      </c>
      <c r="C486" s="60" t="s">
        <v>54</v>
      </c>
      <c r="D486" s="60" t="s">
        <v>207</v>
      </c>
      <c r="E486" s="60" t="s">
        <v>3515</v>
      </c>
      <c r="F486" s="60" t="s">
        <v>53</v>
      </c>
      <c r="G486" s="105">
        <v>3</v>
      </c>
      <c r="H486" s="212" t="s">
        <v>3516</v>
      </c>
      <c r="I486" s="105" t="s">
        <v>271</v>
      </c>
      <c r="J486" s="291" t="s">
        <v>2697</v>
      </c>
      <c r="K486" s="106">
        <v>46181.455243055556</v>
      </c>
      <c r="L486" s="106">
        <v>46181.462152777778</v>
      </c>
      <c r="M486" s="106">
        <v>46181.470451388886</v>
      </c>
      <c r="N486" s="166">
        <v>46205.474895833337</v>
      </c>
      <c r="O486" s="106"/>
      <c r="P486" s="106"/>
      <c r="Q486" s="60" t="s">
        <v>2816</v>
      </c>
      <c r="R486" s="60"/>
      <c r="S486" s="60"/>
      <c r="T486" s="60"/>
      <c r="U486" s="60"/>
      <c r="V486" s="60"/>
      <c r="W486" s="60"/>
      <c r="X486" s="60"/>
      <c r="Y486" s="60"/>
      <c r="Z486" s="61"/>
      <c r="AA486" s="61"/>
      <c r="AB486" s="61"/>
      <c r="AC486" s="61"/>
      <c r="AD486" s="218"/>
      <c r="AE486" s="61"/>
      <c r="AF486" s="61"/>
      <c r="AG486" s="61"/>
      <c r="AH486" s="61"/>
      <c r="AI486" s="61"/>
      <c r="AJ486" s="61"/>
    </row>
    <row r="487" spans="1:36" ht="15" customHeight="1">
      <c r="A487" s="60">
        <v>487</v>
      </c>
      <c r="B487" s="60" t="s">
        <v>26</v>
      </c>
      <c r="C487" s="60" t="s">
        <v>54</v>
      </c>
      <c r="D487" s="60" t="s">
        <v>207</v>
      </c>
      <c r="E487" s="60" t="s">
        <v>3517</v>
      </c>
      <c r="F487" s="60" t="s">
        <v>53</v>
      </c>
      <c r="G487" s="105">
        <v>3</v>
      </c>
      <c r="H487" s="212" t="s">
        <v>3518</v>
      </c>
      <c r="I487" s="105" t="s">
        <v>271</v>
      </c>
      <c r="J487" s="291" t="s">
        <v>2697</v>
      </c>
      <c r="K487" s="106">
        <v>46180.682280092595</v>
      </c>
      <c r="L487" s="106">
        <v>46180.682291666664</v>
      </c>
      <c r="M487" s="106">
        <v>46181.278796296298</v>
      </c>
      <c r="N487" s="106"/>
      <c r="O487" s="106"/>
      <c r="P487" s="106"/>
      <c r="Q487" s="60"/>
      <c r="R487" s="60"/>
      <c r="S487" s="60"/>
      <c r="T487" s="60"/>
      <c r="U487" s="60"/>
      <c r="V487" s="60"/>
      <c r="W487" s="60"/>
      <c r="X487" s="60"/>
      <c r="Y487" s="60"/>
      <c r="Z487" s="61"/>
      <c r="AA487" s="61"/>
      <c r="AB487" s="61"/>
      <c r="AC487" s="61"/>
      <c r="AD487" s="218"/>
      <c r="AE487" s="61"/>
      <c r="AF487" s="61"/>
      <c r="AG487" s="61"/>
      <c r="AH487" s="61"/>
      <c r="AI487" s="61"/>
      <c r="AJ487" s="61"/>
    </row>
    <row r="488" spans="1:36" s="60" customFormat="1" ht="15" customHeight="1">
      <c r="A488" s="60">
        <v>488</v>
      </c>
      <c r="B488" s="60" t="s">
        <v>26</v>
      </c>
      <c r="C488" s="60" t="s">
        <v>54</v>
      </c>
      <c r="D488" s="60" t="s">
        <v>207</v>
      </c>
      <c r="E488" s="60" t="s">
        <v>3519</v>
      </c>
      <c r="F488" s="60" t="s">
        <v>53</v>
      </c>
      <c r="G488" s="105">
        <v>3</v>
      </c>
      <c r="H488" s="212" t="s">
        <v>3520</v>
      </c>
      <c r="I488" s="105" t="s">
        <v>275</v>
      </c>
      <c r="J488" s="291" t="s">
        <v>2697</v>
      </c>
      <c r="K488" s="106">
        <v>46191.355497685188</v>
      </c>
      <c r="L488" s="106">
        <v>46191.376087962963</v>
      </c>
      <c r="M488" s="106">
        <v>46191.376087962963</v>
      </c>
      <c r="N488" s="62">
        <v>46199.288032407407</v>
      </c>
      <c r="O488" s="106"/>
      <c r="P488" s="106"/>
      <c r="Z488" s="61"/>
      <c r="AA488" s="61"/>
      <c r="AB488" s="61"/>
      <c r="AC488" s="61"/>
      <c r="AD488" s="218"/>
      <c r="AE488" s="61"/>
      <c r="AF488" s="61"/>
      <c r="AG488" s="61"/>
      <c r="AH488" s="61"/>
      <c r="AI488" s="61"/>
      <c r="AJ488" s="61"/>
    </row>
    <row r="489" spans="1:36" ht="15" customHeight="1">
      <c r="A489" s="60">
        <v>489</v>
      </c>
      <c r="B489" s="60" t="s">
        <v>26</v>
      </c>
      <c r="C489" s="60" t="s">
        <v>54</v>
      </c>
      <c r="D489" s="60" t="s">
        <v>207</v>
      </c>
      <c r="E489" s="60" t="s">
        <v>3521</v>
      </c>
      <c r="F489" s="60" t="s">
        <v>53</v>
      </c>
      <c r="G489" s="105">
        <v>3</v>
      </c>
      <c r="H489" s="212" t="s">
        <v>3522</v>
      </c>
      <c r="I489" s="105" t="s">
        <v>275</v>
      </c>
      <c r="J489" s="291" t="s">
        <v>2694</v>
      </c>
      <c r="K489" s="106">
        <v>46191.354837962965</v>
      </c>
      <c r="L489" s="106">
        <v>46191.354837962965</v>
      </c>
      <c r="M489" s="106">
        <v>46191.3749537037</v>
      </c>
      <c r="N489" s="62">
        <v>46191.394953703704</v>
      </c>
      <c r="O489" s="106"/>
      <c r="P489" s="106"/>
      <c r="Q489" s="60"/>
      <c r="R489" s="60"/>
      <c r="S489" s="60"/>
      <c r="T489" s="60"/>
      <c r="U489" s="60"/>
      <c r="V489" s="60"/>
      <c r="W489" s="60"/>
      <c r="X489" s="60"/>
      <c r="Y489" s="60"/>
      <c r="Z489" s="61"/>
      <c r="AA489" s="61"/>
      <c r="AB489" s="61"/>
      <c r="AC489" s="61"/>
      <c r="AD489" s="218"/>
      <c r="AE489" s="61"/>
      <c r="AF489" s="61"/>
      <c r="AG489" s="61"/>
      <c r="AH489" s="61"/>
      <c r="AI489" s="61"/>
      <c r="AJ489" s="61"/>
    </row>
    <row r="490" spans="1:36" s="60" customFormat="1" ht="15" hidden="1" customHeight="1">
      <c r="A490" s="60">
        <v>490</v>
      </c>
      <c r="B490" s="60" t="s">
        <v>26</v>
      </c>
      <c r="C490" s="60" t="s">
        <v>27</v>
      </c>
      <c r="D490" s="60" t="s">
        <v>207</v>
      </c>
      <c r="E490" s="60" t="s">
        <v>3523</v>
      </c>
      <c r="F490" s="60" t="s">
        <v>318</v>
      </c>
      <c r="G490" s="105">
        <v>4</v>
      </c>
      <c r="H490" s="212" t="s">
        <v>2923</v>
      </c>
      <c r="I490" s="105" t="s">
        <v>271</v>
      </c>
      <c r="J490" s="60" t="s">
        <v>2708</v>
      </c>
      <c r="K490" s="106">
        <v>46191.757118055553</v>
      </c>
      <c r="L490" s="106">
        <v>46191.759444444448</v>
      </c>
      <c r="M490" s="106">
        <v>46192.227048611108</v>
      </c>
      <c r="N490" s="106">
        <v>46192.299745370372</v>
      </c>
      <c r="O490" s="106"/>
      <c r="P490" s="106"/>
      <c r="Q490" s="60" t="s">
        <v>2733</v>
      </c>
      <c r="R490" s="60" t="s">
        <v>272</v>
      </c>
      <c r="S490" s="60" t="s">
        <v>161</v>
      </c>
      <c r="Z490" s="61"/>
      <c r="AA490" s="61"/>
      <c r="AB490" s="61"/>
      <c r="AC490" s="61"/>
      <c r="AD490" s="218"/>
      <c r="AE490" s="61"/>
      <c r="AF490" s="61"/>
      <c r="AG490" s="61"/>
      <c r="AH490" s="61"/>
      <c r="AI490" s="61"/>
      <c r="AJ490" s="61"/>
    </row>
    <row r="491" spans="1:36" ht="15" hidden="1" customHeight="1">
      <c r="A491" s="60">
        <v>491</v>
      </c>
      <c r="B491" s="60" t="s">
        <v>26</v>
      </c>
      <c r="C491" s="60" t="s">
        <v>27</v>
      </c>
      <c r="D491" s="60" t="s">
        <v>207</v>
      </c>
      <c r="E491" s="60" t="s">
        <v>3524</v>
      </c>
      <c r="F491" s="60" t="s">
        <v>318</v>
      </c>
      <c r="G491" s="105">
        <v>4</v>
      </c>
      <c r="H491" s="212" t="s">
        <v>2775</v>
      </c>
      <c r="I491" s="105" t="s">
        <v>271</v>
      </c>
      <c r="J491" s="60" t="s">
        <v>2725</v>
      </c>
      <c r="K491" s="106">
        <v>46191.95516203704</v>
      </c>
      <c r="L491" s="106">
        <v>46191.95516203704</v>
      </c>
      <c r="M491" s="106">
        <v>46192.229201388887</v>
      </c>
      <c r="N491" s="106">
        <v>46192.287291666667</v>
      </c>
      <c r="O491" s="106"/>
      <c r="P491" s="106"/>
      <c r="Q491" s="60" t="s">
        <v>2776</v>
      </c>
      <c r="R491" s="60" t="s">
        <v>272</v>
      </c>
      <c r="S491" s="60" t="s">
        <v>149</v>
      </c>
      <c r="T491" s="60"/>
      <c r="U491" s="60"/>
      <c r="V491" s="60"/>
      <c r="W491" s="60"/>
      <c r="X491" s="60"/>
      <c r="Y491" s="60"/>
      <c r="Z491" s="61"/>
      <c r="AA491" s="61"/>
      <c r="AB491" s="61"/>
      <c r="AC491" s="61"/>
      <c r="AD491" s="218"/>
      <c r="AE491" s="61"/>
      <c r="AF491" s="61"/>
      <c r="AG491" s="61"/>
      <c r="AH491" s="61"/>
      <c r="AI491" s="61"/>
      <c r="AJ491" s="61"/>
    </row>
    <row r="492" spans="1:36" ht="15" hidden="1" customHeight="1">
      <c r="A492" s="60">
        <v>492</v>
      </c>
      <c r="B492" s="60" t="s">
        <v>26</v>
      </c>
      <c r="C492" s="60" t="s">
        <v>27</v>
      </c>
      <c r="D492" s="60" t="s">
        <v>207</v>
      </c>
      <c r="E492" s="60" t="s">
        <v>3525</v>
      </c>
      <c r="F492" s="60" t="s">
        <v>318</v>
      </c>
      <c r="G492" s="105">
        <v>4</v>
      </c>
      <c r="H492" s="212" t="s">
        <v>3526</v>
      </c>
      <c r="I492" s="105" t="s">
        <v>271</v>
      </c>
      <c r="J492" s="60" t="s">
        <v>2772</v>
      </c>
      <c r="K492" s="106">
        <v>46132.488923611112</v>
      </c>
      <c r="L492" s="106">
        <v>46192.420046296298</v>
      </c>
      <c r="M492" s="106">
        <v>46192.457488425927</v>
      </c>
      <c r="N492" s="62">
        <v>46192.488437499997</v>
      </c>
      <c r="O492" s="106"/>
      <c r="P492" s="106"/>
      <c r="Q492" s="60" t="s">
        <v>2798</v>
      </c>
      <c r="R492" s="60" t="s">
        <v>261</v>
      </c>
      <c r="S492" s="60" t="s">
        <v>165</v>
      </c>
      <c r="T492" s="60" t="s">
        <v>1519</v>
      </c>
      <c r="U492" s="60"/>
      <c r="V492" s="60"/>
      <c r="W492" s="60"/>
      <c r="X492" s="60"/>
      <c r="Y492" s="60"/>
      <c r="Z492" s="61"/>
      <c r="AA492" s="61"/>
      <c r="AB492" s="61"/>
      <c r="AC492" s="61"/>
      <c r="AD492" s="218"/>
      <c r="AE492" s="61"/>
      <c r="AF492" s="61"/>
      <c r="AG492" s="61"/>
      <c r="AH492" s="61"/>
      <c r="AI492" s="61"/>
      <c r="AJ492" s="61"/>
    </row>
    <row r="493" spans="1:36" ht="15" hidden="1" customHeight="1">
      <c r="A493" s="60">
        <v>493</v>
      </c>
      <c r="B493" s="60" t="s">
        <v>26</v>
      </c>
      <c r="C493" s="60" t="s">
        <v>27</v>
      </c>
      <c r="D493" s="60" t="s">
        <v>207</v>
      </c>
      <c r="E493" s="60" t="s">
        <v>3527</v>
      </c>
      <c r="F493" s="60" t="s">
        <v>327</v>
      </c>
      <c r="G493" s="105">
        <v>3</v>
      </c>
      <c r="H493" s="212" t="s">
        <v>3528</v>
      </c>
      <c r="I493" s="105" t="s">
        <v>275</v>
      </c>
      <c r="J493" s="60"/>
      <c r="K493" s="106">
        <v>46192.325844907406</v>
      </c>
      <c r="L493" s="106">
        <v>46192.325844907406</v>
      </c>
      <c r="M493" s="106">
        <v>46195.265497685185</v>
      </c>
      <c r="N493" s="106"/>
      <c r="O493" s="106"/>
      <c r="P493" s="106"/>
      <c r="Q493" s="60"/>
      <c r="R493" s="60"/>
      <c r="S493" s="60"/>
      <c r="T493" s="60"/>
      <c r="U493" s="60"/>
      <c r="V493" s="60"/>
      <c r="W493" s="60"/>
      <c r="X493" s="60"/>
      <c r="Y493" s="60" t="s">
        <v>26</v>
      </c>
      <c r="Z493" s="61"/>
      <c r="AA493" s="61"/>
      <c r="AB493" s="61"/>
      <c r="AC493" s="61"/>
      <c r="AD493" s="218"/>
      <c r="AE493" s="61"/>
      <c r="AF493" s="61"/>
      <c r="AG493" s="61"/>
      <c r="AH493" s="61"/>
      <c r="AI493" s="61"/>
      <c r="AJ493" s="61"/>
    </row>
    <row r="494" spans="1:36" ht="15" hidden="1" customHeight="1">
      <c r="A494" s="60">
        <v>494</v>
      </c>
      <c r="B494" s="60" t="s">
        <v>26</v>
      </c>
      <c r="C494" s="60" t="s">
        <v>27</v>
      </c>
      <c r="D494" s="60" t="s">
        <v>207</v>
      </c>
      <c r="E494" s="60" t="s">
        <v>3529</v>
      </c>
      <c r="F494" s="60" t="s">
        <v>327</v>
      </c>
      <c r="G494" s="105">
        <v>3</v>
      </c>
      <c r="H494" s="212" t="s">
        <v>3530</v>
      </c>
      <c r="I494" s="105" t="s">
        <v>275</v>
      </c>
      <c r="J494" s="60"/>
      <c r="K494" s="106">
        <v>46192.657800925925</v>
      </c>
      <c r="L494" s="106">
        <v>46192.657800925925</v>
      </c>
      <c r="M494" s="106">
        <v>46195.264826388891</v>
      </c>
      <c r="N494" s="106"/>
      <c r="O494" s="106"/>
      <c r="P494" s="106"/>
      <c r="Q494" s="60"/>
      <c r="R494" s="60"/>
      <c r="S494" s="60"/>
      <c r="T494" s="60"/>
      <c r="U494" s="60"/>
      <c r="V494" s="60"/>
      <c r="W494" s="60"/>
      <c r="X494" s="60"/>
      <c r="Y494" s="60"/>
      <c r="Z494" s="61"/>
      <c r="AA494" s="61"/>
      <c r="AB494" s="61"/>
      <c r="AC494" s="61"/>
      <c r="AD494" s="218"/>
      <c r="AE494" s="61"/>
      <c r="AF494" s="61"/>
      <c r="AG494" s="61"/>
      <c r="AH494" s="61"/>
      <c r="AI494" s="61"/>
      <c r="AJ494" s="61"/>
    </row>
    <row r="495" spans="1:36" ht="15" hidden="1" customHeight="1">
      <c r="A495" s="60">
        <v>495</v>
      </c>
      <c r="B495" s="60" t="s">
        <v>26</v>
      </c>
      <c r="C495" s="60" t="s">
        <v>27</v>
      </c>
      <c r="D495" s="60" t="s">
        <v>207</v>
      </c>
      <c r="E495" s="60" t="s">
        <v>3531</v>
      </c>
      <c r="F495" s="60" t="s">
        <v>327</v>
      </c>
      <c r="G495" s="105">
        <v>3</v>
      </c>
      <c r="H495" s="212" t="s">
        <v>3532</v>
      </c>
      <c r="I495" s="105" t="s">
        <v>275</v>
      </c>
      <c r="J495" s="60"/>
      <c r="K495" s="106">
        <v>46194.62159722222</v>
      </c>
      <c r="L495" s="106">
        <v>46194.62159722222</v>
      </c>
      <c r="M495" s="106">
        <v>46195.264374999999</v>
      </c>
      <c r="N495" s="106"/>
      <c r="O495" s="106"/>
      <c r="P495" s="106"/>
      <c r="Q495" s="60"/>
      <c r="R495" s="60"/>
      <c r="S495" s="60"/>
      <c r="T495" s="60"/>
      <c r="U495" s="60"/>
      <c r="V495" s="60"/>
      <c r="W495" s="60"/>
      <c r="X495" s="60"/>
      <c r="Y495" s="60"/>
      <c r="Z495" s="61"/>
      <c r="AA495" s="61"/>
      <c r="AB495" s="61"/>
      <c r="AC495" s="61"/>
      <c r="AD495" s="218"/>
      <c r="AE495" s="61"/>
      <c r="AF495" s="61"/>
      <c r="AG495" s="61"/>
      <c r="AH495" s="61"/>
      <c r="AI495" s="61"/>
      <c r="AJ495" s="61"/>
    </row>
    <row r="496" spans="1:36" ht="15" hidden="1" customHeight="1">
      <c r="A496" s="60">
        <v>496</v>
      </c>
      <c r="B496" s="60" t="s">
        <v>26</v>
      </c>
      <c r="C496" s="60" t="s">
        <v>27</v>
      </c>
      <c r="D496" s="60" t="s">
        <v>207</v>
      </c>
      <c r="E496" s="60" t="s">
        <v>3533</v>
      </c>
      <c r="F496" s="60" t="s">
        <v>327</v>
      </c>
      <c r="G496" s="105">
        <v>3</v>
      </c>
      <c r="H496" s="212" t="s">
        <v>3534</v>
      </c>
      <c r="I496" s="105" t="s">
        <v>275</v>
      </c>
      <c r="J496" s="60"/>
      <c r="K496" s="106">
        <v>46194.707245370373</v>
      </c>
      <c r="L496" s="106">
        <v>46194.707245370373</v>
      </c>
      <c r="M496" s="106">
        <v>46195.263935185183</v>
      </c>
      <c r="N496" s="106"/>
      <c r="O496" s="106"/>
      <c r="P496" s="106"/>
      <c r="Q496" s="60"/>
      <c r="R496" s="60"/>
      <c r="S496" s="60"/>
      <c r="T496" s="60"/>
      <c r="U496" s="60"/>
      <c r="V496" s="60"/>
      <c r="W496" s="60"/>
      <c r="X496" s="60"/>
      <c r="Y496" s="60"/>
      <c r="Z496" s="61"/>
      <c r="AA496" s="61"/>
      <c r="AB496" s="61"/>
      <c r="AC496" s="61"/>
      <c r="AD496" s="218"/>
      <c r="AE496" s="61"/>
      <c r="AF496" s="61"/>
      <c r="AG496" s="61"/>
      <c r="AH496" s="61"/>
      <c r="AI496" s="61"/>
      <c r="AJ496" s="61"/>
    </row>
    <row r="497" spans="1:36" ht="15" hidden="1" customHeight="1">
      <c r="A497" s="60">
        <v>497</v>
      </c>
      <c r="B497" s="60" t="s">
        <v>26</v>
      </c>
      <c r="C497" s="60" t="s">
        <v>27</v>
      </c>
      <c r="D497" s="60" t="s">
        <v>208</v>
      </c>
      <c r="E497" s="60" t="s">
        <v>3535</v>
      </c>
      <c r="F497" s="60" t="s">
        <v>322</v>
      </c>
      <c r="G497" s="105" t="s">
        <v>208</v>
      </c>
      <c r="H497" s="212" t="s">
        <v>3536</v>
      </c>
      <c r="I497" s="105" t="s">
        <v>275</v>
      </c>
      <c r="J497" s="60" t="s">
        <v>2717</v>
      </c>
      <c r="K497" s="106">
        <v>46195.264421296299</v>
      </c>
      <c r="L497" s="106">
        <v>46195.264421296299</v>
      </c>
      <c r="M497" s="106">
        <v>46195.288900462961</v>
      </c>
      <c r="N497" s="106">
        <v>46195.297615740739</v>
      </c>
      <c r="O497" s="106"/>
      <c r="P497" s="106"/>
      <c r="Q497" s="60"/>
      <c r="R497" s="60"/>
      <c r="S497" s="60"/>
      <c r="T497" s="60"/>
      <c r="U497" s="60" t="s">
        <v>371</v>
      </c>
      <c r="V497" s="60"/>
      <c r="W497" s="60"/>
      <c r="X497" s="60"/>
      <c r="Y497" s="60"/>
      <c r="Z497" s="61"/>
      <c r="AA497" s="61"/>
      <c r="AB497" s="61"/>
      <c r="AC497" s="61"/>
      <c r="AD497" s="218"/>
      <c r="AE497" s="61"/>
      <c r="AF497" s="61"/>
      <c r="AG497" s="61"/>
      <c r="AH497" s="61"/>
      <c r="AI497" s="61"/>
      <c r="AJ497" s="61"/>
    </row>
    <row r="498" spans="1:36" ht="15" hidden="1" customHeight="1">
      <c r="A498" s="60">
        <v>498</v>
      </c>
      <c r="B498" s="60" t="s">
        <v>26</v>
      </c>
      <c r="C498" s="60" t="s">
        <v>27</v>
      </c>
      <c r="D498" s="60" t="s">
        <v>208</v>
      </c>
      <c r="E498" s="60" t="s">
        <v>3537</v>
      </c>
      <c r="F498" s="60" t="s">
        <v>322</v>
      </c>
      <c r="G498" s="105" t="s">
        <v>208</v>
      </c>
      <c r="H498" s="212" t="s">
        <v>3538</v>
      </c>
      <c r="I498" s="105" t="s">
        <v>275</v>
      </c>
      <c r="J498" s="60" t="s">
        <v>2717</v>
      </c>
      <c r="K498" s="106">
        <v>46195.266319444447</v>
      </c>
      <c r="L498" s="106">
        <v>46195.266319444447</v>
      </c>
      <c r="M498" s="106">
        <v>46195.289282407408</v>
      </c>
      <c r="N498" s="106">
        <v>46195.298981481479</v>
      </c>
      <c r="O498" s="106"/>
      <c r="P498" s="106"/>
      <c r="Q498" s="60"/>
      <c r="R498" s="60"/>
      <c r="S498" s="60"/>
      <c r="T498" s="60"/>
      <c r="U498" s="60" t="s">
        <v>371</v>
      </c>
      <c r="V498" s="60"/>
      <c r="W498" s="60"/>
      <c r="X498" s="60"/>
      <c r="Y498" s="60"/>
      <c r="Z498" s="61"/>
      <c r="AA498" s="61"/>
      <c r="AB498" s="61"/>
      <c r="AC498" s="61"/>
      <c r="AD498" s="218"/>
      <c r="AE498" s="61"/>
      <c r="AF498" s="61"/>
      <c r="AG498" s="61"/>
      <c r="AH498" s="61"/>
      <c r="AI498" s="61"/>
      <c r="AJ498" s="61"/>
    </row>
    <row r="499" spans="1:36" ht="15" hidden="1" customHeight="1">
      <c r="A499" s="60">
        <v>499</v>
      </c>
      <c r="B499" s="60" t="s">
        <v>26</v>
      </c>
      <c r="C499" s="60" t="s">
        <v>27</v>
      </c>
      <c r="D499" s="60" t="s">
        <v>208</v>
      </c>
      <c r="E499" s="60" t="s">
        <v>3539</v>
      </c>
      <c r="F499" s="60" t="s">
        <v>322</v>
      </c>
      <c r="G499" s="105" t="s">
        <v>208</v>
      </c>
      <c r="H499" s="212" t="s">
        <v>3540</v>
      </c>
      <c r="I499" s="105" t="s">
        <v>275</v>
      </c>
      <c r="J499" s="60" t="s">
        <v>2717</v>
      </c>
      <c r="K499" s="106">
        <v>46195.266851851855</v>
      </c>
      <c r="L499" s="106">
        <v>46195.266851851855</v>
      </c>
      <c r="M499" s="106">
        <v>46195.29</v>
      </c>
      <c r="N499" s="106">
        <v>46195.30164351852</v>
      </c>
      <c r="O499" s="106"/>
      <c r="P499" s="106"/>
      <c r="Q499" s="60"/>
      <c r="R499" s="60"/>
      <c r="S499" s="60"/>
      <c r="T499" s="60"/>
      <c r="U499" s="60" t="s">
        <v>371</v>
      </c>
      <c r="V499" s="60"/>
      <c r="W499" s="60"/>
      <c r="X499" s="60"/>
      <c r="Y499" s="60"/>
      <c r="Z499" s="61"/>
      <c r="AA499" s="61"/>
      <c r="AB499" s="61"/>
      <c r="AC499" s="61"/>
      <c r="AD499" s="218"/>
      <c r="AE499" s="61"/>
      <c r="AF499" s="61"/>
      <c r="AG499" s="61"/>
      <c r="AH499" s="61"/>
      <c r="AI499" s="61"/>
      <c r="AJ499" s="61"/>
    </row>
    <row r="500" spans="1:36" ht="15" customHeight="1">
      <c r="A500" s="60">
        <v>500</v>
      </c>
      <c r="B500" s="60" t="s">
        <v>26</v>
      </c>
      <c r="C500" s="60" t="s">
        <v>54</v>
      </c>
      <c r="D500" s="60" t="s">
        <v>207</v>
      </c>
      <c r="E500" s="60" t="s">
        <v>3541</v>
      </c>
      <c r="F500" s="60" t="s">
        <v>53</v>
      </c>
      <c r="G500" s="105">
        <v>3</v>
      </c>
      <c r="H500" s="212" t="s">
        <v>2842</v>
      </c>
      <c r="I500" s="105" t="s">
        <v>275</v>
      </c>
      <c r="J500" s="291" t="s">
        <v>3132</v>
      </c>
      <c r="K500" s="106">
        <v>46192.421273148146</v>
      </c>
      <c r="L500" s="62">
        <v>46192.421273148146</v>
      </c>
      <c r="M500" s="106">
        <v>46192.433749999997</v>
      </c>
      <c r="N500" s="62">
        <v>46195.283449074072</v>
      </c>
      <c r="O500" s="106"/>
      <c r="P500" s="106"/>
      <c r="Q500" s="60" t="s">
        <v>2816</v>
      </c>
      <c r="R500" s="60" t="s">
        <v>272</v>
      </c>
      <c r="S500" s="60" t="s">
        <v>190</v>
      </c>
      <c r="T500" s="60"/>
      <c r="U500" s="60"/>
      <c r="V500" s="60"/>
      <c r="W500" s="60"/>
      <c r="X500" s="60"/>
      <c r="Y500" s="60"/>
      <c r="Z500" s="61"/>
      <c r="AA500" s="61"/>
      <c r="AB500" s="61"/>
      <c r="AC500" s="61"/>
      <c r="AD500" s="218"/>
      <c r="AE500" s="61"/>
      <c r="AF500" s="61"/>
      <c r="AG500" s="61"/>
      <c r="AH500" s="61"/>
      <c r="AI500" s="61"/>
      <c r="AJ500" s="61"/>
    </row>
    <row r="501" spans="1:36" s="60" customFormat="1" ht="15" customHeight="1">
      <c r="A501" s="60">
        <v>501</v>
      </c>
      <c r="B501" s="60" t="s">
        <v>26</v>
      </c>
      <c r="C501" s="60" t="s">
        <v>54</v>
      </c>
      <c r="D501" s="60" t="s">
        <v>207</v>
      </c>
      <c r="E501" s="60" t="s">
        <v>3542</v>
      </c>
      <c r="F501" s="60" t="s">
        <v>53</v>
      </c>
      <c r="G501" s="105">
        <v>3</v>
      </c>
      <c r="H501" s="212" t="s">
        <v>3543</v>
      </c>
      <c r="I501" s="105" t="s">
        <v>271</v>
      </c>
      <c r="J501" s="291" t="s">
        <v>2703</v>
      </c>
      <c r="K501" s="106">
        <v>46193.571805555555</v>
      </c>
      <c r="L501" s="62">
        <v>46193.571805555555</v>
      </c>
      <c r="M501" s="106">
        <v>46195.248263888891</v>
      </c>
      <c r="N501" s="106">
        <v>46203.475671296299</v>
      </c>
      <c r="O501" s="106">
        <v>46195.536273148151</v>
      </c>
      <c r="P501" s="106">
        <v>46203.475671296299</v>
      </c>
      <c r="Q501" s="60" t="s">
        <v>2748</v>
      </c>
      <c r="Z501" s="61"/>
      <c r="AA501" s="61"/>
      <c r="AB501" s="61"/>
      <c r="AC501" s="61"/>
      <c r="AD501" s="218"/>
      <c r="AE501" s="61"/>
      <c r="AF501" s="61"/>
      <c r="AG501" s="61"/>
      <c r="AH501" s="61"/>
      <c r="AI501" s="61"/>
      <c r="AJ501" s="61"/>
    </row>
    <row r="502" spans="1:36" s="60" customFormat="1" ht="15" customHeight="1">
      <c r="A502" s="60">
        <v>502</v>
      </c>
      <c r="B502" s="60" t="s">
        <v>26</v>
      </c>
      <c r="C502" s="60" t="s">
        <v>54</v>
      </c>
      <c r="D502" s="60" t="s">
        <v>207</v>
      </c>
      <c r="E502" s="60" t="s">
        <v>3544</v>
      </c>
      <c r="F502" s="60" t="s">
        <v>53</v>
      </c>
      <c r="G502" s="105">
        <v>4</v>
      </c>
      <c r="H502" s="212" t="s">
        <v>3545</v>
      </c>
      <c r="I502" s="105" t="s">
        <v>275</v>
      </c>
      <c r="J502" s="291" t="s">
        <v>2697</v>
      </c>
      <c r="K502" s="106">
        <v>46193.250416666669</v>
      </c>
      <c r="L502" s="62">
        <v>46193.250416666669</v>
      </c>
      <c r="M502" s="106">
        <v>46195.252210648148</v>
      </c>
      <c r="N502" s="166">
        <v>46209.696967592594</v>
      </c>
      <c r="O502" s="106"/>
      <c r="P502" s="106"/>
      <c r="Q502" s="60" t="s">
        <v>2816</v>
      </c>
      <c r="Z502" s="61"/>
      <c r="AA502" s="61"/>
      <c r="AB502" s="61"/>
      <c r="AC502" s="61"/>
      <c r="AD502" s="218"/>
      <c r="AE502" s="61"/>
      <c r="AF502" s="61"/>
      <c r="AG502" s="61"/>
      <c r="AH502" s="61"/>
      <c r="AI502" s="61"/>
      <c r="AJ502" s="61"/>
    </row>
    <row r="503" spans="1:36" ht="15" customHeight="1">
      <c r="A503" s="60">
        <v>503</v>
      </c>
      <c r="B503" s="60" t="s">
        <v>26</v>
      </c>
      <c r="C503" s="60" t="s">
        <v>54</v>
      </c>
      <c r="D503" s="60" t="s">
        <v>207</v>
      </c>
      <c r="E503" s="60" t="s">
        <v>3546</v>
      </c>
      <c r="F503" s="60" t="s">
        <v>53</v>
      </c>
      <c r="G503" s="105">
        <v>3</v>
      </c>
      <c r="H503" s="212" t="s">
        <v>3547</v>
      </c>
      <c r="I503" s="105" t="s">
        <v>275</v>
      </c>
      <c r="J503" s="291" t="s">
        <v>2697</v>
      </c>
      <c r="K503" s="106">
        <v>46193.254849537036</v>
      </c>
      <c r="L503" s="62">
        <v>46193.254849537036</v>
      </c>
      <c r="M503" s="106">
        <v>46195.250960648147</v>
      </c>
      <c r="N503" s="62">
        <v>46195.256076388891</v>
      </c>
      <c r="O503" s="106"/>
      <c r="P503" s="106"/>
      <c r="Q503" s="60" t="s">
        <v>3441</v>
      </c>
      <c r="R503" s="60"/>
      <c r="S503" s="60"/>
      <c r="T503" s="60"/>
      <c r="U503" s="60"/>
      <c r="V503" s="60"/>
      <c r="W503" s="60"/>
      <c r="X503" s="60"/>
      <c r="Y503" s="60"/>
      <c r="Z503" s="61"/>
      <c r="AA503" s="61"/>
      <c r="AB503" s="61"/>
      <c r="AC503" s="61"/>
      <c r="AD503" s="218"/>
      <c r="AE503" s="61"/>
      <c r="AF503" s="61"/>
      <c r="AG503" s="61"/>
      <c r="AH503" s="61"/>
      <c r="AI503" s="61"/>
      <c r="AJ503" s="61"/>
    </row>
    <row r="504" spans="1:36" ht="15" customHeight="1">
      <c r="A504" s="60">
        <v>504</v>
      </c>
      <c r="B504" s="60" t="s">
        <v>26</v>
      </c>
      <c r="C504" s="60" t="s">
        <v>54</v>
      </c>
      <c r="D504" s="60" t="s">
        <v>207</v>
      </c>
      <c r="E504" s="60" t="s">
        <v>3548</v>
      </c>
      <c r="F504" s="60" t="s">
        <v>53</v>
      </c>
      <c r="G504" s="105">
        <v>3</v>
      </c>
      <c r="H504" s="212" t="s">
        <v>3549</v>
      </c>
      <c r="I504" s="105" t="s">
        <v>271</v>
      </c>
      <c r="J504" s="291" t="s">
        <v>2708</v>
      </c>
      <c r="K504" s="106">
        <v>46194.655439814815</v>
      </c>
      <c r="L504" s="62">
        <v>46194.662152777775</v>
      </c>
      <c r="M504" s="106">
        <v>46195.250104166669</v>
      </c>
      <c r="N504" s="106">
        <v>46202.750335648147</v>
      </c>
      <c r="O504" s="62">
        <v>46195.262129629627</v>
      </c>
      <c r="P504" s="106">
        <v>46202.750335648147</v>
      </c>
      <c r="Q504" s="60" t="s">
        <v>2816</v>
      </c>
      <c r="R504" s="60" t="s">
        <v>272</v>
      </c>
      <c r="S504" s="60" t="s">
        <v>205</v>
      </c>
      <c r="T504" s="60"/>
      <c r="U504" s="60"/>
      <c r="V504" s="60"/>
      <c r="W504" s="60"/>
      <c r="X504" s="60"/>
      <c r="Y504" s="60"/>
      <c r="Z504" s="61"/>
      <c r="AA504" s="61"/>
      <c r="AB504" s="61"/>
      <c r="AC504" s="61"/>
      <c r="AD504" s="218"/>
      <c r="AE504" s="61"/>
      <c r="AF504" s="61"/>
      <c r="AG504" s="61"/>
      <c r="AH504" s="61"/>
      <c r="AI504" s="61"/>
      <c r="AJ504" s="61"/>
    </row>
    <row r="505" spans="1:36" ht="15" hidden="1" customHeight="1">
      <c r="A505" s="60">
        <v>505</v>
      </c>
      <c r="B505" s="60" t="s">
        <v>26</v>
      </c>
      <c r="C505" s="60" t="s">
        <v>27</v>
      </c>
      <c r="D505" s="60" t="s">
        <v>208</v>
      </c>
      <c r="E505" s="60" t="s">
        <v>3550</v>
      </c>
      <c r="F505" s="60" t="s">
        <v>320</v>
      </c>
      <c r="G505" s="105" t="s">
        <v>208</v>
      </c>
      <c r="H505" s="212" t="s">
        <v>3551</v>
      </c>
      <c r="I505" s="105" t="s">
        <v>275</v>
      </c>
      <c r="J505" s="60"/>
      <c r="K505" s="106">
        <v>46195.273622685185</v>
      </c>
      <c r="L505" s="62">
        <v>46195.273622685185</v>
      </c>
      <c r="M505" s="106">
        <v>46195.34946759259</v>
      </c>
      <c r="N505" s="106"/>
      <c r="O505" s="106"/>
      <c r="P505" s="106"/>
      <c r="Q505" s="60"/>
      <c r="R505" s="60"/>
      <c r="S505" s="60"/>
      <c r="T505" s="60"/>
      <c r="U505" s="60"/>
      <c r="V505" s="60"/>
      <c r="W505" s="60"/>
      <c r="X505" s="60"/>
      <c r="Y505" s="60"/>
      <c r="Z505" s="61"/>
      <c r="AA505" s="61"/>
      <c r="AB505" s="61"/>
      <c r="AC505" s="61"/>
      <c r="AD505" s="218"/>
      <c r="AE505" s="61"/>
      <c r="AF505" s="61"/>
      <c r="AG505" s="61"/>
      <c r="AH505" s="61"/>
      <c r="AI505" s="61"/>
      <c r="AJ505" s="61"/>
    </row>
    <row r="506" spans="1:36" ht="15" hidden="1" customHeight="1">
      <c r="A506" s="60">
        <v>506</v>
      </c>
      <c r="B506" s="60" t="s">
        <v>26</v>
      </c>
      <c r="C506" s="60" t="s">
        <v>27</v>
      </c>
      <c r="D506" s="60" t="s">
        <v>208</v>
      </c>
      <c r="E506" s="60" t="s">
        <v>3552</v>
      </c>
      <c r="F506" s="60" t="s">
        <v>320</v>
      </c>
      <c r="G506" s="105" t="s">
        <v>208</v>
      </c>
      <c r="H506" s="212" t="s">
        <v>3553</v>
      </c>
      <c r="I506" s="105" t="s">
        <v>275</v>
      </c>
      <c r="J506" s="60"/>
      <c r="K506" s="106">
        <v>46195.264282407406</v>
      </c>
      <c r="L506" s="106">
        <v>46195.264282407406</v>
      </c>
      <c r="M506" s="106">
        <v>46195.35015046296</v>
      </c>
      <c r="N506" s="106"/>
      <c r="O506" s="106"/>
      <c r="P506" s="106"/>
      <c r="Q506" s="60"/>
      <c r="R506" s="60"/>
      <c r="S506" s="60"/>
      <c r="T506" s="60"/>
      <c r="U506" s="60"/>
      <c r="V506" s="60"/>
      <c r="W506" s="60"/>
      <c r="X506" s="60"/>
      <c r="Y506" s="60"/>
      <c r="Z506" s="61"/>
      <c r="AA506" s="61"/>
      <c r="AB506" s="61"/>
      <c r="AC506" s="61"/>
      <c r="AD506" s="218"/>
      <c r="AE506" s="61"/>
      <c r="AF506" s="61"/>
      <c r="AG506" s="61"/>
      <c r="AH506" s="61"/>
      <c r="AI506" s="61"/>
      <c r="AJ506" s="61"/>
    </row>
    <row r="507" spans="1:36" ht="15" hidden="1" customHeight="1">
      <c r="A507" s="60">
        <v>507</v>
      </c>
      <c r="B507" s="60" t="s">
        <v>26</v>
      </c>
      <c r="C507" s="60" t="s">
        <v>27</v>
      </c>
      <c r="D507" s="60" t="s">
        <v>208</v>
      </c>
      <c r="E507" s="60" t="s">
        <v>3554</v>
      </c>
      <c r="F507" s="60" t="s">
        <v>320</v>
      </c>
      <c r="G507" s="105" t="s">
        <v>208</v>
      </c>
      <c r="H507" s="212" t="s">
        <v>3555</v>
      </c>
      <c r="I507" s="105" t="s">
        <v>275</v>
      </c>
      <c r="J507" s="60"/>
      <c r="K507" s="106">
        <v>46195.272650462961</v>
      </c>
      <c r="L507" s="106">
        <v>46195.272650462961</v>
      </c>
      <c r="M507" s="106">
        <v>46195.350717592592</v>
      </c>
      <c r="N507" s="106"/>
      <c r="O507" s="106"/>
      <c r="P507" s="106"/>
      <c r="Q507" s="60"/>
      <c r="R507" s="60"/>
      <c r="S507" s="60"/>
      <c r="T507" s="60"/>
      <c r="U507" s="60"/>
      <c r="V507" s="60"/>
      <c r="W507" s="60"/>
      <c r="X507" s="60"/>
      <c r="Y507" s="60"/>
      <c r="Z507" s="61"/>
      <c r="AA507" s="61"/>
      <c r="AB507" s="61"/>
      <c r="AC507" s="61"/>
      <c r="AD507" s="218"/>
      <c r="AE507" s="61"/>
      <c r="AF507" s="61"/>
      <c r="AG507" s="61"/>
      <c r="AH507" s="61"/>
      <c r="AI507" s="61"/>
      <c r="AJ507" s="61"/>
    </row>
    <row r="508" spans="1:36" ht="15" hidden="1" customHeight="1">
      <c r="A508" s="60">
        <v>508</v>
      </c>
      <c r="B508" s="60" t="s">
        <v>26</v>
      </c>
      <c r="C508" s="60" t="s">
        <v>27</v>
      </c>
      <c r="D508" s="60" t="s">
        <v>208</v>
      </c>
      <c r="E508" s="60" t="s">
        <v>3556</v>
      </c>
      <c r="F508" s="60" t="s">
        <v>320</v>
      </c>
      <c r="G508" s="105" t="s">
        <v>208</v>
      </c>
      <c r="H508" s="212" t="s">
        <v>3557</v>
      </c>
      <c r="I508" s="105" t="s">
        <v>275</v>
      </c>
      <c r="J508" s="60"/>
      <c r="K508" s="106">
        <v>46195.270868055559</v>
      </c>
      <c r="L508" s="106">
        <v>46195.270868055559</v>
      </c>
      <c r="M508" s="106">
        <v>46195.351180555554</v>
      </c>
      <c r="N508" s="106"/>
      <c r="O508" s="106"/>
      <c r="P508" s="106"/>
      <c r="Q508" s="60"/>
      <c r="R508" s="60"/>
      <c r="S508" s="60"/>
      <c r="T508" s="60"/>
      <c r="U508" s="60"/>
      <c r="V508" s="60"/>
      <c r="W508" s="60"/>
      <c r="X508" s="60"/>
      <c r="Y508" s="60"/>
      <c r="Z508" s="61"/>
      <c r="AA508" s="61"/>
      <c r="AB508" s="61"/>
      <c r="AC508" s="61"/>
      <c r="AD508" s="218"/>
      <c r="AE508" s="61"/>
      <c r="AF508" s="61"/>
      <c r="AG508" s="61"/>
      <c r="AH508" s="61"/>
      <c r="AI508" s="61"/>
      <c r="AJ508" s="61"/>
    </row>
    <row r="509" spans="1:36" ht="15" hidden="1" customHeight="1">
      <c r="A509" s="60">
        <v>509</v>
      </c>
      <c r="B509" s="60" t="s">
        <v>26</v>
      </c>
      <c r="C509" s="60" t="s">
        <v>27</v>
      </c>
      <c r="D509" s="60" t="s">
        <v>208</v>
      </c>
      <c r="E509" s="60" t="s">
        <v>3558</v>
      </c>
      <c r="F509" s="60" t="s">
        <v>320</v>
      </c>
      <c r="G509" s="105" t="s">
        <v>208</v>
      </c>
      <c r="H509" s="212" t="s">
        <v>3559</v>
      </c>
      <c r="I509" s="105" t="s">
        <v>275</v>
      </c>
      <c r="J509" s="60"/>
      <c r="K509" s="106">
        <v>46195.27070601852</v>
      </c>
      <c r="L509" s="106">
        <v>46195.27070601852</v>
      </c>
      <c r="M509" s="106">
        <v>46195.351539351854</v>
      </c>
      <c r="N509" s="106"/>
      <c r="O509" s="106"/>
      <c r="P509" s="106"/>
      <c r="Q509" s="60"/>
      <c r="R509" s="60"/>
      <c r="S509" s="60"/>
      <c r="T509" s="60"/>
      <c r="U509" s="60"/>
      <c r="V509" s="60"/>
      <c r="W509" s="60"/>
      <c r="X509" s="60"/>
      <c r="Y509" s="60"/>
      <c r="Z509" s="61"/>
      <c r="AA509" s="61"/>
      <c r="AB509" s="61"/>
      <c r="AC509" s="61"/>
      <c r="AD509" s="218"/>
      <c r="AE509" s="61"/>
      <c r="AF509" s="61"/>
      <c r="AG509" s="61"/>
      <c r="AH509" s="61"/>
      <c r="AI509" s="61"/>
      <c r="AJ509" s="61"/>
    </row>
    <row r="510" spans="1:36" ht="15" hidden="1" customHeight="1">
      <c r="A510" s="60">
        <v>510</v>
      </c>
      <c r="B510" s="60" t="s">
        <v>26</v>
      </c>
      <c r="C510" s="60" t="s">
        <v>27</v>
      </c>
      <c r="D510" s="60" t="s">
        <v>208</v>
      </c>
      <c r="E510" s="60" t="s">
        <v>3560</v>
      </c>
      <c r="F510" s="60" t="s">
        <v>320</v>
      </c>
      <c r="G510" s="105" t="s">
        <v>208</v>
      </c>
      <c r="H510" s="212" t="s">
        <v>3561</v>
      </c>
      <c r="I510" s="105" t="s">
        <v>275</v>
      </c>
      <c r="J510" s="60"/>
      <c r="K510" s="106">
        <v>46195.265543981484</v>
      </c>
      <c r="L510" s="106">
        <v>46195.265543981484</v>
      </c>
      <c r="M510" s="106">
        <v>46195.352071759262</v>
      </c>
      <c r="N510" s="106"/>
      <c r="O510" s="106"/>
      <c r="P510" s="106"/>
      <c r="Q510" s="60"/>
      <c r="R510" s="60"/>
      <c r="S510" s="60"/>
      <c r="T510" s="60"/>
      <c r="U510" s="60"/>
      <c r="V510" s="60"/>
      <c r="W510" s="60"/>
      <c r="X510" s="60"/>
      <c r="Y510" s="60"/>
      <c r="Z510" s="61"/>
      <c r="AA510" s="61"/>
      <c r="AB510" s="61"/>
      <c r="AC510" s="61"/>
      <c r="AD510" s="218"/>
      <c r="AE510" s="61"/>
      <c r="AF510" s="61"/>
      <c r="AG510" s="61"/>
      <c r="AH510" s="61"/>
      <c r="AI510" s="61"/>
      <c r="AJ510" s="61"/>
    </row>
    <row r="511" spans="1:36" ht="15" hidden="1" customHeight="1">
      <c r="A511" s="60">
        <v>511</v>
      </c>
      <c r="B511" s="60" t="s">
        <v>26</v>
      </c>
      <c r="C511" s="60" t="s">
        <v>27</v>
      </c>
      <c r="D511" s="60" t="s">
        <v>208</v>
      </c>
      <c r="E511" s="60" t="s">
        <v>3562</v>
      </c>
      <c r="F511" s="60" t="s">
        <v>320</v>
      </c>
      <c r="G511" s="105" t="s">
        <v>208</v>
      </c>
      <c r="H511" s="212" t="s">
        <v>3563</v>
      </c>
      <c r="I511" s="105" t="s">
        <v>275</v>
      </c>
      <c r="J511" s="60"/>
      <c r="K511" s="106">
        <v>46195.270011574074</v>
      </c>
      <c r="L511" s="106">
        <v>46195.270011574074</v>
      </c>
      <c r="M511" s="106">
        <v>46195.353032407409</v>
      </c>
      <c r="N511" s="106"/>
      <c r="O511" s="106"/>
      <c r="P511" s="106"/>
      <c r="Q511" s="60"/>
      <c r="R511" s="60"/>
      <c r="S511" s="60"/>
      <c r="T511" s="60"/>
      <c r="U511" s="60"/>
      <c r="V511" s="60"/>
      <c r="W511" s="60"/>
      <c r="X511" s="60"/>
      <c r="Y511" s="60"/>
      <c r="Z511" s="61"/>
      <c r="AA511" s="61"/>
      <c r="AB511" s="61"/>
      <c r="AC511" s="61"/>
      <c r="AD511" s="218"/>
      <c r="AE511" s="61"/>
      <c r="AF511" s="61"/>
      <c r="AG511" s="61"/>
      <c r="AH511" s="61"/>
      <c r="AI511" s="61"/>
      <c r="AJ511" s="61"/>
    </row>
    <row r="512" spans="1:36" ht="15" hidden="1" customHeight="1">
      <c r="A512" s="60">
        <v>512</v>
      </c>
      <c r="B512" s="60" t="s">
        <v>26</v>
      </c>
      <c r="C512" s="60" t="s">
        <v>27</v>
      </c>
      <c r="D512" s="60" t="s">
        <v>208</v>
      </c>
      <c r="E512" s="60" t="s">
        <v>3564</v>
      </c>
      <c r="F512" s="60" t="s">
        <v>318</v>
      </c>
      <c r="G512" s="105" t="s">
        <v>208</v>
      </c>
      <c r="H512" s="212" t="s">
        <v>3565</v>
      </c>
      <c r="I512" s="105" t="s">
        <v>275</v>
      </c>
      <c r="J512" s="60"/>
      <c r="K512" s="106">
        <v>46195.271655092591</v>
      </c>
      <c r="L512" s="106">
        <v>46195.271655092591</v>
      </c>
      <c r="M512" s="106">
        <v>46195.345636574071</v>
      </c>
      <c r="N512" s="106"/>
      <c r="O512" s="106"/>
      <c r="P512" s="106"/>
      <c r="Q512" s="60"/>
      <c r="R512" s="60"/>
      <c r="S512" s="60"/>
      <c r="T512" s="60"/>
      <c r="U512" s="60"/>
      <c r="V512" s="60"/>
      <c r="W512" s="60"/>
      <c r="X512" s="60"/>
      <c r="Y512" s="60"/>
      <c r="Z512" s="61"/>
      <c r="AA512" s="61"/>
      <c r="AB512" s="61"/>
      <c r="AC512" s="61"/>
      <c r="AD512" s="218"/>
      <c r="AE512" s="61"/>
      <c r="AF512" s="61"/>
      <c r="AG512" s="61"/>
      <c r="AH512" s="61"/>
      <c r="AI512" s="61"/>
      <c r="AJ512" s="61"/>
    </row>
    <row r="513" spans="1:36" ht="15" hidden="1" customHeight="1">
      <c r="A513" s="60">
        <v>513</v>
      </c>
      <c r="B513" s="60" t="s">
        <v>26</v>
      </c>
      <c r="C513" s="60" t="s">
        <v>27</v>
      </c>
      <c r="D513" s="60" t="s">
        <v>208</v>
      </c>
      <c r="E513" s="60" t="s">
        <v>3566</v>
      </c>
      <c r="F513" s="60" t="s">
        <v>318</v>
      </c>
      <c r="G513" s="105" t="s">
        <v>208</v>
      </c>
      <c r="H513" s="212" t="s">
        <v>3567</v>
      </c>
      <c r="I513" s="105" t="s">
        <v>275</v>
      </c>
      <c r="J513" s="60"/>
      <c r="K513" s="106">
        <v>46195.270300925928</v>
      </c>
      <c r="L513" s="106">
        <v>46195.270300925928</v>
      </c>
      <c r="M513" s="106">
        <v>46195.34615740741</v>
      </c>
      <c r="N513" s="106"/>
      <c r="O513" s="106"/>
      <c r="P513" s="106"/>
      <c r="Q513" s="60"/>
      <c r="R513" s="60"/>
      <c r="S513" s="60"/>
      <c r="T513" s="60"/>
      <c r="U513" s="60"/>
      <c r="V513" s="60"/>
      <c r="W513" s="60"/>
      <c r="X513" s="60"/>
      <c r="Y513" s="60"/>
      <c r="Z513" s="61"/>
      <c r="AA513" s="61"/>
      <c r="AB513" s="61"/>
      <c r="AC513" s="61"/>
      <c r="AD513" s="218"/>
      <c r="AE513" s="61"/>
      <c r="AF513" s="61"/>
      <c r="AG513" s="61"/>
      <c r="AH513" s="61"/>
      <c r="AI513" s="61"/>
      <c r="AJ513" s="61"/>
    </row>
    <row r="514" spans="1:36" ht="15" hidden="1" customHeight="1">
      <c r="A514" s="60">
        <v>514</v>
      </c>
      <c r="B514" s="60" t="s">
        <v>26</v>
      </c>
      <c r="C514" s="60" t="s">
        <v>27</v>
      </c>
      <c r="D514" s="60" t="s">
        <v>208</v>
      </c>
      <c r="E514" s="60" t="s">
        <v>3568</v>
      </c>
      <c r="F514" s="60" t="s">
        <v>318</v>
      </c>
      <c r="G514" s="105" t="s">
        <v>208</v>
      </c>
      <c r="H514" s="212" t="s">
        <v>3569</v>
      </c>
      <c r="I514" s="105" t="s">
        <v>275</v>
      </c>
      <c r="J514" s="60"/>
      <c r="K514" s="62">
        <v>46195.268888888888</v>
      </c>
      <c r="L514" s="62">
        <v>46195.498159722221</v>
      </c>
      <c r="M514" s="106">
        <v>46195.498159722221</v>
      </c>
      <c r="N514" s="106"/>
      <c r="O514" s="106"/>
      <c r="P514" s="106"/>
      <c r="Q514" s="60"/>
      <c r="R514" s="60"/>
      <c r="S514" s="60"/>
      <c r="T514" s="60"/>
      <c r="U514" s="60"/>
      <c r="V514" s="60"/>
      <c r="W514" s="60"/>
      <c r="X514" s="60"/>
      <c r="Y514" s="60"/>
      <c r="Z514" s="61"/>
      <c r="AA514" s="61"/>
      <c r="AB514" s="61"/>
      <c r="AC514" s="61"/>
      <c r="AD514" s="218"/>
      <c r="AE514" s="61"/>
      <c r="AF514" s="61"/>
      <c r="AG514" s="61"/>
      <c r="AH514" s="61"/>
      <c r="AI514" s="61"/>
      <c r="AJ514" s="61"/>
    </row>
    <row r="515" spans="1:36" ht="15" hidden="1" customHeight="1">
      <c r="A515" s="60">
        <v>515</v>
      </c>
      <c r="B515" s="60" t="s">
        <v>26</v>
      </c>
      <c r="C515" s="60" t="s">
        <v>27</v>
      </c>
      <c r="D515" s="60" t="s">
        <v>208</v>
      </c>
      <c r="E515" s="60" t="s">
        <v>3570</v>
      </c>
      <c r="F515" s="60" t="s">
        <v>318</v>
      </c>
      <c r="G515" s="105" t="s">
        <v>208</v>
      </c>
      <c r="H515" s="212" t="s">
        <v>3571</v>
      </c>
      <c r="I515" s="105" t="s">
        <v>275</v>
      </c>
      <c r="J515" s="60"/>
      <c r="K515" s="106">
        <v>46195.268796296295</v>
      </c>
      <c r="L515" s="106">
        <v>46195.268796296295</v>
      </c>
      <c r="M515" s="106">
        <v>46195.347268518519</v>
      </c>
      <c r="N515" s="106"/>
      <c r="O515" s="106"/>
      <c r="P515" s="106"/>
      <c r="Q515" s="60"/>
      <c r="R515" s="60"/>
      <c r="S515" s="60"/>
      <c r="T515" s="60"/>
      <c r="U515" s="60"/>
      <c r="V515" s="60"/>
      <c r="W515" s="60"/>
      <c r="X515" s="60"/>
      <c r="Y515" s="60"/>
      <c r="Z515" s="61"/>
      <c r="AA515" s="61"/>
      <c r="AB515" s="61"/>
      <c r="AC515" s="61"/>
      <c r="AD515" s="218"/>
      <c r="AE515" s="61"/>
      <c r="AF515" s="61"/>
      <c r="AG515" s="61"/>
      <c r="AH515" s="61"/>
      <c r="AI515" s="61"/>
      <c r="AJ515" s="61"/>
    </row>
    <row r="516" spans="1:36" ht="15" hidden="1" customHeight="1">
      <c r="A516" s="60">
        <v>516</v>
      </c>
      <c r="B516" s="60" t="s">
        <v>26</v>
      </c>
      <c r="C516" s="60" t="s">
        <v>27</v>
      </c>
      <c r="D516" s="60" t="s">
        <v>208</v>
      </c>
      <c r="E516" s="60" t="s">
        <v>3572</v>
      </c>
      <c r="F516" s="60" t="s">
        <v>318</v>
      </c>
      <c r="G516" s="105" t="s">
        <v>208</v>
      </c>
      <c r="H516" s="212" t="s">
        <v>3571</v>
      </c>
      <c r="I516" s="105" t="s">
        <v>275</v>
      </c>
      <c r="J516" s="60"/>
      <c r="K516" s="106">
        <v>46195.268796296295</v>
      </c>
      <c r="L516" s="106">
        <v>46195.268796296295</v>
      </c>
      <c r="M516" s="106">
        <v>46195.347268518519</v>
      </c>
      <c r="N516" s="106"/>
      <c r="O516" s="106"/>
      <c r="P516" s="106"/>
      <c r="Q516" s="60"/>
      <c r="R516" s="60"/>
      <c r="S516" s="60"/>
      <c r="T516" s="60"/>
      <c r="U516" s="60"/>
      <c r="V516" s="60"/>
      <c r="W516" s="60"/>
      <c r="X516" s="60"/>
      <c r="Y516" s="60"/>
      <c r="Z516" s="61"/>
      <c r="AA516" s="61"/>
      <c r="AB516" s="61"/>
      <c r="AC516" s="61"/>
      <c r="AD516" s="218"/>
      <c r="AE516" s="61"/>
      <c r="AF516" s="61"/>
      <c r="AG516" s="61"/>
      <c r="AH516" s="61"/>
      <c r="AI516" s="61"/>
      <c r="AJ516" s="61"/>
    </row>
    <row r="517" spans="1:36" ht="15" hidden="1" customHeight="1">
      <c r="A517" s="60">
        <v>517</v>
      </c>
      <c r="B517" s="60" t="s">
        <v>26</v>
      </c>
      <c r="C517" s="60" t="s">
        <v>27</v>
      </c>
      <c r="D517" s="60" t="s">
        <v>208</v>
      </c>
      <c r="E517" s="60" t="s">
        <v>3573</v>
      </c>
      <c r="F517" s="60" t="s">
        <v>318</v>
      </c>
      <c r="G517" s="105" t="s">
        <v>208</v>
      </c>
      <c r="H517" s="212" t="s">
        <v>3574</v>
      </c>
      <c r="I517" s="105" t="s">
        <v>275</v>
      </c>
      <c r="J517" s="60"/>
      <c r="K517" s="106">
        <v>46195.26730324074</v>
      </c>
      <c r="L517" s="106">
        <v>46195.26730324074</v>
      </c>
      <c r="M517" s="106">
        <v>46195.348275462966</v>
      </c>
      <c r="N517" s="106"/>
      <c r="O517" s="106"/>
      <c r="P517" s="106"/>
      <c r="Q517" s="60"/>
      <c r="R517" s="60"/>
      <c r="S517" s="60"/>
      <c r="T517" s="60"/>
      <c r="U517" s="60"/>
      <c r="V517" s="60"/>
      <c r="W517" s="60"/>
      <c r="X517" s="60"/>
      <c r="Y517" s="60"/>
      <c r="Z517" s="61"/>
      <c r="AA517" s="61"/>
      <c r="AB517" s="61"/>
      <c r="AC517" s="61"/>
      <c r="AD517" s="218"/>
      <c r="AE517" s="61"/>
      <c r="AF517" s="61"/>
      <c r="AG517" s="61"/>
      <c r="AH517" s="61"/>
      <c r="AI517" s="61"/>
      <c r="AJ517" s="61"/>
    </row>
    <row r="518" spans="1:36" ht="15" hidden="1" customHeight="1">
      <c r="A518" s="60">
        <v>518</v>
      </c>
      <c r="B518" s="60" t="s">
        <v>26</v>
      </c>
      <c r="C518" s="60" t="s">
        <v>27</v>
      </c>
      <c r="D518" s="60" t="s">
        <v>207</v>
      </c>
      <c r="E518" s="60" t="s">
        <v>3575</v>
      </c>
      <c r="F518" s="60" t="s">
        <v>318</v>
      </c>
      <c r="G518" s="105">
        <v>3</v>
      </c>
      <c r="H518" s="212" t="s">
        <v>2707</v>
      </c>
      <c r="I518" s="105" t="s">
        <v>271</v>
      </c>
      <c r="J518" s="60" t="s">
        <v>2708</v>
      </c>
      <c r="K518" s="62">
        <v>46192.651342592595</v>
      </c>
      <c r="L518" s="62">
        <v>46192.65179398148</v>
      </c>
      <c r="M518" s="106">
        <v>46195.243321759262</v>
      </c>
      <c r="N518" s="62">
        <v>46195.256377314814</v>
      </c>
      <c r="O518" s="106"/>
      <c r="P518" s="106"/>
      <c r="Q518" s="60"/>
      <c r="R518" s="60"/>
      <c r="S518" s="60"/>
      <c r="T518" s="60"/>
      <c r="U518" s="60"/>
      <c r="V518" s="60"/>
      <c r="W518" s="60"/>
      <c r="X518" s="60"/>
      <c r="Y518" s="60"/>
      <c r="Z518" s="61"/>
      <c r="AA518" s="61"/>
      <c r="AB518" s="61"/>
      <c r="AC518" s="61"/>
      <c r="AD518" s="218"/>
      <c r="AE518" s="61"/>
      <c r="AF518" s="61"/>
      <c r="AG518" s="61"/>
      <c r="AH518" s="61"/>
      <c r="AI518" s="61"/>
      <c r="AJ518" s="61"/>
    </row>
    <row r="519" spans="1:36" s="60" customFormat="1" ht="15" hidden="1" customHeight="1">
      <c r="A519" s="60">
        <v>519</v>
      </c>
      <c r="B519" s="60" t="s">
        <v>26</v>
      </c>
      <c r="C519" s="60" t="s">
        <v>27</v>
      </c>
      <c r="D519" s="60" t="s">
        <v>207</v>
      </c>
      <c r="E519" s="60" t="s">
        <v>3576</v>
      </c>
      <c r="F519" s="60" t="s">
        <v>318</v>
      </c>
      <c r="G519" s="105">
        <v>3</v>
      </c>
      <c r="H519" s="212" t="s">
        <v>3577</v>
      </c>
      <c r="I519" s="105" t="s">
        <v>271</v>
      </c>
      <c r="J519" s="60" t="s">
        <v>2703</v>
      </c>
      <c r="K519" s="62">
        <v>46192.672384259262</v>
      </c>
      <c r="L519" s="62">
        <v>46192.672592592593</v>
      </c>
      <c r="M519" s="106">
        <v>46195.246030092596</v>
      </c>
      <c r="N519" s="106">
        <v>46197.497604166667</v>
      </c>
      <c r="O519" s="106"/>
      <c r="P519" s="106"/>
      <c r="Z519" s="61"/>
      <c r="AA519" s="61"/>
      <c r="AB519" s="61"/>
      <c r="AC519" s="61"/>
      <c r="AD519" s="218"/>
      <c r="AE519" s="61"/>
      <c r="AF519" s="61"/>
      <c r="AG519" s="61"/>
      <c r="AH519" s="61"/>
      <c r="AI519" s="61"/>
      <c r="AJ519" s="61"/>
    </row>
    <row r="520" spans="1:36" ht="15" hidden="1" customHeight="1">
      <c r="A520" s="60">
        <v>520</v>
      </c>
      <c r="B520" s="60" t="s">
        <v>26</v>
      </c>
      <c r="C520" s="60" t="s">
        <v>27</v>
      </c>
      <c r="D520" s="60" t="s">
        <v>207</v>
      </c>
      <c r="E520" s="60" t="s">
        <v>3578</v>
      </c>
      <c r="F520" s="60" t="s">
        <v>318</v>
      </c>
      <c r="G520" s="105">
        <v>3</v>
      </c>
      <c r="H520" s="212" t="s">
        <v>2775</v>
      </c>
      <c r="I520" s="105" t="s">
        <v>271</v>
      </c>
      <c r="J520" s="60" t="s">
        <v>2738</v>
      </c>
      <c r="K520" s="106">
        <v>46195.262986111113</v>
      </c>
      <c r="L520" s="106">
        <v>46195.262986111113</v>
      </c>
      <c r="M520" s="106">
        <v>46195.327800925923</v>
      </c>
      <c r="N520" s="62">
        <v>46195.436006944445</v>
      </c>
      <c r="O520" s="106"/>
      <c r="P520" s="106"/>
      <c r="Q520" s="60"/>
      <c r="R520" s="60"/>
      <c r="S520" s="60"/>
      <c r="T520" s="60"/>
      <c r="U520" s="60"/>
      <c r="V520" s="60"/>
      <c r="W520" s="60"/>
      <c r="X520" s="60"/>
      <c r="Y520" s="60"/>
      <c r="Z520" s="61"/>
      <c r="AA520" s="61"/>
      <c r="AB520" s="61"/>
      <c r="AC520" s="61"/>
      <c r="AD520" s="218"/>
      <c r="AE520" s="61"/>
      <c r="AF520" s="61"/>
      <c r="AG520" s="61"/>
      <c r="AH520" s="61"/>
      <c r="AI520" s="61"/>
      <c r="AJ520" s="61"/>
    </row>
    <row r="521" spans="1:36" ht="15" hidden="1" customHeight="1">
      <c r="A521" s="60">
        <v>521</v>
      </c>
      <c r="B521" s="60" t="s">
        <v>26</v>
      </c>
      <c r="C521" s="60" t="s">
        <v>27</v>
      </c>
      <c r="D521" s="60" t="s">
        <v>207</v>
      </c>
      <c r="E521" s="60" t="s">
        <v>3579</v>
      </c>
      <c r="F521" s="60" t="s">
        <v>318</v>
      </c>
      <c r="G521" s="105">
        <v>3</v>
      </c>
      <c r="H521" s="212" t="s">
        <v>2724</v>
      </c>
      <c r="I521" s="105" t="s">
        <v>271</v>
      </c>
      <c r="J521" s="60" t="s">
        <v>2725</v>
      </c>
      <c r="K521" s="106">
        <v>46195.328298611108</v>
      </c>
      <c r="L521" s="106">
        <v>46195.328298611108</v>
      </c>
      <c r="M521" s="106">
        <v>46195.329594907409</v>
      </c>
      <c r="N521" s="62">
        <v>46195.414942129632</v>
      </c>
      <c r="O521" s="106"/>
      <c r="P521" s="106"/>
      <c r="Q521" s="60"/>
      <c r="R521" s="60"/>
      <c r="S521" s="60"/>
      <c r="T521" s="60"/>
      <c r="U521" s="60"/>
      <c r="V521" s="60"/>
      <c r="W521" s="60"/>
      <c r="X521" s="60"/>
      <c r="Y521" s="60"/>
      <c r="Z521" s="61"/>
      <c r="AA521" s="61"/>
      <c r="AB521" s="61"/>
      <c r="AC521" s="61"/>
      <c r="AD521" s="218"/>
      <c r="AE521" s="61"/>
      <c r="AF521" s="61"/>
      <c r="AG521" s="61"/>
      <c r="AH521" s="61"/>
      <c r="AI521" s="61"/>
      <c r="AJ521" s="61"/>
    </row>
    <row r="522" spans="1:36" s="60" customFormat="1" ht="15" hidden="1" customHeight="1">
      <c r="A522" s="60">
        <v>522</v>
      </c>
      <c r="B522" s="60" t="s">
        <v>26</v>
      </c>
      <c r="C522" s="60" t="s">
        <v>27</v>
      </c>
      <c r="D522" s="60" t="s">
        <v>207</v>
      </c>
      <c r="E522" s="60" t="s">
        <v>3390</v>
      </c>
      <c r="F522" s="60" t="s">
        <v>318</v>
      </c>
      <c r="G522" s="105">
        <v>3</v>
      </c>
      <c r="H522" s="212" t="s">
        <v>3391</v>
      </c>
      <c r="I522" s="105" t="s">
        <v>271</v>
      </c>
      <c r="J522" s="60" t="s">
        <v>2827</v>
      </c>
      <c r="K522" s="62">
        <v>46181.827986111108</v>
      </c>
      <c r="L522" s="62">
        <v>46195.324664351851</v>
      </c>
      <c r="M522" s="106">
        <v>46195.331608796296</v>
      </c>
      <c r="N522" s="248">
        <v>46203.75</v>
      </c>
      <c r="O522" s="106"/>
      <c r="P522" s="106"/>
      <c r="Z522" s="61"/>
      <c r="AA522" s="61"/>
      <c r="AB522" s="61"/>
      <c r="AC522" s="61"/>
      <c r="AD522" s="218"/>
      <c r="AE522" s="61"/>
      <c r="AF522" s="61"/>
      <c r="AG522" s="61"/>
      <c r="AH522" s="61"/>
      <c r="AI522" s="61"/>
      <c r="AJ522" s="61"/>
    </row>
    <row r="523" spans="1:36" ht="15" hidden="1" customHeight="1">
      <c r="A523" s="60">
        <v>523</v>
      </c>
      <c r="B523" s="60" t="s">
        <v>26</v>
      </c>
      <c r="C523" s="60" t="s">
        <v>27</v>
      </c>
      <c r="D523" s="60" t="s">
        <v>207</v>
      </c>
      <c r="E523" s="60" t="s">
        <v>3580</v>
      </c>
      <c r="F523" s="60" t="s">
        <v>327</v>
      </c>
      <c r="G523" s="105">
        <v>3</v>
      </c>
      <c r="H523" s="212" t="s">
        <v>3581</v>
      </c>
      <c r="I523" s="105" t="s">
        <v>275</v>
      </c>
      <c r="J523" s="60"/>
      <c r="K523" s="106">
        <v>46195.459768518522</v>
      </c>
      <c r="L523" s="106">
        <v>46195.459768518522</v>
      </c>
      <c r="M523" s="106">
        <v>46195.763842592591</v>
      </c>
      <c r="N523" s="106"/>
      <c r="O523" s="106"/>
      <c r="P523" s="106"/>
      <c r="Q523" s="60"/>
      <c r="R523" s="60"/>
      <c r="S523" s="60"/>
      <c r="T523" s="60"/>
      <c r="U523" s="60"/>
      <c r="V523" s="60"/>
      <c r="W523" s="60"/>
      <c r="X523" s="60"/>
      <c r="Y523" s="60"/>
      <c r="Z523" s="61"/>
      <c r="AA523" s="61"/>
      <c r="AB523" s="61"/>
      <c r="AC523" s="61"/>
      <c r="AD523" s="218"/>
      <c r="AE523" s="61"/>
      <c r="AF523" s="61"/>
      <c r="AG523" s="61"/>
      <c r="AH523" s="61"/>
      <c r="AI523" s="61"/>
      <c r="AJ523" s="61"/>
    </row>
    <row r="524" spans="1:36" ht="15" hidden="1" customHeight="1">
      <c r="A524" s="60">
        <v>524</v>
      </c>
      <c r="B524" s="60" t="s">
        <v>26</v>
      </c>
      <c r="C524" s="60" t="s">
        <v>27</v>
      </c>
      <c r="D524" s="60" t="s">
        <v>207</v>
      </c>
      <c r="E524" s="60" t="s">
        <v>3582</v>
      </c>
      <c r="F524" s="60" t="s">
        <v>327</v>
      </c>
      <c r="G524" s="105">
        <v>4</v>
      </c>
      <c r="H524" s="212" t="s">
        <v>3583</v>
      </c>
      <c r="I524" s="105" t="s">
        <v>275</v>
      </c>
      <c r="J524" s="60"/>
      <c r="K524" s="106">
        <v>46195.797881944447</v>
      </c>
      <c r="L524" s="106">
        <v>46195.797881944447</v>
      </c>
      <c r="M524" s="106">
        <v>46196.253067129626</v>
      </c>
      <c r="N524" s="106"/>
      <c r="O524" s="106"/>
      <c r="P524" s="106"/>
      <c r="Q524" s="60"/>
      <c r="R524" s="60"/>
      <c r="S524" s="60"/>
      <c r="T524" s="60"/>
      <c r="U524" s="60"/>
      <c r="V524" s="60"/>
      <c r="W524" s="60"/>
      <c r="X524" s="60"/>
      <c r="Y524" s="60"/>
      <c r="Z524" s="61"/>
      <c r="AA524" s="61"/>
      <c r="AB524" s="61"/>
      <c r="AC524" s="61"/>
      <c r="AD524" s="218"/>
      <c r="AE524" s="61"/>
      <c r="AF524" s="61"/>
      <c r="AG524" s="61"/>
      <c r="AH524" s="61"/>
      <c r="AI524" s="61"/>
      <c r="AJ524" s="61"/>
    </row>
    <row r="525" spans="1:36" s="60" customFormat="1" ht="15" hidden="1" customHeight="1">
      <c r="A525" s="60">
        <v>525</v>
      </c>
      <c r="B525" s="60" t="s">
        <v>26</v>
      </c>
      <c r="C525" s="60" t="s">
        <v>27</v>
      </c>
      <c r="D525" s="60" t="s">
        <v>207</v>
      </c>
      <c r="E525" s="60" t="s">
        <v>3584</v>
      </c>
      <c r="F525" s="60" t="s">
        <v>318</v>
      </c>
      <c r="G525" s="105">
        <v>3</v>
      </c>
      <c r="H525" s="212" t="s">
        <v>2707</v>
      </c>
      <c r="I525" s="105" t="s">
        <v>271</v>
      </c>
      <c r="J525" s="60" t="s">
        <v>2708</v>
      </c>
      <c r="K525" s="106">
        <v>46195.689212962963</v>
      </c>
      <c r="L525" s="106">
        <v>46195.689976851849</v>
      </c>
      <c r="M525" s="106">
        <v>46196.255011574074</v>
      </c>
      <c r="N525" s="106">
        <v>46196.27747685185</v>
      </c>
      <c r="O525" s="106"/>
      <c r="P525" s="106"/>
      <c r="Q525" s="60" t="s">
        <v>2733</v>
      </c>
      <c r="R525" s="60" t="s">
        <v>272</v>
      </c>
      <c r="S525" s="60" t="s">
        <v>161</v>
      </c>
      <c r="Z525" s="61"/>
      <c r="AA525" s="61"/>
      <c r="AB525" s="61"/>
      <c r="AC525" s="61"/>
      <c r="AD525" s="218"/>
      <c r="AE525" s="61"/>
      <c r="AF525" s="61"/>
      <c r="AG525" s="61"/>
      <c r="AH525" s="61"/>
      <c r="AI525" s="61"/>
      <c r="AJ525" s="61"/>
    </row>
    <row r="526" spans="1:36" ht="15" hidden="1" customHeight="1">
      <c r="A526" s="60">
        <v>526</v>
      </c>
      <c r="B526" s="60" t="s">
        <v>26</v>
      </c>
      <c r="C526" s="60" t="s">
        <v>27</v>
      </c>
      <c r="D526" s="60" t="s">
        <v>207</v>
      </c>
      <c r="E526" s="60" t="s">
        <v>3585</v>
      </c>
      <c r="F526" s="60" t="s">
        <v>318</v>
      </c>
      <c r="G526" s="105">
        <v>3</v>
      </c>
      <c r="H526" s="212" t="s">
        <v>2775</v>
      </c>
      <c r="I526" s="105" t="s">
        <v>271</v>
      </c>
      <c r="J526" s="60" t="s">
        <v>2772</v>
      </c>
      <c r="K526" s="106">
        <v>46196.056747685187</v>
      </c>
      <c r="L526" s="106">
        <v>46196.056747685187</v>
      </c>
      <c r="M526" s="106">
        <v>46196.257777777777</v>
      </c>
      <c r="N526" s="106">
        <v>46196.307280092595</v>
      </c>
      <c r="O526" s="106"/>
      <c r="P526" s="106"/>
      <c r="Q526" s="60" t="s">
        <v>2776</v>
      </c>
      <c r="R526" s="60" t="s">
        <v>272</v>
      </c>
      <c r="S526" s="60" t="s">
        <v>187</v>
      </c>
      <c r="T526" s="60" t="s">
        <v>2773</v>
      </c>
      <c r="U526" s="60"/>
      <c r="V526" s="60"/>
      <c r="W526" s="60"/>
      <c r="X526" s="60"/>
      <c r="Y526" s="60"/>
      <c r="Z526" s="61"/>
      <c r="AA526" s="61"/>
      <c r="AB526" s="61"/>
      <c r="AC526" s="61"/>
      <c r="AD526" s="218"/>
      <c r="AE526" s="61"/>
      <c r="AF526" s="61"/>
      <c r="AG526" s="61"/>
      <c r="AH526" s="61"/>
      <c r="AI526" s="61"/>
      <c r="AJ526" s="61"/>
    </row>
    <row r="527" spans="1:36" ht="15" hidden="1" customHeight="1">
      <c r="A527" s="60">
        <v>527</v>
      </c>
      <c r="B527" s="60" t="s">
        <v>26</v>
      </c>
      <c r="C527" s="60" t="s">
        <v>27</v>
      </c>
      <c r="D527" s="60" t="s">
        <v>207</v>
      </c>
      <c r="E527" s="60" t="s">
        <v>3586</v>
      </c>
      <c r="F527" s="60" t="s">
        <v>318</v>
      </c>
      <c r="G527" s="105">
        <v>3</v>
      </c>
      <c r="H527" s="212" t="s">
        <v>2775</v>
      </c>
      <c r="I527" s="105" t="s">
        <v>271</v>
      </c>
      <c r="J527" s="60" t="s">
        <v>2725</v>
      </c>
      <c r="K527" s="106">
        <v>46196.117800925924</v>
      </c>
      <c r="L527" s="106">
        <v>46196.117800925924</v>
      </c>
      <c r="M527" s="106">
        <v>46196.258043981485</v>
      </c>
      <c r="N527" s="106">
        <v>46196.526180555556</v>
      </c>
      <c r="O527" s="106"/>
      <c r="P527" s="106"/>
      <c r="Q527" s="60"/>
      <c r="R527" s="60"/>
      <c r="S527" s="60"/>
      <c r="T527" s="60"/>
      <c r="U527" s="60"/>
      <c r="V527" s="60"/>
      <c r="W527" s="60"/>
      <c r="X527" s="60"/>
      <c r="Y527" s="60"/>
      <c r="Z527" s="61"/>
      <c r="AA527" s="61"/>
      <c r="AB527" s="61"/>
      <c r="AC527" s="61"/>
      <c r="AD527" s="218"/>
      <c r="AE527" s="61"/>
      <c r="AF527" s="61"/>
      <c r="AG527" s="61"/>
      <c r="AH527" s="61"/>
      <c r="AI527" s="61"/>
      <c r="AJ527" s="61"/>
    </row>
    <row r="528" spans="1:36" ht="15" hidden="1" customHeight="1">
      <c r="A528" s="60">
        <v>528</v>
      </c>
      <c r="B528" s="60" t="s">
        <v>26</v>
      </c>
      <c r="C528" s="60" t="s">
        <v>27</v>
      </c>
      <c r="D528" s="60" t="s">
        <v>207</v>
      </c>
      <c r="E528" s="60" t="s">
        <v>3587</v>
      </c>
      <c r="F528" s="60" t="s">
        <v>318</v>
      </c>
      <c r="G528" s="105">
        <v>3</v>
      </c>
      <c r="H528" s="212" t="s">
        <v>2775</v>
      </c>
      <c r="I528" s="105" t="s">
        <v>271</v>
      </c>
      <c r="J528" s="60" t="s">
        <v>2738</v>
      </c>
      <c r="K528" s="62">
        <v>46196.012442129628</v>
      </c>
      <c r="L528" s="106">
        <v>46196.012442129628</v>
      </c>
      <c r="M528" s="106">
        <v>46196.258391203701</v>
      </c>
      <c r="N528" s="106">
        <v>46196.417592592596</v>
      </c>
      <c r="O528" s="106"/>
      <c r="P528" s="106"/>
      <c r="Q528" s="60"/>
      <c r="R528" s="60"/>
      <c r="S528" s="60"/>
      <c r="T528" s="60"/>
      <c r="U528" s="60"/>
      <c r="V528" s="60"/>
      <c r="W528" s="60"/>
      <c r="X528" s="60"/>
      <c r="Y528" s="60"/>
      <c r="Z528" s="61"/>
      <c r="AA528" s="61"/>
      <c r="AB528" s="61"/>
      <c r="AC528" s="61"/>
      <c r="AD528" s="218"/>
      <c r="AE528" s="61"/>
      <c r="AF528" s="61"/>
      <c r="AG528" s="61"/>
      <c r="AH528" s="61"/>
      <c r="AI528" s="61"/>
      <c r="AJ528" s="61"/>
    </row>
    <row r="529" spans="1:36" s="60" customFormat="1" ht="15" hidden="1" customHeight="1">
      <c r="A529" s="60">
        <v>529</v>
      </c>
      <c r="B529" s="60" t="s">
        <v>26</v>
      </c>
      <c r="C529" s="60" t="s">
        <v>27</v>
      </c>
      <c r="D529" s="60" t="s">
        <v>207</v>
      </c>
      <c r="E529" s="60" t="s">
        <v>3588</v>
      </c>
      <c r="F529" s="60" t="s">
        <v>318</v>
      </c>
      <c r="G529" s="105">
        <v>3</v>
      </c>
      <c r="H529" s="212" t="s">
        <v>2724</v>
      </c>
      <c r="I529" s="105" t="s">
        <v>271</v>
      </c>
      <c r="J529" s="60" t="s">
        <v>2751</v>
      </c>
      <c r="K529" s="106">
        <v>46196.040023148147</v>
      </c>
      <c r="L529" s="106">
        <v>46196.040023148147</v>
      </c>
      <c r="M529" s="106">
        <v>46196.258668981478</v>
      </c>
      <c r="N529" s="106">
        <v>46196.324594907404</v>
      </c>
      <c r="O529" s="106"/>
      <c r="P529" s="106"/>
      <c r="Z529" s="61"/>
      <c r="AA529" s="61"/>
      <c r="AB529" s="61"/>
      <c r="AC529" s="61"/>
      <c r="AD529" s="218"/>
      <c r="AE529" s="61"/>
      <c r="AF529" s="61"/>
      <c r="AG529" s="61"/>
      <c r="AH529" s="61"/>
      <c r="AI529" s="61"/>
      <c r="AJ529" s="61"/>
    </row>
    <row r="530" spans="1:36" ht="15" hidden="1" customHeight="1">
      <c r="A530" s="60">
        <v>530</v>
      </c>
      <c r="B530" s="60" t="s">
        <v>26</v>
      </c>
      <c r="C530" s="60" t="s">
        <v>27</v>
      </c>
      <c r="D530" s="60" t="s">
        <v>207</v>
      </c>
      <c r="E530" s="60" t="s">
        <v>3589</v>
      </c>
      <c r="F530" s="60" t="s">
        <v>318</v>
      </c>
      <c r="G530" s="105">
        <v>3</v>
      </c>
      <c r="H530" s="212" t="s">
        <v>2775</v>
      </c>
      <c r="I530" s="105" t="s">
        <v>271</v>
      </c>
      <c r="J530" s="60" t="s">
        <v>2738</v>
      </c>
      <c r="K530" s="106">
        <v>46196.108113425929</v>
      </c>
      <c r="L530" s="106">
        <v>46196.108113425929</v>
      </c>
      <c r="M530" s="106">
        <v>46196.258993055555</v>
      </c>
      <c r="N530" s="106">
        <v>46196.628993055558</v>
      </c>
      <c r="O530" s="106"/>
      <c r="P530" s="106"/>
      <c r="Q530" s="60"/>
      <c r="R530" s="60"/>
      <c r="S530" s="60"/>
      <c r="T530" s="60"/>
      <c r="U530" s="60"/>
      <c r="V530" s="60"/>
      <c r="W530" s="60"/>
      <c r="X530" s="60"/>
      <c r="Y530" s="60"/>
      <c r="Z530" s="61"/>
      <c r="AA530" s="61"/>
      <c r="AB530" s="61"/>
      <c r="AC530" s="61"/>
      <c r="AD530" s="218"/>
      <c r="AE530" s="61"/>
      <c r="AF530" s="61"/>
      <c r="AG530" s="61"/>
      <c r="AH530" s="61"/>
      <c r="AI530" s="61"/>
      <c r="AJ530" s="61"/>
    </row>
    <row r="531" spans="1:36" ht="15" hidden="1" customHeight="1">
      <c r="A531" s="60">
        <v>531</v>
      </c>
      <c r="B531" s="60" t="s">
        <v>26</v>
      </c>
      <c r="C531" s="60" t="s">
        <v>27</v>
      </c>
      <c r="D531" s="60" t="s">
        <v>207</v>
      </c>
      <c r="E531" s="60" t="s">
        <v>3590</v>
      </c>
      <c r="F531" s="60" t="s">
        <v>318</v>
      </c>
      <c r="G531" s="105">
        <v>3</v>
      </c>
      <c r="H531" s="212" t="s">
        <v>3385</v>
      </c>
      <c r="I531" s="105" t="s">
        <v>271</v>
      </c>
      <c r="J531" s="60" t="s">
        <v>2772</v>
      </c>
      <c r="K531" s="106">
        <v>46196.006782407407</v>
      </c>
      <c r="L531" s="106">
        <v>46196.006782407407</v>
      </c>
      <c r="M531" s="106">
        <v>46196.259293981479</v>
      </c>
      <c r="N531" s="106">
        <v>46196.310972222222</v>
      </c>
      <c r="O531" s="106"/>
      <c r="P531" s="106"/>
      <c r="Q531" s="60" t="s">
        <v>2776</v>
      </c>
      <c r="R531" s="60" t="s">
        <v>272</v>
      </c>
      <c r="S531" s="60" t="s">
        <v>187</v>
      </c>
      <c r="T531" s="60" t="s">
        <v>2773</v>
      </c>
      <c r="U531" s="60"/>
      <c r="V531" s="60"/>
      <c r="W531" s="60"/>
      <c r="X531" s="60"/>
      <c r="Y531" s="60"/>
      <c r="Z531" s="61"/>
      <c r="AA531" s="61"/>
      <c r="AB531" s="61"/>
      <c r="AC531" s="61"/>
      <c r="AD531" s="218"/>
      <c r="AE531" s="61"/>
      <c r="AF531" s="61"/>
      <c r="AG531" s="61"/>
      <c r="AH531" s="61"/>
      <c r="AI531" s="61"/>
      <c r="AJ531" s="61"/>
    </row>
    <row r="532" spans="1:36" s="60" customFormat="1" ht="15" hidden="1" customHeight="1">
      <c r="A532" s="60">
        <v>532</v>
      </c>
      <c r="B532" s="60" t="s">
        <v>26</v>
      </c>
      <c r="C532" s="60" t="s">
        <v>27</v>
      </c>
      <c r="D532" s="60" t="s">
        <v>207</v>
      </c>
      <c r="E532" s="60" t="s">
        <v>3591</v>
      </c>
      <c r="F532" s="60" t="s">
        <v>318</v>
      </c>
      <c r="G532" s="105">
        <v>4</v>
      </c>
      <c r="H532" s="212" t="s">
        <v>3592</v>
      </c>
      <c r="I532" s="105" t="s">
        <v>271</v>
      </c>
      <c r="J532" s="60" t="s">
        <v>2827</v>
      </c>
      <c r="K532" s="62">
        <v>46196.270636574074</v>
      </c>
      <c r="L532" s="106">
        <v>46196.270636574074</v>
      </c>
      <c r="M532" s="106">
        <v>46196.2969212963</v>
      </c>
      <c r="N532" s="248">
        <v>46203.75</v>
      </c>
      <c r="O532" s="106"/>
      <c r="P532" s="106"/>
      <c r="Z532" s="61"/>
      <c r="AA532" s="61"/>
      <c r="AB532" s="61"/>
      <c r="AC532" s="61"/>
      <c r="AD532" s="218"/>
      <c r="AE532" s="61"/>
      <c r="AF532" s="61"/>
      <c r="AG532" s="61"/>
      <c r="AH532" s="61"/>
      <c r="AI532" s="61"/>
      <c r="AJ532" s="61"/>
    </row>
    <row r="533" spans="1:36" ht="15" hidden="1" customHeight="1">
      <c r="A533" s="60">
        <v>533</v>
      </c>
      <c r="B533" s="60" t="s">
        <v>26</v>
      </c>
      <c r="C533" s="60" t="s">
        <v>54</v>
      </c>
      <c r="D533" s="60" t="s">
        <v>208</v>
      </c>
      <c r="E533" s="60" t="s">
        <v>3505</v>
      </c>
      <c r="F533" s="60" t="s">
        <v>325</v>
      </c>
      <c r="G533" s="105" t="s">
        <v>208</v>
      </c>
      <c r="H533" s="212" t="s">
        <v>3593</v>
      </c>
      <c r="I533" s="105" t="s">
        <v>271</v>
      </c>
      <c r="J533" s="60" t="s">
        <v>2872</v>
      </c>
      <c r="K533" s="106">
        <v>46184.571400462963</v>
      </c>
      <c r="L533" s="62">
        <v>46188.604409722226</v>
      </c>
      <c r="M533" s="106">
        <v>46188.618090277778</v>
      </c>
      <c r="N533" s="62">
        <v>46189.530405092592</v>
      </c>
      <c r="O533" s="106"/>
      <c r="P533" s="106"/>
      <c r="Q533" s="60"/>
      <c r="R533" s="60"/>
      <c r="S533" s="60"/>
      <c r="T533" s="60"/>
      <c r="U533" s="60"/>
      <c r="V533" s="60"/>
      <c r="W533" s="60"/>
      <c r="X533" s="60"/>
      <c r="Y533" s="60"/>
      <c r="Z533" s="61"/>
      <c r="AA533" s="61"/>
      <c r="AB533" s="61"/>
      <c r="AC533" s="61"/>
      <c r="AD533" s="218"/>
      <c r="AE533" s="61"/>
      <c r="AF533" s="61"/>
      <c r="AG533" s="61"/>
      <c r="AH533" s="61"/>
      <c r="AI533" s="61"/>
      <c r="AJ533" s="61"/>
    </row>
    <row r="534" spans="1:36" ht="15" hidden="1" customHeight="1">
      <c r="A534" s="60">
        <v>534</v>
      </c>
      <c r="B534" s="60" t="s">
        <v>26</v>
      </c>
      <c r="C534" s="60" t="s">
        <v>54</v>
      </c>
      <c r="D534" s="60" t="s">
        <v>208</v>
      </c>
      <c r="E534" s="60" t="s">
        <v>3594</v>
      </c>
      <c r="F534" s="60" t="s">
        <v>325</v>
      </c>
      <c r="G534" s="105" t="s">
        <v>208</v>
      </c>
      <c r="H534" s="212" t="s">
        <v>3595</v>
      </c>
      <c r="I534" s="105" t="s">
        <v>271</v>
      </c>
      <c r="J534" s="60" t="s">
        <v>2872</v>
      </c>
      <c r="K534" s="106">
        <v>46188.778368055559</v>
      </c>
      <c r="L534" s="62">
        <v>46188.794918981483</v>
      </c>
      <c r="M534" s="106">
        <v>46189.402129629627</v>
      </c>
      <c r="N534" s="62">
        <v>46191.861747685187</v>
      </c>
      <c r="O534" s="106"/>
      <c r="P534" s="106"/>
      <c r="Q534" s="60"/>
      <c r="R534" s="60"/>
      <c r="S534" s="60"/>
      <c r="T534" s="60"/>
      <c r="U534" s="60"/>
      <c r="V534" s="60"/>
      <c r="W534" s="60"/>
      <c r="X534" s="60"/>
      <c r="Y534" s="60"/>
      <c r="Z534" s="61"/>
      <c r="AA534" s="61"/>
      <c r="AB534" s="61"/>
      <c r="AC534" s="61"/>
      <c r="AD534" s="218"/>
      <c r="AE534" s="61"/>
      <c r="AF534" s="61"/>
      <c r="AG534" s="61"/>
      <c r="AH534" s="61"/>
      <c r="AI534" s="61"/>
      <c r="AJ534" s="61"/>
    </row>
    <row r="535" spans="1:36" s="60" customFormat="1" ht="15" hidden="1" customHeight="1">
      <c r="A535" s="60">
        <v>535</v>
      </c>
      <c r="B535" s="60" t="s">
        <v>26</v>
      </c>
      <c r="C535" s="60" t="s">
        <v>54</v>
      </c>
      <c r="D535" s="60" t="s">
        <v>208</v>
      </c>
      <c r="E535" s="60" t="s">
        <v>3596</v>
      </c>
      <c r="F535" s="60" t="s">
        <v>325</v>
      </c>
      <c r="G535" s="105" t="s">
        <v>208</v>
      </c>
      <c r="H535" s="212" t="s">
        <v>3597</v>
      </c>
      <c r="I535" s="105" t="s">
        <v>266</v>
      </c>
      <c r="J535" s="60" t="s">
        <v>2872</v>
      </c>
      <c r="K535" s="106">
        <v>46178.714421296296</v>
      </c>
      <c r="L535" s="62">
        <v>46195.481249999997</v>
      </c>
      <c r="M535" s="106">
        <v>46195.489675925928</v>
      </c>
      <c r="N535" s="106"/>
      <c r="O535" s="106"/>
      <c r="P535" s="106"/>
      <c r="Z535" s="61"/>
      <c r="AA535" s="61"/>
      <c r="AB535" s="61"/>
      <c r="AC535" s="61"/>
      <c r="AD535" s="218"/>
      <c r="AE535" s="61"/>
      <c r="AF535" s="61"/>
      <c r="AG535" s="61"/>
      <c r="AH535" s="61"/>
      <c r="AI535" s="61"/>
      <c r="AJ535" s="61"/>
    </row>
    <row r="536" spans="1:36" ht="15" hidden="1" customHeight="1">
      <c r="A536" s="60">
        <v>536</v>
      </c>
      <c r="B536" s="60" t="s">
        <v>26</v>
      </c>
      <c r="C536" s="60" t="s">
        <v>54</v>
      </c>
      <c r="D536" s="60" t="s">
        <v>208</v>
      </c>
      <c r="E536" s="60" t="s">
        <v>3598</v>
      </c>
      <c r="F536" s="60" t="s">
        <v>325</v>
      </c>
      <c r="G536" s="105" t="s">
        <v>208</v>
      </c>
      <c r="H536" s="212" t="s">
        <v>3599</v>
      </c>
      <c r="I536" s="105" t="s">
        <v>271</v>
      </c>
      <c r="J536" s="60" t="s">
        <v>2872</v>
      </c>
      <c r="K536" s="106">
        <v>46190.562928240739</v>
      </c>
      <c r="L536" s="62">
        <v>46190.562928240739</v>
      </c>
      <c r="M536" s="106">
        <v>46190.613483796296</v>
      </c>
      <c r="N536" s="62">
        <v>46191.659849537034</v>
      </c>
      <c r="O536" s="106"/>
      <c r="P536" s="106"/>
      <c r="Q536" s="60"/>
      <c r="R536" s="60"/>
      <c r="S536" s="60"/>
      <c r="T536" s="60"/>
      <c r="U536" s="60"/>
      <c r="V536" s="60"/>
      <c r="W536" s="60"/>
      <c r="X536" s="60"/>
      <c r="Y536" s="60"/>
      <c r="Z536" s="61"/>
      <c r="AA536" s="61"/>
      <c r="AB536" s="61"/>
      <c r="AC536" s="61"/>
      <c r="AD536" s="218"/>
      <c r="AE536" s="61"/>
      <c r="AF536" s="61"/>
      <c r="AG536" s="61"/>
      <c r="AH536" s="61"/>
      <c r="AI536" s="61"/>
      <c r="AJ536" s="61"/>
    </row>
    <row r="537" spans="1:36" ht="15" hidden="1" customHeight="1">
      <c r="A537" s="60">
        <v>537</v>
      </c>
      <c r="B537" s="60" t="s">
        <v>26</v>
      </c>
      <c r="C537" s="60" t="s">
        <v>54</v>
      </c>
      <c r="D537" s="60" t="s">
        <v>208</v>
      </c>
      <c r="E537" s="60" t="s">
        <v>3600</v>
      </c>
      <c r="F537" s="60" t="s">
        <v>325</v>
      </c>
      <c r="G537" s="105" t="s">
        <v>208</v>
      </c>
      <c r="H537" s="212" t="s">
        <v>3601</v>
      </c>
      <c r="I537" s="105" t="s">
        <v>271</v>
      </c>
      <c r="J537" s="60" t="s">
        <v>2872</v>
      </c>
      <c r="K537" s="106">
        <v>46190.600868055553</v>
      </c>
      <c r="L537" s="62">
        <v>46190.600868055553</v>
      </c>
      <c r="M537" s="106">
        <v>46190.613749999997</v>
      </c>
      <c r="N537" s="62">
        <v>46192.638738425929</v>
      </c>
      <c r="O537" s="106"/>
      <c r="P537" s="106"/>
      <c r="Q537" s="60"/>
      <c r="R537" s="60"/>
      <c r="S537" s="60"/>
      <c r="T537" s="60"/>
      <c r="U537" s="60"/>
      <c r="V537" s="60"/>
      <c r="W537" s="60"/>
      <c r="X537" s="60"/>
      <c r="Y537" s="60"/>
      <c r="Z537" s="61"/>
      <c r="AA537" s="61"/>
      <c r="AB537" s="61"/>
      <c r="AC537" s="61"/>
      <c r="AD537" s="218"/>
      <c r="AE537" s="61"/>
      <c r="AF537" s="61"/>
      <c r="AG537" s="61"/>
      <c r="AH537" s="61"/>
      <c r="AI537" s="61"/>
      <c r="AJ537" s="61"/>
    </row>
    <row r="538" spans="1:36" s="60" customFormat="1" ht="15" hidden="1" customHeight="1">
      <c r="A538" s="60">
        <v>538</v>
      </c>
      <c r="B538" s="60" t="s">
        <v>26</v>
      </c>
      <c r="C538" s="60" t="s">
        <v>54</v>
      </c>
      <c r="D538" s="60" t="s">
        <v>208</v>
      </c>
      <c r="E538" s="60" t="s">
        <v>3602</v>
      </c>
      <c r="F538" s="60" t="s">
        <v>325</v>
      </c>
      <c r="G538" s="105" t="s">
        <v>208</v>
      </c>
      <c r="H538" s="212" t="s">
        <v>3603</v>
      </c>
      <c r="I538" s="105" t="s">
        <v>271</v>
      </c>
      <c r="J538" s="60" t="s">
        <v>2872</v>
      </c>
      <c r="K538" s="106">
        <v>46190.677905092591</v>
      </c>
      <c r="L538" s="62">
        <v>46190.677905092591</v>
      </c>
      <c r="M538" s="106">
        <v>46190.686678240738</v>
      </c>
      <c r="N538" s="62">
        <v>46198.511608796296</v>
      </c>
      <c r="O538" s="106"/>
      <c r="P538" s="106"/>
      <c r="Z538" s="61"/>
      <c r="AA538" s="61"/>
      <c r="AB538" s="61"/>
      <c r="AC538" s="61"/>
      <c r="AD538" s="218"/>
      <c r="AE538" s="61"/>
      <c r="AF538" s="61"/>
      <c r="AG538" s="61"/>
      <c r="AH538" s="61"/>
      <c r="AI538" s="61"/>
      <c r="AJ538" s="61"/>
    </row>
    <row r="539" spans="1:36" ht="15" hidden="1" customHeight="1">
      <c r="A539" s="60">
        <v>539</v>
      </c>
      <c r="B539" s="60" t="s">
        <v>26</v>
      </c>
      <c r="C539" s="60" t="s">
        <v>54</v>
      </c>
      <c r="D539" s="60" t="s">
        <v>208</v>
      </c>
      <c r="E539" s="60" t="s">
        <v>3604</v>
      </c>
      <c r="F539" s="60" t="s">
        <v>325</v>
      </c>
      <c r="G539" s="105" t="s">
        <v>208</v>
      </c>
      <c r="H539" s="212" t="s">
        <v>3605</v>
      </c>
      <c r="I539" s="105" t="s">
        <v>271</v>
      </c>
      <c r="J539" s="60" t="s">
        <v>2872</v>
      </c>
      <c r="K539" s="106">
        <v>46182.513622685183</v>
      </c>
      <c r="L539" s="62">
        <v>46190.820798611108</v>
      </c>
      <c r="M539" s="106">
        <v>46191.402592592596</v>
      </c>
      <c r="N539" s="62">
        <v>46191.860543981478</v>
      </c>
      <c r="O539" s="106"/>
      <c r="P539" s="106"/>
      <c r="Q539" s="60"/>
      <c r="R539" s="60"/>
      <c r="S539" s="60"/>
      <c r="T539" s="60"/>
      <c r="U539" s="60"/>
      <c r="V539" s="60"/>
      <c r="W539" s="60"/>
      <c r="X539" s="60"/>
      <c r="Y539" s="60"/>
      <c r="Z539" s="61"/>
      <c r="AA539" s="61"/>
      <c r="AB539" s="61"/>
      <c r="AC539" s="61"/>
      <c r="AD539" s="218"/>
      <c r="AE539" s="61"/>
      <c r="AF539" s="61"/>
      <c r="AG539" s="61"/>
      <c r="AH539" s="61"/>
      <c r="AI539" s="61"/>
      <c r="AJ539" s="61"/>
    </row>
    <row r="540" spans="1:36" ht="15" hidden="1" customHeight="1">
      <c r="A540" s="60">
        <v>540</v>
      </c>
      <c r="B540" s="60" t="s">
        <v>26</v>
      </c>
      <c r="C540" s="60" t="s">
        <v>54</v>
      </c>
      <c r="D540" s="60" t="s">
        <v>208</v>
      </c>
      <c r="E540" s="60" t="s">
        <v>3606</v>
      </c>
      <c r="F540" s="60" t="s">
        <v>325</v>
      </c>
      <c r="G540" s="105" t="s">
        <v>208</v>
      </c>
      <c r="H540" s="212" t="s">
        <v>3607</v>
      </c>
      <c r="I540" s="105" t="s">
        <v>275</v>
      </c>
      <c r="J540" s="60" t="s">
        <v>2872</v>
      </c>
      <c r="K540" s="62">
        <v>46171.81858796296</v>
      </c>
      <c r="L540" s="62">
        <v>46190.805150462962</v>
      </c>
      <c r="M540" s="106">
        <v>46191.402939814812</v>
      </c>
      <c r="N540" s="62">
        <v>46191.610636574071</v>
      </c>
      <c r="O540" s="106"/>
      <c r="P540" s="106"/>
      <c r="Q540" s="60"/>
      <c r="R540" s="60"/>
      <c r="S540" s="60"/>
      <c r="T540" s="60"/>
      <c r="U540" s="60"/>
      <c r="V540" s="60"/>
      <c r="W540" s="60"/>
      <c r="X540" s="60"/>
      <c r="Y540" s="60"/>
      <c r="Z540" s="61"/>
      <c r="AA540" s="61"/>
      <c r="AB540" s="61"/>
      <c r="AC540" s="61"/>
      <c r="AD540" s="218"/>
      <c r="AE540" s="61"/>
      <c r="AF540" s="61"/>
      <c r="AG540" s="61"/>
      <c r="AH540" s="61"/>
      <c r="AI540" s="61"/>
      <c r="AJ540" s="61"/>
    </row>
    <row r="541" spans="1:36" ht="15" hidden="1" customHeight="1">
      <c r="A541" s="60">
        <v>541</v>
      </c>
      <c r="B541" s="60" t="s">
        <v>26</v>
      </c>
      <c r="C541" s="60" t="s">
        <v>54</v>
      </c>
      <c r="D541" s="60" t="s">
        <v>208</v>
      </c>
      <c r="E541" s="60" t="s">
        <v>3608</v>
      </c>
      <c r="F541" s="60" t="s">
        <v>325</v>
      </c>
      <c r="G541" s="105" t="s">
        <v>208</v>
      </c>
      <c r="H541" s="212" t="s">
        <v>3609</v>
      </c>
      <c r="I541" s="105" t="s">
        <v>271</v>
      </c>
      <c r="J541" s="60" t="s">
        <v>2694</v>
      </c>
      <c r="K541" s="106">
        <v>46191.695497685185</v>
      </c>
      <c r="L541" s="62">
        <v>46191.695497685185</v>
      </c>
      <c r="M541" s="106">
        <v>46191.785902777781</v>
      </c>
      <c r="N541" s="62">
        <v>46192.501076388886</v>
      </c>
      <c r="O541" s="106"/>
      <c r="P541" s="106"/>
      <c r="Q541" s="60"/>
      <c r="R541" s="60"/>
      <c r="S541" s="60"/>
      <c r="T541" s="60"/>
      <c r="U541" s="60"/>
      <c r="V541" s="60"/>
      <c r="W541" s="60"/>
      <c r="X541" s="60"/>
      <c r="Y541" s="60"/>
      <c r="Z541" s="61"/>
      <c r="AA541" s="61"/>
      <c r="AB541" s="61"/>
      <c r="AC541" s="61"/>
      <c r="AD541" s="218"/>
      <c r="AE541" s="61"/>
      <c r="AF541" s="61"/>
      <c r="AG541" s="61"/>
      <c r="AH541" s="61"/>
      <c r="AI541" s="61"/>
      <c r="AJ541" s="61"/>
    </row>
    <row r="542" spans="1:36" ht="15" hidden="1" customHeight="1">
      <c r="A542" s="60">
        <v>542</v>
      </c>
      <c r="B542" s="60" t="s">
        <v>26</v>
      </c>
      <c r="C542" s="60" t="s">
        <v>54</v>
      </c>
      <c r="D542" s="60" t="s">
        <v>208</v>
      </c>
      <c r="E542" s="60" t="s">
        <v>3610</v>
      </c>
      <c r="F542" s="60" t="s">
        <v>325</v>
      </c>
      <c r="G542" s="105" t="s">
        <v>208</v>
      </c>
      <c r="H542" s="212" t="s">
        <v>2866</v>
      </c>
      <c r="I542" s="105" t="s">
        <v>271</v>
      </c>
      <c r="J542" s="60" t="s">
        <v>2697</v>
      </c>
      <c r="K542" s="106">
        <v>46191.925439814811</v>
      </c>
      <c r="L542" s="62">
        <v>46192.580462962964</v>
      </c>
      <c r="M542" s="106">
        <v>46192.582569444443</v>
      </c>
      <c r="N542" s="62">
        <v>46195.688819444447</v>
      </c>
      <c r="O542" s="106"/>
      <c r="P542" s="106"/>
      <c r="Q542" s="60"/>
      <c r="R542" s="60"/>
      <c r="S542" s="60"/>
      <c r="T542" s="60"/>
      <c r="U542" s="60"/>
      <c r="V542" s="60"/>
      <c r="W542" s="60"/>
      <c r="X542" s="60"/>
      <c r="Y542" s="60"/>
      <c r="Z542" s="61"/>
      <c r="AA542" s="61"/>
      <c r="AB542" s="61"/>
      <c r="AC542" s="61"/>
      <c r="AD542" s="218"/>
      <c r="AE542" s="61"/>
      <c r="AF542" s="61"/>
      <c r="AG542" s="61"/>
      <c r="AH542" s="61"/>
      <c r="AI542" s="61"/>
      <c r="AJ542" s="61"/>
    </row>
    <row r="543" spans="1:36" s="60" customFormat="1" ht="15" hidden="1" customHeight="1">
      <c r="A543" s="60">
        <v>543</v>
      </c>
      <c r="B543" s="60" t="s">
        <v>26</v>
      </c>
      <c r="C543" s="60" t="s">
        <v>54</v>
      </c>
      <c r="D543" s="60" t="s">
        <v>207</v>
      </c>
      <c r="E543" s="60" t="s">
        <v>3611</v>
      </c>
      <c r="F543" s="60" t="s">
        <v>325</v>
      </c>
      <c r="G543" s="105">
        <v>4</v>
      </c>
      <c r="H543" s="212" t="s">
        <v>3612</v>
      </c>
      <c r="I543" s="105" t="s">
        <v>275</v>
      </c>
      <c r="J543" s="60" t="s">
        <v>2872</v>
      </c>
      <c r="K543" s="106">
        <v>46192.774247685185</v>
      </c>
      <c r="L543" s="62">
        <v>46192.789583333331</v>
      </c>
      <c r="M543" s="106">
        <v>46192.821643518517</v>
      </c>
      <c r="N543" s="62">
        <v>46198.289039351854</v>
      </c>
      <c r="O543" s="106"/>
      <c r="P543" s="106"/>
      <c r="Z543" s="61"/>
      <c r="AA543" s="61"/>
      <c r="AB543" s="61"/>
      <c r="AC543" s="61"/>
      <c r="AD543" s="218"/>
      <c r="AE543" s="61"/>
      <c r="AF543" s="61"/>
      <c r="AG543" s="61"/>
      <c r="AH543" s="61"/>
      <c r="AI543" s="61"/>
      <c r="AJ543" s="61"/>
    </row>
    <row r="544" spans="1:36" s="60" customFormat="1" ht="15" hidden="1" customHeight="1">
      <c r="A544" s="60">
        <v>544</v>
      </c>
      <c r="B544" s="60" t="s">
        <v>26</v>
      </c>
      <c r="C544" s="60" t="s">
        <v>27</v>
      </c>
      <c r="D544" s="60" t="s">
        <v>207</v>
      </c>
      <c r="E544" s="60" t="s">
        <v>3613</v>
      </c>
      <c r="F544" s="60" t="s">
        <v>318</v>
      </c>
      <c r="G544" s="105">
        <v>3</v>
      </c>
      <c r="H544" s="212" t="s">
        <v>2707</v>
      </c>
      <c r="I544" s="105" t="s">
        <v>271</v>
      </c>
      <c r="J544" s="60" t="s">
        <v>2708</v>
      </c>
      <c r="K544" s="106">
        <v>46190.661724537036</v>
      </c>
      <c r="L544" s="62">
        <v>46190.663553240738</v>
      </c>
      <c r="M544" s="106">
        <v>46191.251006944447</v>
      </c>
      <c r="N544" s="106">
        <v>46191.262986111113</v>
      </c>
      <c r="O544" s="106"/>
      <c r="P544" s="106"/>
      <c r="Q544" s="60" t="s">
        <v>2709</v>
      </c>
      <c r="R544" s="60" t="s">
        <v>272</v>
      </c>
      <c r="S544" s="60" t="s">
        <v>161</v>
      </c>
      <c r="Z544" s="61"/>
      <c r="AA544" s="61"/>
      <c r="AB544" s="61"/>
      <c r="AC544" s="61"/>
      <c r="AD544" s="218"/>
      <c r="AE544" s="61"/>
      <c r="AF544" s="61"/>
      <c r="AG544" s="61"/>
      <c r="AH544" s="61"/>
      <c r="AI544" s="61"/>
      <c r="AJ544" s="61"/>
    </row>
    <row r="545" spans="1:36" s="60" customFormat="1" ht="15" hidden="1" customHeight="1">
      <c r="A545" s="60">
        <v>545</v>
      </c>
      <c r="B545" s="60" t="s">
        <v>26</v>
      </c>
      <c r="C545" s="60" t="s">
        <v>27</v>
      </c>
      <c r="D545" s="60" t="s">
        <v>207</v>
      </c>
      <c r="E545" s="60" t="s">
        <v>3614</v>
      </c>
      <c r="F545" s="60" t="s">
        <v>318</v>
      </c>
      <c r="G545" s="105">
        <v>3</v>
      </c>
      <c r="H545" s="212" t="s">
        <v>3615</v>
      </c>
      <c r="I545" s="105" t="s">
        <v>271</v>
      </c>
      <c r="J545" s="60" t="s">
        <v>2751</v>
      </c>
      <c r="K545" s="106">
        <v>46190.781145833331</v>
      </c>
      <c r="L545" s="62">
        <v>46190.790960648148</v>
      </c>
      <c r="M545" s="106">
        <v>46191.25209490741</v>
      </c>
      <c r="N545" s="106">
        <v>46192.34815972222</v>
      </c>
      <c r="O545" s="106"/>
      <c r="P545" s="106"/>
      <c r="Z545" s="61"/>
      <c r="AA545" s="61"/>
      <c r="AB545" s="61"/>
      <c r="AC545" s="61"/>
      <c r="AD545" s="218"/>
      <c r="AE545" s="61"/>
      <c r="AF545" s="61"/>
      <c r="AG545" s="61"/>
      <c r="AH545" s="61"/>
      <c r="AI545" s="61"/>
      <c r="AJ545" s="61"/>
    </row>
    <row r="546" spans="1:36" ht="15" hidden="1" customHeight="1">
      <c r="A546" s="60">
        <v>546</v>
      </c>
      <c r="B546" s="60" t="s">
        <v>26</v>
      </c>
      <c r="C546" s="60" t="s">
        <v>27</v>
      </c>
      <c r="D546" s="60" t="s">
        <v>207</v>
      </c>
      <c r="E546" s="60" t="s">
        <v>3616</v>
      </c>
      <c r="F546" s="60" t="s">
        <v>318</v>
      </c>
      <c r="G546" s="105">
        <v>3</v>
      </c>
      <c r="H546" s="212" t="s">
        <v>2724</v>
      </c>
      <c r="I546" s="105" t="s">
        <v>271</v>
      </c>
      <c r="J546" s="60" t="s">
        <v>2772</v>
      </c>
      <c r="K546" s="106">
        <v>46190.784594907411</v>
      </c>
      <c r="L546" s="62">
        <v>46190.78465277778</v>
      </c>
      <c r="M546" s="106">
        <v>46191.253182870372</v>
      </c>
      <c r="N546" s="62">
        <v>46191.289780092593</v>
      </c>
      <c r="O546" s="106"/>
      <c r="P546" s="106"/>
      <c r="Q546" s="60" t="s">
        <v>2726</v>
      </c>
      <c r="R546" s="60" t="s">
        <v>272</v>
      </c>
      <c r="S546" s="60" t="s">
        <v>187</v>
      </c>
      <c r="T546" s="60" t="s">
        <v>2773</v>
      </c>
      <c r="U546" s="60"/>
      <c r="V546" s="60"/>
      <c r="W546" s="60"/>
      <c r="X546" s="60"/>
      <c r="Y546" s="60"/>
      <c r="Z546" s="61"/>
      <c r="AA546" s="61"/>
      <c r="AB546" s="61"/>
      <c r="AC546" s="61"/>
      <c r="AD546" s="218"/>
      <c r="AE546" s="61"/>
      <c r="AF546" s="61"/>
      <c r="AG546" s="61"/>
      <c r="AH546" s="61"/>
      <c r="AI546" s="61"/>
      <c r="AJ546" s="61"/>
    </row>
    <row r="547" spans="1:36" ht="15" hidden="1" customHeight="1">
      <c r="A547" s="60">
        <v>547</v>
      </c>
      <c r="B547" s="60" t="s">
        <v>26</v>
      </c>
      <c r="C547" s="60" t="s">
        <v>27</v>
      </c>
      <c r="D547" s="60" t="s">
        <v>207</v>
      </c>
      <c r="E547" s="60" t="s">
        <v>3617</v>
      </c>
      <c r="F547" s="60" t="s">
        <v>318</v>
      </c>
      <c r="G547" s="105">
        <v>4</v>
      </c>
      <c r="H547" s="212" t="s">
        <v>3618</v>
      </c>
      <c r="I547" s="105" t="s">
        <v>266</v>
      </c>
      <c r="J547" s="60" t="s">
        <v>2703</v>
      </c>
      <c r="K547" s="106">
        <v>46190.642002314817</v>
      </c>
      <c r="L547" s="62">
        <v>46190.642129629632</v>
      </c>
      <c r="M547" s="106">
        <v>46191.255196759259</v>
      </c>
      <c r="N547" s="106"/>
      <c r="O547" s="62">
        <v>46191.505300925928</v>
      </c>
      <c r="P547" s="106"/>
      <c r="Q547" s="60"/>
      <c r="R547" s="60"/>
      <c r="S547" s="60"/>
      <c r="T547" s="60"/>
      <c r="U547" s="60"/>
      <c r="V547" s="60"/>
      <c r="W547" s="60"/>
      <c r="X547" s="60"/>
      <c r="Y547" s="106"/>
      <c r="Z547" s="61"/>
      <c r="AA547" s="61"/>
      <c r="AB547" s="61"/>
      <c r="AC547" s="61"/>
      <c r="AD547" s="218"/>
      <c r="AE547" s="61"/>
      <c r="AF547" s="61"/>
      <c r="AG547" s="61"/>
      <c r="AH547" s="61"/>
      <c r="AI547" s="61"/>
      <c r="AJ547" s="61"/>
    </row>
    <row r="548" spans="1:36" ht="15" hidden="1" customHeight="1">
      <c r="A548" s="60">
        <v>548</v>
      </c>
      <c r="B548" s="60" t="s">
        <v>26</v>
      </c>
      <c r="C548" s="60" t="s">
        <v>27</v>
      </c>
      <c r="D548" s="60" t="s">
        <v>207</v>
      </c>
      <c r="E548" s="60" t="s">
        <v>3469</v>
      </c>
      <c r="F548" s="60" t="s">
        <v>318</v>
      </c>
      <c r="G548" s="105">
        <v>4</v>
      </c>
      <c r="H548" s="212" t="s">
        <v>3470</v>
      </c>
      <c r="I548" s="105" t="s">
        <v>271</v>
      </c>
      <c r="J548" s="60" t="s">
        <v>2738</v>
      </c>
      <c r="K548" s="106">
        <v>46189.559675925928</v>
      </c>
      <c r="L548" s="62">
        <v>46191.496990740743</v>
      </c>
      <c r="M548" s="106">
        <v>46191.627986111111</v>
      </c>
      <c r="N548" s="62">
        <v>46192.469143518516</v>
      </c>
      <c r="O548" s="106"/>
      <c r="P548" s="106"/>
      <c r="Q548" s="60"/>
      <c r="R548" s="60"/>
      <c r="S548" s="60"/>
      <c r="T548" s="60"/>
      <c r="U548" s="60"/>
      <c r="V548" s="60"/>
      <c r="W548" s="60"/>
      <c r="X548" s="60"/>
      <c r="Y548" s="60"/>
      <c r="Z548" s="61"/>
      <c r="AA548" s="61"/>
      <c r="AB548" s="61"/>
      <c r="AC548" s="61"/>
      <c r="AD548" s="218"/>
      <c r="AE548" s="61"/>
      <c r="AF548" s="61"/>
      <c r="AG548" s="61"/>
      <c r="AH548" s="61"/>
      <c r="AI548" s="61"/>
      <c r="AJ548" s="61"/>
    </row>
    <row r="549" spans="1:36" ht="15" hidden="1" customHeight="1">
      <c r="A549" s="60">
        <v>549</v>
      </c>
      <c r="B549" s="60" t="s">
        <v>26</v>
      </c>
      <c r="C549" s="60" t="s">
        <v>54</v>
      </c>
      <c r="D549" s="60" t="s">
        <v>208</v>
      </c>
      <c r="E549" s="60" t="s">
        <v>3596</v>
      </c>
      <c r="F549" s="60" t="s">
        <v>325</v>
      </c>
      <c r="G549" s="105" t="s">
        <v>208</v>
      </c>
      <c r="H549" s="212" t="s">
        <v>3597</v>
      </c>
      <c r="I549" s="105" t="s">
        <v>275</v>
      </c>
      <c r="J549" s="60" t="s">
        <v>2872</v>
      </c>
      <c r="K549" s="106">
        <v>46178.714421296296</v>
      </c>
      <c r="L549" s="62">
        <v>46189.788402777776</v>
      </c>
      <c r="M549" s="106">
        <v>46190.431319444448</v>
      </c>
      <c r="N549" s="62">
        <v>46191.674502314818</v>
      </c>
      <c r="O549" s="106"/>
      <c r="P549" s="106"/>
      <c r="Q549" s="60"/>
      <c r="R549" s="60"/>
      <c r="S549" s="60"/>
      <c r="T549" s="60"/>
      <c r="U549" s="60"/>
      <c r="V549" s="60"/>
      <c r="W549" s="60"/>
      <c r="X549" s="60"/>
      <c r="Y549" s="60"/>
      <c r="Z549" s="61"/>
      <c r="AA549" s="61"/>
      <c r="AB549" s="61"/>
      <c r="AC549" s="61"/>
      <c r="AD549" s="218"/>
      <c r="AE549" s="61"/>
      <c r="AF549" s="61"/>
      <c r="AG549" s="61"/>
      <c r="AH549" s="61"/>
      <c r="AI549" s="61"/>
      <c r="AJ549" s="61"/>
    </row>
    <row r="550" spans="1:36" ht="15" customHeight="1">
      <c r="A550" s="60">
        <v>550</v>
      </c>
      <c r="B550" s="60" t="s">
        <v>26</v>
      </c>
      <c r="C550" s="60" t="s">
        <v>54</v>
      </c>
      <c r="D550" s="60" t="s">
        <v>207</v>
      </c>
      <c r="E550" s="60" t="s">
        <v>3619</v>
      </c>
      <c r="F550" s="60" t="s">
        <v>53</v>
      </c>
      <c r="G550" s="105">
        <v>3</v>
      </c>
      <c r="H550" s="212" t="s">
        <v>3620</v>
      </c>
      <c r="I550" s="105" t="s">
        <v>271</v>
      </c>
      <c r="J550" s="291" t="s">
        <v>2697</v>
      </c>
      <c r="K550" s="106">
        <v>46191.606516203705</v>
      </c>
      <c r="L550" s="62">
        <v>46191.606516203705</v>
      </c>
      <c r="M550" s="106">
        <v>46192.282314814816</v>
      </c>
      <c r="N550" s="62">
        <v>46196.314131944448</v>
      </c>
      <c r="O550" s="62">
        <v>46192.314328703702</v>
      </c>
      <c r="P550" s="62">
        <v>46196.314131944448</v>
      </c>
      <c r="Q550" s="60" t="s">
        <v>2816</v>
      </c>
      <c r="R550" s="60"/>
      <c r="S550" s="60"/>
      <c r="T550" s="60"/>
      <c r="U550" s="60"/>
      <c r="V550" s="60"/>
      <c r="W550" s="60"/>
      <c r="X550" s="60"/>
      <c r="Y550" s="60"/>
      <c r="Z550" s="61"/>
      <c r="AA550" s="61"/>
      <c r="AB550" s="61"/>
      <c r="AC550" s="61"/>
      <c r="AD550" s="218"/>
      <c r="AE550" s="61"/>
      <c r="AF550" s="61"/>
      <c r="AG550" s="61"/>
      <c r="AH550" s="61"/>
      <c r="AI550" s="61"/>
      <c r="AJ550" s="61"/>
    </row>
    <row r="551" spans="1:36" ht="15" customHeight="1">
      <c r="A551" s="60">
        <v>551</v>
      </c>
      <c r="B551" s="60" t="s">
        <v>26</v>
      </c>
      <c r="C551" s="60" t="s">
        <v>54</v>
      </c>
      <c r="D551" s="60" t="s">
        <v>207</v>
      </c>
      <c r="E551" s="60" t="s">
        <v>3621</v>
      </c>
      <c r="F551" s="60" t="s">
        <v>53</v>
      </c>
      <c r="G551" s="105">
        <v>3</v>
      </c>
      <c r="H551" s="212" t="s">
        <v>3622</v>
      </c>
      <c r="I551" s="105" t="s">
        <v>275</v>
      </c>
      <c r="J551" s="291" t="s">
        <v>2694</v>
      </c>
      <c r="K551" s="106">
        <v>46192.480925925927</v>
      </c>
      <c r="L551" s="62">
        <v>46192.480925925927</v>
      </c>
      <c r="M551" s="106">
        <v>46192.48541666667</v>
      </c>
      <c r="N551" s="62">
        <v>46192.48541666667</v>
      </c>
      <c r="O551" s="106"/>
      <c r="P551" s="106"/>
      <c r="Q551" s="60"/>
      <c r="R551" s="60"/>
      <c r="S551" s="60"/>
      <c r="T551" s="60"/>
      <c r="U551" s="60"/>
      <c r="V551" s="60"/>
      <c r="W551" s="60"/>
      <c r="X551" s="60"/>
      <c r="Y551" s="60"/>
      <c r="Z551" s="61"/>
      <c r="AA551" s="61"/>
      <c r="AB551" s="61"/>
      <c r="AC551" s="61"/>
      <c r="AD551" s="218"/>
      <c r="AE551" s="61"/>
      <c r="AF551" s="61"/>
      <c r="AG551" s="61"/>
      <c r="AH551" s="61"/>
      <c r="AI551" s="61"/>
      <c r="AJ551" s="61"/>
    </row>
    <row r="552" spans="1:36" ht="15" customHeight="1">
      <c r="A552" s="60">
        <v>552</v>
      </c>
      <c r="B552" s="60" t="s">
        <v>26</v>
      </c>
      <c r="C552" s="60" t="s">
        <v>54</v>
      </c>
      <c r="D552" s="60" t="s">
        <v>207</v>
      </c>
      <c r="E552" s="60" t="s">
        <v>3623</v>
      </c>
      <c r="F552" s="60" t="s">
        <v>53</v>
      </c>
      <c r="G552" s="105">
        <v>4</v>
      </c>
      <c r="H552" s="212" t="s">
        <v>3624</v>
      </c>
      <c r="I552" s="105" t="s">
        <v>266</v>
      </c>
      <c r="J552" s="291" t="s">
        <v>2703</v>
      </c>
      <c r="K552" s="106">
        <v>46192.504513888889</v>
      </c>
      <c r="L552" s="62">
        <v>46192.504513888889</v>
      </c>
      <c r="M552" s="106">
        <v>46192.537002314813</v>
      </c>
      <c r="N552" s="106"/>
      <c r="O552" s="62">
        <v>46192.682592592595</v>
      </c>
      <c r="P552" s="106"/>
      <c r="Q552" s="60"/>
      <c r="R552" s="60"/>
      <c r="S552" s="60"/>
      <c r="T552" s="60"/>
      <c r="U552" s="60"/>
      <c r="V552" s="60"/>
      <c r="W552" s="60"/>
      <c r="X552" s="60"/>
      <c r="Y552" s="60"/>
      <c r="Z552" s="61"/>
      <c r="AA552" s="61"/>
      <c r="AB552" s="61"/>
      <c r="AC552" s="61"/>
      <c r="AD552" s="218"/>
      <c r="AE552" s="61"/>
      <c r="AF552" s="61"/>
      <c r="AG552" s="61"/>
      <c r="AH552" s="61"/>
      <c r="AI552" s="61"/>
      <c r="AJ552" s="61"/>
    </row>
    <row r="553" spans="1:36" ht="15" customHeight="1">
      <c r="A553" s="60">
        <v>553</v>
      </c>
      <c r="B553" s="60" t="s">
        <v>26</v>
      </c>
      <c r="C553" s="60" t="s">
        <v>54</v>
      </c>
      <c r="D553" s="60" t="s">
        <v>207</v>
      </c>
      <c r="E553" s="60" t="s">
        <v>3625</v>
      </c>
      <c r="F553" s="60" t="s">
        <v>53</v>
      </c>
      <c r="G553" s="105">
        <v>3</v>
      </c>
      <c r="H553" s="212" t="s">
        <v>3626</v>
      </c>
      <c r="I553" s="105" t="s">
        <v>275</v>
      </c>
      <c r="J553" s="291" t="s">
        <v>2694</v>
      </c>
      <c r="K553" s="106">
        <v>46192.517604166664</v>
      </c>
      <c r="L553" s="62">
        <v>46192.517604166664</v>
      </c>
      <c r="M553" s="106">
        <v>46192.538437499999</v>
      </c>
      <c r="N553" s="62">
        <v>46195.587812500002</v>
      </c>
      <c r="O553" s="106"/>
      <c r="P553" s="106"/>
      <c r="Q553" s="60"/>
      <c r="R553" s="60"/>
      <c r="S553" s="60"/>
      <c r="T553" s="60"/>
      <c r="U553" s="60"/>
      <c r="V553" s="60"/>
      <c r="W553" s="60"/>
      <c r="X553" s="60"/>
      <c r="Y553" s="60"/>
      <c r="Z553" s="61"/>
      <c r="AA553" s="61"/>
      <c r="AB553" s="61"/>
      <c r="AC553" s="61"/>
      <c r="AD553" s="218"/>
      <c r="AE553" s="61"/>
      <c r="AF553" s="61"/>
      <c r="AG553" s="61"/>
      <c r="AH553" s="61"/>
      <c r="AI553" s="61"/>
      <c r="AJ553" s="61"/>
    </row>
    <row r="554" spans="1:36" ht="15" hidden="1" customHeight="1">
      <c r="A554" s="60">
        <v>554</v>
      </c>
      <c r="B554" s="60" t="s">
        <v>26</v>
      </c>
      <c r="C554" s="60" t="s">
        <v>27</v>
      </c>
      <c r="D554" s="60" t="s">
        <v>207</v>
      </c>
      <c r="E554" s="60" t="s">
        <v>3627</v>
      </c>
      <c r="F554" s="60" t="s">
        <v>318</v>
      </c>
      <c r="G554" s="105">
        <v>3</v>
      </c>
      <c r="H554" s="212" t="s">
        <v>3628</v>
      </c>
      <c r="I554" s="105" t="s">
        <v>271</v>
      </c>
      <c r="J554" s="60" t="s">
        <v>2725</v>
      </c>
      <c r="K554" s="106">
        <v>46196.377025462964</v>
      </c>
      <c r="L554" s="106">
        <v>46196.380231481482</v>
      </c>
      <c r="M554" s="106">
        <v>46196.403749999998</v>
      </c>
      <c r="N554" s="106">
        <v>46196.527569444443</v>
      </c>
      <c r="O554" s="106"/>
      <c r="P554" s="106"/>
      <c r="Q554" s="60"/>
      <c r="R554" s="60"/>
      <c r="S554" s="60"/>
      <c r="T554" s="60"/>
      <c r="U554" s="60"/>
      <c r="V554" s="60"/>
      <c r="W554" s="60"/>
      <c r="X554" s="60"/>
      <c r="Y554" s="60"/>
      <c r="Z554" s="61"/>
      <c r="AA554" s="61"/>
      <c r="AB554" s="61"/>
      <c r="AC554" s="61"/>
      <c r="AD554" s="218"/>
      <c r="AE554" s="61"/>
      <c r="AF554" s="61"/>
      <c r="AG554" s="61"/>
      <c r="AH554" s="61"/>
      <c r="AI554" s="61"/>
      <c r="AJ554" s="61"/>
    </row>
    <row r="555" spans="1:36" s="60" customFormat="1" ht="15" hidden="1" customHeight="1">
      <c r="A555" s="60">
        <v>555</v>
      </c>
      <c r="B555" s="60" t="s">
        <v>26</v>
      </c>
      <c r="C555" s="60" t="s">
        <v>27</v>
      </c>
      <c r="D555" s="60" t="s">
        <v>208</v>
      </c>
      <c r="E555" s="60" t="s">
        <v>3629</v>
      </c>
      <c r="F555" s="60" t="s">
        <v>318</v>
      </c>
      <c r="G555" s="105" t="s">
        <v>208</v>
      </c>
      <c r="H555" s="212" t="s">
        <v>3185</v>
      </c>
      <c r="I555" s="105" t="s">
        <v>260</v>
      </c>
      <c r="J555" s="60" t="s">
        <v>3015</v>
      </c>
      <c r="K555" s="106">
        <v>46196.37703703704</v>
      </c>
      <c r="L555" s="106">
        <v>46196.37703703704</v>
      </c>
      <c r="M555" s="106">
        <v>46196.408032407409</v>
      </c>
      <c r="N555" s="106"/>
      <c r="O555" s="106"/>
      <c r="P555" s="106"/>
      <c r="Z555" s="61"/>
      <c r="AA555" s="61"/>
      <c r="AB555" s="61"/>
      <c r="AC555" s="61"/>
      <c r="AD555" s="218"/>
      <c r="AE555" s="61"/>
      <c r="AF555" s="61"/>
      <c r="AG555" s="61"/>
      <c r="AH555" s="61"/>
      <c r="AI555" s="61"/>
      <c r="AJ555" s="61"/>
    </row>
    <row r="556" spans="1:36" s="60" customFormat="1" ht="15" hidden="1" customHeight="1">
      <c r="A556" s="60">
        <v>556</v>
      </c>
      <c r="B556" s="60" t="s">
        <v>26</v>
      </c>
      <c r="C556" s="60" t="s">
        <v>27</v>
      </c>
      <c r="D556" s="60" t="s">
        <v>208</v>
      </c>
      <c r="E556" s="60" t="s">
        <v>3630</v>
      </c>
      <c r="F556" s="60" t="s">
        <v>318</v>
      </c>
      <c r="G556" s="105" t="s">
        <v>208</v>
      </c>
      <c r="H556" s="212" t="s">
        <v>3185</v>
      </c>
      <c r="I556" s="105" t="s">
        <v>271</v>
      </c>
      <c r="J556" s="60" t="s">
        <v>2827</v>
      </c>
      <c r="K556" s="106">
        <v>46196.376840277779</v>
      </c>
      <c r="L556" s="106">
        <v>46196.376840277779</v>
      </c>
      <c r="M556" s="106">
        <v>46196.407824074071</v>
      </c>
      <c r="N556" s="248">
        <v>46204.459027777775</v>
      </c>
      <c r="O556" s="106"/>
      <c r="P556" s="106"/>
      <c r="Z556" s="61"/>
      <c r="AA556" s="61"/>
      <c r="AB556" s="61"/>
      <c r="AC556" s="61"/>
      <c r="AD556" s="218"/>
      <c r="AE556" s="61"/>
      <c r="AF556" s="61"/>
      <c r="AG556" s="61"/>
      <c r="AH556" s="61"/>
      <c r="AI556" s="61"/>
      <c r="AJ556" s="61"/>
    </row>
    <row r="557" spans="1:36" s="60" customFormat="1" ht="15" hidden="1" customHeight="1">
      <c r="A557" s="60">
        <v>557</v>
      </c>
      <c r="B557" s="60" t="s">
        <v>26</v>
      </c>
      <c r="C557" s="60" t="s">
        <v>27</v>
      </c>
      <c r="D557" s="60" t="s">
        <v>208</v>
      </c>
      <c r="E557" s="60" t="s">
        <v>3631</v>
      </c>
      <c r="F557" s="60" t="s">
        <v>318</v>
      </c>
      <c r="G557" s="105" t="s">
        <v>208</v>
      </c>
      <c r="H557" s="212" t="s">
        <v>3185</v>
      </c>
      <c r="I557" s="105" t="s">
        <v>271</v>
      </c>
      <c r="J557" s="219" t="s">
        <v>2827</v>
      </c>
      <c r="K557" s="106">
        <v>46196.376446759263</v>
      </c>
      <c r="L557" s="106">
        <v>46196.376446759263</v>
      </c>
      <c r="M557" s="106">
        <v>46196.407430555555</v>
      </c>
      <c r="N557" s="248">
        <v>46204.459722222222</v>
      </c>
      <c r="O557" s="106"/>
      <c r="P557" s="106"/>
      <c r="Z557" s="61"/>
      <c r="AA557" s="61"/>
      <c r="AB557" s="61"/>
      <c r="AC557" s="61"/>
      <c r="AD557" s="218"/>
      <c r="AE557" s="61"/>
      <c r="AF557" s="61"/>
      <c r="AG557" s="61"/>
      <c r="AH557" s="61"/>
      <c r="AI557" s="61"/>
      <c r="AJ557" s="61"/>
    </row>
    <row r="558" spans="1:36" s="60" customFormat="1" ht="15" hidden="1" customHeight="1">
      <c r="A558" s="60">
        <v>558</v>
      </c>
      <c r="B558" s="60" t="s">
        <v>26</v>
      </c>
      <c r="C558" s="60" t="s">
        <v>27</v>
      </c>
      <c r="D558" s="60" t="s">
        <v>208</v>
      </c>
      <c r="E558" s="60" t="s">
        <v>3632</v>
      </c>
      <c r="F558" s="60" t="s">
        <v>318</v>
      </c>
      <c r="G558" s="105" t="s">
        <v>208</v>
      </c>
      <c r="H558" s="212" t="s">
        <v>3185</v>
      </c>
      <c r="I558" s="105" t="s">
        <v>260</v>
      </c>
      <c r="J558" s="60" t="s">
        <v>3015</v>
      </c>
      <c r="K558" s="106">
        <v>46196.376111111109</v>
      </c>
      <c r="L558" s="106">
        <v>46196.376111111109</v>
      </c>
      <c r="M558" s="106">
        <v>46196.406944444447</v>
      </c>
      <c r="N558" s="106"/>
      <c r="O558" s="106"/>
      <c r="P558" s="106"/>
      <c r="Z558" s="61"/>
      <c r="AA558" s="61"/>
      <c r="AB558" s="61"/>
      <c r="AC558" s="61"/>
      <c r="AD558" s="218"/>
      <c r="AE558" s="61"/>
      <c r="AF558" s="61"/>
      <c r="AG558" s="61"/>
      <c r="AH558" s="61"/>
      <c r="AI558" s="61"/>
      <c r="AJ558" s="61"/>
    </row>
    <row r="559" spans="1:36" s="60" customFormat="1" ht="15" hidden="1" customHeight="1">
      <c r="A559" s="60">
        <v>559</v>
      </c>
      <c r="B559" s="60" t="s">
        <v>26</v>
      </c>
      <c r="C559" s="60" t="s">
        <v>27</v>
      </c>
      <c r="D559" s="60" t="s">
        <v>207</v>
      </c>
      <c r="E559" s="60" t="s">
        <v>3633</v>
      </c>
      <c r="F559" s="60" t="s">
        <v>318</v>
      </c>
      <c r="G559" s="105">
        <v>3</v>
      </c>
      <c r="H559" s="212" t="s">
        <v>2923</v>
      </c>
      <c r="I559" s="105" t="s">
        <v>271</v>
      </c>
      <c r="J559" s="60" t="s">
        <v>2708</v>
      </c>
      <c r="K559" s="62">
        <v>46196.379143518519</v>
      </c>
      <c r="L559" s="62">
        <v>46196.380543981482</v>
      </c>
      <c r="M559" s="106">
        <v>46196.414050925923</v>
      </c>
      <c r="N559" s="106">
        <v>46196.438113425924</v>
      </c>
      <c r="O559" s="106"/>
      <c r="P559" s="106"/>
      <c r="Q559" s="60" t="s">
        <v>2733</v>
      </c>
      <c r="R559" s="60" t="s">
        <v>272</v>
      </c>
      <c r="S559" s="60" t="s">
        <v>161</v>
      </c>
      <c r="Z559" s="61"/>
      <c r="AA559" s="61"/>
      <c r="AB559" s="61"/>
      <c r="AC559" s="61"/>
      <c r="AD559" s="218"/>
      <c r="AE559" s="61"/>
      <c r="AF559" s="61"/>
      <c r="AG559" s="61"/>
      <c r="AH559" s="61"/>
      <c r="AI559" s="61"/>
      <c r="AJ559" s="61"/>
    </row>
    <row r="560" spans="1:36" s="60" customFormat="1" ht="15" hidden="1" customHeight="1">
      <c r="A560" s="60">
        <v>560</v>
      </c>
      <c r="B560" s="60" t="s">
        <v>26</v>
      </c>
      <c r="C560" s="60" t="s">
        <v>27</v>
      </c>
      <c r="D560" s="60" t="s">
        <v>207</v>
      </c>
      <c r="E560" s="60" t="s">
        <v>3634</v>
      </c>
      <c r="F560" s="60" t="s">
        <v>318</v>
      </c>
      <c r="G560" s="105">
        <v>4</v>
      </c>
      <c r="H560" s="212" t="s">
        <v>3635</v>
      </c>
      <c r="I560" s="105" t="s">
        <v>271</v>
      </c>
      <c r="J560" s="60" t="s">
        <v>2751</v>
      </c>
      <c r="K560" s="106">
        <v>46196.404641203706</v>
      </c>
      <c r="L560" s="106">
        <v>46196.409085648149</v>
      </c>
      <c r="M560" s="106">
        <v>46196.418576388889</v>
      </c>
      <c r="N560" s="106">
        <v>46197.343425925923</v>
      </c>
      <c r="O560" s="106"/>
      <c r="P560" s="106"/>
      <c r="Z560" s="61"/>
      <c r="AA560" s="61"/>
      <c r="AB560" s="61"/>
      <c r="AC560" s="61"/>
      <c r="AD560" s="218"/>
      <c r="AE560" s="61"/>
      <c r="AF560" s="61"/>
      <c r="AG560" s="61"/>
      <c r="AH560" s="61"/>
      <c r="AI560" s="61"/>
      <c r="AJ560" s="61"/>
    </row>
    <row r="561" spans="1:36" s="60" customFormat="1" ht="15" customHeight="1">
      <c r="A561" s="60">
        <v>561</v>
      </c>
      <c r="B561" s="60" t="s">
        <v>26</v>
      </c>
      <c r="C561" s="60" t="s">
        <v>54</v>
      </c>
      <c r="D561" s="60" t="s">
        <v>207</v>
      </c>
      <c r="E561" s="60" t="s">
        <v>3636</v>
      </c>
      <c r="F561" s="60" t="s">
        <v>53</v>
      </c>
      <c r="G561" s="105">
        <v>3</v>
      </c>
      <c r="H561" s="212" t="s">
        <v>3637</v>
      </c>
      <c r="I561" s="105" t="s">
        <v>260</v>
      </c>
      <c r="J561" s="291" t="s">
        <v>2700</v>
      </c>
      <c r="K561" s="106">
        <v>46196.421840277777</v>
      </c>
      <c r="L561" s="62">
        <v>46196.469537037039</v>
      </c>
      <c r="M561" s="106">
        <v>46196.47388888889</v>
      </c>
      <c r="N561" s="106"/>
      <c r="O561" s="106"/>
      <c r="P561" s="106"/>
      <c r="Z561" s="61"/>
      <c r="AA561" s="61"/>
      <c r="AB561" s="61"/>
      <c r="AC561" s="61"/>
      <c r="AD561" s="218"/>
      <c r="AE561" s="61"/>
      <c r="AF561" s="61"/>
      <c r="AG561" s="61"/>
      <c r="AH561" s="61"/>
      <c r="AI561" s="61"/>
      <c r="AJ561" s="61"/>
    </row>
    <row r="562" spans="1:36" s="60" customFormat="1" ht="15" customHeight="1">
      <c r="A562" s="60">
        <v>562</v>
      </c>
      <c r="B562" s="60" t="s">
        <v>26</v>
      </c>
      <c r="C562" s="60" t="s">
        <v>54</v>
      </c>
      <c r="D562" s="60" t="s">
        <v>207</v>
      </c>
      <c r="E562" s="60" t="s">
        <v>3638</v>
      </c>
      <c r="F562" s="60" t="s">
        <v>53</v>
      </c>
      <c r="G562" s="105">
        <v>3</v>
      </c>
      <c r="H562" s="212" t="s">
        <v>3639</v>
      </c>
      <c r="I562" s="105" t="s">
        <v>275</v>
      </c>
      <c r="J562" s="291" t="s">
        <v>2694</v>
      </c>
      <c r="K562" s="106">
        <v>46196.360300925924</v>
      </c>
      <c r="L562" s="62">
        <v>46196.360300925924</v>
      </c>
      <c r="M562" s="106">
        <v>46196.406388888892</v>
      </c>
      <c r="N562" s="62">
        <v>46196.559560185182</v>
      </c>
      <c r="O562" s="106"/>
      <c r="P562" s="106"/>
      <c r="Z562" s="61"/>
      <c r="AA562" s="61"/>
      <c r="AB562" s="61"/>
      <c r="AC562" s="61"/>
      <c r="AD562" s="218"/>
      <c r="AE562" s="61"/>
      <c r="AF562" s="61"/>
      <c r="AG562" s="61"/>
      <c r="AH562" s="61"/>
      <c r="AI562" s="61"/>
      <c r="AJ562" s="61"/>
    </row>
    <row r="563" spans="1:36" s="60" customFormat="1" ht="15" hidden="1" customHeight="1">
      <c r="A563" s="60">
        <v>563</v>
      </c>
      <c r="B563" s="60" t="s">
        <v>26</v>
      </c>
      <c r="C563" s="60" t="s">
        <v>27</v>
      </c>
      <c r="D563" s="60" t="s">
        <v>208</v>
      </c>
      <c r="E563" s="60" t="s">
        <v>3640</v>
      </c>
      <c r="F563" s="60" t="s">
        <v>320</v>
      </c>
      <c r="G563" s="105" t="s">
        <v>208</v>
      </c>
      <c r="H563" s="212" t="s">
        <v>3185</v>
      </c>
      <c r="I563" s="105" t="s">
        <v>275</v>
      </c>
      <c r="J563" s="60" t="s">
        <v>2751</v>
      </c>
      <c r="K563" s="106">
        <v>46196.376909722225</v>
      </c>
      <c r="L563" s="106">
        <v>46196.376909722225</v>
      </c>
      <c r="M563" s="106">
        <v>46196.430092592593</v>
      </c>
      <c r="N563" s="106"/>
      <c r="O563" s="106"/>
      <c r="P563" s="106"/>
      <c r="Z563" s="61"/>
      <c r="AA563" s="61"/>
      <c r="AB563" s="61"/>
      <c r="AC563" s="61"/>
      <c r="AD563" s="218"/>
      <c r="AE563" s="61"/>
      <c r="AF563" s="61"/>
      <c r="AG563" s="61"/>
      <c r="AH563" s="61"/>
      <c r="AI563" s="61"/>
      <c r="AJ563" s="61"/>
    </row>
    <row r="564" spans="1:36" s="60" customFormat="1" ht="15" hidden="1" customHeight="1">
      <c r="A564" s="60">
        <v>564</v>
      </c>
      <c r="B564" s="60" t="s">
        <v>26</v>
      </c>
      <c r="C564" s="60" t="s">
        <v>27</v>
      </c>
      <c r="D564" s="60" t="s">
        <v>207</v>
      </c>
      <c r="E564" s="60" t="s">
        <v>3641</v>
      </c>
      <c r="F564" s="60" t="s">
        <v>318</v>
      </c>
      <c r="G564" s="105">
        <v>4</v>
      </c>
      <c r="H564" s="220" t="s">
        <v>3642</v>
      </c>
      <c r="I564" s="105" t="s">
        <v>271</v>
      </c>
      <c r="J564" s="60" t="s">
        <v>2772</v>
      </c>
      <c r="K564" s="62">
        <v>46196.483483796299</v>
      </c>
      <c r="L564" s="62">
        <v>46196.510393518518</v>
      </c>
      <c r="M564" s="106">
        <v>46196.551539351851</v>
      </c>
      <c r="N564" s="106">
        <v>46209.448194444441</v>
      </c>
      <c r="O564" s="106"/>
      <c r="P564" s="106"/>
      <c r="Z564" s="61"/>
      <c r="AA564" s="61"/>
      <c r="AB564" s="61"/>
      <c r="AC564" s="61"/>
      <c r="AD564" s="218"/>
      <c r="AE564" s="61"/>
      <c r="AF564" s="61"/>
      <c r="AG564" s="61"/>
      <c r="AH564" s="61"/>
      <c r="AI564" s="61"/>
      <c r="AJ564" s="61"/>
    </row>
    <row r="565" spans="1:36" s="60" customFormat="1" ht="15" hidden="1" customHeight="1">
      <c r="A565" s="60">
        <v>565</v>
      </c>
      <c r="B565" s="60" t="s">
        <v>26</v>
      </c>
      <c r="C565" s="60" t="s">
        <v>54</v>
      </c>
      <c r="D565" s="60" t="s">
        <v>207</v>
      </c>
      <c r="E565" s="60" t="s">
        <v>3625</v>
      </c>
      <c r="F565" s="60" t="s">
        <v>327</v>
      </c>
      <c r="G565" s="105">
        <v>3</v>
      </c>
      <c r="H565" s="212" t="s">
        <v>3626</v>
      </c>
      <c r="I565" s="105" t="s">
        <v>260</v>
      </c>
      <c r="J565" s="60" t="s">
        <v>2708</v>
      </c>
      <c r="K565" s="106">
        <v>46192.517604166664</v>
      </c>
      <c r="L565" s="106">
        <v>46196.460810185185</v>
      </c>
      <c r="M565" s="106">
        <v>46196.500381944446</v>
      </c>
      <c r="N565" s="106"/>
      <c r="O565" s="106"/>
      <c r="P565" s="106"/>
      <c r="Q565" s="60" t="s">
        <v>2748</v>
      </c>
      <c r="R565" s="60" t="s">
        <v>272</v>
      </c>
      <c r="S565" s="60" t="s">
        <v>190</v>
      </c>
      <c r="Z565" s="61"/>
      <c r="AA565" s="61"/>
      <c r="AB565" s="61"/>
      <c r="AC565" s="61"/>
      <c r="AD565" s="218"/>
      <c r="AE565" s="61"/>
      <c r="AF565" s="61"/>
      <c r="AG565" s="61"/>
      <c r="AH565" s="61"/>
      <c r="AI565" s="61"/>
      <c r="AJ565" s="61"/>
    </row>
    <row r="566" spans="1:36" ht="15" hidden="1" customHeight="1">
      <c r="A566" s="60">
        <v>566</v>
      </c>
      <c r="B566" s="60" t="s">
        <v>26</v>
      </c>
      <c r="C566" s="60" t="s">
        <v>27</v>
      </c>
      <c r="D566" s="60" t="s">
        <v>207</v>
      </c>
      <c r="E566" s="60" t="s">
        <v>3643</v>
      </c>
      <c r="F566" s="60" t="s">
        <v>318</v>
      </c>
      <c r="G566" s="105">
        <v>3</v>
      </c>
      <c r="H566" s="212" t="s">
        <v>3644</v>
      </c>
      <c r="I566" s="105" t="s">
        <v>275</v>
      </c>
      <c r="J566" s="60"/>
      <c r="K566" s="106">
        <v>46196.466284722221</v>
      </c>
      <c r="L566" s="106">
        <v>46196.497650462959</v>
      </c>
      <c r="M566" s="106">
        <v>46196.501342592594</v>
      </c>
      <c r="N566" s="106"/>
      <c r="O566" s="106"/>
      <c r="P566" s="106"/>
      <c r="Q566" s="60"/>
      <c r="R566" s="60"/>
      <c r="S566" s="60"/>
      <c r="T566" s="60"/>
      <c r="U566" s="60"/>
      <c r="V566" s="60"/>
      <c r="W566" s="60"/>
      <c r="X566" s="60"/>
      <c r="Y566" s="60"/>
      <c r="Z566" s="61"/>
      <c r="AA566" s="61"/>
      <c r="AB566" s="61"/>
      <c r="AC566" s="61"/>
      <c r="AD566" s="218"/>
      <c r="AE566" s="61"/>
      <c r="AF566" s="61"/>
      <c r="AG566" s="61"/>
      <c r="AH566" s="61"/>
      <c r="AI566" s="61"/>
      <c r="AJ566" s="61"/>
    </row>
    <row r="567" spans="1:36" ht="15" hidden="1" customHeight="1">
      <c r="A567" s="60">
        <v>567</v>
      </c>
      <c r="B567" s="60" t="s">
        <v>26</v>
      </c>
      <c r="C567" s="60" t="s">
        <v>27</v>
      </c>
      <c r="D567" s="60" t="s">
        <v>208</v>
      </c>
      <c r="E567" s="60" t="s">
        <v>3645</v>
      </c>
      <c r="F567" s="60" t="s">
        <v>322</v>
      </c>
      <c r="G567" s="105" t="s">
        <v>208</v>
      </c>
      <c r="H567" s="212" t="s">
        <v>3189</v>
      </c>
      <c r="I567" s="105" t="s">
        <v>271</v>
      </c>
      <c r="J567" s="60" t="s">
        <v>2720</v>
      </c>
      <c r="K567" s="106">
        <v>46196.376643518517</v>
      </c>
      <c r="L567" s="106">
        <v>46196.376388888886</v>
      </c>
      <c r="M567" s="106">
        <v>46197.361539351848</v>
      </c>
      <c r="N567" s="106">
        <v>46197.368645833332</v>
      </c>
      <c r="O567" s="106"/>
      <c r="P567" s="106"/>
      <c r="Q567" s="60"/>
      <c r="R567" s="60"/>
      <c r="S567" s="60"/>
      <c r="T567" s="60"/>
      <c r="U567" s="60" t="s">
        <v>371</v>
      </c>
      <c r="V567" s="60"/>
      <c r="W567" s="60"/>
      <c r="X567" s="60"/>
      <c r="Y567" s="60"/>
      <c r="Z567" s="61"/>
      <c r="AA567" s="61"/>
      <c r="AB567" s="61"/>
      <c r="AC567" s="61"/>
      <c r="AD567" s="218"/>
      <c r="AE567" s="61"/>
      <c r="AF567" s="61"/>
      <c r="AG567" s="61"/>
      <c r="AH567" s="61"/>
      <c r="AI567" s="61"/>
      <c r="AJ567" s="61"/>
    </row>
    <row r="568" spans="1:36" ht="15" hidden="1" customHeight="1">
      <c r="A568" s="60">
        <v>568</v>
      </c>
      <c r="B568" s="60" t="s">
        <v>26</v>
      </c>
      <c r="C568" s="60" t="s">
        <v>27</v>
      </c>
      <c r="D568" s="60" t="s">
        <v>208</v>
      </c>
      <c r="E568" s="60" t="s">
        <v>3646</v>
      </c>
      <c r="F568" s="60" t="s">
        <v>322</v>
      </c>
      <c r="G568" s="105" t="s">
        <v>208</v>
      </c>
      <c r="H568" s="212" t="s">
        <v>3191</v>
      </c>
      <c r="I568" s="105" t="s">
        <v>271</v>
      </c>
      <c r="J568" s="60" t="s">
        <v>2720</v>
      </c>
      <c r="K568" s="106">
        <v>46196.376354166663</v>
      </c>
      <c r="L568" s="106">
        <v>46196.375694444447</v>
      </c>
      <c r="M568" s="106">
        <v>46197.361504629633</v>
      </c>
      <c r="N568" s="106">
        <v>46197.36855324074</v>
      </c>
      <c r="O568" s="106"/>
      <c r="P568" s="106"/>
      <c r="Q568" s="60"/>
      <c r="R568" s="60"/>
      <c r="S568" s="60"/>
      <c r="T568" s="60"/>
      <c r="U568" s="60" t="s">
        <v>371</v>
      </c>
      <c r="V568" s="60"/>
      <c r="W568" s="60"/>
      <c r="X568" s="60"/>
      <c r="Y568" s="60"/>
      <c r="Z568" s="61"/>
      <c r="AA568" s="61"/>
      <c r="AB568" s="61"/>
      <c r="AC568" s="61"/>
      <c r="AD568" s="218"/>
      <c r="AE568" s="61"/>
      <c r="AF568" s="61"/>
      <c r="AG568" s="61"/>
      <c r="AH568" s="61"/>
      <c r="AI568" s="61"/>
      <c r="AJ568" s="61"/>
    </row>
    <row r="569" spans="1:36" ht="15" hidden="1" customHeight="1">
      <c r="A569" s="60">
        <v>569</v>
      </c>
      <c r="B569" s="60" t="s">
        <v>26</v>
      </c>
      <c r="C569" s="60" t="s">
        <v>27</v>
      </c>
      <c r="D569" s="60" t="s">
        <v>207</v>
      </c>
      <c r="E569" s="60" t="s">
        <v>3647</v>
      </c>
      <c r="F569" s="60" t="s">
        <v>327</v>
      </c>
      <c r="G569" s="105">
        <v>3</v>
      </c>
      <c r="H569" s="212" t="s">
        <v>3648</v>
      </c>
      <c r="I569" s="105" t="s">
        <v>275</v>
      </c>
      <c r="J569" s="60"/>
      <c r="K569" s="106">
        <v>46197.275891203702</v>
      </c>
      <c r="L569" s="106">
        <v>46197.275891203702</v>
      </c>
      <c r="M569" s="106">
        <v>46197.333275462966</v>
      </c>
      <c r="N569" s="106"/>
      <c r="O569" s="106"/>
      <c r="P569" s="106"/>
      <c r="Q569" s="60"/>
      <c r="R569" s="60"/>
      <c r="S569" s="60"/>
      <c r="T569" s="60"/>
      <c r="U569" s="60"/>
      <c r="V569" s="60"/>
      <c r="W569" s="60"/>
      <c r="X569" s="60"/>
      <c r="Y569" s="60"/>
      <c r="Z569" s="61"/>
      <c r="AA569" s="61"/>
      <c r="AB569" s="61"/>
      <c r="AC569" s="61"/>
      <c r="AD569" s="218"/>
      <c r="AE569" s="61"/>
      <c r="AF569" s="61"/>
      <c r="AG569" s="61"/>
      <c r="AH569" s="61"/>
      <c r="AI569" s="61"/>
      <c r="AJ569" s="61"/>
    </row>
    <row r="570" spans="1:36" s="60" customFormat="1" ht="15" customHeight="1">
      <c r="A570" s="60">
        <v>570</v>
      </c>
      <c r="B570" s="60" t="s">
        <v>26</v>
      </c>
      <c r="C570" s="60" t="s">
        <v>54</v>
      </c>
      <c r="D570" s="60" t="s">
        <v>207</v>
      </c>
      <c r="E570" s="60" t="s">
        <v>3649</v>
      </c>
      <c r="F570" s="60" t="s">
        <v>53</v>
      </c>
      <c r="G570" s="105">
        <v>3</v>
      </c>
      <c r="H570" s="212" t="s">
        <v>3650</v>
      </c>
      <c r="I570" s="105" t="s">
        <v>271</v>
      </c>
      <c r="J570" s="291" t="s">
        <v>2694</v>
      </c>
      <c r="K570" s="106">
        <v>46191.805625000001</v>
      </c>
      <c r="L570" s="62">
        <v>46197.423356481479</v>
      </c>
      <c r="M570" s="106">
        <v>46197.453483796293</v>
      </c>
      <c r="N570" s="62">
        <v>46205.540358796294</v>
      </c>
      <c r="O570" s="106"/>
      <c r="P570" s="106"/>
      <c r="Z570" s="61"/>
      <c r="AA570" s="61"/>
      <c r="AB570" s="61"/>
      <c r="AC570" s="61"/>
      <c r="AD570" s="218"/>
      <c r="AE570" s="61"/>
      <c r="AF570" s="61"/>
      <c r="AG570" s="61"/>
      <c r="AH570" s="61"/>
      <c r="AI570" s="61"/>
      <c r="AJ570" s="61"/>
    </row>
    <row r="571" spans="1:36" s="60" customFormat="1" ht="15" customHeight="1">
      <c r="A571" s="60">
        <v>571</v>
      </c>
      <c r="B571" s="60" t="s">
        <v>26</v>
      </c>
      <c r="C571" s="60" t="s">
        <v>54</v>
      </c>
      <c r="D571" s="60" t="s">
        <v>207</v>
      </c>
      <c r="E571" s="60" t="s">
        <v>3651</v>
      </c>
      <c r="F571" s="60" t="s">
        <v>53</v>
      </c>
      <c r="G571" s="105">
        <v>4</v>
      </c>
      <c r="H571" s="212" t="s">
        <v>3652</v>
      </c>
      <c r="I571" s="105" t="s">
        <v>266</v>
      </c>
      <c r="J571" s="291" t="s">
        <v>2708</v>
      </c>
      <c r="K571" s="106">
        <v>46197.073298611111</v>
      </c>
      <c r="L571" s="106">
        <v>46197.073298611111</v>
      </c>
      <c r="M571" s="106">
        <v>46197.2734837963</v>
      </c>
      <c r="N571" s="106"/>
      <c r="O571" s="106">
        <v>46197.37395833333</v>
      </c>
      <c r="P571" s="106"/>
      <c r="Q571" s="60" t="s">
        <v>3441</v>
      </c>
      <c r="R571" s="60" t="s">
        <v>272</v>
      </c>
      <c r="S571" s="60" t="s">
        <v>190</v>
      </c>
      <c r="Z571" s="61"/>
      <c r="AA571" s="61"/>
      <c r="AB571" s="61"/>
      <c r="AC571" s="61"/>
      <c r="AD571" s="218"/>
      <c r="AE571" s="61"/>
      <c r="AF571" s="61"/>
      <c r="AG571" s="61"/>
      <c r="AH571" s="61"/>
      <c r="AI571" s="61"/>
      <c r="AJ571" s="61"/>
    </row>
    <row r="572" spans="1:36" s="60" customFormat="1" ht="15" customHeight="1">
      <c r="A572" s="60">
        <v>572</v>
      </c>
      <c r="B572" s="60" t="s">
        <v>26</v>
      </c>
      <c r="C572" s="60" t="s">
        <v>54</v>
      </c>
      <c r="D572" s="60" t="s">
        <v>207</v>
      </c>
      <c r="E572" s="60" t="s">
        <v>3653</v>
      </c>
      <c r="F572" s="60" t="s">
        <v>53</v>
      </c>
      <c r="G572" s="105">
        <v>3</v>
      </c>
      <c r="H572" s="212" t="s">
        <v>3654</v>
      </c>
      <c r="I572" s="105" t="s">
        <v>271</v>
      </c>
      <c r="J572" s="291" t="s">
        <v>2697</v>
      </c>
      <c r="K572" s="106">
        <v>46196.650879629633</v>
      </c>
      <c r="L572" s="106">
        <v>46196.650879629633</v>
      </c>
      <c r="M572" s="106">
        <v>46197.273125</v>
      </c>
      <c r="N572" s="62">
        <v>46205.420659722222</v>
      </c>
      <c r="O572" s="106"/>
      <c r="P572" s="106"/>
      <c r="Z572" s="61"/>
      <c r="AA572" s="61"/>
      <c r="AB572" s="61"/>
      <c r="AC572" s="61"/>
      <c r="AD572" s="218"/>
      <c r="AE572" s="61"/>
      <c r="AF572" s="61"/>
      <c r="AG572" s="61"/>
      <c r="AH572" s="61"/>
      <c r="AI572" s="61"/>
      <c r="AJ572" s="61"/>
    </row>
    <row r="573" spans="1:36" s="60" customFormat="1" ht="15" customHeight="1">
      <c r="A573" s="60">
        <v>573</v>
      </c>
      <c r="B573" s="60" t="s">
        <v>26</v>
      </c>
      <c r="C573" s="60" t="s">
        <v>54</v>
      </c>
      <c r="D573" s="60" t="s">
        <v>207</v>
      </c>
      <c r="E573" s="60" t="s">
        <v>3655</v>
      </c>
      <c r="F573" s="60" t="s">
        <v>53</v>
      </c>
      <c r="G573" s="105">
        <v>4</v>
      </c>
      <c r="H573" s="212" t="s">
        <v>3656</v>
      </c>
      <c r="I573" s="105" t="s">
        <v>275</v>
      </c>
      <c r="J573" s="291" t="s">
        <v>2694</v>
      </c>
      <c r="K573" s="106">
        <v>46197.017789351848</v>
      </c>
      <c r="L573" s="106">
        <v>46197.019513888888</v>
      </c>
      <c r="M573" s="106">
        <v>46197.273958333331</v>
      </c>
      <c r="N573" s="62">
        <v>46197.40525462963</v>
      </c>
      <c r="O573" s="106"/>
      <c r="P573" s="106"/>
      <c r="Z573" s="61"/>
      <c r="AA573" s="61"/>
      <c r="AB573" s="61"/>
      <c r="AC573" s="61"/>
      <c r="AD573" s="218"/>
      <c r="AE573" s="61"/>
      <c r="AF573" s="61"/>
      <c r="AG573" s="61"/>
      <c r="AH573" s="61"/>
      <c r="AI573" s="61"/>
      <c r="AJ573" s="61"/>
    </row>
    <row r="574" spans="1:36" ht="15" customHeight="1">
      <c r="A574" s="60">
        <v>574</v>
      </c>
      <c r="B574" s="60" t="s">
        <v>26</v>
      </c>
      <c r="C574" s="60" t="s">
        <v>54</v>
      </c>
      <c r="D574" s="60" t="s">
        <v>207</v>
      </c>
      <c r="E574" s="60" t="s">
        <v>3653</v>
      </c>
      <c r="F574" s="60" t="s">
        <v>53</v>
      </c>
      <c r="G574" s="105">
        <v>3</v>
      </c>
      <c r="H574" s="212" t="s">
        <v>3654</v>
      </c>
      <c r="I574" s="105" t="s">
        <v>271</v>
      </c>
      <c r="J574" s="291" t="s">
        <v>3657</v>
      </c>
      <c r="K574" s="106">
        <v>46196.650879629633</v>
      </c>
      <c r="L574" s="62">
        <v>46197.47084490741</v>
      </c>
      <c r="M574" s="106">
        <v>46197.479849537034</v>
      </c>
      <c r="N574" s="166">
        <v>46205.42019675926</v>
      </c>
      <c r="O574" s="106"/>
      <c r="P574" s="106"/>
      <c r="Q574" s="60"/>
      <c r="R574" s="60"/>
      <c r="S574" s="60"/>
      <c r="T574" s="60"/>
      <c r="U574" s="60"/>
      <c r="V574" s="60"/>
      <c r="W574" s="60"/>
      <c r="X574" s="60"/>
      <c r="Y574" s="60"/>
      <c r="Z574" s="61"/>
      <c r="AA574" s="61"/>
      <c r="AB574" s="61"/>
      <c r="AC574" s="61"/>
      <c r="AD574" s="218"/>
      <c r="AE574" s="61"/>
      <c r="AF574" s="61"/>
      <c r="AG574" s="61"/>
      <c r="AH574" s="61"/>
      <c r="AI574" s="61"/>
      <c r="AJ574" s="61"/>
    </row>
    <row r="575" spans="1:36" ht="15" hidden="1" customHeight="1">
      <c r="A575" s="60">
        <v>575</v>
      </c>
      <c r="B575" s="60" t="s">
        <v>26</v>
      </c>
      <c r="C575" s="60" t="s">
        <v>27</v>
      </c>
      <c r="D575" s="60" t="s">
        <v>207</v>
      </c>
      <c r="E575" s="60" t="s">
        <v>3178</v>
      </c>
      <c r="F575" s="60" t="s">
        <v>318</v>
      </c>
      <c r="G575" s="105">
        <v>4</v>
      </c>
      <c r="H575" s="212" t="s">
        <v>3179</v>
      </c>
      <c r="I575" s="105" t="s">
        <v>275</v>
      </c>
      <c r="J575" s="60" t="s">
        <v>2725</v>
      </c>
      <c r="K575" s="106">
        <v>46163.897951388892</v>
      </c>
      <c r="L575" s="106">
        <v>46197.508506944447</v>
      </c>
      <c r="M575" s="106">
        <v>46197.522928240738</v>
      </c>
      <c r="N575" s="106"/>
      <c r="O575" s="106"/>
      <c r="P575" s="106"/>
      <c r="Q575" s="60"/>
      <c r="R575" s="60"/>
      <c r="S575" s="60"/>
      <c r="T575" s="60"/>
      <c r="U575" s="60"/>
      <c r="V575" s="60"/>
      <c r="W575" s="60"/>
      <c r="X575" s="60"/>
      <c r="Y575" s="106"/>
      <c r="Z575" s="61"/>
      <c r="AA575" s="61"/>
      <c r="AB575" s="61"/>
      <c r="AC575" s="61"/>
      <c r="AD575" s="218"/>
      <c r="AE575" s="61"/>
      <c r="AF575" s="61"/>
      <c r="AG575" s="61"/>
      <c r="AH575" s="61"/>
      <c r="AI575" s="61"/>
      <c r="AJ575" s="61"/>
    </row>
    <row r="576" spans="1:36" ht="15" hidden="1" customHeight="1">
      <c r="A576" s="60">
        <v>576</v>
      </c>
      <c r="B576" s="60" t="s">
        <v>26</v>
      </c>
      <c r="C576" s="60" t="s">
        <v>27</v>
      </c>
      <c r="D576" s="60" t="s">
        <v>207</v>
      </c>
      <c r="E576" s="60" t="s">
        <v>3658</v>
      </c>
      <c r="F576" s="60" t="s">
        <v>318</v>
      </c>
      <c r="G576" s="105">
        <v>3</v>
      </c>
      <c r="H576" s="212" t="s">
        <v>3659</v>
      </c>
      <c r="I576" s="105" t="s">
        <v>271</v>
      </c>
      <c r="J576" s="60" t="s">
        <v>2725</v>
      </c>
      <c r="K576" s="106">
        <v>46197.567615740743</v>
      </c>
      <c r="L576" s="106">
        <v>46197.573680555557</v>
      </c>
      <c r="M576" s="106">
        <v>46197.586793981478</v>
      </c>
      <c r="N576" s="106">
        <v>46197.611203703702</v>
      </c>
      <c r="O576" s="106"/>
      <c r="P576" s="106"/>
      <c r="Q576" s="60"/>
      <c r="R576" s="60"/>
      <c r="S576" s="60"/>
      <c r="T576" s="60"/>
      <c r="U576" s="60"/>
      <c r="V576" s="60"/>
      <c r="W576" s="60"/>
      <c r="X576" s="60"/>
      <c r="Y576" s="60"/>
      <c r="Z576" s="61"/>
      <c r="AA576" s="61"/>
      <c r="AB576" s="61"/>
      <c r="AC576" s="61"/>
      <c r="AD576" s="218"/>
      <c r="AE576" s="61"/>
      <c r="AF576" s="61"/>
      <c r="AG576" s="61"/>
      <c r="AH576" s="61"/>
      <c r="AI576" s="61"/>
      <c r="AJ576" s="61"/>
    </row>
    <row r="577" spans="1:36" ht="15" hidden="1" customHeight="1">
      <c r="A577" s="60">
        <v>577</v>
      </c>
      <c r="B577" s="60" t="s">
        <v>26</v>
      </c>
      <c r="C577" s="60" t="s">
        <v>27</v>
      </c>
      <c r="D577" s="60" t="s">
        <v>207</v>
      </c>
      <c r="E577" s="60" t="s">
        <v>3660</v>
      </c>
      <c r="F577" s="60" t="s">
        <v>318</v>
      </c>
      <c r="G577" s="105">
        <v>3</v>
      </c>
      <c r="H577" s="212" t="s">
        <v>3661</v>
      </c>
      <c r="I577" s="105" t="s">
        <v>275</v>
      </c>
      <c r="J577" s="60" t="s">
        <v>2725</v>
      </c>
      <c r="K577" s="106">
        <v>46197.827418981484</v>
      </c>
      <c r="L577" s="106">
        <v>46197.832939814813</v>
      </c>
      <c r="M577" s="106">
        <v>46198.233969907407</v>
      </c>
      <c r="N577" s="106">
        <v>46198.352627314816</v>
      </c>
      <c r="O577" s="106"/>
      <c r="P577" s="106"/>
      <c r="Q577" s="60"/>
      <c r="R577" s="60"/>
      <c r="S577" s="60"/>
      <c r="T577" s="60"/>
      <c r="U577" s="60"/>
      <c r="V577" s="60"/>
      <c r="W577" s="60"/>
      <c r="X577" s="60"/>
      <c r="Y577" s="60"/>
      <c r="Z577" s="61"/>
      <c r="AA577" s="61"/>
      <c r="AB577" s="61"/>
      <c r="AC577" s="61"/>
      <c r="AD577" s="218"/>
      <c r="AE577" s="61"/>
      <c r="AF577" s="61"/>
      <c r="AG577" s="61"/>
      <c r="AH577" s="61"/>
      <c r="AI577" s="61"/>
      <c r="AJ577" s="61"/>
    </row>
    <row r="578" spans="1:36" s="60" customFormat="1" ht="15" hidden="1" customHeight="1">
      <c r="A578" s="60">
        <v>578</v>
      </c>
      <c r="B578" s="60" t="s">
        <v>26</v>
      </c>
      <c r="C578" s="60" t="s">
        <v>27</v>
      </c>
      <c r="D578" s="60" t="s">
        <v>207</v>
      </c>
      <c r="E578" s="60" t="s">
        <v>3662</v>
      </c>
      <c r="F578" s="60" t="s">
        <v>318</v>
      </c>
      <c r="G578" s="105">
        <v>4</v>
      </c>
      <c r="H578" s="212" t="s">
        <v>3663</v>
      </c>
      <c r="I578" s="105" t="s">
        <v>271</v>
      </c>
      <c r="J578" s="60" t="s">
        <v>2772</v>
      </c>
      <c r="K578" s="106">
        <v>46197.019768518519</v>
      </c>
      <c r="L578" s="106">
        <v>46197.682905092595</v>
      </c>
      <c r="M578" s="106">
        <v>46198.238078703704</v>
      </c>
      <c r="N578" s="106">
        <v>46209.456087962964</v>
      </c>
      <c r="O578" s="106"/>
      <c r="P578" s="106"/>
      <c r="Z578" s="61"/>
      <c r="AA578" s="61"/>
      <c r="AB578" s="61"/>
      <c r="AC578" s="61"/>
      <c r="AD578" s="218"/>
      <c r="AE578" s="61"/>
      <c r="AF578" s="61"/>
      <c r="AG578" s="61"/>
      <c r="AH578" s="61"/>
      <c r="AI578" s="61"/>
      <c r="AJ578" s="61"/>
    </row>
    <row r="579" spans="1:36" ht="15" hidden="1" customHeight="1">
      <c r="A579" s="60">
        <v>579</v>
      </c>
      <c r="B579" s="60" t="s">
        <v>26</v>
      </c>
      <c r="C579" s="60" t="s">
        <v>27</v>
      </c>
      <c r="D579" s="60" t="s">
        <v>207</v>
      </c>
      <c r="E579" s="60" t="s">
        <v>3664</v>
      </c>
      <c r="F579" s="60" t="s">
        <v>318</v>
      </c>
      <c r="G579" s="105">
        <v>3</v>
      </c>
      <c r="H579" s="212" t="s">
        <v>2724</v>
      </c>
      <c r="I579" s="105" t="s">
        <v>271</v>
      </c>
      <c r="J579" s="60" t="s">
        <v>2738</v>
      </c>
      <c r="K579" s="106">
        <v>46197.957418981481</v>
      </c>
      <c r="L579" s="106">
        <v>46197.957418981481</v>
      </c>
      <c r="M579" s="106">
        <v>46198.243449074071</v>
      </c>
      <c r="N579" s="62">
        <v>46198.308819444443</v>
      </c>
      <c r="O579" s="106"/>
      <c r="P579" s="106"/>
      <c r="Q579" s="60"/>
      <c r="R579" s="60"/>
      <c r="S579" s="60"/>
      <c r="T579" s="60"/>
      <c r="U579" s="60"/>
      <c r="V579" s="60"/>
      <c r="W579" s="60"/>
      <c r="X579" s="60"/>
      <c r="Y579" s="60"/>
      <c r="Z579" s="61"/>
      <c r="AA579" s="61"/>
      <c r="AB579" s="61"/>
      <c r="AC579" s="61"/>
      <c r="AD579" s="218"/>
      <c r="AE579" s="61"/>
      <c r="AF579" s="61"/>
      <c r="AG579" s="61"/>
      <c r="AH579" s="61"/>
      <c r="AI579" s="61"/>
      <c r="AJ579" s="61"/>
    </row>
    <row r="580" spans="1:36" ht="15" hidden="1" customHeight="1">
      <c r="A580" s="60">
        <v>580</v>
      </c>
      <c r="B580" s="60" t="s">
        <v>26</v>
      </c>
      <c r="C580" s="60" t="s">
        <v>27</v>
      </c>
      <c r="D580" s="60" t="s">
        <v>207</v>
      </c>
      <c r="E580" s="60" t="s">
        <v>3665</v>
      </c>
      <c r="F580" s="60" t="s">
        <v>318</v>
      </c>
      <c r="G580" s="105">
        <v>3</v>
      </c>
      <c r="H580" s="212" t="s">
        <v>2724</v>
      </c>
      <c r="I580" s="105" t="s">
        <v>271</v>
      </c>
      <c r="J580" s="60" t="s">
        <v>2738</v>
      </c>
      <c r="K580" s="106">
        <v>46197.992835648147</v>
      </c>
      <c r="L580" s="106">
        <v>46197.992835648147</v>
      </c>
      <c r="M580" s="106">
        <v>46198.245798611111</v>
      </c>
      <c r="N580" s="62">
        <v>46198.307453703703</v>
      </c>
      <c r="O580" s="106"/>
      <c r="P580" s="106"/>
      <c r="Q580" s="60"/>
      <c r="R580" s="60"/>
      <c r="S580" s="60"/>
      <c r="T580" s="60"/>
      <c r="U580" s="60"/>
      <c r="V580" s="60"/>
      <c r="W580" s="60"/>
      <c r="X580" s="60"/>
      <c r="Y580" s="60"/>
      <c r="Z580" s="61"/>
      <c r="AA580" s="61"/>
      <c r="AB580" s="61"/>
      <c r="AC580" s="61"/>
      <c r="AD580" s="218"/>
      <c r="AE580" s="61"/>
      <c r="AF580" s="61"/>
      <c r="AG580" s="61"/>
      <c r="AH580" s="61"/>
      <c r="AI580" s="61"/>
      <c r="AJ580" s="61"/>
    </row>
    <row r="581" spans="1:36" ht="15" hidden="1" customHeight="1">
      <c r="A581" s="60">
        <v>581</v>
      </c>
      <c r="B581" s="60" t="s">
        <v>26</v>
      </c>
      <c r="C581" s="60" t="s">
        <v>27</v>
      </c>
      <c r="D581" s="60" t="s">
        <v>207</v>
      </c>
      <c r="E581" s="60" t="s">
        <v>3666</v>
      </c>
      <c r="F581" s="60" t="s">
        <v>318</v>
      </c>
      <c r="G581" s="105">
        <v>4</v>
      </c>
      <c r="H581" s="212" t="s">
        <v>2724</v>
      </c>
      <c r="I581" s="105" t="s">
        <v>271</v>
      </c>
      <c r="J581" s="60" t="s">
        <v>2772</v>
      </c>
      <c r="K581" s="106">
        <v>46197.996296296296</v>
      </c>
      <c r="L581" s="106">
        <v>46197.996296296296</v>
      </c>
      <c r="M581" s="106">
        <v>46198.247974537036</v>
      </c>
      <c r="N581" s="106">
        <v>46198.257893518516</v>
      </c>
      <c r="O581" s="106"/>
      <c r="P581" s="106"/>
      <c r="Q581" s="60" t="s">
        <v>2726</v>
      </c>
      <c r="R581" s="60" t="s">
        <v>272</v>
      </c>
      <c r="S581" s="60" t="s">
        <v>187</v>
      </c>
      <c r="T581" s="60" t="s">
        <v>2773</v>
      </c>
      <c r="U581" s="60"/>
      <c r="V581" s="60"/>
      <c r="W581" s="60"/>
      <c r="X581" s="60"/>
      <c r="Y581" s="60"/>
      <c r="Z581" s="61"/>
      <c r="AA581" s="61"/>
      <c r="AB581" s="61"/>
      <c r="AC581" s="61"/>
      <c r="AD581" s="218"/>
      <c r="AE581" s="61"/>
      <c r="AF581" s="61"/>
      <c r="AG581" s="61"/>
      <c r="AH581" s="61"/>
      <c r="AI581" s="61"/>
      <c r="AJ581" s="61"/>
    </row>
    <row r="582" spans="1:36" s="60" customFormat="1" ht="15" hidden="1" customHeight="1">
      <c r="A582" s="60">
        <v>582</v>
      </c>
      <c r="B582" s="60" t="s">
        <v>26</v>
      </c>
      <c r="C582" s="60" t="s">
        <v>27</v>
      </c>
      <c r="D582" s="60" t="s">
        <v>207</v>
      </c>
      <c r="E582" s="60" t="s">
        <v>3667</v>
      </c>
      <c r="F582" s="60" t="s">
        <v>318</v>
      </c>
      <c r="G582" s="105">
        <v>3</v>
      </c>
      <c r="H582" s="212" t="s">
        <v>2707</v>
      </c>
      <c r="I582" s="105" t="s">
        <v>271</v>
      </c>
      <c r="J582" s="60" t="s">
        <v>2708</v>
      </c>
      <c r="K582" s="106">
        <v>46196.644872685189</v>
      </c>
      <c r="L582" s="62">
        <v>46196.647268518522</v>
      </c>
      <c r="M582" s="106">
        <v>46197.260439814818</v>
      </c>
      <c r="N582" s="106">
        <v>46198.308287037034</v>
      </c>
      <c r="O582" s="106"/>
      <c r="P582" s="106"/>
      <c r="Q582" s="60" t="s">
        <v>2709</v>
      </c>
      <c r="R582" s="60" t="s">
        <v>272</v>
      </c>
      <c r="S582" s="60" t="s">
        <v>161</v>
      </c>
      <c r="Y582" s="60">
        <v>547</v>
      </c>
      <c r="Z582" s="61"/>
      <c r="AA582" s="61"/>
      <c r="AB582" s="61"/>
      <c r="AC582" s="61"/>
      <c r="AD582" s="218"/>
      <c r="AE582" s="61"/>
      <c r="AF582" s="61"/>
      <c r="AG582" s="61"/>
      <c r="AH582" s="61"/>
      <c r="AI582" s="61"/>
      <c r="AJ582" s="61"/>
    </row>
    <row r="583" spans="1:36" ht="15" hidden="1" customHeight="1">
      <c r="A583" s="60">
        <v>583</v>
      </c>
      <c r="B583" s="60" t="s">
        <v>26</v>
      </c>
      <c r="C583" s="60" t="s">
        <v>27</v>
      </c>
      <c r="D583" s="60" t="s">
        <v>207</v>
      </c>
      <c r="E583" s="60" t="s">
        <v>3668</v>
      </c>
      <c r="F583" s="60" t="s">
        <v>318</v>
      </c>
      <c r="G583" s="105">
        <v>3</v>
      </c>
      <c r="H583" s="212" t="s">
        <v>2724</v>
      </c>
      <c r="I583" s="105" t="s">
        <v>271</v>
      </c>
      <c r="J583" s="60" t="s">
        <v>2738</v>
      </c>
      <c r="K583" s="106">
        <v>46196.930995370371</v>
      </c>
      <c r="L583" s="62">
        <v>46196.931030092594</v>
      </c>
      <c r="M583" s="106">
        <v>46197.261759259258</v>
      </c>
      <c r="N583" s="62">
        <v>46200.301574074074</v>
      </c>
      <c r="O583" s="106"/>
      <c r="P583" s="106"/>
      <c r="Q583" s="60"/>
      <c r="R583" s="60"/>
      <c r="S583" s="60"/>
      <c r="T583" s="60"/>
      <c r="U583" s="60"/>
      <c r="V583" s="60"/>
      <c r="W583" s="60"/>
      <c r="X583" s="60"/>
      <c r="Y583" s="60"/>
      <c r="Z583" s="61"/>
      <c r="AA583" s="61"/>
      <c r="AB583" s="61"/>
      <c r="AC583" s="61"/>
      <c r="AD583" s="218"/>
      <c r="AE583" s="61"/>
      <c r="AF583" s="61"/>
      <c r="AG583" s="61"/>
      <c r="AH583" s="61"/>
      <c r="AI583" s="61"/>
      <c r="AJ583" s="61"/>
    </row>
    <row r="584" spans="1:36" ht="15" hidden="1" customHeight="1">
      <c r="A584" s="60">
        <v>584</v>
      </c>
      <c r="B584" s="60" t="s">
        <v>26</v>
      </c>
      <c r="C584" s="60" t="s">
        <v>27</v>
      </c>
      <c r="D584" s="60" t="s">
        <v>207</v>
      </c>
      <c r="E584" s="60" t="s">
        <v>3669</v>
      </c>
      <c r="F584" s="60" t="s">
        <v>318</v>
      </c>
      <c r="G584" s="105">
        <v>3</v>
      </c>
      <c r="H584" s="212" t="s">
        <v>3670</v>
      </c>
      <c r="I584" s="105" t="s">
        <v>271</v>
      </c>
      <c r="J584" s="60" t="s">
        <v>2725</v>
      </c>
      <c r="K584" s="106">
        <v>46197.393310185187</v>
      </c>
      <c r="L584" s="62">
        <v>46197.39875</v>
      </c>
      <c r="M584" s="106">
        <v>46197.400381944448</v>
      </c>
      <c r="N584" s="106">
        <v>46198.354351851849</v>
      </c>
      <c r="O584" s="106"/>
      <c r="P584" s="106"/>
      <c r="Q584" s="60"/>
      <c r="R584" s="60"/>
      <c r="S584" s="60"/>
      <c r="T584" s="60"/>
      <c r="U584" s="60"/>
      <c r="V584" s="60"/>
      <c r="W584" s="60"/>
      <c r="X584" s="60"/>
      <c r="Y584" s="60"/>
      <c r="Z584" s="61"/>
      <c r="AA584" s="61"/>
      <c r="AB584" s="61"/>
      <c r="AC584" s="61"/>
      <c r="AD584" s="218"/>
      <c r="AE584" s="61"/>
      <c r="AF584" s="61"/>
      <c r="AG584" s="61"/>
      <c r="AH584" s="61"/>
      <c r="AI584" s="61"/>
      <c r="AJ584" s="61"/>
    </row>
    <row r="585" spans="1:36" s="60" customFormat="1" ht="15" hidden="1" customHeight="1">
      <c r="A585" s="60">
        <v>585</v>
      </c>
      <c r="B585" s="60" t="s">
        <v>26</v>
      </c>
      <c r="C585" s="60" t="s">
        <v>27</v>
      </c>
      <c r="D585" s="60" t="s">
        <v>207</v>
      </c>
      <c r="E585" s="60" t="s">
        <v>3671</v>
      </c>
      <c r="F585" s="60" t="s">
        <v>318</v>
      </c>
      <c r="G585" s="105">
        <v>3</v>
      </c>
      <c r="H585" s="212" t="s">
        <v>3672</v>
      </c>
      <c r="I585" s="105" t="s">
        <v>271</v>
      </c>
      <c r="J585" s="60" t="s">
        <v>2703</v>
      </c>
      <c r="K585" s="106">
        <v>46197.340451388889</v>
      </c>
      <c r="L585" s="62">
        <v>46197.401145833333</v>
      </c>
      <c r="M585" s="106">
        <v>46197.358923611115</v>
      </c>
      <c r="N585" s="106">
        <v>46197.507233796299</v>
      </c>
      <c r="O585" s="106"/>
      <c r="P585" s="106"/>
      <c r="Z585" s="61"/>
      <c r="AA585" s="61"/>
      <c r="AB585" s="61"/>
      <c r="AC585" s="61"/>
      <c r="AD585" s="218"/>
      <c r="AE585" s="61"/>
      <c r="AF585" s="61"/>
      <c r="AG585" s="61"/>
      <c r="AH585" s="61"/>
      <c r="AI585" s="61"/>
      <c r="AJ585" s="61"/>
    </row>
    <row r="586" spans="1:36" s="60" customFormat="1" ht="15" hidden="1" customHeight="1">
      <c r="A586" s="60">
        <v>586</v>
      </c>
      <c r="B586" s="60" t="s">
        <v>26</v>
      </c>
      <c r="C586" s="60" t="s">
        <v>27</v>
      </c>
      <c r="D586" s="60" t="s">
        <v>207</v>
      </c>
      <c r="E586" s="60" t="s">
        <v>3673</v>
      </c>
      <c r="F586" s="60" t="s">
        <v>318</v>
      </c>
      <c r="G586" s="105">
        <v>3</v>
      </c>
      <c r="H586" s="212" t="s">
        <v>3674</v>
      </c>
      <c r="I586" s="105" t="s">
        <v>271</v>
      </c>
      <c r="J586" s="60" t="s">
        <v>2703</v>
      </c>
      <c r="K586" s="62">
        <v>46197.619745370372</v>
      </c>
      <c r="L586" s="62">
        <v>46197.62096064815</v>
      </c>
      <c r="M586" s="106">
        <v>46197.63957175926</v>
      </c>
      <c r="N586" s="106">
        <v>46202.377245370371</v>
      </c>
      <c r="O586" s="106"/>
      <c r="P586" s="106"/>
      <c r="Z586" s="61"/>
      <c r="AA586" s="61"/>
      <c r="AB586" s="61"/>
      <c r="AC586" s="61"/>
      <c r="AD586" s="218"/>
      <c r="AE586" s="61"/>
      <c r="AF586" s="61"/>
      <c r="AG586" s="61"/>
      <c r="AH586" s="61"/>
      <c r="AI586" s="61"/>
      <c r="AJ586" s="61"/>
    </row>
    <row r="587" spans="1:36" s="60" customFormat="1" ht="15" hidden="1" customHeight="1">
      <c r="A587" s="60">
        <v>587</v>
      </c>
      <c r="B587" s="60" t="s">
        <v>26</v>
      </c>
      <c r="C587" s="60" t="s">
        <v>27</v>
      </c>
      <c r="D587" s="60" t="s">
        <v>207</v>
      </c>
      <c r="E587" s="60" t="s">
        <v>3675</v>
      </c>
      <c r="F587" s="60" t="s">
        <v>318</v>
      </c>
      <c r="G587" s="105">
        <v>3</v>
      </c>
      <c r="H587" s="212" t="s">
        <v>2707</v>
      </c>
      <c r="I587" s="105" t="s">
        <v>271</v>
      </c>
      <c r="J587" s="60" t="s">
        <v>2708</v>
      </c>
      <c r="K587" s="62">
        <v>46197.616689814815</v>
      </c>
      <c r="L587" s="62">
        <v>46197.617905092593</v>
      </c>
      <c r="M587" s="106">
        <v>46197.640092592592</v>
      </c>
      <c r="N587" s="106">
        <v>46198.30672453704</v>
      </c>
      <c r="O587" s="106"/>
      <c r="P587" s="106"/>
      <c r="Q587" s="60" t="s">
        <v>2709</v>
      </c>
      <c r="R587" s="60" t="s">
        <v>272</v>
      </c>
      <c r="S587" s="60" t="s">
        <v>161</v>
      </c>
      <c r="Z587" s="61"/>
      <c r="AA587" s="61"/>
      <c r="AB587" s="61"/>
      <c r="AC587" s="61"/>
      <c r="AD587" s="218"/>
      <c r="AE587" s="61"/>
      <c r="AF587" s="61"/>
      <c r="AG587" s="61"/>
      <c r="AH587" s="61"/>
      <c r="AI587" s="61"/>
      <c r="AJ587" s="61"/>
    </row>
    <row r="588" spans="1:36" s="60" customFormat="1" ht="15" hidden="1" customHeight="1">
      <c r="A588" s="60">
        <v>588</v>
      </c>
      <c r="B588" s="60" t="s">
        <v>26</v>
      </c>
      <c r="C588" s="60" t="s">
        <v>27</v>
      </c>
      <c r="D588" s="60" t="s">
        <v>208</v>
      </c>
      <c r="E588" s="60" t="s">
        <v>3676</v>
      </c>
      <c r="F588" s="60" t="s">
        <v>318</v>
      </c>
      <c r="G588" s="105" t="s">
        <v>208</v>
      </c>
      <c r="H588" s="212" t="s">
        <v>3677</v>
      </c>
      <c r="I588" s="105" t="s">
        <v>260</v>
      </c>
      <c r="J588" s="60" t="s">
        <v>3015</v>
      </c>
      <c r="K588" s="106">
        <v>46198.277094907404</v>
      </c>
      <c r="L588" s="106">
        <v>46198.277094907404</v>
      </c>
      <c r="M588" s="106">
        <v>46198.312615740739</v>
      </c>
      <c r="N588" s="106"/>
      <c r="O588" s="106"/>
      <c r="P588" s="106"/>
      <c r="Z588" s="61"/>
      <c r="AA588" s="61"/>
      <c r="AB588" s="61"/>
      <c r="AC588" s="61"/>
      <c r="AD588" s="218"/>
      <c r="AE588" s="61"/>
      <c r="AF588" s="61"/>
      <c r="AG588" s="61"/>
      <c r="AH588" s="61"/>
      <c r="AI588" s="61"/>
      <c r="AJ588" s="61"/>
    </row>
    <row r="589" spans="1:36" ht="15" hidden="1" customHeight="1">
      <c r="A589" s="60">
        <v>589</v>
      </c>
      <c r="B589" s="60" t="s">
        <v>26</v>
      </c>
      <c r="C589" s="60" t="s">
        <v>27</v>
      </c>
      <c r="D589" s="60" t="s">
        <v>208</v>
      </c>
      <c r="E589" s="60" t="s">
        <v>3678</v>
      </c>
      <c r="F589" s="60" t="s">
        <v>318</v>
      </c>
      <c r="G589" s="105" t="s">
        <v>208</v>
      </c>
      <c r="H589" s="212" t="s">
        <v>3679</v>
      </c>
      <c r="I589" s="105" t="s">
        <v>275</v>
      </c>
      <c r="J589" s="60" t="s">
        <v>2725</v>
      </c>
      <c r="K589" s="106">
        <v>46198.297708333332</v>
      </c>
      <c r="L589" s="106">
        <v>46198.297708333332</v>
      </c>
      <c r="M589" s="106">
        <v>46198.314918981479</v>
      </c>
      <c r="N589" s="106"/>
      <c r="O589" s="106"/>
      <c r="P589" s="106"/>
      <c r="Q589" s="60"/>
      <c r="R589" s="60"/>
      <c r="S589" s="60"/>
      <c r="T589" s="60"/>
      <c r="U589" s="60"/>
      <c r="V589" s="60"/>
      <c r="W589" s="60"/>
      <c r="X589" s="60"/>
      <c r="Y589" s="60"/>
      <c r="Z589" s="61"/>
      <c r="AA589" s="61"/>
      <c r="AB589" s="61"/>
      <c r="AC589" s="61"/>
      <c r="AD589" s="218"/>
      <c r="AE589" s="61"/>
      <c r="AF589" s="61"/>
      <c r="AG589" s="61"/>
      <c r="AH589" s="61"/>
      <c r="AI589" s="61"/>
      <c r="AJ589" s="61"/>
    </row>
    <row r="590" spans="1:36" ht="15" hidden="1" customHeight="1">
      <c r="A590" s="60">
        <v>590</v>
      </c>
      <c r="B590" s="60" t="s">
        <v>26</v>
      </c>
      <c r="C590" s="60" t="s">
        <v>27</v>
      </c>
      <c r="D590" s="60" t="s">
        <v>207</v>
      </c>
      <c r="E590" s="60" t="s">
        <v>3680</v>
      </c>
      <c r="F590" s="60" t="s">
        <v>318</v>
      </c>
      <c r="G590" s="105">
        <v>3</v>
      </c>
      <c r="H590" s="212" t="s">
        <v>3681</v>
      </c>
      <c r="I590" s="105" t="s">
        <v>271</v>
      </c>
      <c r="J590" s="60" t="s">
        <v>2725</v>
      </c>
      <c r="K590" s="106">
        <v>46198.345300925925</v>
      </c>
      <c r="L590" s="106">
        <v>46198.357118055559</v>
      </c>
      <c r="M590" s="106">
        <v>46198.391655092593</v>
      </c>
      <c r="N590" s="106">
        <v>46198.465810185182</v>
      </c>
      <c r="O590" s="106"/>
      <c r="P590" s="106"/>
      <c r="Q590" s="60"/>
      <c r="R590" s="60"/>
      <c r="S590" s="60"/>
      <c r="T590" s="60"/>
      <c r="U590" s="60"/>
      <c r="V590" s="60"/>
      <c r="W590" s="60"/>
      <c r="X590" s="60"/>
      <c r="Y590" s="60"/>
      <c r="Z590" s="61"/>
      <c r="AA590" s="61"/>
      <c r="AB590" s="61"/>
      <c r="AC590" s="61"/>
      <c r="AD590" s="218"/>
      <c r="AE590" s="61"/>
      <c r="AF590" s="61"/>
      <c r="AG590" s="61"/>
      <c r="AH590" s="61"/>
      <c r="AI590" s="61"/>
      <c r="AJ590" s="61"/>
    </row>
    <row r="591" spans="1:36" ht="15" hidden="1" customHeight="1">
      <c r="A591" s="60">
        <v>591</v>
      </c>
      <c r="B591" s="60" t="s">
        <v>26</v>
      </c>
      <c r="C591" s="60" t="s">
        <v>27</v>
      </c>
      <c r="D591" s="60" t="s">
        <v>207</v>
      </c>
      <c r="E591" s="60" t="s">
        <v>3682</v>
      </c>
      <c r="F591" s="60" t="s">
        <v>318</v>
      </c>
      <c r="G591" s="105">
        <v>3</v>
      </c>
      <c r="H591" s="212" t="s">
        <v>3683</v>
      </c>
      <c r="I591" s="105" t="s">
        <v>271</v>
      </c>
      <c r="J591" s="60" t="s">
        <v>3684</v>
      </c>
      <c r="K591" s="106">
        <v>46198.347708333335</v>
      </c>
      <c r="L591" s="106">
        <v>46198.354861111111</v>
      </c>
      <c r="M591" s="106">
        <v>46198.392418981479</v>
      </c>
      <c r="N591" s="106">
        <v>46198.453136574077</v>
      </c>
      <c r="O591" s="106"/>
      <c r="P591" s="106"/>
      <c r="Q591" s="60"/>
      <c r="R591" s="60"/>
      <c r="S591" s="60"/>
      <c r="T591" s="60"/>
      <c r="U591" s="60"/>
      <c r="V591" s="60"/>
      <c r="W591" s="60"/>
      <c r="X591" s="60"/>
      <c r="Y591" s="60"/>
      <c r="Z591" s="61"/>
      <c r="AA591" s="61"/>
      <c r="AB591" s="61"/>
      <c r="AC591" s="61"/>
      <c r="AD591" s="218"/>
      <c r="AE591" s="61"/>
      <c r="AF591" s="61"/>
      <c r="AG591" s="61"/>
      <c r="AH591" s="61"/>
      <c r="AI591" s="61"/>
      <c r="AJ591" s="61"/>
    </row>
    <row r="592" spans="1:36" ht="15" hidden="1" customHeight="1">
      <c r="A592" s="60">
        <v>592</v>
      </c>
      <c r="B592" s="60" t="s">
        <v>26</v>
      </c>
      <c r="C592" s="60" t="s">
        <v>27</v>
      </c>
      <c r="D592" s="60" t="s">
        <v>207</v>
      </c>
      <c r="E592" s="60" t="s">
        <v>3178</v>
      </c>
      <c r="F592" s="60" t="s">
        <v>318</v>
      </c>
      <c r="G592" s="105">
        <v>4</v>
      </c>
      <c r="H592" s="212" t="s">
        <v>3179</v>
      </c>
      <c r="I592" s="105" t="s">
        <v>275</v>
      </c>
      <c r="J592" s="60" t="s">
        <v>2725</v>
      </c>
      <c r="K592" s="106">
        <v>46163.897951388892</v>
      </c>
      <c r="L592" s="106">
        <v>46198.371249999997</v>
      </c>
      <c r="M592" s="106">
        <v>46198.393182870372</v>
      </c>
      <c r="N592" s="106">
        <v>46203.463703703703</v>
      </c>
      <c r="O592" s="106"/>
      <c r="P592" s="106"/>
      <c r="Q592" s="60"/>
      <c r="R592" s="60"/>
      <c r="S592" s="60"/>
      <c r="T592" s="60"/>
      <c r="U592" s="60"/>
      <c r="V592" s="60"/>
      <c r="W592" s="60"/>
      <c r="X592" s="60"/>
      <c r="Y592" s="60"/>
      <c r="Z592" s="61"/>
      <c r="AA592" s="61"/>
      <c r="AB592" s="61"/>
      <c r="AC592" s="61"/>
      <c r="AD592" s="218"/>
      <c r="AE592" s="61"/>
      <c r="AF592" s="61"/>
      <c r="AG592" s="61"/>
      <c r="AH592" s="61"/>
      <c r="AI592" s="61"/>
      <c r="AJ592" s="61"/>
    </row>
    <row r="593" spans="1:36" ht="15" hidden="1" customHeight="1">
      <c r="A593" s="60">
        <v>593</v>
      </c>
      <c r="B593" s="60" t="s">
        <v>26</v>
      </c>
      <c r="C593" s="60" t="s">
        <v>27</v>
      </c>
      <c r="D593" s="60" t="s">
        <v>208</v>
      </c>
      <c r="E593" s="60" t="s">
        <v>3685</v>
      </c>
      <c r="F593" s="60" t="s">
        <v>318</v>
      </c>
      <c r="G593" s="105" t="s">
        <v>208</v>
      </c>
      <c r="H593" s="212" t="s">
        <v>3686</v>
      </c>
      <c r="I593" s="105" t="s">
        <v>266</v>
      </c>
      <c r="J593" s="60" t="s">
        <v>2725</v>
      </c>
      <c r="K593" s="106">
        <v>46198.498483796298</v>
      </c>
      <c r="L593" s="62">
        <v>46198.500185185185</v>
      </c>
      <c r="M593" s="106">
        <v>46198.574108796296</v>
      </c>
      <c r="N593" s="106"/>
      <c r="O593" s="106"/>
      <c r="P593" s="106"/>
      <c r="Q593" s="60"/>
      <c r="R593" s="60"/>
      <c r="S593" s="60"/>
      <c r="T593" s="60"/>
      <c r="U593" s="60"/>
      <c r="V593" s="60"/>
      <c r="W593" s="60"/>
      <c r="X593" s="60"/>
      <c r="Y593" s="60"/>
      <c r="Z593" s="61"/>
      <c r="AA593" s="61"/>
      <c r="AB593" s="61"/>
      <c r="AC593" s="61"/>
      <c r="AD593" s="218"/>
      <c r="AE593" s="61"/>
      <c r="AF593" s="61"/>
      <c r="AG593" s="61"/>
      <c r="AH593" s="61"/>
      <c r="AI593" s="61"/>
      <c r="AJ593" s="61"/>
    </row>
    <row r="594" spans="1:36" s="60" customFormat="1" ht="15" hidden="1" customHeight="1">
      <c r="A594" s="60">
        <v>594</v>
      </c>
      <c r="B594" s="60" t="s">
        <v>26</v>
      </c>
      <c r="C594" s="60" t="s">
        <v>27</v>
      </c>
      <c r="D594" s="60" t="s">
        <v>207</v>
      </c>
      <c r="E594" s="60" t="s">
        <v>3687</v>
      </c>
      <c r="F594" s="60" t="s">
        <v>318</v>
      </c>
      <c r="G594" s="105">
        <v>3</v>
      </c>
      <c r="H594" s="212" t="s">
        <v>2923</v>
      </c>
      <c r="I594" s="105" t="s">
        <v>271</v>
      </c>
      <c r="J594" s="60" t="s">
        <v>2708</v>
      </c>
      <c r="K594" s="62">
        <v>46198.727812500001</v>
      </c>
      <c r="L594" s="62">
        <v>46198.727916666663</v>
      </c>
      <c r="M594" s="106">
        <v>46199.234270833331</v>
      </c>
      <c r="N594" s="106">
        <v>46199.274386574078</v>
      </c>
      <c r="O594" s="106"/>
      <c r="P594" s="106"/>
      <c r="Q594" s="60" t="s">
        <v>2709</v>
      </c>
      <c r="R594" s="60" t="s">
        <v>272</v>
      </c>
      <c r="S594" s="60" t="s">
        <v>161</v>
      </c>
      <c r="Z594" s="61"/>
      <c r="AA594" s="61"/>
      <c r="AB594" s="61"/>
      <c r="AC594" s="61"/>
      <c r="AD594" s="218"/>
      <c r="AE594" s="61"/>
      <c r="AF594" s="61"/>
      <c r="AG594" s="61"/>
      <c r="AH594" s="61"/>
      <c r="AI594" s="61"/>
      <c r="AJ594" s="61"/>
    </row>
    <row r="595" spans="1:36" ht="15" hidden="1" customHeight="1">
      <c r="A595" s="60">
        <v>595</v>
      </c>
      <c r="B595" s="60" t="s">
        <v>26</v>
      </c>
      <c r="C595" s="60" t="s">
        <v>27</v>
      </c>
      <c r="D595" s="60" t="s">
        <v>207</v>
      </c>
      <c r="E595" s="60" t="s">
        <v>3688</v>
      </c>
      <c r="F595" s="60" t="s">
        <v>318</v>
      </c>
      <c r="G595" s="105">
        <v>3</v>
      </c>
      <c r="H595" s="212" t="s">
        <v>3689</v>
      </c>
      <c r="I595" s="105" t="s">
        <v>271</v>
      </c>
      <c r="J595" s="60" t="s">
        <v>2738</v>
      </c>
      <c r="K595" s="62">
        <v>46198.824131944442</v>
      </c>
      <c r="L595" s="62">
        <v>46198.82435185185</v>
      </c>
      <c r="M595" s="106">
        <v>46199.238495370373</v>
      </c>
      <c r="N595" s="106">
        <v>46202.487962962965</v>
      </c>
      <c r="O595" s="106"/>
      <c r="P595" s="106"/>
      <c r="Q595" s="60"/>
      <c r="R595" s="60"/>
      <c r="S595" s="60"/>
      <c r="T595" s="60"/>
      <c r="U595" s="60"/>
      <c r="V595" s="60"/>
      <c r="W595" s="60"/>
      <c r="X595" s="60"/>
      <c r="Y595" s="60"/>
      <c r="Z595" s="61"/>
      <c r="AA595" s="61"/>
      <c r="AB595" s="61"/>
      <c r="AC595" s="61"/>
      <c r="AD595" s="218"/>
      <c r="AE595" s="61"/>
      <c r="AF595" s="61"/>
      <c r="AG595" s="61"/>
      <c r="AH595" s="61"/>
      <c r="AI595" s="61"/>
      <c r="AJ595" s="61"/>
    </row>
    <row r="596" spans="1:36" s="60" customFormat="1" ht="15" hidden="1" customHeight="1">
      <c r="A596" s="60">
        <v>596</v>
      </c>
      <c r="B596" s="60" t="s">
        <v>26</v>
      </c>
      <c r="C596" s="60" t="s">
        <v>27</v>
      </c>
      <c r="D596" s="60" t="s">
        <v>207</v>
      </c>
      <c r="E596" s="60" t="s">
        <v>3690</v>
      </c>
      <c r="F596" s="60" t="s">
        <v>318</v>
      </c>
      <c r="G596" s="105">
        <v>3</v>
      </c>
      <c r="H596" s="212" t="s">
        <v>3691</v>
      </c>
      <c r="I596" s="105" t="s">
        <v>260</v>
      </c>
      <c r="J596" s="60" t="s">
        <v>2700</v>
      </c>
      <c r="K596" s="62">
        <v>46198.809907407405</v>
      </c>
      <c r="L596" s="62">
        <v>46198.809965277775</v>
      </c>
      <c r="M596" s="106">
        <v>46199.24181712963</v>
      </c>
      <c r="N596" s="106"/>
      <c r="O596" s="106"/>
      <c r="P596" s="106"/>
      <c r="Z596" s="61"/>
      <c r="AA596" s="61"/>
      <c r="AB596" s="61"/>
      <c r="AC596" s="61"/>
      <c r="AD596" s="218"/>
      <c r="AE596" s="61"/>
      <c r="AF596" s="61"/>
      <c r="AG596" s="61"/>
      <c r="AH596" s="61"/>
      <c r="AI596" s="61"/>
      <c r="AJ596" s="61"/>
    </row>
    <row r="597" spans="1:36" s="60" customFormat="1" ht="15" hidden="1" customHeight="1">
      <c r="A597" s="60">
        <v>597</v>
      </c>
      <c r="B597" s="60" t="s">
        <v>26</v>
      </c>
      <c r="C597" s="60" t="s">
        <v>27</v>
      </c>
      <c r="D597" s="60" t="s">
        <v>207</v>
      </c>
      <c r="E597" s="60" t="s">
        <v>3692</v>
      </c>
      <c r="F597" s="60" t="s">
        <v>318</v>
      </c>
      <c r="G597" s="105">
        <v>3</v>
      </c>
      <c r="H597" s="212" t="s">
        <v>2724</v>
      </c>
      <c r="I597" s="105" t="s">
        <v>271</v>
      </c>
      <c r="J597" s="60" t="s">
        <v>2772</v>
      </c>
      <c r="K597" s="62">
        <v>46198.994872685187</v>
      </c>
      <c r="L597" s="62">
        <v>46198.994930555556</v>
      </c>
      <c r="M597" s="106">
        <v>46199.243946759256</v>
      </c>
      <c r="N597" s="106">
        <v>46204.538946759261</v>
      </c>
      <c r="O597" s="106"/>
      <c r="P597" s="106"/>
      <c r="Z597" s="61"/>
      <c r="AA597" s="61"/>
      <c r="AB597" s="61"/>
      <c r="AC597" s="61"/>
      <c r="AD597" s="218"/>
      <c r="AE597" s="61"/>
      <c r="AF597" s="61"/>
      <c r="AG597" s="61"/>
      <c r="AH597" s="61"/>
      <c r="AI597" s="61"/>
      <c r="AJ597" s="61"/>
    </row>
    <row r="598" spans="1:36" ht="15" hidden="1" customHeight="1">
      <c r="A598" s="60">
        <v>598</v>
      </c>
      <c r="B598" s="60" t="s">
        <v>26</v>
      </c>
      <c r="C598" s="60" t="s">
        <v>27</v>
      </c>
      <c r="D598" s="60" t="s">
        <v>207</v>
      </c>
      <c r="E598" s="60" t="s">
        <v>3693</v>
      </c>
      <c r="F598" s="60" t="s">
        <v>318</v>
      </c>
      <c r="G598" s="105">
        <v>3</v>
      </c>
      <c r="H598" s="212" t="s">
        <v>2724</v>
      </c>
      <c r="I598" s="105" t="s">
        <v>271</v>
      </c>
      <c r="J598" s="60" t="s">
        <v>2725</v>
      </c>
      <c r="K598" s="62">
        <v>46198.994895833333</v>
      </c>
      <c r="L598" s="62">
        <v>46198.994930555556</v>
      </c>
      <c r="M598" s="106">
        <v>46199.245775462965</v>
      </c>
      <c r="N598" s="106">
        <v>46199.338969907411</v>
      </c>
      <c r="O598" s="106"/>
      <c r="P598" s="106"/>
      <c r="Q598" s="60"/>
      <c r="R598" s="60"/>
      <c r="S598" s="60"/>
      <c r="T598" s="60"/>
      <c r="U598" s="60"/>
      <c r="V598" s="60"/>
      <c r="W598" s="60"/>
      <c r="X598" s="60"/>
      <c r="Y598" s="60"/>
      <c r="Z598" s="61"/>
      <c r="AA598" s="61"/>
      <c r="AB598" s="61"/>
      <c r="AC598" s="61"/>
      <c r="AD598" s="218"/>
      <c r="AE598" s="61"/>
      <c r="AF598" s="61"/>
      <c r="AG598" s="61"/>
      <c r="AH598" s="61"/>
      <c r="AI598" s="61"/>
      <c r="AJ598" s="61"/>
    </row>
    <row r="599" spans="1:36" ht="15" customHeight="1">
      <c r="A599" s="60">
        <v>599</v>
      </c>
      <c r="B599" s="60" t="s">
        <v>26</v>
      </c>
      <c r="C599" s="60" t="s">
        <v>54</v>
      </c>
      <c r="D599" s="60" t="s">
        <v>207</v>
      </c>
      <c r="E599" s="60" t="s">
        <v>3519</v>
      </c>
      <c r="F599" s="60" t="s">
        <v>53</v>
      </c>
      <c r="G599" s="105">
        <v>3</v>
      </c>
      <c r="H599" s="212" t="s">
        <v>3520</v>
      </c>
      <c r="I599" s="105" t="s">
        <v>275</v>
      </c>
      <c r="J599" s="291" t="s">
        <v>2697</v>
      </c>
      <c r="K599" s="106">
        <v>46191.355497685188</v>
      </c>
      <c r="L599" s="62">
        <v>46198.781388888892</v>
      </c>
      <c r="M599" s="106">
        <v>46199.282326388886</v>
      </c>
      <c r="N599" s="62">
        <v>46199.288032407407</v>
      </c>
      <c r="O599" s="106"/>
      <c r="P599" s="106"/>
      <c r="Q599" s="60"/>
      <c r="R599" s="60"/>
      <c r="S599" s="60"/>
      <c r="T599" s="60"/>
      <c r="U599" s="60"/>
      <c r="V599" s="60"/>
      <c r="W599" s="60"/>
      <c r="X599" s="60"/>
      <c r="Y599" s="60"/>
      <c r="Z599" s="61"/>
      <c r="AA599" s="61"/>
      <c r="AB599" s="61"/>
      <c r="AC599" s="61"/>
      <c r="AD599" s="218"/>
      <c r="AE599" s="61"/>
      <c r="AF599" s="61"/>
      <c r="AG599" s="61"/>
      <c r="AH599" s="61"/>
      <c r="AI599" s="61"/>
      <c r="AJ599" s="61"/>
    </row>
    <row r="600" spans="1:36" s="60" customFormat="1" ht="15" customHeight="1">
      <c r="A600" s="60">
        <v>600</v>
      </c>
      <c r="B600" s="60" t="s">
        <v>26</v>
      </c>
      <c r="C600" s="60" t="s">
        <v>54</v>
      </c>
      <c r="D600" s="60" t="s">
        <v>207</v>
      </c>
      <c r="E600" s="60" t="s">
        <v>3694</v>
      </c>
      <c r="F600" s="60" t="s">
        <v>53</v>
      </c>
      <c r="G600" s="105">
        <v>3</v>
      </c>
      <c r="H600" s="212" t="s">
        <v>3695</v>
      </c>
      <c r="I600" s="105" t="s">
        <v>275</v>
      </c>
      <c r="J600" s="291" t="s">
        <v>2697</v>
      </c>
      <c r="K600" s="106">
        <v>46199.101782407408</v>
      </c>
      <c r="L600" s="62">
        <v>46199.101782407408</v>
      </c>
      <c r="M600" s="106">
        <v>46199.280219907407</v>
      </c>
      <c r="N600" s="62">
        <v>46205.296180555553</v>
      </c>
      <c r="O600" s="106"/>
      <c r="P600" s="106"/>
      <c r="Z600" s="61"/>
      <c r="AA600" s="61"/>
      <c r="AB600" s="61"/>
      <c r="AC600" s="61"/>
      <c r="AD600" s="218"/>
      <c r="AE600" s="61"/>
      <c r="AF600" s="61"/>
      <c r="AG600" s="61"/>
      <c r="AH600" s="61"/>
      <c r="AI600" s="61"/>
      <c r="AJ600" s="61"/>
    </row>
    <row r="601" spans="1:36" s="60" customFormat="1" ht="15" customHeight="1">
      <c r="A601" s="60">
        <v>601</v>
      </c>
      <c r="B601" s="60" t="s">
        <v>26</v>
      </c>
      <c r="C601" s="60" t="s">
        <v>54</v>
      </c>
      <c r="D601" s="60" t="s">
        <v>207</v>
      </c>
      <c r="E601" s="60" t="s">
        <v>3696</v>
      </c>
      <c r="F601" s="60" t="s">
        <v>53</v>
      </c>
      <c r="G601" s="105">
        <v>3</v>
      </c>
      <c r="H601" s="212" t="s">
        <v>3697</v>
      </c>
      <c r="I601" s="105" t="s">
        <v>271</v>
      </c>
      <c r="J601" s="291" t="s">
        <v>2708</v>
      </c>
      <c r="K601" s="106">
        <v>46198.572766203702</v>
      </c>
      <c r="L601" s="62">
        <v>46198.572766203702</v>
      </c>
      <c r="M601" s="106">
        <v>46199.283935185187</v>
      </c>
      <c r="N601" s="106">
        <v>46203.459837962961</v>
      </c>
      <c r="O601" s="106">
        <v>46199.358483796299</v>
      </c>
      <c r="P601" s="106">
        <v>46203.459837962961</v>
      </c>
      <c r="Q601" s="60" t="s">
        <v>2816</v>
      </c>
      <c r="R601" s="60" t="s">
        <v>272</v>
      </c>
      <c r="S601" s="60" t="s">
        <v>167</v>
      </c>
      <c r="Z601" s="61"/>
      <c r="AA601" s="61"/>
      <c r="AB601" s="61"/>
      <c r="AC601" s="61"/>
      <c r="AD601" s="218"/>
      <c r="AE601" s="61"/>
      <c r="AF601" s="61"/>
      <c r="AG601" s="61"/>
      <c r="AH601" s="61"/>
      <c r="AI601" s="61"/>
      <c r="AJ601" s="61"/>
    </row>
    <row r="602" spans="1:36" s="60" customFormat="1" ht="15" customHeight="1">
      <c r="A602" s="60">
        <v>602</v>
      </c>
      <c r="B602" s="60" t="s">
        <v>26</v>
      </c>
      <c r="C602" s="60" t="s">
        <v>54</v>
      </c>
      <c r="D602" s="60" t="s">
        <v>207</v>
      </c>
      <c r="E602" s="60" t="s">
        <v>3519</v>
      </c>
      <c r="F602" s="60" t="s">
        <v>53</v>
      </c>
      <c r="G602" s="105">
        <v>3</v>
      </c>
      <c r="H602" s="212" t="s">
        <v>3520</v>
      </c>
      <c r="I602" s="105" t="s">
        <v>275</v>
      </c>
      <c r="J602" s="291" t="s">
        <v>2697</v>
      </c>
      <c r="K602" s="106">
        <v>46191.355497685188</v>
      </c>
      <c r="L602" s="62">
        <v>46199.392916666664</v>
      </c>
      <c r="M602" s="106">
        <v>46199.395636574074</v>
      </c>
      <c r="N602" s="62">
        <v>46202.554398148146</v>
      </c>
      <c r="O602" s="106"/>
      <c r="P602" s="106"/>
      <c r="Z602" s="61"/>
      <c r="AA602" s="61"/>
      <c r="AB602" s="61"/>
      <c r="AC602" s="61"/>
      <c r="AD602" s="218"/>
      <c r="AE602" s="61"/>
      <c r="AF602" s="61"/>
      <c r="AG602" s="61"/>
      <c r="AH602" s="61"/>
      <c r="AI602" s="61"/>
      <c r="AJ602" s="61"/>
    </row>
    <row r="603" spans="1:36" s="60" customFormat="1" ht="15" hidden="1" customHeight="1">
      <c r="A603" s="60">
        <v>603</v>
      </c>
      <c r="B603" s="60" t="s">
        <v>26</v>
      </c>
      <c r="C603" s="60" t="s">
        <v>27</v>
      </c>
      <c r="D603" s="60" t="s">
        <v>207</v>
      </c>
      <c r="E603" s="60" t="s">
        <v>3698</v>
      </c>
      <c r="F603" s="60" t="s">
        <v>318</v>
      </c>
      <c r="G603" s="105">
        <v>3</v>
      </c>
      <c r="H603" s="212" t="s">
        <v>3699</v>
      </c>
      <c r="I603" s="105" t="s">
        <v>271</v>
      </c>
      <c r="J603" s="60" t="s">
        <v>2708</v>
      </c>
      <c r="K603" s="106">
        <v>46199.504479166666</v>
      </c>
      <c r="L603" s="106">
        <v>46199.504479166666</v>
      </c>
      <c r="M603" s="106">
        <v>46199.601226851853</v>
      </c>
      <c r="N603" s="106">
        <v>46199.684166666666</v>
      </c>
      <c r="O603" s="106"/>
      <c r="P603" s="106"/>
      <c r="Q603" s="60" t="s">
        <v>2733</v>
      </c>
      <c r="R603" s="60" t="s">
        <v>272</v>
      </c>
      <c r="S603" s="60" t="s">
        <v>190</v>
      </c>
      <c r="Z603" s="61"/>
      <c r="AA603" s="61"/>
      <c r="AB603" s="61"/>
      <c r="AC603" s="61"/>
      <c r="AD603" s="218"/>
      <c r="AE603" s="61"/>
      <c r="AF603" s="61"/>
      <c r="AG603" s="61"/>
      <c r="AH603" s="61"/>
      <c r="AI603" s="61"/>
      <c r="AJ603" s="61"/>
    </row>
    <row r="604" spans="1:36" s="60" customFormat="1" ht="15" hidden="1" customHeight="1">
      <c r="A604" s="60">
        <v>604</v>
      </c>
      <c r="B604" s="60" t="s">
        <v>26</v>
      </c>
      <c r="C604" s="60" t="s">
        <v>27</v>
      </c>
      <c r="D604" s="60" t="s">
        <v>207</v>
      </c>
      <c r="E604" s="60" t="s">
        <v>3700</v>
      </c>
      <c r="F604" s="60" t="s">
        <v>318</v>
      </c>
      <c r="G604" s="105">
        <v>3</v>
      </c>
      <c r="H604" s="212" t="s">
        <v>2707</v>
      </c>
      <c r="I604" s="105" t="s">
        <v>271</v>
      </c>
      <c r="J604" s="60" t="s">
        <v>2708</v>
      </c>
      <c r="K604" s="106">
        <v>46199.620868055557</v>
      </c>
      <c r="L604" s="106">
        <v>46199.622569444444</v>
      </c>
      <c r="M604" s="106">
        <v>46199.62462962963</v>
      </c>
      <c r="N604" s="106">
        <v>46202.276365740741</v>
      </c>
      <c r="O604" s="106"/>
      <c r="P604" s="106"/>
      <c r="Q604" s="60" t="s">
        <v>2709</v>
      </c>
      <c r="R604" s="60" t="s">
        <v>272</v>
      </c>
      <c r="S604" s="60" t="s">
        <v>161</v>
      </c>
      <c r="Z604" s="61"/>
      <c r="AA604" s="61"/>
      <c r="AB604" s="61"/>
      <c r="AC604" s="61"/>
      <c r="AD604" s="218"/>
      <c r="AE604" s="61"/>
      <c r="AF604" s="61"/>
      <c r="AG604" s="61"/>
      <c r="AH604" s="61"/>
      <c r="AI604" s="61"/>
      <c r="AJ604" s="61"/>
    </row>
    <row r="605" spans="1:36" ht="15" hidden="1" customHeight="1">
      <c r="A605" s="60">
        <v>605</v>
      </c>
      <c r="B605" s="60" t="s">
        <v>26</v>
      </c>
      <c r="C605" s="60" t="s">
        <v>27</v>
      </c>
      <c r="D605" s="60" t="s">
        <v>207</v>
      </c>
      <c r="E605" s="60" t="s">
        <v>3701</v>
      </c>
      <c r="F605" s="60" t="s">
        <v>318</v>
      </c>
      <c r="G605" s="105">
        <v>3</v>
      </c>
      <c r="H605" s="212" t="s">
        <v>3702</v>
      </c>
      <c r="I605" s="105" t="s">
        <v>271</v>
      </c>
      <c r="J605" s="60" t="s">
        <v>2738</v>
      </c>
      <c r="K605" s="106">
        <v>46200.484085648146</v>
      </c>
      <c r="L605" s="106">
        <v>46200.487222222226</v>
      </c>
      <c r="M605" s="106">
        <v>46202.264872685184</v>
      </c>
      <c r="N605" s="106">
        <v>46202.343425925923</v>
      </c>
      <c r="O605" s="106"/>
      <c r="P605" s="106"/>
      <c r="Q605" s="60"/>
      <c r="R605" s="60"/>
      <c r="S605" s="60"/>
      <c r="T605" s="60"/>
      <c r="U605" s="60"/>
      <c r="V605" s="60"/>
      <c r="W605" s="60"/>
      <c r="X605" s="60"/>
      <c r="Y605" s="60"/>
      <c r="Z605" s="61"/>
      <c r="AA605" s="61"/>
      <c r="AB605" s="61"/>
      <c r="AC605" s="61"/>
      <c r="AD605" s="218"/>
      <c r="AE605" s="61"/>
      <c r="AF605" s="61"/>
      <c r="AG605" s="61"/>
      <c r="AH605" s="61"/>
      <c r="AI605" s="61"/>
      <c r="AJ605" s="61"/>
    </row>
    <row r="606" spans="1:36" s="60" customFormat="1" ht="15" hidden="1" customHeight="1">
      <c r="A606" s="60">
        <v>606</v>
      </c>
      <c r="B606" s="60" t="s">
        <v>26</v>
      </c>
      <c r="C606" s="60" t="s">
        <v>27</v>
      </c>
      <c r="D606" s="60" t="s">
        <v>207</v>
      </c>
      <c r="E606" s="60" t="s">
        <v>3703</v>
      </c>
      <c r="F606" s="60" t="s">
        <v>318</v>
      </c>
      <c r="G606" s="105">
        <v>4</v>
      </c>
      <c r="H606" s="212" t="s">
        <v>3704</v>
      </c>
      <c r="I606" s="105" t="s">
        <v>271</v>
      </c>
      <c r="J606" s="60" t="s">
        <v>2708</v>
      </c>
      <c r="K606" s="106">
        <v>46201.689293981479</v>
      </c>
      <c r="L606" s="106">
        <v>46201.693761574075</v>
      </c>
      <c r="M606" s="106">
        <v>46202.266423611109</v>
      </c>
      <c r="N606" s="106">
        <v>46202.282013888886</v>
      </c>
      <c r="O606" s="106"/>
      <c r="P606" s="106"/>
      <c r="Q606" s="60" t="s">
        <v>2733</v>
      </c>
      <c r="R606" s="60" t="s">
        <v>272</v>
      </c>
      <c r="S606" s="60" t="s">
        <v>161</v>
      </c>
      <c r="Z606" s="61"/>
      <c r="AA606" s="61"/>
      <c r="AB606" s="61"/>
      <c r="AC606" s="61"/>
      <c r="AD606" s="218"/>
      <c r="AE606" s="61"/>
      <c r="AF606" s="61"/>
      <c r="AG606" s="61"/>
      <c r="AH606" s="61"/>
      <c r="AI606" s="61"/>
      <c r="AJ606" s="61"/>
    </row>
    <row r="607" spans="1:36" s="60" customFormat="1" ht="15" hidden="1" customHeight="1">
      <c r="A607" s="60">
        <v>607</v>
      </c>
      <c r="B607" s="60" t="s">
        <v>26</v>
      </c>
      <c r="C607" s="60" t="s">
        <v>27</v>
      </c>
      <c r="D607" s="60" t="s">
        <v>207</v>
      </c>
      <c r="E607" s="60" t="s">
        <v>3705</v>
      </c>
      <c r="F607" s="60" t="s">
        <v>318</v>
      </c>
      <c r="G607" s="105">
        <v>4</v>
      </c>
      <c r="H607" s="212" t="s">
        <v>2775</v>
      </c>
      <c r="I607" s="105" t="s">
        <v>271</v>
      </c>
      <c r="J607" s="60" t="s">
        <v>2772</v>
      </c>
      <c r="K607" s="106">
        <v>46201.034618055557</v>
      </c>
      <c r="L607" s="106">
        <v>46201.034618055557</v>
      </c>
      <c r="M607" s="106">
        <v>46202.271122685182</v>
      </c>
      <c r="N607" s="106">
        <v>46204.538206018522</v>
      </c>
      <c r="O607" s="106"/>
      <c r="P607" s="106"/>
      <c r="Z607" s="61"/>
      <c r="AA607" s="61"/>
      <c r="AB607" s="61"/>
      <c r="AC607" s="61"/>
      <c r="AD607" s="218"/>
      <c r="AE607" s="61"/>
      <c r="AF607" s="61"/>
      <c r="AG607" s="61"/>
      <c r="AH607" s="61"/>
      <c r="AI607" s="61"/>
      <c r="AJ607" s="61"/>
    </row>
    <row r="608" spans="1:36" ht="15" hidden="1" customHeight="1">
      <c r="A608" s="60">
        <v>608</v>
      </c>
      <c r="B608" s="60" t="s">
        <v>26</v>
      </c>
      <c r="C608" s="60" t="s">
        <v>27</v>
      </c>
      <c r="D608" s="60" t="s">
        <v>207</v>
      </c>
      <c r="E608" s="60" t="s">
        <v>3706</v>
      </c>
      <c r="F608" s="60" t="s">
        <v>318</v>
      </c>
      <c r="G608" s="105">
        <v>4</v>
      </c>
      <c r="H608" s="212" t="s">
        <v>2724</v>
      </c>
      <c r="I608" s="105" t="s">
        <v>271</v>
      </c>
      <c r="J608" s="60" t="s">
        <v>2725</v>
      </c>
      <c r="K608" s="106">
        <v>46200.9921875</v>
      </c>
      <c r="L608" s="106">
        <v>46200.9921875</v>
      </c>
      <c r="M608" s="106">
        <v>46202.278483796297</v>
      </c>
      <c r="N608" s="106">
        <v>46202.483900462961</v>
      </c>
      <c r="O608" s="106"/>
      <c r="P608" s="106"/>
      <c r="Q608" s="60"/>
      <c r="R608" s="60"/>
      <c r="S608" s="60"/>
      <c r="T608" s="60"/>
      <c r="U608" s="60"/>
      <c r="V608" s="60"/>
      <c r="W608" s="60"/>
      <c r="X608" s="60"/>
      <c r="Y608" s="60"/>
      <c r="Z608" s="61"/>
      <c r="AA608" s="61"/>
      <c r="AB608" s="61"/>
      <c r="AC608" s="61"/>
      <c r="AD608" s="218"/>
      <c r="AE608" s="61"/>
      <c r="AF608" s="61"/>
      <c r="AG608" s="61"/>
      <c r="AH608" s="61"/>
      <c r="AI608" s="61"/>
      <c r="AJ608" s="61"/>
    </row>
    <row r="609" spans="1:36" s="60" customFormat="1" ht="15" hidden="1" customHeight="1">
      <c r="A609" s="60">
        <v>609</v>
      </c>
      <c r="B609" s="60" t="s">
        <v>26</v>
      </c>
      <c r="C609" s="60" t="s">
        <v>27</v>
      </c>
      <c r="D609" s="60" t="s">
        <v>207</v>
      </c>
      <c r="E609" s="60" t="s">
        <v>3707</v>
      </c>
      <c r="F609" s="60" t="s">
        <v>318</v>
      </c>
      <c r="G609" s="105">
        <v>4</v>
      </c>
      <c r="H609" s="212" t="s">
        <v>2724</v>
      </c>
      <c r="I609" s="105" t="s">
        <v>271</v>
      </c>
      <c r="J609" s="60" t="s">
        <v>2751</v>
      </c>
      <c r="K609" s="106">
        <v>46200.993611111109</v>
      </c>
      <c r="L609" s="106">
        <v>46200.993611111109</v>
      </c>
      <c r="M609" s="106">
        <v>46202.280439814815</v>
      </c>
      <c r="N609" s="106">
        <v>46203.34716435185</v>
      </c>
      <c r="O609" s="106"/>
      <c r="P609" s="106"/>
      <c r="Z609" s="61"/>
      <c r="AA609" s="61"/>
      <c r="AB609" s="61"/>
      <c r="AC609" s="61"/>
      <c r="AD609" s="218"/>
      <c r="AE609" s="61"/>
      <c r="AF609" s="61"/>
      <c r="AG609" s="61"/>
      <c r="AH609" s="61"/>
      <c r="AI609" s="61"/>
      <c r="AJ609" s="61"/>
    </row>
    <row r="610" spans="1:36" ht="15" hidden="1" customHeight="1">
      <c r="A610" s="60">
        <v>610</v>
      </c>
      <c r="B610" s="60" t="s">
        <v>26</v>
      </c>
      <c r="C610" s="60" t="s">
        <v>27</v>
      </c>
      <c r="D610" s="60" t="s">
        <v>208</v>
      </c>
      <c r="E610" s="60" t="s">
        <v>3708</v>
      </c>
      <c r="F610" s="60" t="s">
        <v>322</v>
      </c>
      <c r="G610" s="105" t="s">
        <v>208</v>
      </c>
      <c r="H610" s="212" t="s">
        <v>3709</v>
      </c>
      <c r="I610" s="105" t="s">
        <v>275</v>
      </c>
      <c r="J610" s="60" t="s">
        <v>2717</v>
      </c>
      <c r="K610" s="106">
        <v>46202.263680555552</v>
      </c>
      <c r="L610" s="106">
        <v>46202.263194444444</v>
      </c>
      <c r="M610" s="106">
        <v>46202.275000000001</v>
      </c>
      <c r="N610" s="106">
        <v>46202.280034722222</v>
      </c>
      <c r="O610" s="106"/>
      <c r="P610" s="106"/>
      <c r="Q610" s="60"/>
      <c r="R610" s="60"/>
      <c r="S610" s="60"/>
      <c r="T610" s="60"/>
      <c r="U610" s="60" t="s">
        <v>371</v>
      </c>
      <c r="V610" s="60"/>
      <c r="W610" s="60"/>
      <c r="X610" s="60"/>
      <c r="Y610" s="60">
        <v>585</v>
      </c>
      <c r="Z610" s="61"/>
      <c r="AA610" s="61"/>
      <c r="AB610" s="61"/>
      <c r="AC610" s="61"/>
      <c r="AD610" s="218"/>
      <c r="AE610" s="61"/>
      <c r="AF610" s="61"/>
      <c r="AG610" s="61"/>
      <c r="AH610" s="61"/>
      <c r="AI610" s="61"/>
      <c r="AJ610" s="61"/>
    </row>
    <row r="611" spans="1:36" ht="15" hidden="1" customHeight="1">
      <c r="A611" s="60">
        <v>611</v>
      </c>
      <c r="B611" s="60" t="s">
        <v>26</v>
      </c>
      <c r="C611" s="60" t="s">
        <v>27</v>
      </c>
      <c r="D611" s="60" t="s">
        <v>208</v>
      </c>
      <c r="E611" s="60" t="s">
        <v>3710</v>
      </c>
      <c r="F611" s="60" t="s">
        <v>322</v>
      </c>
      <c r="G611" s="105" t="s">
        <v>208</v>
      </c>
      <c r="H611" s="212" t="s">
        <v>3711</v>
      </c>
      <c r="I611" s="105" t="s">
        <v>275</v>
      </c>
      <c r="J611" s="60" t="s">
        <v>2717</v>
      </c>
      <c r="K611" s="106">
        <v>46202.265555555554</v>
      </c>
      <c r="L611" s="106">
        <v>46202.265555555554</v>
      </c>
      <c r="M611" s="106">
        <v>46202.277083333334</v>
      </c>
      <c r="N611" s="106">
        <v>46202.281076388892</v>
      </c>
      <c r="O611" s="106"/>
      <c r="P611" s="106"/>
      <c r="Q611" s="60"/>
      <c r="R611" s="60"/>
      <c r="S611" s="60"/>
      <c r="T611" s="60"/>
      <c r="U611" s="60" t="s">
        <v>371</v>
      </c>
      <c r="V611" s="60"/>
      <c r="W611" s="60"/>
      <c r="X611" s="60"/>
      <c r="Y611" s="60"/>
      <c r="Z611" s="61"/>
      <c r="AA611" s="61"/>
      <c r="AB611" s="61"/>
      <c r="AC611" s="61"/>
      <c r="AD611" s="218"/>
      <c r="AE611" s="61"/>
      <c r="AF611" s="61"/>
      <c r="AG611" s="61"/>
      <c r="AH611" s="61"/>
      <c r="AI611" s="61"/>
      <c r="AJ611" s="61"/>
    </row>
    <row r="612" spans="1:36" ht="15" hidden="1" customHeight="1">
      <c r="A612" s="60">
        <v>612</v>
      </c>
      <c r="B612" s="60" t="s">
        <v>26</v>
      </c>
      <c r="C612" s="60" t="s">
        <v>27</v>
      </c>
      <c r="D612" s="60" t="s">
        <v>208</v>
      </c>
      <c r="E612" s="60" t="s">
        <v>3712</v>
      </c>
      <c r="F612" s="60" t="s">
        <v>322</v>
      </c>
      <c r="G612" s="105" t="s">
        <v>208</v>
      </c>
      <c r="H612" s="212" t="s">
        <v>3713</v>
      </c>
      <c r="I612" s="105" t="s">
        <v>275</v>
      </c>
      <c r="J612" s="60" t="s">
        <v>2717</v>
      </c>
      <c r="K612" s="106">
        <v>46202.265972222223</v>
      </c>
      <c r="L612" s="106">
        <v>46202.265972222223</v>
      </c>
      <c r="M612" s="106">
        <v>46202.278495370374</v>
      </c>
      <c r="N612" s="106">
        <v>46202.282222222224</v>
      </c>
      <c r="O612" s="106"/>
      <c r="P612" s="106"/>
      <c r="Q612" s="60"/>
      <c r="R612" s="60"/>
      <c r="S612" s="60"/>
      <c r="T612" s="60"/>
      <c r="U612" s="60" t="s">
        <v>371</v>
      </c>
      <c r="V612" s="60"/>
      <c r="W612" s="60"/>
      <c r="X612" s="60"/>
      <c r="Y612" s="60"/>
      <c r="Z612" s="61"/>
      <c r="AA612" s="61"/>
      <c r="AB612" s="61"/>
      <c r="AC612" s="61"/>
      <c r="AD612" s="218"/>
      <c r="AE612" s="61"/>
      <c r="AF612" s="61"/>
      <c r="AG612" s="61"/>
      <c r="AH612" s="61"/>
      <c r="AI612" s="61"/>
      <c r="AJ612" s="61"/>
    </row>
    <row r="613" spans="1:36" ht="15" customHeight="1">
      <c r="A613" s="60">
        <v>613</v>
      </c>
      <c r="B613" s="60" t="s">
        <v>26</v>
      </c>
      <c r="C613" s="60" t="s">
        <v>54</v>
      </c>
      <c r="D613" s="60" t="s">
        <v>207</v>
      </c>
      <c r="E613" s="60" t="s">
        <v>3714</v>
      </c>
      <c r="F613" s="60" t="s">
        <v>336</v>
      </c>
      <c r="G613" s="105">
        <v>4</v>
      </c>
      <c r="H613" s="212" t="s">
        <v>3715</v>
      </c>
      <c r="I613" s="105" t="s">
        <v>266</v>
      </c>
      <c r="J613" s="291" t="s">
        <v>2697</v>
      </c>
      <c r="K613" s="106">
        <v>46049.480370370373</v>
      </c>
      <c r="L613" s="62">
        <v>46064.703877314816</v>
      </c>
      <c r="M613" s="106">
        <v>46070.475057870368</v>
      </c>
      <c r="N613" s="106"/>
      <c r="O613" s="106"/>
      <c r="P613" s="106"/>
      <c r="Q613" s="60"/>
      <c r="R613" s="60"/>
      <c r="S613" s="60"/>
      <c r="T613" s="60"/>
      <c r="U613" s="60"/>
      <c r="V613" s="60"/>
      <c r="W613" s="60"/>
      <c r="X613" s="60"/>
      <c r="Y613" s="60"/>
      <c r="Z613" s="61"/>
      <c r="AA613" s="61"/>
      <c r="AB613" s="61"/>
      <c r="AC613" s="61"/>
      <c r="AD613" s="218"/>
      <c r="AE613" s="61"/>
      <c r="AF613" s="61"/>
      <c r="AG613" s="61"/>
      <c r="AH613" s="61"/>
      <c r="AI613" s="61"/>
      <c r="AJ613" s="61"/>
    </row>
    <row r="614" spans="1:36" ht="15" customHeight="1">
      <c r="A614" s="60">
        <v>614</v>
      </c>
      <c r="B614" s="60" t="s">
        <v>26</v>
      </c>
      <c r="C614" s="60" t="s">
        <v>54</v>
      </c>
      <c r="D614" s="60" t="s">
        <v>207</v>
      </c>
      <c r="E614" s="60" t="s">
        <v>3716</v>
      </c>
      <c r="F614" s="60" t="s">
        <v>53</v>
      </c>
      <c r="G614" s="105">
        <v>3</v>
      </c>
      <c r="H614" s="212" t="s">
        <v>3717</v>
      </c>
      <c r="I614" s="105" t="s">
        <v>271</v>
      </c>
      <c r="J614" s="291" t="s">
        <v>2697</v>
      </c>
      <c r="K614" s="106">
        <v>46180.682280092595</v>
      </c>
      <c r="L614" s="62">
        <v>46180.682291666664</v>
      </c>
      <c r="M614" s="106">
        <v>46180.688645833332</v>
      </c>
      <c r="N614" s="166">
        <v>46240.402743055558</v>
      </c>
      <c r="O614" s="106"/>
      <c r="P614" s="106"/>
      <c r="Q614" s="60"/>
      <c r="R614" s="60"/>
      <c r="S614" s="60"/>
      <c r="T614" s="60"/>
      <c r="U614" s="60"/>
      <c r="V614" s="60"/>
      <c r="W614" s="60"/>
      <c r="X614" s="60"/>
      <c r="Y614" s="60"/>
      <c r="Z614" s="61"/>
      <c r="AA614" s="61"/>
      <c r="AB614" s="61"/>
      <c r="AC614" s="61"/>
      <c r="AD614" s="218"/>
      <c r="AE614" s="61"/>
      <c r="AF614" s="61"/>
      <c r="AG614" s="61"/>
      <c r="AH614" s="61"/>
      <c r="AI614" s="61"/>
      <c r="AJ614" s="61"/>
    </row>
    <row r="615" spans="1:36" ht="15" hidden="1" customHeight="1">
      <c r="A615" s="60">
        <v>615</v>
      </c>
      <c r="B615" s="60" t="s">
        <v>26</v>
      </c>
      <c r="C615" s="60" t="s">
        <v>27</v>
      </c>
      <c r="D615" s="60" t="s">
        <v>208</v>
      </c>
      <c r="E615" s="60" t="s">
        <v>3718</v>
      </c>
      <c r="F615" s="60" t="s">
        <v>320</v>
      </c>
      <c r="G615" s="105" t="s">
        <v>208</v>
      </c>
      <c r="H615" s="212" t="s">
        <v>3719</v>
      </c>
      <c r="I615" s="105" t="s">
        <v>275</v>
      </c>
      <c r="J615" s="60" t="s">
        <v>3111</v>
      </c>
      <c r="K615" s="62">
        <v>46202.271608796298</v>
      </c>
      <c r="L615" s="62">
        <v>46202.328657407408</v>
      </c>
      <c r="M615" s="106">
        <v>46202.328657407408</v>
      </c>
      <c r="N615" s="106"/>
      <c r="O615" s="106"/>
      <c r="P615" s="106"/>
      <c r="Q615" s="60"/>
      <c r="R615" s="60"/>
      <c r="S615" s="60"/>
      <c r="T615" s="60"/>
      <c r="U615" s="60"/>
      <c r="V615" s="60"/>
      <c r="W615" s="60"/>
      <c r="X615" s="60"/>
      <c r="Y615" s="60"/>
      <c r="Z615" s="61"/>
      <c r="AA615" s="61"/>
      <c r="AB615" s="61"/>
      <c r="AC615" s="61"/>
      <c r="AD615" s="218"/>
      <c r="AE615" s="61"/>
      <c r="AF615" s="61"/>
      <c r="AG615" s="61"/>
      <c r="AH615" s="61"/>
      <c r="AI615" s="61"/>
      <c r="AJ615" s="61"/>
    </row>
    <row r="616" spans="1:36" ht="15" hidden="1" customHeight="1">
      <c r="A616" s="60">
        <v>616</v>
      </c>
      <c r="B616" s="60" t="s">
        <v>26</v>
      </c>
      <c r="C616" s="60" t="s">
        <v>27</v>
      </c>
      <c r="D616" s="60" t="s">
        <v>208</v>
      </c>
      <c r="E616" s="60" t="s">
        <v>3720</v>
      </c>
      <c r="F616" s="60" t="s">
        <v>320</v>
      </c>
      <c r="G616" s="105" t="s">
        <v>208</v>
      </c>
      <c r="H616" s="212" t="s">
        <v>3721</v>
      </c>
      <c r="I616" s="105" t="s">
        <v>275</v>
      </c>
      <c r="J616" s="60" t="s">
        <v>3111</v>
      </c>
      <c r="K616" s="62">
        <v>46202.271979166668</v>
      </c>
      <c r="L616" s="62">
        <v>46202.331412037034</v>
      </c>
      <c r="M616" s="106" t="s">
        <v>3722</v>
      </c>
      <c r="N616" s="106"/>
      <c r="O616" s="106"/>
      <c r="P616" s="106"/>
      <c r="Q616" s="60"/>
      <c r="R616" s="60"/>
      <c r="S616" s="60"/>
      <c r="T616" s="60"/>
      <c r="U616" s="60"/>
      <c r="V616" s="60"/>
      <c r="W616" s="60"/>
      <c r="X616" s="60"/>
      <c r="Y616" s="60"/>
      <c r="Z616" s="61"/>
      <c r="AA616" s="61"/>
      <c r="AB616" s="61"/>
      <c r="AC616" s="61"/>
      <c r="AD616" s="218"/>
      <c r="AE616" s="61"/>
      <c r="AF616" s="61"/>
      <c r="AG616" s="61"/>
      <c r="AH616" s="61"/>
      <c r="AI616" s="61"/>
      <c r="AJ616" s="61"/>
    </row>
    <row r="617" spans="1:36" ht="15" hidden="1" customHeight="1">
      <c r="A617" s="60">
        <v>617</v>
      </c>
      <c r="B617" s="60" t="s">
        <v>26</v>
      </c>
      <c r="C617" s="60" t="s">
        <v>27</v>
      </c>
      <c r="D617" s="60" t="s">
        <v>208</v>
      </c>
      <c r="E617" s="60" t="s">
        <v>3723</v>
      </c>
      <c r="F617" s="60" t="s">
        <v>320</v>
      </c>
      <c r="G617" s="105" t="s">
        <v>208</v>
      </c>
      <c r="H617" s="212" t="s">
        <v>3724</v>
      </c>
      <c r="I617" s="105" t="s">
        <v>275</v>
      </c>
      <c r="J617" s="60" t="s">
        <v>3111</v>
      </c>
      <c r="K617" s="62">
        <v>46202.27008101852</v>
      </c>
      <c r="L617" s="62">
        <v>46202.333495370367</v>
      </c>
      <c r="M617" s="106">
        <v>46202.333495370367</v>
      </c>
      <c r="N617" s="106"/>
      <c r="O617" s="106"/>
      <c r="P617" s="106"/>
      <c r="Q617" s="60"/>
      <c r="R617" s="60"/>
      <c r="S617" s="60"/>
      <c r="T617" s="60"/>
      <c r="U617" s="60"/>
      <c r="V617" s="60"/>
      <c r="W617" s="60"/>
      <c r="X617" s="60"/>
      <c r="Y617" s="60"/>
      <c r="Z617" s="61"/>
      <c r="AA617" s="61"/>
      <c r="AB617" s="61"/>
      <c r="AC617" s="61"/>
      <c r="AD617" s="218"/>
      <c r="AE617" s="61"/>
      <c r="AF617" s="61"/>
      <c r="AG617" s="61"/>
      <c r="AH617" s="61"/>
      <c r="AI617" s="61"/>
      <c r="AJ617" s="61"/>
    </row>
    <row r="618" spans="1:36" ht="15" hidden="1" customHeight="1">
      <c r="A618" s="60">
        <v>618</v>
      </c>
      <c r="B618" s="60" t="s">
        <v>26</v>
      </c>
      <c r="C618" s="60" t="s">
        <v>27</v>
      </c>
      <c r="D618" s="60" t="s">
        <v>208</v>
      </c>
      <c r="E618" s="60" t="s">
        <v>3725</v>
      </c>
      <c r="F618" s="60" t="s">
        <v>320</v>
      </c>
      <c r="G618" s="105" t="s">
        <v>208</v>
      </c>
      <c r="H618" s="212" t="s">
        <v>3726</v>
      </c>
      <c r="I618" s="105" t="s">
        <v>275</v>
      </c>
      <c r="J618" s="60" t="s">
        <v>3111</v>
      </c>
      <c r="K618" s="62">
        <v>46202.263692129629</v>
      </c>
      <c r="L618" s="62">
        <v>46202.336122685185</v>
      </c>
      <c r="M618" s="106">
        <v>46202.336122685185</v>
      </c>
      <c r="N618" s="106"/>
      <c r="O618" s="106"/>
      <c r="P618" s="106"/>
      <c r="Q618" s="60"/>
      <c r="R618" s="60"/>
      <c r="S618" s="60"/>
      <c r="T618" s="60"/>
      <c r="U618" s="60"/>
      <c r="V618" s="60"/>
      <c r="W618" s="60"/>
      <c r="X618" s="60"/>
      <c r="Y618" s="60"/>
      <c r="Z618" s="61"/>
      <c r="AA618" s="61"/>
      <c r="AB618" s="61"/>
      <c r="AC618" s="61"/>
      <c r="AD618" s="218"/>
      <c r="AE618" s="61"/>
      <c r="AF618" s="61"/>
      <c r="AG618" s="61"/>
      <c r="AH618" s="61"/>
      <c r="AI618" s="61"/>
      <c r="AJ618" s="61"/>
    </row>
    <row r="619" spans="1:36" ht="15" hidden="1" customHeight="1">
      <c r="A619" s="60">
        <v>619</v>
      </c>
      <c r="B619" s="60" t="s">
        <v>26</v>
      </c>
      <c r="C619" s="60" t="s">
        <v>27</v>
      </c>
      <c r="D619" s="60" t="s">
        <v>208</v>
      </c>
      <c r="E619" s="60" t="s">
        <v>3727</v>
      </c>
      <c r="F619" s="60" t="s">
        <v>320</v>
      </c>
      <c r="G619" s="105" t="s">
        <v>208</v>
      </c>
      <c r="H619" s="212" t="s">
        <v>3728</v>
      </c>
      <c r="I619" s="105" t="s">
        <v>275</v>
      </c>
      <c r="J619" s="60" t="s">
        <v>3111</v>
      </c>
      <c r="K619" s="62">
        <v>46202.272604166668</v>
      </c>
      <c r="L619" s="62">
        <v>46202.337847222225</v>
      </c>
      <c r="M619" s="106">
        <v>46202.337847222225</v>
      </c>
      <c r="N619" s="106"/>
      <c r="O619" s="106"/>
      <c r="P619" s="106"/>
      <c r="Q619" s="60"/>
      <c r="R619" s="60"/>
      <c r="S619" s="60"/>
      <c r="T619" s="60"/>
      <c r="U619" s="60"/>
      <c r="V619" s="60"/>
      <c r="W619" s="60"/>
      <c r="X619" s="60"/>
      <c r="Y619" s="60"/>
      <c r="Z619" s="61"/>
      <c r="AA619" s="61"/>
      <c r="AB619" s="61"/>
      <c r="AC619" s="61"/>
      <c r="AD619" s="218"/>
      <c r="AE619" s="61"/>
      <c r="AF619" s="61"/>
      <c r="AG619" s="61"/>
      <c r="AH619" s="61"/>
      <c r="AI619" s="61"/>
      <c r="AJ619" s="61"/>
    </row>
    <row r="620" spans="1:36" ht="15" hidden="1" customHeight="1">
      <c r="A620" s="60">
        <v>620</v>
      </c>
      <c r="B620" s="60" t="s">
        <v>26</v>
      </c>
      <c r="C620" s="60" t="s">
        <v>27</v>
      </c>
      <c r="D620" s="60" t="s">
        <v>208</v>
      </c>
      <c r="E620" s="60" t="s">
        <v>3729</v>
      </c>
      <c r="F620" s="60" t="s">
        <v>320</v>
      </c>
      <c r="G620" s="105" t="s">
        <v>208</v>
      </c>
      <c r="H620" s="220" t="s">
        <v>3730</v>
      </c>
      <c r="I620" s="105" t="s">
        <v>275</v>
      </c>
      <c r="J620" s="60" t="s">
        <v>3111</v>
      </c>
      <c r="K620" s="62">
        <v>46202.272557870368</v>
      </c>
      <c r="L620" s="62">
        <v>46202.33935185185</v>
      </c>
      <c r="M620" s="106">
        <v>46202.33935185185</v>
      </c>
      <c r="N620" s="106"/>
      <c r="O620" s="106"/>
      <c r="P620" s="106"/>
      <c r="Q620" s="60"/>
      <c r="R620" s="60"/>
      <c r="S620" s="60"/>
      <c r="T620" s="60"/>
      <c r="U620" s="60"/>
      <c r="V620" s="60"/>
      <c r="W620" s="60"/>
      <c r="X620" s="60"/>
      <c r="Y620" s="60"/>
      <c r="Z620" s="61"/>
      <c r="AA620" s="61"/>
      <c r="AB620" s="61"/>
      <c r="AC620" s="61"/>
      <c r="AD620" s="218"/>
      <c r="AE620" s="61"/>
      <c r="AF620" s="61"/>
      <c r="AG620" s="61"/>
      <c r="AH620" s="61"/>
      <c r="AI620" s="61"/>
      <c r="AJ620" s="61"/>
    </row>
    <row r="621" spans="1:36" ht="15" hidden="1" customHeight="1">
      <c r="A621" s="60">
        <v>621</v>
      </c>
      <c r="B621" s="60" t="s">
        <v>26</v>
      </c>
      <c r="C621" s="60" t="s">
        <v>27</v>
      </c>
      <c r="D621" s="60" t="s">
        <v>208</v>
      </c>
      <c r="E621" s="60" t="s">
        <v>3731</v>
      </c>
      <c r="F621" s="60" t="s">
        <v>320</v>
      </c>
      <c r="G621" s="105" t="s">
        <v>208</v>
      </c>
      <c r="H621" s="212" t="s">
        <v>3732</v>
      </c>
      <c r="I621" s="105" t="s">
        <v>275</v>
      </c>
      <c r="J621" s="60" t="s">
        <v>3111</v>
      </c>
      <c r="K621" s="62">
        <v>46202.265462962961</v>
      </c>
      <c r="L621" s="62">
        <v>46202.340613425928</v>
      </c>
      <c r="M621" s="106">
        <v>46202.340613425928</v>
      </c>
      <c r="N621" s="106"/>
      <c r="O621" s="106"/>
      <c r="P621" s="106"/>
      <c r="Q621" s="60"/>
      <c r="R621" s="60"/>
      <c r="S621" s="60"/>
      <c r="T621" s="60"/>
      <c r="U621" s="60"/>
      <c r="V621" s="60"/>
      <c r="W621" s="60"/>
      <c r="X621" s="60"/>
      <c r="Y621" s="60"/>
      <c r="Z621" s="61"/>
      <c r="AA621" s="61"/>
      <c r="AB621" s="61"/>
      <c r="AC621" s="61"/>
      <c r="AD621" s="218"/>
      <c r="AE621" s="61"/>
      <c r="AF621" s="61"/>
      <c r="AG621" s="61"/>
      <c r="AH621" s="61"/>
      <c r="AI621" s="61"/>
      <c r="AJ621" s="61"/>
    </row>
    <row r="622" spans="1:36" s="60" customFormat="1" ht="15" hidden="1" customHeight="1">
      <c r="A622" s="60">
        <v>622</v>
      </c>
      <c r="B622" s="60" t="s">
        <v>26</v>
      </c>
      <c r="C622" s="60" t="s">
        <v>27</v>
      </c>
      <c r="D622" s="60" t="s">
        <v>207</v>
      </c>
      <c r="E622" s="60" t="s">
        <v>3733</v>
      </c>
      <c r="F622" s="60" t="s">
        <v>318</v>
      </c>
      <c r="G622" s="105">
        <v>4</v>
      </c>
      <c r="H622" s="212" t="s">
        <v>3734</v>
      </c>
      <c r="I622" s="105" t="s">
        <v>266</v>
      </c>
      <c r="J622" s="60" t="s">
        <v>2827</v>
      </c>
      <c r="K622" s="106">
        <v>46194.683668981481</v>
      </c>
      <c r="L622" s="106">
        <v>46202.383472222224</v>
      </c>
      <c r="M622" s="106">
        <v>46202.389189814814</v>
      </c>
      <c r="N622" s="106"/>
      <c r="O622" s="106"/>
      <c r="P622" s="106"/>
      <c r="Z622" s="61"/>
      <c r="AA622" s="61"/>
      <c r="AB622" s="61"/>
      <c r="AC622" s="61"/>
      <c r="AD622" s="218"/>
      <c r="AE622" s="61"/>
      <c r="AF622" s="61"/>
      <c r="AG622" s="61"/>
      <c r="AH622" s="61"/>
      <c r="AI622" s="61"/>
      <c r="AJ622" s="61"/>
    </row>
    <row r="623" spans="1:36" ht="15" customHeight="1">
      <c r="A623" s="60">
        <v>623</v>
      </c>
      <c r="B623" s="60" t="s">
        <v>26</v>
      </c>
      <c r="C623" s="60" t="s">
        <v>54</v>
      </c>
      <c r="D623" s="60" t="s">
        <v>207</v>
      </c>
      <c r="E623" s="60" t="s">
        <v>3619</v>
      </c>
      <c r="F623" s="60" t="s">
        <v>53</v>
      </c>
      <c r="G623" s="105">
        <v>3</v>
      </c>
      <c r="H623" s="212" t="s">
        <v>3620</v>
      </c>
      <c r="I623" s="105" t="s">
        <v>275</v>
      </c>
      <c r="J623" s="291" t="s">
        <v>2697</v>
      </c>
      <c r="K623" s="106">
        <v>46191.606516203705</v>
      </c>
      <c r="L623" s="62">
        <v>46198.32571759259</v>
      </c>
      <c r="M623" s="106">
        <v>46198.427523148152</v>
      </c>
      <c r="N623" s="62">
        <v>46198.662800925929</v>
      </c>
      <c r="O623" s="106"/>
      <c r="P623" s="106"/>
      <c r="Q623" s="60"/>
      <c r="R623" s="60"/>
      <c r="S623" s="60"/>
      <c r="T623" s="60"/>
      <c r="U623" s="60"/>
      <c r="V623" s="60"/>
      <c r="W623" s="60"/>
      <c r="X623" s="60"/>
      <c r="Y623" s="60"/>
      <c r="Z623" s="61"/>
      <c r="AA623" s="61"/>
      <c r="AB623" s="61"/>
      <c r="AC623" s="61"/>
      <c r="AD623" s="218"/>
      <c r="AE623" s="61"/>
      <c r="AF623" s="61"/>
      <c r="AG623" s="61"/>
      <c r="AH623" s="61"/>
      <c r="AI623" s="61"/>
      <c r="AJ623" s="61"/>
    </row>
    <row r="624" spans="1:36" ht="15" customHeight="1">
      <c r="A624" s="60">
        <v>624</v>
      </c>
      <c r="B624" s="60" t="s">
        <v>26</v>
      </c>
      <c r="C624" s="60" t="s">
        <v>54</v>
      </c>
      <c r="D624" s="60" t="s">
        <v>207</v>
      </c>
      <c r="E624" s="60" t="s">
        <v>3735</v>
      </c>
      <c r="F624" s="60" t="s">
        <v>53</v>
      </c>
      <c r="G624" s="105">
        <v>3</v>
      </c>
      <c r="H624" s="212" t="s">
        <v>2842</v>
      </c>
      <c r="I624" s="105" t="s">
        <v>275</v>
      </c>
      <c r="J624" s="291" t="s">
        <v>2694</v>
      </c>
      <c r="K624" s="106">
        <v>46198.390509259261</v>
      </c>
      <c r="L624" s="62">
        <v>46198.390520833331</v>
      </c>
      <c r="M624" s="106">
        <v>46198.429027777776</v>
      </c>
      <c r="N624" s="62">
        <v>46198.434155092589</v>
      </c>
      <c r="O624" s="106"/>
      <c r="P624" s="106"/>
      <c r="Q624" s="60"/>
      <c r="R624" s="60"/>
      <c r="S624" s="60"/>
      <c r="T624" s="60"/>
      <c r="U624" s="60"/>
      <c r="V624" s="60"/>
      <c r="W624" s="60"/>
      <c r="X624" s="60"/>
      <c r="Y624" s="60"/>
      <c r="Z624" s="61"/>
      <c r="AA624" s="61"/>
      <c r="AB624" s="61"/>
      <c r="AC624" s="61"/>
      <c r="AD624" s="218"/>
      <c r="AE624" s="61"/>
      <c r="AF624" s="61"/>
      <c r="AG624" s="61"/>
      <c r="AH624" s="61"/>
      <c r="AI624" s="61"/>
      <c r="AJ624" s="61"/>
    </row>
    <row r="625" spans="1:36" ht="15" customHeight="1">
      <c r="A625" s="60">
        <v>625</v>
      </c>
      <c r="B625" s="60" t="s">
        <v>26</v>
      </c>
      <c r="C625" s="60" t="s">
        <v>54</v>
      </c>
      <c r="D625" s="60" t="s">
        <v>207</v>
      </c>
      <c r="E625" s="60" t="s">
        <v>3736</v>
      </c>
      <c r="F625" s="60" t="s">
        <v>53</v>
      </c>
      <c r="G625" s="105">
        <v>3</v>
      </c>
      <c r="H625" s="212" t="s">
        <v>3737</v>
      </c>
      <c r="I625" s="105" t="s">
        <v>266</v>
      </c>
      <c r="J625" s="291" t="s">
        <v>2700</v>
      </c>
      <c r="K625" s="106">
        <v>46197.418564814812</v>
      </c>
      <c r="L625" s="62">
        <v>46198.427569444444</v>
      </c>
      <c r="M625" s="106">
        <v>46198.431770833333</v>
      </c>
      <c r="N625" s="106"/>
      <c r="O625" s="106"/>
      <c r="P625" s="106"/>
      <c r="Q625" s="60"/>
      <c r="R625" s="60"/>
      <c r="S625" s="60"/>
      <c r="T625" s="60"/>
      <c r="U625" s="60"/>
      <c r="V625" s="60"/>
      <c r="W625" s="60"/>
      <c r="X625" s="60"/>
      <c r="Y625" s="60"/>
      <c r="Z625" s="61"/>
      <c r="AA625" s="61"/>
      <c r="AB625" s="61"/>
      <c r="AC625" s="61"/>
      <c r="AD625" s="218"/>
      <c r="AE625" s="61"/>
      <c r="AF625" s="61"/>
      <c r="AG625" s="61"/>
      <c r="AH625" s="61"/>
      <c r="AI625" s="61"/>
      <c r="AJ625" s="61"/>
    </row>
    <row r="626" spans="1:36" s="60" customFormat="1" ht="15" customHeight="1">
      <c r="A626" s="60">
        <v>626</v>
      </c>
      <c r="B626" s="60" t="s">
        <v>26</v>
      </c>
      <c r="C626" s="60" t="s">
        <v>54</v>
      </c>
      <c r="D626" s="60" t="s">
        <v>207</v>
      </c>
      <c r="E626" s="60" t="s">
        <v>3738</v>
      </c>
      <c r="F626" s="60" t="s">
        <v>53</v>
      </c>
      <c r="G626" s="105">
        <v>3</v>
      </c>
      <c r="H626" s="212" t="s">
        <v>3358</v>
      </c>
      <c r="I626" s="105" t="s">
        <v>266</v>
      </c>
      <c r="J626" s="291" t="s">
        <v>2694</v>
      </c>
      <c r="K626" s="106">
        <v>46202.406909722224</v>
      </c>
      <c r="L626" s="106">
        <v>46202.406909722224</v>
      </c>
      <c r="M626" s="106">
        <v>46202.488379629627</v>
      </c>
      <c r="N626" s="106"/>
      <c r="O626" s="106"/>
      <c r="P626" s="106"/>
      <c r="Z626" s="61"/>
      <c r="AA626" s="61"/>
      <c r="AB626" s="61"/>
      <c r="AC626" s="61"/>
      <c r="AD626" s="218"/>
      <c r="AE626" s="61"/>
      <c r="AF626" s="61"/>
      <c r="AG626" s="61"/>
      <c r="AH626" s="61"/>
      <c r="AI626" s="61"/>
      <c r="AJ626" s="61"/>
    </row>
    <row r="627" spans="1:36" ht="15" customHeight="1">
      <c r="A627" s="60">
        <v>627</v>
      </c>
      <c r="B627" s="60" t="s">
        <v>26</v>
      </c>
      <c r="C627" s="60" t="s">
        <v>54</v>
      </c>
      <c r="D627" s="60" t="s">
        <v>207</v>
      </c>
      <c r="E627" s="60" t="s">
        <v>3739</v>
      </c>
      <c r="F627" s="60" t="s">
        <v>53</v>
      </c>
      <c r="G627" s="105">
        <v>4</v>
      </c>
      <c r="H627" s="212" t="s">
        <v>3740</v>
      </c>
      <c r="I627" s="105" t="s">
        <v>275</v>
      </c>
      <c r="J627" s="291" t="s">
        <v>2703</v>
      </c>
      <c r="K627" s="106">
        <v>46198.489641203705</v>
      </c>
      <c r="L627" s="62">
        <v>46198.489652777775</v>
      </c>
      <c r="M627" s="106">
        <v>46198.536412037036</v>
      </c>
      <c r="N627" s="62">
        <v>46198.557962962965</v>
      </c>
      <c r="O627" s="106"/>
      <c r="P627" s="106"/>
      <c r="Q627" s="60"/>
      <c r="R627" s="60"/>
      <c r="S627" s="60"/>
      <c r="T627" s="60"/>
      <c r="U627" s="60"/>
      <c r="V627" s="60"/>
      <c r="W627" s="60"/>
      <c r="X627" s="60"/>
      <c r="Y627" s="60"/>
      <c r="Z627" s="61"/>
      <c r="AA627" s="61"/>
      <c r="AB627" s="61"/>
      <c r="AC627" s="61"/>
      <c r="AD627" s="218"/>
      <c r="AE627" s="61"/>
      <c r="AF627" s="61"/>
      <c r="AG627" s="61"/>
      <c r="AH627" s="61"/>
      <c r="AI627" s="61"/>
      <c r="AJ627" s="61"/>
    </row>
    <row r="628" spans="1:36" ht="15" customHeight="1">
      <c r="A628" s="60">
        <v>628</v>
      </c>
      <c r="B628" s="60" t="s">
        <v>26</v>
      </c>
      <c r="C628" s="60" t="s">
        <v>54</v>
      </c>
      <c r="D628" s="60" t="s">
        <v>207</v>
      </c>
      <c r="E628" s="60" t="s">
        <v>3741</v>
      </c>
      <c r="F628" s="60" t="s">
        <v>53</v>
      </c>
      <c r="G628" s="105">
        <v>3</v>
      </c>
      <c r="H628" s="212" t="s">
        <v>3742</v>
      </c>
      <c r="I628" s="105" t="s">
        <v>275</v>
      </c>
      <c r="J628" s="291" t="s">
        <v>2714</v>
      </c>
      <c r="K628" s="229">
        <v>46181.480821759258</v>
      </c>
      <c r="L628" s="231">
        <v>46198.511724537035</v>
      </c>
      <c r="M628" s="106">
        <v>46198.541076388887</v>
      </c>
      <c r="N628" s="231">
        <v>46198.615208333336</v>
      </c>
      <c r="O628" s="106"/>
      <c r="P628" s="106"/>
      <c r="Q628" s="60"/>
      <c r="R628" s="60"/>
      <c r="S628" s="60"/>
      <c r="T628" s="60"/>
      <c r="U628" s="60"/>
      <c r="V628" s="60"/>
      <c r="W628" s="60"/>
      <c r="X628" s="60"/>
      <c r="Y628" s="60"/>
      <c r="Z628" s="61"/>
      <c r="AA628" s="61"/>
      <c r="AB628" s="61"/>
      <c r="AC628" s="61"/>
      <c r="AD628" s="218"/>
      <c r="AE628" s="61"/>
      <c r="AF628" s="61"/>
      <c r="AG628" s="61"/>
      <c r="AH628" s="61"/>
      <c r="AI628" s="61"/>
      <c r="AJ628" s="61"/>
    </row>
    <row r="629" spans="1:36" ht="15" customHeight="1">
      <c r="A629" s="60">
        <v>629</v>
      </c>
      <c r="B629" s="60" t="s">
        <v>26</v>
      </c>
      <c r="C629" s="60" t="s">
        <v>54</v>
      </c>
      <c r="D629" s="60" t="s">
        <v>207</v>
      </c>
      <c r="E629" s="60" t="s">
        <v>3743</v>
      </c>
      <c r="F629" s="60" t="s">
        <v>53</v>
      </c>
      <c r="G629" s="105">
        <v>4</v>
      </c>
      <c r="H629" s="212" t="s">
        <v>3744</v>
      </c>
      <c r="I629" s="105" t="s">
        <v>271</v>
      </c>
      <c r="J629" s="291" t="s">
        <v>2694</v>
      </c>
      <c r="K629" s="106">
        <v>46199.433831018519</v>
      </c>
      <c r="L629" s="62">
        <v>46199.433831018519</v>
      </c>
      <c r="M629" s="106">
        <v>46199.576319444444</v>
      </c>
      <c r="N629" s="62">
        <v>46202.443055555559</v>
      </c>
      <c r="O629" s="106"/>
      <c r="P629" s="106"/>
      <c r="Q629" s="60"/>
      <c r="R629" s="60"/>
      <c r="S629" s="60"/>
      <c r="T629" s="60"/>
      <c r="U629" s="60"/>
      <c r="V629" s="60"/>
      <c r="W629" s="60"/>
      <c r="X629" s="60"/>
      <c r="Y629" s="60"/>
      <c r="Z629" s="61"/>
      <c r="AA629" s="61"/>
      <c r="AB629" s="61"/>
      <c r="AC629" s="61"/>
      <c r="AD629" s="218"/>
      <c r="AE629" s="61"/>
      <c r="AF629" s="61"/>
      <c r="AG629" s="61"/>
      <c r="AH629" s="61"/>
      <c r="AI629" s="61"/>
      <c r="AJ629" s="61"/>
    </row>
    <row r="630" spans="1:36" ht="15" customHeight="1">
      <c r="A630" s="60">
        <v>630</v>
      </c>
      <c r="B630" s="60" t="s">
        <v>26</v>
      </c>
      <c r="C630" s="60" t="s">
        <v>54</v>
      </c>
      <c r="D630" s="60" t="s">
        <v>207</v>
      </c>
      <c r="E630" s="60" t="s">
        <v>3745</v>
      </c>
      <c r="F630" s="60" t="s">
        <v>53</v>
      </c>
      <c r="G630" s="105">
        <v>4</v>
      </c>
      <c r="H630" s="212" t="s">
        <v>3746</v>
      </c>
      <c r="I630" s="105" t="s">
        <v>266</v>
      </c>
      <c r="J630" s="291" t="s">
        <v>2694</v>
      </c>
      <c r="K630" s="106">
        <v>46199.564629629633</v>
      </c>
      <c r="L630" s="62">
        <v>46199.564629629633</v>
      </c>
      <c r="M630" s="106">
        <v>46199.577581018515</v>
      </c>
      <c r="N630" s="62">
        <v>46202.287534722222</v>
      </c>
      <c r="O630" s="106"/>
      <c r="P630" s="106"/>
      <c r="Q630" s="60"/>
      <c r="R630" s="60"/>
      <c r="S630" s="60"/>
      <c r="T630" s="60"/>
      <c r="U630" s="60"/>
      <c r="V630" s="60"/>
      <c r="W630" s="60"/>
      <c r="X630" s="60"/>
      <c r="Y630" s="60"/>
      <c r="Z630" s="61"/>
      <c r="AA630" s="61"/>
      <c r="AB630" s="61"/>
      <c r="AC630" s="61"/>
      <c r="AD630" s="218"/>
      <c r="AE630" s="61"/>
      <c r="AF630" s="61"/>
      <c r="AG630" s="61"/>
      <c r="AH630" s="61"/>
      <c r="AI630" s="61"/>
      <c r="AJ630" s="61"/>
    </row>
    <row r="631" spans="1:36" s="60" customFormat="1" ht="15" customHeight="1">
      <c r="A631" s="60">
        <v>631</v>
      </c>
      <c r="B631" s="60" t="s">
        <v>26</v>
      </c>
      <c r="C631" s="60" t="s">
        <v>54</v>
      </c>
      <c r="D631" s="60" t="s">
        <v>207</v>
      </c>
      <c r="E631" s="60" t="s">
        <v>3747</v>
      </c>
      <c r="F631" s="60" t="s">
        <v>53</v>
      </c>
      <c r="G631" s="105">
        <v>4</v>
      </c>
      <c r="H631" s="212" t="s">
        <v>3748</v>
      </c>
      <c r="I631" s="105" t="s">
        <v>260</v>
      </c>
      <c r="J631" s="291" t="s">
        <v>2700</v>
      </c>
      <c r="K631" s="106">
        <v>46199.888275462959</v>
      </c>
      <c r="L631" s="62">
        <v>46199.888275462959</v>
      </c>
      <c r="M631" s="106">
        <v>46202.264710648145</v>
      </c>
      <c r="N631" s="106"/>
      <c r="O631" s="106"/>
      <c r="P631" s="106"/>
      <c r="Z631" s="61"/>
      <c r="AA631" s="61"/>
      <c r="AB631" s="61"/>
      <c r="AC631" s="61"/>
      <c r="AD631" s="218"/>
      <c r="AE631" s="61"/>
      <c r="AF631" s="61"/>
      <c r="AG631" s="61"/>
      <c r="AH631" s="61"/>
      <c r="AI631" s="61"/>
      <c r="AJ631" s="61"/>
    </row>
    <row r="632" spans="1:36" ht="15" customHeight="1">
      <c r="A632" s="60">
        <v>632</v>
      </c>
      <c r="B632" s="60" t="s">
        <v>26</v>
      </c>
      <c r="C632" s="60" t="s">
        <v>54</v>
      </c>
      <c r="D632" s="60" t="s">
        <v>207</v>
      </c>
      <c r="E632" s="60" t="s">
        <v>3749</v>
      </c>
      <c r="F632" s="60" t="s">
        <v>53</v>
      </c>
      <c r="G632" s="105">
        <v>3</v>
      </c>
      <c r="H632" s="212" t="s">
        <v>3750</v>
      </c>
      <c r="I632" s="105" t="s">
        <v>275</v>
      </c>
      <c r="J632" s="291" t="s">
        <v>2703</v>
      </c>
      <c r="K632" s="106">
        <v>46202.350613425922</v>
      </c>
      <c r="L632" s="62">
        <v>46202.350613425922</v>
      </c>
      <c r="M632" s="106">
        <v>46202.359733796293</v>
      </c>
      <c r="N632" s="62">
        <v>46202.384212962963</v>
      </c>
      <c r="O632" s="106"/>
      <c r="P632" s="106"/>
      <c r="Q632" s="60"/>
      <c r="R632" s="60"/>
      <c r="S632" s="60"/>
      <c r="T632" s="60"/>
      <c r="U632" s="60"/>
      <c r="V632" s="60"/>
      <c r="W632" s="60"/>
      <c r="X632" s="60"/>
      <c r="Y632" s="60"/>
      <c r="Z632" s="61"/>
      <c r="AA632" s="61"/>
      <c r="AB632" s="61"/>
      <c r="AC632" s="61"/>
      <c r="AD632" s="218"/>
      <c r="AE632" s="61"/>
      <c r="AF632" s="61"/>
      <c r="AG632" s="61"/>
      <c r="AH632" s="61"/>
      <c r="AI632" s="61"/>
      <c r="AJ632" s="61"/>
    </row>
    <row r="633" spans="1:36" ht="15" customHeight="1">
      <c r="A633" s="60">
        <v>633</v>
      </c>
      <c r="B633" s="60" t="s">
        <v>26</v>
      </c>
      <c r="C633" s="60" t="s">
        <v>54</v>
      </c>
      <c r="D633" s="60" t="s">
        <v>208</v>
      </c>
      <c r="E633" s="60" t="s">
        <v>3035</v>
      </c>
      <c r="F633" s="60" t="s">
        <v>53</v>
      </c>
      <c r="G633" s="105" t="s">
        <v>208</v>
      </c>
      <c r="H633" s="212" t="s">
        <v>3036</v>
      </c>
      <c r="I633" s="105" t="s">
        <v>271</v>
      </c>
      <c r="J633" s="291" t="s">
        <v>2708</v>
      </c>
      <c r="K633" s="106">
        <v>46154.398784722223</v>
      </c>
      <c r="L633" s="62">
        <v>46199.66783564815</v>
      </c>
      <c r="M633" s="106">
        <v>46202.265752314815</v>
      </c>
      <c r="N633" s="106">
        <v>46202.344259259262</v>
      </c>
      <c r="O633" s="106"/>
      <c r="P633" s="106"/>
      <c r="Q633" s="60"/>
      <c r="R633" s="60"/>
      <c r="S633" s="60"/>
      <c r="T633" s="60"/>
      <c r="U633" s="60"/>
      <c r="V633" s="60"/>
      <c r="W633" s="60"/>
      <c r="X633" s="60"/>
      <c r="Y633" s="60"/>
      <c r="Z633" s="61"/>
      <c r="AA633" s="61"/>
      <c r="AB633" s="61"/>
      <c r="AC633" s="61"/>
      <c r="AD633" s="218"/>
      <c r="AE633" s="61"/>
      <c r="AF633" s="61"/>
      <c r="AG633" s="61"/>
      <c r="AH633" s="61"/>
      <c r="AI633" s="61"/>
      <c r="AJ633" s="61"/>
    </row>
    <row r="634" spans="1:36" s="60" customFormat="1" ht="15" customHeight="1">
      <c r="A634" s="60">
        <v>634</v>
      </c>
      <c r="B634" s="60" t="s">
        <v>26</v>
      </c>
      <c r="C634" s="60" t="s">
        <v>54</v>
      </c>
      <c r="D634" s="60" t="s">
        <v>207</v>
      </c>
      <c r="E634" s="60" t="s">
        <v>3751</v>
      </c>
      <c r="F634" s="60" t="s">
        <v>53</v>
      </c>
      <c r="G634" s="105">
        <v>3</v>
      </c>
      <c r="H634" s="212" t="s">
        <v>3752</v>
      </c>
      <c r="I634" s="105" t="s">
        <v>275</v>
      </c>
      <c r="J634" s="291" t="s">
        <v>2697</v>
      </c>
      <c r="K634" s="106">
        <v>46203.210081018522</v>
      </c>
      <c r="L634" s="62">
        <v>46203.210092592592</v>
      </c>
      <c r="M634" s="106">
        <v>46203.224780092591</v>
      </c>
      <c r="N634" s="62">
        <v>46203.419918981483</v>
      </c>
      <c r="O634" s="106"/>
      <c r="P634" s="106"/>
      <c r="Z634" s="61"/>
      <c r="AA634" s="61"/>
      <c r="AB634" s="61"/>
      <c r="AC634" s="61"/>
      <c r="AD634" s="218"/>
      <c r="AE634" s="61"/>
      <c r="AF634" s="61"/>
      <c r="AG634" s="61"/>
      <c r="AH634" s="61"/>
      <c r="AI634" s="61"/>
      <c r="AJ634" s="61"/>
    </row>
    <row r="635" spans="1:36" s="60" customFormat="1" ht="15" customHeight="1">
      <c r="A635" s="60">
        <v>635</v>
      </c>
      <c r="B635" s="60" t="s">
        <v>26</v>
      </c>
      <c r="C635" s="60" t="s">
        <v>54</v>
      </c>
      <c r="D635" s="60" t="s">
        <v>207</v>
      </c>
      <c r="E635" s="60" t="s">
        <v>3753</v>
      </c>
      <c r="F635" s="60" t="s">
        <v>53</v>
      </c>
      <c r="G635" s="105">
        <v>3</v>
      </c>
      <c r="H635" s="212" t="s">
        <v>3754</v>
      </c>
      <c r="I635" s="105" t="s">
        <v>275</v>
      </c>
      <c r="J635" s="291" t="s">
        <v>2694</v>
      </c>
      <c r="K635" s="106">
        <v>46202.751087962963</v>
      </c>
      <c r="L635" s="62">
        <v>46202.751087962963</v>
      </c>
      <c r="M635" s="106">
        <v>46203.227013888885</v>
      </c>
      <c r="N635" s="62">
        <v>46205.408645833333</v>
      </c>
      <c r="O635" s="106"/>
      <c r="P635" s="106"/>
      <c r="Z635" s="61"/>
      <c r="AA635" s="61"/>
      <c r="AB635" s="61"/>
      <c r="AC635" s="61"/>
      <c r="AD635" s="218"/>
      <c r="AE635" s="61"/>
      <c r="AF635" s="61"/>
      <c r="AG635" s="61"/>
      <c r="AH635" s="61"/>
      <c r="AI635" s="61"/>
      <c r="AJ635" s="61"/>
    </row>
    <row r="636" spans="1:36" s="60" customFormat="1" ht="15" customHeight="1">
      <c r="A636" s="60">
        <v>636</v>
      </c>
      <c r="B636" s="60" t="s">
        <v>26</v>
      </c>
      <c r="C636" s="60" t="s">
        <v>54</v>
      </c>
      <c r="D636" s="60" t="s">
        <v>207</v>
      </c>
      <c r="E636" s="60" t="s">
        <v>3755</v>
      </c>
      <c r="F636" s="60" t="s">
        <v>53</v>
      </c>
      <c r="G636" s="105">
        <v>3</v>
      </c>
      <c r="H636" s="212" t="s">
        <v>3756</v>
      </c>
      <c r="I636" s="105" t="s">
        <v>266</v>
      </c>
      <c r="J636" s="291" t="s">
        <v>2703</v>
      </c>
      <c r="K636" s="106">
        <v>46202.825439814813</v>
      </c>
      <c r="L636" s="62">
        <v>46202.825439814813</v>
      </c>
      <c r="M636" s="106">
        <v>46203.229189814818</v>
      </c>
      <c r="N636" s="106"/>
      <c r="O636" s="106">
        <v>46203.472638888888</v>
      </c>
      <c r="P636" s="106"/>
      <c r="Z636" s="61"/>
      <c r="AA636" s="61"/>
      <c r="AB636" s="61"/>
      <c r="AC636" s="61"/>
      <c r="AD636" s="218"/>
      <c r="AE636" s="61"/>
      <c r="AF636" s="61"/>
      <c r="AG636" s="61"/>
      <c r="AH636" s="61"/>
      <c r="AI636" s="61"/>
      <c r="AJ636" s="61"/>
    </row>
    <row r="637" spans="1:36" ht="15" hidden="1" customHeight="1">
      <c r="A637" s="60">
        <v>637</v>
      </c>
      <c r="B637" s="60" t="s">
        <v>26</v>
      </c>
      <c r="C637" s="60" t="s">
        <v>27</v>
      </c>
      <c r="D637" s="60" t="s">
        <v>207</v>
      </c>
      <c r="E637" s="60" t="s">
        <v>3757</v>
      </c>
      <c r="F637" s="60" t="s">
        <v>327</v>
      </c>
      <c r="G637" s="105">
        <v>3</v>
      </c>
      <c r="H637" s="212" t="s">
        <v>3758</v>
      </c>
      <c r="I637" s="105" t="s">
        <v>275</v>
      </c>
      <c r="J637" s="60"/>
      <c r="K637" s="106">
        <v>46202.519108796296</v>
      </c>
      <c r="L637" s="106">
        <v>46202.519108796296</v>
      </c>
      <c r="M637" s="106">
        <v>46202.654930555553</v>
      </c>
      <c r="N637" s="106"/>
      <c r="O637" s="106"/>
      <c r="P637" s="106"/>
      <c r="Q637" s="60"/>
      <c r="R637" s="60"/>
      <c r="S637" s="60"/>
      <c r="T637" s="60"/>
      <c r="U637" s="60"/>
      <c r="V637" s="60"/>
      <c r="W637" s="60"/>
      <c r="X637" s="60"/>
      <c r="Y637" s="60"/>
      <c r="Z637" s="61"/>
      <c r="AA637" s="61"/>
      <c r="AB637" s="61"/>
      <c r="AC637" s="61"/>
      <c r="AD637" s="218"/>
      <c r="AE637" s="61"/>
      <c r="AF637" s="61"/>
      <c r="AG637" s="61"/>
      <c r="AH637" s="61"/>
      <c r="AI637" s="61"/>
      <c r="AJ637" s="61"/>
    </row>
    <row r="638" spans="1:36" s="60" customFormat="1" ht="15" customHeight="1">
      <c r="A638" s="60">
        <v>638</v>
      </c>
      <c r="B638" s="60" t="s">
        <v>26</v>
      </c>
      <c r="C638" s="60" t="s">
        <v>54</v>
      </c>
      <c r="D638" s="60" t="s">
        <v>208</v>
      </c>
      <c r="E638" s="60" t="s">
        <v>3759</v>
      </c>
      <c r="F638" s="60" t="s">
        <v>53</v>
      </c>
      <c r="G638" s="105" t="s">
        <v>208</v>
      </c>
      <c r="H638" s="212" t="s">
        <v>2251</v>
      </c>
      <c r="I638" s="105" t="s">
        <v>271</v>
      </c>
      <c r="J638" s="291" t="s">
        <v>2708</v>
      </c>
      <c r="K638" s="106">
        <v>46202.150231481479</v>
      </c>
      <c r="L638" s="62">
        <v>46202.696168981478</v>
      </c>
      <c r="M638" s="106">
        <v>46203.231817129628</v>
      </c>
      <c r="N638" s="106">
        <v>46204.46539351852</v>
      </c>
      <c r="O638" s="106">
        <v>46203.260451388887</v>
      </c>
      <c r="P638" s="106">
        <v>46204.46539351852</v>
      </c>
      <c r="R638" s="60" t="s">
        <v>272</v>
      </c>
      <c r="S638" s="60" t="s">
        <v>139</v>
      </c>
      <c r="Z638" s="61"/>
      <c r="AA638" s="61"/>
      <c r="AB638" s="61"/>
      <c r="AC638" s="61"/>
      <c r="AD638" s="218"/>
      <c r="AE638" s="61"/>
      <c r="AF638" s="61"/>
      <c r="AG638" s="61"/>
      <c r="AH638" s="61"/>
      <c r="AI638" s="61"/>
      <c r="AJ638" s="61"/>
    </row>
    <row r="639" spans="1:36" s="60" customFormat="1" ht="15" hidden="1" customHeight="1">
      <c r="A639" s="60">
        <v>639</v>
      </c>
      <c r="B639" s="60" t="s">
        <v>26</v>
      </c>
      <c r="C639" s="60" t="s">
        <v>27</v>
      </c>
      <c r="D639" s="60" t="s">
        <v>207</v>
      </c>
      <c r="E639" s="60" t="s">
        <v>3760</v>
      </c>
      <c r="F639" s="60" t="s">
        <v>318</v>
      </c>
      <c r="G639" s="105">
        <v>3</v>
      </c>
      <c r="H639" s="212" t="s">
        <v>2707</v>
      </c>
      <c r="I639" s="105" t="s">
        <v>271</v>
      </c>
      <c r="J639" s="60" t="s">
        <v>2708</v>
      </c>
      <c r="K639" s="106">
        <v>46202.655740740738</v>
      </c>
      <c r="L639" s="62">
        <v>46202.672002314815</v>
      </c>
      <c r="M639" s="106">
        <v>46203.243993055556</v>
      </c>
      <c r="N639" s="106">
        <v>46203.258402777778</v>
      </c>
      <c r="O639" s="106"/>
      <c r="P639" s="106"/>
      <c r="Q639" s="60" t="s">
        <v>2709</v>
      </c>
      <c r="R639" s="60" t="s">
        <v>272</v>
      </c>
      <c r="S639" s="60" t="s">
        <v>161</v>
      </c>
      <c r="Z639" s="61"/>
      <c r="AA639" s="61"/>
      <c r="AB639" s="61"/>
      <c r="AC639" s="61"/>
      <c r="AD639" s="218"/>
      <c r="AE639" s="61"/>
      <c r="AF639" s="61"/>
      <c r="AG639" s="61"/>
      <c r="AH639" s="61"/>
      <c r="AI639" s="61"/>
      <c r="AJ639" s="61"/>
    </row>
    <row r="640" spans="1:36" s="60" customFormat="1" ht="15" hidden="1" customHeight="1">
      <c r="A640" s="60">
        <v>640</v>
      </c>
      <c r="B640" s="60" t="s">
        <v>26</v>
      </c>
      <c r="C640" s="60" t="s">
        <v>27</v>
      </c>
      <c r="D640" s="60" t="s">
        <v>207</v>
      </c>
      <c r="E640" s="60" t="s">
        <v>3761</v>
      </c>
      <c r="F640" s="60" t="s">
        <v>318</v>
      </c>
      <c r="G640" s="105">
        <v>3</v>
      </c>
      <c r="H640" s="212" t="s">
        <v>3762</v>
      </c>
      <c r="I640" s="105" t="s">
        <v>271</v>
      </c>
      <c r="J640" s="60" t="s">
        <v>2751</v>
      </c>
      <c r="K640" s="106">
        <v>46201.528402777774</v>
      </c>
      <c r="L640" s="62">
        <v>46202.601863425924</v>
      </c>
      <c r="M640" s="106">
        <v>46203.24523148148</v>
      </c>
      <c r="N640" s="106">
        <v>46203.371249999997</v>
      </c>
      <c r="O640" s="106"/>
      <c r="P640" s="106"/>
      <c r="Z640" s="61"/>
      <c r="AA640" s="61"/>
      <c r="AB640" s="61"/>
      <c r="AC640" s="61"/>
      <c r="AD640" s="218"/>
      <c r="AE640" s="61"/>
      <c r="AF640" s="61"/>
      <c r="AG640" s="61"/>
      <c r="AH640" s="61"/>
      <c r="AI640" s="61"/>
      <c r="AJ640" s="61"/>
    </row>
    <row r="641" spans="1:36" s="60" customFormat="1" ht="15" hidden="1" customHeight="1">
      <c r="A641" s="60">
        <v>641</v>
      </c>
      <c r="B641" s="60" t="s">
        <v>26</v>
      </c>
      <c r="C641" s="60" t="s">
        <v>27</v>
      </c>
      <c r="D641" s="60" t="s">
        <v>207</v>
      </c>
      <c r="E641" s="60" t="s">
        <v>3763</v>
      </c>
      <c r="F641" s="60" t="s">
        <v>318</v>
      </c>
      <c r="G641" s="105">
        <v>3</v>
      </c>
      <c r="H641" s="212" t="s">
        <v>3764</v>
      </c>
      <c r="I641" s="105" t="s">
        <v>266</v>
      </c>
      <c r="J641" s="60" t="s">
        <v>2703</v>
      </c>
      <c r="K641" s="106">
        <v>46202.706828703704</v>
      </c>
      <c r="L641" s="62">
        <v>46202.706863425927</v>
      </c>
      <c r="M641" s="106">
        <v>46203.310648148145</v>
      </c>
      <c r="N641" s="106"/>
      <c r="O641" s="106">
        <v>46203.475208333337</v>
      </c>
      <c r="P641" s="106"/>
      <c r="Z641" s="61"/>
      <c r="AA641" s="61"/>
      <c r="AB641" s="61"/>
      <c r="AC641" s="61"/>
      <c r="AD641" s="218"/>
      <c r="AE641" s="61"/>
      <c r="AF641" s="61"/>
      <c r="AG641" s="61"/>
      <c r="AH641" s="61"/>
      <c r="AI641" s="61"/>
      <c r="AJ641" s="61"/>
    </row>
    <row r="642" spans="1:36" ht="15" customHeight="1">
      <c r="A642" s="60">
        <v>642</v>
      </c>
      <c r="B642" s="60" t="s">
        <v>26</v>
      </c>
      <c r="C642" s="60" t="s">
        <v>54</v>
      </c>
      <c r="D642" s="60" t="s">
        <v>207</v>
      </c>
      <c r="E642" s="60" t="s">
        <v>3765</v>
      </c>
      <c r="F642" s="60" t="s">
        <v>53</v>
      </c>
      <c r="G642" s="105">
        <v>4</v>
      </c>
      <c r="H642" s="212" t="s">
        <v>3766</v>
      </c>
      <c r="I642" s="105" t="s">
        <v>275</v>
      </c>
      <c r="J642" s="291" t="s">
        <v>2697</v>
      </c>
      <c r="K642" s="106">
        <v>46203.368900462963</v>
      </c>
      <c r="L642" s="62">
        <v>46203.36891203704</v>
      </c>
      <c r="M642" s="106">
        <v>46203.376296296294</v>
      </c>
      <c r="N642" s="62">
        <v>46203.379537037035</v>
      </c>
      <c r="O642" s="106"/>
      <c r="P642" s="106"/>
      <c r="Q642" s="60"/>
      <c r="R642" s="60"/>
      <c r="S642" s="60"/>
      <c r="T642" s="60"/>
      <c r="U642" s="60"/>
      <c r="V642" s="60"/>
      <c r="W642" s="60"/>
      <c r="X642" s="60"/>
      <c r="Y642" s="60"/>
      <c r="Z642" s="61"/>
      <c r="AA642" s="61"/>
      <c r="AB642" s="61"/>
      <c r="AC642" s="61"/>
      <c r="AD642" s="218"/>
      <c r="AE642" s="61"/>
      <c r="AF642" s="61"/>
      <c r="AG642" s="61"/>
      <c r="AH642" s="61"/>
      <c r="AI642" s="61"/>
      <c r="AJ642" s="61"/>
    </row>
    <row r="643" spans="1:36" s="60" customFormat="1" ht="15" customHeight="1">
      <c r="A643" s="60">
        <v>643</v>
      </c>
      <c r="B643" s="60" t="s">
        <v>26</v>
      </c>
      <c r="C643" s="60" t="s">
        <v>54</v>
      </c>
      <c r="D643" s="60" t="s">
        <v>207</v>
      </c>
      <c r="E643" s="60" t="s">
        <v>3767</v>
      </c>
      <c r="F643" s="60" t="s">
        <v>53</v>
      </c>
      <c r="G643" s="105">
        <v>3</v>
      </c>
      <c r="H643" s="212" t="s">
        <v>3768</v>
      </c>
      <c r="I643" s="105" t="s">
        <v>266</v>
      </c>
      <c r="J643" s="291" t="s">
        <v>2703</v>
      </c>
      <c r="K643" s="106">
        <v>46202.641076388885</v>
      </c>
      <c r="L643" s="62">
        <v>46202.641076388885</v>
      </c>
      <c r="M643" s="106">
        <v>46202.662962962961</v>
      </c>
      <c r="N643" s="106"/>
      <c r="O643" s="106">
        <v>46203.483773148146</v>
      </c>
      <c r="P643" s="106"/>
      <c r="Z643" s="61"/>
      <c r="AA643" s="61"/>
      <c r="AB643" s="61"/>
      <c r="AC643" s="61"/>
      <c r="AD643" s="218"/>
      <c r="AE643" s="61"/>
      <c r="AF643" s="61"/>
      <c r="AG643" s="61"/>
      <c r="AH643" s="61"/>
      <c r="AI643" s="61"/>
      <c r="AJ643" s="61"/>
    </row>
    <row r="644" spans="1:36" ht="15" hidden="1" customHeight="1">
      <c r="A644" s="60">
        <v>644</v>
      </c>
      <c r="B644" s="60" t="s">
        <v>26</v>
      </c>
      <c r="C644" s="60" t="s">
        <v>27</v>
      </c>
      <c r="D644" s="60" t="s">
        <v>208</v>
      </c>
      <c r="E644" s="60" t="s">
        <v>3769</v>
      </c>
      <c r="F644" s="60" t="s">
        <v>322</v>
      </c>
      <c r="G644" s="105" t="s">
        <v>208</v>
      </c>
      <c r="H644" s="212" t="s">
        <v>3189</v>
      </c>
      <c r="I644" s="105" t="s">
        <v>275</v>
      </c>
      <c r="J644" s="60" t="s">
        <v>2717</v>
      </c>
      <c r="K644" s="106">
        <v>46203.375763888886</v>
      </c>
      <c r="L644" s="106">
        <v>46203.375763888886</v>
      </c>
      <c r="M644" s="106">
        <v>46203.431226851855</v>
      </c>
      <c r="N644" s="106">
        <v>46203.435069444444</v>
      </c>
      <c r="O644" s="106"/>
      <c r="P644" s="106"/>
      <c r="Q644" s="60"/>
      <c r="R644" s="60"/>
      <c r="S644" s="60"/>
      <c r="T644" s="60"/>
      <c r="U644" s="60" t="s">
        <v>371</v>
      </c>
      <c r="V644" s="60"/>
      <c r="W644" s="60"/>
      <c r="X644" s="60"/>
      <c r="Y644" s="60"/>
      <c r="Z644" s="61"/>
      <c r="AA644" s="61"/>
      <c r="AB644" s="61"/>
      <c r="AC644" s="61"/>
      <c r="AD644" s="218"/>
      <c r="AE644" s="61"/>
      <c r="AF644" s="61"/>
      <c r="AG644" s="61"/>
      <c r="AH644" s="61"/>
      <c r="AI644" s="61"/>
      <c r="AJ644" s="61"/>
    </row>
    <row r="645" spans="1:36" ht="15" hidden="1" customHeight="1">
      <c r="A645" s="60">
        <v>645</v>
      </c>
      <c r="B645" s="60" t="s">
        <v>26</v>
      </c>
      <c r="C645" s="60" t="s">
        <v>27</v>
      </c>
      <c r="D645" s="60" t="s">
        <v>208</v>
      </c>
      <c r="E645" s="60" t="s">
        <v>3770</v>
      </c>
      <c r="F645" s="60" t="s">
        <v>322</v>
      </c>
      <c r="G645" s="105" t="s">
        <v>208</v>
      </c>
      <c r="H645" s="212" t="s">
        <v>3191</v>
      </c>
      <c r="I645" s="105" t="s">
        <v>271</v>
      </c>
      <c r="J645" s="60" t="s">
        <v>2717</v>
      </c>
      <c r="K645" s="106">
        <v>46203.376099537039</v>
      </c>
      <c r="L645" s="106">
        <v>46203.376099537039</v>
      </c>
      <c r="M645" s="106">
        <v>46203.43340277778</v>
      </c>
      <c r="N645" s="106">
        <v>46203.436805555553</v>
      </c>
      <c r="O645" s="106"/>
      <c r="P645" s="106"/>
      <c r="Q645" s="60"/>
      <c r="R645" s="60"/>
      <c r="S645" s="60"/>
      <c r="T645" s="60"/>
      <c r="U645" s="60"/>
      <c r="V645" s="60"/>
      <c r="W645" s="60"/>
      <c r="X645" s="60"/>
      <c r="Y645" s="60"/>
      <c r="Z645" s="61"/>
      <c r="AA645" s="61"/>
      <c r="AB645" s="61"/>
      <c r="AC645" s="61"/>
      <c r="AD645" s="218"/>
      <c r="AE645" s="61"/>
      <c r="AF645" s="61"/>
      <c r="AG645" s="61"/>
      <c r="AH645" s="61"/>
      <c r="AI645" s="61"/>
      <c r="AJ645" s="61"/>
    </row>
    <row r="646" spans="1:36" ht="15" hidden="1" customHeight="1">
      <c r="A646" s="60">
        <v>646</v>
      </c>
      <c r="B646" s="60" t="s">
        <v>26</v>
      </c>
      <c r="C646" s="60" t="s">
        <v>27</v>
      </c>
      <c r="D646" s="60" t="s">
        <v>207</v>
      </c>
      <c r="E646" s="60" t="s">
        <v>3771</v>
      </c>
      <c r="F646" s="60" t="s">
        <v>318</v>
      </c>
      <c r="G646" s="105">
        <v>3</v>
      </c>
      <c r="H646" s="212" t="s">
        <v>2775</v>
      </c>
      <c r="I646" s="105" t="s">
        <v>271</v>
      </c>
      <c r="J646" s="60" t="s">
        <v>2738</v>
      </c>
      <c r="K646" s="62">
        <v>46203.376192129632</v>
      </c>
      <c r="L646" s="62">
        <v>46203.376192129632</v>
      </c>
      <c r="M646" s="106">
        <v>46203.431319444448</v>
      </c>
      <c r="N646" s="106">
        <v>46204.263449074075</v>
      </c>
      <c r="O646" s="106"/>
      <c r="P646" s="106"/>
      <c r="Q646" s="60"/>
      <c r="R646" s="60"/>
      <c r="S646" s="60"/>
      <c r="T646" s="60"/>
      <c r="U646" s="60"/>
      <c r="V646" s="60"/>
      <c r="W646" s="60"/>
      <c r="X646" s="60"/>
      <c r="Y646" s="60"/>
      <c r="Z646" s="61"/>
      <c r="AA646" s="61"/>
      <c r="AB646" s="61"/>
      <c r="AC646" s="61"/>
      <c r="AD646" s="218"/>
      <c r="AE646" s="61"/>
      <c r="AF646" s="61"/>
      <c r="AG646" s="61"/>
      <c r="AH646" s="61"/>
      <c r="AI646" s="61"/>
      <c r="AJ646" s="61"/>
    </row>
    <row r="647" spans="1:36" s="60" customFormat="1" ht="15" hidden="1" customHeight="1">
      <c r="A647" s="60">
        <v>647</v>
      </c>
      <c r="B647" s="60" t="s">
        <v>26</v>
      </c>
      <c r="C647" s="60" t="s">
        <v>27</v>
      </c>
      <c r="D647" s="60" t="s">
        <v>208</v>
      </c>
      <c r="E647" s="60" t="s">
        <v>3772</v>
      </c>
      <c r="F647" s="60" t="s">
        <v>318</v>
      </c>
      <c r="G647" s="105" t="s">
        <v>208</v>
      </c>
      <c r="H647" s="212" t="s">
        <v>3773</v>
      </c>
      <c r="I647" s="105" t="s">
        <v>260</v>
      </c>
      <c r="J647" s="60" t="s">
        <v>3015</v>
      </c>
      <c r="K647" s="62">
        <v>46203.376006944447</v>
      </c>
      <c r="L647" s="62">
        <v>46203.376006944447</v>
      </c>
      <c r="M647" s="106">
        <v>46203.440428240741</v>
      </c>
      <c r="N647" s="106"/>
      <c r="O647" s="106"/>
      <c r="P647" s="106"/>
      <c r="Z647" s="61"/>
      <c r="AA647" s="61"/>
      <c r="AB647" s="61"/>
      <c r="AC647" s="61"/>
      <c r="AD647" s="218"/>
      <c r="AE647" s="61"/>
      <c r="AF647" s="61"/>
      <c r="AG647" s="61"/>
      <c r="AH647" s="61"/>
      <c r="AI647" s="61"/>
      <c r="AJ647" s="61"/>
    </row>
    <row r="648" spans="1:36" s="60" customFormat="1" ht="15" hidden="1" customHeight="1">
      <c r="A648" s="60">
        <v>648</v>
      </c>
      <c r="B648" s="60" t="s">
        <v>26</v>
      </c>
      <c r="C648" s="60" t="s">
        <v>27</v>
      </c>
      <c r="D648" s="60" t="s">
        <v>208</v>
      </c>
      <c r="E648" s="60" t="s">
        <v>3774</v>
      </c>
      <c r="F648" s="60" t="s">
        <v>318</v>
      </c>
      <c r="G648" s="105" t="s">
        <v>208</v>
      </c>
      <c r="H648" s="212" t="s">
        <v>3276</v>
      </c>
      <c r="I648" s="105" t="s">
        <v>271</v>
      </c>
      <c r="J648" s="60" t="s">
        <v>2751</v>
      </c>
      <c r="K648" s="106">
        <v>46203.376122685186</v>
      </c>
      <c r="L648" s="106">
        <v>46203.376122685186</v>
      </c>
      <c r="M648" s="106">
        <v>46203.443379629629</v>
      </c>
      <c r="N648" s="106">
        <v>46204.337280092594</v>
      </c>
      <c r="O648" s="106"/>
      <c r="P648" s="106"/>
      <c r="Z648" s="61"/>
      <c r="AA648" s="61"/>
      <c r="AB648" s="61"/>
      <c r="AC648" s="61"/>
      <c r="AD648" s="218"/>
      <c r="AE648" s="61"/>
      <c r="AF648" s="61"/>
      <c r="AG648" s="61"/>
      <c r="AH648" s="61"/>
      <c r="AI648" s="61"/>
      <c r="AJ648" s="61"/>
    </row>
    <row r="649" spans="1:36" s="60" customFormat="1" ht="15" hidden="1" customHeight="1">
      <c r="A649" s="60">
        <v>649</v>
      </c>
      <c r="B649" s="60" t="s">
        <v>26</v>
      </c>
      <c r="C649" s="60" t="s">
        <v>27</v>
      </c>
      <c r="D649" s="60" t="s">
        <v>208</v>
      </c>
      <c r="E649" s="60" t="s">
        <v>3769</v>
      </c>
      <c r="F649" s="60" t="s">
        <v>320</v>
      </c>
      <c r="G649" s="105" t="s">
        <v>208</v>
      </c>
      <c r="H649" s="212" t="s">
        <v>3189</v>
      </c>
      <c r="I649" s="105" t="s">
        <v>271</v>
      </c>
      <c r="J649" s="60" t="s">
        <v>2827</v>
      </c>
      <c r="K649" s="62">
        <v>46203.375763888886</v>
      </c>
      <c r="L649" s="62">
        <v>46203.375833333332</v>
      </c>
      <c r="M649" s="106">
        <v>46203.431226851855</v>
      </c>
      <c r="N649" s="248">
        <v>46204.486354166664</v>
      </c>
      <c r="O649" s="221" t="s">
        <v>3775</v>
      </c>
      <c r="P649" s="106"/>
      <c r="Z649" s="61"/>
      <c r="AA649" s="61"/>
      <c r="AB649" s="61"/>
      <c r="AC649" s="61"/>
      <c r="AD649" s="218"/>
      <c r="AE649" s="61"/>
      <c r="AF649" s="61"/>
      <c r="AG649" s="61"/>
      <c r="AH649" s="61"/>
      <c r="AI649" s="61"/>
      <c r="AJ649" s="61"/>
    </row>
    <row r="650" spans="1:36" s="60" customFormat="1" ht="15" customHeight="1">
      <c r="A650" s="60">
        <v>650</v>
      </c>
      <c r="B650" s="60" t="s">
        <v>26</v>
      </c>
      <c r="C650" s="60" t="s">
        <v>54</v>
      </c>
      <c r="D650" s="60" t="s">
        <v>207</v>
      </c>
      <c r="E650" s="60" t="s">
        <v>3776</v>
      </c>
      <c r="F650" s="60" t="s">
        <v>53</v>
      </c>
      <c r="G650" s="105">
        <v>3</v>
      </c>
      <c r="H650" s="212" t="s">
        <v>3777</v>
      </c>
      <c r="I650" s="105" t="s">
        <v>275</v>
      </c>
      <c r="J650" s="291" t="s">
        <v>2697</v>
      </c>
      <c r="K650" s="106">
        <v>46203.492708333331</v>
      </c>
      <c r="L650" s="106">
        <v>46203.492708333331</v>
      </c>
      <c r="M650" s="106">
        <v>46203.496134259258</v>
      </c>
      <c r="N650" s="62">
        <v>46204.272905092592</v>
      </c>
      <c r="O650" s="106"/>
      <c r="P650" s="106"/>
      <c r="Z650" s="61"/>
      <c r="AA650" s="61"/>
      <c r="AB650" s="61"/>
      <c r="AC650" s="61"/>
      <c r="AD650" s="218"/>
      <c r="AE650" s="61"/>
      <c r="AF650" s="61"/>
      <c r="AG650" s="61"/>
      <c r="AH650" s="61"/>
      <c r="AI650" s="61"/>
      <c r="AJ650" s="61"/>
    </row>
    <row r="651" spans="1:36" s="60" customFormat="1" ht="15" customHeight="1">
      <c r="A651" s="60">
        <v>651</v>
      </c>
      <c r="B651" s="60" t="s">
        <v>26</v>
      </c>
      <c r="C651" s="60" t="s">
        <v>54</v>
      </c>
      <c r="D651" s="60" t="s">
        <v>208</v>
      </c>
      <c r="E651" s="60" t="s">
        <v>3778</v>
      </c>
      <c r="F651" s="60" t="s">
        <v>53</v>
      </c>
      <c r="G651" s="105" t="s">
        <v>208</v>
      </c>
      <c r="H651" s="212" t="s">
        <v>3779</v>
      </c>
      <c r="I651" s="105" t="s">
        <v>266</v>
      </c>
      <c r="J651" s="291" t="s">
        <v>2708</v>
      </c>
      <c r="K651" s="106">
        <v>46197.19730324074</v>
      </c>
      <c r="L651" s="106">
        <v>46203.531226851854</v>
      </c>
      <c r="M651" s="106">
        <v>46203.564456018517</v>
      </c>
      <c r="N651" s="106"/>
      <c r="O651" s="106">
        <v>46204.252488425926</v>
      </c>
      <c r="P651" s="106"/>
      <c r="R651" s="60" t="s">
        <v>272</v>
      </c>
      <c r="S651" s="60" t="s">
        <v>139</v>
      </c>
      <c r="Z651" s="61"/>
      <c r="AA651" s="61"/>
      <c r="AB651" s="61"/>
      <c r="AC651" s="61"/>
      <c r="AD651" s="218"/>
      <c r="AE651" s="61"/>
      <c r="AF651" s="61"/>
      <c r="AG651" s="61"/>
      <c r="AH651" s="61"/>
      <c r="AI651" s="61"/>
      <c r="AJ651" s="61"/>
    </row>
    <row r="652" spans="1:36" s="60" customFormat="1" ht="15" customHeight="1">
      <c r="A652" s="60">
        <v>652</v>
      </c>
      <c r="B652" s="60" t="s">
        <v>26</v>
      </c>
      <c r="C652" s="60" t="s">
        <v>54</v>
      </c>
      <c r="D652" s="60" t="s">
        <v>207</v>
      </c>
      <c r="E652" s="60" t="s">
        <v>3780</v>
      </c>
      <c r="F652" s="60" t="s">
        <v>53</v>
      </c>
      <c r="G652" s="105">
        <v>3</v>
      </c>
      <c r="H652" s="212" t="s">
        <v>3781</v>
      </c>
      <c r="I652" s="105" t="s">
        <v>266</v>
      </c>
      <c r="J652" s="291" t="s">
        <v>2694</v>
      </c>
      <c r="K652" s="106">
        <v>46203.525810185187</v>
      </c>
      <c r="L652" s="106">
        <v>46203.525810185187</v>
      </c>
      <c r="M652" s="106">
        <v>46203.567418981482</v>
      </c>
      <c r="N652" s="106"/>
      <c r="O652" s="106"/>
      <c r="P652" s="106"/>
      <c r="Z652" s="61"/>
      <c r="AA652" s="61"/>
      <c r="AB652" s="61"/>
      <c r="AC652" s="61"/>
      <c r="AD652" s="218"/>
      <c r="AE652" s="61"/>
      <c r="AF652" s="61"/>
      <c r="AG652" s="61"/>
      <c r="AH652" s="61"/>
      <c r="AI652" s="61"/>
      <c r="AJ652" s="61"/>
    </row>
    <row r="653" spans="1:36" s="60" customFormat="1" ht="15" customHeight="1">
      <c r="A653" s="60">
        <v>653</v>
      </c>
      <c r="B653" s="60" t="s">
        <v>26</v>
      </c>
      <c r="C653" s="60" t="s">
        <v>54</v>
      </c>
      <c r="D653" s="60" t="s">
        <v>207</v>
      </c>
      <c r="E653" s="60" t="s">
        <v>3782</v>
      </c>
      <c r="F653" s="60" t="s">
        <v>336</v>
      </c>
      <c r="G653" s="105">
        <v>3</v>
      </c>
      <c r="H653" s="212" t="s">
        <v>3783</v>
      </c>
      <c r="I653" s="105" t="s">
        <v>275</v>
      </c>
      <c r="J653" s="291" t="s">
        <v>2697</v>
      </c>
      <c r="K653" s="106">
        <v>46203.564560185187</v>
      </c>
      <c r="L653" s="106">
        <v>46203.564560185187</v>
      </c>
      <c r="M653" s="106">
        <v>46203.569027777776</v>
      </c>
      <c r="N653" s="62">
        <v>46204.288506944446</v>
      </c>
      <c r="O653" s="106"/>
      <c r="P653" s="106"/>
      <c r="Z653" s="61"/>
      <c r="AA653" s="61"/>
      <c r="AB653" s="61"/>
      <c r="AC653" s="61"/>
      <c r="AD653" s="218"/>
      <c r="AE653" s="61"/>
      <c r="AF653" s="61"/>
      <c r="AG653" s="61"/>
      <c r="AH653" s="61"/>
      <c r="AI653" s="61"/>
      <c r="AJ653" s="61"/>
    </row>
    <row r="654" spans="1:36" s="60" customFormat="1" ht="15" hidden="1" customHeight="1">
      <c r="A654" s="60">
        <v>654</v>
      </c>
      <c r="B654" s="60" t="s">
        <v>26</v>
      </c>
      <c r="C654" s="60" t="s">
        <v>27</v>
      </c>
      <c r="D654" s="60" t="s">
        <v>207</v>
      </c>
      <c r="E654" s="60" t="s">
        <v>3784</v>
      </c>
      <c r="F654" s="60" t="s">
        <v>318</v>
      </c>
      <c r="G654" s="105">
        <v>3</v>
      </c>
      <c r="H654" s="212" t="s">
        <v>2759</v>
      </c>
      <c r="I654" s="105" t="s">
        <v>271</v>
      </c>
      <c r="J654" s="60" t="s">
        <v>2708</v>
      </c>
      <c r="K654" s="106">
        <v>46203.626898148148</v>
      </c>
      <c r="L654" s="62">
        <v>46203.627627314818</v>
      </c>
      <c r="M654" s="106">
        <v>46203.634062500001</v>
      </c>
      <c r="N654" s="106">
        <v>46204.24726851852</v>
      </c>
      <c r="O654" s="106"/>
      <c r="P654" s="106"/>
      <c r="Q654" s="60" t="s">
        <v>2709</v>
      </c>
      <c r="R654" s="60" t="s">
        <v>272</v>
      </c>
      <c r="S654" s="60" t="s">
        <v>161</v>
      </c>
      <c r="Z654" s="61"/>
      <c r="AA654" s="61"/>
      <c r="AB654" s="61"/>
      <c r="AC654" s="61"/>
      <c r="AD654" s="218"/>
      <c r="AE654" s="61"/>
      <c r="AF654" s="61"/>
      <c r="AG654" s="61"/>
      <c r="AH654" s="61"/>
      <c r="AI654" s="61"/>
      <c r="AJ654" s="61"/>
    </row>
    <row r="655" spans="1:36" s="60" customFormat="1" ht="15" hidden="1" customHeight="1">
      <c r="A655" s="60">
        <v>655</v>
      </c>
      <c r="B655" s="60" t="s">
        <v>26</v>
      </c>
      <c r="C655" s="60" t="s">
        <v>27</v>
      </c>
      <c r="D655" s="60" t="s">
        <v>207</v>
      </c>
      <c r="E655" s="60" t="s">
        <v>3785</v>
      </c>
      <c r="F655" s="60" t="s">
        <v>318</v>
      </c>
      <c r="G655" s="105">
        <v>3</v>
      </c>
      <c r="H655" s="212" t="s">
        <v>2707</v>
      </c>
      <c r="I655" s="105" t="s">
        <v>271</v>
      </c>
      <c r="J655" s="60" t="s">
        <v>2708</v>
      </c>
      <c r="K655" s="106">
        <v>46203.625300925924</v>
      </c>
      <c r="L655" s="106">
        <v>46203.626099537039</v>
      </c>
      <c r="M655" s="106">
        <v>46203.635879629626</v>
      </c>
      <c r="N655" s="106">
        <v>46204.243148148147</v>
      </c>
      <c r="O655" s="106"/>
      <c r="P655" s="106"/>
      <c r="Q655" s="60" t="s">
        <v>2709</v>
      </c>
      <c r="R655" s="60" t="s">
        <v>272</v>
      </c>
      <c r="S655" s="60" t="s">
        <v>161</v>
      </c>
      <c r="Z655" s="61"/>
      <c r="AA655" s="61"/>
      <c r="AB655" s="61"/>
      <c r="AC655" s="61"/>
      <c r="AD655" s="218"/>
      <c r="AE655" s="61"/>
      <c r="AF655" s="61"/>
      <c r="AG655" s="61"/>
      <c r="AH655" s="61"/>
      <c r="AI655" s="61"/>
      <c r="AJ655" s="61"/>
    </row>
    <row r="656" spans="1:36" ht="15" hidden="1" customHeight="1">
      <c r="A656" s="60">
        <v>656</v>
      </c>
      <c r="B656" s="60" t="s">
        <v>26</v>
      </c>
      <c r="C656" s="60" t="s">
        <v>27</v>
      </c>
      <c r="D656" s="60" t="s">
        <v>207</v>
      </c>
      <c r="E656" s="60" t="s">
        <v>3786</v>
      </c>
      <c r="F656" s="60" t="s">
        <v>327</v>
      </c>
      <c r="G656" s="105">
        <v>3</v>
      </c>
      <c r="H656" s="212" t="s">
        <v>3787</v>
      </c>
      <c r="I656" s="105" t="s">
        <v>275</v>
      </c>
      <c r="J656" s="60"/>
      <c r="K656" s="106">
        <v>46203.438761574071</v>
      </c>
      <c r="L656" s="106">
        <v>46203.438761574071</v>
      </c>
      <c r="M656" s="106">
        <v>46203.591041666667</v>
      </c>
      <c r="N656" s="106"/>
      <c r="O656" s="106"/>
      <c r="P656" s="106"/>
      <c r="Q656" s="60"/>
      <c r="R656" s="60"/>
      <c r="S656" s="60"/>
      <c r="T656" s="60"/>
      <c r="U656" s="60"/>
      <c r="V656" s="60"/>
      <c r="W656" s="60"/>
      <c r="X656" s="60"/>
      <c r="Y656" s="60"/>
      <c r="Z656" s="61"/>
      <c r="AA656" s="61"/>
      <c r="AB656" s="61"/>
      <c r="AC656" s="61"/>
      <c r="AD656" s="218"/>
      <c r="AE656" s="61"/>
      <c r="AF656" s="61"/>
      <c r="AG656" s="61"/>
      <c r="AH656" s="61"/>
      <c r="AI656" s="61"/>
      <c r="AJ656" s="61"/>
    </row>
    <row r="657" spans="1:36" ht="15" hidden="1" customHeight="1">
      <c r="A657" s="60">
        <v>657</v>
      </c>
      <c r="B657" s="60" t="s">
        <v>26</v>
      </c>
      <c r="C657" s="60" t="s">
        <v>27</v>
      </c>
      <c r="D657" s="60" t="s">
        <v>207</v>
      </c>
      <c r="E657" s="60" t="s">
        <v>3788</v>
      </c>
      <c r="F657" s="60" t="s">
        <v>318</v>
      </c>
      <c r="G657" s="105">
        <v>3</v>
      </c>
      <c r="H657" s="212" t="s">
        <v>2724</v>
      </c>
      <c r="I657" s="105" t="s">
        <v>271</v>
      </c>
      <c r="J657" s="60" t="s">
        <v>2738</v>
      </c>
      <c r="K657" s="106">
        <v>46203.586469907408</v>
      </c>
      <c r="L657" s="106">
        <v>46203.586469907408</v>
      </c>
      <c r="M657" s="106">
        <v>46203.593576388892</v>
      </c>
      <c r="N657" s="106">
        <v>46204.26226851852</v>
      </c>
      <c r="O657" s="106"/>
      <c r="P657" s="106"/>
      <c r="Q657" s="60"/>
      <c r="R657" s="60"/>
      <c r="S657" s="60"/>
      <c r="T657" s="60"/>
      <c r="U657" s="60"/>
      <c r="V657" s="60"/>
      <c r="W657" s="60"/>
      <c r="X657" s="60"/>
      <c r="Y657" s="60"/>
      <c r="Z657" s="61"/>
      <c r="AA657" s="61"/>
      <c r="AB657" s="61"/>
      <c r="AC657" s="61"/>
      <c r="AD657" s="218"/>
      <c r="AE657" s="61"/>
      <c r="AF657" s="61"/>
      <c r="AG657" s="61"/>
      <c r="AH657" s="61"/>
      <c r="AI657" s="61"/>
      <c r="AJ657" s="61"/>
    </row>
    <row r="658" spans="1:36" s="60" customFormat="1" ht="15" hidden="1" customHeight="1">
      <c r="A658" s="60">
        <v>658</v>
      </c>
      <c r="B658" s="60" t="s">
        <v>26</v>
      </c>
      <c r="C658" s="60" t="s">
        <v>27</v>
      </c>
      <c r="D658" s="60" t="s">
        <v>207</v>
      </c>
      <c r="E658" s="60" t="s">
        <v>3789</v>
      </c>
      <c r="F658" s="60" t="s">
        <v>318</v>
      </c>
      <c r="G658" s="105">
        <v>3</v>
      </c>
      <c r="H658" s="212" t="s">
        <v>3790</v>
      </c>
      <c r="I658" s="105" t="s">
        <v>275</v>
      </c>
      <c r="J658" s="60" t="s">
        <v>2725</v>
      </c>
      <c r="K658" s="106">
        <v>46203.579039351855</v>
      </c>
      <c r="L658" s="106">
        <v>46203.579513888886</v>
      </c>
      <c r="M658" s="106">
        <v>46203.595277777778</v>
      </c>
      <c r="N658" s="106">
        <v>46204.445636574077</v>
      </c>
      <c r="O658" s="106"/>
      <c r="P658" s="106"/>
      <c r="Z658" s="61"/>
      <c r="AA658" s="61"/>
      <c r="AB658" s="61"/>
      <c r="AC658" s="61"/>
      <c r="AD658" s="218"/>
      <c r="AE658" s="61"/>
      <c r="AF658" s="61"/>
      <c r="AG658" s="61"/>
      <c r="AH658" s="61"/>
      <c r="AI658" s="61"/>
      <c r="AJ658" s="61"/>
    </row>
    <row r="659" spans="1:36" ht="15" hidden="1" customHeight="1">
      <c r="A659" s="60">
        <v>659</v>
      </c>
      <c r="B659" s="60" t="s">
        <v>26</v>
      </c>
      <c r="C659" s="60" t="s">
        <v>27</v>
      </c>
      <c r="D659" s="60" t="s">
        <v>207</v>
      </c>
      <c r="E659" s="60" t="s">
        <v>3791</v>
      </c>
      <c r="F659" s="60" t="s">
        <v>318</v>
      </c>
      <c r="G659" s="105">
        <v>3</v>
      </c>
      <c r="H659" s="212" t="s">
        <v>2707</v>
      </c>
      <c r="I659" s="105" t="s">
        <v>260</v>
      </c>
      <c r="J659" s="60" t="s">
        <v>2708</v>
      </c>
      <c r="K659" s="106">
        <v>46204.059270833335</v>
      </c>
      <c r="L659" s="106">
        <v>46204.060717592591</v>
      </c>
      <c r="M659" s="106">
        <v>46204.228692129633</v>
      </c>
      <c r="N659" s="106"/>
      <c r="O659" s="106"/>
      <c r="P659" s="106"/>
      <c r="Q659" s="60"/>
      <c r="R659" s="60"/>
      <c r="S659" s="60"/>
      <c r="T659" s="60"/>
      <c r="U659" s="60"/>
      <c r="V659" s="60"/>
      <c r="W659" s="60"/>
      <c r="X659" s="60"/>
      <c r="Y659" s="60"/>
      <c r="Z659" s="61"/>
      <c r="AA659" s="61"/>
      <c r="AB659" s="61"/>
      <c r="AC659" s="61"/>
      <c r="AD659" s="218"/>
      <c r="AE659" s="61"/>
      <c r="AF659" s="61"/>
      <c r="AG659" s="61"/>
      <c r="AH659" s="61"/>
      <c r="AI659" s="61"/>
      <c r="AJ659" s="61"/>
    </row>
    <row r="660" spans="1:36" ht="15" hidden="1" customHeight="1">
      <c r="A660" s="60">
        <v>660</v>
      </c>
      <c r="B660" s="60" t="s">
        <v>26</v>
      </c>
      <c r="C660" s="60" t="s">
        <v>27</v>
      </c>
      <c r="D660" s="60" t="s">
        <v>208</v>
      </c>
      <c r="E660" s="60" t="s">
        <v>3792</v>
      </c>
      <c r="F660" s="60" t="s">
        <v>318</v>
      </c>
      <c r="G660" s="105" t="s">
        <v>208</v>
      </c>
      <c r="H660" s="212" t="s">
        <v>3793</v>
      </c>
      <c r="I660" s="105" t="s">
        <v>275</v>
      </c>
      <c r="J660" s="60" t="s">
        <v>2725</v>
      </c>
      <c r="K660" s="106">
        <v>46202.268657407411</v>
      </c>
      <c r="L660" s="106">
        <v>46202.268657407411</v>
      </c>
      <c r="M660" s="106">
        <v>46202.284803240742</v>
      </c>
      <c r="N660" s="106">
        <v>46202.284803240742</v>
      </c>
      <c r="O660" s="106"/>
      <c r="P660" s="106"/>
      <c r="Q660" s="60"/>
      <c r="R660" s="60"/>
      <c r="S660" s="60"/>
      <c r="T660" s="60"/>
      <c r="U660" s="60"/>
      <c r="V660" s="60"/>
      <c r="W660" s="60"/>
      <c r="X660" s="60"/>
      <c r="Y660" s="60"/>
      <c r="Z660" s="61"/>
      <c r="AA660" s="61"/>
      <c r="AB660" s="61"/>
      <c r="AC660" s="61"/>
      <c r="AD660" s="218"/>
      <c r="AE660" s="61"/>
      <c r="AF660" s="61"/>
      <c r="AG660" s="61"/>
      <c r="AH660" s="61"/>
      <c r="AI660" s="61"/>
      <c r="AJ660" s="61"/>
    </row>
    <row r="661" spans="1:36" ht="15" hidden="1" customHeight="1">
      <c r="A661" s="60">
        <v>661</v>
      </c>
      <c r="B661" s="60" t="s">
        <v>26</v>
      </c>
      <c r="C661" s="60" t="s">
        <v>27</v>
      </c>
      <c r="D661" s="60" t="s">
        <v>208</v>
      </c>
      <c r="E661" s="60" t="s">
        <v>3794</v>
      </c>
      <c r="F661" s="60" t="s">
        <v>318</v>
      </c>
      <c r="G661" s="105" t="s">
        <v>208</v>
      </c>
      <c r="H661" s="212" t="s">
        <v>3795</v>
      </c>
      <c r="I661" s="105" t="s">
        <v>275</v>
      </c>
      <c r="J661" s="60" t="s">
        <v>2725</v>
      </c>
      <c r="K661" s="106">
        <v>46202.273101851853</v>
      </c>
      <c r="L661" s="106">
        <v>46202.273101851853</v>
      </c>
      <c r="M661" s="106">
        <v>46202.303553240738</v>
      </c>
      <c r="N661" s="106">
        <v>46202.303553240738</v>
      </c>
      <c r="O661" s="106"/>
      <c r="P661" s="106"/>
      <c r="Q661" s="60"/>
      <c r="R661" s="60"/>
      <c r="S661" s="60"/>
      <c r="T661" s="60"/>
      <c r="U661" s="60"/>
      <c r="V661" s="60"/>
      <c r="W661" s="60"/>
      <c r="X661" s="60"/>
      <c r="Y661" s="60"/>
      <c r="Z661" s="61"/>
      <c r="AA661" s="61"/>
      <c r="AB661" s="61"/>
      <c r="AC661" s="61"/>
      <c r="AD661" s="218"/>
      <c r="AE661" s="61"/>
      <c r="AF661" s="61"/>
      <c r="AG661" s="61"/>
      <c r="AH661" s="61"/>
      <c r="AI661" s="61"/>
      <c r="AJ661" s="61"/>
    </row>
    <row r="662" spans="1:36" ht="15" hidden="1" customHeight="1">
      <c r="A662" s="60">
        <v>662</v>
      </c>
      <c r="B662" s="60" t="s">
        <v>26</v>
      </c>
      <c r="C662" s="60" t="s">
        <v>27</v>
      </c>
      <c r="D662" s="60" t="s">
        <v>208</v>
      </c>
      <c r="E662" s="60" t="s">
        <v>3796</v>
      </c>
      <c r="F662" s="60" t="s">
        <v>318</v>
      </c>
      <c r="G662" s="105" t="s">
        <v>208</v>
      </c>
      <c r="H662" s="212" t="s">
        <v>3797</v>
      </c>
      <c r="I662" s="105" t="s">
        <v>275</v>
      </c>
      <c r="J662" s="60" t="s">
        <v>2725</v>
      </c>
      <c r="K662" s="106">
        <v>46202.270567129628</v>
      </c>
      <c r="L662" s="106">
        <v>46202.270567129628</v>
      </c>
      <c r="M662" s="106">
        <v>46202.305381944447</v>
      </c>
      <c r="N662" s="106">
        <v>46202.305381944447</v>
      </c>
      <c r="O662" s="106"/>
      <c r="P662" s="106"/>
      <c r="Q662" s="60"/>
      <c r="R662" s="60"/>
      <c r="S662" s="60"/>
      <c r="T662" s="60"/>
      <c r="U662" s="60"/>
      <c r="V662" s="60"/>
      <c r="W662" s="60"/>
      <c r="X662" s="60"/>
      <c r="Y662" s="60"/>
      <c r="Z662" s="61"/>
      <c r="AA662" s="61"/>
      <c r="AB662" s="61"/>
      <c r="AC662" s="61"/>
      <c r="AD662" s="218"/>
      <c r="AE662" s="61"/>
      <c r="AF662" s="61"/>
      <c r="AG662" s="61"/>
      <c r="AH662" s="61"/>
      <c r="AI662" s="61"/>
      <c r="AJ662" s="61"/>
    </row>
    <row r="663" spans="1:36" ht="15" hidden="1" customHeight="1">
      <c r="A663" s="60">
        <v>663</v>
      </c>
      <c r="B663" s="60" t="s">
        <v>26</v>
      </c>
      <c r="C663" s="60" t="s">
        <v>27</v>
      </c>
      <c r="D663" s="60" t="s">
        <v>208</v>
      </c>
      <c r="E663" s="60" t="s">
        <v>3798</v>
      </c>
      <c r="F663" s="60" t="s">
        <v>318</v>
      </c>
      <c r="G663" s="105" t="s">
        <v>208</v>
      </c>
      <c r="H663" s="212" t="s">
        <v>3799</v>
      </c>
      <c r="I663" s="105" t="s">
        <v>275</v>
      </c>
      <c r="J663" s="60" t="s">
        <v>2725</v>
      </c>
      <c r="K663" s="106">
        <v>46202.270439814813</v>
      </c>
      <c r="L663" s="106">
        <v>46202.270439814813</v>
      </c>
      <c r="M663" s="106">
        <v>46202.304988425924</v>
      </c>
      <c r="N663" s="106">
        <v>46202.304988425924</v>
      </c>
      <c r="O663" s="106"/>
      <c r="P663" s="106"/>
      <c r="Q663" s="60"/>
      <c r="R663" s="60"/>
      <c r="S663" s="60"/>
      <c r="T663" s="60"/>
      <c r="U663" s="60"/>
      <c r="V663" s="60"/>
      <c r="W663" s="60"/>
      <c r="X663" s="60"/>
      <c r="Y663" s="60"/>
      <c r="Z663" s="61"/>
      <c r="AA663" s="61"/>
      <c r="AB663" s="61"/>
      <c r="AC663" s="61"/>
      <c r="AD663" s="218"/>
      <c r="AE663" s="61"/>
      <c r="AF663" s="61"/>
      <c r="AG663" s="61"/>
      <c r="AH663" s="61"/>
      <c r="AI663" s="61"/>
      <c r="AJ663" s="61"/>
    </row>
    <row r="664" spans="1:36" ht="15" hidden="1" customHeight="1">
      <c r="A664" s="60">
        <v>664</v>
      </c>
      <c r="B664" s="60" t="s">
        <v>26</v>
      </c>
      <c r="C664" s="60" t="s">
        <v>27</v>
      </c>
      <c r="D664" s="60" t="s">
        <v>208</v>
      </c>
      <c r="E664" s="60" t="s">
        <v>3800</v>
      </c>
      <c r="F664" s="60" t="s">
        <v>318</v>
      </c>
      <c r="G664" s="105" t="s">
        <v>208</v>
      </c>
      <c r="H664" s="212" t="s">
        <v>3801</v>
      </c>
      <c r="I664" s="105" t="s">
        <v>275</v>
      </c>
      <c r="J664" s="60" t="s">
        <v>2725</v>
      </c>
      <c r="K664" s="106">
        <v>46202.270150462966</v>
      </c>
      <c r="L664" s="106">
        <v>46202.270150462966</v>
      </c>
      <c r="M664" s="106">
        <v>46202.35324074074</v>
      </c>
      <c r="N664" s="106">
        <v>46202.35324074074</v>
      </c>
      <c r="O664" s="106"/>
      <c r="P664" s="106"/>
      <c r="Q664" s="60"/>
      <c r="R664" s="60"/>
      <c r="S664" s="60"/>
      <c r="T664" s="60"/>
      <c r="U664" s="60"/>
      <c r="V664" s="60"/>
      <c r="W664" s="60"/>
      <c r="X664" s="60"/>
      <c r="Y664" s="60"/>
      <c r="Z664" s="61"/>
      <c r="AA664" s="61"/>
      <c r="AB664" s="61"/>
      <c r="AC664" s="61"/>
      <c r="AD664" s="218"/>
      <c r="AE664" s="61"/>
      <c r="AF664" s="61"/>
      <c r="AG664" s="61"/>
      <c r="AH664" s="61"/>
      <c r="AI664" s="61"/>
      <c r="AJ664" s="61"/>
    </row>
    <row r="665" spans="1:36" ht="15" hidden="1" customHeight="1">
      <c r="A665" s="60">
        <v>665</v>
      </c>
      <c r="B665" s="60" t="s">
        <v>26</v>
      </c>
      <c r="C665" s="60" t="s">
        <v>27</v>
      </c>
      <c r="D665" s="60" t="s">
        <v>208</v>
      </c>
      <c r="E665" s="60" t="s">
        <v>3802</v>
      </c>
      <c r="F665" s="60" t="s">
        <v>318</v>
      </c>
      <c r="G665" s="105" t="s">
        <v>208</v>
      </c>
      <c r="H665" s="212" t="s">
        <v>3803</v>
      </c>
      <c r="I665" s="105" t="s">
        <v>275</v>
      </c>
      <c r="J665" s="60" t="s">
        <v>2725</v>
      </c>
      <c r="K665" s="106">
        <v>46202.269421296296</v>
      </c>
      <c r="L665" s="106">
        <v>46202.269421296296</v>
      </c>
      <c r="M665" s="106">
        <v>46202.354039351849</v>
      </c>
      <c r="N665" s="106">
        <v>46202.354039351849</v>
      </c>
      <c r="O665" s="106"/>
      <c r="P665" s="106"/>
      <c r="Q665" s="60"/>
      <c r="R665" s="60"/>
      <c r="S665" s="60"/>
      <c r="T665" s="60"/>
      <c r="U665" s="60"/>
      <c r="V665" s="60"/>
      <c r="W665" s="60"/>
      <c r="X665" s="60"/>
      <c r="Y665" s="60"/>
      <c r="Z665" s="61"/>
      <c r="AA665" s="61"/>
      <c r="AB665" s="61"/>
      <c r="AC665" s="61"/>
      <c r="AD665" s="218"/>
      <c r="AE665" s="61"/>
      <c r="AF665" s="61"/>
      <c r="AG665" s="61"/>
      <c r="AH665" s="61"/>
      <c r="AI665" s="61"/>
      <c r="AJ665" s="61"/>
    </row>
    <row r="666" spans="1:36" ht="15" customHeight="1">
      <c r="A666" s="60">
        <v>666</v>
      </c>
      <c r="B666" s="60" t="s">
        <v>26</v>
      </c>
      <c r="C666" s="60" t="s">
        <v>54</v>
      </c>
      <c r="D666" s="60" t="s">
        <v>207</v>
      </c>
      <c r="E666" s="60" t="s">
        <v>3259</v>
      </c>
      <c r="F666" s="60" t="s">
        <v>53</v>
      </c>
      <c r="G666" s="105">
        <v>4</v>
      </c>
      <c r="H666" s="212" t="s">
        <v>3804</v>
      </c>
      <c r="I666" s="105" t="s">
        <v>266</v>
      </c>
      <c r="J666" s="291" t="s">
        <v>2714</v>
      </c>
      <c r="K666" s="106">
        <v>46154.779641203706</v>
      </c>
      <c r="L666" s="106">
        <v>46190.348576388889</v>
      </c>
      <c r="M666" s="106">
        <v>46190.373101851852</v>
      </c>
      <c r="N666" s="106"/>
      <c r="O666" s="106">
        <v>46190.439363425925</v>
      </c>
      <c r="P666" s="106"/>
      <c r="Q666" s="60"/>
      <c r="R666" s="60"/>
      <c r="S666" s="60"/>
      <c r="T666" s="60"/>
      <c r="U666" s="60"/>
      <c r="V666" s="60"/>
      <c r="W666" s="60"/>
      <c r="X666" s="60"/>
      <c r="Y666" s="60"/>
      <c r="Z666" s="61"/>
      <c r="AA666" s="61"/>
      <c r="AB666" s="61"/>
      <c r="AC666" s="61"/>
      <c r="AD666" s="218"/>
      <c r="AE666" s="61"/>
      <c r="AF666" s="61"/>
      <c r="AG666" s="61"/>
      <c r="AH666" s="61"/>
      <c r="AI666" s="61"/>
      <c r="AJ666" s="61"/>
    </row>
    <row r="667" spans="1:36" ht="15" customHeight="1">
      <c r="A667" s="60">
        <v>667</v>
      </c>
      <c r="B667" s="60" t="s">
        <v>26</v>
      </c>
      <c r="C667" s="60" t="s">
        <v>54</v>
      </c>
      <c r="D667" s="60" t="s">
        <v>207</v>
      </c>
      <c r="E667" s="60" t="s">
        <v>3805</v>
      </c>
      <c r="F667" s="60" t="s">
        <v>336</v>
      </c>
      <c r="G667" s="232">
        <v>3</v>
      </c>
      <c r="H667" s="233" t="s">
        <v>3806</v>
      </c>
      <c r="I667" s="234" t="s">
        <v>271</v>
      </c>
      <c r="J667" s="294" t="s">
        <v>2714</v>
      </c>
      <c r="K667" s="62">
        <v>46186.254861111112</v>
      </c>
      <c r="L667" s="62">
        <v>46186.302083333336</v>
      </c>
      <c r="M667" s="106">
        <v>46186.325694444444</v>
      </c>
      <c r="N667" s="62">
        <v>46188.4</v>
      </c>
      <c r="O667" s="219"/>
      <c r="P667" s="219"/>
      <c r="Q667" s="60"/>
      <c r="R667" s="60"/>
      <c r="S667" s="60"/>
      <c r="T667" s="60"/>
      <c r="U667" s="60"/>
      <c r="V667" s="60"/>
      <c r="W667" s="60"/>
      <c r="X667" s="60"/>
      <c r="Y667" s="60"/>
      <c r="Z667" s="61"/>
      <c r="AA667" s="61"/>
      <c r="AB667" s="61"/>
      <c r="AC667" s="61"/>
      <c r="AD667" s="218"/>
      <c r="AE667" s="61"/>
      <c r="AF667" s="61"/>
      <c r="AG667" s="61"/>
      <c r="AH667" s="61"/>
      <c r="AI667" s="61"/>
      <c r="AJ667" s="61"/>
    </row>
    <row r="668" spans="1:36" ht="15" customHeight="1">
      <c r="A668" s="60">
        <v>668</v>
      </c>
      <c r="B668" s="60" t="s">
        <v>26</v>
      </c>
      <c r="C668" s="60" t="s">
        <v>54</v>
      </c>
      <c r="D668" s="60" t="s">
        <v>207</v>
      </c>
      <c r="E668" s="60" t="s">
        <v>3473</v>
      </c>
      <c r="F668" s="60" t="s">
        <v>336</v>
      </c>
      <c r="G668" s="232">
        <v>3</v>
      </c>
      <c r="H668" s="233" t="s">
        <v>3474</v>
      </c>
      <c r="I668" s="234" t="s">
        <v>266</v>
      </c>
      <c r="J668" s="294" t="s">
        <v>2714</v>
      </c>
      <c r="K668" s="62">
        <v>46184.495138888888</v>
      </c>
      <c r="L668" s="62">
        <v>46196.518055555556</v>
      </c>
      <c r="M668" s="106">
        <v>46196.612500000003</v>
      </c>
      <c r="N668" s="62">
        <v>46197.363888888889</v>
      </c>
      <c r="O668" s="62">
        <v>46197.364247685182</v>
      </c>
      <c r="P668" s="60"/>
      <c r="Q668" s="60"/>
      <c r="R668" s="60"/>
      <c r="S668" s="60"/>
      <c r="T668" s="60"/>
      <c r="U668" s="60"/>
      <c r="V668" s="60"/>
      <c r="W668" s="60"/>
      <c r="X668" s="60"/>
      <c r="Y668" s="60"/>
      <c r="Z668" s="61"/>
      <c r="AA668" s="61"/>
      <c r="AB668" s="61"/>
      <c r="AC668" s="61"/>
      <c r="AD668" s="218"/>
      <c r="AE668" s="61"/>
      <c r="AF668" s="61"/>
      <c r="AG668" s="61"/>
      <c r="AH668" s="61"/>
      <c r="AI668" s="61"/>
      <c r="AJ668" s="61"/>
    </row>
    <row r="669" spans="1:36" ht="15" customHeight="1">
      <c r="A669" s="60">
        <v>669</v>
      </c>
      <c r="B669" s="60" t="s">
        <v>26</v>
      </c>
      <c r="C669" s="60" t="s">
        <v>54</v>
      </c>
      <c r="D669" s="60" t="s">
        <v>207</v>
      </c>
      <c r="E669" s="60" t="s">
        <v>3807</v>
      </c>
      <c r="F669" s="60" t="s">
        <v>53</v>
      </c>
      <c r="G669" s="232">
        <v>4</v>
      </c>
      <c r="H669" s="233" t="s">
        <v>3808</v>
      </c>
      <c r="I669" s="234" t="s">
        <v>271</v>
      </c>
      <c r="J669" s="294" t="s">
        <v>2714</v>
      </c>
      <c r="K669" s="62">
        <v>46184.3125</v>
      </c>
      <c r="L669" s="62">
        <v>46195.411111111112</v>
      </c>
      <c r="M669" s="106">
        <v>46195.48541666667</v>
      </c>
      <c r="N669" s="62">
        <v>46196.337500000001</v>
      </c>
      <c r="O669" s="219"/>
      <c r="P669" s="219"/>
      <c r="Q669" s="60"/>
      <c r="R669" s="60"/>
      <c r="S669" s="60"/>
      <c r="T669" s="60"/>
      <c r="U669" s="60"/>
      <c r="V669" s="60"/>
      <c r="W669" s="60"/>
      <c r="X669" s="60"/>
      <c r="Y669" s="60"/>
      <c r="Z669" s="61"/>
      <c r="AA669" s="61"/>
      <c r="AB669" s="61"/>
      <c r="AC669" s="61"/>
      <c r="AD669" s="218"/>
      <c r="AE669" s="61"/>
      <c r="AF669" s="61"/>
      <c r="AG669" s="61"/>
      <c r="AH669" s="61"/>
      <c r="AI669" s="61"/>
      <c r="AJ669" s="61"/>
    </row>
    <row r="670" spans="1:36" ht="15" customHeight="1">
      <c r="A670" s="60">
        <v>670</v>
      </c>
      <c r="B670" s="60" t="s">
        <v>26</v>
      </c>
      <c r="C670" s="60" t="s">
        <v>54</v>
      </c>
      <c r="D670" s="60" t="s">
        <v>207</v>
      </c>
      <c r="E670" s="60" t="s">
        <v>3809</v>
      </c>
      <c r="F670" s="60" t="s">
        <v>336</v>
      </c>
      <c r="G670" s="232">
        <v>2</v>
      </c>
      <c r="H670" s="233" t="s">
        <v>3810</v>
      </c>
      <c r="I670" s="234" t="s">
        <v>271</v>
      </c>
      <c r="J670" s="294" t="s">
        <v>2714</v>
      </c>
      <c r="K670" s="62">
        <v>46183.836805555555</v>
      </c>
      <c r="L670" s="62">
        <v>46183.859027777777</v>
      </c>
      <c r="M670" s="106">
        <v>46183.864583333336</v>
      </c>
      <c r="N670" s="62">
        <v>46184.15347222222</v>
      </c>
      <c r="O670" s="219"/>
      <c r="P670" s="219"/>
      <c r="Q670" s="60"/>
      <c r="R670" s="60"/>
      <c r="S670" s="60"/>
      <c r="T670" s="60"/>
      <c r="U670" s="60"/>
      <c r="V670" s="60"/>
      <c r="W670" s="60"/>
      <c r="X670" s="60"/>
      <c r="Y670" s="60"/>
      <c r="Z670" s="61"/>
      <c r="AA670" s="61"/>
      <c r="AB670" s="61"/>
      <c r="AC670" s="61"/>
      <c r="AD670" s="218"/>
      <c r="AE670" s="61"/>
      <c r="AF670" s="61"/>
      <c r="AG670" s="61"/>
      <c r="AH670" s="61"/>
      <c r="AI670" s="61"/>
      <c r="AJ670" s="61"/>
    </row>
    <row r="671" spans="1:36" ht="15" customHeight="1">
      <c r="A671" s="60">
        <v>671</v>
      </c>
      <c r="B671" s="60" t="s">
        <v>26</v>
      </c>
      <c r="C671" s="60" t="s">
        <v>54</v>
      </c>
      <c r="D671" s="60" t="s">
        <v>207</v>
      </c>
      <c r="E671" s="60" t="s">
        <v>3811</v>
      </c>
      <c r="F671" s="60" t="s">
        <v>53</v>
      </c>
      <c r="G671" s="232">
        <v>3</v>
      </c>
      <c r="H671" s="233" t="s">
        <v>3812</v>
      </c>
      <c r="I671" s="234" t="s">
        <v>271</v>
      </c>
      <c r="J671" s="294" t="s">
        <v>2714</v>
      </c>
      <c r="K671" s="62">
        <v>46183.673611111109</v>
      </c>
      <c r="L671" s="62">
        <v>46183.675694444442</v>
      </c>
      <c r="M671" s="106">
        <v>46184.273611111108</v>
      </c>
      <c r="N671" s="62">
        <v>46191.75</v>
      </c>
      <c r="O671" s="219"/>
      <c r="P671" s="219"/>
      <c r="Q671" s="60"/>
      <c r="R671" s="60"/>
      <c r="S671" s="60"/>
      <c r="T671" s="60"/>
      <c r="U671" s="60"/>
      <c r="V671" s="60"/>
      <c r="W671" s="60"/>
      <c r="X671" s="60"/>
      <c r="Y671" s="60"/>
      <c r="Z671" s="61"/>
      <c r="AA671" s="61"/>
      <c r="AB671" s="61"/>
      <c r="AC671" s="61"/>
      <c r="AD671" s="218"/>
      <c r="AE671" s="61"/>
      <c r="AF671" s="61"/>
      <c r="AG671" s="61"/>
      <c r="AH671" s="61"/>
      <c r="AI671" s="61"/>
      <c r="AJ671" s="61"/>
    </row>
    <row r="672" spans="1:36" ht="15" customHeight="1">
      <c r="A672" s="60">
        <v>672</v>
      </c>
      <c r="B672" s="60" t="s">
        <v>26</v>
      </c>
      <c r="C672" s="60" t="s">
        <v>54</v>
      </c>
      <c r="D672" s="60" t="s">
        <v>207</v>
      </c>
      <c r="E672" s="60" t="s">
        <v>3813</v>
      </c>
      <c r="F672" s="60" t="s">
        <v>53</v>
      </c>
      <c r="G672" s="232">
        <v>3</v>
      </c>
      <c r="H672" s="233" t="s">
        <v>3814</v>
      </c>
      <c r="I672" s="234" t="s">
        <v>271</v>
      </c>
      <c r="J672" s="294" t="s">
        <v>2714</v>
      </c>
      <c r="K672" s="62">
        <v>46183.618750000001</v>
      </c>
      <c r="L672" s="62">
        <v>46183.618750000001</v>
      </c>
      <c r="M672" s="106">
        <v>46183.620138888888</v>
      </c>
      <c r="N672" s="62">
        <v>46185.333333333336</v>
      </c>
      <c r="O672" s="219"/>
      <c r="P672" s="219"/>
      <c r="Q672" s="60"/>
      <c r="R672" s="60"/>
      <c r="S672" s="60"/>
      <c r="T672" s="60"/>
      <c r="U672" s="60"/>
      <c r="V672" s="60"/>
      <c r="W672" s="60"/>
      <c r="X672" s="60"/>
      <c r="Y672" s="60"/>
      <c r="Z672" s="61"/>
      <c r="AA672" s="61"/>
      <c r="AB672" s="61"/>
      <c r="AC672" s="61"/>
      <c r="AD672" s="218"/>
      <c r="AE672" s="61"/>
      <c r="AF672" s="61"/>
      <c r="AG672" s="61"/>
      <c r="AH672" s="61"/>
      <c r="AI672" s="61"/>
      <c r="AJ672" s="61"/>
    </row>
    <row r="673" spans="1:36" ht="15" hidden="1" customHeight="1">
      <c r="A673" s="60">
        <v>673</v>
      </c>
      <c r="B673" s="60" t="s">
        <v>26</v>
      </c>
      <c r="C673" s="60" t="s">
        <v>27</v>
      </c>
      <c r="D673" s="60" t="s">
        <v>207</v>
      </c>
      <c r="E673" s="60" t="s">
        <v>3270</v>
      </c>
      <c r="F673" s="60" t="s">
        <v>318</v>
      </c>
      <c r="G673" s="232">
        <v>3</v>
      </c>
      <c r="H673" s="233" t="s">
        <v>3241</v>
      </c>
      <c r="I673" s="234" t="s">
        <v>271</v>
      </c>
      <c r="J673" s="219" t="s">
        <v>2714</v>
      </c>
      <c r="K673" s="62">
        <v>46181.686111111114</v>
      </c>
      <c r="L673" s="62">
        <v>46181.691666666666</v>
      </c>
      <c r="M673" s="106">
        <v>46182.251388888886</v>
      </c>
      <c r="N673" s="62">
        <v>46184.177083333336</v>
      </c>
      <c r="O673" s="219"/>
      <c r="P673" s="219"/>
      <c r="Q673" s="60"/>
      <c r="R673" s="60"/>
      <c r="S673" s="60"/>
      <c r="T673" s="60"/>
      <c r="U673" s="60"/>
      <c r="V673" s="60"/>
      <c r="W673" s="60"/>
      <c r="X673" s="60"/>
      <c r="Y673" s="60"/>
      <c r="Z673" s="61"/>
      <c r="AA673" s="61"/>
      <c r="AB673" s="61"/>
      <c r="AC673" s="61"/>
      <c r="AD673" s="218"/>
      <c r="AE673" s="61"/>
      <c r="AF673" s="61"/>
      <c r="AG673" s="61"/>
      <c r="AH673" s="61"/>
      <c r="AI673" s="61"/>
      <c r="AJ673" s="61"/>
    </row>
    <row r="674" spans="1:36" ht="15" customHeight="1">
      <c r="A674" s="60">
        <v>674</v>
      </c>
      <c r="B674" s="60" t="s">
        <v>26</v>
      </c>
      <c r="C674" s="60" t="s">
        <v>54</v>
      </c>
      <c r="D674" s="60" t="s">
        <v>207</v>
      </c>
      <c r="E674" s="60" t="s">
        <v>3257</v>
      </c>
      <c r="F674" s="60" t="s">
        <v>336</v>
      </c>
      <c r="G674" s="232">
        <v>4</v>
      </c>
      <c r="H674" s="233" t="s">
        <v>3258</v>
      </c>
      <c r="I674" s="234" t="s">
        <v>266</v>
      </c>
      <c r="J674" s="294" t="s">
        <v>2714</v>
      </c>
      <c r="K674" s="62">
        <v>46181.560416666667</v>
      </c>
      <c r="L674" s="62">
        <v>46181.560416666667</v>
      </c>
      <c r="M674" s="106">
        <v>46181.632638888892</v>
      </c>
      <c r="N674" s="219"/>
      <c r="O674" s="62">
        <v>46185.429861111108</v>
      </c>
      <c r="P674" s="60"/>
      <c r="Q674" s="60"/>
      <c r="R674" s="60"/>
      <c r="S674" s="60"/>
      <c r="T674" s="60"/>
      <c r="U674" s="60"/>
      <c r="V674" s="60"/>
      <c r="W674" s="60"/>
      <c r="X674" s="60"/>
      <c r="Y674" s="60"/>
      <c r="Z674" s="61"/>
      <c r="AA674" s="61"/>
      <c r="AB674" s="61"/>
      <c r="AC674" s="61"/>
      <c r="AD674" s="218"/>
      <c r="AE674" s="61"/>
      <c r="AF674" s="61"/>
      <c r="AG674" s="61"/>
      <c r="AH674" s="61"/>
      <c r="AI674" s="61"/>
      <c r="AJ674" s="61"/>
    </row>
    <row r="675" spans="1:36" ht="15" customHeight="1">
      <c r="A675" s="60">
        <v>675</v>
      </c>
      <c r="B675" s="60" t="s">
        <v>26</v>
      </c>
      <c r="C675" s="60" t="s">
        <v>54</v>
      </c>
      <c r="D675" s="60" t="s">
        <v>207</v>
      </c>
      <c r="E675" s="60" t="s">
        <v>3815</v>
      </c>
      <c r="F675" s="60" t="s">
        <v>53</v>
      </c>
      <c r="G675" s="232">
        <v>3</v>
      </c>
      <c r="H675" s="233" t="s">
        <v>3816</v>
      </c>
      <c r="I675" s="234" t="s">
        <v>271</v>
      </c>
      <c r="J675" s="294" t="s">
        <v>2714</v>
      </c>
      <c r="K675" s="62">
        <v>46181.320138888892</v>
      </c>
      <c r="L675" s="62">
        <v>46181.320138888892</v>
      </c>
      <c r="M675" s="106">
        <v>46181.340277777781</v>
      </c>
      <c r="N675" s="62">
        <v>46182.336805555555</v>
      </c>
      <c r="O675" s="219"/>
      <c r="P675" s="219"/>
      <c r="Q675" s="60"/>
      <c r="R675" s="60"/>
      <c r="S675" s="60"/>
      <c r="T675" s="60"/>
      <c r="U675" s="60"/>
      <c r="V675" s="60"/>
      <c r="W675" s="60"/>
      <c r="X675" s="60"/>
      <c r="Y675" s="60"/>
      <c r="Z675" s="61"/>
      <c r="AA675" s="61"/>
      <c r="AB675" s="61"/>
      <c r="AC675" s="61"/>
      <c r="AD675" s="218"/>
      <c r="AE675" s="61"/>
      <c r="AF675" s="61"/>
      <c r="AG675" s="61"/>
      <c r="AH675" s="61"/>
      <c r="AI675" s="61"/>
      <c r="AJ675" s="61"/>
    </row>
    <row r="676" spans="1:36" ht="15" hidden="1" customHeight="1">
      <c r="A676" s="60">
        <v>676</v>
      </c>
      <c r="B676" s="60" t="s">
        <v>26</v>
      </c>
      <c r="C676" s="60" t="s">
        <v>27</v>
      </c>
      <c r="D676" s="60" t="s">
        <v>207</v>
      </c>
      <c r="E676" s="60" t="s">
        <v>3234</v>
      </c>
      <c r="F676" s="60" t="s">
        <v>318</v>
      </c>
      <c r="G676" s="232">
        <v>3</v>
      </c>
      <c r="H676" s="233" t="s">
        <v>3235</v>
      </c>
      <c r="I676" s="234" t="s">
        <v>271</v>
      </c>
      <c r="J676" s="219" t="s">
        <v>2714</v>
      </c>
      <c r="K676" s="62">
        <v>46180.486111111109</v>
      </c>
      <c r="L676" s="62">
        <v>46181.329861111109</v>
      </c>
      <c r="M676" s="106">
        <v>46181.350694444445</v>
      </c>
      <c r="N676" s="62">
        <v>46182.338194444441</v>
      </c>
      <c r="O676" s="219"/>
      <c r="P676" s="219"/>
      <c r="Q676" s="60"/>
      <c r="R676" s="60"/>
      <c r="S676" s="60"/>
      <c r="T676" s="60"/>
      <c r="U676" s="60"/>
      <c r="V676" s="60"/>
      <c r="W676" s="60"/>
      <c r="X676" s="60"/>
      <c r="Y676" s="60"/>
      <c r="Z676" s="61"/>
      <c r="AA676" s="61"/>
      <c r="AB676" s="61"/>
      <c r="AC676" s="61"/>
      <c r="AD676" s="218"/>
      <c r="AE676" s="61"/>
      <c r="AF676" s="61"/>
      <c r="AG676" s="61"/>
      <c r="AH676" s="61"/>
      <c r="AI676" s="61"/>
      <c r="AJ676" s="61"/>
    </row>
    <row r="677" spans="1:36" ht="15" customHeight="1">
      <c r="A677" s="60">
        <v>677</v>
      </c>
      <c r="B677" s="60" t="s">
        <v>26</v>
      </c>
      <c r="C677" s="60" t="s">
        <v>54</v>
      </c>
      <c r="D677" s="60" t="s">
        <v>207</v>
      </c>
      <c r="E677" s="60" t="s">
        <v>3817</v>
      </c>
      <c r="F677" s="60" t="s">
        <v>53</v>
      </c>
      <c r="G677" s="232">
        <v>4</v>
      </c>
      <c r="H677" s="233" t="s">
        <v>3818</v>
      </c>
      <c r="I677" s="234" t="s">
        <v>271</v>
      </c>
      <c r="J677" s="294" t="s">
        <v>2714</v>
      </c>
      <c r="K677" s="62">
        <v>46178.455555555556</v>
      </c>
      <c r="L677" s="62">
        <v>46178.455555555556</v>
      </c>
      <c r="M677" s="62">
        <v>46178.457638888889</v>
      </c>
      <c r="N677" s="62">
        <v>46190.40347222222</v>
      </c>
      <c r="O677" s="219"/>
      <c r="P677" s="219"/>
      <c r="Q677" s="60"/>
      <c r="R677" s="60"/>
      <c r="S677" s="60"/>
      <c r="T677" s="60"/>
      <c r="U677" s="60"/>
      <c r="V677" s="60"/>
      <c r="W677" s="60"/>
      <c r="X677" s="60"/>
      <c r="Y677" s="60"/>
      <c r="Z677" s="61"/>
      <c r="AA677" s="61"/>
      <c r="AB677" s="61"/>
      <c r="AC677" s="61"/>
      <c r="AD677" s="218"/>
      <c r="AE677" s="61"/>
      <c r="AF677" s="61"/>
      <c r="AG677" s="61"/>
      <c r="AH677" s="61"/>
      <c r="AI677" s="61"/>
      <c r="AJ677" s="61"/>
    </row>
    <row r="678" spans="1:36" ht="15" customHeight="1">
      <c r="A678" s="60">
        <v>678</v>
      </c>
      <c r="B678" s="60" t="s">
        <v>26</v>
      </c>
      <c r="C678" s="60" t="s">
        <v>54</v>
      </c>
      <c r="D678" s="60" t="s">
        <v>207</v>
      </c>
      <c r="E678" s="60" t="s">
        <v>3819</v>
      </c>
      <c r="F678" s="60" t="s">
        <v>53</v>
      </c>
      <c r="G678" s="232">
        <v>3</v>
      </c>
      <c r="H678" s="233" t="s">
        <v>3820</v>
      </c>
      <c r="I678" s="234" t="s">
        <v>271</v>
      </c>
      <c r="J678" s="294" t="s">
        <v>2714</v>
      </c>
      <c r="K678" s="62">
        <v>46175.57708333333</v>
      </c>
      <c r="L678" s="62">
        <v>46175.57708333333</v>
      </c>
      <c r="M678" s="62">
        <v>46175.612500000003</v>
      </c>
      <c r="N678" s="62">
        <v>46177.472222222219</v>
      </c>
      <c r="O678" s="219"/>
      <c r="P678" s="219"/>
      <c r="Q678" s="60"/>
      <c r="R678" s="60"/>
      <c r="S678" s="60"/>
      <c r="T678" s="60"/>
      <c r="U678" s="60"/>
      <c r="V678" s="60"/>
      <c r="W678" s="60"/>
      <c r="X678" s="60"/>
      <c r="Y678" s="60"/>
      <c r="Z678" s="61"/>
      <c r="AA678" s="61"/>
      <c r="AB678" s="61"/>
      <c r="AC678" s="61"/>
      <c r="AD678" s="218"/>
      <c r="AE678" s="61"/>
      <c r="AF678" s="61"/>
      <c r="AG678" s="61"/>
      <c r="AH678" s="61"/>
      <c r="AI678" s="61"/>
      <c r="AJ678" s="61"/>
    </row>
    <row r="679" spans="1:36" ht="15" hidden="1" customHeight="1">
      <c r="A679" s="60">
        <v>679</v>
      </c>
      <c r="B679" s="60" t="s">
        <v>26</v>
      </c>
      <c r="C679" s="60" t="s">
        <v>27</v>
      </c>
      <c r="D679" s="60" t="s">
        <v>207</v>
      </c>
      <c r="E679" s="60" t="s">
        <v>3103</v>
      </c>
      <c r="F679" s="60" t="s">
        <v>318</v>
      </c>
      <c r="G679" s="232">
        <v>3</v>
      </c>
      <c r="H679" s="233" t="s">
        <v>3104</v>
      </c>
      <c r="I679" s="234" t="s">
        <v>271</v>
      </c>
      <c r="J679" s="219" t="s">
        <v>2714</v>
      </c>
      <c r="K679" s="62">
        <v>46174.011805555558</v>
      </c>
      <c r="L679" s="62">
        <v>46174.029861111114</v>
      </c>
      <c r="M679" s="62">
        <v>46174.322916666664</v>
      </c>
      <c r="N679" s="62">
        <v>46177.347916666666</v>
      </c>
      <c r="O679" s="219"/>
      <c r="P679" s="219"/>
      <c r="Q679" s="60"/>
      <c r="R679" s="60"/>
      <c r="S679" s="60"/>
      <c r="T679" s="60"/>
      <c r="U679" s="60"/>
      <c r="V679" s="60"/>
      <c r="W679" s="60"/>
      <c r="X679" s="60"/>
      <c r="Y679" s="60"/>
      <c r="Z679" s="61"/>
      <c r="AA679" s="61"/>
      <c r="AB679" s="61"/>
      <c r="AC679" s="61"/>
      <c r="AD679" s="218"/>
      <c r="AE679" s="61"/>
      <c r="AF679" s="61"/>
      <c r="AG679" s="61"/>
      <c r="AH679" s="61"/>
      <c r="AI679" s="61"/>
      <c r="AJ679" s="61"/>
    </row>
    <row r="680" spans="1:36" ht="15" hidden="1" customHeight="1">
      <c r="A680" s="60">
        <v>680</v>
      </c>
      <c r="B680" s="60" t="s">
        <v>26</v>
      </c>
      <c r="C680" s="60" t="s">
        <v>27</v>
      </c>
      <c r="D680" s="60" t="s">
        <v>207</v>
      </c>
      <c r="E680" s="60" t="s">
        <v>3097</v>
      </c>
      <c r="F680" s="60" t="s">
        <v>318</v>
      </c>
      <c r="G680" s="232">
        <v>3</v>
      </c>
      <c r="H680" s="233" t="s">
        <v>3098</v>
      </c>
      <c r="I680" s="234" t="s">
        <v>271</v>
      </c>
      <c r="J680" s="219" t="s">
        <v>2714</v>
      </c>
      <c r="K680" s="62">
        <v>46171.99722222222</v>
      </c>
      <c r="L680" s="62">
        <v>46172.057638888888</v>
      </c>
      <c r="M680" s="62">
        <v>46174.318749999999</v>
      </c>
      <c r="N680" s="62">
        <v>46184.75</v>
      </c>
      <c r="O680" s="219"/>
      <c r="P680" s="219"/>
      <c r="Q680" s="60"/>
      <c r="R680" s="60"/>
      <c r="S680" s="60"/>
      <c r="T680" s="60"/>
      <c r="U680" s="60"/>
      <c r="V680" s="60"/>
      <c r="W680" s="60"/>
      <c r="X680" s="60"/>
      <c r="Y680" s="60"/>
      <c r="Z680" s="61"/>
      <c r="AA680" s="61"/>
      <c r="AB680" s="61"/>
      <c r="AC680" s="61"/>
      <c r="AD680" s="218"/>
      <c r="AE680" s="61"/>
      <c r="AF680" s="61"/>
      <c r="AG680" s="61"/>
      <c r="AH680" s="61"/>
      <c r="AI680" s="61"/>
      <c r="AJ680" s="61"/>
    </row>
    <row r="681" spans="1:36" ht="15" customHeight="1">
      <c r="A681" s="60">
        <v>681</v>
      </c>
      <c r="B681" s="60" t="s">
        <v>26</v>
      </c>
      <c r="C681" s="60" t="s">
        <v>54</v>
      </c>
      <c r="D681" s="60" t="s">
        <v>207</v>
      </c>
      <c r="E681" s="60" t="s">
        <v>3821</v>
      </c>
      <c r="F681" s="60" t="s">
        <v>336</v>
      </c>
      <c r="G681" s="105">
        <v>3</v>
      </c>
      <c r="H681" s="212" t="s">
        <v>3822</v>
      </c>
      <c r="I681" s="105" t="s">
        <v>260</v>
      </c>
      <c r="J681" s="291" t="s">
        <v>2714</v>
      </c>
      <c r="K681" s="106">
        <v>46204.472708333335</v>
      </c>
      <c r="L681" s="62">
        <v>46204.472719907404</v>
      </c>
      <c r="M681" s="62">
        <v>46204.484375</v>
      </c>
      <c r="N681" s="106"/>
      <c r="O681" s="106"/>
      <c r="P681" s="106"/>
      <c r="Q681" s="60" t="s">
        <v>3297</v>
      </c>
      <c r="R681" s="60"/>
      <c r="S681" s="60"/>
      <c r="T681" s="60"/>
      <c r="U681" s="60"/>
      <c r="V681" s="60"/>
      <c r="W681" s="60"/>
      <c r="X681" s="60"/>
      <c r="Y681" s="60"/>
      <c r="Z681" s="61"/>
      <c r="AA681" s="61"/>
      <c r="AB681" s="61"/>
      <c r="AC681" s="61"/>
      <c r="AD681" s="218"/>
      <c r="AE681" s="61"/>
      <c r="AF681" s="61"/>
      <c r="AG681" s="61"/>
      <c r="AH681" s="61"/>
      <c r="AI681" s="61"/>
      <c r="AJ681" s="61"/>
    </row>
    <row r="682" spans="1:36" ht="15" hidden="1" customHeight="1">
      <c r="A682" s="60">
        <v>682</v>
      </c>
      <c r="B682" s="60" t="s">
        <v>26</v>
      </c>
      <c r="C682" s="60" t="s">
        <v>27</v>
      </c>
      <c r="D682" s="60" t="s">
        <v>207</v>
      </c>
      <c r="E682" s="60" t="s">
        <v>3823</v>
      </c>
      <c r="F682" s="60" t="s">
        <v>318</v>
      </c>
      <c r="G682" s="105">
        <v>4</v>
      </c>
      <c r="H682" s="212" t="s">
        <v>3824</v>
      </c>
      <c r="I682" s="105" t="s">
        <v>260</v>
      </c>
      <c r="J682" s="60" t="s">
        <v>2751</v>
      </c>
      <c r="K682" s="106">
        <v>46204.487523148149</v>
      </c>
      <c r="L682" s="106">
        <v>46204.521956018521</v>
      </c>
      <c r="M682" s="106">
        <v>46204.561180555553</v>
      </c>
      <c r="N682" s="106"/>
      <c r="O682" s="106"/>
      <c r="P682" s="106"/>
      <c r="Q682" s="60"/>
      <c r="R682" s="60"/>
      <c r="S682" s="60"/>
      <c r="T682" s="60"/>
      <c r="U682" s="60"/>
      <c r="V682" s="60"/>
      <c r="W682" s="60"/>
      <c r="X682" s="60"/>
      <c r="Y682" s="60"/>
      <c r="Z682" s="61"/>
      <c r="AA682" s="61"/>
      <c r="AB682" s="61"/>
      <c r="AC682" s="61"/>
      <c r="AD682" s="218"/>
      <c r="AE682" s="61"/>
      <c r="AF682" s="61"/>
      <c r="AG682" s="61"/>
      <c r="AH682" s="61"/>
      <c r="AI682" s="61"/>
      <c r="AJ682" s="61"/>
    </row>
    <row r="683" spans="1:36" ht="15" customHeight="1">
      <c r="A683" s="60">
        <v>683</v>
      </c>
      <c r="B683" s="60" t="s">
        <v>26</v>
      </c>
      <c r="C683" s="60" t="s">
        <v>54</v>
      </c>
      <c r="D683" s="60" t="s">
        <v>207</v>
      </c>
      <c r="E683" s="60" t="s">
        <v>3825</v>
      </c>
      <c r="F683" s="60" t="s">
        <v>53</v>
      </c>
      <c r="G683" s="105">
        <v>4</v>
      </c>
      <c r="H683" s="212" t="s">
        <v>3826</v>
      </c>
      <c r="I683" s="105" t="s">
        <v>260</v>
      </c>
      <c r="J683" s="291" t="s">
        <v>2708</v>
      </c>
      <c r="K683" s="106">
        <v>46204.550104166665</v>
      </c>
      <c r="L683" s="62">
        <v>46204.550104166665</v>
      </c>
      <c r="M683" s="62">
        <v>46204.564502314817</v>
      </c>
      <c r="N683" s="106"/>
      <c r="O683" s="106"/>
      <c r="P683" s="106"/>
      <c r="Q683" s="60"/>
      <c r="R683" s="60"/>
      <c r="S683" s="60"/>
      <c r="T683" s="60"/>
      <c r="U683" s="60"/>
      <c r="V683" s="60"/>
      <c r="W683" s="60"/>
      <c r="X683" s="60"/>
      <c r="Y683" s="60"/>
      <c r="Z683" s="61"/>
      <c r="AA683" s="61"/>
      <c r="AB683" s="61"/>
      <c r="AC683" s="61"/>
      <c r="AD683" s="218"/>
      <c r="AE683" s="61"/>
      <c r="AF683" s="61"/>
      <c r="AG683" s="61"/>
      <c r="AH683" s="61"/>
      <c r="AI683" s="61"/>
      <c r="AJ683" s="61"/>
    </row>
    <row r="684" spans="1:36" ht="15" customHeight="1">
      <c r="A684" s="60">
        <v>684</v>
      </c>
      <c r="B684" s="60" t="s">
        <v>26</v>
      </c>
      <c r="C684" s="60" t="s">
        <v>54</v>
      </c>
      <c r="D684" s="60" t="s">
        <v>207</v>
      </c>
      <c r="E684" s="60" t="s">
        <v>3827</v>
      </c>
      <c r="F684" s="60" t="s">
        <v>53</v>
      </c>
      <c r="G684" s="105">
        <v>4</v>
      </c>
      <c r="H684" s="212" t="s">
        <v>3828</v>
      </c>
      <c r="I684" s="105" t="s">
        <v>275</v>
      </c>
      <c r="J684" s="291" t="s">
        <v>2697</v>
      </c>
      <c r="K684" s="106">
        <v>46204.564930555556</v>
      </c>
      <c r="L684" s="62">
        <v>46204.564942129633</v>
      </c>
      <c r="M684" s="62">
        <v>46204.569722222222</v>
      </c>
      <c r="N684" s="62">
        <v>46205.27789351852</v>
      </c>
      <c r="O684" s="106"/>
      <c r="P684" s="106"/>
      <c r="Q684" s="60"/>
      <c r="R684" s="60"/>
      <c r="S684" s="60"/>
      <c r="T684" s="60"/>
      <c r="U684" s="60"/>
      <c r="V684" s="60"/>
      <c r="W684" s="60"/>
      <c r="X684" s="60"/>
      <c r="Y684" s="60"/>
      <c r="Z684" s="61"/>
      <c r="AA684" s="61"/>
      <c r="AB684" s="61"/>
      <c r="AC684" s="61"/>
      <c r="AD684" s="218"/>
      <c r="AE684" s="61"/>
      <c r="AF684" s="61"/>
      <c r="AG684" s="61"/>
      <c r="AH684" s="61"/>
      <c r="AI684" s="61"/>
      <c r="AJ684" s="61"/>
    </row>
    <row r="685" spans="1:36" ht="15" hidden="1" customHeight="1">
      <c r="A685" s="60">
        <v>685</v>
      </c>
      <c r="B685" s="60" t="s">
        <v>26</v>
      </c>
      <c r="C685" s="60" t="s">
        <v>27</v>
      </c>
      <c r="D685" s="60" t="s">
        <v>207</v>
      </c>
      <c r="E685" s="60" t="s">
        <v>3829</v>
      </c>
      <c r="F685" s="60" t="s">
        <v>318</v>
      </c>
      <c r="G685" s="105">
        <v>3</v>
      </c>
      <c r="H685" s="212" t="s">
        <v>2707</v>
      </c>
      <c r="I685" s="105" t="s">
        <v>260</v>
      </c>
      <c r="J685" s="60" t="s">
        <v>2708</v>
      </c>
      <c r="K685" s="62">
        <v>46204.607418981483</v>
      </c>
      <c r="L685" s="62">
        <v>46204.607453703706</v>
      </c>
      <c r="M685" s="62">
        <v>46205.24391203704</v>
      </c>
      <c r="N685" s="106"/>
      <c r="O685" s="106"/>
      <c r="P685" s="106"/>
      <c r="Q685" s="60"/>
      <c r="R685" s="60"/>
      <c r="S685" s="60"/>
      <c r="T685" s="60"/>
      <c r="U685" s="60"/>
      <c r="V685" s="60"/>
      <c r="W685" s="60"/>
      <c r="X685" s="60"/>
      <c r="Y685" s="60"/>
      <c r="Z685" s="61"/>
      <c r="AA685" s="61"/>
      <c r="AB685" s="61"/>
      <c r="AC685" s="61"/>
      <c r="AD685" s="218"/>
      <c r="AE685" s="61"/>
      <c r="AF685" s="61"/>
      <c r="AG685" s="61"/>
      <c r="AH685" s="61"/>
      <c r="AI685" s="61"/>
      <c r="AJ685" s="61"/>
    </row>
    <row r="686" spans="1:36" ht="15" customHeight="1">
      <c r="A686" s="60">
        <v>686</v>
      </c>
      <c r="B686" s="60" t="s">
        <v>26</v>
      </c>
      <c r="C686" s="60" t="s">
        <v>54</v>
      </c>
      <c r="D686" s="60" t="s">
        <v>207</v>
      </c>
      <c r="E686" s="219" t="s">
        <v>3830</v>
      </c>
      <c r="F686" s="60" t="s">
        <v>53</v>
      </c>
      <c r="G686" s="105">
        <v>3</v>
      </c>
      <c r="H686" s="212" t="s">
        <v>2842</v>
      </c>
      <c r="I686" s="105" t="s">
        <v>275</v>
      </c>
      <c r="J686" s="291" t="s">
        <v>2697</v>
      </c>
      <c r="K686" s="106">
        <v>46204.855011574073</v>
      </c>
      <c r="L686" s="62">
        <v>46204.855023148149</v>
      </c>
      <c r="M686" s="62">
        <v>46205.212118055555</v>
      </c>
      <c r="N686" s="62">
        <v>46205.27921296296</v>
      </c>
      <c r="O686" s="106"/>
      <c r="P686" s="106"/>
      <c r="Q686" s="60" t="s">
        <v>2816</v>
      </c>
      <c r="R686" s="60"/>
      <c r="S686" s="60"/>
      <c r="T686" s="60"/>
      <c r="U686" s="60"/>
      <c r="V686" s="60"/>
      <c r="W686" s="60"/>
      <c r="X686" s="60"/>
      <c r="Y686" s="60"/>
      <c r="Z686" s="61"/>
      <c r="AA686" s="61"/>
      <c r="AB686" s="61"/>
      <c r="AC686" s="61"/>
      <c r="AD686" s="218"/>
      <c r="AE686" s="61"/>
      <c r="AF686" s="61"/>
      <c r="AG686" s="61"/>
      <c r="AH686" s="61"/>
      <c r="AI686" s="61"/>
      <c r="AJ686" s="61"/>
    </row>
    <row r="687" spans="1:36" ht="15" customHeight="1">
      <c r="A687" s="60">
        <v>687</v>
      </c>
      <c r="B687" s="60" t="s">
        <v>26</v>
      </c>
      <c r="C687" s="60" t="s">
        <v>54</v>
      </c>
      <c r="D687" s="60" t="s">
        <v>207</v>
      </c>
      <c r="E687" s="219" t="s">
        <v>3831</v>
      </c>
      <c r="F687" s="60" t="s">
        <v>336</v>
      </c>
      <c r="G687" s="105">
        <v>4</v>
      </c>
      <c r="H687" s="212" t="s">
        <v>3832</v>
      </c>
      <c r="I687" s="105" t="s">
        <v>266</v>
      </c>
      <c r="J687" s="291" t="s">
        <v>2694</v>
      </c>
      <c r="K687" s="106">
        <v>46204.899594907409</v>
      </c>
      <c r="L687" s="62">
        <v>46204.903483796297</v>
      </c>
      <c r="M687" s="62">
        <v>46205.213078703702</v>
      </c>
      <c r="N687" s="106"/>
      <c r="O687" s="106"/>
      <c r="P687" s="106"/>
      <c r="Q687" s="60" t="s">
        <v>3833</v>
      </c>
      <c r="R687" s="60"/>
      <c r="S687" s="60"/>
      <c r="T687" s="60"/>
      <c r="U687" s="60"/>
      <c r="V687" s="60"/>
      <c r="W687" s="60"/>
      <c r="X687" s="60"/>
      <c r="Y687" s="60"/>
      <c r="Z687" s="61"/>
      <c r="AA687" s="61"/>
      <c r="AB687" s="61"/>
      <c r="AC687" s="61"/>
      <c r="AD687" s="218"/>
      <c r="AE687" s="61"/>
      <c r="AF687" s="61"/>
      <c r="AG687" s="61"/>
      <c r="AH687" s="61"/>
      <c r="AI687" s="61"/>
      <c r="AJ687" s="61"/>
    </row>
    <row r="688" spans="1:36" ht="15" customHeight="1">
      <c r="A688" s="60">
        <v>688</v>
      </c>
      <c r="B688" s="60" t="s">
        <v>26</v>
      </c>
      <c r="C688" s="60" t="s">
        <v>54</v>
      </c>
      <c r="D688" s="60" t="s">
        <v>207</v>
      </c>
      <c r="E688" s="219" t="s">
        <v>3651</v>
      </c>
      <c r="F688" s="60" t="s">
        <v>53</v>
      </c>
      <c r="G688" s="105">
        <v>4</v>
      </c>
      <c r="H688" s="212" t="s">
        <v>3652</v>
      </c>
      <c r="I688" s="105" t="s">
        <v>260</v>
      </c>
      <c r="J688" s="291" t="s">
        <v>2708</v>
      </c>
      <c r="K688" s="106">
        <v>46197.073298611111</v>
      </c>
      <c r="L688" s="62">
        <v>46204.886874999997</v>
      </c>
      <c r="M688" s="62">
        <v>46205.224062499998</v>
      </c>
      <c r="N688" s="106"/>
      <c r="O688" s="106"/>
      <c r="P688" s="106"/>
      <c r="Q688" s="60" t="s">
        <v>3441</v>
      </c>
      <c r="R688" s="60"/>
      <c r="S688" s="60"/>
      <c r="T688" s="60"/>
      <c r="U688" s="60"/>
      <c r="V688" s="60"/>
      <c r="W688" s="60"/>
      <c r="X688" s="60"/>
      <c r="Y688" s="60"/>
      <c r="Z688" s="61"/>
      <c r="AA688" s="61"/>
      <c r="AB688" s="61"/>
      <c r="AC688" s="61"/>
      <c r="AD688" s="218"/>
      <c r="AE688" s="61"/>
      <c r="AF688" s="61"/>
      <c r="AG688" s="61"/>
      <c r="AH688" s="61"/>
      <c r="AI688" s="61"/>
      <c r="AJ688" s="61"/>
    </row>
    <row r="689" spans="1:36" ht="15" hidden="1" customHeight="1">
      <c r="A689" s="60">
        <v>689</v>
      </c>
      <c r="B689" s="60" t="s">
        <v>26</v>
      </c>
      <c r="C689" s="60" t="s">
        <v>27</v>
      </c>
      <c r="D689" s="60" t="s">
        <v>208</v>
      </c>
      <c r="E689" s="60" t="s">
        <v>3834</v>
      </c>
      <c r="F689" s="60" t="s">
        <v>318</v>
      </c>
      <c r="G689" s="105" t="s">
        <v>208</v>
      </c>
      <c r="H689" s="212" t="s">
        <v>3835</v>
      </c>
      <c r="I689" s="105" t="s">
        <v>260</v>
      </c>
      <c r="J689" s="60" t="s">
        <v>2700</v>
      </c>
      <c r="K689" s="62">
        <v>46204.642708333333</v>
      </c>
      <c r="L689" s="62">
        <v>46204.642731481479</v>
      </c>
      <c r="M689" s="62">
        <v>46205.251875000002</v>
      </c>
      <c r="N689" s="106"/>
      <c r="O689" s="106"/>
      <c r="P689" s="106"/>
      <c r="Q689" s="60"/>
      <c r="R689" s="60"/>
      <c r="S689" s="60"/>
      <c r="T689" s="60"/>
      <c r="U689" s="60"/>
      <c r="V689" s="60"/>
      <c r="W689" s="60"/>
      <c r="X689" s="60"/>
      <c r="Y689" s="60"/>
      <c r="Z689" s="61"/>
      <c r="AA689" s="61"/>
      <c r="AB689" s="61"/>
      <c r="AC689" s="61"/>
      <c r="AD689" s="218"/>
      <c r="AE689" s="61"/>
      <c r="AF689" s="61"/>
      <c r="AG689" s="61"/>
      <c r="AH689" s="61"/>
      <c r="AI689" s="61"/>
      <c r="AJ689" s="61"/>
    </row>
    <row r="690" spans="1:36" ht="15" hidden="1" customHeight="1">
      <c r="A690" s="60">
        <v>690</v>
      </c>
      <c r="B690" s="60" t="s">
        <v>26</v>
      </c>
      <c r="C690" s="60" t="s">
        <v>27</v>
      </c>
      <c r="D690" s="60" t="s">
        <v>207</v>
      </c>
      <c r="E690" s="60" t="s">
        <v>3836</v>
      </c>
      <c r="F690" s="60" t="s">
        <v>318</v>
      </c>
      <c r="G690" s="105">
        <v>3</v>
      </c>
      <c r="H690" s="212" t="s">
        <v>3837</v>
      </c>
      <c r="I690" s="105" t="s">
        <v>260</v>
      </c>
      <c r="J690" s="60" t="s">
        <v>3015</v>
      </c>
      <c r="K690" s="62">
        <v>46204.989733796298</v>
      </c>
      <c r="L690" s="62">
        <v>46204.98982638889</v>
      </c>
      <c r="M690" s="62">
        <v>46205.255601851852</v>
      </c>
      <c r="N690" s="106"/>
      <c r="O690" s="106"/>
      <c r="P690" s="106"/>
      <c r="Q690" s="60"/>
      <c r="R690" s="60"/>
      <c r="S690" s="60"/>
      <c r="T690" s="60"/>
      <c r="U690" s="60"/>
      <c r="V690" s="60"/>
      <c r="W690" s="60"/>
      <c r="X690" s="60"/>
      <c r="Y690" s="60"/>
      <c r="Z690" s="61"/>
      <c r="AA690" s="61"/>
      <c r="AB690" s="61"/>
      <c r="AC690" s="61"/>
      <c r="AD690" s="218"/>
      <c r="AE690" s="61"/>
      <c r="AF690" s="61"/>
      <c r="AG690" s="61"/>
      <c r="AH690" s="61"/>
      <c r="AI690" s="61"/>
      <c r="AJ690" s="61"/>
    </row>
    <row r="691" spans="1:36" ht="15" customHeight="1">
      <c r="A691" s="60">
        <v>691</v>
      </c>
      <c r="B691" s="60" t="s">
        <v>26</v>
      </c>
      <c r="C691" s="60" t="s">
        <v>27</v>
      </c>
      <c r="D691" s="60" t="s">
        <v>207</v>
      </c>
      <c r="E691" s="60" t="s">
        <v>3838</v>
      </c>
      <c r="F691" s="60" t="s">
        <v>53</v>
      </c>
      <c r="G691" s="105">
        <v>3</v>
      </c>
      <c r="H691" s="212" t="s">
        <v>3839</v>
      </c>
      <c r="I691" s="105" t="s">
        <v>275</v>
      </c>
      <c r="J691" s="291"/>
      <c r="K691" s="62">
        <v>46205.147870370369</v>
      </c>
      <c r="L691" s="62">
        <v>46205.147928240738</v>
      </c>
      <c r="M691" s="62">
        <v>46205.259953703702</v>
      </c>
      <c r="N691" s="106"/>
      <c r="O691" s="106"/>
      <c r="P691" s="106"/>
      <c r="Q691" s="60"/>
      <c r="R691" s="60"/>
      <c r="S691" s="60"/>
      <c r="T691" s="60"/>
      <c r="U691" s="60"/>
      <c r="V691" s="60"/>
      <c r="W691" s="60"/>
      <c r="X691" s="60"/>
      <c r="Y691" s="60"/>
      <c r="Z691" s="61"/>
      <c r="AA691" s="61"/>
      <c r="AB691" s="61"/>
      <c r="AC691" s="61"/>
      <c r="AD691" s="218"/>
      <c r="AE691" s="61"/>
      <c r="AF691" s="61"/>
      <c r="AG691" s="61"/>
      <c r="AH691" s="61"/>
      <c r="AI691" s="61"/>
      <c r="AJ691" s="61"/>
    </row>
    <row r="692" spans="1:36" ht="15" hidden="1" customHeight="1">
      <c r="A692" s="60">
        <v>692</v>
      </c>
      <c r="B692" s="60" t="s">
        <v>26</v>
      </c>
      <c r="C692" s="60" t="s">
        <v>27</v>
      </c>
      <c r="D692" s="60" t="s">
        <v>207</v>
      </c>
      <c r="E692" s="60" t="s">
        <v>3840</v>
      </c>
      <c r="F692" s="60" t="s">
        <v>318</v>
      </c>
      <c r="G692" s="105">
        <v>3</v>
      </c>
      <c r="H692" s="212" t="s">
        <v>3841</v>
      </c>
      <c r="I692" s="105" t="s">
        <v>260</v>
      </c>
      <c r="J692" s="60" t="s">
        <v>2703</v>
      </c>
      <c r="K692" s="62">
        <v>46205.014675925922</v>
      </c>
      <c r="L692" s="62">
        <v>46205.01494212963</v>
      </c>
      <c r="M692" s="219" t="s">
        <v>3842</v>
      </c>
      <c r="N692" s="106"/>
      <c r="O692" s="106"/>
      <c r="P692" s="106"/>
      <c r="Q692" s="60"/>
      <c r="R692" s="60"/>
      <c r="S692" s="60"/>
      <c r="T692" s="60"/>
      <c r="U692" s="60"/>
      <c r="V692" s="60"/>
      <c r="W692" s="60"/>
      <c r="X692" s="60"/>
      <c r="Y692" s="60"/>
      <c r="Z692" s="61"/>
      <c r="AA692" s="61"/>
      <c r="AB692" s="61"/>
      <c r="AC692" s="61"/>
      <c r="AD692" s="218"/>
      <c r="AE692" s="61"/>
      <c r="AF692" s="61"/>
      <c r="AG692" s="61"/>
      <c r="AH692" s="61"/>
      <c r="AI692" s="61"/>
      <c r="AJ692" s="61"/>
    </row>
    <row r="693" spans="1:36" ht="15" hidden="1" customHeight="1">
      <c r="A693" s="60">
        <v>693</v>
      </c>
      <c r="B693" s="60" t="s">
        <v>26</v>
      </c>
      <c r="C693" s="60" t="s">
        <v>27</v>
      </c>
      <c r="D693" s="60" t="s">
        <v>207</v>
      </c>
      <c r="E693" s="60" t="s">
        <v>3843</v>
      </c>
      <c r="F693" s="60" t="s">
        <v>318</v>
      </c>
      <c r="G693" s="105">
        <v>3</v>
      </c>
      <c r="H693" s="212" t="s">
        <v>3844</v>
      </c>
      <c r="I693" s="105" t="s">
        <v>260</v>
      </c>
      <c r="J693" s="62" t="s">
        <v>2714</v>
      </c>
      <c r="K693" s="62">
        <v>46205.309386574074</v>
      </c>
      <c r="L693" s="62">
        <v>46205.309618055559</v>
      </c>
      <c r="M693" s="62">
        <v>46205.317187499997</v>
      </c>
      <c r="N693" s="106"/>
      <c r="O693" s="106"/>
      <c r="P693" s="106"/>
      <c r="Q693" s="60"/>
      <c r="R693" s="60"/>
      <c r="S693" s="60"/>
      <c r="T693" s="60"/>
      <c r="U693" s="60"/>
      <c r="V693" s="60"/>
      <c r="W693" s="60"/>
      <c r="X693" s="60"/>
      <c r="Y693" s="60"/>
      <c r="Z693" s="61"/>
      <c r="AA693" s="61"/>
      <c r="AB693" s="61"/>
      <c r="AC693" s="61"/>
      <c r="AD693" s="218"/>
      <c r="AE693" s="61"/>
      <c r="AF693" s="61"/>
      <c r="AG693" s="61"/>
      <c r="AH693" s="61"/>
      <c r="AI693" s="61"/>
      <c r="AJ693" s="61"/>
    </row>
    <row r="694" spans="1:36" ht="15" customHeight="1">
      <c r="A694" s="60">
        <v>694</v>
      </c>
      <c r="B694" s="60" t="s">
        <v>26</v>
      </c>
      <c r="C694" s="60" t="s">
        <v>54</v>
      </c>
      <c r="D694" s="60" t="s">
        <v>207</v>
      </c>
      <c r="E694" s="60" t="s">
        <v>3838</v>
      </c>
      <c r="F694" s="60" t="s">
        <v>53</v>
      </c>
      <c r="G694" s="105">
        <v>3</v>
      </c>
      <c r="H694" s="212" t="s">
        <v>3839</v>
      </c>
      <c r="I694" s="105" t="s">
        <v>260</v>
      </c>
      <c r="J694" s="291" t="s">
        <v>2703</v>
      </c>
      <c r="K694" s="62">
        <v>46205.147870370369</v>
      </c>
      <c r="L694" s="62">
        <v>46205.259953703702</v>
      </c>
      <c r="M694" s="62">
        <v>46205.327407407407</v>
      </c>
      <c r="N694" s="106"/>
      <c r="O694" s="106"/>
      <c r="P694" s="106"/>
      <c r="Q694" s="60"/>
      <c r="R694" s="60"/>
      <c r="S694" s="60"/>
      <c r="T694" s="60"/>
      <c r="U694" s="60"/>
      <c r="V694" s="60"/>
      <c r="W694" s="60"/>
      <c r="X694" s="60"/>
      <c r="Y694" s="60"/>
      <c r="Z694" s="61"/>
      <c r="AA694" s="61"/>
      <c r="AB694" s="61"/>
      <c r="AC694" s="61"/>
      <c r="AD694" s="218"/>
      <c r="AE694" s="61"/>
      <c r="AF694" s="61"/>
      <c r="AG694" s="61"/>
      <c r="AH694" s="61"/>
      <c r="AI694" s="61"/>
      <c r="AJ694" s="61"/>
    </row>
    <row r="695" spans="1:36" ht="15" hidden="1" customHeight="1">
      <c r="A695" s="60">
        <v>695</v>
      </c>
      <c r="B695" s="60" t="s">
        <v>26</v>
      </c>
      <c r="C695" s="60" t="s">
        <v>54</v>
      </c>
      <c r="D695" s="60" t="s">
        <v>207</v>
      </c>
      <c r="E695" s="60" t="s">
        <v>3845</v>
      </c>
      <c r="F695" s="60" t="s">
        <v>318</v>
      </c>
      <c r="G695" s="105">
        <v>4</v>
      </c>
      <c r="H695" s="212" t="s">
        <v>3846</v>
      </c>
      <c r="I695" s="105" t="s">
        <v>260</v>
      </c>
      <c r="J695" s="60" t="s">
        <v>2827</v>
      </c>
      <c r="K695" s="62">
        <v>46205.328541666669</v>
      </c>
      <c r="L695" s="62">
        <v>46205.328599537039</v>
      </c>
      <c r="M695" s="62">
        <v>46205.339826388888</v>
      </c>
      <c r="N695" s="106"/>
      <c r="O695" s="106"/>
      <c r="P695" s="106"/>
      <c r="Q695" s="60"/>
      <c r="R695" s="60"/>
      <c r="S695" s="60"/>
      <c r="T695" s="60"/>
      <c r="U695" s="60"/>
      <c r="V695" s="60"/>
      <c r="W695" s="60"/>
      <c r="X695" s="60"/>
      <c r="Y695" s="60"/>
      <c r="Z695" s="61"/>
      <c r="AA695" s="61"/>
      <c r="AB695" s="61"/>
      <c r="AC695" s="61"/>
      <c r="AD695" s="218"/>
      <c r="AE695" s="61"/>
      <c r="AF695" s="61"/>
      <c r="AG695" s="61"/>
      <c r="AH695" s="61"/>
      <c r="AI695" s="61"/>
      <c r="AJ695" s="61"/>
    </row>
    <row r="696" spans="1:36" ht="15" customHeight="1">
      <c r="A696" s="60">
        <v>696</v>
      </c>
      <c r="B696" s="60" t="s">
        <v>26</v>
      </c>
      <c r="C696" s="60" t="s">
        <v>54</v>
      </c>
      <c r="D696" s="60" t="s">
        <v>207</v>
      </c>
      <c r="E696" s="60" t="s">
        <v>3847</v>
      </c>
      <c r="F696" s="60" t="s">
        <v>53</v>
      </c>
      <c r="G696" s="105">
        <v>3</v>
      </c>
      <c r="H696" s="212" t="s">
        <v>3848</v>
      </c>
      <c r="I696" s="105" t="s">
        <v>260</v>
      </c>
      <c r="J696" s="291" t="s">
        <v>2708</v>
      </c>
      <c r="K696" s="106">
        <v>46205.338009259256</v>
      </c>
      <c r="L696" s="62">
        <v>46205.338009259256</v>
      </c>
      <c r="M696" s="62">
        <v>46205.406631944446</v>
      </c>
      <c r="N696" s="106"/>
      <c r="O696" s="106"/>
      <c r="P696" s="106"/>
      <c r="Q696" s="60"/>
      <c r="R696" s="60"/>
      <c r="S696" s="60"/>
      <c r="T696" s="60"/>
      <c r="U696" s="60"/>
      <c r="V696" s="60"/>
      <c r="W696" s="60"/>
      <c r="X696" s="60"/>
      <c r="Y696" s="60"/>
      <c r="Z696" s="61"/>
      <c r="AA696" s="61"/>
      <c r="AB696" s="61"/>
      <c r="AC696" s="61"/>
      <c r="AD696" s="218"/>
      <c r="AE696" s="61"/>
      <c r="AF696" s="61"/>
      <c r="AG696" s="61"/>
      <c r="AH696" s="61"/>
      <c r="AI696" s="61"/>
      <c r="AJ696" s="61"/>
    </row>
    <row r="697" spans="1:36" ht="15" customHeight="1">
      <c r="A697" s="60">
        <v>697</v>
      </c>
      <c r="B697" s="60" t="s">
        <v>26</v>
      </c>
      <c r="C697" s="60" t="s">
        <v>54</v>
      </c>
      <c r="D697" s="60" t="s">
        <v>207</v>
      </c>
      <c r="E697" s="60" t="s">
        <v>3849</v>
      </c>
      <c r="F697" s="60" t="s">
        <v>53</v>
      </c>
      <c r="G697" s="105">
        <v>3</v>
      </c>
      <c r="H697" s="212" t="s">
        <v>3850</v>
      </c>
      <c r="I697" s="105" t="s">
        <v>260</v>
      </c>
      <c r="J697" s="291" t="s">
        <v>2703</v>
      </c>
      <c r="K697" s="106">
        <v>46205.344212962962</v>
      </c>
      <c r="L697" s="62">
        <v>46205.344224537039</v>
      </c>
      <c r="M697" s="62">
        <v>46205.40865740741</v>
      </c>
      <c r="N697" s="106"/>
      <c r="O697" s="106"/>
      <c r="P697" s="106"/>
      <c r="Q697" s="60"/>
      <c r="R697" s="60"/>
      <c r="S697" s="60"/>
      <c r="T697" s="60"/>
      <c r="U697" s="60"/>
      <c r="V697" s="60"/>
      <c r="W697" s="60"/>
      <c r="X697" s="60"/>
      <c r="Y697" s="60"/>
      <c r="Z697" s="61"/>
      <c r="AA697" s="61"/>
      <c r="AB697" s="61"/>
      <c r="AC697" s="61"/>
      <c r="AD697" s="218"/>
      <c r="AE697" s="61"/>
      <c r="AF697" s="61"/>
      <c r="AG697" s="61"/>
      <c r="AH697" s="61"/>
      <c r="AI697" s="61"/>
      <c r="AJ697" s="61"/>
    </row>
    <row r="698" spans="1:36" ht="15" customHeight="1">
      <c r="A698" s="60">
        <v>698</v>
      </c>
      <c r="B698" s="60" t="s">
        <v>26</v>
      </c>
      <c r="C698" s="60" t="s">
        <v>54</v>
      </c>
      <c r="D698" s="60" t="s">
        <v>207</v>
      </c>
      <c r="E698" s="60" t="s">
        <v>3851</v>
      </c>
      <c r="F698" s="60" t="s">
        <v>53</v>
      </c>
      <c r="G698" s="105">
        <v>3</v>
      </c>
      <c r="H698" s="212" t="s">
        <v>2842</v>
      </c>
      <c r="I698" s="105" t="s">
        <v>271</v>
      </c>
      <c r="J698" s="291" t="s">
        <v>2697</v>
      </c>
      <c r="K698" s="106">
        <v>46204.855011574073</v>
      </c>
      <c r="L698" s="62">
        <v>46205.397129629629</v>
      </c>
      <c r="M698" s="62">
        <v>46205.409930555557</v>
      </c>
      <c r="N698" s="166">
        <v>46211.235671296294</v>
      </c>
      <c r="O698" s="106"/>
      <c r="P698" s="106"/>
      <c r="Q698" s="60"/>
      <c r="R698" s="60"/>
      <c r="S698" s="60"/>
      <c r="T698" s="60"/>
      <c r="U698" s="60"/>
      <c r="V698" s="60"/>
      <c r="W698" s="60"/>
      <c r="X698" s="60"/>
      <c r="Y698" s="60"/>
      <c r="Z698" s="61"/>
      <c r="AA698" s="61"/>
      <c r="AB698" s="61"/>
      <c r="AC698" s="61"/>
      <c r="AD698" s="218"/>
      <c r="AE698" s="61"/>
      <c r="AF698" s="61"/>
      <c r="AG698" s="61"/>
      <c r="AH698" s="61"/>
      <c r="AI698" s="61"/>
      <c r="AJ698" s="61"/>
    </row>
    <row r="699" spans="1:36" ht="15" customHeight="1">
      <c r="A699" s="60">
        <v>699</v>
      </c>
      <c r="B699" s="60" t="s">
        <v>26</v>
      </c>
      <c r="C699" s="60" t="s">
        <v>54</v>
      </c>
      <c r="D699" s="60" t="s">
        <v>207</v>
      </c>
      <c r="E699" s="60" t="s">
        <v>3852</v>
      </c>
      <c r="F699" s="60" t="s">
        <v>53</v>
      </c>
      <c r="G699" s="105">
        <v>4</v>
      </c>
      <c r="H699" s="212" t="s">
        <v>3853</v>
      </c>
      <c r="I699" s="105" t="s">
        <v>260</v>
      </c>
      <c r="J699" s="291" t="s">
        <v>3852</v>
      </c>
      <c r="K699" s="106">
        <v>46205.397986111115</v>
      </c>
      <c r="L699" s="62">
        <v>46205.397986111115</v>
      </c>
      <c r="M699" s="62">
        <v>46205.416238425925</v>
      </c>
      <c r="N699" s="106"/>
      <c r="O699" s="106"/>
      <c r="P699" s="106"/>
      <c r="Q699" s="60"/>
      <c r="R699" s="60"/>
      <c r="S699" s="60"/>
      <c r="T699" s="60"/>
      <c r="U699" s="60"/>
      <c r="V699" s="60"/>
      <c r="W699" s="60"/>
      <c r="X699" s="60"/>
      <c r="Y699" s="60"/>
      <c r="Z699" s="61"/>
      <c r="AA699" s="61"/>
      <c r="AB699" s="61"/>
      <c r="AC699" s="61"/>
      <c r="AD699" s="218"/>
      <c r="AE699" s="61"/>
      <c r="AF699" s="61"/>
      <c r="AG699" s="61"/>
      <c r="AH699" s="61"/>
      <c r="AI699" s="61"/>
      <c r="AJ699" s="61"/>
    </row>
    <row r="700" spans="1:36" ht="15" hidden="1" customHeight="1">
      <c r="A700" s="60">
        <v>700</v>
      </c>
      <c r="B700" s="60" t="s">
        <v>26</v>
      </c>
      <c r="C700" s="60" t="s">
        <v>27</v>
      </c>
      <c r="D700" s="60" t="s">
        <v>207</v>
      </c>
      <c r="E700" s="60" t="s">
        <v>3854</v>
      </c>
      <c r="F700" s="60" t="s">
        <v>318</v>
      </c>
      <c r="G700" s="105">
        <v>3</v>
      </c>
      <c r="H700" s="212" t="s">
        <v>3855</v>
      </c>
      <c r="I700" s="105" t="s">
        <v>260</v>
      </c>
      <c r="J700" s="60" t="s">
        <v>2714</v>
      </c>
      <c r="K700" s="62">
        <v>46205.526875000003</v>
      </c>
      <c r="L700" s="62">
        <v>46205.527071759258</v>
      </c>
      <c r="M700" s="62">
        <v>46205.569803240738</v>
      </c>
      <c r="N700" s="106"/>
      <c r="O700" s="106"/>
      <c r="P700" s="106"/>
      <c r="Q700" s="60"/>
      <c r="R700" s="60"/>
      <c r="S700" s="60"/>
      <c r="T700" s="60"/>
      <c r="U700" s="60"/>
      <c r="V700" s="60"/>
      <c r="W700" s="60"/>
      <c r="X700" s="60"/>
      <c r="Y700" s="60"/>
      <c r="Z700" s="61"/>
      <c r="AA700" s="61"/>
      <c r="AB700" s="61"/>
      <c r="AC700" s="61"/>
      <c r="AD700" s="218"/>
      <c r="AE700" s="61"/>
      <c r="AF700" s="61"/>
      <c r="AG700" s="61"/>
      <c r="AH700" s="61"/>
      <c r="AI700" s="61"/>
      <c r="AJ700" s="61"/>
    </row>
    <row r="701" spans="1:36" ht="15" customHeight="1">
      <c r="A701" s="60">
        <v>701</v>
      </c>
      <c r="B701" s="60" t="s">
        <v>26</v>
      </c>
      <c r="C701" s="60" t="s">
        <v>54</v>
      </c>
      <c r="D701" s="60" t="s">
        <v>207</v>
      </c>
      <c r="E701" s="219" t="s">
        <v>3856</v>
      </c>
      <c r="F701" s="60" t="s">
        <v>336</v>
      </c>
      <c r="G701" s="105">
        <v>4</v>
      </c>
      <c r="H701" s="212" t="s">
        <v>3857</v>
      </c>
      <c r="I701" s="105" t="s">
        <v>260</v>
      </c>
      <c r="J701" s="291" t="s">
        <v>2700</v>
      </c>
      <c r="K701" s="106">
        <v>46205.473067129627</v>
      </c>
      <c r="L701" s="62">
        <v>46205.473067129627</v>
      </c>
      <c r="M701" s="62">
        <v>46205.476724537039</v>
      </c>
      <c r="N701" s="106"/>
      <c r="O701" s="106"/>
      <c r="P701" s="106"/>
      <c r="Q701" s="60"/>
      <c r="R701" s="60"/>
      <c r="S701" s="60"/>
      <c r="T701" s="60"/>
      <c r="U701" s="60"/>
      <c r="V701" s="60"/>
      <c r="W701" s="60"/>
      <c r="X701" s="60"/>
      <c r="Y701" s="60"/>
      <c r="Z701" s="61"/>
      <c r="AA701" s="61"/>
      <c r="AB701" s="61"/>
      <c r="AC701" s="61"/>
      <c r="AD701" s="218"/>
      <c r="AE701" s="61"/>
      <c r="AF701" s="61"/>
      <c r="AG701" s="61"/>
      <c r="AH701" s="61"/>
      <c r="AI701" s="61"/>
      <c r="AJ701" s="61"/>
    </row>
    <row r="702" spans="1:36" ht="15" hidden="1" customHeight="1">
      <c r="A702" s="60">
        <v>702</v>
      </c>
      <c r="B702" s="60" t="s">
        <v>26</v>
      </c>
      <c r="C702" s="60" t="s">
        <v>27</v>
      </c>
      <c r="D702" s="60" t="s">
        <v>207</v>
      </c>
      <c r="E702" s="60" t="s">
        <v>3858</v>
      </c>
      <c r="F702" s="60" t="s">
        <v>318</v>
      </c>
      <c r="G702" s="105">
        <v>3</v>
      </c>
      <c r="H702" s="212" t="s">
        <v>2707</v>
      </c>
      <c r="I702" s="105" t="s">
        <v>260</v>
      </c>
      <c r="J702" s="60" t="s">
        <v>2703</v>
      </c>
      <c r="K702" s="106">
        <v>46205.652303240742</v>
      </c>
      <c r="L702" s="106">
        <v>46205.6640625</v>
      </c>
      <c r="M702" s="106">
        <v>46206.244513888887</v>
      </c>
      <c r="N702" s="106"/>
      <c r="O702" s="106"/>
      <c r="P702" s="106"/>
      <c r="Q702" s="60"/>
      <c r="R702" s="60"/>
      <c r="S702" s="60"/>
      <c r="T702" s="60"/>
      <c r="U702" s="60"/>
      <c r="V702" s="60"/>
      <c r="W702" s="60"/>
      <c r="X702" s="60"/>
      <c r="Y702" s="60"/>
      <c r="Z702" s="61"/>
      <c r="AA702" s="61"/>
      <c r="AB702" s="61"/>
      <c r="AC702" s="61"/>
      <c r="AD702" s="218"/>
      <c r="AE702" s="61"/>
      <c r="AF702" s="61"/>
      <c r="AG702" s="61"/>
      <c r="AH702" s="61"/>
      <c r="AI702" s="61"/>
      <c r="AJ702" s="61"/>
    </row>
    <row r="703" spans="1:36" ht="15" hidden="1" customHeight="1">
      <c r="A703" s="60">
        <v>703</v>
      </c>
      <c r="B703" s="60" t="s">
        <v>26</v>
      </c>
      <c r="C703" s="60" t="s">
        <v>27</v>
      </c>
      <c r="D703" s="60" t="s">
        <v>207</v>
      </c>
      <c r="E703" s="60" t="s">
        <v>3859</v>
      </c>
      <c r="F703" s="60" t="s">
        <v>318</v>
      </c>
      <c r="G703" s="105">
        <v>4</v>
      </c>
      <c r="H703" s="212" t="s">
        <v>3860</v>
      </c>
      <c r="I703" s="105" t="s">
        <v>260</v>
      </c>
      <c r="J703" s="60" t="s">
        <v>2700</v>
      </c>
      <c r="K703" s="106">
        <v>46205.3749537037</v>
      </c>
      <c r="L703" s="106">
        <v>46205.764085648145</v>
      </c>
      <c r="M703" s="106">
        <v>46206.248032407406</v>
      </c>
      <c r="N703" s="106"/>
      <c r="O703" s="106"/>
      <c r="P703" s="106"/>
      <c r="Q703" s="60"/>
      <c r="R703" s="60"/>
      <c r="S703" s="60"/>
      <c r="T703" s="60"/>
      <c r="U703" s="60"/>
      <c r="V703" s="60"/>
      <c r="W703" s="60"/>
      <c r="X703" s="60"/>
      <c r="Y703" s="60"/>
      <c r="Z703" s="61"/>
      <c r="AA703" s="61"/>
      <c r="AB703" s="61"/>
      <c r="AC703" s="61"/>
      <c r="AD703" s="218"/>
      <c r="AE703" s="61"/>
      <c r="AF703" s="61"/>
      <c r="AG703" s="61"/>
      <c r="AH703" s="61"/>
      <c r="AI703" s="61"/>
      <c r="AJ703" s="61"/>
    </row>
    <row r="704" spans="1:36" ht="15" hidden="1" customHeight="1">
      <c r="A704" s="60">
        <v>704</v>
      </c>
      <c r="B704" s="60" t="s">
        <v>26</v>
      </c>
      <c r="C704" s="60" t="s">
        <v>27</v>
      </c>
      <c r="D704" s="60" t="s">
        <v>207</v>
      </c>
      <c r="E704" s="60" t="s">
        <v>3861</v>
      </c>
      <c r="F704" s="60" t="s">
        <v>318</v>
      </c>
      <c r="G704" s="105">
        <v>4</v>
      </c>
      <c r="H704" s="212" t="s">
        <v>3862</v>
      </c>
      <c r="I704" s="105" t="s">
        <v>260</v>
      </c>
      <c r="J704" s="60" t="s">
        <v>2708</v>
      </c>
      <c r="K704" s="106">
        <v>46206.386631944442</v>
      </c>
      <c r="L704" s="106">
        <v>46206.386631944442</v>
      </c>
      <c r="M704" s="106">
        <v>46206.411504629628</v>
      </c>
      <c r="N704" s="106"/>
      <c r="O704" s="106"/>
      <c r="P704" s="106"/>
      <c r="Q704" s="60"/>
      <c r="R704" s="60"/>
      <c r="S704" s="60"/>
      <c r="T704" s="60"/>
      <c r="U704" s="60"/>
      <c r="V704" s="60"/>
      <c r="W704" s="60"/>
      <c r="X704" s="60"/>
      <c r="Y704" s="60"/>
      <c r="Z704" s="61"/>
      <c r="AA704" s="61"/>
      <c r="AB704" s="61"/>
      <c r="AC704" s="61"/>
      <c r="AD704" s="218"/>
      <c r="AE704" s="61"/>
      <c r="AF704" s="61"/>
      <c r="AG704" s="61"/>
      <c r="AH704" s="61"/>
      <c r="AI704" s="61"/>
      <c r="AJ704" s="61"/>
    </row>
    <row r="705" spans="1:36" ht="15" hidden="1" customHeight="1">
      <c r="A705" s="60">
        <v>705</v>
      </c>
      <c r="B705" s="60" t="s">
        <v>26</v>
      </c>
      <c r="C705" s="60" t="s">
        <v>27</v>
      </c>
      <c r="D705" s="60" t="s">
        <v>207</v>
      </c>
      <c r="E705" s="60" t="s">
        <v>3863</v>
      </c>
      <c r="F705" s="60" t="s">
        <v>318</v>
      </c>
      <c r="G705" s="105">
        <v>4</v>
      </c>
      <c r="H705" s="212" t="s">
        <v>2724</v>
      </c>
      <c r="I705" s="105" t="s">
        <v>271</v>
      </c>
      <c r="J705" s="60" t="s">
        <v>2725</v>
      </c>
      <c r="K705" s="106">
        <v>46206.477685185186</v>
      </c>
      <c r="L705" s="106">
        <v>46206.477685185186</v>
      </c>
      <c r="M705" s="106">
        <v>46206.480138888888</v>
      </c>
      <c r="N705" s="106">
        <v>46209.35496527778</v>
      </c>
      <c r="O705" s="106"/>
      <c r="P705" s="106"/>
      <c r="Q705" s="60"/>
      <c r="R705" s="60"/>
      <c r="S705" s="60"/>
      <c r="T705" s="60"/>
      <c r="U705" s="60"/>
      <c r="V705" s="60"/>
      <c r="W705" s="60"/>
      <c r="X705" s="60"/>
      <c r="Y705" s="60"/>
      <c r="Z705" s="61"/>
      <c r="AA705" s="61"/>
      <c r="AB705" s="61"/>
      <c r="AC705" s="61"/>
      <c r="AD705" s="218"/>
      <c r="AE705" s="61"/>
      <c r="AF705" s="61"/>
      <c r="AG705" s="61"/>
      <c r="AH705" s="61"/>
      <c r="AI705" s="61"/>
      <c r="AJ705" s="61"/>
    </row>
    <row r="706" spans="1:36" ht="15" hidden="1" customHeight="1">
      <c r="A706" s="60">
        <v>706</v>
      </c>
      <c r="B706" s="60" t="s">
        <v>26</v>
      </c>
      <c r="C706" s="60" t="s">
        <v>27</v>
      </c>
      <c r="D706" s="60" t="s">
        <v>207</v>
      </c>
      <c r="E706" s="60" t="s">
        <v>3864</v>
      </c>
      <c r="F706" s="60" t="s">
        <v>318</v>
      </c>
      <c r="G706" s="105">
        <v>3</v>
      </c>
      <c r="H706" s="212" t="s">
        <v>3865</v>
      </c>
      <c r="I706" s="105" t="s">
        <v>260</v>
      </c>
      <c r="J706" s="60" t="s">
        <v>2954</v>
      </c>
      <c r="K706" s="106">
        <v>46206.427187499998</v>
      </c>
      <c r="L706" s="62">
        <v>46206.487303240741</v>
      </c>
      <c r="M706" s="62">
        <v>46206.502268518518</v>
      </c>
      <c r="N706" s="106"/>
      <c r="O706" s="106"/>
      <c r="P706" s="106"/>
      <c r="Q706" s="60"/>
      <c r="R706" s="60"/>
      <c r="S706" s="60"/>
      <c r="T706" s="60"/>
      <c r="U706" s="60"/>
      <c r="V706" s="60"/>
      <c r="W706" s="60"/>
      <c r="X706" s="60"/>
      <c r="Y706" s="60"/>
      <c r="Z706" s="61"/>
      <c r="AA706" s="61"/>
      <c r="AB706" s="61"/>
      <c r="AC706" s="61"/>
      <c r="AD706" s="218"/>
      <c r="AE706" s="61"/>
      <c r="AF706" s="61"/>
      <c r="AG706" s="61"/>
      <c r="AH706" s="61"/>
      <c r="AI706" s="61"/>
      <c r="AJ706" s="61"/>
    </row>
    <row r="707" spans="1:36" ht="15" hidden="1" customHeight="1">
      <c r="A707" s="60">
        <v>707</v>
      </c>
      <c r="B707" s="60" t="s">
        <v>26</v>
      </c>
      <c r="C707" s="60" t="s">
        <v>27</v>
      </c>
      <c r="D707" s="60" t="s">
        <v>207</v>
      </c>
      <c r="E707" s="60" t="s">
        <v>3866</v>
      </c>
      <c r="F707" s="60" t="s">
        <v>318</v>
      </c>
      <c r="G707" s="105">
        <v>3</v>
      </c>
      <c r="H707" s="212" t="s">
        <v>2775</v>
      </c>
      <c r="I707" s="105" t="s">
        <v>271</v>
      </c>
      <c r="J707" s="60" t="s">
        <v>2772</v>
      </c>
      <c r="K707" s="106">
        <v>46206.495046296295</v>
      </c>
      <c r="L707" s="62">
        <v>46206.504004629627</v>
      </c>
      <c r="M707" s="62">
        <v>46206.495081018518</v>
      </c>
      <c r="N707" s="106">
        <v>46209.409074074072</v>
      </c>
      <c r="O707" s="106"/>
      <c r="P707" s="106"/>
      <c r="Q707" s="60"/>
      <c r="R707" s="60"/>
      <c r="S707" s="60"/>
      <c r="T707" s="60"/>
      <c r="U707" s="60"/>
      <c r="V707" s="60"/>
      <c r="W707" s="60"/>
      <c r="X707" s="60"/>
      <c r="Y707" s="60"/>
      <c r="Z707" s="61"/>
      <c r="AA707" s="61"/>
      <c r="AB707" s="61"/>
      <c r="AC707" s="61"/>
      <c r="AD707" s="218"/>
      <c r="AE707" s="61"/>
      <c r="AF707" s="61"/>
      <c r="AG707" s="61"/>
      <c r="AH707" s="61"/>
      <c r="AI707" s="61"/>
      <c r="AJ707" s="61"/>
    </row>
    <row r="708" spans="1:36" ht="15" hidden="1" customHeight="1">
      <c r="A708" s="46">
        <v>708</v>
      </c>
      <c r="B708" s="46" t="s">
        <v>26</v>
      </c>
      <c r="C708" s="46" t="s">
        <v>27</v>
      </c>
      <c r="D708" s="46" t="s">
        <v>207</v>
      </c>
      <c r="E708" s="46" t="s">
        <v>3867</v>
      </c>
      <c r="F708" s="60" t="s">
        <v>318</v>
      </c>
      <c r="G708" s="105">
        <v>3</v>
      </c>
      <c r="H708" s="74" t="s">
        <v>2724</v>
      </c>
      <c r="I708" s="105" t="s">
        <v>271</v>
      </c>
      <c r="J708" s="60" t="s">
        <v>2772</v>
      </c>
      <c r="K708" s="109">
        <v>46207.570532407408</v>
      </c>
      <c r="L708" s="166">
        <v>46207.570636574077</v>
      </c>
      <c r="M708" s="166">
        <v>46209.274108796293</v>
      </c>
      <c r="N708" s="109">
        <v>46209.408113425925</v>
      </c>
    </row>
    <row r="709" spans="1:36" ht="15" hidden="1" customHeight="1">
      <c r="A709" s="46">
        <v>709</v>
      </c>
      <c r="B709" s="46" t="s">
        <v>26</v>
      </c>
      <c r="C709" s="46" t="s">
        <v>27</v>
      </c>
      <c r="D709" s="46" t="s">
        <v>207</v>
      </c>
      <c r="E709" s="46" t="s">
        <v>3868</v>
      </c>
      <c r="F709" s="60" t="s">
        <v>318</v>
      </c>
      <c r="G709" s="105">
        <v>3</v>
      </c>
      <c r="H709" s="74" t="s">
        <v>3869</v>
      </c>
      <c r="I709" s="105" t="s">
        <v>275</v>
      </c>
      <c r="J709" s="46" t="s">
        <v>2725</v>
      </c>
      <c r="K709" s="109">
        <v>46205.618564814817</v>
      </c>
      <c r="L709" s="166">
        <v>46207.654652777775</v>
      </c>
      <c r="M709" s="166">
        <v>46209.284826388888</v>
      </c>
      <c r="N709" s="109">
        <v>46209.384699074071</v>
      </c>
    </row>
    <row r="710" spans="1:36" ht="15" hidden="1" customHeight="1">
      <c r="A710" s="46">
        <v>710</v>
      </c>
      <c r="B710" s="46" t="s">
        <v>26</v>
      </c>
      <c r="C710" s="46" t="s">
        <v>27</v>
      </c>
      <c r="D710" s="46" t="s">
        <v>207</v>
      </c>
      <c r="E710" s="74" t="s">
        <v>3870</v>
      </c>
      <c r="F710" s="60" t="s">
        <v>318</v>
      </c>
      <c r="G710" s="105">
        <v>3</v>
      </c>
      <c r="H710" s="74" t="s">
        <v>2707</v>
      </c>
      <c r="I710" s="105" t="s">
        <v>260</v>
      </c>
      <c r="J710" s="46" t="s">
        <v>2708</v>
      </c>
      <c r="K710" s="109">
        <v>46206.665995370371</v>
      </c>
      <c r="L710" s="166">
        <v>46206.667974537035</v>
      </c>
      <c r="M710" s="166">
        <v>46209.286261574074</v>
      </c>
    </row>
    <row r="711" spans="1:36" ht="15" hidden="1" customHeight="1">
      <c r="A711" s="46">
        <v>711</v>
      </c>
      <c r="B711" s="46" t="s">
        <v>26</v>
      </c>
      <c r="C711" s="46" t="s">
        <v>27</v>
      </c>
      <c r="D711" s="46" t="s">
        <v>207</v>
      </c>
      <c r="E711" s="46" t="s">
        <v>3871</v>
      </c>
      <c r="F711" s="60" t="s">
        <v>318</v>
      </c>
      <c r="G711" s="105">
        <v>3</v>
      </c>
      <c r="H711" s="74" t="s">
        <v>3872</v>
      </c>
      <c r="I711" s="105" t="s">
        <v>260</v>
      </c>
      <c r="J711" s="46" t="s">
        <v>2714</v>
      </c>
      <c r="K711" s="109">
        <v>46176.463993055557</v>
      </c>
      <c r="L711" s="166">
        <v>46206.564282407409</v>
      </c>
      <c r="M711" s="166">
        <v>46209.287974537037</v>
      </c>
    </row>
    <row r="712" spans="1:36" ht="15" hidden="1" customHeight="1">
      <c r="A712" s="46">
        <v>712</v>
      </c>
      <c r="B712" s="46" t="s">
        <v>26</v>
      </c>
      <c r="C712" s="46" t="s">
        <v>27</v>
      </c>
      <c r="D712" s="46" t="s">
        <v>208</v>
      </c>
      <c r="E712" s="46" t="s">
        <v>3873</v>
      </c>
      <c r="F712" s="46" t="s">
        <v>322</v>
      </c>
      <c r="G712" s="114" t="s">
        <v>208</v>
      </c>
      <c r="H712" s="74" t="s">
        <v>3874</v>
      </c>
      <c r="I712" s="114" t="s">
        <v>275</v>
      </c>
      <c r="J712" s="46" t="s">
        <v>2717</v>
      </c>
      <c r="K712" s="109">
        <v>46209.267800925925</v>
      </c>
      <c r="L712" s="109">
        <v>46209.267800925925</v>
      </c>
      <c r="M712" s="109">
        <v>46209.286666666667</v>
      </c>
      <c r="N712" s="109">
        <v>46209.296087962961</v>
      </c>
    </row>
    <row r="713" spans="1:36" ht="15" hidden="1" customHeight="1">
      <c r="A713" s="46">
        <v>713</v>
      </c>
      <c r="B713" s="46" t="s">
        <v>26</v>
      </c>
      <c r="C713" s="46" t="s">
        <v>27</v>
      </c>
      <c r="D713" s="46" t="s">
        <v>208</v>
      </c>
      <c r="E713" s="46" t="s">
        <v>3875</v>
      </c>
      <c r="F713" s="46" t="s">
        <v>322</v>
      </c>
      <c r="G713" s="114" t="s">
        <v>208</v>
      </c>
      <c r="H713" s="74" t="s">
        <v>3876</v>
      </c>
      <c r="I713" s="114" t="s">
        <v>275</v>
      </c>
      <c r="J713" s="46" t="s">
        <v>2717</v>
      </c>
      <c r="K713" s="109">
        <v>46209.268136574072</v>
      </c>
      <c r="L713" s="109">
        <v>46209.268136574072</v>
      </c>
      <c r="M713" s="109">
        <v>46209.287210648145</v>
      </c>
      <c r="N713" s="109">
        <v>46209.296550925923</v>
      </c>
    </row>
    <row r="714" spans="1:36" ht="15" hidden="1" customHeight="1">
      <c r="A714" s="46">
        <v>714</v>
      </c>
      <c r="B714" s="46" t="s">
        <v>26</v>
      </c>
      <c r="C714" s="46" t="s">
        <v>27</v>
      </c>
      <c r="D714" s="46" t="s">
        <v>207</v>
      </c>
      <c r="E714" s="46" t="s">
        <v>3877</v>
      </c>
      <c r="F714" s="60" t="s">
        <v>318</v>
      </c>
      <c r="G714" s="105">
        <v>3</v>
      </c>
      <c r="H714" s="74" t="s">
        <v>3878</v>
      </c>
      <c r="J714" s="46"/>
      <c r="K714" s="109">
        <v>46209.369074074071</v>
      </c>
      <c r="L714" s="166">
        <v>46209.371770833335</v>
      </c>
      <c r="M714" s="166">
        <v>46209.396770833337</v>
      </c>
    </row>
    <row r="715" spans="1:36" ht="15" hidden="1" customHeight="1">
      <c r="A715" s="46">
        <v>715</v>
      </c>
      <c r="B715" s="46" t="s">
        <v>26</v>
      </c>
      <c r="C715" s="46" t="s">
        <v>27</v>
      </c>
      <c r="D715" s="46" t="s">
        <v>207</v>
      </c>
      <c r="E715" s="46" t="s">
        <v>3879</v>
      </c>
      <c r="F715" s="60" t="s">
        <v>318</v>
      </c>
      <c r="G715" s="105">
        <v>4</v>
      </c>
      <c r="H715" s="74" t="s">
        <v>3880</v>
      </c>
      <c r="J715" s="46"/>
      <c r="K715" s="109">
        <v>46209.320613425924</v>
      </c>
      <c r="L715" s="166">
        <v>46209.388437499998</v>
      </c>
      <c r="M715" s="166">
        <v>46209.398402777777</v>
      </c>
    </row>
    <row r="716" spans="1:36" ht="15" hidden="1" customHeight="1">
      <c r="A716" s="46">
        <v>716</v>
      </c>
      <c r="B716" s="46" t="s">
        <v>26</v>
      </c>
      <c r="C716" s="46" t="s">
        <v>27</v>
      </c>
      <c r="D716" s="46" t="s">
        <v>208</v>
      </c>
      <c r="E716" s="46" t="s">
        <v>3881</v>
      </c>
      <c r="F716" s="60" t="s">
        <v>318</v>
      </c>
      <c r="J716" s="46"/>
    </row>
    <row r="717" spans="1:36" ht="15" hidden="1" customHeight="1">
      <c r="A717" s="46">
        <v>717</v>
      </c>
      <c r="B717" s="46" t="s">
        <v>26</v>
      </c>
      <c r="C717" s="46" t="s">
        <v>27</v>
      </c>
      <c r="D717" s="46" t="s">
        <v>208</v>
      </c>
      <c r="E717" s="46" t="s">
        <v>3882</v>
      </c>
      <c r="F717" s="60" t="s">
        <v>318</v>
      </c>
      <c r="J717" s="46"/>
    </row>
    <row r="718" spans="1:36" ht="15" hidden="1" customHeight="1">
      <c r="A718" s="46">
        <v>718</v>
      </c>
      <c r="B718" s="46" t="s">
        <v>26</v>
      </c>
      <c r="C718" s="46" t="s">
        <v>27</v>
      </c>
      <c r="D718" s="46" t="s">
        <v>208</v>
      </c>
      <c r="E718" s="46" t="s">
        <v>3883</v>
      </c>
      <c r="F718" s="60" t="s">
        <v>318</v>
      </c>
      <c r="J718" s="46"/>
    </row>
    <row r="719" spans="1:36" ht="15" hidden="1" customHeight="1">
      <c r="A719" s="46">
        <v>719</v>
      </c>
      <c r="B719" s="46" t="s">
        <v>26</v>
      </c>
      <c r="C719" s="46" t="s">
        <v>27</v>
      </c>
      <c r="D719" s="46" t="s">
        <v>208</v>
      </c>
      <c r="E719" s="46" t="s">
        <v>3884</v>
      </c>
      <c r="F719" s="60" t="s">
        <v>318</v>
      </c>
      <c r="J719" s="46"/>
      <c r="N719" s="46"/>
    </row>
    <row r="720" spans="1:36" ht="15" hidden="1" customHeight="1">
      <c r="A720" s="46">
        <v>720</v>
      </c>
      <c r="B720" s="46" t="s">
        <v>26</v>
      </c>
      <c r="C720" s="46" t="s">
        <v>27</v>
      </c>
      <c r="D720" s="46" t="s">
        <v>208</v>
      </c>
      <c r="E720" s="46" t="s">
        <v>3885</v>
      </c>
      <c r="F720" s="60" t="s">
        <v>318</v>
      </c>
      <c r="G720" s="114" t="s">
        <v>208</v>
      </c>
      <c r="H720" s="74" t="s">
        <v>3886</v>
      </c>
      <c r="I720" s="114" t="s">
        <v>275</v>
      </c>
      <c r="J720" s="46"/>
      <c r="K720" s="166">
        <v>46209.27202546296</v>
      </c>
      <c r="L720" s="166">
        <v>46209.433703703704</v>
      </c>
      <c r="M720" s="166">
        <v>46209.433703703704</v>
      </c>
    </row>
    <row r="721" spans="1:14" ht="15" hidden="1" customHeight="1">
      <c r="A721" s="46">
        <v>721</v>
      </c>
      <c r="B721" s="46" t="s">
        <v>26</v>
      </c>
      <c r="C721" s="46" t="s">
        <v>27</v>
      </c>
      <c r="D721" s="46" t="s">
        <v>208</v>
      </c>
      <c r="E721" s="46" t="s">
        <v>3887</v>
      </c>
      <c r="F721" s="60" t="s">
        <v>318</v>
      </c>
      <c r="G721" s="114" t="s">
        <v>208</v>
      </c>
      <c r="H721" s="74" t="s">
        <v>3888</v>
      </c>
      <c r="I721" s="114" t="s">
        <v>275</v>
      </c>
      <c r="J721" s="46"/>
      <c r="K721" s="166">
        <v>46209.270902777775</v>
      </c>
      <c r="L721" s="197" t="s">
        <v>3889</v>
      </c>
      <c r="M721" s="197" t="s">
        <v>3889</v>
      </c>
    </row>
    <row r="722" spans="1:14" ht="15" hidden="1" customHeight="1">
      <c r="A722" s="46">
        <v>722</v>
      </c>
      <c r="B722" s="46" t="s">
        <v>26</v>
      </c>
      <c r="C722" s="46" t="s">
        <v>27</v>
      </c>
      <c r="D722" s="46" t="s">
        <v>208</v>
      </c>
      <c r="E722" s="46" t="s">
        <v>3890</v>
      </c>
      <c r="F722" s="60" t="s">
        <v>318</v>
      </c>
      <c r="G722" s="114" t="s">
        <v>208</v>
      </c>
      <c r="H722" s="74" t="s">
        <v>3891</v>
      </c>
      <c r="I722" s="114" t="s">
        <v>275</v>
      </c>
      <c r="J722" s="46"/>
      <c r="K722" s="166">
        <v>46209.270601851851</v>
      </c>
      <c r="L722" s="166">
        <v>46209.438206018516</v>
      </c>
      <c r="M722" s="197" t="s">
        <v>3892</v>
      </c>
    </row>
    <row r="723" spans="1:14" ht="15" hidden="1" customHeight="1">
      <c r="A723" s="46">
        <v>723</v>
      </c>
      <c r="B723" s="46" t="s">
        <v>26</v>
      </c>
      <c r="C723" s="46" t="s">
        <v>27</v>
      </c>
      <c r="D723" s="46" t="s">
        <v>208</v>
      </c>
      <c r="E723" s="46" t="s">
        <v>3893</v>
      </c>
      <c r="F723" s="60" t="s">
        <v>318</v>
      </c>
      <c r="G723" s="114" t="s">
        <v>208</v>
      </c>
      <c r="H723" s="74" t="s">
        <v>3894</v>
      </c>
      <c r="I723" s="114" t="s">
        <v>275</v>
      </c>
      <c r="J723" s="46"/>
      <c r="K723" s="250">
        <v>46209.268726851849</v>
      </c>
      <c r="L723" s="166" t="s">
        <v>3895</v>
      </c>
      <c r="M723" s="197" t="s">
        <v>3896</v>
      </c>
    </row>
    <row r="724" spans="1:14" ht="15" hidden="1" customHeight="1">
      <c r="A724" s="46">
        <v>724</v>
      </c>
      <c r="B724" s="46" t="s">
        <v>26</v>
      </c>
      <c r="C724" s="46" t="s">
        <v>27</v>
      </c>
      <c r="D724" s="46" t="s">
        <v>208</v>
      </c>
      <c r="E724" s="46" t="s">
        <v>3897</v>
      </c>
      <c r="F724" s="60" t="s">
        <v>318</v>
      </c>
      <c r="G724" s="114" t="s">
        <v>208</v>
      </c>
      <c r="H724" s="74" t="s">
        <v>3898</v>
      </c>
      <c r="I724" s="114" t="s">
        <v>275</v>
      </c>
      <c r="J724" s="46"/>
      <c r="K724" s="166">
        <v>46209.267488425925</v>
      </c>
      <c r="L724" s="197" t="s">
        <v>3899</v>
      </c>
      <c r="M724" s="197" t="s">
        <v>3899</v>
      </c>
      <c r="N724" s="197"/>
    </row>
    <row r="725" spans="1:14" ht="15" hidden="1" customHeight="1">
      <c r="A725" s="46">
        <v>725</v>
      </c>
      <c r="B725" s="46" t="s">
        <v>26</v>
      </c>
      <c r="C725" s="46" t="s">
        <v>27</v>
      </c>
      <c r="D725" s="46" t="s">
        <v>207</v>
      </c>
      <c r="E725" s="46" t="s">
        <v>3900</v>
      </c>
      <c r="F725" s="60" t="s">
        <v>318</v>
      </c>
      <c r="G725" s="105">
        <v>4</v>
      </c>
      <c r="H725" s="74" t="s">
        <v>3901</v>
      </c>
      <c r="I725" s="114" t="s">
        <v>260</v>
      </c>
      <c r="J725" s="46" t="s">
        <v>2954</v>
      </c>
      <c r="K725" s="166">
        <v>46209.407812500001</v>
      </c>
      <c r="L725" s="249">
        <v>46209.407812500001</v>
      </c>
      <c r="M725" s="249">
        <v>46209.449652777781</v>
      </c>
    </row>
    <row r="726" spans="1:14" ht="15" hidden="1" customHeight="1">
      <c r="A726" s="46">
        <v>726</v>
      </c>
      <c r="B726" s="46" t="s">
        <v>26</v>
      </c>
      <c r="C726" s="46" t="s">
        <v>27</v>
      </c>
      <c r="D726" s="46" t="s">
        <v>207</v>
      </c>
      <c r="E726" s="46" t="s">
        <v>3902</v>
      </c>
      <c r="F726" s="46" t="s">
        <v>327</v>
      </c>
      <c r="G726" s="114">
        <v>3</v>
      </c>
      <c r="H726" s="74" t="s">
        <v>3903</v>
      </c>
      <c r="I726" s="114" t="s">
        <v>275</v>
      </c>
      <c r="J726" s="46"/>
      <c r="K726" s="109">
        <v>46209.384780092594</v>
      </c>
      <c r="L726" s="109">
        <v>46209.384780092594</v>
      </c>
      <c r="M726" s="109">
        <v>46209.453148148146</v>
      </c>
    </row>
    <row r="727" spans="1:14" ht="15" hidden="1" customHeight="1">
      <c r="A727" s="46">
        <v>727</v>
      </c>
      <c r="B727" s="46" t="s">
        <v>26</v>
      </c>
      <c r="C727" s="46" t="s">
        <v>27</v>
      </c>
      <c r="D727" s="46" t="s">
        <v>208</v>
      </c>
      <c r="E727" s="46" t="s">
        <v>3904</v>
      </c>
      <c r="F727" s="60" t="s">
        <v>318</v>
      </c>
      <c r="H727" s="74" t="s">
        <v>3905</v>
      </c>
      <c r="I727" s="114" t="s">
        <v>260</v>
      </c>
      <c r="J727" s="46" t="s">
        <v>3906</v>
      </c>
      <c r="K727" s="109">
        <v>46209.485925925925</v>
      </c>
      <c r="L727" s="109">
        <v>46209.487222222226</v>
      </c>
      <c r="M727" s="109">
        <v>46209.493506944447</v>
      </c>
    </row>
    <row r="728" spans="1:14" ht="15" hidden="1" customHeight="1">
      <c r="A728" s="46">
        <v>728</v>
      </c>
      <c r="B728" s="46" t="s">
        <v>26</v>
      </c>
      <c r="C728" s="46" t="s">
        <v>27</v>
      </c>
      <c r="D728" s="46" t="s">
        <v>207</v>
      </c>
      <c r="E728" s="46" t="s">
        <v>3907</v>
      </c>
      <c r="F728" s="60" t="s">
        <v>318</v>
      </c>
      <c r="G728" s="114">
        <v>4</v>
      </c>
      <c r="H728" s="74" t="s">
        <v>3908</v>
      </c>
      <c r="I728" s="114" t="s">
        <v>275</v>
      </c>
      <c r="J728" s="46" t="s">
        <v>2772</v>
      </c>
      <c r="K728" s="109">
        <v>46209.543113425927</v>
      </c>
      <c r="L728" s="109">
        <v>46209.60601851852</v>
      </c>
      <c r="M728" s="109">
        <v>46209.62</v>
      </c>
    </row>
    <row r="729" spans="1:14" ht="15" hidden="1" customHeight="1">
      <c r="A729" s="46">
        <v>729</v>
      </c>
      <c r="B729" s="46" t="s">
        <v>26</v>
      </c>
      <c r="C729" s="46" t="s">
        <v>27</v>
      </c>
      <c r="D729" s="46" t="s">
        <v>207</v>
      </c>
      <c r="E729" s="46" t="s">
        <v>3909</v>
      </c>
      <c r="F729" s="46" t="s">
        <v>327</v>
      </c>
      <c r="G729" s="114">
        <v>3</v>
      </c>
      <c r="H729" s="74" t="s">
        <v>3910</v>
      </c>
      <c r="I729" s="114" t="s">
        <v>275</v>
      </c>
      <c r="J729" s="46"/>
      <c r="K729" s="109">
        <v>46209.559513888889</v>
      </c>
      <c r="L729" s="109">
        <v>46209.559513888889</v>
      </c>
      <c r="M729" s="109">
        <v>46210.239328703705</v>
      </c>
    </row>
    <row r="730" spans="1:14" ht="15" hidden="1" customHeight="1">
      <c r="A730" s="46">
        <v>730</v>
      </c>
      <c r="B730" s="46" t="s">
        <v>26</v>
      </c>
      <c r="C730" s="46" t="s">
        <v>27</v>
      </c>
      <c r="D730" s="46" t="s">
        <v>207</v>
      </c>
      <c r="E730" s="46" t="s">
        <v>3911</v>
      </c>
      <c r="F730" s="46" t="s">
        <v>327</v>
      </c>
      <c r="G730" s="114">
        <v>3</v>
      </c>
      <c r="H730" s="74" t="s">
        <v>3912</v>
      </c>
      <c r="I730" s="114" t="s">
        <v>275</v>
      </c>
      <c r="J730" s="46"/>
      <c r="K730" s="109">
        <v>46210.184212962966</v>
      </c>
      <c r="L730" s="109">
        <v>46210.184212962966</v>
      </c>
      <c r="M730" s="109">
        <v>46210.238576388889</v>
      </c>
    </row>
    <row r="731" spans="1:14" ht="15" customHeight="1">
      <c r="A731" s="46">
        <v>731</v>
      </c>
      <c r="B731" s="46" t="s">
        <v>26</v>
      </c>
      <c r="C731" s="46" t="s">
        <v>54</v>
      </c>
      <c r="D731" s="46" t="s">
        <v>207</v>
      </c>
      <c r="E731" s="46" t="s">
        <v>3433</v>
      </c>
      <c r="F731" s="46" t="s">
        <v>53</v>
      </c>
      <c r="G731" s="114">
        <v>3</v>
      </c>
      <c r="H731" s="46" t="s">
        <v>3434</v>
      </c>
      <c r="I731" s="114" t="s">
        <v>260</v>
      </c>
      <c r="J731" s="295" t="s">
        <v>2708</v>
      </c>
      <c r="K731" s="109">
        <v>46188.286932870367</v>
      </c>
      <c r="L731" s="166">
        <v>46209.601076388892</v>
      </c>
      <c r="M731" s="166">
        <v>46210.266562500001</v>
      </c>
    </row>
    <row r="732" spans="1:14" ht="15" customHeight="1">
      <c r="A732" s="46">
        <v>732</v>
      </c>
      <c r="B732" s="46" t="s">
        <v>26</v>
      </c>
      <c r="C732" s="46" t="s">
        <v>54</v>
      </c>
      <c r="D732" s="46" t="s">
        <v>207</v>
      </c>
      <c r="E732" s="46" t="s">
        <v>3913</v>
      </c>
      <c r="F732" s="46" t="s">
        <v>53</v>
      </c>
      <c r="G732" s="114">
        <v>3</v>
      </c>
      <c r="H732" s="74" t="s">
        <v>3914</v>
      </c>
      <c r="I732" s="114" t="s">
        <v>260</v>
      </c>
      <c r="J732" s="295" t="s">
        <v>2700</v>
      </c>
      <c r="K732" s="109">
        <v>46209.561203703706</v>
      </c>
      <c r="L732" s="166">
        <v>46209.561203703706</v>
      </c>
      <c r="M732" s="166">
        <v>46210.273645833331</v>
      </c>
    </row>
    <row r="733" spans="1:14" ht="15" customHeight="1">
      <c r="A733" s="46">
        <v>733</v>
      </c>
      <c r="B733" s="46" t="s">
        <v>26</v>
      </c>
      <c r="C733" s="46" t="s">
        <v>54</v>
      </c>
      <c r="D733" s="46" t="s">
        <v>207</v>
      </c>
      <c r="E733" s="46" t="s">
        <v>3915</v>
      </c>
      <c r="F733" s="46" t="s">
        <v>53</v>
      </c>
      <c r="G733" s="114">
        <v>3</v>
      </c>
      <c r="H733" s="74" t="s">
        <v>3916</v>
      </c>
      <c r="I733" s="114" t="s">
        <v>271</v>
      </c>
      <c r="J733" s="295" t="s">
        <v>2697</v>
      </c>
      <c r="K733" s="109">
        <v>46210.31726851852</v>
      </c>
      <c r="L733" s="166">
        <v>46210.317280092589</v>
      </c>
      <c r="M733" s="166">
        <v>46210.33421296296</v>
      </c>
      <c r="N733" s="166">
        <v>46210.462835648148</v>
      </c>
    </row>
    <row r="734" spans="1:14" ht="15" customHeight="1">
      <c r="A734" s="46">
        <v>734</v>
      </c>
      <c r="B734" s="46" t="s">
        <v>26</v>
      </c>
      <c r="C734" s="46" t="s">
        <v>54</v>
      </c>
      <c r="D734" s="46" t="s">
        <v>207</v>
      </c>
      <c r="E734" s="46" t="s">
        <v>3917</v>
      </c>
      <c r="F734" s="46" t="s">
        <v>53</v>
      </c>
      <c r="G734" s="114">
        <v>4</v>
      </c>
      <c r="H734" s="74" t="s">
        <v>3918</v>
      </c>
      <c r="I734" s="114" t="s">
        <v>260</v>
      </c>
      <c r="J734" s="295" t="s">
        <v>2703</v>
      </c>
      <c r="K734" s="109">
        <v>46210.3906712963</v>
      </c>
      <c r="L734" s="166">
        <v>46210.390682870369</v>
      </c>
      <c r="M734" s="166">
        <v>46210.399965277778</v>
      </c>
    </row>
    <row r="735" spans="1:14" ht="15" hidden="1" customHeight="1">
      <c r="A735" s="46">
        <v>735</v>
      </c>
      <c r="B735" s="46" t="s">
        <v>26</v>
      </c>
      <c r="C735" s="60" t="s">
        <v>54</v>
      </c>
      <c r="D735" s="46" t="s">
        <v>208</v>
      </c>
      <c r="E735" t="s">
        <v>3596</v>
      </c>
      <c r="F735" s="46" t="s">
        <v>325</v>
      </c>
      <c r="G735" s="114" t="s">
        <v>208</v>
      </c>
      <c r="H735" s="74" t="s">
        <v>3597</v>
      </c>
      <c r="I735" s="114" t="s">
        <v>260</v>
      </c>
      <c r="J735" s="46" t="s">
        <v>2872</v>
      </c>
      <c r="K735" s="109">
        <v>46178.526921296296</v>
      </c>
      <c r="L735" s="166">
        <v>46189.600902777776</v>
      </c>
      <c r="M735" s="166">
        <v>46190.243819444448</v>
      </c>
    </row>
    <row r="736" spans="1:14" ht="15" hidden="1" customHeight="1">
      <c r="A736" s="46">
        <v>736</v>
      </c>
      <c r="B736" s="46" t="s">
        <v>26</v>
      </c>
      <c r="C736" s="60" t="s">
        <v>54</v>
      </c>
      <c r="D736" s="46" t="s">
        <v>208</v>
      </c>
      <c r="E736" t="s">
        <v>3919</v>
      </c>
      <c r="F736" s="46" t="s">
        <v>325</v>
      </c>
      <c r="G736" s="114" t="s">
        <v>208</v>
      </c>
      <c r="H736" s="74" t="s">
        <v>3920</v>
      </c>
      <c r="I736" s="114" t="s">
        <v>266</v>
      </c>
      <c r="J736" s="46" t="s">
        <v>2694</v>
      </c>
      <c r="K736" s="109">
        <v>46192.691238425927</v>
      </c>
      <c r="L736" s="166">
        <v>46195.419699074075</v>
      </c>
      <c r="M736" s="166">
        <v>46195.436909722222</v>
      </c>
    </row>
    <row r="737" spans="1:14" ht="15" hidden="1" customHeight="1">
      <c r="A737" s="46">
        <v>737</v>
      </c>
      <c r="B737" s="46" t="s">
        <v>26</v>
      </c>
      <c r="C737" s="60" t="s">
        <v>54</v>
      </c>
      <c r="D737" s="46" t="s">
        <v>208</v>
      </c>
      <c r="E737" t="s">
        <v>3921</v>
      </c>
      <c r="F737" s="46" t="s">
        <v>325</v>
      </c>
      <c r="G737" s="114" t="s">
        <v>208</v>
      </c>
      <c r="H737" s="74" t="s">
        <v>3922</v>
      </c>
      <c r="I737" s="114" t="s">
        <v>271</v>
      </c>
      <c r="J737" s="46" t="s">
        <v>2872</v>
      </c>
      <c r="K737" s="109">
        <v>46195.440185185187</v>
      </c>
      <c r="L737" s="166">
        <v>46195.440185185187</v>
      </c>
      <c r="M737" s="166">
        <v>46195.467627314814</v>
      </c>
      <c r="N737" s="109">
        <v>46196.437777777777</v>
      </c>
    </row>
    <row r="738" spans="1:14" ht="15" hidden="1" customHeight="1">
      <c r="A738" s="46">
        <v>738</v>
      </c>
      <c r="B738" s="46" t="s">
        <v>26</v>
      </c>
      <c r="C738" s="60" t="s">
        <v>54</v>
      </c>
      <c r="D738" s="46" t="s">
        <v>207</v>
      </c>
      <c r="E738" t="s">
        <v>3625</v>
      </c>
      <c r="F738" s="46" t="s">
        <v>325</v>
      </c>
      <c r="G738" s="114">
        <v>3</v>
      </c>
      <c r="H738" s="74" t="s">
        <v>3626</v>
      </c>
      <c r="I738" s="114" t="s">
        <v>275</v>
      </c>
      <c r="J738" s="46" t="s">
        <v>2872</v>
      </c>
      <c r="K738" s="109">
        <v>46192.517604166664</v>
      </c>
      <c r="L738" s="166">
        <v>46195.656759259262</v>
      </c>
      <c r="M738" s="166">
        <v>46196.251770833333</v>
      </c>
      <c r="N738" s="166">
        <v>46196.460810185185</v>
      </c>
    </row>
    <row r="739" spans="1:14" ht="15" hidden="1" customHeight="1">
      <c r="A739" s="46">
        <v>739</v>
      </c>
      <c r="B739" s="46" t="s">
        <v>26</v>
      </c>
      <c r="C739" s="60" t="s">
        <v>54</v>
      </c>
      <c r="D739" s="46" t="s">
        <v>207</v>
      </c>
      <c r="E739" t="s">
        <v>3923</v>
      </c>
      <c r="F739" s="46" t="s">
        <v>325</v>
      </c>
      <c r="G739" s="114">
        <v>3</v>
      </c>
      <c r="H739" s="74" t="s">
        <v>3924</v>
      </c>
      <c r="I739" s="114" t="s">
        <v>266</v>
      </c>
      <c r="J739" s="46" t="s">
        <v>2872</v>
      </c>
      <c r="K739" s="109">
        <v>46191.644537037035</v>
      </c>
      <c r="L739" s="166">
        <v>46203.417037037034</v>
      </c>
      <c r="M739" s="166">
        <v>46203.418217592596</v>
      </c>
    </row>
    <row r="740" spans="1:14" ht="15" hidden="1" customHeight="1">
      <c r="A740" s="46">
        <v>740</v>
      </c>
      <c r="B740" s="46" t="s">
        <v>26</v>
      </c>
      <c r="C740" s="60" t="s">
        <v>54</v>
      </c>
      <c r="D740" s="46" t="s">
        <v>208</v>
      </c>
      <c r="E740" t="s">
        <v>3925</v>
      </c>
      <c r="F740" s="46" t="s">
        <v>325</v>
      </c>
      <c r="G740" s="114" t="s">
        <v>208</v>
      </c>
      <c r="H740" s="74" t="s">
        <v>3926</v>
      </c>
      <c r="I740" s="114" t="s">
        <v>271</v>
      </c>
      <c r="J740" s="46" t="s">
        <v>2694</v>
      </c>
      <c r="K740" s="109">
        <v>46195.571145833332</v>
      </c>
      <c r="L740" s="166">
        <v>46195.624803240738</v>
      </c>
      <c r="M740" s="166">
        <v>46196.255439814813</v>
      </c>
      <c r="N740" s="109">
        <v>46199.274745370371</v>
      </c>
    </row>
    <row r="741" spans="1:14" ht="15" hidden="1" customHeight="1">
      <c r="A741" s="46">
        <v>741</v>
      </c>
      <c r="B741" s="46" t="s">
        <v>26</v>
      </c>
      <c r="C741" s="60" t="s">
        <v>54</v>
      </c>
      <c r="D741" s="46" t="s">
        <v>208</v>
      </c>
      <c r="E741" t="s">
        <v>3261</v>
      </c>
      <c r="F741" s="46" t="s">
        <v>325</v>
      </c>
      <c r="G741" s="114" t="s">
        <v>208</v>
      </c>
      <c r="H741" s="74" t="s">
        <v>3262</v>
      </c>
      <c r="I741" s="114" t="s">
        <v>275</v>
      </c>
      <c r="J741" s="46" t="s">
        <v>2872</v>
      </c>
      <c r="K741" s="109">
        <v>46196.433368055557</v>
      </c>
      <c r="L741" s="166">
        <v>46196.433368055557</v>
      </c>
      <c r="M741" s="166">
        <v>46196.435266203705</v>
      </c>
      <c r="N741" s="166">
        <v>46196.506064814814</v>
      </c>
    </row>
    <row r="742" spans="1:14" ht="15" hidden="1" customHeight="1">
      <c r="A742" s="46">
        <v>742</v>
      </c>
      <c r="B742" s="46" t="s">
        <v>26</v>
      </c>
      <c r="C742" s="60" t="s">
        <v>54</v>
      </c>
      <c r="D742" s="46" t="s">
        <v>208</v>
      </c>
      <c r="E742" t="s">
        <v>3927</v>
      </c>
      <c r="F742" s="46" t="s">
        <v>325</v>
      </c>
      <c r="G742" s="114" t="s">
        <v>208</v>
      </c>
      <c r="H742" s="74" t="s">
        <v>2251</v>
      </c>
      <c r="I742" s="114" t="s">
        <v>275</v>
      </c>
      <c r="J742" s="46" t="s">
        <v>2872</v>
      </c>
      <c r="K742" s="109">
        <v>46189.56523148148</v>
      </c>
      <c r="L742" s="166">
        <v>46199.62872685185</v>
      </c>
      <c r="M742" s="166">
        <v>46199.653194444443</v>
      </c>
      <c r="N742" s="166">
        <v>46206.398043981484</v>
      </c>
    </row>
    <row r="743" spans="1:14" ht="15" hidden="1" customHeight="1">
      <c r="A743" s="46">
        <v>743</v>
      </c>
      <c r="B743" s="46" t="s">
        <v>26</v>
      </c>
      <c r="C743" s="60" t="s">
        <v>54</v>
      </c>
      <c r="D743" s="46" t="s">
        <v>207</v>
      </c>
      <c r="E743" t="s">
        <v>3611</v>
      </c>
      <c r="F743" s="46" t="s">
        <v>325</v>
      </c>
      <c r="G743" s="114">
        <v>4</v>
      </c>
      <c r="H743" s="74" t="s">
        <v>3612</v>
      </c>
      <c r="I743" s="114" t="s">
        <v>275</v>
      </c>
      <c r="J743" s="46" t="s">
        <v>2872</v>
      </c>
      <c r="K743" s="109">
        <v>46192.586747685185</v>
      </c>
      <c r="L743" s="166">
        <v>46192.602083333331</v>
      </c>
      <c r="M743" s="166">
        <v>46192.634143518517</v>
      </c>
      <c r="N743" s="166">
        <v>46196.454641203702</v>
      </c>
    </row>
    <row r="744" spans="1:14" ht="15" hidden="1" customHeight="1">
      <c r="A744" s="46">
        <v>744</v>
      </c>
      <c r="B744" s="46" t="s">
        <v>26</v>
      </c>
      <c r="C744" s="60" t="s">
        <v>54</v>
      </c>
      <c r="D744" s="46" t="s">
        <v>207</v>
      </c>
      <c r="E744" t="s">
        <v>3928</v>
      </c>
      <c r="F744" s="46" t="s">
        <v>325</v>
      </c>
      <c r="G744" s="114">
        <v>3</v>
      </c>
      <c r="H744" s="74" t="s">
        <v>3929</v>
      </c>
      <c r="I744" s="114" t="s">
        <v>275</v>
      </c>
      <c r="J744" s="46" t="s">
        <v>2872</v>
      </c>
      <c r="K744" s="109">
        <v>46183.446655092594</v>
      </c>
      <c r="L744" s="166">
        <v>46196.674351851849</v>
      </c>
      <c r="M744" s="166">
        <v>46197.220821759256</v>
      </c>
      <c r="N744" s="166">
        <v>46197.416261574072</v>
      </c>
    </row>
    <row r="745" spans="1:14" ht="15" hidden="1" customHeight="1">
      <c r="A745" s="46">
        <v>745</v>
      </c>
      <c r="B745" s="46" t="s">
        <v>26</v>
      </c>
      <c r="C745" s="60" t="s">
        <v>54</v>
      </c>
      <c r="D745" s="46" t="s">
        <v>207</v>
      </c>
      <c r="E745" t="s">
        <v>3928</v>
      </c>
      <c r="F745" s="46" t="s">
        <v>325</v>
      </c>
      <c r="G745" s="114">
        <v>3</v>
      </c>
      <c r="H745" s="74" t="s">
        <v>3929</v>
      </c>
      <c r="I745" s="114" t="s">
        <v>275</v>
      </c>
      <c r="J745" s="46" t="s">
        <v>2872</v>
      </c>
      <c r="K745" s="109">
        <v>46183.446655092594</v>
      </c>
      <c r="L745" s="166">
        <v>46197.473634259259</v>
      </c>
      <c r="M745" s="166">
        <v>46197.478032407409</v>
      </c>
      <c r="N745" s="166">
        <v>46197.480567129627</v>
      </c>
    </row>
    <row r="746" spans="1:14" ht="15" hidden="1" customHeight="1">
      <c r="A746" s="46">
        <v>746</v>
      </c>
      <c r="B746" s="46" t="s">
        <v>26</v>
      </c>
      <c r="C746" s="60" t="s">
        <v>54</v>
      </c>
      <c r="D746" s="46" t="s">
        <v>207</v>
      </c>
      <c r="E746" t="s">
        <v>3928</v>
      </c>
      <c r="F746" s="46" t="s">
        <v>325</v>
      </c>
      <c r="G746" s="114">
        <v>3</v>
      </c>
      <c r="H746" s="74" t="s">
        <v>3929</v>
      </c>
      <c r="I746" s="114" t="s">
        <v>275</v>
      </c>
      <c r="J746" s="46" t="s">
        <v>2872</v>
      </c>
      <c r="K746" s="109">
        <v>46183.446655092594</v>
      </c>
      <c r="L746" s="166">
        <v>46197.488194444442</v>
      </c>
      <c r="M746" s="166">
        <v>46197.489641203705</v>
      </c>
      <c r="N746" s="166">
        <v>46198.287743055553</v>
      </c>
    </row>
    <row r="747" spans="1:14" ht="15" hidden="1" customHeight="1">
      <c r="A747" s="46">
        <v>747</v>
      </c>
      <c r="B747" s="46" t="s">
        <v>26</v>
      </c>
      <c r="C747" s="60" t="s">
        <v>54</v>
      </c>
      <c r="D747" s="46" t="s">
        <v>208</v>
      </c>
      <c r="E747" t="s">
        <v>3596</v>
      </c>
      <c r="F747" s="46" t="s">
        <v>325</v>
      </c>
      <c r="G747" s="114" t="s">
        <v>208</v>
      </c>
      <c r="H747" s="74" t="s">
        <v>3597</v>
      </c>
      <c r="I747" s="74" t="s">
        <v>275</v>
      </c>
      <c r="J747" s="46" t="s">
        <v>2872</v>
      </c>
      <c r="K747" s="109">
        <v>46178.526921296296</v>
      </c>
      <c r="L747" s="166">
        <v>46195.293749999997</v>
      </c>
      <c r="M747" s="166">
        <v>46195.302175925928</v>
      </c>
      <c r="N747" s="166">
        <v>46197.218194444446</v>
      </c>
    </row>
    <row r="748" spans="1:14" ht="15" hidden="1" customHeight="1">
      <c r="A748" s="46">
        <v>748</v>
      </c>
      <c r="B748" s="46" t="s">
        <v>26</v>
      </c>
      <c r="C748" s="60" t="s">
        <v>54</v>
      </c>
      <c r="D748" s="46" t="s">
        <v>208</v>
      </c>
      <c r="E748" t="s">
        <v>3930</v>
      </c>
      <c r="F748" s="46" t="s">
        <v>325</v>
      </c>
      <c r="G748" s="114" t="s">
        <v>208</v>
      </c>
      <c r="H748" s="74" t="s">
        <v>3931</v>
      </c>
      <c r="I748" s="114" t="s">
        <v>271</v>
      </c>
      <c r="J748" s="46" t="s">
        <v>2872</v>
      </c>
      <c r="K748" s="109">
        <v>46198.331574074073</v>
      </c>
      <c r="L748" s="166">
        <v>46198.335486111115</v>
      </c>
      <c r="M748" s="166">
        <v>46198.423043981478</v>
      </c>
      <c r="N748" s="109">
        <v>46206.55023148148</v>
      </c>
    </row>
    <row r="749" spans="1:14" ht="15" hidden="1" customHeight="1">
      <c r="A749" s="46">
        <v>749</v>
      </c>
      <c r="B749" s="46" t="s">
        <v>26</v>
      </c>
      <c r="C749" s="60" t="s">
        <v>54</v>
      </c>
      <c r="D749" s="46" t="s">
        <v>207</v>
      </c>
      <c r="E749" t="s">
        <v>3923</v>
      </c>
      <c r="F749" s="46" t="s">
        <v>325</v>
      </c>
      <c r="G749" s="114">
        <v>3</v>
      </c>
      <c r="H749" s="74" t="s">
        <v>3924</v>
      </c>
      <c r="I749" s="114" t="s">
        <v>266</v>
      </c>
      <c r="J749" s="46" t="s">
        <v>2872</v>
      </c>
      <c r="K749" s="109">
        <v>46191.644537037035</v>
      </c>
    </row>
    <row r="750" spans="1:14" ht="15" hidden="1" customHeight="1">
      <c r="A750" s="46">
        <v>750</v>
      </c>
      <c r="B750" s="46" t="s">
        <v>26</v>
      </c>
      <c r="C750" s="60" t="s">
        <v>54</v>
      </c>
      <c r="D750" s="46" t="s">
        <v>208</v>
      </c>
      <c r="E750" t="s">
        <v>3596</v>
      </c>
      <c r="F750" s="46" t="s">
        <v>325</v>
      </c>
      <c r="G750" s="114" t="s">
        <v>208</v>
      </c>
      <c r="H750" s="74" t="s">
        <v>3597</v>
      </c>
      <c r="I750" s="114" t="s">
        <v>260</v>
      </c>
      <c r="J750" s="46" t="s">
        <v>2872</v>
      </c>
      <c r="K750" s="109">
        <v>46178.526921296296</v>
      </c>
      <c r="L750" s="166">
        <v>46197.499780092592</v>
      </c>
      <c r="M750" s="166">
        <v>46197.537303240744</v>
      </c>
      <c r="N750" s="166">
        <v>46198.285196759258</v>
      </c>
    </row>
    <row r="751" spans="1:14" ht="15" hidden="1" customHeight="1">
      <c r="A751" s="46">
        <v>751</v>
      </c>
      <c r="B751" s="46" t="s">
        <v>26</v>
      </c>
      <c r="C751" s="60" t="s">
        <v>54</v>
      </c>
      <c r="D751" s="46" t="s">
        <v>208</v>
      </c>
      <c r="E751" t="s">
        <v>3932</v>
      </c>
      <c r="F751" s="46" t="s">
        <v>325</v>
      </c>
      <c r="G751" s="114" t="s">
        <v>208</v>
      </c>
      <c r="H751" s="74" t="s">
        <v>2866</v>
      </c>
      <c r="I751" s="114" t="s">
        <v>271</v>
      </c>
      <c r="J751" s="46" t="s">
        <v>2697</v>
      </c>
      <c r="K751" s="109">
        <v>46198.730856481481</v>
      </c>
      <c r="L751" s="166">
        <v>46198.737384259257</v>
      </c>
      <c r="M751" s="166">
        <v>46199.209861111114</v>
      </c>
      <c r="N751" s="166">
        <v>46199.478692129633</v>
      </c>
    </row>
    <row r="752" spans="1:14" ht="15" hidden="1" customHeight="1">
      <c r="A752" s="46">
        <v>752</v>
      </c>
      <c r="B752" s="46" t="s">
        <v>26</v>
      </c>
      <c r="C752" s="60" t="s">
        <v>54</v>
      </c>
      <c r="D752" s="46" t="s">
        <v>208</v>
      </c>
      <c r="E752" t="s">
        <v>3933</v>
      </c>
      <c r="F752" s="46" t="s">
        <v>325</v>
      </c>
      <c r="G752" s="114" t="s">
        <v>208</v>
      </c>
      <c r="H752" s="74" t="s">
        <v>3934</v>
      </c>
      <c r="I752" s="114" t="s">
        <v>271</v>
      </c>
      <c r="J752" s="46" t="s">
        <v>2872</v>
      </c>
      <c r="K752" s="109">
        <v>46200.157673611109</v>
      </c>
      <c r="L752" s="166">
        <v>46200.595208333332</v>
      </c>
      <c r="M752" s="166">
        <v>46202.267361111109</v>
      </c>
      <c r="N752" s="109">
        <v>46204.333344907405</v>
      </c>
    </row>
    <row r="753" spans="1:14" ht="15" hidden="1" customHeight="1">
      <c r="A753" s="46">
        <v>753</v>
      </c>
      <c r="B753" s="46" t="s">
        <v>26</v>
      </c>
      <c r="C753" s="60" t="s">
        <v>54</v>
      </c>
      <c r="D753" s="46" t="s">
        <v>208</v>
      </c>
      <c r="E753" t="s">
        <v>3935</v>
      </c>
      <c r="F753" s="46" t="s">
        <v>325</v>
      </c>
      <c r="G753" s="114" t="s">
        <v>208</v>
      </c>
      <c r="H753" s="74" t="s">
        <v>3936</v>
      </c>
      <c r="I753" s="114" t="s">
        <v>271</v>
      </c>
      <c r="J753" s="46" t="s">
        <v>2872</v>
      </c>
      <c r="K753" s="109">
        <v>46202.276018518518</v>
      </c>
      <c r="L753" s="166">
        <v>46202.276018518518</v>
      </c>
      <c r="M753" s="166">
        <v>46202.288263888891</v>
      </c>
      <c r="N753" s="109">
        <v>46206.216435185182</v>
      </c>
    </row>
    <row r="754" spans="1:14" ht="15" hidden="1" customHeight="1">
      <c r="A754" s="46">
        <v>754</v>
      </c>
      <c r="B754" s="46" t="s">
        <v>26</v>
      </c>
      <c r="C754" s="60" t="s">
        <v>54</v>
      </c>
      <c r="D754" s="46" t="s">
        <v>208</v>
      </c>
      <c r="E754" t="s">
        <v>3937</v>
      </c>
      <c r="F754" s="46" t="s">
        <v>325</v>
      </c>
      <c r="G754" s="114" t="s">
        <v>208</v>
      </c>
      <c r="H754" s="74" t="s">
        <v>3938</v>
      </c>
      <c r="I754" s="114" t="s">
        <v>271</v>
      </c>
      <c r="J754" s="46" t="s">
        <v>2872</v>
      </c>
      <c r="K754" s="109">
        <v>46202.333124999997</v>
      </c>
      <c r="L754" s="166">
        <v>46202.333124999997</v>
      </c>
      <c r="M754" s="166">
        <v>46202.334201388891</v>
      </c>
      <c r="N754" s="109">
        <v>46209.476840277777</v>
      </c>
    </row>
    <row r="755" spans="1:14" ht="15" hidden="1" customHeight="1">
      <c r="A755" s="46">
        <v>755</v>
      </c>
      <c r="B755" s="46" t="s">
        <v>26</v>
      </c>
      <c r="C755" s="60" t="s">
        <v>54</v>
      </c>
      <c r="D755" s="46" t="s">
        <v>207</v>
      </c>
      <c r="E755" t="s">
        <v>3923</v>
      </c>
      <c r="F755" s="46" t="s">
        <v>325</v>
      </c>
      <c r="G755" s="114">
        <v>3</v>
      </c>
      <c r="H755" s="74" t="s">
        <v>3924</v>
      </c>
      <c r="I755" s="114" t="s">
        <v>275</v>
      </c>
      <c r="J755" s="46" t="s">
        <v>2872</v>
      </c>
      <c r="K755" s="109">
        <v>46191.644537037035</v>
      </c>
      <c r="L755" s="166">
        <v>46203.417037037034</v>
      </c>
      <c r="M755" s="166">
        <v>46203.418217592596</v>
      </c>
      <c r="N755" s="166">
        <v>46203.545567129629</v>
      </c>
    </row>
    <row r="756" spans="1:14" ht="15" hidden="1" customHeight="1">
      <c r="A756" s="46">
        <v>756</v>
      </c>
      <c r="B756" s="46" t="s">
        <v>26</v>
      </c>
      <c r="C756" s="60" t="s">
        <v>54</v>
      </c>
      <c r="D756" s="46" t="s">
        <v>208</v>
      </c>
      <c r="E756" t="s">
        <v>3939</v>
      </c>
      <c r="F756" s="46" t="s">
        <v>325</v>
      </c>
      <c r="G756" s="114" t="s">
        <v>208</v>
      </c>
      <c r="H756" s="74" t="s">
        <v>3940</v>
      </c>
      <c r="I756" s="114" t="s">
        <v>271</v>
      </c>
      <c r="J756" s="46" t="s">
        <v>2872</v>
      </c>
      <c r="K756" s="109">
        <v>46202.601412037038</v>
      </c>
      <c r="L756" s="166">
        <v>46202.629062499997</v>
      </c>
      <c r="M756" s="166">
        <v>46203.215543981481</v>
      </c>
      <c r="N756" s="109">
        <v>46206.52548611111</v>
      </c>
    </row>
    <row r="757" spans="1:14" ht="15" hidden="1" customHeight="1">
      <c r="A757" s="46">
        <v>757</v>
      </c>
      <c r="B757" s="46" t="s">
        <v>26</v>
      </c>
      <c r="C757" s="60" t="s">
        <v>54</v>
      </c>
      <c r="D757" s="46" t="s">
        <v>207</v>
      </c>
      <c r="E757" t="s">
        <v>3923</v>
      </c>
      <c r="F757" s="46" t="s">
        <v>325</v>
      </c>
      <c r="G757" s="114">
        <v>3</v>
      </c>
      <c r="H757" s="74" t="s">
        <v>3924</v>
      </c>
      <c r="I757" s="114" t="s">
        <v>266</v>
      </c>
      <c r="J757" s="46" t="s">
        <v>2872</v>
      </c>
      <c r="K757" s="109">
        <v>46191.644537037035</v>
      </c>
      <c r="L757" s="166">
        <v>46203.74322916667</v>
      </c>
      <c r="M757" s="166">
        <v>46204.403414351851</v>
      </c>
    </row>
    <row r="758" spans="1:14" ht="15" hidden="1" customHeight="1">
      <c r="A758" s="46">
        <v>758</v>
      </c>
      <c r="B758" s="46" t="s">
        <v>26</v>
      </c>
      <c r="C758" s="60" t="s">
        <v>54</v>
      </c>
      <c r="D758" s="46" t="s">
        <v>207</v>
      </c>
      <c r="E758" t="s">
        <v>3928</v>
      </c>
      <c r="F758" s="46" t="s">
        <v>325</v>
      </c>
      <c r="G758" s="114">
        <v>3</v>
      </c>
      <c r="H758" s="74" t="s">
        <v>3929</v>
      </c>
      <c r="I758" s="114" t="s">
        <v>275</v>
      </c>
      <c r="J758" s="46" t="s">
        <v>2872</v>
      </c>
      <c r="K758" s="109">
        <v>46183.446655092594</v>
      </c>
      <c r="L758" s="166">
        <v>46203.467442129629</v>
      </c>
      <c r="M758" s="166">
        <v>46203.523379629631</v>
      </c>
      <c r="N758" s="166"/>
    </row>
    <row r="759" spans="1:14" ht="15" hidden="1" customHeight="1">
      <c r="A759" s="46">
        <v>759</v>
      </c>
      <c r="B759" s="46" t="s">
        <v>26</v>
      </c>
      <c r="C759" s="60" t="s">
        <v>54</v>
      </c>
      <c r="D759" s="46" t="s">
        <v>208</v>
      </c>
      <c r="E759" t="s">
        <v>3941</v>
      </c>
      <c r="F759" s="46" t="s">
        <v>325</v>
      </c>
      <c r="G759" s="114" t="s">
        <v>208</v>
      </c>
      <c r="H759" s="74" t="s">
        <v>3942</v>
      </c>
      <c r="I759" s="114" t="s">
        <v>275</v>
      </c>
      <c r="J759" s="46" t="s">
        <v>2872</v>
      </c>
      <c r="K759" s="109">
        <v>46204.20988425926</v>
      </c>
      <c r="L759" s="166">
        <v>46204.20988425926</v>
      </c>
      <c r="M759" s="166">
        <v>46204.21534722222</v>
      </c>
      <c r="N759" s="166">
        <v>46206.321284722224</v>
      </c>
    </row>
    <row r="760" spans="1:14" ht="15" hidden="1" customHeight="1">
      <c r="A760" s="46">
        <v>760</v>
      </c>
      <c r="B760" s="46" t="s">
        <v>26</v>
      </c>
      <c r="C760" s="60" t="s">
        <v>54</v>
      </c>
      <c r="D760" s="46" t="s">
        <v>208</v>
      </c>
      <c r="E760" t="s">
        <v>3943</v>
      </c>
      <c r="F760" s="46" t="s">
        <v>325</v>
      </c>
      <c r="G760" s="114" t="s">
        <v>208</v>
      </c>
      <c r="H760" s="74" t="s">
        <v>3944</v>
      </c>
      <c r="I760" s="114" t="s">
        <v>275</v>
      </c>
      <c r="J760" s="46" t="s">
        <v>2694</v>
      </c>
      <c r="K760" s="109">
        <v>46203.674305555556</v>
      </c>
      <c r="L760" s="166">
        <v>46204.395358796297</v>
      </c>
      <c r="M760" s="166">
        <v>46204.409062500003</v>
      </c>
      <c r="N760" s="166">
        <v>46210.455381944441</v>
      </c>
    </row>
    <row r="761" spans="1:14" ht="15" hidden="1" customHeight="1">
      <c r="A761" s="46">
        <v>761</v>
      </c>
      <c r="B761" s="46" t="s">
        <v>26</v>
      </c>
      <c r="C761" s="60" t="s">
        <v>54</v>
      </c>
      <c r="D761" s="46" t="s">
        <v>208</v>
      </c>
      <c r="E761" t="s">
        <v>3919</v>
      </c>
      <c r="F761" s="46" t="s">
        <v>325</v>
      </c>
      <c r="G761" s="114" t="s">
        <v>208</v>
      </c>
      <c r="H761" s="74" t="s">
        <v>3920</v>
      </c>
      <c r="I761" s="114" t="s">
        <v>266</v>
      </c>
      <c r="J761" s="46" t="s">
        <v>2694</v>
      </c>
      <c r="K761" s="109">
        <v>46192.691238425927</v>
      </c>
      <c r="L761" s="166">
        <v>46204.447638888887</v>
      </c>
      <c r="M761" s="166">
        <v>46204.458773148152</v>
      </c>
    </row>
    <row r="762" spans="1:14" ht="15" hidden="1" customHeight="1">
      <c r="A762" s="46">
        <v>762</v>
      </c>
      <c r="B762" s="46" t="s">
        <v>26</v>
      </c>
      <c r="C762" s="60" t="s">
        <v>54</v>
      </c>
      <c r="D762" s="46" t="s">
        <v>208</v>
      </c>
      <c r="E762" t="s">
        <v>3928</v>
      </c>
      <c r="F762" s="46" t="s">
        <v>325</v>
      </c>
      <c r="G762" s="114" t="s">
        <v>208</v>
      </c>
      <c r="H762" s="74" t="s">
        <v>3929</v>
      </c>
      <c r="I762" s="114" t="s">
        <v>266</v>
      </c>
      <c r="J762" s="46" t="s">
        <v>2872</v>
      </c>
      <c r="K762" s="109">
        <v>46183.446655092594</v>
      </c>
      <c r="L762" s="166">
        <v>46205.56659722222</v>
      </c>
      <c r="M762" s="166">
        <v>46206.305092592593</v>
      </c>
    </row>
    <row r="763" spans="1:14" ht="15" hidden="1" customHeight="1">
      <c r="A763" s="46">
        <v>763</v>
      </c>
      <c r="B763" s="46" t="s">
        <v>26</v>
      </c>
      <c r="C763" s="60" t="s">
        <v>54</v>
      </c>
      <c r="D763" s="46" t="s">
        <v>208</v>
      </c>
      <c r="E763" t="s">
        <v>3945</v>
      </c>
      <c r="F763" s="46" t="s">
        <v>325</v>
      </c>
      <c r="G763" s="114" t="s">
        <v>208</v>
      </c>
      <c r="H763" s="74" t="s">
        <v>3946</v>
      </c>
      <c r="I763" s="114" t="s">
        <v>271</v>
      </c>
      <c r="J763" s="46" t="s">
        <v>2694</v>
      </c>
      <c r="K763" s="109">
        <v>46205.428912037038</v>
      </c>
      <c r="L763" s="166">
        <v>46205.430405092593</v>
      </c>
      <c r="M763" s="166">
        <v>46205.491076388891</v>
      </c>
      <c r="N763" s="109">
        <v>46209.508668981478</v>
      </c>
    </row>
    <row r="764" spans="1:14" ht="15" hidden="1" customHeight="1">
      <c r="A764" s="46">
        <v>764</v>
      </c>
      <c r="B764" s="46" t="s">
        <v>26</v>
      </c>
      <c r="C764" s="60" t="s">
        <v>54</v>
      </c>
      <c r="D764" s="46" t="s">
        <v>208</v>
      </c>
      <c r="E764" t="s">
        <v>3947</v>
      </c>
      <c r="F764" s="46" t="s">
        <v>325</v>
      </c>
      <c r="G764" s="114" t="s">
        <v>208</v>
      </c>
      <c r="H764" s="74" t="s">
        <v>3948</v>
      </c>
      <c r="I764" s="114" t="s">
        <v>275</v>
      </c>
      <c r="J764" s="46" t="s">
        <v>2694</v>
      </c>
      <c r="K764" s="109">
        <v>46204.705150462964</v>
      </c>
      <c r="L764" s="166">
        <v>46205.555983796294</v>
      </c>
      <c r="M764" s="166">
        <v>46206.260335648149</v>
      </c>
      <c r="N764" s="166">
        <v>46206.477673611109</v>
      </c>
    </row>
    <row r="765" spans="1:14" ht="15" hidden="1" customHeight="1">
      <c r="A765" s="46">
        <v>765</v>
      </c>
      <c r="B765" s="46" t="s">
        <v>26</v>
      </c>
      <c r="C765" s="60" t="s">
        <v>54</v>
      </c>
      <c r="D765" s="46" t="s">
        <v>208</v>
      </c>
      <c r="E765" t="s">
        <v>3949</v>
      </c>
      <c r="F765" s="46" t="s">
        <v>325</v>
      </c>
      <c r="G765" s="114" t="s">
        <v>208</v>
      </c>
      <c r="H765" s="74" t="s">
        <v>2866</v>
      </c>
      <c r="I765" s="114" t="s">
        <v>271</v>
      </c>
      <c r="J765" s="46" t="s">
        <v>2697</v>
      </c>
      <c r="K765" s="109">
        <v>46205.727939814817</v>
      </c>
      <c r="L765" s="166">
        <v>46206.380740740744</v>
      </c>
      <c r="M765" s="166">
        <v>46206.398773148147</v>
      </c>
      <c r="N765" s="109">
        <v>46216.276516203703</v>
      </c>
    </row>
    <row r="766" spans="1:14" ht="15" hidden="1" customHeight="1">
      <c r="A766" s="46">
        <v>766</v>
      </c>
      <c r="B766" s="46" t="s">
        <v>26</v>
      </c>
      <c r="C766" s="60" t="s">
        <v>54</v>
      </c>
      <c r="D766" s="46" t="s">
        <v>207</v>
      </c>
      <c r="E766" t="s">
        <v>3950</v>
      </c>
      <c r="F766" s="46" t="s">
        <v>325</v>
      </c>
      <c r="G766" s="114">
        <v>3</v>
      </c>
      <c r="H766" s="74" t="s">
        <v>3951</v>
      </c>
      <c r="I766" s="114" t="s">
        <v>275</v>
      </c>
      <c r="J766" s="251" t="s">
        <v>2872</v>
      </c>
      <c r="K766" s="109">
        <v>46206.412673611114</v>
      </c>
      <c r="L766" s="166">
        <v>46206.415543981479</v>
      </c>
      <c r="M766" s="166">
        <v>46206.421226851853</v>
      </c>
      <c r="N766" s="166">
        <v>46206.461296296293</v>
      </c>
    </row>
    <row r="767" spans="1:14" ht="15" hidden="1" customHeight="1">
      <c r="A767" s="46">
        <v>767</v>
      </c>
      <c r="B767" s="46" t="s">
        <v>26</v>
      </c>
      <c r="C767" s="60" t="s">
        <v>54</v>
      </c>
      <c r="D767" s="46" t="s">
        <v>207</v>
      </c>
      <c r="E767" t="s">
        <v>3749</v>
      </c>
      <c r="F767" s="46" t="s">
        <v>325</v>
      </c>
      <c r="G767" s="114">
        <v>3</v>
      </c>
      <c r="H767" s="74" t="s">
        <v>3750</v>
      </c>
      <c r="I767" s="114" t="s">
        <v>275</v>
      </c>
      <c r="J767" s="251" t="s">
        <v>2872</v>
      </c>
      <c r="K767" s="109">
        <v>46202.350613425922</v>
      </c>
      <c r="L767" s="109">
        <v>46206.454884259256</v>
      </c>
      <c r="M767" s="166">
        <v>46206.462754629632</v>
      </c>
      <c r="N767" s="166">
        <v>46209.426412037035</v>
      </c>
    </row>
    <row r="768" spans="1:14" ht="15" hidden="1" customHeight="1">
      <c r="A768" s="46">
        <v>768</v>
      </c>
      <c r="B768" s="46" t="s">
        <v>26</v>
      </c>
      <c r="C768" s="60" t="s">
        <v>54</v>
      </c>
      <c r="D768" s="46" t="s">
        <v>208</v>
      </c>
      <c r="E768" t="s">
        <v>3952</v>
      </c>
      <c r="F768" s="46" t="s">
        <v>325</v>
      </c>
      <c r="G768" s="114" t="s">
        <v>208</v>
      </c>
      <c r="H768" s="74" t="s">
        <v>3953</v>
      </c>
      <c r="I768" s="114" t="s">
        <v>271</v>
      </c>
      <c r="J768" s="46" t="s">
        <v>2872</v>
      </c>
      <c r="K768" s="109">
        <v>46206.412094907406</v>
      </c>
      <c r="L768" s="166">
        <v>46206.413541666669</v>
      </c>
      <c r="M768" s="166">
        <v>46206.467881944445</v>
      </c>
      <c r="N768" s="109">
        <v>46206.540069444447</v>
      </c>
    </row>
    <row r="769" spans="1:14" ht="15" hidden="1" customHeight="1">
      <c r="A769" s="46">
        <v>769</v>
      </c>
      <c r="B769" s="46" t="s">
        <v>26</v>
      </c>
      <c r="C769" s="46" t="s">
        <v>27</v>
      </c>
      <c r="D769" s="46" t="s">
        <v>208</v>
      </c>
      <c r="E769" s="46" t="s">
        <v>3954</v>
      </c>
      <c r="F769" s="60" t="s">
        <v>318</v>
      </c>
      <c r="G769" s="114" t="s">
        <v>208</v>
      </c>
      <c r="H769" s="74" t="s">
        <v>3773</v>
      </c>
      <c r="I769" s="114" t="s">
        <v>260</v>
      </c>
      <c r="J769" s="46" t="s">
        <v>3015</v>
      </c>
      <c r="K769" s="406">
        <v>46210.389120370368</v>
      </c>
      <c r="L769" s="406">
        <v>46210.389120370368</v>
      </c>
      <c r="M769" s="406">
        <v>46210.410046296296</v>
      </c>
    </row>
    <row r="770" spans="1:14" ht="15" hidden="1" customHeight="1">
      <c r="A770" s="46">
        <v>770</v>
      </c>
      <c r="B770" s="46" t="s">
        <v>26</v>
      </c>
      <c r="C770" s="46" t="s">
        <v>27</v>
      </c>
      <c r="D770" s="46" t="s">
        <v>208</v>
      </c>
      <c r="E770" s="406" t="s">
        <v>3955</v>
      </c>
      <c r="F770" s="60" t="s">
        <v>318</v>
      </c>
      <c r="G770" s="114" t="s">
        <v>208</v>
      </c>
      <c r="H770" s="74" t="s">
        <v>3276</v>
      </c>
      <c r="I770" s="114" t="s">
        <v>260</v>
      </c>
      <c r="J770" s="60" t="s">
        <v>2827</v>
      </c>
      <c r="K770" s="406">
        <v>46210.38925925926</v>
      </c>
      <c r="L770" s="407">
        <v>46210.38925925926</v>
      </c>
      <c r="M770" s="406">
        <v>46210.409583333334</v>
      </c>
    </row>
    <row r="771" spans="1:14" ht="15" hidden="1" customHeight="1">
      <c r="A771" s="46">
        <v>771</v>
      </c>
      <c r="B771" s="46" t="s">
        <v>26</v>
      </c>
      <c r="C771" s="46" t="s">
        <v>27</v>
      </c>
      <c r="D771" s="46" t="s">
        <v>208</v>
      </c>
      <c r="E771" s="46" t="s">
        <v>3956</v>
      </c>
      <c r="F771" s="60" t="s">
        <v>318</v>
      </c>
      <c r="G771" s="114" t="s">
        <v>208</v>
      </c>
      <c r="H771" s="74" t="s">
        <v>3957</v>
      </c>
      <c r="I771" s="114" t="s">
        <v>260</v>
      </c>
      <c r="J771" s="46" t="s">
        <v>2954</v>
      </c>
      <c r="K771" s="407">
        <v>46210.389166666668</v>
      </c>
      <c r="L771" s="407">
        <v>46210.389166666668</v>
      </c>
      <c r="M771" s="406">
        <v>46210.409803240742</v>
      </c>
    </row>
    <row r="772" spans="1:14" ht="15" hidden="1" customHeight="1">
      <c r="A772" s="46">
        <v>772</v>
      </c>
      <c r="B772" s="46" t="s">
        <v>26</v>
      </c>
      <c r="C772" s="46" t="s">
        <v>27</v>
      </c>
      <c r="D772" s="46" t="s">
        <v>208</v>
      </c>
      <c r="E772" s="46" t="s">
        <v>3958</v>
      </c>
      <c r="F772" s="60" t="s">
        <v>318</v>
      </c>
      <c r="G772" s="114" t="s">
        <v>208</v>
      </c>
      <c r="H772" s="74" t="s">
        <v>3959</v>
      </c>
      <c r="I772" s="114" t="s">
        <v>271</v>
      </c>
      <c r="J772" s="46" t="s">
        <v>2751</v>
      </c>
      <c r="K772" s="407">
        <v>46210.388912037037</v>
      </c>
      <c r="L772" s="407">
        <v>46210.388912037037</v>
      </c>
      <c r="M772" s="406">
        <v>46210.279629629629</v>
      </c>
      <c r="N772" s="109">
        <v>46210.419479166667</v>
      </c>
    </row>
    <row r="773" spans="1:14" ht="15" hidden="1" customHeight="1">
      <c r="A773" s="46">
        <v>773</v>
      </c>
      <c r="B773" s="46" t="s">
        <v>26</v>
      </c>
      <c r="C773" s="46" t="s">
        <v>27</v>
      </c>
      <c r="D773" s="46" t="s">
        <v>207</v>
      </c>
      <c r="E773" t="s">
        <v>3960</v>
      </c>
      <c r="F773" s="60" t="s">
        <v>318</v>
      </c>
      <c r="G773" s="114">
        <v>4</v>
      </c>
      <c r="H773" s="74" t="s">
        <v>3961</v>
      </c>
      <c r="I773" s="105" t="s">
        <v>271</v>
      </c>
      <c r="J773" s="46" t="s">
        <v>2772</v>
      </c>
      <c r="K773" s="406">
        <v>46209.845416666663</v>
      </c>
      <c r="L773" s="406">
        <v>46209.850324074076</v>
      </c>
      <c r="M773" s="406">
        <v>46210.280833333331</v>
      </c>
      <c r="N773" s="109">
        <v>46218.133206018516</v>
      </c>
    </row>
    <row r="774" spans="1:14" ht="15" hidden="1" customHeight="1">
      <c r="A774" s="46">
        <v>774</v>
      </c>
      <c r="B774" s="46" t="s">
        <v>26</v>
      </c>
      <c r="C774" s="46" t="s">
        <v>27</v>
      </c>
      <c r="D774" s="46" t="s">
        <v>207</v>
      </c>
      <c r="E774" t="s">
        <v>3962</v>
      </c>
      <c r="F774" s="60" t="s">
        <v>318</v>
      </c>
      <c r="G774" s="114">
        <v>3</v>
      </c>
      <c r="H774" s="74" t="s">
        <v>2707</v>
      </c>
      <c r="I774" s="114" t="s">
        <v>271</v>
      </c>
      <c r="J774" s="46" t="s">
        <v>2708</v>
      </c>
      <c r="K774" s="406">
        <v>46209.696203703701</v>
      </c>
      <c r="L774" s="406">
        <v>46209.696620370371</v>
      </c>
      <c r="M774" s="406">
        <v>46210.279629629629</v>
      </c>
      <c r="N774" s="166">
        <v>46210.325358796297</v>
      </c>
    </row>
    <row r="775" spans="1:14" ht="15" hidden="1" customHeight="1">
      <c r="A775" s="46">
        <v>775</v>
      </c>
      <c r="B775" s="46" t="s">
        <v>26</v>
      </c>
      <c r="C775" s="46" t="s">
        <v>27</v>
      </c>
      <c r="D775" s="46" t="s">
        <v>207</v>
      </c>
      <c r="E775" s="46" t="s">
        <v>3963</v>
      </c>
      <c r="F775" s="60" t="s">
        <v>318</v>
      </c>
      <c r="G775" s="114">
        <v>3</v>
      </c>
      <c r="H775" s="74" t="s">
        <v>2707</v>
      </c>
      <c r="I775" s="114" t="s">
        <v>260</v>
      </c>
      <c r="J775" s="46" t="s">
        <v>2703</v>
      </c>
      <c r="K775" s="406">
        <v>46210.340949074074</v>
      </c>
      <c r="L775" s="406">
        <v>46210.341562499998</v>
      </c>
      <c r="M775" s="406">
        <v>46210.407465277778</v>
      </c>
    </row>
    <row r="776" spans="1:14" ht="15" hidden="1" customHeight="1">
      <c r="A776" s="46">
        <v>776</v>
      </c>
      <c r="B776" s="46" t="s">
        <v>26</v>
      </c>
      <c r="C776" s="46" t="s">
        <v>27</v>
      </c>
      <c r="D776" s="46" t="s">
        <v>207</v>
      </c>
      <c r="E776" s="46" t="s">
        <v>3964</v>
      </c>
      <c r="F776" s="60" t="s">
        <v>318</v>
      </c>
      <c r="G776" s="114">
        <v>3</v>
      </c>
      <c r="H776" s="74" t="s">
        <v>2724</v>
      </c>
      <c r="I776" s="114" t="s">
        <v>271</v>
      </c>
      <c r="J776" s="46" t="s">
        <v>2738</v>
      </c>
      <c r="K776" s="406">
        <v>46210.085289351853</v>
      </c>
      <c r="L776" s="406">
        <v>46210.085289351853</v>
      </c>
      <c r="M776" s="406">
        <v>46210.274317129632</v>
      </c>
      <c r="N776" s="109">
        <v>46210.432083333333</v>
      </c>
    </row>
    <row r="777" spans="1:14" ht="15" hidden="1" customHeight="1">
      <c r="A777" s="46">
        <v>777</v>
      </c>
      <c r="B777" s="46" t="s">
        <v>26</v>
      </c>
      <c r="C777" s="46" t="s">
        <v>27</v>
      </c>
      <c r="D777" s="46" t="s">
        <v>207</v>
      </c>
      <c r="E777" t="s">
        <v>3965</v>
      </c>
      <c r="F777" s="60" t="s">
        <v>318</v>
      </c>
      <c r="G777" s="114">
        <v>4</v>
      </c>
      <c r="H777" s="74" t="s">
        <v>3966</v>
      </c>
      <c r="I777" s="114" t="s">
        <v>275</v>
      </c>
      <c r="J777" s="46" t="s">
        <v>2738</v>
      </c>
      <c r="K777" s="109">
        <v>46204.296203703707</v>
      </c>
      <c r="L777" s="166">
        <v>46210.304444444446</v>
      </c>
      <c r="M777" s="166">
        <v>46210.404652777775</v>
      </c>
    </row>
    <row r="778" spans="1:14" ht="15" hidden="1" customHeight="1">
      <c r="A778" s="46">
        <v>778</v>
      </c>
      <c r="B778" s="46" t="s">
        <v>26</v>
      </c>
      <c r="C778" s="46" t="s">
        <v>27</v>
      </c>
      <c r="D778" s="46" t="s">
        <v>207</v>
      </c>
      <c r="E778" s="46" t="s">
        <v>3965</v>
      </c>
      <c r="F778" s="60" t="s">
        <v>322</v>
      </c>
      <c r="G778" s="114">
        <v>4</v>
      </c>
      <c r="H778" s="74" t="s">
        <v>3966</v>
      </c>
      <c r="I778" s="114" t="s">
        <v>275</v>
      </c>
      <c r="J778" s="46" t="s">
        <v>2717</v>
      </c>
      <c r="K778" s="109">
        <v>46210.304444444446</v>
      </c>
      <c r="L778" s="109">
        <v>46210.406145833331</v>
      </c>
      <c r="M778" s="109">
        <v>46210.415289351855</v>
      </c>
      <c r="N778" s="109">
        <v>46210.421574074076</v>
      </c>
    </row>
    <row r="779" spans="1:14" ht="15" hidden="1" customHeight="1">
      <c r="A779" s="46">
        <v>779</v>
      </c>
      <c r="B779" s="46" t="s">
        <v>26</v>
      </c>
      <c r="C779" s="46" t="s">
        <v>27</v>
      </c>
      <c r="D779" s="46" t="s">
        <v>208</v>
      </c>
      <c r="E779" s="46" t="s">
        <v>3967</v>
      </c>
      <c r="F779" s="60" t="s">
        <v>322</v>
      </c>
      <c r="G779" s="114" t="s">
        <v>208</v>
      </c>
      <c r="H779" s="74" t="s">
        <v>3189</v>
      </c>
      <c r="I779" s="114" t="s">
        <v>275</v>
      </c>
      <c r="J779" s="46" t="s">
        <v>2717</v>
      </c>
      <c r="K779" s="109">
        <v>46210.389004629629</v>
      </c>
      <c r="L779" s="109">
        <v>46210.389004629629</v>
      </c>
      <c r="M779" s="109">
        <v>46210.468726851854</v>
      </c>
      <c r="N779" s="109">
        <v>46210.471168981479</v>
      </c>
    </row>
    <row r="780" spans="1:14" ht="15" hidden="1" customHeight="1">
      <c r="A780" s="46">
        <v>780</v>
      </c>
      <c r="B780" s="46" t="s">
        <v>26</v>
      </c>
      <c r="C780" s="46" t="s">
        <v>27</v>
      </c>
      <c r="D780" s="46" t="s">
        <v>208</v>
      </c>
      <c r="E780" s="46" t="s">
        <v>3968</v>
      </c>
      <c r="F780" s="60" t="s">
        <v>322</v>
      </c>
      <c r="G780" s="114" t="s">
        <v>208</v>
      </c>
      <c r="H780" s="74" t="s">
        <v>3191</v>
      </c>
      <c r="I780" s="114" t="s">
        <v>271</v>
      </c>
      <c r="J780" s="46" t="s">
        <v>2717</v>
      </c>
      <c r="K780" s="109">
        <v>46210.389282407406</v>
      </c>
      <c r="L780" s="109">
        <v>46210.389282407406</v>
      </c>
      <c r="M780" s="109">
        <v>46210.469930555555</v>
      </c>
      <c r="N780" s="109">
        <v>46210.477268518516</v>
      </c>
    </row>
    <row r="781" spans="1:14" ht="15" hidden="1" customHeight="1">
      <c r="A781" s="46">
        <v>781</v>
      </c>
      <c r="B781" s="46" t="s">
        <v>26</v>
      </c>
      <c r="C781" s="46" t="s">
        <v>27</v>
      </c>
      <c r="D781" s="46" t="s">
        <v>207</v>
      </c>
      <c r="E781" s="46" t="s">
        <v>3969</v>
      </c>
      <c r="F781" s="46" t="s">
        <v>318</v>
      </c>
      <c r="G781" s="114">
        <v>3</v>
      </c>
      <c r="H781" s="74" t="s">
        <v>2707</v>
      </c>
      <c r="I781" s="114" t="s">
        <v>260</v>
      </c>
      <c r="J781" s="46" t="s">
        <v>2708</v>
      </c>
      <c r="K781" s="109">
        <v>46210.671435185184</v>
      </c>
      <c r="L781" s="109">
        <v>46210.673483796294</v>
      </c>
      <c r="M781" s="109">
        <v>46211.24113425926</v>
      </c>
    </row>
    <row r="782" spans="1:14" ht="15" hidden="1" customHeight="1">
      <c r="A782" s="46">
        <v>782</v>
      </c>
      <c r="B782" s="46" t="s">
        <v>26</v>
      </c>
      <c r="C782" s="46" t="s">
        <v>27</v>
      </c>
      <c r="D782" s="46" t="s">
        <v>207</v>
      </c>
      <c r="E782" s="46" t="s">
        <v>3970</v>
      </c>
      <c r="F782" s="46" t="s">
        <v>318</v>
      </c>
      <c r="G782" s="114">
        <v>4</v>
      </c>
      <c r="H782" s="74" t="s">
        <v>3971</v>
      </c>
      <c r="I782" s="114" t="s">
        <v>260</v>
      </c>
      <c r="J782" s="46" t="s">
        <v>3972</v>
      </c>
      <c r="K782" s="109">
        <v>46210.93891203704</v>
      </c>
      <c r="L782" s="109">
        <v>46210.944432870368</v>
      </c>
      <c r="M782" s="109">
        <v>46211.249791666669</v>
      </c>
    </row>
    <row r="783" spans="1:14" ht="15" hidden="1" customHeight="1">
      <c r="A783" s="46">
        <v>783</v>
      </c>
      <c r="B783" s="46" t="s">
        <v>26</v>
      </c>
      <c r="C783" s="46" t="s">
        <v>27</v>
      </c>
      <c r="D783" s="46" t="s">
        <v>207</v>
      </c>
      <c r="E783" s="46" t="s">
        <v>3973</v>
      </c>
      <c r="F783" s="46" t="s">
        <v>318</v>
      </c>
      <c r="G783" s="114">
        <v>4</v>
      </c>
      <c r="H783" s="74" t="s">
        <v>2775</v>
      </c>
      <c r="I783" s="114" t="s">
        <v>271</v>
      </c>
      <c r="J783" s="46" t="s">
        <v>2725</v>
      </c>
      <c r="K783" s="109">
        <v>46210.916562500002</v>
      </c>
      <c r="L783" s="109">
        <v>46210.916562500002</v>
      </c>
      <c r="M783" s="109">
        <v>46211.25204861111</v>
      </c>
      <c r="N783" s="109">
        <v>46212.236481481479</v>
      </c>
    </row>
    <row r="784" spans="1:14" ht="15" hidden="1" customHeight="1">
      <c r="A784" s="46">
        <v>784</v>
      </c>
      <c r="B784" s="46" t="s">
        <v>26</v>
      </c>
      <c r="C784" s="46" t="s">
        <v>27</v>
      </c>
      <c r="D784" s="46" t="s">
        <v>207</v>
      </c>
      <c r="E784" s="46" t="s">
        <v>3974</v>
      </c>
      <c r="F784" s="46" t="s">
        <v>318</v>
      </c>
      <c r="G784" s="114">
        <v>4</v>
      </c>
      <c r="H784" s="74" t="s">
        <v>2724</v>
      </c>
      <c r="I784" s="105" t="s">
        <v>271</v>
      </c>
      <c r="J784" s="46" t="s">
        <v>2772</v>
      </c>
      <c r="K784" s="109">
        <v>46210.777638888889</v>
      </c>
      <c r="L784" s="109">
        <v>46210.777638888889</v>
      </c>
      <c r="M784" s="109">
        <v>46211.253553240742</v>
      </c>
      <c r="N784" s="109">
        <v>46217.232164351852</v>
      </c>
    </row>
    <row r="785" spans="1:14" ht="15" hidden="1" customHeight="1">
      <c r="A785" s="46">
        <v>785</v>
      </c>
      <c r="B785" s="46" t="s">
        <v>26</v>
      </c>
      <c r="C785" s="46" t="s">
        <v>27</v>
      </c>
      <c r="D785" s="46" t="s">
        <v>207</v>
      </c>
      <c r="E785" s="46" t="s">
        <v>3975</v>
      </c>
      <c r="F785" s="46" t="s">
        <v>327</v>
      </c>
      <c r="G785" s="114">
        <v>4</v>
      </c>
      <c r="H785" s="74" t="s">
        <v>3976</v>
      </c>
      <c r="I785" s="114" t="s">
        <v>275</v>
      </c>
      <c r="J785" s="46"/>
      <c r="K785" s="109">
        <v>46210.547337962962</v>
      </c>
      <c r="L785" s="109">
        <v>46210.547337962962</v>
      </c>
      <c r="M785" s="109">
        <v>46211.270208333335</v>
      </c>
    </row>
    <row r="786" spans="1:14" ht="15" hidden="1" customHeight="1">
      <c r="A786" s="46">
        <v>786</v>
      </c>
      <c r="B786" s="46" t="s">
        <v>26</v>
      </c>
      <c r="C786" s="46" t="s">
        <v>27</v>
      </c>
      <c r="D786" s="46" t="s">
        <v>207</v>
      </c>
      <c r="E786" s="46" t="s">
        <v>3977</v>
      </c>
      <c r="F786" s="46" t="s">
        <v>318</v>
      </c>
      <c r="G786" s="114">
        <v>3</v>
      </c>
      <c r="H786" s="74" t="s">
        <v>3978</v>
      </c>
      <c r="I786" s="114" t="s">
        <v>260</v>
      </c>
      <c r="J786" s="46" t="s">
        <v>2703</v>
      </c>
      <c r="K786" s="109">
        <v>46211.275856481479</v>
      </c>
      <c r="L786" s="109">
        <v>46211.27784722222</v>
      </c>
      <c r="M786" s="109">
        <v>46211.253553240742</v>
      </c>
    </row>
    <row r="787" spans="1:14" ht="15" hidden="1" customHeight="1">
      <c r="A787" s="46">
        <v>787</v>
      </c>
      <c r="B787" s="46" t="s">
        <v>26</v>
      </c>
      <c r="C787" s="46" t="s">
        <v>27</v>
      </c>
      <c r="D787" s="46" t="s">
        <v>208</v>
      </c>
      <c r="E787" s="46" t="s">
        <v>3967</v>
      </c>
      <c r="F787" s="46" t="s">
        <v>318</v>
      </c>
      <c r="G787" s="114" t="s">
        <v>208</v>
      </c>
      <c r="H787" s="74" t="s">
        <v>3189</v>
      </c>
      <c r="I787" s="114" t="s">
        <v>271</v>
      </c>
      <c r="J787" s="46" t="s">
        <v>2725</v>
      </c>
      <c r="K787" s="109">
        <v>46210.389004629629</v>
      </c>
      <c r="L787" s="109">
        <v>46210.471168981479</v>
      </c>
      <c r="M787" s="109">
        <v>46210.709618055553</v>
      </c>
    </row>
    <row r="788" spans="1:14" ht="15" customHeight="1">
      <c r="A788" s="46">
        <v>788</v>
      </c>
      <c r="B788" s="46" t="s">
        <v>26</v>
      </c>
      <c r="C788" s="46" t="s">
        <v>54</v>
      </c>
      <c r="D788" s="46" t="s">
        <v>207</v>
      </c>
      <c r="E788" s="46" t="s">
        <v>3979</v>
      </c>
      <c r="F788" s="46" t="s">
        <v>53</v>
      </c>
      <c r="G788" s="114">
        <v>3</v>
      </c>
      <c r="H788" s="74" t="s">
        <v>3980</v>
      </c>
      <c r="I788" s="114" t="s">
        <v>275</v>
      </c>
      <c r="J788" s="295" t="s">
        <v>2697</v>
      </c>
      <c r="K788" s="109">
        <v>46210.667071759257</v>
      </c>
      <c r="L788" s="166">
        <v>46211.414490740739</v>
      </c>
      <c r="M788" s="166">
        <v>46211.419351851851</v>
      </c>
      <c r="N788" s="166">
        <v>46211.460358796299</v>
      </c>
    </row>
    <row r="789" spans="1:14" ht="15" customHeight="1">
      <c r="A789" s="46">
        <v>789</v>
      </c>
      <c r="B789" s="46" t="s">
        <v>26</v>
      </c>
      <c r="C789" s="46" t="s">
        <v>54</v>
      </c>
      <c r="D789" s="46" t="s">
        <v>207</v>
      </c>
      <c r="E789" s="46" t="s">
        <v>3979</v>
      </c>
      <c r="F789" s="46" t="s">
        <v>336</v>
      </c>
      <c r="G789" s="114">
        <v>3</v>
      </c>
      <c r="H789" s="74" t="s">
        <v>3980</v>
      </c>
      <c r="I789" s="114" t="s">
        <v>271</v>
      </c>
      <c r="J789" s="295" t="s">
        <v>2697</v>
      </c>
      <c r="K789" s="109">
        <v>46210.667071759257</v>
      </c>
      <c r="L789" s="166">
        <v>46211.460358796299</v>
      </c>
      <c r="M789" s="166">
        <v>46211.460706018515</v>
      </c>
      <c r="N789" s="166">
        <v>46237.750104166669</v>
      </c>
    </row>
    <row r="790" spans="1:14" ht="15" hidden="1" customHeight="1">
      <c r="A790" s="46">
        <v>790</v>
      </c>
      <c r="B790" s="46" t="s">
        <v>26</v>
      </c>
      <c r="C790" s="46" t="s">
        <v>27</v>
      </c>
      <c r="D790" s="46" t="s">
        <v>207</v>
      </c>
      <c r="E790" s="46" t="s">
        <v>3845</v>
      </c>
      <c r="F790" s="46" t="s">
        <v>318</v>
      </c>
      <c r="G790" s="114">
        <v>4</v>
      </c>
      <c r="H790" s="74" t="s">
        <v>3846</v>
      </c>
      <c r="I790" s="114" t="s">
        <v>260</v>
      </c>
      <c r="J790" s="46" t="s">
        <v>2751</v>
      </c>
      <c r="K790" s="109">
        <v>46205.328541666669</v>
      </c>
      <c r="L790" s="166">
        <v>46211.427476851852</v>
      </c>
      <c r="M790" s="166">
        <v>46211.480057870373</v>
      </c>
    </row>
    <row r="791" spans="1:14" ht="15" hidden="1" customHeight="1">
      <c r="A791" s="46">
        <v>791</v>
      </c>
      <c r="B791" s="46" t="s">
        <v>26</v>
      </c>
      <c r="C791" s="46" t="s">
        <v>27</v>
      </c>
      <c r="D791" s="46" t="s">
        <v>207</v>
      </c>
      <c r="E791" s="46" t="s">
        <v>3981</v>
      </c>
      <c r="F791" s="46" t="s">
        <v>318</v>
      </c>
      <c r="G791" s="114">
        <v>3</v>
      </c>
      <c r="H791" s="74" t="s">
        <v>2724</v>
      </c>
      <c r="I791" s="114" t="s">
        <v>271</v>
      </c>
      <c r="J791" s="46" t="s">
        <v>2738</v>
      </c>
      <c r="K791" s="166">
        <v>46211.577766203707</v>
      </c>
      <c r="L791" s="166">
        <v>46211.577800925923</v>
      </c>
      <c r="M791" s="249">
        <v>46211.591296296298</v>
      </c>
      <c r="N791" s="109">
        <v>46212.225138888891</v>
      </c>
    </row>
    <row r="792" spans="1:14" ht="15" customHeight="1">
      <c r="A792" s="46">
        <v>792</v>
      </c>
      <c r="B792" s="46" t="s">
        <v>26</v>
      </c>
      <c r="C792" s="46" t="s">
        <v>54</v>
      </c>
      <c r="D792" s="46" t="s">
        <v>207</v>
      </c>
      <c r="E792" s="46" t="s">
        <v>3982</v>
      </c>
      <c r="F792" s="46" t="s">
        <v>53</v>
      </c>
      <c r="G792" s="114">
        <v>3</v>
      </c>
      <c r="H792" s="74" t="s">
        <v>3983</v>
      </c>
      <c r="I792" s="114" t="s">
        <v>275</v>
      </c>
      <c r="J792" s="295" t="s">
        <v>2697</v>
      </c>
      <c r="K792" s="109">
        <v>46211.582905092589</v>
      </c>
      <c r="L792" s="166">
        <v>46211.593738425923</v>
      </c>
      <c r="M792" s="166">
        <v>46211.593738425923</v>
      </c>
      <c r="N792" s="166">
        <v>46212.231724537036</v>
      </c>
    </row>
    <row r="793" spans="1:14" ht="15" hidden="1" customHeight="1">
      <c r="A793" s="46">
        <v>793</v>
      </c>
      <c r="B793" s="46" t="s">
        <v>26</v>
      </c>
      <c r="C793" s="60" t="s">
        <v>54</v>
      </c>
      <c r="D793" s="46" t="s">
        <v>207</v>
      </c>
      <c r="E793" s="46" t="s">
        <v>3982</v>
      </c>
      <c r="F793" s="46" t="s">
        <v>325</v>
      </c>
      <c r="G793" s="114">
        <v>3</v>
      </c>
      <c r="H793" s="74" t="s">
        <v>3983</v>
      </c>
      <c r="I793" s="114" t="s">
        <v>275</v>
      </c>
      <c r="J793" s="251" t="s">
        <v>2872</v>
      </c>
      <c r="K793" s="109">
        <v>46211.582905092589</v>
      </c>
      <c r="L793" s="166">
        <v>46212.231724537036</v>
      </c>
      <c r="M793" s="166">
        <v>46212.237002314818</v>
      </c>
      <c r="N793" s="166">
        <v>46218.500486111108</v>
      </c>
    </row>
    <row r="794" spans="1:14" ht="15" hidden="1" customHeight="1">
      <c r="A794" s="46">
        <v>794</v>
      </c>
      <c r="B794" s="46" t="s">
        <v>26</v>
      </c>
      <c r="C794" s="46" t="s">
        <v>27</v>
      </c>
      <c r="D794" s="46" t="s">
        <v>207</v>
      </c>
      <c r="E794" s="46" t="s">
        <v>3984</v>
      </c>
      <c r="F794" s="46" t="s">
        <v>318</v>
      </c>
      <c r="G794" s="114">
        <v>3</v>
      </c>
      <c r="H794" s="74" t="s">
        <v>2724</v>
      </c>
      <c r="I794" s="105" t="s">
        <v>271</v>
      </c>
      <c r="J794" s="46" t="s">
        <v>2772</v>
      </c>
      <c r="K794" s="166">
        <v>46212.122789351852</v>
      </c>
      <c r="L794" s="166">
        <v>46212.122847222221</v>
      </c>
      <c r="M794" s="197" t="s">
        <v>3985</v>
      </c>
      <c r="N794" s="109">
        <v>46217.233078703706</v>
      </c>
    </row>
    <row r="795" spans="1:14" ht="15" hidden="1" customHeight="1">
      <c r="A795" s="46">
        <v>795</v>
      </c>
      <c r="B795" s="46" t="s">
        <v>26</v>
      </c>
      <c r="C795" s="46" t="s">
        <v>27</v>
      </c>
      <c r="D795" s="46" t="s">
        <v>207</v>
      </c>
      <c r="E795" s="46" t="s">
        <v>3986</v>
      </c>
      <c r="F795" s="46" t="s">
        <v>318</v>
      </c>
      <c r="G795" s="114">
        <v>3</v>
      </c>
      <c r="H795" s="74" t="s">
        <v>2724</v>
      </c>
      <c r="I795" s="114" t="s">
        <v>260</v>
      </c>
      <c r="J795" s="46" t="s">
        <v>2827</v>
      </c>
      <c r="K795" s="166">
        <v>46212.122777777775</v>
      </c>
      <c r="L795" s="166">
        <v>46212.122847222221</v>
      </c>
      <c r="M795" s="166">
        <v>46212.244803240741</v>
      </c>
    </row>
    <row r="796" spans="1:14" ht="15" hidden="1" customHeight="1">
      <c r="A796" s="46">
        <v>796</v>
      </c>
      <c r="B796" s="46" t="s">
        <v>26</v>
      </c>
      <c r="C796" s="46" t="s">
        <v>27</v>
      </c>
      <c r="D796" s="46" t="s">
        <v>207</v>
      </c>
      <c r="E796" s="46" t="s">
        <v>3987</v>
      </c>
      <c r="F796" s="46" t="s">
        <v>318</v>
      </c>
      <c r="G796" s="114">
        <v>3</v>
      </c>
      <c r="H796" s="74" t="s">
        <v>2775</v>
      </c>
      <c r="I796" s="114" t="s">
        <v>260</v>
      </c>
      <c r="J796" s="46" t="s">
        <v>2751</v>
      </c>
      <c r="K796" s="166">
        <v>46212.116527777776</v>
      </c>
      <c r="L796" s="166">
        <v>46212.116597222222</v>
      </c>
      <c r="M796" s="166">
        <v>46212.247187499997</v>
      </c>
      <c r="N796" s="46"/>
    </row>
    <row r="797" spans="1:14" ht="15" hidden="1" customHeight="1">
      <c r="A797" s="46">
        <v>797</v>
      </c>
      <c r="B797" s="46" t="s">
        <v>26</v>
      </c>
      <c r="C797" s="46" t="s">
        <v>27</v>
      </c>
      <c r="D797" s="46" t="s">
        <v>207</v>
      </c>
      <c r="E797" s="46" t="s">
        <v>3988</v>
      </c>
      <c r="F797" s="46" t="s">
        <v>318</v>
      </c>
      <c r="G797" s="114">
        <v>3</v>
      </c>
      <c r="H797" s="74" t="s">
        <v>2707</v>
      </c>
      <c r="I797" s="114" t="s">
        <v>260</v>
      </c>
      <c r="J797" s="46" t="s">
        <v>2708</v>
      </c>
      <c r="K797" s="166">
        <v>46211.622893518521</v>
      </c>
      <c r="L797" s="166">
        <v>46211.622928240744</v>
      </c>
      <c r="M797" s="166">
        <v>46212.249490740738</v>
      </c>
    </row>
    <row r="798" spans="1:14" ht="15" hidden="1" customHeight="1">
      <c r="A798" s="46">
        <v>798</v>
      </c>
      <c r="B798" s="46" t="s">
        <v>26</v>
      </c>
      <c r="C798" s="46" t="s">
        <v>27</v>
      </c>
      <c r="D798" s="46" t="s">
        <v>207</v>
      </c>
      <c r="E798" s="46" t="s">
        <v>3989</v>
      </c>
      <c r="F798" s="46" t="s">
        <v>318</v>
      </c>
      <c r="G798" s="114">
        <v>3</v>
      </c>
      <c r="H798" s="74" t="s">
        <v>2775</v>
      </c>
      <c r="I798" s="114" t="s">
        <v>271</v>
      </c>
      <c r="J798" s="46" t="s">
        <v>2725</v>
      </c>
      <c r="K798" s="166">
        <v>46212.069421296299</v>
      </c>
      <c r="L798" s="166">
        <v>46212.069490740738</v>
      </c>
      <c r="M798" s="166">
        <v>46212.251956018517</v>
      </c>
      <c r="N798" s="109">
        <v>46213.248784722222</v>
      </c>
    </row>
    <row r="799" spans="1:14" ht="15" hidden="1" customHeight="1">
      <c r="A799" s="46">
        <v>799</v>
      </c>
      <c r="B799" s="46" t="s">
        <v>26</v>
      </c>
      <c r="C799" s="46" t="s">
        <v>27</v>
      </c>
      <c r="D799" s="46" t="s">
        <v>207</v>
      </c>
      <c r="E799" s="46" t="s">
        <v>3990</v>
      </c>
      <c r="F799" s="46" t="s">
        <v>318</v>
      </c>
      <c r="G799" s="114">
        <v>3</v>
      </c>
      <c r="H799" s="74" t="s">
        <v>2724</v>
      </c>
      <c r="I799" s="114" t="s">
        <v>260</v>
      </c>
      <c r="J799" s="46" t="s">
        <v>3015</v>
      </c>
      <c r="K799" s="166">
        <v>46211.864490740743</v>
      </c>
      <c r="L799" s="166">
        <v>46211.864618055559</v>
      </c>
      <c r="M799" s="166">
        <v>46212.255706018521</v>
      </c>
    </row>
    <row r="800" spans="1:14" ht="15" hidden="1" customHeight="1">
      <c r="A800" s="46">
        <v>800</v>
      </c>
      <c r="B800" s="46" t="s">
        <v>26</v>
      </c>
      <c r="C800" s="46" t="s">
        <v>27</v>
      </c>
      <c r="D800" s="46" t="s">
        <v>207</v>
      </c>
      <c r="E800" s="46" t="s">
        <v>3991</v>
      </c>
      <c r="F800" s="46" t="s">
        <v>318</v>
      </c>
      <c r="G800" s="114">
        <v>3</v>
      </c>
      <c r="H800" s="74" t="s">
        <v>3992</v>
      </c>
      <c r="I800" s="114" t="s">
        <v>271</v>
      </c>
      <c r="J800" s="46" t="s">
        <v>2738</v>
      </c>
      <c r="K800" s="166">
        <v>46212.091990740744</v>
      </c>
      <c r="L800" s="166">
        <v>46212.09202546296</v>
      </c>
      <c r="M800" s="166">
        <v>46212.258310185185</v>
      </c>
      <c r="N800" s="109">
        <v>46213.436307870368</v>
      </c>
    </row>
    <row r="801" spans="1:14" ht="15" hidden="1" customHeight="1">
      <c r="A801" s="46">
        <v>801</v>
      </c>
      <c r="B801" s="46" t="s">
        <v>26</v>
      </c>
      <c r="C801" s="46" t="s">
        <v>27</v>
      </c>
      <c r="D801" s="46" t="s">
        <v>207</v>
      </c>
      <c r="E801" s="46" t="s">
        <v>3993</v>
      </c>
      <c r="F801" s="46" t="s">
        <v>318</v>
      </c>
      <c r="G801" s="114">
        <v>4</v>
      </c>
      <c r="H801" s="74" t="s">
        <v>3994</v>
      </c>
      <c r="I801" s="105" t="s">
        <v>271</v>
      </c>
      <c r="J801" s="46" t="s">
        <v>2772</v>
      </c>
      <c r="K801" s="166">
        <v>46212.248900462961</v>
      </c>
      <c r="L801" s="166">
        <v>46212.248981481483</v>
      </c>
      <c r="M801" s="166">
        <v>46212.261377314811</v>
      </c>
      <c r="N801" s="109">
        <v>46217.436006944445</v>
      </c>
    </row>
    <row r="802" spans="1:14" ht="15" customHeight="1">
      <c r="A802" s="46">
        <v>802</v>
      </c>
      <c r="B802" s="46" t="s">
        <v>26</v>
      </c>
      <c r="C802" s="46" t="s">
        <v>27</v>
      </c>
      <c r="D802" s="46" t="s">
        <v>207</v>
      </c>
      <c r="E802" s="46" t="s">
        <v>3995</v>
      </c>
      <c r="F802" s="46" t="s">
        <v>53</v>
      </c>
      <c r="G802" s="114">
        <v>3</v>
      </c>
      <c r="H802" s="74" t="s">
        <v>3996</v>
      </c>
      <c r="I802" s="114" t="s">
        <v>271</v>
      </c>
      <c r="J802" s="296" t="s">
        <v>2708</v>
      </c>
      <c r="K802" s="109">
        <v>46212.265011574076</v>
      </c>
      <c r="L802" s="109">
        <v>46212.265011574076</v>
      </c>
      <c r="M802" s="109">
        <v>46212.284270833334</v>
      </c>
      <c r="N802" s="109">
        <v>46212.343587962961</v>
      </c>
    </row>
    <row r="803" spans="1:14" ht="15" hidden="1" customHeight="1">
      <c r="A803" s="46">
        <v>803</v>
      </c>
      <c r="E803" t="s">
        <v>3997</v>
      </c>
      <c r="J803" s="46"/>
    </row>
    <row r="804" spans="1:14" ht="15" hidden="1" customHeight="1">
      <c r="A804" s="46">
        <v>804</v>
      </c>
      <c r="B804" s="46" t="s">
        <v>26</v>
      </c>
      <c r="C804" s="46" t="s">
        <v>27</v>
      </c>
      <c r="D804" s="46" t="s">
        <v>207</v>
      </c>
      <c r="E804" s="46" t="s">
        <v>3998</v>
      </c>
      <c r="F804" s="46" t="s">
        <v>318</v>
      </c>
      <c r="G804" s="114">
        <v>4</v>
      </c>
      <c r="H804" s="74" t="s">
        <v>3999</v>
      </c>
      <c r="I804" s="114" t="s">
        <v>260</v>
      </c>
      <c r="J804" s="46" t="s">
        <v>2827</v>
      </c>
      <c r="K804" s="166">
        <v>46212.297847222224</v>
      </c>
      <c r="L804" s="166">
        <v>46212.297858796293</v>
      </c>
      <c r="M804" s="166">
        <v>46212.349236111113</v>
      </c>
    </row>
    <row r="805" spans="1:14" ht="15" hidden="1" customHeight="1">
      <c r="A805" s="46">
        <v>805</v>
      </c>
      <c r="B805" s="46" t="s">
        <v>26</v>
      </c>
      <c r="C805" s="46" t="s">
        <v>27</v>
      </c>
      <c r="D805" s="46" t="s">
        <v>207</v>
      </c>
      <c r="E805" s="46" t="s">
        <v>4000</v>
      </c>
      <c r="F805" s="46" t="s">
        <v>318</v>
      </c>
      <c r="G805" s="114">
        <v>3</v>
      </c>
      <c r="H805" s="74" t="s">
        <v>2923</v>
      </c>
      <c r="I805" s="114" t="s">
        <v>260</v>
      </c>
      <c r="J805" s="46" t="s">
        <v>2708</v>
      </c>
      <c r="K805" s="166">
        <v>46212.352187500001</v>
      </c>
      <c r="L805" s="166">
        <v>46212.352256944447</v>
      </c>
      <c r="M805" s="166">
        <v>46212.360486111109</v>
      </c>
    </row>
    <row r="806" spans="1:14" ht="15" hidden="1" customHeight="1">
      <c r="A806" s="46">
        <v>806</v>
      </c>
      <c r="B806" s="46" t="s">
        <v>26</v>
      </c>
      <c r="C806" s="46" t="s">
        <v>27</v>
      </c>
      <c r="D806" s="46" t="s">
        <v>207</v>
      </c>
      <c r="E806" s="46" t="s">
        <v>3854</v>
      </c>
      <c r="F806" s="46" t="s">
        <v>318</v>
      </c>
      <c r="G806" s="114">
        <v>3</v>
      </c>
      <c r="H806" s="74" t="s">
        <v>3855</v>
      </c>
      <c r="I806" s="114" t="s">
        <v>260</v>
      </c>
      <c r="J806" s="46" t="s">
        <v>2714</v>
      </c>
      <c r="K806" s="109">
        <v>46205.522465277776</v>
      </c>
      <c r="L806" s="109">
        <v>46212.407986111109</v>
      </c>
      <c r="M806" s="109">
        <v>46212.431493055556</v>
      </c>
    </row>
    <row r="807" spans="1:14" ht="15" hidden="1" customHeight="1">
      <c r="A807" s="46">
        <v>807</v>
      </c>
      <c r="B807" s="46" t="s">
        <v>26</v>
      </c>
      <c r="C807" s="46" t="s">
        <v>27</v>
      </c>
      <c r="D807" s="46" t="s">
        <v>207</v>
      </c>
      <c r="E807" s="46" t="s">
        <v>4001</v>
      </c>
      <c r="F807" s="46" t="s">
        <v>318</v>
      </c>
      <c r="G807" s="114">
        <v>4</v>
      </c>
      <c r="H807" s="74" t="s">
        <v>4002</v>
      </c>
      <c r="I807" s="114" t="s">
        <v>260</v>
      </c>
      <c r="J807" s="46" t="s">
        <v>2751</v>
      </c>
      <c r="K807" s="109">
        <v>46212.373101851852</v>
      </c>
      <c r="L807" s="109">
        <v>46212.378263888888</v>
      </c>
      <c r="M807" s="109">
        <v>46212.434351851851</v>
      </c>
    </row>
    <row r="808" spans="1:14" ht="15" hidden="1" customHeight="1">
      <c r="A808" s="46">
        <v>808</v>
      </c>
      <c r="B808" s="46" t="s">
        <v>26</v>
      </c>
      <c r="C808" s="46" t="s">
        <v>27</v>
      </c>
      <c r="D808" s="46" t="s">
        <v>207</v>
      </c>
      <c r="E808" s="46" t="s">
        <v>4003</v>
      </c>
      <c r="F808" s="46" t="s">
        <v>327</v>
      </c>
      <c r="G808" s="114">
        <v>4</v>
      </c>
      <c r="H808" s="74" t="s">
        <v>4004</v>
      </c>
      <c r="I808" s="114" t="s">
        <v>275</v>
      </c>
      <c r="J808" s="46"/>
      <c r="K808" s="109">
        <v>46211.370763888888</v>
      </c>
      <c r="L808" s="109">
        <v>46212.805810185186</v>
      </c>
      <c r="M808" s="109">
        <v>46213.255266203705</v>
      </c>
    </row>
    <row r="809" spans="1:14" ht="15" hidden="1" customHeight="1">
      <c r="A809" s="46">
        <v>809</v>
      </c>
      <c r="B809" s="46" t="s">
        <v>26</v>
      </c>
      <c r="C809" s="46" t="s">
        <v>27</v>
      </c>
      <c r="D809" s="46" t="s">
        <v>207</v>
      </c>
      <c r="E809" s="46" t="s">
        <v>4005</v>
      </c>
      <c r="F809" s="46" t="s">
        <v>318</v>
      </c>
      <c r="G809" s="114">
        <v>4</v>
      </c>
      <c r="H809" s="74" t="s">
        <v>4006</v>
      </c>
      <c r="I809" s="114" t="s">
        <v>260</v>
      </c>
      <c r="J809" s="46" t="s">
        <v>2751</v>
      </c>
      <c r="K809" s="109">
        <v>46213.18959490741</v>
      </c>
      <c r="L809" s="109">
        <v>46213.191053240742</v>
      </c>
      <c r="M809" s="109">
        <v>46213.266863425924</v>
      </c>
    </row>
    <row r="810" spans="1:14" ht="15" hidden="1" customHeight="1">
      <c r="A810" s="46">
        <v>810</v>
      </c>
      <c r="B810" s="46" t="s">
        <v>26</v>
      </c>
      <c r="C810" s="46" t="s">
        <v>27</v>
      </c>
      <c r="D810" s="46" t="s">
        <v>207</v>
      </c>
      <c r="E810" s="46" t="s">
        <v>4007</v>
      </c>
      <c r="F810" s="46" t="s">
        <v>318</v>
      </c>
      <c r="G810" s="114">
        <v>3</v>
      </c>
      <c r="H810" s="74" t="s">
        <v>4008</v>
      </c>
      <c r="I810" s="114" t="s">
        <v>271</v>
      </c>
      <c r="J810" s="46" t="s">
        <v>2738</v>
      </c>
      <c r="K810" s="109">
        <v>46213.127800925926</v>
      </c>
      <c r="L810" s="109">
        <v>46213.131412037037</v>
      </c>
      <c r="M810" s="109">
        <v>46213.268784722219</v>
      </c>
      <c r="N810" s="109">
        <v>46213.438923611109</v>
      </c>
    </row>
    <row r="811" spans="1:14" ht="15" hidden="1" customHeight="1">
      <c r="A811" s="46">
        <v>811</v>
      </c>
      <c r="B811" s="46" t="s">
        <v>26</v>
      </c>
      <c r="C811" s="46" t="s">
        <v>27</v>
      </c>
      <c r="D811" s="46" t="s">
        <v>207</v>
      </c>
      <c r="E811" s="46" t="s">
        <v>4009</v>
      </c>
      <c r="F811" s="46" t="s">
        <v>318</v>
      </c>
      <c r="G811" s="114">
        <v>3</v>
      </c>
      <c r="H811" s="74" t="s">
        <v>2707</v>
      </c>
      <c r="I811" s="114" t="s">
        <v>260</v>
      </c>
      <c r="J811" s="109" t="s">
        <v>2708</v>
      </c>
      <c r="K811" s="109">
        <v>46212.63244212963</v>
      </c>
      <c r="L811" s="109">
        <v>46212.666296296295</v>
      </c>
      <c r="M811" s="109">
        <v>46213.269953703704</v>
      </c>
    </row>
    <row r="812" spans="1:14" ht="15" customHeight="1">
      <c r="A812" s="46">
        <v>812</v>
      </c>
      <c r="B812" s="46" t="s">
        <v>26</v>
      </c>
      <c r="C812" s="46" t="s">
        <v>54</v>
      </c>
      <c r="D812" s="46" t="s">
        <v>207</v>
      </c>
      <c r="E812" t="s">
        <v>4010</v>
      </c>
      <c r="F812" s="46" t="s">
        <v>53</v>
      </c>
      <c r="G812" s="114">
        <v>4</v>
      </c>
      <c r="H812" s="74" t="s">
        <v>4011</v>
      </c>
      <c r="I812" s="114" t="s">
        <v>260</v>
      </c>
      <c r="J812" s="295" t="s">
        <v>3132</v>
      </c>
      <c r="K812" s="109">
        <v>46213.057870370372</v>
      </c>
      <c r="L812" s="166">
        <v>46213.220717592594</v>
      </c>
      <c r="M812" s="166">
        <v>46213.234479166669</v>
      </c>
    </row>
    <row r="813" spans="1:14" ht="15" customHeight="1">
      <c r="A813" s="46">
        <v>813</v>
      </c>
      <c r="B813" s="46" t="s">
        <v>26</v>
      </c>
      <c r="C813" s="46" t="s">
        <v>54</v>
      </c>
      <c r="D813" s="46" t="s">
        <v>208</v>
      </c>
      <c r="E813" s="46" t="s">
        <v>4012</v>
      </c>
      <c r="F813" s="46" t="s">
        <v>53</v>
      </c>
      <c r="G813" s="114" t="s">
        <v>208</v>
      </c>
      <c r="H813" s="74" t="s">
        <v>2251</v>
      </c>
      <c r="I813" s="114" t="s">
        <v>275</v>
      </c>
      <c r="J813" s="295" t="s">
        <v>2697</v>
      </c>
      <c r="K813" s="109">
        <v>46196.443611111114</v>
      </c>
      <c r="L813" s="166">
        <v>46213.383761574078</v>
      </c>
      <c r="M813" s="166">
        <v>46213.410150462965</v>
      </c>
      <c r="N813" s="166">
        <v>46213.412719907406</v>
      </c>
    </row>
    <row r="814" spans="1:14" ht="15" customHeight="1">
      <c r="A814" s="46">
        <v>814</v>
      </c>
      <c r="B814" s="46" t="s">
        <v>26</v>
      </c>
      <c r="C814" s="46" t="s">
        <v>54</v>
      </c>
      <c r="D814" s="46" t="s">
        <v>207</v>
      </c>
      <c r="E814" s="46" t="s">
        <v>4013</v>
      </c>
      <c r="F814" s="46" t="s">
        <v>53</v>
      </c>
      <c r="G814" s="114">
        <v>4</v>
      </c>
      <c r="H814" s="74" t="s">
        <v>4014</v>
      </c>
      <c r="I814" s="114" t="s">
        <v>260</v>
      </c>
      <c r="J814" s="295" t="s">
        <v>2703</v>
      </c>
      <c r="K814" s="109">
        <v>46212.945868055554</v>
      </c>
      <c r="L814" s="166">
        <v>46213.55327546296</v>
      </c>
      <c r="M814" s="166">
        <v>46213.663240740738</v>
      </c>
    </row>
    <row r="815" spans="1:14" ht="15" hidden="1" customHeight="1">
      <c r="A815" s="46">
        <v>815</v>
      </c>
      <c r="J815" s="46"/>
    </row>
    <row r="816" spans="1:14" ht="15" hidden="1" customHeight="1">
      <c r="A816" s="46">
        <v>816</v>
      </c>
      <c r="B816" s="46" t="s">
        <v>26</v>
      </c>
      <c r="C816" s="46" t="s">
        <v>27</v>
      </c>
      <c r="D816" s="46" t="s">
        <v>207</v>
      </c>
      <c r="E816" s="46" t="s">
        <v>4015</v>
      </c>
      <c r="F816" s="46" t="s">
        <v>318</v>
      </c>
      <c r="G816" s="114">
        <v>3</v>
      </c>
      <c r="H816" s="74" t="s">
        <v>4016</v>
      </c>
      <c r="I816" s="114" t="s">
        <v>260</v>
      </c>
      <c r="J816" s="109" t="s">
        <v>2708</v>
      </c>
      <c r="K816" s="109">
        <v>46213.300115740742</v>
      </c>
      <c r="L816" s="109">
        <v>46213.300949074073</v>
      </c>
      <c r="M816" s="109">
        <v>46213.320891203701</v>
      </c>
    </row>
    <row r="817" spans="1:14" ht="15" hidden="1" customHeight="1">
      <c r="A817" s="46">
        <v>817</v>
      </c>
      <c r="B817" s="46" t="s">
        <v>26</v>
      </c>
      <c r="C817" s="46" t="s">
        <v>27</v>
      </c>
      <c r="D817" s="46" t="s">
        <v>207</v>
      </c>
      <c r="E817" s="46" t="s">
        <v>4017</v>
      </c>
      <c r="F817" s="46" t="s">
        <v>318</v>
      </c>
      <c r="G817" s="114">
        <v>3</v>
      </c>
      <c r="H817" s="74" t="s">
        <v>4018</v>
      </c>
      <c r="I817" s="114" t="s">
        <v>266</v>
      </c>
      <c r="J817" s="46" t="s">
        <v>2725</v>
      </c>
      <c r="K817" s="109">
        <v>46212.367303240739</v>
      </c>
      <c r="L817" s="109">
        <v>46213.289814814816</v>
      </c>
      <c r="M817" s="109">
        <v>46213.322962962964</v>
      </c>
    </row>
    <row r="818" spans="1:14" ht="15" hidden="1" customHeight="1">
      <c r="A818" s="46">
        <v>818</v>
      </c>
      <c r="B818" s="46" t="s">
        <v>26</v>
      </c>
      <c r="C818" s="46" t="s">
        <v>27</v>
      </c>
      <c r="D818" s="46" t="s">
        <v>207</v>
      </c>
      <c r="E818" s="46" t="s">
        <v>4019</v>
      </c>
      <c r="F818" s="46" t="s">
        <v>318</v>
      </c>
      <c r="G818" s="114">
        <v>3</v>
      </c>
      <c r="H818" s="74" t="s">
        <v>4020</v>
      </c>
      <c r="I818" s="105" t="s">
        <v>271</v>
      </c>
      <c r="J818" s="46" t="s">
        <v>2772</v>
      </c>
      <c r="K818" s="109">
        <v>46213.324467592596</v>
      </c>
      <c r="L818" s="109">
        <v>46213.347893518519</v>
      </c>
      <c r="M818" s="109">
        <v>46213.359224537038</v>
      </c>
      <c r="N818" s="109">
        <v>46217.236724537041</v>
      </c>
    </row>
    <row r="819" spans="1:14" ht="15" hidden="1" customHeight="1">
      <c r="A819" s="46">
        <v>819</v>
      </c>
      <c r="B819" s="46" t="s">
        <v>26</v>
      </c>
      <c r="C819" s="46" t="s">
        <v>27</v>
      </c>
      <c r="D819" s="46" t="s">
        <v>207</v>
      </c>
      <c r="E819" s="46" t="s">
        <v>4021</v>
      </c>
      <c r="F819" s="46" t="s">
        <v>318</v>
      </c>
      <c r="G819" s="114">
        <v>3</v>
      </c>
      <c r="H819" s="74" t="s">
        <v>2923</v>
      </c>
      <c r="I819" s="114" t="s">
        <v>260</v>
      </c>
      <c r="J819" s="109" t="s">
        <v>2708</v>
      </c>
      <c r="K819" s="109">
        <v>46213.352847222224</v>
      </c>
      <c r="L819" s="109">
        <v>46213.353368055556</v>
      </c>
      <c r="M819" s="109">
        <v>46213.361064814817</v>
      </c>
    </row>
    <row r="820" spans="1:14" ht="15" customHeight="1">
      <c r="A820" s="46">
        <v>820</v>
      </c>
      <c r="B820" s="46" t="s">
        <v>26</v>
      </c>
      <c r="C820" s="46" t="s">
        <v>54</v>
      </c>
      <c r="D820" s="46" t="s">
        <v>207</v>
      </c>
      <c r="E820" s="46" t="s">
        <v>4022</v>
      </c>
      <c r="F820" s="46" t="s">
        <v>53</v>
      </c>
      <c r="G820" s="114">
        <v>3</v>
      </c>
      <c r="H820" s="74" t="s">
        <v>4023</v>
      </c>
      <c r="I820" s="114" t="s">
        <v>260</v>
      </c>
      <c r="J820" s="295" t="s">
        <v>2694</v>
      </c>
      <c r="K820" s="109">
        <v>46213.745243055557</v>
      </c>
      <c r="L820" s="166">
        <v>46214.766504629632</v>
      </c>
      <c r="M820" s="166">
        <v>46216.259201388886</v>
      </c>
      <c r="N820" s="74"/>
    </row>
    <row r="821" spans="1:14" ht="15" customHeight="1">
      <c r="A821" s="46">
        <v>821</v>
      </c>
      <c r="B821" s="46" t="s">
        <v>26</v>
      </c>
      <c r="C821" s="46" t="s">
        <v>54</v>
      </c>
      <c r="D821" s="46" t="s">
        <v>207</v>
      </c>
      <c r="E821" s="46" t="s">
        <v>4024</v>
      </c>
      <c r="F821" s="46" t="s">
        <v>53</v>
      </c>
      <c r="G821" s="114">
        <v>3</v>
      </c>
      <c r="H821" s="74" t="s">
        <v>4025</v>
      </c>
      <c r="I821" s="114" t="s">
        <v>260</v>
      </c>
      <c r="J821" s="296" t="s">
        <v>2708</v>
      </c>
      <c r="K821" s="109">
        <v>46213.719629629632</v>
      </c>
      <c r="L821" s="166">
        <v>46213.724120370367</v>
      </c>
      <c r="M821" s="166">
        <v>46216.26599537037</v>
      </c>
    </row>
    <row r="822" spans="1:14" ht="15" customHeight="1">
      <c r="A822" s="46">
        <v>822</v>
      </c>
      <c r="B822" s="46" t="s">
        <v>26</v>
      </c>
      <c r="C822" s="46" t="s">
        <v>54</v>
      </c>
      <c r="D822" s="46" t="s">
        <v>207</v>
      </c>
      <c r="E822" s="46" t="s">
        <v>4026</v>
      </c>
      <c r="F822" s="46" t="s">
        <v>53</v>
      </c>
      <c r="G822" s="114">
        <v>3</v>
      </c>
      <c r="H822" s="109" t="s">
        <v>4027</v>
      </c>
      <c r="I822" s="114" t="s">
        <v>260</v>
      </c>
      <c r="J822" s="295" t="s">
        <v>2694</v>
      </c>
      <c r="K822" s="109">
        <v>46214.924675925926</v>
      </c>
      <c r="L822" s="166">
        <v>46214.924675925926</v>
      </c>
      <c r="M822" s="166">
        <v>46216.269189814811</v>
      </c>
    </row>
    <row r="823" spans="1:14" ht="15" customHeight="1">
      <c r="A823" s="46">
        <v>823</v>
      </c>
      <c r="B823" s="46" t="s">
        <v>26</v>
      </c>
      <c r="C823" s="46" t="s">
        <v>54</v>
      </c>
      <c r="D823" s="46" t="s">
        <v>207</v>
      </c>
      <c r="E823" s="46" t="s">
        <v>4028</v>
      </c>
      <c r="F823" s="46" t="s">
        <v>53</v>
      </c>
      <c r="G823" s="114">
        <v>4</v>
      </c>
      <c r="H823" s="74" t="s">
        <v>4029</v>
      </c>
      <c r="I823" s="114" t="s">
        <v>271</v>
      </c>
      <c r="J823" s="295" t="s">
        <v>2697</v>
      </c>
      <c r="K823" s="109">
        <v>46214.568692129629</v>
      </c>
      <c r="L823" s="166">
        <v>46214.573148148149</v>
      </c>
      <c r="M823" s="166">
        <v>46216.27065972222</v>
      </c>
      <c r="N823" s="166">
        <v>46224.257256944446</v>
      </c>
    </row>
    <row r="824" spans="1:14" ht="15" hidden="1" customHeight="1">
      <c r="A824" s="46">
        <v>824</v>
      </c>
      <c r="B824" s="46" t="s">
        <v>26</v>
      </c>
      <c r="C824" s="46" t="s">
        <v>27</v>
      </c>
      <c r="D824" s="46" t="s">
        <v>208</v>
      </c>
      <c r="E824" s="46" t="s">
        <v>4030</v>
      </c>
      <c r="F824" s="46" t="s">
        <v>322</v>
      </c>
      <c r="G824" s="114" t="s">
        <v>208</v>
      </c>
      <c r="H824" s="74" t="s">
        <v>4031</v>
      </c>
      <c r="I824" s="114" t="s">
        <v>275</v>
      </c>
      <c r="J824" s="46" t="s">
        <v>2717</v>
      </c>
      <c r="K824" s="109">
        <v>46216.266793981478</v>
      </c>
      <c r="L824" s="109">
        <v>46216.266793981478</v>
      </c>
      <c r="M824" s="109">
        <v>46216.301655092589</v>
      </c>
      <c r="N824" s="109">
        <v>46216.313854166663</v>
      </c>
    </row>
    <row r="825" spans="1:14" ht="15" hidden="1" customHeight="1">
      <c r="A825" s="46">
        <v>825</v>
      </c>
      <c r="B825" s="46" t="s">
        <v>26</v>
      </c>
      <c r="C825" s="46" t="s">
        <v>27</v>
      </c>
      <c r="D825" s="46" t="s">
        <v>208</v>
      </c>
      <c r="E825" s="46" t="s">
        <v>4032</v>
      </c>
      <c r="F825" s="46" t="s">
        <v>322</v>
      </c>
      <c r="G825" s="114" t="s">
        <v>208</v>
      </c>
      <c r="H825" s="74" t="s">
        <v>4033</v>
      </c>
      <c r="I825" s="114" t="s">
        <v>275</v>
      </c>
      <c r="J825" s="46" t="s">
        <v>2717</v>
      </c>
      <c r="K825" s="109">
        <v>46216.267291666663</v>
      </c>
      <c r="L825" s="109">
        <v>46216.267291666663</v>
      </c>
      <c r="M825" s="109">
        <v>46216.30736111111</v>
      </c>
      <c r="N825" s="109">
        <v>46216.310844907406</v>
      </c>
    </row>
    <row r="826" spans="1:14" ht="15" hidden="1" customHeight="1">
      <c r="A826" s="46">
        <v>826</v>
      </c>
      <c r="B826" s="46" t="s">
        <v>26</v>
      </c>
      <c r="C826" s="46" t="s">
        <v>27</v>
      </c>
      <c r="D826" s="46" t="s">
        <v>208</v>
      </c>
      <c r="E826" s="46" t="s">
        <v>4030</v>
      </c>
      <c r="F826" s="265" t="s">
        <v>320</v>
      </c>
      <c r="G826" s="114" t="s">
        <v>208</v>
      </c>
      <c r="H826" s="74" t="s">
        <v>4031</v>
      </c>
      <c r="I826" s="114" t="s">
        <v>275</v>
      </c>
      <c r="J826" s="46"/>
      <c r="K826" s="166">
        <v>46216.266793981478</v>
      </c>
      <c r="L826" s="166">
        <v>46216.301736111112</v>
      </c>
      <c r="M826" s="166">
        <v>46216</v>
      </c>
      <c r="N826" s="166"/>
    </row>
    <row r="827" spans="1:14" ht="15" hidden="1" customHeight="1">
      <c r="A827" s="46">
        <v>827</v>
      </c>
      <c r="B827" s="46" t="s">
        <v>26</v>
      </c>
      <c r="C827" s="46" t="s">
        <v>27</v>
      </c>
      <c r="D827" s="46" t="s">
        <v>208</v>
      </c>
      <c r="E827" s="46" t="s">
        <v>4034</v>
      </c>
      <c r="F827" s="265" t="s">
        <v>320</v>
      </c>
      <c r="G827" s="114" t="s">
        <v>208</v>
      </c>
      <c r="H827" s="74" t="s">
        <v>4035</v>
      </c>
      <c r="I827" s="114" t="s">
        <v>275</v>
      </c>
      <c r="J827" s="46"/>
      <c r="K827" s="166">
        <v>46216.273252314815</v>
      </c>
      <c r="L827" s="166">
        <v>46216.400949074072</v>
      </c>
      <c r="M827" s="166">
        <v>46216.400949074072</v>
      </c>
    </row>
    <row r="828" spans="1:14" ht="15" hidden="1" customHeight="1">
      <c r="A828" s="46">
        <v>828</v>
      </c>
      <c r="B828" s="46" t="s">
        <v>26</v>
      </c>
      <c r="C828" s="46" t="s">
        <v>27</v>
      </c>
      <c r="D828" s="46" t="s">
        <v>208</v>
      </c>
      <c r="E828" s="46" t="s">
        <v>4036</v>
      </c>
      <c r="F828" s="265" t="s">
        <v>320</v>
      </c>
      <c r="G828" s="114" t="s">
        <v>208</v>
      </c>
      <c r="H828" s="74" t="s">
        <v>4037</v>
      </c>
      <c r="I828" s="114" t="s">
        <v>275</v>
      </c>
      <c r="J828" s="46"/>
      <c r="K828" s="166">
        <v>46216.270162037035</v>
      </c>
      <c r="L828" s="166">
        <v>46216.406643518516</v>
      </c>
      <c r="M828" s="166">
        <v>46216.406643518516</v>
      </c>
    </row>
    <row r="829" spans="1:14" ht="15" hidden="1" customHeight="1">
      <c r="A829" s="46">
        <v>829</v>
      </c>
      <c r="B829" s="46" t="s">
        <v>26</v>
      </c>
      <c r="C829" s="46" t="s">
        <v>27</v>
      </c>
      <c r="D829" s="46" t="s">
        <v>208</v>
      </c>
      <c r="E829" s="46" t="s">
        <v>4038</v>
      </c>
      <c r="F829" s="265" t="s">
        <v>320</v>
      </c>
      <c r="G829" s="114" t="s">
        <v>208</v>
      </c>
      <c r="H829" s="74" t="s">
        <v>4039</v>
      </c>
      <c r="I829" s="114" t="s">
        <v>275</v>
      </c>
      <c r="J829" s="46"/>
      <c r="K829" s="166">
        <v>46216.269409722219</v>
      </c>
      <c r="L829" s="166">
        <v>46216.410138888888</v>
      </c>
      <c r="M829" s="166">
        <v>46216.410138888888</v>
      </c>
    </row>
    <row r="830" spans="1:14" ht="15" hidden="1" customHeight="1">
      <c r="A830" s="46">
        <v>830</v>
      </c>
      <c r="B830" s="46" t="s">
        <v>26</v>
      </c>
      <c r="C830" s="46" t="s">
        <v>27</v>
      </c>
      <c r="D830" s="46" t="s">
        <v>208</v>
      </c>
      <c r="E830" s="46" t="s">
        <v>4040</v>
      </c>
      <c r="F830" s="265" t="s">
        <v>320</v>
      </c>
      <c r="G830" s="114" t="s">
        <v>208</v>
      </c>
      <c r="H830" s="74" t="s">
        <v>4041</v>
      </c>
      <c r="I830" s="114" t="s">
        <v>275</v>
      </c>
      <c r="J830" s="46"/>
      <c r="K830" s="166">
        <v>46216.269270833334</v>
      </c>
      <c r="L830" s="166">
        <v>46216.413078703707</v>
      </c>
      <c r="M830" s="166">
        <v>46216.413078703707</v>
      </c>
    </row>
    <row r="831" spans="1:14" ht="15" hidden="1" customHeight="1">
      <c r="A831" s="46">
        <v>831</v>
      </c>
      <c r="B831" s="46" t="s">
        <v>26</v>
      </c>
      <c r="C831" s="46" t="s">
        <v>27</v>
      </c>
      <c r="D831" s="46" t="s">
        <v>208</v>
      </c>
      <c r="E831" s="46" t="s">
        <v>4042</v>
      </c>
      <c r="F831" s="265" t="s">
        <v>320</v>
      </c>
      <c r="G831" s="114" t="s">
        <v>208</v>
      </c>
      <c r="H831" s="74" t="s">
        <v>4043</v>
      </c>
      <c r="I831" s="114" t="s">
        <v>275</v>
      </c>
      <c r="J831" s="46"/>
      <c r="K831" s="166">
        <v>46216.267256944448</v>
      </c>
      <c r="L831" s="166">
        <v>46216.415150462963</v>
      </c>
      <c r="M831" s="166">
        <v>46216.415150462963</v>
      </c>
    </row>
    <row r="832" spans="1:14" ht="15" hidden="1" customHeight="1">
      <c r="A832" s="46">
        <v>832</v>
      </c>
      <c r="B832" s="46" t="s">
        <v>26</v>
      </c>
      <c r="C832" s="46" t="s">
        <v>27</v>
      </c>
      <c r="D832" s="46" t="s">
        <v>208</v>
      </c>
      <c r="E832" s="46" t="s">
        <v>4044</v>
      </c>
      <c r="F832" s="265" t="s">
        <v>320</v>
      </c>
      <c r="G832" s="114" t="s">
        <v>208</v>
      </c>
      <c r="H832" s="74" t="s">
        <v>4045</v>
      </c>
      <c r="I832" s="114" t="s">
        <v>275</v>
      </c>
      <c r="J832" s="46"/>
      <c r="K832" s="166">
        <v>46216.266018518516</v>
      </c>
      <c r="L832" s="166">
        <v>46216.418888888889</v>
      </c>
      <c r="M832" s="197" t="s">
        <v>4046</v>
      </c>
    </row>
    <row r="833" spans="1:14" ht="15" hidden="1" customHeight="1">
      <c r="A833" s="46">
        <v>833</v>
      </c>
      <c r="B833" s="46" t="s">
        <v>26</v>
      </c>
      <c r="C833" s="46" t="s">
        <v>27</v>
      </c>
      <c r="D833" s="46" t="s">
        <v>208</v>
      </c>
      <c r="E833" s="46" t="s">
        <v>4047</v>
      </c>
      <c r="F833" s="265" t="s">
        <v>320</v>
      </c>
      <c r="G833" s="114" t="s">
        <v>208</v>
      </c>
      <c r="H833" s="74" t="s">
        <v>4048</v>
      </c>
      <c r="I833" s="114" t="s">
        <v>275</v>
      </c>
      <c r="J833" s="46"/>
      <c r="K833" s="166">
        <v>46216.265474537038</v>
      </c>
      <c r="L833" s="166">
        <v>46216.421817129631</v>
      </c>
      <c r="M833" s="406">
        <v>46216.421817129631</v>
      </c>
    </row>
    <row r="834" spans="1:14" ht="15" hidden="1" customHeight="1">
      <c r="A834" s="46">
        <v>834</v>
      </c>
      <c r="B834" s="46" t="s">
        <v>26</v>
      </c>
      <c r="C834" s="46" t="s">
        <v>27</v>
      </c>
      <c r="D834" s="46" t="s">
        <v>208</v>
      </c>
      <c r="E834" s="46" t="s">
        <v>4049</v>
      </c>
      <c r="F834" s="46" t="s">
        <v>318</v>
      </c>
      <c r="G834" s="114" t="s">
        <v>208</v>
      </c>
      <c r="H834" s="74" t="s">
        <v>4050</v>
      </c>
      <c r="I834" s="114" t="s">
        <v>260</v>
      </c>
      <c r="J834" s="46" t="s">
        <v>2714</v>
      </c>
      <c r="K834" s="109">
        <v>46213.714837962965</v>
      </c>
      <c r="L834" s="109">
        <v>46213.714837962965</v>
      </c>
      <c r="M834" s="406">
        <v>46216.271574074075</v>
      </c>
    </row>
    <row r="835" spans="1:14" ht="15" hidden="1" customHeight="1">
      <c r="A835" s="46">
        <v>835</v>
      </c>
      <c r="B835" s="46" t="s">
        <v>26</v>
      </c>
      <c r="C835" s="46" t="s">
        <v>27</v>
      </c>
      <c r="D835" s="46" t="s">
        <v>208</v>
      </c>
      <c r="E835" s="46" t="s">
        <v>4051</v>
      </c>
      <c r="F835" s="46" t="s">
        <v>318</v>
      </c>
      <c r="G835" s="114" t="s">
        <v>208</v>
      </c>
      <c r="H835" s="74" t="s">
        <v>4052</v>
      </c>
      <c r="I835" s="114" t="s">
        <v>275</v>
      </c>
      <c r="J835" s="46" t="s">
        <v>2725</v>
      </c>
      <c r="K835" s="109">
        <v>46213.322847222225</v>
      </c>
      <c r="L835" s="166">
        <v>46214.306296296294</v>
      </c>
      <c r="M835" s="406">
        <v>46216.274224537039</v>
      </c>
    </row>
    <row r="836" spans="1:14" ht="15" hidden="1" customHeight="1">
      <c r="A836" s="46">
        <v>836</v>
      </c>
      <c r="B836" s="46" t="s">
        <v>26</v>
      </c>
      <c r="C836" s="46" t="s">
        <v>27</v>
      </c>
      <c r="D836" s="46" t="s">
        <v>208</v>
      </c>
      <c r="E836" s="46" t="s">
        <v>4053</v>
      </c>
      <c r="F836" s="46" t="s">
        <v>318</v>
      </c>
      <c r="G836" s="114" t="s">
        <v>208</v>
      </c>
      <c r="H836" s="74" t="s">
        <v>4054</v>
      </c>
      <c r="I836" s="114" t="s">
        <v>275</v>
      </c>
      <c r="J836" s="46"/>
      <c r="K836" s="109">
        <v>46216.272141203706</v>
      </c>
      <c r="L836" s="109">
        <v>46216.272141203706</v>
      </c>
      <c r="M836" s="406">
        <v>46216.357418981483</v>
      </c>
    </row>
    <row r="837" spans="1:14" ht="15" hidden="1" customHeight="1">
      <c r="A837" s="46">
        <v>837</v>
      </c>
      <c r="B837" s="46" t="s">
        <v>26</v>
      </c>
      <c r="C837" s="46" t="s">
        <v>27</v>
      </c>
      <c r="D837" s="46" t="s">
        <v>208</v>
      </c>
      <c r="E837" s="46" t="s">
        <v>4055</v>
      </c>
      <c r="F837" s="46" t="s">
        <v>318</v>
      </c>
      <c r="G837" s="114" t="s">
        <v>208</v>
      </c>
      <c r="H837" s="74" t="s">
        <v>4056</v>
      </c>
      <c r="I837" s="114" t="s">
        <v>275</v>
      </c>
      <c r="J837" s="46"/>
      <c r="K837" s="109">
        <v>46216.269988425927</v>
      </c>
      <c r="L837" s="109">
        <v>46216.269988425927</v>
      </c>
      <c r="M837" s="406">
        <v>46216.357870370368</v>
      </c>
    </row>
    <row r="838" spans="1:14" ht="15" hidden="1" customHeight="1">
      <c r="A838" s="46">
        <v>838</v>
      </c>
      <c r="B838" s="46" t="s">
        <v>26</v>
      </c>
      <c r="C838" s="46" t="s">
        <v>27</v>
      </c>
      <c r="D838" s="46" t="s">
        <v>208</v>
      </c>
      <c r="E838" s="46" t="s">
        <v>4057</v>
      </c>
      <c r="F838" s="46" t="s">
        <v>318</v>
      </c>
      <c r="G838" s="114" t="s">
        <v>208</v>
      </c>
      <c r="H838" s="74" t="s">
        <v>4058</v>
      </c>
      <c r="I838" s="114" t="s">
        <v>275</v>
      </c>
      <c r="J838" s="46"/>
      <c r="K838" s="109">
        <v>46216.268414351849</v>
      </c>
      <c r="L838" s="109">
        <v>46216.268414351849</v>
      </c>
      <c r="M838" s="406">
        <v>46216.35837962963</v>
      </c>
    </row>
    <row r="839" spans="1:14" ht="15" hidden="1" customHeight="1">
      <c r="A839" s="46">
        <v>839</v>
      </c>
      <c r="B839" s="46" t="s">
        <v>26</v>
      </c>
      <c r="C839" s="46" t="s">
        <v>27</v>
      </c>
      <c r="D839" s="46" t="s">
        <v>208</v>
      </c>
      <c r="E839" s="46" t="s">
        <v>4059</v>
      </c>
      <c r="F839" s="46" t="s">
        <v>318</v>
      </c>
      <c r="G839" s="114" t="s">
        <v>208</v>
      </c>
      <c r="H839" s="74" t="s">
        <v>4060</v>
      </c>
      <c r="I839" s="114" t="s">
        <v>275</v>
      </c>
      <c r="J839" s="46"/>
      <c r="K839" s="109">
        <v>46216.26761574074</v>
      </c>
      <c r="L839" s="109">
        <v>46216.26761574074</v>
      </c>
      <c r="M839" s="406">
        <v>46216.358784722222</v>
      </c>
    </row>
    <row r="840" spans="1:14" ht="15" hidden="1" customHeight="1">
      <c r="A840" s="46">
        <v>840</v>
      </c>
      <c r="B840" s="46" t="s">
        <v>26</v>
      </c>
      <c r="C840" s="46" t="s">
        <v>27</v>
      </c>
      <c r="D840" s="46" t="s">
        <v>208</v>
      </c>
      <c r="E840" s="46" t="s">
        <v>4061</v>
      </c>
      <c r="F840" s="46" t="s">
        <v>318</v>
      </c>
      <c r="G840" s="114" t="s">
        <v>208</v>
      </c>
      <c r="H840" s="74" t="s">
        <v>4060</v>
      </c>
      <c r="I840" s="114" t="s">
        <v>275</v>
      </c>
      <c r="J840" s="46"/>
      <c r="K840" s="406">
        <v>46216.26761574074</v>
      </c>
      <c r="L840" s="407">
        <v>46216.26761574074</v>
      </c>
      <c r="M840" s="406">
        <v>46216.358784722222</v>
      </c>
    </row>
    <row r="841" spans="1:14" ht="15" hidden="1" customHeight="1">
      <c r="A841" s="46">
        <v>841</v>
      </c>
      <c r="B841" s="46" t="s">
        <v>26</v>
      </c>
      <c r="C841" s="46" t="s">
        <v>27</v>
      </c>
      <c r="D841" s="46" t="s">
        <v>207</v>
      </c>
      <c r="E841" s="46" t="s">
        <v>4062</v>
      </c>
      <c r="F841" s="46" t="s">
        <v>318</v>
      </c>
      <c r="G841" s="114">
        <v>3</v>
      </c>
      <c r="H841" s="74" t="s">
        <v>2775</v>
      </c>
      <c r="I841" s="114" t="s">
        <v>271</v>
      </c>
      <c r="J841" s="46" t="s">
        <v>2725</v>
      </c>
      <c r="K841" s="406">
        <v>46215.230127314811</v>
      </c>
      <c r="L841" s="406">
        <v>46215.230127314811</v>
      </c>
      <c r="M841" s="406">
        <v>46216.259583333333</v>
      </c>
      <c r="N841" s="109">
        <v>46217.305011574077</v>
      </c>
    </row>
    <row r="842" spans="1:14" ht="15" hidden="1" customHeight="1">
      <c r="A842" s="46">
        <v>842</v>
      </c>
      <c r="B842" s="46" t="s">
        <v>26</v>
      </c>
      <c r="C842" s="46" t="s">
        <v>27</v>
      </c>
      <c r="D842" s="46" t="s">
        <v>207</v>
      </c>
      <c r="E842" s="46" t="s">
        <v>4063</v>
      </c>
      <c r="F842" s="46" t="s">
        <v>318</v>
      </c>
      <c r="G842" s="114">
        <v>3</v>
      </c>
      <c r="H842" s="74" t="s">
        <v>2776</v>
      </c>
      <c r="I842" s="114" t="s">
        <v>271</v>
      </c>
      <c r="J842" s="46" t="s">
        <v>2738</v>
      </c>
      <c r="K842" s="406">
        <v>46213.98028935185</v>
      </c>
      <c r="L842" s="406">
        <v>46213.98028935185</v>
      </c>
      <c r="M842" s="406">
        <v>46216.261238425926</v>
      </c>
      <c r="N842" s="109">
        <v>46216.44332175926</v>
      </c>
    </row>
    <row r="843" spans="1:14" ht="15" hidden="1" customHeight="1">
      <c r="A843" s="46">
        <v>843</v>
      </c>
      <c r="B843" s="46" t="s">
        <v>26</v>
      </c>
      <c r="C843" s="46" t="s">
        <v>27</v>
      </c>
      <c r="D843" s="46" t="s">
        <v>207</v>
      </c>
      <c r="E843" s="46" t="s">
        <v>4064</v>
      </c>
      <c r="F843" s="46" t="s">
        <v>318</v>
      </c>
      <c r="G843" s="114">
        <v>3</v>
      </c>
      <c r="H843" s="74" t="s">
        <v>4065</v>
      </c>
      <c r="I843" s="114" t="s">
        <v>260</v>
      </c>
      <c r="J843" s="46" t="s">
        <v>2751</v>
      </c>
      <c r="K843" s="406">
        <v>46214.9140625</v>
      </c>
      <c r="L843" s="406">
        <v>46214.916481481479</v>
      </c>
      <c r="M843" s="406">
        <v>46216.263171296298</v>
      </c>
      <c r="N843" s="46"/>
    </row>
    <row r="844" spans="1:14" ht="15" hidden="1" customHeight="1">
      <c r="A844" s="46">
        <v>844</v>
      </c>
      <c r="B844" s="46" t="s">
        <v>26</v>
      </c>
      <c r="C844" s="46" t="s">
        <v>27</v>
      </c>
      <c r="D844" s="46" t="s">
        <v>207</v>
      </c>
      <c r="E844" s="46" t="s">
        <v>4066</v>
      </c>
      <c r="F844" s="46" t="s">
        <v>318</v>
      </c>
      <c r="G844" s="114">
        <v>3</v>
      </c>
      <c r="H844" s="406" t="s">
        <v>4067</v>
      </c>
      <c r="I844" s="114" t="s">
        <v>260</v>
      </c>
      <c r="J844" s="46" t="s">
        <v>2708</v>
      </c>
      <c r="K844" s="406">
        <v>46215.708506944444</v>
      </c>
      <c r="L844" s="406">
        <v>46215.710034722222</v>
      </c>
      <c r="M844" s="406">
        <v>46216.263703703706</v>
      </c>
    </row>
    <row r="845" spans="1:14" ht="15" hidden="1" customHeight="1">
      <c r="A845" s="46">
        <v>845</v>
      </c>
      <c r="B845" s="46" t="s">
        <v>26</v>
      </c>
      <c r="C845" s="46" t="s">
        <v>27</v>
      </c>
      <c r="D845" s="46" t="s">
        <v>207</v>
      </c>
      <c r="E845" s="46" t="s">
        <v>4068</v>
      </c>
      <c r="F845" s="46" t="s">
        <v>318</v>
      </c>
      <c r="G845" s="114">
        <v>3</v>
      </c>
      <c r="H845" s="74" t="s">
        <v>2707</v>
      </c>
      <c r="I845" s="114" t="s">
        <v>260</v>
      </c>
      <c r="J845" s="46" t="s">
        <v>2703</v>
      </c>
      <c r="K845" s="406">
        <v>46213.608344907407</v>
      </c>
      <c r="L845" s="406">
        <v>46213.685972222222</v>
      </c>
      <c r="M845" s="406">
        <v>46216.264270833337</v>
      </c>
    </row>
    <row r="846" spans="1:14" ht="15" hidden="1" customHeight="1">
      <c r="A846" s="46">
        <v>846</v>
      </c>
      <c r="B846" s="46" t="s">
        <v>26</v>
      </c>
      <c r="C846" s="46" t="s">
        <v>27</v>
      </c>
      <c r="D846" s="46" t="s">
        <v>207</v>
      </c>
      <c r="E846" s="46" t="s">
        <v>4069</v>
      </c>
      <c r="F846" s="46" t="s">
        <v>318</v>
      </c>
      <c r="G846" s="114">
        <v>3</v>
      </c>
      <c r="H846" s="74" t="s">
        <v>4070</v>
      </c>
      <c r="I846" s="114" t="s">
        <v>260</v>
      </c>
      <c r="J846" s="46" t="s">
        <v>2714</v>
      </c>
      <c r="K846" s="406">
        <v>46214.582708333335</v>
      </c>
      <c r="L846" s="406">
        <v>46214.583124999997</v>
      </c>
      <c r="M846" s="406">
        <v>46216.266134259262</v>
      </c>
    </row>
    <row r="847" spans="1:14" ht="15" hidden="1" customHeight="1">
      <c r="A847" s="46">
        <v>847</v>
      </c>
      <c r="B847" s="46" t="s">
        <v>26</v>
      </c>
      <c r="C847" s="46" t="s">
        <v>27</v>
      </c>
      <c r="D847" s="46" t="s">
        <v>207</v>
      </c>
      <c r="E847" s="46" t="s">
        <v>4071</v>
      </c>
      <c r="F847" s="46" t="s">
        <v>318</v>
      </c>
      <c r="G847" s="114">
        <v>3</v>
      </c>
      <c r="H847" s="74" t="s">
        <v>2724</v>
      </c>
      <c r="I847" s="114" t="s">
        <v>271</v>
      </c>
      <c r="J847" s="46" t="s">
        <v>2738</v>
      </c>
      <c r="K847" s="406">
        <v>46215.104398148149</v>
      </c>
      <c r="L847" s="406">
        <v>46215.104398148149</v>
      </c>
      <c r="M847" s="406">
        <v>46216.258761574078</v>
      </c>
      <c r="N847" s="166">
        <v>46217.25681712963</v>
      </c>
    </row>
    <row r="848" spans="1:14" ht="15" hidden="1" customHeight="1">
      <c r="A848" s="46">
        <v>848</v>
      </c>
      <c r="B848" s="46" t="s">
        <v>26</v>
      </c>
      <c r="C848" s="46" t="s">
        <v>27</v>
      </c>
      <c r="D848" s="46" t="s">
        <v>207</v>
      </c>
      <c r="E848" s="46" t="s">
        <v>4072</v>
      </c>
      <c r="F848" s="46" t="s">
        <v>318</v>
      </c>
      <c r="G848" s="114">
        <v>3</v>
      </c>
      <c r="H848" s="74" t="s">
        <v>4073</v>
      </c>
      <c r="I848" s="114" t="s">
        <v>260</v>
      </c>
      <c r="J848" s="46" t="s">
        <v>2827</v>
      </c>
      <c r="K848" s="406">
        <v>46204.388773148145</v>
      </c>
      <c r="L848" s="406">
        <v>46216.351053240738</v>
      </c>
      <c r="M848" s="406">
        <v>46216.353437500002</v>
      </c>
    </row>
    <row r="849" spans="1:21" ht="15" hidden="1" customHeight="1">
      <c r="A849" s="46">
        <v>849</v>
      </c>
      <c r="B849" s="46" t="s">
        <v>26</v>
      </c>
      <c r="C849" s="46" t="s">
        <v>27</v>
      </c>
      <c r="D849" s="46" t="s">
        <v>207</v>
      </c>
      <c r="E849" s="46" t="s">
        <v>4074</v>
      </c>
      <c r="F849" s="46" t="s">
        <v>318</v>
      </c>
      <c r="G849" s="114">
        <v>4</v>
      </c>
      <c r="H849" s="74" t="s">
        <v>4075</v>
      </c>
      <c r="I849" s="114" t="s">
        <v>275</v>
      </c>
      <c r="J849" s="46" t="s">
        <v>2738</v>
      </c>
      <c r="K849" s="406">
        <v>46213.834467592591</v>
      </c>
      <c r="L849" s="406">
        <v>46213.834467592591</v>
      </c>
      <c r="M849" s="406">
        <v>46216.258194444446</v>
      </c>
    </row>
    <row r="850" spans="1:21" ht="15" hidden="1" customHeight="1">
      <c r="A850" s="46">
        <v>850</v>
      </c>
      <c r="B850" s="46" t="s">
        <v>26</v>
      </c>
      <c r="C850" s="46" t="s">
        <v>27</v>
      </c>
      <c r="D850" s="46" t="s">
        <v>207</v>
      </c>
      <c r="E850" s="46" t="s">
        <v>4076</v>
      </c>
      <c r="F850" s="46" t="s">
        <v>318</v>
      </c>
      <c r="G850" s="114">
        <v>4</v>
      </c>
      <c r="H850" s="74" t="s">
        <v>4077</v>
      </c>
      <c r="I850" s="105" t="s">
        <v>271</v>
      </c>
      <c r="J850" s="46" t="s">
        <v>2772</v>
      </c>
      <c r="K850" s="406">
        <v>46213.719201388885</v>
      </c>
      <c r="L850" s="406">
        <v>46213.722824074073</v>
      </c>
      <c r="M850" s="406">
        <v>46216.262233796297</v>
      </c>
      <c r="N850" s="109">
        <v>46219.261874999997</v>
      </c>
    </row>
    <row r="851" spans="1:21" ht="15" hidden="1" customHeight="1">
      <c r="A851" s="46">
        <v>851</v>
      </c>
      <c r="B851" s="46" t="s">
        <v>26</v>
      </c>
      <c r="C851" s="46" t="s">
        <v>27</v>
      </c>
      <c r="D851" s="46" t="s">
        <v>208</v>
      </c>
      <c r="E851" s="46" t="s">
        <v>3640</v>
      </c>
      <c r="F851" s="265" t="s">
        <v>320</v>
      </c>
      <c r="G851" s="114" t="s">
        <v>208</v>
      </c>
      <c r="H851" s="74" t="s">
        <v>4078</v>
      </c>
      <c r="I851" s="114" t="s">
        <v>260</v>
      </c>
      <c r="J851" s="46" t="s">
        <v>2751</v>
      </c>
      <c r="K851" s="407">
        <v>46196.376909722225</v>
      </c>
      <c r="L851" s="406">
        <v>46213.796238425923</v>
      </c>
      <c r="M851" s="406">
        <v>46216.425358796296</v>
      </c>
    </row>
    <row r="852" spans="1:21" ht="15" customHeight="1">
      <c r="A852" s="46">
        <v>852</v>
      </c>
      <c r="B852" s="46" t="s">
        <v>26</v>
      </c>
      <c r="C852" s="46" t="s">
        <v>54</v>
      </c>
      <c r="D852" s="46" t="s">
        <v>207</v>
      </c>
      <c r="E852" s="46" t="s">
        <v>3749</v>
      </c>
      <c r="F852" s="46" t="s">
        <v>53</v>
      </c>
      <c r="G852" s="114">
        <v>3</v>
      </c>
      <c r="H852" s="74" t="s">
        <v>3750</v>
      </c>
      <c r="I852" s="114" t="s">
        <v>260</v>
      </c>
      <c r="J852" s="295" t="s">
        <v>2700</v>
      </c>
      <c r="K852" s="407">
        <v>46202.350613425922</v>
      </c>
      <c r="L852" s="406">
        <v>46216.326921296299</v>
      </c>
      <c r="M852" s="406">
        <v>46216.42627314815</v>
      </c>
    </row>
    <row r="853" spans="1:21" ht="15" customHeight="1">
      <c r="A853" s="46">
        <v>853</v>
      </c>
      <c r="B853" s="46" t="s">
        <v>26</v>
      </c>
      <c r="C853" s="46" t="s">
        <v>54</v>
      </c>
      <c r="D853" s="46" t="s">
        <v>207</v>
      </c>
      <c r="E853" s="46" t="s">
        <v>3433</v>
      </c>
      <c r="F853" s="46" t="s">
        <v>53</v>
      </c>
      <c r="G853" s="114">
        <v>3</v>
      </c>
      <c r="H853" s="74" t="s">
        <v>3434</v>
      </c>
      <c r="I853" s="114" t="s">
        <v>260</v>
      </c>
      <c r="J853" s="295" t="s">
        <v>2708</v>
      </c>
      <c r="K853" s="407">
        <v>46188.286932870367</v>
      </c>
      <c r="L853" s="406">
        <v>46216.375752314816</v>
      </c>
      <c r="M853" s="406">
        <v>46216.428506944445</v>
      </c>
    </row>
    <row r="854" spans="1:21" ht="15" customHeight="1">
      <c r="A854" s="46">
        <v>854</v>
      </c>
      <c r="B854" s="46" t="s">
        <v>26</v>
      </c>
      <c r="C854" s="46" t="s">
        <v>54</v>
      </c>
      <c r="D854" s="46" t="s">
        <v>207</v>
      </c>
      <c r="E854" s="46" t="s">
        <v>4026</v>
      </c>
      <c r="F854" s="46" t="s">
        <v>53</v>
      </c>
      <c r="G854" s="114">
        <v>3</v>
      </c>
      <c r="H854" s="74" t="s">
        <v>4027</v>
      </c>
      <c r="I854" s="114" t="s">
        <v>260</v>
      </c>
      <c r="J854" s="295" t="s">
        <v>2694</v>
      </c>
      <c r="K854" s="407">
        <v>46214.924675925926</v>
      </c>
      <c r="L854" s="406">
        <v>46216.383900462963</v>
      </c>
      <c r="M854" s="406">
        <v>46216.430162037039</v>
      </c>
    </row>
    <row r="855" spans="1:21" ht="15" customHeight="1">
      <c r="A855" s="46">
        <v>855</v>
      </c>
      <c r="B855" s="46" t="s">
        <v>26</v>
      </c>
      <c r="C855" s="46" t="s">
        <v>54</v>
      </c>
      <c r="D855" s="46" t="s">
        <v>207</v>
      </c>
      <c r="E855" s="46" t="s">
        <v>4079</v>
      </c>
      <c r="F855" s="46" t="s">
        <v>53</v>
      </c>
      <c r="G855" s="114">
        <v>3</v>
      </c>
      <c r="H855" s="74" t="s">
        <v>4080</v>
      </c>
      <c r="I855" s="114" t="s">
        <v>271</v>
      </c>
      <c r="J855" s="295" t="s">
        <v>2697</v>
      </c>
      <c r="K855" s="109">
        <v>46212.487511574072</v>
      </c>
      <c r="L855" s="109">
        <v>46216.324270833335</v>
      </c>
      <c r="M855" s="406">
        <v>46216.432754629626</v>
      </c>
      <c r="N855" s="166">
        <v>46225.49181712963</v>
      </c>
    </row>
    <row r="856" spans="1:21" ht="15" hidden="1" customHeight="1">
      <c r="A856" s="46">
        <v>856</v>
      </c>
      <c r="B856" s="46" t="s">
        <v>26</v>
      </c>
      <c r="E856" s="46" t="s">
        <v>4081</v>
      </c>
      <c r="F856" s="46" t="s">
        <v>327</v>
      </c>
      <c r="G856" s="114">
        <v>4</v>
      </c>
      <c r="H856" s="74" t="s">
        <v>4082</v>
      </c>
      <c r="I856" s="114" t="s">
        <v>275</v>
      </c>
      <c r="J856" s="46"/>
      <c r="K856" s="109">
        <v>46216.70521990741</v>
      </c>
      <c r="L856" s="109">
        <v>46216.70521990741</v>
      </c>
      <c r="M856" s="109">
        <v>46217.273310185185</v>
      </c>
    </row>
    <row r="857" spans="1:21" ht="15" hidden="1" customHeight="1">
      <c r="A857" s="46">
        <v>857</v>
      </c>
      <c r="B857" s="46" t="s">
        <v>26</v>
      </c>
      <c r="E857" s="46" t="s">
        <v>4083</v>
      </c>
      <c r="F857" s="46" t="s">
        <v>327</v>
      </c>
      <c r="G857" s="114">
        <v>4</v>
      </c>
      <c r="H857" s="74" t="s">
        <v>4084</v>
      </c>
      <c r="I857" s="114" t="s">
        <v>275</v>
      </c>
      <c r="J857" s="46"/>
      <c r="K857" s="109">
        <v>46216.703518518516</v>
      </c>
      <c r="L857" s="109">
        <v>46216.703518518516</v>
      </c>
      <c r="M857" s="109">
        <v>46217.275046296294</v>
      </c>
    </row>
    <row r="858" spans="1:21" ht="15" hidden="1" customHeight="1">
      <c r="A858" s="46">
        <v>858</v>
      </c>
      <c r="B858" s="46" t="s">
        <v>26</v>
      </c>
      <c r="E858" s="46" t="s">
        <v>4085</v>
      </c>
      <c r="F858" s="46" t="s">
        <v>327</v>
      </c>
      <c r="G858" s="114">
        <v>4</v>
      </c>
      <c r="H858" s="74" t="s">
        <v>4084</v>
      </c>
      <c r="I858" s="114" t="s">
        <v>271</v>
      </c>
      <c r="J858" s="46" t="s">
        <v>2708</v>
      </c>
      <c r="K858" s="109">
        <v>46216.701550925929</v>
      </c>
      <c r="L858" s="109">
        <v>46216.701550925929</v>
      </c>
      <c r="M858" s="109">
        <v>46217.277557870373</v>
      </c>
      <c r="N858" s="109">
        <v>46217.277557870373</v>
      </c>
      <c r="U858" s="46" t="s">
        <v>428</v>
      </c>
    </row>
    <row r="859" spans="1:21" ht="15" hidden="1" customHeight="1">
      <c r="A859" s="46">
        <v>859</v>
      </c>
      <c r="B859" s="46" t="s">
        <v>26</v>
      </c>
      <c r="E859" s="46" t="s">
        <v>4086</v>
      </c>
      <c r="F859" s="46" t="s">
        <v>327</v>
      </c>
      <c r="G859" s="114">
        <v>4</v>
      </c>
      <c r="H859" s="74" t="s">
        <v>4087</v>
      </c>
      <c r="I859" s="114" t="s">
        <v>275</v>
      </c>
      <c r="J859" s="46"/>
      <c r="K859" s="109">
        <v>46216.70008101852</v>
      </c>
      <c r="L859" s="109">
        <v>46216.70008101852</v>
      </c>
      <c r="M859" s="109">
        <v>46217.279965277776</v>
      </c>
    </row>
    <row r="860" spans="1:21" ht="15" hidden="1" customHeight="1">
      <c r="A860" s="46">
        <v>860</v>
      </c>
      <c r="B860" s="46" t="s">
        <v>26</v>
      </c>
      <c r="E860" s="46" t="s">
        <v>4088</v>
      </c>
      <c r="F860" s="46" t="s">
        <v>327</v>
      </c>
      <c r="G860" s="114">
        <v>4</v>
      </c>
      <c r="H860" s="74" t="s">
        <v>4089</v>
      </c>
      <c r="I860" s="114" t="s">
        <v>275</v>
      </c>
      <c r="J860" s="46"/>
      <c r="K860" s="109">
        <v>46216.583136574074</v>
      </c>
      <c r="L860" s="109">
        <v>46216.583136574074</v>
      </c>
      <c r="M860" s="109">
        <v>46217.280810185184</v>
      </c>
    </row>
    <row r="861" spans="1:21" ht="15" hidden="1" customHeight="1">
      <c r="A861" s="46">
        <v>861</v>
      </c>
      <c r="B861" s="46" t="s">
        <v>26</v>
      </c>
      <c r="E861" s="46" t="s">
        <v>4090</v>
      </c>
      <c r="F861" s="46" t="s">
        <v>327</v>
      </c>
      <c r="G861" s="114">
        <v>4</v>
      </c>
      <c r="H861" s="74" t="s">
        <v>4091</v>
      </c>
      <c r="I861" s="114" t="s">
        <v>275</v>
      </c>
      <c r="J861" s="46"/>
      <c r="K861" s="109">
        <v>46216.581608796296</v>
      </c>
      <c r="L861" s="109">
        <v>46216.581608796296</v>
      </c>
      <c r="M861" s="109">
        <v>46217.282071759262</v>
      </c>
    </row>
    <row r="862" spans="1:21" ht="15" hidden="1" customHeight="1">
      <c r="A862" s="46">
        <v>862</v>
      </c>
      <c r="B862" s="46" t="s">
        <v>26</v>
      </c>
      <c r="E862" s="46" t="s">
        <v>4092</v>
      </c>
      <c r="F862" s="46" t="s">
        <v>327</v>
      </c>
      <c r="G862" s="114">
        <v>4</v>
      </c>
      <c r="H862" s="74" t="s">
        <v>4091</v>
      </c>
      <c r="I862" s="114" t="s">
        <v>275</v>
      </c>
      <c r="J862" s="46"/>
      <c r="K862" s="109">
        <v>46216.577789351853</v>
      </c>
      <c r="L862" s="109">
        <v>46216.577789351853</v>
      </c>
      <c r="M862" s="109">
        <v>46217.283518518518</v>
      </c>
    </row>
    <row r="863" spans="1:21" ht="15" hidden="1" customHeight="1">
      <c r="A863" s="46">
        <v>863</v>
      </c>
      <c r="B863" s="46" t="s">
        <v>26</v>
      </c>
      <c r="E863" s="46" t="s">
        <v>4093</v>
      </c>
      <c r="J863" s="46"/>
    </row>
    <row r="864" spans="1:21" ht="15" hidden="1" customHeight="1">
      <c r="A864" s="46">
        <v>864</v>
      </c>
      <c r="B864" s="46" t="s">
        <v>26</v>
      </c>
      <c r="C864" s="46" t="s">
        <v>54</v>
      </c>
      <c r="D864" s="46" t="s">
        <v>207</v>
      </c>
      <c r="E864" s="46" t="s">
        <v>4094</v>
      </c>
      <c r="F864" s="46" t="s">
        <v>4094</v>
      </c>
      <c r="G864" s="114">
        <v>4</v>
      </c>
      <c r="H864" s="74" t="s">
        <v>4095</v>
      </c>
      <c r="I864" s="114" t="s">
        <v>271</v>
      </c>
      <c r="J864" s="46" t="s">
        <v>2697</v>
      </c>
      <c r="K864" s="109">
        <v>46206.128425925926</v>
      </c>
      <c r="L864" s="166">
        <v>46206.142187500001</v>
      </c>
      <c r="M864" s="166">
        <v>46206.162800925929</v>
      </c>
      <c r="N864" s="166">
        <v>46217.454837962963</v>
      </c>
    </row>
    <row r="865" spans="1:14" ht="15" hidden="1" customHeight="1">
      <c r="A865" s="46">
        <v>865</v>
      </c>
      <c r="B865" s="46" t="s">
        <v>26</v>
      </c>
      <c r="C865" s="46" t="s">
        <v>27</v>
      </c>
      <c r="D865" s="46" t="s">
        <v>207</v>
      </c>
      <c r="E865" s="46" t="s">
        <v>4096</v>
      </c>
      <c r="F865" s="265" t="s">
        <v>318</v>
      </c>
      <c r="G865" s="114">
        <v>3</v>
      </c>
      <c r="H865" s="74" t="s">
        <v>4097</v>
      </c>
      <c r="I865" s="114" t="s">
        <v>275</v>
      </c>
      <c r="J865" s="46"/>
      <c r="K865" s="109">
        <v>46216.692337962966</v>
      </c>
      <c r="L865" s="109">
        <v>46217.290439814817</v>
      </c>
      <c r="M865" s="109">
        <v>46217.320925925924</v>
      </c>
    </row>
    <row r="866" spans="1:14" ht="15" hidden="1" customHeight="1">
      <c r="A866" s="46">
        <v>866</v>
      </c>
      <c r="B866" s="46" t="s">
        <v>26</v>
      </c>
      <c r="C866" s="46" t="s">
        <v>27</v>
      </c>
      <c r="D866" s="46" t="s">
        <v>207</v>
      </c>
      <c r="E866" s="46" t="s">
        <v>4098</v>
      </c>
      <c r="F866" s="46" t="s">
        <v>318</v>
      </c>
      <c r="G866" s="114">
        <v>3</v>
      </c>
      <c r="H866" s="74" t="s">
        <v>2707</v>
      </c>
      <c r="I866" s="114" t="s">
        <v>260</v>
      </c>
      <c r="J866" s="46" t="s">
        <v>2703</v>
      </c>
      <c r="K866" s="109">
        <v>46216.667893518519</v>
      </c>
      <c r="L866" s="109">
        <v>46216.668796296297</v>
      </c>
      <c r="M866" s="109">
        <v>46217.324652777781</v>
      </c>
    </row>
    <row r="867" spans="1:14" ht="15" hidden="1" customHeight="1">
      <c r="A867" s="46">
        <v>867</v>
      </c>
      <c r="B867" s="46" t="s">
        <v>26</v>
      </c>
      <c r="C867" s="46" t="s">
        <v>27</v>
      </c>
      <c r="D867" s="46" t="s">
        <v>207</v>
      </c>
      <c r="E867" s="46" t="s">
        <v>4099</v>
      </c>
      <c r="F867" s="46" t="s">
        <v>318</v>
      </c>
      <c r="G867" s="114">
        <v>4</v>
      </c>
      <c r="H867" s="74" t="s">
        <v>4100</v>
      </c>
      <c r="I867" s="114" t="s">
        <v>266</v>
      </c>
      <c r="J867" s="46" t="s">
        <v>2708</v>
      </c>
      <c r="K867" s="109">
        <v>46216.670381944445</v>
      </c>
      <c r="L867" s="109">
        <v>46216.670497685183</v>
      </c>
      <c r="M867" s="109">
        <v>46217.3283912037</v>
      </c>
    </row>
    <row r="868" spans="1:14" ht="15" hidden="1" customHeight="1">
      <c r="A868" s="46">
        <v>868</v>
      </c>
      <c r="B868" s="46" t="s">
        <v>26</v>
      </c>
      <c r="C868" s="46" t="s">
        <v>27</v>
      </c>
      <c r="D868" s="46" t="s">
        <v>207</v>
      </c>
      <c r="E868" s="46" t="s">
        <v>4101</v>
      </c>
      <c r="F868" s="46" t="s">
        <v>318</v>
      </c>
      <c r="G868" s="114">
        <v>3</v>
      </c>
      <c r="H868" s="74" t="s">
        <v>2775</v>
      </c>
      <c r="I868" s="114" t="s">
        <v>271</v>
      </c>
      <c r="J868" s="46" t="s">
        <v>2954</v>
      </c>
      <c r="K868" s="109">
        <v>46217.005856481483</v>
      </c>
      <c r="L868" s="109">
        <v>46217.005949074075</v>
      </c>
      <c r="M868" s="109">
        <v>46217.331875000003</v>
      </c>
      <c r="N868" s="109">
        <v>46217.518761574072</v>
      </c>
    </row>
    <row r="869" spans="1:14" ht="15" hidden="1" customHeight="1">
      <c r="A869" s="46">
        <v>869</v>
      </c>
      <c r="B869" s="46" t="s">
        <v>26</v>
      </c>
      <c r="C869" s="46" t="s">
        <v>27</v>
      </c>
      <c r="D869" s="46" t="s">
        <v>207</v>
      </c>
      <c r="E869" s="46" t="s">
        <v>4102</v>
      </c>
      <c r="F869" s="265" t="s">
        <v>318</v>
      </c>
      <c r="G869" s="114">
        <v>4</v>
      </c>
      <c r="H869" s="74" t="s">
        <v>4103</v>
      </c>
      <c r="I869" s="114" t="s">
        <v>271</v>
      </c>
      <c r="J869" s="46" t="s">
        <v>2738</v>
      </c>
      <c r="K869" s="109">
        <v>46217.349756944444</v>
      </c>
      <c r="L869" s="109">
        <v>46217.354212962964</v>
      </c>
      <c r="M869" s="109">
        <v>46217.421134259261</v>
      </c>
      <c r="N869" s="109">
        <v>46218.487569444442</v>
      </c>
    </row>
    <row r="870" spans="1:14" ht="15" hidden="1" customHeight="1">
      <c r="A870" s="46">
        <v>870</v>
      </c>
      <c r="B870" s="46" t="s">
        <v>26</v>
      </c>
      <c r="C870" s="46" t="s">
        <v>27</v>
      </c>
      <c r="D870" s="46" t="s">
        <v>208</v>
      </c>
      <c r="E870" s="46" t="s">
        <v>4104</v>
      </c>
      <c r="F870" s="46" t="s">
        <v>318</v>
      </c>
      <c r="G870" s="114" t="s">
        <v>208</v>
      </c>
      <c r="H870" s="74" t="s">
        <v>3276</v>
      </c>
      <c r="I870" s="114" t="s">
        <v>271</v>
      </c>
      <c r="J870" s="46" t="s">
        <v>2954</v>
      </c>
      <c r="K870" s="109">
        <v>46217.376805555556</v>
      </c>
      <c r="L870" s="109">
        <v>46217.376886574071</v>
      </c>
      <c r="M870" s="109">
        <v>46217.417500000003</v>
      </c>
      <c r="N870" s="109">
        <v>46217.507870370369</v>
      </c>
    </row>
    <row r="871" spans="1:14" ht="15" hidden="1" customHeight="1">
      <c r="A871" s="46">
        <v>871</v>
      </c>
      <c r="B871" s="46" t="s">
        <v>26</v>
      </c>
      <c r="C871" s="46" t="s">
        <v>27</v>
      </c>
      <c r="D871" s="46" t="s">
        <v>208</v>
      </c>
      <c r="E871" s="46" t="s">
        <v>4105</v>
      </c>
      <c r="F871" s="46" t="s">
        <v>318</v>
      </c>
      <c r="G871" s="114" t="s">
        <v>208</v>
      </c>
      <c r="H871" s="74" t="s">
        <v>3957</v>
      </c>
      <c r="I871" s="114" t="s">
        <v>271</v>
      </c>
      <c r="J871" s="46" t="s">
        <v>2954</v>
      </c>
      <c r="K871" s="109">
        <v>46217.376759259256</v>
      </c>
      <c r="L871" s="109">
        <v>46217.376875000002</v>
      </c>
      <c r="M871" s="109">
        <v>46217.418171296296</v>
      </c>
      <c r="N871" s="109">
        <v>46217.508101851854</v>
      </c>
    </row>
    <row r="872" spans="1:14" ht="15" hidden="1" customHeight="1">
      <c r="A872" s="46">
        <v>872</v>
      </c>
      <c r="B872" s="46" t="s">
        <v>26</v>
      </c>
      <c r="C872" s="46" t="s">
        <v>27</v>
      </c>
      <c r="D872" s="46" t="s">
        <v>208</v>
      </c>
      <c r="E872" s="46" t="s">
        <v>4106</v>
      </c>
      <c r="F872" s="46" t="s">
        <v>318</v>
      </c>
      <c r="G872" s="114" t="s">
        <v>208</v>
      </c>
      <c r="H872" s="74" t="s">
        <v>3773</v>
      </c>
      <c r="I872" s="114" t="s">
        <v>271</v>
      </c>
      <c r="J872" s="46" t="s">
        <v>2954</v>
      </c>
      <c r="K872" s="109">
        <v>46217.376342592594</v>
      </c>
      <c r="L872" s="109">
        <v>46217.37641203704</v>
      </c>
      <c r="M872" s="109">
        <v>46217.419050925928</v>
      </c>
      <c r="N872" s="109">
        <v>46217.508310185185</v>
      </c>
    </row>
    <row r="873" spans="1:14" ht="15" hidden="1" customHeight="1">
      <c r="A873" s="46">
        <v>873</v>
      </c>
      <c r="B873" s="46" t="s">
        <v>26</v>
      </c>
      <c r="C873" s="46" t="s">
        <v>27</v>
      </c>
      <c r="D873" s="46" t="s">
        <v>208</v>
      </c>
      <c r="E873" s="46" t="s">
        <v>4107</v>
      </c>
      <c r="F873" s="46" t="s">
        <v>318</v>
      </c>
      <c r="G873" s="114" t="s">
        <v>208</v>
      </c>
      <c r="H873" s="74" t="s">
        <v>3959</v>
      </c>
      <c r="I873" s="114" t="s">
        <v>271</v>
      </c>
      <c r="J873" s="46" t="s">
        <v>2954</v>
      </c>
      <c r="K873" s="109">
        <v>46217.376018518517</v>
      </c>
      <c r="L873" s="109">
        <v>46217.376469907409</v>
      </c>
      <c r="M873" s="109">
        <v>46217.419699074075</v>
      </c>
      <c r="N873" s="109">
        <v>46217.508483796293</v>
      </c>
    </row>
    <row r="874" spans="1:14" ht="15" hidden="1" customHeight="1">
      <c r="A874" s="46">
        <v>874</v>
      </c>
      <c r="B874" s="46" t="s">
        <v>26</v>
      </c>
      <c r="C874" s="46" t="s">
        <v>27</v>
      </c>
      <c r="D874" s="46" t="s">
        <v>208</v>
      </c>
      <c r="E874" s="46" t="s">
        <v>4108</v>
      </c>
      <c r="F874" s="46" t="s">
        <v>318</v>
      </c>
      <c r="G874" s="114" t="s">
        <v>208</v>
      </c>
      <c r="H874" s="74" t="s">
        <v>4109</v>
      </c>
      <c r="I874" s="114" t="s">
        <v>266</v>
      </c>
      <c r="J874" s="46" t="s">
        <v>2725</v>
      </c>
      <c r="K874" s="109">
        <v>46217.267557870371</v>
      </c>
      <c r="L874" s="109">
        <v>46217.271226851852</v>
      </c>
      <c r="M874" s="109">
        <v>46217.332800925928</v>
      </c>
    </row>
    <row r="875" spans="1:14" ht="15" hidden="1" customHeight="1">
      <c r="A875" s="46">
        <v>875</v>
      </c>
      <c r="B875" s="46" t="s">
        <v>26</v>
      </c>
      <c r="C875" s="46" t="s">
        <v>27</v>
      </c>
      <c r="D875" s="46" t="s">
        <v>208</v>
      </c>
      <c r="E875" s="46" t="s">
        <v>4110</v>
      </c>
      <c r="F875" s="46" t="s">
        <v>318</v>
      </c>
      <c r="G875" s="114" t="s">
        <v>208</v>
      </c>
      <c r="H875" s="74" t="s">
        <v>4111</v>
      </c>
      <c r="I875" s="114" t="s">
        <v>260</v>
      </c>
      <c r="J875" s="46" t="s">
        <v>3015</v>
      </c>
      <c r="K875" s="109">
        <v>46217.019756944443</v>
      </c>
      <c r="L875" s="109">
        <v>46217.041909722226</v>
      </c>
      <c r="M875" s="109">
        <v>46217.404641203706</v>
      </c>
    </row>
    <row r="876" spans="1:14" ht="15" hidden="1" customHeight="1">
      <c r="A876" s="46">
        <v>876</v>
      </c>
      <c r="B876" s="46" t="s">
        <v>26</v>
      </c>
      <c r="C876" s="46" t="s">
        <v>27</v>
      </c>
      <c r="D876" s="46" t="s">
        <v>208</v>
      </c>
      <c r="E876" s="46" t="s">
        <v>4112</v>
      </c>
      <c r="F876" s="46" t="s">
        <v>318</v>
      </c>
      <c r="G876" s="114" t="s">
        <v>208</v>
      </c>
      <c r="H876" s="74" t="s">
        <v>4113</v>
      </c>
      <c r="I876" s="114" t="s">
        <v>260</v>
      </c>
      <c r="J876" s="46" t="s">
        <v>3015</v>
      </c>
      <c r="K876" s="109">
        <v>46217.018807870372</v>
      </c>
      <c r="L876" s="109">
        <v>46217.024328703701</v>
      </c>
      <c r="M876" s="109">
        <v>46217.405439814815</v>
      </c>
    </row>
    <row r="877" spans="1:14" ht="15" hidden="1" customHeight="1">
      <c r="A877" s="46">
        <v>877</v>
      </c>
      <c r="B877" s="46" t="s">
        <v>26</v>
      </c>
      <c r="C877" s="46" t="s">
        <v>27</v>
      </c>
      <c r="D877" s="46" t="s">
        <v>208</v>
      </c>
      <c r="E877" s="46" t="s">
        <v>4114</v>
      </c>
      <c r="F877" s="46" t="s">
        <v>318</v>
      </c>
      <c r="G877" s="114" t="s">
        <v>208</v>
      </c>
      <c r="H877" s="74" t="s">
        <v>4115</v>
      </c>
      <c r="I877" s="114" t="s">
        <v>260</v>
      </c>
      <c r="J877" s="46" t="s">
        <v>3015</v>
      </c>
      <c r="K877" s="109">
        <v>46217.017743055556</v>
      </c>
      <c r="L877" s="109">
        <v>46217.01972222222</v>
      </c>
      <c r="M877" s="109">
        <v>46217.406099537038</v>
      </c>
    </row>
    <row r="878" spans="1:14" ht="15" hidden="1" customHeight="1">
      <c r="A878" s="46">
        <v>878</v>
      </c>
      <c r="B878" s="46" t="s">
        <v>26</v>
      </c>
      <c r="C878" s="46" t="s">
        <v>27</v>
      </c>
      <c r="D878" s="46" t="s">
        <v>208</v>
      </c>
      <c r="E878" s="46" t="s">
        <v>4116</v>
      </c>
      <c r="F878" s="46" t="s">
        <v>318</v>
      </c>
      <c r="G878" s="114" t="s">
        <v>208</v>
      </c>
      <c r="H878" s="74" t="s">
        <v>4117</v>
      </c>
      <c r="I878" s="114" t="s">
        <v>260</v>
      </c>
      <c r="J878" s="46" t="s">
        <v>3015</v>
      </c>
      <c r="K878" s="109">
        <v>46217.016701388886</v>
      </c>
      <c r="L878" s="109">
        <v>46217.020509259259</v>
      </c>
      <c r="M878" s="109">
        <v>46217.4065162037</v>
      </c>
    </row>
    <row r="879" spans="1:14" ht="15" hidden="1" customHeight="1">
      <c r="A879" s="46">
        <v>879</v>
      </c>
      <c r="B879" s="46" t="s">
        <v>26</v>
      </c>
      <c r="C879" s="46" t="s">
        <v>27</v>
      </c>
      <c r="D879" s="46" t="s">
        <v>208</v>
      </c>
      <c r="E879" s="46" t="s">
        <v>4118</v>
      </c>
      <c r="F879" s="46" t="s">
        <v>318</v>
      </c>
      <c r="G879" s="114" t="s">
        <v>208</v>
      </c>
      <c r="H879" s="74" t="s">
        <v>4119</v>
      </c>
      <c r="I879" s="114" t="s">
        <v>260</v>
      </c>
      <c r="J879" s="46" t="s">
        <v>3015</v>
      </c>
      <c r="K879" s="109">
        <v>46217.015185185184</v>
      </c>
      <c r="L879" s="109">
        <v>46217.01902777778</v>
      </c>
      <c r="M879" s="109">
        <v>46217.407083333332</v>
      </c>
    </row>
    <row r="880" spans="1:14" ht="15" hidden="1" customHeight="1">
      <c r="A880" s="46">
        <v>880</v>
      </c>
      <c r="B880" s="46" t="s">
        <v>26</v>
      </c>
      <c r="C880" s="46" t="s">
        <v>27</v>
      </c>
      <c r="D880" s="46" t="s">
        <v>208</v>
      </c>
      <c r="E880" s="46" t="s">
        <v>4120</v>
      </c>
      <c r="F880" s="46" t="s">
        <v>318</v>
      </c>
      <c r="G880" s="114" t="s">
        <v>208</v>
      </c>
      <c r="H880" s="74" t="s">
        <v>4121</v>
      </c>
      <c r="I880" s="114" t="s">
        <v>260</v>
      </c>
      <c r="J880" s="46" t="s">
        <v>3015</v>
      </c>
      <c r="K880" s="109">
        <v>46217.012071759258</v>
      </c>
      <c r="L880" s="109">
        <v>46217.022118055553</v>
      </c>
      <c r="M880" s="109">
        <v>46217.40797453704</v>
      </c>
    </row>
    <row r="881" spans="1:14" ht="15" hidden="1" customHeight="1">
      <c r="A881" s="46">
        <v>881</v>
      </c>
      <c r="B881" s="46" t="s">
        <v>26</v>
      </c>
      <c r="C881" s="46" t="s">
        <v>27</v>
      </c>
      <c r="D881" s="46" t="s">
        <v>208</v>
      </c>
      <c r="E881" s="46" t="s">
        <v>4122</v>
      </c>
      <c r="F881" s="46" t="s">
        <v>318</v>
      </c>
      <c r="G881" s="114" t="s">
        <v>208</v>
      </c>
      <c r="H881" s="74" t="s">
        <v>4123</v>
      </c>
      <c r="I881" s="114" t="s">
        <v>260</v>
      </c>
      <c r="J881" s="46" t="s">
        <v>3015</v>
      </c>
      <c r="K881" s="109">
        <v>46217.010775462964</v>
      </c>
      <c r="L881" s="109">
        <v>46217.018078703702</v>
      </c>
      <c r="M881" s="109">
        <v>46217.410902777781</v>
      </c>
    </row>
    <row r="882" spans="1:14" ht="15" hidden="1" customHeight="1">
      <c r="A882" s="46">
        <v>882</v>
      </c>
      <c r="B882" s="46" t="s">
        <v>26</v>
      </c>
      <c r="C882" s="46" t="s">
        <v>27</v>
      </c>
      <c r="D882" s="46" t="s">
        <v>208</v>
      </c>
      <c r="E882" s="46" t="s">
        <v>4124</v>
      </c>
      <c r="F882" s="46" t="s">
        <v>318</v>
      </c>
      <c r="G882" s="114" t="s">
        <v>208</v>
      </c>
      <c r="H882" s="74" t="s">
        <v>4125</v>
      </c>
      <c r="I882" s="114" t="s">
        <v>260</v>
      </c>
      <c r="J882" s="46" t="s">
        <v>2827</v>
      </c>
      <c r="K882" s="109">
        <v>46217.009108796294</v>
      </c>
      <c r="L882" s="109">
        <v>46217.022951388892</v>
      </c>
      <c r="M882" s="109">
        <v>46217.411365740743</v>
      </c>
    </row>
    <row r="883" spans="1:14" ht="15" hidden="1" customHeight="1">
      <c r="A883" s="46">
        <v>883</v>
      </c>
      <c r="B883" s="46" t="s">
        <v>26</v>
      </c>
      <c r="C883" s="46" t="s">
        <v>27</v>
      </c>
      <c r="D883" s="46" t="s">
        <v>208</v>
      </c>
      <c r="E883" s="46" t="s">
        <v>4126</v>
      </c>
      <c r="F883" s="265" t="s">
        <v>318</v>
      </c>
      <c r="G883" s="114" t="s">
        <v>208</v>
      </c>
      <c r="H883" s="74" t="s">
        <v>4127</v>
      </c>
      <c r="I883" s="114" t="s">
        <v>260</v>
      </c>
      <c r="J883" s="46" t="s">
        <v>2827</v>
      </c>
      <c r="K883" s="109">
        <v>46217.007199074076</v>
      </c>
      <c r="L883" s="109">
        <v>46217.022037037037</v>
      </c>
      <c r="M883" s="109">
        <v>46217.412083333336</v>
      </c>
    </row>
    <row r="884" spans="1:14" ht="15" hidden="1" customHeight="1">
      <c r="A884" s="46">
        <v>884</v>
      </c>
      <c r="B884" s="46" t="s">
        <v>26</v>
      </c>
      <c r="C884" s="46" t="s">
        <v>27</v>
      </c>
      <c r="D884" s="46" t="s">
        <v>208</v>
      </c>
      <c r="E884" s="46" t="s">
        <v>4128</v>
      </c>
      <c r="F884" s="265" t="s">
        <v>318</v>
      </c>
      <c r="G884" s="114" t="s">
        <v>208</v>
      </c>
      <c r="H884" s="74" t="s">
        <v>4129</v>
      </c>
      <c r="I884" s="114" t="s">
        <v>260</v>
      </c>
      <c r="J884" s="46" t="s">
        <v>2827</v>
      </c>
      <c r="K884" s="109">
        <v>46217.005624999998</v>
      </c>
      <c r="L884" s="109">
        <v>46217.020856481482</v>
      </c>
      <c r="M884" s="109">
        <v>46217.412685185183</v>
      </c>
    </row>
    <row r="885" spans="1:14" ht="15" hidden="1" customHeight="1">
      <c r="A885" s="46">
        <v>885</v>
      </c>
      <c r="B885" s="46" t="s">
        <v>26</v>
      </c>
      <c r="C885" s="46" t="s">
        <v>27</v>
      </c>
      <c r="D885" s="46" t="s">
        <v>208</v>
      </c>
      <c r="E885" s="46" t="s">
        <v>4130</v>
      </c>
      <c r="F885" s="265" t="s">
        <v>318</v>
      </c>
      <c r="G885" s="114" t="s">
        <v>208</v>
      </c>
      <c r="H885" s="74" t="s">
        <v>4131</v>
      </c>
      <c r="I885" s="114" t="s">
        <v>260</v>
      </c>
      <c r="J885" s="46" t="s">
        <v>2827</v>
      </c>
      <c r="K885" s="109">
        <v>46217.00440972222</v>
      </c>
      <c r="L885" s="109">
        <v>46217.01935185185</v>
      </c>
      <c r="M885" s="109">
        <v>46217.413043981483</v>
      </c>
    </row>
    <row r="886" spans="1:14" ht="15" hidden="1" customHeight="1">
      <c r="A886" s="46">
        <v>886</v>
      </c>
      <c r="B886" s="46" t="s">
        <v>26</v>
      </c>
      <c r="C886" s="46" t="s">
        <v>27</v>
      </c>
      <c r="D886" s="46" t="s">
        <v>208</v>
      </c>
      <c r="E886" s="46" t="s">
        <v>4132</v>
      </c>
      <c r="F886" s="265" t="s">
        <v>318</v>
      </c>
      <c r="G886" s="114" t="s">
        <v>208</v>
      </c>
      <c r="H886" s="74" t="s">
        <v>4133</v>
      </c>
      <c r="I886" s="114" t="s">
        <v>260</v>
      </c>
      <c r="J886" s="46" t="s">
        <v>2827</v>
      </c>
      <c r="K886" s="109">
        <v>46217.002939814818</v>
      </c>
      <c r="L886" s="109">
        <v>46217.017627314817</v>
      </c>
      <c r="M886" s="109">
        <v>46217.413344907407</v>
      </c>
    </row>
    <row r="887" spans="1:14" ht="15" hidden="1" customHeight="1">
      <c r="A887" s="46">
        <v>887</v>
      </c>
      <c r="B887" s="46" t="s">
        <v>26</v>
      </c>
      <c r="C887" s="46" t="s">
        <v>27</v>
      </c>
      <c r="D887" s="46" t="s">
        <v>208</v>
      </c>
      <c r="E887" s="46" t="s">
        <v>4134</v>
      </c>
      <c r="F887" s="265" t="s">
        <v>318</v>
      </c>
      <c r="G887" s="114" t="s">
        <v>208</v>
      </c>
      <c r="H887" s="74" t="s">
        <v>4135</v>
      </c>
      <c r="I887" s="114" t="s">
        <v>260</v>
      </c>
      <c r="J887" s="46" t="s">
        <v>2827</v>
      </c>
      <c r="K887" s="109">
        <v>46217.001238425924</v>
      </c>
      <c r="L887" s="109">
        <v>46217.015057870369</v>
      </c>
      <c r="M887" s="109">
        <v>46217.413888888892</v>
      </c>
    </row>
    <row r="888" spans="1:14" ht="15" hidden="1" customHeight="1">
      <c r="A888" s="46">
        <v>888</v>
      </c>
      <c r="B888" s="46" t="s">
        <v>26</v>
      </c>
      <c r="C888" s="46" t="s">
        <v>27</v>
      </c>
      <c r="D888" s="46" t="s">
        <v>208</v>
      </c>
      <c r="E888" s="46" t="s">
        <v>4136</v>
      </c>
      <c r="F888" s="265" t="s">
        <v>318</v>
      </c>
      <c r="G888" s="114" t="s">
        <v>208</v>
      </c>
      <c r="H888" s="74" t="s">
        <v>4137</v>
      </c>
      <c r="I888" s="114" t="s">
        <v>260</v>
      </c>
      <c r="J888" s="46" t="s">
        <v>2827</v>
      </c>
      <c r="K888" s="109">
        <v>46216.999259259261</v>
      </c>
      <c r="L888" s="109">
        <v>46217.001388888886</v>
      </c>
      <c r="M888" s="109">
        <v>46217.414120370369</v>
      </c>
    </row>
    <row r="889" spans="1:14" ht="15" hidden="1" customHeight="1">
      <c r="A889" s="46">
        <v>889</v>
      </c>
      <c r="B889" s="46" t="s">
        <v>26</v>
      </c>
      <c r="C889" s="46" t="s">
        <v>27</v>
      </c>
      <c r="D889" s="46" t="s">
        <v>208</v>
      </c>
      <c r="E889" s="46" t="s">
        <v>4138</v>
      </c>
      <c r="F889" s="265" t="s">
        <v>318</v>
      </c>
      <c r="G889" s="114" t="s">
        <v>208</v>
      </c>
      <c r="H889" s="74" t="s">
        <v>4139</v>
      </c>
      <c r="I889" s="114" t="s">
        <v>260</v>
      </c>
      <c r="J889" s="46" t="s">
        <v>2827</v>
      </c>
      <c r="K889" s="109">
        <v>46216.99559027778</v>
      </c>
      <c r="L889" s="109">
        <v>46217.000034722223</v>
      </c>
      <c r="M889" s="109">
        <v>46217.414386574077</v>
      </c>
    </row>
    <row r="890" spans="1:14" ht="15" hidden="1" customHeight="1">
      <c r="A890" s="46">
        <v>890</v>
      </c>
      <c r="B890" s="46" t="s">
        <v>26</v>
      </c>
      <c r="C890" s="46" t="s">
        <v>27</v>
      </c>
      <c r="D890" s="46" t="s">
        <v>208</v>
      </c>
      <c r="E890" t="s">
        <v>4140</v>
      </c>
      <c r="F890" s="46" t="s">
        <v>322</v>
      </c>
      <c r="G890" s="114" t="s">
        <v>208</v>
      </c>
      <c r="H890" s="74" t="s">
        <v>3189</v>
      </c>
      <c r="I890" s="114" t="s">
        <v>275</v>
      </c>
      <c r="J890" s="46" t="s">
        <v>2720</v>
      </c>
      <c r="K890" s="109">
        <v>46217.376643518517</v>
      </c>
      <c r="L890" s="109">
        <v>46217.376643518517</v>
      </c>
      <c r="M890" s="109">
        <v>46217.583553240744</v>
      </c>
      <c r="N890" s="109">
        <v>46217.584409722222</v>
      </c>
    </row>
    <row r="891" spans="1:14" ht="15" hidden="1" customHeight="1">
      <c r="A891" s="46">
        <v>891</v>
      </c>
      <c r="B891" s="46" t="s">
        <v>26</v>
      </c>
      <c r="C891" s="46" t="s">
        <v>27</v>
      </c>
      <c r="D891" s="46" t="s">
        <v>208</v>
      </c>
      <c r="E891" s="46" t="s">
        <v>4141</v>
      </c>
      <c r="F891" s="46" t="s">
        <v>322</v>
      </c>
      <c r="G891" s="114" t="s">
        <v>208</v>
      </c>
      <c r="H891" s="74" t="s">
        <v>3191</v>
      </c>
      <c r="I891" s="114" t="s">
        <v>271</v>
      </c>
      <c r="J891" s="46" t="s">
        <v>2720</v>
      </c>
      <c r="K891" s="109">
        <v>46217.376712962963</v>
      </c>
      <c r="L891" s="109">
        <v>46217.376712962963</v>
      </c>
      <c r="M891" s="109">
        <v>46217.58090277778</v>
      </c>
      <c r="N891" s="109">
        <v>46217.583171296297</v>
      </c>
    </row>
    <row r="892" spans="1:14" ht="15" hidden="1" customHeight="1">
      <c r="A892" s="46">
        <v>892</v>
      </c>
      <c r="E892" s="46" t="s">
        <v>4142</v>
      </c>
      <c r="F892" s="46" t="s">
        <v>318</v>
      </c>
      <c r="G892" s="114">
        <v>4</v>
      </c>
      <c r="H892" s="74" t="s">
        <v>4143</v>
      </c>
      <c r="I892" s="114" t="s">
        <v>260</v>
      </c>
      <c r="J892" s="46" t="s">
        <v>2703</v>
      </c>
      <c r="K892" s="109">
        <v>46217.571770833332</v>
      </c>
      <c r="L892" s="109">
        <v>46217.609074074076</v>
      </c>
      <c r="M892" s="109">
        <v>46217.616238425922</v>
      </c>
    </row>
    <row r="893" spans="1:14" ht="15" hidden="1" customHeight="1">
      <c r="A893" s="46">
        <v>893</v>
      </c>
      <c r="E893" s="46" t="s">
        <v>4140</v>
      </c>
      <c r="F893" s="46" t="s">
        <v>318</v>
      </c>
      <c r="G893" s="114" t="s">
        <v>208</v>
      </c>
      <c r="H893" s="74" t="s">
        <v>3185</v>
      </c>
      <c r="I893" s="114" t="s">
        <v>260</v>
      </c>
      <c r="J893" s="46" t="s">
        <v>3015</v>
      </c>
      <c r="K893" s="109">
        <v>46217.376643518517</v>
      </c>
      <c r="L893" s="109">
        <v>46217.584409722222</v>
      </c>
      <c r="M893" s="109">
        <v>46217.620752314811</v>
      </c>
    </row>
    <row r="894" spans="1:14" ht="15" hidden="1" customHeight="1">
      <c r="A894" s="46">
        <v>894</v>
      </c>
      <c r="B894" s="46" t="s">
        <v>26</v>
      </c>
      <c r="C894" s="46" t="s">
        <v>27</v>
      </c>
      <c r="D894" s="46" t="s">
        <v>207</v>
      </c>
      <c r="E894" s="46" t="s">
        <v>4144</v>
      </c>
      <c r="F894" s="46" t="s">
        <v>318</v>
      </c>
      <c r="G894" s="114">
        <v>3</v>
      </c>
      <c r="H894" s="74" t="s">
        <v>2707</v>
      </c>
      <c r="I894" s="114" t="s">
        <v>260</v>
      </c>
      <c r="J894" s="46" t="s">
        <v>2708</v>
      </c>
      <c r="K894" s="109">
        <v>46217.608159722222</v>
      </c>
      <c r="L894" s="109">
        <v>46217.694409722222</v>
      </c>
      <c r="M894" s="109">
        <v>46218.235555555555</v>
      </c>
      <c r="N894" s="74"/>
    </row>
    <row r="895" spans="1:14" ht="15" hidden="1" customHeight="1">
      <c r="A895" s="46">
        <v>895</v>
      </c>
      <c r="B895" s="46" t="s">
        <v>26</v>
      </c>
      <c r="C895" s="46" t="s">
        <v>27</v>
      </c>
      <c r="D895" s="46" t="s">
        <v>207</v>
      </c>
      <c r="E895" s="46" t="s">
        <v>4145</v>
      </c>
      <c r="F895" s="46" t="s">
        <v>318</v>
      </c>
      <c r="G895" s="114">
        <v>4</v>
      </c>
      <c r="H895" s="74" t="s">
        <v>4146</v>
      </c>
      <c r="I895" s="114" t="s">
        <v>271</v>
      </c>
      <c r="J895" s="46" t="s">
        <v>2725</v>
      </c>
      <c r="K895" s="109">
        <v>46217.829560185186</v>
      </c>
      <c r="L895" s="109">
        <v>46217.831759259258</v>
      </c>
      <c r="M895" s="109">
        <v>46218.237893518519</v>
      </c>
      <c r="N895" s="109">
        <v>46220.239594907405</v>
      </c>
    </row>
    <row r="896" spans="1:14" ht="15" hidden="1" customHeight="1">
      <c r="A896" s="46">
        <v>896</v>
      </c>
      <c r="B896" s="46" t="s">
        <v>26</v>
      </c>
      <c r="C896" s="46" t="s">
        <v>27</v>
      </c>
      <c r="D896" s="46" t="s">
        <v>208</v>
      </c>
      <c r="E896" s="46" t="s">
        <v>4147</v>
      </c>
      <c r="F896" s="46" t="s">
        <v>318</v>
      </c>
      <c r="G896" s="114" t="s">
        <v>208</v>
      </c>
      <c r="H896" s="74" t="s">
        <v>1264</v>
      </c>
      <c r="I896" s="114" t="s">
        <v>260</v>
      </c>
      <c r="J896" s="46" t="s">
        <v>2751</v>
      </c>
      <c r="K896" s="109">
        <v>46217.822465277779</v>
      </c>
      <c r="L896" s="335">
        <v>46217.822465277779</v>
      </c>
      <c r="M896" s="109">
        <v>46218.240717592591</v>
      </c>
      <c r="N896" s="114"/>
    </row>
    <row r="897" spans="1:14" ht="15" hidden="1" customHeight="1">
      <c r="A897" s="46">
        <v>897</v>
      </c>
      <c r="B897" s="46" t="s">
        <v>26</v>
      </c>
      <c r="C897" s="46" t="s">
        <v>27</v>
      </c>
      <c r="D897" s="46" t="s">
        <v>207</v>
      </c>
      <c r="E897" s="46" t="s">
        <v>4148</v>
      </c>
      <c r="F897" s="46" t="s">
        <v>318</v>
      </c>
      <c r="G897" s="114">
        <v>4</v>
      </c>
      <c r="H897" s="74" t="s">
        <v>2724</v>
      </c>
      <c r="I897" s="114" t="s">
        <v>271</v>
      </c>
      <c r="J897" s="46" t="s">
        <v>2738</v>
      </c>
      <c r="K897" s="109">
        <v>46218.305821759262</v>
      </c>
      <c r="L897" s="109">
        <v>46218.305821759262</v>
      </c>
      <c r="M897" s="286" t="s">
        <v>4149</v>
      </c>
      <c r="N897" s="109">
        <v>46218.407384259262</v>
      </c>
    </row>
    <row r="898" spans="1:14" ht="15" hidden="1" customHeight="1">
      <c r="A898" s="46">
        <v>898</v>
      </c>
      <c r="B898" s="46" t="s">
        <v>26</v>
      </c>
      <c r="C898" s="60" t="s">
        <v>54</v>
      </c>
      <c r="D898" s="46" t="s">
        <v>208</v>
      </c>
      <c r="E898" t="s">
        <v>4150</v>
      </c>
      <c r="F898" s="46" t="s">
        <v>325</v>
      </c>
      <c r="G898" s="114" t="s">
        <v>208</v>
      </c>
      <c r="H898" s="74" t="s">
        <v>4151</v>
      </c>
      <c r="I898" s="114" t="s">
        <v>275</v>
      </c>
      <c r="J898" s="31" t="s">
        <v>4152</v>
      </c>
      <c r="K898" s="109">
        <v>46209.334988425922</v>
      </c>
      <c r="L898" s="166">
        <v>46209.337326388886</v>
      </c>
      <c r="M898" s="166">
        <v>46209.40053240741</v>
      </c>
      <c r="N898" s="166">
        <v>46209.451944444445</v>
      </c>
    </row>
    <row r="899" spans="1:14" ht="15" hidden="1" customHeight="1">
      <c r="A899" s="46">
        <v>899</v>
      </c>
      <c r="B899" s="46" t="s">
        <v>26</v>
      </c>
      <c r="C899" s="60" t="s">
        <v>54</v>
      </c>
      <c r="D899" s="46" t="s">
        <v>208</v>
      </c>
      <c r="E899" t="s">
        <v>4150</v>
      </c>
      <c r="F899" s="46" t="s">
        <v>325</v>
      </c>
      <c r="G899" s="114" t="s">
        <v>208</v>
      </c>
      <c r="H899" s="74" t="s">
        <v>4151</v>
      </c>
      <c r="I899" s="114" t="s">
        <v>271</v>
      </c>
      <c r="J899" s="267" t="s">
        <v>2872</v>
      </c>
      <c r="K899" s="109">
        <v>46209.334988425922</v>
      </c>
      <c r="L899" s="166">
        <v>46209.461539351854</v>
      </c>
      <c r="M899" s="113">
        <v>46212.490833333337</v>
      </c>
      <c r="N899" s="109">
        <v>46212.490833333337</v>
      </c>
    </row>
    <row r="900" spans="1:14" ht="15" hidden="1" customHeight="1">
      <c r="A900" s="46">
        <v>900</v>
      </c>
      <c r="B900" s="46" t="s">
        <v>26</v>
      </c>
      <c r="C900" s="46" t="s">
        <v>27</v>
      </c>
      <c r="D900" s="46" t="s">
        <v>207</v>
      </c>
      <c r="E900" s="46" t="s">
        <v>4153</v>
      </c>
      <c r="F900" s="46" t="s">
        <v>318</v>
      </c>
      <c r="G900" s="114">
        <v>3</v>
      </c>
      <c r="H900" s="74" t="s">
        <v>2724</v>
      </c>
      <c r="I900" s="105" t="s">
        <v>271</v>
      </c>
      <c r="J900" s="46" t="s">
        <v>2772</v>
      </c>
      <c r="K900" s="109">
        <v>46218.357905092591</v>
      </c>
      <c r="L900" s="109">
        <v>46218.357905092591</v>
      </c>
      <c r="M900" s="109">
        <v>46218.419745370367</v>
      </c>
      <c r="N900" s="109">
        <v>46219.263078703705</v>
      </c>
    </row>
    <row r="901" spans="1:14" ht="15" hidden="1" customHeight="1">
      <c r="A901" s="46">
        <v>901</v>
      </c>
      <c r="B901" s="46" t="s">
        <v>26</v>
      </c>
      <c r="C901" s="60" t="s">
        <v>54</v>
      </c>
      <c r="D901" s="46" t="s">
        <v>208</v>
      </c>
      <c r="E901" s="46" t="s">
        <v>4154</v>
      </c>
      <c r="F901" s="46" t="s">
        <v>325</v>
      </c>
      <c r="G901" s="114" t="s">
        <v>208</v>
      </c>
      <c r="H901" s="74" t="s">
        <v>4155</v>
      </c>
      <c r="I901" s="114" t="s">
        <v>275</v>
      </c>
      <c r="J901" s="251" t="s">
        <v>2694</v>
      </c>
      <c r="K901" s="109">
        <v>46209.483356481483</v>
      </c>
      <c r="L901" s="166">
        <v>46209.483356481483</v>
      </c>
      <c r="M901" s="166">
        <v>46209.489502314813</v>
      </c>
      <c r="N901" s="166">
        <v>46210.563587962963</v>
      </c>
    </row>
    <row r="902" spans="1:14" ht="15" hidden="1" customHeight="1">
      <c r="A902" s="46">
        <v>902</v>
      </c>
      <c r="B902" s="46" t="s">
        <v>26</v>
      </c>
      <c r="C902" s="60" t="s">
        <v>54</v>
      </c>
      <c r="D902" s="46" t="s">
        <v>208</v>
      </c>
      <c r="E902" s="46" t="s">
        <v>3927</v>
      </c>
      <c r="F902" s="46" t="s">
        <v>325</v>
      </c>
      <c r="G902" s="114" t="s">
        <v>208</v>
      </c>
      <c r="H902" s="74" t="s">
        <v>2251</v>
      </c>
      <c r="I902" s="114" t="s">
        <v>275</v>
      </c>
      <c r="J902" s="31" t="s">
        <v>4152</v>
      </c>
      <c r="K902" s="109">
        <v>46189.56523148148</v>
      </c>
      <c r="L902" s="166">
        <v>46196.67869212963</v>
      </c>
      <c r="M902" s="166">
        <v>46197.214571759258</v>
      </c>
      <c r="N902" s="166">
        <v>46197.44630787037</v>
      </c>
    </row>
    <row r="903" spans="1:14" ht="15" hidden="1" customHeight="1">
      <c r="A903" s="46">
        <v>903</v>
      </c>
      <c r="B903" s="46" t="s">
        <v>26</v>
      </c>
      <c r="C903" s="60" t="s">
        <v>54</v>
      </c>
      <c r="D903" s="46" t="s">
        <v>208</v>
      </c>
      <c r="E903" s="46" t="s">
        <v>3927</v>
      </c>
      <c r="F903" s="46" t="s">
        <v>325</v>
      </c>
      <c r="G903" s="114" t="s">
        <v>208</v>
      </c>
      <c r="H903" s="74" t="s">
        <v>2251</v>
      </c>
      <c r="I903" s="114" t="s">
        <v>271</v>
      </c>
      <c r="J903" s="31" t="s">
        <v>4152</v>
      </c>
      <c r="K903" s="109">
        <v>46189.56523148148</v>
      </c>
      <c r="L903" s="166">
        <v>46209.619467592594</v>
      </c>
      <c r="M903" s="166">
        <v>46210.21702546296</v>
      </c>
      <c r="N903" s="109">
        <v>46215.390219907407</v>
      </c>
    </row>
    <row r="904" spans="1:14" ht="15" hidden="1" customHeight="1">
      <c r="A904" s="46">
        <v>904</v>
      </c>
      <c r="B904" s="46" t="s">
        <v>26</v>
      </c>
      <c r="C904" s="60" t="s">
        <v>54</v>
      </c>
      <c r="D904" s="46" t="s">
        <v>208</v>
      </c>
      <c r="E904" s="46" t="s">
        <v>4154</v>
      </c>
      <c r="F904" s="46" t="s">
        <v>325</v>
      </c>
      <c r="G904" s="114" t="s">
        <v>208</v>
      </c>
      <c r="H904" s="74" t="s">
        <v>4155</v>
      </c>
      <c r="I904" s="114" t="s">
        <v>275</v>
      </c>
      <c r="J904" s="251" t="s">
        <v>2694</v>
      </c>
      <c r="K904" s="109">
        <v>46209.483356481483</v>
      </c>
      <c r="L904" s="166">
        <v>46212.449872685182</v>
      </c>
      <c r="M904" s="166">
        <v>46212.498194444444</v>
      </c>
      <c r="N904" s="166">
        <v>46212.545520833337</v>
      </c>
    </row>
    <row r="905" spans="1:14" ht="15" hidden="1" customHeight="1">
      <c r="A905" s="46">
        <v>905</v>
      </c>
      <c r="B905" s="46" t="s">
        <v>26</v>
      </c>
      <c r="C905" s="60" t="s">
        <v>54</v>
      </c>
      <c r="D905" s="46" t="s">
        <v>208</v>
      </c>
      <c r="E905" s="46" t="s">
        <v>3596</v>
      </c>
      <c r="F905" s="46" t="s">
        <v>325</v>
      </c>
      <c r="G905" s="114" t="s">
        <v>208</v>
      </c>
      <c r="H905" s="74" t="s">
        <v>3597</v>
      </c>
      <c r="I905" s="114" t="s">
        <v>275</v>
      </c>
      <c r="J905" s="31" t="s">
        <v>4152</v>
      </c>
      <c r="K905" s="166">
        <v>46178.526921296296</v>
      </c>
      <c r="L905" s="166">
        <v>46189.600902777776</v>
      </c>
      <c r="M905" s="166">
        <v>46190.243807870371</v>
      </c>
      <c r="N905" s="166">
        <v>46191.487002314818</v>
      </c>
    </row>
    <row r="906" spans="1:14" ht="15" hidden="1" customHeight="1">
      <c r="A906" s="46">
        <v>906</v>
      </c>
      <c r="B906" s="46" t="s">
        <v>26</v>
      </c>
      <c r="C906" s="60" t="s">
        <v>54</v>
      </c>
      <c r="D906" s="46" t="s">
        <v>208</v>
      </c>
      <c r="E906" s="46" t="s">
        <v>3596</v>
      </c>
      <c r="F906" s="46" t="s">
        <v>325</v>
      </c>
      <c r="G906" s="114" t="s">
        <v>208</v>
      </c>
      <c r="H906" s="74" t="s">
        <v>3597</v>
      </c>
      <c r="I906" s="114" t="s">
        <v>275</v>
      </c>
      <c r="J906" s="31" t="s">
        <v>4152</v>
      </c>
      <c r="K906" s="166">
        <v>46178.526921296296</v>
      </c>
      <c r="L906" s="166">
        <v>46195.293749999997</v>
      </c>
      <c r="M906" s="166">
        <v>46195.302175925928</v>
      </c>
      <c r="N906" s="166">
        <v>46197.218194444446</v>
      </c>
    </row>
    <row r="907" spans="1:14" ht="15" hidden="1" customHeight="1">
      <c r="A907" s="46">
        <v>907</v>
      </c>
      <c r="B907" s="46" t="s">
        <v>26</v>
      </c>
      <c r="C907" s="60" t="s">
        <v>54</v>
      </c>
      <c r="D907" s="46" t="s">
        <v>208</v>
      </c>
      <c r="E907" t="s">
        <v>4156</v>
      </c>
      <c r="F907" s="46" t="s">
        <v>325</v>
      </c>
      <c r="G907" s="114" t="s">
        <v>208</v>
      </c>
      <c r="H907" s="74" t="s">
        <v>4157</v>
      </c>
      <c r="I907" s="114" t="s">
        <v>275</v>
      </c>
      <c r="J907" s="31" t="s">
        <v>4152</v>
      </c>
      <c r="K907" s="109">
        <v>46210.69091435185</v>
      </c>
      <c r="L907" s="166">
        <v>46210.697337962964</v>
      </c>
      <c r="M907" s="166">
        <v>46211.21670138889</v>
      </c>
      <c r="N907" s="166">
        <v>46211.34412037037</v>
      </c>
    </row>
    <row r="908" spans="1:14" ht="15" hidden="1" customHeight="1">
      <c r="A908" s="46">
        <v>908</v>
      </c>
      <c r="B908" s="46" t="s">
        <v>26</v>
      </c>
      <c r="C908" s="60" t="s">
        <v>54</v>
      </c>
      <c r="D908" s="46" t="s">
        <v>208</v>
      </c>
      <c r="E908" t="s">
        <v>4158</v>
      </c>
      <c r="F908" s="46" t="s">
        <v>325</v>
      </c>
      <c r="G908" s="114" t="s">
        <v>208</v>
      </c>
      <c r="H908" s="268" t="s">
        <v>3038</v>
      </c>
      <c r="I908" s="114" t="s">
        <v>275</v>
      </c>
      <c r="J908" s="31" t="s">
        <v>4152</v>
      </c>
      <c r="K908" s="109">
        <v>46202.535162037035</v>
      </c>
      <c r="L908" s="166">
        <v>46211.467430555553</v>
      </c>
      <c r="M908" s="166">
        <v>46212.2733912037</v>
      </c>
    </row>
    <row r="909" spans="1:14" ht="15" customHeight="1">
      <c r="A909" s="46">
        <v>909</v>
      </c>
      <c r="B909" s="46" t="s">
        <v>26</v>
      </c>
      <c r="C909" s="46" t="s">
        <v>54</v>
      </c>
      <c r="D909" s="46" t="s">
        <v>207</v>
      </c>
      <c r="E909" s="46" t="s">
        <v>4159</v>
      </c>
      <c r="F909" s="46" t="s">
        <v>53</v>
      </c>
      <c r="G909" s="114">
        <v>3</v>
      </c>
      <c r="H909" s="74" t="s">
        <v>4160</v>
      </c>
      <c r="I909" s="114" t="s">
        <v>271</v>
      </c>
      <c r="J909" s="295" t="s">
        <v>2697</v>
      </c>
      <c r="K909" s="109">
        <v>46218.600937499999</v>
      </c>
      <c r="L909" s="109">
        <v>46218.600937499999</v>
      </c>
      <c r="M909" s="109">
        <v>46218.644016203703</v>
      </c>
      <c r="N909" s="166">
        <v>46231.750104166669</v>
      </c>
    </row>
    <row r="910" spans="1:14" ht="15" customHeight="1">
      <c r="A910" s="46">
        <v>910</v>
      </c>
      <c r="B910" s="46" t="s">
        <v>26</v>
      </c>
      <c r="C910" s="46" t="s">
        <v>54</v>
      </c>
      <c r="D910" s="46" t="s">
        <v>207</v>
      </c>
      <c r="E910" s="46" t="s">
        <v>4161</v>
      </c>
      <c r="F910" s="46" t="s">
        <v>53</v>
      </c>
      <c r="G910" s="114">
        <v>3</v>
      </c>
      <c r="H910" s="74" t="s">
        <v>4162</v>
      </c>
      <c r="I910" s="114" t="s">
        <v>260</v>
      </c>
      <c r="J910" s="297" t="s">
        <v>2694</v>
      </c>
      <c r="K910" s="109">
        <v>46219.109629629631</v>
      </c>
      <c r="L910" s="166">
        <v>46219.113229166665</v>
      </c>
      <c r="M910" s="166">
        <v>46219.264189814814</v>
      </c>
    </row>
    <row r="911" spans="1:14" ht="15" customHeight="1">
      <c r="A911" s="46">
        <v>911</v>
      </c>
      <c r="B911" s="46" t="s">
        <v>26</v>
      </c>
      <c r="C911" s="46" t="s">
        <v>27</v>
      </c>
      <c r="D911" s="46" t="s">
        <v>207</v>
      </c>
      <c r="E911" s="46" t="s">
        <v>4163</v>
      </c>
      <c r="F911" s="46" t="s">
        <v>53</v>
      </c>
      <c r="G911" s="114">
        <v>3</v>
      </c>
      <c r="H911" s="74" t="s">
        <v>4164</v>
      </c>
      <c r="I911" s="114" t="s">
        <v>271</v>
      </c>
      <c r="J911" s="295" t="s">
        <v>2697</v>
      </c>
      <c r="K911" s="109">
        <v>46218.685150462959</v>
      </c>
      <c r="L911" s="166">
        <v>46218.685150462959</v>
      </c>
      <c r="M911" s="166">
        <v>46219.266469907408</v>
      </c>
      <c r="N911" s="166">
        <v>46219.646874999999</v>
      </c>
    </row>
    <row r="912" spans="1:14" ht="15" hidden="1" customHeight="1">
      <c r="A912" s="46">
        <v>912</v>
      </c>
      <c r="B912" s="46" t="s">
        <v>26</v>
      </c>
      <c r="C912" s="46" t="s">
        <v>27</v>
      </c>
      <c r="D912" s="46" t="s">
        <v>207</v>
      </c>
      <c r="E912" s="46" t="s">
        <v>4165</v>
      </c>
      <c r="F912" s="46" t="s">
        <v>318</v>
      </c>
      <c r="G912" s="114">
        <v>3</v>
      </c>
      <c r="H912" s="74" t="s">
        <v>4166</v>
      </c>
      <c r="I912" s="114" t="s">
        <v>271</v>
      </c>
      <c r="J912" s="46" t="s">
        <v>2738</v>
      </c>
      <c r="K912" s="109">
        <v>46218.819398148145</v>
      </c>
      <c r="L912" s="166">
        <v>46218.824652777781</v>
      </c>
      <c r="M912" s="166">
        <v>46219.268043981479</v>
      </c>
      <c r="N912" s="166">
        <v>46223.348124999997</v>
      </c>
    </row>
    <row r="913" spans="1:14" ht="15" hidden="1" customHeight="1">
      <c r="A913" s="46">
        <v>913</v>
      </c>
      <c r="B913" s="46" t="s">
        <v>26</v>
      </c>
      <c r="C913" s="46" t="s">
        <v>27</v>
      </c>
      <c r="D913" s="46" t="s">
        <v>207</v>
      </c>
      <c r="E913" s="46" t="s">
        <v>4167</v>
      </c>
      <c r="F913" s="46" t="s">
        <v>318</v>
      </c>
      <c r="G913" s="114">
        <v>3</v>
      </c>
      <c r="H913" s="74" t="s">
        <v>2707</v>
      </c>
      <c r="I913" s="114" t="s">
        <v>260</v>
      </c>
      <c r="J913" s="46" t="s">
        <v>2708</v>
      </c>
      <c r="K913" s="109">
        <v>46218.644583333335</v>
      </c>
      <c r="L913" s="166">
        <v>46218.701319444444</v>
      </c>
      <c r="M913" s="166">
        <v>46219.267083333332</v>
      </c>
    </row>
    <row r="914" spans="1:14" ht="15" customHeight="1">
      <c r="A914" s="46">
        <v>914</v>
      </c>
      <c r="B914" s="46" t="s">
        <v>26</v>
      </c>
      <c r="C914" s="46" t="s">
        <v>54</v>
      </c>
      <c r="D914" s="46" t="s">
        <v>207</v>
      </c>
      <c r="E914" t="s">
        <v>4168</v>
      </c>
      <c r="F914" s="46" t="s">
        <v>53</v>
      </c>
      <c r="G914" s="114">
        <v>4</v>
      </c>
      <c r="H914" s="74" t="s">
        <v>4169</v>
      </c>
      <c r="I914" s="114" t="s">
        <v>275</v>
      </c>
      <c r="J914" s="295" t="s">
        <v>2708</v>
      </c>
      <c r="K914" s="109">
        <v>46212.460312499999</v>
      </c>
      <c r="L914" s="166">
        <v>46216.452488425923</v>
      </c>
      <c r="M914" s="166">
        <v>46216.485497685186</v>
      </c>
      <c r="N914" s="166">
        <v>46217.671018518522</v>
      </c>
    </row>
    <row r="915" spans="1:14" ht="15" customHeight="1">
      <c r="A915" s="46">
        <v>915</v>
      </c>
      <c r="B915" s="46" t="s">
        <v>26</v>
      </c>
      <c r="C915" s="46" t="s">
        <v>54</v>
      </c>
      <c r="D915" s="46" t="s">
        <v>207</v>
      </c>
      <c r="E915" t="s">
        <v>3433</v>
      </c>
      <c r="F915" s="46" t="s">
        <v>53</v>
      </c>
      <c r="G915" s="114">
        <v>3</v>
      </c>
      <c r="H915" s="74" t="s">
        <v>3434</v>
      </c>
      <c r="I915" s="114" t="s">
        <v>266</v>
      </c>
      <c r="J915" s="295" t="s">
        <v>2708</v>
      </c>
      <c r="K915" s="109">
        <v>46188.286932870367</v>
      </c>
      <c r="L915" s="166">
        <v>46216.486851851849</v>
      </c>
      <c r="M915" s="166">
        <v>46216.512337962966</v>
      </c>
    </row>
    <row r="916" spans="1:14" ht="15" customHeight="1">
      <c r="A916" s="46">
        <v>916</v>
      </c>
      <c r="B916" s="46" t="s">
        <v>26</v>
      </c>
      <c r="C916" s="46" t="s">
        <v>54</v>
      </c>
      <c r="D916" s="46" t="s">
        <v>207</v>
      </c>
      <c r="E916" t="s">
        <v>4170</v>
      </c>
      <c r="F916" s="46" t="s">
        <v>53</v>
      </c>
      <c r="G916" s="114">
        <v>3</v>
      </c>
      <c r="H916" s="74" t="s">
        <v>4171</v>
      </c>
      <c r="I916" s="114" t="s">
        <v>266</v>
      </c>
      <c r="J916" s="295" t="s">
        <v>2714</v>
      </c>
      <c r="K916" s="109">
        <v>46206.019918981481</v>
      </c>
      <c r="L916" s="166">
        <v>46217.969756944447</v>
      </c>
      <c r="M916" s="166">
        <v>46218.288576388892</v>
      </c>
    </row>
    <row r="917" spans="1:14" ht="15" customHeight="1">
      <c r="A917" s="46">
        <v>917</v>
      </c>
      <c r="B917" s="46" t="s">
        <v>26</v>
      </c>
      <c r="C917" s="46" t="s">
        <v>54</v>
      </c>
      <c r="D917" s="46" t="s">
        <v>207</v>
      </c>
      <c r="E917" t="s">
        <v>4028</v>
      </c>
      <c r="F917" s="46" t="s">
        <v>53</v>
      </c>
      <c r="G917" s="114">
        <v>4</v>
      </c>
      <c r="H917" s="74" t="s">
        <v>4029</v>
      </c>
      <c r="I917" s="114" t="s">
        <v>275</v>
      </c>
      <c r="J917" s="295" t="s">
        <v>2697</v>
      </c>
      <c r="K917" s="109">
        <v>46214.568692129629</v>
      </c>
      <c r="L917" s="166">
        <v>46217.744583333333</v>
      </c>
      <c r="M917" s="166">
        <v>46218.290277777778</v>
      </c>
      <c r="N917" s="166">
        <v>46219.251030092593</v>
      </c>
    </row>
    <row r="918" spans="1:14" ht="15" customHeight="1">
      <c r="A918" s="46">
        <v>918</v>
      </c>
      <c r="B918" s="46" t="s">
        <v>26</v>
      </c>
      <c r="C918" s="46" t="s">
        <v>54</v>
      </c>
      <c r="D918" s="46" t="s">
        <v>207</v>
      </c>
      <c r="E918" t="s">
        <v>4172</v>
      </c>
      <c r="F918" s="46" t="s">
        <v>53</v>
      </c>
      <c r="G918" s="114">
        <v>4</v>
      </c>
      <c r="H918" s="74" t="s">
        <v>4173</v>
      </c>
      <c r="I918" s="114" t="s">
        <v>260</v>
      </c>
      <c r="J918" s="295" t="s">
        <v>2700</v>
      </c>
      <c r="K918" s="109">
        <v>46217.832951388889</v>
      </c>
      <c r="L918" s="166">
        <v>46217.839606481481</v>
      </c>
      <c r="M918" s="166">
        <v>46218.29146990741</v>
      </c>
    </row>
    <row r="919" spans="1:14" ht="15" customHeight="1">
      <c r="A919" s="46">
        <v>919</v>
      </c>
      <c r="B919" s="46" t="s">
        <v>26</v>
      </c>
      <c r="C919" s="46" t="s">
        <v>54</v>
      </c>
      <c r="D919" s="46" t="s">
        <v>207</v>
      </c>
      <c r="E919" t="s">
        <v>4174</v>
      </c>
      <c r="F919" s="46" t="s">
        <v>53</v>
      </c>
      <c r="G919" s="114">
        <v>4</v>
      </c>
      <c r="H919" s="74" t="s">
        <v>4175</v>
      </c>
      <c r="I919" s="114" t="s">
        <v>266</v>
      </c>
      <c r="J919" s="295" t="s">
        <v>4176</v>
      </c>
      <c r="K919" s="109">
        <v>46217.712372685186</v>
      </c>
      <c r="L919" s="166">
        <v>46217.712384259263</v>
      </c>
      <c r="M919" s="166">
        <v>46218.293124999997</v>
      </c>
    </row>
    <row r="920" spans="1:14" ht="15" hidden="1" customHeight="1">
      <c r="A920" s="46">
        <v>920</v>
      </c>
      <c r="B920" s="46" t="s">
        <v>26</v>
      </c>
      <c r="C920" s="46" t="s">
        <v>27</v>
      </c>
      <c r="D920" s="46" t="s">
        <v>207</v>
      </c>
      <c r="E920" s="46" t="s">
        <v>3669</v>
      </c>
      <c r="F920" s="46" t="s">
        <v>318</v>
      </c>
      <c r="G920" s="114">
        <v>4</v>
      </c>
      <c r="H920" s="74" t="s">
        <v>3670</v>
      </c>
      <c r="I920" s="114" t="s">
        <v>275</v>
      </c>
      <c r="J920" s="46" t="s">
        <v>2725</v>
      </c>
      <c r="K920" s="109">
        <v>46197.393310185187</v>
      </c>
      <c r="L920" s="109">
        <v>46219.45585648148</v>
      </c>
      <c r="M920" s="109">
        <v>46219.505370370367</v>
      </c>
      <c r="N920" s="46"/>
    </row>
    <row r="921" spans="1:14" ht="15" customHeight="1">
      <c r="A921" s="46">
        <v>921</v>
      </c>
      <c r="B921" s="46" t="s">
        <v>26</v>
      </c>
      <c r="C921" s="46" t="s">
        <v>54</v>
      </c>
      <c r="D921" s="46" t="s">
        <v>208</v>
      </c>
      <c r="E921" t="s">
        <v>4177</v>
      </c>
      <c r="F921" s="46" t="s">
        <v>53</v>
      </c>
      <c r="G921" s="114" t="s">
        <v>208</v>
      </c>
      <c r="H921" s="74" t="s">
        <v>4178</v>
      </c>
      <c r="I921" s="114" t="s">
        <v>275</v>
      </c>
      <c r="J921" s="295" t="s">
        <v>2697</v>
      </c>
      <c r="K921" s="109">
        <v>46216.410370370373</v>
      </c>
      <c r="L921" s="166">
        <v>46217.635289351849</v>
      </c>
      <c r="M921" s="166">
        <v>46218.294976851852</v>
      </c>
      <c r="N921" s="166">
        <v>46219.474768518521</v>
      </c>
    </row>
    <row r="922" spans="1:14" ht="15" customHeight="1">
      <c r="A922" s="46">
        <v>922</v>
      </c>
      <c r="B922" s="46" t="s">
        <v>26</v>
      </c>
      <c r="C922" s="46" t="s">
        <v>54</v>
      </c>
      <c r="D922" s="46" t="s">
        <v>207</v>
      </c>
      <c r="E922" t="s">
        <v>4010</v>
      </c>
      <c r="F922" s="46" t="s">
        <v>53</v>
      </c>
      <c r="G922" s="114">
        <v>4</v>
      </c>
      <c r="H922" s="74" t="s">
        <v>4011</v>
      </c>
      <c r="I922" s="114" t="s">
        <v>266</v>
      </c>
      <c r="J922" s="295" t="s">
        <v>2714</v>
      </c>
      <c r="K922" s="109">
        <v>46213.057870370372</v>
      </c>
      <c r="L922" s="166">
        <v>46217.969756944447</v>
      </c>
      <c r="M922" s="166">
        <v>46218.324618055558</v>
      </c>
    </row>
    <row r="923" spans="1:14" ht="15" hidden="1" customHeight="1">
      <c r="A923" s="46">
        <v>923</v>
      </c>
      <c r="E923" s="46" t="s">
        <v>4179</v>
      </c>
      <c r="F923" s="46" t="s">
        <v>327</v>
      </c>
      <c r="G923" s="114">
        <v>3</v>
      </c>
      <c r="H923" s="74" t="s">
        <v>4180</v>
      </c>
      <c r="I923" s="114" t="s">
        <v>275</v>
      </c>
      <c r="J923" s="46"/>
      <c r="K923" s="109">
        <v>46218.732511574075</v>
      </c>
      <c r="L923" s="109">
        <v>46218.732511574075</v>
      </c>
      <c r="M923" s="109">
        <v>46220.278599537036</v>
      </c>
    </row>
    <row r="924" spans="1:14" ht="15" hidden="1" customHeight="1">
      <c r="A924" s="46">
        <v>924</v>
      </c>
      <c r="E924" s="46" t="s">
        <v>4181</v>
      </c>
      <c r="F924" s="46" t="s">
        <v>318</v>
      </c>
      <c r="G924" s="114">
        <v>3</v>
      </c>
      <c r="H924" s="74" t="s">
        <v>4182</v>
      </c>
      <c r="I924" s="114" t="s">
        <v>260</v>
      </c>
      <c r="J924" s="46" t="s">
        <v>2708</v>
      </c>
      <c r="K924" s="109">
        <v>46219.78197916667</v>
      </c>
      <c r="L924" s="109">
        <v>46219.783171296294</v>
      </c>
      <c r="M924" s="109">
        <v>46220.282280092593</v>
      </c>
    </row>
    <row r="925" spans="1:14" ht="15" hidden="1" customHeight="1">
      <c r="A925" s="46">
        <v>925</v>
      </c>
      <c r="E925" s="46" t="s">
        <v>4183</v>
      </c>
      <c r="F925" s="46" t="s">
        <v>318</v>
      </c>
      <c r="G925" s="114">
        <v>3</v>
      </c>
      <c r="H925" s="74" t="s">
        <v>2707</v>
      </c>
      <c r="I925" s="114" t="s">
        <v>260</v>
      </c>
      <c r="J925" s="46" t="s">
        <v>2708</v>
      </c>
      <c r="K925" s="109">
        <v>46219.534282407411</v>
      </c>
      <c r="L925" s="109">
        <v>46219.693854166668</v>
      </c>
      <c r="M925" s="109">
        <v>46220.284791666665</v>
      </c>
    </row>
    <row r="926" spans="1:14" ht="15" hidden="1" customHeight="1">
      <c r="A926" s="46">
        <v>926</v>
      </c>
      <c r="B926" s="46" t="s">
        <v>26</v>
      </c>
      <c r="C926" s="46" t="s">
        <v>27</v>
      </c>
      <c r="D926" s="46" t="s">
        <v>207</v>
      </c>
      <c r="E926" s="46" t="s">
        <v>4184</v>
      </c>
      <c r="F926" s="46" t="s">
        <v>318</v>
      </c>
      <c r="G926" s="114">
        <v>4</v>
      </c>
      <c r="H926" s="74" t="s">
        <v>4185</v>
      </c>
      <c r="I926" s="114" t="s">
        <v>271</v>
      </c>
      <c r="J926" s="46" t="s">
        <v>2738</v>
      </c>
      <c r="K926" s="109">
        <v>46219.724999999999</v>
      </c>
      <c r="L926" s="109">
        <v>46219.726724537039</v>
      </c>
      <c r="M926" s="109">
        <v>46220.286215277774</v>
      </c>
      <c r="N926" s="166">
        <v>46223.354375000003</v>
      </c>
    </row>
    <row r="927" spans="1:14" ht="15" hidden="1" customHeight="1">
      <c r="A927" s="46">
        <v>927</v>
      </c>
      <c r="E927" s="46" t="s">
        <v>4186</v>
      </c>
      <c r="F927" s="46" t="s">
        <v>318</v>
      </c>
      <c r="G927" s="114">
        <v>3</v>
      </c>
      <c r="H927" s="74" t="s">
        <v>4187</v>
      </c>
      <c r="I927" s="114" t="s">
        <v>260</v>
      </c>
      <c r="J927" s="46" t="s">
        <v>2708</v>
      </c>
      <c r="K927" s="109">
        <v>46219.693148148152</v>
      </c>
      <c r="L927" s="109">
        <v>46219.693958333337</v>
      </c>
      <c r="M927" s="109">
        <v>46220.287881944445</v>
      </c>
    </row>
    <row r="928" spans="1:14" ht="15" hidden="1" customHeight="1">
      <c r="A928" s="46">
        <v>928</v>
      </c>
      <c r="E928" s="46" t="s">
        <v>4188</v>
      </c>
      <c r="F928" s="46" t="s">
        <v>318</v>
      </c>
      <c r="G928" s="114">
        <v>3</v>
      </c>
      <c r="H928" s="74" t="s">
        <v>2775</v>
      </c>
      <c r="I928" s="105" t="s">
        <v>271</v>
      </c>
      <c r="J928" s="46" t="s">
        <v>2772</v>
      </c>
      <c r="K928" s="109">
        <v>46219.912881944445</v>
      </c>
      <c r="L928" s="109">
        <v>46219.912881944445</v>
      </c>
      <c r="M928" s="109">
        <v>46220.289155092592</v>
      </c>
      <c r="N928" s="109">
        <v>46223.431539351855</v>
      </c>
    </row>
    <row r="929" spans="1:14" ht="15" hidden="1" customHeight="1">
      <c r="A929" s="46">
        <v>929</v>
      </c>
      <c r="B929" s="46" t="s">
        <v>26</v>
      </c>
      <c r="C929" s="46" t="s">
        <v>27</v>
      </c>
      <c r="D929" s="46" t="s">
        <v>207</v>
      </c>
      <c r="E929" s="46" t="s">
        <v>4189</v>
      </c>
      <c r="F929" s="46" t="s">
        <v>318</v>
      </c>
      <c r="G929" s="114">
        <v>3</v>
      </c>
      <c r="H929" s="74" t="s">
        <v>2707</v>
      </c>
      <c r="I929" s="114" t="s">
        <v>260</v>
      </c>
      <c r="J929" s="46" t="s">
        <v>2708</v>
      </c>
      <c r="K929" s="166">
        <v>46220.658333333333</v>
      </c>
      <c r="L929" s="166">
        <v>46220.658368055556</v>
      </c>
      <c r="M929" s="166">
        <v>46223.245289351849</v>
      </c>
    </row>
    <row r="930" spans="1:14" ht="15" hidden="1" customHeight="1">
      <c r="A930" s="46">
        <v>930</v>
      </c>
      <c r="B930" s="46" t="s">
        <v>26</v>
      </c>
      <c r="C930" s="46" t="s">
        <v>27</v>
      </c>
      <c r="D930" s="46" t="s">
        <v>207</v>
      </c>
      <c r="E930" s="46" t="s">
        <v>4190</v>
      </c>
      <c r="F930" s="46" t="s">
        <v>318</v>
      </c>
      <c r="G930" s="114">
        <v>3</v>
      </c>
      <c r="H930" s="74" t="s">
        <v>2775</v>
      </c>
      <c r="I930" s="105" t="s">
        <v>271</v>
      </c>
      <c r="J930" s="46" t="s">
        <v>2772</v>
      </c>
      <c r="K930" s="166">
        <v>46223.116354166668</v>
      </c>
      <c r="L930" s="166">
        <v>46223.116446759261</v>
      </c>
      <c r="M930" s="166">
        <v>46223.247754629629</v>
      </c>
      <c r="N930" s="109">
        <v>46223.43074074074</v>
      </c>
    </row>
    <row r="931" spans="1:14" ht="15" hidden="1" customHeight="1">
      <c r="A931" s="46">
        <v>931</v>
      </c>
      <c r="B931" s="46" t="s">
        <v>26</v>
      </c>
      <c r="C931" s="46" t="s">
        <v>27</v>
      </c>
      <c r="D931" s="46" t="s">
        <v>207</v>
      </c>
      <c r="E931" s="46" t="s">
        <v>4191</v>
      </c>
      <c r="F931" s="46" t="s">
        <v>318</v>
      </c>
      <c r="G931" s="114">
        <v>3</v>
      </c>
      <c r="H931" s="74" t="s">
        <v>2724</v>
      </c>
      <c r="I931" s="114" t="s">
        <v>260</v>
      </c>
      <c r="J931" s="46" t="s">
        <v>2827</v>
      </c>
      <c r="K931" s="166">
        <v>46222.246122685188</v>
      </c>
      <c r="L931" s="166">
        <v>46222.246238425927</v>
      </c>
      <c r="M931" s="197" t="s">
        <v>4192</v>
      </c>
    </row>
    <row r="932" spans="1:14" ht="15" hidden="1" customHeight="1">
      <c r="A932" s="46">
        <v>932</v>
      </c>
      <c r="B932" s="46" t="s">
        <v>26</v>
      </c>
      <c r="C932" s="46" t="s">
        <v>27</v>
      </c>
      <c r="D932" s="46" t="s">
        <v>207</v>
      </c>
      <c r="E932" s="46" t="s">
        <v>4193</v>
      </c>
      <c r="F932" s="46" t="s">
        <v>318</v>
      </c>
      <c r="G932" s="114">
        <v>3</v>
      </c>
      <c r="H932" s="74" t="s">
        <v>2775</v>
      </c>
      <c r="I932" s="114" t="s">
        <v>271</v>
      </c>
      <c r="J932" s="46" t="s">
        <v>2738</v>
      </c>
      <c r="K932" s="166">
        <v>46222.140543981484</v>
      </c>
      <c r="L932" s="166">
        <v>46222.1406712963</v>
      </c>
      <c r="M932" s="166">
        <v>46223.298530092594</v>
      </c>
      <c r="N932" s="109">
        <v>46223.435914351852</v>
      </c>
    </row>
    <row r="933" spans="1:14" ht="15" hidden="1" customHeight="1">
      <c r="A933" s="46">
        <v>933</v>
      </c>
      <c r="B933" s="46" t="s">
        <v>26</v>
      </c>
      <c r="C933" s="46" t="s">
        <v>27</v>
      </c>
      <c r="D933" s="46" t="s">
        <v>207</v>
      </c>
      <c r="E933" s="46" t="s">
        <v>4194</v>
      </c>
      <c r="F933" s="46" t="s">
        <v>318</v>
      </c>
      <c r="G933" s="114">
        <v>3</v>
      </c>
      <c r="H933" s="74" t="s">
        <v>2775</v>
      </c>
      <c r="I933" s="114" t="s">
        <v>271</v>
      </c>
      <c r="J933" s="46" t="s">
        <v>2725</v>
      </c>
      <c r="K933" s="166">
        <v>46221.891261574077</v>
      </c>
      <c r="L933" s="166">
        <v>46221.891331018516</v>
      </c>
      <c r="M933" s="166">
        <v>46223.30059027778</v>
      </c>
      <c r="N933" s="109">
        <v>46224.309328703705</v>
      </c>
    </row>
    <row r="934" spans="1:14" ht="15" hidden="1" customHeight="1">
      <c r="A934" s="46">
        <v>934</v>
      </c>
      <c r="B934" s="46" t="s">
        <v>26</v>
      </c>
      <c r="C934" s="46" t="s">
        <v>27</v>
      </c>
      <c r="D934" s="46" t="s">
        <v>207</v>
      </c>
      <c r="E934" s="46" t="s">
        <v>4195</v>
      </c>
      <c r="F934" s="46" t="s">
        <v>318</v>
      </c>
      <c r="G934" s="114">
        <v>3</v>
      </c>
      <c r="H934" s="74" t="s">
        <v>2724</v>
      </c>
      <c r="I934" s="114" t="s">
        <v>260</v>
      </c>
      <c r="J934" s="46" t="s">
        <v>2751</v>
      </c>
      <c r="K934" s="166">
        <v>46221.775300925925</v>
      </c>
      <c r="L934" s="166">
        <v>46221.77542824074</v>
      </c>
      <c r="M934" s="166">
        <v>46223.303229166668</v>
      </c>
    </row>
    <row r="935" spans="1:14" ht="15" hidden="1" customHeight="1">
      <c r="A935" s="46">
        <v>935</v>
      </c>
      <c r="B935" s="46" t="s">
        <v>26</v>
      </c>
      <c r="C935" s="46" t="s">
        <v>27</v>
      </c>
      <c r="D935" s="46" t="s">
        <v>207</v>
      </c>
      <c r="E935" s="46" t="s">
        <v>4196</v>
      </c>
      <c r="F935" s="46" t="s">
        <v>318</v>
      </c>
      <c r="G935" s="114">
        <v>3</v>
      </c>
      <c r="H935" s="74" t="s">
        <v>4197</v>
      </c>
      <c r="I935" s="114" t="s">
        <v>260</v>
      </c>
      <c r="J935" s="46" t="s">
        <v>2700</v>
      </c>
      <c r="K935" s="166">
        <v>46220.773912037039</v>
      </c>
      <c r="L935" s="166">
        <v>46220.773993055554</v>
      </c>
      <c r="M935" s="166">
        <v>46223.306759259256</v>
      </c>
    </row>
    <row r="936" spans="1:14" ht="15" hidden="1" customHeight="1">
      <c r="A936" s="46">
        <v>936</v>
      </c>
      <c r="B936" s="46" t="s">
        <v>26</v>
      </c>
      <c r="C936" s="46" t="s">
        <v>27</v>
      </c>
      <c r="D936" s="46" t="s">
        <v>208</v>
      </c>
      <c r="E936" s="273" t="s">
        <v>4198</v>
      </c>
      <c r="F936" s="46" t="s">
        <v>4199</v>
      </c>
      <c r="G936" s="114" t="s">
        <v>208</v>
      </c>
      <c r="H936" s="74" t="s">
        <v>4200</v>
      </c>
      <c r="I936" s="114" t="s">
        <v>275</v>
      </c>
      <c r="J936" s="46"/>
      <c r="K936" s="166">
        <v>46223.272604166668</v>
      </c>
      <c r="L936" s="166">
        <v>46223.310983796298</v>
      </c>
      <c r="M936" s="166">
        <v>46223.310983796298</v>
      </c>
    </row>
    <row r="937" spans="1:14" ht="15" hidden="1" customHeight="1">
      <c r="A937" s="46">
        <v>937</v>
      </c>
      <c r="B937" s="46" t="s">
        <v>26</v>
      </c>
      <c r="C937" s="46" t="s">
        <v>27</v>
      </c>
      <c r="D937" s="46" t="s">
        <v>208</v>
      </c>
      <c r="E937" t="s">
        <v>4201</v>
      </c>
      <c r="F937" s="46" t="s">
        <v>4199</v>
      </c>
      <c r="G937" s="114" t="s">
        <v>208</v>
      </c>
      <c r="H937" s="74" t="s">
        <v>4202</v>
      </c>
      <c r="I937" s="114" t="s">
        <v>275</v>
      </c>
      <c r="J937" s="46"/>
      <c r="K937" s="166">
        <v>46223.271203703705</v>
      </c>
      <c r="L937" s="166">
        <v>46223.313101851854</v>
      </c>
      <c r="M937" s="166">
        <v>46223.313101851854</v>
      </c>
    </row>
    <row r="938" spans="1:14" ht="15" hidden="1" customHeight="1">
      <c r="A938" s="46">
        <v>938</v>
      </c>
      <c r="B938" s="46" t="s">
        <v>26</v>
      </c>
      <c r="C938" s="46" t="s">
        <v>27</v>
      </c>
      <c r="D938" s="46" t="s">
        <v>208</v>
      </c>
      <c r="E938" s="46" t="s">
        <v>4203</v>
      </c>
      <c r="F938" s="46" t="s">
        <v>4199</v>
      </c>
      <c r="G938" s="114" t="s">
        <v>208</v>
      </c>
      <c r="H938" s="74" t="s">
        <v>4204</v>
      </c>
      <c r="I938" s="114" t="s">
        <v>275</v>
      </c>
      <c r="J938" s="46"/>
      <c r="K938" s="166">
        <v>46223.270682870374</v>
      </c>
      <c r="L938" s="166">
        <v>46223.315034722225</v>
      </c>
      <c r="M938" s="166">
        <v>46223.315034722225</v>
      </c>
    </row>
    <row r="939" spans="1:14" ht="15" hidden="1" customHeight="1">
      <c r="A939" s="46">
        <v>939</v>
      </c>
      <c r="B939" s="46" t="s">
        <v>26</v>
      </c>
      <c r="C939" s="46" t="s">
        <v>27</v>
      </c>
      <c r="D939" s="46" t="s">
        <v>208</v>
      </c>
      <c r="E939" s="46" t="s">
        <v>4205</v>
      </c>
      <c r="F939" s="46" t="s">
        <v>4199</v>
      </c>
      <c r="G939" s="114" t="s">
        <v>208</v>
      </c>
      <c r="H939" s="74" t="s">
        <v>4206</v>
      </c>
      <c r="I939" s="114" t="s">
        <v>275</v>
      </c>
      <c r="J939" s="46"/>
      <c r="K939" s="166">
        <v>46223.270486111112</v>
      </c>
      <c r="L939" s="166">
        <v>46223.316990740743</v>
      </c>
      <c r="M939" s="166">
        <v>46223.316990740743</v>
      </c>
    </row>
    <row r="940" spans="1:14" ht="15" hidden="1" customHeight="1">
      <c r="A940" s="46">
        <v>940</v>
      </c>
      <c r="B940" s="46" t="s">
        <v>26</v>
      </c>
      <c r="C940" s="46" t="s">
        <v>27</v>
      </c>
      <c r="D940" s="46" t="s">
        <v>208</v>
      </c>
      <c r="E940" s="274" t="s">
        <v>4207</v>
      </c>
      <c r="F940" s="46" t="s">
        <v>4199</v>
      </c>
      <c r="G940" s="114" t="s">
        <v>208</v>
      </c>
      <c r="H940" s="74" t="s">
        <v>4208</v>
      </c>
      <c r="I940" s="114" t="s">
        <v>275</v>
      </c>
      <c r="J940" s="46"/>
      <c r="K940" s="166">
        <v>46223.268449074072</v>
      </c>
      <c r="L940" s="166">
        <v>46223.318124999998</v>
      </c>
      <c r="M940" s="166">
        <v>46223.318124999998</v>
      </c>
    </row>
    <row r="941" spans="1:14" ht="15" hidden="1" customHeight="1">
      <c r="A941" s="46">
        <v>941</v>
      </c>
      <c r="B941" s="46" t="s">
        <v>26</v>
      </c>
      <c r="C941" s="46" t="s">
        <v>27</v>
      </c>
      <c r="D941" s="46" t="s">
        <v>208</v>
      </c>
      <c r="E941" t="s">
        <v>4209</v>
      </c>
      <c r="F941" s="46" t="s">
        <v>4199</v>
      </c>
      <c r="G941" s="114" t="s">
        <v>208</v>
      </c>
      <c r="H941" s="74" t="s">
        <v>4210</v>
      </c>
      <c r="I941" s="114" t="s">
        <v>275</v>
      </c>
      <c r="J941" s="46"/>
      <c r="K941" s="166">
        <v>46223.266157407408</v>
      </c>
      <c r="L941" s="166">
        <v>46223.321284722224</v>
      </c>
      <c r="M941" s="166">
        <v>46223.321284722224</v>
      </c>
    </row>
    <row r="942" spans="1:14" ht="15" hidden="1" customHeight="1">
      <c r="A942" s="46">
        <v>942</v>
      </c>
      <c r="B942" s="46" t="s">
        <v>26</v>
      </c>
      <c r="C942" s="46" t="s">
        <v>27</v>
      </c>
      <c r="D942" s="46" t="s">
        <v>208</v>
      </c>
      <c r="E942" s="46" t="s">
        <v>4211</v>
      </c>
      <c r="F942" s="46" t="s">
        <v>4199</v>
      </c>
      <c r="G942" s="114" t="s">
        <v>208</v>
      </c>
      <c r="H942" s="74" t="s">
        <v>4212</v>
      </c>
      <c r="I942" s="114" t="s">
        <v>275</v>
      </c>
      <c r="J942" s="46"/>
      <c r="K942" s="166">
        <v>46223.265879629631</v>
      </c>
      <c r="L942" s="109">
        <v>46223.325381944444</v>
      </c>
      <c r="M942" s="166">
        <v>46223.325381944444</v>
      </c>
    </row>
    <row r="943" spans="1:14" ht="15" hidden="1" customHeight="1">
      <c r="A943" s="46">
        <v>943</v>
      </c>
      <c r="J943" s="46"/>
    </row>
    <row r="944" spans="1:14" ht="15" hidden="1" customHeight="1">
      <c r="A944" s="46">
        <v>944</v>
      </c>
      <c r="J944" s="46"/>
    </row>
    <row r="945" spans="1:14" ht="15" hidden="1" customHeight="1">
      <c r="A945" s="46">
        <v>945</v>
      </c>
      <c r="J945" s="46"/>
    </row>
    <row r="946" spans="1:14" ht="15" hidden="1" customHeight="1">
      <c r="A946" s="46">
        <v>946</v>
      </c>
      <c r="B946" s="46" t="s">
        <v>26</v>
      </c>
      <c r="C946" s="46" t="s">
        <v>27</v>
      </c>
      <c r="D946" s="46" t="s">
        <v>208</v>
      </c>
      <c r="E946" s="46" t="s">
        <v>4213</v>
      </c>
      <c r="F946" s="60" t="s">
        <v>320</v>
      </c>
      <c r="G946" s="114" t="s">
        <v>208</v>
      </c>
      <c r="H946" s="268" t="s">
        <v>4078</v>
      </c>
      <c r="I946" s="114" t="s">
        <v>260</v>
      </c>
      <c r="J946" s="46"/>
      <c r="K946" s="109">
        <v>46224.376585648148</v>
      </c>
      <c r="L946" s="109">
        <v>46224.376585648148</v>
      </c>
      <c r="M946" s="166">
        <v>46224.411273148151</v>
      </c>
    </row>
    <row r="947" spans="1:14" ht="15" hidden="1" customHeight="1">
      <c r="A947" s="46">
        <v>947</v>
      </c>
      <c r="B947" s="46" t="s">
        <v>26</v>
      </c>
      <c r="C947" s="46" t="s">
        <v>27</v>
      </c>
      <c r="D947" s="46" t="s">
        <v>208</v>
      </c>
      <c r="E947" s="46" t="s">
        <v>4214</v>
      </c>
      <c r="F947" s="60" t="s">
        <v>320</v>
      </c>
      <c r="G947" s="114" t="s">
        <v>208</v>
      </c>
      <c r="H947" s="74" t="s">
        <v>4215</v>
      </c>
      <c r="I947" s="114" t="s">
        <v>275</v>
      </c>
      <c r="J947" s="46"/>
      <c r="K947" s="109">
        <v>46223.270150462966</v>
      </c>
      <c r="L947" s="109">
        <v>46223.270150462966</v>
      </c>
      <c r="M947" s="166">
        <v>46223.317013888889</v>
      </c>
    </row>
    <row r="948" spans="1:14" ht="15" hidden="1" customHeight="1">
      <c r="A948" s="46">
        <v>948</v>
      </c>
      <c r="B948" s="46" t="s">
        <v>26</v>
      </c>
      <c r="C948" s="46" t="s">
        <v>27</v>
      </c>
      <c r="D948" s="46" t="s">
        <v>208</v>
      </c>
      <c r="E948" s="46" t="s">
        <v>4207</v>
      </c>
      <c r="F948" s="60" t="s">
        <v>320</v>
      </c>
      <c r="G948" s="114" t="s">
        <v>208</v>
      </c>
      <c r="H948" s="74" t="s">
        <v>4208</v>
      </c>
      <c r="I948" s="114" t="s">
        <v>275</v>
      </c>
      <c r="J948" s="46"/>
      <c r="K948" s="109">
        <v>46223.268449074072</v>
      </c>
      <c r="L948" s="109">
        <v>46223.268449074072</v>
      </c>
      <c r="M948" s="166">
        <v>46223.318124999998</v>
      </c>
    </row>
    <row r="949" spans="1:14" ht="15" hidden="1" customHeight="1">
      <c r="A949" s="46">
        <v>949</v>
      </c>
      <c r="B949" s="46" t="s">
        <v>26</v>
      </c>
      <c r="C949" s="46" t="s">
        <v>27</v>
      </c>
      <c r="D949" s="46" t="s">
        <v>208</v>
      </c>
      <c r="E949" s="46" t="s">
        <v>4216</v>
      </c>
      <c r="F949" s="60" t="s">
        <v>320</v>
      </c>
      <c r="G949" s="114" t="s">
        <v>208</v>
      </c>
      <c r="H949" s="74" t="s">
        <v>4217</v>
      </c>
      <c r="I949" s="114" t="s">
        <v>275</v>
      </c>
      <c r="J949" s="46"/>
      <c r="K949" s="109">
        <v>46223.265868055554</v>
      </c>
      <c r="L949" s="109">
        <v>46223.265868055554</v>
      </c>
      <c r="M949" s="166">
        <v>46223.318657407406</v>
      </c>
    </row>
    <row r="950" spans="1:14" ht="15" hidden="1" customHeight="1">
      <c r="A950" s="46">
        <v>950</v>
      </c>
      <c r="B950" s="46" t="s">
        <v>26</v>
      </c>
      <c r="C950" s="46" t="s">
        <v>27</v>
      </c>
      <c r="D950" s="46" t="s">
        <v>208</v>
      </c>
      <c r="E950" s="46" t="s">
        <v>4218</v>
      </c>
      <c r="F950" s="60" t="s">
        <v>320</v>
      </c>
      <c r="G950" s="114" t="s">
        <v>208</v>
      </c>
      <c r="H950" s="74" t="s">
        <v>4219</v>
      </c>
      <c r="I950" s="114" t="s">
        <v>275</v>
      </c>
      <c r="J950" s="46"/>
      <c r="K950" s="109">
        <v>46223.265138888892</v>
      </c>
      <c r="L950" s="109">
        <v>46223.265138888892</v>
      </c>
      <c r="M950" s="166">
        <v>46223.319155092591</v>
      </c>
    </row>
    <row r="951" spans="1:14" ht="15" hidden="1" customHeight="1">
      <c r="A951" s="46">
        <v>951</v>
      </c>
      <c r="B951" s="46" t="s">
        <v>26</v>
      </c>
      <c r="C951" s="46" t="s">
        <v>27</v>
      </c>
      <c r="D951" s="46" t="s">
        <v>208</v>
      </c>
      <c r="E951" s="46" t="s">
        <v>4220</v>
      </c>
      <c r="F951" s="60" t="s">
        <v>320</v>
      </c>
      <c r="G951" s="114" t="s">
        <v>208</v>
      </c>
      <c r="H951" s="74" t="s">
        <v>4221</v>
      </c>
      <c r="I951" s="114" t="s">
        <v>260</v>
      </c>
      <c r="J951" s="46" t="s">
        <v>2954</v>
      </c>
      <c r="K951" s="109">
        <v>46220.670381944445</v>
      </c>
      <c r="L951" s="109">
        <v>46220.670381944445</v>
      </c>
      <c r="M951" s="166">
        <v>46223.328449074077</v>
      </c>
    </row>
    <row r="952" spans="1:14" ht="15" hidden="1" customHeight="1">
      <c r="A952" s="46">
        <v>952</v>
      </c>
      <c r="B952" s="46" t="s">
        <v>26</v>
      </c>
      <c r="C952" s="46" t="s">
        <v>27</v>
      </c>
      <c r="D952" s="46" t="s">
        <v>208</v>
      </c>
      <c r="E952" s="46" t="s">
        <v>4222</v>
      </c>
      <c r="F952" s="46" t="s">
        <v>322</v>
      </c>
      <c r="G952" s="114" t="s">
        <v>208</v>
      </c>
      <c r="H952" s="74" t="s">
        <v>4223</v>
      </c>
      <c r="I952" s="114" t="s">
        <v>275</v>
      </c>
      <c r="J952" s="46" t="s">
        <v>2717</v>
      </c>
      <c r="K952" s="109">
        <v>46223.266250000001</v>
      </c>
      <c r="L952" s="109">
        <v>46223.266250000001</v>
      </c>
      <c r="M952" s="109">
        <v>46223.434652777774</v>
      </c>
      <c r="N952" s="109">
        <v>46223.446805555555</v>
      </c>
    </row>
    <row r="953" spans="1:14" ht="15" hidden="1" customHeight="1">
      <c r="A953" s="46">
        <v>953</v>
      </c>
      <c r="B953" s="46" t="s">
        <v>26</v>
      </c>
      <c r="C953" s="46" t="s">
        <v>27</v>
      </c>
      <c r="D953" s="46" t="s">
        <v>208</v>
      </c>
      <c r="E953" s="46" t="s">
        <v>4224</v>
      </c>
      <c r="F953" s="46" t="s">
        <v>322</v>
      </c>
      <c r="G953" s="114" t="s">
        <v>208</v>
      </c>
      <c r="H953" s="74" t="s">
        <v>4225</v>
      </c>
      <c r="I953" s="114" t="s">
        <v>275</v>
      </c>
      <c r="J953" s="46" t="s">
        <v>2717</v>
      </c>
      <c r="K953" s="109">
        <v>46223.267418981479</v>
      </c>
      <c r="L953" s="109">
        <v>46223.267418981479</v>
      </c>
      <c r="M953" s="109">
        <v>46223.437407407408</v>
      </c>
      <c r="N953" s="109">
        <v>46223.445138888892</v>
      </c>
    </row>
    <row r="954" spans="1:14" ht="15" hidden="1" customHeight="1">
      <c r="A954" s="46">
        <v>954</v>
      </c>
      <c r="B954" s="46" t="s">
        <v>26</v>
      </c>
      <c r="C954" s="46" t="s">
        <v>27</v>
      </c>
      <c r="D954" s="46" t="s">
        <v>207</v>
      </c>
      <c r="E954" s="46" t="s">
        <v>4226</v>
      </c>
      <c r="F954" s="46" t="s">
        <v>318</v>
      </c>
      <c r="G954" s="114">
        <v>3</v>
      </c>
      <c r="H954" s="74" t="s">
        <v>2775</v>
      </c>
      <c r="I954" s="114" t="s">
        <v>271</v>
      </c>
      <c r="J954" s="46" t="s">
        <v>2738</v>
      </c>
      <c r="K954" s="109">
        <v>46223.891932870371</v>
      </c>
      <c r="L954" s="109">
        <v>46223.891932870371</v>
      </c>
      <c r="M954" s="109">
        <v>46224.229085648149</v>
      </c>
      <c r="N954" s="109">
        <v>46225.217430555553</v>
      </c>
    </row>
    <row r="955" spans="1:14" ht="15" hidden="1" customHeight="1">
      <c r="A955" s="46">
        <v>955</v>
      </c>
      <c r="B955" s="46" t="s">
        <v>26</v>
      </c>
      <c r="C955" s="46" t="s">
        <v>27</v>
      </c>
      <c r="D955" s="46" t="s">
        <v>207</v>
      </c>
      <c r="E955" s="46" t="s">
        <v>4227</v>
      </c>
      <c r="F955" s="46" t="s">
        <v>318</v>
      </c>
      <c r="G955" s="114">
        <v>3</v>
      </c>
      <c r="H955" s="74" t="s">
        <v>2707</v>
      </c>
      <c r="I955" s="114" t="s">
        <v>260</v>
      </c>
      <c r="J955" s="46" t="s">
        <v>2708</v>
      </c>
      <c r="K955" s="109">
        <v>46223.628101851849</v>
      </c>
      <c r="L955" s="109">
        <v>46223.71702546296</v>
      </c>
      <c r="M955" s="109">
        <v>46224.229502314818</v>
      </c>
    </row>
    <row r="956" spans="1:14" ht="15" hidden="1" customHeight="1">
      <c r="A956" s="46">
        <v>956</v>
      </c>
      <c r="B956" s="46" t="s">
        <v>26</v>
      </c>
      <c r="C956" s="46" t="s">
        <v>27</v>
      </c>
      <c r="D956" s="46" t="s">
        <v>207</v>
      </c>
      <c r="E956" s="46" t="s">
        <v>4228</v>
      </c>
      <c r="F956" s="46" t="s">
        <v>318</v>
      </c>
      <c r="G956" s="114">
        <v>3</v>
      </c>
      <c r="H956" s="74" t="s">
        <v>4229</v>
      </c>
      <c r="I956" s="114" t="s">
        <v>260</v>
      </c>
      <c r="J956" s="46" t="s">
        <v>2708</v>
      </c>
      <c r="K956" s="109">
        <v>46223.626840277779</v>
      </c>
      <c r="L956" s="109">
        <v>46223.717314814814</v>
      </c>
      <c r="M956" s="109">
        <v>46224.229930555557</v>
      </c>
    </row>
    <row r="957" spans="1:14" ht="15" hidden="1" customHeight="1">
      <c r="A957" s="46">
        <v>957</v>
      </c>
      <c r="B957" s="46" t="s">
        <v>26</v>
      </c>
      <c r="C957" s="46" t="s">
        <v>27</v>
      </c>
      <c r="D957" s="46" t="s">
        <v>207</v>
      </c>
      <c r="E957" s="46" t="s">
        <v>4230</v>
      </c>
      <c r="F957" s="46" t="s">
        <v>318</v>
      </c>
      <c r="G957" s="114">
        <v>3</v>
      </c>
      <c r="H957" s="74" t="s">
        <v>2707</v>
      </c>
      <c r="I957" s="114" t="s">
        <v>260</v>
      </c>
      <c r="J957" s="46" t="s">
        <v>2703</v>
      </c>
      <c r="K957" s="109">
        <v>46224.329409722224</v>
      </c>
      <c r="L957" s="109">
        <v>46224.329652777778</v>
      </c>
      <c r="M957" s="109">
        <v>46224.335370370369</v>
      </c>
    </row>
    <row r="958" spans="1:14" ht="15" hidden="1" customHeight="1">
      <c r="A958" s="46">
        <v>958</v>
      </c>
      <c r="B958" s="46" t="s">
        <v>26</v>
      </c>
      <c r="C958" s="46" t="s">
        <v>27</v>
      </c>
      <c r="D958" s="46" t="s">
        <v>208</v>
      </c>
      <c r="E958" s="46" t="s">
        <v>4231</v>
      </c>
      <c r="F958" s="46" t="s">
        <v>318</v>
      </c>
      <c r="G958" s="114" t="s">
        <v>208</v>
      </c>
      <c r="H958" s="74" t="s">
        <v>3185</v>
      </c>
      <c r="I958" s="114" t="s">
        <v>260</v>
      </c>
      <c r="J958" s="46" t="s">
        <v>2827</v>
      </c>
      <c r="K958" s="109">
        <v>46224.376886574071</v>
      </c>
      <c r="L958" s="109">
        <v>46224.376886574071</v>
      </c>
      <c r="M958" s="109">
        <v>46224.403958333336</v>
      </c>
    </row>
    <row r="959" spans="1:14" ht="15" hidden="1" customHeight="1">
      <c r="A959" s="46">
        <v>959</v>
      </c>
      <c r="B959" s="46" t="s">
        <v>26</v>
      </c>
      <c r="C959" s="46" t="s">
        <v>27</v>
      </c>
      <c r="D959" s="46" t="s">
        <v>208</v>
      </c>
      <c r="E959" s="46" t="s">
        <v>4232</v>
      </c>
      <c r="F959" s="46" t="s">
        <v>318</v>
      </c>
      <c r="G959" s="114" t="s">
        <v>208</v>
      </c>
      <c r="H959" s="74" t="s">
        <v>3185</v>
      </c>
      <c r="I959" s="114" t="s">
        <v>260</v>
      </c>
      <c r="J959" s="46" t="s">
        <v>2827</v>
      </c>
      <c r="K959" s="109">
        <v>46224.376284722224</v>
      </c>
      <c r="L959" s="109">
        <v>46224.376284722224</v>
      </c>
      <c r="M959" s="109">
        <v>46224.404085648152</v>
      </c>
    </row>
    <row r="960" spans="1:14" ht="15" hidden="1" customHeight="1">
      <c r="A960" s="46">
        <v>960</v>
      </c>
      <c r="B960" s="46" t="s">
        <v>26</v>
      </c>
      <c r="C960" s="46" t="s">
        <v>27</v>
      </c>
      <c r="D960" s="46" t="s">
        <v>208</v>
      </c>
      <c r="E960" s="46" t="s">
        <v>4233</v>
      </c>
      <c r="F960" s="46" t="s">
        <v>318</v>
      </c>
      <c r="G960" s="114" t="s">
        <v>208</v>
      </c>
      <c r="H960" s="74" t="s">
        <v>3185</v>
      </c>
      <c r="I960" s="114" t="s">
        <v>260</v>
      </c>
      <c r="J960" s="46" t="s">
        <v>3015</v>
      </c>
      <c r="K960" s="109">
        <v>46224.376203703701</v>
      </c>
      <c r="L960" s="109">
        <v>46224.376203703701</v>
      </c>
      <c r="M960" s="109">
        <v>46224.40421296296</v>
      </c>
    </row>
    <row r="961" spans="1:14" ht="15" hidden="1" customHeight="1">
      <c r="A961" s="46">
        <v>961</v>
      </c>
      <c r="B961" s="46" t="s">
        <v>26</v>
      </c>
      <c r="C961" s="46" t="s">
        <v>27</v>
      </c>
      <c r="D961" s="46" t="s">
        <v>208</v>
      </c>
      <c r="E961" s="46" t="s">
        <v>4234</v>
      </c>
      <c r="F961" s="46" t="s">
        <v>318</v>
      </c>
      <c r="G961" s="114" t="s">
        <v>208</v>
      </c>
      <c r="H961" s="74" t="s">
        <v>3185</v>
      </c>
      <c r="I961" s="114" t="s">
        <v>260</v>
      </c>
      <c r="J961" s="46" t="s">
        <v>3015</v>
      </c>
      <c r="K961" s="109">
        <v>46224.376087962963</v>
      </c>
      <c r="L961" s="109">
        <v>46224.376087962963</v>
      </c>
      <c r="M961" s="109">
        <v>46224.404317129629</v>
      </c>
    </row>
    <row r="962" spans="1:14" ht="15" hidden="1" customHeight="1">
      <c r="A962" s="46">
        <v>962</v>
      </c>
      <c r="B962" s="46" t="s">
        <v>26</v>
      </c>
      <c r="C962" s="46" t="s">
        <v>27</v>
      </c>
      <c r="D962" s="46" t="s">
        <v>208</v>
      </c>
      <c r="E962" s="46" t="s">
        <v>4235</v>
      </c>
      <c r="F962" s="46" t="s">
        <v>322</v>
      </c>
      <c r="G962" s="114" t="s">
        <v>208</v>
      </c>
      <c r="H962" s="74" t="s">
        <v>3191</v>
      </c>
      <c r="I962" s="114" t="s">
        <v>271</v>
      </c>
      <c r="J962" s="46" t="s">
        <v>2717</v>
      </c>
      <c r="K962" s="109">
        <v>46224.376261574071</v>
      </c>
      <c r="L962" s="109">
        <v>46224.376261574071</v>
      </c>
      <c r="M962" s="109">
        <v>46224.44023148148</v>
      </c>
      <c r="N962" s="109">
        <v>46224.444444444445</v>
      </c>
    </row>
    <row r="963" spans="1:14" ht="15" hidden="1" customHeight="1">
      <c r="A963" s="46">
        <v>963</v>
      </c>
      <c r="B963" s="46" t="s">
        <v>26</v>
      </c>
      <c r="C963" s="46" t="s">
        <v>27</v>
      </c>
      <c r="D963" s="46" t="s">
        <v>208</v>
      </c>
      <c r="E963" s="46" t="s">
        <v>4236</v>
      </c>
      <c r="F963" s="46" t="s">
        <v>322</v>
      </c>
      <c r="G963" s="114" t="s">
        <v>208</v>
      </c>
      <c r="H963" s="74" t="s">
        <v>3189</v>
      </c>
      <c r="I963" s="114" t="s">
        <v>275</v>
      </c>
      <c r="J963" s="46" t="s">
        <v>2717</v>
      </c>
      <c r="K963" s="109">
        <v>46224.376493055555</v>
      </c>
      <c r="L963" s="109">
        <v>46224.376493055555</v>
      </c>
      <c r="M963" s="109">
        <v>46224.442546296297</v>
      </c>
      <c r="N963" s="109">
        <v>46224.44809027778</v>
      </c>
    </row>
    <row r="964" spans="1:14" ht="15" hidden="1" customHeight="1">
      <c r="A964" s="46">
        <v>964</v>
      </c>
      <c r="B964" s="46" t="s">
        <v>26</v>
      </c>
      <c r="C964" s="46" t="s">
        <v>27</v>
      </c>
      <c r="D964" s="46" t="s">
        <v>208</v>
      </c>
      <c r="E964" s="46" t="s">
        <v>4236</v>
      </c>
      <c r="F964" s="60" t="s">
        <v>320</v>
      </c>
      <c r="G964" s="114" t="s">
        <v>208</v>
      </c>
      <c r="H964" s="74" t="s">
        <v>3189</v>
      </c>
      <c r="I964" s="114" t="s">
        <v>271</v>
      </c>
      <c r="J964" s="46" t="s">
        <v>2738</v>
      </c>
      <c r="K964" s="109">
        <v>46224.376493055555</v>
      </c>
      <c r="L964" s="166">
        <v>46224.44809027778</v>
      </c>
      <c r="M964" s="166">
        <v>46224.490057870367</v>
      </c>
      <c r="N964" s="166">
        <v>46225.424074074072</v>
      </c>
    </row>
    <row r="965" spans="1:14" ht="15" hidden="1" customHeight="1">
      <c r="A965" s="189">
        <v>965</v>
      </c>
      <c r="B965" s="46" t="s">
        <v>26</v>
      </c>
      <c r="C965" s="60" t="s">
        <v>54</v>
      </c>
      <c r="D965" s="46" t="s">
        <v>208</v>
      </c>
      <c r="E965" t="s">
        <v>3943</v>
      </c>
      <c r="F965" s="46" t="s">
        <v>325</v>
      </c>
      <c r="G965" s="114" t="s">
        <v>208</v>
      </c>
      <c r="H965" s="74" t="s">
        <v>3944</v>
      </c>
      <c r="I965" s="114" t="s">
        <v>275</v>
      </c>
      <c r="J965" s="113" t="s">
        <v>2872</v>
      </c>
      <c r="K965" s="109">
        <v>46203.674305555556</v>
      </c>
      <c r="L965" s="166">
        <v>46204.395358796297</v>
      </c>
      <c r="M965" s="166">
        <v>46204.409467592595</v>
      </c>
      <c r="N965" s="166">
        <v>46210.455381944441</v>
      </c>
    </row>
    <row r="966" spans="1:14" ht="15" hidden="1" customHeight="1">
      <c r="A966" s="189">
        <v>966</v>
      </c>
      <c r="B966" s="46" t="s">
        <v>26</v>
      </c>
      <c r="C966" s="60" t="s">
        <v>54</v>
      </c>
      <c r="D966" s="46" t="s">
        <v>208</v>
      </c>
      <c r="E966" t="s">
        <v>3943</v>
      </c>
      <c r="F966" s="46" t="s">
        <v>325</v>
      </c>
      <c r="G966" s="114" t="s">
        <v>208</v>
      </c>
      <c r="H966" s="74" t="s">
        <v>3944</v>
      </c>
      <c r="I966" s="114" t="s">
        <v>275</v>
      </c>
      <c r="J966" s="113" t="s">
        <v>2872</v>
      </c>
      <c r="K966" s="109">
        <v>46203.674305555556</v>
      </c>
      <c r="L966" s="166">
        <v>46211.461481481485</v>
      </c>
      <c r="M966" s="166">
        <v>46212.274004629631</v>
      </c>
      <c r="N966" s="166">
        <v>46213.451006944444</v>
      </c>
    </row>
    <row r="967" spans="1:14" ht="15" hidden="1" customHeight="1">
      <c r="A967" s="189">
        <v>967</v>
      </c>
      <c r="B967" s="46" t="s">
        <v>26</v>
      </c>
      <c r="C967" s="60" t="s">
        <v>54</v>
      </c>
      <c r="D967" s="46" t="s">
        <v>208</v>
      </c>
      <c r="E967" t="s">
        <v>3943</v>
      </c>
      <c r="F967" s="46" t="s">
        <v>325</v>
      </c>
      <c r="G967" s="114" t="s">
        <v>208</v>
      </c>
      <c r="H967" s="74" t="s">
        <v>3944</v>
      </c>
      <c r="I967" s="114" t="s">
        <v>275</v>
      </c>
      <c r="J967" s="113" t="s">
        <v>2872</v>
      </c>
      <c r="K967" s="109">
        <v>46203.674305555556</v>
      </c>
      <c r="L967" s="166">
        <v>46213.459016203706</v>
      </c>
      <c r="M967" s="166">
        <v>46216.216331018521</v>
      </c>
      <c r="N967" s="166">
        <v>46217.306145833332</v>
      </c>
    </row>
    <row r="968" spans="1:14" ht="15" hidden="1" customHeight="1">
      <c r="A968" s="189">
        <v>968</v>
      </c>
      <c r="B968" s="46" t="s">
        <v>26</v>
      </c>
      <c r="C968" s="60" t="s">
        <v>54</v>
      </c>
      <c r="D968" s="46" t="s">
        <v>208</v>
      </c>
      <c r="E968" t="s">
        <v>3947</v>
      </c>
      <c r="F968" s="46" t="s">
        <v>325</v>
      </c>
      <c r="G968" s="114" t="s">
        <v>208</v>
      </c>
      <c r="H968" s="74" t="s">
        <v>3948</v>
      </c>
      <c r="I968" s="114" t="s">
        <v>275</v>
      </c>
      <c r="J968" s="113" t="s">
        <v>2872</v>
      </c>
      <c r="K968" s="109">
        <v>46204.705150462964</v>
      </c>
      <c r="L968" s="166">
        <v>46205.555983796294</v>
      </c>
      <c r="M968" s="166">
        <v>46206.260335648149</v>
      </c>
      <c r="N968" s="166">
        <v>46206.477673611109</v>
      </c>
    </row>
    <row r="969" spans="1:14" ht="15" hidden="1" customHeight="1">
      <c r="A969" s="189">
        <v>969</v>
      </c>
      <c r="B969" s="46" t="s">
        <v>26</v>
      </c>
      <c r="C969" s="60" t="s">
        <v>54</v>
      </c>
      <c r="D969" s="46" t="s">
        <v>208</v>
      </c>
      <c r="E969" t="s">
        <v>3947</v>
      </c>
      <c r="F969" s="46" t="s">
        <v>325</v>
      </c>
      <c r="G969" s="114" t="s">
        <v>208</v>
      </c>
      <c r="H969" s="74" t="s">
        <v>3948</v>
      </c>
      <c r="I969" s="114" t="s">
        <v>275</v>
      </c>
      <c r="J969" s="113" t="s">
        <v>2872</v>
      </c>
      <c r="K969" s="109">
        <v>46204.705150462964</v>
      </c>
      <c r="L969" s="166">
        <v>46211.559374999997</v>
      </c>
      <c r="M969" s="166">
        <v>46212.27443287037</v>
      </c>
      <c r="N969" s="166">
        <v>46212.333032407405</v>
      </c>
    </row>
    <row r="970" spans="1:14" ht="15" hidden="1" customHeight="1">
      <c r="A970" s="189">
        <v>970</v>
      </c>
      <c r="B970" s="46" t="s">
        <v>26</v>
      </c>
      <c r="C970" s="60" t="s">
        <v>54</v>
      </c>
      <c r="D970" s="46" t="s">
        <v>208</v>
      </c>
      <c r="E970" t="s">
        <v>4237</v>
      </c>
      <c r="F970" s="46" t="s">
        <v>325</v>
      </c>
      <c r="G970" s="114" t="s">
        <v>208</v>
      </c>
      <c r="H970" s="74" t="s">
        <v>4238</v>
      </c>
      <c r="I970" s="114" t="s">
        <v>275</v>
      </c>
      <c r="J970" s="113" t="s">
        <v>2872</v>
      </c>
      <c r="K970" s="109">
        <v>46210.501331018517</v>
      </c>
      <c r="L970" s="166">
        <v>46211.622465277775</v>
      </c>
      <c r="M970" s="166">
        <v>46212.27484953704</v>
      </c>
      <c r="N970" s="166">
        <v>46213.350706018522</v>
      </c>
    </row>
    <row r="971" spans="1:14" ht="15" hidden="1" customHeight="1">
      <c r="A971" s="189">
        <v>971</v>
      </c>
      <c r="B971" s="46" t="s">
        <v>26</v>
      </c>
      <c r="C971" s="60" t="s">
        <v>54</v>
      </c>
      <c r="D971" s="46" t="s">
        <v>207</v>
      </c>
      <c r="E971" t="s">
        <v>3982</v>
      </c>
      <c r="F971" s="46" t="s">
        <v>325</v>
      </c>
      <c r="G971" s="114">
        <v>3</v>
      </c>
      <c r="H971" s="74" t="s">
        <v>3983</v>
      </c>
      <c r="I971" s="114" t="s">
        <v>275</v>
      </c>
      <c r="J971" s="113" t="s">
        <v>2872</v>
      </c>
      <c r="K971" s="109">
        <v>46206.412094907406</v>
      </c>
      <c r="L971" s="166">
        <v>46218.602372685185</v>
      </c>
      <c r="M971" s="166">
        <v>46219.218402777777</v>
      </c>
      <c r="N971" s="166">
        <v>46219.220856481479</v>
      </c>
    </row>
    <row r="972" spans="1:14" ht="15" hidden="1" customHeight="1">
      <c r="A972" s="189">
        <v>972</v>
      </c>
      <c r="B972" s="46" t="s">
        <v>26</v>
      </c>
      <c r="C972" s="60" t="s">
        <v>54</v>
      </c>
      <c r="D972" s="46" t="s">
        <v>207</v>
      </c>
      <c r="E972" t="s">
        <v>3982</v>
      </c>
      <c r="F972" s="46" t="s">
        <v>325</v>
      </c>
      <c r="G972" s="114">
        <v>3</v>
      </c>
      <c r="H972" s="74" t="s">
        <v>3983</v>
      </c>
      <c r="I972" s="114" t="s">
        <v>275</v>
      </c>
      <c r="J972" s="113" t="s">
        <v>2872</v>
      </c>
      <c r="K972" s="109">
        <v>46206.412094907406</v>
      </c>
      <c r="L972" s="166">
        <v>46219.394907407404</v>
      </c>
      <c r="M972" s="166">
        <v>46219.402662037035</v>
      </c>
      <c r="N972" s="166">
        <v>46219.461018518516</v>
      </c>
    </row>
    <row r="973" spans="1:14" ht="15" hidden="1" customHeight="1">
      <c r="A973" s="18">
        <v>973</v>
      </c>
      <c r="B973" s="46" t="s">
        <v>26</v>
      </c>
      <c r="C973" s="60" t="s">
        <v>54</v>
      </c>
      <c r="D973" s="46" t="s">
        <v>207</v>
      </c>
      <c r="E973" t="s">
        <v>3982</v>
      </c>
      <c r="F973" s="46" t="s">
        <v>325</v>
      </c>
      <c r="G973" s="114">
        <v>3</v>
      </c>
      <c r="H973" s="74" t="s">
        <v>3983</v>
      </c>
      <c r="I973" s="114" t="s">
        <v>275</v>
      </c>
      <c r="J973" s="113" t="s">
        <v>2872</v>
      </c>
      <c r="K973" s="109">
        <v>46206.412094907406</v>
      </c>
      <c r="L973" s="166">
        <v>46219.506782407407</v>
      </c>
      <c r="M973" s="166">
        <v>46219.643865740742</v>
      </c>
    </row>
    <row r="974" spans="1:14" ht="15" customHeight="1">
      <c r="A974" s="18">
        <v>974</v>
      </c>
      <c r="B974" s="46" t="s">
        <v>26</v>
      </c>
      <c r="C974" s="46" t="s">
        <v>54</v>
      </c>
      <c r="D974" s="46" t="s">
        <v>207</v>
      </c>
      <c r="E974" s="67" t="s">
        <v>4239</v>
      </c>
      <c r="F974" s="46" t="s">
        <v>53</v>
      </c>
      <c r="G974" s="114">
        <v>4</v>
      </c>
      <c r="H974" s="74" t="s">
        <v>4240</v>
      </c>
      <c r="I974" s="114" t="s">
        <v>260</v>
      </c>
      <c r="J974" s="295" t="s">
        <v>2708</v>
      </c>
      <c r="K974" s="109">
        <v>46224.418680555558</v>
      </c>
      <c r="L974" s="109">
        <v>46224.419236111113</v>
      </c>
      <c r="M974" s="109">
        <v>46224.507372685184</v>
      </c>
    </row>
    <row r="975" spans="1:14" ht="15" customHeight="1">
      <c r="A975" s="18">
        <v>975</v>
      </c>
      <c r="B975" s="46" t="s">
        <v>26</v>
      </c>
      <c r="C975" s="46" t="s">
        <v>54</v>
      </c>
      <c r="D975" s="46" t="s">
        <v>207</v>
      </c>
      <c r="E975" s="67" t="s">
        <v>4241</v>
      </c>
      <c r="F975" s="46" t="s">
        <v>53</v>
      </c>
      <c r="G975" s="114">
        <v>4</v>
      </c>
      <c r="H975" s="74" t="s">
        <v>4242</v>
      </c>
      <c r="I975" s="114" t="s">
        <v>275</v>
      </c>
      <c r="J975" s="295" t="s">
        <v>2697</v>
      </c>
      <c r="K975" s="109">
        <v>46224.450127314813</v>
      </c>
      <c r="L975" s="109">
        <v>46224.450127314813</v>
      </c>
      <c r="M975" s="109">
        <v>46224.509618055556</v>
      </c>
      <c r="N975" s="166">
        <v>46234.588784722226</v>
      </c>
    </row>
    <row r="976" spans="1:14" ht="15" customHeight="1">
      <c r="A976" s="18">
        <v>976</v>
      </c>
      <c r="B976" s="46" t="s">
        <v>26</v>
      </c>
      <c r="C976" s="46" t="s">
        <v>54</v>
      </c>
      <c r="D976" s="46" t="s">
        <v>207</v>
      </c>
      <c r="E976" s="46" t="s">
        <v>4243</v>
      </c>
      <c r="F976" s="46" t="s">
        <v>53</v>
      </c>
      <c r="G976" s="114">
        <v>3</v>
      </c>
      <c r="H976" s="74" t="s">
        <v>4244</v>
      </c>
      <c r="I976" s="114" t="s">
        <v>260</v>
      </c>
      <c r="J976" s="295" t="s">
        <v>2703</v>
      </c>
      <c r="K976" s="109">
        <v>46224.474502314813</v>
      </c>
      <c r="L976" s="406">
        <v>46224.535752314812</v>
      </c>
      <c r="M976" s="406">
        <v>46224.67796296296</v>
      </c>
    </row>
    <row r="977" spans="1:14" ht="15" hidden="1" customHeight="1">
      <c r="A977" s="18">
        <v>977</v>
      </c>
      <c r="B977" s="46" t="s">
        <v>26</v>
      </c>
      <c r="C977" s="46" t="s">
        <v>27</v>
      </c>
      <c r="D977" s="46" t="s">
        <v>207</v>
      </c>
      <c r="E977" s="46" t="s">
        <v>4245</v>
      </c>
      <c r="F977" s="46" t="s">
        <v>318</v>
      </c>
      <c r="G977" s="114">
        <v>3</v>
      </c>
      <c r="H977" s="74" t="s">
        <v>2707</v>
      </c>
      <c r="I977" s="114" t="s">
        <v>260</v>
      </c>
      <c r="J977" s="46" t="s">
        <v>2708</v>
      </c>
      <c r="K977" s="109">
        <v>46224.681747685187</v>
      </c>
      <c r="L977" s="406">
        <v>46224.705775462964</v>
      </c>
      <c r="M977" s="406">
        <v>46225.234583333331</v>
      </c>
    </row>
    <row r="978" spans="1:14" ht="15" hidden="1" customHeight="1">
      <c r="A978" s="18">
        <v>978</v>
      </c>
      <c r="B978" s="46" t="s">
        <v>26</v>
      </c>
      <c r="C978" s="46" t="s">
        <v>27</v>
      </c>
      <c r="D978" s="46" t="s">
        <v>207</v>
      </c>
      <c r="E978" s="46" t="s">
        <v>4246</v>
      </c>
      <c r="F978" s="46" t="s">
        <v>318</v>
      </c>
      <c r="G978" s="114">
        <v>3</v>
      </c>
      <c r="H978" s="74" t="s">
        <v>4247</v>
      </c>
      <c r="I978" s="105" t="s">
        <v>271</v>
      </c>
      <c r="J978" s="46" t="s">
        <v>2772</v>
      </c>
      <c r="K978" s="406">
        <v>46224.417696759258</v>
      </c>
      <c r="L978" s="406">
        <v>46224.663321759261</v>
      </c>
      <c r="M978" s="406">
        <v>46225.231944444444</v>
      </c>
      <c r="N978" s="109">
        <v>46230.472731481481</v>
      </c>
    </row>
    <row r="979" spans="1:14" ht="15" hidden="1" customHeight="1">
      <c r="A979" s="18">
        <v>979</v>
      </c>
      <c r="B979" s="46" t="s">
        <v>26</v>
      </c>
      <c r="C979" s="46" t="s">
        <v>27</v>
      </c>
      <c r="D979" s="46" t="s">
        <v>207</v>
      </c>
      <c r="E979" s="46" t="s">
        <v>4248</v>
      </c>
      <c r="F979" s="46" t="s">
        <v>318</v>
      </c>
      <c r="G979" s="114">
        <v>4</v>
      </c>
      <c r="H979" s="74" t="s">
        <v>4249</v>
      </c>
      <c r="I979" s="114" t="s">
        <v>271</v>
      </c>
      <c r="J979" s="46" t="s">
        <v>2725</v>
      </c>
      <c r="K979" s="406">
        <v>46225.074004629627</v>
      </c>
      <c r="L979" s="406">
        <v>46225.075729166667</v>
      </c>
      <c r="M979" s="406">
        <v>46225.230555555558</v>
      </c>
      <c r="N979" s="109">
        <v>46225.545682870368</v>
      </c>
    </row>
    <row r="980" spans="1:14" ht="15" hidden="1" customHeight="1">
      <c r="A980" s="18">
        <v>980</v>
      </c>
      <c r="B980" s="46" t="s">
        <v>26</v>
      </c>
      <c r="C980" s="46" t="s">
        <v>27</v>
      </c>
      <c r="D980" s="46" t="s">
        <v>207</v>
      </c>
      <c r="E980" s="46" t="s">
        <v>4250</v>
      </c>
      <c r="F980" s="46" t="s">
        <v>318</v>
      </c>
      <c r="G980" s="114">
        <v>3</v>
      </c>
      <c r="H980" s="74" t="s">
        <v>2923</v>
      </c>
      <c r="I980" s="114" t="s">
        <v>260</v>
      </c>
      <c r="J980" s="46" t="s">
        <v>2703</v>
      </c>
      <c r="K980" s="109">
        <v>46225.31585648148</v>
      </c>
      <c r="L980" s="406">
        <v>46225.317256944443</v>
      </c>
      <c r="M980" s="406">
        <v>46225.319988425923</v>
      </c>
    </row>
    <row r="981" spans="1:14" ht="15" hidden="1" customHeight="1">
      <c r="A981" s="18">
        <v>981</v>
      </c>
      <c r="B981" s="46" t="s">
        <v>26</v>
      </c>
      <c r="C981" s="46" t="s">
        <v>27</v>
      </c>
      <c r="D981" s="46" t="s">
        <v>207</v>
      </c>
      <c r="E981" s="46" t="s">
        <v>4251</v>
      </c>
      <c r="F981" s="46" t="s">
        <v>318</v>
      </c>
      <c r="G981" s="114">
        <v>3</v>
      </c>
      <c r="H981" s="74" t="s">
        <v>4252</v>
      </c>
      <c r="I981" s="114" t="s">
        <v>266</v>
      </c>
      <c r="J981" s="46" t="s">
        <v>2827</v>
      </c>
      <c r="K981" s="109">
        <v>46220.475266203706</v>
      </c>
      <c r="L981" s="406">
        <v>46225.347372685188</v>
      </c>
      <c r="M981" s="406">
        <v>46225.352013888885</v>
      </c>
    </row>
    <row r="982" spans="1:14" ht="15" hidden="1" customHeight="1">
      <c r="A982" s="18">
        <v>982</v>
      </c>
      <c r="B982" s="46" t="s">
        <v>26</v>
      </c>
      <c r="C982" s="46" t="s">
        <v>27</v>
      </c>
      <c r="D982" s="46" t="s">
        <v>207</v>
      </c>
      <c r="E982" s="46" t="s">
        <v>4253</v>
      </c>
      <c r="F982" s="46" t="s">
        <v>318</v>
      </c>
      <c r="G982" s="114">
        <v>3</v>
      </c>
      <c r="H982" s="74" t="s">
        <v>4254</v>
      </c>
      <c r="I982" s="114" t="s">
        <v>260</v>
      </c>
      <c r="J982" s="46" t="s">
        <v>2827</v>
      </c>
      <c r="K982" s="109">
        <v>46223.3515625</v>
      </c>
      <c r="L982" s="406">
        <v>46225.36954861111</v>
      </c>
      <c r="M982" s="406">
        <v>46225.409166666665</v>
      </c>
    </row>
    <row r="983" spans="1:14" ht="15" customHeight="1">
      <c r="A983" s="18">
        <v>983</v>
      </c>
      <c r="B983" s="46" t="s">
        <v>26</v>
      </c>
      <c r="C983" s="46" t="s">
        <v>54</v>
      </c>
      <c r="D983" s="46" t="s">
        <v>207</v>
      </c>
      <c r="E983" t="s">
        <v>3433</v>
      </c>
      <c r="F983" s="46" t="s">
        <v>53</v>
      </c>
      <c r="G983" s="114">
        <v>3</v>
      </c>
      <c r="H983" s="74" t="s">
        <v>3434</v>
      </c>
      <c r="I983" s="114" t="s">
        <v>260</v>
      </c>
      <c r="J983" s="295" t="s">
        <v>2708</v>
      </c>
      <c r="K983" s="109">
        <v>46188.286932870367</v>
      </c>
      <c r="L983" s="166">
        <v>46225.605914351851</v>
      </c>
      <c r="M983" s="166">
        <v>46216.512337962966</v>
      </c>
    </row>
    <row r="984" spans="1:14" ht="15" customHeight="1">
      <c r="A984" s="18">
        <v>984</v>
      </c>
      <c r="B984" s="46" t="s">
        <v>26</v>
      </c>
      <c r="C984" s="46" t="s">
        <v>54</v>
      </c>
      <c r="D984" s="46" t="s">
        <v>207</v>
      </c>
      <c r="E984" s="46" t="s">
        <v>4255</v>
      </c>
      <c r="F984" s="46" t="s">
        <v>53</v>
      </c>
      <c r="G984" s="114">
        <v>3</v>
      </c>
      <c r="H984" s="74" t="s">
        <v>4256</v>
      </c>
      <c r="I984" s="114" t="s">
        <v>260</v>
      </c>
      <c r="J984" s="295" t="s">
        <v>2703</v>
      </c>
      <c r="K984" s="109">
        <v>46224.798379629632</v>
      </c>
      <c r="L984" s="166">
        <v>46225.637372685182</v>
      </c>
      <c r="M984" s="166">
        <v>46225.673078703701</v>
      </c>
    </row>
    <row r="985" spans="1:14" ht="15" customHeight="1">
      <c r="A985" s="18">
        <v>985</v>
      </c>
      <c r="B985" s="46" t="s">
        <v>26</v>
      </c>
      <c r="C985" s="46" t="s">
        <v>54</v>
      </c>
      <c r="D985" s="46" t="s">
        <v>207</v>
      </c>
      <c r="E985" s="46" t="s">
        <v>4257</v>
      </c>
      <c r="F985" s="46" t="s">
        <v>53</v>
      </c>
      <c r="G985" s="114">
        <v>4</v>
      </c>
      <c r="H985" s="74" t="s">
        <v>4258</v>
      </c>
      <c r="I985" s="114" t="s">
        <v>275</v>
      </c>
      <c r="J985" s="295" t="s">
        <v>2697</v>
      </c>
      <c r="K985" s="109">
        <v>46225.498229166667</v>
      </c>
      <c r="L985" s="166">
        <v>46225.498229166667</v>
      </c>
      <c r="M985" s="166">
        <v>46225.677615740744</v>
      </c>
      <c r="N985" s="166">
        <v>46225.678159722222</v>
      </c>
    </row>
    <row r="986" spans="1:14" ht="15" customHeight="1">
      <c r="A986" s="18">
        <v>986</v>
      </c>
      <c r="B986" s="46" t="s">
        <v>26</v>
      </c>
      <c r="C986" s="46" t="s">
        <v>54</v>
      </c>
      <c r="D986" s="46" t="s">
        <v>207</v>
      </c>
      <c r="E986" s="46" t="s">
        <v>4259</v>
      </c>
      <c r="F986" s="46" t="s">
        <v>53</v>
      </c>
      <c r="G986" s="114">
        <v>3</v>
      </c>
      <c r="H986" s="74" t="s">
        <v>4260</v>
      </c>
      <c r="I986" s="114" t="s">
        <v>260</v>
      </c>
      <c r="J986" s="295" t="s">
        <v>2694</v>
      </c>
      <c r="K986" s="109">
        <v>46225.596898148149</v>
      </c>
      <c r="L986" s="166">
        <v>46225.596909722219</v>
      </c>
      <c r="M986" s="166">
        <v>46225.681666666664</v>
      </c>
    </row>
    <row r="987" spans="1:14" ht="15" customHeight="1">
      <c r="A987" s="18">
        <v>987</v>
      </c>
      <c r="B987" s="46" t="s">
        <v>26</v>
      </c>
      <c r="C987" s="46" t="s">
        <v>54</v>
      </c>
      <c r="D987" s="46" t="s">
        <v>207</v>
      </c>
      <c r="E987" s="46" t="s">
        <v>4261</v>
      </c>
      <c r="F987" s="46" t="s">
        <v>53</v>
      </c>
      <c r="G987" s="114">
        <v>3</v>
      </c>
      <c r="H987" s="74" t="s">
        <v>4262</v>
      </c>
      <c r="I987" s="114" t="s">
        <v>260</v>
      </c>
      <c r="J987" s="295" t="s">
        <v>2700</v>
      </c>
      <c r="K987" s="109">
        <v>46225.408460648148</v>
      </c>
      <c r="L987" s="166">
        <v>46225.412210648145</v>
      </c>
      <c r="M987" s="166">
        <v>46225.683553240742</v>
      </c>
    </row>
    <row r="988" spans="1:14" ht="15" hidden="1" customHeight="1">
      <c r="A988" s="18">
        <v>988</v>
      </c>
      <c r="B988" s="46" t="s">
        <v>26</v>
      </c>
      <c r="C988" s="46" t="s">
        <v>27</v>
      </c>
      <c r="D988" s="46" t="s">
        <v>207</v>
      </c>
      <c r="E988" s="46" t="s">
        <v>4263</v>
      </c>
      <c r="F988" s="46" t="s">
        <v>318</v>
      </c>
      <c r="G988" s="114">
        <v>4</v>
      </c>
      <c r="H988" s="74" t="s">
        <v>4264</v>
      </c>
      <c r="I988" s="114" t="s">
        <v>260</v>
      </c>
      <c r="J988" s="46" t="s">
        <v>2751</v>
      </c>
      <c r="K988" s="109">
        <v>46225.934259259258</v>
      </c>
      <c r="L988" s="109">
        <v>46225.950219907405</v>
      </c>
      <c r="M988" s="109">
        <v>46226.275613425925</v>
      </c>
    </row>
    <row r="989" spans="1:14" ht="15" hidden="1" customHeight="1">
      <c r="A989" s="18">
        <v>989</v>
      </c>
      <c r="B989" s="46" t="s">
        <v>26</v>
      </c>
      <c r="C989" s="46" t="s">
        <v>27</v>
      </c>
      <c r="D989" s="46" t="s">
        <v>207</v>
      </c>
      <c r="E989" s="46" t="s">
        <v>4265</v>
      </c>
      <c r="F989" s="46" t="s">
        <v>318</v>
      </c>
      <c r="G989" s="114">
        <v>3</v>
      </c>
      <c r="H989" s="74" t="s">
        <v>2707</v>
      </c>
      <c r="I989" s="114" t="s">
        <v>260</v>
      </c>
      <c r="J989" s="46" t="s">
        <v>2708</v>
      </c>
      <c r="K989" s="109">
        <v>46225.628796296296</v>
      </c>
      <c r="L989" s="109">
        <v>46225.697222222225</v>
      </c>
      <c r="M989" s="109">
        <v>46226.277986111112</v>
      </c>
    </row>
    <row r="990" spans="1:14" ht="15" hidden="1" customHeight="1">
      <c r="A990" s="18">
        <v>990</v>
      </c>
      <c r="B990" s="46" t="s">
        <v>26</v>
      </c>
      <c r="C990" s="46" t="s">
        <v>27</v>
      </c>
      <c r="D990" s="46" t="s">
        <v>207</v>
      </c>
      <c r="E990" s="46" t="s">
        <v>4266</v>
      </c>
      <c r="F990" s="46" t="s">
        <v>318</v>
      </c>
      <c r="G990" s="114">
        <v>3</v>
      </c>
      <c r="H990" s="74" t="s">
        <v>4267</v>
      </c>
      <c r="I990" s="114" t="s">
        <v>260</v>
      </c>
      <c r="J990" s="46" t="s">
        <v>2827</v>
      </c>
      <c r="K990" s="109">
        <v>46225.57303240741</v>
      </c>
      <c r="L990" s="109">
        <v>46225.688368055555</v>
      </c>
      <c r="M990" s="109">
        <v>46226.284884259258</v>
      </c>
    </row>
    <row r="991" spans="1:14" ht="15" customHeight="1">
      <c r="A991" s="18">
        <v>991</v>
      </c>
      <c r="B991" s="46" t="s">
        <v>26</v>
      </c>
      <c r="C991" s="46" t="s">
        <v>54</v>
      </c>
      <c r="D991" s="46" t="s">
        <v>207</v>
      </c>
      <c r="E991" t="s">
        <v>4268</v>
      </c>
      <c r="F991" s="46" t="s">
        <v>53</v>
      </c>
      <c r="G991" s="114">
        <v>4</v>
      </c>
      <c r="H991" s="74" t="s">
        <v>4269</v>
      </c>
      <c r="I991" s="114" t="s">
        <v>271</v>
      </c>
      <c r="J991" s="295" t="s">
        <v>2694</v>
      </c>
      <c r="K991" s="109">
        <v>46224.401967592596</v>
      </c>
      <c r="L991" s="166">
        <v>46224.401967592596</v>
      </c>
      <c r="M991" s="166">
        <v>46224.412199074075</v>
      </c>
      <c r="N991" s="166">
        <v>46224.550011574072</v>
      </c>
    </row>
    <row r="992" spans="1:14" ht="15" customHeight="1">
      <c r="A992" s="18">
        <v>992</v>
      </c>
      <c r="B992" s="46" t="s">
        <v>26</v>
      </c>
      <c r="C992" s="46" t="s">
        <v>54</v>
      </c>
      <c r="D992" s="46" t="s">
        <v>207</v>
      </c>
      <c r="E992" t="s">
        <v>4255</v>
      </c>
      <c r="F992" s="46" t="s">
        <v>53</v>
      </c>
      <c r="G992" s="114">
        <v>3</v>
      </c>
      <c r="H992" s="74" t="s">
        <v>4256</v>
      </c>
      <c r="I992" s="114" t="s">
        <v>275</v>
      </c>
      <c r="J992" s="295" t="s">
        <v>2703</v>
      </c>
      <c r="K992" s="109">
        <v>46224.798379629632</v>
      </c>
      <c r="L992" s="166">
        <v>46224.798379629632</v>
      </c>
      <c r="M992" s="166">
        <v>46225.325601851851</v>
      </c>
      <c r="N992" s="166">
        <v>46225.544374999998</v>
      </c>
    </row>
    <row r="993" spans="1:14" ht="15" customHeight="1">
      <c r="A993" s="18">
        <v>993</v>
      </c>
      <c r="B993" s="46" t="s">
        <v>26</v>
      </c>
      <c r="C993" s="46" t="s">
        <v>54</v>
      </c>
      <c r="D993" s="46" t="s">
        <v>207</v>
      </c>
      <c r="E993" t="s">
        <v>4270</v>
      </c>
      <c r="F993" s="46" t="s">
        <v>53</v>
      </c>
      <c r="G993" s="114">
        <v>3</v>
      </c>
      <c r="H993" s="74" t="s">
        <v>4271</v>
      </c>
      <c r="I993" s="114" t="s">
        <v>260</v>
      </c>
      <c r="J993" s="295" t="s">
        <v>2700</v>
      </c>
      <c r="K993" s="109">
        <v>46225.253020833334</v>
      </c>
      <c r="L993" s="166">
        <v>46225.341631944444</v>
      </c>
      <c r="M993" s="166">
        <v>46225.40415509259</v>
      </c>
    </row>
    <row r="994" spans="1:14" ht="15" customHeight="1">
      <c r="A994" s="18">
        <v>994</v>
      </c>
      <c r="B994" s="46" t="s">
        <v>26</v>
      </c>
      <c r="C994" s="46" t="s">
        <v>54</v>
      </c>
      <c r="D994" s="46" t="s">
        <v>208</v>
      </c>
      <c r="E994" s="46" t="s">
        <v>4272</v>
      </c>
      <c r="F994" s="46" t="s">
        <v>53</v>
      </c>
      <c r="G994" s="114" t="s">
        <v>208</v>
      </c>
      <c r="H994" s="74" t="s">
        <v>4273</v>
      </c>
      <c r="I994" s="114" t="s">
        <v>260</v>
      </c>
      <c r="J994" s="295" t="s">
        <v>2714</v>
      </c>
      <c r="K994" s="109">
        <v>46224.467592592591</v>
      </c>
      <c r="L994" s="166">
        <v>46225.384467592594</v>
      </c>
      <c r="M994" s="166">
        <v>46225.405381944445</v>
      </c>
    </row>
    <row r="995" spans="1:14" ht="15" customHeight="1">
      <c r="A995" s="18">
        <v>995</v>
      </c>
      <c r="B995" s="46" t="s">
        <v>26</v>
      </c>
      <c r="C995" s="46" t="s">
        <v>54</v>
      </c>
      <c r="D995" s="46" t="s">
        <v>208</v>
      </c>
      <c r="E995" t="s">
        <v>4274</v>
      </c>
      <c r="F995" s="46" t="s">
        <v>53</v>
      </c>
      <c r="G995" s="114" t="s">
        <v>208</v>
      </c>
      <c r="H995" s="74" t="s">
        <v>4275</v>
      </c>
      <c r="I995" s="114" t="s">
        <v>260</v>
      </c>
      <c r="J995" s="295" t="s">
        <v>2703</v>
      </c>
      <c r="K995" s="109">
        <v>46221.829652777778</v>
      </c>
      <c r="L995" s="166">
        <v>46225.364085648151</v>
      </c>
      <c r="M995" s="166">
        <v>46225.406527777777</v>
      </c>
    </row>
    <row r="996" spans="1:14" ht="15" hidden="1" customHeight="1">
      <c r="A996" s="18">
        <v>996</v>
      </c>
      <c r="B996" s="46" t="s">
        <v>26</v>
      </c>
      <c r="C996" s="46" t="s">
        <v>27</v>
      </c>
      <c r="D996" s="46" t="s">
        <v>207</v>
      </c>
      <c r="E996" s="46" t="s">
        <v>4276</v>
      </c>
      <c r="F996" s="46" t="s">
        <v>318</v>
      </c>
      <c r="G996" s="114">
        <v>3</v>
      </c>
      <c r="H996" s="74" t="s">
        <v>4277</v>
      </c>
      <c r="I996" s="114" t="s">
        <v>275</v>
      </c>
      <c r="J996" s="46" t="s">
        <v>2725</v>
      </c>
      <c r="K996" s="109">
        <v>46225.472962962966</v>
      </c>
      <c r="L996" s="109">
        <v>46226.38480324074</v>
      </c>
      <c r="M996" s="109">
        <v>46226.396180555559</v>
      </c>
      <c r="N996" s="109">
        <v>46227.238668981481</v>
      </c>
    </row>
    <row r="997" spans="1:14" ht="15" hidden="1" customHeight="1">
      <c r="A997" s="18">
        <v>997</v>
      </c>
      <c r="B997" s="46" t="s">
        <v>26</v>
      </c>
      <c r="C997" s="60" t="s">
        <v>54</v>
      </c>
      <c r="D997" s="46" t="s">
        <v>208</v>
      </c>
      <c r="E997" s="46" t="s">
        <v>4154</v>
      </c>
      <c r="F997" s="46" t="s">
        <v>325</v>
      </c>
      <c r="G997" s="114" t="s">
        <v>208</v>
      </c>
      <c r="H997" s="74" t="s">
        <v>4155</v>
      </c>
      <c r="I997" s="114" t="s">
        <v>275</v>
      </c>
      <c r="J997" s="251" t="s">
        <v>2694</v>
      </c>
      <c r="K997" s="109">
        <v>46209.483356481483</v>
      </c>
      <c r="L997" s="166">
        <v>46212.449872685182</v>
      </c>
      <c r="M997" s="166">
        <v>46212.498182870368</v>
      </c>
      <c r="N997" s="166">
        <v>46212.545520833337</v>
      </c>
    </row>
    <row r="998" spans="1:14" ht="15" hidden="1" customHeight="1">
      <c r="A998" s="18">
        <v>998</v>
      </c>
      <c r="B998" s="46" t="s">
        <v>26</v>
      </c>
      <c r="C998" s="60" t="s">
        <v>54</v>
      </c>
      <c r="D998" s="46" t="s">
        <v>208</v>
      </c>
      <c r="E998" s="287" t="s">
        <v>4278</v>
      </c>
      <c r="F998" s="46" t="s">
        <v>325</v>
      </c>
      <c r="G998" s="114" t="s">
        <v>208</v>
      </c>
      <c r="H998" s="74" t="s">
        <v>4155</v>
      </c>
      <c r="I998" s="114" t="s">
        <v>275</v>
      </c>
      <c r="J998" s="251" t="s">
        <v>2872</v>
      </c>
      <c r="K998" s="109">
        <v>46209.483356481483</v>
      </c>
      <c r="L998" s="166">
        <v>46212.449872685182</v>
      </c>
      <c r="M998" s="166">
        <v>46212.498182870368</v>
      </c>
      <c r="N998" s="166">
        <v>46212.545520833337</v>
      </c>
    </row>
    <row r="999" spans="1:14" ht="15" hidden="1" customHeight="1">
      <c r="A999" s="18">
        <v>999</v>
      </c>
      <c r="B999" s="46" t="s">
        <v>26</v>
      </c>
      <c r="C999" s="60" t="s">
        <v>54</v>
      </c>
      <c r="D999" s="46" t="s">
        <v>208</v>
      </c>
      <c r="E999" s="287" t="s">
        <v>4279</v>
      </c>
      <c r="F999" s="46" t="s">
        <v>325</v>
      </c>
      <c r="G999" s="114" t="s">
        <v>208</v>
      </c>
      <c r="H999" s="74" t="s">
        <v>2866</v>
      </c>
      <c r="I999" s="114" t="s">
        <v>271</v>
      </c>
      <c r="J999" s="46" t="s">
        <v>2697</v>
      </c>
      <c r="K999" s="109">
        <v>46212.740671296298</v>
      </c>
      <c r="L999" s="166">
        <v>46212.831770833334</v>
      </c>
      <c r="M999" s="166">
        <v>46213.224965277775</v>
      </c>
      <c r="N999" s="109">
        <v>46217.228842592594</v>
      </c>
    </row>
    <row r="1000" spans="1:14" ht="15" hidden="1" customHeight="1">
      <c r="A1000" s="18">
        <v>1000</v>
      </c>
      <c r="B1000" s="46" t="s">
        <v>26</v>
      </c>
      <c r="C1000" s="60" t="s">
        <v>54</v>
      </c>
      <c r="D1000" s="46" t="s">
        <v>207</v>
      </c>
      <c r="E1000" s="287" t="s">
        <v>3625</v>
      </c>
      <c r="F1000" s="46" t="s">
        <v>325</v>
      </c>
      <c r="G1000" s="114">
        <v>3</v>
      </c>
      <c r="H1000" s="74" t="s">
        <v>3626</v>
      </c>
      <c r="I1000" s="114" t="s">
        <v>275</v>
      </c>
      <c r="J1000" s="251" t="s">
        <v>2872</v>
      </c>
      <c r="K1000" s="166">
        <v>46192.517604166664</v>
      </c>
      <c r="L1000" s="166">
        <v>46213.428807870368</v>
      </c>
      <c r="M1000" s="166">
        <v>46213.443541666667</v>
      </c>
      <c r="N1000" s="166">
        <v>46216.272118055553</v>
      </c>
    </row>
    <row r="1001" spans="1:14" ht="15" hidden="1" customHeight="1">
      <c r="A1001" s="18">
        <v>1001</v>
      </c>
      <c r="B1001" s="46" t="s">
        <v>26</v>
      </c>
      <c r="C1001" s="60" t="s">
        <v>54</v>
      </c>
      <c r="D1001" s="46" t="s">
        <v>208</v>
      </c>
      <c r="E1001" s="287" t="s">
        <v>4280</v>
      </c>
      <c r="F1001" s="46" t="s">
        <v>325</v>
      </c>
      <c r="G1001" s="114" t="s">
        <v>208</v>
      </c>
      <c r="H1001" s="74" t="s">
        <v>4281</v>
      </c>
      <c r="I1001" s="114" t="s">
        <v>271</v>
      </c>
      <c r="J1001" s="251" t="s">
        <v>2872</v>
      </c>
      <c r="K1001" s="109">
        <v>46213.552094907405</v>
      </c>
      <c r="L1001" s="166">
        <v>46213.554467592592</v>
      </c>
      <c r="M1001" s="166">
        <v>46216.216840277775</v>
      </c>
      <c r="N1001" s="109">
        <v>46216.303333333337</v>
      </c>
    </row>
    <row r="1002" spans="1:14" ht="15" hidden="1" customHeight="1">
      <c r="A1002" s="18">
        <v>1002</v>
      </c>
      <c r="B1002" s="46" t="s">
        <v>26</v>
      </c>
      <c r="C1002" s="60" t="s">
        <v>54</v>
      </c>
      <c r="D1002" s="46" t="s">
        <v>208</v>
      </c>
      <c r="E1002" s="287" t="s">
        <v>4282</v>
      </c>
      <c r="F1002" s="46" t="s">
        <v>325</v>
      </c>
      <c r="G1002" s="114" t="s">
        <v>208</v>
      </c>
      <c r="H1002" s="74" t="s">
        <v>2750</v>
      </c>
      <c r="I1002" s="114" t="s">
        <v>271</v>
      </c>
      <c r="J1002" s="251" t="s">
        <v>2872</v>
      </c>
      <c r="K1002" s="109">
        <v>46213.556041666663</v>
      </c>
      <c r="L1002" s="166">
        <v>46213.560810185183</v>
      </c>
      <c r="M1002" s="166">
        <v>46216.217048611114</v>
      </c>
      <c r="N1002" s="109">
        <v>46217.336469907408</v>
      </c>
    </row>
    <row r="1003" spans="1:14" ht="15" hidden="1" customHeight="1">
      <c r="A1003" s="18">
        <v>1003</v>
      </c>
      <c r="B1003" s="46" t="s">
        <v>26</v>
      </c>
      <c r="C1003" s="60" t="s">
        <v>54</v>
      </c>
      <c r="D1003" s="46" t="s">
        <v>207</v>
      </c>
      <c r="E1003" s="287" t="s">
        <v>4168</v>
      </c>
      <c r="F1003" s="46" t="s">
        <v>325</v>
      </c>
      <c r="G1003" s="114">
        <v>4</v>
      </c>
      <c r="H1003" s="74" t="s">
        <v>4169</v>
      </c>
      <c r="I1003" s="114" t="s">
        <v>275</v>
      </c>
      <c r="J1003" s="251" t="s">
        <v>2872</v>
      </c>
      <c r="K1003" s="109">
        <v>46212.460312499999</v>
      </c>
      <c r="L1003" s="166">
        <v>46219.710543981484</v>
      </c>
      <c r="M1003" s="166">
        <v>46220.193854166668</v>
      </c>
      <c r="N1003" s="166">
        <v>46220.426874999997</v>
      </c>
    </row>
    <row r="1004" spans="1:14" ht="15" hidden="1" customHeight="1">
      <c r="A1004" s="18">
        <v>1004</v>
      </c>
      <c r="B1004" s="46" t="s">
        <v>26</v>
      </c>
      <c r="C1004" s="60" t="s">
        <v>54</v>
      </c>
      <c r="D1004" s="46" t="s">
        <v>208</v>
      </c>
      <c r="E1004" s="287" t="s">
        <v>4283</v>
      </c>
      <c r="F1004" s="46" t="s">
        <v>325</v>
      </c>
      <c r="G1004" s="114" t="s">
        <v>208</v>
      </c>
      <c r="H1004" s="74" t="s">
        <v>4284</v>
      </c>
      <c r="I1004" s="114" t="s">
        <v>275</v>
      </c>
      <c r="J1004" s="251" t="s">
        <v>2872</v>
      </c>
      <c r="K1004" s="109">
        <v>46216.327199074076</v>
      </c>
      <c r="L1004" s="166">
        <v>46216.327199074076</v>
      </c>
      <c r="M1004" s="166">
        <v>46216.332951388889</v>
      </c>
      <c r="N1004" s="109">
        <v>46217.271574074075</v>
      </c>
    </row>
    <row r="1005" spans="1:14" ht="15" hidden="1" customHeight="1">
      <c r="A1005" s="18">
        <v>1005</v>
      </c>
      <c r="B1005" s="46" t="s">
        <v>26</v>
      </c>
      <c r="C1005" s="60" t="s">
        <v>54</v>
      </c>
      <c r="D1005" s="46" t="s">
        <v>207</v>
      </c>
      <c r="E1005" s="287" t="s">
        <v>3928</v>
      </c>
      <c r="F1005" s="46" t="s">
        <v>325</v>
      </c>
      <c r="G1005" s="114">
        <v>3</v>
      </c>
      <c r="H1005" s="74" t="s">
        <v>3929</v>
      </c>
      <c r="I1005" s="114" t="s">
        <v>271</v>
      </c>
      <c r="J1005" s="251" t="s">
        <v>2872</v>
      </c>
      <c r="K1005" s="109">
        <v>46183.446655092594</v>
      </c>
      <c r="L1005" s="166">
        <v>46216.382326388892</v>
      </c>
      <c r="M1005" s="166">
        <v>46216.400011574071</v>
      </c>
      <c r="N1005" s="166">
        <v>46219.25335648148</v>
      </c>
    </row>
    <row r="1006" spans="1:14" ht="15" hidden="1" customHeight="1">
      <c r="A1006" s="18">
        <v>1006</v>
      </c>
      <c r="B1006" s="46" t="s">
        <v>26</v>
      </c>
      <c r="C1006" s="60" t="s">
        <v>54</v>
      </c>
      <c r="D1006" s="46" t="s">
        <v>208</v>
      </c>
      <c r="E1006" s="287" t="s">
        <v>4285</v>
      </c>
      <c r="F1006" s="46" t="s">
        <v>325</v>
      </c>
      <c r="G1006" s="114" t="s">
        <v>208</v>
      </c>
      <c r="H1006" s="74" t="s">
        <v>4286</v>
      </c>
      <c r="I1006" s="114" t="s">
        <v>275</v>
      </c>
      <c r="J1006" s="251" t="s">
        <v>2872</v>
      </c>
      <c r="K1006" s="109">
        <v>46217.277245370373</v>
      </c>
      <c r="L1006" s="166">
        <v>46217.387372685182</v>
      </c>
      <c r="M1006" s="166">
        <v>46217.410787037035</v>
      </c>
      <c r="N1006" s="166">
        <v>46217.435833333337</v>
      </c>
    </row>
    <row r="1007" spans="1:14" ht="15" hidden="1" customHeight="1">
      <c r="A1007" s="18">
        <v>1007</v>
      </c>
      <c r="B1007" s="46" t="s">
        <v>26</v>
      </c>
      <c r="C1007" s="60" t="s">
        <v>54</v>
      </c>
      <c r="D1007" s="46" t="s">
        <v>208</v>
      </c>
      <c r="E1007" s="287" t="s">
        <v>4285</v>
      </c>
      <c r="F1007" s="46" t="s">
        <v>325</v>
      </c>
      <c r="G1007" s="114" t="s">
        <v>208</v>
      </c>
      <c r="H1007" s="74" t="s">
        <v>4286</v>
      </c>
      <c r="I1007" s="114" t="s">
        <v>271</v>
      </c>
      <c r="J1007" s="251" t="s">
        <v>2872</v>
      </c>
      <c r="K1007" s="109">
        <v>46217.277245370373</v>
      </c>
      <c r="L1007" s="166">
        <v>46218.596284722225</v>
      </c>
      <c r="M1007" s="166">
        <v>46219.218692129631</v>
      </c>
      <c r="N1007" s="109">
        <v>46219.261944444443</v>
      </c>
    </row>
    <row r="1008" spans="1:14" ht="15" hidden="1" customHeight="1">
      <c r="A1008" s="18">
        <v>1008</v>
      </c>
      <c r="B1008" s="46" t="s">
        <v>26</v>
      </c>
      <c r="C1008" s="60" t="s">
        <v>54</v>
      </c>
      <c r="D1008" s="46" t="s">
        <v>207</v>
      </c>
      <c r="E1008" s="287" t="s">
        <v>4013</v>
      </c>
      <c r="F1008" s="46" t="s">
        <v>325</v>
      </c>
      <c r="G1008" s="114">
        <v>4</v>
      </c>
      <c r="H1008" s="74" t="s">
        <v>4014</v>
      </c>
      <c r="I1008" s="114" t="s">
        <v>275</v>
      </c>
      <c r="J1008" s="251" t="s">
        <v>2872</v>
      </c>
      <c r="K1008" s="109">
        <v>46212.945868055554</v>
      </c>
      <c r="L1008" s="166">
        <v>46217.370856481481</v>
      </c>
      <c r="M1008" s="166">
        <v>46217.411631944444</v>
      </c>
      <c r="N1008" s="166">
        <v>46224.248437499999</v>
      </c>
    </row>
    <row r="1009" spans="1:14" ht="15" hidden="1" customHeight="1">
      <c r="A1009" s="18">
        <v>1009</v>
      </c>
      <c r="B1009" s="46" t="s">
        <v>26</v>
      </c>
      <c r="C1009" s="60" t="s">
        <v>54</v>
      </c>
      <c r="D1009" s="46" t="s">
        <v>207</v>
      </c>
      <c r="E1009" s="287" t="s">
        <v>4013</v>
      </c>
      <c r="F1009" s="46" t="s">
        <v>325</v>
      </c>
      <c r="G1009" s="114">
        <v>4</v>
      </c>
      <c r="H1009" s="74" t="s">
        <v>4014</v>
      </c>
      <c r="I1009" s="114" t="s">
        <v>271</v>
      </c>
      <c r="J1009" s="251" t="s">
        <v>2872</v>
      </c>
      <c r="K1009" s="109">
        <v>46212.945868055554</v>
      </c>
      <c r="L1009" s="166">
        <v>46225.365046296298</v>
      </c>
      <c r="M1009" s="166">
        <v>46225.390636574077</v>
      </c>
      <c r="N1009" s="166">
        <v>46226.279421296298</v>
      </c>
    </row>
    <row r="1010" spans="1:14" ht="15" hidden="1" customHeight="1">
      <c r="A1010" s="18">
        <v>1010</v>
      </c>
      <c r="B1010" s="46" t="s">
        <v>26</v>
      </c>
      <c r="C1010" s="60" t="s">
        <v>54</v>
      </c>
      <c r="D1010" s="46" t="s">
        <v>208</v>
      </c>
      <c r="E1010" s="287" t="s">
        <v>4287</v>
      </c>
      <c r="F1010" s="46" t="s">
        <v>325</v>
      </c>
      <c r="G1010" s="114" t="s">
        <v>208</v>
      </c>
      <c r="H1010" s="74" t="s">
        <v>4155</v>
      </c>
      <c r="I1010" s="114" t="s">
        <v>275</v>
      </c>
      <c r="J1010" s="251" t="s">
        <v>2872</v>
      </c>
      <c r="K1010" s="166">
        <v>46217.420648148145</v>
      </c>
      <c r="L1010" s="166">
        <v>46217.420648148145</v>
      </c>
      <c r="M1010" s="166">
        <v>46217.421956018516</v>
      </c>
    </row>
    <row r="1011" spans="1:14" ht="15" hidden="1" customHeight="1">
      <c r="A1011" s="18">
        <v>1011</v>
      </c>
      <c r="B1011" s="46" t="s">
        <v>26</v>
      </c>
      <c r="C1011" s="60" t="s">
        <v>54</v>
      </c>
      <c r="D1011" s="46" t="s">
        <v>208</v>
      </c>
      <c r="E1011" s="287" t="s">
        <v>4288</v>
      </c>
      <c r="F1011" s="46" t="s">
        <v>325</v>
      </c>
      <c r="G1011" s="114" t="s">
        <v>208</v>
      </c>
      <c r="H1011" s="74" t="s">
        <v>3038</v>
      </c>
      <c r="I1011" s="114" t="s">
        <v>275</v>
      </c>
      <c r="J1011" s="251" t="s">
        <v>2872</v>
      </c>
      <c r="K1011" s="109">
        <v>46217.510381944441</v>
      </c>
      <c r="L1011" s="166">
        <v>46217.540925925925</v>
      </c>
      <c r="M1011" s="166">
        <v>46217.594328703701</v>
      </c>
      <c r="N1011" s="166">
        <v>46220.423668981479</v>
      </c>
    </row>
    <row r="1012" spans="1:14" ht="15" hidden="1" customHeight="1">
      <c r="A1012" s="18">
        <v>1012</v>
      </c>
      <c r="B1012" s="46" t="s">
        <v>26</v>
      </c>
      <c r="C1012" s="60" t="s">
        <v>54</v>
      </c>
      <c r="D1012" s="46" t="s">
        <v>208</v>
      </c>
      <c r="E1012" s="287" t="s">
        <v>4289</v>
      </c>
      <c r="F1012" s="46" t="s">
        <v>325</v>
      </c>
      <c r="G1012" s="114" t="s">
        <v>208</v>
      </c>
      <c r="H1012" s="74" t="s">
        <v>4290</v>
      </c>
      <c r="I1012" s="114" t="s">
        <v>275</v>
      </c>
      <c r="J1012" s="251" t="s">
        <v>2872</v>
      </c>
      <c r="K1012" s="109">
        <v>46217.517835648148</v>
      </c>
      <c r="L1012" s="166">
        <v>46217.562800925924</v>
      </c>
      <c r="M1012" s="166">
        <v>46217.594722222224</v>
      </c>
      <c r="N1012" s="166">
        <v>46219.260960648149</v>
      </c>
    </row>
    <row r="1013" spans="1:14" ht="15" hidden="1" customHeight="1">
      <c r="A1013" s="18">
        <v>1013</v>
      </c>
      <c r="B1013" s="46" t="s">
        <v>26</v>
      </c>
      <c r="C1013" s="46" t="s">
        <v>27</v>
      </c>
      <c r="D1013" s="46" t="s">
        <v>207</v>
      </c>
      <c r="E1013" s="46" t="s">
        <v>4291</v>
      </c>
      <c r="F1013" s="46" t="s">
        <v>318</v>
      </c>
      <c r="G1013" s="114">
        <v>3</v>
      </c>
      <c r="H1013" s="74" t="s">
        <v>4292</v>
      </c>
      <c r="I1013" s="114" t="s">
        <v>275</v>
      </c>
      <c r="J1013" s="46"/>
      <c r="K1013" s="166">
        <v>46226.304189814815</v>
      </c>
      <c r="L1013" s="166">
        <v>46226.304189814815</v>
      </c>
      <c r="M1013" s="166">
        <v>46226.304189814815</v>
      </c>
    </row>
    <row r="1014" spans="1:14" ht="15" hidden="1" customHeight="1">
      <c r="A1014" s="18">
        <v>1014</v>
      </c>
      <c r="B1014" s="46" t="s">
        <v>26</v>
      </c>
      <c r="C1014" s="46" t="s">
        <v>27</v>
      </c>
      <c r="D1014" s="46" t="s">
        <v>207</v>
      </c>
      <c r="E1014" s="46" t="s">
        <v>4293</v>
      </c>
      <c r="F1014" s="46" t="s">
        <v>327</v>
      </c>
      <c r="G1014" s="114">
        <v>3</v>
      </c>
      <c r="H1014" s="74" t="s">
        <v>4294</v>
      </c>
      <c r="I1014" s="114" t="s">
        <v>275</v>
      </c>
      <c r="J1014" s="46"/>
      <c r="K1014" s="109">
        <v>46226.53875</v>
      </c>
      <c r="L1014" s="109">
        <v>46226.53875</v>
      </c>
      <c r="M1014" s="109">
        <v>46226.621736111112</v>
      </c>
    </row>
    <row r="1015" spans="1:14" ht="15" hidden="1" customHeight="1">
      <c r="A1015" s="18">
        <v>1015</v>
      </c>
      <c r="B1015" s="46" t="s">
        <v>26</v>
      </c>
      <c r="C1015" s="46" t="s">
        <v>27</v>
      </c>
      <c r="D1015" s="46" t="s">
        <v>207</v>
      </c>
      <c r="E1015" s="46" t="s">
        <v>4295</v>
      </c>
      <c r="F1015" s="46" t="s">
        <v>327</v>
      </c>
      <c r="G1015" s="114">
        <v>3</v>
      </c>
      <c r="H1015" s="74" t="s">
        <v>4296</v>
      </c>
      <c r="I1015" s="114" t="s">
        <v>275</v>
      </c>
      <c r="J1015" s="46"/>
      <c r="K1015" s="109">
        <v>46227.396608796298</v>
      </c>
      <c r="L1015" s="109">
        <v>46227.396608796298</v>
      </c>
      <c r="M1015" s="109">
        <v>46227.48027777778</v>
      </c>
    </row>
    <row r="1016" spans="1:14" ht="15" hidden="1" customHeight="1">
      <c r="A1016" s="18">
        <v>1016</v>
      </c>
      <c r="B1016" s="46" t="s">
        <v>26</v>
      </c>
      <c r="C1016" s="46" t="s">
        <v>27</v>
      </c>
      <c r="D1016" s="46" t="s">
        <v>207</v>
      </c>
      <c r="E1016" s="46" t="s">
        <v>4297</v>
      </c>
      <c r="F1016" s="46" t="s">
        <v>318</v>
      </c>
      <c r="G1016" s="114">
        <v>3</v>
      </c>
      <c r="H1016" s="74" t="s">
        <v>2707</v>
      </c>
      <c r="I1016" s="114" t="s">
        <v>260</v>
      </c>
      <c r="J1016" s="46" t="s">
        <v>2708</v>
      </c>
      <c r="K1016" s="109">
        <v>46227.293622685182</v>
      </c>
      <c r="L1016" s="109">
        <v>46227.29420138889</v>
      </c>
      <c r="M1016" s="109">
        <v>46227.484178240738</v>
      </c>
    </row>
    <row r="1017" spans="1:14" ht="15" hidden="1" customHeight="1">
      <c r="A1017" s="18">
        <v>1017</v>
      </c>
      <c r="B1017" s="46" t="s">
        <v>26</v>
      </c>
      <c r="C1017" s="60" t="s">
        <v>54</v>
      </c>
      <c r="D1017" s="46" t="s">
        <v>208</v>
      </c>
      <c r="E1017" s="287" t="s">
        <v>4298</v>
      </c>
      <c r="F1017" s="46" t="s">
        <v>325</v>
      </c>
      <c r="G1017" s="114" t="s">
        <v>208</v>
      </c>
      <c r="H1017" s="74" t="s">
        <v>4299</v>
      </c>
      <c r="I1017" s="114" t="s">
        <v>271</v>
      </c>
      <c r="J1017" s="251" t="s">
        <v>2872</v>
      </c>
      <c r="K1017" s="109">
        <v>46217.738946759258</v>
      </c>
      <c r="L1017" s="166">
        <v>46218.427222222221</v>
      </c>
      <c r="M1017" s="166">
        <v>46218.433067129627</v>
      </c>
      <c r="N1017" s="109">
        <v>46219.221516203703</v>
      </c>
    </row>
    <row r="1018" spans="1:14" ht="15" hidden="1" customHeight="1">
      <c r="A1018" s="18">
        <v>1018</v>
      </c>
      <c r="B1018" s="46" t="s">
        <v>26</v>
      </c>
      <c r="C1018" s="60" t="s">
        <v>54</v>
      </c>
      <c r="D1018" s="46" t="s">
        <v>208</v>
      </c>
      <c r="E1018" s="287" t="s">
        <v>4300</v>
      </c>
      <c r="F1018" s="46" t="s">
        <v>325</v>
      </c>
      <c r="G1018" s="114" t="s">
        <v>208</v>
      </c>
      <c r="H1018" s="74" t="s">
        <v>4301</v>
      </c>
      <c r="I1018" s="114" t="s">
        <v>271</v>
      </c>
      <c r="J1018" s="251" t="s">
        <v>2872</v>
      </c>
      <c r="K1018" s="109">
        <v>46218.595810185187</v>
      </c>
      <c r="L1018" s="166">
        <v>46219.409872685188</v>
      </c>
      <c r="M1018" s="166">
        <v>46219.427812499998</v>
      </c>
      <c r="N1018" s="166">
        <v>46219.451331018521</v>
      </c>
    </row>
    <row r="1019" spans="1:14" ht="15" customHeight="1">
      <c r="A1019" s="18">
        <v>1019</v>
      </c>
      <c r="B1019" s="46" t="s">
        <v>26</v>
      </c>
      <c r="C1019" s="46" t="s">
        <v>54</v>
      </c>
      <c r="D1019" s="46" t="s">
        <v>207</v>
      </c>
      <c r="E1019" s="46" t="s">
        <v>4257</v>
      </c>
      <c r="F1019" s="46" t="s">
        <v>53</v>
      </c>
      <c r="G1019" s="114">
        <v>4</v>
      </c>
      <c r="H1019" s="74" t="s">
        <v>4258</v>
      </c>
      <c r="I1019" s="114" t="s">
        <v>275</v>
      </c>
      <c r="J1019" s="295" t="s">
        <v>2697</v>
      </c>
      <c r="K1019" s="109">
        <v>46225.498229166667</v>
      </c>
      <c r="L1019" s="166">
        <v>46227.505370370367</v>
      </c>
      <c r="M1019" s="166">
        <v>46227.630810185183</v>
      </c>
    </row>
    <row r="1020" spans="1:14" ht="15" customHeight="1">
      <c r="A1020" s="18">
        <v>1020</v>
      </c>
      <c r="B1020" s="46" t="s">
        <v>26</v>
      </c>
      <c r="C1020" s="46" t="s">
        <v>54</v>
      </c>
      <c r="D1020" s="46" t="s">
        <v>207</v>
      </c>
      <c r="E1020" s="46" t="s">
        <v>4302</v>
      </c>
      <c r="F1020" s="46" t="s">
        <v>53</v>
      </c>
      <c r="G1020" s="114">
        <v>4</v>
      </c>
      <c r="H1020" s="74" t="s">
        <v>4303</v>
      </c>
      <c r="I1020" s="114" t="s">
        <v>260</v>
      </c>
      <c r="J1020" s="295" t="s">
        <v>2694</v>
      </c>
      <c r="K1020" s="166">
        <v>46224.636041666665</v>
      </c>
      <c r="L1020" s="166">
        <v>46227.552476851852</v>
      </c>
      <c r="M1020" s="166">
        <v>46227.63385416667</v>
      </c>
    </row>
    <row r="1021" spans="1:14" ht="15" customHeight="1">
      <c r="A1021" s="18">
        <v>1021</v>
      </c>
      <c r="B1021" s="46" t="s">
        <v>26</v>
      </c>
      <c r="C1021" s="46" t="s">
        <v>27</v>
      </c>
      <c r="D1021" s="46" t="s">
        <v>207</v>
      </c>
      <c r="E1021" s="46" t="s">
        <v>4304</v>
      </c>
      <c r="F1021" s="46" t="s">
        <v>318</v>
      </c>
      <c r="G1021" s="114">
        <v>3</v>
      </c>
      <c r="H1021" s="74" t="s">
        <v>2707</v>
      </c>
      <c r="I1021" s="114" t="s">
        <v>260</v>
      </c>
      <c r="J1021" s="295" t="s">
        <v>2708</v>
      </c>
      <c r="K1021" s="109">
        <v>46227.657175925924</v>
      </c>
      <c r="L1021" s="109">
        <v>46227.706087962964</v>
      </c>
      <c r="M1021" s="109">
        <v>46230.273425925923</v>
      </c>
      <c r="N1021" s="46" t="s">
        <v>26</v>
      </c>
    </row>
    <row r="1022" spans="1:14" ht="15" customHeight="1">
      <c r="A1022" s="18">
        <v>1022</v>
      </c>
      <c r="B1022" s="46" t="s">
        <v>26</v>
      </c>
      <c r="C1022" s="46" t="s">
        <v>27</v>
      </c>
      <c r="D1022" s="46" t="s">
        <v>207</v>
      </c>
      <c r="E1022" s="46" t="s">
        <v>4305</v>
      </c>
      <c r="F1022" s="46" t="s">
        <v>318</v>
      </c>
      <c r="G1022" s="114">
        <v>3</v>
      </c>
      <c r="H1022" s="74" t="s">
        <v>4306</v>
      </c>
      <c r="I1022" s="114" t="s">
        <v>271</v>
      </c>
      <c r="J1022" s="295" t="s">
        <v>2738</v>
      </c>
      <c r="K1022" s="109">
        <v>46229.524988425925</v>
      </c>
      <c r="L1022" s="109">
        <v>46229.526724537034</v>
      </c>
      <c r="M1022" s="166">
        <v>46230.273842592593</v>
      </c>
      <c r="N1022" s="109">
        <v>46230.413460648146</v>
      </c>
    </row>
    <row r="1023" spans="1:14" ht="15" customHeight="1">
      <c r="A1023" s="18">
        <v>1023</v>
      </c>
      <c r="B1023" s="46" t="s">
        <v>26</v>
      </c>
      <c r="C1023" s="46" t="s">
        <v>27</v>
      </c>
      <c r="D1023" s="46" t="s">
        <v>207</v>
      </c>
      <c r="E1023" s="46" t="s">
        <v>4307</v>
      </c>
      <c r="F1023" s="46" t="s">
        <v>318</v>
      </c>
      <c r="G1023" s="114">
        <v>3</v>
      </c>
      <c r="H1023" s="74" t="s">
        <v>4308</v>
      </c>
      <c r="I1023" s="114" t="s">
        <v>271</v>
      </c>
      <c r="J1023" s="295" t="s">
        <v>2725</v>
      </c>
      <c r="K1023" s="109">
        <v>46228.425196759257</v>
      </c>
      <c r="L1023" s="109">
        <v>46228.444525462961</v>
      </c>
      <c r="M1023" s="109">
        <v>46230.27412037037</v>
      </c>
      <c r="N1023" s="109">
        <v>46231.270196759258</v>
      </c>
    </row>
    <row r="1024" spans="1:14" ht="15" customHeight="1">
      <c r="A1024" s="18">
        <v>1024</v>
      </c>
      <c r="B1024" s="46" t="s">
        <v>26</v>
      </c>
      <c r="C1024" s="46" t="s">
        <v>27</v>
      </c>
      <c r="D1024" s="46" t="s">
        <v>207</v>
      </c>
      <c r="E1024" s="46" t="s">
        <v>4309</v>
      </c>
      <c r="F1024" s="46" t="s">
        <v>318</v>
      </c>
      <c r="G1024" s="114">
        <v>3</v>
      </c>
      <c r="H1024" s="74" t="s">
        <v>2775</v>
      </c>
      <c r="I1024" s="114" t="s">
        <v>260</v>
      </c>
      <c r="J1024" s="295" t="s">
        <v>2751</v>
      </c>
      <c r="K1024" s="109">
        <v>46228.074571759258</v>
      </c>
      <c r="L1024" s="109">
        <v>46228.074571759258</v>
      </c>
      <c r="M1024" s="109">
        <v>46230.282083333332</v>
      </c>
    </row>
    <row r="1025" spans="1:14" ht="15" customHeight="1">
      <c r="A1025" s="18">
        <v>1025</v>
      </c>
      <c r="B1025" s="46" t="s">
        <v>26</v>
      </c>
      <c r="C1025" s="46" t="s">
        <v>27</v>
      </c>
      <c r="D1025" s="46" t="s">
        <v>207</v>
      </c>
      <c r="E1025" s="46" t="s">
        <v>4310</v>
      </c>
      <c r="F1025" s="46" t="s">
        <v>318</v>
      </c>
      <c r="G1025" s="114">
        <v>3</v>
      </c>
      <c r="H1025" s="74" t="s">
        <v>2724</v>
      </c>
      <c r="I1025" s="114" t="s">
        <v>271</v>
      </c>
      <c r="J1025" s="295" t="s">
        <v>2725</v>
      </c>
      <c r="K1025" s="109">
        <v>46228.398182870369</v>
      </c>
      <c r="L1025" s="109">
        <v>46228.398182870369</v>
      </c>
      <c r="M1025" s="109">
        <v>46230.281412037039</v>
      </c>
      <c r="N1025" s="109">
        <v>46230.314282407409</v>
      </c>
    </row>
    <row r="1026" spans="1:14" ht="15" customHeight="1">
      <c r="A1026" s="18">
        <v>1026</v>
      </c>
      <c r="B1026" s="46" t="s">
        <v>26</v>
      </c>
      <c r="C1026" s="46" t="s">
        <v>27</v>
      </c>
      <c r="D1026" s="46" t="s">
        <v>207</v>
      </c>
      <c r="E1026" s="46" t="s">
        <v>4311</v>
      </c>
      <c r="F1026" s="46" t="s">
        <v>318</v>
      </c>
      <c r="G1026" s="114">
        <v>3</v>
      </c>
      <c r="H1026" s="74" t="s">
        <v>2724</v>
      </c>
      <c r="I1026" s="114" t="s">
        <v>271</v>
      </c>
      <c r="J1026" s="295" t="s">
        <v>2772</v>
      </c>
      <c r="K1026" s="109">
        <v>46228.994016203702</v>
      </c>
      <c r="L1026" s="109">
        <v>46228.994016203702</v>
      </c>
      <c r="M1026" s="109">
        <v>46230.280833333331</v>
      </c>
      <c r="N1026" s="109">
        <v>46231.249548611115</v>
      </c>
    </row>
    <row r="1027" spans="1:14" ht="15" customHeight="1">
      <c r="A1027" s="18">
        <v>1027</v>
      </c>
      <c r="B1027" s="46" t="s">
        <v>26</v>
      </c>
      <c r="C1027" s="46" t="s">
        <v>27</v>
      </c>
      <c r="D1027" s="46" t="s">
        <v>207</v>
      </c>
      <c r="E1027" s="109" t="s">
        <v>4312</v>
      </c>
      <c r="F1027" s="46" t="s">
        <v>318</v>
      </c>
      <c r="G1027" s="114">
        <v>3</v>
      </c>
      <c r="H1027" s="74" t="s">
        <v>2724</v>
      </c>
      <c r="I1027" s="114" t="s">
        <v>260</v>
      </c>
      <c r="J1027" s="295" t="s">
        <v>2751</v>
      </c>
      <c r="K1027" s="109">
        <v>46228.992650462962</v>
      </c>
      <c r="L1027" s="109">
        <v>46228.992650462962</v>
      </c>
      <c r="M1027" s="109">
        <v>46230.280509259261</v>
      </c>
    </row>
    <row r="1028" spans="1:14" ht="15" customHeight="1">
      <c r="A1028" s="18">
        <v>1028</v>
      </c>
      <c r="B1028" s="46" t="s">
        <v>26</v>
      </c>
      <c r="C1028" s="46" t="s">
        <v>27</v>
      </c>
      <c r="D1028" s="46" t="s">
        <v>207</v>
      </c>
      <c r="E1028" s="46" t="s">
        <v>4313</v>
      </c>
      <c r="F1028" s="46" t="s">
        <v>318</v>
      </c>
      <c r="G1028" s="114">
        <v>3</v>
      </c>
      <c r="H1028" s="74" t="s">
        <v>4314</v>
      </c>
      <c r="I1028" s="114" t="s">
        <v>275</v>
      </c>
      <c r="J1028" s="295" t="s">
        <v>2738</v>
      </c>
      <c r="K1028" s="109">
        <v>46229.357870370368</v>
      </c>
      <c r="L1028" s="109">
        <v>46229.357870370368</v>
      </c>
      <c r="M1028" s="109">
        <v>46230.280231481483</v>
      </c>
    </row>
    <row r="1029" spans="1:14" ht="15" customHeight="1">
      <c r="A1029" s="18">
        <v>1029</v>
      </c>
      <c r="B1029" s="46" t="s">
        <v>26</v>
      </c>
      <c r="C1029" s="46" t="s">
        <v>27</v>
      </c>
      <c r="D1029" s="46" t="s">
        <v>207</v>
      </c>
      <c r="E1029" s="46" t="s">
        <v>4315</v>
      </c>
      <c r="F1029" s="46" t="s">
        <v>318</v>
      </c>
      <c r="G1029" s="114">
        <v>3</v>
      </c>
      <c r="H1029" s="74" t="s">
        <v>2775</v>
      </c>
      <c r="I1029" s="114" t="s">
        <v>271</v>
      </c>
      <c r="J1029" s="295" t="s">
        <v>2772</v>
      </c>
      <c r="K1029" s="109">
        <v>46229.744108796294</v>
      </c>
      <c r="L1029" s="109">
        <v>46229.744108796294</v>
      </c>
      <c r="M1029" s="109">
        <v>46230.278773148151</v>
      </c>
      <c r="N1029" s="109">
        <v>46231.250405092593</v>
      </c>
    </row>
    <row r="1030" spans="1:14" ht="15" customHeight="1">
      <c r="A1030" s="18">
        <v>1030</v>
      </c>
      <c r="B1030" s="46" t="s">
        <v>26</v>
      </c>
      <c r="C1030" s="46" t="s">
        <v>27</v>
      </c>
      <c r="D1030" s="46" t="s">
        <v>207</v>
      </c>
      <c r="E1030" s="46" t="s">
        <v>4316</v>
      </c>
      <c r="F1030" s="46" t="s">
        <v>327</v>
      </c>
      <c r="G1030" s="114">
        <v>3</v>
      </c>
      <c r="H1030" s="74" t="s">
        <v>4317</v>
      </c>
      <c r="I1030" s="114" t="s">
        <v>275</v>
      </c>
      <c r="K1030" s="109">
        <v>46229.408877314818</v>
      </c>
      <c r="L1030" s="109">
        <v>46229.408877314818</v>
      </c>
      <c r="M1030" s="109">
        <v>46230.293182870373</v>
      </c>
    </row>
    <row r="1031" spans="1:14" ht="15" customHeight="1">
      <c r="A1031" s="18">
        <v>1031</v>
      </c>
      <c r="B1031" s="46" t="s">
        <v>26</v>
      </c>
      <c r="C1031" s="46" t="s">
        <v>27</v>
      </c>
      <c r="D1031" s="46" t="s">
        <v>207</v>
      </c>
      <c r="E1031" s="46" t="s">
        <v>4318</v>
      </c>
      <c r="F1031" s="46" t="s">
        <v>327</v>
      </c>
      <c r="G1031" s="114">
        <v>3</v>
      </c>
      <c r="H1031" s="74" t="s">
        <v>4319</v>
      </c>
      <c r="I1031" s="114" t="s">
        <v>275</v>
      </c>
      <c r="K1031" s="109">
        <v>46229.406736111108</v>
      </c>
      <c r="L1031" s="109">
        <v>46229.406736111108</v>
      </c>
      <c r="M1031" s="109">
        <v>46230.291724537034</v>
      </c>
    </row>
    <row r="1032" spans="1:14" ht="15" customHeight="1">
      <c r="A1032" s="18">
        <v>1032</v>
      </c>
      <c r="B1032" s="46" t="s">
        <v>26</v>
      </c>
      <c r="C1032" s="46" t="s">
        <v>27</v>
      </c>
      <c r="D1032" s="46" t="s">
        <v>207</v>
      </c>
      <c r="E1032" s="46" t="s">
        <v>4320</v>
      </c>
      <c r="F1032" s="46" t="s">
        <v>327</v>
      </c>
      <c r="G1032" s="114">
        <v>3</v>
      </c>
      <c r="H1032" s="74" t="s">
        <v>4317</v>
      </c>
      <c r="I1032" s="114" t="s">
        <v>275</v>
      </c>
      <c r="K1032" s="109">
        <v>46229.401388888888</v>
      </c>
      <c r="L1032" s="109">
        <v>46229.401388888888</v>
      </c>
      <c r="M1032" s="109">
        <v>46230.292361111111</v>
      </c>
    </row>
    <row r="1033" spans="1:14" ht="15" customHeight="1">
      <c r="A1033" s="18">
        <v>1033</v>
      </c>
      <c r="B1033" s="46" t="s">
        <v>26</v>
      </c>
      <c r="C1033" s="46" t="s">
        <v>27</v>
      </c>
      <c r="D1033" s="46" t="s">
        <v>207</v>
      </c>
      <c r="E1033" s="46" t="s">
        <v>4321</v>
      </c>
      <c r="F1033" s="46" t="s">
        <v>327</v>
      </c>
      <c r="G1033" s="114">
        <v>3</v>
      </c>
      <c r="H1033" s="74" t="s">
        <v>4319</v>
      </c>
      <c r="I1033" s="114" t="s">
        <v>275</v>
      </c>
      <c r="K1033" s="109">
        <v>46229.400879629633</v>
      </c>
      <c r="L1033" s="109">
        <v>46229.400879629633</v>
      </c>
      <c r="M1033" s="109">
        <v>46230.292685185188</v>
      </c>
    </row>
    <row r="1034" spans="1:14" ht="15" customHeight="1">
      <c r="A1034" s="18">
        <v>1034</v>
      </c>
      <c r="B1034" s="46" t="s">
        <v>26</v>
      </c>
      <c r="C1034" s="46" t="s">
        <v>27</v>
      </c>
      <c r="D1034" s="46" t="s">
        <v>207</v>
      </c>
      <c r="E1034" s="46" t="s">
        <v>4322</v>
      </c>
      <c r="F1034" s="46" t="s">
        <v>327</v>
      </c>
      <c r="G1034" s="114">
        <v>3</v>
      </c>
      <c r="H1034" s="74" t="s">
        <v>4317</v>
      </c>
      <c r="I1034" s="114" t="s">
        <v>275</v>
      </c>
      <c r="K1034" s="166">
        <v>46229.364270833335</v>
      </c>
      <c r="L1034" s="109">
        <v>46229.364270833335</v>
      </c>
      <c r="M1034" s="109">
        <v>46230.292951388888</v>
      </c>
    </row>
    <row r="1035" spans="1:14" ht="15" customHeight="1">
      <c r="A1035" s="18">
        <v>1035</v>
      </c>
      <c r="B1035" s="46" t="s">
        <v>26</v>
      </c>
      <c r="C1035" s="46" t="s">
        <v>27</v>
      </c>
      <c r="D1035" s="46" t="s">
        <v>208</v>
      </c>
      <c r="E1035" s="46" t="s">
        <v>4323</v>
      </c>
      <c r="F1035" s="46" t="s">
        <v>320</v>
      </c>
      <c r="H1035" s="74" t="s">
        <v>4324</v>
      </c>
      <c r="I1035" s="114" t="s">
        <v>275</v>
      </c>
      <c r="K1035" s="166">
        <v>46230.274305555555</v>
      </c>
      <c r="L1035" s="166">
        <v>46230.316064814811</v>
      </c>
      <c r="M1035" s="166">
        <v>46230.316064814811</v>
      </c>
    </row>
    <row r="1036" spans="1:14" ht="15" customHeight="1">
      <c r="A1036" s="18">
        <v>1036</v>
      </c>
      <c r="B1036" s="46" t="s">
        <v>26</v>
      </c>
      <c r="C1036" s="46" t="s">
        <v>27</v>
      </c>
      <c r="D1036" s="46" t="s">
        <v>208</v>
      </c>
      <c r="E1036" s="46" t="s">
        <v>4325</v>
      </c>
      <c r="F1036" s="46" t="s">
        <v>320</v>
      </c>
      <c r="H1036" s="74" t="s">
        <v>4326</v>
      </c>
      <c r="I1036" s="114" t="s">
        <v>275</v>
      </c>
      <c r="K1036" s="166">
        <v>46230.273761574077</v>
      </c>
      <c r="L1036" s="197" t="s">
        <v>4327</v>
      </c>
      <c r="M1036" s="197" t="s">
        <v>4327</v>
      </c>
    </row>
    <row r="1037" spans="1:14" ht="15" customHeight="1">
      <c r="A1037" s="18">
        <v>1037</v>
      </c>
      <c r="B1037" s="46" t="s">
        <v>26</v>
      </c>
      <c r="C1037" s="46" t="s">
        <v>27</v>
      </c>
      <c r="D1037" s="46" t="s">
        <v>208</v>
      </c>
      <c r="E1037" s="46" t="s">
        <v>4328</v>
      </c>
      <c r="F1037" s="46" t="s">
        <v>320</v>
      </c>
      <c r="H1037" s="74" t="s">
        <v>4329</v>
      </c>
      <c r="I1037" s="114" t="s">
        <v>275</v>
      </c>
      <c r="K1037" s="166">
        <v>46230.2734837963</v>
      </c>
      <c r="L1037" s="166">
        <v>46230.319826388892</v>
      </c>
      <c r="M1037" s="166">
        <v>46230.319837962961</v>
      </c>
    </row>
    <row r="1038" spans="1:14" ht="15" customHeight="1">
      <c r="A1038" s="18">
        <v>1038</v>
      </c>
      <c r="B1038" s="46" t="s">
        <v>26</v>
      </c>
      <c r="C1038" s="46" t="s">
        <v>27</v>
      </c>
      <c r="D1038" s="46" t="s">
        <v>208</v>
      </c>
      <c r="E1038" s="46" t="s">
        <v>4330</v>
      </c>
      <c r="F1038" s="46" t="s">
        <v>320</v>
      </c>
      <c r="H1038" s="74" t="s">
        <v>4331</v>
      </c>
      <c r="I1038" s="114" t="s">
        <v>275</v>
      </c>
      <c r="K1038" s="166">
        <v>46230.272222222222</v>
      </c>
      <c r="L1038" s="197" t="s">
        <v>4332</v>
      </c>
      <c r="M1038" s="197" t="s">
        <v>4332</v>
      </c>
    </row>
    <row r="1039" spans="1:14" ht="15" customHeight="1">
      <c r="A1039" s="18">
        <v>1039</v>
      </c>
      <c r="B1039" s="46" t="s">
        <v>26</v>
      </c>
      <c r="C1039" s="46" t="s">
        <v>27</v>
      </c>
      <c r="D1039" s="46" t="s">
        <v>208</v>
      </c>
      <c r="E1039" s="274" t="s">
        <v>4333</v>
      </c>
      <c r="F1039" s="46" t="s">
        <v>320</v>
      </c>
      <c r="H1039" s="74" t="s">
        <v>4334</v>
      </c>
      <c r="I1039" s="114" t="s">
        <v>275</v>
      </c>
      <c r="K1039" s="166">
        <v>46230.271874999999</v>
      </c>
      <c r="L1039" s="197" t="s">
        <v>4335</v>
      </c>
      <c r="M1039" s="249" t="s">
        <v>4336</v>
      </c>
    </row>
    <row r="1040" spans="1:14" ht="15" customHeight="1">
      <c r="A1040" s="18">
        <v>1040</v>
      </c>
      <c r="B1040" s="46" t="s">
        <v>26</v>
      </c>
      <c r="C1040" s="46" t="s">
        <v>27</v>
      </c>
      <c r="D1040" s="46" t="s">
        <v>208</v>
      </c>
      <c r="E1040" s="46" t="s">
        <v>4337</v>
      </c>
      <c r="F1040" s="46" t="s">
        <v>320</v>
      </c>
      <c r="H1040" s="74" t="s">
        <v>4338</v>
      </c>
      <c r="I1040" s="114" t="s">
        <v>275</v>
      </c>
      <c r="K1040" s="166">
        <v>46230.271261574075</v>
      </c>
      <c r="L1040" s="166">
        <v>46230.329097222224</v>
      </c>
      <c r="M1040" s="166">
        <v>46230.329097222224</v>
      </c>
    </row>
    <row r="1041" spans="1:14" ht="15" customHeight="1">
      <c r="A1041" s="18">
        <v>1041</v>
      </c>
      <c r="B1041" s="46" t="s">
        <v>26</v>
      </c>
      <c r="C1041" s="46" t="s">
        <v>27</v>
      </c>
      <c r="D1041" s="46" t="s">
        <v>208</v>
      </c>
      <c r="E1041" s="46" t="s">
        <v>4339</v>
      </c>
      <c r="F1041" s="46" t="s">
        <v>320</v>
      </c>
      <c r="H1041" s="74" t="s">
        <v>4340</v>
      </c>
      <c r="I1041" s="114" t="s">
        <v>275</v>
      </c>
      <c r="K1041" s="166">
        <v>46230.267569444448</v>
      </c>
      <c r="L1041" s="166">
        <v>46230.330752314818</v>
      </c>
      <c r="M1041" s="166">
        <v>46230.330752314818</v>
      </c>
    </row>
    <row r="1042" spans="1:14" ht="15" customHeight="1">
      <c r="A1042" s="18">
        <v>1042</v>
      </c>
      <c r="B1042" s="46" t="s">
        <v>26</v>
      </c>
      <c r="C1042" s="46" t="s">
        <v>27</v>
      </c>
      <c r="D1042" s="46" t="s">
        <v>208</v>
      </c>
      <c r="E1042" s="46" t="s">
        <v>4341</v>
      </c>
      <c r="F1042" s="46" t="s">
        <v>320</v>
      </c>
      <c r="H1042" s="74" t="s">
        <v>4342</v>
      </c>
      <c r="I1042" s="114" t="s">
        <v>275</v>
      </c>
      <c r="K1042" s="166">
        <v>46230.267453703702</v>
      </c>
      <c r="L1042" s="166">
        <v>46230.332418981481</v>
      </c>
      <c r="M1042" s="166">
        <v>46230.332418981481</v>
      </c>
    </row>
    <row r="1043" spans="1:14" ht="15" customHeight="1">
      <c r="A1043" s="18">
        <v>1043</v>
      </c>
      <c r="B1043" s="46" t="s">
        <v>26</v>
      </c>
      <c r="C1043" s="46" t="s">
        <v>27</v>
      </c>
      <c r="D1043" s="46" t="s">
        <v>208</v>
      </c>
      <c r="F1043" s="46" t="s">
        <v>320</v>
      </c>
      <c r="H1043" s="74" t="s">
        <v>4343</v>
      </c>
      <c r="I1043" s="114" t="s">
        <v>275</v>
      </c>
      <c r="K1043" s="166">
        <v>46230.263854166667</v>
      </c>
      <c r="L1043" s="166">
        <v>46230.334745370368</v>
      </c>
      <c r="M1043" s="166">
        <v>46230.334745370368</v>
      </c>
    </row>
    <row r="1044" spans="1:14" ht="15" customHeight="1">
      <c r="A1044" s="18">
        <v>1044</v>
      </c>
      <c r="B1044" s="46" t="s">
        <v>26</v>
      </c>
      <c r="C1044" s="60" t="s">
        <v>54</v>
      </c>
      <c r="D1044" s="46" t="s">
        <v>207</v>
      </c>
      <c r="E1044" s="287" t="s">
        <v>4168</v>
      </c>
      <c r="F1044" s="46" t="s">
        <v>325</v>
      </c>
      <c r="G1044" s="114">
        <v>4</v>
      </c>
      <c r="H1044" s="74" t="s">
        <v>4169</v>
      </c>
      <c r="I1044" s="114" t="s">
        <v>271</v>
      </c>
      <c r="J1044" s="297" t="s">
        <v>2872</v>
      </c>
      <c r="K1044" s="109">
        <v>46212.460312499999</v>
      </c>
      <c r="L1044" s="109">
        <v>46219.710543981484</v>
      </c>
      <c r="M1044" s="166">
        <v>46220.193854166668</v>
      </c>
      <c r="N1044" s="166">
        <v>46220.426874999997</v>
      </c>
    </row>
    <row r="1045" spans="1:14" ht="15" customHeight="1">
      <c r="A1045" s="18">
        <v>1045</v>
      </c>
      <c r="B1045" s="46" t="s">
        <v>26</v>
      </c>
      <c r="C1045" s="46" t="s">
        <v>54</v>
      </c>
      <c r="D1045" s="46" t="s">
        <v>208</v>
      </c>
      <c r="E1045" s="287" t="s">
        <v>4344</v>
      </c>
      <c r="F1045" s="46" t="s">
        <v>325</v>
      </c>
      <c r="G1045" s="114" t="s">
        <v>208</v>
      </c>
      <c r="H1045" s="74" t="s">
        <v>4345</v>
      </c>
      <c r="I1045" s="114" t="s">
        <v>271</v>
      </c>
      <c r="J1045" s="295" t="s">
        <v>2697</v>
      </c>
      <c r="K1045" s="109">
        <v>46219.635567129626</v>
      </c>
      <c r="L1045" s="166">
        <v>46219.637199074074</v>
      </c>
      <c r="M1045" s="166">
        <v>46219.649085648147</v>
      </c>
      <c r="N1045" s="109">
        <v>46220.414953703701</v>
      </c>
    </row>
    <row r="1046" spans="1:14" ht="15" customHeight="1">
      <c r="A1046" s="18">
        <v>1046</v>
      </c>
      <c r="B1046" s="46" t="s">
        <v>26</v>
      </c>
      <c r="C1046" s="46" t="s">
        <v>27</v>
      </c>
      <c r="D1046" s="46" t="s">
        <v>207</v>
      </c>
      <c r="E1046" s="287" t="s">
        <v>4346</v>
      </c>
      <c r="F1046" s="46" t="s">
        <v>318</v>
      </c>
      <c r="G1046" s="114">
        <v>3</v>
      </c>
      <c r="H1046" s="74" t="s">
        <v>2707</v>
      </c>
      <c r="I1046" s="114" t="s">
        <v>260</v>
      </c>
      <c r="J1046" s="295" t="s">
        <v>2708</v>
      </c>
      <c r="K1046" s="109">
        <v>46230.363564814812</v>
      </c>
      <c r="L1046" s="109">
        <v>46230.364224537036</v>
      </c>
      <c r="M1046" s="109">
        <v>46230.368136574078</v>
      </c>
    </row>
    <row r="1047" spans="1:14" ht="15" customHeight="1">
      <c r="A1047" s="18">
        <v>1047</v>
      </c>
      <c r="B1047" s="46" t="s">
        <v>26</v>
      </c>
      <c r="C1047" s="60" t="s">
        <v>54</v>
      </c>
      <c r="D1047" s="46" t="s">
        <v>208</v>
      </c>
      <c r="E1047" t="s">
        <v>4158</v>
      </c>
      <c r="F1047" s="46" t="s">
        <v>325</v>
      </c>
      <c r="G1047" s="114" t="s">
        <v>208</v>
      </c>
      <c r="H1047" s="268" t="s">
        <v>3038</v>
      </c>
      <c r="I1047" s="114" t="s">
        <v>275</v>
      </c>
      <c r="J1047" s="298" t="s">
        <v>2872</v>
      </c>
      <c r="K1047" s="109">
        <v>46202.535162037035</v>
      </c>
      <c r="L1047" s="166">
        <v>46220.402233796296</v>
      </c>
      <c r="M1047" s="166">
        <v>46220.417754629627</v>
      </c>
      <c r="N1047" s="166">
        <v>46220.422800925924</v>
      </c>
    </row>
    <row r="1048" spans="1:14" ht="15" customHeight="1">
      <c r="A1048" s="18">
        <v>1048</v>
      </c>
      <c r="B1048" s="46" t="s">
        <v>26</v>
      </c>
      <c r="C1048" s="46" t="s">
        <v>54</v>
      </c>
      <c r="D1048" s="46" t="s">
        <v>208</v>
      </c>
      <c r="E1048" s="287" t="s">
        <v>4347</v>
      </c>
      <c r="F1048" s="46" t="s">
        <v>325</v>
      </c>
      <c r="G1048" s="114" t="s">
        <v>208</v>
      </c>
      <c r="H1048" s="74" t="s">
        <v>2866</v>
      </c>
      <c r="I1048" s="114" t="s">
        <v>271</v>
      </c>
      <c r="J1048" s="295" t="s">
        <v>2697</v>
      </c>
      <c r="K1048" s="109">
        <v>46219.726226851853</v>
      </c>
      <c r="L1048" s="166">
        <v>46220.374525462961</v>
      </c>
      <c r="M1048" s="166">
        <v>46220.418206018519</v>
      </c>
      <c r="N1048" s="109">
        <v>46220.44672453704</v>
      </c>
    </row>
    <row r="1049" spans="1:14" ht="15" customHeight="1">
      <c r="A1049" s="18">
        <v>1049</v>
      </c>
      <c r="B1049" s="46" t="s">
        <v>26</v>
      </c>
      <c r="C1049" s="46" t="s">
        <v>54</v>
      </c>
      <c r="D1049" s="46" t="s">
        <v>208</v>
      </c>
      <c r="E1049" s="287" t="s">
        <v>4348</v>
      </c>
      <c r="F1049" s="46" t="s">
        <v>325</v>
      </c>
      <c r="G1049" s="114" t="s">
        <v>208</v>
      </c>
      <c r="H1049" s="74" t="s">
        <v>4349</v>
      </c>
      <c r="I1049" s="114" t="s">
        <v>271</v>
      </c>
      <c r="J1049" s="295" t="s">
        <v>2872</v>
      </c>
      <c r="K1049" s="109">
        <v>46223.314895833333</v>
      </c>
      <c r="L1049" s="166">
        <v>46223.314895833333</v>
      </c>
      <c r="M1049" s="166">
        <v>46223.330347222225</v>
      </c>
      <c r="N1049" s="109">
        <v>46224.353067129632</v>
      </c>
    </row>
    <row r="1050" spans="1:14" ht="15" customHeight="1">
      <c r="A1050" s="18">
        <v>1050</v>
      </c>
      <c r="B1050" s="46" t="s">
        <v>26</v>
      </c>
      <c r="C1050" s="46" t="s">
        <v>54</v>
      </c>
      <c r="D1050" s="46" t="s">
        <v>208</v>
      </c>
      <c r="E1050" s="287" t="s">
        <v>4350</v>
      </c>
      <c r="F1050" s="46" t="s">
        <v>325</v>
      </c>
      <c r="G1050" s="114" t="s">
        <v>208</v>
      </c>
      <c r="H1050" s="74" t="s">
        <v>4351</v>
      </c>
      <c r="I1050" s="114" t="s">
        <v>271</v>
      </c>
      <c r="J1050" s="295" t="s">
        <v>2872</v>
      </c>
      <c r="K1050" s="109">
        <v>46223.299849537034</v>
      </c>
      <c r="L1050" s="166">
        <v>46223.370451388888</v>
      </c>
      <c r="M1050" s="166">
        <v>46223.42491898148</v>
      </c>
      <c r="N1050" s="109">
        <v>46223.710590277777</v>
      </c>
    </row>
    <row r="1051" spans="1:14" ht="15" customHeight="1">
      <c r="A1051" s="18">
        <v>1051</v>
      </c>
      <c r="B1051" s="46" t="s">
        <v>26</v>
      </c>
      <c r="C1051" s="46" t="s">
        <v>54</v>
      </c>
      <c r="D1051" s="46" t="s">
        <v>208</v>
      </c>
      <c r="E1051" s="287" t="s">
        <v>4352</v>
      </c>
      <c r="F1051" s="46" t="s">
        <v>325</v>
      </c>
      <c r="G1051" s="114" t="s">
        <v>208</v>
      </c>
      <c r="H1051" s="74" t="s">
        <v>3038</v>
      </c>
      <c r="I1051" s="114" t="s">
        <v>275</v>
      </c>
      <c r="J1051" s="295" t="s">
        <v>2872</v>
      </c>
      <c r="K1051" s="109">
        <v>46223.417245370372</v>
      </c>
      <c r="L1051" s="166">
        <v>46223.425046296295</v>
      </c>
      <c r="M1051" s="166">
        <v>46223.452719907407</v>
      </c>
      <c r="N1051" s="166">
        <v>46226.29047453704</v>
      </c>
    </row>
    <row r="1052" spans="1:14" ht="15" customHeight="1">
      <c r="A1052" s="46">
        <v>1052</v>
      </c>
      <c r="B1052" s="46" t="s">
        <v>26</v>
      </c>
      <c r="C1052" s="46" t="s">
        <v>54</v>
      </c>
      <c r="D1052" s="46" t="s">
        <v>208</v>
      </c>
      <c r="E1052" s="287" t="s">
        <v>4353</v>
      </c>
      <c r="F1052" s="46" t="s">
        <v>325</v>
      </c>
      <c r="G1052" s="114" t="s">
        <v>208</v>
      </c>
      <c r="H1052" s="74" t="s">
        <v>4349</v>
      </c>
      <c r="I1052" s="74" t="s">
        <v>3073</v>
      </c>
      <c r="J1052" s="295" t="s">
        <v>2872</v>
      </c>
      <c r="K1052" s="268">
        <v>46225.312928240739</v>
      </c>
      <c r="L1052" s="166">
        <v>46225.312928240739</v>
      </c>
      <c r="M1052" s="166">
        <v>46225.326701388891</v>
      </c>
      <c r="N1052" s="166">
        <v>46226.27380787037</v>
      </c>
    </row>
    <row r="1053" spans="1:14" ht="15" customHeight="1">
      <c r="A1053" s="46">
        <v>1053</v>
      </c>
      <c r="B1053" s="46" t="s">
        <v>26</v>
      </c>
      <c r="C1053" s="46" t="s">
        <v>54</v>
      </c>
      <c r="D1053" s="46" t="s">
        <v>208</v>
      </c>
      <c r="E1053" s="287" t="s">
        <v>4354</v>
      </c>
      <c r="F1053" s="46" t="s">
        <v>325</v>
      </c>
      <c r="G1053" s="114" t="s">
        <v>208</v>
      </c>
      <c r="H1053" s="74" t="s">
        <v>4355</v>
      </c>
      <c r="I1053" s="114" t="s">
        <v>271</v>
      </c>
      <c r="J1053" s="295" t="s">
        <v>2694</v>
      </c>
      <c r="K1053" s="109">
        <v>46225.405162037037</v>
      </c>
      <c r="L1053" s="166">
        <v>46225.405162037037</v>
      </c>
      <c r="M1053" s="166">
        <v>46225.408645833333</v>
      </c>
    </row>
    <row r="1054" spans="1:14" ht="15" customHeight="1">
      <c r="A1054" s="46">
        <v>1054</v>
      </c>
      <c r="B1054" s="46" t="s">
        <v>26</v>
      </c>
      <c r="C1054" s="46" t="s">
        <v>54</v>
      </c>
      <c r="D1054" s="46" t="s">
        <v>208</v>
      </c>
      <c r="E1054" s="289" t="s">
        <v>4177</v>
      </c>
      <c r="F1054" s="46" t="s">
        <v>325</v>
      </c>
      <c r="G1054" s="114" t="s">
        <v>208</v>
      </c>
      <c r="H1054" s="74" t="s">
        <v>4178</v>
      </c>
      <c r="I1054" s="114" t="s">
        <v>275</v>
      </c>
      <c r="J1054" s="295" t="s">
        <v>2872</v>
      </c>
      <c r="K1054" s="109">
        <v>46216.410370370373</v>
      </c>
      <c r="L1054" s="166">
        <v>46225.417094907411</v>
      </c>
      <c r="M1054" s="166">
        <v>46225.477314814816</v>
      </c>
      <c r="N1054" s="166">
        <v>46226.360833333332</v>
      </c>
    </row>
    <row r="1055" spans="1:14" ht="15" customHeight="1">
      <c r="A1055" s="46">
        <v>1055</v>
      </c>
      <c r="B1055" s="46" t="s">
        <v>26</v>
      </c>
      <c r="C1055" s="46" t="s">
        <v>54</v>
      </c>
      <c r="D1055" s="46" t="s">
        <v>208</v>
      </c>
      <c r="E1055" s="289" t="s">
        <v>4177</v>
      </c>
      <c r="F1055" s="46" t="s">
        <v>325</v>
      </c>
      <c r="G1055" s="114" t="s">
        <v>208</v>
      </c>
      <c r="H1055" s="74" t="s">
        <v>4178</v>
      </c>
      <c r="I1055" s="114" t="s">
        <v>271</v>
      </c>
      <c r="J1055" s="295" t="s">
        <v>2872</v>
      </c>
      <c r="K1055" s="109">
        <v>46216.410370370373</v>
      </c>
      <c r="L1055" s="166">
        <v>46227.367847222224</v>
      </c>
      <c r="M1055" s="166">
        <v>46227.401030092595</v>
      </c>
      <c r="N1055" s="109">
        <v>46230.290752314817</v>
      </c>
    </row>
    <row r="1056" spans="1:14" ht="15" customHeight="1">
      <c r="A1056" s="46">
        <v>1056</v>
      </c>
      <c r="B1056" s="46" t="s">
        <v>26</v>
      </c>
      <c r="C1056" s="46" t="s">
        <v>54</v>
      </c>
      <c r="D1056" s="46" t="s">
        <v>207</v>
      </c>
      <c r="E1056" s="46" t="s">
        <v>4257</v>
      </c>
      <c r="F1056" s="46" t="s">
        <v>325</v>
      </c>
      <c r="G1056" s="114">
        <v>4</v>
      </c>
      <c r="H1056" s="74" t="s">
        <v>4258</v>
      </c>
      <c r="I1056" s="114" t="s">
        <v>275</v>
      </c>
      <c r="J1056" s="297" t="s">
        <v>2872</v>
      </c>
      <c r="K1056" s="109">
        <v>46225.498229166667</v>
      </c>
      <c r="L1056" s="166">
        <v>46225.678159722222</v>
      </c>
      <c r="M1056" s="166">
        <v>46225.679780092592</v>
      </c>
      <c r="N1056" s="166">
        <v>46226.289768518516</v>
      </c>
    </row>
    <row r="1057" spans="1:14" ht="15" customHeight="1">
      <c r="A1057" s="46">
        <v>1057</v>
      </c>
      <c r="B1057" s="46" t="s">
        <v>26</v>
      </c>
      <c r="C1057" s="46" t="s">
        <v>54</v>
      </c>
      <c r="D1057" s="46" t="s">
        <v>207</v>
      </c>
      <c r="E1057" s="46" t="s">
        <v>4356</v>
      </c>
      <c r="F1057" s="166" t="s">
        <v>336</v>
      </c>
      <c r="G1057" s="114">
        <v>4</v>
      </c>
      <c r="H1057" s="74" t="s">
        <v>4357</v>
      </c>
      <c r="I1057" s="114" t="s">
        <v>271</v>
      </c>
      <c r="J1057" s="295" t="s">
        <v>2697</v>
      </c>
      <c r="K1057" s="166">
        <v>46230.436874999999</v>
      </c>
      <c r="L1057" s="166">
        <v>46230.436874999999</v>
      </c>
      <c r="M1057" s="166">
        <v>46230.442164351851</v>
      </c>
      <c r="N1057" s="166">
        <v>46238.750023148146</v>
      </c>
    </row>
    <row r="1058" spans="1:14" ht="15" customHeight="1">
      <c r="A1058" s="46">
        <v>1058</v>
      </c>
      <c r="B1058" s="46" t="s">
        <v>26</v>
      </c>
      <c r="C1058" s="46" t="s">
        <v>54</v>
      </c>
      <c r="D1058" s="46" t="s">
        <v>207</v>
      </c>
      <c r="E1058" t="s">
        <v>4358</v>
      </c>
      <c r="F1058" s="46" t="s">
        <v>53</v>
      </c>
      <c r="G1058" s="114">
        <v>3</v>
      </c>
      <c r="H1058" s="74" t="s">
        <v>4359</v>
      </c>
      <c r="I1058" s="114" t="s">
        <v>260</v>
      </c>
      <c r="J1058" s="295" t="s">
        <v>2694</v>
      </c>
      <c r="K1058" s="109">
        <v>46229.635185185187</v>
      </c>
      <c r="L1058" s="166">
        <v>46230.414282407408</v>
      </c>
      <c r="M1058" s="166">
        <v>46230.441180555557</v>
      </c>
    </row>
    <row r="1059" spans="1:14" ht="15" customHeight="1">
      <c r="A1059" s="46">
        <v>1059</v>
      </c>
      <c r="B1059" s="46" t="s">
        <v>26</v>
      </c>
      <c r="C1059" s="46" t="s">
        <v>27</v>
      </c>
      <c r="D1059" s="46" t="s">
        <v>207</v>
      </c>
      <c r="E1059" s="46" t="s">
        <v>3669</v>
      </c>
      <c r="F1059" s="46" t="s">
        <v>318</v>
      </c>
      <c r="G1059" s="114">
        <v>3</v>
      </c>
      <c r="H1059" s="74" t="s">
        <v>3670</v>
      </c>
      <c r="I1059" s="114" t="s">
        <v>271</v>
      </c>
      <c r="J1059" s="295" t="s">
        <v>2725</v>
      </c>
      <c r="K1059" s="109">
        <v>46197.393310185187</v>
      </c>
      <c r="L1059" s="109">
        <v>46230.434502314813</v>
      </c>
      <c r="M1059" s="109">
        <v>46230.464062500003</v>
      </c>
      <c r="N1059" s="109">
        <v>46230.46497685185</v>
      </c>
    </row>
    <row r="1060" spans="1:14" ht="15" customHeight="1">
      <c r="A1060" s="46">
        <v>1060</v>
      </c>
      <c r="B1060" s="46" t="s">
        <v>26</v>
      </c>
      <c r="C1060" s="46" t="s">
        <v>27</v>
      </c>
      <c r="D1060" s="46" t="s">
        <v>207</v>
      </c>
      <c r="E1060" s="46" t="s">
        <v>4360</v>
      </c>
      <c r="F1060" s="46" t="s">
        <v>318</v>
      </c>
      <c r="G1060" s="114">
        <v>4</v>
      </c>
      <c r="H1060" s="74" t="s">
        <v>4361</v>
      </c>
      <c r="I1060" s="114" t="s">
        <v>271</v>
      </c>
      <c r="J1060" s="295" t="s">
        <v>2738</v>
      </c>
      <c r="K1060" s="109">
        <v>46230.465277777781</v>
      </c>
      <c r="L1060" s="109">
        <v>46230.473101851851</v>
      </c>
      <c r="M1060" s="166">
        <v>46230.481585648151</v>
      </c>
      <c r="N1060" s="109">
        <v>46231.275775462964</v>
      </c>
    </row>
    <row r="1061" spans="1:14" ht="15" customHeight="1">
      <c r="A1061" s="46">
        <v>1061</v>
      </c>
      <c r="B1061" s="46" t="s">
        <v>26</v>
      </c>
      <c r="C1061" s="46" t="s">
        <v>27</v>
      </c>
      <c r="D1061" s="46" t="s">
        <v>207</v>
      </c>
      <c r="E1061" s="46" t="s">
        <v>4362</v>
      </c>
      <c r="F1061" s="46" t="s">
        <v>53</v>
      </c>
      <c r="G1061" s="114">
        <v>3</v>
      </c>
      <c r="H1061" s="74" t="s">
        <v>4363</v>
      </c>
      <c r="I1061" s="114" t="s">
        <v>260</v>
      </c>
      <c r="J1061" s="295" t="s">
        <v>2708</v>
      </c>
      <c r="K1061" s="109">
        <v>46230.697268518517</v>
      </c>
      <c r="L1061" s="166">
        <v>46230.697268518517</v>
      </c>
      <c r="M1061" s="166">
        <v>46231.21503472222</v>
      </c>
    </row>
    <row r="1062" spans="1:14" ht="15" customHeight="1">
      <c r="A1062" s="46">
        <v>1062</v>
      </c>
      <c r="B1062" s="46" t="s">
        <v>26</v>
      </c>
      <c r="C1062" s="46" t="s">
        <v>27</v>
      </c>
      <c r="D1062" s="46" t="s">
        <v>207</v>
      </c>
      <c r="E1062" s="46" t="s">
        <v>4364</v>
      </c>
      <c r="F1062" s="46" t="s">
        <v>318</v>
      </c>
      <c r="G1062" s="114">
        <v>4</v>
      </c>
      <c r="H1062" s="74" t="s">
        <v>4365</v>
      </c>
      <c r="I1062" s="114" t="s">
        <v>260</v>
      </c>
      <c r="J1062" s="295" t="s">
        <v>2714</v>
      </c>
      <c r="K1062" s="109">
        <v>46230.337500000001</v>
      </c>
      <c r="L1062" s="166">
        <v>46230.877500000002</v>
      </c>
      <c r="M1062" s="166">
        <v>46231.221747685187</v>
      </c>
    </row>
    <row r="1063" spans="1:14" ht="15" customHeight="1">
      <c r="A1063" s="46">
        <v>1063</v>
      </c>
      <c r="B1063" s="46" t="s">
        <v>26</v>
      </c>
      <c r="C1063" s="46" t="s">
        <v>27</v>
      </c>
      <c r="D1063" s="46" t="s">
        <v>207</v>
      </c>
      <c r="E1063" s="46" t="s">
        <v>4366</v>
      </c>
      <c r="F1063" s="46" t="s">
        <v>318</v>
      </c>
      <c r="G1063" s="114">
        <v>4</v>
      </c>
      <c r="H1063" s="74" t="s">
        <v>4367</v>
      </c>
      <c r="I1063" s="114" t="s">
        <v>275</v>
      </c>
      <c r="J1063" s="295" t="s">
        <v>2725</v>
      </c>
      <c r="K1063" s="109">
        <v>46230.337500000001</v>
      </c>
      <c r="L1063" s="166">
        <v>46230.60052083333</v>
      </c>
      <c r="M1063" s="166">
        <v>46231.220752314817</v>
      </c>
    </row>
    <row r="1064" spans="1:14" ht="15" customHeight="1">
      <c r="A1064" s="46">
        <v>1064</v>
      </c>
      <c r="B1064" s="46" t="s">
        <v>26</v>
      </c>
      <c r="C1064" s="46" t="s">
        <v>27</v>
      </c>
      <c r="D1064" s="46" t="s">
        <v>207</v>
      </c>
      <c r="E1064" s="46" t="s">
        <v>4368</v>
      </c>
      <c r="F1064" s="46" t="s">
        <v>318</v>
      </c>
      <c r="G1064" s="114">
        <v>3</v>
      </c>
      <c r="H1064" s="74" t="s">
        <v>2775</v>
      </c>
      <c r="I1064" s="114" t="s">
        <v>271</v>
      </c>
      <c r="J1064" s="295" t="s">
        <v>2738</v>
      </c>
      <c r="K1064" s="109">
        <v>46230.654548611114</v>
      </c>
      <c r="L1064" s="109">
        <v>46230.654548611114</v>
      </c>
      <c r="M1064" s="166">
        <v>46231.216967592591</v>
      </c>
      <c r="N1064" s="109">
        <v>46231.262557870374</v>
      </c>
    </row>
    <row r="1065" spans="1:14" ht="15" customHeight="1">
      <c r="A1065" s="46">
        <v>1065</v>
      </c>
      <c r="B1065" s="46" t="s">
        <v>26</v>
      </c>
      <c r="C1065" s="46" t="s">
        <v>27</v>
      </c>
      <c r="D1065" s="46" t="s">
        <v>207</v>
      </c>
      <c r="E1065" s="46" t="s">
        <v>4369</v>
      </c>
      <c r="F1065" s="46" t="s">
        <v>318</v>
      </c>
      <c r="G1065" s="114">
        <v>3</v>
      </c>
      <c r="H1065" s="74" t="s">
        <v>2724</v>
      </c>
      <c r="I1065" s="114" t="s">
        <v>271</v>
      </c>
      <c r="J1065" s="295" t="s">
        <v>2738</v>
      </c>
      <c r="K1065" s="109">
        <v>46231.031550925924</v>
      </c>
      <c r="L1065" s="109">
        <v>46231.031550925924</v>
      </c>
      <c r="M1065" s="166">
        <v>46231.218009259261</v>
      </c>
      <c r="N1065" s="109">
        <v>46231.26116898148</v>
      </c>
    </row>
    <row r="1066" spans="1:14" ht="15" customHeight="1">
      <c r="A1066" s="46">
        <v>1066</v>
      </c>
      <c r="B1066" s="46" t="s">
        <v>26</v>
      </c>
      <c r="C1066" s="46" t="s">
        <v>27</v>
      </c>
      <c r="D1066" s="46" t="s">
        <v>207</v>
      </c>
      <c r="E1066" s="46" t="s">
        <v>4370</v>
      </c>
      <c r="F1066" s="46" t="s">
        <v>318</v>
      </c>
      <c r="G1066" s="114">
        <v>3</v>
      </c>
      <c r="H1066" s="74" t="s">
        <v>2775</v>
      </c>
      <c r="I1066" s="114" t="s">
        <v>271</v>
      </c>
      <c r="J1066" s="295" t="s">
        <v>2772</v>
      </c>
      <c r="K1066" s="166">
        <v>46231.103807870371</v>
      </c>
      <c r="L1066" s="166">
        <v>46231.103807870371</v>
      </c>
      <c r="M1066" s="166">
        <v>46231.219328703701</v>
      </c>
      <c r="N1066" s="109">
        <v>46231.248842592591</v>
      </c>
    </row>
    <row r="1067" spans="1:14" ht="15" customHeight="1">
      <c r="A1067" s="46">
        <v>1067</v>
      </c>
      <c r="B1067" s="46" t="s">
        <v>26</v>
      </c>
      <c r="C1067" s="46" t="s">
        <v>27</v>
      </c>
      <c r="D1067" s="46" t="s">
        <v>207</v>
      </c>
      <c r="E1067" s="46" t="s">
        <v>4371</v>
      </c>
      <c r="F1067" s="46" t="s">
        <v>318</v>
      </c>
      <c r="G1067" s="114">
        <v>3</v>
      </c>
      <c r="H1067" s="74" t="s">
        <v>2707</v>
      </c>
      <c r="I1067" s="114" t="s">
        <v>260</v>
      </c>
      <c r="J1067" s="295" t="s">
        <v>2708</v>
      </c>
      <c r="K1067" s="109">
        <v>46230.611064814817</v>
      </c>
      <c r="L1067" s="166">
        <v>46230.697523148148</v>
      </c>
      <c r="M1067" s="166">
        <v>46231.223194444443</v>
      </c>
    </row>
    <row r="1068" spans="1:14" ht="15" customHeight="1">
      <c r="A1068" s="46">
        <v>1068</v>
      </c>
      <c r="B1068" s="46" t="s">
        <v>26</v>
      </c>
      <c r="C1068" s="46" t="s">
        <v>27</v>
      </c>
      <c r="D1068" s="46" t="s">
        <v>207</v>
      </c>
      <c r="E1068" s="46" t="s">
        <v>4372</v>
      </c>
      <c r="F1068" s="46" t="s">
        <v>318</v>
      </c>
      <c r="G1068" s="114">
        <v>3</v>
      </c>
      <c r="H1068" s="74" t="s">
        <v>2759</v>
      </c>
      <c r="I1068" s="114" t="s">
        <v>260</v>
      </c>
      <c r="J1068" s="295" t="s">
        <v>2708</v>
      </c>
      <c r="K1068" s="109">
        <v>46230.612951388888</v>
      </c>
      <c r="L1068" s="166">
        <v>46230.699340277781</v>
      </c>
      <c r="M1068" s="166">
        <v>46231.222384259258</v>
      </c>
    </row>
    <row r="1069" spans="1:14" ht="15" customHeight="1">
      <c r="A1069" s="46">
        <v>1069</v>
      </c>
      <c r="B1069" s="46" t="s">
        <v>26</v>
      </c>
      <c r="C1069" s="46" t="s">
        <v>27</v>
      </c>
      <c r="D1069" s="46" t="s">
        <v>207</v>
      </c>
      <c r="E1069" s="46" t="s">
        <v>4373</v>
      </c>
      <c r="F1069" s="46" t="s">
        <v>318</v>
      </c>
      <c r="G1069" s="114">
        <v>4</v>
      </c>
      <c r="H1069" s="74" t="s">
        <v>4374</v>
      </c>
      <c r="I1069" s="114" t="s">
        <v>271</v>
      </c>
      <c r="J1069" s="295" t="s">
        <v>2738</v>
      </c>
      <c r="K1069" s="166">
        <v>46226.453368055554</v>
      </c>
      <c r="L1069" s="166">
        <v>46226.457777777781</v>
      </c>
      <c r="M1069" s="166">
        <v>46226.511562500003</v>
      </c>
      <c r="N1069" s="166">
        <v>46227.467685185184</v>
      </c>
    </row>
    <row r="1070" spans="1:14" ht="15" customHeight="1">
      <c r="A1070" s="46">
        <v>1070</v>
      </c>
      <c r="B1070" s="46" t="s">
        <v>26</v>
      </c>
      <c r="C1070" s="46" t="s">
        <v>27</v>
      </c>
      <c r="D1070" s="46" t="s">
        <v>207</v>
      </c>
      <c r="E1070" t="s">
        <v>4375</v>
      </c>
      <c r="F1070" s="46" t="s">
        <v>318</v>
      </c>
      <c r="G1070" s="114">
        <v>3</v>
      </c>
      <c r="H1070" s="74" t="s">
        <v>2707</v>
      </c>
      <c r="I1070" s="114" t="s">
        <v>260</v>
      </c>
      <c r="J1070" s="295" t="s">
        <v>2708</v>
      </c>
      <c r="K1070" s="109">
        <v>46231.309016203704</v>
      </c>
      <c r="L1070" s="166">
        <v>46231.319606481484</v>
      </c>
      <c r="M1070" s="166">
        <v>46231.325416666667</v>
      </c>
    </row>
    <row r="1071" spans="1:14" ht="15" customHeight="1">
      <c r="A1071" s="46">
        <v>1071</v>
      </c>
      <c r="B1071" s="46" t="s">
        <v>26</v>
      </c>
      <c r="C1071" s="46" t="s">
        <v>27</v>
      </c>
      <c r="D1071" s="46" t="s">
        <v>208</v>
      </c>
      <c r="E1071" s="46" t="s">
        <v>4376</v>
      </c>
      <c r="F1071" s="46" t="s">
        <v>322</v>
      </c>
      <c r="G1071" s="114" t="s">
        <v>208</v>
      </c>
      <c r="H1071" s="74" t="s">
        <v>4377</v>
      </c>
      <c r="I1071" s="114" t="s">
        <v>275</v>
      </c>
      <c r="J1071" s="295" t="s">
        <v>2717</v>
      </c>
      <c r="K1071" s="109">
        <v>46230.266446759262</v>
      </c>
      <c r="L1071" s="109">
        <v>46230.266446759262</v>
      </c>
      <c r="M1071" s="109">
        <v>46230.420937499999</v>
      </c>
      <c r="N1071" s="109">
        <v>46231.327939814815</v>
      </c>
    </row>
    <row r="1072" spans="1:14" ht="15" customHeight="1">
      <c r="A1072" s="46">
        <v>1072</v>
      </c>
      <c r="B1072" s="46" t="s">
        <v>26</v>
      </c>
      <c r="C1072" s="46" t="s">
        <v>27</v>
      </c>
      <c r="D1072" s="46" t="s">
        <v>207</v>
      </c>
      <c r="E1072" s="46" t="s">
        <v>4378</v>
      </c>
      <c r="F1072" s="46" t="s">
        <v>327</v>
      </c>
      <c r="G1072" s="114">
        <v>4</v>
      </c>
      <c r="H1072" s="74" t="s">
        <v>4379</v>
      </c>
      <c r="I1072" s="114" t="s">
        <v>275</v>
      </c>
      <c r="K1072" s="109">
        <v>46231.034837962965</v>
      </c>
      <c r="L1072" s="109">
        <v>46231.035555555558</v>
      </c>
      <c r="M1072" s="109">
        <v>46231.345300925925</v>
      </c>
    </row>
    <row r="1073" spans="1:14" ht="15" customHeight="1">
      <c r="A1073" s="46">
        <v>1073</v>
      </c>
      <c r="B1073" s="46" t="s">
        <v>26</v>
      </c>
      <c r="C1073" s="46" t="s">
        <v>54</v>
      </c>
      <c r="D1073" s="46" t="s">
        <v>207</v>
      </c>
      <c r="E1073" s="166" t="s">
        <v>4380</v>
      </c>
      <c r="F1073" s="46" t="s">
        <v>53</v>
      </c>
      <c r="G1073" s="114">
        <v>3</v>
      </c>
      <c r="H1073" s="74" t="s">
        <v>4381</v>
      </c>
      <c r="I1073" s="114" t="s">
        <v>275</v>
      </c>
      <c r="J1073" s="295" t="s">
        <v>2697</v>
      </c>
      <c r="K1073" s="109">
        <v>46229.317453703705</v>
      </c>
      <c r="L1073" s="166">
        <v>46231.38857638889</v>
      </c>
      <c r="M1073" s="166">
        <v>46231.413993055554</v>
      </c>
      <c r="N1073" s="166">
        <v>46231.415011574078</v>
      </c>
    </row>
    <row r="1074" spans="1:14" ht="15" customHeight="1">
      <c r="A1074" s="46">
        <v>1074</v>
      </c>
      <c r="B1074" s="46" t="s">
        <v>26</v>
      </c>
      <c r="C1074" s="46" t="s">
        <v>54</v>
      </c>
      <c r="D1074" s="46" t="s">
        <v>207</v>
      </c>
      <c r="E1074" s="166" t="s">
        <v>4380</v>
      </c>
      <c r="F1074" s="46" t="s">
        <v>53</v>
      </c>
      <c r="G1074" s="114">
        <v>3</v>
      </c>
      <c r="H1074" s="74" t="s">
        <v>4382</v>
      </c>
      <c r="I1074" s="114" t="s">
        <v>275</v>
      </c>
      <c r="J1074" s="295" t="s">
        <v>2697</v>
      </c>
      <c r="K1074" s="166">
        <v>46231.413449074076</v>
      </c>
      <c r="L1074" s="166">
        <v>46231.413449074076</v>
      </c>
      <c r="M1074" s="166">
        <v>46231.417974537035</v>
      </c>
      <c r="N1074" s="166">
        <v>46231.41851851852</v>
      </c>
    </row>
    <row r="1075" spans="1:14" ht="15" customHeight="1">
      <c r="A1075" s="46">
        <v>1075</v>
      </c>
      <c r="B1075" s="46" t="s">
        <v>26</v>
      </c>
      <c r="C1075" s="46" t="s">
        <v>54</v>
      </c>
      <c r="D1075" s="46" t="s">
        <v>207</v>
      </c>
      <c r="E1075" s="46" t="s">
        <v>4383</v>
      </c>
      <c r="F1075" s="46" t="s">
        <v>53</v>
      </c>
      <c r="G1075" s="114">
        <v>3</v>
      </c>
      <c r="H1075" s="74" t="s">
        <v>4384</v>
      </c>
      <c r="I1075" s="114" t="s">
        <v>260</v>
      </c>
      <c r="J1075" s="295" t="s">
        <v>2694</v>
      </c>
      <c r="K1075" s="109">
        <v>46231.39135416667</v>
      </c>
      <c r="L1075" s="166">
        <v>46231.39135416667</v>
      </c>
      <c r="M1075" s="166">
        <v>46231.421018518522</v>
      </c>
    </row>
    <row r="1076" spans="1:14" ht="15" customHeight="1">
      <c r="A1076" s="46">
        <v>1076</v>
      </c>
      <c r="B1076" s="46" t="s">
        <v>26</v>
      </c>
      <c r="C1076" s="46" t="s">
        <v>54</v>
      </c>
      <c r="D1076" s="46" t="s">
        <v>207</v>
      </c>
      <c r="E1076" s="46" t="s">
        <v>4385</v>
      </c>
      <c r="F1076" s="46" t="s">
        <v>53</v>
      </c>
      <c r="G1076" s="114">
        <v>3</v>
      </c>
      <c r="H1076" s="74" t="s">
        <v>4386</v>
      </c>
      <c r="I1076" s="114" t="s">
        <v>260</v>
      </c>
      <c r="J1076" s="295" t="s">
        <v>2703</v>
      </c>
      <c r="K1076" s="109">
        <v>46231.412210648145</v>
      </c>
      <c r="L1076" s="166">
        <v>46231.412210648145</v>
      </c>
      <c r="M1076" s="166">
        <v>46231.422939814816</v>
      </c>
    </row>
    <row r="1077" spans="1:14" ht="15" customHeight="1">
      <c r="A1077" s="46">
        <v>1077</v>
      </c>
      <c r="B1077" s="46" t="s">
        <v>26</v>
      </c>
      <c r="C1077" s="46" t="s">
        <v>54</v>
      </c>
      <c r="D1077" s="46" t="s">
        <v>207</v>
      </c>
      <c r="E1077" s="46" t="s">
        <v>4387</v>
      </c>
      <c r="F1077" s="46" t="s">
        <v>53</v>
      </c>
      <c r="G1077" s="114">
        <v>3</v>
      </c>
      <c r="J1077" s="295" t="s">
        <v>2694</v>
      </c>
    </row>
    <row r="1078" spans="1:14" ht="15" customHeight="1">
      <c r="A1078" s="46">
        <v>1078</v>
      </c>
      <c r="B1078" s="46" t="s">
        <v>26</v>
      </c>
      <c r="C1078" s="46" t="s">
        <v>54</v>
      </c>
      <c r="D1078" s="46" t="s">
        <v>207</v>
      </c>
      <c r="E1078" s="46" t="s">
        <v>4388</v>
      </c>
      <c r="F1078" s="46" t="s">
        <v>53</v>
      </c>
      <c r="G1078" s="114">
        <v>3</v>
      </c>
      <c r="J1078" s="295" t="s">
        <v>2708</v>
      </c>
    </row>
    <row r="1079" spans="1:14" ht="15" customHeight="1">
      <c r="A1079" s="46">
        <v>1079</v>
      </c>
      <c r="B1079" s="46" t="s">
        <v>26</v>
      </c>
      <c r="C1079" s="46" t="s">
        <v>54</v>
      </c>
      <c r="D1079" s="46" t="s">
        <v>207</v>
      </c>
      <c r="E1079" s="46" t="s">
        <v>4389</v>
      </c>
      <c r="F1079" s="46" t="s">
        <v>53</v>
      </c>
      <c r="G1079" s="114">
        <v>3</v>
      </c>
      <c r="J1079" s="295" t="s">
        <v>2703</v>
      </c>
    </row>
    <row r="1080" spans="1:14" ht="15" customHeight="1">
      <c r="A1080" s="46">
        <v>1080</v>
      </c>
      <c r="B1080" s="46" t="s">
        <v>26</v>
      </c>
      <c r="C1080" s="46" t="s">
        <v>54</v>
      </c>
      <c r="D1080" s="46" t="s">
        <v>207</v>
      </c>
      <c r="E1080" s="46" t="s">
        <v>4390</v>
      </c>
      <c r="F1080" s="46" t="s">
        <v>53</v>
      </c>
      <c r="G1080" s="114">
        <v>4</v>
      </c>
      <c r="H1080" s="74" t="s">
        <v>4391</v>
      </c>
      <c r="I1080" s="114" t="s">
        <v>275</v>
      </c>
      <c r="J1080" s="295" t="s">
        <v>2697</v>
      </c>
      <c r="K1080" s="109">
        <v>46231.624236111114</v>
      </c>
      <c r="L1080" s="166">
        <v>46231.624247685184</v>
      </c>
      <c r="M1080" s="166">
        <v>46231.75068287037</v>
      </c>
      <c r="N1080" s="166">
        <v>46232.317511574074</v>
      </c>
    </row>
    <row r="1081" spans="1:14" ht="15" customHeight="1">
      <c r="A1081" s="189">
        <v>1081</v>
      </c>
      <c r="B1081" s="46" t="s">
        <v>26</v>
      </c>
      <c r="C1081" s="46" t="s">
        <v>27</v>
      </c>
      <c r="D1081" s="46" t="s">
        <v>207</v>
      </c>
      <c r="E1081" s="46" t="s">
        <v>4392</v>
      </c>
      <c r="F1081" s="46" t="s">
        <v>318</v>
      </c>
      <c r="G1081" s="114">
        <v>3</v>
      </c>
      <c r="H1081" s="74" t="s">
        <v>2775</v>
      </c>
      <c r="I1081" s="114" t="s">
        <v>271</v>
      </c>
      <c r="J1081" s="295" t="s">
        <v>2725</v>
      </c>
      <c r="K1081" s="166">
        <v>46232.208599537036</v>
      </c>
      <c r="L1081" s="166">
        <v>46232.208703703705</v>
      </c>
      <c r="M1081" s="197" t="s">
        <v>4393</v>
      </c>
      <c r="N1081" s="109">
        <v>46233.270914351851</v>
      </c>
    </row>
    <row r="1082" spans="1:14" ht="15" customHeight="1">
      <c r="A1082" s="189">
        <v>1082</v>
      </c>
      <c r="B1082" s="46" t="s">
        <v>26</v>
      </c>
      <c r="C1082" s="46" t="s">
        <v>27</v>
      </c>
      <c r="D1082" s="46" t="s">
        <v>207</v>
      </c>
      <c r="E1082" s="46" t="s">
        <v>4394</v>
      </c>
      <c r="F1082" s="46" t="s">
        <v>327</v>
      </c>
      <c r="G1082" s="114">
        <v>3</v>
      </c>
      <c r="H1082" s="74" t="s">
        <v>4395</v>
      </c>
      <c r="I1082" s="114" t="s">
        <v>275</v>
      </c>
      <c r="K1082" s="109">
        <v>46232.116863425923</v>
      </c>
      <c r="L1082" s="109">
        <v>46232.116863425923</v>
      </c>
      <c r="M1082" s="249">
        <v>46232.262777777774</v>
      </c>
    </row>
    <row r="1083" spans="1:14" ht="15" customHeight="1">
      <c r="A1083" s="189">
        <v>1083</v>
      </c>
      <c r="C1083" s="46" t="s">
        <v>27</v>
      </c>
      <c r="D1083" s="46" t="s">
        <v>208</v>
      </c>
      <c r="E1083" s="46" t="s">
        <v>4396</v>
      </c>
      <c r="F1083" s="46" t="s">
        <v>322</v>
      </c>
      <c r="G1083" s="114" t="s">
        <v>208</v>
      </c>
      <c r="H1083" s="74" t="s">
        <v>3191</v>
      </c>
      <c r="I1083" s="114" t="s">
        <v>275</v>
      </c>
      <c r="J1083" s="295" t="s">
        <v>2717</v>
      </c>
      <c r="K1083" s="109">
        <v>46231.376250000001</v>
      </c>
      <c r="L1083" s="109">
        <v>46231.376250000001</v>
      </c>
      <c r="M1083" s="109">
        <v>46232.264444444445</v>
      </c>
      <c r="N1083" s="109">
        <v>46232.277777777781</v>
      </c>
    </row>
    <row r="1084" spans="1:14" ht="15" customHeight="1">
      <c r="A1084" s="189">
        <v>1084</v>
      </c>
      <c r="C1084" s="46" t="s">
        <v>27</v>
      </c>
      <c r="D1084" s="46" t="s">
        <v>208</v>
      </c>
      <c r="E1084" s="46" t="s">
        <v>4397</v>
      </c>
      <c r="F1084" s="46" t="s">
        <v>322</v>
      </c>
      <c r="G1084" s="114" t="s">
        <v>208</v>
      </c>
      <c r="H1084" s="74" t="s">
        <v>3189</v>
      </c>
      <c r="I1084" s="114" t="s">
        <v>275</v>
      </c>
      <c r="J1084" s="295" t="s">
        <v>2717</v>
      </c>
      <c r="K1084" s="109">
        <v>46231.375891203701</v>
      </c>
      <c r="L1084" s="109">
        <v>46231.375891203701</v>
      </c>
      <c r="M1084" s="109">
        <v>46232.26425925926</v>
      </c>
      <c r="N1084" s="109">
        <v>46232.276759259257</v>
      </c>
    </row>
    <row r="1085" spans="1:14" ht="15" customHeight="1">
      <c r="A1085" s="189">
        <v>1085</v>
      </c>
      <c r="C1085" s="46" t="s">
        <v>27</v>
      </c>
      <c r="D1085" s="46" t="s">
        <v>208</v>
      </c>
      <c r="E1085" s="46" t="s">
        <v>4398</v>
      </c>
      <c r="F1085" s="46" t="s">
        <v>322</v>
      </c>
      <c r="G1085" s="114" t="s">
        <v>208</v>
      </c>
      <c r="H1085" s="74" t="s">
        <v>2313</v>
      </c>
      <c r="I1085" s="114" t="s">
        <v>275</v>
      </c>
      <c r="J1085" s="295" t="s">
        <v>2717</v>
      </c>
      <c r="K1085" s="109">
        <v>46231.553437499999</v>
      </c>
      <c r="L1085" s="109">
        <v>46231.553437499999</v>
      </c>
      <c r="M1085" s="109">
        <v>46232.26771990741</v>
      </c>
      <c r="N1085" s="109">
        <v>46233.304560185185</v>
      </c>
    </row>
    <row r="1086" spans="1:14" ht="15" customHeight="1">
      <c r="A1086" s="189">
        <v>1086</v>
      </c>
      <c r="B1086" s="46" t="s">
        <v>26</v>
      </c>
      <c r="C1086" s="46" t="s">
        <v>27</v>
      </c>
      <c r="D1086" s="46" t="s">
        <v>207</v>
      </c>
      <c r="E1086" s="46" t="s">
        <v>4399</v>
      </c>
      <c r="F1086" s="46" t="s">
        <v>318</v>
      </c>
      <c r="G1086" s="114">
        <v>3</v>
      </c>
      <c r="H1086" s="74" t="s">
        <v>4400</v>
      </c>
      <c r="I1086" s="114" t="s">
        <v>260</v>
      </c>
      <c r="J1086" s="295" t="s">
        <v>2708</v>
      </c>
      <c r="K1086" s="166">
        <v>46232.003368055557</v>
      </c>
      <c r="L1086" s="166">
        <v>46232.003368055557</v>
      </c>
      <c r="M1086" s="166">
        <v>46232.003368055557</v>
      </c>
    </row>
    <row r="1087" spans="1:14" ht="15" customHeight="1">
      <c r="A1087" s="189">
        <v>1087</v>
      </c>
      <c r="B1087" s="46" t="s">
        <v>26</v>
      </c>
      <c r="C1087" s="46" t="s">
        <v>27</v>
      </c>
      <c r="D1087" s="46" t="s">
        <v>207</v>
      </c>
      <c r="E1087" s="46" t="s">
        <v>4401</v>
      </c>
      <c r="F1087" s="46" t="s">
        <v>318</v>
      </c>
      <c r="G1087" s="114">
        <v>3</v>
      </c>
      <c r="H1087" s="74" t="s">
        <v>4402</v>
      </c>
      <c r="I1087" s="114" t="s">
        <v>260</v>
      </c>
      <c r="J1087" s="295" t="s">
        <v>2827</v>
      </c>
      <c r="K1087" s="166">
        <v>46232.301539351851</v>
      </c>
      <c r="L1087" s="166">
        <v>46232.301747685182</v>
      </c>
      <c r="M1087" s="166">
        <v>46232.324270833335</v>
      </c>
    </row>
    <row r="1088" spans="1:14" ht="15" customHeight="1">
      <c r="A1088" s="189">
        <v>1088</v>
      </c>
      <c r="B1088" s="46" t="s">
        <v>26</v>
      </c>
      <c r="C1088" s="46" t="s">
        <v>27</v>
      </c>
      <c r="D1088" s="46" t="s">
        <v>207</v>
      </c>
      <c r="E1088" s="46" t="s">
        <v>4403</v>
      </c>
      <c r="F1088" s="46" t="s">
        <v>318</v>
      </c>
      <c r="G1088" s="114">
        <v>3</v>
      </c>
      <c r="H1088" s="74" t="s">
        <v>4404</v>
      </c>
      <c r="I1088" s="114" t="s">
        <v>260</v>
      </c>
      <c r="J1088" s="295" t="s">
        <v>2700</v>
      </c>
      <c r="K1088" s="166">
        <v>46232.052129629628</v>
      </c>
      <c r="L1088" s="166">
        <v>46232.052175925928</v>
      </c>
      <c r="M1088" s="166">
        <v>46232.326770833337</v>
      </c>
    </row>
    <row r="1089" spans="1:14" ht="15" customHeight="1">
      <c r="A1089" s="189">
        <v>1089</v>
      </c>
      <c r="B1089" s="46" t="s">
        <v>26</v>
      </c>
      <c r="C1089" s="46" t="s">
        <v>27</v>
      </c>
      <c r="D1089" s="46" t="s">
        <v>207</v>
      </c>
      <c r="E1089" s="46" t="s">
        <v>4405</v>
      </c>
      <c r="F1089" s="46" t="s">
        <v>318</v>
      </c>
      <c r="G1089" s="114">
        <v>3</v>
      </c>
      <c r="H1089" s="74" t="s">
        <v>4406</v>
      </c>
      <c r="I1089" s="114" t="s">
        <v>260</v>
      </c>
      <c r="J1089" s="295" t="s">
        <v>2714</v>
      </c>
      <c r="K1089" s="166">
        <v>46232.173321759263</v>
      </c>
      <c r="L1089" s="166">
        <v>46232.173391203702</v>
      </c>
      <c r="M1089" s="197" t="s">
        <v>4407</v>
      </c>
    </row>
    <row r="1090" spans="1:14" ht="15" customHeight="1">
      <c r="A1090" s="189">
        <v>1090</v>
      </c>
      <c r="B1090" s="46" t="s">
        <v>26</v>
      </c>
      <c r="C1090" s="46" t="s">
        <v>27</v>
      </c>
      <c r="D1090" s="46" t="s">
        <v>207</v>
      </c>
      <c r="E1090" s="46" t="s">
        <v>4408</v>
      </c>
      <c r="F1090" s="46" t="s">
        <v>318</v>
      </c>
      <c r="G1090" s="114">
        <v>3</v>
      </c>
      <c r="H1090" s="74" t="s">
        <v>4409</v>
      </c>
      <c r="I1090" s="114" t="s">
        <v>260</v>
      </c>
      <c r="J1090" s="295" t="s">
        <v>2703</v>
      </c>
      <c r="K1090" s="166">
        <v>46231.977835648147</v>
      </c>
      <c r="L1090" s="249">
        <v>46231.978043981479</v>
      </c>
      <c r="M1090" s="166">
        <v>46232.337650462963</v>
      </c>
    </row>
    <row r="1091" spans="1:14" ht="15" customHeight="1">
      <c r="A1091" s="189">
        <v>1091</v>
      </c>
      <c r="B1091" s="46" t="s">
        <v>26</v>
      </c>
      <c r="C1091" s="46" t="s">
        <v>27</v>
      </c>
      <c r="D1091" s="46" t="s">
        <v>207</v>
      </c>
      <c r="E1091" s="46" t="s">
        <v>3178</v>
      </c>
      <c r="F1091" s="46" t="s">
        <v>318</v>
      </c>
      <c r="G1091" s="114">
        <v>4</v>
      </c>
      <c r="H1091" s="74" t="s">
        <v>4410</v>
      </c>
      <c r="I1091" s="114" t="s">
        <v>260</v>
      </c>
      <c r="J1091" s="295" t="s">
        <v>2751</v>
      </c>
      <c r="K1091" s="166">
        <v>46223.484537037039</v>
      </c>
      <c r="L1091" s="166">
        <v>46223.484537037039</v>
      </c>
      <c r="M1091" s="166">
        <v>46223.484537037039</v>
      </c>
    </row>
    <row r="1092" spans="1:14" ht="15" customHeight="1">
      <c r="A1092" s="189">
        <v>1092</v>
      </c>
      <c r="B1092" s="46" t="s">
        <v>26</v>
      </c>
      <c r="C1092" s="46" t="s">
        <v>54</v>
      </c>
      <c r="D1092" s="46" t="s">
        <v>207</v>
      </c>
      <c r="E1092" s="299" t="s">
        <v>4411</v>
      </c>
      <c r="F1092" s="46" t="s">
        <v>336</v>
      </c>
      <c r="G1092" s="114">
        <v>4</v>
      </c>
      <c r="H1092" s="74" t="s">
        <v>4412</v>
      </c>
      <c r="I1092" s="114" t="s">
        <v>271</v>
      </c>
      <c r="J1092" s="295" t="s">
        <v>2697</v>
      </c>
      <c r="K1092" s="109">
        <v>46232.15185185185</v>
      </c>
      <c r="L1092" s="166">
        <v>46232.161562499998</v>
      </c>
      <c r="M1092" s="166">
        <v>46232.275393518517</v>
      </c>
      <c r="N1092" s="109">
        <v>46245.253460648149</v>
      </c>
    </row>
    <row r="1093" spans="1:14" ht="15" customHeight="1">
      <c r="A1093" s="189">
        <v>1093</v>
      </c>
      <c r="B1093" s="46" t="s">
        <v>26</v>
      </c>
      <c r="C1093" s="46" t="s">
        <v>54</v>
      </c>
      <c r="D1093" s="46" t="s">
        <v>207</v>
      </c>
      <c r="E1093" s="299" t="s">
        <v>4413</v>
      </c>
      <c r="F1093" s="251" t="s">
        <v>53</v>
      </c>
      <c r="G1093" s="114">
        <v>3</v>
      </c>
      <c r="H1093" s="74" t="s">
        <v>4414</v>
      </c>
      <c r="I1093" s="114" t="s">
        <v>275</v>
      </c>
      <c r="J1093" s="295" t="s">
        <v>2703</v>
      </c>
      <c r="K1093" s="109">
        <v>46231.769317129627</v>
      </c>
      <c r="L1093" s="166">
        <v>46231.769328703704</v>
      </c>
      <c r="M1093" s="166">
        <v>46232.27621527778</v>
      </c>
      <c r="N1093" s="166">
        <v>46232.385046296295</v>
      </c>
    </row>
    <row r="1094" spans="1:14" ht="15" customHeight="1">
      <c r="A1094" s="189">
        <v>1094</v>
      </c>
      <c r="B1094" s="46" t="s">
        <v>26</v>
      </c>
      <c r="C1094" s="46" t="s">
        <v>54</v>
      </c>
      <c r="D1094" s="46" t="s">
        <v>207</v>
      </c>
      <c r="E1094" s="299" t="s">
        <v>4415</v>
      </c>
      <c r="F1094" s="251" t="s">
        <v>53</v>
      </c>
      <c r="G1094" s="114">
        <v>3</v>
      </c>
      <c r="H1094" s="74" t="s">
        <v>4416</v>
      </c>
      <c r="I1094" s="114" t="s">
        <v>260</v>
      </c>
      <c r="J1094" s="301" t="s">
        <v>2714</v>
      </c>
      <c r="K1094" s="109">
        <v>46231.85019675926</v>
      </c>
      <c r="L1094" s="166">
        <v>46231.850208333337</v>
      </c>
      <c r="M1094" s="166">
        <v>46232.27851851852</v>
      </c>
    </row>
    <row r="1095" spans="1:14" ht="15" customHeight="1">
      <c r="A1095" s="189">
        <v>1095</v>
      </c>
      <c r="B1095" s="46" t="s">
        <v>26</v>
      </c>
      <c r="C1095" s="46" t="s">
        <v>54</v>
      </c>
      <c r="D1095" s="46" t="s">
        <v>207</v>
      </c>
      <c r="E1095" s="300" t="s">
        <v>4417</v>
      </c>
      <c r="F1095" s="251" t="s">
        <v>53</v>
      </c>
      <c r="G1095" s="114">
        <v>4</v>
      </c>
      <c r="H1095" s="74" t="s">
        <v>4418</v>
      </c>
      <c r="I1095" s="114" t="s">
        <v>260</v>
      </c>
      <c r="J1095" s="295" t="s">
        <v>2708</v>
      </c>
      <c r="K1095" s="109">
        <v>46232.25037037037</v>
      </c>
      <c r="L1095" s="166">
        <v>46232.250381944446</v>
      </c>
      <c r="M1095" s="166">
        <v>46232.279270833336</v>
      </c>
    </row>
    <row r="1096" spans="1:14" ht="15" customHeight="1">
      <c r="A1096" s="189">
        <v>1096</v>
      </c>
      <c r="B1096" s="46" t="s">
        <v>26</v>
      </c>
      <c r="C1096" s="46" t="s">
        <v>54</v>
      </c>
      <c r="D1096" s="46" t="s">
        <v>207</v>
      </c>
      <c r="E1096" s="299" t="s">
        <v>4419</v>
      </c>
      <c r="F1096" s="251" t="s">
        <v>53</v>
      </c>
      <c r="G1096" s="114">
        <v>3</v>
      </c>
      <c r="H1096" s="74" t="s">
        <v>4420</v>
      </c>
      <c r="I1096" s="114" t="s">
        <v>275</v>
      </c>
      <c r="J1096" s="251" t="s">
        <v>2694</v>
      </c>
      <c r="K1096" s="109">
        <v>46232.167974537035</v>
      </c>
      <c r="L1096" s="166">
        <v>46232.167986111112</v>
      </c>
      <c r="M1096" s="166">
        <v>46232.277870370373</v>
      </c>
      <c r="N1096" s="166">
        <v>46232.304548611108</v>
      </c>
    </row>
    <row r="1097" spans="1:14" ht="15" customHeight="1">
      <c r="A1097" s="189">
        <v>1097</v>
      </c>
      <c r="B1097" s="46" t="s">
        <v>26</v>
      </c>
      <c r="C1097" s="46" t="s">
        <v>54</v>
      </c>
      <c r="D1097" s="46" t="s">
        <v>207</v>
      </c>
      <c r="E1097" s="299" t="s">
        <v>4421</v>
      </c>
      <c r="F1097" s="251" t="s">
        <v>53</v>
      </c>
      <c r="G1097" s="114">
        <v>4</v>
      </c>
      <c r="H1097" s="74" t="s">
        <v>4422</v>
      </c>
      <c r="I1097" s="114" t="s">
        <v>275</v>
      </c>
      <c r="J1097" s="295" t="s">
        <v>2697</v>
      </c>
      <c r="K1097" s="109">
        <v>46231.943356481483</v>
      </c>
      <c r="L1097" s="166">
        <v>46231.943356481483</v>
      </c>
      <c r="M1097" s="166">
        <v>46232.277025462965</v>
      </c>
      <c r="N1097" s="166">
        <v>46232.282013888886</v>
      </c>
    </row>
    <row r="1098" spans="1:14" ht="15" customHeight="1">
      <c r="A1098" s="189">
        <v>1098</v>
      </c>
      <c r="B1098" s="46" t="s">
        <v>26</v>
      </c>
      <c r="C1098" s="46" t="s">
        <v>54</v>
      </c>
      <c r="D1098" s="46" t="s">
        <v>207</v>
      </c>
      <c r="E1098" s="299" t="s">
        <v>4423</v>
      </c>
      <c r="F1098" s="46" t="s">
        <v>53</v>
      </c>
      <c r="G1098" s="114">
        <v>4</v>
      </c>
      <c r="H1098" s="74" t="s">
        <v>4424</v>
      </c>
      <c r="I1098" s="114" t="s">
        <v>260</v>
      </c>
      <c r="J1098" s="295" t="s">
        <v>2694</v>
      </c>
      <c r="K1098" s="109">
        <v>46229.362280092595</v>
      </c>
      <c r="L1098" s="166">
        <v>46232.320219907408</v>
      </c>
      <c r="M1098" s="166">
        <v>46232.340682870374</v>
      </c>
    </row>
    <row r="1099" spans="1:14" ht="15" customHeight="1">
      <c r="A1099" s="189">
        <v>1099</v>
      </c>
      <c r="B1099" s="46" t="s">
        <v>26</v>
      </c>
      <c r="C1099" s="46" t="s">
        <v>54</v>
      </c>
      <c r="D1099" s="46" t="s">
        <v>207</v>
      </c>
      <c r="E1099" t="s">
        <v>4425</v>
      </c>
      <c r="F1099" s="46" t="s">
        <v>53</v>
      </c>
      <c r="G1099" s="114">
        <v>3</v>
      </c>
      <c r="H1099" s="74" t="s">
        <v>4426</v>
      </c>
      <c r="I1099" s="114" t="s">
        <v>260</v>
      </c>
      <c r="J1099" s="295" t="s">
        <v>2700</v>
      </c>
      <c r="K1099" s="109">
        <v>46231.965821759259</v>
      </c>
      <c r="L1099" s="166">
        <v>46232.380624999998</v>
      </c>
      <c r="M1099" s="166">
        <v>46232.400312500002</v>
      </c>
    </row>
    <row r="1100" spans="1:14" ht="15" customHeight="1">
      <c r="A1100" s="189">
        <v>1100</v>
      </c>
      <c r="B1100" s="46" t="s">
        <v>26</v>
      </c>
      <c r="C1100" s="46" t="s">
        <v>27</v>
      </c>
      <c r="D1100" s="46" t="s">
        <v>207</v>
      </c>
      <c r="E1100" s="46" t="s">
        <v>4427</v>
      </c>
      <c r="F1100" s="46" t="s">
        <v>327</v>
      </c>
      <c r="G1100" s="114">
        <v>3</v>
      </c>
      <c r="H1100" s="74" t="s">
        <v>4428</v>
      </c>
      <c r="I1100" s="114" t="s">
        <v>275</v>
      </c>
      <c r="K1100" s="109">
        <v>46233.120578703703</v>
      </c>
      <c r="L1100" s="109">
        <v>46233.120578703703</v>
      </c>
      <c r="M1100" s="109">
        <v>46233.328888888886</v>
      </c>
    </row>
    <row r="1101" spans="1:14" ht="15" customHeight="1">
      <c r="A1101" s="189">
        <v>1101</v>
      </c>
      <c r="B1101" s="46" t="s">
        <v>26</v>
      </c>
      <c r="C1101" s="46" t="s">
        <v>27</v>
      </c>
      <c r="D1101" s="46" t="s">
        <v>207</v>
      </c>
      <c r="E1101" s="46" t="s">
        <v>4429</v>
      </c>
      <c r="F1101" s="46" t="s">
        <v>327</v>
      </c>
      <c r="G1101" s="114">
        <v>3</v>
      </c>
      <c r="H1101" s="74" t="s">
        <v>4430</v>
      </c>
      <c r="I1101" s="114" t="s">
        <v>275</v>
      </c>
      <c r="K1101" s="109">
        <v>46233.118831018517</v>
      </c>
      <c r="L1101" s="109">
        <v>46233.118831018517</v>
      </c>
      <c r="M1101" s="109">
        <v>46233.329884259256</v>
      </c>
    </row>
    <row r="1102" spans="1:14" ht="15" customHeight="1">
      <c r="A1102" s="189">
        <v>1102</v>
      </c>
      <c r="B1102" s="46" t="s">
        <v>26</v>
      </c>
      <c r="C1102" s="46" t="s">
        <v>27</v>
      </c>
      <c r="D1102" s="46" t="s">
        <v>207</v>
      </c>
      <c r="E1102" s="46" t="s">
        <v>4431</v>
      </c>
      <c r="F1102" s="46" t="s">
        <v>327</v>
      </c>
      <c r="G1102" s="114">
        <v>3</v>
      </c>
      <c r="H1102" s="74" t="s">
        <v>4432</v>
      </c>
      <c r="I1102" s="114" t="s">
        <v>275</v>
      </c>
      <c r="J1102" s="295" t="s">
        <v>2708</v>
      </c>
      <c r="K1102" s="109">
        <v>46233.323263888888</v>
      </c>
      <c r="L1102" s="109">
        <v>46233.323263888888</v>
      </c>
      <c r="M1102" s="109">
        <v>46233.325462962966</v>
      </c>
    </row>
    <row r="1103" spans="1:14" ht="15" customHeight="1">
      <c r="A1103" s="189">
        <v>1103</v>
      </c>
      <c r="B1103" s="46" t="s">
        <v>26</v>
      </c>
      <c r="C1103" s="46" t="s">
        <v>27</v>
      </c>
      <c r="D1103" s="46" t="s">
        <v>207</v>
      </c>
      <c r="E1103" s="46" t="s">
        <v>4433</v>
      </c>
      <c r="F1103" s="46" t="s">
        <v>318</v>
      </c>
      <c r="G1103" s="114">
        <v>3</v>
      </c>
      <c r="H1103" s="74" t="s">
        <v>2753</v>
      </c>
      <c r="I1103" s="114" t="s">
        <v>260</v>
      </c>
      <c r="J1103" s="295" t="s">
        <v>2700</v>
      </c>
      <c r="K1103" s="166">
        <v>46232.169317129628</v>
      </c>
      <c r="L1103" s="166">
        <v>46232.169340277775</v>
      </c>
      <c r="M1103" s="166">
        <v>46232.347488425927</v>
      </c>
    </row>
    <row r="1104" spans="1:14" ht="15" customHeight="1">
      <c r="A1104" s="189">
        <v>1104</v>
      </c>
      <c r="B1104" s="46" t="s">
        <v>26</v>
      </c>
      <c r="C1104" s="46" t="s">
        <v>27</v>
      </c>
      <c r="D1104" s="46" t="s">
        <v>207</v>
      </c>
      <c r="E1104" s="46" t="s">
        <v>4434</v>
      </c>
      <c r="F1104" s="46" t="s">
        <v>318</v>
      </c>
      <c r="G1104" s="114">
        <v>3</v>
      </c>
      <c r="H1104" s="74" t="s">
        <v>2707</v>
      </c>
      <c r="I1104" s="114" t="s">
        <v>260</v>
      </c>
      <c r="J1104" s="295" t="s">
        <v>2708</v>
      </c>
      <c r="K1104" s="109">
        <v>46231.628368055557</v>
      </c>
      <c r="L1104" s="109">
        <v>46232.362314814818</v>
      </c>
      <c r="M1104" s="109">
        <v>46232.446620370371</v>
      </c>
    </row>
    <row r="1105" spans="1:14" ht="15" customHeight="1">
      <c r="A1105" s="189">
        <v>1105</v>
      </c>
      <c r="B1105" s="46" t="s">
        <v>26</v>
      </c>
      <c r="C1105" s="46" t="s">
        <v>27</v>
      </c>
      <c r="D1105" s="46" t="s">
        <v>207</v>
      </c>
      <c r="E1105" s="46" t="s">
        <v>4435</v>
      </c>
      <c r="F1105" s="46" t="s">
        <v>318</v>
      </c>
      <c r="G1105" s="114">
        <v>3</v>
      </c>
      <c r="H1105" s="74" t="s">
        <v>4436</v>
      </c>
      <c r="I1105" s="114" t="s">
        <v>260</v>
      </c>
      <c r="J1105" s="295" t="s">
        <v>2751</v>
      </c>
      <c r="K1105" s="109">
        <v>46232.397002314814</v>
      </c>
      <c r="L1105" s="109">
        <v>46232.415590277778</v>
      </c>
      <c r="M1105" s="109">
        <v>46232.446111111109</v>
      </c>
    </row>
    <row r="1106" spans="1:14" ht="15" customHeight="1">
      <c r="A1106" s="189">
        <v>1106</v>
      </c>
      <c r="B1106" s="46" t="s">
        <v>26</v>
      </c>
      <c r="E1106" s="46" t="s">
        <v>4437</v>
      </c>
      <c r="J1106" s="295" t="s">
        <v>2708</v>
      </c>
    </row>
    <row r="1107" spans="1:14" ht="15" customHeight="1">
      <c r="A1107" s="189">
        <v>1107</v>
      </c>
      <c r="B1107" s="46" t="s">
        <v>26</v>
      </c>
      <c r="E1107" s="46" t="s">
        <v>4438</v>
      </c>
      <c r="J1107" s="295" t="s">
        <v>2697</v>
      </c>
    </row>
    <row r="1108" spans="1:14" ht="15" customHeight="1">
      <c r="A1108" s="189">
        <v>1108</v>
      </c>
      <c r="B1108" s="46" t="s">
        <v>26</v>
      </c>
      <c r="E1108" s="46" t="s">
        <v>4439</v>
      </c>
      <c r="J1108" s="295" t="s">
        <v>2694</v>
      </c>
    </row>
    <row r="1109" spans="1:14" ht="15" customHeight="1">
      <c r="A1109" s="189">
        <v>1109</v>
      </c>
      <c r="B1109" s="46" t="s">
        <v>26</v>
      </c>
      <c r="C1109" s="46" t="s">
        <v>27</v>
      </c>
      <c r="D1109" s="46" t="s">
        <v>208</v>
      </c>
      <c r="E1109" s="46" t="s">
        <v>4397</v>
      </c>
      <c r="F1109" s="46" t="s">
        <v>320</v>
      </c>
      <c r="H1109" s="74" t="s">
        <v>3189</v>
      </c>
      <c r="I1109" s="114" t="s">
        <v>260</v>
      </c>
      <c r="J1109" s="295" t="s">
        <v>2954</v>
      </c>
      <c r="K1109" s="109">
        <v>46231.375891203701</v>
      </c>
      <c r="L1109" s="166">
        <v>46232.276875000003</v>
      </c>
      <c r="M1109" s="166">
        <v>46232.555347222224</v>
      </c>
    </row>
    <row r="1110" spans="1:14" ht="15" customHeight="1">
      <c r="A1110" s="189">
        <v>1110</v>
      </c>
      <c r="B1110" s="46" t="s">
        <v>26</v>
      </c>
      <c r="C1110" s="46" t="s">
        <v>27</v>
      </c>
      <c r="D1110" s="46" t="s">
        <v>207</v>
      </c>
      <c r="E1110" s="46" t="s">
        <v>4440</v>
      </c>
      <c r="F1110" s="46" t="s">
        <v>318</v>
      </c>
      <c r="G1110" s="114">
        <v>3</v>
      </c>
      <c r="H1110" s="74" t="s">
        <v>4187</v>
      </c>
      <c r="I1110" s="114" t="s">
        <v>260</v>
      </c>
      <c r="J1110" s="295" t="s">
        <v>2703</v>
      </c>
      <c r="K1110" s="109">
        <v>46232.59238425926</v>
      </c>
      <c r="L1110" s="166">
        <v>46232.594236111108</v>
      </c>
      <c r="M1110" s="166">
        <v>46233.236134259256</v>
      </c>
    </row>
    <row r="1111" spans="1:14" ht="15" customHeight="1">
      <c r="A1111" s="189">
        <v>1111</v>
      </c>
      <c r="B1111" s="46" t="s">
        <v>26</v>
      </c>
      <c r="C1111" s="46" t="s">
        <v>27</v>
      </c>
      <c r="D1111" s="46" t="s">
        <v>207</v>
      </c>
      <c r="E1111" s="46" t="s">
        <v>4441</v>
      </c>
      <c r="F1111" s="46" t="s">
        <v>318</v>
      </c>
      <c r="G1111" s="114">
        <v>3</v>
      </c>
      <c r="H1111" s="74" t="s">
        <v>4442</v>
      </c>
      <c r="I1111" s="114" t="s">
        <v>260</v>
      </c>
      <c r="J1111" s="295" t="s">
        <v>2714</v>
      </c>
      <c r="K1111" s="109">
        <v>46232.607476851852</v>
      </c>
      <c r="L1111" s="166">
        <v>46232.62871527778</v>
      </c>
      <c r="M1111" s="166">
        <v>46233.237951388888</v>
      </c>
    </row>
    <row r="1112" spans="1:14" ht="15" customHeight="1">
      <c r="A1112" s="189">
        <v>1112</v>
      </c>
      <c r="B1112" s="46" t="s">
        <v>26</v>
      </c>
      <c r="C1112" s="46" t="s">
        <v>27</v>
      </c>
      <c r="D1112" s="46" t="s">
        <v>207</v>
      </c>
      <c r="E1112" s="46" t="s">
        <v>4443</v>
      </c>
      <c r="F1112" s="46" t="s">
        <v>318</v>
      </c>
      <c r="G1112" s="114">
        <v>3</v>
      </c>
      <c r="H1112" s="74" t="s">
        <v>2923</v>
      </c>
      <c r="I1112" s="114" t="s">
        <v>260</v>
      </c>
      <c r="J1112" s="295" t="s">
        <v>2708</v>
      </c>
      <c r="K1112" s="268">
        <v>46232.717638888891</v>
      </c>
      <c r="L1112" s="166">
        <v>46232.719363425924</v>
      </c>
      <c r="M1112" s="166">
        <v>46233.239363425928</v>
      </c>
    </row>
    <row r="1113" spans="1:14" ht="15" customHeight="1">
      <c r="A1113" s="189">
        <v>1113</v>
      </c>
      <c r="B1113" s="46" t="s">
        <v>26</v>
      </c>
      <c r="C1113" s="46" t="s">
        <v>27</v>
      </c>
      <c r="D1113" s="46" t="s">
        <v>207</v>
      </c>
      <c r="E1113" s="46" t="s">
        <v>4444</v>
      </c>
      <c r="F1113" s="46" t="s">
        <v>318</v>
      </c>
      <c r="G1113" s="114">
        <v>3</v>
      </c>
      <c r="H1113" s="74" t="s">
        <v>4445</v>
      </c>
      <c r="I1113" s="114" t="s">
        <v>260</v>
      </c>
      <c r="J1113" s="295" t="s">
        <v>2700</v>
      </c>
      <c r="K1113" s="109">
        <v>46233.081689814811</v>
      </c>
      <c r="L1113" s="166">
        <v>46233.089143518519</v>
      </c>
      <c r="M1113" s="166">
        <v>46233.240972222222</v>
      </c>
    </row>
    <row r="1114" spans="1:14" ht="15" customHeight="1">
      <c r="A1114" s="189">
        <v>1114</v>
      </c>
      <c r="B1114" s="46" t="s">
        <v>26</v>
      </c>
      <c r="C1114" s="46" t="s">
        <v>27</v>
      </c>
      <c r="D1114" s="46" t="s">
        <v>207</v>
      </c>
      <c r="E1114" s="46" t="s">
        <v>4446</v>
      </c>
      <c r="F1114" s="46" t="s">
        <v>318</v>
      </c>
      <c r="G1114" s="114">
        <v>3</v>
      </c>
      <c r="H1114" s="74" t="s">
        <v>2775</v>
      </c>
      <c r="I1114" s="114" t="s">
        <v>271</v>
      </c>
      <c r="J1114" s="295" t="s">
        <v>2738</v>
      </c>
      <c r="K1114" s="109">
        <v>46232.644016203703</v>
      </c>
      <c r="L1114" s="166">
        <v>46232.644108796296</v>
      </c>
      <c r="M1114" s="166">
        <v>46233.243807870371</v>
      </c>
      <c r="N1114" s="109">
        <v>46234.308159722219</v>
      </c>
    </row>
    <row r="1115" spans="1:14" ht="15" customHeight="1">
      <c r="A1115" s="189">
        <v>1115</v>
      </c>
      <c r="B1115" s="46" t="s">
        <v>26</v>
      </c>
      <c r="C1115" s="46" t="s">
        <v>27</v>
      </c>
      <c r="D1115" s="46" t="s">
        <v>207</v>
      </c>
      <c r="E1115" s="46" t="s">
        <v>4447</v>
      </c>
      <c r="F1115" s="46" t="s">
        <v>318</v>
      </c>
      <c r="G1115" s="114">
        <v>3</v>
      </c>
      <c r="H1115" s="74" t="s">
        <v>2724</v>
      </c>
      <c r="I1115" s="114" t="s">
        <v>271</v>
      </c>
      <c r="J1115" s="295" t="s">
        <v>2772</v>
      </c>
      <c r="K1115" s="109">
        <v>46232.760682870372</v>
      </c>
      <c r="L1115" s="166">
        <v>46233.245069444441</v>
      </c>
      <c r="M1115" s="166">
        <v>46232.760787037034</v>
      </c>
      <c r="N1115" s="109">
        <v>46237.470405092594</v>
      </c>
    </row>
    <row r="1116" spans="1:14" ht="15" customHeight="1">
      <c r="A1116" s="189">
        <v>1116</v>
      </c>
      <c r="B1116" s="46" t="s">
        <v>26</v>
      </c>
      <c r="C1116" s="46" t="s">
        <v>27</v>
      </c>
      <c r="D1116" s="46" t="s">
        <v>207</v>
      </c>
      <c r="E1116" s="46" t="s">
        <v>4448</v>
      </c>
      <c r="F1116" s="46" t="s">
        <v>318</v>
      </c>
      <c r="G1116" s="114">
        <v>3</v>
      </c>
      <c r="H1116" s="74" t="s">
        <v>2775</v>
      </c>
      <c r="I1116" s="114" t="s">
        <v>271</v>
      </c>
      <c r="J1116" s="295" t="s">
        <v>2772</v>
      </c>
      <c r="K1116" s="109">
        <v>46232.680810185186</v>
      </c>
      <c r="L1116" s="166">
        <v>46232.681157407409</v>
      </c>
      <c r="M1116" s="166">
        <v>46233.246747685182</v>
      </c>
      <c r="N1116" s="109">
        <v>46237.470960648148</v>
      </c>
    </row>
    <row r="1117" spans="1:14" ht="15" customHeight="1">
      <c r="A1117" s="189">
        <v>1117</v>
      </c>
      <c r="B1117" s="46" t="s">
        <v>26</v>
      </c>
      <c r="C1117" s="46" t="s">
        <v>27</v>
      </c>
      <c r="D1117" s="46" t="s">
        <v>207</v>
      </c>
      <c r="E1117" s="46" t="s">
        <v>4449</v>
      </c>
      <c r="F1117" s="46" t="s">
        <v>318</v>
      </c>
      <c r="G1117" s="114">
        <v>3</v>
      </c>
      <c r="H1117" s="74" t="s">
        <v>2724</v>
      </c>
      <c r="I1117" s="114" t="s">
        <v>271</v>
      </c>
      <c r="J1117" s="295" t="s">
        <v>2725</v>
      </c>
      <c r="K1117" s="109">
        <v>46232.738506944443</v>
      </c>
      <c r="L1117" s="166">
        <v>46232.738553240742</v>
      </c>
      <c r="M1117" s="166">
        <v>46233.248252314814</v>
      </c>
      <c r="N1117" s="166">
        <v>46233.272951388892</v>
      </c>
    </row>
    <row r="1118" spans="1:14" ht="15" customHeight="1">
      <c r="A1118" s="189">
        <v>1118</v>
      </c>
      <c r="B1118" s="46" t="s">
        <v>26</v>
      </c>
      <c r="C1118" s="46" t="s">
        <v>54</v>
      </c>
      <c r="D1118" s="46" t="s">
        <v>207</v>
      </c>
      <c r="E1118" t="s">
        <v>4450</v>
      </c>
      <c r="F1118" s="251" t="s">
        <v>53</v>
      </c>
      <c r="G1118" s="114">
        <v>3</v>
      </c>
      <c r="H1118" s="74" t="s">
        <v>4451</v>
      </c>
      <c r="I1118" s="114" t="s">
        <v>260</v>
      </c>
      <c r="J1118" s="295" t="s">
        <v>2700</v>
      </c>
      <c r="K1118" s="109">
        <v>46232.506608796299</v>
      </c>
      <c r="L1118" s="166">
        <v>46232.53738425926</v>
      </c>
      <c r="M1118" s="166">
        <v>46232.648576388892</v>
      </c>
    </row>
    <row r="1119" spans="1:14" ht="15" customHeight="1">
      <c r="A1119" s="189">
        <v>1119</v>
      </c>
      <c r="B1119" s="46" t="s">
        <v>26</v>
      </c>
      <c r="C1119" s="46" t="s">
        <v>54</v>
      </c>
      <c r="D1119" s="46" t="s">
        <v>207</v>
      </c>
      <c r="E1119" t="s">
        <v>4452</v>
      </c>
      <c r="F1119" s="251" t="s">
        <v>336</v>
      </c>
      <c r="G1119" s="114">
        <v>3</v>
      </c>
      <c r="H1119" s="268" t="s">
        <v>4453</v>
      </c>
      <c r="J1119" s="295" t="s">
        <v>2703</v>
      </c>
      <c r="K1119" s="109">
        <v>46232.590451388889</v>
      </c>
    </row>
    <row r="1120" spans="1:14" ht="15" customHeight="1">
      <c r="A1120" s="189">
        <v>1120</v>
      </c>
      <c r="B1120" s="46" t="s">
        <v>26</v>
      </c>
      <c r="C1120" s="46" t="s">
        <v>27</v>
      </c>
      <c r="D1120" s="46" t="s">
        <v>207</v>
      </c>
      <c r="E1120" s="46" t="s">
        <v>4454</v>
      </c>
      <c r="F1120" s="46" t="s">
        <v>318</v>
      </c>
      <c r="G1120" s="114">
        <v>3</v>
      </c>
      <c r="H1120" s="74" t="s">
        <v>2724</v>
      </c>
      <c r="I1120" s="114" t="s">
        <v>271</v>
      </c>
      <c r="J1120" s="295" t="s">
        <v>2738</v>
      </c>
      <c r="K1120" s="109">
        <v>46233.297592592593</v>
      </c>
      <c r="L1120" s="166">
        <v>46233.297696759262</v>
      </c>
      <c r="M1120" s="166">
        <v>46233.34065972222</v>
      </c>
      <c r="N1120" s="109">
        <v>46233.577106481483</v>
      </c>
    </row>
    <row r="1121" spans="1:14" ht="15" customHeight="1">
      <c r="A1121" s="189">
        <v>1121</v>
      </c>
      <c r="B1121" s="46" t="s">
        <v>26</v>
      </c>
      <c r="C1121" s="46" t="s">
        <v>27</v>
      </c>
      <c r="D1121" s="46" t="s">
        <v>208</v>
      </c>
      <c r="E1121" s="74" t="s">
        <v>4455</v>
      </c>
      <c r="F1121" s="46" t="s">
        <v>318</v>
      </c>
      <c r="H1121" s="74" t="s">
        <v>2750</v>
      </c>
      <c r="I1121" s="114" t="s">
        <v>260</v>
      </c>
      <c r="J1121" s="295" t="s">
        <v>2751</v>
      </c>
      <c r="K1121" s="109">
        <v>46232.804409722223</v>
      </c>
      <c r="L1121" s="166">
        <v>46232.804537037038</v>
      </c>
      <c r="M1121" s="166">
        <v>46233.342407407406</v>
      </c>
    </row>
    <row r="1122" spans="1:14" ht="15" customHeight="1">
      <c r="A1122" s="189">
        <v>1122</v>
      </c>
      <c r="B1122" s="46" t="s">
        <v>26</v>
      </c>
      <c r="C1122" s="46" t="s">
        <v>27</v>
      </c>
      <c r="D1122" s="46" t="s">
        <v>207</v>
      </c>
      <c r="E1122" s="46" t="s">
        <v>4456</v>
      </c>
      <c r="F1122" s="46" t="s">
        <v>318</v>
      </c>
      <c r="G1122" s="114">
        <v>3</v>
      </c>
      <c r="H1122" s="74" t="s">
        <v>2724</v>
      </c>
      <c r="I1122" s="114" t="s">
        <v>271</v>
      </c>
      <c r="J1122" s="295" t="s">
        <v>2725</v>
      </c>
      <c r="K1122" s="109">
        <v>46233.350277777776</v>
      </c>
      <c r="L1122" s="166">
        <v>46233.350358796299</v>
      </c>
      <c r="M1122" s="166">
        <v>46233.408078703702</v>
      </c>
      <c r="N1122" s="109">
        <v>46233.493460648147</v>
      </c>
    </row>
    <row r="1123" spans="1:14" ht="15" customHeight="1">
      <c r="A1123" s="189">
        <v>1123</v>
      </c>
      <c r="B1123" s="46" t="s">
        <v>26</v>
      </c>
      <c r="C1123" s="46" t="s">
        <v>27</v>
      </c>
      <c r="D1123" s="46" t="s">
        <v>207</v>
      </c>
      <c r="E1123" t="s">
        <v>4457</v>
      </c>
      <c r="F1123" s="46" t="s">
        <v>318</v>
      </c>
      <c r="G1123" s="114">
        <v>3</v>
      </c>
      <c r="H1123" s="74" t="s">
        <v>4458</v>
      </c>
      <c r="I1123" s="114" t="s">
        <v>275</v>
      </c>
      <c r="K1123" s="109">
        <v>46233.498888888891</v>
      </c>
      <c r="L1123" s="109">
        <v>46233.498888888891</v>
      </c>
      <c r="M1123" s="166">
        <v>46233.57471064815</v>
      </c>
    </row>
    <row r="1124" spans="1:14" ht="15" customHeight="1">
      <c r="A1124" s="189">
        <v>1124</v>
      </c>
      <c r="B1124" s="46" t="s">
        <v>26</v>
      </c>
      <c r="C1124" s="46" t="s">
        <v>27</v>
      </c>
      <c r="D1124" s="46" t="s">
        <v>207</v>
      </c>
      <c r="E1124" s="46" t="s">
        <v>4459</v>
      </c>
      <c r="F1124" s="46" t="s">
        <v>318</v>
      </c>
      <c r="G1124" s="114">
        <v>3</v>
      </c>
      <c r="H1124" s="74" t="s">
        <v>2707</v>
      </c>
      <c r="I1124" s="114" t="s">
        <v>260</v>
      </c>
      <c r="J1124" s="295" t="s">
        <v>2703</v>
      </c>
      <c r="K1124" s="109">
        <v>46233.594050925924</v>
      </c>
      <c r="L1124" s="109">
        <v>46233.632002314815</v>
      </c>
      <c r="M1124" s="109">
        <v>46234.259131944447</v>
      </c>
    </row>
    <row r="1125" spans="1:14" ht="15" customHeight="1">
      <c r="A1125" s="189">
        <v>1125</v>
      </c>
      <c r="B1125" s="46" t="s">
        <v>26</v>
      </c>
      <c r="C1125" s="46" t="s">
        <v>27</v>
      </c>
      <c r="D1125" s="46" t="s">
        <v>207</v>
      </c>
      <c r="E1125" s="46" t="s">
        <v>4460</v>
      </c>
      <c r="F1125" s="46" t="s">
        <v>318</v>
      </c>
      <c r="G1125" s="114">
        <v>4</v>
      </c>
      <c r="H1125" s="74" t="s">
        <v>2724</v>
      </c>
      <c r="I1125" s="114" t="s">
        <v>271</v>
      </c>
      <c r="J1125" s="295" t="s">
        <v>2772</v>
      </c>
      <c r="K1125" s="109">
        <v>46233.686377314814</v>
      </c>
      <c r="L1125" s="109">
        <v>46234.26116898148</v>
      </c>
      <c r="M1125" s="166">
        <v>46234.26116898148</v>
      </c>
      <c r="N1125" s="109">
        <v>46237.47146990741</v>
      </c>
    </row>
    <row r="1126" spans="1:14" ht="15" customHeight="1">
      <c r="A1126" s="46">
        <v>1126</v>
      </c>
      <c r="B1126" s="46" t="s">
        <v>26</v>
      </c>
      <c r="C1126" s="46" t="s">
        <v>54</v>
      </c>
      <c r="D1126" s="46" t="s">
        <v>208</v>
      </c>
      <c r="E1126" t="s">
        <v>4461</v>
      </c>
      <c r="F1126" s="46" t="s">
        <v>325</v>
      </c>
      <c r="G1126" s="114" t="s">
        <v>208</v>
      </c>
      <c r="H1126" s="74" t="s">
        <v>4462</v>
      </c>
      <c r="I1126" s="114" t="s">
        <v>271</v>
      </c>
      <c r="J1126" s="408" t="s">
        <v>2872</v>
      </c>
      <c r="K1126" s="109">
        <v>46226.540856481479</v>
      </c>
      <c r="L1126" s="166">
        <v>46226.543935185182</v>
      </c>
      <c r="M1126" s="166">
        <v>46226.723020833335</v>
      </c>
      <c r="N1126" s="109">
        <v>46234.252754629626</v>
      </c>
    </row>
    <row r="1127" spans="1:14" ht="15" customHeight="1">
      <c r="A1127" s="46">
        <v>1127</v>
      </c>
      <c r="B1127" s="46" t="s">
        <v>26</v>
      </c>
      <c r="C1127" s="46" t="s">
        <v>54</v>
      </c>
      <c r="D1127" s="46" t="s">
        <v>208</v>
      </c>
      <c r="E1127" s="46" t="s">
        <v>4463</v>
      </c>
      <c r="F1127" s="46" t="s">
        <v>325</v>
      </c>
      <c r="G1127" s="114" t="s">
        <v>208</v>
      </c>
      <c r="H1127" s="74" t="s">
        <v>2866</v>
      </c>
      <c r="I1127" s="114" t="s">
        <v>271</v>
      </c>
      <c r="J1127" s="408" t="s">
        <v>2872</v>
      </c>
      <c r="K1127" s="109">
        <v>46226.720648148148</v>
      </c>
      <c r="L1127" s="166">
        <v>46226.722500000003</v>
      </c>
      <c r="M1127" s="166">
        <v>46226.723993055559</v>
      </c>
      <c r="N1127" s="109">
        <v>46230.531666666669</v>
      </c>
    </row>
    <row r="1128" spans="1:14" ht="15" customHeight="1">
      <c r="A1128" s="46">
        <v>1128</v>
      </c>
      <c r="B1128" s="46" t="s">
        <v>26</v>
      </c>
      <c r="C1128" s="46" t="s">
        <v>54</v>
      </c>
      <c r="D1128" s="46" t="s">
        <v>207</v>
      </c>
      <c r="E1128" t="s">
        <v>3982</v>
      </c>
      <c r="F1128" s="46" t="s">
        <v>325</v>
      </c>
      <c r="G1128" s="114">
        <v>3</v>
      </c>
      <c r="H1128" s="74" t="s">
        <v>3983</v>
      </c>
      <c r="I1128" s="114" t="s">
        <v>275</v>
      </c>
      <c r="J1128" s="408" t="s">
        <v>2872</v>
      </c>
      <c r="K1128" s="109">
        <v>46211.582905092589</v>
      </c>
      <c r="L1128" s="166">
        <v>46219.506782407407</v>
      </c>
      <c r="M1128" s="166">
        <v>46219.643865740742</v>
      </c>
      <c r="N1128" s="166">
        <v>46226.281701388885</v>
      </c>
    </row>
    <row r="1129" spans="1:14" ht="15" customHeight="1">
      <c r="A1129" s="46">
        <v>1129</v>
      </c>
      <c r="B1129" s="46" t="s">
        <v>26</v>
      </c>
      <c r="C1129" s="46" t="s">
        <v>54</v>
      </c>
      <c r="D1129" s="46" t="s">
        <v>208</v>
      </c>
      <c r="E1129" s="305" t="s">
        <v>4464</v>
      </c>
      <c r="F1129" s="46" t="s">
        <v>325</v>
      </c>
      <c r="G1129" s="114" t="s">
        <v>208</v>
      </c>
      <c r="H1129" s="74" t="s">
        <v>4178</v>
      </c>
      <c r="I1129" s="114" t="s">
        <v>271</v>
      </c>
      <c r="J1129" s="408" t="s">
        <v>2872</v>
      </c>
      <c r="K1129" s="109">
        <v>46216.410370370373</v>
      </c>
      <c r="L1129" s="166">
        <v>46227.367847222224</v>
      </c>
      <c r="M1129" s="166">
        <v>46227.401030092595</v>
      </c>
      <c r="N1129" s="166">
        <v>46230.290752314817</v>
      </c>
    </row>
    <row r="1130" spans="1:14" ht="15" customHeight="1">
      <c r="A1130" s="46">
        <v>1130</v>
      </c>
      <c r="B1130" s="46" t="s">
        <v>26</v>
      </c>
      <c r="C1130" s="46" t="s">
        <v>54</v>
      </c>
      <c r="D1130" s="46" t="s">
        <v>208</v>
      </c>
      <c r="E1130" t="s">
        <v>4465</v>
      </c>
      <c r="F1130" s="46" t="s">
        <v>325</v>
      </c>
      <c r="G1130" s="114" t="s">
        <v>208</v>
      </c>
      <c r="H1130" s="74" t="s">
        <v>4155</v>
      </c>
      <c r="I1130" s="114" t="s">
        <v>275</v>
      </c>
      <c r="J1130" s="409" t="s">
        <v>2694</v>
      </c>
      <c r="K1130" s="109">
        <v>46230.327094907407</v>
      </c>
      <c r="L1130" s="166">
        <v>46230.327094907407</v>
      </c>
      <c r="M1130" s="166">
        <v>46230.336736111109</v>
      </c>
      <c r="N1130" s="109">
        <v>46233.4531712963</v>
      </c>
    </row>
    <row r="1131" spans="1:14" ht="15" customHeight="1">
      <c r="A1131" s="46">
        <v>1131</v>
      </c>
      <c r="B1131" s="46" t="s">
        <v>26</v>
      </c>
      <c r="C1131" s="46" t="s">
        <v>54</v>
      </c>
      <c r="D1131" s="46" t="s">
        <v>208</v>
      </c>
      <c r="E1131" t="s">
        <v>4466</v>
      </c>
      <c r="F1131" s="46" t="s">
        <v>325</v>
      </c>
      <c r="G1131" s="114" t="s">
        <v>208</v>
      </c>
      <c r="H1131" s="74" t="s">
        <v>4467</v>
      </c>
      <c r="I1131" s="114" t="s">
        <v>275</v>
      </c>
      <c r="J1131" s="408" t="s">
        <v>2872</v>
      </c>
      <c r="K1131" s="109">
        <v>46227.717893518522</v>
      </c>
      <c r="L1131" s="166">
        <v>46230.436226851853</v>
      </c>
      <c r="M1131" s="166">
        <v>46230.440069444441</v>
      </c>
      <c r="N1131" s="166">
        <v>46230.44121527778</v>
      </c>
    </row>
    <row r="1132" spans="1:14" ht="15" customHeight="1">
      <c r="A1132" s="46">
        <v>1132</v>
      </c>
      <c r="B1132" s="46" t="s">
        <v>26</v>
      </c>
      <c r="C1132" s="46" t="s">
        <v>54</v>
      </c>
      <c r="D1132" s="46" t="s">
        <v>208</v>
      </c>
      <c r="E1132" t="s">
        <v>4468</v>
      </c>
      <c r="F1132" s="46" t="s">
        <v>325</v>
      </c>
      <c r="G1132" s="114" t="s">
        <v>208</v>
      </c>
      <c r="H1132" s="74" t="s">
        <v>4469</v>
      </c>
      <c r="I1132" s="114" t="s">
        <v>271</v>
      </c>
      <c r="J1132" s="408" t="s">
        <v>2872</v>
      </c>
      <c r="K1132" s="109">
        <v>46230.521956018521</v>
      </c>
      <c r="L1132" s="166">
        <v>46230.521956018521</v>
      </c>
      <c r="M1132" s="166">
        <v>46230.531122685185</v>
      </c>
      <c r="N1132" s="109">
        <v>46232.484768518516</v>
      </c>
    </row>
    <row r="1133" spans="1:14" ht="15" customHeight="1">
      <c r="A1133" s="46">
        <v>1133</v>
      </c>
      <c r="B1133" s="46" t="s">
        <v>26</v>
      </c>
      <c r="C1133" s="46" t="s">
        <v>54</v>
      </c>
      <c r="D1133" s="46" t="s">
        <v>208</v>
      </c>
      <c r="E1133" t="s">
        <v>4470</v>
      </c>
      <c r="F1133" s="46" t="s">
        <v>325</v>
      </c>
      <c r="G1133" s="114" t="s">
        <v>208</v>
      </c>
      <c r="H1133" s="74" t="s">
        <v>4471</v>
      </c>
      <c r="I1133" s="114" t="s">
        <v>271</v>
      </c>
      <c r="J1133" s="408" t="s">
        <v>2872</v>
      </c>
      <c r="K1133" s="109">
        <v>46230.542256944442</v>
      </c>
      <c r="L1133" s="166">
        <v>46230.543449074074</v>
      </c>
      <c r="M1133" s="166">
        <v>46230.637002314812</v>
      </c>
    </row>
    <row r="1134" spans="1:14" ht="15" customHeight="1">
      <c r="A1134" s="46">
        <v>1134</v>
      </c>
      <c r="B1134" s="46" t="s">
        <v>26</v>
      </c>
      <c r="C1134" s="46" t="s">
        <v>54</v>
      </c>
      <c r="D1134" s="46" t="s">
        <v>208</v>
      </c>
      <c r="E1134" t="s">
        <v>4472</v>
      </c>
      <c r="F1134" s="46" t="s">
        <v>325</v>
      </c>
      <c r="G1134" s="114" t="s">
        <v>208</v>
      </c>
      <c r="H1134" s="74" t="s">
        <v>2251</v>
      </c>
      <c r="I1134" s="114" t="s">
        <v>275</v>
      </c>
      <c r="J1134" s="409" t="s">
        <v>2872</v>
      </c>
      <c r="K1134" s="109">
        <v>46230.460960648146</v>
      </c>
      <c r="L1134" s="166">
        <v>46230.618518518517</v>
      </c>
      <c r="M1134" s="166">
        <v>46230.637789351851</v>
      </c>
      <c r="N1134" s="166">
        <v>46232.39130787037</v>
      </c>
    </row>
    <row r="1135" spans="1:14" ht="15" customHeight="1">
      <c r="A1135" s="46">
        <v>1135</v>
      </c>
      <c r="B1135" s="46" t="s">
        <v>26</v>
      </c>
      <c r="C1135" s="46" t="s">
        <v>54</v>
      </c>
      <c r="D1135" s="46" t="s">
        <v>208</v>
      </c>
      <c r="E1135" t="s">
        <v>4473</v>
      </c>
      <c r="F1135" s="46" t="s">
        <v>325</v>
      </c>
      <c r="G1135" s="114" t="s">
        <v>208</v>
      </c>
      <c r="H1135" s="74" t="s">
        <v>4474</v>
      </c>
      <c r="I1135" s="114" t="s">
        <v>271</v>
      </c>
      <c r="J1135" s="398" t="s">
        <v>2872</v>
      </c>
      <c r="K1135" s="109">
        <v>46230.685324074075</v>
      </c>
      <c r="L1135" s="166">
        <v>46230.688321759262</v>
      </c>
      <c r="M1135" s="166">
        <v>46230.716493055559</v>
      </c>
      <c r="N1135" s="109">
        <v>46232.334039351852</v>
      </c>
    </row>
    <row r="1136" spans="1:14" ht="15" customHeight="1">
      <c r="A1136" s="46">
        <v>1136</v>
      </c>
      <c r="B1136" s="46" t="s">
        <v>26</v>
      </c>
      <c r="C1136" s="46" t="s">
        <v>54</v>
      </c>
      <c r="D1136" s="46" t="s">
        <v>208</v>
      </c>
      <c r="E1136" t="s">
        <v>4475</v>
      </c>
      <c r="F1136" s="46" t="s">
        <v>325</v>
      </c>
      <c r="G1136" s="114" t="s">
        <v>208</v>
      </c>
      <c r="H1136" s="74" t="s">
        <v>4476</v>
      </c>
      <c r="I1136" s="114" t="s">
        <v>275</v>
      </c>
      <c r="J1136" s="409" t="s">
        <v>2872</v>
      </c>
      <c r="K1136" s="109">
        <v>46231.290277777778</v>
      </c>
      <c r="L1136" s="166">
        <v>46231.439293981479</v>
      </c>
      <c r="M1136" s="166">
        <v>46231.537222222221</v>
      </c>
    </row>
    <row r="1137" spans="1:14" ht="15" customHeight="1">
      <c r="A1137" s="46">
        <v>1137</v>
      </c>
      <c r="B1137" s="46" t="s">
        <v>26</v>
      </c>
      <c r="C1137" s="46" t="s">
        <v>27</v>
      </c>
      <c r="D1137" s="46" t="s">
        <v>207</v>
      </c>
      <c r="E1137" t="s">
        <v>4477</v>
      </c>
      <c r="F1137" s="46" t="s">
        <v>318</v>
      </c>
      <c r="G1137" s="114">
        <v>4</v>
      </c>
      <c r="H1137" s="74" t="s">
        <v>4478</v>
      </c>
      <c r="I1137" s="114" t="s">
        <v>260</v>
      </c>
      <c r="J1137" s="398" t="s">
        <v>2700</v>
      </c>
      <c r="K1137" s="109">
        <v>46234.063692129632</v>
      </c>
      <c r="L1137" s="109">
        <v>46234.294351851851</v>
      </c>
      <c r="M1137" s="109">
        <v>46234.323865740742</v>
      </c>
    </row>
    <row r="1138" spans="1:14" ht="15" customHeight="1">
      <c r="A1138" s="46">
        <v>1138</v>
      </c>
      <c r="B1138" s="46" t="s">
        <v>26</v>
      </c>
      <c r="C1138" s="46" t="s">
        <v>54</v>
      </c>
      <c r="D1138" s="46" t="s">
        <v>208</v>
      </c>
      <c r="E1138" t="s">
        <v>4479</v>
      </c>
      <c r="F1138" s="46" t="s">
        <v>325</v>
      </c>
      <c r="G1138" s="114" t="s">
        <v>208</v>
      </c>
      <c r="H1138" s="166" t="s">
        <v>4480</v>
      </c>
      <c r="I1138" s="114" t="s">
        <v>271</v>
      </c>
      <c r="J1138" s="409" t="s">
        <v>2872</v>
      </c>
      <c r="K1138" s="109">
        <v>46220.617037037038</v>
      </c>
      <c r="L1138" s="166">
        <v>46232.521053240744</v>
      </c>
      <c r="M1138" s="166">
        <v>46232.647627314815</v>
      </c>
    </row>
    <row r="1139" spans="1:14" ht="15" customHeight="1">
      <c r="A1139" s="46">
        <v>1139</v>
      </c>
      <c r="B1139" s="46" t="s">
        <v>26</v>
      </c>
      <c r="C1139" s="46" t="s">
        <v>54</v>
      </c>
      <c r="D1139" s="46" t="s">
        <v>208</v>
      </c>
      <c r="E1139" t="s">
        <v>4481</v>
      </c>
      <c r="F1139" s="46" t="s">
        <v>325</v>
      </c>
      <c r="G1139" s="114" t="s">
        <v>208</v>
      </c>
      <c r="H1139" s="74" t="s">
        <v>4482</v>
      </c>
      <c r="I1139" s="114" t="s">
        <v>271</v>
      </c>
      <c r="J1139" s="295" t="s">
        <v>2697</v>
      </c>
      <c r="K1139" s="109">
        <v>46232.664942129632</v>
      </c>
      <c r="L1139" s="166">
        <v>46232.799895833334</v>
      </c>
      <c r="M1139" s="166">
        <v>46233.216365740744</v>
      </c>
      <c r="N1139" s="109">
        <v>46233.651493055557</v>
      </c>
    </row>
    <row r="1140" spans="1:14" ht="15" customHeight="1">
      <c r="A1140" s="46">
        <v>1140</v>
      </c>
      <c r="B1140" s="46" t="s">
        <v>26</v>
      </c>
      <c r="C1140" s="46" t="s">
        <v>27</v>
      </c>
      <c r="D1140" s="46" t="s">
        <v>207</v>
      </c>
      <c r="E1140" s="46" t="s">
        <v>4483</v>
      </c>
      <c r="F1140" s="46" t="s">
        <v>318</v>
      </c>
      <c r="G1140" s="114">
        <v>3</v>
      </c>
      <c r="H1140" s="74" t="s">
        <v>4484</v>
      </c>
      <c r="I1140" s="114" t="s">
        <v>260</v>
      </c>
      <c r="J1140" s="295" t="s">
        <v>2703</v>
      </c>
      <c r="K1140" s="109">
        <v>46234.453587962962</v>
      </c>
      <c r="L1140" s="166">
        <v>46234.470185185186</v>
      </c>
      <c r="M1140" s="166">
        <v>46234.484166666669</v>
      </c>
    </row>
    <row r="1141" spans="1:14" ht="15" customHeight="1">
      <c r="A1141" s="46">
        <v>1141</v>
      </c>
      <c r="B1141" s="46" t="s">
        <v>26</v>
      </c>
      <c r="C1141" s="46" t="s">
        <v>27</v>
      </c>
      <c r="D1141" s="46" t="s">
        <v>208</v>
      </c>
      <c r="E1141" s="46" t="s">
        <v>4485</v>
      </c>
      <c r="F1141" s="46" t="s">
        <v>318</v>
      </c>
      <c r="H1141" s="74" t="s">
        <v>2313</v>
      </c>
      <c r="I1141" s="114" t="s">
        <v>260</v>
      </c>
      <c r="J1141" s="295" t="s">
        <v>2725</v>
      </c>
      <c r="K1141" s="109">
        <v>46234.429722222223</v>
      </c>
      <c r="L1141" s="166">
        <v>46234.429768518516</v>
      </c>
      <c r="M1141" s="166">
        <v>46234.486712962964</v>
      </c>
    </row>
    <row r="1142" spans="1:14" ht="15" customHeight="1">
      <c r="A1142" s="46">
        <v>1142</v>
      </c>
      <c r="B1142" s="46" t="s">
        <v>26</v>
      </c>
      <c r="C1142" s="46" t="s">
        <v>54</v>
      </c>
      <c r="D1142" s="46" t="s">
        <v>208</v>
      </c>
      <c r="E1142" t="s">
        <v>4486</v>
      </c>
      <c r="F1142" s="46" t="s">
        <v>325</v>
      </c>
      <c r="G1142" s="114" t="s">
        <v>208</v>
      </c>
      <c r="H1142" s="74" t="s">
        <v>4487</v>
      </c>
      <c r="I1142" s="114" t="s">
        <v>271</v>
      </c>
      <c r="J1142" s="295" t="s">
        <v>2694</v>
      </c>
      <c r="K1142" s="109">
        <v>46233.310428240744</v>
      </c>
      <c r="L1142" s="306">
        <v>46233.318715277775</v>
      </c>
      <c r="M1142" s="166">
        <v>46233.412256944444</v>
      </c>
    </row>
    <row r="1143" spans="1:14" ht="15" customHeight="1">
      <c r="A1143" s="46">
        <v>1143</v>
      </c>
      <c r="B1143" s="46" t="s">
        <v>26</v>
      </c>
      <c r="C1143" s="46" t="s">
        <v>54</v>
      </c>
      <c r="D1143" s="46" t="s">
        <v>208</v>
      </c>
      <c r="E1143" t="s">
        <v>4488</v>
      </c>
      <c r="F1143" s="46" t="s">
        <v>325</v>
      </c>
      <c r="G1143" s="114" t="s">
        <v>208</v>
      </c>
      <c r="H1143" s="74" t="s">
        <v>3038</v>
      </c>
      <c r="I1143" s="114" t="s">
        <v>271</v>
      </c>
      <c r="J1143" s="295" t="s">
        <v>2697</v>
      </c>
      <c r="K1143" s="109">
        <v>46218.643553240741</v>
      </c>
      <c r="L1143" s="166">
        <v>46233.629270833335</v>
      </c>
      <c r="M1143" s="166">
        <v>46234.249074074076</v>
      </c>
      <c r="N1143" s="109">
        <v>46240.450856481482</v>
      </c>
    </row>
    <row r="1144" spans="1:14" ht="15" customHeight="1">
      <c r="A1144" s="46">
        <v>1144</v>
      </c>
      <c r="B1144" s="46" t="s">
        <v>26</v>
      </c>
      <c r="C1144" s="46" t="s">
        <v>54</v>
      </c>
      <c r="D1144" s="46" t="s">
        <v>207</v>
      </c>
      <c r="E1144" t="s">
        <v>4489</v>
      </c>
      <c r="F1144" s="46" t="s">
        <v>325</v>
      </c>
      <c r="G1144" s="114">
        <v>4</v>
      </c>
      <c r="H1144" s="74" t="s">
        <v>4490</v>
      </c>
      <c r="I1144" s="114" t="s">
        <v>275</v>
      </c>
      <c r="J1144" s="409" t="s">
        <v>2872</v>
      </c>
      <c r="K1144" s="109">
        <v>46233.45349537037</v>
      </c>
      <c r="L1144" s="166">
        <v>46233.482210648152</v>
      </c>
      <c r="M1144" s="166">
        <v>46234.250625000001</v>
      </c>
      <c r="N1144" s="166">
        <v>46234.482488425929</v>
      </c>
    </row>
    <row r="1145" spans="1:14" ht="15" customHeight="1">
      <c r="A1145" s="46">
        <v>1145</v>
      </c>
      <c r="B1145" s="46" t="s">
        <v>26</v>
      </c>
      <c r="C1145" s="46" t="s">
        <v>54</v>
      </c>
      <c r="D1145" s="46" t="s">
        <v>208</v>
      </c>
      <c r="E1145" t="s">
        <v>4491</v>
      </c>
      <c r="F1145" s="46" t="s">
        <v>325</v>
      </c>
      <c r="G1145" s="114" t="s">
        <v>208</v>
      </c>
      <c r="H1145" s="74" t="s">
        <v>2866</v>
      </c>
      <c r="I1145" s="114" t="s">
        <v>271</v>
      </c>
      <c r="J1145" s="295" t="s">
        <v>2872</v>
      </c>
      <c r="K1145" s="109">
        <v>46233.718634259261</v>
      </c>
      <c r="L1145" s="109">
        <v>46233.776365740741</v>
      </c>
      <c r="M1145" s="166">
        <v>46234.248460648145</v>
      </c>
      <c r="N1145" s="109">
        <v>46234.484444444446</v>
      </c>
    </row>
    <row r="1146" spans="1:14" ht="15" customHeight="1">
      <c r="A1146" s="46">
        <v>1146</v>
      </c>
      <c r="B1146" s="46" t="s">
        <v>26</v>
      </c>
      <c r="C1146" s="46" t="s">
        <v>54</v>
      </c>
      <c r="D1146" s="46" t="s">
        <v>207</v>
      </c>
      <c r="E1146" t="s">
        <v>4457</v>
      </c>
      <c r="F1146" s="46" t="s">
        <v>325</v>
      </c>
      <c r="G1146" s="114">
        <v>3</v>
      </c>
      <c r="H1146" s="74" t="s">
        <v>4458</v>
      </c>
      <c r="I1146" s="114" t="s">
        <v>275</v>
      </c>
      <c r="J1146" s="410" t="s">
        <v>2872</v>
      </c>
      <c r="K1146" s="109">
        <v>46233.498888888891</v>
      </c>
      <c r="L1146" s="166">
        <v>46234.220104166663</v>
      </c>
      <c r="M1146" s="166">
        <v>46234.251307870371</v>
      </c>
      <c r="N1146" s="166">
        <v>46234.482974537037</v>
      </c>
    </row>
    <row r="1147" spans="1:14" ht="15" customHeight="1">
      <c r="A1147" s="46">
        <v>1147</v>
      </c>
      <c r="B1147" s="46" t="s">
        <v>26</v>
      </c>
      <c r="C1147" s="46" t="s">
        <v>54</v>
      </c>
      <c r="D1147" s="46" t="s">
        <v>208</v>
      </c>
      <c r="E1147" t="s">
        <v>4492</v>
      </c>
      <c r="F1147" s="46" t="s">
        <v>325</v>
      </c>
      <c r="G1147" s="114" t="s">
        <v>208</v>
      </c>
      <c r="H1147" s="74" t="s">
        <v>4493</v>
      </c>
      <c r="I1147" s="114" t="s">
        <v>275</v>
      </c>
      <c r="J1147" s="295" t="s">
        <v>2697</v>
      </c>
      <c r="K1147" s="109">
        <v>46232.271284722221</v>
      </c>
      <c r="L1147" s="166">
        <v>46234.374293981484</v>
      </c>
      <c r="M1147" s="166">
        <v>46234.412835648145</v>
      </c>
      <c r="N1147" s="109">
        <v>46234.594201388885</v>
      </c>
    </row>
    <row r="1148" spans="1:14" ht="15" customHeight="1">
      <c r="A1148" s="46">
        <v>1148</v>
      </c>
      <c r="B1148" s="46" t="s">
        <v>26</v>
      </c>
      <c r="C1148" s="46" t="s">
        <v>54</v>
      </c>
      <c r="D1148" s="46" t="s">
        <v>208</v>
      </c>
      <c r="E1148" s="46" t="s">
        <v>4494</v>
      </c>
      <c r="F1148" s="251" t="s">
        <v>53</v>
      </c>
      <c r="G1148" s="114" t="s">
        <v>208</v>
      </c>
      <c r="H1148" s="74" t="s">
        <v>4495</v>
      </c>
      <c r="I1148" s="114" t="s">
        <v>266</v>
      </c>
      <c r="J1148" s="295" t="s">
        <v>2697</v>
      </c>
      <c r="K1148" s="109">
        <v>46234.650914351849</v>
      </c>
      <c r="L1148" s="166">
        <v>46234.650914351849</v>
      </c>
      <c r="M1148" s="166">
        <v>46234.654606481483</v>
      </c>
    </row>
    <row r="1149" spans="1:14" ht="15" customHeight="1">
      <c r="A1149" s="46">
        <v>1149</v>
      </c>
      <c r="B1149" s="46" t="s">
        <v>26</v>
      </c>
      <c r="C1149" s="46" t="s">
        <v>54</v>
      </c>
      <c r="D1149" s="46" t="s">
        <v>208</v>
      </c>
      <c r="E1149" t="s">
        <v>4496</v>
      </c>
      <c r="F1149" s="46" t="s">
        <v>325</v>
      </c>
      <c r="G1149" s="114" t="s">
        <v>208</v>
      </c>
      <c r="H1149" s="74" t="s">
        <v>4497</v>
      </c>
      <c r="I1149" s="114" t="s">
        <v>271</v>
      </c>
      <c r="J1149" s="295" t="s">
        <v>2872</v>
      </c>
      <c r="K1149" s="109">
        <v>46234.535439814812</v>
      </c>
      <c r="L1149" s="166">
        <v>46234.537361111114</v>
      </c>
      <c r="M1149" s="166">
        <v>46237.221990740742</v>
      </c>
      <c r="N1149" s="166">
        <v>46237.225034722222</v>
      </c>
    </row>
    <row r="1150" spans="1:14" ht="15" customHeight="1">
      <c r="A1150" s="46">
        <v>1150</v>
      </c>
      <c r="B1150" s="46" t="s">
        <v>26</v>
      </c>
      <c r="C1150" s="46" t="s">
        <v>54</v>
      </c>
      <c r="D1150" s="46" t="s">
        <v>208</v>
      </c>
      <c r="E1150" t="s">
        <v>4498</v>
      </c>
      <c r="F1150" s="46" t="s">
        <v>325</v>
      </c>
      <c r="G1150" s="114" t="s">
        <v>208</v>
      </c>
      <c r="H1150" s="74" t="s">
        <v>4499</v>
      </c>
      <c r="I1150" s="114" t="s">
        <v>271</v>
      </c>
      <c r="J1150" s="295" t="s">
        <v>2872</v>
      </c>
      <c r="K1150" s="109">
        <v>46234.539699074077</v>
      </c>
      <c r="L1150" s="166">
        <v>46234.54314814815</v>
      </c>
      <c r="M1150" s="166">
        <v>46237.222569444442</v>
      </c>
      <c r="N1150" s="109">
        <v>46237.225706018522</v>
      </c>
    </row>
    <row r="1151" spans="1:14" ht="15" customHeight="1">
      <c r="A1151" s="46">
        <v>1151</v>
      </c>
      <c r="B1151" s="46" t="s">
        <v>26</v>
      </c>
      <c r="C1151" s="46" t="s">
        <v>54</v>
      </c>
      <c r="D1151" s="46" t="s">
        <v>208</v>
      </c>
      <c r="E1151" t="s">
        <v>4500</v>
      </c>
      <c r="F1151" s="46" t="s">
        <v>325</v>
      </c>
      <c r="G1151" s="114" t="s">
        <v>208</v>
      </c>
      <c r="H1151" s="74" t="s">
        <v>4501</v>
      </c>
      <c r="I1151" s="114" t="s">
        <v>275</v>
      </c>
      <c r="J1151" s="295" t="s">
        <v>2697</v>
      </c>
      <c r="K1151" s="109">
        <v>46237.238611111112</v>
      </c>
      <c r="L1151" s="166">
        <v>46237.238611111112</v>
      </c>
      <c r="M1151" s="166">
        <v>46237.242939814816</v>
      </c>
    </row>
    <row r="1152" spans="1:14" ht="15" customHeight="1">
      <c r="A1152" s="46">
        <v>1152</v>
      </c>
      <c r="B1152" s="46" t="s">
        <v>26</v>
      </c>
      <c r="C1152" s="46" t="s">
        <v>27</v>
      </c>
      <c r="D1152" s="46" t="s">
        <v>208</v>
      </c>
      <c r="E1152" s="46" t="s">
        <v>4502</v>
      </c>
      <c r="F1152" s="46" t="s">
        <v>322</v>
      </c>
      <c r="G1152" s="114" t="s">
        <v>208</v>
      </c>
      <c r="H1152" s="74" t="s">
        <v>4503</v>
      </c>
      <c r="I1152" s="114" t="s">
        <v>275</v>
      </c>
      <c r="J1152" s="295" t="s">
        <v>2717</v>
      </c>
      <c r="K1152" s="109">
        <v>46237.265219907407</v>
      </c>
      <c r="L1152" s="109">
        <v>46237.265219907407</v>
      </c>
      <c r="M1152" s="109">
        <v>46237.301608796297</v>
      </c>
      <c r="N1152" s="109">
        <v>46237.411354166667</v>
      </c>
    </row>
    <row r="1153" spans="1:14" ht="15" customHeight="1">
      <c r="A1153" s="46">
        <v>1153</v>
      </c>
      <c r="B1153" s="46" t="s">
        <v>26</v>
      </c>
      <c r="C1153" s="46" t="s">
        <v>27</v>
      </c>
      <c r="D1153" s="46" t="s">
        <v>208</v>
      </c>
      <c r="E1153" s="46" t="s">
        <v>4504</v>
      </c>
      <c r="F1153" s="46" t="s">
        <v>322</v>
      </c>
      <c r="G1153" s="114" t="s">
        <v>208</v>
      </c>
      <c r="H1153" s="74" t="s">
        <v>4505</v>
      </c>
      <c r="I1153" s="114" t="s">
        <v>275</v>
      </c>
      <c r="J1153" s="295" t="s">
        <v>2717</v>
      </c>
      <c r="K1153" s="109">
        <v>46237.265393518515</v>
      </c>
      <c r="L1153" s="109">
        <v>46237.265393518515</v>
      </c>
      <c r="M1153" s="109">
        <v>46237.302037037036</v>
      </c>
      <c r="N1153" s="109">
        <v>46237.412430555552</v>
      </c>
    </row>
    <row r="1154" spans="1:14" ht="15" customHeight="1">
      <c r="A1154" s="18">
        <v>1154</v>
      </c>
      <c r="B1154" s="46" t="s">
        <v>26</v>
      </c>
      <c r="C1154" s="46" t="s">
        <v>27</v>
      </c>
      <c r="D1154" s="46" t="s">
        <v>207</v>
      </c>
      <c r="E1154" s="46" t="s">
        <v>4506</v>
      </c>
      <c r="F1154" s="46" t="s">
        <v>318</v>
      </c>
      <c r="G1154" s="114">
        <v>3</v>
      </c>
      <c r="H1154" s="74" t="s">
        <v>2775</v>
      </c>
      <c r="I1154" s="114" t="s">
        <v>260</v>
      </c>
      <c r="J1154" s="295" t="s">
        <v>2725</v>
      </c>
      <c r="K1154" s="109">
        <v>46235.6481712963</v>
      </c>
      <c r="L1154" s="166">
        <v>46235.648287037038</v>
      </c>
      <c r="M1154" s="166">
        <v>46237.253425925926</v>
      </c>
    </row>
    <row r="1155" spans="1:14" ht="15" customHeight="1">
      <c r="A1155" s="18">
        <v>1155</v>
      </c>
      <c r="B1155" s="46" t="s">
        <v>26</v>
      </c>
      <c r="C1155" s="46" t="s">
        <v>27</v>
      </c>
      <c r="D1155" s="46" t="s">
        <v>207</v>
      </c>
      <c r="E1155" s="46" t="s">
        <v>4507</v>
      </c>
      <c r="F1155" s="46" t="s">
        <v>318</v>
      </c>
      <c r="G1155" s="114">
        <v>4</v>
      </c>
      <c r="H1155" s="74" t="s">
        <v>4508</v>
      </c>
      <c r="I1155" s="114" t="s">
        <v>260</v>
      </c>
      <c r="J1155" s="295" t="s">
        <v>2714</v>
      </c>
      <c r="K1155" s="109">
        <v>46233.750578703701</v>
      </c>
      <c r="L1155" s="166">
        <v>46234.540532407409</v>
      </c>
      <c r="M1155" s="166">
        <v>46237.269641203704</v>
      </c>
    </row>
    <row r="1156" spans="1:14" ht="15" customHeight="1">
      <c r="A1156" s="18">
        <v>1156</v>
      </c>
      <c r="B1156" s="46" t="s">
        <v>26</v>
      </c>
      <c r="C1156" s="46" t="s">
        <v>27</v>
      </c>
      <c r="D1156" s="46" t="s">
        <v>207</v>
      </c>
      <c r="E1156" s="46" t="s">
        <v>4509</v>
      </c>
      <c r="F1156" s="46" t="s">
        <v>318</v>
      </c>
      <c r="G1156" s="114">
        <v>3</v>
      </c>
      <c r="H1156" s="74" t="s">
        <v>4510</v>
      </c>
      <c r="I1156" s="114" t="s">
        <v>260</v>
      </c>
      <c r="J1156" s="295" t="s">
        <v>2703</v>
      </c>
      <c r="K1156" s="109">
        <v>46235.112071759257</v>
      </c>
      <c r="L1156" s="166">
        <v>46235.529872685183</v>
      </c>
      <c r="M1156" s="166">
        <v>46237.271180555559</v>
      </c>
    </row>
    <row r="1157" spans="1:14" ht="15" customHeight="1">
      <c r="A1157" s="18">
        <v>1157</v>
      </c>
      <c r="B1157" s="46" t="s">
        <v>26</v>
      </c>
      <c r="C1157" s="46" t="s">
        <v>27</v>
      </c>
      <c r="D1157" s="46" t="s">
        <v>207</v>
      </c>
      <c r="E1157" s="46" t="s">
        <v>4511</v>
      </c>
      <c r="F1157" s="46" t="s">
        <v>318</v>
      </c>
      <c r="G1157" s="114">
        <v>3</v>
      </c>
      <c r="H1157" s="74" t="s">
        <v>4484</v>
      </c>
      <c r="I1157" s="114" t="s">
        <v>260</v>
      </c>
      <c r="J1157" s="295" t="s">
        <v>2700</v>
      </c>
      <c r="K1157" s="109">
        <v>46235.64571759259</v>
      </c>
      <c r="L1157" s="166">
        <v>46235.747106481482</v>
      </c>
      <c r="M1157" s="166">
        <v>46237.271724537037</v>
      </c>
    </row>
    <row r="1158" spans="1:14" ht="15" customHeight="1">
      <c r="A1158" s="18">
        <v>1158</v>
      </c>
      <c r="B1158" s="46" t="s">
        <v>26</v>
      </c>
      <c r="C1158" s="46" t="s">
        <v>27</v>
      </c>
      <c r="D1158" s="46" t="s">
        <v>207</v>
      </c>
      <c r="E1158" s="46" t="s">
        <v>4512</v>
      </c>
      <c r="F1158" s="46" t="s">
        <v>318</v>
      </c>
      <c r="G1158" s="114">
        <v>3</v>
      </c>
      <c r="H1158" s="74" t="s">
        <v>2707</v>
      </c>
      <c r="I1158" s="114" t="s">
        <v>260</v>
      </c>
      <c r="J1158" s="295" t="s">
        <v>2708</v>
      </c>
      <c r="K1158" s="109">
        <v>46234.661805555559</v>
      </c>
      <c r="L1158" s="166">
        <v>46234.664131944446</v>
      </c>
      <c r="M1158" s="166">
        <v>46237.272256944445</v>
      </c>
    </row>
    <row r="1159" spans="1:14" ht="15" customHeight="1">
      <c r="A1159" s="18">
        <v>1159</v>
      </c>
      <c r="B1159" s="46" t="s">
        <v>26</v>
      </c>
      <c r="C1159" s="46" t="s">
        <v>27</v>
      </c>
      <c r="D1159" s="46" t="s">
        <v>207</v>
      </c>
      <c r="E1159" s="46" t="s">
        <v>4513</v>
      </c>
      <c r="F1159" s="46" t="s">
        <v>318</v>
      </c>
      <c r="G1159" s="114">
        <v>4</v>
      </c>
      <c r="H1159" s="74" t="s">
        <v>4514</v>
      </c>
      <c r="I1159" s="114" t="s">
        <v>260</v>
      </c>
      <c r="J1159" s="295" t="s">
        <v>2703</v>
      </c>
      <c r="K1159" s="109">
        <v>46234.709780092591</v>
      </c>
      <c r="L1159" s="166">
        <v>46234.714143518519</v>
      </c>
      <c r="M1159" s="166">
        <v>46237.27449074074</v>
      </c>
    </row>
    <row r="1160" spans="1:14" ht="15" customHeight="1">
      <c r="A1160" s="18">
        <v>1160</v>
      </c>
      <c r="B1160" s="46" t="s">
        <v>26</v>
      </c>
      <c r="C1160" s="46" t="s">
        <v>27</v>
      </c>
      <c r="D1160" s="46" t="s">
        <v>207</v>
      </c>
      <c r="E1160" s="46" t="s">
        <v>4515</v>
      </c>
      <c r="F1160" s="46" t="s">
        <v>318</v>
      </c>
      <c r="G1160" s="114">
        <v>3</v>
      </c>
      <c r="H1160" s="74" t="s">
        <v>4484</v>
      </c>
      <c r="I1160" s="114" t="s">
        <v>260</v>
      </c>
      <c r="J1160" s="295" t="s">
        <v>2708</v>
      </c>
      <c r="K1160" s="109">
        <v>46234.456805555557</v>
      </c>
      <c r="L1160" s="166">
        <v>46234.481620370374</v>
      </c>
      <c r="M1160" s="166">
        <v>46237.273518518516</v>
      </c>
    </row>
    <row r="1161" spans="1:14" ht="15" customHeight="1">
      <c r="A1161" s="18">
        <v>1161</v>
      </c>
      <c r="B1161" s="46" t="s">
        <v>26</v>
      </c>
      <c r="C1161" s="46" t="s">
        <v>27</v>
      </c>
      <c r="D1161" s="46" t="s">
        <v>207</v>
      </c>
      <c r="E1161" s="46" t="s">
        <v>4516</v>
      </c>
      <c r="F1161" s="46" t="s">
        <v>318</v>
      </c>
      <c r="G1161" s="114">
        <v>3</v>
      </c>
      <c r="H1161" s="74" t="s">
        <v>2724</v>
      </c>
      <c r="I1161" s="114" t="s">
        <v>260</v>
      </c>
      <c r="J1161" s="295" t="s">
        <v>2738</v>
      </c>
      <c r="K1161" s="109">
        <v>46235.995324074072</v>
      </c>
      <c r="L1161" s="166">
        <v>46235.995381944442</v>
      </c>
      <c r="M1161" s="166">
        <v>46237.265173611115</v>
      </c>
    </row>
    <row r="1162" spans="1:14" ht="15" customHeight="1">
      <c r="A1162" s="18">
        <v>1162</v>
      </c>
      <c r="B1162" s="46" t="s">
        <v>26</v>
      </c>
      <c r="C1162" s="46" t="s">
        <v>27</v>
      </c>
      <c r="D1162" s="46" t="s">
        <v>207</v>
      </c>
      <c r="E1162" s="46" t="s">
        <v>4517</v>
      </c>
      <c r="F1162" s="46" t="s">
        <v>318</v>
      </c>
      <c r="G1162" s="114">
        <v>3</v>
      </c>
      <c r="H1162" s="74" t="s">
        <v>2724</v>
      </c>
      <c r="I1162" s="114" t="s">
        <v>260</v>
      </c>
      <c r="J1162" s="295" t="s">
        <v>3111</v>
      </c>
      <c r="K1162" s="109">
        <v>46235.627418981479</v>
      </c>
      <c r="L1162" s="166">
        <v>46235.627488425926</v>
      </c>
      <c r="M1162" s="166">
        <v>46237.26054398148</v>
      </c>
    </row>
    <row r="1163" spans="1:14" ht="15" customHeight="1">
      <c r="A1163" s="18">
        <v>1163</v>
      </c>
      <c r="B1163" s="46" t="s">
        <v>26</v>
      </c>
      <c r="C1163" s="46" t="s">
        <v>27</v>
      </c>
      <c r="D1163" s="46" t="s">
        <v>207</v>
      </c>
      <c r="E1163" s="46" t="s">
        <v>4518</v>
      </c>
      <c r="F1163" s="46" t="s">
        <v>318</v>
      </c>
      <c r="G1163" s="114">
        <v>3</v>
      </c>
      <c r="H1163" s="74" t="s">
        <v>2724</v>
      </c>
      <c r="I1163" s="114" t="s">
        <v>260</v>
      </c>
      <c r="J1163" s="295" t="s">
        <v>3111</v>
      </c>
      <c r="K1163" s="109">
        <v>46234.766967592594</v>
      </c>
      <c r="L1163" s="166">
        <v>46234.767025462963</v>
      </c>
      <c r="M1163" s="166">
        <v>46237.255462962959</v>
      </c>
    </row>
    <row r="1164" spans="1:14" ht="15" customHeight="1">
      <c r="A1164" s="18">
        <v>1164</v>
      </c>
      <c r="B1164" s="46" t="s">
        <v>26</v>
      </c>
      <c r="C1164" s="46" t="s">
        <v>27</v>
      </c>
      <c r="D1164" s="46" t="s">
        <v>207</v>
      </c>
      <c r="E1164" s="46" t="s">
        <v>4519</v>
      </c>
      <c r="F1164" s="46" t="s">
        <v>318</v>
      </c>
      <c r="G1164" s="114">
        <v>3</v>
      </c>
      <c r="H1164" s="74" t="s">
        <v>2775</v>
      </c>
      <c r="I1164" s="114" t="s">
        <v>271</v>
      </c>
      <c r="J1164" s="295" t="s">
        <v>2772</v>
      </c>
      <c r="K1164" s="109">
        <v>46235.62740740741</v>
      </c>
      <c r="L1164" s="166">
        <v>46235.627453703702</v>
      </c>
      <c r="M1164" s="166">
        <v>46237.257939814815</v>
      </c>
      <c r="N1164" s="109">
        <v>46237.472858796296</v>
      </c>
    </row>
    <row r="1165" spans="1:14" ht="15" customHeight="1">
      <c r="A1165" s="18">
        <v>1165</v>
      </c>
      <c r="B1165" s="46" t="s">
        <v>26</v>
      </c>
      <c r="C1165" s="46" t="s">
        <v>27</v>
      </c>
      <c r="D1165" s="46" t="s">
        <v>207</v>
      </c>
      <c r="E1165" s="46" t="s">
        <v>4520</v>
      </c>
      <c r="F1165" s="46" t="s">
        <v>318</v>
      </c>
      <c r="G1165" s="114">
        <v>3</v>
      </c>
      <c r="H1165" s="74" t="s">
        <v>2775</v>
      </c>
      <c r="I1165" s="114" t="s">
        <v>271</v>
      </c>
      <c r="J1165" s="295" t="s">
        <v>2772</v>
      </c>
      <c r="K1165" s="109">
        <v>46236.961539351854</v>
      </c>
      <c r="L1165" s="166">
        <v>46236.96193287037</v>
      </c>
      <c r="M1165" s="166">
        <v>46237.255983796298</v>
      </c>
      <c r="N1165" s="109">
        <v>46237.47215277778</v>
      </c>
    </row>
    <row r="1166" spans="1:14" ht="15" customHeight="1">
      <c r="A1166" s="18">
        <v>1166</v>
      </c>
      <c r="B1166" s="46" t="s">
        <v>26</v>
      </c>
      <c r="C1166" s="46" t="s">
        <v>27</v>
      </c>
      <c r="D1166" s="46" t="s">
        <v>207</v>
      </c>
      <c r="E1166" s="46" t="s">
        <v>4521</v>
      </c>
      <c r="F1166" s="46" t="s">
        <v>318</v>
      </c>
      <c r="G1166" s="114">
        <v>3</v>
      </c>
      <c r="H1166" s="74" t="s">
        <v>2724</v>
      </c>
      <c r="I1166" s="114" t="s">
        <v>260</v>
      </c>
      <c r="J1166" s="295" t="s">
        <v>2738</v>
      </c>
      <c r="K1166" s="109">
        <v>46235.304386574076</v>
      </c>
      <c r="L1166" s="166">
        <v>46235.304467592592</v>
      </c>
      <c r="M1166" s="166">
        <v>46237.256539351853</v>
      </c>
    </row>
    <row r="1167" spans="1:14" ht="15" customHeight="1">
      <c r="A1167" s="18">
        <v>1167</v>
      </c>
      <c r="B1167" s="46" t="s">
        <v>26</v>
      </c>
      <c r="C1167" s="46" t="s">
        <v>27</v>
      </c>
      <c r="D1167" s="46" t="s">
        <v>207</v>
      </c>
      <c r="E1167" s="46" t="s">
        <v>4522</v>
      </c>
      <c r="F1167" s="46" t="s">
        <v>318</v>
      </c>
      <c r="G1167" s="114">
        <v>3</v>
      </c>
      <c r="H1167" s="74" t="s">
        <v>2724</v>
      </c>
      <c r="I1167" s="114" t="s">
        <v>260</v>
      </c>
      <c r="J1167" s="295" t="s">
        <v>2725</v>
      </c>
      <c r="K1167" s="109">
        <v>46235.993425925924</v>
      </c>
      <c r="L1167" s="166">
        <v>46235.993460648147</v>
      </c>
      <c r="M1167" s="166">
        <v>46237.264652777776</v>
      </c>
    </row>
    <row r="1168" spans="1:14" ht="15" customHeight="1">
      <c r="A1168" s="18">
        <v>1168</v>
      </c>
      <c r="B1168" s="46" t="s">
        <v>26</v>
      </c>
      <c r="C1168" s="46" t="s">
        <v>27</v>
      </c>
      <c r="D1168" s="46" t="s">
        <v>207</v>
      </c>
      <c r="E1168" s="46" t="s">
        <v>4523</v>
      </c>
      <c r="F1168" s="46" t="s">
        <v>318</v>
      </c>
      <c r="G1168" s="114">
        <v>3</v>
      </c>
      <c r="H1168" s="74" t="s">
        <v>4524</v>
      </c>
      <c r="I1168" s="114" t="s">
        <v>260</v>
      </c>
      <c r="J1168" s="295" t="s">
        <v>2700</v>
      </c>
      <c r="K1168" s="109">
        <v>46237.374166666668</v>
      </c>
      <c r="L1168" s="166">
        <v>46237.375023148146</v>
      </c>
      <c r="M1168" s="166">
        <v>46237.407893518517</v>
      </c>
    </row>
    <row r="1169" spans="1:13" ht="15" customHeight="1">
      <c r="A1169" s="18">
        <v>1169</v>
      </c>
      <c r="B1169" s="46" t="s">
        <v>26</v>
      </c>
      <c r="C1169" s="46" t="s">
        <v>27</v>
      </c>
      <c r="D1169" s="46" t="s">
        <v>207</v>
      </c>
      <c r="E1169" s="46" t="s">
        <v>4525</v>
      </c>
      <c r="F1169" s="46" t="s">
        <v>318</v>
      </c>
      <c r="G1169" s="114">
        <v>3</v>
      </c>
      <c r="H1169" s="74" t="s">
        <v>2707</v>
      </c>
      <c r="I1169" s="114" t="s">
        <v>260</v>
      </c>
      <c r="J1169" s="295" t="s">
        <v>2708</v>
      </c>
      <c r="K1169" s="109">
        <v>46237.357986111114</v>
      </c>
      <c r="L1169" s="166">
        <v>46237.362407407411</v>
      </c>
      <c r="M1169" s="109">
        <v>46237.413171296299</v>
      </c>
    </row>
    <row r="1170" spans="1:13" ht="15" customHeight="1">
      <c r="A1170" s="18">
        <v>1170</v>
      </c>
      <c r="B1170" s="46" t="s">
        <v>26</v>
      </c>
      <c r="C1170" s="46" t="s">
        <v>27</v>
      </c>
      <c r="D1170" s="46" t="s">
        <v>207</v>
      </c>
      <c r="E1170" s="46" t="s">
        <v>4526</v>
      </c>
      <c r="F1170" s="46" t="s">
        <v>318</v>
      </c>
      <c r="G1170" s="114">
        <v>3</v>
      </c>
      <c r="H1170" s="74" t="s">
        <v>2724</v>
      </c>
      <c r="I1170" s="114" t="s">
        <v>260</v>
      </c>
      <c r="J1170" s="295" t="s">
        <v>2725</v>
      </c>
      <c r="K1170" s="109">
        <v>46237.352430555555</v>
      </c>
      <c r="L1170" s="166">
        <v>46237.35255787037</v>
      </c>
      <c r="M1170" s="166">
        <v>46237.415219907409</v>
      </c>
    </row>
    <row r="1171" spans="1:13" ht="15" customHeight="1">
      <c r="A1171" s="18">
        <v>1171</v>
      </c>
      <c r="B1171" s="46" t="s">
        <v>26</v>
      </c>
      <c r="C1171" s="46" t="s">
        <v>27</v>
      </c>
      <c r="D1171" s="46" t="s">
        <v>207</v>
      </c>
      <c r="E1171" s="46" t="s">
        <v>4527</v>
      </c>
      <c r="F1171" s="46" t="s">
        <v>318</v>
      </c>
      <c r="G1171" s="114">
        <v>3</v>
      </c>
      <c r="H1171" s="74" t="s">
        <v>2775</v>
      </c>
      <c r="I1171" s="114" t="s">
        <v>260</v>
      </c>
      <c r="J1171" s="295" t="s">
        <v>2738</v>
      </c>
      <c r="K1171" s="109">
        <v>46237.351006944446</v>
      </c>
      <c r="L1171" s="166">
        <v>46237.351053240738</v>
      </c>
      <c r="M1171" s="166">
        <v>46237.416412037041</v>
      </c>
    </row>
    <row r="1172" spans="1:13" ht="15" customHeight="1">
      <c r="A1172" s="18">
        <v>1172</v>
      </c>
      <c r="B1172" s="46" t="s">
        <v>26</v>
      </c>
      <c r="C1172" s="46" t="s">
        <v>27</v>
      </c>
      <c r="D1172" s="46" t="s">
        <v>208</v>
      </c>
      <c r="E1172" s="46" t="s">
        <v>4528</v>
      </c>
      <c r="F1172" s="46" t="s">
        <v>318</v>
      </c>
      <c r="H1172" s="74" t="s">
        <v>2800</v>
      </c>
      <c r="I1172" s="114" t="s">
        <v>275</v>
      </c>
      <c r="K1172" s="109">
        <v>46237.267129629632</v>
      </c>
      <c r="L1172" s="166">
        <v>46237.267129629632</v>
      </c>
      <c r="M1172" s="166">
        <v>46237.418668981481</v>
      </c>
    </row>
    <row r="1173" spans="1:13" ht="15" customHeight="1">
      <c r="A1173" s="18">
        <v>1173</v>
      </c>
      <c r="B1173" s="46" t="s">
        <v>26</v>
      </c>
      <c r="C1173" s="46" t="s">
        <v>27</v>
      </c>
      <c r="D1173" s="46" t="s">
        <v>208</v>
      </c>
      <c r="E1173" s="46" t="s">
        <v>4529</v>
      </c>
      <c r="F1173" s="46" t="s">
        <v>318</v>
      </c>
      <c r="H1173" s="74" t="s">
        <v>2800</v>
      </c>
      <c r="I1173" s="114" t="s">
        <v>275</v>
      </c>
      <c r="K1173" s="109">
        <v>46237.268020833333</v>
      </c>
      <c r="L1173" s="166">
        <v>46237.268020833333</v>
      </c>
      <c r="M1173" s="166">
        <v>46237.420601851853</v>
      </c>
    </row>
    <row r="1174" spans="1:13" ht="15" customHeight="1">
      <c r="A1174" s="18">
        <v>1174</v>
      </c>
      <c r="B1174" s="46" t="s">
        <v>26</v>
      </c>
      <c r="C1174" s="46" t="s">
        <v>27</v>
      </c>
      <c r="D1174" s="46" t="s">
        <v>208</v>
      </c>
      <c r="E1174" s="46" t="s">
        <v>4530</v>
      </c>
      <c r="F1174" s="46" t="s">
        <v>318</v>
      </c>
      <c r="H1174" s="74" t="s">
        <v>2800</v>
      </c>
      <c r="I1174" s="114" t="s">
        <v>275</v>
      </c>
      <c r="K1174" s="109">
        <v>46237.270486111112</v>
      </c>
      <c r="L1174" s="109">
        <v>46237.270486111112</v>
      </c>
      <c r="M1174" s="166">
        <v>46237.421342592592</v>
      </c>
    </row>
    <row r="1175" spans="1:13" ht="15" customHeight="1">
      <c r="A1175" s="18">
        <v>1175</v>
      </c>
      <c r="B1175" s="46" t="s">
        <v>26</v>
      </c>
      <c r="C1175" s="46" t="s">
        <v>27</v>
      </c>
      <c r="D1175" s="46" t="s">
        <v>208</v>
      </c>
      <c r="E1175" s="46" t="s">
        <v>4531</v>
      </c>
      <c r="F1175" s="46" t="s">
        <v>318</v>
      </c>
      <c r="H1175" s="74" t="s">
        <v>2800</v>
      </c>
      <c r="I1175" s="114" t="s">
        <v>275</v>
      </c>
      <c r="K1175" s="109">
        <v>46237.268159722225</v>
      </c>
      <c r="L1175" s="109">
        <v>46237.268159722225</v>
      </c>
      <c r="M1175" s="166">
        <v>46237.422071759262</v>
      </c>
    </row>
    <row r="1176" spans="1:13" ht="15" customHeight="1">
      <c r="A1176" s="18">
        <v>1176</v>
      </c>
      <c r="B1176" s="46" t="s">
        <v>26</v>
      </c>
      <c r="C1176" s="46" t="s">
        <v>27</v>
      </c>
      <c r="D1176" s="46" t="s">
        <v>208</v>
      </c>
      <c r="E1176" s="46" t="s">
        <v>4532</v>
      </c>
      <c r="F1176" s="46" t="s">
        <v>318</v>
      </c>
      <c r="H1176" s="74" t="s">
        <v>2800</v>
      </c>
      <c r="I1176" s="114" t="s">
        <v>275</v>
      </c>
      <c r="K1176" s="109">
        <v>46237.269560185188</v>
      </c>
      <c r="L1176" s="109">
        <v>46237.269560185188</v>
      </c>
      <c r="M1176" s="166">
        <v>46237.422939814816</v>
      </c>
    </row>
    <row r="1177" spans="1:13" ht="15" customHeight="1">
      <c r="A1177" s="18">
        <v>1177</v>
      </c>
      <c r="B1177" s="46" t="s">
        <v>26</v>
      </c>
      <c r="C1177" s="46" t="s">
        <v>27</v>
      </c>
      <c r="D1177" s="46" t="s">
        <v>208</v>
      </c>
      <c r="E1177" s="46" t="s">
        <v>4533</v>
      </c>
      <c r="F1177" s="46" t="s">
        <v>318</v>
      </c>
      <c r="H1177" s="74" t="s">
        <v>2800</v>
      </c>
      <c r="I1177" s="114" t="s">
        <v>275</v>
      </c>
      <c r="K1177" s="109">
        <v>46237.272534722222</v>
      </c>
      <c r="L1177" s="109">
        <v>46237.272534722222</v>
      </c>
      <c r="M1177" s="166">
        <v>46237.423576388886</v>
      </c>
    </row>
    <row r="1178" spans="1:13" ht="15" customHeight="1">
      <c r="A1178" s="18">
        <v>1178</v>
      </c>
      <c r="B1178" s="46" t="s">
        <v>26</v>
      </c>
      <c r="C1178" s="46" t="s">
        <v>27</v>
      </c>
      <c r="D1178" s="46" t="s">
        <v>208</v>
      </c>
      <c r="E1178" s="46" t="s">
        <v>4534</v>
      </c>
      <c r="F1178" s="60" t="s">
        <v>320</v>
      </c>
      <c r="G1178" s="114" t="s">
        <v>208</v>
      </c>
      <c r="H1178" s="74" t="s">
        <v>4535</v>
      </c>
      <c r="I1178" s="114" t="s">
        <v>275</v>
      </c>
      <c r="K1178" s="109">
        <v>46237.272488425922</v>
      </c>
      <c r="L1178" s="109">
        <v>46237.272488425922</v>
      </c>
      <c r="M1178" s="166">
        <v>46237.351458333331</v>
      </c>
    </row>
    <row r="1179" spans="1:13" ht="15" customHeight="1">
      <c r="A1179" s="18">
        <v>1179</v>
      </c>
      <c r="B1179" s="46" t="s">
        <v>26</v>
      </c>
      <c r="C1179" s="46" t="s">
        <v>27</v>
      </c>
      <c r="D1179" s="46" t="s">
        <v>208</v>
      </c>
      <c r="E1179" s="46" t="s">
        <v>4536</v>
      </c>
      <c r="F1179" s="60" t="s">
        <v>320</v>
      </c>
      <c r="G1179" s="114" t="s">
        <v>208</v>
      </c>
      <c r="H1179" s="74" t="s">
        <v>4537</v>
      </c>
      <c r="I1179" s="114" t="s">
        <v>275</v>
      </c>
      <c r="K1179" s="109">
        <v>46237.270601851851</v>
      </c>
      <c r="L1179" s="109">
        <v>46237.270601851851</v>
      </c>
      <c r="M1179" s="166">
        <v>46237.350972222222</v>
      </c>
    </row>
    <row r="1180" spans="1:13" ht="15" customHeight="1">
      <c r="A1180" s="18">
        <v>1180</v>
      </c>
      <c r="B1180" s="46" t="s">
        <v>26</v>
      </c>
      <c r="C1180" s="46" t="s">
        <v>27</v>
      </c>
      <c r="D1180" s="46" t="s">
        <v>208</v>
      </c>
      <c r="E1180" s="46" t="s">
        <v>4538</v>
      </c>
      <c r="F1180" s="60" t="s">
        <v>320</v>
      </c>
      <c r="G1180" s="114" t="s">
        <v>208</v>
      </c>
      <c r="H1180" s="74" t="s">
        <v>4539</v>
      </c>
      <c r="I1180" s="114" t="s">
        <v>275</v>
      </c>
      <c r="K1180" s="109">
        <v>46237.271550925929</v>
      </c>
      <c r="L1180" s="109">
        <v>46237.271550925929</v>
      </c>
      <c r="M1180" s="166">
        <v>46237.352303240739</v>
      </c>
    </row>
    <row r="1181" spans="1:13" ht="15" customHeight="1">
      <c r="A1181" s="18">
        <v>1181</v>
      </c>
      <c r="B1181" s="46" t="s">
        <v>26</v>
      </c>
      <c r="C1181" s="46" t="s">
        <v>27</v>
      </c>
      <c r="D1181" s="46" t="s">
        <v>208</v>
      </c>
      <c r="E1181" s="46" t="s">
        <v>4540</v>
      </c>
      <c r="F1181" s="60" t="s">
        <v>320</v>
      </c>
      <c r="G1181" s="114" t="s">
        <v>208</v>
      </c>
      <c r="H1181" s="74" t="s">
        <v>4541</v>
      </c>
      <c r="I1181" s="114" t="s">
        <v>275</v>
      </c>
      <c r="K1181" s="109">
        <v>46237.270682870374</v>
      </c>
      <c r="L1181" s="109">
        <v>46237.270682870374</v>
      </c>
      <c r="M1181" s="166">
        <v>46237.352673611109</v>
      </c>
    </row>
    <row r="1182" spans="1:13" ht="15" customHeight="1">
      <c r="A1182" s="18">
        <v>1182</v>
      </c>
      <c r="B1182" s="46" t="s">
        <v>26</v>
      </c>
      <c r="C1182" s="46" t="s">
        <v>27</v>
      </c>
      <c r="D1182" s="46" t="s">
        <v>208</v>
      </c>
      <c r="E1182" s="46" t="s">
        <v>4542</v>
      </c>
      <c r="F1182" s="60" t="s">
        <v>320</v>
      </c>
      <c r="G1182" s="114" t="s">
        <v>208</v>
      </c>
      <c r="H1182" s="74" t="s">
        <v>4543</v>
      </c>
      <c r="I1182" s="114" t="s">
        <v>275</v>
      </c>
      <c r="K1182" s="109">
        <v>46237.26866898148</v>
      </c>
      <c r="L1182" s="109">
        <v>46237.26866898148</v>
      </c>
      <c r="M1182" s="166">
        <v>46237.353206018517</v>
      </c>
    </row>
    <row r="1183" spans="1:13" ht="15" customHeight="1">
      <c r="A1183" s="18">
        <v>1183</v>
      </c>
      <c r="B1183" s="46" t="s">
        <v>26</v>
      </c>
      <c r="C1183" s="46" t="s">
        <v>27</v>
      </c>
      <c r="D1183" s="46" t="s">
        <v>208</v>
      </c>
      <c r="E1183" s="46" t="s">
        <v>4544</v>
      </c>
      <c r="F1183" s="60" t="s">
        <v>320</v>
      </c>
      <c r="G1183" s="114" t="s">
        <v>208</v>
      </c>
      <c r="H1183" s="74" t="s">
        <v>4545</v>
      </c>
      <c r="I1183" s="114" t="s">
        <v>275</v>
      </c>
      <c r="K1183" s="109">
        <v>46237.26630787037</v>
      </c>
      <c r="L1183" s="109">
        <v>46237.26630787037</v>
      </c>
      <c r="M1183" s="166">
        <v>46237.353680555556</v>
      </c>
    </row>
    <row r="1184" spans="1:13" ht="15" customHeight="1">
      <c r="A1184" s="18">
        <v>1184</v>
      </c>
      <c r="B1184" s="46" t="s">
        <v>26</v>
      </c>
      <c r="C1184" s="46" t="s">
        <v>27</v>
      </c>
      <c r="D1184" s="46" t="s">
        <v>208</v>
      </c>
      <c r="E1184" s="46" t="s">
        <v>4546</v>
      </c>
      <c r="F1184" s="60" t="s">
        <v>320</v>
      </c>
      <c r="G1184" s="114" t="s">
        <v>208</v>
      </c>
      <c r="H1184" s="74" t="s">
        <v>4547</v>
      </c>
      <c r="I1184" s="114" t="s">
        <v>275</v>
      </c>
      <c r="K1184" s="109">
        <v>46237.264780092592</v>
      </c>
      <c r="L1184" s="109">
        <v>46237.264780092592</v>
      </c>
      <c r="M1184" s="166">
        <v>46237.354224537034</v>
      </c>
    </row>
    <row r="1185" spans="1:14" ht="15" customHeight="1">
      <c r="A1185" s="18">
        <v>1185</v>
      </c>
      <c r="B1185" s="46" t="s">
        <v>26</v>
      </c>
      <c r="C1185" s="46" t="s">
        <v>27</v>
      </c>
      <c r="D1185" s="46" t="s">
        <v>208</v>
      </c>
      <c r="E1185" s="46" t="s">
        <v>4548</v>
      </c>
      <c r="F1185" s="60" t="s">
        <v>320</v>
      </c>
      <c r="G1185" s="114" t="s">
        <v>208</v>
      </c>
      <c r="H1185" s="74" t="s">
        <v>4549</v>
      </c>
      <c r="I1185" s="114" t="s">
        <v>275</v>
      </c>
      <c r="K1185" s="109">
        <v>46237.264340277776</v>
      </c>
      <c r="L1185" s="109">
        <v>46237.264340277776</v>
      </c>
      <c r="M1185" s="166">
        <v>46237.354675925926</v>
      </c>
    </row>
    <row r="1186" spans="1:14" ht="15" customHeight="1">
      <c r="A1186" s="18">
        <v>1186</v>
      </c>
      <c r="B1186" s="46" t="s">
        <v>26</v>
      </c>
      <c r="C1186" s="46" t="s">
        <v>27</v>
      </c>
      <c r="D1186" s="46" t="s">
        <v>208</v>
      </c>
      <c r="E1186" s="46" t="s">
        <v>4550</v>
      </c>
      <c r="F1186" s="60" t="s">
        <v>320</v>
      </c>
      <c r="G1186" s="114" t="s">
        <v>208</v>
      </c>
      <c r="H1186" s="74" t="s">
        <v>4551</v>
      </c>
      <c r="I1186" s="114" t="s">
        <v>275</v>
      </c>
      <c r="K1186" s="109">
        <v>46237.26326388889</v>
      </c>
      <c r="L1186" s="109">
        <v>46237.26326388889</v>
      </c>
      <c r="M1186" s="166">
        <v>46237.355057870373</v>
      </c>
    </row>
    <row r="1187" spans="1:14" ht="15" customHeight="1">
      <c r="A1187" s="18">
        <v>1187</v>
      </c>
      <c r="B1187" s="46" t="s">
        <v>26</v>
      </c>
      <c r="C1187" s="46" t="s">
        <v>27</v>
      </c>
      <c r="D1187" s="46" t="s">
        <v>208</v>
      </c>
      <c r="E1187" s="46" t="s">
        <v>4502</v>
      </c>
      <c r="F1187" s="60" t="s">
        <v>320</v>
      </c>
      <c r="G1187" s="114" t="s">
        <v>208</v>
      </c>
      <c r="H1187" s="74" t="s">
        <v>4503</v>
      </c>
      <c r="I1187" s="114" t="s">
        <v>275</v>
      </c>
      <c r="K1187" s="109">
        <v>46237.265219907407</v>
      </c>
      <c r="L1187" s="166">
        <v>46237.411365740743</v>
      </c>
      <c r="M1187" s="166">
        <v>46237.427916666667</v>
      </c>
    </row>
    <row r="1188" spans="1:14" ht="15" customHeight="1">
      <c r="A1188" s="18">
        <v>1188</v>
      </c>
      <c r="B1188" s="46" t="s">
        <v>26</v>
      </c>
      <c r="C1188" s="46" t="s">
        <v>54</v>
      </c>
      <c r="D1188" s="46" t="s">
        <v>207</v>
      </c>
      <c r="E1188" s="46" t="s">
        <v>4552</v>
      </c>
      <c r="F1188" s="251" t="s">
        <v>53</v>
      </c>
      <c r="G1188" s="114">
        <v>3</v>
      </c>
      <c r="H1188" s="74" t="s">
        <v>4553</v>
      </c>
      <c r="I1188" s="114" t="s">
        <v>260</v>
      </c>
      <c r="J1188" t="s">
        <v>3132</v>
      </c>
      <c r="K1188" s="109">
        <v>46237.44568287037</v>
      </c>
      <c r="L1188" s="166">
        <v>46237.461226851854</v>
      </c>
      <c r="M1188" s="166">
        <v>46237.468831018516</v>
      </c>
    </row>
    <row r="1189" spans="1:14" ht="15" customHeight="1">
      <c r="A1189" s="18">
        <v>1189</v>
      </c>
      <c r="B1189" s="46" t="s">
        <v>26</v>
      </c>
      <c r="C1189" s="46" t="s">
        <v>27</v>
      </c>
      <c r="D1189" s="46" t="s">
        <v>207</v>
      </c>
      <c r="E1189" s="46" t="s">
        <v>4554</v>
      </c>
      <c r="F1189" s="46" t="s">
        <v>318</v>
      </c>
      <c r="G1189" s="114">
        <v>3</v>
      </c>
      <c r="H1189" s="74" t="s">
        <v>2707</v>
      </c>
      <c r="I1189" s="114" t="s">
        <v>260</v>
      </c>
      <c r="J1189" s="301" t="s">
        <v>2708</v>
      </c>
      <c r="K1189" s="109">
        <v>46237.630914351852</v>
      </c>
      <c r="L1189" s="109">
        <v>46237.683622685188</v>
      </c>
      <c r="M1189" s="109">
        <v>46238.271493055552</v>
      </c>
    </row>
    <row r="1190" spans="1:14" ht="15" customHeight="1">
      <c r="A1190" s="18">
        <v>1190</v>
      </c>
      <c r="B1190" s="46" t="s">
        <v>26</v>
      </c>
      <c r="C1190" s="46" t="s">
        <v>27</v>
      </c>
      <c r="D1190" s="46" t="s">
        <v>207</v>
      </c>
      <c r="E1190" s="46" t="s">
        <v>4555</v>
      </c>
      <c r="F1190" s="46" t="s">
        <v>318</v>
      </c>
      <c r="G1190" s="114">
        <v>3</v>
      </c>
      <c r="H1190" s="74" t="s">
        <v>2724</v>
      </c>
      <c r="I1190" s="114" t="s">
        <v>260</v>
      </c>
      <c r="J1190" s="295" t="s">
        <v>2738</v>
      </c>
      <c r="K1190" s="109">
        <v>46237.991226851853</v>
      </c>
      <c r="L1190" s="109">
        <v>46237.991226851853</v>
      </c>
      <c r="M1190" s="109">
        <v>46238.272256944445</v>
      </c>
    </row>
    <row r="1191" spans="1:14" ht="15" customHeight="1">
      <c r="A1191" s="18">
        <v>1191</v>
      </c>
      <c r="B1191" s="46" t="s">
        <v>26</v>
      </c>
      <c r="C1191" s="46" t="s">
        <v>27</v>
      </c>
      <c r="D1191" s="46" t="s">
        <v>207</v>
      </c>
      <c r="E1191" s="46" t="s">
        <v>4556</v>
      </c>
      <c r="F1191" s="46" t="s">
        <v>318</v>
      </c>
      <c r="G1191" s="114">
        <v>3</v>
      </c>
      <c r="H1191" s="74" t="s">
        <v>2724</v>
      </c>
      <c r="I1191" s="114" t="s">
        <v>260</v>
      </c>
      <c r="J1191" s="295" t="s">
        <v>2725</v>
      </c>
      <c r="K1191" s="109">
        <v>46237.992002314815</v>
      </c>
      <c r="L1191" s="109">
        <v>46237.992002314815</v>
      </c>
      <c r="M1191" s="109">
        <v>46238.272673611114</v>
      </c>
    </row>
    <row r="1192" spans="1:14" ht="15" customHeight="1">
      <c r="A1192" s="18">
        <v>1192</v>
      </c>
      <c r="B1192" s="46" t="s">
        <v>26</v>
      </c>
      <c r="C1192" s="46" t="s">
        <v>27</v>
      </c>
      <c r="D1192" s="46" t="s">
        <v>207</v>
      </c>
      <c r="E1192" s="46" t="s">
        <v>4557</v>
      </c>
      <c r="F1192" s="46" t="s">
        <v>318</v>
      </c>
      <c r="G1192" s="114">
        <v>3</v>
      </c>
      <c r="H1192" s="74" t="s">
        <v>2724</v>
      </c>
      <c r="I1192" s="114" t="s">
        <v>271</v>
      </c>
      <c r="J1192" s="295" t="s">
        <v>2772</v>
      </c>
      <c r="K1192" s="109">
        <v>46237.778009259258</v>
      </c>
      <c r="L1192" s="109">
        <v>46237.778009259258</v>
      </c>
      <c r="M1192" s="109">
        <v>46238.273090277777</v>
      </c>
      <c r="N1192" s="109">
        <v>46239.272245370368</v>
      </c>
    </row>
    <row r="1193" spans="1:14" ht="15" customHeight="1">
      <c r="A1193" s="18">
        <v>1193</v>
      </c>
      <c r="B1193" s="46" t="s">
        <v>26</v>
      </c>
      <c r="C1193" s="46" t="s">
        <v>27</v>
      </c>
      <c r="D1193" s="46" t="s">
        <v>207</v>
      </c>
      <c r="E1193" s="46" t="s">
        <v>4558</v>
      </c>
      <c r="F1193" s="46" t="s">
        <v>318</v>
      </c>
      <c r="G1193" s="114">
        <v>3</v>
      </c>
      <c r="H1193" s="74" t="s">
        <v>2775</v>
      </c>
      <c r="I1193" s="114" t="s">
        <v>260</v>
      </c>
      <c r="J1193" s="295" t="s">
        <v>2751</v>
      </c>
      <c r="K1193" s="109">
        <v>46238.308657407404</v>
      </c>
      <c r="L1193" s="109">
        <v>46238.308657407404</v>
      </c>
      <c r="M1193" s="109">
        <v>46238.311180555553</v>
      </c>
    </row>
    <row r="1194" spans="1:14" ht="15" customHeight="1">
      <c r="A1194" s="18">
        <v>1194</v>
      </c>
      <c r="B1194" s="46" t="s">
        <v>26</v>
      </c>
      <c r="C1194" s="46" t="s">
        <v>27</v>
      </c>
      <c r="D1194" s="46" t="s">
        <v>208</v>
      </c>
      <c r="E1194" s="46" t="s">
        <v>4559</v>
      </c>
      <c r="F1194" s="46" t="s">
        <v>318</v>
      </c>
      <c r="G1194" s="114" t="s">
        <v>208</v>
      </c>
      <c r="H1194" s="74" t="s">
        <v>2750</v>
      </c>
      <c r="I1194" s="114" t="s">
        <v>260</v>
      </c>
      <c r="J1194" s="295" t="s">
        <v>2827</v>
      </c>
      <c r="K1194" s="109">
        <v>46238.314375000002</v>
      </c>
      <c r="L1194" s="109">
        <v>46238.314375000002</v>
      </c>
      <c r="M1194" s="109">
        <v>46238.346273148149</v>
      </c>
    </row>
    <row r="1195" spans="1:14" ht="15" customHeight="1">
      <c r="A1195" s="18">
        <v>1195</v>
      </c>
      <c r="B1195" s="46" t="s">
        <v>26</v>
      </c>
      <c r="C1195" s="46" t="s">
        <v>27</v>
      </c>
      <c r="D1195" s="46" t="s">
        <v>207</v>
      </c>
      <c r="E1195" s="46" t="s">
        <v>4560</v>
      </c>
      <c r="F1195" s="46" t="s">
        <v>318</v>
      </c>
      <c r="G1195" s="114">
        <v>3</v>
      </c>
      <c r="H1195" s="74" t="s">
        <v>2707</v>
      </c>
      <c r="I1195" s="114" t="s">
        <v>260</v>
      </c>
      <c r="J1195" s="301" t="s">
        <v>2708</v>
      </c>
      <c r="K1195" s="109">
        <v>46238.379027777781</v>
      </c>
      <c r="L1195" s="109">
        <v>46238.381030092591</v>
      </c>
      <c r="M1195" s="109">
        <v>46238.408321759256</v>
      </c>
    </row>
    <row r="1196" spans="1:14" ht="15" customHeight="1">
      <c r="A1196" s="18">
        <v>1196</v>
      </c>
      <c r="B1196" s="46" t="s">
        <v>26</v>
      </c>
      <c r="C1196" s="46" t="s">
        <v>27</v>
      </c>
      <c r="D1196" s="46" t="s">
        <v>207</v>
      </c>
      <c r="E1196" s="46" t="s">
        <v>4561</v>
      </c>
      <c r="F1196" s="46" t="s">
        <v>318</v>
      </c>
      <c r="G1196" s="114">
        <v>3</v>
      </c>
      <c r="H1196" s="74" t="s">
        <v>2724</v>
      </c>
      <c r="I1196" s="114" t="s">
        <v>260</v>
      </c>
      <c r="J1196" s="295" t="s">
        <v>2738</v>
      </c>
      <c r="K1196" s="109">
        <v>46238.993460648147</v>
      </c>
      <c r="L1196" s="109">
        <v>46238.993460648147</v>
      </c>
      <c r="M1196" s="166">
        <v>46239.230706018519</v>
      </c>
    </row>
    <row r="1197" spans="1:14" ht="15" customHeight="1">
      <c r="A1197" s="18">
        <v>1197</v>
      </c>
      <c r="B1197" s="46" t="s">
        <v>26</v>
      </c>
      <c r="C1197" s="46" t="s">
        <v>27</v>
      </c>
      <c r="D1197" s="46" t="s">
        <v>207</v>
      </c>
      <c r="E1197" s="46" t="s">
        <v>4562</v>
      </c>
      <c r="F1197" s="46" t="s">
        <v>318</v>
      </c>
      <c r="G1197" s="114">
        <v>3</v>
      </c>
      <c r="H1197" s="74" t="s">
        <v>2759</v>
      </c>
      <c r="I1197" s="114" t="s">
        <v>260</v>
      </c>
      <c r="J1197" s="295" t="s">
        <v>2708</v>
      </c>
      <c r="K1197" s="166">
        <v>46239.059282407405</v>
      </c>
      <c r="L1197" s="166">
        <v>46239.059849537036</v>
      </c>
      <c r="M1197" s="166">
        <v>46239.22923611111</v>
      </c>
    </row>
    <row r="1198" spans="1:14" ht="15" customHeight="1">
      <c r="A1198" s="18">
        <v>1198</v>
      </c>
      <c r="B1198" s="46" t="s">
        <v>26</v>
      </c>
      <c r="C1198" s="46" t="s">
        <v>27</v>
      </c>
      <c r="D1198" s="46" t="s">
        <v>207</v>
      </c>
      <c r="E1198" s="46" t="s">
        <v>4563</v>
      </c>
      <c r="F1198" s="46" t="s">
        <v>318</v>
      </c>
      <c r="G1198" s="114">
        <v>3</v>
      </c>
      <c r="H1198" s="74" t="s">
        <v>2707</v>
      </c>
      <c r="I1198" s="114" t="s">
        <v>260</v>
      </c>
      <c r="J1198" s="295" t="s">
        <v>2708</v>
      </c>
      <c r="K1198" s="166">
        <v>46238.692465277774</v>
      </c>
      <c r="L1198" s="166">
        <v>46238.692708333336</v>
      </c>
      <c r="M1198" s="166">
        <v>46239.228495370371</v>
      </c>
    </row>
    <row r="1199" spans="1:14" ht="15" customHeight="1">
      <c r="A1199" s="18">
        <v>1199</v>
      </c>
      <c r="B1199" s="46" t="s">
        <v>26</v>
      </c>
      <c r="C1199" s="46" t="s">
        <v>27</v>
      </c>
      <c r="D1199" s="46" t="s">
        <v>207</v>
      </c>
      <c r="E1199" s="46" t="s">
        <v>4564</v>
      </c>
      <c r="F1199" s="46" t="s">
        <v>318</v>
      </c>
      <c r="G1199" s="114">
        <v>3</v>
      </c>
      <c r="H1199" s="74" t="s">
        <v>4565</v>
      </c>
      <c r="I1199" s="114" t="s">
        <v>260</v>
      </c>
      <c r="J1199" s="295" t="s">
        <v>2700</v>
      </c>
      <c r="K1199" s="166">
        <v>46238.55369212963</v>
      </c>
      <c r="L1199" s="166">
        <v>46238.67428240741</v>
      </c>
      <c r="M1199" s="166">
        <v>46239.229803240742</v>
      </c>
    </row>
    <row r="1200" spans="1:14" ht="15" customHeight="1">
      <c r="A1200" s="18">
        <v>1200</v>
      </c>
      <c r="E1200" s="67" t="s">
        <v>4566</v>
      </c>
      <c r="J1200" s="295" t="s">
        <v>2703</v>
      </c>
    </row>
    <row r="1201" spans="1:13" ht="15" customHeight="1">
      <c r="A1201" s="18">
        <v>1201</v>
      </c>
      <c r="E1201" s="67" t="s">
        <v>4567</v>
      </c>
      <c r="J1201" s="295" t="s">
        <v>2694</v>
      </c>
    </row>
    <row r="1202" spans="1:13" ht="15" customHeight="1">
      <c r="A1202" s="18">
        <v>1202</v>
      </c>
      <c r="E1202" t="s">
        <v>4568</v>
      </c>
      <c r="J1202" s="295" t="s">
        <v>2703</v>
      </c>
    </row>
    <row r="1203" spans="1:13" ht="15" customHeight="1">
      <c r="A1203" s="18">
        <v>1203</v>
      </c>
      <c r="E1203" t="s">
        <v>4569</v>
      </c>
      <c r="J1203" s="295" t="s">
        <v>2697</v>
      </c>
    </row>
    <row r="1204" spans="1:13" ht="15" customHeight="1">
      <c r="A1204" s="18">
        <v>1204</v>
      </c>
      <c r="E1204" t="s">
        <v>4570</v>
      </c>
      <c r="J1204" s="295" t="s">
        <v>2708</v>
      </c>
    </row>
    <row r="1205" spans="1:13" ht="15" customHeight="1">
      <c r="A1205" s="18">
        <v>1205</v>
      </c>
      <c r="E1205" t="s">
        <v>4571</v>
      </c>
      <c r="J1205" s="295" t="s">
        <v>3132</v>
      </c>
    </row>
    <row r="1206" spans="1:13" ht="15" customHeight="1">
      <c r="A1206" s="18">
        <v>1206</v>
      </c>
      <c r="E1206" t="s">
        <v>4572</v>
      </c>
      <c r="J1206" s="295" t="s">
        <v>2703</v>
      </c>
    </row>
    <row r="1207" spans="1:13" ht="15" customHeight="1">
      <c r="A1207" s="18">
        <v>1207</v>
      </c>
      <c r="E1207" t="s">
        <v>4573</v>
      </c>
      <c r="J1207" s="295" t="s">
        <v>2703</v>
      </c>
    </row>
    <row r="1208" spans="1:13" ht="15" customHeight="1">
      <c r="A1208" s="18">
        <v>1208</v>
      </c>
      <c r="E1208" t="s">
        <v>4574</v>
      </c>
      <c r="J1208" s="295" t="s">
        <v>2694</v>
      </c>
    </row>
    <row r="1209" spans="1:13" ht="15" customHeight="1">
      <c r="A1209" s="18">
        <v>1209</v>
      </c>
    </row>
    <row r="1210" spans="1:13" ht="15" customHeight="1">
      <c r="A1210" s="18">
        <v>1210</v>
      </c>
      <c r="E1210" s="274" t="s">
        <v>4575</v>
      </c>
      <c r="F1210" s="46" t="s">
        <v>318</v>
      </c>
      <c r="G1210" s="114">
        <v>3</v>
      </c>
      <c r="H1210" s="74" t="s">
        <v>2724</v>
      </c>
      <c r="I1210" s="114" t="s">
        <v>260</v>
      </c>
      <c r="J1210" s="295" t="s">
        <v>2738</v>
      </c>
      <c r="K1210" s="166">
        <v>46239.807916666665</v>
      </c>
      <c r="L1210" s="166">
        <v>46239.808240740742</v>
      </c>
      <c r="M1210" s="197" t="s">
        <v>4576</v>
      </c>
    </row>
    <row r="1211" spans="1:13" ht="15" customHeight="1">
      <c r="A1211" s="18">
        <v>1211</v>
      </c>
      <c r="E1211" s="274" t="s">
        <v>4577</v>
      </c>
      <c r="F1211" s="46" t="s">
        <v>318</v>
      </c>
      <c r="H1211" s="74" t="s">
        <v>2707</v>
      </c>
      <c r="I1211" s="114" t="s">
        <v>260</v>
      </c>
      <c r="J1211" s="295" t="s">
        <v>2708</v>
      </c>
      <c r="K1211" s="166">
        <v>46239.60465277778</v>
      </c>
      <c r="L1211" s="109">
        <v>46239.604664351849</v>
      </c>
      <c r="M1211" s="166">
        <v>46240.239687499998</v>
      </c>
    </row>
    <row r="1212" spans="1:13" ht="15" customHeight="1">
      <c r="A1212" s="18">
        <v>1212</v>
      </c>
      <c r="E1212" s="46" t="s">
        <v>4578</v>
      </c>
      <c r="F1212" s="46" t="s">
        <v>318</v>
      </c>
      <c r="H1212" s="74" t="s">
        <v>4579</v>
      </c>
      <c r="I1212" s="114" t="s">
        <v>260</v>
      </c>
      <c r="J1212" s="295" t="s">
        <v>2700</v>
      </c>
      <c r="K1212" s="166">
        <v>46240.083078703705</v>
      </c>
      <c r="L1212" s="166">
        <v>46240.083368055559</v>
      </c>
      <c r="M1212" s="166">
        <v>46240.244120370371</v>
      </c>
    </row>
    <row r="1213" spans="1:13" ht="15" customHeight="1">
      <c r="A1213" s="18">
        <v>1213</v>
      </c>
      <c r="B1213" s="46" t="s">
        <v>26</v>
      </c>
      <c r="C1213" s="46" t="s">
        <v>27</v>
      </c>
      <c r="D1213" s="46" t="s">
        <v>207</v>
      </c>
      <c r="E1213" s="46" t="s">
        <v>4580</v>
      </c>
      <c r="F1213" s="46" t="s">
        <v>318</v>
      </c>
      <c r="G1213" s="114">
        <v>3</v>
      </c>
      <c r="H1213" s="74" t="s">
        <v>4581</v>
      </c>
      <c r="I1213" s="114" t="s">
        <v>275</v>
      </c>
      <c r="J1213" s="295" t="s">
        <v>2738</v>
      </c>
      <c r="K1213" s="166">
        <v>46240.383125</v>
      </c>
      <c r="L1213" s="166">
        <v>46240.409375000003</v>
      </c>
      <c r="M1213" s="166">
        <v>46240.432291666664</v>
      </c>
    </row>
    <row r="1214" spans="1:13" ht="15" customHeight="1">
      <c r="A1214" s="18">
        <v>1214</v>
      </c>
      <c r="B1214" s="46" t="s">
        <v>26</v>
      </c>
      <c r="C1214" s="46" t="s">
        <v>27</v>
      </c>
      <c r="D1214" s="46" t="s">
        <v>207</v>
      </c>
      <c r="E1214" s="46" t="s">
        <v>4582</v>
      </c>
      <c r="F1214" s="46" t="s">
        <v>327</v>
      </c>
      <c r="G1214" s="114">
        <v>3</v>
      </c>
      <c r="H1214" s="74" t="s">
        <v>4583</v>
      </c>
      <c r="I1214" s="114" t="s">
        <v>275</v>
      </c>
      <c r="K1214" s="109">
        <v>46240.281793981485</v>
      </c>
      <c r="L1214" s="109">
        <v>46240.281793981485</v>
      </c>
      <c r="M1214" s="109">
        <v>46240.459768518522</v>
      </c>
    </row>
    <row r="1215" spans="1:13" ht="15" customHeight="1">
      <c r="A1215" s="18">
        <v>1215</v>
      </c>
    </row>
    <row r="1216" spans="1:13" ht="15" customHeight="1">
      <c r="A1216" s="18">
        <v>1216</v>
      </c>
    </row>
    <row r="1217" spans="1:40" ht="15" customHeight="1">
      <c r="A1217" s="46">
        <v>1217</v>
      </c>
      <c r="B1217" s="46" t="s">
        <v>26</v>
      </c>
      <c r="C1217" s="46" t="s">
        <v>54</v>
      </c>
      <c r="D1217" s="46" t="s">
        <v>207</v>
      </c>
      <c r="E1217" t="s">
        <v>4457</v>
      </c>
      <c r="F1217" s="46" t="s">
        <v>325</v>
      </c>
      <c r="G1217" s="114">
        <v>3</v>
      </c>
      <c r="H1217" s="74" t="s">
        <v>4458</v>
      </c>
      <c r="I1217" s="114" t="s">
        <v>271</v>
      </c>
      <c r="J1217" s="410" t="s">
        <v>2872</v>
      </c>
      <c r="K1217" s="109">
        <v>46233.498888888891</v>
      </c>
      <c r="L1217" s="166">
        <v>46237.298900462964</v>
      </c>
      <c r="M1217" s="166">
        <v>46237.300243055557</v>
      </c>
      <c r="N1217" s="166">
        <v>46237.472766203704</v>
      </c>
    </row>
    <row r="1218" spans="1:40" ht="15" customHeight="1">
      <c r="A1218" s="46">
        <v>1218</v>
      </c>
      <c r="B1218" s="46" t="s">
        <v>26</v>
      </c>
      <c r="C1218" s="46" t="s">
        <v>54</v>
      </c>
      <c r="D1218" s="46" t="s">
        <v>207</v>
      </c>
      <c r="E1218" t="s">
        <v>4489</v>
      </c>
      <c r="F1218" s="46" t="s">
        <v>325</v>
      </c>
      <c r="G1218" s="114">
        <v>4</v>
      </c>
      <c r="H1218" s="74" t="s">
        <v>4490</v>
      </c>
      <c r="I1218" s="114" t="s">
        <v>275</v>
      </c>
      <c r="J1218" s="409" t="s">
        <v>2872</v>
      </c>
      <c r="K1218" s="109">
        <v>46233.45349537037</v>
      </c>
      <c r="L1218" s="166">
        <v>46237.30195601852</v>
      </c>
      <c r="M1218" s="166">
        <v>46237.30704861111</v>
      </c>
      <c r="N1218" s="166">
        <v>46238.412129629629</v>
      </c>
    </row>
    <row r="1219" spans="1:40" ht="15" customHeight="1">
      <c r="A1219" s="46">
        <v>1219</v>
      </c>
      <c r="B1219" s="46" t="s">
        <v>26</v>
      </c>
      <c r="C1219" s="46" t="s">
        <v>54</v>
      </c>
      <c r="D1219" s="46" t="s">
        <v>207</v>
      </c>
      <c r="E1219" t="s">
        <v>4584</v>
      </c>
      <c r="F1219" s="46" t="s">
        <v>325</v>
      </c>
      <c r="G1219" s="114">
        <v>3</v>
      </c>
      <c r="H1219" s="74" t="s">
        <v>4585</v>
      </c>
      <c r="I1219" s="114" t="s">
        <v>275</v>
      </c>
      <c r="J1219" s="409" t="s">
        <v>2872</v>
      </c>
      <c r="K1219" s="109">
        <v>46232.557083333333</v>
      </c>
      <c r="L1219" s="166">
        <v>46237.421759259261</v>
      </c>
      <c r="M1219" s="166">
        <v>46237.471944444442</v>
      </c>
      <c r="N1219" s="166">
        <v>46238.253344907411</v>
      </c>
    </row>
    <row r="1220" spans="1:40" ht="15" customHeight="1">
      <c r="A1220" s="46">
        <v>1220</v>
      </c>
      <c r="B1220" s="46" t="s">
        <v>26</v>
      </c>
      <c r="C1220" s="46" t="s">
        <v>54</v>
      </c>
      <c r="D1220" s="46" t="s">
        <v>208</v>
      </c>
      <c r="E1220" t="s">
        <v>4158</v>
      </c>
      <c r="F1220" s="46" t="s">
        <v>325</v>
      </c>
      <c r="G1220" s="114" t="s">
        <v>208</v>
      </c>
      <c r="H1220" s="268" t="s">
        <v>3038</v>
      </c>
      <c r="I1220" s="114" t="s">
        <v>271</v>
      </c>
      <c r="J1220" s="298" t="s">
        <v>2872</v>
      </c>
      <c r="K1220" s="109">
        <v>46202.535162037035</v>
      </c>
      <c r="L1220" s="166">
        <v>46237.563217592593</v>
      </c>
      <c r="M1220" s="166">
        <v>46237.660543981481</v>
      </c>
      <c r="N1220" s="166">
        <v>46238.354016203702</v>
      </c>
    </row>
    <row r="1221" spans="1:40" ht="15" customHeight="1">
      <c r="A1221" s="46">
        <v>1221</v>
      </c>
      <c r="B1221" s="46" t="s">
        <v>26</v>
      </c>
      <c r="C1221" s="46" t="s">
        <v>54</v>
      </c>
      <c r="D1221" s="46" t="s">
        <v>208</v>
      </c>
      <c r="E1221" t="s">
        <v>4586</v>
      </c>
      <c r="F1221" s="46" t="s">
        <v>325</v>
      </c>
      <c r="G1221" s="114" t="s">
        <v>208</v>
      </c>
      <c r="H1221" s="74" t="s">
        <v>4155</v>
      </c>
      <c r="I1221" s="114" t="s">
        <v>275</v>
      </c>
      <c r="J1221" s="251" t="s">
        <v>2872</v>
      </c>
      <c r="K1221" s="166">
        <v>46238.359432870369</v>
      </c>
      <c r="L1221" s="166">
        <v>46238.359432870369</v>
      </c>
      <c r="M1221" s="166">
        <v>46238.360474537039</v>
      </c>
      <c r="N1221" s="166">
        <v>46239.414351851854</v>
      </c>
    </row>
    <row r="1222" spans="1:40" ht="15" customHeight="1">
      <c r="A1222" s="46">
        <v>1222</v>
      </c>
      <c r="B1222" s="46" t="s">
        <v>26</v>
      </c>
      <c r="C1222" s="46" t="s">
        <v>54</v>
      </c>
      <c r="D1222" s="46" t="s">
        <v>208</v>
      </c>
      <c r="E1222" t="s">
        <v>4587</v>
      </c>
      <c r="F1222" s="46" t="s">
        <v>325</v>
      </c>
      <c r="G1222" s="114" t="s">
        <v>208</v>
      </c>
      <c r="H1222" s="74" t="s">
        <v>4588</v>
      </c>
      <c r="I1222" s="114" t="s">
        <v>271</v>
      </c>
      <c r="J1222" s="295" t="s">
        <v>2872</v>
      </c>
      <c r="K1222" s="109">
        <v>46238.358958333331</v>
      </c>
      <c r="L1222" s="166">
        <v>46238.358958333331</v>
      </c>
      <c r="M1222" s="166">
        <v>46238.36078703704</v>
      </c>
      <c r="N1222" s="109">
        <v>46239.305868055555</v>
      </c>
    </row>
    <row r="1223" spans="1:40" ht="15" customHeight="1">
      <c r="A1223" s="46">
        <v>1223</v>
      </c>
      <c r="B1223" s="46" t="s">
        <v>26</v>
      </c>
      <c r="C1223" s="46" t="s">
        <v>54</v>
      </c>
      <c r="D1223" s="46" t="s">
        <v>208</v>
      </c>
      <c r="E1223" t="s">
        <v>4589</v>
      </c>
      <c r="F1223" s="46" t="s">
        <v>325</v>
      </c>
      <c r="G1223" s="114" t="s">
        <v>208</v>
      </c>
      <c r="H1223" s="74" t="s">
        <v>4590</v>
      </c>
      <c r="I1223" s="114" t="s">
        <v>271</v>
      </c>
      <c r="J1223" s="295" t="s">
        <v>2872</v>
      </c>
      <c r="K1223" s="109">
        <v>46238.394768518519</v>
      </c>
      <c r="L1223" s="166">
        <v>46238.396516203706</v>
      </c>
      <c r="M1223" s="166">
        <v>46238.402245370373</v>
      </c>
      <c r="N1223" s="109">
        <v>139</v>
      </c>
      <c r="Z1223" s="46"/>
      <c r="AA1223" s="46"/>
      <c r="AB1223" s="46"/>
      <c r="AC1223" s="46"/>
      <c r="AD1223" s="46"/>
      <c r="AE1223" s="31" t="s">
        <v>4591</v>
      </c>
      <c r="AF1223" s="31" t="s">
        <v>4592</v>
      </c>
      <c r="AG1223" s="31" t="s">
        <v>26</v>
      </c>
      <c r="AH1223" s="31">
        <v>143</v>
      </c>
      <c r="AI1223" s="31" t="s">
        <v>4593</v>
      </c>
      <c r="AJ1223" s="31" t="s">
        <v>4594</v>
      </c>
      <c r="AK1223" s="46" t="s">
        <v>26</v>
      </c>
      <c r="AL1223" s="46">
        <v>15</v>
      </c>
      <c r="AM1223" s="46" t="s">
        <v>4595</v>
      </c>
      <c r="AN1223" s="46" t="s">
        <v>4596</v>
      </c>
    </row>
    <row r="1224" spans="1:40" ht="15" customHeight="1">
      <c r="A1224" s="46">
        <v>1224</v>
      </c>
      <c r="B1224" s="46" t="s">
        <v>26</v>
      </c>
      <c r="C1224" s="46" t="s">
        <v>54</v>
      </c>
      <c r="D1224" s="46" t="s">
        <v>208</v>
      </c>
      <c r="E1224" t="s">
        <v>4597</v>
      </c>
      <c r="F1224" s="46" t="s">
        <v>325</v>
      </c>
      <c r="G1224" s="114" t="s">
        <v>208</v>
      </c>
      <c r="H1224" s="74" t="s">
        <v>3038</v>
      </c>
      <c r="I1224" s="114" t="s">
        <v>275</v>
      </c>
      <c r="J1224" t="s">
        <v>2697</v>
      </c>
      <c r="K1224" s="109">
        <v>46234.328622685185</v>
      </c>
      <c r="L1224" s="166">
        <v>46238.487638888888</v>
      </c>
      <c r="M1224" s="166">
        <v>46238.501423611109</v>
      </c>
      <c r="N1224" s="166">
        <v>46239.539212962962</v>
      </c>
    </row>
    <row r="1225" spans="1:40" ht="15" customHeight="1">
      <c r="A1225" s="46">
        <v>1225</v>
      </c>
      <c r="B1225" s="46" t="s">
        <v>26</v>
      </c>
      <c r="C1225" s="46" t="s">
        <v>54</v>
      </c>
      <c r="D1225" s="46" t="s">
        <v>208</v>
      </c>
      <c r="E1225" t="s">
        <v>4488</v>
      </c>
      <c r="F1225" s="46" t="s">
        <v>325</v>
      </c>
      <c r="G1225" s="114" t="s">
        <v>208</v>
      </c>
      <c r="H1225" s="74" t="s">
        <v>3038</v>
      </c>
      <c r="I1225" s="114" t="s">
        <v>275</v>
      </c>
      <c r="J1225" s="295" t="s">
        <v>2697</v>
      </c>
      <c r="K1225" s="109">
        <v>46218.643553240741</v>
      </c>
      <c r="L1225" s="166">
        <v>46233.629270833335</v>
      </c>
      <c r="M1225" s="166">
        <v>46234.249074074076</v>
      </c>
      <c r="N1225" s="166">
        <v>46237.30097222222</v>
      </c>
    </row>
    <row r="1226" spans="1:40" ht="15" customHeight="1">
      <c r="A1226" s="46">
        <v>1226</v>
      </c>
      <c r="B1226" s="46" t="s">
        <v>26</v>
      </c>
      <c r="C1226" s="46" t="s">
        <v>54</v>
      </c>
      <c r="D1226" s="46" t="s">
        <v>208</v>
      </c>
      <c r="E1226" t="s">
        <v>4488</v>
      </c>
      <c r="F1226" s="46" t="s">
        <v>325</v>
      </c>
      <c r="G1226" s="114" t="s">
        <v>208</v>
      </c>
      <c r="H1226" s="74" t="s">
        <v>3038</v>
      </c>
      <c r="I1226" s="114" t="s">
        <v>275</v>
      </c>
      <c r="J1226" s="295" t="s">
        <v>2697</v>
      </c>
      <c r="K1226" s="109">
        <v>46218.643553240741</v>
      </c>
      <c r="L1226" s="166">
        <v>46238.473124999997</v>
      </c>
      <c r="M1226" s="166">
        <v>46238.50204861111</v>
      </c>
      <c r="N1226" s="166">
        <v>46239.272962962961</v>
      </c>
    </row>
    <row r="1227" spans="1:40" ht="15" customHeight="1">
      <c r="A1227" s="46">
        <v>1227</v>
      </c>
      <c r="B1227" s="46" t="s">
        <v>26</v>
      </c>
      <c r="C1227" s="46" t="s">
        <v>54</v>
      </c>
      <c r="D1227" s="46" t="s">
        <v>208</v>
      </c>
      <c r="E1227" t="s">
        <v>4598</v>
      </c>
      <c r="F1227" s="46" t="s">
        <v>325</v>
      </c>
      <c r="G1227" s="114" t="s">
        <v>208</v>
      </c>
      <c r="H1227" s="74" t="s">
        <v>4599</v>
      </c>
      <c r="I1227" s="114" t="s">
        <v>275</v>
      </c>
      <c r="J1227" s="295" t="s">
        <v>2872</v>
      </c>
      <c r="K1227" s="109">
        <v>46240.262800925928</v>
      </c>
      <c r="L1227" s="166">
        <v>46240.387407407405</v>
      </c>
      <c r="M1227" s="166">
        <v>46240.396053240744</v>
      </c>
    </row>
    <row r="1228" spans="1:40" ht="15" customHeight="1">
      <c r="A1228" s="46">
        <v>1228</v>
      </c>
      <c r="B1228" s="46" t="s">
        <v>26</v>
      </c>
      <c r="C1228" s="46" t="s">
        <v>54</v>
      </c>
      <c r="D1228" s="46" t="s">
        <v>208</v>
      </c>
      <c r="E1228" t="s">
        <v>4488</v>
      </c>
      <c r="F1228" s="46" t="s">
        <v>325</v>
      </c>
      <c r="G1228" s="114" t="s">
        <v>208</v>
      </c>
      <c r="H1228" s="74" t="s">
        <v>3038</v>
      </c>
      <c r="I1228" s="114" t="s">
        <v>271</v>
      </c>
      <c r="J1228" s="295" t="s">
        <v>2697</v>
      </c>
      <c r="K1228" s="109">
        <v>46218.643553240741</v>
      </c>
      <c r="L1228" s="166">
        <v>46240.394837962966</v>
      </c>
      <c r="M1228" s="166">
        <v>46240.39675925926</v>
      </c>
      <c r="N1228" s="166">
        <v>46240.450868055559</v>
      </c>
    </row>
    <row r="1229" spans="1:40" ht="15" customHeight="1">
      <c r="A1229" s="46">
        <v>1229</v>
      </c>
      <c r="B1229" s="46" t="s">
        <v>26</v>
      </c>
      <c r="C1229" s="46" t="s">
        <v>54</v>
      </c>
      <c r="D1229" s="46" t="s">
        <v>207</v>
      </c>
      <c r="E1229" s="46" t="s">
        <v>4600</v>
      </c>
      <c r="F1229" s="46" t="s">
        <v>53</v>
      </c>
      <c r="G1229" s="114">
        <v>3</v>
      </c>
      <c r="H1229" s="74" t="s">
        <v>4601</v>
      </c>
      <c r="I1229" s="114" t="s">
        <v>260</v>
      </c>
      <c r="J1229" s="295" t="s">
        <v>2708</v>
      </c>
      <c r="K1229" s="109">
        <v>46240.575023148151</v>
      </c>
      <c r="L1229" s="166">
        <v>46240.575023148151</v>
      </c>
      <c r="M1229" s="166">
        <v>46240.649074074077</v>
      </c>
    </row>
    <row r="1230" spans="1:40" ht="15" customHeight="1">
      <c r="A1230" s="46">
        <v>1230</v>
      </c>
      <c r="B1230" s="46" t="s">
        <v>26</v>
      </c>
      <c r="C1230" s="46" t="s">
        <v>54</v>
      </c>
      <c r="D1230" s="46" t="s">
        <v>207</v>
      </c>
      <c r="E1230" s="46" t="s">
        <v>4602</v>
      </c>
      <c r="F1230" s="46" t="s">
        <v>53</v>
      </c>
      <c r="G1230" s="114">
        <v>3</v>
      </c>
      <c r="H1230" s="74" t="s">
        <v>4603</v>
      </c>
      <c r="I1230" s="114" t="s">
        <v>260</v>
      </c>
      <c r="J1230" s="295" t="s">
        <v>2697</v>
      </c>
      <c r="K1230" s="166">
        <v>46240.60832175926</v>
      </c>
      <c r="L1230" s="166">
        <v>46240.614363425928</v>
      </c>
      <c r="M1230" s="166">
        <v>46240.652361111112</v>
      </c>
    </row>
    <row r="1231" spans="1:40" ht="15" customHeight="1">
      <c r="B1231" s="46" t="s">
        <v>26</v>
      </c>
      <c r="C1231" s="46" t="s">
        <v>27</v>
      </c>
      <c r="D1231" s="46" t="s">
        <v>207</v>
      </c>
      <c r="E1231" s="46" t="s">
        <v>4604</v>
      </c>
      <c r="F1231" s="46" t="s">
        <v>318</v>
      </c>
      <c r="G1231" s="114">
        <v>3</v>
      </c>
      <c r="H1231" s="74" t="s">
        <v>2707</v>
      </c>
      <c r="I1231" s="114" t="s">
        <v>260</v>
      </c>
      <c r="J1231" s="295" t="s">
        <v>2708</v>
      </c>
      <c r="K1231" s="109">
        <v>46240.618958333333</v>
      </c>
      <c r="L1231" s="109">
        <v>46240.698136574072</v>
      </c>
      <c r="M1231" s="109">
        <v>46241.266412037039</v>
      </c>
    </row>
    <row r="1232" spans="1:40" ht="15" customHeight="1">
      <c r="B1232" s="46" t="s">
        <v>26</v>
      </c>
      <c r="C1232" s="46" t="s">
        <v>27</v>
      </c>
      <c r="D1232" s="46" t="s">
        <v>207</v>
      </c>
      <c r="E1232" s="46" t="s">
        <v>4605</v>
      </c>
      <c r="F1232" s="46" t="s">
        <v>318</v>
      </c>
      <c r="G1232" s="114">
        <v>3</v>
      </c>
      <c r="H1232" s="74" t="s">
        <v>4606</v>
      </c>
      <c r="I1232" s="114" t="s">
        <v>260</v>
      </c>
      <c r="J1232" s="295" t="s">
        <v>2725</v>
      </c>
      <c r="K1232" s="109">
        <v>46240.644050925926</v>
      </c>
      <c r="L1232" s="109">
        <v>46240.645590277774</v>
      </c>
      <c r="M1232" s="109">
        <v>46241.268275462964</v>
      </c>
    </row>
    <row r="1233" spans="1:14" ht="15" customHeight="1">
      <c r="B1233" s="46" t="s">
        <v>26</v>
      </c>
      <c r="C1233" s="46" t="s">
        <v>27</v>
      </c>
      <c r="D1233" s="46" t="s">
        <v>207</v>
      </c>
      <c r="E1233" s="46" t="s">
        <v>4607</v>
      </c>
      <c r="F1233" s="46" t="s">
        <v>318</v>
      </c>
      <c r="G1233" s="114">
        <v>4</v>
      </c>
      <c r="H1233" s="74" t="s">
        <v>4608</v>
      </c>
      <c r="I1233" s="114" t="s">
        <v>260</v>
      </c>
      <c r="J1233" s="295" t="s">
        <v>2772</v>
      </c>
      <c r="K1233" s="109">
        <v>46241.015543981484</v>
      </c>
      <c r="L1233" s="109">
        <v>46241.018067129633</v>
      </c>
      <c r="M1233" s="109">
        <v>46241.270868055559</v>
      </c>
    </row>
    <row r="1234" spans="1:14" ht="15" customHeight="1">
      <c r="B1234" s="46" t="s">
        <v>26</v>
      </c>
      <c r="C1234" s="46" t="s">
        <v>27</v>
      </c>
      <c r="D1234" s="46" t="s">
        <v>207</v>
      </c>
      <c r="E1234" s="46" t="s">
        <v>4609</v>
      </c>
      <c r="F1234" s="46" t="s">
        <v>318</v>
      </c>
      <c r="G1234" s="114">
        <v>4</v>
      </c>
      <c r="H1234" s="74" t="s">
        <v>2775</v>
      </c>
      <c r="I1234" s="114" t="s">
        <v>260</v>
      </c>
      <c r="J1234" s="295" t="s">
        <v>2738</v>
      </c>
      <c r="K1234" s="109">
        <v>46240.975972222222</v>
      </c>
      <c r="L1234" s="109">
        <v>46240.975972222222</v>
      </c>
      <c r="M1234" s="109">
        <v>46241.272291666668</v>
      </c>
    </row>
    <row r="1235" spans="1:14" ht="15" customHeight="1">
      <c r="B1235" s="46" t="s">
        <v>26</v>
      </c>
      <c r="C1235" s="46" t="s">
        <v>27</v>
      </c>
      <c r="D1235" s="46" t="s">
        <v>207</v>
      </c>
      <c r="E1235" s="46" t="s">
        <v>4610</v>
      </c>
      <c r="F1235" s="46" t="s">
        <v>318</v>
      </c>
      <c r="G1235" s="114">
        <v>4</v>
      </c>
      <c r="H1235" s="74" t="s">
        <v>2724</v>
      </c>
      <c r="I1235" s="114" t="s">
        <v>260</v>
      </c>
      <c r="J1235" s="295" t="s">
        <v>2751</v>
      </c>
      <c r="K1235" s="109">
        <v>46240.827314814815</v>
      </c>
      <c r="L1235" s="109">
        <v>46240.827314814815</v>
      </c>
      <c r="M1235" s="109">
        <v>46241.274062500001</v>
      </c>
    </row>
    <row r="1236" spans="1:14" ht="15" customHeight="1">
      <c r="B1236" s="46" t="s">
        <v>26</v>
      </c>
      <c r="C1236" s="46" t="s">
        <v>27</v>
      </c>
      <c r="D1236" s="46" t="s">
        <v>207</v>
      </c>
      <c r="E1236" s="46" t="s">
        <v>4611</v>
      </c>
      <c r="F1236" s="46" t="s">
        <v>318</v>
      </c>
      <c r="G1236" s="114">
        <v>4</v>
      </c>
      <c r="H1236" s="74" t="s">
        <v>2724</v>
      </c>
      <c r="I1236" s="114" t="s">
        <v>260</v>
      </c>
      <c r="J1236" s="295" t="s">
        <v>2725</v>
      </c>
      <c r="K1236" s="109">
        <v>46240.593958333331</v>
      </c>
      <c r="L1236" s="109">
        <v>46240.593958333331</v>
      </c>
      <c r="M1236" s="109">
        <v>46241.274062500001</v>
      </c>
    </row>
    <row r="1237" spans="1:14" ht="15" customHeight="1">
      <c r="B1237" s="46" t="s">
        <v>26</v>
      </c>
      <c r="C1237" s="46" t="s">
        <v>27</v>
      </c>
      <c r="D1237" s="46" t="s">
        <v>207</v>
      </c>
      <c r="E1237" s="46" t="s">
        <v>4612</v>
      </c>
      <c r="F1237" s="46" t="s">
        <v>318</v>
      </c>
      <c r="G1237" s="114">
        <v>4</v>
      </c>
      <c r="H1237" s="74" t="s">
        <v>2724</v>
      </c>
      <c r="I1237" s="114" t="s">
        <v>260</v>
      </c>
      <c r="J1237" s="295" t="s">
        <v>2772</v>
      </c>
      <c r="K1237" s="109">
        <v>46240.607199074075</v>
      </c>
      <c r="L1237" s="109">
        <v>46240.607199074075</v>
      </c>
      <c r="M1237" s="109">
        <v>46241.278726851851</v>
      </c>
    </row>
    <row r="1238" spans="1:14" ht="15" customHeight="1">
      <c r="B1238" s="46" t="s">
        <v>26</v>
      </c>
      <c r="C1238" s="46" t="s">
        <v>27</v>
      </c>
      <c r="D1238" s="46" t="s">
        <v>207</v>
      </c>
      <c r="E1238" s="46" t="s">
        <v>4613</v>
      </c>
      <c r="F1238" s="46" t="s">
        <v>318</v>
      </c>
      <c r="G1238" s="114">
        <v>4</v>
      </c>
      <c r="H1238" s="74" t="s">
        <v>4614</v>
      </c>
      <c r="I1238" s="114" t="s">
        <v>260</v>
      </c>
      <c r="J1238" s="295" t="s">
        <v>2703</v>
      </c>
      <c r="K1238" s="109">
        <v>46240.661944444444</v>
      </c>
      <c r="L1238" s="109">
        <v>46240.661944444444</v>
      </c>
      <c r="M1238" s="109">
        <v>46241.280717592592</v>
      </c>
      <c r="N1238" s="74"/>
    </row>
    <row r="1239" spans="1:14" ht="15" customHeight="1">
      <c r="B1239" s="46" t="s">
        <v>26</v>
      </c>
      <c r="C1239" s="46" t="s">
        <v>27</v>
      </c>
      <c r="D1239" s="46" t="s">
        <v>207</v>
      </c>
      <c r="E1239" s="46" t="s">
        <v>4615</v>
      </c>
      <c r="F1239" s="46" t="s">
        <v>318</v>
      </c>
      <c r="G1239" s="114">
        <v>3</v>
      </c>
      <c r="H1239" s="74" t="s">
        <v>2707</v>
      </c>
      <c r="I1239" s="114" t="s">
        <v>260</v>
      </c>
      <c r="J1239" s="295" t="s">
        <v>2708</v>
      </c>
      <c r="K1239" s="109">
        <v>46241.292280092595</v>
      </c>
      <c r="L1239" s="109">
        <v>46241.29619212963</v>
      </c>
      <c r="M1239" s="109">
        <v>46241.428796296299</v>
      </c>
    </row>
    <row r="1240" spans="1:14" ht="15" customHeight="1">
      <c r="B1240" s="46" t="s">
        <v>26</v>
      </c>
      <c r="C1240" s="46" t="s">
        <v>27</v>
      </c>
      <c r="D1240" s="46" t="s">
        <v>207</v>
      </c>
      <c r="E1240" s="46" t="s">
        <v>4616</v>
      </c>
      <c r="F1240" s="46" t="s">
        <v>318</v>
      </c>
      <c r="G1240" s="114">
        <v>4</v>
      </c>
      <c r="H1240" s="74" t="s">
        <v>2724</v>
      </c>
      <c r="I1240" s="114" t="s">
        <v>260</v>
      </c>
      <c r="J1240" s="295" t="s">
        <v>2738</v>
      </c>
      <c r="K1240" s="109">
        <v>46241.318379629629</v>
      </c>
      <c r="L1240" s="166">
        <v>46241.318379629629</v>
      </c>
      <c r="M1240" s="109">
        <v>46241.429432870369</v>
      </c>
    </row>
    <row r="1241" spans="1:14" ht="15" customHeight="1">
      <c r="A1241" s="46">
        <v>1240</v>
      </c>
      <c r="B1241" s="46" t="s">
        <v>26</v>
      </c>
      <c r="C1241" s="46" t="s">
        <v>54</v>
      </c>
      <c r="D1241" s="46" t="s">
        <v>207</v>
      </c>
      <c r="E1241" s="46" t="s">
        <v>4617</v>
      </c>
      <c r="F1241" s="46" t="s">
        <v>336</v>
      </c>
      <c r="G1241" s="114">
        <v>3</v>
      </c>
      <c r="H1241" s="74" t="s">
        <v>4618</v>
      </c>
      <c r="I1241" s="114" t="s">
        <v>275</v>
      </c>
      <c r="J1241" s="295" t="s">
        <v>2697</v>
      </c>
      <c r="K1241" s="109">
        <v>46241.393761574072</v>
      </c>
      <c r="L1241" s="166">
        <v>46241.393761574072</v>
      </c>
      <c r="M1241" s="166">
        <v>46241.452974537038</v>
      </c>
      <c r="N1241" s="166">
        <v>46241.454733796294</v>
      </c>
    </row>
    <row r="1242" spans="1:14" ht="15" customHeight="1">
      <c r="A1242" s="46">
        <v>1241</v>
      </c>
      <c r="B1242" s="46" t="s">
        <v>26</v>
      </c>
      <c r="C1242" s="46" t="s">
        <v>54</v>
      </c>
      <c r="D1242" s="46" t="s">
        <v>208</v>
      </c>
      <c r="E1242" s="46" t="s">
        <v>4619</v>
      </c>
      <c r="F1242" s="46" t="s">
        <v>336</v>
      </c>
      <c r="G1242" s="114" t="s">
        <v>208</v>
      </c>
      <c r="H1242" s="74" t="s">
        <v>4620</v>
      </c>
      <c r="I1242" s="114" t="s">
        <v>260</v>
      </c>
      <c r="J1242" s="295" t="s">
        <v>2700</v>
      </c>
      <c r="K1242" s="109">
        <v>46241.3908912037</v>
      </c>
      <c r="L1242" s="166">
        <v>46241.401192129626</v>
      </c>
      <c r="M1242" s="166">
        <v>46241.513298611113</v>
      </c>
    </row>
    <row r="1243" spans="1:14" ht="15" customHeight="1">
      <c r="A1243" s="46">
        <v>1242</v>
      </c>
      <c r="B1243" s="46" t="s">
        <v>26</v>
      </c>
      <c r="C1243" s="46" t="s">
        <v>54</v>
      </c>
      <c r="D1243" s="46" t="s">
        <v>208</v>
      </c>
      <c r="E1243" t="s">
        <v>4621</v>
      </c>
      <c r="F1243" s="46" t="s">
        <v>325</v>
      </c>
      <c r="G1243" s="114" t="s">
        <v>208</v>
      </c>
      <c r="H1243" s="74" t="s">
        <v>2866</v>
      </c>
      <c r="I1243" s="114" t="s">
        <v>271</v>
      </c>
      <c r="J1243" s="295" t="s">
        <v>2872</v>
      </c>
      <c r="K1243" s="109">
        <v>46240.715428240743</v>
      </c>
      <c r="L1243" s="166">
        <v>46240.718275462961</v>
      </c>
      <c r="M1243" s="166">
        <v>46241.215694444443</v>
      </c>
    </row>
    <row r="1244" spans="1:14" ht="15" customHeight="1">
      <c r="A1244" s="46">
        <v>1243</v>
      </c>
      <c r="B1244" s="46" t="s">
        <v>26</v>
      </c>
      <c r="C1244" s="46" t="s">
        <v>54</v>
      </c>
      <c r="D1244" s="46" t="s">
        <v>208</v>
      </c>
      <c r="E1244" t="s">
        <v>4622</v>
      </c>
      <c r="F1244" s="46" t="s">
        <v>325</v>
      </c>
      <c r="G1244" s="114" t="s">
        <v>208</v>
      </c>
      <c r="H1244" s="74" t="s">
        <v>4623</v>
      </c>
      <c r="I1244" s="114" t="s">
        <v>271</v>
      </c>
      <c r="J1244" s="295" t="s">
        <v>2872</v>
      </c>
      <c r="K1244" s="109">
        <v>46241.266481481478</v>
      </c>
      <c r="L1244" s="166">
        <v>46241.266481481478</v>
      </c>
      <c r="M1244" s="166">
        <v>46241.267453703702</v>
      </c>
      <c r="N1244" s="166">
        <v>46241.402881944443</v>
      </c>
    </row>
    <row r="1245" spans="1:14" ht="15" customHeight="1">
      <c r="A1245" s="46">
        <v>1244</v>
      </c>
      <c r="B1245" s="46" t="s">
        <v>26</v>
      </c>
      <c r="C1245" s="46" t="s">
        <v>54</v>
      </c>
      <c r="D1245" s="46" t="s">
        <v>207</v>
      </c>
      <c r="E1245" t="s">
        <v>4624</v>
      </c>
      <c r="F1245" s="46" t="s">
        <v>53</v>
      </c>
      <c r="G1245" s="114">
        <v>3</v>
      </c>
      <c r="H1245" s="74" t="s">
        <v>54</v>
      </c>
      <c r="I1245" s="114" t="s">
        <v>260</v>
      </c>
      <c r="J1245" s="295" t="s">
        <v>2703</v>
      </c>
      <c r="K1245" s="109">
        <v>46242.194201388891</v>
      </c>
      <c r="L1245" s="166">
        <v>46242.320844907408</v>
      </c>
      <c r="M1245" s="166">
        <v>46244.21974537037</v>
      </c>
    </row>
    <row r="1246" spans="1:14" ht="15" customHeight="1">
      <c r="A1246" s="46">
        <v>1245</v>
      </c>
      <c r="B1246" s="46" t="s">
        <v>26</v>
      </c>
      <c r="C1246" s="46" t="s">
        <v>54</v>
      </c>
      <c r="D1246" s="46" t="s">
        <v>207</v>
      </c>
      <c r="E1246" t="s">
        <v>4625</v>
      </c>
      <c r="F1246" s="46" t="s">
        <v>53</v>
      </c>
      <c r="G1246" s="114">
        <v>3</v>
      </c>
      <c r="H1246" s="74" t="s">
        <v>4626</v>
      </c>
      <c r="I1246" s="114" t="s">
        <v>260</v>
      </c>
      <c r="J1246" s="295" t="s">
        <v>2708</v>
      </c>
      <c r="K1246" s="109">
        <v>46242.287118055552</v>
      </c>
      <c r="L1246" s="166">
        <v>46242.296736111108</v>
      </c>
      <c r="M1246" s="166">
        <v>46244.220486111109</v>
      </c>
    </row>
    <row r="1247" spans="1:14" ht="15" customHeight="1">
      <c r="A1247" s="46">
        <v>1246</v>
      </c>
      <c r="B1247" s="46" t="s">
        <v>26</v>
      </c>
      <c r="C1247" s="46" t="s">
        <v>54</v>
      </c>
      <c r="D1247" s="46" t="s">
        <v>207</v>
      </c>
      <c r="E1247" t="s">
        <v>4627</v>
      </c>
      <c r="F1247" s="46" t="s">
        <v>53</v>
      </c>
      <c r="G1247" s="114">
        <v>3</v>
      </c>
      <c r="H1247" s="74" t="s">
        <v>4628</v>
      </c>
      <c r="I1247" s="114" t="s">
        <v>260</v>
      </c>
      <c r="J1247" s="295" t="s">
        <v>2714</v>
      </c>
      <c r="K1247" s="109">
        <v>46242.554340277777</v>
      </c>
      <c r="L1247" s="166">
        <v>46242.560034722221</v>
      </c>
      <c r="M1247" s="166">
        <v>46244.221064814818</v>
      </c>
    </row>
    <row r="1248" spans="1:14" ht="15" customHeight="1">
      <c r="A1248" s="46">
        <v>1247</v>
      </c>
      <c r="B1248" s="46" t="s">
        <v>26</v>
      </c>
      <c r="C1248" s="46" t="s">
        <v>54</v>
      </c>
      <c r="D1248" s="46" t="s">
        <v>207</v>
      </c>
      <c r="E1248" s="46" t="s">
        <v>4629</v>
      </c>
      <c r="F1248" s="46" t="s">
        <v>53</v>
      </c>
      <c r="G1248" s="114">
        <v>4</v>
      </c>
      <c r="H1248" s="74" t="s">
        <v>4630</v>
      </c>
      <c r="I1248" s="114" t="s">
        <v>260</v>
      </c>
      <c r="J1248" s="295" t="s">
        <v>3132</v>
      </c>
      <c r="K1248" s="109">
        <v>46243.49800925926</v>
      </c>
      <c r="L1248" s="166">
        <v>46243.504583333335</v>
      </c>
      <c r="M1248" s="166">
        <v>46244.263414351852</v>
      </c>
    </row>
    <row r="1249" spans="1:14" ht="15" customHeight="1">
      <c r="A1249" s="46">
        <v>1248</v>
      </c>
      <c r="B1249" s="46" t="s">
        <v>26</v>
      </c>
      <c r="C1249" s="46" t="s">
        <v>27</v>
      </c>
      <c r="D1249" s="46" t="s">
        <v>207</v>
      </c>
      <c r="E1249" s="46" t="s">
        <v>4631</v>
      </c>
      <c r="F1249" s="46" t="s">
        <v>318</v>
      </c>
      <c r="G1249" s="114">
        <v>3</v>
      </c>
      <c r="H1249" s="74" t="s">
        <v>2707</v>
      </c>
      <c r="I1249" s="114" t="s">
        <v>260</v>
      </c>
      <c r="J1249" s="295" t="s">
        <v>2708</v>
      </c>
      <c r="K1249" s="109">
        <v>46241.674861111111</v>
      </c>
      <c r="L1249" s="109">
        <v>46241.698981481481</v>
      </c>
      <c r="M1249" s="109">
        <v>46244.287453703706</v>
      </c>
    </row>
    <row r="1250" spans="1:14" ht="15" customHeight="1">
      <c r="A1250" s="46">
        <v>1249</v>
      </c>
      <c r="B1250" s="46" t="s">
        <v>26</v>
      </c>
      <c r="C1250" s="46" t="s">
        <v>27</v>
      </c>
      <c r="D1250" s="46" t="s">
        <v>207</v>
      </c>
      <c r="E1250" s="46" t="s">
        <v>4632</v>
      </c>
      <c r="F1250" s="46" t="s">
        <v>318</v>
      </c>
      <c r="G1250" s="114">
        <v>4</v>
      </c>
      <c r="H1250" s="74" t="s">
        <v>4633</v>
      </c>
      <c r="I1250" s="114" t="s">
        <v>260</v>
      </c>
      <c r="J1250" s="295" t="s">
        <v>4634</v>
      </c>
      <c r="K1250" s="109">
        <v>46243.716493055559</v>
      </c>
      <c r="L1250" s="109">
        <v>46243.723877314813</v>
      </c>
      <c r="M1250" s="109">
        <v>46244.289236111108</v>
      </c>
    </row>
    <row r="1251" spans="1:14" ht="15" customHeight="1">
      <c r="A1251" s="46">
        <v>1250</v>
      </c>
      <c r="B1251" s="46" t="s">
        <v>26</v>
      </c>
      <c r="C1251" s="46" t="s">
        <v>27</v>
      </c>
      <c r="D1251" s="46" t="s">
        <v>207</v>
      </c>
      <c r="E1251" s="46" t="s">
        <v>4635</v>
      </c>
      <c r="F1251" s="46" t="s">
        <v>318</v>
      </c>
      <c r="G1251" s="114">
        <v>4</v>
      </c>
      <c r="H1251" s="74" t="s">
        <v>4636</v>
      </c>
      <c r="I1251" s="114" t="s">
        <v>260</v>
      </c>
      <c r="J1251" s="295" t="s">
        <v>2772</v>
      </c>
      <c r="K1251" s="109">
        <v>46243.566504629627</v>
      </c>
      <c r="L1251" s="109">
        <v>46243.56958333333</v>
      </c>
      <c r="M1251" s="109">
        <v>46244.290671296294</v>
      </c>
      <c r="N1251" s="295"/>
    </row>
    <row r="1252" spans="1:14" ht="15" customHeight="1">
      <c r="A1252" s="46">
        <v>1251</v>
      </c>
      <c r="B1252" s="46" t="s">
        <v>26</v>
      </c>
      <c r="C1252" s="46" t="s">
        <v>27</v>
      </c>
      <c r="D1252" s="46" t="s">
        <v>207</v>
      </c>
      <c r="E1252" s="46" t="s">
        <v>4637</v>
      </c>
      <c r="F1252" s="46" t="s">
        <v>318</v>
      </c>
      <c r="G1252" s="114">
        <v>4</v>
      </c>
      <c r="H1252" s="74" t="s">
        <v>4638</v>
      </c>
      <c r="I1252" s="114" t="s">
        <v>260</v>
      </c>
      <c r="J1252" s="295" t="s">
        <v>2725</v>
      </c>
      <c r="K1252" s="109">
        <v>46243.451967592591</v>
      </c>
      <c r="L1252" s="109">
        <v>46243.456319444442</v>
      </c>
      <c r="M1252" s="109">
        <v>46244.291886574072</v>
      </c>
    </row>
    <row r="1253" spans="1:14" ht="15" customHeight="1">
      <c r="A1253" s="46">
        <v>1252</v>
      </c>
      <c r="B1253" s="46" t="s">
        <v>26</v>
      </c>
      <c r="C1253" s="46" t="s">
        <v>27</v>
      </c>
      <c r="D1253" s="46" t="s">
        <v>208</v>
      </c>
      <c r="E1253" s="46" t="s">
        <v>4639</v>
      </c>
      <c r="F1253" s="46" t="s">
        <v>322</v>
      </c>
      <c r="G1253" s="114" t="s">
        <v>208</v>
      </c>
      <c r="H1253" s="74" t="s">
        <v>4640</v>
      </c>
      <c r="I1253" s="114" t="s">
        <v>260</v>
      </c>
      <c r="J1253" s="295" t="s">
        <v>2717</v>
      </c>
      <c r="K1253" s="109">
        <v>46244.267418981479</v>
      </c>
      <c r="L1253" s="109">
        <v>46244.267418981479</v>
      </c>
      <c r="M1253" s="109">
        <v>46244.288958333331</v>
      </c>
      <c r="N1253" s="109">
        <v>46244.29315972222</v>
      </c>
    </row>
    <row r="1254" spans="1:14" ht="15" customHeight="1">
      <c r="A1254" s="46">
        <v>1253</v>
      </c>
      <c r="B1254" s="46" t="s">
        <v>26</v>
      </c>
      <c r="C1254" s="46" t="s">
        <v>27</v>
      </c>
      <c r="D1254" s="46" t="s">
        <v>208</v>
      </c>
      <c r="E1254" s="206" t="s">
        <v>4641</v>
      </c>
      <c r="F1254" s="46" t="s">
        <v>4642</v>
      </c>
      <c r="G1254" s="114" t="s">
        <v>208</v>
      </c>
      <c r="H1254" s="74" t="s">
        <v>4643</v>
      </c>
      <c r="I1254" s="114" t="s">
        <v>260</v>
      </c>
      <c r="K1254" s="166">
        <v>46244.274791666663</v>
      </c>
      <c r="L1254" s="166">
        <v>46244.309120370373</v>
      </c>
      <c r="M1254" s="166">
        <v>46244.309120370373</v>
      </c>
    </row>
    <row r="1255" spans="1:14" ht="15" customHeight="1">
      <c r="B1255" s="46" t="s">
        <v>26</v>
      </c>
      <c r="C1255" s="46" t="s">
        <v>27</v>
      </c>
      <c r="D1255" s="46" t="s">
        <v>208</v>
      </c>
      <c r="E1255" s="46" t="s">
        <v>4644</v>
      </c>
      <c r="F1255" s="46" t="s">
        <v>4642</v>
      </c>
      <c r="G1255" s="114" t="s">
        <v>208</v>
      </c>
      <c r="H1255" s="74" t="s">
        <v>4645</v>
      </c>
      <c r="I1255" s="114" t="s">
        <v>260</v>
      </c>
      <c r="K1255" s="166">
        <v>46244.2731712963</v>
      </c>
      <c r="L1255" s="166">
        <v>46244.311550925922</v>
      </c>
      <c r="M1255" s="166">
        <v>46244.311550925922</v>
      </c>
    </row>
    <row r="1256" spans="1:14" ht="15" customHeight="1">
      <c r="B1256" s="46" t="s">
        <v>26</v>
      </c>
      <c r="C1256" s="46" t="s">
        <v>27</v>
      </c>
      <c r="D1256" s="46" t="s">
        <v>208</v>
      </c>
      <c r="E1256" s="46" t="s">
        <v>4646</v>
      </c>
      <c r="F1256" s="46" t="s">
        <v>4642</v>
      </c>
      <c r="G1256" s="114" t="s">
        <v>208</v>
      </c>
      <c r="H1256" s="74" t="s">
        <v>4647</v>
      </c>
      <c r="I1256" s="114" t="s">
        <v>260</v>
      </c>
      <c r="K1256" s="166">
        <v>46244.313460648147</v>
      </c>
      <c r="L1256" s="166">
        <v>46244.313460648147</v>
      </c>
      <c r="M1256" s="166">
        <v>46244.313460648147</v>
      </c>
    </row>
    <row r="1257" spans="1:14" ht="15" customHeight="1">
      <c r="B1257" s="46" t="s">
        <v>26</v>
      </c>
      <c r="C1257" s="46" t="s">
        <v>27</v>
      </c>
      <c r="D1257" s="46" t="s">
        <v>208</v>
      </c>
      <c r="E1257" s="46" t="s">
        <v>4648</v>
      </c>
      <c r="F1257" s="46" t="s">
        <v>4642</v>
      </c>
      <c r="G1257" s="114" t="s">
        <v>208</v>
      </c>
      <c r="H1257" s="74" t="s">
        <v>4649</v>
      </c>
      <c r="I1257" s="114" t="s">
        <v>260</v>
      </c>
      <c r="K1257" s="166">
        <v>46244.270648148151</v>
      </c>
      <c r="L1257" s="166">
        <v>46244.315393518518</v>
      </c>
      <c r="M1257" s="166">
        <v>46244.315393518518</v>
      </c>
    </row>
    <row r="1258" spans="1:14" ht="15" customHeight="1">
      <c r="B1258" s="46" t="s">
        <v>26</v>
      </c>
      <c r="C1258" s="46" t="s">
        <v>27</v>
      </c>
      <c r="D1258" s="46" t="s">
        <v>208</v>
      </c>
      <c r="E1258" s="46" t="s">
        <v>4650</v>
      </c>
      <c r="F1258" s="46" t="s">
        <v>4642</v>
      </c>
      <c r="G1258" s="114" t="s">
        <v>208</v>
      </c>
      <c r="H1258" s="74" t="s">
        <v>4651</v>
      </c>
      <c r="I1258" s="114" t="s">
        <v>260</v>
      </c>
      <c r="K1258" s="166">
        <v>46244.27039351852</v>
      </c>
      <c r="L1258" s="166">
        <v>46244.317013888889</v>
      </c>
      <c r="M1258" s="166">
        <v>46244.317013888889</v>
      </c>
    </row>
    <row r="1259" spans="1:14" ht="15" customHeight="1">
      <c r="B1259" s="46" t="s">
        <v>26</v>
      </c>
      <c r="C1259" s="46" t="s">
        <v>27</v>
      </c>
      <c r="D1259" s="46" t="s">
        <v>208</v>
      </c>
      <c r="E1259" s="46" t="s">
        <v>4652</v>
      </c>
      <c r="F1259" s="46" t="s">
        <v>4642</v>
      </c>
      <c r="G1259" s="114" t="s">
        <v>208</v>
      </c>
      <c r="H1259" s="74" t="s">
        <v>4653</v>
      </c>
      <c r="I1259" s="114" t="s">
        <v>260</v>
      </c>
      <c r="K1259" s="166">
        <v>46244.269502314812</v>
      </c>
      <c r="L1259" s="166">
        <v>46244.318414351852</v>
      </c>
      <c r="M1259" s="166">
        <v>46244.318414351852</v>
      </c>
    </row>
    <row r="1260" spans="1:14" ht="15" customHeight="1">
      <c r="B1260" s="46" t="s">
        <v>26</v>
      </c>
      <c r="C1260" s="46" t="s">
        <v>27</v>
      </c>
      <c r="D1260" s="46" t="s">
        <v>208</v>
      </c>
      <c r="E1260" s="274" t="s">
        <v>4654</v>
      </c>
      <c r="F1260" s="46" t="s">
        <v>4642</v>
      </c>
      <c r="G1260" s="114" t="s">
        <v>208</v>
      </c>
      <c r="H1260" s="74" t="s">
        <v>4655</v>
      </c>
      <c r="I1260" s="114" t="s">
        <v>260</v>
      </c>
      <c r="K1260" s="166">
        <v>46244.267789351848</v>
      </c>
      <c r="L1260" s="166">
        <v>46244.320289351854</v>
      </c>
      <c r="M1260" s="166">
        <v>46244.320289351854</v>
      </c>
    </row>
    <row r="1261" spans="1:14" ht="15" customHeight="1">
      <c r="B1261" s="46" t="s">
        <v>26</v>
      </c>
      <c r="C1261" s="46" t="s">
        <v>27</v>
      </c>
      <c r="D1261" s="46" t="s">
        <v>208</v>
      </c>
      <c r="E1261" s="46" t="s">
        <v>4656</v>
      </c>
      <c r="F1261" s="46" t="s">
        <v>4642</v>
      </c>
      <c r="G1261" s="114" t="s">
        <v>208</v>
      </c>
      <c r="H1261" s="74" t="s">
        <v>4657</v>
      </c>
      <c r="I1261" s="114" t="s">
        <v>260</v>
      </c>
      <c r="K1261" s="166">
        <v>46244.266134259262</v>
      </c>
      <c r="L1261" s="166">
        <v>46244.322152777779</v>
      </c>
      <c r="M1261" s="166">
        <v>46244.322152777779</v>
      </c>
    </row>
    <row r="1262" spans="1:14" ht="15" customHeight="1">
      <c r="B1262" s="46" t="s">
        <v>26</v>
      </c>
      <c r="C1262" s="46" t="s">
        <v>27</v>
      </c>
      <c r="D1262" s="46" t="s">
        <v>208</v>
      </c>
      <c r="F1262" s="46" t="s">
        <v>4642</v>
      </c>
      <c r="G1262" s="114" t="s">
        <v>208</v>
      </c>
      <c r="H1262" s="74" t="s">
        <v>4658</v>
      </c>
      <c r="I1262" s="114" t="s">
        <v>260</v>
      </c>
      <c r="K1262" s="166">
        <v>46244.265208333331</v>
      </c>
      <c r="L1262" s="166">
        <v>46244.323472222219</v>
      </c>
      <c r="M1262" s="166">
        <v>46244.323472222219</v>
      </c>
    </row>
    <row r="1263" spans="1:14" ht="15" customHeight="1">
      <c r="B1263" s="46" t="s">
        <v>26</v>
      </c>
      <c r="C1263" s="46" t="s">
        <v>27</v>
      </c>
      <c r="D1263" s="46" t="s">
        <v>208</v>
      </c>
      <c r="F1263" s="46" t="s">
        <v>4642</v>
      </c>
      <c r="G1263" s="114" t="s">
        <v>208</v>
      </c>
      <c r="H1263" s="74" t="s">
        <v>4659</v>
      </c>
      <c r="I1263" s="114" t="s">
        <v>260</v>
      </c>
      <c r="K1263" s="166">
        <v>46244.326365740744</v>
      </c>
      <c r="L1263" s="166">
        <v>46244.264884259261</v>
      </c>
      <c r="M1263" s="166">
        <v>46244.326365740744</v>
      </c>
    </row>
    <row r="1264" spans="1:14" ht="15" customHeight="1">
      <c r="B1264" s="46" t="s">
        <v>26</v>
      </c>
      <c r="C1264" s="46" t="s">
        <v>27</v>
      </c>
      <c r="D1264" s="46" t="s">
        <v>207</v>
      </c>
      <c r="E1264" s="46" t="s">
        <v>4660</v>
      </c>
      <c r="F1264" s="46" t="s">
        <v>318</v>
      </c>
      <c r="G1264" s="114">
        <v>3</v>
      </c>
      <c r="H1264" s="74" t="s">
        <v>4661</v>
      </c>
      <c r="I1264" s="114" t="s">
        <v>260</v>
      </c>
      <c r="J1264" s="295" t="s">
        <v>2751</v>
      </c>
      <c r="K1264" s="109">
        <v>46240.692812499998</v>
      </c>
      <c r="L1264" s="109">
        <v>46244.298495370371</v>
      </c>
      <c r="M1264" s="109">
        <v>46244.313692129632</v>
      </c>
    </row>
    <row r="1265" spans="2:14" ht="15" customHeight="1">
      <c r="B1265" s="46" t="s">
        <v>26</v>
      </c>
      <c r="C1265" s="46" t="s">
        <v>27</v>
      </c>
      <c r="D1265" s="46" t="s">
        <v>207</v>
      </c>
      <c r="E1265" s="46" t="s">
        <v>4662</v>
      </c>
      <c r="F1265" s="46" t="s">
        <v>318</v>
      </c>
      <c r="G1265" s="114">
        <v>3</v>
      </c>
      <c r="H1265" s="74" t="s">
        <v>4016</v>
      </c>
      <c r="I1265" s="114" t="s">
        <v>260</v>
      </c>
      <c r="J1265" s="295" t="s">
        <v>2703</v>
      </c>
      <c r="K1265" s="109">
        <v>46244.337835648148</v>
      </c>
      <c r="L1265" s="109">
        <v>46244.341435185182</v>
      </c>
      <c r="N1265" s="114"/>
    </row>
    <row r="1266" spans="2:14" ht="15" customHeight="1">
      <c r="B1266" s="67" t="s">
        <v>26</v>
      </c>
      <c r="C1266" s="67" t="s">
        <v>54</v>
      </c>
      <c r="D1266" s="67" t="s">
        <v>207</v>
      </c>
      <c r="E1266" s="67" t="s">
        <v>4257</v>
      </c>
      <c r="F1266" s="357" t="s">
        <v>53</v>
      </c>
      <c r="G1266" s="67">
        <v>4</v>
      </c>
      <c r="H1266" s="357" t="s">
        <v>4258</v>
      </c>
      <c r="I1266" s="357" t="s">
        <v>271</v>
      </c>
      <c r="J1266" s="357" t="s">
        <v>2697</v>
      </c>
      <c r="K1266" s="68">
        <v>46225.498229166667</v>
      </c>
      <c r="L1266" s="166">
        <v>46226.607187499998</v>
      </c>
      <c r="M1266" s="166">
        <v>46226.719351851854</v>
      </c>
      <c r="N1266" s="68">
        <v>46231.259004629632</v>
      </c>
    </row>
    <row r="1267" spans="2:14" ht="15" customHeight="1">
      <c r="B1267" s="67" t="s">
        <v>26</v>
      </c>
      <c r="C1267" s="67" t="s">
        <v>54</v>
      </c>
      <c r="D1267" s="67" t="s">
        <v>207</v>
      </c>
      <c r="E1267" s="67" t="s">
        <v>4663</v>
      </c>
      <c r="F1267" s="357" t="s">
        <v>53</v>
      </c>
      <c r="G1267" s="67">
        <v>4</v>
      </c>
      <c r="H1267" s="357" t="s">
        <v>4664</v>
      </c>
      <c r="I1267" s="357" t="s">
        <v>4665</v>
      </c>
      <c r="J1267" s="357" t="s">
        <v>2703</v>
      </c>
      <c r="K1267" s="68">
        <v>46225.382164351853</v>
      </c>
      <c r="L1267" s="166">
        <v>46231.506932870368</v>
      </c>
      <c r="M1267" s="166">
        <v>46231.512164351851</v>
      </c>
      <c r="N1267" s="68">
        <v>46241.525972222225</v>
      </c>
    </row>
    <row r="1268" spans="2:14" ht="15" customHeight="1">
      <c r="B1268" s="67" t="s">
        <v>26</v>
      </c>
      <c r="C1268" s="67" t="s">
        <v>54</v>
      </c>
      <c r="D1268" s="67" t="s">
        <v>207</v>
      </c>
      <c r="E1268" s="67" t="s">
        <v>4666</v>
      </c>
      <c r="F1268" s="357" t="s">
        <v>53</v>
      </c>
      <c r="G1268" s="357">
        <v>3</v>
      </c>
      <c r="H1268" s="357" t="s">
        <v>4667</v>
      </c>
      <c r="I1268" s="357" t="s">
        <v>4668</v>
      </c>
      <c r="J1268" s="357" t="s">
        <v>2714</v>
      </c>
      <c r="K1268" s="68">
        <v>46227.621655092589</v>
      </c>
      <c r="L1268" s="166">
        <v>46227.644999999997</v>
      </c>
      <c r="M1268" s="166">
        <v>46230.249050925922</v>
      </c>
      <c r="N1268" s="67"/>
    </row>
    <row r="1269" spans="2:14" ht="15" customHeight="1">
      <c r="B1269" s="67" t="s">
        <v>26</v>
      </c>
      <c r="C1269" s="67" t="s">
        <v>54</v>
      </c>
      <c r="D1269" s="67" t="s">
        <v>207</v>
      </c>
      <c r="E1269" s="67" t="s">
        <v>4423</v>
      </c>
      <c r="F1269" s="357" t="s">
        <v>53</v>
      </c>
      <c r="G1269" s="357">
        <v>4</v>
      </c>
      <c r="H1269" s="357" t="s">
        <v>4424</v>
      </c>
      <c r="I1269" s="357" t="s">
        <v>271</v>
      </c>
      <c r="J1269" s="357" t="s">
        <v>2694</v>
      </c>
      <c r="K1269" s="68">
        <v>46229.365972222222</v>
      </c>
      <c r="L1269" s="166">
        <v>46232.320219907408</v>
      </c>
      <c r="M1269" s="166">
        <v>46232.340682870374</v>
      </c>
      <c r="N1269" s="68">
        <v>46237.789618055554</v>
      </c>
    </row>
    <row r="1270" spans="2:14" ht="15" customHeight="1">
      <c r="B1270" s="67" t="s">
        <v>26</v>
      </c>
      <c r="C1270" s="67" t="s">
        <v>54</v>
      </c>
      <c r="D1270" s="67" t="s">
        <v>207</v>
      </c>
      <c r="E1270" s="67" t="s">
        <v>4669</v>
      </c>
      <c r="F1270" s="357" t="s">
        <v>53</v>
      </c>
      <c r="G1270" s="357">
        <v>3</v>
      </c>
      <c r="H1270" s="357" t="s">
        <v>4670</v>
      </c>
      <c r="I1270" s="357" t="s">
        <v>271</v>
      </c>
      <c r="J1270" s="357" t="s">
        <v>2708</v>
      </c>
      <c r="K1270" s="68">
        <v>46231.498541666668</v>
      </c>
      <c r="L1270" s="358">
        <v>46231.497916666667</v>
      </c>
      <c r="M1270" s="358">
        <v>46231.51458333333</v>
      </c>
      <c r="N1270" s="68">
        <v>46233.341423611113</v>
      </c>
    </row>
    <row r="1271" spans="2:14" ht="15" customHeight="1">
      <c r="B1271" s="67" t="s">
        <v>26</v>
      </c>
      <c r="C1271" s="67" t="s">
        <v>54</v>
      </c>
      <c r="D1271" s="67" t="s">
        <v>207</v>
      </c>
      <c r="E1271" s="67" t="s">
        <v>4671</v>
      </c>
      <c r="F1271" s="357" t="s">
        <v>53</v>
      </c>
      <c r="G1271" s="357">
        <v>3</v>
      </c>
      <c r="H1271" s="357" t="s">
        <v>4672</v>
      </c>
      <c r="I1271" s="357" t="s">
        <v>4668</v>
      </c>
      <c r="J1271" s="357" t="s">
        <v>3132</v>
      </c>
      <c r="K1271" s="68">
        <v>46239.850960648146</v>
      </c>
      <c r="L1271" s="358">
        <v>46239.850694444445</v>
      </c>
      <c r="M1271" s="358">
        <v>46240.334027777775</v>
      </c>
    </row>
    <row r="1272" spans="2:14" ht="15" customHeight="1">
      <c r="B1272" s="67" t="s">
        <v>26</v>
      </c>
      <c r="C1272" s="67" t="s">
        <v>54</v>
      </c>
      <c r="D1272" s="67" t="s">
        <v>207</v>
      </c>
      <c r="E1272" s="67" t="s">
        <v>4673</v>
      </c>
      <c r="F1272" s="357" t="s">
        <v>53</v>
      </c>
      <c r="G1272" s="357">
        <v>3</v>
      </c>
      <c r="H1272" s="357" t="s">
        <v>4674</v>
      </c>
      <c r="I1272" s="357" t="s">
        <v>4668</v>
      </c>
      <c r="J1272" s="357" t="s">
        <v>2703</v>
      </c>
      <c r="K1272" s="68">
        <v>46240.398368055554</v>
      </c>
      <c r="L1272" s="358">
        <v>46240.401388888888</v>
      </c>
      <c r="M1272" s="358">
        <v>46240.415972222225</v>
      </c>
    </row>
    <row r="1273" spans="2:14" ht="15" customHeight="1">
      <c r="B1273" s="67" t="s">
        <v>26</v>
      </c>
      <c r="C1273" s="67" t="s">
        <v>54</v>
      </c>
      <c r="D1273" s="67" t="s">
        <v>207</v>
      </c>
      <c r="E1273" s="67" t="s">
        <v>4675</v>
      </c>
      <c r="F1273" s="357" t="s">
        <v>53</v>
      </c>
      <c r="G1273" s="357">
        <v>4</v>
      </c>
      <c r="H1273" s="357" t="s">
        <v>4676</v>
      </c>
      <c r="I1273" s="357" t="s">
        <v>260</v>
      </c>
      <c r="J1273" s="357" t="s">
        <v>2700</v>
      </c>
      <c r="K1273" s="68">
        <v>46240.415405092594</v>
      </c>
      <c r="L1273" s="358">
        <v>46240.415277777778</v>
      </c>
      <c r="M1273" s="358">
        <v>46240.42291666667</v>
      </c>
    </row>
    <row r="1274" spans="2:14" ht="15" customHeight="1">
      <c r="B1274" s="67" t="s">
        <v>26</v>
      </c>
      <c r="C1274" s="67" t="s">
        <v>54</v>
      </c>
      <c r="D1274" s="67" t="s">
        <v>207</v>
      </c>
      <c r="E1274" s="67" t="s">
        <v>4677</v>
      </c>
      <c r="F1274" s="357" t="s">
        <v>53</v>
      </c>
      <c r="G1274" s="357">
        <v>3</v>
      </c>
      <c r="H1274" s="357" t="s">
        <v>4678</v>
      </c>
      <c r="I1274" s="357" t="s">
        <v>271</v>
      </c>
      <c r="J1274" s="357" t="s">
        <v>2697</v>
      </c>
      <c r="K1274" s="68">
        <v>46240.388136574074</v>
      </c>
      <c r="L1274" s="358">
        <v>46240.387499999997</v>
      </c>
      <c r="M1274" s="358">
        <v>46240.423611111109</v>
      </c>
      <c r="N1274" s="166">
        <v>46245.455949074072</v>
      </c>
    </row>
    <row r="1275" spans="2:14" ht="15" customHeight="1">
      <c r="B1275" s="46" t="s">
        <v>26</v>
      </c>
      <c r="C1275" s="46" t="s">
        <v>27</v>
      </c>
      <c r="D1275" s="46" t="s">
        <v>207</v>
      </c>
      <c r="E1275" s="46" t="s">
        <v>4679</v>
      </c>
      <c r="F1275" s="46" t="s">
        <v>327</v>
      </c>
      <c r="G1275" s="114">
        <v>3</v>
      </c>
      <c r="H1275" s="74" t="s">
        <v>4680</v>
      </c>
      <c r="I1275" s="114" t="s">
        <v>275</v>
      </c>
      <c r="K1275" s="109">
        <v>46244.896157407406</v>
      </c>
      <c r="L1275" s="109">
        <v>46244.896157407406</v>
      </c>
      <c r="M1275" s="109">
        <v>46245.439282407409</v>
      </c>
    </row>
    <row r="1276" spans="2:14" ht="15" customHeight="1">
      <c r="B1276" s="46" t="s">
        <v>26</v>
      </c>
      <c r="C1276" s="46" t="s">
        <v>27</v>
      </c>
      <c r="D1276" s="46" t="s">
        <v>207</v>
      </c>
      <c r="E1276" s="46" t="s">
        <v>4681</v>
      </c>
      <c r="F1276" s="46" t="s">
        <v>318</v>
      </c>
      <c r="G1276" s="114">
        <v>3</v>
      </c>
      <c r="H1276" s="357" t="s">
        <v>4674</v>
      </c>
      <c r="I1276" s="114" t="s">
        <v>275</v>
      </c>
      <c r="J1276" s="295" t="s">
        <v>4634</v>
      </c>
      <c r="K1276" s="68">
        <v>46240.398368055554</v>
      </c>
      <c r="L1276" s="166">
        <v>46244.591354166667</v>
      </c>
      <c r="M1276" s="166">
        <v>46245.226238425923</v>
      </c>
    </row>
    <row r="1277" spans="2:14" ht="15" customHeight="1">
      <c r="B1277" s="46" t="s">
        <v>26</v>
      </c>
      <c r="C1277" s="46" t="s">
        <v>27</v>
      </c>
      <c r="D1277" s="46" t="s">
        <v>207</v>
      </c>
      <c r="E1277" s="46" t="s">
        <v>4682</v>
      </c>
      <c r="F1277" s="46" t="s">
        <v>318</v>
      </c>
      <c r="G1277" s="114">
        <v>3</v>
      </c>
      <c r="H1277" s="74" t="s">
        <v>2707</v>
      </c>
      <c r="I1277" s="114" t="s">
        <v>260</v>
      </c>
      <c r="J1277" s="295" t="s">
        <v>2708</v>
      </c>
      <c r="K1277" s="166">
        <v>46244.675092592595</v>
      </c>
      <c r="L1277" s="166">
        <v>46244.694062499999</v>
      </c>
      <c r="M1277" s="166">
        <v>46245.220601851855</v>
      </c>
    </row>
    <row r="1278" spans="2:14" ht="15" customHeight="1">
      <c r="B1278" s="46" t="s">
        <v>26</v>
      </c>
      <c r="C1278" s="46" t="s">
        <v>27</v>
      </c>
      <c r="D1278" s="46" t="s">
        <v>207</v>
      </c>
      <c r="E1278" s="46" t="s">
        <v>4683</v>
      </c>
      <c r="F1278" s="46" t="s">
        <v>318</v>
      </c>
      <c r="G1278" s="114">
        <v>4</v>
      </c>
      <c r="H1278" s="74" t="s">
        <v>4684</v>
      </c>
      <c r="I1278" s="114" t="s">
        <v>260</v>
      </c>
      <c r="J1278" s="295" t="s">
        <v>2725</v>
      </c>
      <c r="K1278" s="109">
        <v>46244.687974537039</v>
      </c>
      <c r="L1278" s="166">
        <v>46244.788055555553</v>
      </c>
      <c r="M1278" s="166">
        <v>46245.221678240741</v>
      </c>
    </row>
    <row r="1279" spans="2:14" ht="15" customHeight="1">
      <c r="B1279" s="46" t="s">
        <v>26</v>
      </c>
      <c r="C1279" s="46" t="s">
        <v>27</v>
      </c>
      <c r="D1279" s="46" t="s">
        <v>207</v>
      </c>
      <c r="E1279" s="46" t="s">
        <v>4685</v>
      </c>
      <c r="F1279" s="46" t="s">
        <v>318</v>
      </c>
      <c r="G1279" s="114">
        <v>3</v>
      </c>
      <c r="H1279" s="74" t="s">
        <v>2724</v>
      </c>
      <c r="I1279" s="114" t="s">
        <v>260</v>
      </c>
      <c r="J1279" s="295" t="s">
        <v>3111</v>
      </c>
      <c r="K1279" s="109">
        <v>46244.66202546296</v>
      </c>
      <c r="L1279" s="109">
        <v>46244.66202546296</v>
      </c>
      <c r="M1279" s="166">
        <v>46245.223761574074</v>
      </c>
    </row>
    <row r="1280" spans="2:14" ht="15" customHeight="1">
      <c r="B1280" s="46" t="s">
        <v>26</v>
      </c>
      <c r="C1280" s="46" t="s">
        <v>27</v>
      </c>
      <c r="D1280" s="46" t="s">
        <v>207</v>
      </c>
      <c r="E1280" s="46" t="s">
        <v>4686</v>
      </c>
      <c r="F1280" s="46" t="s">
        <v>318</v>
      </c>
      <c r="G1280" s="114">
        <v>3</v>
      </c>
      <c r="H1280" s="74" t="s">
        <v>2724</v>
      </c>
      <c r="I1280" s="114" t="s">
        <v>260</v>
      </c>
      <c r="J1280" s="295" t="s">
        <v>4634</v>
      </c>
      <c r="K1280" s="109">
        <v>46244.994131944448</v>
      </c>
      <c r="L1280" s="109">
        <v>46244.994131944448</v>
      </c>
      <c r="M1280" s="166">
        <v>46245.224317129629</v>
      </c>
    </row>
    <row r="1281" spans="1:14" ht="15" customHeight="1">
      <c r="A1281" s="46">
        <v>1280</v>
      </c>
      <c r="B1281" s="46" t="s">
        <v>26</v>
      </c>
      <c r="C1281" s="46" t="s">
        <v>54</v>
      </c>
      <c r="D1281" s="46" t="s">
        <v>207</v>
      </c>
      <c r="E1281" s="46" t="s">
        <v>4687</v>
      </c>
      <c r="F1281" s="357" t="s">
        <v>53</v>
      </c>
      <c r="G1281" s="114">
        <v>4</v>
      </c>
      <c r="H1281" s="74" t="s">
        <v>4688</v>
      </c>
      <c r="I1281" s="114" t="s">
        <v>260</v>
      </c>
      <c r="J1281" s="357" t="s">
        <v>3132</v>
      </c>
      <c r="K1281" s="109">
        <v>46245.904606481483</v>
      </c>
      <c r="L1281" s="166">
        <v>46245.904606481483</v>
      </c>
      <c r="M1281" s="166">
        <v>46246.25267361111</v>
      </c>
    </row>
    <row r="1282" spans="1:14" ht="15" customHeight="1">
      <c r="A1282" s="46">
        <v>1281</v>
      </c>
      <c r="B1282" s="46" t="s">
        <v>26</v>
      </c>
      <c r="C1282" s="46" t="s">
        <v>54</v>
      </c>
      <c r="D1282" s="46" t="s">
        <v>207</v>
      </c>
      <c r="E1282" s="46" t="s">
        <v>4689</v>
      </c>
      <c r="F1282" s="357" t="s">
        <v>336</v>
      </c>
      <c r="G1282" s="114">
        <v>4</v>
      </c>
      <c r="H1282" s="74" t="s">
        <v>4690</v>
      </c>
      <c r="I1282" s="114" t="s">
        <v>275</v>
      </c>
      <c r="J1282" s="357" t="s">
        <v>2697</v>
      </c>
      <c r="K1282" s="109">
        <v>46245.631261574075</v>
      </c>
      <c r="L1282" s="166">
        <v>46245.631261574075</v>
      </c>
      <c r="M1282" s="166">
        <v>46246.254745370374</v>
      </c>
    </row>
    <row r="1283" spans="1:14" ht="15" customHeight="1">
      <c r="B1283" s="46" t="s">
        <v>26</v>
      </c>
      <c r="C1283" s="46" t="s">
        <v>27</v>
      </c>
      <c r="D1283" s="46" t="s">
        <v>207</v>
      </c>
      <c r="E1283" s="46" t="s">
        <v>4691</v>
      </c>
      <c r="F1283" s="46" t="s">
        <v>318</v>
      </c>
      <c r="G1283" s="114">
        <v>3</v>
      </c>
      <c r="H1283" s="74" t="s">
        <v>2707</v>
      </c>
      <c r="I1283" s="114" t="s">
        <v>260</v>
      </c>
      <c r="J1283" s="295" t="s">
        <v>2708</v>
      </c>
      <c r="K1283" s="166">
        <v>46245.635555555556</v>
      </c>
      <c r="L1283" s="109">
        <v>46245.635312500002</v>
      </c>
      <c r="M1283" s="166">
        <v>46246.291122685187</v>
      </c>
    </row>
    <row r="1284" spans="1:14" ht="15" customHeight="1">
      <c r="B1284" s="46" t="s">
        <v>26</v>
      </c>
      <c r="C1284" s="46" t="s">
        <v>27</v>
      </c>
      <c r="D1284" s="46" t="s">
        <v>207</v>
      </c>
      <c r="E1284" s="46" t="s">
        <v>4692</v>
      </c>
      <c r="F1284" s="46" t="s">
        <v>318</v>
      </c>
      <c r="G1284" s="114">
        <v>3</v>
      </c>
      <c r="H1284" s="74" t="s">
        <v>2724</v>
      </c>
      <c r="I1284" s="114" t="s">
        <v>260</v>
      </c>
      <c r="J1284" s="295" t="s">
        <v>2725</v>
      </c>
      <c r="K1284" s="166">
        <v>46246.379351851851</v>
      </c>
      <c r="L1284" s="166">
        <v>46246.379537037035</v>
      </c>
      <c r="M1284" s="166">
        <v>46246.393206018518</v>
      </c>
    </row>
    <row r="1285" spans="1:14" ht="15" customHeight="1">
      <c r="B1285" s="46" t="s">
        <v>26</v>
      </c>
      <c r="C1285" s="46" t="s">
        <v>27</v>
      </c>
      <c r="D1285" s="46" t="s">
        <v>207</v>
      </c>
      <c r="E1285" s="46" t="s">
        <v>4613</v>
      </c>
      <c r="F1285" s="46" t="s">
        <v>318</v>
      </c>
      <c r="G1285" s="114">
        <v>4</v>
      </c>
      <c r="H1285" s="74" t="s">
        <v>4614</v>
      </c>
      <c r="I1285" s="114" t="s">
        <v>260</v>
      </c>
      <c r="J1285" s="295" t="s">
        <v>2700</v>
      </c>
      <c r="K1285" s="166">
        <v>46241.63722222222</v>
      </c>
      <c r="L1285" s="166">
        <v>46246.385312500002</v>
      </c>
      <c r="M1285" s="166">
        <v>46246.39570601852</v>
      </c>
    </row>
    <row r="1286" spans="1:14" ht="15" customHeight="1">
      <c r="B1286" s="46" t="s">
        <v>26</v>
      </c>
      <c r="C1286" s="46" t="s">
        <v>27</v>
      </c>
      <c r="D1286" s="46" t="s">
        <v>207</v>
      </c>
      <c r="E1286" s="46" t="s">
        <v>4693</v>
      </c>
      <c r="F1286" s="46" t="s">
        <v>318</v>
      </c>
      <c r="G1286" s="114">
        <v>4</v>
      </c>
      <c r="H1286" s="74" t="s">
        <v>4694</v>
      </c>
      <c r="I1286" s="114" t="s">
        <v>260</v>
      </c>
      <c r="J1286" s="295" t="s">
        <v>2738</v>
      </c>
      <c r="K1286" s="109">
        <v>46246.461493055554</v>
      </c>
      <c r="L1286" s="109">
        <v>46246.463067129633</v>
      </c>
      <c r="M1286" s="109">
        <v>46246.482349537036</v>
      </c>
    </row>
    <row r="1287" spans="1:14" ht="15" customHeight="1">
      <c r="A1287" s="46">
        <v>1286</v>
      </c>
      <c r="B1287" s="46" t="s">
        <v>26</v>
      </c>
      <c r="C1287" s="46" t="s">
        <v>54</v>
      </c>
      <c r="D1287" s="46" t="s">
        <v>207</v>
      </c>
      <c r="E1287" s="46" t="s">
        <v>4695</v>
      </c>
      <c r="F1287" s="357" t="s">
        <v>53</v>
      </c>
      <c r="G1287" s="114">
        <v>3</v>
      </c>
      <c r="H1287" s="74" t="s">
        <v>4696</v>
      </c>
      <c r="I1287" s="114" t="s">
        <v>260</v>
      </c>
      <c r="J1287" s="295" t="s">
        <v>2700</v>
      </c>
      <c r="K1287" s="109">
        <v>46242.575868055559</v>
      </c>
      <c r="L1287" s="166">
        <v>46246.516435185185</v>
      </c>
      <c r="M1287" s="166">
        <v>46246.625613425924</v>
      </c>
    </row>
    <row r="1288" spans="1:14" ht="15" customHeight="1">
      <c r="A1288" s="46">
        <v>1287</v>
      </c>
      <c r="B1288" s="46" t="s">
        <v>26</v>
      </c>
      <c r="C1288" s="46" t="s">
        <v>27</v>
      </c>
      <c r="D1288" s="46" t="s">
        <v>207</v>
      </c>
      <c r="E1288" s="46" t="s">
        <v>4697</v>
      </c>
      <c r="F1288" s="46" t="s">
        <v>327</v>
      </c>
      <c r="G1288" s="114">
        <v>3</v>
      </c>
      <c r="H1288" s="74" t="s">
        <v>4698</v>
      </c>
      <c r="I1288" s="114" t="s">
        <v>275</v>
      </c>
      <c r="K1288" s="109">
        <v>46246.888981481483</v>
      </c>
      <c r="L1288" s="109">
        <v>46246.888981481483</v>
      </c>
      <c r="M1288" s="109">
        <v>46247.226689814815</v>
      </c>
    </row>
    <row r="1289" spans="1:14" ht="15" customHeight="1">
      <c r="A1289" s="46">
        <v>1288</v>
      </c>
      <c r="B1289" s="46" t="s">
        <v>26</v>
      </c>
      <c r="C1289" s="46" t="s">
        <v>27</v>
      </c>
      <c r="D1289" s="46" t="s">
        <v>207</v>
      </c>
      <c r="E1289" s="46" t="s">
        <v>4699</v>
      </c>
      <c r="F1289" s="46" t="s">
        <v>318</v>
      </c>
      <c r="G1289" s="114">
        <v>3</v>
      </c>
      <c r="H1289" s="74" t="s">
        <v>2707</v>
      </c>
      <c r="I1289" s="114" t="s">
        <v>260</v>
      </c>
      <c r="J1289" s="295" t="s">
        <v>2708</v>
      </c>
      <c r="K1289" s="109">
        <v>46246.628668981481</v>
      </c>
      <c r="L1289" s="109">
        <v>46246.69458333333</v>
      </c>
      <c r="M1289" s="109">
        <v>46247.231041666666</v>
      </c>
    </row>
    <row r="1290" spans="1:14" ht="15" customHeight="1">
      <c r="A1290" s="46">
        <v>1289</v>
      </c>
      <c r="B1290" s="46" t="s">
        <v>26</v>
      </c>
      <c r="C1290" s="46" t="s">
        <v>27</v>
      </c>
      <c r="D1290" s="46" t="s">
        <v>207</v>
      </c>
      <c r="E1290" s="46" t="s">
        <v>4700</v>
      </c>
      <c r="F1290" s="46" t="s">
        <v>318</v>
      </c>
      <c r="G1290" s="114">
        <v>3</v>
      </c>
      <c r="H1290" s="74" t="s">
        <v>2724</v>
      </c>
      <c r="I1290" s="114" t="s">
        <v>260</v>
      </c>
      <c r="J1290" s="295" t="s">
        <v>2751</v>
      </c>
      <c r="K1290" s="109">
        <v>46247.164143518516</v>
      </c>
      <c r="L1290" s="109">
        <v>46247.164143518516</v>
      </c>
      <c r="M1290" s="109">
        <v>46247.230590277781</v>
      </c>
    </row>
    <row r="1291" spans="1:14" ht="15" customHeight="1">
      <c r="A1291" s="46">
        <v>1290</v>
      </c>
      <c r="B1291" s="46" t="s">
        <v>26</v>
      </c>
      <c r="C1291" s="46" t="s">
        <v>27</v>
      </c>
      <c r="D1291" s="46" t="s">
        <v>207</v>
      </c>
      <c r="E1291" s="46" t="s">
        <v>4701</v>
      </c>
      <c r="F1291" s="46" t="s">
        <v>318</v>
      </c>
      <c r="G1291" s="114">
        <v>3</v>
      </c>
      <c r="H1291" s="74" t="s">
        <v>2724</v>
      </c>
      <c r="I1291" s="114" t="s">
        <v>260</v>
      </c>
      <c r="J1291" s="295" t="s">
        <v>2738</v>
      </c>
      <c r="K1291" s="109">
        <v>46247.320405092592</v>
      </c>
      <c r="L1291" s="109">
        <v>46247.320405092592</v>
      </c>
      <c r="M1291" s="109">
        <v>46247.335219907407</v>
      </c>
    </row>
    <row r="1292" spans="1:14" ht="15" customHeight="1">
      <c r="A1292" s="46">
        <v>1291</v>
      </c>
      <c r="B1292" s="46" t="s">
        <v>26</v>
      </c>
      <c r="C1292" s="46" t="s">
        <v>27</v>
      </c>
      <c r="D1292" s="46" t="s">
        <v>207</v>
      </c>
      <c r="E1292" s="46" t="s">
        <v>4702</v>
      </c>
      <c r="F1292" s="46" t="s">
        <v>318</v>
      </c>
      <c r="G1292" s="114">
        <v>3</v>
      </c>
      <c r="H1292" s="74" t="s">
        <v>4703</v>
      </c>
      <c r="I1292" s="114" t="s">
        <v>260</v>
      </c>
      <c r="J1292" s="295" t="s">
        <v>2725</v>
      </c>
      <c r="K1292" s="109">
        <v>46247.304930555554</v>
      </c>
      <c r="L1292" s="109">
        <v>46247.314571759256</v>
      </c>
      <c r="M1292" s="109">
        <v>46247.336689814816</v>
      </c>
    </row>
    <row r="1293" spans="1:14" ht="15" customHeight="1">
      <c r="A1293" s="46">
        <v>1292</v>
      </c>
      <c r="B1293" s="46" t="s">
        <v>26</v>
      </c>
      <c r="C1293" s="46" t="s">
        <v>27</v>
      </c>
      <c r="D1293" s="46" t="s">
        <v>207</v>
      </c>
      <c r="E1293" s="46" t="s">
        <v>4704</v>
      </c>
      <c r="F1293" s="46" t="s">
        <v>318</v>
      </c>
      <c r="G1293" s="114">
        <v>4</v>
      </c>
      <c r="H1293" s="74" t="s">
        <v>4705</v>
      </c>
      <c r="I1293" s="114" t="s">
        <v>260</v>
      </c>
      <c r="J1293" s="295" t="s">
        <v>2772</v>
      </c>
      <c r="K1293" s="109">
        <v>46247.359768518516</v>
      </c>
      <c r="L1293" s="109">
        <v>46247.361284722225</v>
      </c>
      <c r="M1293" s="109">
        <v>46247.404965277776</v>
      </c>
    </row>
    <row r="1294" spans="1:14" ht="15" customHeight="1">
      <c r="A1294" s="46">
        <v>1293</v>
      </c>
      <c r="B1294" s="46" t="s">
        <v>26</v>
      </c>
      <c r="C1294" s="46" t="s">
        <v>27</v>
      </c>
      <c r="D1294" s="46" t="s">
        <v>208</v>
      </c>
      <c r="E1294" s="46" t="s">
        <v>4706</v>
      </c>
      <c r="F1294" s="46" t="s">
        <v>322</v>
      </c>
      <c r="G1294" s="114" t="s">
        <v>208</v>
      </c>
      <c r="H1294" s="74" t="s">
        <v>4707</v>
      </c>
      <c r="I1294" s="114" t="s">
        <v>271</v>
      </c>
      <c r="J1294" s="295" t="s">
        <v>2717</v>
      </c>
      <c r="K1294" s="109">
        <v>46229.45952546296</v>
      </c>
      <c r="L1294" s="109">
        <v>46229.45952546296</v>
      </c>
      <c r="M1294" s="109">
        <v>46247.442025462966</v>
      </c>
      <c r="N1294" s="109">
        <v>46248.27065972222</v>
      </c>
    </row>
    <row r="1295" spans="1:14" ht="15" customHeight="1">
      <c r="A1295" s="46">
        <v>1294</v>
      </c>
      <c r="B1295" s="46" t="s">
        <v>26</v>
      </c>
      <c r="C1295" s="46" t="s">
        <v>27</v>
      </c>
      <c r="D1295" s="46" t="s">
        <v>208</v>
      </c>
      <c r="E1295" s="46" t="s">
        <v>4559</v>
      </c>
      <c r="F1295" s="46" t="s">
        <v>322</v>
      </c>
      <c r="G1295" s="114" t="s">
        <v>208</v>
      </c>
      <c r="H1295" s="74" t="s">
        <v>4708</v>
      </c>
      <c r="I1295" s="114" t="s">
        <v>275</v>
      </c>
      <c r="J1295" s="295" t="s">
        <v>2717</v>
      </c>
      <c r="K1295" s="109">
        <v>46238.314375000002</v>
      </c>
      <c r="L1295" s="109">
        <v>46247.40115740741</v>
      </c>
      <c r="M1295" s="109">
        <v>46247.443923611114</v>
      </c>
      <c r="N1295" s="109">
        <v>46248.272222222222</v>
      </c>
    </row>
    <row r="1296" spans="1:14" ht="15" customHeight="1">
      <c r="A1296" s="46">
        <v>1295</v>
      </c>
      <c r="B1296" s="46" t="s">
        <v>26</v>
      </c>
      <c r="C1296" s="46" t="s">
        <v>27</v>
      </c>
      <c r="D1296" s="46" t="s">
        <v>207</v>
      </c>
      <c r="E1296" s="46" t="s">
        <v>4709</v>
      </c>
      <c r="F1296" s="46" t="s">
        <v>318</v>
      </c>
      <c r="G1296" s="114">
        <v>3</v>
      </c>
      <c r="H1296" s="74" t="s">
        <v>2707</v>
      </c>
      <c r="I1296" s="114" t="s">
        <v>260</v>
      </c>
      <c r="J1296" s="295" t="s">
        <v>2708</v>
      </c>
      <c r="K1296" s="109">
        <v>46247.619618055556</v>
      </c>
      <c r="L1296" s="109">
        <v>46247.625763888886</v>
      </c>
      <c r="M1296" s="109">
        <v>46248.286840277775</v>
      </c>
      <c r="N1296" s="114"/>
    </row>
    <row r="1297" spans="1:13" ht="15" customHeight="1">
      <c r="A1297" s="46">
        <v>1296</v>
      </c>
      <c r="B1297" s="46" t="s">
        <v>26</v>
      </c>
      <c r="C1297" s="46" t="s">
        <v>27</v>
      </c>
      <c r="D1297" s="46" t="s">
        <v>207</v>
      </c>
      <c r="E1297" s="46" t="s">
        <v>4710</v>
      </c>
      <c r="F1297" s="46" t="s">
        <v>318</v>
      </c>
      <c r="G1297" s="114">
        <v>3</v>
      </c>
      <c r="H1297" s="74" t="s">
        <v>4187</v>
      </c>
      <c r="I1297" s="114" t="s">
        <v>260</v>
      </c>
      <c r="J1297" s="295" t="s">
        <v>2703</v>
      </c>
      <c r="K1297" s="109">
        <v>46247.622210648151</v>
      </c>
      <c r="L1297" s="109">
        <v>46247.624490740738</v>
      </c>
      <c r="M1297" s="109">
        <v>46248.288240740738</v>
      </c>
    </row>
    <row r="1298" spans="1:13" ht="15" customHeight="1">
      <c r="A1298" s="46">
        <v>1297</v>
      </c>
      <c r="B1298" s="46" t="s">
        <v>26</v>
      </c>
      <c r="C1298" s="46" t="s">
        <v>27</v>
      </c>
      <c r="D1298" s="46" t="s">
        <v>207</v>
      </c>
      <c r="E1298" s="46" t="s">
        <v>4711</v>
      </c>
      <c r="F1298" s="46" t="s">
        <v>318</v>
      </c>
      <c r="G1298" s="114">
        <v>4</v>
      </c>
      <c r="H1298" s="74" t="s">
        <v>2724</v>
      </c>
      <c r="I1298" s="114" t="s">
        <v>260</v>
      </c>
      <c r="J1298" s="295" t="s">
        <v>2725</v>
      </c>
      <c r="K1298" s="109">
        <v>46248.164942129632</v>
      </c>
      <c r="L1298" s="109">
        <v>46248.164942129632</v>
      </c>
      <c r="M1298" s="109">
        <v>46248.29011574074</v>
      </c>
    </row>
    <row r="1299" spans="1:13" ht="15" customHeight="1">
      <c r="A1299" s="46">
        <v>1298</v>
      </c>
      <c r="B1299" s="46" t="s">
        <v>26</v>
      </c>
      <c r="C1299" s="46" t="s">
        <v>27</v>
      </c>
      <c r="D1299" s="46" t="s">
        <v>207</v>
      </c>
      <c r="E1299" s="46" t="s">
        <v>4712</v>
      </c>
      <c r="F1299" s="46" t="s">
        <v>318</v>
      </c>
      <c r="G1299" s="114">
        <v>4</v>
      </c>
      <c r="H1299" s="74" t="s">
        <v>2775</v>
      </c>
      <c r="I1299" s="114" t="s">
        <v>260</v>
      </c>
      <c r="J1299" s="295" t="s">
        <v>2772</v>
      </c>
      <c r="K1299" s="109">
        <v>46247.887812499997</v>
      </c>
      <c r="L1299" s="109">
        <v>46247.887812499997</v>
      </c>
      <c r="M1299" s="109">
        <v>46248.291805555556</v>
      </c>
    </row>
    <row r="1300" spans="1:13" ht="15" customHeight="1">
      <c r="A1300" s="46">
        <v>1299</v>
      </c>
      <c r="B1300" s="46" t="s">
        <v>26</v>
      </c>
      <c r="C1300" s="46" t="s">
        <v>27</v>
      </c>
      <c r="D1300" s="46" t="s">
        <v>207</v>
      </c>
      <c r="E1300" s="46" t="s">
        <v>4713</v>
      </c>
      <c r="F1300" s="46" t="s">
        <v>318</v>
      </c>
      <c r="G1300" s="114">
        <v>4</v>
      </c>
      <c r="H1300" s="74" t="s">
        <v>2775</v>
      </c>
      <c r="I1300" s="114" t="s">
        <v>260</v>
      </c>
      <c r="J1300" s="295" t="s">
        <v>2751</v>
      </c>
      <c r="K1300" s="109">
        <v>46247.887824074074</v>
      </c>
      <c r="L1300" s="109">
        <v>46247.887824074074</v>
      </c>
      <c r="M1300" s="109">
        <v>46248.293402777781</v>
      </c>
    </row>
    <row r="1301" spans="1:13" ht="15" customHeight="1">
      <c r="A1301" s="46">
        <v>1300</v>
      </c>
      <c r="B1301" s="46" t="s">
        <v>26</v>
      </c>
      <c r="C1301" s="46" t="s">
        <v>27</v>
      </c>
      <c r="D1301" s="46" t="s">
        <v>207</v>
      </c>
      <c r="E1301" s="46" t="s">
        <v>4714</v>
      </c>
      <c r="F1301" s="46" t="s">
        <v>318</v>
      </c>
      <c r="G1301" s="114">
        <v>4</v>
      </c>
      <c r="H1301" s="74" t="s">
        <v>2775</v>
      </c>
      <c r="I1301" s="114" t="s">
        <v>260</v>
      </c>
      <c r="J1301" s="295" t="s">
        <v>2772</v>
      </c>
      <c r="K1301" s="109">
        <v>46247.897569444445</v>
      </c>
      <c r="L1301" s="109">
        <v>46247.897569444445</v>
      </c>
      <c r="M1301" s="109">
        <v>46248.295868055553</v>
      </c>
    </row>
    <row r="1302" spans="1:13" ht="15" customHeight="1">
      <c r="A1302" s="46">
        <v>1301</v>
      </c>
      <c r="B1302" s="46" t="s">
        <v>26</v>
      </c>
      <c r="C1302" s="46" t="s">
        <v>27</v>
      </c>
      <c r="D1302" s="46" t="s">
        <v>207</v>
      </c>
      <c r="E1302" s="46" t="s">
        <v>4715</v>
      </c>
      <c r="F1302" s="46" t="s">
        <v>318</v>
      </c>
      <c r="G1302" s="114">
        <v>4</v>
      </c>
      <c r="H1302" s="74" t="s">
        <v>2724</v>
      </c>
      <c r="I1302" s="114" t="s">
        <v>260</v>
      </c>
      <c r="J1302" s="295" t="s">
        <v>2725</v>
      </c>
      <c r="K1302" s="109">
        <v>46247.757210648146</v>
      </c>
      <c r="L1302" s="109">
        <v>46247.757210648146</v>
      </c>
      <c r="M1302" s="109">
        <v>46248.297407407408</v>
      </c>
    </row>
    <row r="1303" spans="1:13" ht="15" customHeight="1">
      <c r="A1303" s="46">
        <v>1302</v>
      </c>
      <c r="B1303" s="46" t="s">
        <v>26</v>
      </c>
      <c r="C1303" s="46" t="s">
        <v>27</v>
      </c>
      <c r="D1303" s="46" t="s">
        <v>207</v>
      </c>
      <c r="E1303" s="46" t="s">
        <v>4716</v>
      </c>
      <c r="F1303" s="46" t="s">
        <v>318</v>
      </c>
      <c r="G1303" s="114">
        <v>4</v>
      </c>
      <c r="H1303" s="74" t="s">
        <v>4717</v>
      </c>
      <c r="I1303" s="114" t="s">
        <v>275</v>
      </c>
      <c r="J1303" s="295" t="s">
        <v>2725</v>
      </c>
      <c r="K1303" s="109">
        <v>46247.703761574077</v>
      </c>
      <c r="L1303" s="109">
        <v>46248.37804398148</v>
      </c>
      <c r="M1303" s="109">
        <v>46248.452418981484</v>
      </c>
    </row>
    <row r="1304" spans="1:13" ht="15" customHeight="1">
      <c r="A1304" s="46">
        <v>1303</v>
      </c>
      <c r="B1304" s="46" t="s">
        <v>26</v>
      </c>
      <c r="C1304" s="46" t="s">
        <v>27</v>
      </c>
      <c r="D1304" s="46" t="s">
        <v>208</v>
      </c>
      <c r="E1304" s="46" t="s">
        <v>4718</v>
      </c>
      <c r="F1304" s="46" t="s">
        <v>320</v>
      </c>
      <c r="H1304" s="74" t="s">
        <v>3322</v>
      </c>
      <c r="I1304" s="114" t="s">
        <v>260</v>
      </c>
      <c r="J1304" s="295" t="s">
        <v>2772</v>
      </c>
      <c r="K1304" s="359">
        <v>46248.519548611112</v>
      </c>
      <c r="L1304" s="359">
        <v>46248.519629629627</v>
      </c>
      <c r="M1304" s="359" t="s">
        <v>4719</v>
      </c>
    </row>
    <row r="1305" spans="1:13" ht="15" customHeight="1">
      <c r="A1305" s="46">
        <v>1304</v>
      </c>
      <c r="B1305" s="46" t="s">
        <v>26</v>
      </c>
      <c r="C1305" s="46" t="s">
        <v>27</v>
      </c>
      <c r="D1305" s="46" t="s">
        <v>207</v>
      </c>
      <c r="E1305" s="46" t="s">
        <v>4720</v>
      </c>
      <c r="F1305" s="46" t="s">
        <v>318</v>
      </c>
      <c r="G1305" s="114">
        <v>3</v>
      </c>
      <c r="H1305" s="74" t="s">
        <v>2707</v>
      </c>
      <c r="I1305" s="114" t="s">
        <v>260</v>
      </c>
      <c r="J1305" s="295" t="s">
        <v>2708</v>
      </c>
      <c r="K1305" s="359">
        <v>46249.321400462963</v>
      </c>
      <c r="L1305" s="359">
        <v>46249.321423611109</v>
      </c>
      <c r="M1305" s="360">
        <v>46251.266064814816</v>
      </c>
    </row>
    <row r="1306" spans="1:13" ht="15" customHeight="1">
      <c r="A1306" s="46">
        <v>1305</v>
      </c>
      <c r="B1306" s="46" t="s">
        <v>26</v>
      </c>
      <c r="C1306" s="46" t="s">
        <v>27</v>
      </c>
      <c r="D1306" s="46" t="s">
        <v>207</v>
      </c>
      <c r="E1306" s="46" t="s">
        <v>4721</v>
      </c>
      <c r="F1306" s="46" t="s">
        <v>318</v>
      </c>
      <c r="G1306" s="114">
        <v>3</v>
      </c>
      <c r="H1306" s="74" t="s">
        <v>2724</v>
      </c>
      <c r="I1306" s="114" t="s">
        <v>260</v>
      </c>
      <c r="J1306" s="295" t="s">
        <v>2772</v>
      </c>
      <c r="K1306" s="359">
        <v>46250.977361111109</v>
      </c>
      <c r="L1306" s="359">
        <v>46250.977407407408</v>
      </c>
      <c r="M1306" s="359" t="s">
        <v>4722</v>
      </c>
    </row>
    <row r="1307" spans="1:13" ht="15" customHeight="1">
      <c r="A1307" s="46">
        <v>1306</v>
      </c>
      <c r="B1307" s="46" t="s">
        <v>26</v>
      </c>
      <c r="C1307" s="46" t="s">
        <v>27</v>
      </c>
      <c r="D1307" s="46" t="s">
        <v>207</v>
      </c>
      <c r="E1307" s="46" t="s">
        <v>4723</v>
      </c>
      <c r="F1307" s="46" t="s">
        <v>318</v>
      </c>
      <c r="G1307" s="114">
        <v>3</v>
      </c>
      <c r="H1307" s="74" t="s">
        <v>2724</v>
      </c>
      <c r="I1307" s="114" t="s">
        <v>260</v>
      </c>
      <c r="J1307" s="295" t="s">
        <v>2751</v>
      </c>
      <c r="K1307" s="359">
        <v>46250.221782407411</v>
      </c>
      <c r="L1307" s="359">
        <v>46250.221886574072</v>
      </c>
      <c r="M1307" s="360">
        <v>46251.272175925929</v>
      </c>
    </row>
    <row r="1308" spans="1:13" ht="15" customHeight="1">
      <c r="A1308" s="46">
        <v>1307</v>
      </c>
      <c r="B1308" s="46" t="s">
        <v>26</v>
      </c>
      <c r="C1308" s="46" t="s">
        <v>27</v>
      </c>
      <c r="D1308" s="46" t="s">
        <v>207</v>
      </c>
      <c r="E1308" s="46" t="s">
        <v>4724</v>
      </c>
      <c r="F1308" s="46" t="s">
        <v>318</v>
      </c>
      <c r="G1308" s="114">
        <v>3</v>
      </c>
      <c r="H1308" s="74" t="s">
        <v>2724</v>
      </c>
      <c r="I1308" s="114" t="s">
        <v>260</v>
      </c>
      <c r="J1308" s="295" t="s">
        <v>2725</v>
      </c>
      <c r="K1308" s="359">
        <v>46249.992627314816</v>
      </c>
      <c r="L1308" s="359">
        <v>46249.992731481485</v>
      </c>
      <c r="M1308" s="359">
        <v>46251.27447916667</v>
      </c>
    </row>
    <row r="1309" spans="1:13" ht="15" customHeight="1">
      <c r="A1309" s="46">
        <v>1308</v>
      </c>
      <c r="B1309" s="46" t="s">
        <v>26</v>
      </c>
      <c r="C1309" s="46" t="s">
        <v>27</v>
      </c>
      <c r="D1309" s="46" t="s">
        <v>207</v>
      </c>
      <c r="E1309" s="46" t="s">
        <v>4725</v>
      </c>
      <c r="F1309" s="46" t="s">
        <v>318</v>
      </c>
      <c r="G1309" s="114">
        <v>3</v>
      </c>
      <c r="H1309" s="74" t="s">
        <v>2724</v>
      </c>
      <c r="I1309" s="114" t="s">
        <v>260</v>
      </c>
      <c r="J1309" s="295" t="s">
        <v>2738</v>
      </c>
      <c r="K1309" s="359">
        <v>46249.990636574075</v>
      </c>
      <c r="L1309" s="359">
        <v>46249.990752314814</v>
      </c>
      <c r="M1309" s="359">
        <v>46251.283993055556</v>
      </c>
    </row>
    <row r="1310" spans="1:13" ht="15" customHeight="1">
      <c r="A1310" s="46">
        <v>1309</v>
      </c>
      <c r="B1310" s="46" t="s">
        <v>26</v>
      </c>
      <c r="C1310" s="46" t="s">
        <v>27</v>
      </c>
      <c r="D1310" s="46" t="s">
        <v>207</v>
      </c>
      <c r="E1310" s="46" t="s">
        <v>4726</v>
      </c>
      <c r="F1310" s="46" t="s">
        <v>318</v>
      </c>
      <c r="G1310" s="114">
        <v>3</v>
      </c>
      <c r="H1310" s="74" t="s">
        <v>2724</v>
      </c>
      <c r="I1310" s="114" t="s">
        <v>260</v>
      </c>
      <c r="J1310" s="295" t="s">
        <v>2772</v>
      </c>
      <c r="K1310" s="359">
        <v>46249.932303240741</v>
      </c>
      <c r="L1310" s="359">
        <v>46249.932719907411</v>
      </c>
      <c r="M1310" s="359" t="s">
        <v>4727</v>
      </c>
    </row>
    <row r="1311" spans="1:13" ht="15" customHeight="1">
      <c r="A1311" s="46">
        <v>1310</v>
      </c>
      <c r="B1311" s="46" t="s">
        <v>26</v>
      </c>
      <c r="C1311" s="46" t="s">
        <v>27</v>
      </c>
      <c r="D1311" s="46" t="s">
        <v>207</v>
      </c>
      <c r="E1311" s="46" t="s">
        <v>4728</v>
      </c>
      <c r="F1311" s="46" t="s">
        <v>318</v>
      </c>
      <c r="G1311" s="114">
        <v>3</v>
      </c>
      <c r="H1311" s="74" t="s">
        <v>2775</v>
      </c>
      <c r="I1311" s="114" t="s">
        <v>260</v>
      </c>
      <c r="J1311" s="295" t="s">
        <v>2751</v>
      </c>
      <c r="K1311" s="359">
        <v>46249.028136574074</v>
      </c>
      <c r="L1311" s="359">
        <v>46249.028240740743</v>
      </c>
      <c r="M1311" s="360" t="s">
        <v>4729</v>
      </c>
    </row>
    <row r="1312" spans="1:13" ht="15" customHeight="1">
      <c r="A1312" s="46">
        <v>1311</v>
      </c>
      <c r="B1312" s="46" t="s">
        <v>26</v>
      </c>
      <c r="C1312" s="46" t="s">
        <v>27</v>
      </c>
      <c r="D1312" s="46" t="s">
        <v>207</v>
      </c>
      <c r="E1312" s="46" t="s">
        <v>4730</v>
      </c>
      <c r="F1312" s="46" t="s">
        <v>318</v>
      </c>
      <c r="G1312" s="114">
        <v>3</v>
      </c>
      <c r="H1312" s="74" t="s">
        <v>2775</v>
      </c>
      <c r="I1312" s="114" t="s">
        <v>260</v>
      </c>
      <c r="J1312" s="295" t="s">
        <v>2738</v>
      </c>
      <c r="K1312" s="359">
        <v>46249.027407407404</v>
      </c>
      <c r="L1312" s="359">
        <v>46249.02753472222</v>
      </c>
      <c r="M1312" s="360">
        <v>46251.292280092595</v>
      </c>
    </row>
    <row r="1313" spans="1:14" ht="15" customHeight="1">
      <c r="A1313" s="46">
        <v>1312</v>
      </c>
      <c r="B1313" s="46" t="s">
        <v>26</v>
      </c>
      <c r="C1313" s="46" t="s">
        <v>27</v>
      </c>
      <c r="D1313" s="46" t="s">
        <v>207</v>
      </c>
      <c r="E1313" s="46" t="s">
        <v>4731</v>
      </c>
      <c r="F1313" s="46" t="s">
        <v>318</v>
      </c>
      <c r="G1313" s="114">
        <v>3</v>
      </c>
      <c r="H1313" s="74" t="s">
        <v>2724</v>
      </c>
      <c r="I1313" s="114" t="s">
        <v>260</v>
      </c>
      <c r="J1313" s="295" t="s">
        <v>2725</v>
      </c>
      <c r="K1313" s="359">
        <v>46248.807164351849</v>
      </c>
      <c r="L1313" s="359">
        <v>46248.80740740741</v>
      </c>
      <c r="M1313" s="359" t="s">
        <v>4732</v>
      </c>
    </row>
    <row r="1314" spans="1:14" ht="15" customHeight="1">
      <c r="A1314" s="46">
        <v>1313</v>
      </c>
      <c r="B1314" s="46" t="s">
        <v>26</v>
      </c>
      <c r="C1314" s="46" t="s">
        <v>27</v>
      </c>
      <c r="D1314" s="46" t="s">
        <v>207</v>
      </c>
      <c r="E1314" s="46" t="s">
        <v>4733</v>
      </c>
      <c r="F1314" s="46" t="s">
        <v>318</v>
      </c>
      <c r="G1314" s="114">
        <v>3</v>
      </c>
      <c r="H1314" s="74" t="s">
        <v>2724</v>
      </c>
      <c r="I1314" s="114" t="s">
        <v>260</v>
      </c>
      <c r="J1314" s="295" t="s">
        <v>2751</v>
      </c>
      <c r="K1314" s="359">
        <v>46248.806527777779</v>
      </c>
      <c r="L1314" s="359">
        <v>46248.806608796294</v>
      </c>
      <c r="M1314" s="360">
        <v>46251.296342592592</v>
      </c>
    </row>
    <row r="1315" spans="1:14" ht="15" customHeight="1">
      <c r="A1315" s="46">
        <v>1314</v>
      </c>
      <c r="B1315" s="46" t="s">
        <v>26</v>
      </c>
      <c r="C1315" s="46" t="s">
        <v>27</v>
      </c>
      <c r="D1315" s="46" t="s">
        <v>207</v>
      </c>
      <c r="E1315" s="46" t="s">
        <v>4734</v>
      </c>
      <c r="F1315" s="46" t="s">
        <v>318</v>
      </c>
      <c r="G1315" s="114">
        <v>3</v>
      </c>
      <c r="H1315" s="74" t="s">
        <v>2724</v>
      </c>
      <c r="I1315" s="114" t="s">
        <v>260</v>
      </c>
      <c r="J1315" s="295" t="s">
        <v>2725</v>
      </c>
      <c r="K1315" s="359">
        <v>46248.902453703704</v>
      </c>
      <c r="L1315" s="359">
        <v>46248.902499999997</v>
      </c>
      <c r="M1315" s="359">
        <v>46251.297951388886</v>
      </c>
    </row>
    <row r="1316" spans="1:14" ht="15" customHeight="1">
      <c r="A1316" s="46">
        <v>1315</v>
      </c>
      <c r="B1316" s="46" t="s">
        <v>26</v>
      </c>
      <c r="C1316" s="46" t="s">
        <v>27</v>
      </c>
      <c r="D1316" s="46" t="s">
        <v>207</v>
      </c>
      <c r="E1316" s="46" t="s">
        <v>4735</v>
      </c>
      <c r="F1316" s="46" t="s">
        <v>318</v>
      </c>
      <c r="G1316" s="114">
        <v>4</v>
      </c>
      <c r="H1316" s="74" t="s">
        <v>4736</v>
      </c>
      <c r="I1316" s="114" t="s">
        <v>260</v>
      </c>
      <c r="J1316" s="295" t="s">
        <v>2700</v>
      </c>
      <c r="K1316" s="359">
        <v>46249.657083333332</v>
      </c>
      <c r="L1316" s="359">
        <v>46249.657187500001</v>
      </c>
      <c r="M1316" s="359">
        <v>46251.313634259262</v>
      </c>
    </row>
    <row r="1317" spans="1:14" ht="15" customHeight="1">
      <c r="A1317" s="46">
        <v>1316</v>
      </c>
      <c r="B1317" s="46" t="s">
        <v>26</v>
      </c>
      <c r="C1317" s="46" t="s">
        <v>27</v>
      </c>
      <c r="D1317" s="46" t="s">
        <v>207</v>
      </c>
      <c r="E1317" s="46" t="s">
        <v>4737</v>
      </c>
      <c r="F1317" s="46" t="s">
        <v>318</v>
      </c>
      <c r="G1317" s="114">
        <v>3</v>
      </c>
      <c r="H1317" s="74" t="s">
        <v>4738</v>
      </c>
      <c r="I1317" s="114" t="s">
        <v>260</v>
      </c>
      <c r="J1317" s="295" t="s">
        <v>2714</v>
      </c>
      <c r="K1317" s="359">
        <v>46248.8044212963</v>
      </c>
      <c r="L1317" s="359">
        <v>46248.804571759261</v>
      </c>
      <c r="M1317" s="359">
        <v>46251.31695601852</v>
      </c>
    </row>
    <row r="1318" spans="1:14" ht="15" customHeight="1">
      <c r="A1318" s="46">
        <v>1317</v>
      </c>
      <c r="B1318" s="46" t="s">
        <v>26</v>
      </c>
      <c r="C1318" s="46" t="s">
        <v>27</v>
      </c>
      <c r="D1318" s="46" t="s">
        <v>207</v>
      </c>
      <c r="E1318" s="46" t="s">
        <v>4739</v>
      </c>
      <c r="F1318" s="46" t="s">
        <v>318</v>
      </c>
      <c r="G1318" s="114">
        <v>3</v>
      </c>
      <c r="H1318" s="74" t="s">
        <v>4740</v>
      </c>
      <c r="I1318" s="114" t="s">
        <v>260</v>
      </c>
      <c r="J1318" s="295" t="s">
        <v>2703</v>
      </c>
      <c r="K1318" s="359">
        <v>46248.811909722222</v>
      </c>
      <c r="L1318" s="359">
        <v>46248.812037037038</v>
      </c>
      <c r="M1318" s="359">
        <v>46251.318749999999</v>
      </c>
    </row>
    <row r="1319" spans="1:14" ht="15" customHeight="1">
      <c r="A1319" s="46">
        <v>1318</v>
      </c>
      <c r="B1319" s="46" t="s">
        <v>26</v>
      </c>
      <c r="C1319" s="46" t="s">
        <v>27</v>
      </c>
      <c r="D1319" s="46" t="s">
        <v>207</v>
      </c>
      <c r="E1319" s="46" t="s">
        <v>4741</v>
      </c>
      <c r="F1319" s="46" t="s">
        <v>327</v>
      </c>
      <c r="G1319" s="114">
        <v>3</v>
      </c>
      <c r="H1319" s="74" t="s">
        <v>4742</v>
      </c>
      <c r="I1319" s="114" t="s">
        <v>275</v>
      </c>
      <c r="K1319" s="109">
        <v>46249.086689814816</v>
      </c>
      <c r="L1319" s="109">
        <v>46249.086689814816</v>
      </c>
      <c r="M1319" s="109">
        <v>46251.267199074071</v>
      </c>
    </row>
    <row r="1320" spans="1:14" ht="15" customHeight="1">
      <c r="A1320" s="46">
        <v>1319</v>
      </c>
      <c r="B1320" s="46" t="s">
        <v>26</v>
      </c>
      <c r="C1320" s="46" t="s">
        <v>27</v>
      </c>
      <c r="D1320" s="46" t="s">
        <v>207</v>
      </c>
      <c r="E1320" s="46" t="s">
        <v>4743</v>
      </c>
      <c r="F1320" s="46" t="s">
        <v>327</v>
      </c>
      <c r="G1320" s="114">
        <v>3</v>
      </c>
      <c r="H1320" s="74" t="s">
        <v>4744</v>
      </c>
      <c r="I1320" s="114" t="s">
        <v>275</v>
      </c>
      <c r="K1320" s="109">
        <v>46248.81759259259</v>
      </c>
      <c r="L1320" s="109">
        <v>46248.81759259259</v>
      </c>
      <c r="M1320" s="109">
        <v>46251.268506944441</v>
      </c>
    </row>
    <row r="1321" spans="1:14" ht="15" customHeight="1">
      <c r="A1321" s="46">
        <v>1320</v>
      </c>
      <c r="B1321" s="46" t="s">
        <v>26</v>
      </c>
      <c r="C1321" s="46" t="s">
        <v>27</v>
      </c>
      <c r="D1321" s="46" t="s">
        <v>208</v>
      </c>
      <c r="E1321" s="46" t="s">
        <v>4745</v>
      </c>
      <c r="F1321" s="46" t="s">
        <v>318</v>
      </c>
      <c r="G1321" s="114" t="s">
        <v>208</v>
      </c>
      <c r="H1321" s="74" t="s">
        <v>4746</v>
      </c>
      <c r="I1321" s="114" t="s">
        <v>275</v>
      </c>
      <c r="K1321" s="109">
        <v>46251.265601851854</v>
      </c>
      <c r="L1321" s="359">
        <v>46251.323368055557</v>
      </c>
      <c r="M1321" s="359">
        <v>46251.323368055557</v>
      </c>
    </row>
    <row r="1322" spans="1:14" ht="15" customHeight="1">
      <c r="A1322" s="46">
        <v>1321</v>
      </c>
      <c r="B1322" s="46" t="s">
        <v>26</v>
      </c>
      <c r="C1322" s="46" t="s">
        <v>27</v>
      </c>
      <c r="D1322" s="46" t="s">
        <v>208</v>
      </c>
      <c r="E1322" s="46" t="s">
        <v>4747</v>
      </c>
      <c r="F1322" s="46" t="s">
        <v>318</v>
      </c>
      <c r="G1322" s="114" t="s">
        <v>208</v>
      </c>
      <c r="H1322" s="74" t="s">
        <v>4748</v>
      </c>
      <c r="I1322" s="114" t="s">
        <v>275</v>
      </c>
      <c r="K1322" s="109">
        <v>46251.26666666667</v>
      </c>
      <c r="L1322" s="359">
        <v>46251.325856481482</v>
      </c>
      <c r="M1322" s="359">
        <v>46251.325856481482</v>
      </c>
    </row>
    <row r="1323" spans="1:14" ht="15" customHeight="1">
      <c r="A1323" s="46">
        <v>1322</v>
      </c>
      <c r="B1323" s="46" t="s">
        <v>26</v>
      </c>
      <c r="C1323" s="46" t="s">
        <v>27</v>
      </c>
      <c r="D1323" s="46" t="s">
        <v>208</v>
      </c>
      <c r="E1323" s="46" t="s">
        <v>4749</v>
      </c>
      <c r="F1323" s="46" t="s">
        <v>318</v>
      </c>
      <c r="G1323" s="114" t="s">
        <v>208</v>
      </c>
      <c r="H1323" s="74" t="s">
        <v>4750</v>
      </c>
      <c r="I1323" s="114" t="s">
        <v>275</v>
      </c>
      <c r="K1323" s="359">
        <v>46251.267453703702</v>
      </c>
      <c r="L1323" s="359">
        <v>46251.328668981485</v>
      </c>
      <c r="M1323" s="359">
        <v>46251.328668981485</v>
      </c>
    </row>
    <row r="1324" spans="1:14" ht="15" customHeight="1">
      <c r="A1324" s="46">
        <v>1323</v>
      </c>
      <c r="B1324" s="46" t="s">
        <v>26</v>
      </c>
      <c r="C1324" s="46" t="s">
        <v>27</v>
      </c>
      <c r="D1324" s="46" t="s">
        <v>208</v>
      </c>
      <c r="E1324" s="46" t="s">
        <v>4751</v>
      </c>
      <c r="F1324" s="46" t="s">
        <v>318</v>
      </c>
      <c r="G1324" s="114" t="s">
        <v>208</v>
      </c>
      <c r="H1324" s="74" t="s">
        <v>4752</v>
      </c>
      <c r="I1324" s="114" t="s">
        <v>275</v>
      </c>
      <c r="K1324" s="359">
        <v>46251.268645833334</v>
      </c>
      <c r="L1324" s="359">
        <v>46251.332384259258</v>
      </c>
      <c r="M1324" s="359">
        <v>46251.332384259258</v>
      </c>
    </row>
    <row r="1325" spans="1:14" ht="15" customHeight="1">
      <c r="A1325" s="46">
        <v>1324</v>
      </c>
      <c r="B1325" s="46" t="s">
        <v>26</v>
      </c>
      <c r="C1325" s="46" t="s">
        <v>27</v>
      </c>
      <c r="D1325" s="46" t="s">
        <v>208</v>
      </c>
      <c r="E1325" s="46" t="s">
        <v>4753</v>
      </c>
      <c r="F1325" s="46" t="s">
        <v>318</v>
      </c>
      <c r="G1325" s="114" t="s">
        <v>208</v>
      </c>
      <c r="H1325" s="74" t="s">
        <v>4754</v>
      </c>
      <c r="I1325" s="114" t="s">
        <v>275</v>
      </c>
      <c r="K1325" s="359">
        <v>46251.268923611111</v>
      </c>
      <c r="L1325" s="359">
        <v>46251.333958333336</v>
      </c>
      <c r="M1325" s="359">
        <v>46251.333958333336</v>
      </c>
    </row>
    <row r="1326" spans="1:14" ht="15" customHeight="1">
      <c r="A1326" s="46">
        <v>1325</v>
      </c>
      <c r="B1326" s="46" t="s">
        <v>26</v>
      </c>
      <c r="C1326" s="46" t="s">
        <v>27</v>
      </c>
      <c r="D1326" s="46" t="s">
        <v>208</v>
      </c>
      <c r="E1326" s="46" t="s">
        <v>4755</v>
      </c>
      <c r="F1326" s="46" t="s">
        <v>318</v>
      </c>
      <c r="G1326" s="114" t="s">
        <v>208</v>
      </c>
      <c r="H1326" s="74" t="s">
        <v>4756</v>
      </c>
      <c r="I1326" s="114" t="s">
        <v>275</v>
      </c>
      <c r="K1326" s="359">
        <v>46251.269085648149</v>
      </c>
      <c r="L1326" s="359">
        <v>46251.33630787037</v>
      </c>
      <c r="M1326" s="359">
        <v>46251.33630787037</v>
      </c>
    </row>
    <row r="1327" spans="1:14" ht="15" customHeight="1">
      <c r="A1327" s="46">
        <v>1326</v>
      </c>
      <c r="B1327" s="46" t="s">
        <v>26</v>
      </c>
      <c r="C1327" s="46" t="s">
        <v>27</v>
      </c>
      <c r="D1327" s="46" t="s">
        <v>208</v>
      </c>
      <c r="E1327" s="46" t="s">
        <v>4757</v>
      </c>
      <c r="F1327" s="46" t="s">
        <v>322</v>
      </c>
      <c r="G1327" s="114" t="s">
        <v>208</v>
      </c>
      <c r="H1327" s="74" t="s">
        <v>4758</v>
      </c>
      <c r="I1327" s="114" t="s">
        <v>275</v>
      </c>
      <c r="J1327" s="295" t="s">
        <v>2717</v>
      </c>
      <c r="K1327" s="109">
        <v>46251.265069444446</v>
      </c>
      <c r="L1327" s="109">
        <v>46251.265069444446</v>
      </c>
      <c r="M1327" s="109">
        <v>46251.330138888887</v>
      </c>
      <c r="N1327" s="109">
        <v>46251.344270833331</v>
      </c>
    </row>
    <row r="1328" spans="1:14" ht="15" customHeight="1">
      <c r="A1328" s="46">
        <v>1327</v>
      </c>
      <c r="B1328" s="46" t="s">
        <v>26</v>
      </c>
      <c r="C1328" s="46" t="s">
        <v>27</v>
      </c>
      <c r="D1328" s="46" t="s">
        <v>208</v>
      </c>
      <c r="E1328" s="46" t="s">
        <v>4759</v>
      </c>
      <c r="F1328" s="46" t="s">
        <v>322</v>
      </c>
      <c r="G1328" s="114" t="s">
        <v>208</v>
      </c>
      <c r="H1328" s="74" t="s">
        <v>4760</v>
      </c>
      <c r="I1328" s="114" t="s">
        <v>275</v>
      </c>
      <c r="J1328" s="295" t="s">
        <v>2717</v>
      </c>
      <c r="K1328" s="109">
        <v>46251.264201388891</v>
      </c>
      <c r="L1328" s="109">
        <v>46251.264201388891</v>
      </c>
      <c r="M1328" s="109">
        <v>46251.327974537038</v>
      </c>
      <c r="N1328" s="109">
        <v>46251.34578703704</v>
      </c>
    </row>
    <row r="1329" spans="1:14" ht="15" customHeight="1">
      <c r="A1329" s="46">
        <v>1328</v>
      </c>
      <c r="B1329" s="46" t="s">
        <v>26</v>
      </c>
      <c r="C1329" s="46" t="s">
        <v>27</v>
      </c>
      <c r="D1329" s="46" t="s">
        <v>207</v>
      </c>
      <c r="E1329" s="46" t="s">
        <v>4761</v>
      </c>
      <c r="F1329" s="46" t="s">
        <v>318</v>
      </c>
      <c r="G1329" s="114">
        <v>3</v>
      </c>
      <c r="H1329" s="74" t="s">
        <v>2724</v>
      </c>
      <c r="I1329" s="114" t="s">
        <v>260</v>
      </c>
      <c r="J1329" s="295" t="s">
        <v>2772</v>
      </c>
      <c r="K1329" s="359">
        <v>46251.322604166664</v>
      </c>
      <c r="L1329" s="359">
        <v>46251.341377314813</v>
      </c>
      <c r="M1329" s="359">
        <v>46251.341377314813</v>
      </c>
    </row>
    <row r="1330" spans="1:14" ht="15" customHeight="1">
      <c r="A1330" s="46">
        <v>1329</v>
      </c>
      <c r="K1330" s="359"/>
    </row>
    <row r="1331" spans="1:14" ht="15" customHeight="1">
      <c r="A1331" s="46">
        <v>1330</v>
      </c>
      <c r="B1331" s="46" t="s">
        <v>26</v>
      </c>
      <c r="C1331" s="46" t="s">
        <v>27</v>
      </c>
      <c r="D1331" s="46" t="s">
        <v>208</v>
      </c>
      <c r="E1331" s="46" t="s">
        <v>4762</v>
      </c>
      <c r="F1331" s="46" t="s">
        <v>318</v>
      </c>
      <c r="G1331" s="114" t="s">
        <v>208</v>
      </c>
      <c r="H1331" s="74" t="s">
        <v>4763</v>
      </c>
      <c r="I1331" s="114" t="s">
        <v>275</v>
      </c>
      <c r="K1331" s="109">
        <v>46251.270729166667</v>
      </c>
      <c r="L1331" s="359">
        <v>46251.338553240741</v>
      </c>
      <c r="M1331" s="359">
        <v>46251.338553240741</v>
      </c>
    </row>
    <row r="1332" spans="1:14" ht="15" customHeight="1">
      <c r="A1332" s="46">
        <v>1331</v>
      </c>
      <c r="B1332" s="46" t="s">
        <v>26</v>
      </c>
      <c r="C1332" s="46" t="s">
        <v>27</v>
      </c>
      <c r="D1332" s="46" t="s">
        <v>207</v>
      </c>
      <c r="E1332" s="46" t="s">
        <v>4764</v>
      </c>
      <c r="F1332" s="46" t="s">
        <v>318</v>
      </c>
      <c r="G1332" s="114">
        <v>3</v>
      </c>
      <c r="H1332" s="74" t="s">
        <v>2707</v>
      </c>
      <c r="I1332" s="114" t="s">
        <v>260</v>
      </c>
      <c r="J1332" s="295" t="s">
        <v>2708</v>
      </c>
      <c r="K1332" s="359">
        <v>46251.374085648145</v>
      </c>
      <c r="L1332" s="359">
        <v>46251.374212962961</v>
      </c>
      <c r="M1332" s="359">
        <v>3166</v>
      </c>
    </row>
    <row r="1333" spans="1:14" ht="15" customHeight="1">
      <c r="A1333" s="46">
        <v>1332</v>
      </c>
      <c r="B1333" s="46" t="s">
        <v>26</v>
      </c>
      <c r="C1333" s="46" t="s">
        <v>27</v>
      </c>
      <c r="D1333" s="46" t="s">
        <v>207</v>
      </c>
      <c r="E1333" s="46" t="s">
        <v>4765</v>
      </c>
      <c r="F1333" s="46" t="s">
        <v>327</v>
      </c>
      <c r="G1333" s="114">
        <v>3</v>
      </c>
      <c r="H1333" s="74" t="s">
        <v>4766</v>
      </c>
      <c r="I1333" s="114" t="s">
        <v>275</v>
      </c>
      <c r="K1333" s="109">
        <v>46252.268391203703</v>
      </c>
      <c r="L1333" s="109">
        <v>46252.268391203703</v>
      </c>
      <c r="M1333" s="109">
        <v>46252.282361111109</v>
      </c>
    </row>
    <row r="1334" spans="1:14" ht="15" customHeight="1">
      <c r="A1334" s="46">
        <v>1333</v>
      </c>
      <c r="E1334" s="46" t="s">
        <v>4767</v>
      </c>
      <c r="G1334" s="114">
        <v>3</v>
      </c>
      <c r="H1334" s="295" t="s">
        <v>2707</v>
      </c>
      <c r="J1334" s="295" t="s">
        <v>2708</v>
      </c>
      <c r="K1334" s="109">
        <v>46252.314571759256</v>
      </c>
      <c r="L1334" s="359">
        <v>46252.374409722222</v>
      </c>
      <c r="M1334" s="359">
        <v>46252.403784722221</v>
      </c>
    </row>
    <row r="1335" spans="1:14" ht="15" customHeight="1">
      <c r="A1335" s="46">
        <v>1334</v>
      </c>
      <c r="E1335" s="46" t="s">
        <v>4768</v>
      </c>
      <c r="G1335" s="114">
        <v>4</v>
      </c>
      <c r="H1335" s="74" t="s">
        <v>4769</v>
      </c>
      <c r="J1335" s="295" t="s">
        <v>2751</v>
      </c>
      <c r="K1335" s="109">
        <v>46252.304131944446</v>
      </c>
      <c r="L1335" s="359">
        <v>46252.321157407408</v>
      </c>
      <c r="M1335" s="359">
        <v>46252.407488425924</v>
      </c>
    </row>
    <row r="1336" spans="1:14" ht="15" customHeight="1">
      <c r="A1336" s="46">
        <v>1335</v>
      </c>
      <c r="E1336" s="46" t="s">
        <v>4770</v>
      </c>
      <c r="H1336" s="74" t="s">
        <v>3185</v>
      </c>
      <c r="J1336" s="295" t="s">
        <v>2751</v>
      </c>
      <c r="K1336" s="109">
        <v>46252.37604166667</v>
      </c>
      <c r="L1336" s="359">
        <v>46252.376134259262</v>
      </c>
      <c r="M1336" s="359">
        <v>46252.416898148149</v>
      </c>
    </row>
    <row r="1337" spans="1:14" ht="15" customHeight="1">
      <c r="A1337" s="46">
        <v>1336</v>
      </c>
      <c r="E1337" s="46" t="s">
        <v>4771</v>
      </c>
      <c r="H1337" s="74" t="s">
        <v>3185</v>
      </c>
      <c r="J1337" s="295" t="s">
        <v>2772</v>
      </c>
      <c r="K1337" s="109">
        <v>46252.376493055555</v>
      </c>
      <c r="L1337" s="359">
        <v>46252.376608796294</v>
      </c>
      <c r="M1337" s="359">
        <v>46252.418113425927</v>
      </c>
    </row>
    <row r="1338" spans="1:14" ht="15" customHeight="1">
      <c r="A1338" s="46">
        <v>1337</v>
      </c>
      <c r="E1338" s="46" t="s">
        <v>4772</v>
      </c>
      <c r="H1338" s="74" t="s">
        <v>3185</v>
      </c>
      <c r="J1338" s="295" t="s">
        <v>2725</v>
      </c>
      <c r="K1338" s="109">
        <v>46252.37641203704</v>
      </c>
      <c r="L1338" s="359">
        <v>46252.376550925925</v>
      </c>
      <c r="M1338" s="359">
        <v>46252.42</v>
      </c>
    </row>
    <row r="1339" spans="1:14" ht="15" customHeight="1">
      <c r="A1339" s="46">
        <v>1338</v>
      </c>
      <c r="E1339" s="46" t="s">
        <v>4773</v>
      </c>
      <c r="H1339" s="74" t="s">
        <v>3185</v>
      </c>
      <c r="J1339" s="295" t="s">
        <v>2738</v>
      </c>
      <c r="K1339" s="109">
        <v>46252.376203703701</v>
      </c>
      <c r="L1339" s="359">
        <v>46252.376273148147</v>
      </c>
      <c r="M1339" s="359">
        <v>46252.420590277776</v>
      </c>
    </row>
    <row r="1340" spans="1:14" ht="15" customHeight="1">
      <c r="A1340" s="46">
        <v>1339</v>
      </c>
      <c r="B1340" s="46" t="s">
        <v>26</v>
      </c>
      <c r="C1340" s="46" t="s">
        <v>27</v>
      </c>
      <c r="D1340" s="46" t="s">
        <v>208</v>
      </c>
      <c r="E1340" s="46" t="s">
        <v>4774</v>
      </c>
      <c r="F1340" s="46" t="s">
        <v>322</v>
      </c>
      <c r="G1340" s="114" t="s">
        <v>208</v>
      </c>
      <c r="H1340" s="74" t="s">
        <v>3189</v>
      </c>
      <c r="I1340" s="114" t="s">
        <v>275</v>
      </c>
      <c r="J1340" s="295" t="s">
        <v>2717</v>
      </c>
      <c r="K1340" s="109">
        <v>46252.375902777778</v>
      </c>
      <c r="L1340" s="109">
        <v>46252.375902777778</v>
      </c>
      <c r="M1340" s="109">
        <v>46252.449178240742</v>
      </c>
      <c r="N1340" s="109">
        <v>46252.452245370368</v>
      </c>
    </row>
    <row r="1341" spans="1:14" ht="15" customHeight="1">
      <c r="A1341" s="46">
        <v>1340</v>
      </c>
      <c r="B1341" s="46" t="s">
        <v>26</v>
      </c>
      <c r="C1341" s="46" t="s">
        <v>27</v>
      </c>
      <c r="D1341" s="46" t="s">
        <v>207</v>
      </c>
      <c r="E1341" s="46" t="s">
        <v>4775</v>
      </c>
      <c r="F1341" s="46" t="s">
        <v>318</v>
      </c>
      <c r="G1341" s="114">
        <v>3</v>
      </c>
      <c r="H1341" s="74" t="s">
        <v>4776</v>
      </c>
      <c r="I1341" s="114" t="s">
        <v>260</v>
      </c>
      <c r="J1341" s="295" t="s">
        <v>2738</v>
      </c>
      <c r="K1341" s="359">
        <v>46252.467800925922</v>
      </c>
      <c r="L1341" s="359">
        <v>46252.467800925922</v>
      </c>
      <c r="M1341" s="359">
        <v>46252.480347222219</v>
      </c>
    </row>
    <row r="1342" spans="1:14" ht="15" customHeight="1">
      <c r="A1342" s="46">
        <v>1341</v>
      </c>
      <c r="B1342" s="46" t="s">
        <v>26</v>
      </c>
      <c r="C1342" s="46" t="s">
        <v>54</v>
      </c>
      <c r="D1342" s="46" t="s">
        <v>207</v>
      </c>
      <c r="E1342" s="46" t="s">
        <v>4777</v>
      </c>
      <c r="F1342" s="46" t="s">
        <v>336</v>
      </c>
      <c r="G1342" s="114">
        <v>3</v>
      </c>
      <c r="H1342" s="74" t="s">
        <v>4778</v>
      </c>
      <c r="I1342" s="114" t="s">
        <v>260</v>
      </c>
      <c r="J1342" s="295" t="s">
        <v>2694</v>
      </c>
      <c r="K1342" s="109">
        <v>46253.213993055557</v>
      </c>
      <c r="L1342" s="359">
        <v>46253.230671296296</v>
      </c>
      <c r="M1342" s="359">
        <v>46253.254502314812</v>
      </c>
    </row>
    <row r="1343" spans="1:14" ht="15" customHeight="1">
      <c r="A1343" s="46">
        <v>1342</v>
      </c>
      <c r="B1343" s="46" t="s">
        <v>26</v>
      </c>
      <c r="C1343" s="46" t="s">
        <v>54</v>
      </c>
      <c r="D1343" s="46" t="s">
        <v>207</v>
      </c>
      <c r="E1343" s="46" t="s">
        <v>4779</v>
      </c>
      <c r="F1343" s="46" t="s">
        <v>53</v>
      </c>
      <c r="G1343" s="114">
        <v>3</v>
      </c>
      <c r="H1343" s="74" t="s">
        <v>4780</v>
      </c>
      <c r="I1343" s="114" t="s">
        <v>260</v>
      </c>
      <c r="J1343" s="295" t="s">
        <v>3132</v>
      </c>
      <c r="K1343" s="109">
        <v>46253.234074074076</v>
      </c>
      <c r="L1343" s="359">
        <v>46253.234074074076</v>
      </c>
      <c r="M1343" s="359">
        <v>46253.256701388891</v>
      </c>
    </row>
    <row r="1344" spans="1:14" ht="15" customHeight="1">
      <c r="A1344" s="46">
        <v>1343</v>
      </c>
      <c r="B1344" s="46" t="s">
        <v>26</v>
      </c>
      <c r="C1344" s="46" t="s">
        <v>54</v>
      </c>
      <c r="D1344" s="46" t="s">
        <v>207</v>
      </c>
      <c r="E1344" s="46" t="s">
        <v>4781</v>
      </c>
      <c r="F1344" s="46" t="s">
        <v>53</v>
      </c>
      <c r="G1344" s="114">
        <v>4</v>
      </c>
      <c r="H1344" s="74" t="s">
        <v>4782</v>
      </c>
      <c r="I1344" s="114" t="s">
        <v>260</v>
      </c>
      <c r="J1344" s="295" t="s">
        <v>2697</v>
      </c>
      <c r="K1344" s="109">
        <v>46253.21434027778</v>
      </c>
      <c r="L1344" s="359">
        <v>46253.21434027778</v>
      </c>
      <c r="M1344" s="359">
        <v>46253.258553240739</v>
      </c>
    </row>
    <row r="1345" spans="1:14" ht="15" customHeight="1">
      <c r="A1345" s="46">
        <v>1344</v>
      </c>
      <c r="B1345" s="46" t="s">
        <v>26</v>
      </c>
      <c r="C1345" s="46" t="s">
        <v>54</v>
      </c>
      <c r="D1345" s="46" t="s">
        <v>207</v>
      </c>
      <c r="E1345" s="46" t="s">
        <v>4783</v>
      </c>
      <c r="F1345" s="46" t="s">
        <v>53</v>
      </c>
      <c r="G1345" s="114">
        <v>4</v>
      </c>
      <c r="H1345" s="74" t="s">
        <v>4784</v>
      </c>
      <c r="I1345" s="114" t="s">
        <v>275</v>
      </c>
      <c r="J1345" s="295" t="s">
        <v>2697</v>
      </c>
      <c r="K1345" s="109">
        <v>46252.990567129629</v>
      </c>
      <c r="L1345" s="359">
        <v>46252.990578703706</v>
      </c>
      <c r="M1345" s="359">
        <v>46253.26158564815</v>
      </c>
      <c r="N1345" s="359">
        <v>46253.297500000001</v>
      </c>
    </row>
    <row r="1346" spans="1:14" ht="15" customHeight="1">
      <c r="A1346" s="46">
        <v>1345</v>
      </c>
      <c r="B1346" s="46" t="s">
        <v>26</v>
      </c>
      <c r="C1346" s="46" t="s">
        <v>54</v>
      </c>
      <c r="D1346" s="46" t="s">
        <v>207</v>
      </c>
      <c r="E1346" s="46" t="s">
        <v>4569</v>
      </c>
      <c r="F1346" s="46" t="s">
        <v>53</v>
      </c>
      <c r="G1346" s="114">
        <v>4</v>
      </c>
      <c r="H1346" s="74" t="s">
        <v>4785</v>
      </c>
      <c r="I1346" s="114" t="s">
        <v>266</v>
      </c>
      <c r="J1346" s="295" t="s">
        <v>2697</v>
      </c>
      <c r="K1346" s="109">
        <v>46235.893113425926</v>
      </c>
      <c r="L1346" s="359">
        <v>46235.893113425926</v>
      </c>
      <c r="M1346" s="359">
        <v>46237.311180555553</v>
      </c>
    </row>
    <row r="1347" spans="1:14" ht="15" customHeight="1">
      <c r="A1347" s="46">
        <v>1346</v>
      </c>
      <c r="B1347" s="46" t="s">
        <v>26</v>
      </c>
      <c r="C1347" s="46" t="s">
        <v>27</v>
      </c>
      <c r="D1347" s="46" t="s">
        <v>208</v>
      </c>
      <c r="E1347" s="46" t="s">
        <v>4786</v>
      </c>
      <c r="F1347" s="46" t="s">
        <v>320</v>
      </c>
      <c r="G1347" s="114" t="s">
        <v>208</v>
      </c>
      <c r="H1347" s="74" t="s">
        <v>4787</v>
      </c>
      <c r="I1347" s="114" t="s">
        <v>275</v>
      </c>
      <c r="K1347" s="109">
        <v>46251.271157407406</v>
      </c>
      <c r="L1347" s="109">
        <v>46251.271157407406</v>
      </c>
      <c r="M1347" s="359">
        <v>46251.437569444446</v>
      </c>
    </row>
    <row r="1348" spans="1:14" ht="15" customHeight="1">
      <c r="A1348" s="46">
        <v>1347</v>
      </c>
      <c r="B1348" s="46" t="s">
        <v>26</v>
      </c>
      <c r="C1348" s="46" t="s">
        <v>27</v>
      </c>
      <c r="D1348" s="46" t="s">
        <v>208</v>
      </c>
      <c r="E1348" s="46" t="s">
        <v>4788</v>
      </c>
      <c r="F1348" s="46" t="s">
        <v>320</v>
      </c>
      <c r="G1348" s="114" t="s">
        <v>208</v>
      </c>
      <c r="H1348" s="74" t="s">
        <v>4789</v>
      </c>
      <c r="I1348" s="114" t="s">
        <v>275</v>
      </c>
      <c r="K1348" s="109">
        <v>46251.270752314813</v>
      </c>
      <c r="L1348" s="109">
        <v>46251.270752314813</v>
      </c>
      <c r="M1348" s="359">
        <v>46251.437893518516</v>
      </c>
    </row>
    <row r="1349" spans="1:14" ht="15" customHeight="1">
      <c r="A1349" s="46">
        <v>1348</v>
      </c>
      <c r="B1349" s="46" t="s">
        <v>26</v>
      </c>
      <c r="C1349" s="46" t="s">
        <v>27</v>
      </c>
      <c r="D1349" s="46" t="s">
        <v>208</v>
      </c>
      <c r="E1349" s="46" t="s">
        <v>4790</v>
      </c>
      <c r="F1349" s="46" t="s">
        <v>320</v>
      </c>
      <c r="G1349" s="114" t="s">
        <v>208</v>
      </c>
      <c r="H1349" s="74" t="s">
        <v>4791</v>
      </c>
      <c r="I1349" s="114" t="s">
        <v>275</v>
      </c>
      <c r="K1349" s="109">
        <v>46251.270162037035</v>
      </c>
      <c r="L1349" s="109">
        <v>46251.270162037035</v>
      </c>
      <c r="M1349" s="359">
        <v>46251.438425925924</v>
      </c>
    </row>
    <row r="1350" spans="1:14" ht="15" customHeight="1">
      <c r="A1350" s="46">
        <v>1349</v>
      </c>
      <c r="B1350" s="46" t="s">
        <v>26</v>
      </c>
      <c r="C1350" s="46" t="s">
        <v>27</v>
      </c>
      <c r="D1350" s="46" t="s">
        <v>208</v>
      </c>
      <c r="E1350" s="46" t="s">
        <v>4792</v>
      </c>
      <c r="F1350" s="46" t="s">
        <v>320</v>
      </c>
      <c r="G1350" s="114" t="s">
        <v>208</v>
      </c>
      <c r="H1350" s="74" t="s">
        <v>4793</v>
      </c>
      <c r="I1350" s="114" t="s">
        <v>275</v>
      </c>
      <c r="K1350" s="109">
        <v>46251.265694444446</v>
      </c>
      <c r="L1350" s="109">
        <v>46251.265694444446</v>
      </c>
      <c r="M1350" s="359">
        <v>46251.441504629627</v>
      </c>
    </row>
    <row r="1351" spans="1:14" ht="15" customHeight="1">
      <c r="A1351" s="46">
        <v>1350</v>
      </c>
      <c r="B1351" s="46" t="s">
        <v>26</v>
      </c>
      <c r="C1351" s="46" t="s">
        <v>27</v>
      </c>
      <c r="D1351" s="46" t="s">
        <v>208</v>
      </c>
      <c r="E1351" s="46" t="s">
        <v>4794</v>
      </c>
      <c r="F1351" s="46" t="s">
        <v>320</v>
      </c>
      <c r="G1351" s="114" t="s">
        <v>208</v>
      </c>
      <c r="H1351" s="74" t="s">
        <v>4795</v>
      </c>
      <c r="I1351" s="114" t="s">
        <v>275</v>
      </c>
      <c r="K1351" s="109">
        <v>46251.264456018522</v>
      </c>
      <c r="L1351" s="109">
        <v>46251.264456018522</v>
      </c>
      <c r="M1351" s="359">
        <v>46251.442013888889</v>
      </c>
    </row>
    <row r="1352" spans="1:14" ht="15" customHeight="1">
      <c r="A1352" s="46">
        <v>1351</v>
      </c>
      <c r="B1352" s="46" t="s">
        <v>26</v>
      </c>
      <c r="C1352" s="46" t="s">
        <v>27</v>
      </c>
      <c r="D1352" s="46" t="s">
        <v>208</v>
      </c>
      <c r="E1352" s="46" t="s">
        <v>4796</v>
      </c>
      <c r="F1352" s="46" t="s">
        <v>320</v>
      </c>
      <c r="G1352" s="114" t="s">
        <v>208</v>
      </c>
      <c r="H1352" s="74" t="s">
        <v>4797</v>
      </c>
      <c r="I1352" s="114" t="s">
        <v>275</v>
      </c>
      <c r="K1352" s="109">
        <v>46251.264282407406</v>
      </c>
      <c r="L1352" s="109">
        <v>46251.264282407406</v>
      </c>
      <c r="M1352" s="359">
        <v>46251.442442129628</v>
      </c>
    </row>
    <row r="1353" spans="1:14" ht="15" customHeight="1">
      <c r="A1353" s="46">
        <v>1352</v>
      </c>
      <c r="B1353" s="46" t="s">
        <v>26</v>
      </c>
      <c r="C1353" s="46" t="s">
        <v>27</v>
      </c>
      <c r="D1353" s="46" t="s">
        <v>208</v>
      </c>
      <c r="E1353" s="46" t="s">
        <v>4798</v>
      </c>
      <c r="F1353" s="46" t="s">
        <v>320</v>
      </c>
      <c r="G1353" s="114" t="s">
        <v>208</v>
      </c>
      <c r="H1353" s="74" t="s">
        <v>4799</v>
      </c>
      <c r="I1353" s="114" t="s">
        <v>275</v>
      </c>
      <c r="K1353" s="109">
        <v>46251.269421296296</v>
      </c>
      <c r="L1353" s="109">
        <v>46251.269421296296</v>
      </c>
      <c r="M1353" s="359">
        <v>46251.440023148149</v>
      </c>
    </row>
    <row r="1354" spans="1:14" ht="15" customHeight="1">
      <c r="A1354" s="46">
        <v>1353</v>
      </c>
      <c r="B1354" s="46" t="s">
        <v>26</v>
      </c>
      <c r="C1354" s="46" t="s">
        <v>27</v>
      </c>
      <c r="D1354" s="46" t="s">
        <v>208</v>
      </c>
      <c r="E1354" s="46" t="s">
        <v>4800</v>
      </c>
      <c r="F1354" s="46" t="s">
        <v>320</v>
      </c>
      <c r="G1354" s="114" t="s">
        <v>208</v>
      </c>
      <c r="H1354" s="74" t="s">
        <v>4801</v>
      </c>
      <c r="I1354" s="114" t="s">
        <v>275</v>
      </c>
      <c r="K1354" s="109">
        <v>46251.265821759262</v>
      </c>
      <c r="L1354" s="109">
        <v>46251.265821759262</v>
      </c>
      <c r="M1354" s="359">
        <v>46251.440972222219</v>
      </c>
    </row>
    <row r="1355" spans="1:14" ht="15" customHeight="1">
      <c r="A1355" s="46">
        <v>1354</v>
      </c>
      <c r="B1355" s="46" t="s">
        <v>26</v>
      </c>
      <c r="C1355" s="46" t="s">
        <v>27</v>
      </c>
      <c r="D1355" s="46" t="s">
        <v>208</v>
      </c>
      <c r="E1355" s="46" t="s">
        <v>4802</v>
      </c>
      <c r="F1355" s="46" t="s">
        <v>320</v>
      </c>
      <c r="G1355" s="114" t="s">
        <v>208</v>
      </c>
      <c r="H1355" s="74" t="s">
        <v>4803</v>
      </c>
      <c r="I1355" s="114" t="s">
        <v>275</v>
      </c>
      <c r="K1355" s="109">
        <v>46251.269490740742</v>
      </c>
      <c r="L1355" s="109">
        <v>46251.269490740742</v>
      </c>
      <c r="M1355" s="359">
        <v>46251.438981481479</v>
      </c>
    </row>
    <row r="1356" spans="1:14" ht="15" customHeight="1">
      <c r="A1356" s="46">
        <v>1355</v>
      </c>
      <c r="B1356" s="46" t="s">
        <v>26</v>
      </c>
      <c r="C1356" s="46" t="s">
        <v>27</v>
      </c>
      <c r="D1356" s="46" t="s">
        <v>208</v>
      </c>
      <c r="E1356" s="46" t="s">
        <v>4804</v>
      </c>
      <c r="F1356" s="46" t="s">
        <v>320</v>
      </c>
      <c r="G1356" s="114" t="s">
        <v>208</v>
      </c>
      <c r="H1356" s="74" t="s">
        <v>4078</v>
      </c>
      <c r="I1356" s="114" t="s">
        <v>271</v>
      </c>
      <c r="J1356" s="295" t="s">
        <v>2738</v>
      </c>
      <c r="K1356" s="109">
        <v>46252.376458333332</v>
      </c>
      <c r="L1356" s="109">
        <v>46252.376458333332</v>
      </c>
      <c r="M1356" s="359">
        <v>46252.460590277777</v>
      </c>
      <c r="N1356" s="109">
        <v>46253.331782407404</v>
      </c>
    </row>
    <row r="1357" spans="1:14" ht="15" customHeight="1">
      <c r="A1357" s="46">
        <v>1356</v>
      </c>
      <c r="B1357" s="46" t="s">
        <v>26</v>
      </c>
      <c r="C1357" s="46" t="s">
        <v>27</v>
      </c>
      <c r="D1357" s="46" t="s">
        <v>208</v>
      </c>
      <c r="E1357" s="46" t="s">
        <v>4774</v>
      </c>
      <c r="F1357" s="46" t="s">
        <v>320</v>
      </c>
      <c r="G1357" s="114" t="s">
        <v>208</v>
      </c>
      <c r="H1357" s="74" t="s">
        <v>3189</v>
      </c>
      <c r="I1357" s="114" t="s">
        <v>260</v>
      </c>
      <c r="J1357" s="295" t="s">
        <v>3111</v>
      </c>
      <c r="K1357" s="109">
        <v>46252.375902777778</v>
      </c>
      <c r="L1357" s="359">
        <v>46252.452245370368</v>
      </c>
      <c r="M1357" s="359">
        <v>46252.460289351853</v>
      </c>
    </row>
    <row r="1358" spans="1:14" ht="15" customHeight="1">
      <c r="A1358" s="46">
        <v>1357</v>
      </c>
      <c r="B1358" s="46" t="s">
        <v>26</v>
      </c>
      <c r="C1358" s="46" t="s">
        <v>27</v>
      </c>
      <c r="D1358" s="46" t="s">
        <v>207</v>
      </c>
      <c r="E1358" s="46" t="s">
        <v>4805</v>
      </c>
      <c r="F1358" s="46" t="s">
        <v>318</v>
      </c>
      <c r="G1358" s="114">
        <v>4</v>
      </c>
      <c r="H1358" s="399" t="s">
        <v>4806</v>
      </c>
      <c r="I1358" s="114" t="s">
        <v>260</v>
      </c>
      <c r="J1358" s="295" t="s">
        <v>3111</v>
      </c>
      <c r="K1358" s="359">
        <v>46252.881724537037</v>
      </c>
      <c r="L1358" s="359">
        <v>46252.887199074074</v>
      </c>
      <c r="M1358" s="359">
        <v>46253.263807870368</v>
      </c>
    </row>
    <row r="1359" spans="1:14" ht="15" customHeight="1">
      <c r="A1359" s="46">
        <v>1358</v>
      </c>
      <c r="B1359" s="46" t="s">
        <v>26</v>
      </c>
      <c r="C1359" s="46" t="s">
        <v>27</v>
      </c>
      <c r="D1359" s="46" t="s">
        <v>207</v>
      </c>
      <c r="E1359" s="46" t="s">
        <v>4807</v>
      </c>
      <c r="F1359" s="46" t="s">
        <v>318</v>
      </c>
      <c r="G1359" s="114">
        <v>3</v>
      </c>
      <c r="H1359" s="74" t="s">
        <v>2707</v>
      </c>
      <c r="I1359" s="114" t="s">
        <v>271</v>
      </c>
      <c r="J1359" s="295" t="s">
        <v>2708</v>
      </c>
      <c r="K1359" s="359">
        <v>46252.573194444441</v>
      </c>
      <c r="L1359" s="359">
        <v>46252.626574074071</v>
      </c>
      <c r="M1359" s="359">
        <v>46252.674317129633</v>
      </c>
      <c r="N1359" s="359">
        <v>46253.313622685186</v>
      </c>
    </row>
    <row r="1360" spans="1:14" ht="15" customHeight="1">
      <c r="A1360" s="46">
        <v>1359</v>
      </c>
      <c r="B1360" s="46" t="s">
        <v>26</v>
      </c>
      <c r="C1360" s="46" t="s">
        <v>27</v>
      </c>
      <c r="D1360" s="46" t="s">
        <v>208</v>
      </c>
      <c r="E1360" s="46" t="s">
        <v>4808</v>
      </c>
      <c r="F1360" s="46" t="s">
        <v>325</v>
      </c>
      <c r="G1360" s="114" t="s">
        <v>208</v>
      </c>
      <c r="H1360" s="74" t="s">
        <v>4809</v>
      </c>
      <c r="I1360" s="114" t="s">
        <v>275</v>
      </c>
      <c r="J1360" s="295" t="s">
        <v>2872</v>
      </c>
      <c r="K1360" s="359">
        <v>46244.62363425926</v>
      </c>
      <c r="L1360" s="359">
        <v>46246.386944444443</v>
      </c>
      <c r="M1360" s="359">
        <v>46246.572384259256</v>
      </c>
      <c r="N1360" s="359">
        <v>46247.282696759263</v>
      </c>
    </row>
    <row r="1361" spans="1:14" ht="15" customHeight="1">
      <c r="A1361" s="46">
        <v>1360</v>
      </c>
      <c r="B1361" s="46" t="s">
        <v>26</v>
      </c>
      <c r="C1361" s="46" t="s">
        <v>27</v>
      </c>
      <c r="D1361" s="46" t="s">
        <v>208</v>
      </c>
      <c r="E1361" s="46" t="s">
        <v>4810</v>
      </c>
      <c r="F1361" s="46" t="s">
        <v>325</v>
      </c>
      <c r="G1361" s="114" t="s">
        <v>208</v>
      </c>
      <c r="H1361" s="74" t="s">
        <v>4811</v>
      </c>
      <c r="I1361" s="114" t="s">
        <v>271</v>
      </c>
      <c r="J1361" s="295" t="s">
        <v>2697</v>
      </c>
      <c r="K1361" s="109">
        <v>46246.48364583333</v>
      </c>
      <c r="L1361" s="359">
        <v>46246.48364583333</v>
      </c>
      <c r="M1361" s="359">
        <v>46246.573171296295</v>
      </c>
      <c r="N1361" s="109">
        <v>46247.596909722219</v>
      </c>
    </row>
    <row r="1362" spans="1:14" ht="15" customHeight="1">
      <c r="A1362" s="46">
        <v>1361</v>
      </c>
      <c r="B1362" s="46" t="s">
        <v>26</v>
      </c>
      <c r="C1362" s="46" t="s">
        <v>27</v>
      </c>
      <c r="D1362" s="46" t="s">
        <v>208</v>
      </c>
      <c r="E1362" s="46" t="s">
        <v>4812</v>
      </c>
      <c r="F1362" s="46" t="s">
        <v>325</v>
      </c>
      <c r="G1362" s="114" t="s">
        <v>208</v>
      </c>
      <c r="H1362" s="74" t="s">
        <v>4813</v>
      </c>
      <c r="I1362" s="114" t="s">
        <v>271</v>
      </c>
      <c r="J1362" s="295" t="s">
        <v>2872</v>
      </c>
      <c r="K1362" s="109">
        <v>46247.52753472222</v>
      </c>
      <c r="L1362" s="359">
        <v>46247.531018518515</v>
      </c>
      <c r="M1362" s="359">
        <v>46247.534479166665</v>
      </c>
      <c r="N1362" s="359">
        <v>46252.293900462966</v>
      </c>
    </row>
    <row r="1363" spans="1:14" ht="15" customHeight="1">
      <c r="A1363" s="46">
        <v>1362</v>
      </c>
      <c r="B1363" s="46" t="s">
        <v>26</v>
      </c>
      <c r="C1363" s="46" t="s">
        <v>27</v>
      </c>
      <c r="D1363" s="46" t="s">
        <v>208</v>
      </c>
      <c r="E1363" s="46" t="s">
        <v>4814</v>
      </c>
      <c r="F1363" s="46" t="s">
        <v>325</v>
      </c>
      <c r="G1363" s="114" t="s">
        <v>208</v>
      </c>
      <c r="H1363" s="74" t="s">
        <v>2866</v>
      </c>
      <c r="I1363" s="114" t="s">
        <v>271</v>
      </c>
      <c r="J1363" s="295" t="s">
        <v>2872</v>
      </c>
      <c r="K1363" s="109">
        <v>46247.736238425925</v>
      </c>
      <c r="L1363" s="359">
        <v>46247.737962962965</v>
      </c>
      <c r="M1363" s="359">
        <v>46248.117569444446</v>
      </c>
      <c r="N1363" s="109">
        <v>46249.472800925927</v>
      </c>
    </row>
    <row r="1364" spans="1:14" ht="15" customHeight="1">
      <c r="A1364" s="46">
        <v>1363</v>
      </c>
      <c r="B1364" s="46" t="s">
        <v>26</v>
      </c>
      <c r="C1364" s="46" t="s">
        <v>27</v>
      </c>
      <c r="D1364" s="46" t="s">
        <v>208</v>
      </c>
      <c r="E1364" s="46" t="s">
        <v>4815</v>
      </c>
      <c r="F1364" s="46" t="s">
        <v>325</v>
      </c>
      <c r="G1364" s="114" t="s">
        <v>208</v>
      </c>
      <c r="H1364" s="74" t="s">
        <v>4816</v>
      </c>
      <c r="I1364" s="114" t="s">
        <v>271</v>
      </c>
      <c r="J1364" s="295" t="s">
        <v>2872</v>
      </c>
      <c r="K1364" s="109">
        <v>46248.542824074073</v>
      </c>
      <c r="L1364" s="359">
        <v>46248.643101851849</v>
      </c>
      <c r="M1364" s="359">
        <v>46249.351388888892</v>
      </c>
      <c r="N1364" s="109">
        <v>46251.35728009259</v>
      </c>
    </row>
    <row r="1365" spans="1:14" ht="15" customHeight="1">
      <c r="A1365" s="46">
        <v>1364</v>
      </c>
      <c r="B1365" s="46" t="s">
        <v>26</v>
      </c>
      <c r="C1365" s="46" t="s">
        <v>27</v>
      </c>
      <c r="D1365" s="46" t="s">
        <v>208</v>
      </c>
      <c r="E1365" s="46" t="s">
        <v>4817</v>
      </c>
      <c r="F1365" s="46" t="s">
        <v>325</v>
      </c>
      <c r="G1365" s="114" t="s">
        <v>208</v>
      </c>
      <c r="H1365" s="74" t="s">
        <v>4818</v>
      </c>
      <c r="I1365" s="114" t="s">
        <v>271</v>
      </c>
      <c r="J1365" s="295" t="s">
        <v>2872</v>
      </c>
      <c r="K1365" s="109">
        <v>46248.550821759258</v>
      </c>
      <c r="L1365" s="359">
        <v>46248.643506944441</v>
      </c>
      <c r="M1365" s="359">
        <v>46249.352129629631</v>
      </c>
      <c r="N1365" s="109">
        <v>46251.356921296298</v>
      </c>
    </row>
    <row r="1366" spans="1:14" ht="15" customHeight="1">
      <c r="A1366" s="46">
        <v>1365</v>
      </c>
      <c r="B1366" s="46" t="s">
        <v>26</v>
      </c>
      <c r="C1366" s="46" t="s">
        <v>27</v>
      </c>
      <c r="D1366" s="46" t="s">
        <v>207</v>
      </c>
      <c r="E1366" s="46" t="s">
        <v>4819</v>
      </c>
      <c r="F1366" s="46" t="s">
        <v>325</v>
      </c>
      <c r="G1366" s="114">
        <v>4</v>
      </c>
      <c r="H1366" s="74" t="s">
        <v>4820</v>
      </c>
      <c r="I1366" s="114" t="s">
        <v>275</v>
      </c>
      <c r="J1366" s="295" t="s">
        <v>2872</v>
      </c>
      <c r="K1366" s="109">
        <v>46245.422048611108</v>
      </c>
      <c r="L1366" s="359">
        <v>46247.610590277778</v>
      </c>
      <c r="M1366" s="359">
        <v>46248.118819444448</v>
      </c>
      <c r="N1366" s="359">
        <v>46252.400740740741</v>
      </c>
    </row>
    <row r="1367" spans="1:14" ht="15" customHeight="1">
      <c r="A1367" s="46">
        <v>1366</v>
      </c>
      <c r="B1367" s="46" t="s">
        <v>26</v>
      </c>
      <c r="C1367" s="46" t="s">
        <v>54</v>
      </c>
      <c r="D1367" s="46" t="s">
        <v>207</v>
      </c>
      <c r="E1367" s="46" t="s">
        <v>4821</v>
      </c>
      <c r="F1367" s="46" t="s">
        <v>4822</v>
      </c>
      <c r="G1367" s="114">
        <v>3</v>
      </c>
      <c r="H1367" s="74" t="s">
        <v>4823</v>
      </c>
      <c r="I1367" s="114" t="s">
        <v>271</v>
      </c>
      <c r="J1367" s="295" t="s">
        <v>2700</v>
      </c>
      <c r="K1367" s="109">
        <v>46226.594178240739</v>
      </c>
      <c r="L1367" s="359">
        <v>46226.602384259262</v>
      </c>
      <c r="M1367" s="359">
        <v>46226.717581018522</v>
      </c>
      <c r="N1367" s="359">
        <v>46233.293657407405</v>
      </c>
    </row>
    <row r="1368" spans="1:14" ht="15" customHeight="1">
      <c r="A1368" s="46">
        <v>1367</v>
      </c>
      <c r="B1368" s="46" t="s">
        <v>26</v>
      </c>
      <c r="C1368" s="46" t="s">
        <v>54</v>
      </c>
      <c r="D1368" s="46" t="s">
        <v>207</v>
      </c>
      <c r="E1368" s="46" t="s">
        <v>4669</v>
      </c>
      <c r="F1368" s="46" t="s">
        <v>53</v>
      </c>
      <c r="G1368" s="114">
        <v>3</v>
      </c>
      <c r="H1368" s="74" t="s">
        <v>4670</v>
      </c>
      <c r="I1368" s="114" t="s">
        <v>271</v>
      </c>
      <c r="J1368" s="295" t="s">
        <v>2708</v>
      </c>
      <c r="K1368" s="109">
        <v>46231.498541666668</v>
      </c>
      <c r="L1368" s="359">
        <v>46231.498541666668</v>
      </c>
      <c r="M1368" s="359">
        <v>46231.514745370368</v>
      </c>
      <c r="N1368" s="359">
        <v>46233.341423611113</v>
      </c>
    </row>
    <row r="1369" spans="1:14" ht="15" customHeight="1">
      <c r="A1369" s="46">
        <v>1368</v>
      </c>
      <c r="B1369" s="46" t="s">
        <v>26</v>
      </c>
      <c r="C1369" s="46" t="s">
        <v>54</v>
      </c>
      <c r="D1369" s="46" t="s">
        <v>207</v>
      </c>
      <c r="E1369" s="46" t="s">
        <v>4824</v>
      </c>
      <c r="F1369" s="46" t="s">
        <v>53</v>
      </c>
      <c r="G1369" s="114">
        <v>3</v>
      </c>
      <c r="H1369" s="74" t="s">
        <v>4825</v>
      </c>
      <c r="I1369" s="114" t="s">
        <v>275</v>
      </c>
      <c r="J1369" s="295" t="s">
        <v>2697</v>
      </c>
      <c r="K1369" s="109">
        <v>46231.496655092589</v>
      </c>
      <c r="L1369" s="359">
        <v>46231.496666666666</v>
      </c>
      <c r="M1369" s="359">
        <v>46231.513564814813</v>
      </c>
      <c r="N1369" s="359">
        <v>46234.286620370367</v>
      </c>
    </row>
    <row r="1370" spans="1:14" ht="15" customHeight="1">
      <c r="A1370" s="46">
        <v>1369</v>
      </c>
      <c r="B1370" s="46" t="s">
        <v>26</v>
      </c>
      <c r="C1370" s="46" t="s">
        <v>54</v>
      </c>
      <c r="D1370" s="46" t="s">
        <v>207</v>
      </c>
      <c r="E1370" s="46" t="s">
        <v>4666</v>
      </c>
      <c r="F1370" s="46" t="s">
        <v>53</v>
      </c>
      <c r="G1370" s="114">
        <v>3</v>
      </c>
      <c r="H1370" s="74" t="s">
        <v>4667</v>
      </c>
      <c r="I1370" s="114" t="s">
        <v>266</v>
      </c>
      <c r="J1370" s="295" t="s">
        <v>2714</v>
      </c>
      <c r="K1370" s="109">
        <v>46227.62164351852</v>
      </c>
      <c r="L1370" s="359">
        <v>46227.644999999997</v>
      </c>
      <c r="M1370" s="359">
        <v>46230.249050925922</v>
      </c>
    </row>
    <row r="1371" spans="1:14" ht="15" customHeight="1">
      <c r="A1371" s="46">
        <v>1370</v>
      </c>
      <c r="B1371" s="46" t="s">
        <v>26</v>
      </c>
      <c r="C1371" s="46" t="s">
        <v>54</v>
      </c>
      <c r="D1371" s="46" t="s">
        <v>207</v>
      </c>
      <c r="E1371" s="46" t="s">
        <v>4826</v>
      </c>
      <c r="F1371" s="46" t="s">
        <v>53</v>
      </c>
      <c r="G1371" s="114">
        <v>4</v>
      </c>
      <c r="H1371" s="74" t="s">
        <v>4827</v>
      </c>
      <c r="I1371" s="114" t="s">
        <v>275</v>
      </c>
      <c r="J1371" s="295" t="s">
        <v>2700</v>
      </c>
      <c r="K1371" s="109">
        <v>46227.826678240737</v>
      </c>
      <c r="L1371" s="359">
        <v>46227.826678240737</v>
      </c>
      <c r="M1371" s="359">
        <v>46230.250659722224</v>
      </c>
      <c r="N1371" s="359">
        <v>46232.415138888886</v>
      </c>
    </row>
    <row r="1372" spans="1:14" ht="15" customHeight="1">
      <c r="A1372" s="46">
        <v>1371</v>
      </c>
      <c r="B1372" s="46" t="s">
        <v>26</v>
      </c>
      <c r="C1372" s="46" t="s">
        <v>54</v>
      </c>
      <c r="D1372" s="46" t="s">
        <v>207</v>
      </c>
      <c r="E1372" s="46" t="s">
        <v>4828</v>
      </c>
      <c r="F1372" s="46" t="s">
        <v>53</v>
      </c>
      <c r="G1372" s="114">
        <v>3</v>
      </c>
      <c r="H1372" s="74" t="s">
        <v>4829</v>
      </c>
      <c r="I1372" s="114" t="s">
        <v>275</v>
      </c>
      <c r="J1372" s="295" t="s">
        <v>2697</v>
      </c>
      <c r="K1372" s="109">
        <v>46228.606122685182</v>
      </c>
      <c r="L1372" s="359">
        <v>46228.606157407405</v>
      </c>
      <c r="M1372" s="359">
        <v>46230.253449074073</v>
      </c>
      <c r="N1372" s="359">
        <v>46230.290358796294</v>
      </c>
    </row>
    <row r="1373" spans="1:14" ht="15" customHeight="1">
      <c r="A1373" s="46">
        <v>1372</v>
      </c>
      <c r="B1373" s="46" t="s">
        <v>26</v>
      </c>
      <c r="C1373" s="46" t="s">
        <v>54</v>
      </c>
      <c r="D1373" s="46" t="s">
        <v>207</v>
      </c>
      <c r="E1373" s="46" t="s">
        <v>4423</v>
      </c>
      <c r="F1373" s="46" t="s">
        <v>53</v>
      </c>
      <c r="G1373" s="114">
        <v>4</v>
      </c>
      <c r="H1373" s="74" t="s">
        <v>4424</v>
      </c>
      <c r="I1373" s="114" t="s">
        <v>271</v>
      </c>
      <c r="J1373" s="295" t="s">
        <v>2694</v>
      </c>
      <c r="K1373" s="109">
        <v>46229.362280092595</v>
      </c>
      <c r="L1373" s="359">
        <v>46232.320219907408</v>
      </c>
      <c r="M1373" s="359">
        <v>46232.340682870374</v>
      </c>
      <c r="N1373" s="359">
        <v>46237.789618055554</v>
      </c>
    </row>
    <row r="1374" spans="1:14" ht="15" customHeight="1">
      <c r="A1374" s="46">
        <v>1373</v>
      </c>
      <c r="B1374" s="46" t="s">
        <v>26</v>
      </c>
      <c r="C1374" s="46" t="s">
        <v>54</v>
      </c>
      <c r="D1374" s="46" t="s">
        <v>207</v>
      </c>
      <c r="E1374" s="46" t="s">
        <v>4830</v>
      </c>
      <c r="F1374" s="46" t="s">
        <v>336</v>
      </c>
      <c r="G1374" s="114">
        <v>3</v>
      </c>
      <c r="H1374" s="74" t="s">
        <v>4831</v>
      </c>
      <c r="I1374" s="114" t="s">
        <v>271</v>
      </c>
      <c r="J1374" s="295" t="s">
        <v>2714</v>
      </c>
      <c r="K1374" s="109">
        <v>46229.520115740743</v>
      </c>
      <c r="L1374" s="359">
        <v>46229.605069444442</v>
      </c>
      <c r="M1374" s="359">
        <v>46230.262881944444</v>
      </c>
      <c r="N1374" s="359">
        <v>46239.43304398148</v>
      </c>
    </row>
    <row r="1375" spans="1:14" ht="15" customHeight="1">
      <c r="A1375" s="46">
        <v>1374</v>
      </c>
      <c r="B1375" s="46" t="s">
        <v>26</v>
      </c>
      <c r="C1375" s="46" t="s">
        <v>54</v>
      </c>
      <c r="D1375" s="46" t="s">
        <v>207</v>
      </c>
      <c r="E1375" s="46" t="s">
        <v>4832</v>
      </c>
      <c r="F1375" s="46" t="s">
        <v>336</v>
      </c>
      <c r="G1375" s="114">
        <v>3</v>
      </c>
      <c r="H1375" s="74" t="s">
        <v>4833</v>
      </c>
      <c r="I1375" s="114" t="s">
        <v>271</v>
      </c>
      <c r="J1375" s="295" t="s">
        <v>2703</v>
      </c>
      <c r="K1375" s="109">
        <v>46229.531967592593</v>
      </c>
      <c r="L1375" s="359">
        <v>46229.605590277781</v>
      </c>
      <c r="M1375" s="359">
        <v>46230.272812499999</v>
      </c>
      <c r="N1375" s="359">
        <v>46239.419108796297</v>
      </c>
    </row>
    <row r="1376" spans="1:14" ht="15" customHeight="1">
      <c r="A1376" s="46">
        <v>1375</v>
      </c>
      <c r="B1376" s="46" t="s">
        <v>26</v>
      </c>
      <c r="C1376" s="46" t="s">
        <v>54</v>
      </c>
      <c r="D1376" s="46" t="s">
        <v>207</v>
      </c>
      <c r="E1376" s="46" t="s">
        <v>4834</v>
      </c>
      <c r="F1376" s="46" t="s">
        <v>336</v>
      </c>
      <c r="G1376" s="114">
        <v>3</v>
      </c>
      <c r="H1376" s="74" t="s">
        <v>4835</v>
      </c>
      <c r="I1376" s="114" t="s">
        <v>271</v>
      </c>
      <c r="J1376" s="295" t="s">
        <v>2694</v>
      </c>
      <c r="K1376" s="109">
        <v>46229.813055555554</v>
      </c>
      <c r="L1376" s="359">
        <v>46229.817557870374</v>
      </c>
      <c r="M1376" s="359">
        <v>46230.273877314816</v>
      </c>
      <c r="N1376" s="359">
        <v>46240.7500462963</v>
      </c>
    </row>
    <row r="1377" spans="1:14" ht="15" customHeight="1">
      <c r="A1377" s="46">
        <v>1376</v>
      </c>
      <c r="B1377" s="46" t="s">
        <v>26</v>
      </c>
      <c r="C1377" s="46" t="s">
        <v>54</v>
      </c>
      <c r="D1377" s="46" t="s">
        <v>207</v>
      </c>
      <c r="E1377" s="46" t="s">
        <v>4663</v>
      </c>
      <c r="F1377" s="46" t="s">
        <v>53</v>
      </c>
      <c r="G1377" s="114">
        <v>4</v>
      </c>
      <c r="H1377" s="74" t="s">
        <v>4664</v>
      </c>
      <c r="I1377" s="114" t="s">
        <v>271</v>
      </c>
      <c r="J1377" s="295" t="s">
        <v>2703</v>
      </c>
      <c r="K1377" s="109">
        <v>46225.382164351853</v>
      </c>
      <c r="L1377" s="359">
        <v>46231.506932870368</v>
      </c>
      <c r="M1377" s="359">
        <v>46231.512164351851</v>
      </c>
      <c r="N1377" s="359">
        <v>46241.525972222225</v>
      </c>
    </row>
    <row r="1378" spans="1:14" ht="15" customHeight="1">
      <c r="A1378" s="46">
        <v>1377</v>
      </c>
      <c r="B1378" s="46" t="s">
        <v>26</v>
      </c>
      <c r="C1378" s="46" t="s">
        <v>54</v>
      </c>
      <c r="D1378" s="46" t="s">
        <v>207</v>
      </c>
      <c r="E1378" s="46" t="s">
        <v>4836</v>
      </c>
      <c r="F1378" s="46" t="s">
        <v>53</v>
      </c>
      <c r="G1378" s="114">
        <v>3</v>
      </c>
      <c r="H1378" s="74" t="s">
        <v>4837</v>
      </c>
      <c r="I1378" s="114" t="s">
        <v>275</v>
      </c>
      <c r="J1378" s="295" t="s">
        <v>2694</v>
      </c>
      <c r="K1378" s="109">
        <v>46231.506157407406</v>
      </c>
      <c r="L1378" s="359">
        <v>46231.506157407406</v>
      </c>
      <c r="M1378" s="359">
        <v>46231.516134259262</v>
      </c>
      <c r="N1378" s="359">
        <v>46232.319733796299</v>
      </c>
    </row>
    <row r="1379" spans="1:14" ht="15" customHeight="1">
      <c r="A1379" s="46">
        <v>1378</v>
      </c>
      <c r="B1379" s="46" t="s">
        <v>26</v>
      </c>
      <c r="C1379" s="46" t="s">
        <v>27</v>
      </c>
      <c r="D1379" s="46" t="s">
        <v>207</v>
      </c>
      <c r="E1379" s="46" t="s">
        <v>4838</v>
      </c>
      <c r="F1379" s="46" t="s">
        <v>318</v>
      </c>
      <c r="G1379" s="114">
        <v>3</v>
      </c>
      <c r="H1379" s="74" t="s">
        <v>2724</v>
      </c>
      <c r="I1379" s="114" t="s">
        <v>260</v>
      </c>
      <c r="J1379" s="295" t="s">
        <v>2738</v>
      </c>
      <c r="K1379" s="359">
        <v>46253.619062500002</v>
      </c>
      <c r="L1379" s="359">
        <v>46253.619189814817</v>
      </c>
      <c r="M1379" s="359">
        <v>46253.624259259261</v>
      </c>
    </row>
    <row r="1380" spans="1:14" ht="15" customHeight="1">
      <c r="A1380" s="46">
        <v>1379</v>
      </c>
      <c r="B1380" s="46" t="s">
        <v>26</v>
      </c>
      <c r="C1380" s="46" t="s">
        <v>27</v>
      </c>
      <c r="D1380" s="46" t="s">
        <v>207</v>
      </c>
      <c r="E1380" s="46" t="s">
        <v>4839</v>
      </c>
      <c r="F1380" s="46" t="s">
        <v>318</v>
      </c>
      <c r="G1380" s="114">
        <v>3</v>
      </c>
      <c r="H1380" s="74" t="s">
        <v>2724</v>
      </c>
      <c r="I1380" s="114" t="s">
        <v>260</v>
      </c>
      <c r="J1380" s="295" t="s">
        <v>2751</v>
      </c>
      <c r="K1380" s="359">
        <v>46253.619004629632</v>
      </c>
      <c r="L1380" s="359">
        <v>46253.619074074071</v>
      </c>
      <c r="M1380" s="359">
        <v>46253.627268518518</v>
      </c>
    </row>
    <row r="1381" spans="1:14" ht="15" customHeight="1">
      <c r="A1381" s="46">
        <v>1380</v>
      </c>
      <c r="B1381" s="46" t="s">
        <v>26</v>
      </c>
      <c r="C1381" s="46" t="s">
        <v>27</v>
      </c>
      <c r="D1381" s="46" t="s">
        <v>207</v>
      </c>
      <c r="E1381" s="46" t="s">
        <v>4840</v>
      </c>
      <c r="F1381" s="46" t="s">
        <v>318</v>
      </c>
      <c r="G1381" s="114">
        <v>3</v>
      </c>
      <c r="H1381" s="74" t="s">
        <v>4841</v>
      </c>
      <c r="I1381" s="114" t="s">
        <v>260</v>
      </c>
      <c r="J1381" s="295" t="s">
        <v>2708</v>
      </c>
      <c r="K1381" s="109">
        <v>46253.99082175926</v>
      </c>
      <c r="L1381" s="109">
        <v>46253.99324074074</v>
      </c>
      <c r="M1381" s="109">
        <v>46254.23945601852</v>
      </c>
    </row>
    <row r="1382" spans="1:14" ht="15" customHeight="1">
      <c r="A1382" s="46">
        <v>1381</v>
      </c>
      <c r="B1382" s="46" t="s">
        <v>26</v>
      </c>
      <c r="C1382" s="46" t="s">
        <v>27</v>
      </c>
      <c r="D1382" s="46" t="s">
        <v>207</v>
      </c>
      <c r="E1382" s="46" t="s">
        <v>4842</v>
      </c>
      <c r="F1382" s="46" t="s">
        <v>318</v>
      </c>
      <c r="G1382" s="114">
        <v>4</v>
      </c>
      <c r="H1382" s="74" t="s">
        <v>2724</v>
      </c>
      <c r="I1382" s="114" t="s">
        <v>260</v>
      </c>
      <c r="J1382" s="295" t="s">
        <v>2725</v>
      </c>
      <c r="K1382" s="109">
        <v>46253.89539351852</v>
      </c>
      <c r="L1382" s="109">
        <v>46253.89539351852</v>
      </c>
      <c r="M1382" s="109">
        <v>46254.257314814815</v>
      </c>
    </row>
    <row r="1383" spans="1:14" ht="15" customHeight="1">
      <c r="A1383" s="46">
        <v>1382</v>
      </c>
      <c r="B1383" s="46" t="s">
        <v>26</v>
      </c>
      <c r="C1383" s="46" t="s">
        <v>27</v>
      </c>
      <c r="D1383" s="46" t="s">
        <v>207</v>
      </c>
      <c r="E1383" s="46" t="s">
        <v>4843</v>
      </c>
      <c r="F1383" s="46" t="s">
        <v>327</v>
      </c>
      <c r="G1383" s="114">
        <v>3</v>
      </c>
      <c r="H1383" s="74" t="s">
        <v>4004</v>
      </c>
      <c r="I1383" s="114" t="s">
        <v>275</v>
      </c>
      <c r="K1383" s="109">
        <v>46253.625208333331</v>
      </c>
      <c r="L1383" s="109">
        <v>46253.625208333331</v>
      </c>
      <c r="M1383" s="109">
        <v>46254.267766203702</v>
      </c>
    </row>
    <row r="1384" spans="1:14" ht="15" customHeight="1">
      <c r="A1384" s="46">
        <v>1383</v>
      </c>
      <c r="B1384" s="46" t="s">
        <v>26</v>
      </c>
      <c r="C1384" s="46" t="s">
        <v>27</v>
      </c>
      <c r="D1384" s="46" t="s">
        <v>207</v>
      </c>
      <c r="E1384" s="46" t="s">
        <v>4844</v>
      </c>
      <c r="F1384" s="46" t="s">
        <v>318</v>
      </c>
      <c r="G1384" s="114">
        <v>4</v>
      </c>
      <c r="H1384" s="74" t="s">
        <v>2923</v>
      </c>
      <c r="I1384" s="114" t="s">
        <v>260</v>
      </c>
      <c r="J1384" s="295" t="s">
        <v>2703</v>
      </c>
      <c r="K1384" s="109">
        <v>46254.383009259262</v>
      </c>
      <c r="L1384" s="109">
        <v>46254.385717592595</v>
      </c>
      <c r="M1384" s="109">
        <v>46254.388784722221</v>
      </c>
    </row>
    <row r="1385" spans="1:14" ht="15" customHeight="1">
      <c r="A1385" s="46">
        <v>1384</v>
      </c>
      <c r="B1385" s="46" t="s">
        <v>26</v>
      </c>
      <c r="C1385" s="46" t="s">
        <v>27</v>
      </c>
      <c r="D1385" s="46" t="s">
        <v>207</v>
      </c>
      <c r="E1385" s="46" t="s">
        <v>4845</v>
      </c>
      <c r="F1385" s="46" t="s">
        <v>318</v>
      </c>
      <c r="G1385" s="114">
        <v>4</v>
      </c>
      <c r="H1385" s="74" t="s">
        <v>2724</v>
      </c>
      <c r="I1385" s="114" t="s">
        <v>260</v>
      </c>
      <c r="J1385" s="295" t="s">
        <v>2772</v>
      </c>
      <c r="K1385" s="109">
        <v>46254.360694444447</v>
      </c>
      <c r="L1385" s="109">
        <v>46254.360694444447</v>
      </c>
      <c r="M1385" s="109">
        <v>46254.390509259261</v>
      </c>
    </row>
    <row r="1386" spans="1:14" ht="15" customHeight="1">
      <c r="A1386" s="46">
        <v>1385</v>
      </c>
      <c r="B1386" s="46" t="s">
        <v>26</v>
      </c>
      <c r="C1386" s="46" t="s">
        <v>27</v>
      </c>
      <c r="D1386" s="46" t="s">
        <v>207</v>
      </c>
      <c r="E1386" s="46" t="s">
        <v>4846</v>
      </c>
      <c r="F1386" s="46" t="s">
        <v>318</v>
      </c>
      <c r="G1386" s="114">
        <v>4</v>
      </c>
      <c r="H1386" s="74" t="s">
        <v>2724</v>
      </c>
      <c r="I1386" s="114" t="s">
        <v>260</v>
      </c>
      <c r="J1386" s="295" t="s">
        <v>2738</v>
      </c>
      <c r="K1386" s="109">
        <v>46254.359363425923</v>
      </c>
      <c r="L1386" s="109">
        <v>46254.359363425923</v>
      </c>
      <c r="M1386" s="109">
        <v>46254.39203703704</v>
      </c>
    </row>
    <row r="1387" spans="1:14" ht="15" customHeight="1">
      <c r="A1387" s="46">
        <v>1386</v>
      </c>
      <c r="B1387" s="46" t="s">
        <v>26</v>
      </c>
      <c r="C1387" s="46" t="s">
        <v>54</v>
      </c>
      <c r="D1387" s="46" t="s">
        <v>207</v>
      </c>
      <c r="E1387" s="46" t="s">
        <v>4847</v>
      </c>
      <c r="F1387" s="46" t="s">
        <v>53</v>
      </c>
      <c r="G1387" s="114">
        <v>4</v>
      </c>
      <c r="H1387" s="74" t="s">
        <v>4848</v>
      </c>
      <c r="I1387" s="114" t="s">
        <v>260</v>
      </c>
      <c r="J1387" s="295" t="s">
        <v>3132</v>
      </c>
      <c r="K1387" s="109">
        <v>46253.508715277778</v>
      </c>
      <c r="L1387" s="359">
        <v>46254.616782407407</v>
      </c>
      <c r="M1387" s="359">
        <v>46255.254988425928</v>
      </c>
    </row>
    <row r="1388" spans="1:14" ht="15" customHeight="1">
      <c r="A1388" s="46">
        <v>1387</v>
      </c>
      <c r="B1388" s="46" t="s">
        <v>26</v>
      </c>
      <c r="C1388" s="46" t="s">
        <v>54</v>
      </c>
      <c r="D1388" s="46" t="s">
        <v>207</v>
      </c>
      <c r="E1388" s="46" t="s">
        <v>4849</v>
      </c>
      <c r="F1388" s="46" t="s">
        <v>336</v>
      </c>
      <c r="G1388" s="114">
        <v>3</v>
      </c>
      <c r="H1388" s="74" t="s">
        <v>4850</v>
      </c>
      <c r="I1388" s="114" t="s">
        <v>275</v>
      </c>
      <c r="J1388" s="295" t="s">
        <v>2697</v>
      </c>
      <c r="K1388" s="109">
        <v>46254.53665509259</v>
      </c>
      <c r="L1388" s="359">
        <v>46254.536666666667</v>
      </c>
      <c r="M1388" s="359">
        <v>46255.260289351849</v>
      </c>
      <c r="N1388" s="359">
        <v>46255.311689814815</v>
      </c>
    </row>
    <row r="1389" spans="1:14" ht="15" customHeight="1">
      <c r="A1389" s="46">
        <v>1388</v>
      </c>
      <c r="B1389" s="46" t="s">
        <v>26</v>
      </c>
      <c r="C1389" s="46" t="s">
        <v>54</v>
      </c>
      <c r="D1389" s="46" t="s">
        <v>207</v>
      </c>
      <c r="E1389" s="46" t="s">
        <v>4851</v>
      </c>
      <c r="F1389" s="46" t="s">
        <v>53</v>
      </c>
      <c r="G1389" s="114">
        <v>3</v>
      </c>
      <c r="H1389" s="74" t="s">
        <v>4850</v>
      </c>
      <c r="I1389" s="114" t="s">
        <v>260</v>
      </c>
      <c r="J1389" s="295" t="s">
        <v>2703</v>
      </c>
      <c r="K1389" s="109">
        <v>46252.536249999997</v>
      </c>
      <c r="L1389" s="359">
        <v>46254.613217592596</v>
      </c>
      <c r="M1389" s="359">
        <v>46255.26353009259</v>
      </c>
    </row>
    <row r="1390" spans="1:14" ht="15" customHeight="1">
      <c r="A1390" s="46">
        <v>1389</v>
      </c>
      <c r="B1390" s="46" t="s">
        <v>26</v>
      </c>
      <c r="C1390" s="46" t="s">
        <v>54</v>
      </c>
      <c r="D1390" s="46" t="s">
        <v>207</v>
      </c>
      <c r="E1390" s="46" t="s">
        <v>4852</v>
      </c>
      <c r="F1390" s="46" t="s">
        <v>53</v>
      </c>
      <c r="G1390" s="114">
        <v>4</v>
      </c>
      <c r="H1390" s="74" t="s">
        <v>4853</v>
      </c>
      <c r="I1390" s="114" t="s">
        <v>275</v>
      </c>
      <c r="J1390" s="295" t="s">
        <v>2697</v>
      </c>
      <c r="K1390" s="359">
        <v>46254.529270833336</v>
      </c>
      <c r="L1390" s="359">
        <v>46254.529270833336</v>
      </c>
      <c r="M1390" s="359">
        <v>46255.266655092593</v>
      </c>
      <c r="N1390" s="359">
        <v>46255.271562499998</v>
      </c>
    </row>
    <row r="1391" spans="1:14" ht="15" customHeight="1">
      <c r="A1391" s="46">
        <v>1390</v>
      </c>
      <c r="B1391" s="46" t="s">
        <v>26</v>
      </c>
      <c r="C1391" s="46" t="s">
        <v>54</v>
      </c>
      <c r="D1391" s="46" t="s">
        <v>207</v>
      </c>
      <c r="E1391" s="46" t="s">
        <v>4854</v>
      </c>
      <c r="F1391" s="46" t="s">
        <v>53</v>
      </c>
      <c r="G1391" s="114">
        <v>3</v>
      </c>
      <c r="H1391" s="74" t="s">
        <v>4855</v>
      </c>
      <c r="I1391" s="114" t="s">
        <v>260</v>
      </c>
      <c r="J1391" s="295" t="s">
        <v>2714</v>
      </c>
      <c r="K1391" s="359">
        <v>46255.365868055553</v>
      </c>
      <c r="L1391" s="359">
        <v>46255.365868055553</v>
      </c>
      <c r="M1391" s="359">
        <v>46255.403217592589</v>
      </c>
    </row>
    <row r="1392" spans="1:14" ht="15" customHeight="1">
      <c r="A1392" s="46">
        <v>1391</v>
      </c>
      <c r="B1392" s="46" t="s">
        <v>26</v>
      </c>
      <c r="C1392" s="46" t="s">
        <v>54</v>
      </c>
      <c r="D1392" s="46" t="s">
        <v>207</v>
      </c>
      <c r="E1392" s="46" t="s">
        <v>4856</v>
      </c>
      <c r="F1392" s="46" t="s">
        <v>53</v>
      </c>
      <c r="G1392" s="114">
        <v>3</v>
      </c>
      <c r="H1392" s="74" t="s">
        <v>4857</v>
      </c>
      <c r="I1392" s="114" t="s">
        <v>260</v>
      </c>
      <c r="J1392" s="295" t="s">
        <v>2700</v>
      </c>
      <c r="K1392" s="109">
        <v>46250.869699074072</v>
      </c>
      <c r="L1392" s="359">
        <v>46255.380150462966</v>
      </c>
      <c r="M1392" s="359">
        <v>46255.406527777777</v>
      </c>
    </row>
    <row r="1393" spans="1:13" ht="15" customHeight="1">
      <c r="A1393" s="46">
        <v>1392</v>
      </c>
      <c r="B1393" s="46" t="s">
        <v>26</v>
      </c>
      <c r="C1393" s="46" t="s">
        <v>27</v>
      </c>
      <c r="D1393" s="46" t="s">
        <v>207</v>
      </c>
      <c r="E1393" s="46" t="s">
        <v>4858</v>
      </c>
      <c r="F1393" s="46" t="s">
        <v>327</v>
      </c>
      <c r="G1393" s="114">
        <v>4</v>
      </c>
      <c r="H1393" s="74" t="s">
        <v>4859</v>
      </c>
      <c r="I1393" s="114" t="s">
        <v>275</v>
      </c>
      <c r="K1393" s="109">
        <v>46257.666550925926</v>
      </c>
      <c r="L1393" s="109">
        <v>46257.666550925926</v>
      </c>
      <c r="M1393" s="109">
        <v>46258.284282407411</v>
      </c>
    </row>
    <row r="1394" spans="1:13" ht="15" customHeight="1">
      <c r="A1394" s="46">
        <v>1393</v>
      </c>
      <c r="B1394" s="46" t="s">
        <v>26</v>
      </c>
      <c r="C1394" s="46" t="s">
        <v>27</v>
      </c>
      <c r="D1394" s="46" t="s">
        <v>207</v>
      </c>
      <c r="E1394" s="46" t="s">
        <v>4860</v>
      </c>
      <c r="F1394" s="46" t="s">
        <v>327</v>
      </c>
      <c r="G1394" s="114">
        <v>3</v>
      </c>
      <c r="H1394" s="74" t="s">
        <v>4861</v>
      </c>
      <c r="I1394" s="114" t="s">
        <v>275</v>
      </c>
      <c r="K1394" s="109">
        <v>46257.467719907407</v>
      </c>
      <c r="L1394" s="109">
        <v>46257.467719907407</v>
      </c>
      <c r="M1394" s="109">
        <v>46258.285370370373</v>
      </c>
    </row>
    <row r="1395" spans="1:13" ht="15" customHeight="1">
      <c r="A1395" s="46">
        <v>1394</v>
      </c>
      <c r="B1395" s="46" t="s">
        <v>26</v>
      </c>
      <c r="C1395" s="46" t="s">
        <v>27</v>
      </c>
      <c r="D1395" s="46" t="s">
        <v>207</v>
      </c>
      <c r="E1395" s="46" t="s">
        <v>4862</v>
      </c>
      <c r="F1395" s="46" t="s">
        <v>318</v>
      </c>
      <c r="G1395" s="114">
        <v>3</v>
      </c>
      <c r="H1395" s="74" t="s">
        <v>4863</v>
      </c>
      <c r="I1395" s="114" t="s">
        <v>260</v>
      </c>
      <c r="J1395" s="295" t="s">
        <v>2714</v>
      </c>
      <c r="K1395" s="109">
        <v>46258.104050925926</v>
      </c>
      <c r="L1395" s="109">
        <v>46258.12395833333</v>
      </c>
      <c r="M1395" s="109">
        <v>46258.288958333331</v>
      </c>
    </row>
    <row r="1396" spans="1:13" ht="15" customHeight="1">
      <c r="A1396" s="46">
        <v>1395</v>
      </c>
      <c r="B1396" s="46" t="s">
        <v>26</v>
      </c>
      <c r="C1396" s="46" t="s">
        <v>27</v>
      </c>
      <c r="D1396" s="46" t="s">
        <v>207</v>
      </c>
      <c r="E1396" s="46" t="s">
        <v>4864</v>
      </c>
      <c r="F1396" s="46" t="s">
        <v>318</v>
      </c>
      <c r="G1396" s="114">
        <v>3</v>
      </c>
      <c r="H1396" s="74" t="s">
        <v>2707</v>
      </c>
      <c r="I1396" s="114" t="s">
        <v>260</v>
      </c>
      <c r="J1396" s="295" t="s">
        <v>2708</v>
      </c>
      <c r="K1396" s="109">
        <v>46255.636122685188</v>
      </c>
      <c r="L1396" s="109">
        <v>46255.703009259261</v>
      </c>
      <c r="M1396" s="109">
        <v>46258.290636574071</v>
      </c>
    </row>
    <row r="1397" spans="1:13" ht="15" customHeight="1">
      <c r="A1397" s="46">
        <v>1396</v>
      </c>
      <c r="B1397" s="46" t="s">
        <v>26</v>
      </c>
      <c r="C1397" s="46" t="s">
        <v>27</v>
      </c>
      <c r="D1397" s="46" t="s">
        <v>207</v>
      </c>
      <c r="E1397" s="46" t="s">
        <v>4865</v>
      </c>
      <c r="F1397" s="46" t="s">
        <v>318</v>
      </c>
      <c r="G1397" s="114">
        <v>4</v>
      </c>
      <c r="H1397" s="74" t="s">
        <v>4866</v>
      </c>
      <c r="I1397" s="114" t="s">
        <v>260</v>
      </c>
      <c r="J1397" s="295" t="s">
        <v>2738</v>
      </c>
      <c r="K1397" s="109">
        <v>46257.677754629629</v>
      </c>
      <c r="L1397" s="109">
        <v>46257.679618055554</v>
      </c>
      <c r="M1397" s="109">
        <v>46258.291817129626</v>
      </c>
    </row>
    <row r="1398" spans="1:13" ht="15" customHeight="1">
      <c r="A1398" s="46">
        <v>1397</v>
      </c>
      <c r="B1398" s="46" t="s">
        <v>26</v>
      </c>
      <c r="C1398" s="46" t="s">
        <v>27</v>
      </c>
      <c r="D1398" s="46" t="s">
        <v>207</v>
      </c>
      <c r="E1398" s="46" t="s">
        <v>4867</v>
      </c>
      <c r="F1398" s="46" t="s">
        <v>318</v>
      </c>
      <c r="G1398" s="114">
        <v>3</v>
      </c>
      <c r="H1398" s="74" t="s">
        <v>4868</v>
      </c>
      <c r="I1398" s="114" t="s">
        <v>260</v>
      </c>
      <c r="J1398" s="295" t="s">
        <v>2827</v>
      </c>
      <c r="K1398" s="109">
        <v>46245.42359953704</v>
      </c>
      <c r="L1398" s="109">
        <v>46255.960497685184</v>
      </c>
      <c r="M1398" s="109">
        <v>46258.293344907404</v>
      </c>
    </row>
    <row r="1399" spans="1:13" ht="15" customHeight="1">
      <c r="A1399" s="46">
        <v>1398</v>
      </c>
      <c r="B1399" s="46" t="s">
        <v>26</v>
      </c>
      <c r="C1399" s="46" t="s">
        <v>27</v>
      </c>
      <c r="D1399" s="46" t="s">
        <v>207</v>
      </c>
      <c r="E1399" s="46" t="s">
        <v>4869</v>
      </c>
      <c r="F1399" s="46" t="s">
        <v>318</v>
      </c>
      <c r="G1399" s="114">
        <v>3</v>
      </c>
      <c r="H1399" s="74" t="s">
        <v>4870</v>
      </c>
      <c r="I1399" s="114" t="s">
        <v>260</v>
      </c>
      <c r="J1399" s="295" t="s">
        <v>2738</v>
      </c>
      <c r="K1399" s="109">
        <v>46255.715798611112</v>
      </c>
      <c r="L1399" s="109">
        <v>46255.783125000002</v>
      </c>
      <c r="M1399" s="109">
        <v>46258.294351851851</v>
      </c>
    </row>
    <row r="1400" spans="1:13" ht="15" customHeight="1">
      <c r="A1400" s="46">
        <v>1399</v>
      </c>
      <c r="B1400" s="46" t="s">
        <v>26</v>
      </c>
      <c r="C1400" s="46" t="s">
        <v>27</v>
      </c>
      <c r="D1400" s="46" t="s">
        <v>207</v>
      </c>
      <c r="E1400" s="46" t="s">
        <v>4871</v>
      </c>
      <c r="F1400" s="46" t="s">
        <v>318</v>
      </c>
      <c r="G1400" s="114">
        <v>3</v>
      </c>
      <c r="H1400" s="74" t="s">
        <v>2775</v>
      </c>
      <c r="I1400" s="114" t="s">
        <v>260</v>
      </c>
      <c r="J1400" s="295" t="s">
        <v>2725</v>
      </c>
      <c r="K1400" s="109">
        <v>46257.947523148148</v>
      </c>
      <c r="L1400" s="109">
        <v>46257.947523148148</v>
      </c>
      <c r="M1400" s="109">
        <v>46258.29582175926</v>
      </c>
    </row>
    <row r="1401" spans="1:13" ht="15" customHeight="1">
      <c r="A1401" s="46">
        <v>1400</v>
      </c>
      <c r="B1401" s="46" t="s">
        <v>26</v>
      </c>
      <c r="C1401" s="46" t="s">
        <v>27</v>
      </c>
      <c r="D1401" s="46" t="s">
        <v>207</v>
      </c>
      <c r="E1401" s="46" t="s">
        <v>4872</v>
      </c>
      <c r="F1401" s="46" t="s">
        <v>318</v>
      </c>
      <c r="G1401" s="114">
        <v>3</v>
      </c>
      <c r="H1401" s="74" t="s">
        <v>2775</v>
      </c>
      <c r="I1401" s="114" t="s">
        <v>260</v>
      </c>
      <c r="J1401" s="295" t="s">
        <v>2725</v>
      </c>
      <c r="K1401" s="109">
        <v>46257.947511574072</v>
      </c>
      <c r="L1401" s="109">
        <v>46257.947511574072</v>
      </c>
      <c r="M1401" s="109">
        <v>46258.296875</v>
      </c>
    </row>
    <row r="1402" spans="1:13" ht="15" customHeight="1">
      <c r="A1402" s="46">
        <v>1401</v>
      </c>
      <c r="B1402" s="46" t="s">
        <v>26</v>
      </c>
      <c r="C1402" s="46" t="s">
        <v>27</v>
      </c>
      <c r="D1402" s="46" t="s">
        <v>207</v>
      </c>
      <c r="E1402" s="46" t="s">
        <v>4873</v>
      </c>
      <c r="F1402" s="46" t="s">
        <v>318</v>
      </c>
      <c r="G1402" s="114">
        <v>3</v>
      </c>
      <c r="H1402" s="74" t="s">
        <v>2724</v>
      </c>
      <c r="I1402" s="114" t="s">
        <v>260</v>
      </c>
      <c r="J1402" s="295" t="s">
        <v>2772</v>
      </c>
      <c r="K1402" s="109">
        <v>46257.766145833331</v>
      </c>
      <c r="L1402" s="109">
        <v>46257.766145833331</v>
      </c>
      <c r="M1402" s="109">
        <v>46258.297743055555</v>
      </c>
    </row>
    <row r="1403" spans="1:13" ht="15" customHeight="1">
      <c r="A1403" s="46">
        <v>1402</v>
      </c>
      <c r="B1403" s="46" t="s">
        <v>26</v>
      </c>
      <c r="C1403" s="46" t="s">
        <v>27</v>
      </c>
      <c r="D1403" s="46" t="s">
        <v>207</v>
      </c>
      <c r="E1403" s="46" t="s">
        <v>4874</v>
      </c>
      <c r="F1403" s="46" t="s">
        <v>318</v>
      </c>
      <c r="G1403" s="114">
        <v>3</v>
      </c>
      <c r="H1403" s="74" t="s">
        <v>2775</v>
      </c>
      <c r="I1403" s="114" t="s">
        <v>260</v>
      </c>
      <c r="J1403" s="295" t="s">
        <v>2772</v>
      </c>
      <c r="K1403" s="109">
        <v>46257.619062500002</v>
      </c>
      <c r="L1403" s="109">
        <v>46257.619062500002</v>
      </c>
      <c r="M1403" s="109">
        <v>46258.299004629633</v>
      </c>
    </row>
    <row r="1404" spans="1:13" ht="15" customHeight="1">
      <c r="A1404" s="46">
        <v>1403</v>
      </c>
      <c r="B1404" s="46" t="s">
        <v>26</v>
      </c>
      <c r="C1404" s="46" t="s">
        <v>27</v>
      </c>
      <c r="D1404" s="46" t="s">
        <v>207</v>
      </c>
      <c r="E1404" s="46" t="s">
        <v>4875</v>
      </c>
      <c r="F1404" s="46" t="s">
        <v>318</v>
      </c>
      <c r="G1404" s="114">
        <v>3</v>
      </c>
      <c r="H1404" s="74" t="s">
        <v>2775</v>
      </c>
      <c r="I1404" s="114" t="s">
        <v>260</v>
      </c>
      <c r="J1404" s="295" t="s">
        <v>2751</v>
      </c>
      <c r="K1404" s="109">
        <v>46257.566921296297</v>
      </c>
      <c r="L1404" s="109">
        <v>46257.566921296297</v>
      </c>
      <c r="M1404" s="109">
        <v>46258.299768518518</v>
      </c>
    </row>
    <row r="1405" spans="1:13" ht="15" customHeight="1">
      <c r="A1405" s="46">
        <v>1404</v>
      </c>
      <c r="B1405" s="46" t="s">
        <v>26</v>
      </c>
      <c r="C1405" s="46" t="s">
        <v>27</v>
      </c>
      <c r="D1405" s="46" t="s">
        <v>207</v>
      </c>
      <c r="E1405" s="46" t="s">
        <v>4876</v>
      </c>
      <c r="F1405" s="46" t="s">
        <v>318</v>
      </c>
      <c r="G1405" s="114">
        <v>3</v>
      </c>
      <c r="H1405" s="74" t="s">
        <v>2775</v>
      </c>
      <c r="I1405" s="114" t="s">
        <v>260</v>
      </c>
      <c r="J1405" s="295" t="s">
        <v>2827</v>
      </c>
      <c r="K1405" s="109">
        <v>46257.567685185182</v>
      </c>
      <c r="L1405" s="109">
        <v>46257.567685185182</v>
      </c>
      <c r="M1405" s="109">
        <v>46258.300706018519</v>
      </c>
    </row>
    <row r="1406" spans="1:13" ht="15" customHeight="1">
      <c r="A1406" s="46">
        <v>1405</v>
      </c>
      <c r="B1406" s="46" t="s">
        <v>26</v>
      </c>
      <c r="C1406" s="46" t="s">
        <v>27</v>
      </c>
      <c r="D1406" s="46" t="s">
        <v>207</v>
      </c>
      <c r="E1406" s="46" t="s">
        <v>4877</v>
      </c>
      <c r="F1406" s="46" t="s">
        <v>318</v>
      </c>
      <c r="G1406" s="114">
        <v>3</v>
      </c>
      <c r="H1406" s="74" t="s">
        <v>2724</v>
      </c>
      <c r="I1406" s="114" t="s">
        <v>260</v>
      </c>
      <c r="J1406" s="295" t="s">
        <v>2738</v>
      </c>
      <c r="K1406" s="359">
        <v>46257.554085648146</v>
      </c>
      <c r="L1406" s="109">
        <v>46257.554085648146</v>
      </c>
      <c r="M1406" s="109">
        <v>46258.303993055553</v>
      </c>
    </row>
    <row r="1407" spans="1:13" ht="15" customHeight="1">
      <c r="A1407" s="46">
        <v>1406</v>
      </c>
      <c r="B1407" s="46" t="s">
        <v>26</v>
      </c>
      <c r="C1407" s="46" t="s">
        <v>27</v>
      </c>
      <c r="D1407" s="46" t="s">
        <v>207</v>
      </c>
      <c r="E1407" s="46" t="s">
        <v>4878</v>
      </c>
      <c r="F1407" s="46" t="s">
        <v>318</v>
      </c>
      <c r="G1407" s="114">
        <v>3</v>
      </c>
      <c r="H1407" s="74" t="s">
        <v>2724</v>
      </c>
      <c r="I1407" s="114" t="s">
        <v>260</v>
      </c>
      <c r="J1407" s="295" t="s">
        <v>2827</v>
      </c>
      <c r="K1407" s="109">
        <v>46257.552777777775</v>
      </c>
      <c r="L1407" s="109">
        <v>46257.552777777775</v>
      </c>
      <c r="M1407" s="359">
        <v>46258.305034722223</v>
      </c>
    </row>
    <row r="1408" spans="1:13" ht="15" customHeight="1">
      <c r="A1408" s="46">
        <v>1407</v>
      </c>
      <c r="B1408" s="46" t="s">
        <v>26</v>
      </c>
      <c r="C1408" s="46" t="s">
        <v>27</v>
      </c>
      <c r="D1408" s="46" t="s">
        <v>207</v>
      </c>
      <c r="E1408" s="46" t="s">
        <v>4879</v>
      </c>
      <c r="F1408" s="46" t="s">
        <v>318</v>
      </c>
      <c r="G1408" s="114">
        <v>3</v>
      </c>
      <c r="H1408" s="74" t="s">
        <v>2775</v>
      </c>
      <c r="I1408" s="114" t="s">
        <v>260</v>
      </c>
      <c r="J1408" s="295" t="s">
        <v>2725</v>
      </c>
      <c r="K1408" s="109">
        <v>46257.555011574077</v>
      </c>
      <c r="L1408" s="109">
        <v>46257.555011574077</v>
      </c>
      <c r="M1408" s="109">
        <v>46258.305844907409</v>
      </c>
    </row>
    <row r="1409" spans="1:13" ht="15" customHeight="1">
      <c r="A1409" s="46">
        <v>1408</v>
      </c>
      <c r="B1409" s="46" t="s">
        <v>26</v>
      </c>
      <c r="C1409" s="46" t="s">
        <v>27</v>
      </c>
      <c r="D1409" s="46" t="s">
        <v>207</v>
      </c>
      <c r="E1409" s="46" t="s">
        <v>4880</v>
      </c>
      <c r="F1409" s="46" t="s">
        <v>318</v>
      </c>
      <c r="G1409" s="114">
        <v>3</v>
      </c>
      <c r="H1409" s="74" t="s">
        <v>2775</v>
      </c>
      <c r="I1409" s="114" t="s">
        <v>260</v>
      </c>
      <c r="J1409" s="295" t="s">
        <v>2772</v>
      </c>
      <c r="K1409" s="109">
        <v>46257.555011574077</v>
      </c>
      <c r="L1409" s="109">
        <v>46257.555011574077</v>
      </c>
      <c r="M1409" s="109">
        <v>46258.306898148148</v>
      </c>
    </row>
    <row r="1410" spans="1:13" ht="15" customHeight="1">
      <c r="A1410" s="46">
        <v>1409</v>
      </c>
      <c r="B1410" s="46" t="s">
        <v>26</v>
      </c>
      <c r="C1410" s="46" t="s">
        <v>27</v>
      </c>
      <c r="D1410" s="46" t="s">
        <v>207</v>
      </c>
      <c r="E1410" s="46" t="s">
        <v>4881</v>
      </c>
      <c r="F1410" s="46" t="s">
        <v>318</v>
      </c>
      <c r="G1410" s="114">
        <v>3</v>
      </c>
      <c r="H1410" s="74" t="s">
        <v>2724</v>
      </c>
      <c r="I1410" s="114" t="s">
        <v>260</v>
      </c>
      <c r="J1410" s="295" t="s">
        <v>2751</v>
      </c>
      <c r="K1410" s="109">
        <v>46257.622418981482</v>
      </c>
      <c r="L1410" s="109">
        <v>46257.622418981482</v>
      </c>
      <c r="M1410" s="109">
        <v>46258.307615740741</v>
      </c>
    </row>
    <row r="1411" spans="1:13" ht="15" customHeight="1">
      <c r="A1411" s="46">
        <v>1410</v>
      </c>
      <c r="B1411" s="46" t="s">
        <v>26</v>
      </c>
      <c r="C1411" s="46" t="s">
        <v>27</v>
      </c>
      <c r="D1411" s="46" t="s">
        <v>207</v>
      </c>
      <c r="E1411" s="46" t="s">
        <v>4882</v>
      </c>
      <c r="F1411" s="46" t="s">
        <v>318</v>
      </c>
      <c r="G1411" s="114">
        <v>3</v>
      </c>
      <c r="H1411" s="74" t="s">
        <v>2724</v>
      </c>
      <c r="I1411" s="114" t="s">
        <v>260</v>
      </c>
      <c r="J1411" s="295" t="s">
        <v>2827</v>
      </c>
      <c r="K1411" s="109">
        <v>46257.555590277778</v>
      </c>
      <c r="L1411" s="109">
        <v>46257.555590277778</v>
      </c>
      <c r="M1411" s="109">
        <v>46258.308541666665</v>
      </c>
    </row>
    <row r="1412" spans="1:13" ht="15" customHeight="1">
      <c r="A1412" s="46">
        <v>1411</v>
      </c>
      <c r="B1412" s="46" t="s">
        <v>26</v>
      </c>
      <c r="C1412" s="46" t="s">
        <v>27</v>
      </c>
      <c r="D1412" s="46" t="s">
        <v>207</v>
      </c>
      <c r="E1412" s="46" t="s">
        <v>4883</v>
      </c>
      <c r="F1412" s="46" t="s">
        <v>318</v>
      </c>
      <c r="G1412" s="114">
        <v>3</v>
      </c>
      <c r="H1412" s="74" t="s">
        <v>4884</v>
      </c>
      <c r="I1412" s="114" t="s">
        <v>260</v>
      </c>
      <c r="J1412" s="295" t="s">
        <v>2738</v>
      </c>
      <c r="K1412" s="109">
        <v>46257.551516203705</v>
      </c>
      <c r="L1412" s="109">
        <v>46257.551516203705</v>
      </c>
      <c r="M1412" s="109">
        <v>46258.309398148151</v>
      </c>
    </row>
    <row r="1413" spans="1:13" ht="15" customHeight="1">
      <c r="A1413" s="46">
        <v>1412</v>
      </c>
      <c r="B1413" s="46" t="s">
        <v>26</v>
      </c>
      <c r="C1413" s="46" t="s">
        <v>27</v>
      </c>
      <c r="D1413" s="46" t="s">
        <v>207</v>
      </c>
      <c r="E1413" s="46" t="s">
        <v>4885</v>
      </c>
      <c r="F1413" s="46" t="s">
        <v>318</v>
      </c>
      <c r="G1413" s="114">
        <v>3</v>
      </c>
      <c r="H1413" s="74" t="s">
        <v>2775</v>
      </c>
      <c r="I1413" s="114" t="s">
        <v>260</v>
      </c>
      <c r="J1413" s="295" t="s">
        <v>2725</v>
      </c>
      <c r="K1413" s="109">
        <v>46257.554224537038</v>
      </c>
      <c r="L1413" s="109">
        <v>46257.554224537038</v>
      </c>
      <c r="M1413" s="109">
        <v>46258.310416666667</v>
      </c>
    </row>
    <row r="1414" spans="1:13" ht="15" customHeight="1">
      <c r="A1414" s="46">
        <v>1413</v>
      </c>
      <c r="B1414" s="46" t="s">
        <v>26</v>
      </c>
      <c r="C1414" s="46" t="s">
        <v>27</v>
      </c>
      <c r="D1414" s="46" t="s">
        <v>207</v>
      </c>
      <c r="E1414" s="46" t="s">
        <v>4886</v>
      </c>
      <c r="F1414" s="46" t="s">
        <v>318</v>
      </c>
      <c r="G1414" s="114">
        <v>3</v>
      </c>
      <c r="H1414" s="74" t="s">
        <v>2775</v>
      </c>
      <c r="I1414" s="114" t="s">
        <v>260</v>
      </c>
      <c r="J1414" s="295" t="s">
        <v>2772</v>
      </c>
      <c r="K1414" s="109">
        <v>46257.553587962961</v>
      </c>
      <c r="L1414" s="109">
        <v>46257.553587962961</v>
      </c>
      <c r="M1414" s="109">
        <v>46258.311273148145</v>
      </c>
    </row>
    <row r="1415" spans="1:13" ht="15" customHeight="1">
      <c r="A1415" s="46">
        <v>1414</v>
      </c>
      <c r="B1415" s="46" t="s">
        <v>26</v>
      </c>
      <c r="C1415" s="46" t="s">
        <v>27</v>
      </c>
      <c r="D1415" s="46" t="s">
        <v>207</v>
      </c>
      <c r="E1415" s="46" t="s">
        <v>4887</v>
      </c>
      <c r="F1415" s="46" t="s">
        <v>318</v>
      </c>
      <c r="G1415" s="114">
        <v>3</v>
      </c>
      <c r="H1415" s="74" t="s">
        <v>2724</v>
      </c>
      <c r="I1415" s="114" t="s">
        <v>260</v>
      </c>
      <c r="J1415" s="295" t="s">
        <v>2700</v>
      </c>
      <c r="K1415" s="109">
        <v>46257.577719907407</v>
      </c>
      <c r="L1415" s="109">
        <v>46257.577719907407</v>
      </c>
      <c r="M1415" s="109">
        <v>46258.312638888892</v>
      </c>
    </row>
    <row r="1416" spans="1:13" ht="15" customHeight="1">
      <c r="A1416" s="46">
        <v>1415</v>
      </c>
      <c r="B1416" s="46" t="s">
        <v>26</v>
      </c>
      <c r="C1416" s="46" t="s">
        <v>27</v>
      </c>
      <c r="D1416" s="46" t="s">
        <v>207</v>
      </c>
      <c r="E1416" s="46" t="s">
        <v>4888</v>
      </c>
      <c r="F1416" s="46" t="s">
        <v>318</v>
      </c>
      <c r="G1416" s="114">
        <v>3</v>
      </c>
      <c r="H1416" s="74" t="s">
        <v>2724</v>
      </c>
      <c r="I1416" s="114" t="s">
        <v>260</v>
      </c>
      <c r="J1416" s="295" t="s">
        <v>2751</v>
      </c>
      <c r="K1416" s="109">
        <v>46255.705833333333</v>
      </c>
      <c r="L1416" s="109">
        <v>46255.705833333333</v>
      </c>
      <c r="M1416" s="109">
        <v>46258.314166666663</v>
      </c>
    </row>
    <row r="1417" spans="1:13" ht="15" customHeight="1">
      <c r="A1417" s="46">
        <v>1416</v>
      </c>
      <c r="B1417" s="46" t="s">
        <v>26</v>
      </c>
      <c r="C1417" s="46" t="s">
        <v>27</v>
      </c>
      <c r="D1417" s="46" t="s">
        <v>208</v>
      </c>
      <c r="E1417" s="46" t="s">
        <v>4889</v>
      </c>
      <c r="F1417" s="46" t="s">
        <v>318</v>
      </c>
      <c r="G1417" s="114" t="s">
        <v>208</v>
      </c>
      <c r="H1417" s="74" t="s">
        <v>4890</v>
      </c>
      <c r="I1417" s="114" t="s">
        <v>260</v>
      </c>
      <c r="J1417" s="295" t="s">
        <v>2725</v>
      </c>
      <c r="K1417" s="109">
        <v>46258.267326388886</v>
      </c>
      <c r="L1417" s="109">
        <v>46258.267326388886</v>
      </c>
      <c r="M1417" s="109">
        <v>46258.31627314815</v>
      </c>
    </row>
    <row r="1418" spans="1:13" ht="15" customHeight="1">
      <c r="A1418" s="46">
        <v>1417</v>
      </c>
      <c r="B1418" s="46" t="s">
        <v>26</v>
      </c>
      <c r="C1418" s="46" t="s">
        <v>27</v>
      </c>
      <c r="D1418" s="46" t="s">
        <v>208</v>
      </c>
      <c r="E1418" s="46" t="s">
        <v>4891</v>
      </c>
      <c r="F1418" s="46" t="s">
        <v>318</v>
      </c>
      <c r="G1418" s="114" t="s">
        <v>208</v>
      </c>
      <c r="H1418" s="74" t="s">
        <v>4892</v>
      </c>
      <c r="I1418" s="114" t="s">
        <v>260</v>
      </c>
      <c r="J1418" s="295" t="s">
        <v>2827</v>
      </c>
      <c r="K1418" s="109">
        <v>46258.267685185187</v>
      </c>
      <c r="L1418" s="109">
        <v>46258.267685185187</v>
      </c>
      <c r="M1418" s="109">
        <v>46258.316527777781</v>
      </c>
    </row>
    <row r="1419" spans="1:13" ht="15" customHeight="1">
      <c r="A1419" s="46">
        <v>1418</v>
      </c>
      <c r="B1419" s="46" t="s">
        <v>26</v>
      </c>
      <c r="C1419" s="46" t="s">
        <v>27</v>
      </c>
      <c r="D1419" s="46" t="s">
        <v>208</v>
      </c>
      <c r="E1419" s="46" t="s">
        <v>4893</v>
      </c>
      <c r="F1419" s="46" t="s">
        <v>318</v>
      </c>
      <c r="G1419" s="114" t="s">
        <v>208</v>
      </c>
      <c r="H1419" s="74" t="s">
        <v>4894</v>
      </c>
      <c r="I1419" s="114" t="s">
        <v>260</v>
      </c>
      <c r="J1419" s="295" t="s">
        <v>3015</v>
      </c>
      <c r="K1419" s="109">
        <v>46258.269120370373</v>
      </c>
      <c r="L1419" s="109">
        <v>46258.269120370373</v>
      </c>
      <c r="M1419" s="109">
        <v>46258.316678240742</v>
      </c>
    </row>
    <row r="1420" spans="1:13" ht="15" customHeight="1">
      <c r="A1420" s="46">
        <v>1419</v>
      </c>
      <c r="B1420" s="46" t="s">
        <v>26</v>
      </c>
      <c r="C1420" s="46" t="s">
        <v>27</v>
      </c>
      <c r="D1420" s="46" t="s">
        <v>208</v>
      </c>
      <c r="E1420" s="46" t="s">
        <v>4895</v>
      </c>
      <c r="F1420" s="46" t="s">
        <v>318</v>
      </c>
      <c r="G1420" s="114" t="s">
        <v>208</v>
      </c>
      <c r="H1420" s="74" t="s">
        <v>4896</v>
      </c>
      <c r="I1420" s="114" t="s">
        <v>260</v>
      </c>
      <c r="J1420" s="295" t="s">
        <v>2751</v>
      </c>
      <c r="K1420" s="109">
        <v>46258.272361111114</v>
      </c>
      <c r="L1420" s="109">
        <v>46258.272361111114</v>
      </c>
      <c r="M1420" s="109">
        <v>46258.316770833335</v>
      </c>
    </row>
    <row r="1421" spans="1:13" ht="15" customHeight="1">
      <c r="A1421" s="46">
        <v>1420</v>
      </c>
      <c r="B1421" s="46" t="s">
        <v>26</v>
      </c>
      <c r="C1421" s="46" t="s">
        <v>27</v>
      </c>
      <c r="D1421" s="46" t="s">
        <v>208</v>
      </c>
      <c r="E1421" s="46" t="s">
        <v>4897</v>
      </c>
      <c r="F1421" s="46" t="s">
        <v>320</v>
      </c>
      <c r="G1421" s="114" t="s">
        <v>208</v>
      </c>
      <c r="H1421" s="74" t="s">
        <v>4898</v>
      </c>
      <c r="I1421" s="114" t="s">
        <v>275</v>
      </c>
      <c r="K1421" s="359">
        <v>46258.341863425929</v>
      </c>
      <c r="L1421" s="359">
        <v>46258.341863425929</v>
      </c>
      <c r="M1421" s="359">
        <v>46258.341863425929</v>
      </c>
    </row>
    <row r="1422" spans="1:13" ht="15" customHeight="1">
      <c r="A1422" s="46">
        <v>1421</v>
      </c>
      <c r="B1422" s="46" t="s">
        <v>26</v>
      </c>
      <c r="C1422" s="46" t="s">
        <v>27</v>
      </c>
      <c r="D1422" s="46" t="s">
        <v>208</v>
      </c>
      <c r="E1422" s="46" t="s">
        <v>4899</v>
      </c>
      <c r="F1422" s="46" t="s">
        <v>320</v>
      </c>
      <c r="G1422" s="114" t="s">
        <v>208</v>
      </c>
      <c r="H1422" s="74" t="s">
        <v>4900</v>
      </c>
      <c r="I1422" s="114" t="s">
        <v>275</v>
      </c>
      <c r="K1422" s="359">
        <v>46258.267430555556</v>
      </c>
      <c r="L1422" s="359">
        <v>46258.343275462961</v>
      </c>
      <c r="M1422" s="359">
        <v>46258.343275462961</v>
      </c>
    </row>
    <row r="1423" spans="1:13" ht="15" customHeight="1">
      <c r="A1423" s="46">
        <v>1422</v>
      </c>
      <c r="B1423" s="46" t="s">
        <v>26</v>
      </c>
      <c r="C1423" s="46" t="s">
        <v>27</v>
      </c>
      <c r="D1423" s="46" t="s">
        <v>208</v>
      </c>
      <c r="E1423" s="46" t="s">
        <v>4901</v>
      </c>
      <c r="F1423" s="46" t="s">
        <v>320</v>
      </c>
      <c r="G1423" s="114" t="s">
        <v>208</v>
      </c>
      <c r="H1423" s="74" t="s">
        <v>4902</v>
      </c>
      <c r="I1423" s="114" t="s">
        <v>275</v>
      </c>
      <c r="K1423" s="359">
        <v>46258.265983796293</v>
      </c>
      <c r="L1423" s="359" t="s">
        <v>4903</v>
      </c>
      <c r="M1423" s="359" t="s">
        <v>4903</v>
      </c>
    </row>
    <row r="1424" spans="1:13" ht="15" customHeight="1">
      <c r="A1424" s="46">
        <v>1423</v>
      </c>
      <c r="B1424" s="46" t="s">
        <v>26</v>
      </c>
      <c r="C1424" s="46" t="s">
        <v>27</v>
      </c>
      <c r="D1424" s="46" t="s">
        <v>208</v>
      </c>
      <c r="E1424" s="46" t="s">
        <v>4904</v>
      </c>
      <c r="F1424" s="46" t="s">
        <v>320</v>
      </c>
      <c r="G1424" s="114" t="s">
        <v>208</v>
      </c>
      <c r="H1424" s="74" t="s">
        <v>4905</v>
      </c>
      <c r="I1424" s="114" t="s">
        <v>275</v>
      </c>
      <c r="K1424" s="359">
        <v>46258.265844907408</v>
      </c>
      <c r="L1424" s="360">
        <v>46258.345902777779</v>
      </c>
      <c r="M1424" s="360">
        <v>46258.345902777779</v>
      </c>
    </row>
    <row r="1425" spans="1:14" ht="15" customHeight="1">
      <c r="A1425" s="46">
        <v>1424</v>
      </c>
      <c r="B1425" s="46" t="s">
        <v>26</v>
      </c>
      <c r="C1425" s="46" t="s">
        <v>27</v>
      </c>
      <c r="D1425" s="46" t="s">
        <v>208</v>
      </c>
      <c r="E1425" s="46" t="s">
        <v>4906</v>
      </c>
      <c r="F1425" s="46" t="s">
        <v>320</v>
      </c>
      <c r="G1425" s="114" t="s">
        <v>208</v>
      </c>
      <c r="H1425" s="74" t="s">
        <v>4907</v>
      </c>
      <c r="I1425" s="114" t="s">
        <v>275</v>
      </c>
      <c r="K1425" s="359">
        <v>46258.264537037037</v>
      </c>
      <c r="L1425" s="359" t="s">
        <v>4908</v>
      </c>
      <c r="M1425" s="359" t="s">
        <v>4908</v>
      </c>
    </row>
    <row r="1426" spans="1:14" ht="15" customHeight="1">
      <c r="A1426" s="46">
        <v>1425</v>
      </c>
      <c r="B1426" s="46" t="s">
        <v>26</v>
      </c>
      <c r="C1426" s="46" t="s">
        <v>27</v>
      </c>
      <c r="D1426" s="46" t="s">
        <v>208</v>
      </c>
      <c r="E1426" s="46" t="s">
        <v>4909</v>
      </c>
      <c r="F1426" s="46" t="s">
        <v>322</v>
      </c>
      <c r="G1426" s="114" t="s">
        <v>208</v>
      </c>
      <c r="H1426" s="74" t="s">
        <v>4910</v>
      </c>
      <c r="I1426" s="114" t="s">
        <v>275</v>
      </c>
      <c r="J1426" s="295" t="s">
        <v>2717</v>
      </c>
      <c r="K1426" s="109">
        <v>46258.264490740738</v>
      </c>
      <c r="L1426" s="360">
        <v>46258.264490740738</v>
      </c>
      <c r="M1426" s="360">
        <v>46258.264490740738</v>
      </c>
      <c r="N1426" s="109">
        <v>46258.423900462964</v>
      </c>
    </row>
    <row r="1427" spans="1:14" ht="15" customHeight="1">
      <c r="A1427" s="46">
        <v>1426</v>
      </c>
      <c r="B1427" s="46" t="s">
        <v>26</v>
      </c>
      <c r="C1427" s="46" t="s">
        <v>27</v>
      </c>
      <c r="D1427" s="46" t="s">
        <v>207</v>
      </c>
      <c r="E1427" s="46" t="s">
        <v>4911</v>
      </c>
      <c r="F1427" s="46" t="s">
        <v>327</v>
      </c>
      <c r="G1427" s="114">
        <v>3</v>
      </c>
      <c r="H1427" s="74" t="s">
        <v>4912</v>
      </c>
      <c r="I1427" s="114" t="s">
        <v>275</v>
      </c>
      <c r="K1427" s="109">
        <v>46258.389733796299</v>
      </c>
      <c r="L1427" s="109">
        <v>46258.389733796299</v>
      </c>
      <c r="M1427" s="109">
        <v>46258.426805555559</v>
      </c>
    </row>
    <row r="1428" spans="1:14" ht="15" customHeight="1">
      <c r="A1428" s="46">
        <v>1427</v>
      </c>
      <c r="B1428" s="46" t="s">
        <v>26</v>
      </c>
      <c r="C1428" s="46" t="s">
        <v>54</v>
      </c>
      <c r="D1428" s="46" t="s">
        <v>207</v>
      </c>
      <c r="E1428" s="46" t="s">
        <v>4913</v>
      </c>
      <c r="F1428" s="46" t="s">
        <v>53</v>
      </c>
      <c r="G1428" s="114">
        <v>3</v>
      </c>
      <c r="H1428" s="74" t="s">
        <v>4914</v>
      </c>
      <c r="I1428" s="114" t="s">
        <v>266</v>
      </c>
      <c r="J1428" s="295" t="s">
        <v>2697</v>
      </c>
      <c r="K1428" s="109">
        <v>46259.423217592594</v>
      </c>
      <c r="L1428" s="359">
        <v>46259.423217592594</v>
      </c>
      <c r="M1428" s="359">
        <v>46259.556562500002</v>
      </c>
    </row>
    <row r="1429" spans="1:14" ht="15" customHeight="1">
      <c r="A1429" s="46">
        <v>1428</v>
      </c>
      <c r="B1429" s="46" t="s">
        <v>26</v>
      </c>
      <c r="C1429" s="46" t="s">
        <v>54</v>
      </c>
      <c r="D1429" s="46" t="s">
        <v>207</v>
      </c>
      <c r="E1429" s="46" t="s">
        <v>4915</v>
      </c>
      <c r="F1429" s="46" t="s">
        <v>53</v>
      </c>
      <c r="G1429" s="114">
        <v>3</v>
      </c>
      <c r="H1429" s="74" t="s">
        <v>4916</v>
      </c>
      <c r="I1429" s="114" t="s">
        <v>275</v>
      </c>
      <c r="J1429" s="295" t="s">
        <v>2697</v>
      </c>
      <c r="K1429" s="359">
        <v>46259.554930555554</v>
      </c>
      <c r="L1429" s="359">
        <v>46259.554930555554</v>
      </c>
      <c r="M1429" s="359">
        <v>46259.561018518521</v>
      </c>
    </row>
    <row r="1430" spans="1:14" ht="15" customHeight="1">
      <c r="A1430" s="46">
        <v>1429</v>
      </c>
      <c r="B1430" s="46" t="s">
        <v>26</v>
      </c>
      <c r="C1430" s="46" t="s">
        <v>27</v>
      </c>
      <c r="D1430" s="46" t="s">
        <v>207</v>
      </c>
      <c r="E1430" s="63" t="s">
        <v>4489</v>
      </c>
      <c r="F1430" s="123" t="s">
        <v>325</v>
      </c>
      <c r="G1430" s="435" t="s">
        <v>4917</v>
      </c>
      <c r="H1430" s="436" t="s">
        <v>4490</v>
      </c>
      <c r="I1430" s="435" t="s">
        <v>271</v>
      </c>
      <c r="J1430" s="437" t="s">
        <v>2872</v>
      </c>
      <c r="K1430" s="72">
        <v>46233.453472222223</v>
      </c>
      <c r="L1430" s="147">
        <v>46233.482210648152</v>
      </c>
      <c r="M1430" s="147">
        <v>46234.250625000001</v>
      </c>
      <c r="N1430" s="72">
        <v>46254.456944444442</v>
      </c>
    </row>
    <row r="1431" spans="1:14" ht="15" customHeight="1">
      <c r="A1431" s="46">
        <v>1430</v>
      </c>
      <c r="B1431" s="46" t="s">
        <v>26</v>
      </c>
      <c r="C1431" s="46" t="s">
        <v>27</v>
      </c>
      <c r="D1431" s="46" t="s">
        <v>207</v>
      </c>
      <c r="E1431" s="63" t="s">
        <v>4600</v>
      </c>
      <c r="F1431" s="123" t="s">
        <v>325</v>
      </c>
      <c r="G1431" s="435" t="s">
        <v>4918</v>
      </c>
      <c r="H1431" s="436" t="s">
        <v>4601</v>
      </c>
      <c r="I1431" s="435" t="s">
        <v>271</v>
      </c>
      <c r="J1431" s="437" t="s">
        <v>2872</v>
      </c>
      <c r="K1431" s="72">
        <v>46240.574999999997</v>
      </c>
      <c r="L1431" s="147">
        <v>46253.275682870371</v>
      </c>
      <c r="M1431" s="147">
        <v>46253.290567129632</v>
      </c>
      <c r="N1431" s="72">
        <v>46253.494444444441</v>
      </c>
    </row>
    <row r="1432" spans="1:14" ht="15" customHeight="1">
      <c r="A1432" s="46">
        <v>1431</v>
      </c>
      <c r="B1432" s="46" t="s">
        <v>26</v>
      </c>
      <c r="C1432" s="46" t="s">
        <v>27</v>
      </c>
      <c r="D1432" s="46" t="s">
        <v>207</v>
      </c>
      <c r="E1432" s="63" t="s">
        <v>4819</v>
      </c>
      <c r="F1432" s="123" t="s">
        <v>325</v>
      </c>
      <c r="G1432" s="438">
        <v>4</v>
      </c>
      <c r="H1432" s="436" t="s">
        <v>4820</v>
      </c>
      <c r="I1432" s="438" t="s">
        <v>4668</v>
      </c>
      <c r="J1432" s="439" t="s">
        <v>2872</v>
      </c>
      <c r="K1432" s="72">
        <v>46245.421527777777</v>
      </c>
      <c r="L1432" s="147">
        <v>46247.610590277778</v>
      </c>
      <c r="M1432" s="147">
        <v>46248.118321759262</v>
      </c>
      <c r="N1432" s="72"/>
    </row>
    <row r="1433" spans="1:14" ht="15" customHeight="1">
      <c r="A1433" s="46">
        <v>1432</v>
      </c>
      <c r="B1433" s="46" t="s">
        <v>26</v>
      </c>
      <c r="C1433" s="46" t="s">
        <v>27</v>
      </c>
      <c r="D1433" s="46" t="s">
        <v>207</v>
      </c>
      <c r="E1433" s="63" t="s">
        <v>4919</v>
      </c>
      <c r="F1433" s="123" t="s">
        <v>325</v>
      </c>
      <c r="G1433" s="435" t="s">
        <v>4918</v>
      </c>
      <c r="H1433" s="436" t="s">
        <v>4920</v>
      </c>
      <c r="I1433" s="435" t="s">
        <v>271</v>
      </c>
      <c r="J1433" s="437" t="s">
        <v>2872</v>
      </c>
      <c r="K1433" s="72">
        <v>46251.427777777775</v>
      </c>
      <c r="L1433" s="147">
        <v>46251.717835648145</v>
      </c>
      <c r="M1433" s="147">
        <v>46252.218298611115</v>
      </c>
      <c r="N1433" s="72">
        <v>46253.249305555553</v>
      </c>
    </row>
    <row r="1434" spans="1:14" ht="15" customHeight="1">
      <c r="A1434" s="46">
        <v>1433</v>
      </c>
      <c r="B1434" s="46" t="s">
        <v>26</v>
      </c>
      <c r="C1434" s="46" t="s">
        <v>27</v>
      </c>
      <c r="D1434" s="46" t="s">
        <v>207</v>
      </c>
      <c r="E1434" s="63" t="s">
        <v>4852</v>
      </c>
      <c r="F1434" s="123" t="s">
        <v>325</v>
      </c>
      <c r="G1434" s="438">
        <v>4</v>
      </c>
      <c r="H1434" s="436" t="s">
        <v>4853</v>
      </c>
      <c r="I1434" s="435" t="s">
        <v>275</v>
      </c>
      <c r="J1434" s="437" t="s">
        <v>2872</v>
      </c>
      <c r="K1434" s="72">
        <v>46254.529166666667</v>
      </c>
      <c r="L1434" s="147">
        <v>46255.271562499998</v>
      </c>
      <c r="M1434" s="147">
        <v>46255.277129629627</v>
      </c>
      <c r="N1434" s="124">
        <v>46259.359027777777</v>
      </c>
    </row>
    <row r="1435" spans="1:14" ht="15" customHeight="1">
      <c r="B1435" s="46" t="s">
        <v>26</v>
      </c>
      <c r="C1435" s="46" t="s">
        <v>27</v>
      </c>
      <c r="D1435" s="46" t="s">
        <v>208</v>
      </c>
      <c r="E1435" s="46" t="s">
        <v>4921</v>
      </c>
      <c r="F1435" s="46" t="s">
        <v>320</v>
      </c>
      <c r="H1435" s="74" t="s">
        <v>4078</v>
      </c>
      <c r="I1435" s="114" t="s">
        <v>260</v>
      </c>
      <c r="J1435" s="295" t="s">
        <v>2725</v>
      </c>
      <c r="K1435" s="359">
        <v>46259.376585648148</v>
      </c>
      <c r="L1435" s="359">
        <v>46259.376585648148</v>
      </c>
      <c r="M1435" s="109">
        <v>46259.376585648148</v>
      </c>
    </row>
  </sheetData>
  <sheetProtection sheet="1" objects="1" scenarios="1" autoFilter="0"/>
  <protectedRanges>
    <protectedRange algorithmName="SHA-512" hashValue="99OQ+VOyYeTgkyp5V2h7IJuhOY+ByGUUH4Kc0xKuZgn2w66Z/zb6NCagB6+bjIBmhadenmL7/H2PSKzd599e6Q==" saltValue="s8mGfn7WVHJZXEYeB6j8Yw==" spinCount="100000" sqref="U1 AB1:AJ1" name="Formula Cells"/>
  </protectedRanges>
  <autoFilter ref="A1:AJ1018" xr:uid="{17DCDD68-C785-4941-93A4-977E2DE9FC38}">
    <filterColumn colId="5">
      <filters>
        <filter val="APPSUP_CMJFE"/>
        <filter val="APPSUP_FMJFE"/>
      </filters>
    </filterColumn>
  </autoFilter>
  <conditionalFormatting sqref="E7:E124">
    <cfRule type="duplicateValues" dxfId="34" priority="63"/>
  </conditionalFormatting>
  <conditionalFormatting sqref="E77:E80">
    <cfRule type="duplicateValues" dxfId="33" priority="23"/>
  </conditionalFormatting>
  <conditionalFormatting sqref="E95">
    <cfRule type="duplicateValues" dxfId="32" priority="3"/>
    <cfRule type="duplicateValues" dxfId="31" priority="4"/>
    <cfRule type="duplicateValues" dxfId="30" priority="5"/>
    <cfRule type="duplicateValues" dxfId="29" priority="6"/>
    <cfRule type="duplicateValues" dxfId="28" priority="7"/>
    <cfRule type="duplicateValues" dxfId="27" priority="8"/>
    <cfRule type="duplicateValues" dxfId="26" priority="9"/>
    <cfRule type="duplicateValues" dxfId="25" priority="10"/>
  </conditionalFormatting>
  <conditionalFormatting sqref="E1100:E1117 E976:E982 E891:E913 E689:E700 E563:E573 E464:E499 E407:E462 E270:E340 Y406 E82 E84:E91 E104 E181:E198 E141:E179 E201:E205 E1:E74 E207 E211 E213 E215:E217 E219 E221:E230 E248 E250:E255 E501:E503 E505:E532 E544:E548 E550 E554:E561 E575:E589 E592:E614 E616:E622 E626 E634:E665 E343:E405 E681:E685 E702:E709 E711:E718 E720:E734 N719 E769 E771:E772 E775:E776 E778:E789 E791:E802 E804:E811 E813:E889 E920 E923:E935 E938:E939 E942:E973 E984:E990 E994 E996:E1038 E1040:E1057 E1059:E1072 E1075:E1077 E1079:E1091 E1122 E1120 E1124:E1199 E1209 E1212:E1224 E1227 E1229:E1244 E1248:E1259 E1261:E1265 E1367:E1048576 E1275:E1365">
    <cfRule type="duplicateValues" dxfId="24" priority="11"/>
  </conditionalFormatting>
  <dataValidations count="16">
    <dataValidation allowBlank="1" showInputMessage="1" showErrorMessage="1" sqref="S1 H731 E790:F790 N796 F791:F825 F834:F850 N843 F852:F864 F866:F868 F870:F882 N978 F890:F1056 A1052:A1080 F1058:F1092 F1098:F1117 N1130 A1126:A1129 F1120:F1147 F1149:F1187 A1131:A1153 E1225:E1226 A1217:A1048576 E1228 F1:F789 A1:A964 F1189:F1265 F1275:F1280 F1283:F1286 F1288:F1308 F1310:F1429 F1435:F1048576" xr:uid="{07A0E9AC-D19D-4C3A-85BE-6FAD87DDC833}"/>
    <dataValidation type="date" allowBlank="1" showInputMessage="1" showErrorMessage="1" sqref="M3 O1:P6 K1:L3 N59:N69 K5:K6 L6 K10:M12 K14:M15 L17:M17 L39:M40 N29:N33 K19:K48 L48:M48 N52:N55 M55 M70 K73:K74 L59:M68 L84:M84 N23:N27 L86:N87 K82:K103 L89:L103 N46:N49 K145:N162 L183:M186 L179:N179 K179:K180 N181:N186 K182:K186 K170:K171 M169:N169 M89:M140 L105:L140 N89:N126 K105:K124 N5:N16 N74 K55:K68 L55:L57 M57:N57 N39:N41 M1:N1 N43:N44 N83:N84 N20" xr:uid="{2A17FE43-A402-4EE5-9255-DC10303A7FBC}">
      <formula1>36526</formula1>
      <formula2>73050</formula2>
    </dataValidation>
    <dataValidation type="list" allowBlank="1" showInputMessage="1" showErrorMessage="1" sqref="U1 T36 T38:T52 T54:T55 T65:T70 T72:T145 T57:T63 T154:T155 T163:T189 T191:T234 T1:T34 T1224:T1048576 T237:T1222" xr:uid="{1029AA99-A0EB-42CF-8AAA-E6BCDBDE7EAE}">
      <formula1>SubCategory</formula1>
    </dataValidation>
    <dataValidation allowBlank="1" showInputMessage="1" showErrorMessage="1" errorTitle="Assigned to" error="dont type idiot" sqref="J1:J6 J14 J17 J58 J73 J79 J88 J249 J278 J326 J339:J340 J368 J434 J462 J477 J489 J541 J551 J553 J562 J570 J573 J624 J626 J629:J630 J635 J652 J22" xr:uid="{208BD9FF-0CDC-42E1-B987-941AEE0FF385}"/>
    <dataValidation type="list" allowBlank="1" showInputMessage="1" showErrorMessage="1" sqref="X193" xr:uid="{2B4E687A-5B1B-4D23-A7A9-2A1714FB37E5}">
      <formula1>Queue_List</formula1>
    </dataValidation>
    <dataValidation type="list" allowBlank="1" showInputMessage="1" showErrorMessage="1" sqref="I82:I255 I1:I75 N896 I681:I746 I748:I895 I897:I1051 I1053:I1080 I269:I666 N1265 I1082:I1264 I1275:I1429 I1435:I1048400" xr:uid="{8596E6AF-B3D8-4FD9-9636-8EC063C52FE5}">
      <formula1>Status_List</formula1>
    </dataValidation>
    <dataValidation type="list" allowBlank="1" showInputMessage="1" showErrorMessage="1" sqref="B82:B255 B270:B327 Y493 B1:B74 N920 B681:B919 N1021 B329:B666 B921:B1265 B1275:B1295 B1303:B1048576" xr:uid="{2920F1C4-F520-4226-9512-555D6F8BA2C2}">
      <formula1>OpCo_List</formula1>
    </dataValidation>
    <dataValidation type="list" allowBlank="1" showInputMessage="1" showErrorMessage="1" sqref="C257:C265 C1:C255 C270:C666 C681:C1265 C1275:C1048400" xr:uid="{633ED93C-A5EB-4D84-9078-17A24455C334}">
      <formula1>Domain_List</formula1>
    </dataValidation>
    <dataValidation type="list" allowBlank="1" showInputMessage="1" showErrorMessage="1" sqref="D141:D255 D82:D125 D270:D366 D1:D74 D368:D666 D681:D1264 D1275:D1048400" xr:uid="{75C6639B-5020-4EBA-A8F9-5FD6D9B847AC}">
      <formula1>Type_List</formula1>
    </dataValidation>
    <dataValidation type="list" showInputMessage="1" showErrorMessage="1" errorTitle="Invalid Entry" error="Please select a value in TYPE before entering Priority" sqref="G82:G255 G1:G74 G270:G475 G681:G1060 G478:G666 G1062:G1265 G1275:G1295 G1303:G1429 G1435:G1048576" xr:uid="{F7A6E192-DE6C-4055-9321-B8F43B1C8AB2}">
      <formula1>IF(D1="","",INDIRECT(D1&amp;"_PR"))</formula1>
    </dataValidation>
    <dataValidation type="list" allowBlank="1" showInputMessage="1" showErrorMessage="1" sqref="S229:S243 S2:S223 T1223:AD1223 S245:S1048576" xr:uid="{8897B0F6-B3CC-4F9D-B639-DB1ACA84D03B}">
      <formula1>IF(D2="","",INDIRECT(D2))</formula1>
    </dataValidation>
    <dataValidation type="list" allowBlank="1" showInputMessage="1" showErrorMessage="1" sqref="S244" xr:uid="{7B030677-3F42-408A-B464-8CDE93C20012}">
      <formula1>IF(D231="","",INDIRECT(D231))</formula1>
    </dataValidation>
    <dataValidation type="list" showInputMessage="1" showErrorMessage="1" errorTitle="Invalid Entry" error="Please select a value in TYPE before entering Priority" sqref="G477" xr:uid="{E1C46ADF-A9D7-45F6-88BE-64DD432D18F7}">
      <formula1>IF(D476="","",INDIRECT(D476&amp;"_PR"))</formula1>
    </dataValidation>
    <dataValidation type="list" allowBlank="1" showInputMessage="1" showErrorMessage="1" sqref="Y383 R1:R382 R384:R1048576" xr:uid="{62EE8013-2CF4-4AEB-A899-1F291C4C9ADE}">
      <formula1>Resolution_List</formula1>
    </dataValidation>
    <dataValidation type="list" allowBlank="1" showInputMessage="1" showErrorMessage="1" sqref="U1224:U1048400 U1:U1222" xr:uid="{E6908C45-6D6A-4D52-BF43-243767252BAD}">
      <formula1>"Yes,No"</formula1>
    </dataValidation>
    <dataValidation type="list" showInputMessage="1" showErrorMessage="1" errorTitle="Invalid Entry" error="Please select a value in TYPE before entering Priority" sqref="N1296" xr:uid="{49012E6D-BA91-4048-88B8-9E21A5252593}">
      <formula1>IF(D1296="","",INDIRECT(D1296&amp;"_PR"))</formula1>
    </dataValidation>
  </dataValidations>
  <hyperlinks>
    <hyperlink ref="E172" r:id="rId1" xr:uid="{AF737D2E-4486-427F-AFB5-1C39D28CDB10}"/>
    <hyperlink ref="E666" r:id="rId2" xr:uid="{D3B1E32F-56F2-419C-811D-E6469F44C9B7}"/>
    <hyperlink ref="E341" r:id="rId3" xr:uid="{6A93311B-D02A-4BFC-A727-7F5D17C5DAEF}"/>
    <hyperlink ref="E342" r:id="rId4" xr:uid="{85F083B6-892B-4F7A-921D-5731357EDA21}"/>
    <hyperlink ref="E1211" r:id="rId5" xr:uid="{353A724D-CDDF-4B75-B9F5-27F635CA7651}"/>
  </hyperlinks>
  <pageMargins left="0.7" right="0.7" top="0.75" bottom="0.75" header="0.3" footer="0.3"/>
  <pageSetup paperSize="9" orientation="portrait" r:id="rId6"/>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89C8D-F4F3-444E-B315-70319CF484A8}">
  <sheetPr codeName="Sheet12"/>
  <dimension ref="A1:AK394"/>
  <sheetViews>
    <sheetView topLeftCell="AG1" zoomScaleNormal="100" workbookViewId="0">
      <pane ySplit="1" topLeftCell="A2" activePane="bottomLeft" state="frozen"/>
      <selection pane="bottomLeft" activeCell="E16" sqref="E16"/>
    </sheetView>
  </sheetViews>
  <sheetFormatPr defaultColWidth="9.140625" defaultRowHeight="15" customHeight="1"/>
  <cols>
    <col min="1" max="1" width="6.42578125" style="78" customWidth="1"/>
    <col min="2" max="2" width="7.85546875" style="78" customWidth="1"/>
    <col min="3" max="3" width="10.42578125" style="78" customWidth="1"/>
    <col min="4" max="4" width="15.7109375" style="78" customWidth="1"/>
    <col min="5" max="5" width="16.28515625" style="78" customWidth="1"/>
    <col min="6" max="6" width="21.85546875" style="78" bestFit="1" customWidth="1"/>
    <col min="7" max="7" width="10.140625" style="78" customWidth="1"/>
    <col min="8" max="8" width="57.7109375" style="78" customWidth="1"/>
    <col min="9" max="9" width="12" style="78" customWidth="1"/>
    <col min="10" max="10" width="26.140625" style="78" customWidth="1"/>
    <col min="11" max="11" width="20.140625" style="80" customWidth="1"/>
    <col min="12" max="12" width="22.42578125" style="80" bestFit="1" customWidth="1"/>
    <col min="13" max="13" width="24.7109375" style="80" customWidth="1"/>
    <col min="14" max="14" width="23.42578125" style="80" customWidth="1"/>
    <col min="15" max="15" width="21.42578125" style="80" customWidth="1"/>
    <col min="16" max="16" width="25.42578125" style="80" customWidth="1"/>
    <col min="17" max="17" width="20.42578125" style="78" customWidth="1"/>
    <col min="18" max="18" width="16.140625" style="78" customWidth="1"/>
    <col min="19" max="19" width="19.42578125" style="78" customWidth="1"/>
    <col min="20" max="20" width="13.85546875" style="78" customWidth="1"/>
    <col min="21" max="21" width="18" style="78" customWidth="1"/>
    <col min="22" max="22" width="17.85546875" style="78" customWidth="1"/>
    <col min="23" max="23" width="15.42578125" style="78" customWidth="1"/>
    <col min="24" max="24" width="25" style="78" customWidth="1"/>
    <col min="25" max="25" width="10.42578125" style="78" customWidth="1"/>
    <col min="26" max="26" width="19.28515625" style="78" customWidth="1"/>
    <col min="27" max="27" width="16.42578125" style="78" customWidth="1"/>
    <col min="28" max="28" width="21.85546875" style="78" customWidth="1"/>
    <col min="29" max="29" width="19.85546875" style="78" customWidth="1"/>
    <col min="30" max="30" width="13.42578125" style="78" customWidth="1"/>
    <col min="31" max="31" width="14" style="78" customWidth="1"/>
    <col min="32" max="32" width="18.85546875" style="78" customWidth="1"/>
    <col min="33" max="33" width="21" style="78" customWidth="1"/>
    <col min="34" max="34" width="17.85546875" style="78" bestFit="1" customWidth="1"/>
    <col min="35" max="35" width="28.28515625" style="78" bestFit="1" customWidth="1"/>
    <col min="36" max="36" width="28.7109375" style="78" bestFit="1" customWidth="1"/>
    <col min="37" max="16384" width="9.140625" style="78"/>
  </cols>
  <sheetData>
    <row r="1" spans="1:37" s="362" customFormat="1">
      <c r="A1" s="411" t="s">
        <v>347</v>
      </c>
      <c r="B1" s="411" t="s">
        <v>2</v>
      </c>
      <c r="C1" s="411" t="s">
        <v>3</v>
      </c>
      <c r="D1" s="411" t="s">
        <v>253</v>
      </c>
      <c r="E1" s="411" t="s">
        <v>348</v>
      </c>
      <c r="F1" s="411" t="s">
        <v>1</v>
      </c>
      <c r="G1" s="411" t="s">
        <v>324</v>
      </c>
      <c r="H1" s="411" t="s">
        <v>349</v>
      </c>
      <c r="I1" s="411" t="s">
        <v>254</v>
      </c>
      <c r="J1" s="411" t="s">
        <v>350</v>
      </c>
      <c r="K1" s="411" t="s">
        <v>351</v>
      </c>
      <c r="L1" s="411" t="s">
        <v>352</v>
      </c>
      <c r="M1" s="411" t="s">
        <v>353</v>
      </c>
      <c r="N1" s="411" t="s">
        <v>354</v>
      </c>
      <c r="O1" s="411" t="s">
        <v>355</v>
      </c>
      <c r="P1" s="411" t="s">
        <v>356</v>
      </c>
      <c r="Q1" s="411" t="s">
        <v>357</v>
      </c>
      <c r="R1" s="411" t="s">
        <v>358</v>
      </c>
      <c r="S1" s="411" t="s">
        <v>359</v>
      </c>
      <c r="T1" s="411" t="s">
        <v>258</v>
      </c>
      <c r="U1" s="411" t="s">
        <v>360</v>
      </c>
      <c r="V1" s="411" t="s">
        <v>361</v>
      </c>
      <c r="W1" s="411" t="s">
        <v>362</v>
      </c>
      <c r="X1" s="411" t="s">
        <v>363</v>
      </c>
      <c r="Y1" s="411" t="s">
        <v>364</v>
      </c>
      <c r="Z1" s="411" t="s">
        <v>82</v>
      </c>
      <c r="AA1" s="411" t="s">
        <v>90</v>
      </c>
      <c r="AB1" s="411" t="s">
        <v>84</v>
      </c>
      <c r="AC1" s="411" t="s">
        <v>92</v>
      </c>
      <c r="AD1" s="411" t="s">
        <v>86</v>
      </c>
      <c r="AE1" s="411" t="s">
        <v>88</v>
      </c>
      <c r="AF1" s="411" t="s">
        <v>365</v>
      </c>
      <c r="AG1" s="411" t="s">
        <v>366</v>
      </c>
      <c r="AH1" s="411" t="s">
        <v>94</v>
      </c>
      <c r="AI1" s="411" t="s">
        <v>96</v>
      </c>
      <c r="AJ1" s="411" t="s">
        <v>98</v>
      </c>
      <c r="AK1" s="12"/>
    </row>
    <row r="2" spans="1:37" ht="15" customHeight="1">
      <c r="A2" s="12">
        <v>1</v>
      </c>
      <c r="B2" s="12" t="s">
        <v>26</v>
      </c>
      <c r="C2" s="12" t="s">
        <v>37</v>
      </c>
      <c r="D2" s="12" t="s">
        <v>207</v>
      </c>
      <c r="E2" s="182" t="s">
        <v>4922</v>
      </c>
      <c r="F2" s="12" t="s">
        <v>36</v>
      </c>
      <c r="G2" s="12">
        <v>4</v>
      </c>
      <c r="H2" s="208" t="s">
        <v>4923</v>
      </c>
      <c r="I2" s="182" t="s">
        <v>271</v>
      </c>
      <c r="J2" s="208" t="s">
        <v>4924</v>
      </c>
      <c r="K2" s="361">
        <v>46028.247037037036</v>
      </c>
      <c r="L2" s="361">
        <v>46028.247118055559</v>
      </c>
      <c r="M2" s="361">
        <v>46028.404652777775</v>
      </c>
      <c r="N2" s="361">
        <v>46190.973900462966</v>
      </c>
      <c r="O2" s="361">
        <v>46189.517118055555</v>
      </c>
      <c r="P2" s="361">
        <v>46190.973900462966</v>
      </c>
      <c r="Q2" s="182" t="s">
        <v>4925</v>
      </c>
      <c r="R2" s="12"/>
      <c r="S2" s="12"/>
      <c r="T2" s="12"/>
      <c r="U2" s="12" t="s">
        <v>371</v>
      </c>
      <c r="V2" s="12"/>
      <c r="W2" s="12"/>
      <c r="X2" s="12"/>
      <c r="Y2" s="12"/>
      <c r="Z2" s="167">
        <f t="shared" ref="Z2:Z7" ca="1" si="0">IF(NOT(OR(G2=1,G2=2)),MAX(0,_xlfn.IFS(AND(K2&lt;&gt;"",N2&lt;&gt;""),((MAX(NETWORKDAYS(K2,N2,UKBankHolidays)-1,0))*(TIME(17,0,0)-TIME(8,0,0))+IF(NETWORKDAYS(N2,N2,UKBankHolidays)&gt;0,MEDIAN(TIME(8,0,0),MOD(N2,1),TIME(17,0,0)),TIME(8,0,0))-IF(NETWORKDAYS(K2,K2,UKBankHolidays)&gt;0,MEDIAN(TIME(8,0,0),MOD(K2,1),TIME(17,0,0)),TIME(8,0,0)))-IF(AND(O2&lt;&gt;"",P2&lt;&gt;""),((MAX(NETWORKDAYS(O2,P2,UKBankHolidays)-1,0))*(TIME(17,0,0)-TIME(8,0,0))+IF(NETWORKDAYS(P2,P2,UKBankHolidays)&gt;0,MEDIAN(TIME(8,0,0),MOD(P2,1),TIME(17,0,0)),TIME(8,0,0))-IF(NETWORKDAYS(O2,O2,UKBankHolidays)&gt;0,MEDIAN(TIME(8,0,0),MOD(O2,1),TIME(17,0,0)),TIME(8,0,0))),0),AND(K2&lt;&gt;"",N2=""),((MAX(NETWORKDAYS(K2,NOW(),UKBankHolidays)-1,0))*(TIME(17,0,0)-TIME(8,0,0))+IF(NETWORKDAYS(NOW(),NOW(),UKBankHolidays)&gt;0,MEDIAN(TIME(8,0,0),MOD(NOW(),1),TIME(17,0,0)),TIME(8,0,0))-IF(NETWORKDAYS(K2,K2,UKBankHolidays)&gt;0,MEDIAN(TIME(8,0,0),MOD(K2,1),TIME(17,0,0)),TIME(8,0,0))))),IF(N2="",NOW()-K2,N2-K2))</f>
        <v>41.433784722222001</v>
      </c>
      <c r="AA2" s="12"/>
      <c r="AB2" s="12"/>
      <c r="AC2" s="12"/>
      <c r="AD2" s="12"/>
      <c r="AE2" s="12"/>
      <c r="AF2" s="12"/>
      <c r="AG2" s="12"/>
      <c r="AH2" s="12"/>
      <c r="AI2" s="12"/>
      <c r="AJ2" s="12"/>
      <c r="AK2" s="12"/>
    </row>
    <row r="3" spans="1:37" s="45" customFormat="1" ht="15" customHeight="1">
      <c r="A3" s="378">
        <v>2</v>
      </c>
      <c r="B3" s="378" t="s">
        <v>26</v>
      </c>
      <c r="C3" s="378" t="s">
        <v>37</v>
      </c>
      <c r="D3" s="378" t="s">
        <v>207</v>
      </c>
      <c r="E3" s="380" t="s">
        <v>4926</v>
      </c>
      <c r="F3" s="378" t="s">
        <v>36</v>
      </c>
      <c r="G3" s="378">
        <v>4</v>
      </c>
      <c r="H3" s="376" t="s">
        <v>4927</v>
      </c>
      <c r="I3" s="380" t="s">
        <v>266</v>
      </c>
      <c r="J3" s="376" t="s">
        <v>4928</v>
      </c>
      <c r="K3" s="381">
        <v>46059.857777777775</v>
      </c>
      <c r="L3" s="381">
        <v>46059.858206018522</v>
      </c>
      <c r="M3" s="381">
        <v>46087.303159722222</v>
      </c>
      <c r="N3" s="381"/>
      <c r="O3" s="381" t="s">
        <v>4929</v>
      </c>
      <c r="P3" s="381"/>
      <c r="Q3" s="380" t="s">
        <v>4930</v>
      </c>
      <c r="R3" s="378"/>
      <c r="S3" s="378"/>
      <c r="T3" s="378"/>
      <c r="U3" s="378" t="s">
        <v>371</v>
      </c>
      <c r="V3" s="378"/>
      <c r="W3" s="378"/>
      <c r="X3" s="378"/>
      <c r="Y3" s="378"/>
      <c r="Z3" s="382">
        <f t="shared" ca="1" si="0"/>
        <v>51.300641087963115</v>
      </c>
      <c r="AA3" s="378"/>
      <c r="AB3" s="378"/>
      <c r="AC3" s="378"/>
      <c r="AD3" s="378"/>
      <c r="AE3" s="378"/>
      <c r="AF3" s="378"/>
      <c r="AG3" s="378"/>
      <c r="AH3" s="378"/>
      <c r="AI3" s="378"/>
      <c r="AJ3" s="378"/>
      <c r="AK3" s="378"/>
    </row>
    <row r="4" spans="1:37" ht="15" customHeight="1">
      <c r="A4" s="12">
        <v>3</v>
      </c>
      <c r="B4" s="12" t="s">
        <v>26</v>
      </c>
      <c r="C4" s="12" t="s">
        <v>37</v>
      </c>
      <c r="D4" s="12" t="s">
        <v>207</v>
      </c>
      <c r="E4" s="182" t="s">
        <v>4931</v>
      </c>
      <c r="F4" s="12" t="s">
        <v>36</v>
      </c>
      <c r="G4" s="12">
        <v>4</v>
      </c>
      <c r="H4" s="208" t="s">
        <v>4932</v>
      </c>
      <c r="I4" s="182" t="s">
        <v>271</v>
      </c>
      <c r="J4" s="208" t="s">
        <v>4928</v>
      </c>
      <c r="K4" s="361">
        <v>46087.019594907404</v>
      </c>
      <c r="L4" s="361">
        <v>46087.021516203706</v>
      </c>
      <c r="M4" s="361">
        <v>46087.304594907408</v>
      </c>
      <c r="N4" s="361">
        <v>46192.692800925928</v>
      </c>
      <c r="O4" s="361">
        <v>46362.577418981484</v>
      </c>
      <c r="P4" s="361">
        <v>46191.728078703702</v>
      </c>
      <c r="Q4" s="182" t="s">
        <v>4925</v>
      </c>
      <c r="R4" s="12"/>
      <c r="S4" s="12"/>
      <c r="T4" s="12"/>
      <c r="U4" s="12" t="s">
        <v>371</v>
      </c>
      <c r="V4" s="12"/>
      <c r="W4" s="12"/>
      <c r="X4" s="12"/>
      <c r="Y4" s="12"/>
      <c r="Z4" s="167">
        <f t="shared" ca="1" si="0"/>
        <v>26.234467592594839</v>
      </c>
      <c r="AA4" s="12"/>
      <c r="AB4" s="12"/>
      <c r="AC4" s="12"/>
      <c r="AD4" s="12"/>
      <c r="AE4" s="12"/>
      <c r="AF4" s="12"/>
      <c r="AG4" s="12"/>
      <c r="AH4" s="12"/>
      <c r="AI4" s="12"/>
      <c r="AJ4" s="12"/>
      <c r="AK4" s="12"/>
    </row>
    <row r="5" spans="1:37" ht="15" customHeight="1">
      <c r="A5" s="12">
        <v>4</v>
      </c>
      <c r="B5" s="12" t="s">
        <v>26</v>
      </c>
      <c r="C5" s="12" t="s">
        <v>37</v>
      </c>
      <c r="D5" s="12" t="s">
        <v>207</v>
      </c>
      <c r="E5" s="182" t="s">
        <v>4933</v>
      </c>
      <c r="F5" s="12" t="s">
        <v>36</v>
      </c>
      <c r="G5" s="12">
        <v>4</v>
      </c>
      <c r="H5" s="208" t="s">
        <v>4934</v>
      </c>
      <c r="I5" s="182" t="s">
        <v>271</v>
      </c>
      <c r="J5" s="208" t="s">
        <v>4935</v>
      </c>
      <c r="K5" s="361">
        <v>46087.87027777778</v>
      </c>
      <c r="L5" s="361">
        <v>46087.871527777781</v>
      </c>
      <c r="M5" s="361">
        <v>46118.353680555556</v>
      </c>
      <c r="N5" s="361">
        <v>46240.48814814815</v>
      </c>
      <c r="O5" s="361">
        <v>46148.51767361111</v>
      </c>
      <c r="P5" s="361">
        <v>46240.427824074075</v>
      </c>
      <c r="Q5" s="182" t="s">
        <v>4925</v>
      </c>
      <c r="R5" s="12"/>
      <c r="S5" s="12"/>
      <c r="T5" s="12"/>
      <c r="U5" s="12" t="s">
        <v>371</v>
      </c>
      <c r="V5" s="12"/>
      <c r="W5" s="12"/>
      <c r="X5" s="12"/>
      <c r="Y5" s="12"/>
      <c r="Z5" s="167">
        <f t="shared" ca="1" si="0"/>
        <v>14.494664351851196</v>
      </c>
      <c r="AA5" s="12"/>
      <c r="AB5" s="12"/>
      <c r="AC5" s="12"/>
      <c r="AD5" s="12"/>
      <c r="AE5" s="12"/>
      <c r="AF5" s="12"/>
      <c r="AG5" s="12"/>
      <c r="AH5" s="12"/>
      <c r="AI5" s="12"/>
      <c r="AJ5" s="12"/>
      <c r="AK5" s="12"/>
    </row>
    <row r="6" spans="1:37" ht="15" customHeight="1">
      <c r="A6" s="12">
        <v>5</v>
      </c>
      <c r="B6" s="12" t="s">
        <v>26</v>
      </c>
      <c r="C6" s="12" t="s">
        <v>37</v>
      </c>
      <c r="D6" s="12" t="s">
        <v>207</v>
      </c>
      <c r="E6" s="182" t="s">
        <v>4936</v>
      </c>
      <c r="F6" s="12" t="s">
        <v>36</v>
      </c>
      <c r="G6" s="12">
        <v>3</v>
      </c>
      <c r="H6" s="208" t="s">
        <v>4937</v>
      </c>
      <c r="I6" s="182" t="s">
        <v>271</v>
      </c>
      <c r="J6" s="208" t="s">
        <v>4924</v>
      </c>
      <c r="K6" s="361">
        <v>46087.891944444447</v>
      </c>
      <c r="L6" s="361">
        <v>46087.891944444447</v>
      </c>
      <c r="M6" s="361">
        <v>46118.353206018517</v>
      </c>
      <c r="N6" s="361">
        <v>46189.937847222223</v>
      </c>
      <c r="O6" s="361">
        <v>46271.466122685182</v>
      </c>
      <c r="P6" s="361">
        <v>46189.937847222223</v>
      </c>
      <c r="Q6" s="182" t="s">
        <v>4925</v>
      </c>
      <c r="R6" s="12"/>
      <c r="S6" s="12"/>
      <c r="T6" s="12"/>
      <c r="U6" s="12" t="s">
        <v>371</v>
      </c>
      <c r="V6" s="12"/>
      <c r="W6" s="12"/>
      <c r="X6" s="12"/>
      <c r="Y6" s="12"/>
      <c r="Z6" s="167">
        <f t="shared" ca="1" si="0"/>
        <v>24.750000000000004</v>
      </c>
      <c r="AA6" s="168">
        <f ca="1">(Z6*24)/9</f>
        <v>66.000000000000014</v>
      </c>
      <c r="AB6" s="12"/>
      <c r="AC6" s="12"/>
      <c r="AD6" s="12"/>
      <c r="AE6" s="12"/>
      <c r="AF6" s="12"/>
      <c r="AG6" s="12"/>
      <c r="AH6" s="12"/>
      <c r="AI6" s="12"/>
      <c r="AJ6" s="12"/>
      <c r="AK6" s="12"/>
    </row>
    <row r="7" spans="1:37" ht="15" customHeight="1">
      <c r="A7" s="12">
        <v>6</v>
      </c>
      <c r="B7" s="12" t="s">
        <v>26</v>
      </c>
      <c r="C7" s="12" t="s">
        <v>37</v>
      </c>
      <c r="D7" s="12" t="s">
        <v>207</v>
      </c>
      <c r="E7" s="182" t="s">
        <v>4938</v>
      </c>
      <c r="F7" s="12" t="s">
        <v>36</v>
      </c>
      <c r="G7" s="12">
        <v>4</v>
      </c>
      <c r="H7" s="208" t="s">
        <v>4939</v>
      </c>
      <c r="I7" s="182" t="s">
        <v>271</v>
      </c>
      <c r="J7" s="208" t="s">
        <v>4940</v>
      </c>
      <c r="K7" s="361">
        <v>46087.911435185182</v>
      </c>
      <c r="L7" s="361">
        <v>46087.91207175926</v>
      </c>
      <c r="M7" s="361">
        <v>46118.352581018517</v>
      </c>
      <c r="N7" s="361">
        <v>46332.430474537039</v>
      </c>
      <c r="O7" s="361">
        <v>46148.495173611111</v>
      </c>
      <c r="P7" s="361">
        <v>46301.998136574075</v>
      </c>
      <c r="Q7" s="182" t="s">
        <v>4925</v>
      </c>
      <c r="R7" s="12"/>
      <c r="S7" s="12"/>
      <c r="T7" s="12"/>
      <c r="U7" s="12" t="s">
        <v>371</v>
      </c>
      <c r="V7" s="12"/>
      <c r="W7" s="12"/>
      <c r="X7" s="12"/>
      <c r="Y7" s="12"/>
      <c r="Z7" s="167">
        <f t="shared" ca="1" si="0"/>
        <v>22.758981481483104</v>
      </c>
      <c r="AB7" s="12"/>
      <c r="AC7" s="12"/>
      <c r="AD7" s="12"/>
      <c r="AE7" s="12"/>
      <c r="AF7" s="12"/>
      <c r="AG7" s="12"/>
      <c r="AH7" s="12"/>
      <c r="AI7" s="12"/>
      <c r="AJ7" s="12"/>
      <c r="AK7" s="12"/>
    </row>
    <row r="8" spans="1:37" s="45" customFormat="1" ht="15" customHeight="1">
      <c r="A8" s="378">
        <v>7</v>
      </c>
      <c r="B8" s="383" t="s">
        <v>26</v>
      </c>
      <c r="C8" s="383" t="s">
        <v>37</v>
      </c>
      <c r="D8" s="383" t="s">
        <v>207</v>
      </c>
      <c r="E8" s="383" t="s">
        <v>4941</v>
      </c>
      <c r="F8" s="383" t="s">
        <v>36</v>
      </c>
      <c r="G8" s="383">
        <v>4</v>
      </c>
      <c r="H8" s="383" t="s">
        <v>4942</v>
      </c>
      <c r="I8" s="383" t="s">
        <v>266</v>
      </c>
      <c r="J8" s="383" t="s">
        <v>4943</v>
      </c>
      <c r="K8" s="381">
        <v>46110.426388888889</v>
      </c>
      <c r="L8" s="381"/>
      <c r="M8" s="381"/>
      <c r="N8" s="381"/>
      <c r="O8" s="381"/>
      <c r="P8" s="381"/>
      <c r="Q8" s="383" t="s">
        <v>4944</v>
      </c>
      <c r="R8" s="383"/>
      <c r="S8" s="383"/>
      <c r="T8" s="383"/>
      <c r="U8" s="383" t="s">
        <v>371</v>
      </c>
      <c r="V8" s="383"/>
      <c r="W8" s="383"/>
      <c r="X8" s="383"/>
      <c r="Y8" s="383"/>
      <c r="Z8" s="383"/>
      <c r="AA8" s="383"/>
      <c r="AB8" s="383"/>
      <c r="AC8" s="383"/>
      <c r="AD8" s="383"/>
      <c r="AE8" s="383"/>
      <c r="AF8" s="383"/>
      <c r="AG8" s="383"/>
      <c r="AH8" s="383"/>
      <c r="AI8" s="383"/>
      <c r="AJ8" s="383"/>
      <c r="AK8" s="378"/>
    </row>
    <row r="9" spans="1:37" ht="15" customHeight="1">
      <c r="A9" s="12">
        <v>8</v>
      </c>
      <c r="B9" s="12" t="s">
        <v>26</v>
      </c>
      <c r="C9" s="12" t="s">
        <v>37</v>
      </c>
      <c r="D9" s="12" t="s">
        <v>207</v>
      </c>
      <c r="E9" s="182" t="s">
        <v>4945</v>
      </c>
      <c r="F9" s="12" t="s">
        <v>36</v>
      </c>
      <c r="G9" s="12">
        <v>4</v>
      </c>
      <c r="H9" s="208" t="s">
        <v>4946</v>
      </c>
      <c r="I9" s="182" t="s">
        <v>271</v>
      </c>
      <c r="J9" s="208" t="s">
        <v>4928</v>
      </c>
      <c r="K9" s="361">
        <v>46118.889456018522</v>
      </c>
      <c r="L9" s="361">
        <v>46118.889606481483</v>
      </c>
      <c r="M9" s="361">
        <v>46148.329594907409</v>
      </c>
      <c r="N9" s="361">
        <v>46192.684803240743</v>
      </c>
      <c r="O9" s="361">
        <v>46362.575694444444</v>
      </c>
      <c r="P9" s="361">
        <v>46190.994317129633</v>
      </c>
      <c r="Q9" s="182" t="s">
        <v>4947</v>
      </c>
      <c r="R9" s="12"/>
      <c r="S9" s="12"/>
      <c r="T9" s="12"/>
      <c r="U9" s="12" t="s">
        <v>371</v>
      </c>
      <c r="V9" s="12"/>
      <c r="W9" s="12"/>
      <c r="X9" s="12"/>
      <c r="Y9" s="12"/>
      <c r="Z9" s="167">
        <f ca="1">IF(NOT(OR(G9=1,G9=2)),MAX(0,_xlfn.IFS(AND(K9&lt;&gt;"",N9&lt;&gt;""),((MAX(NETWORKDAYS(K9,N9,UKBankHolidays)-1,0))*(TIME(17,0,0)-TIME(8,0,0))+IF(NETWORKDAYS(N9,N9,UKBankHolidays)&gt;0,MEDIAN(TIME(8,0,0),MOD(N9,1),TIME(17,0,0)),TIME(8,0,0))-IF(NETWORKDAYS(K9,K9,UKBankHolidays)&gt;0,MEDIAN(TIME(8,0,0),MOD(K9,1),TIME(17,0,0)),TIME(8,0,0)))-IF(AND(O9&lt;&gt;"",P9&lt;&gt;""),((MAX(NETWORKDAYS(O9,P9,UKBankHolidays)-1,0))*(TIME(17,0,0)-TIME(8,0,0))+IF(NETWORKDAYS(P9,P9,UKBankHolidays)&gt;0,MEDIAN(TIME(8,0,0),MOD(P9,1),TIME(17,0,0)),TIME(8,0,0))-IF(NETWORKDAYS(O9,O9,UKBankHolidays)&gt;0,MEDIAN(TIME(8,0,0),MOD(O9,1),TIME(17,0,0)),TIME(8,0,0))),0),AND(K9&lt;&gt;"",N9=""),((MAX(NETWORKDAYS(K9,NOW(),UKBankHolidays)-1,0))*(TIME(17,0,0)-TIME(8,0,0))+IF(NETWORKDAYS(NOW(),NOW(),UKBankHolidays)&gt;0,MEDIAN(TIME(8,0,0),MOD(NOW(),1),TIME(17,0,0)),TIME(8,0,0))-IF(NETWORKDAYS(K9,K9,UKBankHolidays)&gt;0,MEDIAN(TIME(8,0,0),MOD(K9,1),TIME(17,0,0)),TIME(8,0,0))))),IF(N9="",NOW()-K9,N9-K9))</f>
        <v>18.726469907410021</v>
      </c>
      <c r="AA9" s="12"/>
      <c r="AB9" s="12"/>
      <c r="AC9" s="12"/>
      <c r="AD9" s="12"/>
      <c r="AE9" s="12"/>
      <c r="AF9" s="12"/>
      <c r="AG9" s="12"/>
      <c r="AH9" s="12"/>
      <c r="AI9" s="12"/>
      <c r="AJ9" s="12"/>
      <c r="AK9" s="12"/>
    </row>
    <row r="10" spans="1:37" ht="15" customHeight="1">
      <c r="A10" s="12">
        <v>9</v>
      </c>
      <c r="B10" s="12" t="s">
        <v>26</v>
      </c>
      <c r="C10" s="12" t="s">
        <v>37</v>
      </c>
      <c r="D10" s="12" t="s">
        <v>207</v>
      </c>
      <c r="E10" s="412" t="s">
        <v>4948</v>
      </c>
      <c r="F10" s="12" t="s">
        <v>36</v>
      </c>
      <c r="G10" s="12">
        <v>4</v>
      </c>
      <c r="H10" s="12" t="s">
        <v>4949</v>
      </c>
      <c r="I10" s="182" t="s">
        <v>271</v>
      </c>
      <c r="J10" s="12" t="s">
        <v>4928</v>
      </c>
      <c r="K10" s="361">
        <v>46127.783333333333</v>
      </c>
      <c r="L10" s="361">
        <v>46127.783333333333</v>
      </c>
      <c r="M10" s="361">
        <v>46128.336805555555</v>
      </c>
      <c r="N10" s="361">
        <v>46169.602777777778</v>
      </c>
      <c r="O10" s="361">
        <v>46161.602083333331</v>
      </c>
      <c r="P10" s="361">
        <v>46169.602777777778</v>
      </c>
      <c r="Q10" s="85" t="s">
        <v>4930</v>
      </c>
      <c r="R10" s="12"/>
      <c r="S10" s="12"/>
      <c r="T10" s="12"/>
      <c r="U10" s="12" t="s">
        <v>371</v>
      </c>
      <c r="V10" s="12"/>
      <c r="W10" s="12"/>
      <c r="X10" s="12"/>
      <c r="Y10" s="12"/>
      <c r="Z10" s="167">
        <f ca="1">IF(NOT(OR(G10=1,G10=2)),MAX(0,_xlfn.IFS(AND(K10&lt;&gt;"",N10&lt;&gt;""),((MAX(NETWORKDAYS(K10,N10,UKBankHolidays)-1,0))*(TIME(17,0,0)-TIME(8,0,0))+IF(NETWORKDAYS(N10,N10,UKBankHolidays)&gt;0,MEDIAN(TIME(8,0,0),MOD(N10,1),TIME(17,0,0)),TIME(8,0,0))-IF(NETWORKDAYS(K10,K10,UKBankHolidays)&gt;0,MEDIAN(TIME(8,0,0),MOD(K10,1),TIME(17,0,0)),TIME(8,0,0)))-IF(AND(O10&lt;&gt;"",P10&lt;&gt;""),((MAX(NETWORKDAYS(O10,P10,UKBankHolidays)-1,0))*(TIME(17,0,0)-TIME(8,0,0))+IF(NETWORKDAYS(P10,P10,UKBankHolidays)&gt;0,MEDIAN(TIME(8,0,0),MOD(P10,1),TIME(17,0,0)),TIME(8,0,0))-IF(NETWORKDAYS(O10,O10,UKBankHolidays)&gt;0,MEDIAN(TIME(8,0,0),MOD(O10,1),TIME(17,0,0)),TIME(8,0,0))),0),AND(K10&lt;&gt;"",N10=""),((MAX(NETWORKDAYS(K10,NOW(),UKBankHolidays)-1,0))*(TIME(17,0,0)-TIME(8,0,0))+IF(NETWORKDAYS(NOW(),NOW(),UKBankHolidays)&gt;0,MEDIAN(TIME(8,0,0),MOD(NOW(),1),TIME(17,0,0)),TIME(8,0,0))-IF(NETWORKDAYS(K10,K10,UKBankHolidays)&gt;0,MEDIAN(TIME(8,0,0),MOD(K10,1),TIME(17,0,0)),TIME(8,0,0))))),IF(N10="",NOW()-K10,N10-K10))</f>
        <v>8.1437499999980609</v>
      </c>
      <c r="AA10" s="168">
        <f ca="1">(Z10*24)/9</f>
        <v>21.716666666661496</v>
      </c>
      <c r="AB10" s="167">
        <f ca="1">IF(NOT(OR(G10=1,G10=2)),MAX(0,_xlfn.IFS(AND(K10&lt;&gt;"",N10&lt;&gt;""),(((MAX(NETWORKDAYS(L10,N10,UKBankHolidays)-1,0))*(TIME(17,0,0)-TIME(8,0,0)))+IF(NETWORKDAYS(N10,N10,UKBankHolidays)&gt;0,MEDIAN(TIME(8,0,0),MOD(N10,1),TIME(17,0,0)),TIME(8,0,0))-IF(NETWORKDAYS(L10,L10,UKBankHolidays)&gt;0,MEDIAN(TIME(8,0,0),MOD(L10,1),TIME(17,0,0)),TIME(8,0,0)))-IF(AND(O10&lt;&gt;"",P10&lt;&gt;""),(((MAX(NETWORKDAYS(O10,P10,UKBankHolidays)-1,0))*(TIME(17,0,0)-TIME(8,0,0)))+IF(NETWORKDAYS(P10,P10,UKBankHolidays)&gt;0,MEDIAN(TIME(8,0,0),MOD(P10,1),TIME(17,0,0)),TIME(8,0,0))-IF(NETWORKDAYS(O10,O10,UKBankHolidays)&gt;0,MEDIAN(TIME(8,0,0),MOD(O10,1),TIME(17,0,0)),TIME(8,0,0))),0),AND(L10&lt;&gt;"",N10="",O10=""),(((MAX(NETWORKDAYS(L10,NOW(),UKBankHolidays)-1,0))*(TIME(17,0,0)-TIME(8,0,0)))+IF(NETWORKDAYS(NOW(),NOW(),UKBankHolidays)&gt;0,MEDIAN(TIME(8,0,0),MOD(NOW(),1),TIME(17,0,0)),TIME(8,0,0))-IF(NETWORKDAYS(L10,L10,UKBankHolidays)&gt;0,MEDIAN(TIME(8,0,0),MOD(L10,1),TIME(17,0,0)),TIME(8,0,0)))-IF(AND(O10&lt;&gt;"",P10&lt;&gt;""),(((MAX(NETWORKDAYS(O10,P10,UKBankHolidays)-1,0))*(TIME(17,0,0)-TIME(8,0,0)))+IF(NETWORKDAYS(P10,P10,UKBankHolidays)&gt;0,MEDIAN(TIME(8,0,0),MOD(P10,1),TIME(17,0,0)),TIME(8,0,0))-IF(NETWORKDAYS(O10,O10,UKBankHolidays)&gt;0,MEDIAN(TIME(8,0,0),MOD(O10,1),TIME(17,0,0)),TIME(8,0,0))),0),AND(L10&lt;&gt;"",N10="",P10="",O10&lt;&gt;""),(((MAX(NETWORKDAYS(L10,O10,UKBankHolidays)-1,0))*(TIME(17,0,0)-TIME(8,0,0)))+IF(NETWORKDAYS(O10,O10,UKBankHolidays)&gt;0,MEDIAN(TIME(8,0,0),MOD(O10,1),TIME(17,0,0)),TIME(8,0,0))-IF(NETWORKDAYS(L10,L10,UKBankHolidays)&gt;0,MEDIAN(TIME(8,0,0),MOD(L10,1),TIME(17,0,0)),TIME(8,0,0))),ISBLANK(K10),"0")),IF(ISBLANK(N10),NOW()-L10,N10-L10))</f>
        <v>8.1437499999980609</v>
      </c>
      <c r="AC10" s="168">
        <f ca="1">(AB10*24)/9</f>
        <v>21.716666666661496</v>
      </c>
      <c r="AD10" s="167">
        <f ca="1">MAX(0,IF(NOT(OR(G10=1,G10=2)),IF(M10&lt;&gt;"",((MAX(NETWORKDAYS(L10,M10,UKBankHolidays)-1,0))*(TIME(17,0,0)-TIME(8,0,0))+IF(NETWORKDAYS(M10,M10,UKBankHolidays)&gt;0,MEDIAN(TIME(8,0,0),MOD(M10,1),TIME(17,0,0)),TIME(8,0,0))-MEDIAN(TIME(8,0,0),MOD(L10,1),TIME(17,0,0))),((MAX(NETWORKDAYS(L10,NOW(),UKBankHolidays)-1,0))*(TIME(17,0,0)-TIME(8,0,0))+IF(NETWORKDAYS(NOW(),NOW(),UKBankHolidays)&gt;0,MEDIAN(TIME(8,0,0),MOD(NOW(),1),TIME(17,0,0)),TIME(8,0,0))-MEDIAN(TIME(8,0,0),MOD(L10,1),TIME(17,0,0)))),IF(M10&lt;&gt;"",M10-L10,NOW()-L10)))</f>
        <v>3.4722222214137455E-3</v>
      </c>
      <c r="AE10" s="167">
        <f ca="1">SUMIFS(AB:AB,E:E,E10)</f>
        <v>8.1437499999980609</v>
      </c>
      <c r="AF10" s="168">
        <f ca="1">(AE10*24)/9</f>
        <v>21.716666666661496</v>
      </c>
      <c r="AG10" s="168">
        <f ca="1">AF10</f>
        <v>21.716666666661496</v>
      </c>
      <c r="AH10" s="81" t="str" cm="1">
        <f t="array" aca="1" ref="AH10" ca="1">IF((AD10) &lt; (INDEX(ResponseSLA[#All],(MATCH((G10),ResponseSLA[Priority],0))+1,3)),"YES","No")</f>
        <v>YES</v>
      </c>
      <c r="AI10" s="81" t="str">
        <f ca="1">_xlfn.IFNA(IF(AE10 &lt; (INDEX(SLATable[Minimum SLA],MATCH(G10,SLATable[Priority],0))),"YES","NO"),"")</f>
        <v>NO</v>
      </c>
      <c r="AJ10" s="19" t="str">
        <f ca="1">_xlfn.IFNA(IF(AE10 &lt; (INDEX(SLATable[Maximum SLA],MATCH(G10,SLATable[Priority],0))),"YES","NO"),"")</f>
        <v>NO</v>
      </c>
      <c r="AK10" s="12"/>
    </row>
    <row r="11" spans="1:37" s="45" customFormat="1" ht="15" customHeight="1">
      <c r="A11" s="12">
        <v>10</v>
      </c>
      <c r="B11" s="378" t="s">
        <v>26</v>
      </c>
      <c r="C11" s="378" t="s">
        <v>37</v>
      </c>
      <c r="D11" s="378" t="s">
        <v>207</v>
      </c>
      <c r="E11" s="413" t="s">
        <v>4950</v>
      </c>
      <c r="F11" s="413" t="s">
        <v>4951</v>
      </c>
      <c r="G11" s="378">
        <v>4</v>
      </c>
      <c r="H11" s="378" t="s">
        <v>4952</v>
      </c>
      <c r="I11" s="378" t="s">
        <v>275</v>
      </c>
      <c r="J11" s="378" t="s">
        <v>4953</v>
      </c>
      <c r="K11" s="381">
        <v>46131.056250000001</v>
      </c>
      <c r="L11" s="381">
        <v>46131.056250000001</v>
      </c>
      <c r="M11" s="381">
        <v>46132.325694444444</v>
      </c>
      <c r="N11" s="381"/>
      <c r="O11" s="381">
        <v>46147.554861111108</v>
      </c>
      <c r="P11" s="381"/>
      <c r="Q11" s="378" t="s">
        <v>4925</v>
      </c>
      <c r="R11" s="378"/>
      <c r="S11" s="378"/>
      <c r="T11" s="378"/>
      <c r="U11" s="378" t="s">
        <v>371</v>
      </c>
      <c r="V11" s="378"/>
      <c r="W11" s="378"/>
      <c r="X11" s="378"/>
      <c r="Y11" s="378"/>
      <c r="Z11" s="382">
        <f ca="1">IF(NOT(OR(G11=1,G11=2)),MAX(0,_xlfn.IFS(AND(K11&lt;&gt;"",N11&lt;&gt;""),((MAX(NETWORKDAYS(K11,N11,UKBankHolidays)-1,0))*(TIME(17,0,0)-TIME(8,0,0))+IF(NETWORKDAYS(N11,N11,UKBankHolidays)&gt;0,MEDIAN(TIME(8,0,0),MOD(N11,1),TIME(17,0,0)),TIME(8,0,0))-IF(NETWORKDAYS(K11,K11,UKBankHolidays)&gt;0,MEDIAN(TIME(8,0,0),MOD(K11,1),TIME(17,0,0)),TIME(8,0,0)))-IF(AND(O11&lt;&gt;"",P11&lt;&gt;""),((MAX(NETWORKDAYS(O11,P11,UKBankHolidays)-1,0))*(TIME(17,0,0)-TIME(8,0,0))+IF(NETWORKDAYS(P11,P11,UKBankHolidays)&gt;0,MEDIAN(TIME(8,0,0),MOD(P11,1),TIME(17,0,0)),TIME(8,0,0))-IF(NETWORKDAYS(O11,O11,UKBankHolidays)&gt;0,MEDIAN(TIME(8,0,0),MOD(O11,1),TIME(17,0,0)),TIME(8,0,0))),0),AND(K11&lt;&gt;"",N11=""),((MAX(NETWORKDAYS(K11,NOW(),UKBankHolidays)-1,0))*(TIME(17,0,0)-TIME(8,0,0))+IF(NETWORKDAYS(NOW(),NOW(),UKBankHolidays)&gt;0,MEDIAN(TIME(8,0,0),MOD(NOW(),1),TIME(17,0,0)),TIME(8,0,0))-IF(NETWORKDAYS(K11,K11,UKBankHolidays)&gt;0,MEDIAN(TIME(8,0,0),MOD(K11,1),TIME(17,0,0)),TIME(8,0,0))))),IF(N11="",NOW()-K11,N11-K11))</f>
        <v>33.300643055556677</v>
      </c>
      <c r="AA11" s="384">
        <f ca="1">(Z11*24)/9</f>
        <v>88.801714814817799</v>
      </c>
      <c r="AB11" s="382">
        <f ca="1">IF(NOT(OR(G11=1,G11=2)),MAX(0,_xlfn.IFS(AND(K11&lt;&gt;"",N11&lt;&gt;""),(((MAX(NETWORKDAYS(L11,N11,UKBankHolidays)-1,0))*(TIME(17,0,0)-TIME(8,0,0)))+IF(NETWORKDAYS(N11,N11,UKBankHolidays)&gt;0,MEDIAN(TIME(8,0,0),MOD(N11,1),TIME(17,0,0)),TIME(8,0,0))-IF(NETWORKDAYS(L11,L11,UKBankHolidays)&gt;0,MEDIAN(TIME(8,0,0),MOD(L11,1),TIME(17,0,0)),TIME(8,0,0)))-IF(AND(O11&lt;&gt;"",P11&lt;&gt;""),(((MAX(NETWORKDAYS(O11,P11,UKBankHolidays)-1,0))*(TIME(17,0,0)-TIME(8,0,0)))+IF(NETWORKDAYS(P11,P11,UKBankHolidays)&gt;0,MEDIAN(TIME(8,0,0),MOD(P11,1),TIME(17,0,0)),TIME(8,0,0))-IF(NETWORKDAYS(O11,O11,UKBankHolidays)&gt;0,MEDIAN(TIME(8,0,0),MOD(O11,1),TIME(17,0,0)),TIME(8,0,0))),0),AND(L11&lt;&gt;"",N11="",O11=""),(((MAX(NETWORKDAYS(L11,NOW(),UKBankHolidays)-1,0))*(TIME(17,0,0)-TIME(8,0,0)))+IF(NETWORKDAYS(NOW(),NOW(),UKBankHolidays)&gt;0,MEDIAN(TIME(8,0,0),MOD(NOW(),1),TIME(17,0,0)),TIME(8,0,0))-IF(NETWORKDAYS(L11,L11,UKBankHolidays)&gt;0,MEDIAN(TIME(8,0,0),MOD(L11,1),TIME(17,0,0)),TIME(8,0,0)))-IF(AND(O11&lt;&gt;"",P11&lt;&gt;""),(((MAX(NETWORKDAYS(O11,P11,UKBankHolidays)-1,0))*(TIME(17,0,0)-TIME(8,0,0)))+IF(NETWORKDAYS(P11,P11,UKBankHolidays)&gt;0,MEDIAN(TIME(8,0,0),MOD(P11,1),TIME(17,0,0)),TIME(8,0,0))-IF(NETWORKDAYS(O11,O11,UKBankHolidays)&gt;0,MEDIAN(TIME(8,0,0),MOD(O11,1),TIME(17,0,0)),TIME(8,0,0))),0),AND(L11&lt;&gt;"",N11="",P11="",O11&lt;&gt;""),(((MAX(NETWORKDAYS(L11,O11,UKBankHolidays)-1,0))*(TIME(17,0,0)-TIME(8,0,0)))+IF(NETWORKDAYS(O11,O11,UKBankHolidays)&gt;0,MEDIAN(TIME(8,0,0),MOD(O11,1),TIME(17,0,0)),TIME(8,0,0))-IF(NETWORKDAYS(L11,L11,UKBankHolidays)&gt;0,MEDIAN(TIME(8,0,0),MOD(L11,1),TIME(17,0,0)),TIME(8,0,0))),ISBLANK(K11),"0")),IF(ISBLANK(N11),NOW()-L11,N11-L11))</f>
        <v>3.596527777774706</v>
      </c>
      <c r="AC11" s="384">
        <f ca="1">(AB11*24)/9</f>
        <v>9.5907407407325493</v>
      </c>
      <c r="AD11" s="382">
        <f ca="1">MAX(0,IF(NOT(OR(G11=1,G11=2)),IF(M11&lt;&gt;"",((MAX(NETWORKDAYS(L11,M11,UKBankHolidays)-1,0))*(TIME(17,0,0)-TIME(8,0,0))+IF(NETWORKDAYS(M11,M11,UKBankHolidays)&gt;0,MEDIAN(TIME(8,0,0),MOD(M11,1),TIME(17,0,0)),TIME(8,0,0))-MEDIAN(TIME(8,0,0),MOD(L11,1),TIME(17,0,0))),((MAX(NETWORKDAYS(L11,NOW(),UKBankHolidays)-1,0))*(TIME(17,0,0)-TIME(8,0,0))+IF(NETWORKDAYS(NOW(),NOW(),UKBankHolidays)&gt;0,MEDIAN(TIME(8,0,0),MOD(NOW(),1),TIME(17,0,0)),TIME(8,0,0))-MEDIAN(TIME(8,0,0),MOD(L11,1),TIME(17,0,0)))),IF(M11&lt;&gt;"",M11-L11,NOW()-L11)))</f>
        <v>0</v>
      </c>
      <c r="AE11" s="382">
        <f ca="1">SUMIFS(AB:AB,E:E,E11)</f>
        <v>3.596527777774706</v>
      </c>
      <c r="AF11" s="384">
        <f ca="1">(AE11*24)/9</f>
        <v>9.5907407407325493</v>
      </c>
      <c r="AG11" s="384">
        <f ca="1">AF11</f>
        <v>9.5907407407325493</v>
      </c>
      <c r="AH11" s="385" t="str" cm="1">
        <f t="array" aca="1" ref="AH11" ca="1">IF((AD11) &lt; (INDEX(ResponseSLA[#All],(MATCH((G11),ResponseSLA[Priority],0))+1,3)),"YES","No")</f>
        <v>YES</v>
      </c>
      <c r="AI11" s="385" t="str">
        <f ca="1">_xlfn.IFNA(IF(AE11 &lt; (INDEX(SLATable[Minimum SLA],MATCH(G11,SLATable[Priority],0))),"YES","NO"),"")</f>
        <v>YES</v>
      </c>
      <c r="AJ11" s="383" t="str">
        <f ca="1">_xlfn.IFNA(IF(AE11 &lt; (INDEX(SLATable[Maximum SLA],MATCH(G11,SLATable[Priority],0))),"YES","NO"),"")</f>
        <v>YES</v>
      </c>
      <c r="AK11" s="378"/>
    </row>
    <row r="12" spans="1:37" ht="15" customHeight="1">
      <c r="A12" s="12">
        <v>11</v>
      </c>
      <c r="B12" s="19" t="s">
        <v>26</v>
      </c>
      <c r="C12" s="19" t="s">
        <v>37</v>
      </c>
      <c r="D12" s="19" t="s">
        <v>207</v>
      </c>
      <c r="E12" s="19" t="s">
        <v>4950</v>
      </c>
      <c r="F12" s="19" t="s">
        <v>36</v>
      </c>
      <c r="G12" s="19">
        <v>4</v>
      </c>
      <c r="H12" s="19" t="s">
        <v>4952</v>
      </c>
      <c r="I12" s="182" t="s">
        <v>271</v>
      </c>
      <c r="J12" s="19" t="s">
        <v>4935</v>
      </c>
      <c r="K12" s="361">
        <v>46131.056423611109</v>
      </c>
      <c r="L12" s="361">
        <v>46205.68472222222</v>
      </c>
      <c r="M12" s="361">
        <v>46205.736111111109</v>
      </c>
      <c r="N12" s="361">
        <v>46206.634027777778</v>
      </c>
      <c r="O12" s="361"/>
      <c r="P12" s="361">
        <v>46206.634027777778</v>
      </c>
      <c r="Q12" s="19" t="s">
        <v>4925</v>
      </c>
      <c r="R12" s="19"/>
      <c r="S12" s="19"/>
      <c r="T12" s="19"/>
      <c r="U12" s="19" t="s">
        <v>371</v>
      </c>
      <c r="V12" s="19"/>
      <c r="W12" s="19"/>
      <c r="X12" s="19"/>
      <c r="Y12" s="19"/>
      <c r="Z12" s="19"/>
      <c r="AA12" s="19"/>
      <c r="AB12" s="19"/>
      <c r="AC12" s="19"/>
      <c r="AD12" s="19"/>
      <c r="AE12" s="19"/>
      <c r="AF12" s="19"/>
      <c r="AG12" s="19"/>
      <c r="AH12" s="19"/>
      <c r="AI12" s="19"/>
      <c r="AJ12" s="19"/>
      <c r="AK12" s="12"/>
    </row>
    <row r="13" spans="1:37" s="45" customFormat="1" ht="15" customHeight="1">
      <c r="A13" s="378">
        <v>12</v>
      </c>
      <c r="B13" s="378" t="s">
        <v>26</v>
      </c>
      <c r="C13" s="378" t="s">
        <v>37</v>
      </c>
      <c r="D13" s="378" t="s">
        <v>207</v>
      </c>
      <c r="E13" s="378" t="s">
        <v>4954</v>
      </c>
      <c r="F13" s="413" t="s">
        <v>4951</v>
      </c>
      <c r="G13" s="378">
        <v>4</v>
      </c>
      <c r="H13" s="378" t="s">
        <v>4955</v>
      </c>
      <c r="I13" s="378" t="s">
        <v>275</v>
      </c>
      <c r="J13" s="378" t="s">
        <v>4956</v>
      </c>
      <c r="K13" s="381">
        <v>46134.801388888889</v>
      </c>
      <c r="L13" s="381">
        <v>46134.802083333336</v>
      </c>
      <c r="M13" s="381">
        <v>46135.459722222222</v>
      </c>
      <c r="N13" s="381"/>
      <c r="O13" s="381">
        <v>46136.770833333336</v>
      </c>
      <c r="P13" s="381"/>
      <c r="Q13" s="378" t="s">
        <v>4925</v>
      </c>
      <c r="R13" s="378"/>
      <c r="S13" s="378"/>
      <c r="T13" s="378"/>
      <c r="U13" s="378" t="s">
        <v>371</v>
      </c>
      <c r="V13" s="378"/>
      <c r="W13" s="378"/>
      <c r="X13" s="378"/>
      <c r="Y13" s="378"/>
      <c r="Z13" s="382">
        <f t="shared" ref="Z13:Z44" ca="1" si="1">IF(NOT(OR(G13=1,G13=2)),MAX(0,_xlfn.IFS(AND(K13&lt;&gt;"",N13&lt;&gt;""),((MAX(NETWORKDAYS(K13,N13,UKBankHolidays)-1,0))*(TIME(17,0,0)-TIME(8,0,0))+IF(NETWORKDAYS(N13,N13,UKBankHolidays)&gt;0,MEDIAN(TIME(8,0,0),MOD(N13,1),TIME(17,0,0)),TIME(8,0,0))-IF(NETWORKDAYS(K13,K13,UKBankHolidays)&gt;0,MEDIAN(TIME(8,0,0),MOD(K13,1),TIME(17,0,0)),TIME(8,0,0)))-IF(AND(O13&lt;&gt;"",P13&lt;&gt;""),((MAX(NETWORKDAYS(O13,P13,UKBankHolidays)-1,0))*(TIME(17,0,0)-TIME(8,0,0))+IF(NETWORKDAYS(P13,P13,UKBankHolidays)&gt;0,MEDIAN(TIME(8,0,0),MOD(P13,1),TIME(17,0,0)),TIME(8,0,0))-IF(NETWORKDAYS(O13,O13,UKBankHolidays)&gt;0,MEDIAN(TIME(8,0,0),MOD(O13,1),TIME(17,0,0)),TIME(8,0,0))),0),AND(K13&lt;&gt;"",N13=""),((MAX(NETWORKDAYS(K13,NOW(),UKBankHolidays)-1,0))*(TIME(17,0,0)-TIME(8,0,0))+IF(NETWORKDAYS(NOW(),NOW(),UKBankHolidays)&gt;0,MEDIAN(TIME(8,0,0),MOD(NOW(),1),TIME(17,0,0)),TIME(8,0,0))-IF(NETWORKDAYS(K13,K13,UKBankHolidays)&gt;0,MEDIAN(TIME(8,0,0),MOD(K13,1),TIME(17,0,0)),TIME(8,0,0))))),IF(N13="",NOW()-K13,N13-K13))</f>
        <v>32.175643055556677</v>
      </c>
      <c r="AA13" s="384">
        <f t="shared" ref="AA13:AA39" ca="1" si="2">(Z13*24)/9</f>
        <v>85.801714814817799</v>
      </c>
      <c r="AB13" s="382">
        <f t="shared" ref="AB13:AB39" ca="1" si="3">IF(NOT(OR(G13=1,G13=2)),MAX(0,_xlfn.IFS(AND(K13&lt;&gt;"",N13&lt;&gt;""),(((MAX(NETWORKDAYS(L13,N13,UKBankHolidays)-1,0))*(TIME(17,0,0)-TIME(8,0,0)))+IF(NETWORKDAYS(N13,N13,UKBankHolidays)&gt;0,MEDIAN(TIME(8,0,0),MOD(N13,1),TIME(17,0,0)),TIME(8,0,0))-IF(NETWORKDAYS(L13,L13,UKBankHolidays)&gt;0,MEDIAN(TIME(8,0,0),MOD(L13,1),TIME(17,0,0)),TIME(8,0,0)))-IF(AND(O13&lt;&gt;"",P13&lt;&gt;""),(((MAX(NETWORKDAYS(O13,P13,UKBankHolidays)-1,0))*(TIME(17,0,0)-TIME(8,0,0)))+IF(NETWORKDAYS(P13,P13,UKBankHolidays)&gt;0,MEDIAN(TIME(8,0,0),MOD(P13,1),TIME(17,0,0)),TIME(8,0,0))-IF(NETWORKDAYS(O13,O13,UKBankHolidays)&gt;0,MEDIAN(TIME(8,0,0),MOD(O13,1),TIME(17,0,0)),TIME(8,0,0))),0),AND(L13&lt;&gt;"",N13="",O13=""),(((MAX(NETWORKDAYS(L13,NOW(),UKBankHolidays)-1,0))*(TIME(17,0,0)-TIME(8,0,0)))+IF(NETWORKDAYS(NOW(),NOW(),UKBankHolidays)&gt;0,MEDIAN(TIME(8,0,0),MOD(NOW(),1),TIME(17,0,0)),TIME(8,0,0))-IF(NETWORKDAYS(L13,L13,UKBankHolidays)&gt;0,MEDIAN(TIME(8,0,0),MOD(L13,1),TIME(17,0,0)),TIME(8,0,0)))-IF(AND(O13&lt;&gt;"",P13&lt;&gt;""),(((MAX(NETWORKDAYS(O13,P13,UKBankHolidays)-1,0))*(TIME(17,0,0)-TIME(8,0,0)))+IF(NETWORKDAYS(P13,P13,UKBankHolidays)&gt;0,MEDIAN(TIME(8,0,0),MOD(P13,1),TIME(17,0,0)),TIME(8,0,0))-IF(NETWORKDAYS(O13,O13,UKBankHolidays)&gt;0,MEDIAN(TIME(8,0,0),MOD(O13,1),TIME(17,0,0)),TIME(8,0,0))),0),AND(L13&lt;&gt;"",N13="",P13="",O13&lt;&gt;""),(((MAX(NETWORKDAYS(L13,O13,UKBankHolidays)-1,0))*(TIME(17,0,0)-TIME(8,0,0)))+IF(NETWORKDAYS(O13,O13,UKBankHolidays)&gt;0,MEDIAN(TIME(8,0,0),MOD(O13,1),TIME(17,0,0)),TIME(8,0,0))-IF(NETWORKDAYS(L13,L13,UKBankHolidays)&gt;0,MEDIAN(TIME(8,0,0),MOD(L13,1),TIME(17,0,0)),TIME(8,0,0))),ISBLANK(K13),"0")),IF(ISBLANK(N13),NOW()-L13,N13-L13))</f>
        <v>0.75000000000000011</v>
      </c>
      <c r="AC13" s="384">
        <f t="shared" ref="AC13:AC39" ca="1" si="4">(AB13*24)/9</f>
        <v>2.0000000000000004</v>
      </c>
      <c r="AD13" s="382">
        <f t="shared" ref="AD13:AD39" ca="1" si="5">MAX(0,IF(NOT(OR(G13=1,G13=2)),IF(M13&lt;&gt;"",((MAX(NETWORKDAYS(L13,M13,UKBankHolidays)-1,0))*(TIME(17,0,0)-TIME(8,0,0))+IF(NETWORKDAYS(M13,M13,UKBankHolidays)&gt;0,MEDIAN(TIME(8,0,0),MOD(M13,1),TIME(17,0,0)),TIME(8,0,0))-MEDIAN(TIME(8,0,0),MOD(L13,1),TIME(17,0,0))),((MAX(NETWORKDAYS(L13,NOW(),UKBankHolidays)-1,0))*(TIME(17,0,0)-TIME(8,0,0))+IF(NETWORKDAYS(NOW(),NOW(),UKBankHolidays)&gt;0,MEDIAN(TIME(8,0,0),MOD(NOW(),1),TIME(17,0,0)),TIME(8,0,0))-MEDIAN(TIME(8,0,0),MOD(L13,1),TIME(17,0,0)))),IF(M13&lt;&gt;"",M13-L13,NOW()-L13)))</f>
        <v>0.12638888888856548</v>
      </c>
      <c r="AE13" s="382">
        <f t="shared" ref="AE13:AE39" ca="1" si="6">SUMIFS(AB:AB,E:E,E13)</f>
        <v>0.75000000000000011</v>
      </c>
      <c r="AF13" s="384">
        <f t="shared" ref="AF13:AF39" ca="1" si="7">(AE13*24)/9</f>
        <v>2.0000000000000004</v>
      </c>
      <c r="AG13" s="384">
        <f t="shared" ref="AG13:AG39" ca="1" si="8">AF13</f>
        <v>2.0000000000000004</v>
      </c>
      <c r="AH13" s="385" t="str" cm="1">
        <f t="array" aca="1" ref="AH13" ca="1">IF((AD13) &lt; (INDEX(ResponseSLA[#All],(MATCH((G13),ResponseSLA[Priority],0))+1,3)),"YES","No")</f>
        <v>No</v>
      </c>
      <c r="AI13" s="385" t="str">
        <f ca="1">_xlfn.IFNA(IF(AE13 &lt; (INDEX(SLATable[Minimum SLA],MATCH(G13,SLATable[Priority],0))),"YES","NO"),"")</f>
        <v>YES</v>
      </c>
      <c r="AJ13" s="383" t="str">
        <f ca="1">_xlfn.IFNA(IF(AE13 &lt; (INDEX(SLATable[Maximum SLA],MATCH(G13,SLATable[Priority],0))),"YES","NO"),"")</f>
        <v>YES</v>
      </c>
      <c r="AK13" s="378"/>
    </row>
    <row r="14" spans="1:37" ht="15" customHeight="1">
      <c r="A14" s="12">
        <v>13</v>
      </c>
      <c r="B14" s="12" t="s">
        <v>26</v>
      </c>
      <c r="C14" s="12" t="s">
        <v>37</v>
      </c>
      <c r="D14" s="12" t="s">
        <v>207</v>
      </c>
      <c r="E14" s="12" t="s">
        <v>4957</v>
      </c>
      <c r="F14" s="12" t="s">
        <v>36</v>
      </c>
      <c r="G14" s="12">
        <v>4</v>
      </c>
      <c r="H14" s="12" t="s">
        <v>4958</v>
      </c>
      <c r="I14" s="182" t="s">
        <v>271</v>
      </c>
      <c r="J14" s="12" t="s">
        <v>4940</v>
      </c>
      <c r="K14" s="361">
        <v>46141.251388888886</v>
      </c>
      <c r="L14" s="361">
        <v>46141.251388888886</v>
      </c>
      <c r="M14" s="361">
        <v>46141.316666666666</v>
      </c>
      <c r="N14" s="361">
        <v>46154.623611111114</v>
      </c>
      <c r="O14" s="361">
        <v>46146.622916666667</v>
      </c>
      <c r="P14" s="361">
        <v>46154.623611111114</v>
      </c>
      <c r="Q14" s="12" t="s">
        <v>4925</v>
      </c>
      <c r="R14" s="12"/>
      <c r="S14" s="12"/>
      <c r="T14" s="12"/>
      <c r="U14" s="12" t="s">
        <v>371</v>
      </c>
      <c r="V14" s="12"/>
      <c r="W14" s="12"/>
      <c r="X14" s="12"/>
      <c r="Y14" s="12"/>
      <c r="Z14" s="167">
        <f t="shared" ca="1" si="1"/>
        <v>0.75000000000000044</v>
      </c>
      <c r="AA14" s="168">
        <f t="shared" ca="1" si="2"/>
        <v>2.0000000000000013</v>
      </c>
      <c r="AB14" s="167">
        <f t="shared" ca="1" si="3"/>
        <v>0.75000000000000044</v>
      </c>
      <c r="AC14" s="168">
        <f t="shared" ca="1" si="4"/>
        <v>2.0000000000000013</v>
      </c>
      <c r="AD14" s="167">
        <f t="shared" ca="1" si="5"/>
        <v>0</v>
      </c>
      <c r="AE14" s="167">
        <f t="shared" ca="1" si="6"/>
        <v>0.75000000000000044</v>
      </c>
      <c r="AF14" s="168">
        <f t="shared" ca="1" si="7"/>
        <v>2.0000000000000013</v>
      </c>
      <c r="AG14" s="168">
        <f t="shared" ca="1" si="8"/>
        <v>2.0000000000000013</v>
      </c>
      <c r="AH14" s="81" t="str" cm="1">
        <f t="array" aca="1" ref="AH14" ca="1">IF((AD14) &lt; (INDEX(ResponseSLA[#All],(MATCH((G14),ResponseSLA[Priority],0))+1,3)),"YES","No")</f>
        <v>YES</v>
      </c>
      <c r="AI14" s="81" t="str">
        <f ca="1">_xlfn.IFNA(IF(AE14 &lt; (INDEX(SLATable[Minimum SLA],MATCH(G14,SLATable[Priority],0))),"YES","NO"),"")</f>
        <v>YES</v>
      </c>
      <c r="AJ14" s="19" t="str">
        <f ca="1">_xlfn.IFNA(IF(AE14 &lt; (INDEX(SLATable[Maximum SLA],MATCH(G14,SLATable[Priority],0))),"YES","NO"),"")</f>
        <v>YES</v>
      </c>
      <c r="AK14" s="12"/>
    </row>
    <row r="15" spans="1:37" ht="15" customHeight="1">
      <c r="A15" s="12">
        <v>14</v>
      </c>
      <c r="B15" s="12" t="s">
        <v>26</v>
      </c>
      <c r="C15" s="12" t="s">
        <v>37</v>
      </c>
      <c r="D15" s="12" t="s">
        <v>207</v>
      </c>
      <c r="E15" s="12" t="s">
        <v>4959</v>
      </c>
      <c r="F15" s="85" t="s">
        <v>36</v>
      </c>
      <c r="G15" s="12">
        <v>4</v>
      </c>
      <c r="H15" s="12" t="s">
        <v>4960</v>
      </c>
      <c r="I15" s="182" t="s">
        <v>271</v>
      </c>
      <c r="J15" s="12" t="s">
        <v>4943</v>
      </c>
      <c r="K15" s="361">
        <v>46142.693055555559</v>
      </c>
      <c r="L15" s="361">
        <v>46143.682638888888</v>
      </c>
      <c r="M15" s="361">
        <v>46146.338194444441</v>
      </c>
      <c r="N15" s="361">
        <v>46153.9375</v>
      </c>
      <c r="O15" s="361">
        <v>46146.443749999999</v>
      </c>
      <c r="P15" s="361">
        <v>46153.9375</v>
      </c>
      <c r="Q15" s="12" t="s">
        <v>4925</v>
      </c>
      <c r="R15" s="12"/>
      <c r="S15" s="12"/>
      <c r="T15" s="12"/>
      <c r="U15" s="12" t="s">
        <v>371</v>
      </c>
      <c r="V15" s="12"/>
      <c r="W15" s="12"/>
      <c r="X15" s="12"/>
      <c r="Y15" s="12"/>
      <c r="Z15" s="167">
        <f t="shared" ca="1" si="1"/>
        <v>1.5277777774220569E-2</v>
      </c>
      <c r="AA15" s="168">
        <f t="shared" ca="1" si="2"/>
        <v>4.0740740731254853E-2</v>
      </c>
      <c r="AB15" s="167">
        <f t="shared" ca="1" si="3"/>
        <v>0</v>
      </c>
      <c r="AC15" s="168">
        <f t="shared" ca="1" si="4"/>
        <v>0</v>
      </c>
      <c r="AD15" s="167">
        <f t="shared" ca="1" si="5"/>
        <v>0</v>
      </c>
      <c r="AE15" s="167">
        <f t="shared" ca="1" si="6"/>
        <v>0</v>
      </c>
      <c r="AF15" s="168">
        <f t="shared" ca="1" si="7"/>
        <v>0</v>
      </c>
      <c r="AG15" s="168">
        <f t="shared" ca="1" si="8"/>
        <v>0</v>
      </c>
      <c r="AH15" s="81" t="str" cm="1">
        <f t="array" aca="1" ref="AH15" ca="1">IF((AD15) &lt; (INDEX(ResponseSLA[#All],(MATCH((G15),ResponseSLA[Priority],0))+1,3)),"YES","No")</f>
        <v>YES</v>
      </c>
      <c r="AI15" s="81" t="str">
        <f ca="1">_xlfn.IFNA(IF(AE15 &lt; (INDEX(SLATable[Minimum SLA],MATCH(G15,SLATable[Priority],0))),"YES","NO"),"")</f>
        <v>YES</v>
      </c>
      <c r="AJ15" s="19" t="str">
        <f ca="1">_xlfn.IFNA(IF(AE15 &lt; (INDEX(SLATable[Maximum SLA],MATCH(G15,SLATable[Priority],0))),"YES","NO"),"")</f>
        <v>YES</v>
      </c>
      <c r="AK15" s="12"/>
    </row>
    <row r="16" spans="1:37" ht="15" customHeight="1">
      <c r="A16" s="12">
        <v>15</v>
      </c>
      <c r="B16" s="12" t="s">
        <v>26</v>
      </c>
      <c r="C16" s="12" t="s">
        <v>37</v>
      </c>
      <c r="D16" s="12" t="s">
        <v>207</v>
      </c>
      <c r="E16" s="12" t="s">
        <v>4961</v>
      </c>
      <c r="F16" s="412" t="s">
        <v>4962</v>
      </c>
      <c r="G16" s="12">
        <v>4</v>
      </c>
      <c r="H16" s="12" t="s">
        <v>4963</v>
      </c>
      <c r="I16" s="182" t="s">
        <v>275</v>
      </c>
      <c r="J16" s="12"/>
      <c r="K16" s="361">
        <v>46142.71875</v>
      </c>
      <c r="L16" s="361">
        <v>46142.719444444447</v>
      </c>
      <c r="M16" s="361">
        <v>46142.727777777778</v>
      </c>
      <c r="N16" s="361">
        <v>46147.839583333334</v>
      </c>
      <c r="O16" s="361"/>
      <c r="P16" s="361">
        <v>46147.839583333334</v>
      </c>
      <c r="Q16" s="12" t="s">
        <v>4925</v>
      </c>
      <c r="R16" s="12"/>
      <c r="S16" s="12"/>
      <c r="T16" s="12"/>
      <c r="U16" s="12" t="s">
        <v>371</v>
      </c>
      <c r="V16" s="12"/>
      <c r="W16" s="12"/>
      <c r="X16" s="12"/>
      <c r="Y16" s="12"/>
      <c r="Z16" s="167">
        <f t="shared" ca="1" si="1"/>
        <v>0.37500000000000011</v>
      </c>
      <c r="AA16" s="168">
        <f t="shared" ca="1" si="2"/>
        <v>1.0000000000000004</v>
      </c>
      <c r="AB16" s="167">
        <f t="shared" ca="1" si="3"/>
        <v>0.37500000000000011</v>
      </c>
      <c r="AC16" s="168">
        <f t="shared" ca="1" si="4"/>
        <v>1.0000000000000004</v>
      </c>
      <c r="AD16" s="167">
        <f t="shared" ca="1" si="5"/>
        <v>0</v>
      </c>
      <c r="AE16" s="167">
        <f t="shared" ca="1" si="6"/>
        <v>0.37500000000000011</v>
      </c>
      <c r="AF16" s="168">
        <f t="shared" ca="1" si="7"/>
        <v>1.0000000000000004</v>
      </c>
      <c r="AG16" s="168">
        <f t="shared" ca="1" si="8"/>
        <v>1.0000000000000004</v>
      </c>
      <c r="AH16" s="81" t="str" cm="1">
        <f t="array" aca="1" ref="AH16" ca="1">IF((AD16) &lt; (INDEX(ResponseSLA[#All],(MATCH((G16),ResponseSLA[Priority],0))+1,3)),"YES","No")</f>
        <v>YES</v>
      </c>
      <c r="AI16" s="81" t="str">
        <f ca="1">_xlfn.IFNA(IF(AE16 &lt; (INDEX(SLATable[Minimum SLA],MATCH(G16,SLATable[Priority],0))),"YES","NO"),"")</f>
        <v>YES</v>
      </c>
      <c r="AJ16" s="19" t="str">
        <f ca="1">_xlfn.IFNA(IF(AE16 &lt; (INDEX(SLATable[Maximum SLA],MATCH(G16,SLATable[Priority],0))),"YES","NO"),"")</f>
        <v>YES</v>
      </c>
      <c r="AK16" s="12"/>
    </row>
    <row r="17" spans="1:37" ht="15" customHeight="1">
      <c r="A17" s="12">
        <v>16</v>
      </c>
      <c r="B17" s="12" t="s">
        <v>26</v>
      </c>
      <c r="C17" s="12" t="s">
        <v>37</v>
      </c>
      <c r="D17" s="12" t="s">
        <v>207</v>
      </c>
      <c r="E17" s="12" t="s">
        <v>4964</v>
      </c>
      <c r="F17" s="412" t="s">
        <v>4962</v>
      </c>
      <c r="G17" s="12">
        <v>3</v>
      </c>
      <c r="H17" s="12" t="s">
        <v>4965</v>
      </c>
      <c r="I17" s="182" t="s">
        <v>275</v>
      </c>
      <c r="J17" s="12"/>
      <c r="K17" s="361">
        <v>46142.74722222222</v>
      </c>
      <c r="L17" s="361">
        <v>46142.78125</v>
      </c>
      <c r="M17" s="361">
        <v>46142.807638888888</v>
      </c>
      <c r="N17" s="361">
        <v>46147.839583333334</v>
      </c>
      <c r="O17" s="361"/>
      <c r="P17" s="361">
        <v>46147.839583333334</v>
      </c>
      <c r="Q17" s="12" t="s">
        <v>4925</v>
      </c>
      <c r="R17" s="12"/>
      <c r="S17" s="12"/>
      <c r="T17" s="12"/>
      <c r="U17" s="12" t="s">
        <v>371</v>
      </c>
      <c r="V17" s="12"/>
      <c r="W17" s="12"/>
      <c r="X17" s="12"/>
      <c r="Y17" s="12"/>
      <c r="Z17" s="167">
        <f t="shared" ca="1" si="1"/>
        <v>0.37500000000000011</v>
      </c>
      <c r="AA17" s="168">
        <f t="shared" ca="1" si="2"/>
        <v>1.0000000000000004</v>
      </c>
      <c r="AB17" s="167">
        <f t="shared" ca="1" si="3"/>
        <v>0.37500000000000011</v>
      </c>
      <c r="AC17" s="168">
        <f t="shared" ca="1" si="4"/>
        <v>1.0000000000000004</v>
      </c>
      <c r="AD17" s="167">
        <f t="shared" ca="1" si="5"/>
        <v>0</v>
      </c>
      <c r="AE17" s="167">
        <f t="shared" ca="1" si="6"/>
        <v>0.37500000000000011</v>
      </c>
      <c r="AF17" s="168">
        <f t="shared" ca="1" si="7"/>
        <v>1.0000000000000004</v>
      </c>
      <c r="AG17" s="168">
        <f t="shared" ca="1" si="8"/>
        <v>1.0000000000000004</v>
      </c>
      <c r="AH17" s="81" t="str" cm="1">
        <f t="array" aca="1" ref="AH17" ca="1">IF((AD17) &lt; (INDEX(ResponseSLA[#All],(MATCH((G17),ResponseSLA[Priority],0))+1,3)),"YES","No")</f>
        <v>YES</v>
      </c>
      <c r="AI17" s="81" t="str">
        <f ca="1">_xlfn.IFNA(IF(AE17 &lt; (INDEX(SLATable[Minimum SLA],MATCH(G17,SLATable[Priority],0))),"YES","NO"),"")</f>
        <v>NO</v>
      </c>
      <c r="AJ17" s="19" t="str">
        <f ca="1">_xlfn.IFNA(IF(AE17 &lt; (INDEX(SLATable[Maximum SLA],MATCH(G17,SLATable[Priority],0))),"YES","NO"),"")</f>
        <v>YES</v>
      </c>
      <c r="AK17" s="12"/>
    </row>
    <row r="18" spans="1:37" ht="15" customHeight="1">
      <c r="A18" s="378">
        <v>17</v>
      </c>
      <c r="B18" s="12" t="s">
        <v>26</v>
      </c>
      <c r="C18" s="12" t="s">
        <v>37</v>
      </c>
      <c r="D18" s="12" t="s">
        <v>207</v>
      </c>
      <c r="E18" s="12" t="s">
        <v>4966</v>
      </c>
      <c r="F18" s="412" t="s">
        <v>4962</v>
      </c>
      <c r="G18" s="12">
        <v>3</v>
      </c>
      <c r="H18" s="12" t="s">
        <v>4967</v>
      </c>
      <c r="I18" s="182" t="s">
        <v>275</v>
      </c>
      <c r="J18" s="12" t="s">
        <v>4968</v>
      </c>
      <c r="K18" s="361">
        <v>46142.750694444447</v>
      </c>
      <c r="L18" s="361">
        <v>46142.750694444447</v>
      </c>
      <c r="M18" s="361">
        <v>46142.775000000001</v>
      </c>
      <c r="N18" s="361">
        <v>46147.839583333334</v>
      </c>
      <c r="O18" s="361">
        <v>46147.543055555558</v>
      </c>
      <c r="P18" s="361">
        <v>46147.839583333334</v>
      </c>
      <c r="Q18" s="12" t="s">
        <v>4925</v>
      </c>
      <c r="R18" s="12"/>
      <c r="S18" s="12"/>
      <c r="T18" s="12"/>
      <c r="U18" s="12" t="s">
        <v>371</v>
      </c>
      <c r="V18" s="12"/>
      <c r="W18" s="12"/>
      <c r="X18" s="12"/>
      <c r="Y18" s="12"/>
      <c r="Z18" s="167">
        <f t="shared" ca="1" si="1"/>
        <v>0.20972222222432424</v>
      </c>
      <c r="AA18" s="168">
        <f t="shared" ca="1" si="2"/>
        <v>0.55925925926486464</v>
      </c>
      <c r="AB18" s="167">
        <f t="shared" ca="1" si="3"/>
        <v>0.20972222222432424</v>
      </c>
      <c r="AC18" s="168">
        <f t="shared" ca="1" si="4"/>
        <v>0.55925925926486464</v>
      </c>
      <c r="AD18" s="167">
        <f t="shared" ca="1" si="5"/>
        <v>0</v>
      </c>
      <c r="AE18" s="167">
        <f t="shared" ca="1" si="6"/>
        <v>0.20972222222432424</v>
      </c>
      <c r="AF18" s="168">
        <f t="shared" ca="1" si="7"/>
        <v>0.55925925926486464</v>
      </c>
      <c r="AG18" s="168">
        <f t="shared" ca="1" si="8"/>
        <v>0.55925925926486464</v>
      </c>
      <c r="AH18" s="81" t="str" cm="1">
        <f t="array" aca="1" ref="AH18" ca="1">IF((AD18) &lt; (INDEX(ResponseSLA[#All],(MATCH((G18),ResponseSLA[Priority],0))+1,3)),"YES","No")</f>
        <v>YES</v>
      </c>
      <c r="AI18" s="81" t="str">
        <f ca="1">_xlfn.IFNA(IF(AE18 &lt; (INDEX(SLATable[Minimum SLA],MATCH(G18,SLATable[Priority],0))),"YES","NO"),"")</f>
        <v>YES</v>
      </c>
      <c r="AJ18" s="19" t="str">
        <f ca="1">_xlfn.IFNA(IF(AE18 &lt; (INDEX(SLATable[Maximum SLA],MATCH(G18,SLATable[Priority],0))),"YES","NO"),"")</f>
        <v>YES</v>
      </c>
      <c r="AK18" s="12"/>
    </row>
    <row r="19" spans="1:37" ht="15" customHeight="1">
      <c r="A19" s="12">
        <v>18</v>
      </c>
      <c r="B19" s="12" t="s">
        <v>26</v>
      </c>
      <c r="C19" s="12" t="s">
        <v>37</v>
      </c>
      <c r="D19" s="12" t="s">
        <v>207</v>
      </c>
      <c r="E19" s="12" t="s">
        <v>4969</v>
      </c>
      <c r="F19" s="412" t="s">
        <v>4962</v>
      </c>
      <c r="G19" s="12">
        <v>4</v>
      </c>
      <c r="H19" s="12" t="s">
        <v>4970</v>
      </c>
      <c r="I19" s="182" t="s">
        <v>275</v>
      </c>
      <c r="J19" s="12"/>
      <c r="K19" s="361">
        <v>46142.755555555559</v>
      </c>
      <c r="L19" s="361">
        <v>46142.756249999999</v>
      </c>
      <c r="M19" s="361">
        <v>46142.762499999997</v>
      </c>
      <c r="N19" s="361">
        <v>46147.839583333334</v>
      </c>
      <c r="O19" s="361"/>
      <c r="P19" s="361">
        <v>46147.839583333334</v>
      </c>
      <c r="Q19" s="12" t="s">
        <v>4925</v>
      </c>
      <c r="R19" s="12"/>
      <c r="S19" s="12"/>
      <c r="T19" s="12"/>
      <c r="U19" s="12" t="s">
        <v>371</v>
      </c>
      <c r="V19" s="12"/>
      <c r="W19" s="12"/>
      <c r="X19" s="12"/>
      <c r="Y19" s="12"/>
      <c r="Z19" s="167">
        <f t="shared" ca="1" si="1"/>
        <v>0.37500000000000011</v>
      </c>
      <c r="AA19" s="168">
        <f t="shared" ca="1" si="2"/>
        <v>1.0000000000000004</v>
      </c>
      <c r="AB19" s="167">
        <f t="shared" ca="1" si="3"/>
        <v>0.37500000000000011</v>
      </c>
      <c r="AC19" s="168">
        <f t="shared" ca="1" si="4"/>
        <v>1.0000000000000004</v>
      </c>
      <c r="AD19" s="167">
        <f t="shared" ca="1" si="5"/>
        <v>0</v>
      </c>
      <c r="AE19" s="167">
        <f t="shared" ca="1" si="6"/>
        <v>0.37500000000000011</v>
      </c>
      <c r="AF19" s="168">
        <f t="shared" ca="1" si="7"/>
        <v>1.0000000000000004</v>
      </c>
      <c r="AG19" s="168">
        <f t="shared" ca="1" si="8"/>
        <v>1.0000000000000004</v>
      </c>
      <c r="AH19" s="81" t="str" cm="1">
        <f t="array" aca="1" ref="AH19" ca="1">IF((AD19) &lt; (INDEX(ResponseSLA[#All],(MATCH((G19),ResponseSLA[Priority],0))+1,3)),"YES","No")</f>
        <v>YES</v>
      </c>
      <c r="AI19" s="81" t="str">
        <f ca="1">_xlfn.IFNA(IF(AE19 &lt; (INDEX(SLATable[Minimum SLA],MATCH(G19,SLATable[Priority],0))),"YES","NO"),"")</f>
        <v>YES</v>
      </c>
      <c r="AJ19" s="19" t="str">
        <f ca="1">_xlfn.IFNA(IF(AE19 &lt; (INDEX(SLATable[Maximum SLA],MATCH(G19,SLATable[Priority],0))),"YES","NO"),"")</f>
        <v>YES</v>
      </c>
      <c r="AK19" s="12"/>
    </row>
    <row r="20" spans="1:37" ht="15" customHeight="1">
      <c r="A20" s="12">
        <v>19</v>
      </c>
      <c r="B20" s="12" t="s">
        <v>26</v>
      </c>
      <c r="C20" s="12" t="s">
        <v>37</v>
      </c>
      <c r="D20" s="12" t="s">
        <v>207</v>
      </c>
      <c r="E20" s="12" t="s">
        <v>4971</v>
      </c>
      <c r="F20" s="412" t="s">
        <v>4962</v>
      </c>
      <c r="G20" s="12">
        <v>3</v>
      </c>
      <c r="H20" s="12" t="s">
        <v>4972</v>
      </c>
      <c r="I20" s="182" t="s">
        <v>275</v>
      </c>
      <c r="J20" s="12"/>
      <c r="K20" s="361">
        <v>46142.765972222223</v>
      </c>
      <c r="L20" s="361">
        <v>46142.781944444447</v>
      </c>
      <c r="M20" s="361">
        <v>46142.80972222222</v>
      </c>
      <c r="N20" s="361">
        <v>46147.839583333334</v>
      </c>
      <c r="O20" s="361"/>
      <c r="P20" s="361">
        <v>46147.839583333334</v>
      </c>
      <c r="Q20" s="12" t="s">
        <v>4925</v>
      </c>
      <c r="R20" s="12"/>
      <c r="S20" s="12"/>
      <c r="T20" s="12"/>
      <c r="U20" s="12" t="s">
        <v>371</v>
      </c>
      <c r="V20" s="12"/>
      <c r="W20" s="12"/>
      <c r="X20" s="12"/>
      <c r="Y20" s="12"/>
      <c r="Z20" s="167">
        <f t="shared" ca="1" si="1"/>
        <v>0.37500000000000011</v>
      </c>
      <c r="AA20" s="168">
        <f t="shared" ca="1" si="2"/>
        <v>1.0000000000000004</v>
      </c>
      <c r="AB20" s="167">
        <f t="shared" ca="1" si="3"/>
        <v>0.37500000000000011</v>
      </c>
      <c r="AC20" s="168">
        <f t="shared" ca="1" si="4"/>
        <v>1.0000000000000004</v>
      </c>
      <c r="AD20" s="167">
        <f t="shared" ca="1" si="5"/>
        <v>0</v>
      </c>
      <c r="AE20" s="167">
        <f t="shared" ca="1" si="6"/>
        <v>0.37500000000000011</v>
      </c>
      <c r="AF20" s="168">
        <f t="shared" ca="1" si="7"/>
        <v>1.0000000000000004</v>
      </c>
      <c r="AG20" s="168">
        <f t="shared" ca="1" si="8"/>
        <v>1.0000000000000004</v>
      </c>
      <c r="AH20" s="81" t="str" cm="1">
        <f t="array" aca="1" ref="AH20" ca="1">IF((AD20) &lt; (INDEX(ResponseSLA[#All],(MATCH((G20),ResponseSLA[Priority],0))+1,3)),"YES","No")</f>
        <v>YES</v>
      </c>
      <c r="AI20" s="81" t="str">
        <f ca="1">_xlfn.IFNA(IF(AE20 &lt; (INDEX(SLATable[Minimum SLA],MATCH(G20,SLATable[Priority],0))),"YES","NO"),"")</f>
        <v>NO</v>
      </c>
      <c r="AJ20" s="19" t="str">
        <f ca="1">_xlfn.IFNA(IF(AE20 &lt; (INDEX(SLATable[Maximum SLA],MATCH(G20,SLATable[Priority],0))),"YES","NO"),"")</f>
        <v>YES</v>
      </c>
      <c r="AK20" s="12"/>
    </row>
    <row r="21" spans="1:37" ht="15" customHeight="1">
      <c r="A21" s="12">
        <v>20</v>
      </c>
      <c r="B21" s="12" t="s">
        <v>26</v>
      </c>
      <c r="C21" s="12" t="s">
        <v>37</v>
      </c>
      <c r="D21" s="12" t="s">
        <v>207</v>
      </c>
      <c r="E21" s="12" t="s">
        <v>4973</v>
      </c>
      <c r="F21" s="412" t="s">
        <v>4962</v>
      </c>
      <c r="G21" s="12">
        <v>4</v>
      </c>
      <c r="H21" s="12" t="s">
        <v>4974</v>
      </c>
      <c r="I21" s="182" t="s">
        <v>275</v>
      </c>
      <c r="J21" s="12"/>
      <c r="K21" s="361">
        <v>46142.76666666667</v>
      </c>
      <c r="L21" s="361">
        <v>46142.76666666667</v>
      </c>
      <c r="M21" s="361">
        <v>46142.775694444441</v>
      </c>
      <c r="N21" s="361">
        <v>46147.839583333334</v>
      </c>
      <c r="O21" s="361"/>
      <c r="P21" s="361">
        <v>46147.839583333334</v>
      </c>
      <c r="Q21" s="12" t="s">
        <v>4925</v>
      </c>
      <c r="R21" s="12"/>
      <c r="S21" s="12"/>
      <c r="T21" s="12"/>
      <c r="U21" s="12" t="s">
        <v>371</v>
      </c>
      <c r="V21" s="12"/>
      <c r="W21" s="12"/>
      <c r="X21" s="12"/>
      <c r="Y21" s="12"/>
      <c r="Z21" s="167">
        <f t="shared" ca="1" si="1"/>
        <v>0.37500000000000011</v>
      </c>
      <c r="AA21" s="168">
        <f t="shared" ca="1" si="2"/>
        <v>1.0000000000000004</v>
      </c>
      <c r="AB21" s="167">
        <f t="shared" ca="1" si="3"/>
        <v>0.37500000000000011</v>
      </c>
      <c r="AC21" s="168">
        <f t="shared" ca="1" si="4"/>
        <v>1.0000000000000004</v>
      </c>
      <c r="AD21" s="167">
        <f t="shared" ca="1" si="5"/>
        <v>0</v>
      </c>
      <c r="AE21" s="167">
        <f t="shared" ca="1" si="6"/>
        <v>0.37500000000000011</v>
      </c>
      <c r="AF21" s="168">
        <f t="shared" ca="1" si="7"/>
        <v>1.0000000000000004</v>
      </c>
      <c r="AG21" s="168">
        <f t="shared" ca="1" si="8"/>
        <v>1.0000000000000004</v>
      </c>
      <c r="AH21" s="81" t="str" cm="1">
        <f t="array" aca="1" ref="AH21" ca="1">IF((AD21) &lt; (INDEX(ResponseSLA[#All],(MATCH((G21),ResponseSLA[Priority],0))+1,3)),"YES","No")</f>
        <v>YES</v>
      </c>
      <c r="AI21" s="81" t="str">
        <f ca="1">_xlfn.IFNA(IF(AE21 &lt; (INDEX(SLATable[Minimum SLA],MATCH(G21,SLATable[Priority],0))),"YES","NO"),"")</f>
        <v>YES</v>
      </c>
      <c r="AJ21" s="19" t="str">
        <f ca="1">_xlfn.IFNA(IF(AE21 &lt; (INDEX(SLATable[Maximum SLA],MATCH(G21,SLATable[Priority],0))),"YES","NO"),"")</f>
        <v>YES</v>
      </c>
      <c r="AK21" s="12"/>
    </row>
    <row r="22" spans="1:37" ht="15" customHeight="1">
      <c r="A22" s="12">
        <v>21</v>
      </c>
      <c r="B22" s="12" t="s">
        <v>26</v>
      </c>
      <c r="C22" s="12" t="s">
        <v>37</v>
      </c>
      <c r="D22" s="12" t="s">
        <v>207</v>
      </c>
      <c r="E22" s="12" t="s">
        <v>4975</v>
      </c>
      <c r="F22" s="12" t="s">
        <v>36</v>
      </c>
      <c r="G22" s="12">
        <v>3</v>
      </c>
      <c r="H22" s="12" t="s">
        <v>4976</v>
      </c>
      <c r="I22" s="182" t="s">
        <v>271</v>
      </c>
      <c r="J22" s="12" t="s">
        <v>4940</v>
      </c>
      <c r="K22" s="361">
        <v>46142.768055555556</v>
      </c>
      <c r="L22" s="361">
        <v>46142.768055555556</v>
      </c>
      <c r="M22" s="361">
        <v>46142.772916666669</v>
      </c>
      <c r="N22" s="361">
        <v>46148.804166666669</v>
      </c>
      <c r="O22" s="361">
        <v>46142.791666666664</v>
      </c>
      <c r="P22" s="361">
        <v>46148.804166666669</v>
      </c>
      <c r="Q22" s="12" t="s">
        <v>4977</v>
      </c>
      <c r="R22" s="12"/>
      <c r="S22" s="12"/>
      <c r="T22" s="12"/>
      <c r="U22" s="12" t="s">
        <v>371</v>
      </c>
      <c r="V22" s="12"/>
      <c r="W22" s="12"/>
      <c r="X22" s="12"/>
      <c r="Y22" s="12"/>
      <c r="Z22" s="167">
        <f t="shared" ca="1" si="1"/>
        <v>0</v>
      </c>
      <c r="AA22" s="168">
        <f t="shared" ca="1" si="2"/>
        <v>0</v>
      </c>
      <c r="AB22" s="167">
        <f t="shared" ca="1" si="3"/>
        <v>0</v>
      </c>
      <c r="AC22" s="168">
        <f t="shared" ca="1" si="4"/>
        <v>0</v>
      </c>
      <c r="AD22" s="167">
        <f t="shared" ca="1" si="5"/>
        <v>0</v>
      </c>
      <c r="AE22" s="167">
        <f t="shared" ca="1" si="6"/>
        <v>0</v>
      </c>
      <c r="AF22" s="168">
        <f t="shared" ca="1" si="7"/>
        <v>0</v>
      </c>
      <c r="AG22" s="168">
        <f t="shared" ca="1" si="8"/>
        <v>0</v>
      </c>
      <c r="AH22" s="81" t="str" cm="1">
        <f t="array" aca="1" ref="AH22" ca="1">IF((AD22) &lt; (INDEX(ResponseSLA[#All],(MATCH((G22),ResponseSLA[Priority],0))+1,3)),"YES","No")</f>
        <v>YES</v>
      </c>
      <c r="AI22" s="81" t="str">
        <f ca="1">_xlfn.IFNA(IF(AE22 &lt; (INDEX(SLATable[Minimum SLA],MATCH(G22,SLATable[Priority],0))),"YES","NO"),"")</f>
        <v>YES</v>
      </c>
      <c r="AJ22" s="19" t="str">
        <f ca="1">_xlfn.IFNA(IF(AE22 &lt; (INDEX(SLATable[Maximum SLA],MATCH(G22,SLATable[Priority],0))),"YES","NO"),"")</f>
        <v>YES</v>
      </c>
      <c r="AK22" s="12"/>
    </row>
    <row r="23" spans="1:37" ht="15" customHeight="1">
      <c r="A23" s="378">
        <v>22</v>
      </c>
      <c r="B23" s="12" t="s">
        <v>26</v>
      </c>
      <c r="C23" s="12" t="s">
        <v>37</v>
      </c>
      <c r="D23" s="12" t="s">
        <v>207</v>
      </c>
      <c r="E23" s="12" t="s">
        <v>4978</v>
      </c>
      <c r="F23" s="12" t="s">
        <v>36</v>
      </c>
      <c r="G23" s="12">
        <v>4</v>
      </c>
      <c r="H23" s="12" t="s">
        <v>4979</v>
      </c>
      <c r="I23" s="182" t="s">
        <v>271</v>
      </c>
      <c r="J23" s="12" t="s">
        <v>4980</v>
      </c>
      <c r="K23" s="361">
        <v>46142.799305555556</v>
      </c>
      <c r="L23" s="361">
        <v>46142.799305555556</v>
      </c>
      <c r="M23" s="361">
        <v>46146.339583333334</v>
      </c>
      <c r="N23" s="361">
        <v>46147.455555555556</v>
      </c>
      <c r="O23" s="361">
        <v>46146.559027777781</v>
      </c>
      <c r="P23" s="361">
        <v>46147.455555555556</v>
      </c>
      <c r="Q23" s="12" t="s">
        <v>4925</v>
      </c>
      <c r="R23" s="12"/>
      <c r="S23" s="12"/>
      <c r="T23" s="12"/>
      <c r="U23" s="12" t="s">
        <v>371</v>
      </c>
      <c r="V23" s="12"/>
      <c r="W23" s="12"/>
      <c r="X23" s="12"/>
      <c r="Y23" s="12"/>
      <c r="Z23" s="167">
        <f t="shared" ca="1" si="1"/>
        <v>0</v>
      </c>
      <c r="AA23" s="168">
        <f t="shared" ca="1" si="2"/>
        <v>0</v>
      </c>
      <c r="AB23" s="167">
        <f t="shared" ca="1" si="3"/>
        <v>0</v>
      </c>
      <c r="AC23" s="168">
        <f t="shared" ca="1" si="4"/>
        <v>0</v>
      </c>
      <c r="AD23" s="167">
        <f t="shared" ca="1" si="5"/>
        <v>0</v>
      </c>
      <c r="AE23" s="167">
        <f t="shared" ca="1" si="6"/>
        <v>0</v>
      </c>
      <c r="AF23" s="168">
        <f t="shared" ca="1" si="7"/>
        <v>0</v>
      </c>
      <c r="AG23" s="168">
        <f t="shared" ca="1" si="8"/>
        <v>0</v>
      </c>
      <c r="AH23" s="81" t="str" cm="1">
        <f t="array" aca="1" ref="AH23" ca="1">IF((AD23) &lt; (INDEX(ResponseSLA[#All],(MATCH((G23),ResponseSLA[Priority],0))+1,3)),"YES","No")</f>
        <v>YES</v>
      </c>
      <c r="AI23" s="81" t="str">
        <f ca="1">_xlfn.IFNA(IF(AE23 &lt; (INDEX(SLATable[Minimum SLA],MATCH(G23,SLATable[Priority],0))),"YES","NO"),"")</f>
        <v>YES</v>
      </c>
      <c r="AJ23" s="19" t="str">
        <f ca="1">_xlfn.IFNA(IF(AE23 &lt; (INDEX(SLATable[Maximum SLA],MATCH(G23,SLATable[Priority],0))),"YES","NO"),"")</f>
        <v>YES</v>
      </c>
      <c r="AK23" s="12"/>
    </row>
    <row r="24" spans="1:37" ht="15" customHeight="1">
      <c r="A24" s="12">
        <v>23</v>
      </c>
      <c r="B24" s="12" t="s">
        <v>26</v>
      </c>
      <c r="C24" s="12" t="s">
        <v>37</v>
      </c>
      <c r="D24" s="12" t="s">
        <v>207</v>
      </c>
      <c r="E24" s="12" t="s">
        <v>4981</v>
      </c>
      <c r="F24" s="412" t="s">
        <v>4962</v>
      </c>
      <c r="G24" s="12">
        <v>4</v>
      </c>
      <c r="H24" s="12" t="s">
        <v>4982</v>
      </c>
      <c r="I24" s="182" t="s">
        <v>275</v>
      </c>
      <c r="J24" s="12"/>
      <c r="K24" s="361">
        <v>46142.824999999997</v>
      </c>
      <c r="L24" s="361">
        <v>46142.824999999997</v>
      </c>
      <c r="M24" s="361">
        <v>46142.852083333331</v>
      </c>
      <c r="N24" s="361">
        <v>46147.839583333334</v>
      </c>
      <c r="O24" s="361"/>
      <c r="P24" s="361">
        <v>46147.839583333334</v>
      </c>
      <c r="Q24" s="12" t="s">
        <v>4925</v>
      </c>
      <c r="R24" s="12"/>
      <c r="S24" s="12"/>
      <c r="T24" s="12"/>
      <c r="U24" s="12" t="s">
        <v>371</v>
      </c>
      <c r="V24" s="12"/>
      <c r="W24" s="12"/>
      <c r="X24" s="12"/>
      <c r="Y24" s="12"/>
      <c r="Z24" s="167">
        <f t="shared" ca="1" si="1"/>
        <v>0.37500000000000011</v>
      </c>
      <c r="AA24" s="168">
        <f t="shared" ca="1" si="2"/>
        <v>1.0000000000000004</v>
      </c>
      <c r="AB24" s="167">
        <f t="shared" ca="1" si="3"/>
        <v>0.37500000000000011</v>
      </c>
      <c r="AC24" s="168">
        <f t="shared" ca="1" si="4"/>
        <v>1.0000000000000004</v>
      </c>
      <c r="AD24" s="167">
        <f t="shared" ca="1" si="5"/>
        <v>0</v>
      </c>
      <c r="AE24" s="167">
        <f t="shared" ca="1" si="6"/>
        <v>0.37500000000000011</v>
      </c>
      <c r="AF24" s="168">
        <f t="shared" ca="1" si="7"/>
        <v>1.0000000000000004</v>
      </c>
      <c r="AG24" s="168">
        <f t="shared" ca="1" si="8"/>
        <v>1.0000000000000004</v>
      </c>
      <c r="AH24" s="81" t="str" cm="1">
        <f t="array" aca="1" ref="AH24" ca="1">IF((AD24) &lt; (INDEX(ResponseSLA[#All],(MATCH((G24),ResponseSLA[Priority],0))+1,3)),"YES","No")</f>
        <v>YES</v>
      </c>
      <c r="AI24" s="81" t="str">
        <f ca="1">_xlfn.IFNA(IF(AE24 &lt; (INDEX(SLATable[Minimum SLA],MATCH(G24,SLATable[Priority],0))),"YES","NO"),"")</f>
        <v>YES</v>
      </c>
      <c r="AJ24" s="19" t="str">
        <f ca="1">_xlfn.IFNA(IF(AE24 &lt; (INDEX(SLATable[Maximum SLA],MATCH(G24,SLATable[Priority],0))),"YES","NO"),"")</f>
        <v>YES</v>
      </c>
      <c r="AK24" s="12"/>
    </row>
    <row r="25" spans="1:37" ht="15" customHeight="1">
      <c r="A25" s="12">
        <v>24</v>
      </c>
      <c r="B25" s="12" t="s">
        <v>26</v>
      </c>
      <c r="C25" s="12" t="s">
        <v>37</v>
      </c>
      <c r="D25" s="12" t="s">
        <v>207</v>
      </c>
      <c r="E25" s="12" t="s">
        <v>4983</v>
      </c>
      <c r="F25" s="85" t="s">
        <v>36</v>
      </c>
      <c r="G25" s="12">
        <v>4</v>
      </c>
      <c r="H25" s="12" t="s">
        <v>4984</v>
      </c>
      <c r="I25" s="182" t="s">
        <v>271</v>
      </c>
      <c r="J25" s="12" t="s">
        <v>4935</v>
      </c>
      <c r="K25" s="361">
        <v>46143.558333333334</v>
      </c>
      <c r="L25" s="361">
        <v>46150.692361111112</v>
      </c>
      <c r="M25" s="361">
        <v>46150.725694444445</v>
      </c>
      <c r="N25" s="361">
        <v>46153.617361111108</v>
      </c>
      <c r="O25" s="361">
        <v>46153.533333333333</v>
      </c>
      <c r="P25" s="361">
        <v>46153.617361111108</v>
      </c>
      <c r="Q25" s="12" t="s">
        <v>4930</v>
      </c>
      <c r="R25" s="12"/>
      <c r="S25" s="12"/>
      <c r="T25" s="12"/>
      <c r="U25" s="12" t="s">
        <v>371</v>
      </c>
      <c r="V25" s="12"/>
      <c r="W25" s="12"/>
      <c r="X25" s="12"/>
      <c r="Y25" s="12"/>
      <c r="Z25" s="167">
        <f t="shared" ca="1" si="1"/>
        <v>1.699999999999515</v>
      </c>
      <c r="AA25" s="168">
        <f t="shared" ca="1" si="2"/>
        <v>4.53333333333204</v>
      </c>
      <c r="AB25" s="167">
        <f t="shared" ca="1" si="3"/>
        <v>0.21597222222044365</v>
      </c>
      <c r="AC25" s="168">
        <f t="shared" ca="1" si="4"/>
        <v>0.57592592592118308</v>
      </c>
      <c r="AD25" s="167">
        <f t="shared" ca="1" si="5"/>
        <v>1.5972222220928756E-2</v>
      </c>
      <c r="AE25" s="167">
        <f t="shared" ca="1" si="6"/>
        <v>0.21597222222044365</v>
      </c>
      <c r="AF25" s="168">
        <f t="shared" ca="1" si="7"/>
        <v>0.57592592592118308</v>
      </c>
      <c r="AG25" s="168">
        <f t="shared" ca="1" si="8"/>
        <v>0.57592592592118308</v>
      </c>
      <c r="AH25" s="81" t="str" cm="1">
        <f t="array" aca="1" ref="AH25" ca="1">IF((AD25) &lt; (INDEX(ResponseSLA[#All],(MATCH((G25),ResponseSLA[Priority],0))+1,3)),"YES","No")</f>
        <v>YES</v>
      </c>
      <c r="AI25" s="81" t="str">
        <f ca="1">_xlfn.IFNA(IF(AE25 &lt; (INDEX(SLATable[Minimum SLA],MATCH(G25,SLATable[Priority],0))),"YES","NO"),"")</f>
        <v>YES</v>
      </c>
      <c r="AJ25" s="19" t="str">
        <f ca="1">_xlfn.IFNA(IF(AE25 &lt; (INDEX(SLATable[Maximum SLA],MATCH(G25,SLATable[Priority],0))),"YES","NO"),"")</f>
        <v>YES</v>
      </c>
      <c r="AK25" s="12"/>
    </row>
    <row r="26" spans="1:37" ht="15" customHeight="1">
      <c r="A26" s="12">
        <v>25</v>
      </c>
      <c r="B26" s="12" t="s">
        <v>26</v>
      </c>
      <c r="C26" s="12" t="s">
        <v>37</v>
      </c>
      <c r="D26" s="12" t="s">
        <v>207</v>
      </c>
      <c r="E26" s="12" t="s">
        <v>4985</v>
      </c>
      <c r="F26" s="85" t="s">
        <v>36</v>
      </c>
      <c r="G26" s="12">
        <v>3</v>
      </c>
      <c r="H26" s="12" t="s">
        <v>4986</v>
      </c>
      <c r="I26" s="182" t="s">
        <v>271</v>
      </c>
      <c r="J26" s="12"/>
      <c r="K26" s="361">
        <v>46143.839583333334</v>
      </c>
      <c r="L26" s="361">
        <v>46143.84375</v>
      </c>
      <c r="M26" s="361">
        <v>46146.34652777778</v>
      </c>
      <c r="N26" s="361">
        <v>46157.707638888889</v>
      </c>
      <c r="O26" s="361">
        <v>46157.499305555553</v>
      </c>
      <c r="P26" s="361">
        <v>46157.707638888889</v>
      </c>
      <c r="Q26" s="12" t="s">
        <v>4947</v>
      </c>
      <c r="R26" s="12"/>
      <c r="S26" s="12"/>
      <c r="T26" s="12"/>
      <c r="U26" s="12" t="s">
        <v>371</v>
      </c>
      <c r="V26" s="12"/>
      <c r="W26" s="12"/>
      <c r="X26" s="12"/>
      <c r="Y26" s="12"/>
      <c r="Z26" s="167">
        <f t="shared" ca="1" si="1"/>
        <v>3.1659722222199589</v>
      </c>
      <c r="AA26" s="168">
        <f t="shared" ca="1" si="2"/>
        <v>8.442592592586557</v>
      </c>
      <c r="AB26" s="167">
        <f t="shared" ca="1" si="3"/>
        <v>3.1659722222199589</v>
      </c>
      <c r="AC26" s="168">
        <f t="shared" ca="1" si="4"/>
        <v>8.442592592586557</v>
      </c>
      <c r="AD26" s="167">
        <f t="shared" ca="1" si="5"/>
        <v>0</v>
      </c>
      <c r="AE26" s="167">
        <f t="shared" ca="1" si="6"/>
        <v>3.1659722222199589</v>
      </c>
      <c r="AF26" s="168">
        <f t="shared" ca="1" si="7"/>
        <v>8.442592592586557</v>
      </c>
      <c r="AG26" s="168">
        <f t="shared" ca="1" si="8"/>
        <v>8.442592592586557</v>
      </c>
      <c r="AH26" s="81" t="str" cm="1">
        <f t="array" aca="1" ref="AH26" ca="1">IF((AD26) &lt; (INDEX(ResponseSLA[#All],(MATCH((G26),ResponseSLA[Priority],0))+1,3)),"YES","No")</f>
        <v>YES</v>
      </c>
      <c r="AI26" s="81" t="str">
        <f ca="1">_xlfn.IFNA(IF(AE26 &lt; (INDEX(SLATable[Minimum SLA],MATCH(G26,SLATable[Priority],0))),"YES","NO"),"")</f>
        <v>NO</v>
      </c>
      <c r="AJ26" s="19" t="str">
        <f ca="1">_xlfn.IFNA(IF(AE26 &lt; (INDEX(SLATable[Maximum SLA],MATCH(G26,SLATable[Priority],0))),"YES","NO"),"")</f>
        <v>NO</v>
      </c>
      <c r="AK26" s="12"/>
    </row>
    <row r="27" spans="1:37" ht="15" customHeight="1">
      <c r="A27" s="12">
        <v>26</v>
      </c>
      <c r="B27" s="12" t="s">
        <v>26</v>
      </c>
      <c r="C27" s="12" t="s">
        <v>37</v>
      </c>
      <c r="D27" s="12" t="s">
        <v>207</v>
      </c>
      <c r="E27" s="12" t="s">
        <v>4987</v>
      </c>
      <c r="F27" s="85" t="s">
        <v>36</v>
      </c>
      <c r="G27" s="12">
        <v>3</v>
      </c>
      <c r="H27" s="12" t="s">
        <v>4988</v>
      </c>
      <c r="I27" s="182" t="s">
        <v>271</v>
      </c>
      <c r="J27" s="12" t="s">
        <v>4928</v>
      </c>
      <c r="K27" s="361">
        <v>46143.874305555553</v>
      </c>
      <c r="L27" s="361">
        <v>46143.875</v>
      </c>
      <c r="M27" s="361">
        <v>46146.341666666667</v>
      </c>
      <c r="N27" s="361">
        <v>46150.509027777778</v>
      </c>
      <c r="O27" s="361">
        <v>46146.460416666669</v>
      </c>
      <c r="P27" s="361">
        <v>46150.509027777778</v>
      </c>
      <c r="Q27" s="12" t="s">
        <v>4989</v>
      </c>
      <c r="R27" s="12"/>
      <c r="S27" s="12"/>
      <c r="T27" s="12"/>
      <c r="U27" s="12" t="s">
        <v>371</v>
      </c>
      <c r="V27" s="12"/>
      <c r="W27" s="12"/>
      <c r="X27" s="12"/>
      <c r="Y27" s="12"/>
      <c r="Z27" s="167">
        <f t="shared" ca="1" si="1"/>
        <v>0</v>
      </c>
      <c r="AA27" s="168">
        <f t="shared" ca="1" si="2"/>
        <v>0</v>
      </c>
      <c r="AB27" s="167">
        <f t="shared" ca="1" si="3"/>
        <v>0</v>
      </c>
      <c r="AC27" s="168">
        <f t="shared" ca="1" si="4"/>
        <v>0</v>
      </c>
      <c r="AD27" s="167">
        <f t="shared" ca="1" si="5"/>
        <v>0</v>
      </c>
      <c r="AE27" s="167">
        <f t="shared" ca="1" si="6"/>
        <v>0</v>
      </c>
      <c r="AF27" s="168">
        <f t="shared" ca="1" si="7"/>
        <v>0</v>
      </c>
      <c r="AG27" s="168">
        <f t="shared" ca="1" si="8"/>
        <v>0</v>
      </c>
      <c r="AH27" s="81" t="str" cm="1">
        <f t="array" aca="1" ref="AH27" ca="1">IF((AD27) &lt; (INDEX(ResponseSLA[#All],(MATCH((G27),ResponseSLA[Priority],0))+1,3)),"YES","No")</f>
        <v>YES</v>
      </c>
      <c r="AI27" s="81" t="str">
        <f ca="1">_xlfn.IFNA(IF(AE27 &lt; (INDEX(SLATable[Minimum SLA],MATCH(G27,SLATable[Priority],0))),"YES","NO"),"")</f>
        <v>YES</v>
      </c>
      <c r="AJ27" s="19" t="str">
        <f ca="1">_xlfn.IFNA(IF(AE27 &lt; (INDEX(SLATable[Maximum SLA],MATCH(G27,SLATable[Priority],0))),"YES","NO"),"")</f>
        <v>YES</v>
      </c>
      <c r="AK27" s="12"/>
    </row>
    <row r="28" spans="1:37" ht="15" customHeight="1">
      <c r="A28" s="378">
        <v>27</v>
      </c>
      <c r="B28" s="12" t="s">
        <v>26</v>
      </c>
      <c r="C28" s="12" t="s">
        <v>37</v>
      </c>
      <c r="D28" s="12" t="s">
        <v>207</v>
      </c>
      <c r="E28" s="12" t="s">
        <v>4990</v>
      </c>
      <c r="F28" s="85" t="s">
        <v>36</v>
      </c>
      <c r="G28" s="12">
        <v>4</v>
      </c>
      <c r="H28" s="12" t="s">
        <v>4991</v>
      </c>
      <c r="I28" s="182" t="s">
        <v>271</v>
      </c>
      <c r="J28" s="12" t="s">
        <v>4992</v>
      </c>
      <c r="K28" s="361">
        <v>46143.902083333334</v>
      </c>
      <c r="L28" s="361">
        <v>46143.931944444441</v>
      </c>
      <c r="M28" s="361">
        <v>46146.338888888888</v>
      </c>
      <c r="N28" s="361">
        <v>46157.707638888889</v>
      </c>
      <c r="O28" s="361">
        <v>46149.707638888889</v>
      </c>
      <c r="P28" s="361">
        <v>46157.707638888889</v>
      </c>
      <c r="Q28" s="12" t="s">
        <v>4930</v>
      </c>
      <c r="R28" s="12"/>
      <c r="S28" s="12"/>
      <c r="T28" s="12"/>
      <c r="U28" s="12" t="s">
        <v>371</v>
      </c>
      <c r="V28" s="12"/>
      <c r="W28" s="12"/>
      <c r="X28" s="12"/>
      <c r="Y28" s="12"/>
      <c r="Z28" s="167">
        <f t="shared" ca="1" si="1"/>
        <v>1.1243055555557171</v>
      </c>
      <c r="AA28" s="168">
        <f t="shared" ca="1" si="2"/>
        <v>2.9981481481485788</v>
      </c>
      <c r="AB28" s="167">
        <f t="shared" ca="1" si="3"/>
        <v>1.1243055555557171</v>
      </c>
      <c r="AC28" s="168">
        <f t="shared" ca="1" si="4"/>
        <v>2.9981481481485788</v>
      </c>
      <c r="AD28" s="167">
        <f t="shared" ca="1" si="5"/>
        <v>0</v>
      </c>
      <c r="AE28" s="167">
        <f t="shared" ca="1" si="6"/>
        <v>1.1243055555557171</v>
      </c>
      <c r="AF28" s="168">
        <f t="shared" ca="1" si="7"/>
        <v>2.9981481481485788</v>
      </c>
      <c r="AG28" s="168">
        <f t="shared" ca="1" si="8"/>
        <v>2.9981481481485788</v>
      </c>
      <c r="AH28" s="81" t="str" cm="1">
        <f t="array" aca="1" ref="AH28" ca="1">IF((AD28) &lt; (INDEX(ResponseSLA[#All],(MATCH((G28),ResponseSLA[Priority],0))+1,3)),"YES","No")</f>
        <v>YES</v>
      </c>
      <c r="AI28" s="81" t="str">
        <f ca="1">_xlfn.IFNA(IF(AE28 &lt; (INDEX(SLATable[Minimum SLA],MATCH(G28,SLATable[Priority],0))),"YES","NO"),"")</f>
        <v>YES</v>
      </c>
      <c r="AJ28" s="19" t="str">
        <f ca="1">_xlfn.IFNA(IF(AE28 &lt; (INDEX(SLATable[Maximum SLA],MATCH(G28,SLATable[Priority],0))),"YES","NO"),"")</f>
        <v>YES</v>
      </c>
      <c r="AK28" s="12"/>
    </row>
    <row r="29" spans="1:37" ht="15" customHeight="1">
      <c r="A29" s="12">
        <v>28</v>
      </c>
      <c r="B29" s="12" t="s">
        <v>26</v>
      </c>
      <c r="C29" s="12" t="s">
        <v>37</v>
      </c>
      <c r="D29" s="12" t="s">
        <v>207</v>
      </c>
      <c r="E29" s="12" t="s">
        <v>4993</v>
      </c>
      <c r="F29" s="85" t="s">
        <v>36</v>
      </c>
      <c r="G29" s="12">
        <v>3</v>
      </c>
      <c r="H29" s="12" t="s">
        <v>4994</v>
      </c>
      <c r="I29" s="182" t="s">
        <v>271</v>
      </c>
      <c r="J29" s="12" t="s">
        <v>4943</v>
      </c>
      <c r="K29" s="361">
        <v>46144.604861111111</v>
      </c>
      <c r="L29" s="361">
        <v>46144.605555555558</v>
      </c>
      <c r="M29" s="361">
        <v>46146.347916666666</v>
      </c>
      <c r="N29" s="361">
        <v>46153.9375</v>
      </c>
      <c r="O29" s="361">
        <v>46146.453472222223</v>
      </c>
      <c r="P29" s="361">
        <v>46153.9375</v>
      </c>
      <c r="Q29" s="12" t="s">
        <v>4930</v>
      </c>
      <c r="R29" s="12"/>
      <c r="S29" s="12"/>
      <c r="T29" s="12"/>
      <c r="U29" s="12" t="s">
        <v>371</v>
      </c>
      <c r="V29" s="12"/>
      <c r="W29" s="12"/>
      <c r="X29" s="12"/>
      <c r="Y29" s="12"/>
      <c r="Z29" s="167">
        <f t="shared" ca="1" si="1"/>
        <v>0</v>
      </c>
      <c r="AA29" s="168">
        <f t="shared" ca="1" si="2"/>
        <v>0</v>
      </c>
      <c r="AB29" s="167">
        <f t="shared" ca="1" si="3"/>
        <v>0</v>
      </c>
      <c r="AC29" s="168">
        <f t="shared" ca="1" si="4"/>
        <v>0</v>
      </c>
      <c r="AD29" s="167">
        <f t="shared" ca="1" si="5"/>
        <v>0</v>
      </c>
      <c r="AE29" s="167">
        <f t="shared" ca="1" si="6"/>
        <v>0</v>
      </c>
      <c r="AF29" s="168">
        <f t="shared" ca="1" si="7"/>
        <v>0</v>
      </c>
      <c r="AG29" s="168">
        <f t="shared" ca="1" si="8"/>
        <v>0</v>
      </c>
      <c r="AH29" s="81" t="str" cm="1">
        <f t="array" aca="1" ref="AH29" ca="1">IF((AD29) &lt; (INDEX(ResponseSLA[#All],(MATCH((G29),ResponseSLA[Priority],0))+1,3)),"YES","No")</f>
        <v>YES</v>
      </c>
      <c r="AI29" s="81" t="str">
        <f ca="1">_xlfn.IFNA(IF(AE29 &lt; (INDEX(SLATable[Minimum SLA],MATCH(G29,SLATable[Priority],0))),"YES","NO"),"")</f>
        <v>YES</v>
      </c>
      <c r="AJ29" s="19" t="str">
        <f ca="1">_xlfn.IFNA(IF(AE29 &lt; (INDEX(SLATable[Maximum SLA],MATCH(G29,SLATable[Priority],0))),"YES","NO"),"")</f>
        <v>YES</v>
      </c>
      <c r="AK29" s="12"/>
    </row>
    <row r="30" spans="1:37" ht="15" customHeight="1">
      <c r="A30" s="12">
        <v>29</v>
      </c>
      <c r="B30" s="12" t="s">
        <v>26</v>
      </c>
      <c r="C30" s="12" t="s">
        <v>37</v>
      </c>
      <c r="D30" s="12" t="s">
        <v>207</v>
      </c>
      <c r="E30" s="12" t="s">
        <v>4995</v>
      </c>
      <c r="F30" s="85" t="s">
        <v>36</v>
      </c>
      <c r="G30" s="12">
        <v>4</v>
      </c>
      <c r="H30" s="12" t="s">
        <v>4996</v>
      </c>
      <c r="I30" s="182" t="s">
        <v>271</v>
      </c>
      <c r="J30" s="12" t="s">
        <v>4980</v>
      </c>
      <c r="K30" s="361">
        <v>46144.640972222223</v>
      </c>
      <c r="L30" s="361">
        <v>46144.64166666667</v>
      </c>
      <c r="M30" s="361">
        <v>46146.348611111112</v>
      </c>
      <c r="N30" s="361">
        <v>46153.9375</v>
      </c>
      <c r="O30" s="361">
        <v>46146.555555555555</v>
      </c>
      <c r="P30" s="361">
        <v>46153.9375</v>
      </c>
      <c r="Q30" s="12" t="s">
        <v>4925</v>
      </c>
      <c r="R30" s="12"/>
      <c r="S30" s="12"/>
      <c r="T30" s="12"/>
      <c r="U30" s="12" t="s">
        <v>371</v>
      </c>
      <c r="V30" s="12"/>
      <c r="W30" s="12"/>
      <c r="X30" s="12"/>
      <c r="Y30" s="12"/>
      <c r="Z30" s="167">
        <f t="shared" ca="1" si="1"/>
        <v>0</v>
      </c>
      <c r="AA30" s="168">
        <f t="shared" ca="1" si="2"/>
        <v>0</v>
      </c>
      <c r="AB30" s="167">
        <f t="shared" ca="1" si="3"/>
        <v>0</v>
      </c>
      <c r="AC30" s="168">
        <f t="shared" ca="1" si="4"/>
        <v>0</v>
      </c>
      <c r="AD30" s="167">
        <f t="shared" ca="1" si="5"/>
        <v>0</v>
      </c>
      <c r="AE30" s="167">
        <f t="shared" ca="1" si="6"/>
        <v>0</v>
      </c>
      <c r="AF30" s="168">
        <f t="shared" ca="1" si="7"/>
        <v>0</v>
      </c>
      <c r="AG30" s="168">
        <f t="shared" ca="1" si="8"/>
        <v>0</v>
      </c>
      <c r="AH30" s="81" t="str" cm="1">
        <f t="array" aca="1" ref="AH30" ca="1">IF((AD30) &lt; (INDEX(ResponseSLA[#All],(MATCH((G30),ResponseSLA[Priority],0))+1,3)),"YES","No")</f>
        <v>YES</v>
      </c>
      <c r="AI30" s="81" t="str">
        <f ca="1">_xlfn.IFNA(IF(AE30 &lt; (INDEX(SLATable[Minimum SLA],MATCH(G30,SLATable[Priority],0))),"YES","NO"),"")</f>
        <v>YES</v>
      </c>
      <c r="AJ30" s="19" t="str">
        <f ca="1">_xlfn.IFNA(IF(AE30 &lt; (INDEX(SLATable[Maximum SLA],MATCH(G30,SLATable[Priority],0))),"YES","NO"),"")</f>
        <v>YES</v>
      </c>
      <c r="AK30" s="12"/>
    </row>
    <row r="31" spans="1:37" ht="15" customHeight="1">
      <c r="A31" s="12">
        <v>30</v>
      </c>
      <c r="B31" s="12" t="s">
        <v>26</v>
      </c>
      <c r="C31" s="12" t="s">
        <v>37</v>
      </c>
      <c r="D31" s="12" t="s">
        <v>207</v>
      </c>
      <c r="E31" s="12" t="s">
        <v>4997</v>
      </c>
      <c r="F31" s="85" t="s">
        <v>36</v>
      </c>
      <c r="G31" s="12">
        <v>4</v>
      </c>
      <c r="H31" s="12" t="s">
        <v>4998</v>
      </c>
      <c r="I31" s="182" t="s">
        <v>271</v>
      </c>
      <c r="J31" s="12" t="s">
        <v>4935</v>
      </c>
      <c r="K31" s="361">
        <v>46144.713888888888</v>
      </c>
      <c r="L31" s="361">
        <v>46144.714583333334</v>
      </c>
      <c r="M31" s="361">
        <v>46146.343055555553</v>
      </c>
      <c r="N31" s="361">
        <v>46160.638194444444</v>
      </c>
      <c r="O31" s="361">
        <v>46150.637499999997</v>
      </c>
      <c r="P31" s="361">
        <v>46160.638194444444</v>
      </c>
      <c r="Q31" s="12" t="s">
        <v>4999</v>
      </c>
      <c r="R31" s="12"/>
      <c r="S31" s="12"/>
      <c r="T31" s="12"/>
      <c r="U31" s="12" t="s">
        <v>371</v>
      </c>
      <c r="V31" s="12"/>
      <c r="W31" s="12"/>
      <c r="X31" s="12"/>
      <c r="Y31" s="12"/>
      <c r="Z31" s="167">
        <f t="shared" ca="1" si="1"/>
        <v>1.4291666666637557</v>
      </c>
      <c r="AA31" s="168">
        <f t="shared" ca="1" si="2"/>
        <v>3.8111111111033487</v>
      </c>
      <c r="AB31" s="167">
        <f t="shared" ca="1" si="3"/>
        <v>1.4291666666637557</v>
      </c>
      <c r="AC31" s="168">
        <f t="shared" ca="1" si="4"/>
        <v>3.8111111111033487</v>
      </c>
      <c r="AD31" s="167">
        <f t="shared" ca="1" si="5"/>
        <v>0</v>
      </c>
      <c r="AE31" s="167">
        <f t="shared" ca="1" si="6"/>
        <v>1.4291666666637557</v>
      </c>
      <c r="AF31" s="168">
        <f t="shared" ca="1" si="7"/>
        <v>3.8111111111033487</v>
      </c>
      <c r="AG31" s="168">
        <f t="shared" ca="1" si="8"/>
        <v>3.8111111111033487</v>
      </c>
      <c r="AH31" s="81" t="str" cm="1">
        <f t="array" aca="1" ref="AH31" ca="1">IF((AD31) &lt; (INDEX(ResponseSLA[#All],(MATCH((G31),ResponseSLA[Priority],0))+1,3)),"YES","No")</f>
        <v>YES</v>
      </c>
      <c r="AI31" s="81" t="str">
        <f ca="1">_xlfn.IFNA(IF(AE31 &lt; (INDEX(SLATable[Minimum SLA],MATCH(G31,SLATable[Priority],0))),"YES","NO"),"")</f>
        <v>YES</v>
      </c>
      <c r="AJ31" s="19" t="str">
        <f ca="1">_xlfn.IFNA(IF(AE31 &lt; (INDEX(SLATable[Maximum SLA],MATCH(G31,SLATable[Priority],0))),"YES","NO"),"")</f>
        <v>YES</v>
      </c>
      <c r="AK31" s="12"/>
    </row>
    <row r="32" spans="1:37" ht="15" customHeight="1">
      <c r="A32" s="12">
        <v>31</v>
      </c>
      <c r="B32" s="12" t="s">
        <v>26</v>
      </c>
      <c r="C32" s="12" t="s">
        <v>37</v>
      </c>
      <c r="D32" s="12" t="s">
        <v>207</v>
      </c>
      <c r="E32" s="12" t="s">
        <v>5000</v>
      </c>
      <c r="F32" s="85" t="s">
        <v>36</v>
      </c>
      <c r="G32" s="12">
        <v>4</v>
      </c>
      <c r="H32" s="12" t="s">
        <v>5001</v>
      </c>
      <c r="I32" s="182" t="s">
        <v>271</v>
      </c>
      <c r="J32" s="12" t="s">
        <v>4980</v>
      </c>
      <c r="K32" s="361">
        <v>46144.795138888891</v>
      </c>
      <c r="L32" s="361">
        <v>46145.729861111111</v>
      </c>
      <c r="M32" s="361">
        <v>46146.351388888892</v>
      </c>
      <c r="N32" s="361">
        <v>46153.9375</v>
      </c>
      <c r="O32" s="361">
        <v>46146.554861111108</v>
      </c>
      <c r="P32" s="361">
        <v>46153.9375</v>
      </c>
      <c r="Q32" s="12" t="s">
        <v>4925</v>
      </c>
      <c r="R32" s="12"/>
      <c r="S32" s="12"/>
      <c r="T32" s="12"/>
      <c r="U32" s="12" t="s">
        <v>371</v>
      </c>
      <c r="V32" s="12"/>
      <c r="W32" s="12"/>
      <c r="X32" s="12"/>
      <c r="Y32" s="12"/>
      <c r="Z32" s="167">
        <f t="shared" ca="1" si="1"/>
        <v>0</v>
      </c>
      <c r="AA32" s="168">
        <f t="shared" ca="1" si="2"/>
        <v>0</v>
      </c>
      <c r="AB32" s="167">
        <f t="shared" ca="1" si="3"/>
        <v>0</v>
      </c>
      <c r="AC32" s="168">
        <f t="shared" ca="1" si="4"/>
        <v>0</v>
      </c>
      <c r="AD32" s="167">
        <f t="shared" ca="1" si="5"/>
        <v>0</v>
      </c>
      <c r="AE32" s="167">
        <f t="shared" ca="1" si="6"/>
        <v>0</v>
      </c>
      <c r="AF32" s="168">
        <f t="shared" ca="1" si="7"/>
        <v>0</v>
      </c>
      <c r="AG32" s="168">
        <f t="shared" ca="1" si="8"/>
        <v>0</v>
      </c>
      <c r="AH32" s="81" t="str" cm="1">
        <f t="array" aca="1" ref="AH32" ca="1">IF((AD32) &lt; (INDEX(ResponseSLA[#All],(MATCH((G32),ResponseSLA[Priority],0))+1,3)),"YES","No")</f>
        <v>YES</v>
      </c>
      <c r="AI32" s="81" t="str">
        <f ca="1">_xlfn.IFNA(IF(AE32 &lt; (INDEX(SLATable[Minimum SLA],MATCH(G32,SLATable[Priority],0))),"YES","NO"),"")</f>
        <v>YES</v>
      </c>
      <c r="AJ32" s="19" t="str">
        <f ca="1">_xlfn.IFNA(IF(AE32 &lt; (INDEX(SLATable[Maximum SLA],MATCH(G32,SLATable[Priority],0))),"YES","NO"),"")</f>
        <v>YES</v>
      </c>
      <c r="AK32" s="12"/>
    </row>
    <row r="33" spans="1:37" ht="15" customHeight="1">
      <c r="A33" s="378">
        <v>32</v>
      </c>
      <c r="B33" s="12" t="s">
        <v>26</v>
      </c>
      <c r="C33" s="12" t="s">
        <v>37</v>
      </c>
      <c r="D33" s="12" t="s">
        <v>207</v>
      </c>
      <c r="E33" s="12" t="s">
        <v>5002</v>
      </c>
      <c r="F33" s="85" t="s">
        <v>36</v>
      </c>
      <c r="G33" s="12">
        <v>4</v>
      </c>
      <c r="H33" s="12" t="s">
        <v>5003</v>
      </c>
      <c r="I33" s="182" t="s">
        <v>271</v>
      </c>
      <c r="J33" s="12" t="s">
        <v>4928</v>
      </c>
      <c r="K33" s="361">
        <v>46145.388194444444</v>
      </c>
      <c r="L33" s="361">
        <v>46145.388194444444</v>
      </c>
      <c r="M33" s="361">
        <v>46146.352083333331</v>
      </c>
      <c r="N33" s="361">
        <v>46154.9375</v>
      </c>
      <c r="O33" s="361">
        <v>46147.509027777778</v>
      </c>
      <c r="P33" s="361">
        <v>46154.9375</v>
      </c>
      <c r="Q33" s="12" t="s">
        <v>4947</v>
      </c>
      <c r="R33" s="12"/>
      <c r="S33" s="12"/>
      <c r="T33" s="12"/>
      <c r="U33" s="12" t="s">
        <v>371</v>
      </c>
      <c r="V33" s="12"/>
      <c r="W33" s="12"/>
      <c r="X33" s="12"/>
      <c r="Y33" s="12"/>
      <c r="Z33" s="167">
        <f t="shared" ca="1" si="1"/>
        <v>0.17569444444476767</v>
      </c>
      <c r="AA33" s="168">
        <f t="shared" ca="1" si="2"/>
        <v>0.46851851851938048</v>
      </c>
      <c r="AB33" s="167">
        <f t="shared" ca="1" si="3"/>
        <v>0.17569444444476767</v>
      </c>
      <c r="AC33" s="168">
        <f t="shared" ca="1" si="4"/>
        <v>0.46851851851938048</v>
      </c>
      <c r="AD33" s="167">
        <f t="shared" ca="1" si="5"/>
        <v>0</v>
      </c>
      <c r="AE33" s="167">
        <f t="shared" ca="1" si="6"/>
        <v>0.17569444444476767</v>
      </c>
      <c r="AF33" s="168">
        <f t="shared" ca="1" si="7"/>
        <v>0.46851851851938048</v>
      </c>
      <c r="AG33" s="168">
        <f t="shared" ca="1" si="8"/>
        <v>0.46851851851938048</v>
      </c>
      <c r="AH33" s="81" t="str" cm="1">
        <f t="array" aca="1" ref="AH33" ca="1">IF((AD33) &lt; (INDEX(ResponseSLA[#All],(MATCH((G33),ResponseSLA[Priority],0))+1,3)),"YES","No")</f>
        <v>YES</v>
      </c>
      <c r="AI33" s="81" t="str">
        <f ca="1">_xlfn.IFNA(IF(AE33 &lt; (INDEX(SLATable[Minimum SLA],MATCH(G33,SLATable[Priority],0))),"YES","NO"),"")</f>
        <v>YES</v>
      </c>
      <c r="AJ33" s="19" t="str">
        <f ca="1">_xlfn.IFNA(IF(AE33 &lt; (INDEX(SLATable[Maximum SLA],MATCH(G33,SLATable[Priority],0))),"YES","NO"),"")</f>
        <v>YES</v>
      </c>
      <c r="AK33" s="12"/>
    </row>
    <row r="34" spans="1:37" ht="15" customHeight="1">
      <c r="A34" s="12">
        <v>33</v>
      </c>
      <c r="B34" s="12" t="s">
        <v>26</v>
      </c>
      <c r="C34" s="12" t="s">
        <v>37</v>
      </c>
      <c r="D34" s="12" t="s">
        <v>207</v>
      </c>
      <c r="E34" s="12" t="s">
        <v>5004</v>
      </c>
      <c r="F34" s="85" t="s">
        <v>36</v>
      </c>
      <c r="G34" s="12">
        <v>4</v>
      </c>
      <c r="H34" s="12" t="s">
        <v>5005</v>
      </c>
      <c r="I34" s="182" t="s">
        <v>271</v>
      </c>
      <c r="J34" s="12" t="s">
        <v>4940</v>
      </c>
      <c r="K34" s="361">
        <v>46145.874305555553</v>
      </c>
      <c r="L34" s="361">
        <v>46145.875</v>
      </c>
      <c r="M34" s="361">
        <v>46146.334722222222</v>
      </c>
      <c r="N34" s="361">
        <v>46150.461805555555</v>
      </c>
      <c r="O34" s="361">
        <v>46146.443749999999</v>
      </c>
      <c r="P34" s="361">
        <v>46150.461805555555</v>
      </c>
      <c r="Q34" s="12" t="s">
        <v>5006</v>
      </c>
      <c r="R34" s="12"/>
      <c r="S34" s="12"/>
      <c r="T34" s="12"/>
      <c r="U34" s="12" t="s">
        <v>371</v>
      </c>
      <c r="V34" s="12"/>
      <c r="W34" s="12"/>
      <c r="X34" s="12"/>
      <c r="Y34" s="12"/>
      <c r="Z34" s="167">
        <f t="shared" ca="1" si="1"/>
        <v>0</v>
      </c>
      <c r="AA34" s="168">
        <f t="shared" ca="1" si="2"/>
        <v>0</v>
      </c>
      <c r="AB34" s="167">
        <f t="shared" ca="1" si="3"/>
        <v>0</v>
      </c>
      <c r="AC34" s="168">
        <f t="shared" ca="1" si="4"/>
        <v>0</v>
      </c>
      <c r="AD34" s="167">
        <f t="shared" ca="1" si="5"/>
        <v>0</v>
      </c>
      <c r="AE34" s="167">
        <f t="shared" ca="1" si="6"/>
        <v>0</v>
      </c>
      <c r="AF34" s="168">
        <f t="shared" ca="1" si="7"/>
        <v>0</v>
      </c>
      <c r="AG34" s="168">
        <f t="shared" ca="1" si="8"/>
        <v>0</v>
      </c>
      <c r="AH34" s="81" t="str" cm="1">
        <f t="array" aca="1" ref="AH34" ca="1">IF((AD34) &lt; (INDEX(ResponseSLA[#All],(MATCH((G34),ResponseSLA[Priority],0))+1,3)),"YES","No")</f>
        <v>YES</v>
      </c>
      <c r="AI34" s="81" t="str">
        <f ca="1">_xlfn.IFNA(IF(AE34 &lt; (INDEX(SLATable[Minimum SLA],MATCH(G34,SLATable[Priority],0))),"YES","NO"),"")</f>
        <v>YES</v>
      </c>
      <c r="AJ34" s="19" t="str">
        <f ca="1">_xlfn.IFNA(IF(AE34 &lt; (INDEX(SLATable[Maximum SLA],MATCH(G34,SLATable[Priority],0))),"YES","NO"),"")</f>
        <v>YES</v>
      </c>
      <c r="AK34" s="12"/>
    </row>
    <row r="35" spans="1:37" ht="15" customHeight="1">
      <c r="A35" s="12">
        <v>34</v>
      </c>
      <c r="B35" s="12" t="s">
        <v>26</v>
      </c>
      <c r="C35" s="12" t="s">
        <v>37</v>
      </c>
      <c r="D35" s="12" t="s">
        <v>207</v>
      </c>
      <c r="E35" s="12" t="s">
        <v>5007</v>
      </c>
      <c r="F35" s="85" t="s">
        <v>36</v>
      </c>
      <c r="G35" s="12">
        <v>4</v>
      </c>
      <c r="H35" s="12" t="s">
        <v>5008</v>
      </c>
      <c r="I35" s="182" t="s">
        <v>271</v>
      </c>
      <c r="J35" s="12" t="s">
        <v>4980</v>
      </c>
      <c r="K35" s="361">
        <v>46146.10833333333</v>
      </c>
      <c r="L35" s="361">
        <v>46146.10833333333</v>
      </c>
      <c r="M35" s="361">
        <v>46146.354861111111</v>
      </c>
      <c r="N35" s="361">
        <v>46154.9375</v>
      </c>
      <c r="O35" s="361">
        <v>46147.463194444441</v>
      </c>
      <c r="P35" s="361">
        <v>46154.9375</v>
      </c>
      <c r="Q35" s="12" t="s">
        <v>4925</v>
      </c>
      <c r="R35" s="12"/>
      <c r="S35" s="12"/>
      <c r="T35" s="12"/>
      <c r="U35" s="12" t="s">
        <v>371</v>
      </c>
      <c r="V35" s="12"/>
      <c r="W35" s="12"/>
      <c r="X35" s="12"/>
      <c r="Y35" s="12"/>
      <c r="Z35" s="167">
        <f t="shared" ca="1" si="1"/>
        <v>0.12986111110755383</v>
      </c>
      <c r="AA35" s="168">
        <f t="shared" ca="1" si="2"/>
        <v>0.34629629628681019</v>
      </c>
      <c r="AB35" s="167">
        <f t="shared" ca="1" si="3"/>
        <v>0.12986111110755383</v>
      </c>
      <c r="AC35" s="168">
        <f t="shared" ca="1" si="4"/>
        <v>0.34629629628681019</v>
      </c>
      <c r="AD35" s="167">
        <f t="shared" ca="1" si="5"/>
        <v>0</v>
      </c>
      <c r="AE35" s="167">
        <f t="shared" ca="1" si="6"/>
        <v>0.12986111110755383</v>
      </c>
      <c r="AF35" s="168">
        <f t="shared" ca="1" si="7"/>
        <v>0.34629629628681019</v>
      </c>
      <c r="AG35" s="168">
        <f t="shared" ca="1" si="8"/>
        <v>0.34629629628681019</v>
      </c>
      <c r="AH35" s="81" t="str" cm="1">
        <f t="array" aca="1" ref="AH35" ca="1">IF((AD35) &lt; (INDEX(ResponseSLA[#All],(MATCH((G35),ResponseSLA[Priority],0))+1,3)),"YES","No")</f>
        <v>YES</v>
      </c>
      <c r="AI35" s="81" t="str">
        <f ca="1">_xlfn.IFNA(IF(AE35 &lt; (INDEX(SLATable[Minimum SLA],MATCH(G35,SLATable[Priority],0))),"YES","NO"),"")</f>
        <v>YES</v>
      </c>
      <c r="AJ35" s="19" t="str">
        <f ca="1">_xlfn.IFNA(IF(AE35 &lt; (INDEX(SLATable[Maximum SLA],MATCH(G35,SLATable[Priority],0))),"YES","NO"),"")</f>
        <v>YES</v>
      </c>
      <c r="AK35" s="12"/>
    </row>
    <row r="36" spans="1:37" ht="15" customHeight="1">
      <c r="A36" s="12">
        <v>35</v>
      </c>
      <c r="B36" s="12" t="s">
        <v>26</v>
      </c>
      <c r="C36" s="12" t="s">
        <v>37</v>
      </c>
      <c r="D36" s="12" t="s">
        <v>207</v>
      </c>
      <c r="E36" s="12" t="s">
        <v>5009</v>
      </c>
      <c r="F36" s="85" t="s">
        <v>36</v>
      </c>
      <c r="G36" s="12">
        <v>4</v>
      </c>
      <c r="H36" s="12" t="s">
        <v>5010</v>
      </c>
      <c r="I36" s="182" t="s">
        <v>271</v>
      </c>
      <c r="J36" s="12" t="s">
        <v>4980</v>
      </c>
      <c r="K36" s="361">
        <v>46146.590277777781</v>
      </c>
      <c r="L36" s="361">
        <v>46146.59097222222</v>
      </c>
      <c r="M36" s="361">
        <v>46146.675694444442</v>
      </c>
      <c r="N36" s="361">
        <v>46151.569444444445</v>
      </c>
      <c r="O36" s="361">
        <v>46147.453472222223</v>
      </c>
      <c r="P36" s="361">
        <v>46151.569444444445</v>
      </c>
      <c r="Q36" s="12" t="s">
        <v>4930</v>
      </c>
      <c r="R36" s="12"/>
      <c r="S36" s="12"/>
      <c r="T36" s="12"/>
      <c r="U36" s="12" t="s">
        <v>371</v>
      </c>
      <c r="V36" s="12"/>
      <c r="W36" s="12"/>
      <c r="X36" s="12"/>
      <c r="Y36" s="12"/>
      <c r="Z36" s="167">
        <f t="shared" ca="1" si="1"/>
        <v>0.12013888889002078</v>
      </c>
      <c r="AA36" s="168">
        <f t="shared" ca="1" si="2"/>
        <v>0.32037037037338872</v>
      </c>
      <c r="AB36" s="167">
        <f t="shared" ca="1" si="3"/>
        <v>0.12013888889002078</v>
      </c>
      <c r="AC36" s="168">
        <f t="shared" ca="1" si="4"/>
        <v>0.32037037037338872</v>
      </c>
      <c r="AD36" s="167">
        <f t="shared" ca="1" si="5"/>
        <v>0</v>
      </c>
      <c r="AE36" s="167">
        <f t="shared" ca="1" si="6"/>
        <v>0.12013888889002078</v>
      </c>
      <c r="AF36" s="168">
        <f t="shared" ca="1" si="7"/>
        <v>0.32037037037338872</v>
      </c>
      <c r="AG36" s="168">
        <f t="shared" ca="1" si="8"/>
        <v>0.32037037037338872</v>
      </c>
      <c r="AH36" s="81" t="str" cm="1">
        <f t="array" aca="1" ref="AH36" ca="1">IF((AD36) &lt; (INDEX(ResponseSLA[#All],(MATCH((G36),ResponseSLA[Priority],0))+1,3)),"YES","No")</f>
        <v>YES</v>
      </c>
      <c r="AI36" s="81" t="str">
        <f ca="1">_xlfn.IFNA(IF(AE36 &lt; (INDEX(SLATable[Minimum SLA],MATCH(G36,SLATable[Priority],0))),"YES","NO"),"")</f>
        <v>YES</v>
      </c>
      <c r="AJ36" s="19" t="str">
        <f ca="1">_xlfn.IFNA(IF(AE36 &lt; (INDEX(SLATable[Maximum SLA],MATCH(G36,SLATable[Priority],0))),"YES","NO"),"")</f>
        <v>YES</v>
      </c>
      <c r="AK36" s="12"/>
    </row>
    <row r="37" spans="1:37" ht="15" customHeight="1">
      <c r="A37" s="12">
        <v>36</v>
      </c>
      <c r="B37" s="12" t="s">
        <v>26</v>
      </c>
      <c r="C37" s="12" t="s">
        <v>37</v>
      </c>
      <c r="D37" s="12" t="s">
        <v>207</v>
      </c>
      <c r="E37" s="12" t="s">
        <v>5011</v>
      </c>
      <c r="F37" s="85" t="s">
        <v>36</v>
      </c>
      <c r="G37" s="12">
        <v>3</v>
      </c>
      <c r="H37" s="12" t="s">
        <v>5012</v>
      </c>
      <c r="I37" s="182" t="s">
        <v>271</v>
      </c>
      <c r="J37" s="12" t="s">
        <v>4935</v>
      </c>
      <c r="K37" s="361">
        <v>46147.479166666664</v>
      </c>
      <c r="L37" s="361">
        <v>46147.481249999997</v>
      </c>
      <c r="M37" s="361">
        <v>46147.487500000003</v>
      </c>
      <c r="N37" s="361">
        <v>46149.716666666667</v>
      </c>
      <c r="O37" s="361">
        <v>46147.561111111114</v>
      </c>
      <c r="P37" s="361">
        <v>46149.716666666667</v>
      </c>
      <c r="Q37" s="12" t="s">
        <v>5013</v>
      </c>
      <c r="R37" s="12"/>
      <c r="S37" s="12"/>
      <c r="T37" s="12"/>
      <c r="U37" s="12" t="s">
        <v>371</v>
      </c>
      <c r="V37" s="12"/>
      <c r="W37" s="12"/>
      <c r="X37" s="12"/>
      <c r="Y37" s="12"/>
      <c r="Z37" s="167">
        <f t="shared" ca="1" si="1"/>
        <v>8.1944444449618459E-2</v>
      </c>
      <c r="AA37" s="168">
        <f t="shared" ca="1" si="2"/>
        <v>0.21851851853231588</v>
      </c>
      <c r="AB37" s="167">
        <f t="shared" ca="1" si="3"/>
        <v>7.9861111116770189E-2</v>
      </c>
      <c r="AC37" s="168">
        <f t="shared" ca="1" si="4"/>
        <v>0.21296296297805384</v>
      </c>
      <c r="AD37" s="167">
        <f t="shared" ca="1" si="5"/>
        <v>6.2500000058207661E-3</v>
      </c>
      <c r="AE37" s="167">
        <f t="shared" ca="1" si="6"/>
        <v>7.9861111116770189E-2</v>
      </c>
      <c r="AF37" s="168">
        <f t="shared" ca="1" si="7"/>
        <v>0.21296296297805384</v>
      </c>
      <c r="AG37" s="168">
        <f t="shared" ca="1" si="8"/>
        <v>0.21296296297805384</v>
      </c>
      <c r="AH37" s="81" t="str" cm="1">
        <f t="array" aca="1" ref="AH37" ca="1">IF((AD37) &lt; (INDEX(ResponseSLA[#All],(MATCH((G37),ResponseSLA[Priority],0))+1,3)),"YES","No")</f>
        <v>YES</v>
      </c>
      <c r="AI37" s="81" t="str">
        <f ca="1">_xlfn.IFNA(IF(AE37 &lt; (INDEX(SLATable[Minimum SLA],MATCH(G37,SLATable[Priority],0))),"YES","NO"),"")</f>
        <v>YES</v>
      </c>
      <c r="AJ37" s="19" t="str">
        <f ca="1">_xlfn.IFNA(IF(AE37 &lt; (INDEX(SLATable[Maximum SLA],MATCH(G37,SLATable[Priority],0))),"YES","NO"),"")</f>
        <v>YES</v>
      </c>
      <c r="AK37" s="12"/>
    </row>
    <row r="38" spans="1:37" ht="15" customHeight="1">
      <c r="A38" s="378">
        <v>37</v>
      </c>
      <c r="B38" s="12" t="s">
        <v>26</v>
      </c>
      <c r="C38" s="12" t="s">
        <v>37</v>
      </c>
      <c r="D38" s="12" t="s">
        <v>207</v>
      </c>
      <c r="E38" s="12" t="s">
        <v>5014</v>
      </c>
      <c r="F38" s="85" t="s">
        <v>36</v>
      </c>
      <c r="G38" s="12">
        <v>4</v>
      </c>
      <c r="H38" s="12" t="s">
        <v>5015</v>
      </c>
      <c r="I38" s="182" t="s">
        <v>271</v>
      </c>
      <c r="J38" s="12" t="s">
        <v>4943</v>
      </c>
      <c r="K38" s="361">
        <v>46147.760416666664</v>
      </c>
      <c r="L38" s="361">
        <v>46147.761805555558</v>
      </c>
      <c r="M38" s="361">
        <v>46148.306944444441</v>
      </c>
      <c r="N38" s="361">
        <v>46149.700694444444</v>
      </c>
      <c r="O38" s="361">
        <v>46148.643750000003</v>
      </c>
      <c r="P38" s="361">
        <v>46149.700694444444</v>
      </c>
      <c r="Q38" s="12" t="s">
        <v>37</v>
      </c>
      <c r="R38" s="12"/>
      <c r="S38" s="12"/>
      <c r="T38" s="12"/>
      <c r="U38" s="12" t="s">
        <v>371</v>
      </c>
      <c r="V38" s="12"/>
      <c r="W38" s="12"/>
      <c r="X38" s="12"/>
      <c r="Y38" s="12"/>
      <c r="Z38" s="167">
        <f t="shared" ca="1" si="1"/>
        <v>0.31041666666957701</v>
      </c>
      <c r="AA38" s="168">
        <f t="shared" ca="1" si="2"/>
        <v>0.82777777778553874</v>
      </c>
      <c r="AB38" s="167">
        <f t="shared" ca="1" si="3"/>
        <v>0.31041666666957701</v>
      </c>
      <c r="AC38" s="168">
        <f t="shared" ca="1" si="4"/>
        <v>0.82777777778553874</v>
      </c>
      <c r="AD38" s="167">
        <f t="shared" ca="1" si="5"/>
        <v>0</v>
      </c>
      <c r="AE38" s="167">
        <f t="shared" ca="1" si="6"/>
        <v>0.31041666666957701</v>
      </c>
      <c r="AF38" s="168">
        <f t="shared" ca="1" si="7"/>
        <v>0.82777777778553874</v>
      </c>
      <c r="AG38" s="168">
        <f t="shared" ca="1" si="8"/>
        <v>0.82777777778553874</v>
      </c>
      <c r="AH38" s="81" t="str" cm="1">
        <f t="array" aca="1" ref="AH38" ca="1">IF((AD38) &lt; (INDEX(ResponseSLA[#All],(MATCH((G38),ResponseSLA[Priority],0))+1,3)),"YES","No")</f>
        <v>YES</v>
      </c>
      <c r="AI38" s="81" t="str">
        <f ca="1">_xlfn.IFNA(IF(AE38 &lt; (INDEX(SLATable[Minimum SLA],MATCH(G38,SLATable[Priority],0))),"YES","NO"),"")</f>
        <v>YES</v>
      </c>
      <c r="AJ38" s="19" t="str">
        <f ca="1">_xlfn.IFNA(IF(AE38 &lt; (INDEX(SLATable[Maximum SLA],MATCH(G38,SLATable[Priority],0))),"YES","NO"),"")</f>
        <v>YES</v>
      </c>
      <c r="AK38" s="12"/>
    </row>
    <row r="39" spans="1:37" ht="15" customHeight="1">
      <c r="A39" s="12">
        <v>38</v>
      </c>
      <c r="B39" s="12" t="s">
        <v>26</v>
      </c>
      <c r="C39" s="12" t="s">
        <v>37</v>
      </c>
      <c r="D39" s="12" t="s">
        <v>207</v>
      </c>
      <c r="E39" s="12" t="s">
        <v>5016</v>
      </c>
      <c r="F39" s="85" t="s">
        <v>36</v>
      </c>
      <c r="G39" s="12">
        <v>4</v>
      </c>
      <c r="H39" s="12" t="s">
        <v>5017</v>
      </c>
      <c r="I39" s="182" t="s">
        <v>271</v>
      </c>
      <c r="J39" s="12" t="s">
        <v>4980</v>
      </c>
      <c r="K39" s="361">
        <v>46148.275000000001</v>
      </c>
      <c r="L39" s="361">
        <v>46148.275000000001</v>
      </c>
      <c r="M39" s="361">
        <v>46148.305555555555</v>
      </c>
      <c r="N39" s="361">
        <v>46155.504166666666</v>
      </c>
      <c r="O39" s="361">
        <v>46148.720138888886</v>
      </c>
      <c r="P39" s="361">
        <v>46155.504166666666</v>
      </c>
      <c r="Q39" s="12" t="s">
        <v>4930</v>
      </c>
      <c r="R39" s="12"/>
      <c r="S39" s="12"/>
      <c r="T39" s="12"/>
      <c r="U39" s="12" t="s">
        <v>371</v>
      </c>
      <c r="V39" s="12"/>
      <c r="W39" s="12"/>
      <c r="X39" s="12"/>
      <c r="Y39" s="12"/>
      <c r="Z39" s="167">
        <f t="shared" ca="1" si="1"/>
        <v>0.375</v>
      </c>
      <c r="AA39" s="168">
        <f t="shared" ca="1" si="2"/>
        <v>1</v>
      </c>
      <c r="AB39" s="167">
        <f t="shared" ca="1" si="3"/>
        <v>0.375</v>
      </c>
      <c r="AC39" s="168">
        <f t="shared" ca="1" si="4"/>
        <v>1</v>
      </c>
      <c r="AD39" s="167">
        <f t="shared" ca="1" si="5"/>
        <v>0</v>
      </c>
      <c r="AE39" s="167">
        <f t="shared" ca="1" si="6"/>
        <v>0.375</v>
      </c>
      <c r="AF39" s="168">
        <f t="shared" ca="1" si="7"/>
        <v>1</v>
      </c>
      <c r="AG39" s="168">
        <f t="shared" ca="1" si="8"/>
        <v>1</v>
      </c>
      <c r="AH39" s="81" t="str" cm="1">
        <f t="array" aca="1" ref="AH39" ca="1">IF((AD39) &lt; (INDEX(ResponseSLA[#All],(MATCH((G39),ResponseSLA[Priority],0))+1,3)),"YES","No")</f>
        <v>YES</v>
      </c>
      <c r="AI39" s="81" t="str">
        <f ca="1">_xlfn.IFNA(IF(AE39 &lt; (INDEX(SLATable[Minimum SLA],MATCH(G39,SLATable[Priority],0))),"YES","NO"),"")</f>
        <v>YES</v>
      </c>
      <c r="AJ39" s="19" t="str">
        <f ca="1">_xlfn.IFNA(IF(AE39 &lt; (INDEX(SLATable[Maximum SLA],MATCH(G39,SLATable[Priority],0))),"YES","NO"),"")</f>
        <v>YES</v>
      </c>
      <c r="AK39" s="12"/>
    </row>
    <row r="40" spans="1:37" s="45" customFormat="1" ht="15" customHeight="1">
      <c r="A40" s="12">
        <v>39</v>
      </c>
      <c r="B40" s="378" t="s">
        <v>26</v>
      </c>
      <c r="C40" s="378" t="s">
        <v>37</v>
      </c>
      <c r="D40" s="378" t="s">
        <v>207</v>
      </c>
      <c r="E40" s="380" t="s">
        <v>5018</v>
      </c>
      <c r="F40" s="378" t="s">
        <v>36</v>
      </c>
      <c r="G40" s="378">
        <v>4</v>
      </c>
      <c r="H40" s="376" t="s">
        <v>5019</v>
      </c>
      <c r="I40" s="380" t="s">
        <v>266</v>
      </c>
      <c r="J40" s="376" t="s">
        <v>4928</v>
      </c>
      <c r="K40" s="381">
        <v>46148.51767361111</v>
      </c>
      <c r="L40" s="381">
        <v>46148.517708333333</v>
      </c>
      <c r="M40" s="381">
        <v>46148.522499999999</v>
      </c>
      <c r="N40" s="381"/>
      <c r="O40" s="381" t="s">
        <v>5020</v>
      </c>
      <c r="P40" s="381"/>
      <c r="Q40" s="380" t="s">
        <v>4925</v>
      </c>
      <c r="R40" s="378"/>
      <c r="S40" s="378"/>
      <c r="T40" s="378"/>
      <c r="U40" s="378" t="s">
        <v>371</v>
      </c>
      <c r="V40" s="378"/>
      <c r="W40" s="378"/>
      <c r="X40" s="378"/>
      <c r="Y40" s="378"/>
      <c r="Z40" s="382">
        <f t="shared" ca="1" si="1"/>
        <v>29.366300810186662</v>
      </c>
      <c r="AA40" s="378"/>
      <c r="AB40" s="378"/>
      <c r="AC40" s="378"/>
      <c r="AD40" s="378"/>
      <c r="AE40" s="378"/>
      <c r="AF40" s="378"/>
      <c r="AG40" s="378"/>
      <c r="AH40" s="378"/>
      <c r="AI40" s="378"/>
      <c r="AJ40" s="378"/>
      <c r="AK40" s="378"/>
    </row>
    <row r="41" spans="1:37" ht="15" customHeight="1">
      <c r="A41" s="12">
        <v>40</v>
      </c>
      <c r="B41" s="12" t="s">
        <v>26</v>
      </c>
      <c r="C41" s="12" t="s">
        <v>37</v>
      </c>
      <c r="D41" s="12" t="s">
        <v>207</v>
      </c>
      <c r="E41" s="12" t="s">
        <v>5021</v>
      </c>
      <c r="F41" s="85" t="s">
        <v>36</v>
      </c>
      <c r="G41" s="12">
        <v>4</v>
      </c>
      <c r="H41" s="12" t="s">
        <v>5022</v>
      </c>
      <c r="I41" s="182" t="s">
        <v>271</v>
      </c>
      <c r="J41" s="12" t="s">
        <v>4980</v>
      </c>
      <c r="K41" s="361">
        <v>46148.572916666664</v>
      </c>
      <c r="L41" s="361">
        <v>46148.572916666664</v>
      </c>
      <c r="M41" s="361">
        <v>46148.59097222222</v>
      </c>
      <c r="N41" s="361">
        <v>46161.9375</v>
      </c>
      <c r="O41" s="361">
        <v>46154.55</v>
      </c>
      <c r="P41" s="361">
        <v>46161.9375</v>
      </c>
      <c r="Q41" s="12" t="s">
        <v>4925</v>
      </c>
      <c r="R41" s="12"/>
      <c r="S41" s="12"/>
      <c r="T41" s="12"/>
      <c r="U41" s="12" t="s">
        <v>371</v>
      </c>
      <c r="V41" s="12"/>
      <c r="W41" s="12"/>
      <c r="X41" s="12"/>
      <c r="Y41" s="12"/>
      <c r="Z41" s="167">
        <f t="shared" ca="1" si="1"/>
        <v>1.4770833333386695</v>
      </c>
      <c r="AA41" s="168">
        <f t="shared" ref="AA41:AA75" ca="1" si="9">(Z41*24)/9</f>
        <v>3.9388888889031191</v>
      </c>
      <c r="AB41" s="167">
        <f t="shared" ref="AB41:AB75" ca="1" si="10">IF(NOT(OR(G41=1,G41=2)),MAX(0,_xlfn.IFS(AND(K41&lt;&gt;"",N41&lt;&gt;""),(((MAX(NETWORKDAYS(L41,N41,UKBankHolidays)-1,0))*(TIME(17,0,0)-TIME(8,0,0)))+IF(NETWORKDAYS(N41,N41,UKBankHolidays)&gt;0,MEDIAN(TIME(8,0,0),MOD(N41,1),TIME(17,0,0)),TIME(8,0,0))-IF(NETWORKDAYS(L41,L41,UKBankHolidays)&gt;0,MEDIAN(TIME(8,0,0),MOD(L41,1),TIME(17,0,0)),TIME(8,0,0)))-IF(AND(O41&lt;&gt;"",P41&lt;&gt;""),(((MAX(NETWORKDAYS(O41,P41,UKBankHolidays)-1,0))*(TIME(17,0,0)-TIME(8,0,0)))+IF(NETWORKDAYS(P41,P41,UKBankHolidays)&gt;0,MEDIAN(TIME(8,0,0),MOD(P41,1),TIME(17,0,0)),TIME(8,0,0))-IF(NETWORKDAYS(O41,O41,UKBankHolidays)&gt;0,MEDIAN(TIME(8,0,0),MOD(O41,1),TIME(17,0,0)),TIME(8,0,0))),0),AND(L41&lt;&gt;"",N41="",O41=""),(((MAX(NETWORKDAYS(L41,NOW(),UKBankHolidays)-1,0))*(TIME(17,0,0)-TIME(8,0,0)))+IF(NETWORKDAYS(NOW(),NOW(),UKBankHolidays)&gt;0,MEDIAN(TIME(8,0,0),MOD(NOW(),1),TIME(17,0,0)),TIME(8,0,0))-IF(NETWORKDAYS(L41,L41,UKBankHolidays)&gt;0,MEDIAN(TIME(8,0,0),MOD(L41,1),TIME(17,0,0)),TIME(8,0,0)))-IF(AND(O41&lt;&gt;"",P41&lt;&gt;""),(((MAX(NETWORKDAYS(O41,P41,UKBankHolidays)-1,0))*(TIME(17,0,0)-TIME(8,0,0)))+IF(NETWORKDAYS(P41,P41,UKBankHolidays)&gt;0,MEDIAN(TIME(8,0,0),MOD(P41,1),TIME(17,0,0)),TIME(8,0,0))-IF(NETWORKDAYS(O41,O41,UKBankHolidays)&gt;0,MEDIAN(TIME(8,0,0),MOD(O41,1),TIME(17,0,0)),TIME(8,0,0))),0),AND(L41&lt;&gt;"",N41="",P41="",O41&lt;&gt;""),(((MAX(NETWORKDAYS(L41,O41,UKBankHolidays)-1,0))*(TIME(17,0,0)-TIME(8,0,0)))+IF(NETWORKDAYS(O41,O41,UKBankHolidays)&gt;0,MEDIAN(TIME(8,0,0),MOD(O41,1),TIME(17,0,0)),TIME(8,0,0))-IF(NETWORKDAYS(L41,L41,UKBankHolidays)&gt;0,MEDIAN(TIME(8,0,0),MOD(L41,1),TIME(17,0,0)),TIME(8,0,0))),ISBLANK(K41),"0")),IF(ISBLANK(N41),NOW()-L41,N41-L41))</f>
        <v>1.4770833333386695</v>
      </c>
      <c r="AC41" s="168">
        <f t="shared" ref="AC41:AC75" ca="1" si="11">(AB41*24)/9</f>
        <v>3.9388888889031191</v>
      </c>
      <c r="AD41" s="167">
        <f t="shared" ref="AD41:AD75" ca="1" si="12">MAX(0,IF(NOT(OR(G41=1,G41=2)),IF(M41&lt;&gt;"",((MAX(NETWORKDAYS(L41,M41,UKBankHolidays)-1,0))*(TIME(17,0,0)-TIME(8,0,0))+IF(NETWORKDAYS(M41,M41,UKBankHolidays)&gt;0,MEDIAN(TIME(8,0,0),MOD(M41,1),TIME(17,0,0)),TIME(8,0,0))-MEDIAN(TIME(8,0,0),MOD(L41,1),TIME(17,0,0))),((MAX(NETWORKDAYS(L41,NOW(),UKBankHolidays)-1,0))*(TIME(17,0,0)-TIME(8,0,0))+IF(NETWORKDAYS(NOW(),NOW(),UKBankHolidays)&gt;0,MEDIAN(TIME(8,0,0),MOD(NOW(),1),TIME(17,0,0)),TIME(8,0,0))-MEDIAN(TIME(8,0,0),MOD(L41,1),TIME(17,0,0)))),IF(M41&lt;&gt;"",M41-L41,NOW()-L41)))</f>
        <v>1.8055555556202307E-2</v>
      </c>
      <c r="AE41" s="167">
        <f t="shared" ref="AE41:AE75" ca="1" si="13">SUMIFS(AB:AB,E:E,E41)</f>
        <v>1.4770833333386695</v>
      </c>
      <c r="AF41" s="168">
        <f t="shared" ref="AF41:AF75" ca="1" si="14">(AE41*24)/9</f>
        <v>3.9388888889031191</v>
      </c>
      <c r="AG41" s="168">
        <f t="shared" ref="AG41:AG75" ca="1" si="15">AF41</f>
        <v>3.9388888889031191</v>
      </c>
      <c r="AH41" s="81" t="str" cm="1">
        <f t="array" aca="1" ref="AH41" ca="1">IF((AD41) &lt; (INDEX(ResponseSLA[#All],(MATCH((G41),ResponseSLA[Priority],0))+1,3)),"YES","No")</f>
        <v>YES</v>
      </c>
      <c r="AI41" s="81" t="str">
        <f ca="1">_xlfn.IFNA(IF(AE41 &lt; (INDEX(SLATable[Minimum SLA],MATCH(G41,SLATable[Priority],0))),"YES","NO"),"")</f>
        <v>YES</v>
      </c>
      <c r="AJ41" s="19" t="str">
        <f ca="1">_xlfn.IFNA(IF(AE41 &lt; (INDEX(SLATable[Maximum SLA],MATCH(G41,SLATable[Priority],0))),"YES","NO"),"")</f>
        <v>YES</v>
      </c>
      <c r="AK41" s="12"/>
    </row>
    <row r="42" spans="1:37" ht="15" customHeight="1">
      <c r="A42" s="12">
        <v>41</v>
      </c>
      <c r="B42" s="12" t="s">
        <v>26</v>
      </c>
      <c r="C42" s="12" t="s">
        <v>37</v>
      </c>
      <c r="D42" s="12" t="s">
        <v>207</v>
      </c>
      <c r="E42" s="12" t="s">
        <v>5023</v>
      </c>
      <c r="F42" s="85" t="s">
        <v>36</v>
      </c>
      <c r="G42" s="12">
        <v>4</v>
      </c>
      <c r="H42" s="12" t="s">
        <v>5024</v>
      </c>
      <c r="I42" s="182" t="s">
        <v>271</v>
      </c>
      <c r="J42" s="12" t="s">
        <v>4940</v>
      </c>
      <c r="K42" s="361">
        <v>46148.575694444444</v>
      </c>
      <c r="L42" s="361">
        <v>46148.576388888891</v>
      </c>
      <c r="M42" s="361">
        <v>46148.612500000003</v>
      </c>
      <c r="N42" s="361">
        <v>46156.671527777777</v>
      </c>
      <c r="O42" s="361">
        <v>46148.671527777777</v>
      </c>
      <c r="P42" s="361">
        <v>46156.671527777777</v>
      </c>
      <c r="Q42" s="12" t="s">
        <v>5025</v>
      </c>
      <c r="R42" s="12"/>
      <c r="S42" s="12"/>
      <c r="T42" s="12"/>
      <c r="U42" s="12" t="s">
        <v>371</v>
      </c>
      <c r="V42" s="12"/>
      <c r="W42" s="12"/>
      <c r="X42" s="12"/>
      <c r="Y42" s="12"/>
      <c r="Z42" s="167">
        <f t="shared" ca="1" si="1"/>
        <v>9.5833333332848269E-2</v>
      </c>
      <c r="AA42" s="168">
        <f t="shared" ca="1" si="9"/>
        <v>0.25555555555426207</v>
      </c>
      <c r="AB42" s="167">
        <f t="shared" ca="1" si="10"/>
        <v>9.5138888886140194E-2</v>
      </c>
      <c r="AC42" s="168">
        <f t="shared" ca="1" si="11"/>
        <v>0.25370370369637385</v>
      </c>
      <c r="AD42" s="167">
        <f t="shared" ca="1" si="12"/>
        <v>3.6111111112404615E-2</v>
      </c>
      <c r="AE42" s="167">
        <f t="shared" ca="1" si="13"/>
        <v>9.5138888886140194E-2</v>
      </c>
      <c r="AF42" s="168">
        <f t="shared" ca="1" si="14"/>
        <v>0.25370370369637385</v>
      </c>
      <c r="AG42" s="168">
        <f t="shared" ca="1" si="15"/>
        <v>0.25370370369637385</v>
      </c>
      <c r="AH42" s="81" t="str" cm="1">
        <f t="array" aca="1" ref="AH42" ca="1">IF((AD42) &lt; (INDEX(ResponseSLA[#All],(MATCH((G42),ResponseSLA[Priority],0))+1,3)),"YES","No")</f>
        <v>YES</v>
      </c>
      <c r="AI42" s="81" t="str">
        <f ca="1">_xlfn.IFNA(IF(AE42 &lt; (INDEX(SLATable[Minimum SLA],MATCH(G42,SLATable[Priority],0))),"YES","NO"),"")</f>
        <v>YES</v>
      </c>
      <c r="AJ42" s="19" t="str">
        <f ca="1">_xlfn.IFNA(IF(AE42 &lt; (INDEX(SLATable[Maximum SLA],MATCH(G42,SLATable[Priority],0))),"YES","NO"),"")</f>
        <v>YES</v>
      </c>
      <c r="AK42" s="12"/>
    </row>
    <row r="43" spans="1:37" ht="15" customHeight="1">
      <c r="A43" s="378">
        <v>42</v>
      </c>
      <c r="B43" s="12" t="s">
        <v>26</v>
      </c>
      <c r="C43" s="12" t="s">
        <v>37</v>
      </c>
      <c r="D43" s="12" t="s">
        <v>207</v>
      </c>
      <c r="E43" s="12" t="s">
        <v>5026</v>
      </c>
      <c r="F43" s="85" t="s">
        <v>36</v>
      </c>
      <c r="G43" s="12">
        <v>4</v>
      </c>
      <c r="H43" s="12" t="s">
        <v>5027</v>
      </c>
      <c r="I43" s="182" t="s">
        <v>271</v>
      </c>
      <c r="J43" s="12" t="s">
        <v>5028</v>
      </c>
      <c r="K43" s="361">
        <v>46148.577777777777</v>
      </c>
      <c r="L43" s="361">
        <v>46148.577777777777</v>
      </c>
      <c r="M43" s="361">
        <v>46148.588194444441</v>
      </c>
      <c r="N43" s="361">
        <v>46148.631249999999</v>
      </c>
      <c r="O43" s="361"/>
      <c r="P43" s="361">
        <v>46148.631249999999</v>
      </c>
      <c r="Q43" s="12" t="s">
        <v>4947</v>
      </c>
      <c r="R43" s="12"/>
      <c r="S43" s="12"/>
      <c r="T43" s="12"/>
      <c r="U43" s="12" t="s">
        <v>371</v>
      </c>
      <c r="V43" s="12"/>
      <c r="W43" s="12"/>
      <c r="X43" s="12"/>
      <c r="Y43" s="12"/>
      <c r="Z43" s="167">
        <f t="shared" ca="1" si="1"/>
        <v>5.3472222221898846E-2</v>
      </c>
      <c r="AA43" s="168">
        <f t="shared" ca="1" si="9"/>
        <v>0.14259259259173027</v>
      </c>
      <c r="AB43" s="167">
        <f t="shared" ca="1" si="10"/>
        <v>5.3472222221898846E-2</v>
      </c>
      <c r="AC43" s="168">
        <f t="shared" ca="1" si="11"/>
        <v>0.14259259259173027</v>
      </c>
      <c r="AD43" s="167">
        <f t="shared" ca="1" si="12"/>
        <v>1.0416666664241347E-2</v>
      </c>
      <c r="AE43" s="167">
        <f t="shared" ca="1" si="13"/>
        <v>5.3472222221898846E-2</v>
      </c>
      <c r="AF43" s="168">
        <f t="shared" ca="1" si="14"/>
        <v>0.14259259259173027</v>
      </c>
      <c r="AG43" s="168">
        <f t="shared" ca="1" si="15"/>
        <v>0.14259259259173027</v>
      </c>
      <c r="AH43" s="81" t="str" cm="1">
        <f t="array" aca="1" ref="AH43" ca="1">IF((AD43) &lt; (INDEX(ResponseSLA[#All],(MATCH((G43),ResponseSLA[Priority],0))+1,3)),"YES","No")</f>
        <v>YES</v>
      </c>
      <c r="AI43" s="81" t="str">
        <f ca="1">_xlfn.IFNA(IF(AE43 &lt; (INDEX(SLATable[Minimum SLA],MATCH(G43,SLATable[Priority],0))),"YES","NO"),"")</f>
        <v>YES</v>
      </c>
      <c r="AJ43" s="19" t="str">
        <f ca="1">_xlfn.IFNA(IF(AE43 &lt; (INDEX(SLATable[Maximum SLA],MATCH(G43,SLATable[Priority],0))),"YES","NO"),"")</f>
        <v>YES</v>
      </c>
      <c r="AK43" s="12"/>
    </row>
    <row r="44" spans="1:37" ht="15" customHeight="1">
      <c r="A44" s="12">
        <v>43</v>
      </c>
      <c r="B44" s="12" t="s">
        <v>26</v>
      </c>
      <c r="C44" s="12" t="s">
        <v>37</v>
      </c>
      <c r="D44" s="12" t="s">
        <v>207</v>
      </c>
      <c r="E44" s="12" t="s">
        <v>5029</v>
      </c>
      <c r="F44" s="85" t="s">
        <v>36</v>
      </c>
      <c r="G44" s="12">
        <v>4</v>
      </c>
      <c r="H44" s="12" t="s">
        <v>5030</v>
      </c>
      <c r="I44" s="182" t="s">
        <v>271</v>
      </c>
      <c r="J44" s="12" t="s">
        <v>4943</v>
      </c>
      <c r="K44" s="361">
        <v>46148.607638888891</v>
      </c>
      <c r="L44" s="361">
        <v>46148.607638888891</v>
      </c>
      <c r="M44" s="361">
        <v>46148.611805555556</v>
      </c>
      <c r="N44" s="361">
        <v>46149.714583333334</v>
      </c>
      <c r="O44" s="361">
        <v>46148.63958333333</v>
      </c>
      <c r="P44" s="361">
        <v>46149.714583333334</v>
      </c>
      <c r="Q44" s="12" t="s">
        <v>4930</v>
      </c>
      <c r="R44" s="12"/>
      <c r="S44" s="12"/>
      <c r="T44" s="12"/>
      <c r="U44" s="12" t="s">
        <v>371</v>
      </c>
      <c r="V44" s="12"/>
      <c r="W44" s="12"/>
      <c r="X44" s="12"/>
      <c r="Y44" s="12"/>
      <c r="Z44" s="167">
        <f t="shared" ca="1" si="1"/>
        <v>3.1944444439432118E-2</v>
      </c>
      <c r="AA44" s="168">
        <f t="shared" ca="1" si="9"/>
        <v>8.5185185171818986E-2</v>
      </c>
      <c r="AB44" s="167">
        <f t="shared" ca="1" si="10"/>
        <v>3.1944444439432118E-2</v>
      </c>
      <c r="AC44" s="168">
        <f t="shared" ca="1" si="11"/>
        <v>8.5185185171818986E-2</v>
      </c>
      <c r="AD44" s="167">
        <f t="shared" ca="1" si="12"/>
        <v>4.166666665696539E-3</v>
      </c>
      <c r="AE44" s="167">
        <f t="shared" ca="1" si="13"/>
        <v>3.1944444439432118E-2</v>
      </c>
      <c r="AF44" s="168">
        <f t="shared" ca="1" si="14"/>
        <v>8.5185185171818986E-2</v>
      </c>
      <c r="AG44" s="168">
        <f t="shared" ca="1" si="15"/>
        <v>8.5185185171818986E-2</v>
      </c>
      <c r="AH44" s="81" t="str" cm="1">
        <f t="array" aca="1" ref="AH44" ca="1">IF((AD44) &lt; (INDEX(ResponseSLA[#All],(MATCH((G44),ResponseSLA[Priority],0))+1,3)),"YES","No")</f>
        <v>YES</v>
      </c>
      <c r="AI44" s="81" t="str">
        <f ca="1">_xlfn.IFNA(IF(AE44 &lt; (INDEX(SLATable[Minimum SLA],MATCH(G44,SLATable[Priority],0))),"YES","NO"),"")</f>
        <v>YES</v>
      </c>
      <c r="AJ44" s="19" t="str">
        <f ca="1">_xlfn.IFNA(IF(AE44 &lt; (INDEX(SLATable[Maximum SLA],MATCH(G44,SLATable[Priority],0))),"YES","NO"),"")</f>
        <v>YES</v>
      </c>
      <c r="AK44" s="12"/>
    </row>
    <row r="45" spans="1:37" ht="15" customHeight="1">
      <c r="A45" s="12">
        <v>44</v>
      </c>
      <c r="B45" s="12" t="s">
        <v>26</v>
      </c>
      <c r="C45" s="12" t="s">
        <v>37</v>
      </c>
      <c r="D45" s="12" t="s">
        <v>207</v>
      </c>
      <c r="E45" s="12" t="s">
        <v>5031</v>
      </c>
      <c r="F45" s="85" t="s">
        <v>36</v>
      </c>
      <c r="G45" s="12">
        <v>4</v>
      </c>
      <c r="H45" s="12" t="s">
        <v>5032</v>
      </c>
      <c r="I45" s="182" t="s">
        <v>271</v>
      </c>
      <c r="J45" s="12" t="s">
        <v>4928</v>
      </c>
      <c r="K45" s="361">
        <v>46148.742361111108</v>
      </c>
      <c r="L45" s="361">
        <v>46148.742361111108</v>
      </c>
      <c r="M45" s="361">
        <v>46149.327777777777</v>
      </c>
      <c r="N45" s="361">
        <v>46153.53125</v>
      </c>
      <c r="O45" s="361">
        <v>46150.506249999999</v>
      </c>
      <c r="P45" s="361">
        <v>46153.53125</v>
      </c>
      <c r="Q45" s="12" t="s">
        <v>4930</v>
      </c>
      <c r="R45" s="12"/>
      <c r="S45" s="12"/>
      <c r="T45" s="12"/>
      <c r="U45" s="12" t="s">
        <v>371</v>
      </c>
      <c r="V45" s="12"/>
      <c r="W45" s="12"/>
      <c r="X45" s="12"/>
      <c r="Y45" s="12"/>
      <c r="Z45" s="167">
        <f t="shared" ref="Z45:Z75" ca="1" si="16">IF(NOT(OR(G45=1,G45=2)),MAX(0,_xlfn.IFS(AND(K45&lt;&gt;"",N45&lt;&gt;""),((MAX(NETWORKDAYS(K45,N45,UKBankHolidays)-1,0))*(TIME(17,0,0)-TIME(8,0,0))+IF(NETWORKDAYS(N45,N45,UKBankHolidays)&gt;0,MEDIAN(TIME(8,0,0),MOD(N45,1),TIME(17,0,0)),TIME(8,0,0))-IF(NETWORKDAYS(K45,K45,UKBankHolidays)&gt;0,MEDIAN(TIME(8,0,0),MOD(K45,1),TIME(17,0,0)),TIME(8,0,0)))-IF(AND(O45&lt;&gt;"",P45&lt;&gt;""),((MAX(NETWORKDAYS(O45,P45,UKBankHolidays)-1,0))*(TIME(17,0,0)-TIME(8,0,0))+IF(NETWORKDAYS(P45,P45,UKBankHolidays)&gt;0,MEDIAN(TIME(8,0,0),MOD(P45,1),TIME(17,0,0)),TIME(8,0,0))-IF(NETWORKDAYS(O45,O45,UKBankHolidays)&gt;0,MEDIAN(TIME(8,0,0),MOD(O45,1),TIME(17,0,0)),TIME(8,0,0))),0),AND(K45&lt;&gt;"",N45=""),((MAX(NETWORKDAYS(K45,NOW(),UKBankHolidays)-1,0))*(TIME(17,0,0)-TIME(8,0,0))+IF(NETWORKDAYS(NOW(),NOW(),UKBankHolidays)&gt;0,MEDIAN(TIME(8,0,0),MOD(NOW(),1),TIME(17,0,0)),TIME(8,0,0))-IF(NETWORKDAYS(K45,K45,UKBankHolidays)&gt;0,MEDIAN(TIME(8,0,0),MOD(K45,1),TIME(17,0,0)),TIME(8,0,0))))),IF(N45="",NOW()-K45,N45-K45))</f>
        <v>0.54791666666521166</v>
      </c>
      <c r="AA45" s="168">
        <f t="shared" ca="1" si="9"/>
        <v>1.461111111107231</v>
      </c>
      <c r="AB45" s="167">
        <f t="shared" ca="1" si="10"/>
        <v>0.54791666666521166</v>
      </c>
      <c r="AC45" s="168">
        <f t="shared" ca="1" si="11"/>
        <v>1.461111111107231</v>
      </c>
      <c r="AD45" s="167">
        <f t="shared" ca="1" si="12"/>
        <v>0</v>
      </c>
      <c r="AE45" s="167">
        <f t="shared" ca="1" si="13"/>
        <v>0.54791666666521166</v>
      </c>
      <c r="AF45" s="168">
        <f t="shared" ca="1" si="14"/>
        <v>1.461111111107231</v>
      </c>
      <c r="AG45" s="168">
        <f t="shared" ca="1" si="15"/>
        <v>1.461111111107231</v>
      </c>
      <c r="AH45" s="81" t="str" cm="1">
        <f t="array" aca="1" ref="AH45" ca="1">IF((AD45) &lt; (INDEX(ResponseSLA[#All],(MATCH((G45),ResponseSLA[Priority],0))+1,3)),"YES","No")</f>
        <v>YES</v>
      </c>
      <c r="AI45" s="81" t="str">
        <f ca="1">_xlfn.IFNA(IF(AE45 &lt; (INDEX(SLATable[Minimum SLA],MATCH(G45,SLATable[Priority],0))),"YES","NO"),"")</f>
        <v>YES</v>
      </c>
      <c r="AJ45" s="19" t="str">
        <f ca="1">_xlfn.IFNA(IF(AE45 &lt; (INDEX(SLATable[Maximum SLA],MATCH(G45,SLATable[Priority],0))),"YES","NO"),"")</f>
        <v>YES</v>
      </c>
      <c r="AK45" s="12"/>
    </row>
    <row r="46" spans="1:37" ht="15" customHeight="1">
      <c r="A46" s="12">
        <v>45</v>
      </c>
      <c r="B46" s="12" t="s">
        <v>26</v>
      </c>
      <c r="C46" s="12" t="s">
        <v>37</v>
      </c>
      <c r="D46" s="12" t="s">
        <v>207</v>
      </c>
      <c r="E46" s="85" t="s">
        <v>5033</v>
      </c>
      <c r="F46" s="85" t="s">
        <v>36</v>
      </c>
      <c r="G46" s="85">
        <v>4</v>
      </c>
      <c r="H46" s="85" t="s">
        <v>5034</v>
      </c>
      <c r="I46" s="182" t="s">
        <v>271</v>
      </c>
      <c r="J46" s="85" t="s">
        <v>4928</v>
      </c>
      <c r="K46" s="361">
        <v>46149.070138888892</v>
      </c>
      <c r="L46" s="361">
        <v>46149.070138888892</v>
      </c>
      <c r="M46" s="361">
        <v>46149.326388888891</v>
      </c>
      <c r="N46" s="361">
        <v>46160.571527777778</v>
      </c>
      <c r="O46" s="361">
        <v>46154.547222222223</v>
      </c>
      <c r="P46" s="361">
        <v>46160.571527777778</v>
      </c>
      <c r="Q46" s="85" t="s">
        <v>4930</v>
      </c>
      <c r="R46" s="12"/>
      <c r="S46" s="12"/>
      <c r="T46" s="12"/>
      <c r="U46" s="12" t="s">
        <v>371</v>
      </c>
      <c r="V46" s="12"/>
      <c r="W46" s="12"/>
      <c r="X46" s="12"/>
      <c r="Y46" s="12"/>
      <c r="Z46" s="167">
        <f t="shared" ca="1" si="16"/>
        <v>1.338888888890021</v>
      </c>
      <c r="AA46" s="168">
        <f t="shared" ca="1" si="9"/>
        <v>3.5703703703733893</v>
      </c>
      <c r="AB46" s="167">
        <f t="shared" ca="1" si="10"/>
        <v>1.338888888890021</v>
      </c>
      <c r="AC46" s="168">
        <f t="shared" ca="1" si="11"/>
        <v>3.5703703703733893</v>
      </c>
      <c r="AD46" s="167">
        <f t="shared" ca="1" si="12"/>
        <v>0</v>
      </c>
      <c r="AE46" s="167">
        <f t="shared" ca="1" si="13"/>
        <v>1.338888888890021</v>
      </c>
      <c r="AF46" s="168">
        <f t="shared" ca="1" si="14"/>
        <v>3.5703703703733893</v>
      </c>
      <c r="AG46" s="168">
        <f t="shared" ca="1" si="15"/>
        <v>3.5703703703733893</v>
      </c>
      <c r="AH46" s="81" t="str" cm="1">
        <f t="array" aca="1" ref="AH46" ca="1">IF((AD46) &lt; (INDEX(ResponseSLA[#All],(MATCH((G46),ResponseSLA[Priority],0))+1,3)),"YES","No")</f>
        <v>YES</v>
      </c>
      <c r="AI46" s="81" t="str">
        <f ca="1">_xlfn.IFNA(IF(AE46 &lt; (INDEX(SLATable[Minimum SLA],MATCH(G46,SLATable[Priority],0))),"YES","NO"),"")</f>
        <v>YES</v>
      </c>
      <c r="AJ46" s="19" t="str">
        <f ca="1">_xlfn.IFNA(IF(AE46 &lt; (INDEX(SLATable[Maximum SLA],MATCH(G46,SLATable[Priority],0))),"YES","NO"),"")</f>
        <v>YES</v>
      </c>
      <c r="AK46" s="12"/>
    </row>
    <row r="47" spans="1:37" ht="15" customHeight="1">
      <c r="A47" s="12">
        <v>46</v>
      </c>
      <c r="B47" s="12" t="s">
        <v>26</v>
      </c>
      <c r="C47" s="12" t="s">
        <v>37</v>
      </c>
      <c r="D47" s="12" t="s">
        <v>207</v>
      </c>
      <c r="E47" s="12" t="s">
        <v>5035</v>
      </c>
      <c r="F47" s="85" t="s">
        <v>36</v>
      </c>
      <c r="G47" s="12">
        <v>4</v>
      </c>
      <c r="H47" s="12" t="s">
        <v>5036</v>
      </c>
      <c r="I47" s="182" t="s">
        <v>271</v>
      </c>
      <c r="J47" s="12" t="s">
        <v>4928</v>
      </c>
      <c r="K47" s="361">
        <v>46149.17083333333</v>
      </c>
      <c r="L47" s="361">
        <v>46149.17083333333</v>
      </c>
      <c r="M47" s="361">
        <v>46149.325694444444</v>
      </c>
      <c r="N47" s="361">
        <v>46157.9375</v>
      </c>
      <c r="O47" s="361">
        <v>46150.508333333331</v>
      </c>
      <c r="P47" s="361">
        <v>46157.9375</v>
      </c>
      <c r="Q47" s="12" t="s">
        <v>4930</v>
      </c>
      <c r="R47" s="12"/>
      <c r="S47" s="12"/>
      <c r="T47" s="12"/>
      <c r="U47" s="12" t="s">
        <v>371</v>
      </c>
      <c r="V47" s="12"/>
      <c r="W47" s="12"/>
      <c r="X47" s="12"/>
      <c r="Y47" s="12"/>
      <c r="Z47" s="167">
        <f t="shared" ca="1" si="16"/>
        <v>0.54999999999806004</v>
      </c>
      <c r="AA47" s="168">
        <f t="shared" ca="1" si="9"/>
        <v>1.4666666666614934</v>
      </c>
      <c r="AB47" s="167">
        <f t="shared" ca="1" si="10"/>
        <v>0.54999999999806004</v>
      </c>
      <c r="AC47" s="168">
        <f t="shared" ca="1" si="11"/>
        <v>1.4666666666614934</v>
      </c>
      <c r="AD47" s="167">
        <f t="shared" ca="1" si="12"/>
        <v>0</v>
      </c>
      <c r="AE47" s="167">
        <f t="shared" ca="1" si="13"/>
        <v>0.54999999999806004</v>
      </c>
      <c r="AF47" s="168">
        <f t="shared" ca="1" si="14"/>
        <v>1.4666666666614934</v>
      </c>
      <c r="AG47" s="168">
        <f t="shared" ca="1" si="15"/>
        <v>1.4666666666614934</v>
      </c>
      <c r="AH47" s="81" t="str" cm="1">
        <f t="array" aca="1" ref="AH47" ca="1">IF((AD47) &lt; (INDEX(ResponseSLA[#All],(MATCH((G47),ResponseSLA[Priority],0))+1,3)),"YES","No")</f>
        <v>YES</v>
      </c>
      <c r="AI47" s="81" t="str">
        <f ca="1">_xlfn.IFNA(IF(AE47 &lt; (INDEX(SLATable[Minimum SLA],MATCH(G47,SLATable[Priority],0))),"YES","NO"),"")</f>
        <v>YES</v>
      </c>
      <c r="AJ47" s="19" t="str">
        <f ca="1">_xlfn.IFNA(IF(AE47 &lt; (INDEX(SLATable[Maximum SLA],MATCH(G47,SLATable[Priority],0))),"YES","NO"),"")</f>
        <v>YES</v>
      </c>
      <c r="AK47" s="12"/>
    </row>
    <row r="48" spans="1:37" ht="15" customHeight="1">
      <c r="A48" s="378">
        <v>47</v>
      </c>
      <c r="B48" s="12" t="s">
        <v>26</v>
      </c>
      <c r="C48" s="12" t="s">
        <v>37</v>
      </c>
      <c r="D48" s="12" t="s">
        <v>207</v>
      </c>
      <c r="E48" s="12" t="s">
        <v>5037</v>
      </c>
      <c r="F48" s="85" t="s">
        <v>36</v>
      </c>
      <c r="G48" s="12">
        <v>4</v>
      </c>
      <c r="H48" s="12" t="s">
        <v>5038</v>
      </c>
      <c r="I48" s="182" t="s">
        <v>271</v>
      </c>
      <c r="J48" s="12" t="s">
        <v>4940</v>
      </c>
      <c r="K48" s="361">
        <v>46149.614583333336</v>
      </c>
      <c r="L48" s="361">
        <v>46149.614583333336</v>
      </c>
      <c r="M48" s="361">
        <v>46149.624305555553</v>
      </c>
      <c r="N48" s="361">
        <v>46157.647916666669</v>
      </c>
      <c r="O48" s="361">
        <v>46149.647222222222</v>
      </c>
      <c r="P48" s="361">
        <v>46157.647916666669</v>
      </c>
      <c r="Q48" s="12" t="s">
        <v>4930</v>
      </c>
      <c r="R48" s="12"/>
      <c r="S48" s="12"/>
      <c r="T48" s="12"/>
      <c r="U48" s="12" t="s">
        <v>371</v>
      </c>
      <c r="V48" s="12"/>
      <c r="W48" s="12"/>
      <c r="X48" s="12"/>
      <c r="Y48" s="12"/>
      <c r="Z48" s="167">
        <f t="shared" ca="1" si="16"/>
        <v>3.2638888886140194E-2</v>
      </c>
      <c r="AA48" s="168">
        <f t="shared" ca="1" si="9"/>
        <v>8.7037037029707179E-2</v>
      </c>
      <c r="AB48" s="167">
        <f t="shared" ca="1" si="10"/>
        <v>3.2638888886140194E-2</v>
      </c>
      <c r="AC48" s="168">
        <f t="shared" ca="1" si="11"/>
        <v>8.7037037029707179E-2</v>
      </c>
      <c r="AD48" s="167">
        <f t="shared" ca="1" si="12"/>
        <v>9.7222222175332718E-3</v>
      </c>
      <c r="AE48" s="167">
        <f t="shared" ca="1" si="13"/>
        <v>3.2638888886140194E-2</v>
      </c>
      <c r="AF48" s="168">
        <f t="shared" ca="1" si="14"/>
        <v>8.7037037029707179E-2</v>
      </c>
      <c r="AG48" s="168">
        <f t="shared" ca="1" si="15"/>
        <v>8.7037037029707179E-2</v>
      </c>
      <c r="AH48" s="81" t="str" cm="1">
        <f t="array" aca="1" ref="AH48" ca="1">IF((AD48) &lt; (INDEX(ResponseSLA[#All],(MATCH((G48),ResponseSLA[Priority],0))+1,3)),"YES","No")</f>
        <v>YES</v>
      </c>
      <c r="AI48" s="81" t="str">
        <f ca="1">_xlfn.IFNA(IF(AE48 &lt; (INDEX(SLATable[Minimum SLA],MATCH(G48,SLATable[Priority],0))),"YES","NO"),"")</f>
        <v>YES</v>
      </c>
      <c r="AJ48" s="19" t="str">
        <f ca="1">_xlfn.IFNA(IF(AE48 &lt; (INDEX(SLATable[Maximum SLA],MATCH(G48,SLATable[Priority],0))),"YES","NO"),"")</f>
        <v>YES</v>
      </c>
      <c r="AK48" s="12"/>
    </row>
    <row r="49" spans="1:37" ht="15" customHeight="1">
      <c r="A49" s="12">
        <v>48</v>
      </c>
      <c r="B49" s="12" t="s">
        <v>26</v>
      </c>
      <c r="C49" s="12" t="s">
        <v>37</v>
      </c>
      <c r="D49" s="12" t="s">
        <v>207</v>
      </c>
      <c r="E49" s="12" t="s">
        <v>5039</v>
      </c>
      <c r="F49" s="85" t="s">
        <v>36</v>
      </c>
      <c r="G49" s="12">
        <v>4</v>
      </c>
      <c r="H49" s="12" t="s">
        <v>5040</v>
      </c>
      <c r="I49" s="182" t="s">
        <v>271</v>
      </c>
      <c r="J49" s="12" t="s">
        <v>4928</v>
      </c>
      <c r="K49" s="361">
        <v>46149.821527777778</v>
      </c>
      <c r="L49" s="361">
        <v>46149.821527777778</v>
      </c>
      <c r="M49" s="361">
        <v>46150.381249999999</v>
      </c>
      <c r="N49" s="361">
        <v>46153.631944444445</v>
      </c>
      <c r="O49" s="361">
        <v>46150.625</v>
      </c>
      <c r="P49" s="361">
        <v>46153.631944444445</v>
      </c>
      <c r="Q49" s="12" t="s">
        <v>4947</v>
      </c>
      <c r="R49" s="12"/>
      <c r="S49" s="12"/>
      <c r="T49" s="12"/>
      <c r="U49" s="12" t="s">
        <v>371</v>
      </c>
      <c r="V49" s="12"/>
      <c r="W49" s="12"/>
      <c r="X49" s="12"/>
      <c r="Y49" s="12"/>
      <c r="Z49" s="167">
        <f t="shared" ca="1" si="16"/>
        <v>0.29166666666666663</v>
      </c>
      <c r="AA49" s="168">
        <f t="shared" ca="1" si="9"/>
        <v>0.77777777777777768</v>
      </c>
      <c r="AB49" s="167">
        <f t="shared" ca="1" si="10"/>
        <v>0.29166666666666663</v>
      </c>
      <c r="AC49" s="168">
        <f t="shared" ca="1" si="11"/>
        <v>0.77777777777777768</v>
      </c>
      <c r="AD49" s="167">
        <f t="shared" ca="1" si="12"/>
        <v>4.7916666665211438E-2</v>
      </c>
      <c r="AE49" s="167">
        <f t="shared" ca="1" si="13"/>
        <v>0.29166666666666663</v>
      </c>
      <c r="AF49" s="168">
        <f t="shared" ca="1" si="14"/>
        <v>0.77777777777777768</v>
      </c>
      <c r="AG49" s="168">
        <f t="shared" ca="1" si="15"/>
        <v>0.77777777777777768</v>
      </c>
      <c r="AH49" s="81" t="str" cm="1">
        <f t="array" aca="1" ref="AH49" ca="1">IF((AD49) &lt; (INDEX(ResponseSLA[#All],(MATCH((G49),ResponseSLA[Priority],0))+1,3)),"YES","No")</f>
        <v>YES</v>
      </c>
      <c r="AI49" s="81" t="str">
        <f ca="1">_xlfn.IFNA(IF(AE49 &lt; (INDEX(SLATable[Minimum SLA],MATCH(G49,SLATable[Priority],0))),"YES","NO"),"")</f>
        <v>YES</v>
      </c>
      <c r="AJ49" s="19" t="str">
        <f ca="1">_xlfn.IFNA(IF(AE49 &lt; (INDEX(SLATable[Maximum SLA],MATCH(G49,SLATable[Priority],0))),"YES","NO"),"")</f>
        <v>YES</v>
      </c>
      <c r="AK49" s="12"/>
    </row>
    <row r="50" spans="1:37" ht="15" customHeight="1">
      <c r="A50" s="12">
        <v>49</v>
      </c>
      <c r="B50" s="12" t="s">
        <v>26</v>
      </c>
      <c r="C50" s="12" t="s">
        <v>37</v>
      </c>
      <c r="D50" s="12" t="s">
        <v>207</v>
      </c>
      <c r="E50" s="85" t="s">
        <v>5041</v>
      </c>
      <c r="F50" s="85" t="s">
        <v>36</v>
      </c>
      <c r="G50" s="85">
        <v>4</v>
      </c>
      <c r="H50" s="85" t="s">
        <v>5042</v>
      </c>
      <c r="I50" s="182" t="s">
        <v>271</v>
      </c>
      <c r="J50" s="85" t="s">
        <v>4980</v>
      </c>
      <c r="K50" s="361">
        <v>46151.243055555555</v>
      </c>
      <c r="L50" s="361">
        <v>46151.243055555555</v>
      </c>
      <c r="M50" s="361">
        <v>46153.352777777778</v>
      </c>
      <c r="N50" s="361">
        <v>46160.529861111114</v>
      </c>
      <c r="O50" s="361">
        <v>46155.50277777778</v>
      </c>
      <c r="P50" s="361">
        <v>46160.529861111114</v>
      </c>
      <c r="Q50" s="85" t="s">
        <v>4925</v>
      </c>
      <c r="R50" s="12"/>
      <c r="S50" s="12"/>
      <c r="T50" s="12"/>
      <c r="U50" s="12" t="s">
        <v>371</v>
      </c>
      <c r="V50" s="12"/>
      <c r="W50" s="12"/>
      <c r="X50" s="12"/>
      <c r="Y50" s="12"/>
      <c r="Z50" s="167">
        <f t="shared" ca="1" si="16"/>
        <v>0.91944444444622264</v>
      </c>
      <c r="AA50" s="168">
        <f t="shared" ca="1" si="9"/>
        <v>2.4518518518565937</v>
      </c>
      <c r="AB50" s="167">
        <f t="shared" ca="1" si="10"/>
        <v>0.91944444444622264</v>
      </c>
      <c r="AC50" s="168">
        <f t="shared" ca="1" si="11"/>
        <v>2.4518518518565937</v>
      </c>
      <c r="AD50" s="167">
        <f t="shared" ca="1" si="12"/>
        <v>1.9444444444767839E-2</v>
      </c>
      <c r="AE50" s="167">
        <f t="shared" ca="1" si="13"/>
        <v>0.91944444444622264</v>
      </c>
      <c r="AF50" s="168">
        <f t="shared" ca="1" si="14"/>
        <v>2.4518518518565937</v>
      </c>
      <c r="AG50" s="168">
        <f t="shared" ca="1" si="15"/>
        <v>2.4518518518565937</v>
      </c>
      <c r="AH50" s="81" t="str" cm="1">
        <f t="array" aca="1" ref="AH50" ca="1">IF((AD50) &lt; (INDEX(ResponseSLA[#All],(MATCH((G50),ResponseSLA[Priority],0))+1,3)),"YES","No")</f>
        <v>YES</v>
      </c>
      <c r="AI50" s="81" t="str">
        <f ca="1">_xlfn.IFNA(IF(AE50 &lt; (INDEX(SLATable[Minimum SLA],MATCH(G50,SLATable[Priority],0))),"YES","NO"),"")</f>
        <v>YES</v>
      </c>
      <c r="AJ50" s="19" t="str">
        <f ca="1">_xlfn.IFNA(IF(AE50 &lt; (INDEX(SLATable[Maximum SLA],MATCH(G50,SLATable[Priority],0))),"YES","NO"),"")</f>
        <v>YES</v>
      </c>
      <c r="AK50" s="12"/>
    </row>
    <row r="51" spans="1:37" ht="15" customHeight="1">
      <c r="A51" s="12">
        <v>50</v>
      </c>
      <c r="B51" s="12" t="s">
        <v>26</v>
      </c>
      <c r="C51" s="12" t="s">
        <v>37</v>
      </c>
      <c r="D51" s="12" t="s">
        <v>207</v>
      </c>
      <c r="E51" s="12" t="s">
        <v>5043</v>
      </c>
      <c r="F51" s="85" t="s">
        <v>36</v>
      </c>
      <c r="G51" s="12">
        <v>4</v>
      </c>
      <c r="H51" s="12" t="s">
        <v>5044</v>
      </c>
      <c r="I51" s="182" t="s">
        <v>271</v>
      </c>
      <c r="J51" s="12" t="s">
        <v>4940</v>
      </c>
      <c r="K51" s="361">
        <v>46151.537499999999</v>
      </c>
      <c r="L51" s="361">
        <v>46151.538194444445</v>
      </c>
      <c r="M51" s="361">
        <v>46153.350694444445</v>
      </c>
      <c r="N51" s="361">
        <v>46160.531944444447</v>
      </c>
      <c r="O51" s="361">
        <v>46153.458333333336</v>
      </c>
      <c r="P51" s="361">
        <v>46160.531944444447</v>
      </c>
      <c r="Q51" s="12" t="s">
        <v>4977</v>
      </c>
      <c r="R51" s="12"/>
      <c r="S51" s="12"/>
      <c r="T51" s="12"/>
      <c r="U51" s="12" t="s">
        <v>371</v>
      </c>
      <c r="V51" s="12"/>
      <c r="W51" s="12"/>
      <c r="X51" s="12"/>
      <c r="Y51" s="12"/>
      <c r="Z51" s="167">
        <f t="shared" ca="1" si="16"/>
        <v>0.12500000000242517</v>
      </c>
      <c r="AA51" s="168">
        <f t="shared" ca="1" si="9"/>
        <v>0.33333333333980047</v>
      </c>
      <c r="AB51" s="167">
        <f t="shared" ca="1" si="10"/>
        <v>0.12500000000242517</v>
      </c>
      <c r="AC51" s="168">
        <f t="shared" ca="1" si="11"/>
        <v>0.33333333333980047</v>
      </c>
      <c r="AD51" s="167">
        <f t="shared" ca="1" si="12"/>
        <v>0</v>
      </c>
      <c r="AE51" s="167">
        <f t="shared" ca="1" si="13"/>
        <v>0.12500000000242517</v>
      </c>
      <c r="AF51" s="168">
        <f t="shared" ca="1" si="14"/>
        <v>0.33333333333980047</v>
      </c>
      <c r="AG51" s="168">
        <f t="shared" ca="1" si="15"/>
        <v>0.33333333333980047</v>
      </c>
      <c r="AH51" s="81" t="str" cm="1">
        <f t="array" aca="1" ref="AH51" ca="1">IF((AD51) &lt; (INDEX(ResponseSLA[#All],(MATCH((G51),ResponseSLA[Priority],0))+1,3)),"YES","No")</f>
        <v>YES</v>
      </c>
      <c r="AI51" s="81" t="str">
        <f ca="1">_xlfn.IFNA(IF(AE51 &lt; (INDEX(SLATable[Minimum SLA],MATCH(G51,SLATable[Priority],0))),"YES","NO"),"")</f>
        <v>YES</v>
      </c>
      <c r="AJ51" s="19" t="str">
        <f ca="1">_xlfn.IFNA(IF(AE51 &lt; (INDEX(SLATable[Maximum SLA],MATCH(G51,SLATable[Priority],0))),"YES","NO"),"")</f>
        <v>YES</v>
      </c>
      <c r="AK51" s="12"/>
    </row>
    <row r="52" spans="1:37" ht="15" customHeight="1">
      <c r="A52" s="12">
        <v>51</v>
      </c>
      <c r="B52" s="12" t="s">
        <v>26</v>
      </c>
      <c r="C52" s="12" t="s">
        <v>37</v>
      </c>
      <c r="D52" s="12" t="s">
        <v>207</v>
      </c>
      <c r="E52" s="12" t="s">
        <v>5045</v>
      </c>
      <c r="F52" s="85" t="s">
        <v>36</v>
      </c>
      <c r="G52" s="12">
        <v>4</v>
      </c>
      <c r="H52" s="12" t="s">
        <v>5046</v>
      </c>
      <c r="I52" s="182" t="s">
        <v>271</v>
      </c>
      <c r="J52" s="12" t="s">
        <v>4980</v>
      </c>
      <c r="K52" s="361">
        <v>46152.366666666669</v>
      </c>
      <c r="L52" s="361">
        <v>46152.366666666669</v>
      </c>
      <c r="M52" s="361">
        <v>46153.356249999997</v>
      </c>
      <c r="N52" s="361">
        <v>46164.718055555553</v>
      </c>
      <c r="O52" s="361">
        <v>46156.716666666667</v>
      </c>
      <c r="P52" s="361">
        <v>46164.718055555553</v>
      </c>
      <c r="Q52" s="12" t="s">
        <v>4930</v>
      </c>
      <c r="R52" s="12"/>
      <c r="S52" s="12"/>
      <c r="T52" s="12"/>
      <c r="U52" s="12" t="s">
        <v>371</v>
      </c>
      <c r="V52" s="12"/>
      <c r="W52" s="12"/>
      <c r="X52" s="12"/>
      <c r="Y52" s="12"/>
      <c r="Z52" s="167">
        <f t="shared" ca="1" si="16"/>
        <v>1.5</v>
      </c>
      <c r="AA52" s="168">
        <f t="shared" ca="1" si="9"/>
        <v>4</v>
      </c>
      <c r="AB52" s="167">
        <f t="shared" ca="1" si="10"/>
        <v>1.5</v>
      </c>
      <c r="AC52" s="168">
        <f t="shared" ca="1" si="11"/>
        <v>4</v>
      </c>
      <c r="AD52" s="167">
        <f t="shared" ca="1" si="12"/>
        <v>0</v>
      </c>
      <c r="AE52" s="167">
        <f t="shared" ca="1" si="13"/>
        <v>1.5</v>
      </c>
      <c r="AF52" s="168">
        <f t="shared" ca="1" si="14"/>
        <v>4</v>
      </c>
      <c r="AG52" s="168">
        <f t="shared" ca="1" si="15"/>
        <v>4</v>
      </c>
      <c r="AH52" s="81" t="str" cm="1">
        <f t="array" aca="1" ref="AH52" ca="1">IF((AD52) &lt; (INDEX(ResponseSLA[#All],(MATCH((G52),ResponseSLA[Priority],0))+1,3)),"YES","No")</f>
        <v>YES</v>
      </c>
      <c r="AI52" s="81" t="str">
        <f ca="1">_xlfn.IFNA(IF(AE52 &lt; (INDEX(SLATable[Minimum SLA],MATCH(G52,SLATable[Priority],0))),"YES","NO"),"")</f>
        <v>YES</v>
      </c>
      <c r="AJ52" s="19" t="str">
        <f ca="1">_xlfn.IFNA(IF(AE52 &lt; (INDEX(SLATable[Maximum SLA],MATCH(G52,SLATable[Priority],0))),"YES","NO"),"")</f>
        <v>YES</v>
      </c>
      <c r="AK52" s="12"/>
    </row>
    <row r="53" spans="1:37" ht="15" customHeight="1">
      <c r="A53" s="378">
        <v>52</v>
      </c>
      <c r="B53" s="12" t="s">
        <v>26</v>
      </c>
      <c r="C53" s="12" t="s">
        <v>37</v>
      </c>
      <c r="D53" s="12" t="s">
        <v>207</v>
      </c>
      <c r="E53" s="85" t="s">
        <v>5047</v>
      </c>
      <c r="F53" s="85" t="s">
        <v>36</v>
      </c>
      <c r="G53" s="85">
        <v>4</v>
      </c>
      <c r="H53" s="85" t="s">
        <v>5048</v>
      </c>
      <c r="I53" s="182" t="s">
        <v>271</v>
      </c>
      <c r="J53" s="85" t="s">
        <v>5049</v>
      </c>
      <c r="K53" s="361">
        <v>46152.545138888891</v>
      </c>
      <c r="L53" s="361">
        <v>46152.545138888891</v>
      </c>
      <c r="M53" s="361">
        <v>46153.352083333331</v>
      </c>
      <c r="N53" s="361">
        <v>46166.947916666664</v>
      </c>
      <c r="O53" s="361"/>
      <c r="P53" s="361">
        <v>46166.947916666664</v>
      </c>
      <c r="Q53" s="85" t="s">
        <v>5050</v>
      </c>
      <c r="R53" s="12"/>
      <c r="S53" s="12"/>
      <c r="T53" s="12"/>
      <c r="U53" s="12" t="s">
        <v>371</v>
      </c>
      <c r="V53" s="12"/>
      <c r="W53" s="12"/>
      <c r="X53" s="12"/>
      <c r="Y53" s="12"/>
      <c r="Z53" s="167">
        <f t="shared" ca="1" si="16"/>
        <v>3.3750000000000004</v>
      </c>
      <c r="AA53" s="168">
        <f t="shared" ca="1" si="9"/>
        <v>9.0000000000000018</v>
      </c>
      <c r="AB53" s="167">
        <f t="shared" ca="1" si="10"/>
        <v>3.3750000000000004</v>
      </c>
      <c r="AC53" s="168">
        <f t="shared" ca="1" si="11"/>
        <v>9.0000000000000018</v>
      </c>
      <c r="AD53" s="167">
        <f t="shared" ca="1" si="12"/>
        <v>0</v>
      </c>
      <c r="AE53" s="167">
        <f t="shared" ca="1" si="13"/>
        <v>3.3750000000000004</v>
      </c>
      <c r="AF53" s="168">
        <f t="shared" ca="1" si="14"/>
        <v>9.0000000000000018</v>
      </c>
      <c r="AG53" s="168">
        <f t="shared" ca="1" si="15"/>
        <v>9.0000000000000018</v>
      </c>
      <c r="AH53" s="81" t="str" cm="1">
        <f t="array" aca="1" ref="AH53" ca="1">IF((AD53) &lt; (INDEX(ResponseSLA[#All],(MATCH((G53),ResponseSLA[Priority],0))+1,3)),"YES","No")</f>
        <v>YES</v>
      </c>
      <c r="AI53" s="81" t="str">
        <f ca="1">_xlfn.IFNA(IF(AE53 &lt; (INDEX(SLATable[Minimum SLA],MATCH(G53,SLATable[Priority],0))),"YES","NO"),"")</f>
        <v>YES</v>
      </c>
      <c r="AJ53" s="19" t="str">
        <f ca="1">_xlfn.IFNA(IF(AE53 &lt; (INDEX(SLATable[Maximum SLA],MATCH(G53,SLATable[Priority],0))),"YES","NO"),"")</f>
        <v>YES</v>
      </c>
      <c r="AK53" s="12"/>
    </row>
    <row r="54" spans="1:37" s="45" customFormat="1" ht="15" customHeight="1">
      <c r="A54" s="12">
        <v>53</v>
      </c>
      <c r="B54" s="378" t="s">
        <v>26</v>
      </c>
      <c r="C54" s="378" t="s">
        <v>37</v>
      </c>
      <c r="D54" s="378" t="s">
        <v>208</v>
      </c>
      <c r="E54" s="378" t="s">
        <v>5051</v>
      </c>
      <c r="F54" s="378" t="s">
        <v>36</v>
      </c>
      <c r="G54" s="378" t="s">
        <v>208</v>
      </c>
      <c r="H54" s="378" t="s">
        <v>5052</v>
      </c>
      <c r="I54" s="378" t="s">
        <v>260</v>
      </c>
      <c r="J54" s="378" t="s">
        <v>4943</v>
      </c>
      <c r="K54" s="381">
        <v>46153.550694444442</v>
      </c>
      <c r="L54" s="381">
        <v>46153.550694444442</v>
      </c>
      <c r="M54" s="381">
        <v>46153.550694444442</v>
      </c>
      <c r="N54" s="381"/>
      <c r="O54" s="381"/>
      <c r="P54" s="381"/>
      <c r="Q54" s="378"/>
      <c r="R54" s="378"/>
      <c r="S54" s="378"/>
      <c r="T54" s="378"/>
      <c r="U54" s="378" t="s">
        <v>371</v>
      </c>
      <c r="V54" s="378"/>
      <c r="W54" s="378"/>
      <c r="X54" s="378"/>
      <c r="Y54" s="378"/>
      <c r="Z54" s="382">
        <f t="shared" ca="1" si="16"/>
        <v>28.208281944447666</v>
      </c>
      <c r="AA54" s="384">
        <f t="shared" ca="1" si="9"/>
        <v>75.222085185193777</v>
      </c>
      <c r="AB54" s="382">
        <f t="shared" ca="1" si="10"/>
        <v>28.208281944447666</v>
      </c>
      <c r="AC54" s="384">
        <f t="shared" ca="1" si="11"/>
        <v>75.222085185193777</v>
      </c>
      <c r="AD54" s="382">
        <f t="shared" ca="1" si="12"/>
        <v>0</v>
      </c>
      <c r="AE54" s="382">
        <f t="shared" ca="1" si="13"/>
        <v>28.208281944447666</v>
      </c>
      <c r="AF54" s="384">
        <f t="shared" ca="1" si="14"/>
        <v>75.222085185193777</v>
      </c>
      <c r="AG54" s="384">
        <f t="shared" ca="1" si="15"/>
        <v>75.222085185193777</v>
      </c>
      <c r="AH54" s="385" t="str" cm="1">
        <f t="array" aca="1" ref="AH54" ca="1">IF((AD54) &lt; (INDEX(ResponseSLA[#All],(MATCH((G54),ResponseSLA[Priority],0))+1,3)),"YES","No")</f>
        <v>YES</v>
      </c>
      <c r="AI54" s="385" t="str">
        <f ca="1">_xlfn.IFNA(IF(AE54 &lt; (INDEX(SLATable[Minimum SLA],MATCH(G54,SLATable[Priority],0))),"YES","NO"),"")</f>
        <v>NO</v>
      </c>
      <c r="AJ54" s="383" t="str">
        <f ca="1">_xlfn.IFNA(IF(AE54 &lt; (INDEX(SLATable[Maximum SLA],MATCH(G54,SLATable[Priority],0))),"YES","NO"),"")</f>
        <v>NO</v>
      </c>
      <c r="AK54" s="378"/>
    </row>
    <row r="55" spans="1:37" ht="15" customHeight="1">
      <c r="A55" s="12">
        <v>54</v>
      </c>
      <c r="B55" s="12" t="s">
        <v>26</v>
      </c>
      <c r="C55" s="12" t="s">
        <v>37</v>
      </c>
      <c r="D55" s="12" t="s">
        <v>207</v>
      </c>
      <c r="E55" s="85" t="s">
        <v>5053</v>
      </c>
      <c r="F55" s="85" t="s">
        <v>36</v>
      </c>
      <c r="G55" s="85">
        <v>4</v>
      </c>
      <c r="H55" s="85" t="s">
        <v>5054</v>
      </c>
      <c r="I55" s="182" t="s">
        <v>271</v>
      </c>
      <c r="J55" s="85" t="s">
        <v>4935</v>
      </c>
      <c r="K55" s="361">
        <v>46153.631249999999</v>
      </c>
      <c r="L55" s="361">
        <v>46153.631249999999</v>
      </c>
      <c r="M55" s="361">
        <v>46153.637499999997</v>
      </c>
      <c r="N55" s="361">
        <v>46165.615972222222</v>
      </c>
      <c r="O55" s="361">
        <v>46157.518750000003</v>
      </c>
      <c r="P55" s="361">
        <v>46165.615972222222</v>
      </c>
      <c r="Q55" s="85" t="s">
        <v>4930</v>
      </c>
      <c r="R55" s="12"/>
      <c r="S55" s="12"/>
      <c r="T55" s="12"/>
      <c r="U55" s="12" t="s">
        <v>371</v>
      </c>
      <c r="V55" s="12"/>
      <c r="W55" s="12"/>
      <c r="X55" s="12"/>
      <c r="Y55" s="12"/>
      <c r="Z55" s="167">
        <f t="shared" ca="1" si="16"/>
        <v>1.387500000004366</v>
      </c>
      <c r="AA55" s="168">
        <f t="shared" ca="1" si="9"/>
        <v>3.7000000000116433</v>
      </c>
      <c r="AB55" s="167">
        <f t="shared" ca="1" si="10"/>
        <v>1.387500000004366</v>
      </c>
      <c r="AC55" s="168">
        <f t="shared" ca="1" si="11"/>
        <v>3.7000000000116433</v>
      </c>
      <c r="AD55" s="167">
        <f t="shared" ca="1" si="12"/>
        <v>6.2499999985448085E-3</v>
      </c>
      <c r="AE55" s="167">
        <f t="shared" ca="1" si="13"/>
        <v>1.387500000004366</v>
      </c>
      <c r="AF55" s="168">
        <f t="shared" ca="1" si="14"/>
        <v>3.7000000000116433</v>
      </c>
      <c r="AG55" s="168">
        <f t="shared" ca="1" si="15"/>
        <v>3.7000000000116433</v>
      </c>
      <c r="AH55" s="81" t="str" cm="1">
        <f t="array" aca="1" ref="AH55" ca="1">IF((AD55) &lt; (INDEX(ResponseSLA[#All],(MATCH((G55),ResponseSLA[Priority],0))+1,3)),"YES","No")</f>
        <v>YES</v>
      </c>
      <c r="AI55" s="81" t="str">
        <f ca="1">_xlfn.IFNA(IF(AE55 &lt; (INDEX(SLATable[Minimum SLA],MATCH(G55,SLATable[Priority],0))),"YES","NO"),"")</f>
        <v>YES</v>
      </c>
      <c r="AJ55" s="19" t="str">
        <f ca="1">_xlfn.IFNA(IF(AE55 &lt; (INDEX(SLATable[Maximum SLA],MATCH(G55,SLATable[Priority],0))),"YES","NO"),"")</f>
        <v>YES</v>
      </c>
      <c r="AK55" s="12"/>
    </row>
    <row r="56" spans="1:37" ht="15" customHeight="1">
      <c r="A56" s="12">
        <v>55</v>
      </c>
      <c r="B56" s="12" t="s">
        <v>26</v>
      </c>
      <c r="C56" s="12" t="s">
        <v>37</v>
      </c>
      <c r="D56" s="12" t="s">
        <v>207</v>
      </c>
      <c r="E56" s="85" t="s">
        <v>5055</v>
      </c>
      <c r="F56" s="85" t="s">
        <v>36</v>
      </c>
      <c r="G56" s="85">
        <v>4</v>
      </c>
      <c r="H56" s="85" t="s">
        <v>5056</v>
      </c>
      <c r="I56" s="182" t="s">
        <v>271</v>
      </c>
      <c r="J56" s="85" t="s">
        <v>4928</v>
      </c>
      <c r="K56" s="361">
        <v>46154.090277777781</v>
      </c>
      <c r="L56" s="361">
        <v>46154.090277777781</v>
      </c>
      <c r="M56" s="361">
        <v>46154.336111111108</v>
      </c>
      <c r="N56" s="361">
        <v>46163.700694444444</v>
      </c>
      <c r="O56" s="361"/>
      <c r="P56" s="361">
        <v>46163.700694444444</v>
      </c>
      <c r="Q56" s="85" t="s">
        <v>5025</v>
      </c>
      <c r="R56" s="12"/>
      <c r="S56" s="12"/>
      <c r="T56" s="12"/>
      <c r="U56" s="12" t="s">
        <v>371</v>
      </c>
      <c r="V56" s="12"/>
      <c r="W56" s="12"/>
      <c r="X56" s="12"/>
      <c r="Y56" s="12"/>
      <c r="Z56" s="167">
        <f t="shared" ca="1" si="16"/>
        <v>2.9923611111104647</v>
      </c>
      <c r="AA56" s="168">
        <f t="shared" ca="1" si="9"/>
        <v>7.9796296296279046</v>
      </c>
      <c r="AB56" s="167">
        <f t="shared" ca="1" si="10"/>
        <v>2.9923611111104647</v>
      </c>
      <c r="AC56" s="168">
        <f t="shared" ca="1" si="11"/>
        <v>7.9796296296279046</v>
      </c>
      <c r="AD56" s="167">
        <f t="shared" ca="1" si="12"/>
        <v>2.7777777747057253E-3</v>
      </c>
      <c r="AE56" s="167">
        <f t="shared" ca="1" si="13"/>
        <v>2.9923611111104647</v>
      </c>
      <c r="AF56" s="168">
        <f t="shared" ca="1" si="14"/>
        <v>7.9796296296279046</v>
      </c>
      <c r="AG56" s="168">
        <f t="shared" ca="1" si="15"/>
        <v>7.9796296296279046</v>
      </c>
      <c r="AH56" s="81" t="str" cm="1">
        <f t="array" aca="1" ref="AH56" ca="1">IF((AD56) &lt; (INDEX(ResponseSLA[#All],(MATCH((G56),ResponseSLA[Priority],0))+1,3)),"YES","No")</f>
        <v>YES</v>
      </c>
      <c r="AI56" s="81" t="str">
        <f ca="1">_xlfn.IFNA(IF(AE56 &lt; (INDEX(SLATable[Minimum SLA],MATCH(G56,SLATable[Priority],0))),"YES","NO"),"")</f>
        <v>YES</v>
      </c>
      <c r="AJ56" s="19" t="str">
        <f ca="1">_xlfn.IFNA(IF(AE56 &lt; (INDEX(SLATable[Maximum SLA],MATCH(G56,SLATable[Priority],0))),"YES","NO"),"")</f>
        <v>YES</v>
      </c>
      <c r="AK56" s="12"/>
    </row>
    <row r="57" spans="1:37" ht="15" customHeight="1">
      <c r="A57" s="12">
        <v>56</v>
      </c>
      <c r="B57" s="12" t="s">
        <v>26</v>
      </c>
      <c r="C57" s="12" t="s">
        <v>37</v>
      </c>
      <c r="D57" s="12" t="s">
        <v>207</v>
      </c>
      <c r="E57" s="85" t="s">
        <v>5057</v>
      </c>
      <c r="F57" s="85" t="s">
        <v>36</v>
      </c>
      <c r="G57" s="85">
        <v>4</v>
      </c>
      <c r="H57" s="85" t="s">
        <v>5058</v>
      </c>
      <c r="I57" s="182" t="s">
        <v>271</v>
      </c>
      <c r="J57" s="85" t="s">
        <v>4935</v>
      </c>
      <c r="K57" s="361">
        <v>46154.177083333336</v>
      </c>
      <c r="L57" s="361">
        <v>46154.177083333336</v>
      </c>
      <c r="M57" s="361">
        <v>46154.334722222222</v>
      </c>
      <c r="N57" s="361">
        <v>46163.655555555553</v>
      </c>
      <c r="O57" s="361"/>
      <c r="P57" s="361">
        <v>46163.655555555553</v>
      </c>
      <c r="Q57" s="85" t="s">
        <v>4999</v>
      </c>
      <c r="R57" s="12"/>
      <c r="S57" s="12"/>
      <c r="T57" s="12"/>
      <c r="U57" s="12" t="s">
        <v>371</v>
      </c>
      <c r="V57" s="12"/>
      <c r="W57" s="12"/>
      <c r="X57" s="12"/>
      <c r="Y57" s="12"/>
      <c r="Z57" s="167">
        <f t="shared" ca="1" si="16"/>
        <v>2.9472222222199589</v>
      </c>
      <c r="AA57" s="168">
        <f t="shared" ca="1" si="9"/>
        <v>7.8592592592532231</v>
      </c>
      <c r="AB57" s="167">
        <f t="shared" ca="1" si="10"/>
        <v>2.9472222222199589</v>
      </c>
      <c r="AC57" s="168">
        <f t="shared" ca="1" si="11"/>
        <v>7.8592592592532231</v>
      </c>
      <c r="AD57" s="167">
        <f t="shared" ca="1" si="12"/>
        <v>1.3888888885655315E-3</v>
      </c>
      <c r="AE57" s="167">
        <f t="shared" ca="1" si="13"/>
        <v>2.9472222222199589</v>
      </c>
      <c r="AF57" s="168">
        <f t="shared" ca="1" si="14"/>
        <v>7.8592592592532231</v>
      </c>
      <c r="AG57" s="168">
        <f t="shared" ca="1" si="15"/>
        <v>7.8592592592532231</v>
      </c>
      <c r="AH57" s="81" t="str" cm="1">
        <f t="array" aca="1" ref="AH57" ca="1">IF((AD57) &lt; (INDEX(ResponseSLA[#All],(MATCH((G57),ResponseSLA[Priority],0))+1,3)),"YES","No")</f>
        <v>YES</v>
      </c>
      <c r="AI57" s="81" t="str">
        <f ca="1">_xlfn.IFNA(IF(AE57 &lt; (INDEX(SLATable[Minimum SLA],MATCH(G57,SLATable[Priority],0))),"YES","NO"),"")</f>
        <v>YES</v>
      </c>
      <c r="AJ57" s="19" t="str">
        <f ca="1">_xlfn.IFNA(IF(AE57 &lt; (INDEX(SLATable[Maximum SLA],MATCH(G57,SLATable[Priority],0))),"YES","NO"),"")</f>
        <v>YES</v>
      </c>
      <c r="AK57" s="12"/>
    </row>
    <row r="58" spans="1:37" ht="15" customHeight="1">
      <c r="A58" s="378">
        <v>57</v>
      </c>
      <c r="B58" s="12" t="s">
        <v>26</v>
      </c>
      <c r="C58" s="12" t="s">
        <v>37</v>
      </c>
      <c r="D58" s="12" t="s">
        <v>207</v>
      </c>
      <c r="E58" s="85" t="s">
        <v>5059</v>
      </c>
      <c r="F58" s="85" t="s">
        <v>36</v>
      </c>
      <c r="G58" s="85">
        <v>4</v>
      </c>
      <c r="H58" s="85" t="s">
        <v>5060</v>
      </c>
      <c r="I58" s="182" t="s">
        <v>271</v>
      </c>
      <c r="J58" s="85" t="s">
        <v>4935</v>
      </c>
      <c r="K58" s="361">
        <v>46154.45416666667</v>
      </c>
      <c r="L58" s="361">
        <v>46154.45416666667</v>
      </c>
      <c r="M58" s="361">
        <v>46154.464583333334</v>
      </c>
      <c r="N58" s="361">
        <v>46157.697222222225</v>
      </c>
      <c r="O58" s="361"/>
      <c r="P58" s="361">
        <v>46157.697222222225</v>
      </c>
      <c r="Q58" s="85" t="s">
        <v>4947</v>
      </c>
      <c r="R58" s="12"/>
      <c r="S58" s="12"/>
      <c r="T58" s="12"/>
      <c r="U58" s="12" t="s">
        <v>371</v>
      </c>
      <c r="V58" s="12"/>
      <c r="W58" s="12"/>
      <c r="X58" s="12"/>
      <c r="Y58" s="12"/>
      <c r="Z58" s="167">
        <f t="shared" ca="1" si="16"/>
        <v>1.3680555555547473</v>
      </c>
      <c r="AA58" s="168">
        <f t="shared" ca="1" si="9"/>
        <v>3.6481481481459932</v>
      </c>
      <c r="AB58" s="167">
        <f t="shared" ca="1" si="10"/>
        <v>1.3680555555547473</v>
      </c>
      <c r="AC58" s="168">
        <f t="shared" ca="1" si="11"/>
        <v>3.6481481481459932</v>
      </c>
      <c r="AD58" s="167">
        <f t="shared" ca="1" si="12"/>
        <v>1.0416666664241347E-2</v>
      </c>
      <c r="AE58" s="167">
        <f t="shared" ca="1" si="13"/>
        <v>1.3680555555547473</v>
      </c>
      <c r="AF58" s="168">
        <f t="shared" ca="1" si="14"/>
        <v>3.6481481481459932</v>
      </c>
      <c r="AG58" s="168">
        <f t="shared" ca="1" si="15"/>
        <v>3.6481481481459932</v>
      </c>
      <c r="AH58" s="81" t="str" cm="1">
        <f t="array" aca="1" ref="AH58" ca="1">IF((AD58) &lt; (INDEX(ResponseSLA[#All],(MATCH((G58),ResponseSLA[Priority],0))+1,3)),"YES","No")</f>
        <v>YES</v>
      </c>
      <c r="AI58" s="81" t="str">
        <f ca="1">_xlfn.IFNA(IF(AE58 &lt; (INDEX(SLATable[Minimum SLA],MATCH(G58,SLATable[Priority],0))),"YES","NO"),"")</f>
        <v>YES</v>
      </c>
      <c r="AJ58" s="19" t="str">
        <f ca="1">_xlfn.IFNA(IF(AE58 &lt; (INDEX(SLATable[Maximum SLA],MATCH(G58,SLATable[Priority],0))),"YES","NO"),"")</f>
        <v>YES</v>
      </c>
      <c r="AK58" s="12"/>
    </row>
    <row r="59" spans="1:37" ht="15" customHeight="1">
      <c r="A59" s="12">
        <v>58</v>
      </c>
      <c r="B59" s="12" t="s">
        <v>26</v>
      </c>
      <c r="C59" s="12" t="s">
        <v>37</v>
      </c>
      <c r="D59" s="12" t="s">
        <v>207</v>
      </c>
      <c r="E59" s="85" t="s">
        <v>5061</v>
      </c>
      <c r="F59" s="85" t="s">
        <v>36</v>
      </c>
      <c r="G59" s="85">
        <v>4</v>
      </c>
      <c r="H59" s="85" t="s">
        <v>5062</v>
      </c>
      <c r="I59" s="182" t="s">
        <v>271</v>
      </c>
      <c r="J59" s="85" t="s">
        <v>4980</v>
      </c>
      <c r="K59" s="361">
        <v>46154.739583333336</v>
      </c>
      <c r="L59" s="361">
        <v>46154.739583333336</v>
      </c>
      <c r="M59" s="361">
        <v>46155.334722222222</v>
      </c>
      <c r="N59" s="361">
        <v>46158.779861111114</v>
      </c>
      <c r="O59" s="361"/>
      <c r="P59" s="361">
        <v>46158.779861111114</v>
      </c>
      <c r="Q59" s="85" t="s">
        <v>5063</v>
      </c>
      <c r="R59" s="12"/>
      <c r="S59" s="12"/>
      <c r="T59" s="12"/>
      <c r="U59" s="12" t="s">
        <v>371</v>
      </c>
      <c r="V59" s="12"/>
      <c r="W59" s="12"/>
      <c r="X59" s="12"/>
      <c r="Y59" s="12"/>
      <c r="Z59" s="167">
        <f t="shared" ca="1" si="16"/>
        <v>0.75000000000000011</v>
      </c>
      <c r="AA59" s="168">
        <f t="shared" ca="1" si="9"/>
        <v>2.0000000000000004</v>
      </c>
      <c r="AB59" s="167">
        <f t="shared" ca="1" si="10"/>
        <v>0.75000000000000011</v>
      </c>
      <c r="AC59" s="168">
        <f t="shared" ca="1" si="11"/>
        <v>2.0000000000000004</v>
      </c>
      <c r="AD59" s="167">
        <f t="shared" ca="1" si="12"/>
        <v>1.388888888565476E-3</v>
      </c>
      <c r="AE59" s="167">
        <f t="shared" ca="1" si="13"/>
        <v>0.75000000000000011</v>
      </c>
      <c r="AF59" s="168">
        <f t="shared" ca="1" si="14"/>
        <v>2.0000000000000004</v>
      </c>
      <c r="AG59" s="168">
        <f t="shared" ca="1" si="15"/>
        <v>2.0000000000000004</v>
      </c>
      <c r="AH59" s="81" t="str" cm="1">
        <f t="array" aca="1" ref="AH59" ca="1">IF((AD59) &lt; (INDEX(ResponseSLA[#All],(MATCH((G59),ResponseSLA[Priority],0))+1,3)),"YES","No")</f>
        <v>YES</v>
      </c>
      <c r="AI59" s="81" t="str">
        <f ca="1">_xlfn.IFNA(IF(AE59 &lt; (INDEX(SLATable[Minimum SLA],MATCH(G59,SLATable[Priority],0))),"YES","NO"),"")</f>
        <v>YES</v>
      </c>
      <c r="AJ59" s="19" t="str">
        <f ca="1">_xlfn.IFNA(IF(AE59 &lt; (INDEX(SLATable[Maximum SLA],MATCH(G59,SLATable[Priority],0))),"YES","NO"),"")</f>
        <v>YES</v>
      </c>
      <c r="AK59" s="12"/>
    </row>
    <row r="60" spans="1:37" ht="15" customHeight="1">
      <c r="A60" s="12">
        <v>59</v>
      </c>
      <c r="B60" s="12" t="s">
        <v>26</v>
      </c>
      <c r="C60" s="12" t="s">
        <v>37</v>
      </c>
      <c r="D60" s="12" t="s">
        <v>207</v>
      </c>
      <c r="E60" s="85" t="s">
        <v>5064</v>
      </c>
      <c r="F60" s="85" t="s">
        <v>36</v>
      </c>
      <c r="G60" s="85">
        <v>4</v>
      </c>
      <c r="H60" s="85" t="s">
        <v>5065</v>
      </c>
      <c r="I60" s="182" t="s">
        <v>271</v>
      </c>
      <c r="J60" s="85" t="s">
        <v>5066</v>
      </c>
      <c r="K60" s="361">
        <v>46155.559027777781</v>
      </c>
      <c r="L60" s="361">
        <v>46155.559027777781</v>
      </c>
      <c r="M60" s="361">
        <v>46155.589583333334</v>
      </c>
      <c r="N60" s="361">
        <v>46169.644444444442</v>
      </c>
      <c r="O60" s="361"/>
      <c r="P60" s="361">
        <v>46169.644444444442</v>
      </c>
      <c r="Q60" s="85" t="s">
        <v>5067</v>
      </c>
      <c r="R60" s="12"/>
      <c r="S60" s="12"/>
      <c r="T60" s="12"/>
      <c r="U60" s="12" t="s">
        <v>371</v>
      </c>
      <c r="V60" s="12"/>
      <c r="W60" s="12"/>
      <c r="X60" s="12"/>
      <c r="Y60" s="12"/>
      <c r="Z60" s="167">
        <f t="shared" ca="1" si="16"/>
        <v>3.460416666661331</v>
      </c>
      <c r="AA60" s="168">
        <f t="shared" ca="1" si="9"/>
        <v>9.2277777777635492</v>
      </c>
      <c r="AB60" s="167">
        <f t="shared" ca="1" si="10"/>
        <v>3.460416666661331</v>
      </c>
      <c r="AC60" s="168">
        <f t="shared" ca="1" si="11"/>
        <v>9.2277777777635492</v>
      </c>
      <c r="AD60" s="167">
        <f t="shared" ca="1" si="12"/>
        <v>3.0555555553291924E-2</v>
      </c>
      <c r="AE60" s="167">
        <f t="shared" ca="1" si="13"/>
        <v>3.460416666661331</v>
      </c>
      <c r="AF60" s="168">
        <f t="shared" ca="1" si="14"/>
        <v>9.2277777777635492</v>
      </c>
      <c r="AG60" s="168">
        <f t="shared" ca="1" si="15"/>
        <v>9.2277777777635492</v>
      </c>
      <c r="AH60" s="81" t="str" cm="1">
        <f t="array" aca="1" ref="AH60" ca="1">IF((AD60) &lt; (INDEX(ResponseSLA[#All],(MATCH((G60),ResponseSLA[Priority],0))+1,3)),"YES","No")</f>
        <v>YES</v>
      </c>
      <c r="AI60" s="81" t="str">
        <f ca="1">_xlfn.IFNA(IF(AE60 &lt; (INDEX(SLATable[Minimum SLA],MATCH(G60,SLATable[Priority],0))),"YES","NO"),"")</f>
        <v>YES</v>
      </c>
      <c r="AJ60" s="19" t="str">
        <f ca="1">_xlfn.IFNA(IF(AE60 &lt; (INDEX(SLATable[Maximum SLA],MATCH(G60,SLATable[Priority],0))),"YES","NO"),"")</f>
        <v>YES</v>
      </c>
      <c r="AK60" s="12"/>
    </row>
    <row r="61" spans="1:37" ht="15" customHeight="1">
      <c r="A61" s="12">
        <v>60</v>
      </c>
      <c r="B61" s="12" t="s">
        <v>26</v>
      </c>
      <c r="C61" s="12" t="s">
        <v>37</v>
      </c>
      <c r="D61" s="12" t="s">
        <v>207</v>
      </c>
      <c r="E61" s="12" t="s">
        <v>5068</v>
      </c>
      <c r="F61" s="85" t="s">
        <v>36</v>
      </c>
      <c r="G61" s="12">
        <v>4</v>
      </c>
      <c r="H61" s="12" t="s">
        <v>5069</v>
      </c>
      <c r="I61" s="182" t="s">
        <v>271</v>
      </c>
      <c r="J61" s="12" t="s">
        <v>4940</v>
      </c>
      <c r="K61" s="361">
        <v>46156.427777777775</v>
      </c>
      <c r="L61" s="361">
        <v>46164.453472222223</v>
      </c>
      <c r="M61" s="361">
        <v>46164.457638888889</v>
      </c>
      <c r="N61" s="361">
        <v>46164.457638888889</v>
      </c>
      <c r="O61" s="361"/>
      <c r="P61" s="361"/>
      <c r="Q61" s="12" t="s">
        <v>5070</v>
      </c>
      <c r="R61" s="12"/>
      <c r="S61" s="12"/>
      <c r="T61" s="12"/>
      <c r="U61" s="12" t="s">
        <v>371</v>
      </c>
      <c r="V61" s="12"/>
      <c r="W61" s="12"/>
      <c r="X61" s="12"/>
      <c r="Y61" s="12"/>
      <c r="Z61" s="167">
        <f t="shared" ca="1" si="16"/>
        <v>2.2798611111138603</v>
      </c>
      <c r="AA61" s="168">
        <f t="shared" ca="1" si="9"/>
        <v>6.079629629636961</v>
      </c>
      <c r="AB61" s="167">
        <f t="shared" ca="1" si="10"/>
        <v>4.166666665696539E-3</v>
      </c>
      <c r="AC61" s="168">
        <f t="shared" ca="1" si="11"/>
        <v>1.1111111108524105E-2</v>
      </c>
      <c r="AD61" s="167">
        <f t="shared" ca="1" si="12"/>
        <v>4.166666665696539E-3</v>
      </c>
      <c r="AE61" s="167">
        <f t="shared" ca="1" si="13"/>
        <v>4.166666665696539E-3</v>
      </c>
      <c r="AF61" s="168">
        <f t="shared" ca="1" si="14"/>
        <v>1.1111111108524105E-2</v>
      </c>
      <c r="AG61" s="168">
        <f t="shared" ca="1" si="15"/>
        <v>1.1111111108524105E-2</v>
      </c>
      <c r="AH61" s="81" t="str" cm="1">
        <f t="array" aca="1" ref="AH61" ca="1">IF((AD61) &lt; (INDEX(ResponseSLA[#All],(MATCH((G61),ResponseSLA[Priority],0))+1,3)),"YES","No")</f>
        <v>YES</v>
      </c>
      <c r="AI61" s="81" t="str">
        <f ca="1">_xlfn.IFNA(IF(AE61 &lt; (INDEX(SLATable[Minimum SLA],MATCH(G61,SLATable[Priority],0))),"YES","NO"),"")</f>
        <v>YES</v>
      </c>
      <c r="AJ61" s="19" t="str">
        <f ca="1">_xlfn.IFNA(IF(AE61 &lt; (INDEX(SLATable[Maximum SLA],MATCH(G61,SLATable[Priority],0))),"YES","NO"),"")</f>
        <v>YES</v>
      </c>
      <c r="AK61" s="12"/>
    </row>
    <row r="62" spans="1:37" ht="15" customHeight="1">
      <c r="A62" s="12">
        <v>61</v>
      </c>
      <c r="B62" s="12" t="s">
        <v>26</v>
      </c>
      <c r="C62" s="12" t="s">
        <v>37</v>
      </c>
      <c r="D62" s="12" t="s">
        <v>207</v>
      </c>
      <c r="E62" s="85" t="s">
        <v>5071</v>
      </c>
      <c r="F62" s="85" t="s">
        <v>36</v>
      </c>
      <c r="G62" s="85">
        <v>4</v>
      </c>
      <c r="H62" s="85" t="s">
        <v>5072</v>
      </c>
      <c r="I62" s="182" t="s">
        <v>271</v>
      </c>
      <c r="J62" s="85" t="s">
        <v>4935</v>
      </c>
      <c r="K62" s="361">
        <v>46156.574305555558</v>
      </c>
      <c r="L62" s="361">
        <v>46156.574305555558</v>
      </c>
      <c r="M62" s="361">
        <v>46156.594444444447</v>
      </c>
      <c r="N62" s="361">
        <v>46159.613888888889</v>
      </c>
      <c r="O62" s="361"/>
      <c r="P62" s="361">
        <v>46159.613888888889</v>
      </c>
      <c r="Q62" s="85" t="s">
        <v>4947</v>
      </c>
      <c r="R62" s="12"/>
      <c r="S62" s="12"/>
      <c r="T62" s="12"/>
      <c r="U62" s="12" t="s">
        <v>371</v>
      </c>
      <c r="V62" s="12"/>
      <c r="W62" s="12"/>
      <c r="X62" s="12"/>
      <c r="Y62" s="12"/>
      <c r="Z62" s="167">
        <f t="shared" ca="1" si="16"/>
        <v>0.13402777777567587</v>
      </c>
      <c r="AA62" s="168">
        <f t="shared" ca="1" si="9"/>
        <v>0.35740740740180232</v>
      </c>
      <c r="AB62" s="167">
        <f t="shared" ca="1" si="10"/>
        <v>0.13402777777567587</v>
      </c>
      <c r="AC62" s="168">
        <f t="shared" ca="1" si="11"/>
        <v>0.35740740740180232</v>
      </c>
      <c r="AD62" s="167">
        <f t="shared" ca="1" si="12"/>
        <v>2.0138888889050577E-2</v>
      </c>
      <c r="AE62" s="167">
        <f t="shared" ca="1" si="13"/>
        <v>0.13402777777567587</v>
      </c>
      <c r="AF62" s="168">
        <f t="shared" ca="1" si="14"/>
        <v>0.35740740740180232</v>
      </c>
      <c r="AG62" s="168">
        <f t="shared" ca="1" si="15"/>
        <v>0.35740740740180232</v>
      </c>
      <c r="AH62" s="81" t="str" cm="1">
        <f t="array" aca="1" ref="AH62" ca="1">IF((AD62) &lt; (INDEX(ResponseSLA[#All],(MATCH((G62),ResponseSLA[Priority],0))+1,3)),"YES","No")</f>
        <v>YES</v>
      </c>
      <c r="AI62" s="81" t="str">
        <f ca="1">_xlfn.IFNA(IF(AE62 &lt; (INDEX(SLATable[Minimum SLA],MATCH(G62,SLATable[Priority],0))),"YES","NO"),"")</f>
        <v>YES</v>
      </c>
      <c r="AJ62" s="19" t="str">
        <f ca="1">_xlfn.IFNA(IF(AE62 &lt; (INDEX(SLATable[Maximum SLA],MATCH(G62,SLATable[Priority],0))),"YES","NO"),"")</f>
        <v>YES</v>
      </c>
      <c r="AK62" s="12"/>
    </row>
    <row r="63" spans="1:37" ht="15" customHeight="1">
      <c r="A63" s="378">
        <v>62</v>
      </c>
      <c r="B63" s="12" t="s">
        <v>26</v>
      </c>
      <c r="C63" s="12" t="s">
        <v>37</v>
      </c>
      <c r="D63" s="12" t="s">
        <v>207</v>
      </c>
      <c r="E63" s="85" t="s">
        <v>5073</v>
      </c>
      <c r="F63" s="85" t="s">
        <v>36</v>
      </c>
      <c r="G63" s="85">
        <v>4</v>
      </c>
      <c r="H63" s="85" t="s">
        <v>5074</v>
      </c>
      <c r="I63" s="182" t="s">
        <v>271</v>
      </c>
      <c r="J63" s="85" t="s">
        <v>4935</v>
      </c>
      <c r="K63" s="361">
        <v>46156.582638888889</v>
      </c>
      <c r="L63" s="361">
        <v>46156.582638888889</v>
      </c>
      <c r="M63" s="361">
        <v>46156.595833333333</v>
      </c>
      <c r="N63" s="361">
        <v>46167.65625</v>
      </c>
      <c r="O63" s="361">
        <v>46156.632638888892</v>
      </c>
      <c r="P63" s="361">
        <v>46167.65625</v>
      </c>
      <c r="Q63" s="85" t="s">
        <v>4930</v>
      </c>
      <c r="R63" s="12"/>
      <c r="S63" s="12"/>
      <c r="T63" s="12"/>
      <c r="U63" s="12" t="s">
        <v>371</v>
      </c>
      <c r="V63" s="12"/>
      <c r="W63" s="12"/>
      <c r="X63" s="12"/>
      <c r="Y63" s="12"/>
      <c r="Z63" s="167">
        <f t="shared" ca="1" si="16"/>
        <v>5.0000000002910383E-2</v>
      </c>
      <c r="AA63" s="168">
        <f t="shared" ca="1" si="9"/>
        <v>0.13333333334109435</v>
      </c>
      <c r="AB63" s="167">
        <f t="shared" ca="1" si="10"/>
        <v>5.0000000002910383E-2</v>
      </c>
      <c r="AC63" s="168">
        <f t="shared" ca="1" si="11"/>
        <v>0.13333333334109435</v>
      </c>
      <c r="AD63" s="167">
        <f t="shared" ca="1" si="12"/>
        <v>1.3194444443797693E-2</v>
      </c>
      <c r="AE63" s="167">
        <f t="shared" ca="1" si="13"/>
        <v>5.0000000002910383E-2</v>
      </c>
      <c r="AF63" s="168">
        <f t="shared" ca="1" si="14"/>
        <v>0.13333333334109435</v>
      </c>
      <c r="AG63" s="168">
        <f t="shared" ca="1" si="15"/>
        <v>0.13333333334109435</v>
      </c>
      <c r="AH63" s="81" t="str" cm="1">
        <f t="array" aca="1" ref="AH63" ca="1">IF((AD63) &lt; (INDEX(ResponseSLA[#All],(MATCH((G63),ResponseSLA[Priority],0))+1,3)),"YES","No")</f>
        <v>YES</v>
      </c>
      <c r="AI63" s="81" t="str">
        <f ca="1">_xlfn.IFNA(IF(AE63 &lt; (INDEX(SLATable[Minimum SLA],MATCH(G63,SLATable[Priority],0))),"YES","NO"),"")</f>
        <v>YES</v>
      </c>
      <c r="AJ63" s="19" t="str">
        <f ca="1">_xlfn.IFNA(IF(AE63 &lt; (INDEX(SLATable[Maximum SLA],MATCH(G63,SLATable[Priority],0))),"YES","NO"),"")</f>
        <v>YES</v>
      </c>
      <c r="AK63" s="12"/>
    </row>
    <row r="64" spans="1:37" s="45" customFormat="1" ht="15" customHeight="1">
      <c r="A64" s="12">
        <v>63</v>
      </c>
      <c r="B64" s="327" t="s">
        <v>26</v>
      </c>
      <c r="C64" s="327" t="s">
        <v>37</v>
      </c>
      <c r="D64" s="327" t="s">
        <v>207</v>
      </c>
      <c r="E64" s="414" t="s">
        <v>5075</v>
      </c>
      <c r="F64" s="414" t="s">
        <v>36</v>
      </c>
      <c r="G64" s="414">
        <v>4</v>
      </c>
      <c r="H64" s="414" t="s">
        <v>5076</v>
      </c>
      <c r="I64" s="414" t="s">
        <v>260</v>
      </c>
      <c r="J64" s="414" t="s">
        <v>4928</v>
      </c>
      <c r="K64" s="386">
        <v>46158.276388888888</v>
      </c>
      <c r="L64" s="386">
        <v>46158.276388888888</v>
      </c>
      <c r="M64" s="386">
        <v>46160.338194444441</v>
      </c>
      <c r="N64" s="386"/>
      <c r="O64" s="386">
        <v>46169.536111111112</v>
      </c>
      <c r="P64" s="386"/>
      <c r="Q64" s="414" t="s">
        <v>4925</v>
      </c>
      <c r="R64" s="327"/>
      <c r="S64" s="327"/>
      <c r="T64" s="327"/>
      <c r="U64" s="327" t="s">
        <v>371</v>
      </c>
      <c r="V64" s="327"/>
      <c r="W64" s="327"/>
      <c r="X64" s="327"/>
      <c r="Y64" s="327"/>
      <c r="Z64" s="337">
        <f t="shared" ca="1" si="16"/>
        <v>26.550643055556677</v>
      </c>
      <c r="AA64" s="387">
        <f t="shared" ca="1" si="9"/>
        <v>70.801714814817799</v>
      </c>
      <c r="AB64" s="337">
        <f t="shared" ca="1" si="10"/>
        <v>2.4527777777790716</v>
      </c>
      <c r="AC64" s="387">
        <f t="shared" ca="1" si="11"/>
        <v>6.5407407407441909</v>
      </c>
      <c r="AD64" s="337">
        <f t="shared" ca="1" si="12"/>
        <v>4.8611111075539948E-3</v>
      </c>
      <c r="AE64" s="337">
        <f t="shared" ca="1" si="13"/>
        <v>2.4527777777790716</v>
      </c>
      <c r="AF64" s="387">
        <f t="shared" ca="1" si="14"/>
        <v>6.5407407407441909</v>
      </c>
      <c r="AG64" s="387">
        <f t="shared" ca="1" si="15"/>
        <v>6.5407407407441909</v>
      </c>
      <c r="AH64" s="388" t="str" cm="1">
        <f t="array" aca="1" ref="AH64" ca="1">IF((AD64) &lt; (INDEX(ResponseSLA[#All],(MATCH((G64),ResponseSLA[Priority],0))+1,3)),"YES","No")</f>
        <v>YES</v>
      </c>
      <c r="AI64" s="388" t="str">
        <f ca="1">_xlfn.IFNA(IF(AE64 &lt; (INDEX(SLATable[Minimum SLA],MATCH(G64,SLATable[Priority],0))),"YES","NO"),"")</f>
        <v>YES</v>
      </c>
      <c r="AJ64" s="146" t="str">
        <f ca="1">_xlfn.IFNA(IF(AE64 &lt; (INDEX(SLATable[Maximum SLA],MATCH(G64,SLATable[Priority],0))),"YES","NO"),"")</f>
        <v>YES</v>
      </c>
      <c r="AK64" s="327"/>
    </row>
    <row r="65" spans="1:37" s="45" customFormat="1" ht="15" customHeight="1">
      <c r="A65" s="12">
        <v>64</v>
      </c>
      <c r="B65" s="12" t="s">
        <v>26</v>
      </c>
      <c r="C65" s="12" t="s">
        <v>37</v>
      </c>
      <c r="D65" s="12" t="s">
        <v>207</v>
      </c>
      <c r="E65" s="85" t="s">
        <v>5077</v>
      </c>
      <c r="F65" s="85" t="s">
        <v>36</v>
      </c>
      <c r="G65" s="85">
        <v>4</v>
      </c>
      <c r="H65" s="85" t="s">
        <v>5078</v>
      </c>
      <c r="I65" s="85" t="s">
        <v>266</v>
      </c>
      <c r="J65" s="85" t="s">
        <v>4924</v>
      </c>
      <c r="K65" s="361">
        <v>46158.552083333336</v>
      </c>
      <c r="L65" s="361">
        <v>46158.552083333336</v>
      </c>
      <c r="M65" s="361">
        <v>46160.336111111108</v>
      </c>
      <c r="N65" s="361"/>
      <c r="O65" s="361">
        <v>46169.689583333333</v>
      </c>
      <c r="P65" s="361"/>
      <c r="Q65" s="85" t="s">
        <v>4930</v>
      </c>
      <c r="R65" s="12"/>
      <c r="S65" s="12"/>
      <c r="T65" s="12"/>
      <c r="U65" s="12" t="s">
        <v>371</v>
      </c>
      <c r="V65" s="12"/>
      <c r="W65" s="12"/>
      <c r="X65" s="12"/>
      <c r="Y65" s="12"/>
      <c r="Z65" s="167">
        <f t="shared" ca="1" si="16"/>
        <v>26.550643055556677</v>
      </c>
      <c r="AA65" s="168">
        <f t="shared" ca="1" si="9"/>
        <v>70.801714814817799</v>
      </c>
      <c r="AB65" s="167">
        <f t="shared" ca="1" si="10"/>
        <v>2.6062499999995152</v>
      </c>
      <c r="AC65" s="168">
        <f t="shared" ca="1" si="11"/>
        <v>6.949999999998707</v>
      </c>
      <c r="AD65" s="167">
        <f t="shared" ca="1" si="12"/>
        <v>0</v>
      </c>
      <c r="AE65" s="167">
        <f t="shared" ca="1" si="13"/>
        <v>2.6062499999995152</v>
      </c>
      <c r="AF65" s="168">
        <f t="shared" ca="1" si="14"/>
        <v>6.949999999998707</v>
      </c>
      <c r="AG65" s="168">
        <f t="shared" ca="1" si="15"/>
        <v>6.949999999998707</v>
      </c>
      <c r="AH65" s="81" t="str" cm="1">
        <f t="array" aca="1" ref="AH65" ca="1">IF((AD65) &lt; (INDEX(ResponseSLA[#All],(MATCH((G65),ResponseSLA[Priority],0))+1,3)),"YES","No")</f>
        <v>YES</v>
      </c>
      <c r="AI65" s="81" t="str">
        <f ca="1">_xlfn.IFNA(IF(AE65 &lt; (INDEX(SLATable[Minimum SLA],MATCH(G65,SLATable[Priority],0))),"YES","NO"),"")</f>
        <v>YES</v>
      </c>
      <c r="AJ65" s="19" t="str">
        <f ca="1">_xlfn.IFNA(IF(AE65 &lt; (INDEX(SLATable[Maximum SLA],MATCH(G65,SLATable[Priority],0))),"YES","NO"),"")</f>
        <v>YES</v>
      </c>
      <c r="AK65" s="12"/>
    </row>
    <row r="66" spans="1:37" s="45" customFormat="1" ht="15" customHeight="1">
      <c r="A66" s="12">
        <v>65</v>
      </c>
      <c r="B66" s="12" t="s">
        <v>26</v>
      </c>
      <c r="C66" s="12" t="s">
        <v>37</v>
      </c>
      <c r="D66" s="12" t="s">
        <v>207</v>
      </c>
      <c r="E66" s="85" t="s">
        <v>5079</v>
      </c>
      <c r="F66" s="85" t="s">
        <v>36</v>
      </c>
      <c r="G66" s="85">
        <v>4</v>
      </c>
      <c r="H66" s="85" t="s">
        <v>5076</v>
      </c>
      <c r="I66" s="85" t="s">
        <v>260</v>
      </c>
      <c r="J66" s="85" t="s">
        <v>5080</v>
      </c>
      <c r="K66" s="361">
        <v>46158.715277777781</v>
      </c>
      <c r="L66" s="361">
        <v>46158.715277777781</v>
      </c>
      <c r="M66" s="361">
        <v>46160.336805555555</v>
      </c>
      <c r="N66" s="361"/>
      <c r="O66" s="361">
        <v>46163.68472222222</v>
      </c>
      <c r="P66" s="361"/>
      <c r="Q66" s="85" t="s">
        <v>4925</v>
      </c>
      <c r="R66" s="12"/>
      <c r="S66" s="12"/>
      <c r="T66" s="12"/>
      <c r="U66" s="12" t="s">
        <v>371</v>
      </c>
      <c r="V66" s="12"/>
      <c r="W66" s="12"/>
      <c r="X66" s="12"/>
      <c r="Y66" s="12"/>
      <c r="Z66" s="167">
        <f t="shared" ca="1" si="16"/>
        <v>26.550643055556677</v>
      </c>
      <c r="AA66" s="168">
        <f t="shared" ca="1" si="9"/>
        <v>70.801714814817799</v>
      </c>
      <c r="AB66" s="167">
        <f t="shared" ca="1" si="10"/>
        <v>1.4763888888871106</v>
      </c>
      <c r="AC66" s="168">
        <f t="shared" ca="1" si="11"/>
        <v>3.9370370370322951</v>
      </c>
      <c r="AD66" s="167">
        <f t="shared" ca="1" si="12"/>
        <v>0</v>
      </c>
      <c r="AE66" s="167">
        <f t="shared" ca="1" si="13"/>
        <v>1.4763888888871106</v>
      </c>
      <c r="AF66" s="168">
        <f t="shared" ca="1" si="14"/>
        <v>3.9370370370322951</v>
      </c>
      <c r="AG66" s="168">
        <f t="shared" ca="1" si="15"/>
        <v>3.9370370370322951</v>
      </c>
      <c r="AH66" s="81" t="str" cm="1">
        <f t="array" aca="1" ref="AH66" ca="1">IF((AD66) &lt; (INDEX(ResponseSLA[#All],(MATCH((G66),ResponseSLA[Priority],0))+1,3)),"YES","No")</f>
        <v>YES</v>
      </c>
      <c r="AI66" s="81" t="str">
        <f ca="1">_xlfn.IFNA(IF(AE66 &lt; (INDEX(SLATable[Minimum SLA],MATCH(G66,SLATable[Priority],0))),"YES","NO"),"")</f>
        <v>YES</v>
      </c>
      <c r="AJ66" s="19" t="str">
        <f ca="1">_xlfn.IFNA(IF(AE66 &lt; (INDEX(SLATable[Maximum SLA],MATCH(G66,SLATable[Priority],0))),"YES","NO"),"")</f>
        <v>YES</v>
      </c>
      <c r="AK66" s="12"/>
    </row>
    <row r="67" spans="1:37" s="45" customFormat="1" ht="15" customHeight="1">
      <c r="A67" s="12">
        <v>66</v>
      </c>
      <c r="B67" s="365" t="s">
        <v>26</v>
      </c>
      <c r="C67" s="365" t="s">
        <v>37</v>
      </c>
      <c r="D67" s="365" t="s">
        <v>207</v>
      </c>
      <c r="E67" s="415" t="s">
        <v>5081</v>
      </c>
      <c r="F67" s="415" t="s">
        <v>36</v>
      </c>
      <c r="G67" s="415">
        <v>4</v>
      </c>
      <c r="H67" s="415" t="s">
        <v>5082</v>
      </c>
      <c r="I67" s="415" t="s">
        <v>260</v>
      </c>
      <c r="J67" s="415" t="s">
        <v>4924</v>
      </c>
      <c r="K67" s="368">
        <v>46158.755555555559</v>
      </c>
      <c r="L67" s="368">
        <v>46158.755555555559</v>
      </c>
      <c r="M67" s="368">
        <v>46160.334027777775</v>
      </c>
      <c r="N67" s="368"/>
      <c r="O67" s="368">
        <v>46167.558333333334</v>
      </c>
      <c r="P67" s="368"/>
      <c r="Q67" s="415" t="s">
        <v>4925</v>
      </c>
      <c r="R67" s="365"/>
      <c r="S67" s="365"/>
      <c r="T67" s="365"/>
      <c r="U67" s="365" t="s">
        <v>371</v>
      </c>
      <c r="V67" s="365"/>
      <c r="W67" s="365"/>
      <c r="X67" s="365"/>
      <c r="Y67" s="365"/>
      <c r="Z67" s="369">
        <f t="shared" ca="1" si="16"/>
        <v>26.550643055556677</v>
      </c>
      <c r="AA67" s="370">
        <f t="shared" ca="1" si="9"/>
        <v>70.801714814817799</v>
      </c>
      <c r="AB67" s="369">
        <f t="shared" ca="1" si="10"/>
        <v>1.5000000000000002</v>
      </c>
      <c r="AC67" s="370">
        <f t="shared" ca="1" si="11"/>
        <v>4.0000000000000009</v>
      </c>
      <c r="AD67" s="369">
        <f t="shared" ca="1" si="12"/>
        <v>0</v>
      </c>
      <c r="AE67" s="369">
        <f t="shared" ca="1" si="13"/>
        <v>1.5000000000000002</v>
      </c>
      <c r="AF67" s="370">
        <f t="shared" ca="1" si="14"/>
        <v>4.0000000000000009</v>
      </c>
      <c r="AG67" s="370">
        <f t="shared" ca="1" si="15"/>
        <v>4.0000000000000009</v>
      </c>
      <c r="AH67" s="164" t="str" cm="1">
        <f t="array" aca="1" ref="AH67" ca="1">IF((AD67) &lt; (INDEX(ResponseSLA[#All],(MATCH((G67),ResponseSLA[Priority],0))+1,3)),"YES","No")</f>
        <v>YES</v>
      </c>
      <c r="AI67" s="164" t="str">
        <f ca="1">_xlfn.IFNA(IF(AE67 &lt; (INDEX(SLATable[Minimum SLA],MATCH(G67,SLATable[Priority],0))),"YES","NO"),"")</f>
        <v>YES</v>
      </c>
      <c r="AJ67" s="145" t="str">
        <f ca="1">_xlfn.IFNA(IF(AE67 &lt; (INDEX(SLATable[Maximum SLA],MATCH(G67,SLATable[Priority],0))),"YES","NO"),"")</f>
        <v>YES</v>
      </c>
      <c r="AK67" s="365"/>
    </row>
    <row r="68" spans="1:37" ht="15" customHeight="1">
      <c r="A68" s="378">
        <v>67</v>
      </c>
      <c r="B68" s="12" t="s">
        <v>26</v>
      </c>
      <c r="C68" s="12" t="s">
        <v>37</v>
      </c>
      <c r="D68" s="12" t="s">
        <v>207</v>
      </c>
      <c r="E68" s="85" t="s">
        <v>5083</v>
      </c>
      <c r="F68" s="85" t="s">
        <v>36</v>
      </c>
      <c r="G68" s="85">
        <v>4</v>
      </c>
      <c r="H68" s="85" t="s">
        <v>5084</v>
      </c>
      <c r="I68" s="182" t="s">
        <v>271</v>
      </c>
      <c r="J68" s="85" t="s">
        <v>4924</v>
      </c>
      <c r="K68" s="361">
        <v>46159.015972222223</v>
      </c>
      <c r="L68" s="361">
        <v>46159.015972222223</v>
      </c>
      <c r="M68" s="361">
        <v>46160.327777777777</v>
      </c>
      <c r="N68" s="361">
        <v>46167.9375</v>
      </c>
      <c r="O68" s="361">
        <v>46160.560416666667</v>
      </c>
      <c r="P68" s="361">
        <v>46167.9375</v>
      </c>
      <c r="Q68" s="85" t="s">
        <v>4925</v>
      </c>
      <c r="R68" s="12"/>
      <c r="S68" s="12"/>
      <c r="T68" s="12"/>
      <c r="U68" s="12" t="s">
        <v>371</v>
      </c>
      <c r="V68" s="12"/>
      <c r="W68" s="12"/>
      <c r="X68" s="12"/>
      <c r="Y68" s="12"/>
      <c r="Z68" s="167">
        <f t="shared" ca="1" si="16"/>
        <v>0.22708333333381847</v>
      </c>
      <c r="AA68" s="168">
        <f t="shared" ca="1" si="9"/>
        <v>0.60555555555684926</v>
      </c>
      <c r="AB68" s="167">
        <f t="shared" ca="1" si="10"/>
        <v>0.22708333333381847</v>
      </c>
      <c r="AC68" s="168">
        <f t="shared" ca="1" si="11"/>
        <v>0.60555555555684926</v>
      </c>
      <c r="AD68" s="167">
        <f t="shared" ca="1" si="12"/>
        <v>0</v>
      </c>
      <c r="AE68" s="167">
        <f t="shared" ca="1" si="13"/>
        <v>0.22708333333381847</v>
      </c>
      <c r="AF68" s="168">
        <f t="shared" ca="1" si="14"/>
        <v>0.60555555555684926</v>
      </c>
      <c r="AG68" s="168">
        <f t="shared" ca="1" si="15"/>
        <v>0.60555555555684926</v>
      </c>
      <c r="AH68" s="81" t="str" cm="1">
        <f t="array" aca="1" ref="AH68" ca="1">IF((AD68) &lt; (INDEX(ResponseSLA[#All],(MATCH((G68),ResponseSLA[Priority],0))+1,3)),"YES","No")</f>
        <v>YES</v>
      </c>
      <c r="AI68" s="81" t="str">
        <f ca="1">_xlfn.IFNA(IF(AE68 &lt; (INDEX(SLATable[Minimum SLA],MATCH(G68,SLATable[Priority],0))),"YES","NO"),"")</f>
        <v>YES</v>
      </c>
      <c r="AJ68" s="19" t="str">
        <f ca="1">_xlfn.IFNA(IF(AE68 &lt; (INDEX(SLATable[Maximum SLA],MATCH(G68,SLATable[Priority],0))),"YES","NO"),"")</f>
        <v>YES</v>
      </c>
      <c r="AK68" s="12"/>
    </row>
    <row r="69" spans="1:37" ht="15" customHeight="1">
      <c r="A69" s="12">
        <v>68</v>
      </c>
      <c r="B69" s="12" t="s">
        <v>26</v>
      </c>
      <c r="C69" s="12" t="s">
        <v>37</v>
      </c>
      <c r="D69" s="12" t="s">
        <v>207</v>
      </c>
      <c r="E69" s="85" t="s">
        <v>5085</v>
      </c>
      <c r="F69" s="85" t="s">
        <v>36</v>
      </c>
      <c r="G69" s="85">
        <v>4</v>
      </c>
      <c r="H69" s="85" t="s">
        <v>5086</v>
      </c>
      <c r="I69" s="182" t="s">
        <v>271</v>
      </c>
      <c r="J69" s="85" t="s">
        <v>4940</v>
      </c>
      <c r="K69" s="361">
        <v>46159.703472222223</v>
      </c>
      <c r="L69" s="361">
        <v>46159.703472222223</v>
      </c>
      <c r="M69" s="361">
        <v>46160.324305555558</v>
      </c>
      <c r="N69" s="361">
        <v>46167.9375</v>
      </c>
      <c r="O69" s="361">
        <v>46167.421527777777</v>
      </c>
      <c r="P69" s="361">
        <v>46167.9375</v>
      </c>
      <c r="Q69" s="85" t="s">
        <v>4977</v>
      </c>
      <c r="R69" s="12"/>
      <c r="S69" s="12"/>
      <c r="T69" s="12"/>
      <c r="U69" s="12" t="s">
        <v>371</v>
      </c>
      <c r="V69" s="12"/>
      <c r="W69" s="12"/>
      <c r="X69" s="12"/>
      <c r="Y69" s="12"/>
      <c r="Z69" s="167">
        <f t="shared" ca="1" si="16"/>
        <v>1.5000000000000002</v>
      </c>
      <c r="AA69" s="168">
        <f t="shared" ca="1" si="9"/>
        <v>4.0000000000000009</v>
      </c>
      <c r="AB69" s="167">
        <f t="shared" ca="1" si="10"/>
        <v>1.5000000000000002</v>
      </c>
      <c r="AC69" s="168">
        <f t="shared" ca="1" si="11"/>
        <v>4.0000000000000009</v>
      </c>
      <c r="AD69" s="167">
        <f t="shared" ca="1" si="12"/>
        <v>0</v>
      </c>
      <c r="AE69" s="167">
        <f t="shared" ca="1" si="13"/>
        <v>1.5000000000000002</v>
      </c>
      <c r="AF69" s="168">
        <f t="shared" ca="1" si="14"/>
        <v>4.0000000000000009</v>
      </c>
      <c r="AG69" s="168">
        <f t="shared" ca="1" si="15"/>
        <v>4.0000000000000009</v>
      </c>
      <c r="AH69" s="81" t="str" cm="1">
        <f t="array" aca="1" ref="AH69" ca="1">IF((AD69) &lt; (INDEX(ResponseSLA[#All],(MATCH((G69),ResponseSLA[Priority],0))+1,3)),"YES","No")</f>
        <v>YES</v>
      </c>
      <c r="AI69" s="81" t="str">
        <f ca="1">_xlfn.IFNA(IF(AE69 &lt; (INDEX(SLATable[Minimum SLA],MATCH(G69,SLATable[Priority],0))),"YES","NO"),"")</f>
        <v>YES</v>
      </c>
      <c r="AJ69" s="19" t="str">
        <f ca="1">_xlfn.IFNA(IF(AE69 &lt; (INDEX(SLATable[Maximum SLA],MATCH(G69,SLATable[Priority],0))),"YES","NO"),"")</f>
        <v>YES</v>
      </c>
      <c r="AK69" s="12"/>
    </row>
    <row r="70" spans="1:37" ht="15" customHeight="1">
      <c r="A70" s="12">
        <v>69</v>
      </c>
      <c r="B70" s="12" t="s">
        <v>26</v>
      </c>
      <c r="C70" s="12" t="s">
        <v>37</v>
      </c>
      <c r="D70" s="12" t="s">
        <v>207</v>
      </c>
      <c r="E70" s="85" t="s">
        <v>5087</v>
      </c>
      <c r="F70" s="85" t="s">
        <v>36</v>
      </c>
      <c r="G70" s="85">
        <v>4</v>
      </c>
      <c r="H70" s="85" t="s">
        <v>5088</v>
      </c>
      <c r="I70" s="182" t="s">
        <v>271</v>
      </c>
      <c r="J70" s="85" t="s">
        <v>4924</v>
      </c>
      <c r="K70" s="361">
        <v>46159.810416666667</v>
      </c>
      <c r="L70" s="361">
        <v>46159.810416666667</v>
      </c>
      <c r="M70" s="361">
        <v>46160.326388888891</v>
      </c>
      <c r="N70" s="361">
        <v>46167.9375</v>
      </c>
      <c r="O70" s="361">
        <v>46167.489583333336</v>
      </c>
      <c r="P70" s="361">
        <v>46167.9375</v>
      </c>
      <c r="Q70" s="85" t="s">
        <v>5025</v>
      </c>
      <c r="R70" s="12"/>
      <c r="S70" s="12"/>
      <c r="T70" s="12"/>
      <c r="U70" s="12" t="s">
        <v>371</v>
      </c>
      <c r="V70" s="12"/>
      <c r="W70" s="12"/>
      <c r="X70" s="12"/>
      <c r="Y70" s="12"/>
      <c r="Z70" s="167">
        <f t="shared" ca="1" si="16"/>
        <v>1.5000000000000002</v>
      </c>
      <c r="AA70" s="168">
        <f t="shared" ca="1" si="9"/>
        <v>4.0000000000000009</v>
      </c>
      <c r="AB70" s="167">
        <f t="shared" ca="1" si="10"/>
        <v>1.5000000000000002</v>
      </c>
      <c r="AC70" s="168">
        <f t="shared" ca="1" si="11"/>
        <v>4.0000000000000009</v>
      </c>
      <c r="AD70" s="167">
        <f t="shared" ca="1" si="12"/>
        <v>0</v>
      </c>
      <c r="AE70" s="167">
        <f t="shared" ca="1" si="13"/>
        <v>1.5000000000000002</v>
      </c>
      <c r="AF70" s="168">
        <f t="shared" ca="1" si="14"/>
        <v>4.0000000000000009</v>
      </c>
      <c r="AG70" s="168">
        <f t="shared" ca="1" si="15"/>
        <v>4.0000000000000009</v>
      </c>
      <c r="AH70" s="81" t="str" cm="1">
        <f t="array" aca="1" ref="AH70" ca="1">IF((AD70) &lt; (INDEX(ResponseSLA[#All],(MATCH((G70),ResponseSLA[Priority],0))+1,3)),"YES","No")</f>
        <v>YES</v>
      </c>
      <c r="AI70" s="81" t="str">
        <f ca="1">_xlfn.IFNA(IF(AE70 &lt; (INDEX(SLATable[Minimum SLA],MATCH(G70,SLATable[Priority],0))),"YES","NO"),"")</f>
        <v>YES</v>
      </c>
      <c r="AJ70" s="19" t="str">
        <f ca="1">_xlfn.IFNA(IF(AE70 &lt; (INDEX(SLATable[Maximum SLA],MATCH(G70,SLATable[Priority],0))),"YES","NO"),"")</f>
        <v>YES</v>
      </c>
      <c r="AK70" s="12"/>
    </row>
    <row r="71" spans="1:37" ht="15" customHeight="1">
      <c r="A71" s="12">
        <v>70</v>
      </c>
      <c r="B71" s="12" t="s">
        <v>26</v>
      </c>
      <c r="C71" s="12" t="s">
        <v>37</v>
      </c>
      <c r="D71" s="12" t="s">
        <v>207</v>
      </c>
      <c r="E71" s="85" t="s">
        <v>5089</v>
      </c>
      <c r="F71" s="85" t="s">
        <v>36</v>
      </c>
      <c r="G71" s="85">
        <v>4</v>
      </c>
      <c r="H71" s="85" t="s">
        <v>5090</v>
      </c>
      <c r="I71" s="182" t="s">
        <v>271</v>
      </c>
      <c r="J71" s="85" t="s">
        <v>4928</v>
      </c>
      <c r="K71" s="361">
        <v>46161.663194444445</v>
      </c>
      <c r="L71" s="361">
        <v>46161.664583333331</v>
      </c>
      <c r="M71" s="361">
        <v>46161.673611111109</v>
      </c>
      <c r="N71" s="361">
        <v>46169.9375</v>
      </c>
      <c r="O71" s="361">
        <v>46162.512499999997</v>
      </c>
      <c r="P71" s="361">
        <v>46169.9375</v>
      </c>
      <c r="Q71" s="85" t="s">
        <v>5091</v>
      </c>
      <c r="R71" s="12"/>
      <c r="S71" s="12"/>
      <c r="T71" s="12"/>
      <c r="U71" s="12" t="s">
        <v>371</v>
      </c>
      <c r="V71" s="12"/>
      <c r="W71" s="12"/>
      <c r="X71" s="12"/>
      <c r="Y71" s="12"/>
      <c r="Z71" s="167">
        <f t="shared" ca="1" si="16"/>
        <v>0.22430555555183673</v>
      </c>
      <c r="AA71" s="168">
        <f t="shared" ca="1" si="9"/>
        <v>0.59814814813823125</v>
      </c>
      <c r="AB71" s="167">
        <f t="shared" ca="1" si="10"/>
        <v>0.22291666666569654</v>
      </c>
      <c r="AC71" s="168">
        <f t="shared" ca="1" si="11"/>
        <v>0.5944444444418574</v>
      </c>
      <c r="AD71" s="167">
        <f t="shared" ca="1" si="12"/>
        <v>9.0277777781011537E-3</v>
      </c>
      <c r="AE71" s="167">
        <f t="shared" ca="1" si="13"/>
        <v>0.22291666666569654</v>
      </c>
      <c r="AF71" s="168">
        <f t="shared" ca="1" si="14"/>
        <v>0.5944444444418574</v>
      </c>
      <c r="AG71" s="168">
        <f t="shared" ca="1" si="15"/>
        <v>0.5944444444418574</v>
      </c>
      <c r="AH71" s="81" t="str" cm="1">
        <f t="array" aca="1" ref="AH71" ca="1">IF((AD71) &lt; (INDEX(ResponseSLA[#All],(MATCH((G71),ResponseSLA[Priority],0))+1,3)),"YES","No")</f>
        <v>YES</v>
      </c>
      <c r="AI71" s="81" t="str">
        <f ca="1">_xlfn.IFNA(IF(AE71 &lt; (INDEX(SLATable[Minimum SLA],MATCH(G71,SLATable[Priority],0))),"YES","NO"),"")</f>
        <v>YES</v>
      </c>
      <c r="AJ71" s="19" t="str">
        <f ca="1">_xlfn.IFNA(IF(AE71 &lt; (INDEX(SLATable[Maximum SLA],MATCH(G71,SLATable[Priority],0))),"YES","NO"),"")</f>
        <v>YES</v>
      </c>
      <c r="AK71" s="12"/>
    </row>
    <row r="72" spans="1:37" s="45" customFormat="1" ht="15" customHeight="1">
      <c r="A72" s="12">
        <v>71</v>
      </c>
      <c r="B72" s="327" t="s">
        <v>26</v>
      </c>
      <c r="C72" s="327" t="s">
        <v>37</v>
      </c>
      <c r="D72" s="327" t="s">
        <v>207</v>
      </c>
      <c r="E72" s="414" t="s">
        <v>5092</v>
      </c>
      <c r="F72" s="414" t="s">
        <v>36</v>
      </c>
      <c r="G72" s="414">
        <v>4</v>
      </c>
      <c r="H72" s="414" t="s">
        <v>5093</v>
      </c>
      <c r="I72" s="414" t="s">
        <v>266</v>
      </c>
      <c r="J72" s="414" t="s">
        <v>4940</v>
      </c>
      <c r="K72" s="386">
        <v>46162.477777777778</v>
      </c>
      <c r="L72" s="386">
        <v>46162.477777777778</v>
      </c>
      <c r="M72" s="386">
        <v>46162.583333333336</v>
      </c>
      <c r="N72" s="386"/>
      <c r="O72" s="386">
        <v>46169.329861111109</v>
      </c>
      <c r="P72" s="386"/>
      <c r="Q72" s="414" t="s">
        <v>4925</v>
      </c>
      <c r="R72" s="327"/>
      <c r="S72" s="327"/>
      <c r="T72" s="327"/>
      <c r="U72" s="327" t="s">
        <v>371</v>
      </c>
      <c r="V72" s="327"/>
      <c r="W72" s="327"/>
      <c r="X72" s="327"/>
      <c r="Y72" s="327"/>
      <c r="Z72" s="337">
        <f t="shared" ca="1" si="16"/>
        <v>25.656198611111908</v>
      </c>
      <c r="AA72" s="387">
        <f t="shared" ca="1" si="9"/>
        <v>68.416529629631754</v>
      </c>
      <c r="AB72" s="337">
        <f t="shared" ca="1" si="10"/>
        <v>1.3555555555552323</v>
      </c>
      <c r="AC72" s="387">
        <f t="shared" ca="1" si="11"/>
        <v>3.6148148148139523</v>
      </c>
      <c r="AD72" s="337">
        <f t="shared" ca="1" si="12"/>
        <v>0.1055555555576575</v>
      </c>
      <c r="AE72" s="337">
        <f t="shared" ca="1" si="13"/>
        <v>1.3555555555552323</v>
      </c>
      <c r="AF72" s="387">
        <f t="shared" ca="1" si="14"/>
        <v>3.6148148148139523</v>
      </c>
      <c r="AG72" s="387">
        <f t="shared" ca="1" si="15"/>
        <v>3.6148148148139523</v>
      </c>
      <c r="AH72" s="388" t="str" cm="1">
        <f t="array" aca="1" ref="AH72" ca="1">IF((AD72) &lt; (INDEX(ResponseSLA[#All],(MATCH((G72),ResponseSLA[Priority],0))+1,3)),"YES","No")</f>
        <v>YES</v>
      </c>
      <c r="AI72" s="388" t="str">
        <f ca="1">_xlfn.IFNA(IF(AE72 &lt; (INDEX(SLATable[Minimum SLA],MATCH(G72,SLATable[Priority],0))),"YES","NO"),"")</f>
        <v>YES</v>
      </c>
      <c r="AJ72" s="146" t="str">
        <f ca="1">_xlfn.IFNA(IF(AE72 &lt; (INDEX(SLATable[Maximum SLA],MATCH(G72,SLATable[Priority],0))),"YES","NO"),"")</f>
        <v>YES</v>
      </c>
      <c r="AK72" s="327"/>
    </row>
    <row r="73" spans="1:37" s="45" customFormat="1" ht="15" customHeight="1">
      <c r="A73" s="378">
        <v>72</v>
      </c>
      <c r="B73" s="12" t="s">
        <v>26</v>
      </c>
      <c r="C73" s="12" t="s">
        <v>37</v>
      </c>
      <c r="D73" s="12" t="s">
        <v>207</v>
      </c>
      <c r="E73" s="85" t="s">
        <v>5094</v>
      </c>
      <c r="F73" s="85" t="s">
        <v>36</v>
      </c>
      <c r="G73" s="85">
        <v>4</v>
      </c>
      <c r="H73" s="85" t="s">
        <v>5095</v>
      </c>
      <c r="I73" s="85" t="s">
        <v>260</v>
      </c>
      <c r="J73" s="85" t="s">
        <v>5080</v>
      </c>
      <c r="K73" s="361">
        <v>46162.532638888886</v>
      </c>
      <c r="L73" s="361">
        <v>46162.532638888886</v>
      </c>
      <c r="M73" s="361">
        <v>46162.584027777775</v>
      </c>
      <c r="N73" s="361"/>
      <c r="O73" s="361"/>
      <c r="P73" s="361"/>
      <c r="Q73" s="12" t="s">
        <v>5067</v>
      </c>
      <c r="R73" s="12"/>
      <c r="S73" s="12"/>
      <c r="T73" s="12"/>
      <c r="U73" s="12" t="s">
        <v>371</v>
      </c>
      <c r="V73" s="12"/>
      <c r="W73" s="12"/>
      <c r="X73" s="12"/>
      <c r="Y73" s="12"/>
      <c r="Z73" s="167">
        <f t="shared" ca="1" si="16"/>
        <v>25.601337500003869</v>
      </c>
      <c r="AA73" s="168">
        <f t="shared" ca="1" si="9"/>
        <v>68.270233333343654</v>
      </c>
      <c r="AB73" s="167">
        <f t="shared" ca="1" si="10"/>
        <v>25.601337500003869</v>
      </c>
      <c r="AC73" s="168">
        <f t="shared" ca="1" si="11"/>
        <v>68.270233333343654</v>
      </c>
      <c r="AD73" s="167">
        <f t="shared" ca="1" si="12"/>
        <v>5.1388888889050577E-2</v>
      </c>
      <c r="AE73" s="167">
        <f t="shared" ca="1" si="13"/>
        <v>25.601337500003869</v>
      </c>
      <c r="AF73" s="168">
        <f t="shared" ca="1" si="14"/>
        <v>68.270233333343654</v>
      </c>
      <c r="AG73" s="168">
        <f t="shared" ca="1" si="15"/>
        <v>68.270233333343654</v>
      </c>
      <c r="AH73" s="81" t="str" cm="1">
        <f t="array" aca="1" ref="AH73" ca="1">IF((AD73) &lt; (INDEX(ResponseSLA[#All],(MATCH((G73),ResponseSLA[Priority],0))+1,3)),"YES","No")</f>
        <v>YES</v>
      </c>
      <c r="AI73" s="81" t="str">
        <f ca="1">_xlfn.IFNA(IF(AE73 &lt; (INDEX(SLATable[Minimum SLA],MATCH(G73,SLATable[Priority],0))),"YES","NO"),"")</f>
        <v>NO</v>
      </c>
      <c r="AJ73" s="19" t="str">
        <f ca="1">_xlfn.IFNA(IF(AE73 &lt; (INDEX(SLATable[Maximum SLA],MATCH(G73,SLATable[Priority],0))),"YES","NO"),"")</f>
        <v>NO</v>
      </c>
      <c r="AK73" s="12"/>
    </row>
    <row r="74" spans="1:37" s="45" customFormat="1" ht="15" customHeight="1">
      <c r="A74" s="12">
        <v>73</v>
      </c>
      <c r="B74" s="12" t="s">
        <v>26</v>
      </c>
      <c r="C74" s="12" t="s">
        <v>37</v>
      </c>
      <c r="D74" s="12" t="s">
        <v>207</v>
      </c>
      <c r="E74" s="12" t="s">
        <v>5096</v>
      </c>
      <c r="F74" s="85" t="s">
        <v>36</v>
      </c>
      <c r="G74" s="12">
        <v>4</v>
      </c>
      <c r="H74" s="12" t="s">
        <v>5097</v>
      </c>
      <c r="I74" s="182" t="s">
        <v>266</v>
      </c>
      <c r="J74" s="12" t="s">
        <v>5098</v>
      </c>
      <c r="K74" s="361">
        <v>46162.719444444447</v>
      </c>
      <c r="L74" s="361">
        <v>46163.311805555553</v>
      </c>
      <c r="M74" s="361">
        <v>46163.330555555556</v>
      </c>
      <c r="N74" s="361"/>
      <c r="O74" s="361">
        <v>46163.501388888886</v>
      </c>
      <c r="P74" s="361"/>
      <c r="Q74" s="12"/>
      <c r="R74" s="12"/>
      <c r="S74" s="12"/>
      <c r="T74" s="12"/>
      <c r="U74" s="12" t="s">
        <v>371</v>
      </c>
      <c r="V74" s="12"/>
      <c r="W74" s="12"/>
      <c r="X74" s="12"/>
      <c r="Y74" s="12"/>
      <c r="Z74" s="167">
        <f t="shared" ca="1" si="16"/>
        <v>25.425643055556677</v>
      </c>
      <c r="AA74" s="168">
        <f t="shared" ca="1" si="9"/>
        <v>67.801714814817799</v>
      </c>
      <c r="AB74" s="167">
        <f t="shared" ca="1" si="10"/>
        <v>0.16805555555280688</v>
      </c>
      <c r="AC74" s="168">
        <f t="shared" ca="1" si="11"/>
        <v>0.44814814814081827</v>
      </c>
      <c r="AD74" s="167">
        <f t="shared" ca="1" si="12"/>
        <v>0</v>
      </c>
      <c r="AE74" s="167">
        <f t="shared" ca="1" si="13"/>
        <v>0.16805555555280688</v>
      </c>
      <c r="AF74" s="168">
        <f t="shared" ca="1" si="14"/>
        <v>0.44814814814081827</v>
      </c>
      <c r="AG74" s="168">
        <f t="shared" ca="1" si="15"/>
        <v>0.44814814814081827</v>
      </c>
      <c r="AH74" s="81" t="str" cm="1">
        <f t="array" aca="1" ref="AH74" ca="1">IF((AD74) &lt; (INDEX(ResponseSLA[#All],(MATCH((G74),ResponseSLA[Priority],0))+1,3)),"YES","No")</f>
        <v>YES</v>
      </c>
      <c r="AI74" s="81" t="str">
        <f ca="1">_xlfn.IFNA(IF(AE74 &lt; (INDEX(SLATable[Minimum SLA],MATCH(G74,SLATable[Priority],0))),"YES","NO"),"")</f>
        <v>YES</v>
      </c>
      <c r="AJ74" s="19" t="str">
        <f ca="1">_xlfn.IFNA(IF(AE74 &lt; (INDEX(SLATable[Maximum SLA],MATCH(G74,SLATable[Priority],0))),"YES","NO"),"")</f>
        <v>YES</v>
      </c>
      <c r="AK74" s="12"/>
    </row>
    <row r="75" spans="1:37" s="45" customFormat="1" ht="15" customHeight="1">
      <c r="A75" s="12">
        <v>74</v>
      </c>
      <c r="B75" s="12" t="s">
        <v>26</v>
      </c>
      <c r="C75" s="12" t="s">
        <v>37</v>
      </c>
      <c r="D75" s="12" t="s">
        <v>207</v>
      </c>
      <c r="E75" s="12" t="s">
        <v>5099</v>
      </c>
      <c r="F75" s="85" t="s">
        <v>36</v>
      </c>
      <c r="G75" s="12">
        <v>4</v>
      </c>
      <c r="H75" s="12" t="s">
        <v>5100</v>
      </c>
      <c r="I75" s="182" t="s">
        <v>260</v>
      </c>
      <c r="J75" s="12" t="s">
        <v>5080</v>
      </c>
      <c r="K75" s="361">
        <v>46163.595833333333</v>
      </c>
      <c r="L75" s="361">
        <v>46163.595833333333</v>
      </c>
      <c r="M75" s="361">
        <v>46163.631944444445</v>
      </c>
      <c r="N75" s="361"/>
      <c r="O75" s="361">
        <v>46164.36041666667</v>
      </c>
      <c r="P75" s="361"/>
      <c r="Q75" s="12" t="s">
        <v>4925</v>
      </c>
      <c r="R75" s="12"/>
      <c r="S75" s="12"/>
      <c r="T75" s="12"/>
      <c r="U75" s="12" t="s">
        <v>371</v>
      </c>
      <c r="V75" s="12"/>
      <c r="W75" s="12"/>
      <c r="X75" s="12"/>
      <c r="Y75" s="12"/>
      <c r="Z75" s="167">
        <f t="shared" ca="1" si="16"/>
        <v>25.16314305555716</v>
      </c>
      <c r="AA75" s="168">
        <f t="shared" ca="1" si="9"/>
        <v>67.101714814819104</v>
      </c>
      <c r="AB75" s="167">
        <f t="shared" ca="1" si="10"/>
        <v>0.13958333333721384</v>
      </c>
      <c r="AC75" s="168">
        <f t="shared" ca="1" si="11"/>
        <v>0.37222222223257023</v>
      </c>
      <c r="AD75" s="167">
        <f t="shared" ca="1" si="12"/>
        <v>3.6111111112404615E-2</v>
      </c>
      <c r="AE75" s="167">
        <f t="shared" ca="1" si="13"/>
        <v>0.13958333333721384</v>
      </c>
      <c r="AF75" s="168">
        <f t="shared" ca="1" si="14"/>
        <v>0.37222222223257023</v>
      </c>
      <c r="AG75" s="168">
        <f t="shared" ca="1" si="15"/>
        <v>0.37222222223257023</v>
      </c>
      <c r="AH75" s="81" t="str" cm="1">
        <f t="array" aca="1" ref="AH75" ca="1">IF((AD75) &lt; (INDEX(ResponseSLA[#All],(MATCH((G75),ResponseSLA[Priority],0))+1,3)),"YES","No")</f>
        <v>YES</v>
      </c>
      <c r="AI75" s="81" t="str">
        <f ca="1">_xlfn.IFNA(IF(AE75 &lt; (INDEX(SLATable[Minimum SLA],MATCH(G75,SLATable[Priority],0))),"YES","NO"),"")</f>
        <v>YES</v>
      </c>
      <c r="AJ75" s="19" t="str">
        <f ca="1">_xlfn.IFNA(IF(AE75 &lt; (INDEX(SLATable[Maximum SLA],MATCH(G75,SLATable[Priority],0))),"YES","NO"),"")</f>
        <v>YES</v>
      </c>
      <c r="AK75" s="12"/>
    </row>
    <row r="76" spans="1:37" s="45" customFormat="1" ht="15" customHeight="1">
      <c r="A76" s="12">
        <v>75</v>
      </c>
      <c r="B76" s="19" t="s">
        <v>26</v>
      </c>
      <c r="C76" s="19" t="s">
        <v>37</v>
      </c>
      <c r="D76" s="19" t="s">
        <v>207</v>
      </c>
      <c r="E76" s="19" t="s">
        <v>5099</v>
      </c>
      <c r="F76" s="19" t="s">
        <v>36</v>
      </c>
      <c r="G76" s="19">
        <v>4</v>
      </c>
      <c r="H76" s="19" t="s">
        <v>5100</v>
      </c>
      <c r="I76" s="182" t="s">
        <v>266</v>
      </c>
      <c r="J76" s="19" t="s">
        <v>4935</v>
      </c>
      <c r="K76" s="361">
        <v>46163.783877314818</v>
      </c>
      <c r="L76" s="361">
        <v>46230.600694444445</v>
      </c>
      <c r="M76" s="361">
        <v>46231.631249999999</v>
      </c>
      <c r="N76" s="361"/>
      <c r="O76" s="361">
        <v>46234.545138888891</v>
      </c>
      <c r="P76" s="361">
        <v>46232.888888888891</v>
      </c>
      <c r="Q76" s="19" t="s">
        <v>4925</v>
      </c>
      <c r="R76" s="19"/>
      <c r="S76" s="19"/>
      <c r="T76" s="19"/>
      <c r="U76" s="19" t="s">
        <v>371</v>
      </c>
      <c r="V76" s="19"/>
      <c r="W76" s="19"/>
      <c r="X76" s="19"/>
      <c r="Y76" s="19"/>
      <c r="Z76" s="19"/>
      <c r="AA76" s="19"/>
      <c r="AB76" s="19"/>
      <c r="AC76" s="19"/>
      <c r="AD76" s="19"/>
      <c r="AE76" s="19"/>
      <c r="AF76" s="19"/>
      <c r="AG76" s="19"/>
      <c r="AH76" s="19"/>
      <c r="AI76" s="19"/>
      <c r="AJ76" s="19"/>
      <c r="AK76" s="12"/>
    </row>
    <row r="77" spans="1:37" s="45" customFormat="1" ht="15" customHeight="1">
      <c r="A77" s="12">
        <v>76</v>
      </c>
      <c r="B77" s="12" t="s">
        <v>26</v>
      </c>
      <c r="C77" s="12" t="s">
        <v>37</v>
      </c>
      <c r="D77" s="12" t="s">
        <v>207</v>
      </c>
      <c r="E77" s="12" t="s">
        <v>5101</v>
      </c>
      <c r="F77" s="85" t="s">
        <v>36</v>
      </c>
      <c r="G77" s="12">
        <v>4</v>
      </c>
      <c r="H77" s="12" t="s">
        <v>5102</v>
      </c>
      <c r="I77" s="182" t="s">
        <v>266</v>
      </c>
      <c r="J77" s="12" t="s">
        <v>4940</v>
      </c>
      <c r="K77" s="361">
        <v>46165.51666666667</v>
      </c>
      <c r="L77" s="361">
        <v>46165.51666666667</v>
      </c>
      <c r="M77" s="361">
        <v>46167.128472222219</v>
      </c>
      <c r="N77" s="361"/>
      <c r="O77" s="361">
        <v>46167.232638888891</v>
      </c>
      <c r="P77" s="361"/>
      <c r="Q77" s="12" t="s">
        <v>4930</v>
      </c>
      <c r="R77" s="12"/>
      <c r="S77" s="12"/>
      <c r="T77" s="12"/>
      <c r="U77" s="12" t="s">
        <v>371</v>
      </c>
      <c r="V77" s="12"/>
      <c r="W77" s="12"/>
      <c r="X77" s="12"/>
      <c r="Y77" s="12"/>
      <c r="Z77" s="167">
        <f t="shared" ref="Z77:Z88" ca="1" si="17">IF(NOT(OR(G77=1,G77=2)),MAX(0,_xlfn.IFS(AND(K77&lt;&gt;"",N77&lt;&gt;""),((MAX(NETWORKDAYS(K77,N77,UKBankHolidays)-1,0))*(TIME(17,0,0)-TIME(8,0,0))+IF(NETWORKDAYS(N77,N77,UKBankHolidays)&gt;0,MEDIAN(TIME(8,0,0),MOD(N77,1),TIME(17,0,0)),TIME(8,0,0))-IF(NETWORKDAYS(K77,K77,UKBankHolidays)&gt;0,MEDIAN(TIME(8,0,0),MOD(K77,1),TIME(17,0,0)),TIME(8,0,0)))-IF(AND(O77&lt;&gt;"",P77&lt;&gt;""),((MAX(NETWORKDAYS(O77,P77,UKBankHolidays)-1,0))*(TIME(17,0,0)-TIME(8,0,0))+IF(NETWORKDAYS(P77,P77,UKBankHolidays)&gt;0,MEDIAN(TIME(8,0,0),MOD(P77,1),TIME(17,0,0)),TIME(8,0,0))-IF(NETWORKDAYS(O77,O77,UKBankHolidays)&gt;0,MEDIAN(TIME(8,0,0),MOD(O77,1),TIME(17,0,0)),TIME(8,0,0))),0),AND(K77&lt;&gt;"",N77=""),((MAX(NETWORKDAYS(K77,NOW(),UKBankHolidays)-1,0))*(TIME(17,0,0)-TIME(8,0,0))+IF(NETWORKDAYS(NOW(),NOW(),UKBankHolidays)&gt;0,MEDIAN(TIME(8,0,0),MOD(NOW(),1),TIME(17,0,0)),TIME(8,0,0))-IF(NETWORKDAYS(K77,K77,UKBankHolidays)&gt;0,MEDIAN(TIME(8,0,0),MOD(K77,1),TIME(17,0,0)),TIME(8,0,0))))),IF(N77="",NOW()-K77,N77-K77))</f>
        <v>24.675643055556677</v>
      </c>
      <c r="AA77" s="168">
        <f t="shared" ref="AA77:AA88" ca="1" si="18">(Z77*24)/9</f>
        <v>65.801714814817799</v>
      </c>
      <c r="AB77" s="167">
        <f t="shared" ref="AB77:AB88" ca="1" si="19">IF(NOT(OR(G77=1,G77=2)),MAX(0,_xlfn.IFS(AND(K77&lt;&gt;"",N77&lt;&gt;""),(((MAX(NETWORKDAYS(L77,N77,UKBankHolidays)-1,0))*(TIME(17,0,0)-TIME(8,0,0)))+IF(NETWORKDAYS(N77,N77,UKBankHolidays)&gt;0,MEDIAN(TIME(8,0,0),MOD(N77,1),TIME(17,0,0)),TIME(8,0,0))-IF(NETWORKDAYS(L77,L77,UKBankHolidays)&gt;0,MEDIAN(TIME(8,0,0),MOD(L77,1),TIME(17,0,0)),TIME(8,0,0)))-IF(AND(O77&lt;&gt;"",P77&lt;&gt;""),(((MAX(NETWORKDAYS(O77,P77,UKBankHolidays)-1,0))*(TIME(17,0,0)-TIME(8,0,0)))+IF(NETWORKDAYS(P77,P77,UKBankHolidays)&gt;0,MEDIAN(TIME(8,0,0),MOD(P77,1),TIME(17,0,0)),TIME(8,0,0))-IF(NETWORKDAYS(O77,O77,UKBankHolidays)&gt;0,MEDIAN(TIME(8,0,0),MOD(O77,1),TIME(17,0,0)),TIME(8,0,0))),0),AND(L77&lt;&gt;"",N77="",O77=""),(((MAX(NETWORKDAYS(L77,NOW(),UKBankHolidays)-1,0))*(TIME(17,0,0)-TIME(8,0,0)))+IF(NETWORKDAYS(NOW(),NOW(),UKBankHolidays)&gt;0,MEDIAN(TIME(8,0,0),MOD(NOW(),1),TIME(17,0,0)),TIME(8,0,0))-IF(NETWORKDAYS(L77,L77,UKBankHolidays)&gt;0,MEDIAN(TIME(8,0,0),MOD(L77,1),TIME(17,0,0)),TIME(8,0,0)))-IF(AND(O77&lt;&gt;"",P77&lt;&gt;""),(((MAX(NETWORKDAYS(O77,P77,UKBankHolidays)-1,0))*(TIME(17,0,0)-TIME(8,0,0)))+IF(NETWORKDAYS(P77,P77,UKBankHolidays)&gt;0,MEDIAN(TIME(8,0,0),MOD(P77,1),TIME(17,0,0)),TIME(8,0,0))-IF(NETWORKDAYS(O77,O77,UKBankHolidays)&gt;0,MEDIAN(TIME(8,0,0),MOD(O77,1),TIME(17,0,0)),TIME(8,0,0))),0),AND(L77&lt;&gt;"",N77="",P77="",O77&lt;&gt;""),(((MAX(NETWORKDAYS(L77,O77,UKBankHolidays)-1,0))*(TIME(17,0,0)-TIME(8,0,0)))+IF(NETWORKDAYS(O77,O77,UKBankHolidays)&gt;0,MEDIAN(TIME(8,0,0),MOD(O77,1),TIME(17,0,0)),TIME(8,0,0))-IF(NETWORKDAYS(L77,L77,UKBankHolidays)&gt;0,MEDIAN(TIME(8,0,0),MOD(L77,1),TIME(17,0,0)),TIME(8,0,0))),ISBLANK(K77),"0")),IF(ISBLANK(N77),NOW()-L77,N77-L77))</f>
        <v>0</v>
      </c>
      <c r="AC77" s="168">
        <f t="shared" ref="AC77:AC88" ca="1" si="20">(AB77*24)/9</f>
        <v>0</v>
      </c>
      <c r="AD77" s="167">
        <f t="shared" ref="AD77:AD88" ca="1" si="21">MAX(0,IF(NOT(OR(G77=1,G77=2)),IF(M77&lt;&gt;"",((MAX(NETWORKDAYS(L77,M77,UKBankHolidays)-1,0))*(TIME(17,0,0)-TIME(8,0,0))+IF(NETWORKDAYS(M77,M77,UKBankHolidays)&gt;0,MEDIAN(TIME(8,0,0),MOD(M77,1),TIME(17,0,0)),TIME(8,0,0))-MEDIAN(TIME(8,0,0),MOD(L77,1),TIME(17,0,0))),((MAX(NETWORKDAYS(L77,NOW(),UKBankHolidays)-1,0))*(TIME(17,0,0)-TIME(8,0,0))+IF(NETWORKDAYS(NOW(),NOW(),UKBankHolidays)&gt;0,MEDIAN(TIME(8,0,0),MOD(NOW(),1),TIME(17,0,0)),TIME(8,0,0))-MEDIAN(TIME(8,0,0),MOD(L77,1),TIME(17,0,0)))),IF(M77&lt;&gt;"",M77-L77,NOW()-L77)))</f>
        <v>0</v>
      </c>
      <c r="AE77" s="167">
        <f t="shared" ref="AE77:AE88" ca="1" si="22">SUMIFS(AB:AB,E:E,E77)</f>
        <v>0</v>
      </c>
      <c r="AF77" s="168">
        <f t="shared" ref="AF77:AF88" ca="1" si="23">(AE77*24)/9</f>
        <v>0</v>
      </c>
      <c r="AG77" s="168">
        <f t="shared" ref="AG77:AG88" ca="1" si="24">AF77</f>
        <v>0</v>
      </c>
      <c r="AH77" s="81" t="str" cm="1">
        <f t="array" aca="1" ref="AH77" ca="1">IF((AD77) &lt; (INDEX(ResponseSLA[#All],(MATCH((G77),ResponseSLA[Priority],0))+1,3)),"YES","No")</f>
        <v>YES</v>
      </c>
      <c r="AI77" s="81" t="str">
        <f ca="1">_xlfn.IFNA(IF(AE77 &lt; (INDEX(SLATable[Minimum SLA],MATCH(G77,SLATable[Priority],0))),"YES","NO"),"")</f>
        <v>YES</v>
      </c>
      <c r="AJ77" s="19" t="str">
        <f ca="1">_xlfn.IFNA(IF(AE77 &lt; (INDEX(SLATable[Maximum SLA],MATCH(G77,SLATable[Priority],0))),"YES","NO"),"")</f>
        <v>YES</v>
      </c>
      <c r="AK77" s="12"/>
    </row>
    <row r="78" spans="1:37" s="45" customFormat="1" ht="15" customHeight="1">
      <c r="A78" s="378">
        <v>77</v>
      </c>
      <c r="B78" s="12" t="s">
        <v>26</v>
      </c>
      <c r="C78" s="12" t="s">
        <v>37</v>
      </c>
      <c r="D78" s="12" t="s">
        <v>207</v>
      </c>
      <c r="E78" s="12" t="s">
        <v>5103</v>
      </c>
      <c r="F78" s="85" t="s">
        <v>36</v>
      </c>
      <c r="G78" s="12">
        <v>4</v>
      </c>
      <c r="H78" s="12" t="s">
        <v>5104</v>
      </c>
      <c r="I78" s="182" t="s">
        <v>260</v>
      </c>
      <c r="J78" s="12" t="s">
        <v>4935</v>
      </c>
      <c r="K78" s="361">
        <v>46165.920138888891</v>
      </c>
      <c r="L78" s="361">
        <v>46165.920138888891</v>
      </c>
      <c r="M78" s="361">
        <v>46167.117361111108</v>
      </c>
      <c r="N78" s="361"/>
      <c r="O78" s="361"/>
      <c r="P78" s="361"/>
      <c r="Q78" s="6" t="s">
        <v>4999</v>
      </c>
      <c r="R78" s="12"/>
      <c r="S78" s="12"/>
      <c r="T78" s="12"/>
      <c r="U78" s="12" t="s">
        <v>371</v>
      </c>
      <c r="V78" s="12"/>
      <c r="W78" s="12"/>
      <c r="X78" s="12"/>
      <c r="Y78" s="12"/>
      <c r="Z78" s="167">
        <f t="shared" ca="1" si="17"/>
        <v>24.675643055556677</v>
      </c>
      <c r="AA78" s="168">
        <f t="shared" ca="1" si="18"/>
        <v>65.801714814817799</v>
      </c>
      <c r="AB78" s="167">
        <f t="shared" ca="1" si="19"/>
        <v>24.675643055556677</v>
      </c>
      <c r="AC78" s="168">
        <f t="shared" ca="1" si="20"/>
        <v>65.801714814817799</v>
      </c>
      <c r="AD78" s="167">
        <f t="shared" ca="1" si="21"/>
        <v>0</v>
      </c>
      <c r="AE78" s="167">
        <f t="shared" ca="1" si="22"/>
        <v>24.675643055556677</v>
      </c>
      <c r="AF78" s="168">
        <f t="shared" ca="1" si="23"/>
        <v>65.801714814817799</v>
      </c>
      <c r="AG78" s="168">
        <f t="shared" ca="1" si="24"/>
        <v>65.801714814817799</v>
      </c>
      <c r="AH78" s="81" t="str" cm="1">
        <f t="array" aca="1" ref="AH78" ca="1">IF((AD78) &lt; (INDEX(ResponseSLA[#All],(MATCH((G78),ResponseSLA[Priority],0))+1,3)),"YES","No")</f>
        <v>YES</v>
      </c>
      <c r="AI78" s="81" t="str">
        <f ca="1">_xlfn.IFNA(IF(AE78 &lt; (INDEX(SLATable[Minimum SLA],MATCH(G78,SLATable[Priority],0))),"YES","NO"),"")</f>
        <v>NO</v>
      </c>
      <c r="AJ78" s="19" t="str">
        <f ca="1">_xlfn.IFNA(IF(AE78 &lt; (INDEX(SLATable[Maximum SLA],MATCH(G78,SLATable[Priority],0))),"YES","NO"),"")</f>
        <v>NO</v>
      </c>
      <c r="AK78" s="12"/>
    </row>
    <row r="79" spans="1:37" s="45" customFormat="1" ht="15" customHeight="1">
      <c r="A79" s="12">
        <v>78</v>
      </c>
      <c r="B79" s="365" t="s">
        <v>26</v>
      </c>
      <c r="C79" s="365" t="s">
        <v>37</v>
      </c>
      <c r="D79" s="365" t="s">
        <v>207</v>
      </c>
      <c r="E79" s="365" t="s">
        <v>5105</v>
      </c>
      <c r="F79" s="415" t="s">
        <v>36</v>
      </c>
      <c r="G79" s="365">
        <v>4</v>
      </c>
      <c r="H79" s="365" t="s">
        <v>5106</v>
      </c>
      <c r="I79" s="366" t="s">
        <v>260</v>
      </c>
      <c r="J79" s="365" t="s">
        <v>4935</v>
      </c>
      <c r="K79" s="368">
        <v>46166.259027777778</v>
      </c>
      <c r="L79" s="368">
        <v>46166.259027777778</v>
      </c>
      <c r="M79" s="368">
        <v>46167.129166666666</v>
      </c>
      <c r="N79" s="368"/>
      <c r="O79" s="368"/>
      <c r="P79" s="368"/>
      <c r="Q79" s="375" t="s">
        <v>4925</v>
      </c>
      <c r="R79" s="365"/>
      <c r="S79" s="365"/>
      <c r="T79" s="365"/>
      <c r="U79" s="365" t="s">
        <v>371</v>
      </c>
      <c r="V79" s="365"/>
      <c r="W79" s="365"/>
      <c r="X79" s="365"/>
      <c r="Y79" s="365"/>
      <c r="Z79" s="369">
        <f t="shared" ca="1" si="17"/>
        <v>24.675643055556677</v>
      </c>
      <c r="AA79" s="370">
        <f t="shared" ca="1" si="18"/>
        <v>65.801714814817799</v>
      </c>
      <c r="AB79" s="369">
        <f t="shared" ca="1" si="19"/>
        <v>24.675643055556677</v>
      </c>
      <c r="AC79" s="370">
        <f t="shared" ca="1" si="20"/>
        <v>65.801714814817799</v>
      </c>
      <c r="AD79" s="369">
        <f t="shared" ca="1" si="21"/>
        <v>0</v>
      </c>
      <c r="AE79" s="369">
        <f t="shared" ca="1" si="22"/>
        <v>24.675643055556677</v>
      </c>
      <c r="AF79" s="370">
        <f t="shared" ca="1" si="23"/>
        <v>65.801714814817799</v>
      </c>
      <c r="AG79" s="370">
        <f t="shared" ca="1" si="24"/>
        <v>65.801714814817799</v>
      </c>
      <c r="AH79" s="164" t="str" cm="1">
        <f t="array" aca="1" ref="AH79" ca="1">IF((AD79) &lt; (INDEX(ResponseSLA[#All],(MATCH((G79),ResponseSLA[Priority],0))+1,3)),"YES","No")</f>
        <v>YES</v>
      </c>
      <c r="AI79" s="164" t="str">
        <f ca="1">_xlfn.IFNA(IF(AE79 &lt; (INDEX(SLATable[Minimum SLA],MATCH(G79,SLATable[Priority],0))),"YES","NO"),"")</f>
        <v>NO</v>
      </c>
      <c r="AJ79" s="145" t="str">
        <f ca="1">_xlfn.IFNA(IF(AE79 &lt; (INDEX(SLATable[Maximum SLA],MATCH(G79,SLATable[Priority],0))),"YES","NO"),"")</f>
        <v>NO</v>
      </c>
      <c r="AK79" s="365"/>
    </row>
    <row r="80" spans="1:37" ht="15" customHeight="1">
      <c r="A80" s="12">
        <v>79</v>
      </c>
      <c r="B80" s="12" t="s">
        <v>26</v>
      </c>
      <c r="C80" s="12" t="s">
        <v>37</v>
      </c>
      <c r="D80" s="12" t="s">
        <v>207</v>
      </c>
      <c r="E80" s="12" t="s">
        <v>5107</v>
      </c>
      <c r="F80" s="85" t="s">
        <v>36</v>
      </c>
      <c r="G80" s="12">
        <v>4</v>
      </c>
      <c r="H80" s="12" t="s">
        <v>5108</v>
      </c>
      <c r="I80" s="182" t="s">
        <v>271</v>
      </c>
      <c r="J80" s="12" t="s">
        <v>4940</v>
      </c>
      <c r="K80" s="361">
        <v>46167.470138888886</v>
      </c>
      <c r="L80" s="361">
        <v>46167.470138888886</v>
      </c>
      <c r="M80" s="361">
        <v>46167.473611111112</v>
      </c>
      <c r="N80" s="361">
        <v>46167.54791666667</v>
      </c>
      <c r="O80" s="361">
        <v>46167.509722222225</v>
      </c>
      <c r="P80" s="361">
        <v>46167.51458333333</v>
      </c>
      <c r="Q80" s="12" t="s">
        <v>4930</v>
      </c>
      <c r="R80" s="12"/>
      <c r="S80" s="12"/>
      <c r="T80" s="12"/>
      <c r="U80" s="12" t="s">
        <v>371</v>
      </c>
      <c r="V80" s="12"/>
      <c r="W80" s="12"/>
      <c r="X80" s="12"/>
      <c r="Y80" s="12"/>
      <c r="Z80" s="167">
        <f t="shared" ca="1" si="17"/>
        <v>0</v>
      </c>
      <c r="AA80" s="168">
        <f t="shared" ca="1" si="18"/>
        <v>0</v>
      </c>
      <c r="AB80" s="167">
        <f t="shared" ca="1" si="19"/>
        <v>0</v>
      </c>
      <c r="AC80" s="168">
        <f t="shared" ca="1" si="20"/>
        <v>0</v>
      </c>
      <c r="AD80" s="167">
        <f t="shared" ca="1" si="21"/>
        <v>0</v>
      </c>
      <c r="AE80" s="167">
        <f t="shared" ca="1" si="22"/>
        <v>0</v>
      </c>
      <c r="AF80" s="168">
        <f t="shared" ca="1" si="23"/>
        <v>0</v>
      </c>
      <c r="AG80" s="168">
        <f t="shared" ca="1" si="24"/>
        <v>0</v>
      </c>
      <c r="AH80" s="81" t="str" cm="1">
        <f t="array" aca="1" ref="AH80" ca="1">IF((AD80) &lt; (INDEX(ResponseSLA[#All],(MATCH((G80),ResponseSLA[Priority],0))+1,3)),"YES","No")</f>
        <v>YES</v>
      </c>
      <c r="AI80" s="81" t="str">
        <f ca="1">_xlfn.IFNA(IF(AE80 &lt; (INDEX(SLATable[Minimum SLA],MATCH(G80,SLATable[Priority],0))),"YES","NO"),"")</f>
        <v>YES</v>
      </c>
      <c r="AJ80" s="19" t="str">
        <f ca="1">_xlfn.IFNA(IF(AE80 &lt; (INDEX(SLATable[Maximum SLA],MATCH(G80,SLATable[Priority],0))),"YES","NO"),"")</f>
        <v>YES</v>
      </c>
      <c r="AK80" s="12"/>
    </row>
    <row r="81" spans="1:37" s="45" customFormat="1" ht="15" customHeight="1">
      <c r="A81" s="12">
        <v>80</v>
      </c>
      <c r="B81" s="327" t="s">
        <v>26</v>
      </c>
      <c r="C81" s="327" t="s">
        <v>37</v>
      </c>
      <c r="D81" s="327" t="s">
        <v>231</v>
      </c>
      <c r="E81" s="327" t="s">
        <v>5109</v>
      </c>
      <c r="F81" s="327" t="s">
        <v>36</v>
      </c>
      <c r="G81" s="327" t="s">
        <v>259</v>
      </c>
      <c r="H81" s="327" t="s">
        <v>5110</v>
      </c>
      <c r="I81" s="332" t="s">
        <v>260</v>
      </c>
      <c r="J81" s="327" t="s">
        <v>4924</v>
      </c>
      <c r="K81" s="386">
        <v>46167.550694444442</v>
      </c>
      <c r="L81" s="386">
        <v>46167.550694444442</v>
      </c>
      <c r="M81" s="386">
        <v>46167.550694444442</v>
      </c>
      <c r="N81" s="386"/>
      <c r="O81" s="386"/>
      <c r="P81" s="386"/>
      <c r="Q81" s="328"/>
      <c r="R81" s="327"/>
      <c r="S81" s="327"/>
      <c r="T81" s="327"/>
      <c r="U81" s="327" t="s">
        <v>371</v>
      </c>
      <c r="V81" s="327"/>
      <c r="W81" s="327"/>
      <c r="X81" s="327"/>
      <c r="Y81" s="327"/>
      <c r="Z81" s="337">
        <f t="shared" ca="1" si="17"/>
        <v>24.675643055556677</v>
      </c>
      <c r="AA81" s="387">
        <f t="shared" ca="1" si="18"/>
        <v>65.801714814817799</v>
      </c>
      <c r="AB81" s="337">
        <f t="shared" ca="1" si="19"/>
        <v>24.675643055556677</v>
      </c>
      <c r="AC81" s="387">
        <f t="shared" ca="1" si="20"/>
        <v>65.801714814817799</v>
      </c>
      <c r="AD81" s="337">
        <f t="shared" ca="1" si="21"/>
        <v>0</v>
      </c>
      <c r="AE81" s="337">
        <f t="shared" ca="1" si="22"/>
        <v>24.675643055556677</v>
      </c>
      <c r="AF81" s="387">
        <f t="shared" ca="1" si="23"/>
        <v>65.801714814817799</v>
      </c>
      <c r="AG81" s="387">
        <f t="shared" ca="1" si="24"/>
        <v>65.801714814817799</v>
      </c>
      <c r="AH81" s="388" t="str" cm="1">
        <f t="array" aca="1" ref="AH81" ca="1">IF((AD81) &lt; (INDEX(ResponseSLA[#All],(MATCH((G81),ResponseSLA[Priority],0))+1,3)),"YES","No")</f>
        <v>YES</v>
      </c>
      <c r="AI81" s="388" t="str">
        <f ca="1">_xlfn.IFNA(IF(AE81 &lt; (INDEX(SLATable[Minimum SLA],MATCH(G81,SLATable[Priority],0))),"YES","NO"),"")</f>
        <v>NO</v>
      </c>
      <c r="AJ81" s="146" t="str">
        <f ca="1">_xlfn.IFNA(IF(AE81 &lt; (INDEX(SLATable[Maximum SLA],MATCH(G81,SLATable[Priority],0))),"YES","NO"),"")</f>
        <v>NO</v>
      </c>
      <c r="AK81" s="327"/>
    </row>
    <row r="82" spans="1:37" s="45" customFormat="1" ht="15" customHeight="1">
      <c r="A82" s="12">
        <v>81</v>
      </c>
      <c r="B82" s="12" t="s">
        <v>26</v>
      </c>
      <c r="C82" s="12" t="s">
        <v>37</v>
      </c>
      <c r="D82" s="12" t="s">
        <v>207</v>
      </c>
      <c r="E82" s="12" t="s">
        <v>5111</v>
      </c>
      <c r="F82" s="85" t="s">
        <v>36</v>
      </c>
      <c r="G82" s="12">
        <v>4</v>
      </c>
      <c r="H82" s="12" t="s">
        <v>5112</v>
      </c>
      <c r="I82" s="182" t="s">
        <v>266</v>
      </c>
      <c r="J82" s="12" t="s">
        <v>4943</v>
      </c>
      <c r="K82" s="361">
        <v>46168.382638888892</v>
      </c>
      <c r="L82" s="361">
        <v>46168.382638888892</v>
      </c>
      <c r="M82" s="361">
        <v>46168.400694444441</v>
      </c>
      <c r="N82" s="361"/>
      <c r="O82" s="361">
        <v>46169.43472222222</v>
      </c>
      <c r="P82" s="361"/>
      <c r="Q82" s="6"/>
      <c r="R82" s="12"/>
      <c r="S82" s="12"/>
      <c r="T82" s="12"/>
      <c r="U82" s="12" t="s">
        <v>371</v>
      </c>
      <c r="V82" s="12"/>
      <c r="W82" s="12"/>
      <c r="X82" s="12"/>
      <c r="Y82" s="12"/>
      <c r="Z82" s="167">
        <f t="shared" ca="1" si="17"/>
        <v>24.626337499998048</v>
      </c>
      <c r="AA82" s="168">
        <f t="shared" ca="1" si="18"/>
        <v>65.670233333328127</v>
      </c>
      <c r="AB82" s="167">
        <f t="shared" ca="1" si="19"/>
        <v>0.42708333332848269</v>
      </c>
      <c r="AC82" s="168">
        <f t="shared" ca="1" si="20"/>
        <v>1.1388888888759539</v>
      </c>
      <c r="AD82" s="167">
        <f t="shared" ca="1" si="21"/>
        <v>1.805555554892635E-2</v>
      </c>
      <c r="AE82" s="167">
        <f t="shared" ca="1" si="22"/>
        <v>0.42708333332848269</v>
      </c>
      <c r="AF82" s="168">
        <f t="shared" ca="1" si="23"/>
        <v>1.1388888888759539</v>
      </c>
      <c r="AG82" s="168">
        <f t="shared" ca="1" si="24"/>
        <v>1.1388888888759539</v>
      </c>
      <c r="AH82" s="81" t="str" cm="1">
        <f t="array" aca="1" ref="AH82" ca="1">IF((AD82) &lt; (INDEX(ResponseSLA[#All],(MATCH((G82),ResponseSLA[Priority],0))+1,3)),"YES","No")</f>
        <v>YES</v>
      </c>
      <c r="AI82" s="81" t="str">
        <f ca="1">_xlfn.IFNA(IF(AE82 &lt; (INDEX(SLATable[Minimum SLA],MATCH(G82,SLATable[Priority],0))),"YES","NO"),"")</f>
        <v>YES</v>
      </c>
      <c r="AJ82" s="19" t="str">
        <f ca="1">_xlfn.IFNA(IF(AE82 &lt; (INDEX(SLATable[Maximum SLA],MATCH(G82,SLATable[Priority],0))),"YES","NO"),"")</f>
        <v>YES</v>
      </c>
      <c r="AK82" s="12"/>
    </row>
    <row r="83" spans="1:37" s="45" customFormat="1" ht="15" customHeight="1">
      <c r="A83" s="378">
        <v>82</v>
      </c>
      <c r="B83" s="12" t="s">
        <v>26</v>
      </c>
      <c r="C83" s="12" t="s">
        <v>37</v>
      </c>
      <c r="D83" s="12" t="s">
        <v>207</v>
      </c>
      <c r="E83" s="12" t="s">
        <v>5113</v>
      </c>
      <c r="F83" s="85" t="s">
        <v>36</v>
      </c>
      <c r="G83" s="12">
        <v>4</v>
      </c>
      <c r="H83" s="12" t="s">
        <v>5114</v>
      </c>
      <c r="I83" s="182" t="s">
        <v>260</v>
      </c>
      <c r="J83" s="12" t="s">
        <v>4924</v>
      </c>
      <c r="K83" s="361">
        <v>46168.543055555558</v>
      </c>
      <c r="L83" s="361">
        <v>46168.543055555558</v>
      </c>
      <c r="M83" s="361">
        <v>46168.659722222219</v>
      </c>
      <c r="N83" s="361"/>
      <c r="O83" s="361"/>
      <c r="P83" s="361"/>
      <c r="Q83" s="6" t="s">
        <v>4925</v>
      </c>
      <c r="R83" s="12"/>
      <c r="S83" s="12"/>
      <c r="T83" s="12"/>
      <c r="U83" s="12" t="s">
        <v>371</v>
      </c>
      <c r="V83" s="12"/>
      <c r="W83" s="12"/>
      <c r="X83" s="12"/>
      <c r="Y83" s="12"/>
      <c r="Z83" s="167">
        <f t="shared" ca="1" si="17"/>
        <v>24.465920833332351</v>
      </c>
      <c r="AA83" s="75">
        <f t="shared" ca="1" si="18"/>
        <v>65.242455555552937</v>
      </c>
      <c r="AB83" s="167">
        <f t="shared" ca="1" si="19"/>
        <v>24.465920833332351</v>
      </c>
      <c r="AC83" s="168">
        <f t="shared" ca="1" si="20"/>
        <v>65.242455555552937</v>
      </c>
      <c r="AD83" s="167">
        <f t="shared" ca="1" si="21"/>
        <v>0.11666666666133096</v>
      </c>
      <c r="AE83" s="167">
        <f t="shared" ca="1" si="22"/>
        <v>24.465920833332351</v>
      </c>
      <c r="AF83" s="168">
        <f t="shared" ca="1" si="23"/>
        <v>65.242455555552937</v>
      </c>
      <c r="AG83" s="168">
        <f t="shared" ca="1" si="24"/>
        <v>65.242455555552937</v>
      </c>
      <c r="AH83" s="81" t="str" cm="1">
        <f t="array" aca="1" ref="AH83" ca="1">IF((AD83) &lt; (INDEX(ResponseSLA[#All],(MATCH((G83),ResponseSLA[Priority],0))+1,3)),"YES","No")</f>
        <v>YES</v>
      </c>
      <c r="AI83" s="81" t="str">
        <f ca="1">_xlfn.IFNA(IF(AE83 &lt; (INDEX(SLATable[Minimum SLA],MATCH(G83,SLATable[Priority],0))),"YES","NO"),"")</f>
        <v>NO</v>
      </c>
      <c r="AJ83" s="19" t="str">
        <f ca="1">_xlfn.IFNA(IF(AE83 &lt; (INDEX(SLATable[Maximum SLA],MATCH(G83,SLATable[Priority],0))),"YES","NO"),"")</f>
        <v>NO</v>
      </c>
      <c r="AK83" s="12"/>
    </row>
    <row r="84" spans="1:37" s="45" customFormat="1" ht="15" customHeight="1">
      <c r="A84" s="12">
        <v>83</v>
      </c>
      <c r="B84" s="12" t="s">
        <v>26</v>
      </c>
      <c r="C84" s="12" t="s">
        <v>37</v>
      </c>
      <c r="D84" s="12" t="s">
        <v>207</v>
      </c>
      <c r="E84" s="12" t="s">
        <v>5115</v>
      </c>
      <c r="F84" s="85" t="s">
        <v>36</v>
      </c>
      <c r="G84" s="12">
        <v>4</v>
      </c>
      <c r="H84" s="12" t="s">
        <v>5116</v>
      </c>
      <c r="I84" s="182" t="s">
        <v>260</v>
      </c>
      <c r="J84" s="12" t="s">
        <v>4943</v>
      </c>
      <c r="K84" s="361">
        <v>46168.6</v>
      </c>
      <c r="L84" s="361">
        <v>46168.601388888892</v>
      </c>
      <c r="M84" s="361">
        <v>46168.65902777778</v>
      </c>
      <c r="N84" s="361"/>
      <c r="O84" s="361"/>
      <c r="P84" s="361"/>
      <c r="Q84" s="6" t="s">
        <v>4925</v>
      </c>
      <c r="R84" s="12"/>
      <c r="S84" s="12"/>
      <c r="T84" s="12"/>
      <c r="U84" s="12" t="s">
        <v>371</v>
      </c>
      <c r="V84" s="12"/>
      <c r="W84" s="12"/>
      <c r="X84" s="12"/>
      <c r="Y84" s="12"/>
      <c r="Z84" s="167">
        <f t="shared" ca="1" si="17"/>
        <v>24.408976388891464</v>
      </c>
      <c r="AA84" s="168">
        <f t="shared" ca="1" si="18"/>
        <v>65.09060370371057</v>
      </c>
      <c r="AB84" s="167">
        <f t="shared" ca="1" si="19"/>
        <v>24.407587499998048</v>
      </c>
      <c r="AC84" s="168">
        <f t="shared" ca="1" si="20"/>
        <v>65.086899999994799</v>
      </c>
      <c r="AD84" s="167">
        <f t="shared" ca="1" si="21"/>
        <v>5.7638888887595385E-2</v>
      </c>
      <c r="AE84" s="167">
        <f t="shared" ca="1" si="22"/>
        <v>24.407587499998048</v>
      </c>
      <c r="AF84" s="168">
        <f t="shared" ca="1" si="23"/>
        <v>65.086899999994799</v>
      </c>
      <c r="AG84" s="168">
        <f t="shared" ca="1" si="24"/>
        <v>65.086899999994799</v>
      </c>
      <c r="AH84" s="81" t="str" cm="1">
        <f t="array" aca="1" ref="AH84" ca="1">IF((AD84) &lt; (INDEX(ResponseSLA[#All],(MATCH((G84),ResponseSLA[Priority],0))+1,3)),"YES","No")</f>
        <v>YES</v>
      </c>
      <c r="AI84" s="81" t="str">
        <f ca="1">_xlfn.IFNA(IF(AE84 &lt; (INDEX(SLATable[Minimum SLA],MATCH(G84,SLATable[Priority],0))),"YES","NO"),"")</f>
        <v>NO</v>
      </c>
      <c r="AJ84" s="19" t="str">
        <f ca="1">_xlfn.IFNA(IF(AE84 &lt; (INDEX(SLATable[Maximum SLA],MATCH(G84,SLATable[Priority],0))),"YES","NO"),"")</f>
        <v>NO</v>
      </c>
      <c r="AK84" s="12"/>
    </row>
    <row r="85" spans="1:37" s="45" customFormat="1" ht="15" customHeight="1">
      <c r="A85" s="12">
        <v>84</v>
      </c>
      <c r="B85" s="12" t="s">
        <v>26</v>
      </c>
      <c r="C85" s="12" t="s">
        <v>37</v>
      </c>
      <c r="D85" s="12" t="s">
        <v>207</v>
      </c>
      <c r="E85" s="12" t="s">
        <v>5117</v>
      </c>
      <c r="F85" s="85" t="s">
        <v>36</v>
      </c>
      <c r="G85" s="12">
        <v>4</v>
      </c>
      <c r="H85" s="12" t="s">
        <v>5118</v>
      </c>
      <c r="I85" s="182" t="s">
        <v>266</v>
      </c>
      <c r="J85" s="12" t="s">
        <v>4940</v>
      </c>
      <c r="K85" s="361">
        <v>46169.026388888888</v>
      </c>
      <c r="L85" s="361">
        <v>46169.026388888888</v>
      </c>
      <c r="M85" s="361">
        <v>46169.138194444444</v>
      </c>
      <c r="N85" s="361"/>
      <c r="O85" s="361">
        <v>46170.75</v>
      </c>
      <c r="P85" s="361"/>
      <c r="Q85" s="6" t="s">
        <v>4925</v>
      </c>
      <c r="R85" s="12"/>
      <c r="S85" s="12"/>
      <c r="T85" s="12"/>
      <c r="U85" s="12" t="s">
        <v>371</v>
      </c>
      <c r="V85" s="12"/>
      <c r="W85" s="12"/>
      <c r="X85" s="12"/>
      <c r="Y85" s="12"/>
      <c r="Z85" s="167">
        <f t="shared" ca="1" si="17"/>
        <v>24.300643055556677</v>
      </c>
      <c r="AA85" s="168">
        <f t="shared" ca="1" si="18"/>
        <v>64.801714814817799</v>
      </c>
      <c r="AB85" s="167">
        <f t="shared" ca="1" si="19"/>
        <v>0.75000000000000022</v>
      </c>
      <c r="AC85" s="168">
        <f t="shared" ca="1" si="20"/>
        <v>2.0000000000000009</v>
      </c>
      <c r="AD85" s="167">
        <f t="shared" ca="1" si="21"/>
        <v>0</v>
      </c>
      <c r="AE85" s="167">
        <f t="shared" ca="1" si="22"/>
        <v>0.75000000000000022</v>
      </c>
      <c r="AF85" s="168">
        <f t="shared" ca="1" si="23"/>
        <v>2.0000000000000009</v>
      </c>
      <c r="AG85" s="168">
        <f t="shared" ca="1" si="24"/>
        <v>2.0000000000000009</v>
      </c>
      <c r="AH85" s="81" t="str" cm="1">
        <f t="array" aca="1" ref="AH85" ca="1">IF((AD85) &lt; (INDEX(ResponseSLA[#All],(MATCH((G85),ResponseSLA[Priority],0))+1,3)),"YES","No")</f>
        <v>YES</v>
      </c>
      <c r="AI85" s="81" t="str">
        <f ca="1">_xlfn.IFNA(IF(AE85 &lt; (INDEX(SLATable[Minimum SLA],MATCH(G85,SLATable[Priority],0))),"YES","NO"),"")</f>
        <v>YES</v>
      </c>
      <c r="AJ85" s="19" t="str">
        <f ca="1">_xlfn.IFNA(IF(AE85 &lt; (INDEX(SLATable[Maximum SLA],MATCH(G85,SLATable[Priority],0))),"YES","NO"),"")</f>
        <v>YES</v>
      </c>
      <c r="AK85" s="12"/>
    </row>
    <row r="86" spans="1:37" s="45" customFormat="1" ht="15" customHeight="1">
      <c r="A86" s="12">
        <v>85</v>
      </c>
      <c r="B86" s="12" t="s">
        <v>26</v>
      </c>
      <c r="C86" s="12" t="s">
        <v>37</v>
      </c>
      <c r="D86" s="12" t="s">
        <v>207</v>
      </c>
      <c r="E86" s="12" t="s">
        <v>5119</v>
      </c>
      <c r="F86" s="85" t="s">
        <v>36</v>
      </c>
      <c r="G86" s="12">
        <v>3</v>
      </c>
      <c r="H86" s="12" t="s">
        <v>5120</v>
      </c>
      <c r="I86" s="182" t="s">
        <v>260</v>
      </c>
      <c r="J86" s="12" t="s">
        <v>5121</v>
      </c>
      <c r="K86" s="361">
        <v>46169.3125</v>
      </c>
      <c r="L86" s="361">
        <v>46169.313194444447</v>
      </c>
      <c r="M86" s="361">
        <v>46169.332638888889</v>
      </c>
      <c r="N86" s="361"/>
      <c r="O86" s="361"/>
      <c r="P86" s="361"/>
      <c r="Q86" s="6" t="s">
        <v>5122</v>
      </c>
      <c r="R86" s="12"/>
      <c r="S86" s="12"/>
      <c r="T86" s="12"/>
      <c r="U86" s="12" t="s">
        <v>371</v>
      </c>
      <c r="V86" s="12"/>
      <c r="W86" s="12"/>
      <c r="X86" s="12"/>
      <c r="Y86" s="12"/>
      <c r="Z86" s="167">
        <f t="shared" ca="1" si="17"/>
        <v>24.300643055556677</v>
      </c>
      <c r="AA86" s="168">
        <f t="shared" ca="1" si="18"/>
        <v>64.801714814817799</v>
      </c>
      <c r="AB86" s="167">
        <f t="shared" ca="1" si="19"/>
        <v>24.300643055556677</v>
      </c>
      <c r="AC86" s="168">
        <f t="shared" ca="1" si="20"/>
        <v>64.801714814817799</v>
      </c>
      <c r="AD86" s="167">
        <f t="shared" ca="1" si="21"/>
        <v>0</v>
      </c>
      <c r="AE86" s="167">
        <f t="shared" ca="1" si="22"/>
        <v>24.300643055556677</v>
      </c>
      <c r="AF86" s="168">
        <f t="shared" ca="1" si="23"/>
        <v>64.801714814817799</v>
      </c>
      <c r="AG86" s="168">
        <f t="shared" ca="1" si="24"/>
        <v>64.801714814817799</v>
      </c>
      <c r="AH86" s="81" t="str" cm="1">
        <f t="array" aca="1" ref="AH86" ca="1">IF((AD86) &lt; (INDEX(ResponseSLA[#All],(MATCH((G86),ResponseSLA[Priority],0))+1,3)),"YES","No")</f>
        <v>YES</v>
      </c>
      <c r="AI86" s="81" t="str">
        <f ca="1">_xlfn.IFNA(IF(AE86 &lt; (INDEX(SLATable[Minimum SLA],MATCH(G86,SLATable[Priority],0))),"YES","NO"),"")</f>
        <v>NO</v>
      </c>
      <c r="AJ86" s="19" t="str">
        <f ca="1">_xlfn.IFNA(IF(AE86 &lt; (INDEX(SLATable[Maximum SLA],MATCH(G86,SLATable[Priority],0))),"YES","NO"),"")</f>
        <v>NO</v>
      </c>
      <c r="AK86" s="12"/>
    </row>
    <row r="87" spans="1:37" s="45" customFormat="1" ht="15" customHeight="1">
      <c r="A87" s="12">
        <v>86</v>
      </c>
      <c r="B87" s="12" t="s">
        <v>26</v>
      </c>
      <c r="C87" s="12" t="s">
        <v>37</v>
      </c>
      <c r="D87" s="12" t="s">
        <v>207</v>
      </c>
      <c r="E87" s="12" t="s">
        <v>5123</v>
      </c>
      <c r="F87" s="85" t="s">
        <v>36</v>
      </c>
      <c r="G87" s="12">
        <v>3</v>
      </c>
      <c r="H87" s="12" t="s">
        <v>5124</v>
      </c>
      <c r="I87" s="182" t="s">
        <v>260</v>
      </c>
      <c r="J87" s="12" t="s">
        <v>4943</v>
      </c>
      <c r="K87" s="361">
        <v>46169.551388888889</v>
      </c>
      <c r="L87" s="361">
        <v>46169.551388888889</v>
      </c>
      <c r="M87" s="361">
        <v>46169.61041666667</v>
      </c>
      <c r="N87" s="361"/>
      <c r="O87" s="361">
        <v>46170.442361111112</v>
      </c>
      <c r="P87" s="361"/>
      <c r="Q87" s="6"/>
      <c r="R87" s="12"/>
      <c r="S87" s="12"/>
      <c r="T87" s="12"/>
      <c r="U87" s="12" t="s">
        <v>371</v>
      </c>
      <c r="V87" s="12"/>
      <c r="W87" s="12"/>
      <c r="X87" s="12"/>
      <c r="Y87" s="12"/>
      <c r="Z87" s="167">
        <f t="shared" ca="1" si="17"/>
        <v>24.082587500000958</v>
      </c>
      <c r="AA87" s="168">
        <f t="shared" ca="1" si="18"/>
        <v>64.220233333335898</v>
      </c>
      <c r="AB87" s="167">
        <f t="shared" ca="1" si="19"/>
        <v>0.26597222222335404</v>
      </c>
      <c r="AC87" s="168">
        <f t="shared" ca="1" si="20"/>
        <v>0.7092592592622774</v>
      </c>
      <c r="AD87" s="167">
        <f t="shared" ca="1" si="21"/>
        <v>5.9027777781011537E-2</v>
      </c>
      <c r="AE87" s="167">
        <f t="shared" ca="1" si="22"/>
        <v>0.26597222222335404</v>
      </c>
      <c r="AF87" s="168">
        <f t="shared" ca="1" si="23"/>
        <v>0.7092592592622774</v>
      </c>
      <c r="AG87" s="168">
        <f t="shared" ca="1" si="24"/>
        <v>0.7092592592622774</v>
      </c>
      <c r="AH87" s="81" t="str" cm="1">
        <f t="array" aca="1" ref="AH87" ca="1">IF((AD87) &lt; (INDEX(ResponseSLA[#All],(MATCH((G87),ResponseSLA[Priority],0))+1,3)),"YES","No")</f>
        <v>YES</v>
      </c>
      <c r="AI87" s="81" t="str">
        <f ca="1">_xlfn.IFNA(IF(AE87 &lt; (INDEX(SLATable[Minimum SLA],MATCH(G87,SLATable[Priority],0))),"YES","NO"),"")</f>
        <v>YES</v>
      </c>
      <c r="AJ87" s="19" t="str">
        <f ca="1">_xlfn.IFNA(IF(AE87 &lt; (INDEX(SLATable[Maximum SLA],MATCH(G87,SLATable[Priority],0))),"YES","NO"),"")</f>
        <v>YES</v>
      </c>
      <c r="AK87" s="12"/>
    </row>
    <row r="88" spans="1:37" s="45" customFormat="1" ht="15" customHeight="1">
      <c r="A88" s="378">
        <v>87</v>
      </c>
      <c r="B88" s="365" t="s">
        <v>26</v>
      </c>
      <c r="C88" s="365" t="s">
        <v>37</v>
      </c>
      <c r="D88" s="365" t="s">
        <v>207</v>
      </c>
      <c r="E88" s="365" t="s">
        <v>5125</v>
      </c>
      <c r="F88" s="415" t="s">
        <v>36</v>
      </c>
      <c r="G88" s="365">
        <v>4</v>
      </c>
      <c r="H88" s="365" t="s">
        <v>5126</v>
      </c>
      <c r="I88" s="366" t="s">
        <v>260</v>
      </c>
      <c r="J88" s="365" t="s">
        <v>4935</v>
      </c>
      <c r="K88" s="368">
        <v>46169.6875</v>
      </c>
      <c r="L88" s="368">
        <v>46169.6875</v>
      </c>
      <c r="M88" s="368">
        <v>46170.149305555555</v>
      </c>
      <c r="N88" s="368"/>
      <c r="O88" s="368"/>
      <c r="P88" s="368"/>
      <c r="Q88" s="375" t="s">
        <v>4999</v>
      </c>
      <c r="R88" s="365"/>
      <c r="S88" s="365"/>
      <c r="T88" s="365"/>
      <c r="U88" s="365" t="s">
        <v>371</v>
      </c>
      <c r="V88" s="365"/>
      <c r="W88" s="365"/>
      <c r="X88" s="365"/>
      <c r="Y88" s="365"/>
      <c r="Z88" s="369">
        <f t="shared" ca="1" si="17"/>
        <v>23.946476388890009</v>
      </c>
      <c r="AA88" s="370">
        <f t="shared" ca="1" si="18"/>
        <v>63.857270370373357</v>
      </c>
      <c r="AB88" s="369">
        <f t="shared" ca="1" si="19"/>
        <v>23.946476388890009</v>
      </c>
      <c r="AC88" s="370">
        <f t="shared" ca="1" si="20"/>
        <v>63.857270370373357</v>
      </c>
      <c r="AD88" s="369">
        <f t="shared" ca="1" si="21"/>
        <v>2.083333333333337E-2</v>
      </c>
      <c r="AE88" s="369">
        <f t="shared" ca="1" si="22"/>
        <v>23.946476388890009</v>
      </c>
      <c r="AF88" s="370">
        <f t="shared" ca="1" si="23"/>
        <v>63.857270370373357</v>
      </c>
      <c r="AG88" s="370">
        <f t="shared" ca="1" si="24"/>
        <v>63.857270370373357</v>
      </c>
      <c r="AH88" s="164" t="str" cm="1">
        <f t="array" aca="1" ref="AH88" ca="1">IF((AD88) &lt; (INDEX(ResponseSLA[#All],(MATCH((G88),ResponseSLA[Priority],0))+1,3)),"YES","No")</f>
        <v>YES</v>
      </c>
      <c r="AI88" s="164" t="str">
        <f ca="1">_xlfn.IFNA(IF(AE88 &lt; (INDEX(SLATable[Minimum SLA],MATCH(G88,SLATable[Priority],0))),"YES","NO"),"")</f>
        <v>NO</v>
      </c>
      <c r="AJ88" s="145" t="str">
        <f ca="1">_xlfn.IFNA(IF(AE88 &lt; (INDEX(SLATable[Maximum SLA],MATCH(G88,SLATable[Priority],0))),"YES","NO"),"")</f>
        <v>NO</v>
      </c>
      <c r="AK88" s="365"/>
    </row>
    <row r="89" spans="1:37" ht="15" customHeight="1">
      <c r="A89" s="12">
        <v>88</v>
      </c>
      <c r="B89" s="19" t="s">
        <v>26</v>
      </c>
      <c r="C89" s="19" t="s">
        <v>37</v>
      </c>
      <c r="D89" s="19" t="s">
        <v>207</v>
      </c>
      <c r="E89" s="19" t="s">
        <v>4926</v>
      </c>
      <c r="F89" s="19" t="s">
        <v>36</v>
      </c>
      <c r="G89" s="19">
        <v>4</v>
      </c>
      <c r="H89" s="19" t="s">
        <v>4927</v>
      </c>
      <c r="I89" s="182" t="s">
        <v>271</v>
      </c>
      <c r="J89" s="19" t="s">
        <v>4928</v>
      </c>
      <c r="K89" s="361">
        <v>46175.857638888891</v>
      </c>
      <c r="L89" s="361">
        <v>46188.67291666667</v>
      </c>
      <c r="M89" s="361">
        <v>46188.714583333334</v>
      </c>
      <c r="N89" s="361">
        <v>46231.712766203702</v>
      </c>
      <c r="O89" s="361">
        <v>46223.712500000001</v>
      </c>
      <c r="P89" s="361">
        <v>46216.5625</v>
      </c>
      <c r="Q89" s="19" t="s">
        <v>4930</v>
      </c>
      <c r="R89" s="19"/>
      <c r="S89" s="19"/>
      <c r="T89" s="19"/>
      <c r="U89" s="19" t="s">
        <v>371</v>
      </c>
      <c r="V89" s="19"/>
      <c r="W89" s="19"/>
      <c r="X89" s="19"/>
      <c r="Y89" s="19"/>
      <c r="Z89" s="19"/>
      <c r="AA89" s="19"/>
      <c r="AB89" s="19"/>
      <c r="AC89" s="19"/>
      <c r="AD89" s="19"/>
      <c r="AE89" s="19"/>
      <c r="AF89" s="19"/>
      <c r="AG89" s="19"/>
      <c r="AH89" s="19"/>
      <c r="AI89" s="19"/>
      <c r="AJ89" s="19"/>
      <c r="AK89" s="12"/>
    </row>
    <row r="90" spans="1:37" ht="15" customHeight="1">
      <c r="A90" s="12">
        <v>89</v>
      </c>
      <c r="B90" s="12" t="s">
        <v>26</v>
      </c>
      <c r="C90" s="12" t="s">
        <v>37</v>
      </c>
      <c r="D90" s="12" t="s">
        <v>207</v>
      </c>
      <c r="E90" s="182" t="s">
        <v>5127</v>
      </c>
      <c r="F90" s="12" t="s">
        <v>36</v>
      </c>
      <c r="G90" s="12">
        <v>4</v>
      </c>
      <c r="H90" s="208" t="s">
        <v>5128</v>
      </c>
      <c r="I90" s="182" t="s">
        <v>271</v>
      </c>
      <c r="J90" s="182" t="s">
        <v>4943</v>
      </c>
      <c r="K90" s="361">
        <v>46179.056921296295</v>
      </c>
      <c r="L90" s="361">
        <v>46179.773252314815</v>
      </c>
      <c r="M90" s="361">
        <v>46240.332766203705</v>
      </c>
      <c r="N90" s="361">
        <v>46189.639791666668</v>
      </c>
      <c r="O90" s="361">
        <v>46332.645937499998</v>
      </c>
      <c r="P90" s="361">
        <v>46188.649872685186</v>
      </c>
      <c r="Q90" s="182" t="s">
        <v>4925</v>
      </c>
      <c r="R90" s="12"/>
      <c r="S90" s="12"/>
      <c r="T90" s="12"/>
      <c r="U90" s="12" t="s">
        <v>371</v>
      </c>
      <c r="V90" s="12"/>
      <c r="W90" s="12"/>
      <c r="X90" s="12"/>
      <c r="Y90" s="12"/>
      <c r="Z90" s="167">
        <f ca="1">IF(NOT(OR(G90=1,G90=2)),MAX(0,_xlfn.IFS(AND(K90&lt;&gt;"",N90&lt;&gt;""),((MAX(NETWORKDAYS(K90,N90,UKBankHolidays)-1,0))*(TIME(17,0,0)-TIME(8,0,0))+IF(NETWORKDAYS(N90,N90,UKBankHolidays)&gt;0,MEDIAN(TIME(8,0,0),MOD(N90,1),TIME(17,0,0)),TIME(8,0,0))-IF(NETWORKDAYS(K90,K90,UKBankHolidays)&gt;0,MEDIAN(TIME(8,0,0),MOD(K90,1),TIME(17,0,0)),TIME(8,0,0)))-IF(AND(O90&lt;&gt;"",P90&lt;&gt;""),((MAX(NETWORKDAYS(O90,P90,UKBankHolidays)-1,0))*(TIME(17,0,0)-TIME(8,0,0))+IF(NETWORKDAYS(P90,P90,UKBankHolidays)&gt;0,MEDIAN(TIME(8,0,0),MOD(P90,1),TIME(17,0,0)),TIME(8,0,0))-IF(NETWORKDAYS(O90,O90,UKBankHolidays)&gt;0,MEDIAN(TIME(8,0,0),MOD(O90,1),TIME(17,0,0)),TIME(8,0,0))),0),AND(K90&lt;&gt;"",N90=""),((MAX(NETWORKDAYS(K90,NOW(),UKBankHolidays)-1,0))*(TIME(17,0,0)-TIME(8,0,0))+IF(NETWORKDAYS(NOW(),NOW(),UKBankHolidays)&gt;0,MEDIAN(TIME(8,0,0),MOD(NOW(),1),TIME(17,0,0)),TIME(8,0,0))-IF(NETWORKDAYS(K90,K90,UKBankHolidays)&gt;0,MEDIAN(TIME(8,0,0),MOD(K90,1),TIME(17,0,0)),TIME(8,0,0))))),IF(N90="",NOW()-K90,N90-K90))</f>
        <v>2.5525231481466717</v>
      </c>
      <c r="AA90" s="12"/>
      <c r="AB90" s="12"/>
      <c r="AC90" s="12"/>
      <c r="AD90" s="12"/>
      <c r="AE90" s="12"/>
      <c r="AF90" s="12"/>
      <c r="AG90" s="12"/>
      <c r="AH90" s="12"/>
      <c r="AI90" s="12"/>
      <c r="AJ90" s="12"/>
      <c r="AK90" s="12"/>
    </row>
    <row r="91" spans="1:37" s="45" customFormat="1" ht="15" customHeight="1">
      <c r="A91" s="12">
        <v>90</v>
      </c>
      <c r="B91" s="327" t="s">
        <v>26</v>
      </c>
      <c r="C91" s="327" t="s">
        <v>37</v>
      </c>
      <c r="D91" s="327" t="s">
        <v>207</v>
      </c>
      <c r="E91" s="389" t="s">
        <v>5129</v>
      </c>
      <c r="F91" s="389" t="s">
        <v>36</v>
      </c>
      <c r="G91" s="327">
        <v>4</v>
      </c>
      <c r="H91" s="389" t="s">
        <v>5130</v>
      </c>
      <c r="I91" s="332" t="s">
        <v>260</v>
      </c>
      <c r="J91" s="389" t="s">
        <v>4935</v>
      </c>
      <c r="K91" s="386">
        <v>46179.294571759259</v>
      </c>
      <c r="L91" s="386">
        <v>46179.294571759259</v>
      </c>
      <c r="M91" s="386">
        <v>46179.294571759259</v>
      </c>
      <c r="N91" s="386"/>
      <c r="O91" s="386"/>
      <c r="P91" s="386"/>
      <c r="Q91" s="389" t="s">
        <v>5131</v>
      </c>
      <c r="R91" s="327"/>
      <c r="S91" s="327"/>
      <c r="T91" s="327"/>
      <c r="U91" s="327" t="s">
        <v>371</v>
      </c>
      <c r="V91" s="327"/>
      <c r="W91" s="327"/>
      <c r="X91" s="327"/>
      <c r="Y91" s="327"/>
      <c r="Z91" s="337">
        <f ca="1">IF(NOT(OR(G91=1,G91=2)),MAX(0,_xlfn.IFS(AND(K91&lt;&gt;"",N91&lt;&gt;""),((MAX(NETWORKDAYS(K91,N91,UKBankHolidays)-1,0))*(TIME(17,0,0)-TIME(8,0,0))+IF(NETWORKDAYS(N91,N91,UKBankHolidays)&gt;0,MEDIAN(TIME(8,0,0),MOD(N91,1),TIME(17,0,0)),TIME(8,0,0))-IF(NETWORKDAYS(K91,K91,UKBankHolidays)&gt;0,MEDIAN(TIME(8,0,0),MOD(K91,1),TIME(17,0,0)),TIME(8,0,0)))-IF(AND(O91&lt;&gt;"",P91&lt;&gt;""),((MAX(NETWORKDAYS(O91,P91,UKBankHolidays)-1,0))*(TIME(17,0,0)-TIME(8,0,0))+IF(NETWORKDAYS(P91,P91,UKBankHolidays)&gt;0,MEDIAN(TIME(8,0,0),MOD(P91,1),TIME(17,0,0)),TIME(8,0,0))-IF(NETWORKDAYS(O91,O91,UKBankHolidays)&gt;0,MEDIAN(TIME(8,0,0),MOD(O91,1),TIME(17,0,0)),TIME(8,0,0))),0),AND(K91&lt;&gt;"",N91=""),((MAX(NETWORKDAYS(K91,NOW(),UKBankHolidays)-1,0))*(TIME(17,0,0)-TIME(8,0,0))+IF(NETWORKDAYS(NOW(),NOW(),UKBankHolidays)&gt;0,MEDIAN(TIME(8,0,0),MOD(NOW(),1),TIME(17,0,0)),TIME(8,0,0))-IF(NETWORKDAYS(K91,K91,UKBankHolidays)&gt;0,MEDIAN(TIME(8,0,0),MOD(K91,1),TIME(17,0,0)),TIME(8,0,0))))),IF(N91="",NOW()-K91,N91-K91))</f>
        <v>21.300641087963115</v>
      </c>
      <c r="AA91" s="327"/>
      <c r="AB91" s="327"/>
      <c r="AC91" s="327"/>
      <c r="AD91" s="327"/>
      <c r="AE91" s="327"/>
      <c r="AF91" s="327"/>
      <c r="AG91" s="327"/>
      <c r="AH91" s="327" t="s">
        <v>5132</v>
      </c>
      <c r="AI91" s="327"/>
      <c r="AJ91" s="327"/>
      <c r="AK91" s="327"/>
    </row>
    <row r="92" spans="1:37" s="45" customFormat="1" ht="15" customHeight="1">
      <c r="A92" s="12">
        <v>91</v>
      </c>
      <c r="B92" s="19" t="s">
        <v>26</v>
      </c>
      <c r="C92" s="19" t="s">
        <v>37</v>
      </c>
      <c r="D92" s="19" t="s">
        <v>207</v>
      </c>
      <c r="E92" s="19" t="s">
        <v>5129</v>
      </c>
      <c r="F92" s="19" t="s">
        <v>36</v>
      </c>
      <c r="G92" s="19">
        <v>4</v>
      </c>
      <c r="H92" s="19" t="s">
        <v>5130</v>
      </c>
      <c r="I92" s="182" t="s">
        <v>260</v>
      </c>
      <c r="J92" s="19" t="s">
        <v>4935</v>
      </c>
      <c r="K92" s="361">
        <v>46179.481944444444</v>
      </c>
      <c r="L92" s="361">
        <v>46234.800694444442</v>
      </c>
      <c r="M92" s="361">
        <v>46237.319444444445</v>
      </c>
      <c r="N92" s="361"/>
      <c r="O92" s="361">
        <v>46237.609027777777</v>
      </c>
      <c r="P92" s="361">
        <v>46237.319444444445</v>
      </c>
      <c r="Q92" s="19" t="s">
        <v>4925</v>
      </c>
      <c r="R92" s="19"/>
      <c r="S92" s="19"/>
      <c r="T92" s="19"/>
      <c r="U92" s="19" t="s">
        <v>371</v>
      </c>
      <c r="V92" s="19"/>
      <c r="W92" s="19"/>
      <c r="X92" s="19"/>
      <c r="Y92" s="19"/>
      <c r="Z92" s="19"/>
      <c r="AA92" s="19"/>
      <c r="AB92" s="19"/>
      <c r="AC92" s="19"/>
      <c r="AD92" s="19"/>
      <c r="AE92" s="19"/>
      <c r="AF92" s="19"/>
      <c r="AG92" s="19"/>
      <c r="AH92" s="19"/>
      <c r="AI92" s="19"/>
      <c r="AJ92" s="19"/>
      <c r="AK92" s="12"/>
    </row>
    <row r="93" spans="1:37" s="45" customFormat="1" ht="15" customHeight="1">
      <c r="A93" s="378">
        <v>92</v>
      </c>
      <c r="B93" s="365" t="s">
        <v>26</v>
      </c>
      <c r="C93" s="365" t="s">
        <v>37</v>
      </c>
      <c r="D93" s="365" t="s">
        <v>207</v>
      </c>
      <c r="E93" s="366" t="s">
        <v>5129</v>
      </c>
      <c r="F93" s="365" t="s">
        <v>36</v>
      </c>
      <c r="G93" s="365">
        <v>4</v>
      </c>
      <c r="H93" s="367" t="s">
        <v>5130</v>
      </c>
      <c r="I93" s="366" t="s">
        <v>260</v>
      </c>
      <c r="J93" s="367" t="s">
        <v>4935</v>
      </c>
      <c r="K93" s="368">
        <v>46179.482071759259</v>
      </c>
      <c r="L93" s="368">
        <v>46179.482222222221</v>
      </c>
      <c r="M93" s="368">
        <v>46240.323946759258</v>
      </c>
      <c r="N93" s="368"/>
      <c r="O93" s="368"/>
      <c r="P93" s="368"/>
      <c r="Q93" s="371" t="s">
        <v>4925</v>
      </c>
      <c r="R93" s="365"/>
      <c r="S93" s="365"/>
      <c r="T93" s="365"/>
      <c r="U93" s="365" t="s">
        <v>371</v>
      </c>
      <c r="V93" s="365"/>
      <c r="W93" s="365"/>
      <c r="X93" s="365"/>
      <c r="Y93" s="365"/>
      <c r="Z93" s="369">
        <f t="shared" ref="Z93:Z108" ca="1" si="25">IF(NOT(OR(G93=1,G93=2)),MAX(0,_xlfn.IFS(AND(K93&lt;&gt;"",N93&lt;&gt;""),((MAX(NETWORKDAYS(K93,N93,UKBankHolidays)-1,0))*(TIME(17,0,0)-TIME(8,0,0))+IF(NETWORKDAYS(N93,N93,UKBankHolidays)&gt;0,MEDIAN(TIME(8,0,0),MOD(N93,1),TIME(17,0,0)),TIME(8,0,0))-IF(NETWORKDAYS(K93,K93,UKBankHolidays)&gt;0,MEDIAN(TIME(8,0,0),MOD(K93,1),TIME(17,0,0)),TIME(8,0,0)))-IF(AND(O93&lt;&gt;"",P93&lt;&gt;""),((MAX(NETWORKDAYS(O93,P93,UKBankHolidays)-1,0))*(TIME(17,0,0)-TIME(8,0,0))+IF(NETWORKDAYS(P93,P93,UKBankHolidays)&gt;0,MEDIAN(TIME(8,0,0),MOD(P93,1),TIME(17,0,0)),TIME(8,0,0))-IF(NETWORKDAYS(O93,O93,UKBankHolidays)&gt;0,MEDIAN(TIME(8,0,0),MOD(O93,1),TIME(17,0,0)),TIME(8,0,0))),0),AND(K93&lt;&gt;"",N93=""),((MAX(NETWORKDAYS(K93,NOW(),UKBankHolidays)-1,0))*(TIME(17,0,0)-TIME(8,0,0))+IF(NETWORKDAYS(NOW(),NOW(),UKBankHolidays)&gt;0,MEDIAN(TIME(8,0,0),MOD(NOW(),1),TIME(17,0,0)),TIME(8,0,0))-IF(NETWORKDAYS(K93,K93,UKBankHolidays)&gt;0,MEDIAN(TIME(8,0,0),MOD(K93,1),TIME(17,0,0)),TIME(8,0,0))))),IF(N93="",NOW()-K93,N93-K93))</f>
        <v>21.300641203701772</v>
      </c>
      <c r="AA93" s="365"/>
      <c r="AB93" s="365"/>
      <c r="AC93" s="365"/>
      <c r="AD93" s="365"/>
      <c r="AE93" s="365"/>
      <c r="AF93" s="365"/>
      <c r="AG93" s="365"/>
      <c r="AH93" s="365"/>
      <c r="AI93" s="365"/>
      <c r="AJ93" s="365"/>
      <c r="AK93" s="365"/>
    </row>
    <row r="94" spans="1:37" ht="15" customHeight="1">
      <c r="A94" s="12">
        <v>93</v>
      </c>
      <c r="B94" s="12" t="s">
        <v>26</v>
      </c>
      <c r="C94" s="12" t="s">
        <v>37</v>
      </c>
      <c r="D94" s="12" t="s">
        <v>207</v>
      </c>
      <c r="E94" s="182" t="s">
        <v>5133</v>
      </c>
      <c r="F94" s="12" t="s">
        <v>36</v>
      </c>
      <c r="G94" s="12">
        <v>4</v>
      </c>
      <c r="H94" s="208" t="s">
        <v>5134</v>
      </c>
      <c r="I94" s="182" t="s">
        <v>271</v>
      </c>
      <c r="J94" s="208" t="s">
        <v>4940</v>
      </c>
      <c r="K94" s="361">
        <v>46179.560428240744</v>
      </c>
      <c r="L94" s="361">
        <v>46179.561111111114</v>
      </c>
      <c r="M94" s="361">
        <v>46240.333333333336</v>
      </c>
      <c r="N94" s="361">
        <v>46332.432476851849</v>
      </c>
      <c r="O94" s="361">
        <v>46271.33965277778</v>
      </c>
      <c r="P94" s="361">
        <v>46301.860694444447</v>
      </c>
      <c r="Q94" s="182" t="s">
        <v>4925</v>
      </c>
      <c r="R94" s="12"/>
      <c r="S94" s="12"/>
      <c r="T94" s="12"/>
      <c r="U94" s="12" t="s">
        <v>371</v>
      </c>
      <c r="V94" s="12"/>
      <c r="W94" s="12"/>
      <c r="X94" s="12"/>
      <c r="Y94" s="12"/>
      <c r="Z94" s="167">
        <f t="shared" ca="1" si="25"/>
        <v>32.349143518515731</v>
      </c>
      <c r="AA94" s="12"/>
      <c r="AB94" s="12"/>
      <c r="AC94" s="12"/>
      <c r="AD94" s="12"/>
      <c r="AE94" s="12"/>
      <c r="AF94" s="12"/>
      <c r="AG94" s="12"/>
      <c r="AH94" s="12"/>
      <c r="AI94" s="12"/>
      <c r="AJ94" s="12"/>
      <c r="AK94" s="12"/>
    </row>
    <row r="95" spans="1:37" ht="15" customHeight="1">
      <c r="A95" s="12">
        <v>94</v>
      </c>
      <c r="B95" s="12" t="s">
        <v>26</v>
      </c>
      <c r="C95" s="12" t="s">
        <v>37</v>
      </c>
      <c r="D95" s="12" t="s">
        <v>207</v>
      </c>
      <c r="E95" s="98" t="s">
        <v>5135</v>
      </c>
      <c r="F95" s="98" t="s">
        <v>36</v>
      </c>
      <c r="G95" s="12">
        <v>4</v>
      </c>
      <c r="H95" s="98" t="s">
        <v>5136</v>
      </c>
      <c r="I95" s="182" t="s">
        <v>271</v>
      </c>
      <c r="J95" s="98" t="s">
        <v>4928</v>
      </c>
      <c r="K95" s="361">
        <v>46179.77857638889</v>
      </c>
      <c r="L95" s="361">
        <v>46179.77857638889</v>
      </c>
      <c r="M95" s="361">
        <v>46179.77857638889</v>
      </c>
      <c r="N95" s="361"/>
      <c r="O95" s="361"/>
      <c r="P95" s="361"/>
      <c r="Q95" s="98" t="s">
        <v>4925</v>
      </c>
      <c r="R95" s="12"/>
      <c r="S95" s="12"/>
      <c r="T95" s="12"/>
      <c r="U95" s="12" t="s">
        <v>371</v>
      </c>
      <c r="V95" s="12"/>
      <c r="W95" s="12"/>
      <c r="X95" s="12"/>
      <c r="Y95" s="12"/>
      <c r="Z95" s="167">
        <f t="shared" ca="1" si="25"/>
        <v>21.300641087963115</v>
      </c>
      <c r="AA95" s="12"/>
      <c r="AB95" s="12"/>
      <c r="AC95" s="12"/>
      <c r="AD95" s="12"/>
      <c r="AE95" s="12"/>
      <c r="AF95" s="12"/>
      <c r="AG95" s="12"/>
      <c r="AH95" s="12" t="s">
        <v>5132</v>
      </c>
      <c r="AI95" s="12"/>
      <c r="AJ95" s="12"/>
      <c r="AK95" s="12"/>
    </row>
    <row r="96" spans="1:37" ht="15" customHeight="1">
      <c r="A96" s="12">
        <v>95</v>
      </c>
      <c r="B96" s="12" t="s">
        <v>26</v>
      </c>
      <c r="C96" s="12" t="s">
        <v>37</v>
      </c>
      <c r="D96" s="12" t="s">
        <v>207</v>
      </c>
      <c r="E96" s="182" t="s">
        <v>5137</v>
      </c>
      <c r="F96" s="12" t="s">
        <v>36</v>
      </c>
      <c r="G96" s="12">
        <v>4</v>
      </c>
      <c r="H96" s="208" t="s">
        <v>5138</v>
      </c>
      <c r="I96" s="182" t="s">
        <v>271</v>
      </c>
      <c r="J96" s="182" t="s">
        <v>4943</v>
      </c>
      <c r="K96" s="361">
        <v>46179.788136574076</v>
      </c>
      <c r="L96" s="361">
        <v>46179.788437499999</v>
      </c>
      <c r="M96" s="361">
        <v>46240.331423611111</v>
      </c>
      <c r="N96" s="361">
        <v>46190.715671296297</v>
      </c>
      <c r="O96" s="361">
        <v>46271.714884259258</v>
      </c>
      <c r="P96" s="361">
        <v>46190.715671296297</v>
      </c>
      <c r="Q96" s="182" t="s">
        <v>4930</v>
      </c>
      <c r="R96" s="12"/>
      <c r="S96" s="12"/>
      <c r="T96" s="12"/>
      <c r="U96" s="12" t="s">
        <v>371</v>
      </c>
      <c r="V96" s="12"/>
      <c r="W96" s="12"/>
      <c r="X96" s="12"/>
      <c r="Y96" s="12"/>
      <c r="Z96" s="167">
        <f t="shared" ca="1" si="25"/>
        <v>2.6250000000000004</v>
      </c>
      <c r="AA96" s="12"/>
      <c r="AB96" s="12"/>
      <c r="AC96" s="12"/>
      <c r="AD96" s="12"/>
      <c r="AE96" s="12"/>
      <c r="AF96" s="12"/>
      <c r="AG96" s="12"/>
      <c r="AH96" s="12"/>
      <c r="AI96" s="12"/>
      <c r="AJ96" s="12"/>
      <c r="AK96" s="12"/>
    </row>
    <row r="97" spans="1:37" ht="15" customHeight="1">
      <c r="A97" s="12">
        <v>96</v>
      </c>
      <c r="B97" s="12" t="s">
        <v>26</v>
      </c>
      <c r="C97" s="12" t="s">
        <v>37</v>
      </c>
      <c r="D97" s="12" t="s">
        <v>207</v>
      </c>
      <c r="E97" s="182" t="s">
        <v>5135</v>
      </c>
      <c r="F97" s="12" t="s">
        <v>36</v>
      </c>
      <c r="G97" s="12">
        <v>4</v>
      </c>
      <c r="H97" s="208" t="s">
        <v>5136</v>
      </c>
      <c r="I97" s="182" t="s">
        <v>271</v>
      </c>
      <c r="J97" s="208" t="s">
        <v>4928</v>
      </c>
      <c r="K97" s="361">
        <v>46179.96607638889</v>
      </c>
      <c r="L97" s="361">
        <v>46179.966122685182</v>
      </c>
      <c r="M97" s="361">
        <v>46240.334456018521</v>
      </c>
      <c r="N97" s="361">
        <v>46202.702986111108</v>
      </c>
      <c r="O97" s="361">
        <v>46192.702604166669</v>
      </c>
      <c r="P97" s="361">
        <v>46202.702986111108</v>
      </c>
      <c r="Q97" s="182" t="s">
        <v>4925</v>
      </c>
      <c r="R97" s="12"/>
      <c r="S97" s="12"/>
      <c r="T97" s="12"/>
      <c r="U97" s="12" t="s">
        <v>371</v>
      </c>
      <c r="V97" s="12"/>
      <c r="W97" s="12"/>
      <c r="X97" s="12"/>
      <c r="Y97" s="12"/>
      <c r="Z97" s="167">
        <f t="shared" ca="1" si="25"/>
        <v>3.7442708333352743</v>
      </c>
      <c r="AA97" s="12"/>
      <c r="AB97" s="12"/>
      <c r="AC97" s="12"/>
      <c r="AD97" s="12"/>
      <c r="AE97" s="12"/>
      <c r="AF97" s="12"/>
      <c r="AG97" s="12"/>
      <c r="AH97" s="12"/>
      <c r="AI97" s="12"/>
      <c r="AJ97" s="12"/>
      <c r="AK97" s="12"/>
    </row>
    <row r="98" spans="1:37" ht="15" customHeight="1">
      <c r="A98" s="378">
        <v>97</v>
      </c>
      <c r="B98" s="12" t="s">
        <v>26</v>
      </c>
      <c r="C98" s="12" t="s">
        <v>37</v>
      </c>
      <c r="D98" s="12" t="s">
        <v>207</v>
      </c>
      <c r="E98" s="98" t="s">
        <v>5139</v>
      </c>
      <c r="F98" s="98" t="s">
        <v>36</v>
      </c>
      <c r="G98" s="12">
        <v>4</v>
      </c>
      <c r="H98" s="98" t="s">
        <v>5140</v>
      </c>
      <c r="I98" s="182" t="s">
        <v>271</v>
      </c>
      <c r="J98" s="98" t="s">
        <v>4928</v>
      </c>
      <c r="K98" s="361">
        <v>46182.6405787037</v>
      </c>
      <c r="L98" s="361">
        <v>46182.6405787037</v>
      </c>
      <c r="M98" s="361">
        <v>46182.6405787037</v>
      </c>
      <c r="N98" s="361">
        <v>46199.468761574077</v>
      </c>
      <c r="O98" s="361"/>
      <c r="P98" s="361">
        <v>46199.468761574077</v>
      </c>
      <c r="Q98" s="98"/>
      <c r="R98" s="12"/>
      <c r="S98" s="12"/>
      <c r="T98" s="12"/>
      <c r="U98" s="12" t="s">
        <v>371</v>
      </c>
      <c r="V98" s="12"/>
      <c r="W98" s="12"/>
      <c r="X98" s="12"/>
      <c r="Y98" s="12"/>
      <c r="Z98" s="167">
        <f t="shared" ca="1" si="25"/>
        <v>4.7031828703766232</v>
      </c>
      <c r="AA98" s="12"/>
      <c r="AB98" s="12"/>
      <c r="AC98" s="12"/>
      <c r="AD98" s="12"/>
      <c r="AE98" s="12"/>
      <c r="AF98" s="12"/>
      <c r="AG98" s="12"/>
      <c r="AH98" s="12" t="s">
        <v>5132</v>
      </c>
      <c r="AI98" s="12"/>
      <c r="AJ98" s="12"/>
      <c r="AK98" s="12"/>
    </row>
    <row r="99" spans="1:37" ht="15" customHeight="1">
      <c r="A99" s="12">
        <v>98</v>
      </c>
      <c r="B99" s="12" t="s">
        <v>26</v>
      </c>
      <c r="C99" s="12" t="s">
        <v>37</v>
      </c>
      <c r="D99" s="12" t="s">
        <v>207</v>
      </c>
      <c r="E99" s="98" t="s">
        <v>5141</v>
      </c>
      <c r="F99" s="98" t="s">
        <v>36</v>
      </c>
      <c r="G99" s="12">
        <v>4</v>
      </c>
      <c r="H99" s="98" t="s">
        <v>5142</v>
      </c>
      <c r="I99" s="182" t="s">
        <v>271</v>
      </c>
      <c r="J99" s="98" t="s">
        <v>4935</v>
      </c>
      <c r="K99" s="361">
        <v>46182.713796296295</v>
      </c>
      <c r="L99" s="361">
        <v>46182.713796296295</v>
      </c>
      <c r="M99" s="361">
        <v>46182.713796296295</v>
      </c>
      <c r="N99" s="361">
        <v>46199.42627314815</v>
      </c>
      <c r="O99" s="361"/>
      <c r="P99" s="361">
        <v>46199.42627314815</v>
      </c>
      <c r="Q99" s="98"/>
      <c r="R99" s="12"/>
      <c r="S99" s="12"/>
      <c r="T99" s="12"/>
      <c r="U99" s="12" t="s">
        <v>371</v>
      </c>
      <c r="V99" s="12"/>
      <c r="W99" s="12"/>
      <c r="X99" s="12"/>
      <c r="Y99" s="12"/>
      <c r="Z99" s="167">
        <f t="shared" ca="1" si="25"/>
        <v>4.5929398148170257</v>
      </c>
      <c r="AA99" s="12"/>
      <c r="AB99" s="12"/>
      <c r="AC99" s="12"/>
      <c r="AD99" s="12"/>
      <c r="AE99" s="12"/>
      <c r="AF99" s="12"/>
      <c r="AG99" s="12"/>
      <c r="AH99" s="12" t="s">
        <v>5132</v>
      </c>
      <c r="AI99" s="12"/>
      <c r="AJ99" s="12"/>
      <c r="AK99" s="12"/>
    </row>
    <row r="100" spans="1:37" ht="15" customHeight="1">
      <c r="A100" s="12">
        <v>99</v>
      </c>
      <c r="B100" s="12" t="s">
        <v>26</v>
      </c>
      <c r="C100" s="12" t="s">
        <v>37</v>
      </c>
      <c r="D100" s="12" t="s">
        <v>207</v>
      </c>
      <c r="E100" s="98" t="s">
        <v>5143</v>
      </c>
      <c r="F100" s="98" t="s">
        <v>36</v>
      </c>
      <c r="G100" s="12">
        <v>4</v>
      </c>
      <c r="H100" s="98" t="s">
        <v>5144</v>
      </c>
      <c r="I100" s="182" t="s">
        <v>271</v>
      </c>
      <c r="J100" s="98" t="s">
        <v>4924</v>
      </c>
      <c r="K100" s="361">
        <v>46182.905243055553</v>
      </c>
      <c r="L100" s="361">
        <v>46182.905243055553</v>
      </c>
      <c r="M100" s="361">
        <v>46182.905243055553</v>
      </c>
      <c r="N100" s="361">
        <v>46192.926238425927</v>
      </c>
      <c r="O100" s="361"/>
      <c r="P100" s="361">
        <v>46192.926238425927</v>
      </c>
      <c r="Q100" s="98"/>
      <c r="R100" s="12"/>
      <c r="S100" s="12"/>
      <c r="T100" s="12"/>
      <c r="U100" s="12" t="s">
        <v>371</v>
      </c>
      <c r="V100" s="12"/>
      <c r="W100" s="12"/>
      <c r="X100" s="12"/>
      <c r="Y100" s="12"/>
      <c r="Z100" s="167">
        <f t="shared" ca="1" si="25"/>
        <v>3.0000000000000004</v>
      </c>
      <c r="AA100" s="12"/>
      <c r="AB100" s="12"/>
      <c r="AC100" s="12"/>
      <c r="AD100" s="12"/>
      <c r="AE100" s="12"/>
      <c r="AF100" s="12"/>
      <c r="AG100" s="12"/>
      <c r="AH100" s="12" t="s">
        <v>5132</v>
      </c>
      <c r="AI100" s="12"/>
      <c r="AJ100" s="12"/>
      <c r="AK100" s="12"/>
    </row>
    <row r="101" spans="1:37" ht="15" customHeight="1">
      <c r="A101" s="12">
        <v>100</v>
      </c>
      <c r="B101" s="12" t="s">
        <v>26</v>
      </c>
      <c r="C101" s="12" t="s">
        <v>37</v>
      </c>
      <c r="D101" s="12" t="s">
        <v>207</v>
      </c>
      <c r="E101" s="98" t="s">
        <v>5145</v>
      </c>
      <c r="F101" s="98" t="s">
        <v>36</v>
      </c>
      <c r="G101" s="12">
        <v>3</v>
      </c>
      <c r="H101" s="98" t="s">
        <v>5146</v>
      </c>
      <c r="I101" s="182" t="s">
        <v>271</v>
      </c>
      <c r="J101" s="98" t="s">
        <v>4924</v>
      </c>
      <c r="K101" s="361">
        <v>46183.559398148151</v>
      </c>
      <c r="L101" s="361">
        <v>46183.559398148151</v>
      </c>
      <c r="M101" s="361">
        <v>46183.559398148151</v>
      </c>
      <c r="N101" s="361">
        <v>46201.510428240741</v>
      </c>
      <c r="O101" s="361"/>
      <c r="P101" s="361">
        <v>46201.510428240741</v>
      </c>
      <c r="Q101" s="98"/>
      <c r="R101" s="12"/>
      <c r="S101" s="12"/>
      <c r="T101" s="12"/>
      <c r="U101" s="12" t="s">
        <v>371</v>
      </c>
      <c r="V101" s="12"/>
      <c r="W101" s="12"/>
      <c r="X101" s="12"/>
      <c r="Y101" s="12"/>
      <c r="Z101" s="167">
        <f t="shared" ca="1" si="25"/>
        <v>4.273935185182685</v>
      </c>
      <c r="AA101" s="12"/>
      <c r="AB101" s="12"/>
      <c r="AC101" s="12"/>
      <c r="AD101" s="12"/>
      <c r="AE101" s="12"/>
      <c r="AF101" s="12"/>
      <c r="AG101" s="12"/>
      <c r="AH101" s="12" t="s">
        <v>5132</v>
      </c>
      <c r="AI101" s="12"/>
      <c r="AJ101" s="12"/>
      <c r="AK101" s="12"/>
    </row>
    <row r="102" spans="1:37" ht="15" customHeight="1">
      <c r="A102" s="12">
        <v>101</v>
      </c>
      <c r="B102" s="12" t="s">
        <v>26</v>
      </c>
      <c r="C102" s="12" t="s">
        <v>37</v>
      </c>
      <c r="D102" s="12" t="s">
        <v>207</v>
      </c>
      <c r="E102" s="98" t="s">
        <v>5147</v>
      </c>
      <c r="F102" s="98" t="s">
        <v>36</v>
      </c>
      <c r="G102" s="12">
        <v>4</v>
      </c>
      <c r="H102" s="98" t="s">
        <v>5148</v>
      </c>
      <c r="I102" s="182" t="s">
        <v>271</v>
      </c>
      <c r="J102" s="98" t="s">
        <v>4924</v>
      </c>
      <c r="K102" s="361">
        <v>46183.55945601852</v>
      </c>
      <c r="L102" s="361">
        <v>46183.55945601852</v>
      </c>
      <c r="M102" s="361">
        <v>46183.55945601852</v>
      </c>
      <c r="N102" s="361">
        <v>46193.510057870371</v>
      </c>
      <c r="O102" s="361"/>
      <c r="P102" s="361">
        <v>46193.510057870371</v>
      </c>
      <c r="Q102" s="98" t="s">
        <v>4925</v>
      </c>
      <c r="R102" s="12"/>
      <c r="S102" s="12"/>
      <c r="T102" s="12"/>
      <c r="U102" s="12" t="s">
        <v>371</v>
      </c>
      <c r="V102" s="12"/>
      <c r="W102" s="12"/>
      <c r="X102" s="12"/>
      <c r="Y102" s="12"/>
      <c r="Z102" s="167">
        <f t="shared" ca="1" si="25"/>
        <v>2.3988773148133387</v>
      </c>
      <c r="AA102" s="12"/>
      <c r="AB102" s="12"/>
      <c r="AC102" s="12"/>
      <c r="AD102" s="12"/>
      <c r="AE102" s="12"/>
      <c r="AF102" s="12"/>
      <c r="AG102" s="12"/>
      <c r="AH102" s="12" t="s">
        <v>5132</v>
      </c>
      <c r="AI102" s="12"/>
      <c r="AJ102" s="12"/>
      <c r="AK102" s="12"/>
    </row>
    <row r="103" spans="1:37" ht="15" customHeight="1">
      <c r="A103" s="378">
        <v>102</v>
      </c>
      <c r="B103" s="12" t="s">
        <v>26</v>
      </c>
      <c r="C103" s="12" t="s">
        <v>37</v>
      </c>
      <c r="D103" s="12" t="s">
        <v>207</v>
      </c>
      <c r="E103" s="98" t="s">
        <v>5149</v>
      </c>
      <c r="F103" s="98" t="s">
        <v>36</v>
      </c>
      <c r="G103" s="12">
        <v>4</v>
      </c>
      <c r="H103" s="98" t="s">
        <v>5150</v>
      </c>
      <c r="I103" s="182" t="s">
        <v>271</v>
      </c>
      <c r="J103" s="98" t="s">
        <v>4924</v>
      </c>
      <c r="K103" s="361">
        <v>46183.701423611114</v>
      </c>
      <c r="L103" s="361">
        <v>46183.701423611114</v>
      </c>
      <c r="M103" s="361">
        <v>46183.701423611114</v>
      </c>
      <c r="N103" s="361">
        <v>46198.384328703702</v>
      </c>
      <c r="O103" s="361"/>
      <c r="P103" s="361">
        <v>46198.384328703702</v>
      </c>
      <c r="Q103" s="98" t="s">
        <v>5091</v>
      </c>
      <c r="R103" s="12"/>
      <c r="S103" s="12"/>
      <c r="T103" s="12"/>
      <c r="U103" s="12" t="s">
        <v>371</v>
      </c>
      <c r="V103" s="12"/>
      <c r="W103" s="12"/>
      <c r="X103" s="12"/>
      <c r="Y103" s="12"/>
      <c r="Z103" s="167">
        <f t="shared" ca="1" si="25"/>
        <v>3.8079050925880447</v>
      </c>
      <c r="AA103" s="12"/>
      <c r="AB103" s="12"/>
      <c r="AC103" s="12"/>
      <c r="AD103" s="12"/>
      <c r="AE103" s="12"/>
      <c r="AF103" s="12"/>
      <c r="AG103" s="12"/>
      <c r="AH103" s="12" t="s">
        <v>5132</v>
      </c>
      <c r="AI103" s="12"/>
      <c r="AJ103" s="12"/>
      <c r="AK103" s="12"/>
    </row>
    <row r="104" spans="1:37" ht="15" customHeight="1">
      <c r="A104" s="12">
        <v>103</v>
      </c>
      <c r="B104" s="12" t="s">
        <v>26</v>
      </c>
      <c r="C104" s="12" t="s">
        <v>37</v>
      </c>
      <c r="D104" s="12" t="s">
        <v>207</v>
      </c>
      <c r="E104" s="98" t="s">
        <v>5151</v>
      </c>
      <c r="F104" s="98" t="s">
        <v>36</v>
      </c>
      <c r="G104" s="12">
        <v>4</v>
      </c>
      <c r="H104" s="98" t="s">
        <v>5152</v>
      </c>
      <c r="I104" s="182" t="s">
        <v>271</v>
      </c>
      <c r="J104" s="98" t="s">
        <v>4935</v>
      </c>
      <c r="K104" s="361">
        <v>46183.858969907407</v>
      </c>
      <c r="L104" s="361">
        <v>46183.858969907407</v>
      </c>
      <c r="M104" s="361">
        <v>46183.858969907407</v>
      </c>
      <c r="N104" s="361">
        <v>46200.428796296299</v>
      </c>
      <c r="O104" s="361"/>
      <c r="P104" s="361">
        <v>46200.428796296299</v>
      </c>
      <c r="Q104" s="98"/>
      <c r="R104" s="12"/>
      <c r="S104" s="12"/>
      <c r="T104" s="12"/>
      <c r="U104" s="12" t="s">
        <v>371</v>
      </c>
      <c r="V104" s="12"/>
      <c r="W104" s="12"/>
      <c r="X104" s="12"/>
      <c r="Y104" s="12"/>
      <c r="Z104" s="167">
        <f t="shared" ca="1" si="25"/>
        <v>4.1250000000000009</v>
      </c>
      <c r="AA104" s="12"/>
      <c r="AB104" s="12"/>
      <c r="AC104" s="12"/>
      <c r="AD104" s="12"/>
      <c r="AE104" s="12"/>
      <c r="AF104" s="12"/>
      <c r="AG104" s="12"/>
      <c r="AH104" s="12" t="s">
        <v>5132</v>
      </c>
      <c r="AI104" s="12"/>
      <c r="AJ104" s="12"/>
      <c r="AK104" s="12"/>
    </row>
    <row r="105" spans="1:37" ht="15" customHeight="1">
      <c r="A105" s="12">
        <v>104</v>
      </c>
      <c r="B105" s="12" t="s">
        <v>26</v>
      </c>
      <c r="C105" s="12" t="s">
        <v>37</v>
      </c>
      <c r="D105" s="12" t="s">
        <v>207</v>
      </c>
      <c r="E105" s="98" t="s">
        <v>5153</v>
      </c>
      <c r="F105" s="98" t="s">
        <v>36</v>
      </c>
      <c r="G105" s="12">
        <v>4</v>
      </c>
      <c r="H105" s="98" t="s">
        <v>5154</v>
      </c>
      <c r="I105" s="182" t="s">
        <v>271</v>
      </c>
      <c r="J105" s="98" t="s">
        <v>4940</v>
      </c>
      <c r="K105" s="361">
        <v>46183.950509259259</v>
      </c>
      <c r="L105" s="361">
        <v>46183.950509259259</v>
      </c>
      <c r="M105" s="361">
        <v>46183.950509259259</v>
      </c>
      <c r="N105" s="361">
        <v>46187.842939814815</v>
      </c>
      <c r="O105" s="361"/>
      <c r="P105" s="361">
        <v>46187.842939814815</v>
      </c>
      <c r="Q105" s="98"/>
      <c r="R105" s="12"/>
      <c r="S105" s="12"/>
      <c r="T105" s="12"/>
      <c r="U105" s="12" t="s">
        <v>371</v>
      </c>
      <c r="V105" s="12"/>
      <c r="W105" s="12"/>
      <c r="X105" s="12"/>
      <c r="Y105" s="12"/>
      <c r="Z105" s="167">
        <f t="shared" ca="1" si="25"/>
        <v>0.37500000000000011</v>
      </c>
      <c r="AA105" s="12"/>
      <c r="AB105" s="12"/>
      <c r="AC105" s="12"/>
      <c r="AD105" s="12"/>
      <c r="AE105" s="12"/>
      <c r="AF105" s="12"/>
      <c r="AG105" s="12"/>
      <c r="AH105" s="12" t="s">
        <v>5132</v>
      </c>
      <c r="AI105" s="12"/>
      <c r="AJ105" s="12"/>
      <c r="AK105" s="12"/>
    </row>
    <row r="106" spans="1:37" ht="15" customHeight="1">
      <c r="A106" s="12">
        <v>105</v>
      </c>
      <c r="B106" s="12" t="s">
        <v>26</v>
      </c>
      <c r="C106" s="12" t="s">
        <v>37</v>
      </c>
      <c r="D106" s="12" t="s">
        <v>207</v>
      </c>
      <c r="E106" s="98" t="s">
        <v>5155</v>
      </c>
      <c r="F106" s="98" t="s">
        <v>36</v>
      </c>
      <c r="G106" s="12">
        <v>4</v>
      </c>
      <c r="H106" s="98" t="s">
        <v>5156</v>
      </c>
      <c r="I106" s="182" t="s">
        <v>271</v>
      </c>
      <c r="J106" s="98" t="s">
        <v>4940</v>
      </c>
      <c r="K106" s="361">
        <v>46184.337847222225</v>
      </c>
      <c r="L106" s="361">
        <v>46184.337847222225</v>
      </c>
      <c r="M106" s="361">
        <v>46184.337847222225</v>
      </c>
      <c r="N106" s="361">
        <v>46193.593032407407</v>
      </c>
      <c r="O106" s="361"/>
      <c r="P106" s="361">
        <v>46193.593032407407</v>
      </c>
      <c r="Q106" s="98" t="s">
        <v>4925</v>
      </c>
      <c r="R106" s="12"/>
      <c r="S106" s="12"/>
      <c r="T106" s="12"/>
      <c r="U106" s="12" t="s">
        <v>371</v>
      </c>
      <c r="V106" s="12"/>
      <c r="W106" s="12"/>
      <c r="X106" s="12"/>
      <c r="Y106" s="12"/>
      <c r="Z106" s="167">
        <f t="shared" ca="1" si="25"/>
        <v>2.2454861111085247</v>
      </c>
      <c r="AA106" s="12"/>
      <c r="AB106" s="12"/>
      <c r="AC106" s="12"/>
      <c r="AD106" s="12"/>
      <c r="AE106" s="12"/>
      <c r="AF106" s="12"/>
      <c r="AG106" s="12"/>
      <c r="AH106" s="12" t="s">
        <v>5132</v>
      </c>
      <c r="AI106" s="12"/>
      <c r="AJ106" s="12"/>
      <c r="AK106" s="12"/>
    </row>
    <row r="107" spans="1:37" ht="15" customHeight="1">
      <c r="A107" s="12">
        <v>106</v>
      </c>
      <c r="B107" s="12" t="s">
        <v>26</v>
      </c>
      <c r="C107" s="12" t="s">
        <v>37</v>
      </c>
      <c r="D107" s="12" t="s">
        <v>207</v>
      </c>
      <c r="E107" s="98" t="s">
        <v>5157</v>
      </c>
      <c r="F107" s="98" t="s">
        <v>36</v>
      </c>
      <c r="G107" s="12">
        <v>3</v>
      </c>
      <c r="H107" s="98" t="s">
        <v>5158</v>
      </c>
      <c r="I107" s="182" t="s">
        <v>271</v>
      </c>
      <c r="J107" s="98" t="s">
        <v>4940</v>
      </c>
      <c r="K107" s="361">
        <v>46184.376574074071</v>
      </c>
      <c r="L107" s="361">
        <v>46184.376574074071</v>
      </c>
      <c r="M107" s="361">
        <v>46184.376574074071</v>
      </c>
      <c r="N107" s="361">
        <v>46192.467673611114</v>
      </c>
      <c r="O107" s="361"/>
      <c r="P107" s="361">
        <v>46192.467673611114</v>
      </c>
      <c r="Q107" s="98"/>
      <c r="R107" s="12"/>
      <c r="S107" s="12"/>
      <c r="T107" s="12"/>
      <c r="U107" s="12" t="s">
        <v>371</v>
      </c>
      <c r="V107" s="12"/>
      <c r="W107" s="12"/>
      <c r="X107" s="12"/>
      <c r="Y107" s="12"/>
      <c r="Z107" s="167">
        <f t="shared" ca="1" si="25"/>
        <v>2.3410995370431924</v>
      </c>
      <c r="AA107" s="12"/>
      <c r="AB107" s="12"/>
      <c r="AC107" s="12"/>
      <c r="AD107" s="12"/>
      <c r="AE107" s="12"/>
      <c r="AF107" s="12"/>
      <c r="AG107" s="12"/>
      <c r="AH107" s="12" t="s">
        <v>5132</v>
      </c>
      <c r="AI107" s="12"/>
      <c r="AJ107" s="12"/>
      <c r="AK107" s="12"/>
    </row>
    <row r="108" spans="1:37" ht="15" customHeight="1">
      <c r="A108" s="378">
        <v>107</v>
      </c>
      <c r="B108" s="12" t="s">
        <v>26</v>
      </c>
      <c r="C108" s="12" t="s">
        <v>37</v>
      </c>
      <c r="D108" s="12" t="s">
        <v>207</v>
      </c>
      <c r="E108" s="98" t="s">
        <v>5159</v>
      </c>
      <c r="F108" s="98" t="s">
        <v>36</v>
      </c>
      <c r="G108" s="12">
        <v>4</v>
      </c>
      <c r="H108" s="98" t="s">
        <v>5160</v>
      </c>
      <c r="I108" s="182" t="s">
        <v>271</v>
      </c>
      <c r="J108" s="98" t="s">
        <v>4943</v>
      </c>
      <c r="K108" s="361">
        <v>46184.498402777775</v>
      </c>
      <c r="L108" s="361">
        <v>46184.498402777775</v>
      </c>
      <c r="M108" s="361">
        <v>46184.498402777775</v>
      </c>
      <c r="N108" s="361">
        <v>46198.426550925928</v>
      </c>
      <c r="O108" s="361"/>
      <c r="P108" s="361">
        <v>46198.426550925928</v>
      </c>
      <c r="Q108" s="98"/>
      <c r="R108" s="12"/>
      <c r="S108" s="12"/>
      <c r="T108" s="12"/>
      <c r="U108" s="12" t="s">
        <v>371</v>
      </c>
      <c r="V108" s="12"/>
      <c r="W108" s="12"/>
      <c r="X108" s="12"/>
      <c r="Y108" s="12"/>
      <c r="Z108" s="167">
        <f t="shared" ca="1" si="25"/>
        <v>3.6781481481521041</v>
      </c>
      <c r="AA108" s="12"/>
      <c r="AB108" s="12"/>
      <c r="AC108" s="12"/>
      <c r="AD108" s="12"/>
      <c r="AE108" s="12"/>
      <c r="AF108" s="12"/>
      <c r="AG108" s="12"/>
      <c r="AH108" s="12" t="s">
        <v>5132</v>
      </c>
      <c r="AI108" s="12"/>
      <c r="AJ108" s="12"/>
      <c r="AK108" s="12"/>
    </row>
    <row r="109" spans="1:37" ht="15" customHeight="1">
      <c r="A109" s="12">
        <v>108</v>
      </c>
      <c r="B109" s="12" t="s">
        <v>26</v>
      </c>
      <c r="C109" s="12" t="s">
        <v>37</v>
      </c>
      <c r="D109" s="12" t="s">
        <v>208</v>
      </c>
      <c r="E109" s="12" t="s">
        <v>5161</v>
      </c>
      <c r="F109" s="12" t="s">
        <v>36</v>
      </c>
      <c r="G109" s="12" t="s">
        <v>208</v>
      </c>
      <c r="H109" s="85" t="s">
        <v>5162</v>
      </c>
      <c r="I109" s="182" t="s">
        <v>271</v>
      </c>
      <c r="J109" s="12" t="s">
        <v>4928</v>
      </c>
      <c r="K109" s="361">
        <v>46184.514780092592</v>
      </c>
      <c r="L109" s="361">
        <v>46184.514780092592</v>
      </c>
      <c r="M109" s="361">
        <v>46184.514780092592</v>
      </c>
      <c r="N109" s="361">
        <v>46188.489722222221</v>
      </c>
      <c r="O109" s="361"/>
      <c r="P109" s="361"/>
      <c r="Q109" s="12"/>
      <c r="R109" s="12"/>
      <c r="S109" s="12"/>
      <c r="T109" s="12"/>
      <c r="U109" s="12"/>
      <c r="V109" s="12"/>
      <c r="W109" s="12"/>
      <c r="X109" s="12"/>
      <c r="Y109" s="12"/>
      <c r="Z109" s="12"/>
      <c r="AA109" s="12"/>
      <c r="AB109" s="12"/>
      <c r="AC109" s="12"/>
      <c r="AD109" s="12"/>
      <c r="AE109" s="12"/>
      <c r="AF109" s="12"/>
      <c r="AG109" s="12"/>
      <c r="AH109" s="12"/>
      <c r="AI109" s="12"/>
      <c r="AJ109" s="12"/>
      <c r="AK109" s="12"/>
    </row>
    <row r="110" spans="1:37" ht="15" customHeight="1">
      <c r="A110" s="12">
        <v>109</v>
      </c>
      <c r="B110" s="12" t="s">
        <v>26</v>
      </c>
      <c r="C110" s="12" t="s">
        <v>37</v>
      </c>
      <c r="D110" s="12" t="s">
        <v>207</v>
      </c>
      <c r="E110" s="98" t="s">
        <v>5163</v>
      </c>
      <c r="F110" s="98" t="s">
        <v>36</v>
      </c>
      <c r="G110" s="12">
        <v>4</v>
      </c>
      <c r="H110" s="98" t="s">
        <v>5164</v>
      </c>
      <c r="I110" s="182" t="s">
        <v>271</v>
      </c>
      <c r="J110" s="98" t="s">
        <v>4940</v>
      </c>
      <c r="K110" s="361">
        <v>46184.780150462961</v>
      </c>
      <c r="L110" s="361">
        <v>46184.780150462961</v>
      </c>
      <c r="M110" s="361">
        <v>46184.780150462961</v>
      </c>
      <c r="N110" s="361">
        <v>46191.260208333333</v>
      </c>
      <c r="O110" s="361"/>
      <c r="P110" s="361">
        <v>46191.260208333333</v>
      </c>
      <c r="Q110" s="98" t="s">
        <v>4925</v>
      </c>
      <c r="R110" s="12"/>
      <c r="S110" s="12"/>
      <c r="T110" s="12"/>
      <c r="U110" s="12" t="s">
        <v>371</v>
      </c>
      <c r="V110" s="12"/>
      <c r="W110" s="12"/>
      <c r="X110" s="12"/>
      <c r="Y110" s="12"/>
      <c r="Z110" s="167">
        <f ca="1">IF(NOT(OR(G110=1,G110=2)),MAX(0,_xlfn.IFS(AND(K110&lt;&gt;"",N110&lt;&gt;""),((MAX(NETWORKDAYS(K110,N110,UKBankHolidays)-1,0))*(TIME(17,0,0)-TIME(8,0,0))+IF(NETWORKDAYS(N110,N110,UKBankHolidays)&gt;0,MEDIAN(TIME(8,0,0),MOD(N110,1),TIME(17,0,0)),TIME(8,0,0))-IF(NETWORKDAYS(K110,K110,UKBankHolidays)&gt;0,MEDIAN(TIME(8,0,0),MOD(K110,1),TIME(17,0,0)),TIME(8,0,0)))-IF(AND(O110&lt;&gt;"",P110&lt;&gt;""),((MAX(NETWORKDAYS(O110,P110,UKBankHolidays)-1,0))*(TIME(17,0,0)-TIME(8,0,0))+IF(NETWORKDAYS(P110,P110,UKBankHolidays)&gt;0,MEDIAN(TIME(8,0,0),MOD(P110,1),TIME(17,0,0)),TIME(8,0,0))-IF(NETWORKDAYS(O110,O110,UKBankHolidays)&gt;0,MEDIAN(TIME(8,0,0),MOD(O110,1),TIME(17,0,0)),TIME(8,0,0))),0),AND(K110&lt;&gt;"",N110=""),((MAX(NETWORKDAYS(K110,NOW(),UKBankHolidays)-1,0))*(TIME(17,0,0)-TIME(8,0,0))+IF(NETWORKDAYS(NOW(),NOW(),UKBankHolidays)&gt;0,MEDIAN(TIME(8,0,0),MOD(NOW(),1),TIME(17,0,0)),TIME(8,0,0))-IF(NETWORKDAYS(K110,K110,UKBankHolidays)&gt;0,MEDIAN(TIME(8,0,0),MOD(K110,1),TIME(17,0,0)),TIME(8,0,0))))),IF(N110="",NOW()-K110,N110-K110))</f>
        <v>1.5</v>
      </c>
      <c r="AA110" s="12"/>
      <c r="AB110" s="12"/>
      <c r="AC110" s="12"/>
      <c r="AD110" s="12"/>
      <c r="AE110" s="12"/>
      <c r="AF110" s="12"/>
      <c r="AG110" s="12"/>
      <c r="AH110" s="12" t="s">
        <v>5132</v>
      </c>
      <c r="AI110" s="12"/>
      <c r="AJ110" s="12"/>
      <c r="AK110" s="12"/>
    </row>
    <row r="111" spans="1:37" ht="15" customHeight="1">
      <c r="A111" s="12">
        <v>110</v>
      </c>
      <c r="B111" s="19" t="s">
        <v>26</v>
      </c>
      <c r="C111" s="19" t="s">
        <v>37</v>
      </c>
      <c r="D111" s="19" t="s">
        <v>207</v>
      </c>
      <c r="E111" s="19" t="s">
        <v>5165</v>
      </c>
      <c r="F111" s="19" t="s">
        <v>36</v>
      </c>
      <c r="G111" s="19">
        <v>4</v>
      </c>
      <c r="H111" s="19" t="s">
        <v>5166</v>
      </c>
      <c r="I111" s="182" t="s">
        <v>271</v>
      </c>
      <c r="J111" s="19" t="s">
        <v>4943</v>
      </c>
      <c r="K111" s="361">
        <v>46184.852083333331</v>
      </c>
      <c r="L111" s="361">
        <v>46225.490277777775</v>
      </c>
      <c r="M111" s="361">
        <v>46225.491666666669</v>
      </c>
      <c r="N111" s="361"/>
      <c r="O111" s="361"/>
      <c r="P111" s="361"/>
      <c r="Q111" s="19"/>
      <c r="R111" s="19"/>
      <c r="S111" s="19"/>
      <c r="T111" s="19"/>
      <c r="U111" s="19" t="s">
        <v>371</v>
      </c>
      <c r="V111" s="19"/>
      <c r="W111" s="19"/>
      <c r="X111" s="19"/>
      <c r="Y111" s="19"/>
      <c r="Z111" s="19"/>
      <c r="AA111" s="19"/>
      <c r="AB111" s="19"/>
      <c r="AC111" s="19"/>
      <c r="AD111" s="19"/>
      <c r="AE111" s="19"/>
      <c r="AF111" s="19"/>
      <c r="AG111" s="19"/>
      <c r="AH111" s="19"/>
      <c r="AI111" s="19"/>
      <c r="AJ111" s="19"/>
      <c r="AK111" s="12"/>
    </row>
    <row r="112" spans="1:37" s="45" customFormat="1" ht="15" customHeight="1">
      <c r="A112" s="12">
        <v>111</v>
      </c>
      <c r="B112" s="378" t="s">
        <v>26</v>
      </c>
      <c r="C112" s="378" t="s">
        <v>37</v>
      </c>
      <c r="D112" s="390" t="s">
        <v>207</v>
      </c>
      <c r="E112" s="202" t="s">
        <v>5165</v>
      </c>
      <c r="F112" s="202" t="s">
        <v>36</v>
      </c>
      <c r="G112" s="378">
        <v>4</v>
      </c>
      <c r="H112" s="202" t="s">
        <v>5166</v>
      </c>
      <c r="I112" s="380" t="s">
        <v>260</v>
      </c>
      <c r="J112" s="202" t="s">
        <v>4943</v>
      </c>
      <c r="K112" s="381">
        <v>46184.852187500001</v>
      </c>
      <c r="L112" s="381">
        <v>46184.852187500001</v>
      </c>
      <c r="M112" s="381">
        <v>46184.852187500001</v>
      </c>
      <c r="N112" s="381"/>
      <c r="O112" s="381"/>
      <c r="P112" s="381"/>
      <c r="Q112" s="202"/>
      <c r="R112" s="378"/>
      <c r="S112" s="378"/>
      <c r="T112" s="378"/>
      <c r="U112" s="378" t="s">
        <v>371</v>
      </c>
      <c r="V112" s="378"/>
      <c r="W112" s="378"/>
      <c r="X112" s="378"/>
      <c r="Y112" s="378"/>
      <c r="Z112" s="382">
        <f t="shared" ref="Z112:Z121" ca="1" si="26">IF(NOT(OR(G112=1,G112=2)),MAX(0,_xlfn.IFS(AND(K112&lt;&gt;"",N112&lt;&gt;""),((MAX(NETWORKDAYS(K112,N112,UKBankHolidays)-1,0))*(TIME(17,0,0)-TIME(8,0,0))+IF(NETWORKDAYS(N112,N112,UKBankHolidays)&gt;0,MEDIAN(TIME(8,0,0),MOD(N112,1),TIME(17,0,0)),TIME(8,0,0))-IF(NETWORKDAYS(K112,K112,UKBankHolidays)&gt;0,MEDIAN(TIME(8,0,0),MOD(K112,1),TIME(17,0,0)),TIME(8,0,0)))-IF(AND(O112&lt;&gt;"",P112&lt;&gt;""),((MAX(NETWORKDAYS(O112,P112,UKBankHolidays)-1,0))*(TIME(17,0,0)-TIME(8,0,0))+IF(NETWORKDAYS(P112,P112,UKBankHolidays)&gt;0,MEDIAN(TIME(8,0,0),MOD(P112,1),TIME(17,0,0)),TIME(8,0,0))-IF(NETWORKDAYS(O112,O112,UKBankHolidays)&gt;0,MEDIAN(TIME(8,0,0),MOD(O112,1),TIME(17,0,0)),TIME(8,0,0))),0),AND(K112&lt;&gt;"",N112=""),((MAX(NETWORKDAYS(K112,NOW(),UKBankHolidays)-1,0))*(TIME(17,0,0)-TIME(8,0,0))+IF(NETWORKDAYS(NOW(),NOW(),UKBankHolidays)&gt;0,MEDIAN(TIME(8,0,0),MOD(NOW(),1),TIME(17,0,0)),TIME(8,0,0))-IF(NETWORKDAYS(K112,K112,UKBankHolidays)&gt;0,MEDIAN(TIME(8,0,0),MOD(K112,1),TIME(17,0,0)),TIME(8,0,0))))),IF(N112="",NOW()-K112,N112-K112))</f>
        <v>19.800641203701772</v>
      </c>
      <c r="AA112" s="378"/>
      <c r="AB112" s="378"/>
      <c r="AC112" s="378"/>
      <c r="AD112" s="378"/>
      <c r="AE112" s="378"/>
      <c r="AF112" s="378"/>
      <c r="AG112" s="378"/>
      <c r="AH112" s="378" t="s">
        <v>5132</v>
      </c>
      <c r="AI112" s="378"/>
      <c r="AJ112" s="378"/>
      <c r="AK112" s="378"/>
    </row>
    <row r="113" spans="1:37" ht="15" customHeight="1">
      <c r="A113" s="378">
        <v>112</v>
      </c>
      <c r="B113" s="12" t="s">
        <v>26</v>
      </c>
      <c r="C113" s="12" t="s">
        <v>37</v>
      </c>
      <c r="D113" s="12" t="s">
        <v>207</v>
      </c>
      <c r="E113" s="98" t="s">
        <v>5167</v>
      </c>
      <c r="F113" s="98" t="s">
        <v>36</v>
      </c>
      <c r="G113" s="12">
        <v>4</v>
      </c>
      <c r="H113" s="98" t="s">
        <v>5168</v>
      </c>
      <c r="I113" s="182" t="s">
        <v>271</v>
      </c>
      <c r="J113" s="98" t="s">
        <v>4940</v>
      </c>
      <c r="K113" s="361">
        <v>46185.504884259259</v>
      </c>
      <c r="L113" s="361">
        <v>46185.504884259259</v>
      </c>
      <c r="M113" s="361">
        <v>46185.504884259259</v>
      </c>
      <c r="N113" s="361">
        <v>46191.260243055556</v>
      </c>
      <c r="O113" s="361"/>
      <c r="P113" s="361">
        <v>46191.260243055556</v>
      </c>
      <c r="Q113" s="98" t="s">
        <v>5091</v>
      </c>
      <c r="R113" s="12"/>
      <c r="S113" s="12"/>
      <c r="T113" s="12"/>
      <c r="U113" s="12" t="s">
        <v>371</v>
      </c>
      <c r="V113" s="12"/>
      <c r="W113" s="12"/>
      <c r="X113" s="12"/>
      <c r="Y113" s="12"/>
      <c r="Z113" s="167">
        <f t="shared" ca="1" si="26"/>
        <v>1.3284490740746455</v>
      </c>
      <c r="AA113" s="12"/>
      <c r="AB113" s="12"/>
      <c r="AC113" s="12"/>
      <c r="AD113" s="12"/>
      <c r="AE113" s="12"/>
      <c r="AF113" s="12"/>
      <c r="AG113" s="12"/>
      <c r="AH113" s="12" t="s">
        <v>5132</v>
      </c>
      <c r="AI113" s="12"/>
      <c r="AJ113" s="12"/>
      <c r="AK113" s="12"/>
    </row>
    <row r="114" spans="1:37" ht="15" customHeight="1">
      <c r="A114" s="12">
        <v>113</v>
      </c>
      <c r="B114" s="12" t="s">
        <v>26</v>
      </c>
      <c r="C114" s="12" t="s">
        <v>37</v>
      </c>
      <c r="D114" s="12" t="s">
        <v>207</v>
      </c>
      <c r="E114" s="98" t="s">
        <v>5169</v>
      </c>
      <c r="F114" s="98" t="s">
        <v>36</v>
      </c>
      <c r="G114" s="12">
        <v>4</v>
      </c>
      <c r="H114" s="98" t="s">
        <v>5170</v>
      </c>
      <c r="I114" s="182" t="s">
        <v>271</v>
      </c>
      <c r="J114" s="98" t="s">
        <v>4935</v>
      </c>
      <c r="K114" s="361">
        <v>46185.61917824074</v>
      </c>
      <c r="L114" s="361">
        <v>46185.61917824074</v>
      </c>
      <c r="M114" s="361">
        <v>46185.61917824074</v>
      </c>
      <c r="N114" s="361">
        <v>46200.428784722222</v>
      </c>
      <c r="O114" s="361"/>
      <c r="P114" s="361">
        <v>46200.428784722222</v>
      </c>
      <c r="Q114" s="98"/>
      <c r="R114" s="12"/>
      <c r="S114" s="12"/>
      <c r="T114" s="12"/>
      <c r="U114" s="12" t="s">
        <v>371</v>
      </c>
      <c r="V114" s="12"/>
      <c r="W114" s="12"/>
      <c r="X114" s="12"/>
      <c r="Y114" s="12"/>
      <c r="Z114" s="167">
        <f t="shared" ca="1" si="26"/>
        <v>3.464155092592895</v>
      </c>
      <c r="AA114" s="12"/>
      <c r="AB114" s="12"/>
      <c r="AC114" s="12"/>
      <c r="AD114" s="12"/>
      <c r="AE114" s="12"/>
      <c r="AF114" s="12"/>
      <c r="AG114" s="12"/>
      <c r="AH114" s="12" t="s">
        <v>5132</v>
      </c>
      <c r="AI114" s="12"/>
      <c r="AJ114" s="12"/>
      <c r="AK114" s="12"/>
    </row>
    <row r="115" spans="1:37" ht="15" customHeight="1">
      <c r="A115" s="12">
        <v>114</v>
      </c>
      <c r="B115" s="12" t="s">
        <v>26</v>
      </c>
      <c r="C115" s="12" t="s">
        <v>37</v>
      </c>
      <c r="D115" s="12" t="s">
        <v>207</v>
      </c>
      <c r="E115" s="98" t="s">
        <v>5171</v>
      </c>
      <c r="F115" s="98" t="s">
        <v>36</v>
      </c>
      <c r="G115" s="12">
        <v>4</v>
      </c>
      <c r="H115" s="98" t="s">
        <v>2102</v>
      </c>
      <c r="I115" s="182" t="s">
        <v>271</v>
      </c>
      <c r="J115" s="98" t="s">
        <v>4924</v>
      </c>
      <c r="K115" s="361">
        <v>46185.659849537034</v>
      </c>
      <c r="L115" s="361">
        <v>46185.659849537034</v>
      </c>
      <c r="M115" s="361">
        <v>46185.659849537034</v>
      </c>
      <c r="N115" s="361">
        <v>46198.385335648149</v>
      </c>
      <c r="O115" s="361"/>
      <c r="P115" s="361">
        <v>46198.385335648149</v>
      </c>
      <c r="Q115" s="98" t="s">
        <v>5091</v>
      </c>
      <c r="R115" s="12"/>
      <c r="S115" s="12"/>
      <c r="T115" s="12"/>
      <c r="U115" s="12" t="s">
        <v>371</v>
      </c>
      <c r="V115" s="12"/>
      <c r="W115" s="12"/>
      <c r="X115" s="12"/>
      <c r="Y115" s="12"/>
      <c r="Z115" s="167">
        <f t="shared" ca="1" si="26"/>
        <v>3.1004861111141513</v>
      </c>
      <c r="AA115" s="12"/>
      <c r="AB115" s="12"/>
      <c r="AC115" s="12"/>
      <c r="AD115" s="12"/>
      <c r="AE115" s="12"/>
      <c r="AF115" s="12"/>
      <c r="AG115" s="12"/>
      <c r="AH115" s="12" t="s">
        <v>5132</v>
      </c>
      <c r="AI115" s="12"/>
      <c r="AJ115" s="12"/>
      <c r="AK115" s="12"/>
    </row>
    <row r="116" spans="1:37" ht="15" customHeight="1">
      <c r="A116" s="12">
        <v>115</v>
      </c>
      <c r="B116" s="12" t="s">
        <v>26</v>
      </c>
      <c r="C116" s="12" t="s">
        <v>37</v>
      </c>
      <c r="D116" s="12" t="s">
        <v>207</v>
      </c>
      <c r="E116" s="98" t="s">
        <v>5172</v>
      </c>
      <c r="F116" s="98" t="s">
        <v>36</v>
      </c>
      <c r="G116" s="12">
        <v>4</v>
      </c>
      <c r="H116" s="98" t="s">
        <v>5173</v>
      </c>
      <c r="I116" s="182" t="s">
        <v>271</v>
      </c>
      <c r="J116" s="98" t="s">
        <v>4943</v>
      </c>
      <c r="K116" s="361">
        <v>46187.423807870371</v>
      </c>
      <c r="L116" s="361">
        <v>46187.423807870371</v>
      </c>
      <c r="M116" s="361">
        <v>46187.423807870371</v>
      </c>
      <c r="N116" s="361">
        <v>46201.510034722225</v>
      </c>
      <c r="O116" s="361"/>
      <c r="P116" s="361">
        <v>46201.510034722225</v>
      </c>
      <c r="Q116" s="98"/>
      <c r="R116" s="12"/>
      <c r="S116" s="12"/>
      <c r="T116" s="12"/>
      <c r="U116" s="12" t="s">
        <v>371</v>
      </c>
      <c r="V116" s="12"/>
      <c r="W116" s="12"/>
      <c r="X116" s="12"/>
      <c r="Y116" s="12"/>
      <c r="Z116" s="167">
        <f t="shared" ca="1" si="26"/>
        <v>3.3750000000000004</v>
      </c>
      <c r="AA116" s="12"/>
      <c r="AB116" s="12"/>
      <c r="AC116" s="12"/>
      <c r="AD116" s="12"/>
      <c r="AE116" s="12"/>
      <c r="AF116" s="12"/>
      <c r="AG116" s="12"/>
      <c r="AH116" s="12" t="s">
        <v>5132</v>
      </c>
      <c r="AI116" s="12"/>
      <c r="AJ116" s="12"/>
      <c r="AK116" s="12"/>
    </row>
    <row r="117" spans="1:37" ht="15" customHeight="1">
      <c r="A117" s="12">
        <v>116</v>
      </c>
      <c r="B117" s="12" t="s">
        <v>26</v>
      </c>
      <c r="C117" s="12" t="s">
        <v>37</v>
      </c>
      <c r="D117" s="12" t="s">
        <v>207</v>
      </c>
      <c r="E117" s="98" t="s">
        <v>5174</v>
      </c>
      <c r="F117" s="98" t="s">
        <v>36</v>
      </c>
      <c r="G117" s="12">
        <v>4</v>
      </c>
      <c r="H117" s="98" t="s">
        <v>5148</v>
      </c>
      <c r="I117" s="182" t="s">
        <v>271</v>
      </c>
      <c r="J117" s="98" t="s">
        <v>4940</v>
      </c>
      <c r="K117" s="361">
        <v>46187.667337962965</v>
      </c>
      <c r="L117" s="361">
        <v>46187.667337962965</v>
      </c>
      <c r="M117" s="361">
        <v>46187.667337962965</v>
      </c>
      <c r="N117" s="361">
        <v>46193.259722222225</v>
      </c>
      <c r="O117" s="361"/>
      <c r="P117" s="361">
        <v>46193.259722222225</v>
      </c>
      <c r="Q117" s="98" t="s">
        <v>4925</v>
      </c>
      <c r="R117" s="12"/>
      <c r="S117" s="12"/>
      <c r="T117" s="12"/>
      <c r="U117" s="12" t="s">
        <v>371</v>
      </c>
      <c r="V117" s="12"/>
      <c r="W117" s="12"/>
      <c r="X117" s="12"/>
      <c r="Y117" s="12"/>
      <c r="Z117" s="167">
        <f t="shared" ca="1" si="26"/>
        <v>1.5000000000000002</v>
      </c>
      <c r="AA117" s="12"/>
      <c r="AB117" s="12"/>
      <c r="AC117" s="12"/>
      <c r="AD117" s="12"/>
      <c r="AE117" s="12"/>
      <c r="AF117" s="12"/>
      <c r="AG117" s="12"/>
      <c r="AH117" s="12" t="s">
        <v>5132</v>
      </c>
      <c r="AI117" s="12"/>
      <c r="AJ117" s="12"/>
      <c r="AK117" s="12"/>
    </row>
    <row r="118" spans="1:37" ht="15" customHeight="1">
      <c r="A118" s="378">
        <v>117</v>
      </c>
      <c r="B118" s="12" t="s">
        <v>26</v>
      </c>
      <c r="C118" s="12" t="s">
        <v>37</v>
      </c>
      <c r="D118" s="12" t="s">
        <v>207</v>
      </c>
      <c r="E118" s="98" t="s">
        <v>5175</v>
      </c>
      <c r="F118" s="98" t="s">
        <v>36</v>
      </c>
      <c r="G118" s="12">
        <v>4</v>
      </c>
      <c r="H118" s="98" t="s">
        <v>5176</v>
      </c>
      <c r="I118" s="182" t="s">
        <v>271</v>
      </c>
      <c r="J118" s="98" t="s">
        <v>4943</v>
      </c>
      <c r="K118" s="361">
        <v>46187.749780092592</v>
      </c>
      <c r="L118" s="361">
        <v>46187.749780092592</v>
      </c>
      <c r="M118" s="361">
        <v>46187.749780092592</v>
      </c>
      <c r="N118" s="361">
        <v>46201.509363425925</v>
      </c>
      <c r="O118" s="361"/>
      <c r="P118" s="361">
        <v>46201.509363425925</v>
      </c>
      <c r="Q118" s="98" t="s">
        <v>4930</v>
      </c>
      <c r="R118" s="12"/>
      <c r="S118" s="12"/>
      <c r="T118" s="12"/>
      <c r="U118" s="12" t="s">
        <v>371</v>
      </c>
      <c r="V118" s="12"/>
      <c r="W118" s="12"/>
      <c r="X118" s="12"/>
      <c r="Y118" s="12"/>
      <c r="Z118" s="167">
        <f t="shared" ca="1" si="26"/>
        <v>3.3750000000000004</v>
      </c>
      <c r="AA118" s="12"/>
      <c r="AB118" s="12"/>
      <c r="AC118" s="12"/>
      <c r="AD118" s="12"/>
      <c r="AE118" s="12"/>
      <c r="AF118" s="12"/>
      <c r="AG118" s="12"/>
      <c r="AH118" s="12" t="s">
        <v>5132</v>
      </c>
      <c r="AI118" s="12"/>
      <c r="AJ118" s="12"/>
      <c r="AK118" s="12"/>
    </row>
    <row r="119" spans="1:37" ht="15" customHeight="1">
      <c r="A119" s="12">
        <v>118</v>
      </c>
      <c r="B119" s="12" t="s">
        <v>26</v>
      </c>
      <c r="C119" s="12" t="s">
        <v>37</v>
      </c>
      <c r="D119" s="12" t="s">
        <v>207</v>
      </c>
      <c r="E119" s="98" t="s">
        <v>5177</v>
      </c>
      <c r="F119" s="98" t="s">
        <v>36</v>
      </c>
      <c r="G119" s="12">
        <v>4</v>
      </c>
      <c r="H119" s="98" t="s">
        <v>5178</v>
      </c>
      <c r="I119" s="182" t="s">
        <v>271</v>
      </c>
      <c r="J119" s="98" t="s">
        <v>4928</v>
      </c>
      <c r="K119" s="361">
        <v>46187.787800925929</v>
      </c>
      <c r="L119" s="361">
        <v>46187.787800925929</v>
      </c>
      <c r="M119" s="361">
        <v>46187.787800925929</v>
      </c>
      <c r="N119" s="361"/>
      <c r="O119" s="361"/>
      <c r="P119" s="361"/>
      <c r="Q119" s="98"/>
      <c r="R119" s="12"/>
      <c r="S119" s="12"/>
      <c r="T119" s="12"/>
      <c r="U119" s="12" t="s">
        <v>371</v>
      </c>
      <c r="V119" s="12"/>
      <c r="W119" s="12"/>
      <c r="X119" s="12"/>
      <c r="Y119" s="12"/>
      <c r="Z119" s="167">
        <f t="shared" ca="1" si="26"/>
        <v>19.425641087963115</v>
      </c>
      <c r="AA119" s="12"/>
      <c r="AB119" s="12"/>
      <c r="AC119" s="12"/>
      <c r="AD119" s="12"/>
      <c r="AE119" s="12"/>
      <c r="AF119" s="12"/>
      <c r="AG119" s="12"/>
      <c r="AH119" s="12" t="s">
        <v>5132</v>
      </c>
      <c r="AI119" s="12"/>
      <c r="AJ119" s="12"/>
      <c r="AK119" s="12"/>
    </row>
    <row r="120" spans="1:37" ht="15" customHeight="1">
      <c r="A120" s="12">
        <v>119</v>
      </c>
      <c r="B120" s="12" t="s">
        <v>26</v>
      </c>
      <c r="C120" s="12" t="s">
        <v>37</v>
      </c>
      <c r="D120" s="12" t="s">
        <v>207</v>
      </c>
      <c r="E120" s="98" t="s">
        <v>5179</v>
      </c>
      <c r="F120" s="98" t="s">
        <v>36</v>
      </c>
      <c r="G120" s="12">
        <v>4</v>
      </c>
      <c r="H120" s="98" t="s">
        <v>5180</v>
      </c>
      <c r="I120" s="182" t="s">
        <v>271</v>
      </c>
      <c r="J120" s="98" t="s">
        <v>4935</v>
      </c>
      <c r="K120" s="361">
        <v>46188.002488425926</v>
      </c>
      <c r="L120" s="361">
        <v>46188.002488425926</v>
      </c>
      <c r="M120" s="361">
        <v>46188.002488425926</v>
      </c>
      <c r="N120" s="361">
        <v>46200.51</v>
      </c>
      <c r="O120" s="361"/>
      <c r="P120" s="361">
        <v>46200.51</v>
      </c>
      <c r="Q120" s="98" t="s">
        <v>4925</v>
      </c>
      <c r="R120" s="12"/>
      <c r="S120" s="12"/>
      <c r="T120" s="12"/>
      <c r="U120" s="12" t="s">
        <v>371</v>
      </c>
      <c r="V120" s="12"/>
      <c r="W120" s="12"/>
      <c r="X120" s="12"/>
      <c r="Y120" s="12"/>
      <c r="Z120" s="167">
        <f t="shared" ca="1" si="26"/>
        <v>3.3750000000000004</v>
      </c>
      <c r="AA120" s="12"/>
      <c r="AB120" s="12"/>
      <c r="AC120" s="12"/>
      <c r="AD120" s="12"/>
      <c r="AE120" s="12"/>
      <c r="AF120" s="12"/>
      <c r="AG120" s="12"/>
      <c r="AH120" s="12" t="s">
        <v>5132</v>
      </c>
      <c r="AI120" s="12"/>
      <c r="AJ120" s="12"/>
      <c r="AK120" s="12"/>
    </row>
    <row r="121" spans="1:37" ht="15" customHeight="1">
      <c r="A121" s="12">
        <v>120</v>
      </c>
      <c r="B121" s="12" t="s">
        <v>26</v>
      </c>
      <c r="C121" s="12" t="s">
        <v>37</v>
      </c>
      <c r="D121" s="12" t="s">
        <v>207</v>
      </c>
      <c r="E121" s="98" t="s">
        <v>5181</v>
      </c>
      <c r="F121" s="98" t="s">
        <v>36</v>
      </c>
      <c r="G121" s="12">
        <v>4</v>
      </c>
      <c r="H121" s="98" t="s">
        <v>5182</v>
      </c>
      <c r="I121" s="182" t="s">
        <v>271</v>
      </c>
      <c r="J121" s="98" t="s">
        <v>4928</v>
      </c>
      <c r="K121" s="361">
        <v>46188.336736111109</v>
      </c>
      <c r="L121" s="361">
        <v>46188.336736111109</v>
      </c>
      <c r="M121" s="361">
        <v>46188.336736111109</v>
      </c>
      <c r="N121" s="361">
        <v>46201.759456018517</v>
      </c>
      <c r="O121" s="361"/>
      <c r="P121" s="361">
        <v>46201.759456018517</v>
      </c>
      <c r="Q121" s="98"/>
      <c r="R121" s="12"/>
      <c r="S121" s="12"/>
      <c r="T121" s="12"/>
      <c r="U121" s="12" t="s">
        <v>371</v>
      </c>
      <c r="V121" s="12"/>
      <c r="W121" s="12"/>
      <c r="X121" s="12"/>
      <c r="Y121" s="12"/>
      <c r="Z121" s="167">
        <f t="shared" ca="1" si="26"/>
        <v>3.3715972222247128</v>
      </c>
      <c r="AA121" s="12"/>
      <c r="AB121" s="12"/>
      <c r="AC121" s="12"/>
      <c r="AD121" s="12"/>
      <c r="AE121" s="12"/>
      <c r="AF121" s="12"/>
      <c r="AG121" s="12"/>
      <c r="AH121" s="12" t="s">
        <v>5132</v>
      </c>
      <c r="AI121" s="12"/>
      <c r="AJ121" s="12"/>
      <c r="AK121" s="12"/>
    </row>
    <row r="122" spans="1:37" s="45" customFormat="1" ht="15" customHeight="1">
      <c r="A122" s="12">
        <v>121</v>
      </c>
      <c r="B122" s="378" t="s">
        <v>26</v>
      </c>
      <c r="C122" s="378" t="s">
        <v>37</v>
      </c>
      <c r="D122" s="390" t="s">
        <v>208</v>
      </c>
      <c r="E122" s="18" t="s">
        <v>5183</v>
      </c>
      <c r="F122" s="18" t="s">
        <v>36</v>
      </c>
      <c r="G122" s="378" t="s">
        <v>208</v>
      </c>
      <c r="H122" s="189" t="s">
        <v>5184</v>
      </c>
      <c r="I122" s="380" t="s">
        <v>260</v>
      </c>
      <c r="J122" s="18" t="s">
        <v>4924</v>
      </c>
      <c r="K122" s="381">
        <v>46188.410370370373</v>
      </c>
      <c r="L122" s="381">
        <v>46188.410370370373</v>
      </c>
      <c r="M122" s="381">
        <v>46188.410370370373</v>
      </c>
      <c r="N122" s="381"/>
      <c r="O122" s="381"/>
      <c r="P122" s="381"/>
      <c r="Q122" s="18" t="s">
        <v>5185</v>
      </c>
      <c r="R122" s="378"/>
      <c r="S122" s="378"/>
      <c r="T122" s="378"/>
      <c r="U122" s="378" t="s">
        <v>371</v>
      </c>
      <c r="V122" s="378"/>
      <c r="W122" s="378"/>
      <c r="X122" s="378"/>
      <c r="Y122" s="378"/>
      <c r="Z122" s="378"/>
      <c r="AA122" s="378"/>
      <c r="AB122" s="378"/>
      <c r="AC122" s="378"/>
      <c r="AD122" s="378"/>
      <c r="AE122" s="378"/>
      <c r="AF122" s="378"/>
      <c r="AG122" s="378"/>
      <c r="AH122" s="378"/>
      <c r="AI122" s="378"/>
      <c r="AJ122" s="378"/>
      <c r="AK122" s="378"/>
    </row>
    <row r="123" spans="1:37" ht="15" customHeight="1">
      <c r="A123" s="378">
        <v>122</v>
      </c>
      <c r="B123" s="12" t="s">
        <v>26</v>
      </c>
      <c r="C123" s="12" t="s">
        <v>37</v>
      </c>
      <c r="D123" s="12" t="s">
        <v>207</v>
      </c>
      <c r="E123" s="98" t="s">
        <v>5186</v>
      </c>
      <c r="F123" s="98" t="s">
        <v>36</v>
      </c>
      <c r="G123" s="12">
        <v>4</v>
      </c>
      <c r="H123" s="98" t="s">
        <v>5187</v>
      </c>
      <c r="I123" s="182" t="s">
        <v>271</v>
      </c>
      <c r="J123" s="98" t="s">
        <v>4940</v>
      </c>
      <c r="K123" s="361">
        <v>46188.440555555557</v>
      </c>
      <c r="L123" s="361">
        <v>46188.440555555557</v>
      </c>
      <c r="M123" s="361">
        <v>46188.440555555557</v>
      </c>
      <c r="N123" s="361">
        <v>46202.474340277775</v>
      </c>
      <c r="O123" s="361"/>
      <c r="P123" s="361">
        <v>46202.474340277775</v>
      </c>
      <c r="Q123" s="98" t="s">
        <v>5025</v>
      </c>
      <c r="R123" s="12"/>
      <c r="S123" s="12"/>
      <c r="T123" s="12"/>
      <c r="U123" s="12" t="s">
        <v>371</v>
      </c>
      <c r="V123" s="12"/>
      <c r="W123" s="12"/>
      <c r="X123" s="12"/>
      <c r="Y123" s="12"/>
      <c r="Z123" s="167">
        <f ca="1">IF(NOT(OR(G123=1,G123=2)),MAX(0,_xlfn.IFS(AND(K123&lt;&gt;"",N123&lt;&gt;""),((MAX(NETWORKDAYS(K123,N123,UKBankHolidays)-1,0))*(TIME(17,0,0)-TIME(8,0,0))+IF(NETWORKDAYS(N123,N123,UKBankHolidays)&gt;0,MEDIAN(TIME(8,0,0),MOD(N123,1),TIME(17,0,0)),TIME(8,0,0))-IF(NETWORKDAYS(K123,K123,UKBankHolidays)&gt;0,MEDIAN(TIME(8,0,0),MOD(K123,1),TIME(17,0,0)),TIME(8,0,0)))-IF(AND(O123&lt;&gt;"",P123&lt;&gt;""),((MAX(NETWORKDAYS(O123,P123,UKBankHolidays)-1,0))*(TIME(17,0,0)-TIME(8,0,0))+IF(NETWORKDAYS(P123,P123,UKBankHolidays)&gt;0,MEDIAN(TIME(8,0,0),MOD(P123,1),TIME(17,0,0)),TIME(8,0,0))-IF(NETWORKDAYS(O123,O123,UKBankHolidays)&gt;0,MEDIAN(TIME(8,0,0),MOD(O123,1),TIME(17,0,0)),TIME(8,0,0))),0),AND(K123&lt;&gt;"",N123=""),((MAX(NETWORKDAYS(K123,NOW(),UKBankHolidays)-1,0))*(TIME(17,0,0)-TIME(8,0,0))+IF(NETWORKDAYS(NOW(),NOW(),UKBankHolidays)&gt;0,MEDIAN(TIME(8,0,0),MOD(NOW(),1),TIME(17,0,0)),TIME(8,0,0))-IF(NETWORKDAYS(K123,K123,UKBankHolidays)&gt;0,MEDIAN(TIME(8,0,0),MOD(K123,1),TIME(17,0,0)),TIME(8,0,0))))),IF(N123="",NOW()-K123,N123-K123))</f>
        <v>3.7837847222181153</v>
      </c>
      <c r="AA123" s="12"/>
      <c r="AB123" s="12"/>
      <c r="AC123" s="12"/>
      <c r="AD123" s="12"/>
      <c r="AE123" s="12"/>
      <c r="AF123" s="12"/>
      <c r="AG123" s="12"/>
      <c r="AH123" s="12" t="s">
        <v>5132</v>
      </c>
      <c r="AI123" s="12"/>
      <c r="AJ123" s="12"/>
      <c r="AK123" s="12"/>
    </row>
    <row r="124" spans="1:37" ht="15" customHeight="1">
      <c r="A124" s="12">
        <v>123</v>
      </c>
      <c r="B124" s="12" t="s">
        <v>26</v>
      </c>
      <c r="C124" s="12" t="s">
        <v>37</v>
      </c>
      <c r="D124" s="12" t="s">
        <v>207</v>
      </c>
      <c r="E124" s="98" t="s">
        <v>5188</v>
      </c>
      <c r="F124" s="98" t="s">
        <v>36</v>
      </c>
      <c r="G124" s="12">
        <v>4</v>
      </c>
      <c r="H124" s="98" t="s">
        <v>5189</v>
      </c>
      <c r="I124" s="182" t="s">
        <v>271</v>
      </c>
      <c r="J124" s="98" t="s">
        <v>4940</v>
      </c>
      <c r="K124" s="361">
        <v>46188.709456018521</v>
      </c>
      <c r="L124" s="361">
        <v>46188.709456018521</v>
      </c>
      <c r="M124" s="361">
        <v>46188.709456018521</v>
      </c>
      <c r="N124" s="361">
        <v>46200.551111111112</v>
      </c>
      <c r="O124" s="361"/>
      <c r="P124" s="361">
        <v>46200.551111111112</v>
      </c>
      <c r="Q124" s="98"/>
      <c r="R124" s="12"/>
      <c r="S124" s="12"/>
      <c r="T124" s="12"/>
      <c r="U124" s="12" t="s">
        <v>371</v>
      </c>
      <c r="V124" s="12"/>
      <c r="W124" s="12"/>
      <c r="X124" s="12"/>
      <c r="Y124" s="12"/>
      <c r="Z124" s="167">
        <f ca="1">IF(NOT(OR(G124=1,G124=2)),MAX(0,_xlfn.IFS(AND(K124&lt;&gt;"",N124&lt;&gt;""),((MAX(NETWORKDAYS(K124,N124,UKBankHolidays)-1,0))*(TIME(17,0,0)-TIME(8,0,0))+IF(NETWORKDAYS(N124,N124,UKBankHolidays)&gt;0,MEDIAN(TIME(8,0,0),MOD(N124,1),TIME(17,0,0)),TIME(8,0,0))-IF(NETWORKDAYS(K124,K124,UKBankHolidays)&gt;0,MEDIAN(TIME(8,0,0),MOD(K124,1),TIME(17,0,0)),TIME(8,0,0)))-IF(AND(O124&lt;&gt;"",P124&lt;&gt;""),((MAX(NETWORKDAYS(O124,P124,UKBankHolidays)-1,0))*(TIME(17,0,0)-TIME(8,0,0))+IF(NETWORKDAYS(P124,P124,UKBankHolidays)&gt;0,MEDIAN(TIME(8,0,0),MOD(P124,1),TIME(17,0,0)),TIME(8,0,0))-IF(NETWORKDAYS(O124,O124,UKBankHolidays)&gt;0,MEDIAN(TIME(8,0,0),MOD(O124,1),TIME(17,0,0)),TIME(8,0,0))),0),AND(K124&lt;&gt;"",N124=""),((MAX(NETWORKDAYS(K124,NOW(),UKBankHolidays)-1,0))*(TIME(17,0,0)-TIME(8,0,0))+IF(NETWORKDAYS(NOW(),NOW(),UKBankHolidays)&gt;0,MEDIAN(TIME(8,0,0),MOD(NOW(),1),TIME(17,0,0)),TIME(8,0,0))-IF(NETWORKDAYS(K124,K124,UKBankHolidays)&gt;0,MEDIAN(TIME(8,0,0),MOD(K124,1),TIME(17,0,0)),TIME(8,0,0))))),IF(N124="",NOW()-K124,N124-K124))</f>
        <v>3.0000000000000004</v>
      </c>
      <c r="AA124" s="12"/>
      <c r="AB124" s="12"/>
      <c r="AC124" s="12"/>
      <c r="AD124" s="12"/>
      <c r="AE124" s="12"/>
      <c r="AF124" s="12"/>
      <c r="AG124" s="12"/>
      <c r="AH124" s="12" t="s">
        <v>5132</v>
      </c>
      <c r="AI124" s="12"/>
      <c r="AJ124" s="12"/>
      <c r="AK124" s="12"/>
    </row>
    <row r="125" spans="1:37" ht="15" customHeight="1">
      <c r="A125" s="12">
        <v>124</v>
      </c>
      <c r="B125" s="12" t="s">
        <v>26</v>
      </c>
      <c r="C125" s="12" t="s">
        <v>37</v>
      </c>
      <c r="D125" s="12" t="s">
        <v>207</v>
      </c>
      <c r="E125" s="208" t="s">
        <v>5190</v>
      </c>
      <c r="F125" s="98" t="s">
        <v>36</v>
      </c>
      <c r="G125" s="12">
        <v>4</v>
      </c>
      <c r="H125" s="208" t="s">
        <v>5191</v>
      </c>
      <c r="I125" s="182" t="s">
        <v>271</v>
      </c>
      <c r="J125" s="208" t="s">
        <v>4935</v>
      </c>
      <c r="K125" s="361">
        <v>46190.306932870371</v>
      </c>
      <c r="L125" s="361">
        <v>46190.306932870371</v>
      </c>
      <c r="M125" s="361">
        <v>46190.306932870371</v>
      </c>
      <c r="N125" s="361">
        <v>46202.48878472222</v>
      </c>
      <c r="O125" s="361"/>
      <c r="P125" s="361"/>
      <c r="Q125" s="208"/>
      <c r="R125" s="12"/>
      <c r="S125" s="12"/>
      <c r="T125" s="12"/>
      <c r="U125" s="12" t="s">
        <v>371</v>
      </c>
      <c r="V125" s="12"/>
      <c r="W125" s="12"/>
      <c r="X125" s="12"/>
      <c r="Y125" s="12"/>
      <c r="Z125" s="12"/>
      <c r="AA125" s="12"/>
      <c r="AB125" s="12"/>
      <c r="AC125" s="12"/>
      <c r="AD125" s="12"/>
      <c r="AE125" s="12"/>
      <c r="AF125" s="12"/>
      <c r="AG125" s="12"/>
      <c r="AH125" s="12"/>
      <c r="AI125" s="12"/>
      <c r="AJ125" s="12"/>
      <c r="AK125" s="12"/>
    </row>
    <row r="126" spans="1:37" ht="15" customHeight="1">
      <c r="A126" s="12">
        <v>125</v>
      </c>
      <c r="B126" s="12" t="s">
        <v>26</v>
      </c>
      <c r="C126" s="12" t="s">
        <v>37</v>
      </c>
      <c r="D126" s="12" t="s">
        <v>207</v>
      </c>
      <c r="E126" s="208" t="s">
        <v>5192</v>
      </c>
      <c r="F126" s="98" t="s">
        <v>36</v>
      </c>
      <c r="G126" s="12">
        <v>4</v>
      </c>
      <c r="H126" s="208" t="s">
        <v>5193</v>
      </c>
      <c r="I126" s="182" t="s">
        <v>271</v>
      </c>
      <c r="J126" s="208" t="s">
        <v>4924</v>
      </c>
      <c r="K126" s="361">
        <v>46190.44636574074</v>
      </c>
      <c r="L126" s="361">
        <v>46190.44636574074</v>
      </c>
      <c r="M126" s="361">
        <v>46190.44636574074</v>
      </c>
      <c r="N126" s="361">
        <v>46199.42019675926</v>
      </c>
      <c r="O126" s="361"/>
      <c r="P126" s="361"/>
      <c r="Q126" s="208"/>
      <c r="R126" s="12"/>
      <c r="S126" s="12"/>
      <c r="T126" s="12"/>
      <c r="U126" s="12" t="s">
        <v>371</v>
      </c>
      <c r="V126" s="12"/>
      <c r="W126" s="12"/>
      <c r="X126" s="12"/>
      <c r="Y126" s="12"/>
      <c r="Z126" s="12"/>
      <c r="AA126" s="12"/>
      <c r="AB126" s="12"/>
      <c r="AC126" s="12"/>
      <c r="AD126" s="12"/>
      <c r="AE126" s="12"/>
      <c r="AF126" s="12"/>
      <c r="AG126" s="12"/>
      <c r="AH126" s="12"/>
      <c r="AI126" s="12"/>
      <c r="AJ126" s="12"/>
      <c r="AK126" s="12"/>
    </row>
    <row r="127" spans="1:37" ht="15" customHeight="1">
      <c r="A127" s="12">
        <v>126</v>
      </c>
      <c r="B127" s="12" t="s">
        <v>26</v>
      </c>
      <c r="C127" s="12" t="s">
        <v>37</v>
      </c>
      <c r="D127" s="12" t="s">
        <v>207</v>
      </c>
      <c r="E127" s="208" t="s">
        <v>5194</v>
      </c>
      <c r="F127" s="98" t="s">
        <v>36</v>
      </c>
      <c r="G127" s="12">
        <v>4</v>
      </c>
      <c r="H127" s="208" t="s">
        <v>5195</v>
      </c>
      <c r="I127" s="182" t="s">
        <v>271</v>
      </c>
      <c r="J127" s="208" t="s">
        <v>4940</v>
      </c>
      <c r="K127" s="361">
        <v>46190.483078703706</v>
      </c>
      <c r="L127" s="361">
        <v>46190.483078703706</v>
      </c>
      <c r="M127" s="361">
        <v>46190.483078703706</v>
      </c>
      <c r="N127" s="361">
        <v>46191.466516203705</v>
      </c>
      <c r="O127" s="361"/>
      <c r="P127" s="361"/>
      <c r="Q127" s="208" t="s">
        <v>5091</v>
      </c>
      <c r="R127" s="12"/>
      <c r="S127" s="12"/>
      <c r="T127" s="12"/>
      <c r="U127" s="12" t="s">
        <v>371</v>
      </c>
      <c r="V127" s="12"/>
      <c r="W127" s="12"/>
      <c r="X127" s="12"/>
      <c r="Y127" s="12"/>
      <c r="Z127" s="167"/>
      <c r="AA127" s="12"/>
      <c r="AB127" s="12"/>
      <c r="AC127" s="12"/>
      <c r="AD127" s="12"/>
      <c r="AE127" s="12"/>
      <c r="AF127" s="12"/>
      <c r="AG127" s="12"/>
      <c r="AH127" s="12"/>
      <c r="AI127" s="12"/>
      <c r="AJ127" s="12"/>
      <c r="AK127" s="12"/>
    </row>
    <row r="128" spans="1:37" ht="15" customHeight="1">
      <c r="A128" s="378">
        <v>127</v>
      </c>
      <c r="B128" s="12" t="s">
        <v>26</v>
      </c>
      <c r="C128" s="12" t="s">
        <v>37</v>
      </c>
      <c r="D128" s="12" t="s">
        <v>207</v>
      </c>
      <c r="E128" s="208" t="s">
        <v>5196</v>
      </c>
      <c r="F128" s="98" t="s">
        <v>36</v>
      </c>
      <c r="G128" s="12">
        <v>4</v>
      </c>
      <c r="H128" s="208" t="s">
        <v>5197</v>
      </c>
      <c r="I128" s="182" t="s">
        <v>271</v>
      </c>
      <c r="J128" s="208" t="s">
        <v>4940</v>
      </c>
      <c r="K128" s="361">
        <v>46190.575567129628</v>
      </c>
      <c r="L128" s="361">
        <v>46190.575567129628</v>
      </c>
      <c r="M128" s="361">
        <v>46190.575567129628</v>
      </c>
      <c r="N128" s="361">
        <v>46191.557824074072</v>
      </c>
      <c r="O128" s="361"/>
      <c r="P128" s="361"/>
      <c r="Q128" s="208" t="s">
        <v>4925</v>
      </c>
      <c r="R128" s="12"/>
      <c r="S128" s="12"/>
      <c r="T128" s="12"/>
      <c r="U128" s="12" t="s">
        <v>371</v>
      </c>
      <c r="V128" s="12"/>
      <c r="W128" s="12"/>
      <c r="X128" s="12"/>
      <c r="Y128" s="12"/>
      <c r="Z128" s="167">
        <f ca="1">IF(NOT(OR(G128=1,G128=2)),MAX(0,_xlfn.IFS(AND(K128&lt;&gt;"",N128&lt;&gt;""),((MAX(NETWORKDAYS(K128,N128,UKBankHolidays)-1,0))*(TIME(17,0,0)-TIME(8,0,0))+IF(NETWORKDAYS(N128,N128,UKBankHolidays)&gt;0,MEDIAN(TIME(8,0,0),MOD(N128,1),TIME(17,0,0)),TIME(8,0,0))-IF(NETWORKDAYS(K128,K128,UKBankHolidays)&gt;0,MEDIAN(TIME(8,0,0),MOD(K128,1),TIME(17,0,0)),TIME(8,0,0)))-IF(AND(O128&lt;&gt;"",P128&lt;&gt;""),((MAX(NETWORKDAYS(O128,P128,UKBankHolidays)-1,0))*(TIME(17,0,0)-TIME(8,0,0))+IF(NETWORKDAYS(P128,P128,UKBankHolidays)&gt;0,MEDIAN(TIME(8,0,0),MOD(P128,1),TIME(17,0,0)),TIME(8,0,0))-IF(NETWORKDAYS(O128,O128,UKBankHolidays)&gt;0,MEDIAN(TIME(8,0,0),MOD(O128,1),TIME(17,0,0)),TIME(8,0,0))),0),AND(K128&lt;&gt;"",N128=""),((MAX(NETWORKDAYS(K128,NOW(),UKBankHolidays)-1,0))*(TIME(17,0,0)-TIME(8,0,0))+IF(NETWORKDAYS(NOW(),NOW(),UKBankHolidays)&gt;0,MEDIAN(TIME(8,0,0),MOD(NOW(),1),TIME(17,0,0)),TIME(8,0,0))-IF(NETWORKDAYS(K128,K128,UKBankHolidays)&gt;0,MEDIAN(TIME(8,0,0),MOD(K128,1),TIME(17,0,0)),TIME(8,0,0))))),IF(N128="",NOW()-K128,N128-K128))</f>
        <v>0.35725694444408873</v>
      </c>
      <c r="AA128" s="12"/>
      <c r="AB128" s="12"/>
      <c r="AC128" s="12"/>
      <c r="AD128" s="12"/>
      <c r="AE128" s="12"/>
      <c r="AF128" s="12"/>
      <c r="AG128" s="12"/>
      <c r="AH128" s="12"/>
      <c r="AI128" s="12"/>
      <c r="AJ128" s="12"/>
      <c r="AK128" s="12"/>
    </row>
    <row r="129" spans="1:37" ht="15" customHeight="1">
      <c r="A129" s="12">
        <v>128</v>
      </c>
      <c r="B129" s="12" t="s">
        <v>26</v>
      </c>
      <c r="C129" s="12" t="s">
        <v>37</v>
      </c>
      <c r="D129" s="12" t="s">
        <v>207</v>
      </c>
      <c r="E129" s="208" t="s">
        <v>5198</v>
      </c>
      <c r="F129" s="98" t="s">
        <v>36</v>
      </c>
      <c r="G129" s="12">
        <v>3</v>
      </c>
      <c r="H129" s="208" t="s">
        <v>5199</v>
      </c>
      <c r="I129" s="182" t="s">
        <v>271</v>
      </c>
      <c r="J129" s="208" t="s">
        <v>4935</v>
      </c>
      <c r="K129" s="361">
        <v>46190.777685185189</v>
      </c>
      <c r="L129" s="361">
        <v>46190.777685185189</v>
      </c>
      <c r="M129" s="361">
        <v>46190.777685185189</v>
      </c>
      <c r="N129" s="361">
        <v>46199.487708333334</v>
      </c>
      <c r="O129" s="361"/>
      <c r="P129" s="361"/>
      <c r="Q129" s="208"/>
      <c r="R129" s="12"/>
      <c r="S129" s="12"/>
      <c r="T129" s="12"/>
      <c r="U129" s="12" t="s">
        <v>371</v>
      </c>
      <c r="V129" s="12"/>
      <c r="W129" s="12"/>
      <c r="X129" s="12"/>
      <c r="Y129" s="12"/>
      <c r="Z129" s="12"/>
      <c r="AA129" s="12"/>
      <c r="AB129" s="12"/>
      <c r="AC129" s="12"/>
      <c r="AD129" s="12"/>
      <c r="AE129" s="12"/>
      <c r="AF129" s="12"/>
      <c r="AG129" s="12"/>
      <c r="AH129" s="12"/>
      <c r="AI129" s="12"/>
      <c r="AJ129" s="12"/>
      <c r="AK129" s="12"/>
    </row>
    <row r="130" spans="1:37" ht="15" customHeight="1">
      <c r="A130" s="12">
        <v>129</v>
      </c>
      <c r="B130" s="12" t="s">
        <v>26</v>
      </c>
      <c r="C130" s="12" t="s">
        <v>37</v>
      </c>
      <c r="D130" s="12" t="s">
        <v>207</v>
      </c>
      <c r="E130" s="208" t="s">
        <v>5200</v>
      </c>
      <c r="F130" s="98" t="s">
        <v>36</v>
      </c>
      <c r="G130" s="12">
        <v>4</v>
      </c>
      <c r="H130" s="208" t="s">
        <v>5201</v>
      </c>
      <c r="I130" s="182" t="s">
        <v>271</v>
      </c>
      <c r="J130" s="208" t="s">
        <v>4940</v>
      </c>
      <c r="K130" s="361">
        <v>46191.37164351852</v>
      </c>
      <c r="L130" s="361">
        <v>46191.37164351852</v>
      </c>
      <c r="M130" s="361">
        <v>46191.37164351852</v>
      </c>
      <c r="N130" s="361">
        <v>46202.492789351854</v>
      </c>
      <c r="O130" s="361"/>
      <c r="P130" s="361"/>
      <c r="Q130" s="208"/>
      <c r="R130" s="12"/>
      <c r="S130" s="12"/>
      <c r="T130" s="12"/>
      <c r="U130" s="12" t="s">
        <v>371</v>
      </c>
      <c r="V130" s="12"/>
      <c r="W130" s="12"/>
      <c r="X130" s="12"/>
      <c r="Y130" s="12"/>
      <c r="Z130" s="167">
        <f ca="1">IF(NOT(OR(G130=1,G130=2)),MAX(0,_xlfn.IFS(AND(K130&lt;&gt;"",N130&lt;&gt;""),((MAX(NETWORKDAYS(K130,N130,UKBankHolidays)-1,0))*(TIME(17,0,0)-TIME(8,0,0))+IF(NETWORKDAYS(N130,N130,UKBankHolidays)&gt;0,MEDIAN(TIME(8,0,0),MOD(N130,1),TIME(17,0,0)),TIME(8,0,0))-IF(NETWORKDAYS(K130,K130,UKBankHolidays)&gt;0,MEDIAN(TIME(8,0,0),MOD(K130,1),TIME(17,0,0)),TIME(8,0,0)))-IF(AND(O130&lt;&gt;"",P130&lt;&gt;""),((MAX(NETWORKDAYS(O130,P130,UKBankHolidays)-1,0))*(TIME(17,0,0)-TIME(8,0,0))+IF(NETWORKDAYS(P130,P130,UKBankHolidays)&gt;0,MEDIAN(TIME(8,0,0),MOD(P130,1),TIME(17,0,0)),TIME(8,0,0))-IF(NETWORKDAYS(O130,O130,UKBankHolidays)&gt;0,MEDIAN(TIME(8,0,0),MOD(O130,1),TIME(17,0,0)),TIME(8,0,0))),0),AND(K130&lt;&gt;"",N130=""),((MAX(NETWORKDAYS(K130,NOW(),UKBankHolidays)-1,0))*(TIME(17,0,0)-TIME(8,0,0))+IF(NETWORKDAYS(NOW(),NOW(),UKBankHolidays)&gt;0,MEDIAN(TIME(8,0,0),MOD(NOW(),1),TIME(17,0,0)),TIME(8,0,0))-IF(NETWORKDAYS(K130,K130,UKBankHolidays)&gt;0,MEDIAN(TIME(8,0,0),MOD(K130,1),TIME(17,0,0)),TIME(8,0,0))))),IF(N130="",NOW()-K130,N130-K130))</f>
        <v>2.7461458333345949</v>
      </c>
      <c r="AA130" s="12"/>
      <c r="AB130" s="12"/>
      <c r="AC130" s="12"/>
      <c r="AD130" s="12"/>
      <c r="AE130" s="12"/>
      <c r="AF130" s="12"/>
      <c r="AG130" s="12"/>
      <c r="AH130" s="12"/>
      <c r="AI130" s="12"/>
      <c r="AJ130" s="12"/>
      <c r="AK130" s="12"/>
    </row>
    <row r="131" spans="1:37" s="45" customFormat="1" ht="15" customHeight="1">
      <c r="A131" s="12">
        <v>130</v>
      </c>
      <c r="B131" s="378" t="s">
        <v>26</v>
      </c>
      <c r="C131" s="378" t="s">
        <v>37</v>
      </c>
      <c r="D131" s="378" t="s">
        <v>208</v>
      </c>
      <c r="E131" s="18" t="s">
        <v>5202</v>
      </c>
      <c r="F131" s="18" t="s">
        <v>36</v>
      </c>
      <c r="G131" s="378" t="s">
        <v>208</v>
      </c>
      <c r="H131" s="222" t="s">
        <v>5203</v>
      </c>
      <c r="I131" s="380" t="s">
        <v>260</v>
      </c>
      <c r="J131" s="202" t="s">
        <v>4928</v>
      </c>
      <c r="K131" s="381">
        <v>46191.485925925925</v>
      </c>
      <c r="L131" s="381">
        <v>46191.485925925925</v>
      </c>
      <c r="M131" s="381">
        <v>46191.485925925925</v>
      </c>
      <c r="N131" s="381"/>
      <c r="O131" s="381"/>
      <c r="P131" s="381"/>
      <c r="Q131" s="18" t="s">
        <v>5204</v>
      </c>
      <c r="R131" s="378"/>
      <c r="S131" s="378"/>
      <c r="T131" s="378"/>
      <c r="U131" s="378" t="s">
        <v>371</v>
      </c>
      <c r="V131" s="378"/>
      <c r="W131" s="378"/>
      <c r="X131" s="378"/>
      <c r="Y131" s="378"/>
      <c r="Z131" s="378"/>
      <c r="AA131" s="378"/>
      <c r="AB131" s="378"/>
      <c r="AC131" s="378"/>
      <c r="AD131" s="378"/>
      <c r="AE131" s="378"/>
      <c r="AF131" s="378"/>
      <c r="AG131" s="378"/>
      <c r="AH131" s="378"/>
      <c r="AI131" s="378"/>
      <c r="AJ131" s="378"/>
      <c r="AK131" s="378"/>
    </row>
    <row r="132" spans="1:37" ht="15" customHeight="1">
      <c r="A132" s="12">
        <v>131</v>
      </c>
      <c r="B132" s="12" t="s">
        <v>26</v>
      </c>
      <c r="C132" s="12" t="s">
        <v>37</v>
      </c>
      <c r="D132" s="12" t="s">
        <v>207</v>
      </c>
      <c r="E132" s="208" t="s">
        <v>5205</v>
      </c>
      <c r="F132" s="98" t="s">
        <v>36</v>
      </c>
      <c r="G132" s="12">
        <v>4</v>
      </c>
      <c r="H132" s="208" t="s">
        <v>5206</v>
      </c>
      <c r="I132" s="182" t="s">
        <v>271</v>
      </c>
      <c r="J132" s="208" t="s">
        <v>4943</v>
      </c>
      <c r="K132" s="361">
        <v>46191.642245370371</v>
      </c>
      <c r="L132" s="361">
        <v>46191.642245370371</v>
      </c>
      <c r="M132" s="361">
        <v>46191.642245370371</v>
      </c>
      <c r="N132" s="361">
        <v>46197.509953703702</v>
      </c>
      <c r="O132" s="361"/>
      <c r="P132" s="361"/>
      <c r="Q132" s="208" t="s">
        <v>4925</v>
      </c>
      <c r="R132" s="12"/>
      <c r="S132" s="12"/>
      <c r="T132" s="12"/>
      <c r="U132" s="12" t="s">
        <v>371</v>
      </c>
      <c r="V132" s="12"/>
      <c r="W132" s="12"/>
      <c r="X132" s="12"/>
      <c r="Y132" s="12"/>
      <c r="Z132" s="167">
        <f t="shared" ref="Z132:Z140" ca="1" si="27">IF(NOT(OR(G132=1,G132=2)),MAX(0,_xlfn.IFS(AND(K132&lt;&gt;"",N132&lt;&gt;""),((MAX(NETWORKDAYS(K132,N132,UKBankHolidays)-1,0))*(TIME(17,0,0)-TIME(8,0,0))+IF(NETWORKDAYS(N132,N132,UKBankHolidays)&gt;0,MEDIAN(TIME(8,0,0),MOD(N132,1),TIME(17,0,0)),TIME(8,0,0))-IF(NETWORKDAYS(K132,K132,UKBankHolidays)&gt;0,MEDIAN(TIME(8,0,0),MOD(K132,1),TIME(17,0,0)),TIME(8,0,0)))-IF(AND(O132&lt;&gt;"",P132&lt;&gt;""),((MAX(NETWORKDAYS(O132,P132,UKBankHolidays)-1,0))*(TIME(17,0,0)-TIME(8,0,0))+IF(NETWORKDAYS(P132,P132,UKBankHolidays)&gt;0,MEDIAN(TIME(8,0,0),MOD(P132,1),TIME(17,0,0)),TIME(8,0,0))-IF(NETWORKDAYS(O132,O132,UKBankHolidays)&gt;0,MEDIAN(TIME(8,0,0),MOD(O132,1),TIME(17,0,0)),TIME(8,0,0))),0),AND(K132&lt;&gt;"",N132=""),((MAX(NETWORKDAYS(K132,NOW(),UKBankHolidays)-1,0))*(TIME(17,0,0)-TIME(8,0,0))+IF(NETWORKDAYS(NOW(),NOW(),UKBankHolidays)&gt;0,MEDIAN(TIME(8,0,0),MOD(NOW(),1),TIME(17,0,0)),TIME(8,0,0))-IF(NETWORKDAYS(K132,K132,UKBankHolidays)&gt;0,MEDIAN(TIME(8,0,0),MOD(K132,1),TIME(17,0,0)),TIME(8,0,0))))),IF(N132="",NOW()-K132,N132-K132))</f>
        <v>1.3677083333313931</v>
      </c>
      <c r="AA132" s="12"/>
      <c r="AB132" s="12"/>
      <c r="AC132" s="12"/>
      <c r="AD132" s="12"/>
      <c r="AE132" s="12"/>
      <c r="AF132" s="12"/>
      <c r="AG132" s="12"/>
      <c r="AH132" s="12"/>
      <c r="AI132" s="12"/>
      <c r="AJ132" s="12"/>
      <c r="AK132" s="12"/>
    </row>
    <row r="133" spans="1:37" ht="15" customHeight="1">
      <c r="A133" s="378">
        <v>132</v>
      </c>
      <c r="B133" s="12" t="s">
        <v>26</v>
      </c>
      <c r="C133" s="12" t="s">
        <v>37</v>
      </c>
      <c r="D133" s="12" t="s">
        <v>207</v>
      </c>
      <c r="E133" s="208" t="s">
        <v>5207</v>
      </c>
      <c r="F133" s="98" t="s">
        <v>36</v>
      </c>
      <c r="G133" s="12">
        <v>4</v>
      </c>
      <c r="H133" s="208" t="s">
        <v>5208</v>
      </c>
      <c r="I133" s="182" t="s">
        <v>271</v>
      </c>
      <c r="J133" s="208" t="s">
        <v>4924</v>
      </c>
      <c r="K133" s="361">
        <v>46192.47991898148</v>
      </c>
      <c r="L133" s="361">
        <v>46192.47991898148</v>
      </c>
      <c r="M133" s="361">
        <v>46192.47991898148</v>
      </c>
      <c r="N133" s="361">
        <v>46196.429120370369</v>
      </c>
      <c r="O133" s="361"/>
      <c r="P133" s="361"/>
      <c r="Q133" s="208" t="s">
        <v>4930</v>
      </c>
      <c r="R133" s="12"/>
      <c r="S133" s="12"/>
      <c r="T133" s="12"/>
      <c r="U133" s="12" t="s">
        <v>371</v>
      </c>
      <c r="V133" s="12"/>
      <c r="W133" s="12"/>
      <c r="X133" s="12"/>
      <c r="Y133" s="12"/>
      <c r="Z133" s="167">
        <f t="shared" ca="1" si="27"/>
        <v>0.6992013888884685</v>
      </c>
      <c r="AA133" s="12"/>
      <c r="AB133" s="12"/>
      <c r="AC133" s="12"/>
      <c r="AD133" s="12"/>
      <c r="AE133" s="12"/>
      <c r="AF133" s="12"/>
      <c r="AG133" s="12"/>
      <c r="AH133" s="12"/>
      <c r="AI133" s="12"/>
      <c r="AJ133" s="12"/>
      <c r="AK133" s="12"/>
    </row>
    <row r="134" spans="1:37" ht="15" customHeight="1">
      <c r="A134" s="12">
        <v>133</v>
      </c>
      <c r="B134" s="12" t="s">
        <v>26</v>
      </c>
      <c r="C134" s="12" t="s">
        <v>37</v>
      </c>
      <c r="D134" s="12" t="s">
        <v>207</v>
      </c>
      <c r="E134" s="208" t="s">
        <v>5209</v>
      </c>
      <c r="F134" s="98" t="s">
        <v>36</v>
      </c>
      <c r="G134" s="12">
        <v>4</v>
      </c>
      <c r="H134" s="208" t="s">
        <v>5210</v>
      </c>
      <c r="I134" s="182" t="s">
        <v>271</v>
      </c>
      <c r="J134" s="208" t="s">
        <v>4940</v>
      </c>
      <c r="K134" s="361">
        <v>46192.51290509259</v>
      </c>
      <c r="L134" s="361">
        <v>46192.51290509259</v>
      </c>
      <c r="M134" s="361">
        <v>46192.51290509259</v>
      </c>
      <c r="N134" s="361">
        <v>46195.325960648152</v>
      </c>
      <c r="O134" s="361"/>
      <c r="P134" s="361"/>
      <c r="Q134" s="208" t="s">
        <v>4925</v>
      </c>
      <c r="R134" s="12"/>
      <c r="S134" s="12"/>
      <c r="T134" s="12"/>
      <c r="U134" s="12" t="s">
        <v>371</v>
      </c>
      <c r="V134" s="12"/>
      <c r="W134" s="12"/>
      <c r="X134" s="12"/>
      <c r="Y134" s="12"/>
      <c r="Z134" s="167">
        <f t="shared" ca="1" si="27"/>
        <v>0.19542824074354337</v>
      </c>
      <c r="AA134" s="12"/>
      <c r="AB134" s="12"/>
      <c r="AC134" s="12"/>
      <c r="AD134" s="12"/>
      <c r="AE134" s="12"/>
      <c r="AF134" s="12"/>
      <c r="AG134" s="12"/>
      <c r="AH134" s="12" t="s">
        <v>5132</v>
      </c>
      <c r="AI134" s="12"/>
      <c r="AJ134" s="12"/>
      <c r="AK134" s="12"/>
    </row>
    <row r="135" spans="1:37" s="45" customFormat="1" ht="15" customHeight="1">
      <c r="A135" s="12">
        <v>134</v>
      </c>
      <c r="B135" s="378" t="s">
        <v>26</v>
      </c>
      <c r="C135" s="378" t="s">
        <v>37</v>
      </c>
      <c r="D135" s="378" t="s">
        <v>207</v>
      </c>
      <c r="E135" s="205" t="s">
        <v>5211</v>
      </c>
      <c r="F135" s="202" t="s">
        <v>36</v>
      </c>
      <c r="G135" s="378">
        <v>4</v>
      </c>
      <c r="H135" s="205" t="s">
        <v>5212</v>
      </c>
      <c r="I135" s="380" t="s">
        <v>266</v>
      </c>
      <c r="J135" s="205" t="s">
        <v>4940</v>
      </c>
      <c r="K135" s="381">
        <v>46192.641203703701</v>
      </c>
      <c r="L135" s="381">
        <v>46192.641203703701</v>
      </c>
      <c r="M135" s="381">
        <v>46192.641203703701</v>
      </c>
      <c r="N135" s="381"/>
      <c r="O135" s="381"/>
      <c r="P135" s="381"/>
      <c r="Q135" s="205" t="s">
        <v>5213</v>
      </c>
      <c r="R135" s="378"/>
      <c r="S135" s="378"/>
      <c r="T135" s="378"/>
      <c r="U135" s="378" t="s">
        <v>371</v>
      </c>
      <c r="V135" s="378"/>
      <c r="W135" s="378"/>
      <c r="X135" s="378"/>
      <c r="Y135" s="378"/>
      <c r="Z135" s="382">
        <f t="shared" ca="1" si="27"/>
        <v>17.617770717595707</v>
      </c>
      <c r="AA135" s="378"/>
      <c r="AB135" s="378"/>
      <c r="AC135" s="378"/>
      <c r="AD135" s="378"/>
      <c r="AE135" s="378"/>
      <c r="AF135" s="378"/>
      <c r="AG135" s="378"/>
      <c r="AH135" s="378" t="s">
        <v>5132</v>
      </c>
      <c r="AI135" s="378"/>
      <c r="AJ135" s="378"/>
      <c r="AK135" s="378"/>
    </row>
    <row r="136" spans="1:37" ht="15" customHeight="1">
      <c r="A136" s="12">
        <v>135</v>
      </c>
      <c r="B136" s="12" t="s">
        <v>26</v>
      </c>
      <c r="C136" s="12" t="s">
        <v>37</v>
      </c>
      <c r="D136" s="12" t="s">
        <v>207</v>
      </c>
      <c r="E136" s="208" t="s">
        <v>5214</v>
      </c>
      <c r="F136" s="98" t="s">
        <v>36</v>
      </c>
      <c r="G136" s="12">
        <v>4</v>
      </c>
      <c r="H136" s="208" t="s">
        <v>5215</v>
      </c>
      <c r="I136" s="182" t="s">
        <v>271</v>
      </c>
      <c r="J136" s="208" t="s">
        <v>4924</v>
      </c>
      <c r="K136" s="361">
        <v>46192.651030092595</v>
      </c>
      <c r="L136" s="361">
        <v>46192.651030092595</v>
      </c>
      <c r="M136" s="361">
        <v>46192.651030092595</v>
      </c>
      <c r="N136" s="361">
        <v>46202.401597222219</v>
      </c>
      <c r="O136" s="361"/>
      <c r="P136" s="361"/>
      <c r="Q136" s="208" t="s">
        <v>5091</v>
      </c>
      <c r="R136" s="12"/>
      <c r="S136" s="12"/>
      <c r="T136" s="12"/>
      <c r="U136" s="12" t="s">
        <v>371</v>
      </c>
      <c r="V136" s="12"/>
      <c r="W136" s="12"/>
      <c r="X136" s="12"/>
      <c r="Y136" s="12"/>
      <c r="Z136" s="167">
        <f t="shared" ca="1" si="27"/>
        <v>2.0005671296239602</v>
      </c>
      <c r="AA136" s="12"/>
      <c r="AB136" s="12"/>
      <c r="AC136" s="12"/>
      <c r="AD136" s="12"/>
      <c r="AE136" s="12"/>
      <c r="AF136" s="12"/>
      <c r="AG136" s="12"/>
      <c r="AH136" s="12" t="s">
        <v>5132</v>
      </c>
      <c r="AI136" s="12"/>
      <c r="AJ136" s="12"/>
      <c r="AK136" s="12"/>
    </row>
    <row r="137" spans="1:37" s="45" customFormat="1" ht="15" customHeight="1">
      <c r="A137" s="12">
        <v>136</v>
      </c>
      <c r="B137" s="378" t="s">
        <v>26</v>
      </c>
      <c r="C137" s="378" t="s">
        <v>37</v>
      </c>
      <c r="D137" s="378" t="s">
        <v>207</v>
      </c>
      <c r="E137" s="205" t="s">
        <v>5216</v>
      </c>
      <c r="F137" s="202" t="s">
        <v>36</v>
      </c>
      <c r="G137" s="378">
        <v>4</v>
      </c>
      <c r="H137" s="205" t="s">
        <v>5217</v>
      </c>
      <c r="I137" s="380" t="s">
        <v>266</v>
      </c>
      <c r="J137" s="205" t="s">
        <v>4935</v>
      </c>
      <c r="K137" s="381">
        <v>46193.612638888888</v>
      </c>
      <c r="L137" s="381">
        <v>46193.612638888888</v>
      </c>
      <c r="M137" s="381">
        <v>46193.612638888888</v>
      </c>
      <c r="N137" s="381"/>
      <c r="O137" s="381"/>
      <c r="P137" s="381"/>
      <c r="Q137" s="205" t="s">
        <v>5213</v>
      </c>
      <c r="R137" s="378"/>
      <c r="S137" s="378"/>
      <c r="T137" s="378"/>
      <c r="U137" s="378" t="s">
        <v>371</v>
      </c>
      <c r="V137" s="378"/>
      <c r="W137" s="378"/>
      <c r="X137" s="378"/>
      <c r="Y137" s="378"/>
      <c r="Z137" s="382">
        <f t="shared" ca="1" si="27"/>
        <v>17.550641087963115</v>
      </c>
      <c r="AA137" s="378"/>
      <c r="AB137" s="378"/>
      <c r="AC137" s="378"/>
      <c r="AD137" s="378"/>
      <c r="AE137" s="378"/>
      <c r="AF137" s="378"/>
      <c r="AG137" s="378"/>
      <c r="AH137" s="378" t="s">
        <v>5132</v>
      </c>
      <c r="AI137" s="378"/>
      <c r="AJ137" s="378"/>
      <c r="AK137" s="378"/>
    </row>
    <row r="138" spans="1:37" ht="15" customHeight="1">
      <c r="A138" s="378">
        <v>137</v>
      </c>
      <c r="B138" s="12" t="s">
        <v>26</v>
      </c>
      <c r="C138" s="12" t="s">
        <v>37</v>
      </c>
      <c r="D138" s="12" t="s">
        <v>207</v>
      </c>
      <c r="E138" s="208" t="s">
        <v>5218</v>
      </c>
      <c r="F138" s="98" t="s">
        <v>36</v>
      </c>
      <c r="G138" s="12">
        <v>4</v>
      </c>
      <c r="H138" s="208" t="s">
        <v>5219</v>
      </c>
      <c r="I138" s="182" t="s">
        <v>271</v>
      </c>
      <c r="J138" s="208" t="s">
        <v>4924</v>
      </c>
      <c r="K138" s="361">
        <v>46194.889837962961</v>
      </c>
      <c r="L138" s="361">
        <v>46194.889837962961</v>
      </c>
      <c r="M138" s="361">
        <v>46194.889837962961</v>
      </c>
      <c r="N138" s="361">
        <v>46202.499513888892</v>
      </c>
      <c r="O138" s="361"/>
      <c r="P138" s="361"/>
      <c r="Q138" s="208" t="s">
        <v>4925</v>
      </c>
      <c r="R138" s="12"/>
      <c r="S138" s="12"/>
      <c r="T138" s="12"/>
      <c r="U138" s="12" t="s">
        <v>371</v>
      </c>
      <c r="V138" s="12"/>
      <c r="W138" s="12"/>
      <c r="X138" s="12"/>
      <c r="Y138" s="12"/>
      <c r="Z138" s="167">
        <f t="shared" ca="1" si="27"/>
        <v>2.0411805555583364</v>
      </c>
      <c r="AA138" s="12"/>
      <c r="AB138" s="12"/>
      <c r="AC138" s="12"/>
      <c r="AD138" s="12"/>
      <c r="AE138" s="12"/>
      <c r="AF138" s="12"/>
      <c r="AG138" s="12"/>
      <c r="AH138" s="12" t="s">
        <v>5132</v>
      </c>
      <c r="AI138" s="12"/>
      <c r="AJ138" s="12"/>
      <c r="AK138" s="12"/>
    </row>
    <row r="139" spans="1:37" ht="15" customHeight="1">
      <c r="A139" s="12">
        <v>138</v>
      </c>
      <c r="B139" s="12" t="s">
        <v>26</v>
      </c>
      <c r="C139" s="12" t="s">
        <v>37</v>
      </c>
      <c r="D139" s="12" t="s">
        <v>207</v>
      </c>
      <c r="E139" s="208" t="s">
        <v>5220</v>
      </c>
      <c r="F139" s="98" t="s">
        <v>36</v>
      </c>
      <c r="G139" s="12">
        <v>4</v>
      </c>
      <c r="H139" s="208" t="s">
        <v>5221</v>
      </c>
      <c r="I139" s="182" t="s">
        <v>271</v>
      </c>
      <c r="J139" s="208" t="s">
        <v>4940</v>
      </c>
      <c r="K139" s="361">
        <v>46195.902824074074</v>
      </c>
      <c r="L139" s="361">
        <v>46195.902824074074</v>
      </c>
      <c r="M139" s="361">
        <v>46195.902824074074</v>
      </c>
      <c r="N139" s="361">
        <v>46197.434664351851</v>
      </c>
      <c r="O139" s="361"/>
      <c r="P139" s="361"/>
      <c r="Q139" s="208" t="s">
        <v>4925</v>
      </c>
      <c r="R139" s="12"/>
      <c r="S139" s="12"/>
      <c r="T139" s="12"/>
      <c r="U139" s="12" t="s">
        <v>371</v>
      </c>
      <c r="V139" s="12"/>
      <c r="W139" s="12"/>
      <c r="X139" s="12"/>
      <c r="Y139" s="12"/>
      <c r="Z139" s="167">
        <f t="shared" ca="1" si="27"/>
        <v>0.47633101851776394</v>
      </c>
      <c r="AA139" s="12"/>
      <c r="AB139" s="12"/>
      <c r="AC139" s="12"/>
      <c r="AD139" s="12"/>
      <c r="AE139" s="12"/>
      <c r="AF139" s="12"/>
      <c r="AG139" s="12"/>
      <c r="AH139" s="12" t="s">
        <v>5132</v>
      </c>
      <c r="AI139" s="12"/>
      <c r="AJ139" s="12"/>
      <c r="AK139" s="12"/>
    </row>
    <row r="140" spans="1:37" ht="15" customHeight="1">
      <c r="A140" s="12">
        <v>139</v>
      </c>
      <c r="B140" s="12" t="s">
        <v>26</v>
      </c>
      <c r="C140" s="12" t="s">
        <v>37</v>
      </c>
      <c r="D140" s="12" t="s">
        <v>207</v>
      </c>
      <c r="E140" s="208" t="s">
        <v>5222</v>
      </c>
      <c r="F140" s="98" t="s">
        <v>36</v>
      </c>
      <c r="G140" s="12">
        <v>4</v>
      </c>
      <c r="H140" s="208" t="s">
        <v>5223</v>
      </c>
      <c r="I140" s="182" t="s">
        <v>271</v>
      </c>
      <c r="J140" s="208" t="s">
        <v>4940</v>
      </c>
      <c r="K140" s="361">
        <v>46195.954421296294</v>
      </c>
      <c r="L140" s="361">
        <v>46195.954421296294</v>
      </c>
      <c r="M140" s="361">
        <v>46195.954421296294</v>
      </c>
      <c r="N140" s="361">
        <v>46197.518564814818</v>
      </c>
      <c r="O140" s="361"/>
      <c r="P140" s="361"/>
      <c r="Q140" s="208" t="s">
        <v>5213</v>
      </c>
      <c r="R140" s="12"/>
      <c r="S140" s="12"/>
      <c r="T140" s="12"/>
      <c r="U140" s="12" t="s">
        <v>371</v>
      </c>
      <c r="V140" s="12"/>
      <c r="W140" s="12"/>
      <c r="X140" s="12"/>
      <c r="Y140" s="12"/>
      <c r="Z140" s="167">
        <f t="shared" ca="1" si="27"/>
        <v>0.56023148148475832</v>
      </c>
      <c r="AA140" s="12"/>
      <c r="AB140" s="12"/>
      <c r="AC140" s="12"/>
      <c r="AD140" s="12"/>
      <c r="AE140" s="12"/>
      <c r="AF140" s="12"/>
      <c r="AG140" s="12"/>
      <c r="AH140" s="12" t="s">
        <v>5132</v>
      </c>
      <c r="AI140" s="12"/>
      <c r="AJ140" s="12"/>
      <c r="AK140" s="12"/>
    </row>
    <row r="141" spans="1:37" ht="15" customHeight="1">
      <c r="A141" s="12">
        <v>140</v>
      </c>
      <c r="B141" s="12" t="s">
        <v>26</v>
      </c>
      <c r="C141" s="12" t="s">
        <v>37</v>
      </c>
      <c r="D141" s="12" t="s">
        <v>208</v>
      </c>
      <c r="E141" s="12" t="s">
        <v>5224</v>
      </c>
      <c r="F141" s="12" t="s">
        <v>36</v>
      </c>
      <c r="G141" s="12" t="s">
        <v>208</v>
      </c>
      <c r="H141" s="12" t="s">
        <v>5225</v>
      </c>
      <c r="I141" s="182" t="s">
        <v>271</v>
      </c>
      <c r="J141" s="12" t="s">
        <v>4924</v>
      </c>
      <c r="K141" s="361">
        <v>46196.354317129626</v>
      </c>
      <c r="L141" s="361">
        <v>46196.354317129626</v>
      </c>
      <c r="M141" s="361">
        <v>46196.354317129626</v>
      </c>
      <c r="N141" s="361">
        <v>46199.358784722222</v>
      </c>
      <c r="O141" s="361"/>
      <c r="P141" s="361"/>
      <c r="Q141" s="12"/>
      <c r="R141" s="12"/>
      <c r="S141" s="12"/>
      <c r="T141" s="12"/>
      <c r="U141" s="12" t="s">
        <v>371</v>
      </c>
      <c r="V141" s="12"/>
      <c r="W141" s="12"/>
      <c r="X141" s="12"/>
      <c r="Y141" s="12"/>
      <c r="Z141" s="12"/>
      <c r="AA141" s="12"/>
      <c r="AB141" s="12"/>
      <c r="AC141" s="12"/>
      <c r="AD141" s="12"/>
      <c r="AE141" s="12"/>
      <c r="AF141" s="12"/>
      <c r="AG141" s="12"/>
      <c r="AH141" s="12"/>
      <c r="AI141" s="12"/>
      <c r="AJ141" s="12"/>
      <c r="AK141" s="12"/>
    </row>
    <row r="142" spans="1:37" ht="15" customHeight="1">
      <c r="A142" s="12">
        <v>141</v>
      </c>
      <c r="B142" s="12" t="s">
        <v>26</v>
      </c>
      <c r="C142" s="12" t="s">
        <v>37</v>
      </c>
      <c r="D142" s="12" t="s">
        <v>208</v>
      </c>
      <c r="E142" s="12" t="s">
        <v>5226</v>
      </c>
      <c r="F142" s="12" t="s">
        <v>36</v>
      </c>
      <c r="G142" s="12" t="s">
        <v>208</v>
      </c>
      <c r="H142" s="12" t="s">
        <v>5227</v>
      </c>
      <c r="I142" s="182" t="s">
        <v>271</v>
      </c>
      <c r="J142" s="12" t="s">
        <v>4935</v>
      </c>
      <c r="K142" s="361">
        <v>46196.361180555556</v>
      </c>
      <c r="L142" s="361">
        <v>46196.361180555556</v>
      </c>
      <c r="M142" s="361">
        <v>46196.361180555556</v>
      </c>
      <c r="N142" s="361">
        <v>46200.494247685187</v>
      </c>
      <c r="O142" s="361"/>
      <c r="P142" s="361"/>
      <c r="Q142" s="12" t="s">
        <v>5213</v>
      </c>
      <c r="R142" s="12"/>
      <c r="S142" s="12"/>
      <c r="T142" s="12"/>
      <c r="U142" s="12" t="s">
        <v>371</v>
      </c>
      <c r="V142" s="12"/>
      <c r="W142" s="12"/>
      <c r="X142" s="12"/>
      <c r="Y142" s="12"/>
      <c r="Z142" s="12"/>
      <c r="AA142" s="12"/>
      <c r="AB142" s="12"/>
      <c r="AC142" s="12"/>
      <c r="AD142" s="12"/>
      <c r="AE142" s="12"/>
      <c r="AF142" s="12"/>
      <c r="AG142" s="12"/>
      <c r="AH142" s="12"/>
      <c r="AI142" s="12"/>
      <c r="AJ142" s="12"/>
      <c r="AK142" s="12"/>
    </row>
    <row r="143" spans="1:37" ht="15" customHeight="1">
      <c r="A143" s="378">
        <v>142</v>
      </c>
      <c r="B143" s="12" t="s">
        <v>26</v>
      </c>
      <c r="C143" s="12" t="s">
        <v>37</v>
      </c>
      <c r="D143" s="12" t="s">
        <v>207</v>
      </c>
      <c r="E143" s="208" t="s">
        <v>5228</v>
      </c>
      <c r="F143" s="98" t="s">
        <v>36</v>
      </c>
      <c r="G143" s="12">
        <v>4</v>
      </c>
      <c r="H143" s="208" t="s">
        <v>5229</v>
      </c>
      <c r="I143" s="182" t="s">
        <v>271</v>
      </c>
      <c r="J143" s="208" t="s">
        <v>4924</v>
      </c>
      <c r="K143" s="361">
        <v>46196.650706018518</v>
      </c>
      <c r="L143" s="361">
        <v>46196.650706018518</v>
      </c>
      <c r="M143" s="361">
        <v>46196.650706018518</v>
      </c>
      <c r="N143" s="361">
        <v>46198.497025462966</v>
      </c>
      <c r="O143" s="361"/>
      <c r="P143" s="361"/>
      <c r="Q143" s="208"/>
      <c r="R143" s="12"/>
      <c r="S143" s="12"/>
      <c r="T143" s="12"/>
      <c r="U143" s="12" t="s">
        <v>371</v>
      </c>
      <c r="V143" s="12"/>
      <c r="W143" s="12"/>
      <c r="X143" s="12"/>
      <c r="Y143" s="12"/>
      <c r="Z143" s="167">
        <f ca="1">IF(NOT(OR(G143=1,G143=2)),MAX(0,_xlfn.IFS(AND(K143&lt;&gt;"",N143&lt;&gt;""),((MAX(NETWORKDAYS(K143,N143,UKBankHolidays)-1,0))*(TIME(17,0,0)-TIME(8,0,0))+IF(NETWORKDAYS(N143,N143,UKBankHolidays)&gt;0,MEDIAN(TIME(8,0,0),MOD(N143,1),TIME(17,0,0)),TIME(8,0,0))-IF(NETWORKDAYS(K143,K143,UKBankHolidays)&gt;0,MEDIAN(TIME(8,0,0),MOD(K143,1),TIME(17,0,0)),TIME(8,0,0)))-IF(AND(O143&lt;&gt;"",P143&lt;&gt;""),((MAX(NETWORKDAYS(O143,P143,UKBankHolidays)-1,0))*(TIME(17,0,0)-TIME(8,0,0))+IF(NETWORKDAYS(P143,P143,UKBankHolidays)&gt;0,MEDIAN(TIME(8,0,0),MOD(P143,1),TIME(17,0,0)),TIME(8,0,0))-IF(NETWORKDAYS(O143,O143,UKBankHolidays)&gt;0,MEDIAN(TIME(8,0,0),MOD(O143,1),TIME(17,0,0)),TIME(8,0,0))),0),AND(K143&lt;&gt;"",N143=""),((MAX(NETWORKDAYS(K143,NOW(),UKBankHolidays)-1,0))*(TIME(17,0,0)-TIME(8,0,0))+IF(NETWORKDAYS(NOW(),NOW(),UKBankHolidays)&gt;0,MEDIAN(TIME(8,0,0),MOD(NOW(),1),TIME(17,0,0)),TIME(8,0,0))-IF(NETWORKDAYS(K143,K143,UKBankHolidays)&gt;0,MEDIAN(TIME(8,0,0),MOD(K143,1),TIME(17,0,0)),TIME(8,0,0))))),IF(N143="",NOW()-K143,N143-K143))</f>
        <v>0.59631944444845431</v>
      </c>
      <c r="AA143" s="12"/>
      <c r="AB143" s="12"/>
      <c r="AC143" s="12"/>
      <c r="AD143" s="12"/>
      <c r="AE143" s="12"/>
      <c r="AF143" s="12"/>
      <c r="AG143" s="12"/>
      <c r="AH143" s="12" t="s">
        <v>5132</v>
      </c>
      <c r="AI143" s="12"/>
      <c r="AJ143" s="12"/>
      <c r="AK143" s="12"/>
    </row>
    <row r="144" spans="1:37" ht="15" customHeight="1">
      <c r="A144" s="12">
        <v>143</v>
      </c>
      <c r="B144" s="12" t="s">
        <v>26</v>
      </c>
      <c r="C144" s="12" t="s">
        <v>37</v>
      </c>
      <c r="D144" s="12" t="s">
        <v>207</v>
      </c>
      <c r="E144" s="208" t="s">
        <v>5230</v>
      </c>
      <c r="F144" s="98" t="s">
        <v>36</v>
      </c>
      <c r="G144" s="12">
        <v>4</v>
      </c>
      <c r="H144" s="208" t="s">
        <v>5231</v>
      </c>
      <c r="I144" s="182" t="s">
        <v>271</v>
      </c>
      <c r="J144" s="208" t="s">
        <v>4924</v>
      </c>
      <c r="K144" s="361">
        <v>46196.677881944444</v>
      </c>
      <c r="L144" s="361">
        <v>46196.677881944444</v>
      </c>
      <c r="M144" s="361">
        <v>46196.677881944444</v>
      </c>
      <c r="N144" s="361">
        <v>46198.446203703701</v>
      </c>
      <c r="O144" s="361"/>
      <c r="P144" s="361"/>
      <c r="Q144" s="208"/>
      <c r="R144" s="12"/>
      <c r="S144" s="12"/>
      <c r="T144" s="12"/>
      <c r="U144" s="12" t="s">
        <v>371</v>
      </c>
      <c r="V144" s="12"/>
      <c r="W144" s="12"/>
      <c r="X144" s="12"/>
      <c r="Y144" s="12"/>
      <c r="Z144" s="167">
        <f ca="1">IF(NOT(OR(G144=1,G144=2)),MAX(0,_xlfn.IFS(AND(K144&lt;&gt;"",N144&lt;&gt;""),((MAX(NETWORKDAYS(K144,N144,UKBankHolidays)-1,0))*(TIME(17,0,0)-TIME(8,0,0))+IF(NETWORKDAYS(N144,N144,UKBankHolidays)&gt;0,MEDIAN(TIME(8,0,0),MOD(N144,1),TIME(17,0,0)),TIME(8,0,0))-IF(NETWORKDAYS(K144,K144,UKBankHolidays)&gt;0,MEDIAN(TIME(8,0,0),MOD(K144,1),TIME(17,0,0)),TIME(8,0,0)))-IF(AND(O144&lt;&gt;"",P144&lt;&gt;""),((MAX(NETWORKDAYS(O144,P144,UKBankHolidays)-1,0))*(TIME(17,0,0)-TIME(8,0,0))+IF(NETWORKDAYS(P144,P144,UKBankHolidays)&gt;0,MEDIAN(TIME(8,0,0),MOD(P144,1),TIME(17,0,0)),TIME(8,0,0))-IF(NETWORKDAYS(O144,O144,UKBankHolidays)&gt;0,MEDIAN(TIME(8,0,0),MOD(O144,1),TIME(17,0,0)),TIME(8,0,0))),0),AND(K144&lt;&gt;"",N144=""),((MAX(NETWORKDAYS(K144,NOW(),UKBankHolidays)-1,0))*(TIME(17,0,0)-TIME(8,0,0))+IF(NETWORKDAYS(NOW(),NOW(),UKBankHolidays)&gt;0,MEDIAN(TIME(8,0,0),MOD(NOW(),1),TIME(17,0,0)),TIME(8,0,0))-IF(NETWORKDAYS(K144,K144,UKBankHolidays)&gt;0,MEDIAN(TIME(8,0,0),MOD(K144,1),TIME(17,0,0)),TIME(8,0,0))))),IF(N144="",NOW()-K144,N144-K144))</f>
        <v>0.51832175925665069</v>
      </c>
      <c r="AA144" s="12"/>
      <c r="AB144" s="12"/>
      <c r="AC144" s="12"/>
      <c r="AD144" s="12"/>
      <c r="AE144" s="12"/>
      <c r="AF144" s="12"/>
      <c r="AG144" s="12"/>
      <c r="AH144" s="12" t="s">
        <v>5132</v>
      </c>
      <c r="AI144" s="12"/>
      <c r="AJ144" s="12"/>
      <c r="AK144" s="12"/>
    </row>
    <row r="145" spans="1:37" ht="15" customHeight="1">
      <c r="A145" s="12">
        <v>144</v>
      </c>
      <c r="B145" s="12" t="s">
        <v>26</v>
      </c>
      <c r="C145" s="12" t="s">
        <v>37</v>
      </c>
      <c r="D145" s="12" t="s">
        <v>207</v>
      </c>
      <c r="E145" s="208" t="s">
        <v>5232</v>
      </c>
      <c r="F145" s="98" t="s">
        <v>36</v>
      </c>
      <c r="G145" s="12">
        <v>4</v>
      </c>
      <c r="H145" s="208" t="s">
        <v>5233</v>
      </c>
      <c r="I145" s="182" t="s">
        <v>271</v>
      </c>
      <c r="J145" s="208" t="s">
        <v>4943</v>
      </c>
      <c r="K145" s="361">
        <v>46197.195659722223</v>
      </c>
      <c r="L145" s="361">
        <v>46197.195659722223</v>
      </c>
      <c r="M145" s="361">
        <v>46197.195659722223</v>
      </c>
      <c r="N145" s="361">
        <v>46199.361840277779</v>
      </c>
      <c r="O145" s="361"/>
      <c r="P145" s="361"/>
      <c r="Q145" s="208" t="s">
        <v>4930</v>
      </c>
      <c r="R145" s="12"/>
      <c r="S145" s="12"/>
      <c r="T145" s="12"/>
      <c r="U145" s="12" t="s">
        <v>371</v>
      </c>
      <c r="V145" s="12"/>
      <c r="W145" s="12"/>
      <c r="X145" s="12"/>
      <c r="Y145" s="12"/>
      <c r="Z145" s="167">
        <f ca="1">IF(NOT(OR(G145=1,G145=2)),MAX(0,_xlfn.IFS(AND(K145&lt;&gt;"",N145&lt;&gt;""),((MAX(NETWORKDAYS(K145,N145,UKBankHolidays)-1,0))*(TIME(17,0,0)-TIME(8,0,0))+IF(NETWORKDAYS(N145,N145,UKBankHolidays)&gt;0,MEDIAN(TIME(8,0,0),MOD(N145,1),TIME(17,0,0)),TIME(8,0,0))-IF(NETWORKDAYS(K145,K145,UKBankHolidays)&gt;0,MEDIAN(TIME(8,0,0),MOD(K145,1),TIME(17,0,0)),TIME(8,0,0)))-IF(AND(O145&lt;&gt;"",P145&lt;&gt;""),((MAX(NETWORKDAYS(O145,P145,UKBankHolidays)-1,0))*(TIME(17,0,0)-TIME(8,0,0))+IF(NETWORKDAYS(P145,P145,UKBankHolidays)&gt;0,MEDIAN(TIME(8,0,0),MOD(P145,1),TIME(17,0,0)),TIME(8,0,0))-IF(NETWORKDAYS(O145,O145,UKBankHolidays)&gt;0,MEDIAN(TIME(8,0,0),MOD(O145,1),TIME(17,0,0)),TIME(8,0,0))),0),AND(K145&lt;&gt;"",N145=""),((MAX(NETWORKDAYS(K145,NOW(),UKBankHolidays)-1,0))*(TIME(17,0,0)-TIME(8,0,0))+IF(NETWORKDAYS(NOW(),NOW(),UKBankHolidays)&gt;0,MEDIAN(TIME(8,0,0),MOD(NOW(),1),TIME(17,0,0)),TIME(8,0,0))-IF(NETWORKDAYS(K145,K145,UKBankHolidays)&gt;0,MEDIAN(TIME(8,0,0),MOD(K145,1),TIME(17,0,0)),TIME(8,0,0))))),IF(N145="",NOW()-K145,N145-K145))</f>
        <v>0.77850694444593205</v>
      </c>
      <c r="AA145" s="12"/>
      <c r="AB145" s="12"/>
      <c r="AC145" s="12"/>
      <c r="AD145" s="12"/>
      <c r="AE145" s="12"/>
      <c r="AF145" s="12"/>
      <c r="AG145" s="12"/>
      <c r="AH145" s="12" t="s">
        <v>5132</v>
      </c>
      <c r="AI145" s="12"/>
      <c r="AJ145" s="12"/>
      <c r="AK145" s="12"/>
    </row>
    <row r="146" spans="1:37" s="45" customFormat="1" ht="15" customHeight="1">
      <c r="A146" s="12">
        <v>145</v>
      </c>
      <c r="B146" s="378" t="s">
        <v>26</v>
      </c>
      <c r="C146" s="378" t="s">
        <v>37</v>
      </c>
      <c r="D146" s="378" t="s">
        <v>207</v>
      </c>
      <c r="E146" s="205" t="s">
        <v>5234</v>
      </c>
      <c r="F146" s="202" t="s">
        <v>36</v>
      </c>
      <c r="G146" s="378">
        <v>4</v>
      </c>
      <c r="H146" s="205" t="s">
        <v>5235</v>
      </c>
      <c r="I146" s="380" t="s">
        <v>266</v>
      </c>
      <c r="J146" s="205" t="s">
        <v>4940</v>
      </c>
      <c r="K146" s="381">
        <v>46197.453912037039</v>
      </c>
      <c r="L146" s="381">
        <v>46197.453912037039</v>
      </c>
      <c r="M146" s="381">
        <v>46197.453912037039</v>
      </c>
      <c r="N146" s="381"/>
      <c r="O146" s="381">
        <v>46202.263136574074</v>
      </c>
      <c r="P146" s="381"/>
      <c r="Q146" s="376" t="s">
        <v>5236</v>
      </c>
      <c r="R146" s="378"/>
      <c r="S146" s="378"/>
      <c r="T146" s="378"/>
      <c r="U146" s="378" t="s">
        <v>371</v>
      </c>
      <c r="V146" s="378"/>
      <c r="W146" s="378"/>
      <c r="X146" s="378"/>
      <c r="Y146" s="378"/>
      <c r="Z146" s="382">
        <f ca="1">IF(NOT(OR(G146=1,G146=2)),MAX(0,_xlfn.IFS(AND(K146&lt;&gt;"",N146&lt;&gt;""),((MAX(NETWORKDAYS(K146,N146,UKBankHolidays)-1,0))*(TIME(17,0,0)-TIME(8,0,0))+IF(NETWORKDAYS(N146,N146,UKBankHolidays)&gt;0,MEDIAN(TIME(8,0,0),MOD(N146,1),TIME(17,0,0)),TIME(8,0,0))-IF(NETWORKDAYS(K146,K146,UKBankHolidays)&gt;0,MEDIAN(TIME(8,0,0),MOD(K146,1),TIME(17,0,0)),TIME(8,0,0)))-IF(AND(O146&lt;&gt;"",P146&lt;&gt;""),((MAX(NETWORKDAYS(O146,P146,UKBankHolidays)-1,0))*(TIME(17,0,0)-TIME(8,0,0))+IF(NETWORKDAYS(P146,P146,UKBankHolidays)&gt;0,MEDIAN(TIME(8,0,0),MOD(P146,1),TIME(17,0,0)),TIME(8,0,0))-IF(NETWORKDAYS(O146,O146,UKBankHolidays)&gt;0,MEDIAN(TIME(8,0,0),MOD(O146,1),TIME(17,0,0)),TIME(8,0,0))),0),AND(K146&lt;&gt;"",N146=""),((MAX(NETWORKDAYS(K146,NOW(),UKBankHolidays)-1,0))*(TIME(17,0,0)-TIME(8,0,0))+IF(NETWORKDAYS(NOW(),NOW(),UKBankHolidays)&gt;0,MEDIAN(TIME(8,0,0),MOD(NOW(),1),TIME(17,0,0)),TIME(8,0,0))-IF(NETWORKDAYS(K146,K146,UKBankHolidays)&gt;0,MEDIAN(TIME(8,0,0),MOD(K146,1),TIME(17,0,0)),TIME(8,0,0))))),IF(N146="",NOW()-K146,N146-K146))</f>
        <v>16.680062384257329</v>
      </c>
      <c r="AA146" s="378"/>
      <c r="AB146" s="378"/>
      <c r="AC146" s="378"/>
      <c r="AD146" s="378"/>
      <c r="AE146" s="378"/>
      <c r="AF146" s="378"/>
      <c r="AG146" s="378"/>
      <c r="AH146" s="378" t="s">
        <v>5132</v>
      </c>
      <c r="AI146" s="378"/>
      <c r="AJ146" s="378"/>
      <c r="AK146" s="378"/>
    </row>
    <row r="147" spans="1:37" ht="15" customHeight="1">
      <c r="A147" s="12">
        <v>146</v>
      </c>
      <c r="B147" s="12" t="s">
        <v>26</v>
      </c>
      <c r="C147" s="12" t="s">
        <v>37</v>
      </c>
      <c r="D147" s="12" t="s">
        <v>207</v>
      </c>
      <c r="E147" s="208" t="s">
        <v>5237</v>
      </c>
      <c r="F147" s="98" t="s">
        <v>36</v>
      </c>
      <c r="G147" s="12">
        <v>4</v>
      </c>
      <c r="H147" s="208" t="s">
        <v>5238</v>
      </c>
      <c r="I147" s="182" t="s">
        <v>271</v>
      </c>
      <c r="J147" s="208" t="s">
        <v>4935</v>
      </c>
      <c r="K147" s="361">
        <v>46197.883888888886</v>
      </c>
      <c r="L147" s="361">
        <v>46197.883888888886</v>
      </c>
      <c r="M147" s="361">
        <v>46197.883888888886</v>
      </c>
      <c r="N147" s="361">
        <v>46198.559687499997</v>
      </c>
      <c r="O147" s="361">
        <v>46198.548750000002</v>
      </c>
      <c r="P147" s="361">
        <v>46198.559687499997</v>
      </c>
      <c r="Q147" s="208" t="s">
        <v>5213</v>
      </c>
      <c r="R147" s="12"/>
      <c r="S147" s="12"/>
      <c r="T147" s="12"/>
      <c r="U147" s="12" t="s">
        <v>371</v>
      </c>
      <c r="V147" s="12"/>
      <c r="W147" s="12"/>
      <c r="X147" s="12"/>
      <c r="Y147" s="12"/>
      <c r="Z147" s="167">
        <f ca="1">IF(NOT(OR(G147=1,G147=2)),MAX(0,_xlfn.IFS(AND(K147&lt;&gt;"",N147&lt;&gt;""),((MAX(NETWORKDAYS(K147,N147,UKBankHolidays)-1,0))*(TIME(17,0,0)-TIME(8,0,0))+IF(NETWORKDAYS(N147,N147,UKBankHolidays)&gt;0,MEDIAN(TIME(8,0,0),MOD(N147,1),TIME(17,0,0)),TIME(8,0,0))-IF(NETWORKDAYS(K147,K147,UKBankHolidays)&gt;0,MEDIAN(TIME(8,0,0),MOD(K147,1),TIME(17,0,0)),TIME(8,0,0)))-IF(AND(O147&lt;&gt;"",P147&lt;&gt;""),((MAX(NETWORKDAYS(O147,P147,UKBankHolidays)-1,0))*(TIME(17,0,0)-TIME(8,0,0))+IF(NETWORKDAYS(P147,P147,UKBankHolidays)&gt;0,MEDIAN(TIME(8,0,0),MOD(P147,1),TIME(17,0,0)),TIME(8,0,0))-IF(NETWORKDAYS(O147,O147,UKBankHolidays)&gt;0,MEDIAN(TIME(8,0,0),MOD(O147,1),TIME(17,0,0)),TIME(8,0,0))),0),AND(K147&lt;&gt;"",N147=""),((MAX(NETWORKDAYS(K147,NOW(),UKBankHolidays)-1,0))*(TIME(17,0,0)-TIME(8,0,0))+IF(NETWORKDAYS(NOW(),NOW(),UKBankHolidays)&gt;0,MEDIAN(TIME(8,0,0),MOD(NOW(),1),TIME(17,0,0)),TIME(8,0,0))-IF(NETWORKDAYS(K147,K147,UKBankHolidays)&gt;0,MEDIAN(TIME(8,0,0),MOD(K147,1),TIME(17,0,0)),TIME(8,0,0))))),IF(N147="",NOW()-K147,N147-K147))</f>
        <v>0.21541666666841286</v>
      </c>
      <c r="AA147" s="12"/>
      <c r="AB147" s="12"/>
      <c r="AC147" s="12"/>
      <c r="AD147" s="12"/>
      <c r="AE147" s="12"/>
      <c r="AF147" s="12"/>
      <c r="AG147" s="12"/>
      <c r="AH147" s="12" t="s">
        <v>5132</v>
      </c>
      <c r="AI147" s="12"/>
      <c r="AJ147" s="12"/>
      <c r="AK147" s="12"/>
    </row>
    <row r="148" spans="1:37" s="45" customFormat="1" ht="15" customHeight="1">
      <c r="A148" s="378">
        <v>147</v>
      </c>
      <c r="B148" s="327" t="s">
        <v>26</v>
      </c>
      <c r="C148" s="327" t="s">
        <v>37</v>
      </c>
      <c r="D148" s="327" t="s">
        <v>208</v>
      </c>
      <c r="E148" s="18" t="s">
        <v>5239</v>
      </c>
      <c r="F148" s="18" t="s">
        <v>36</v>
      </c>
      <c r="G148" s="327" t="s">
        <v>208</v>
      </c>
      <c r="H148" s="222" t="s">
        <v>5240</v>
      </c>
      <c r="I148" s="332" t="s">
        <v>260</v>
      </c>
      <c r="J148" s="18" t="s">
        <v>4980</v>
      </c>
      <c r="K148" s="386">
        <v>46198.284421296295</v>
      </c>
      <c r="L148" s="386">
        <v>46198.284421296295</v>
      </c>
      <c r="M148" s="386">
        <v>46198.284421296295</v>
      </c>
      <c r="N148" s="386"/>
      <c r="O148" s="386"/>
      <c r="P148" s="386"/>
      <c r="Q148" s="327"/>
      <c r="R148" s="327"/>
      <c r="S148" s="327"/>
      <c r="T148" s="327"/>
      <c r="U148" s="327" t="s">
        <v>371</v>
      </c>
      <c r="V148" s="327"/>
      <c r="W148" s="327"/>
      <c r="X148" s="327"/>
      <c r="Y148" s="327"/>
      <c r="Z148" s="327"/>
      <c r="AA148" s="327"/>
      <c r="AB148" s="327"/>
      <c r="AC148" s="327"/>
      <c r="AD148" s="327"/>
      <c r="AE148" s="327"/>
      <c r="AF148" s="327"/>
      <c r="AG148" s="327"/>
      <c r="AH148" s="327"/>
      <c r="AI148" s="327"/>
      <c r="AJ148" s="327"/>
      <c r="AK148" s="327"/>
    </row>
    <row r="149" spans="1:37" s="45" customFormat="1" ht="15" customHeight="1">
      <c r="A149" s="12">
        <v>148</v>
      </c>
      <c r="B149" s="12" t="s">
        <v>26</v>
      </c>
      <c r="C149" s="12" t="s">
        <v>37</v>
      </c>
      <c r="D149" s="12" t="s">
        <v>208</v>
      </c>
      <c r="E149" s="18" t="s">
        <v>5241</v>
      </c>
      <c r="F149" s="18" t="s">
        <v>36</v>
      </c>
      <c r="G149" s="12" t="s">
        <v>208</v>
      </c>
      <c r="H149" s="222" t="s">
        <v>5242</v>
      </c>
      <c r="I149" s="182" t="s">
        <v>260</v>
      </c>
      <c r="J149" s="205" t="s">
        <v>4940</v>
      </c>
      <c r="K149" s="361">
        <v>46198.305312500001</v>
      </c>
      <c r="L149" s="361">
        <v>46198.305312500001</v>
      </c>
      <c r="M149" s="361">
        <v>46198.305312500001</v>
      </c>
      <c r="N149" s="361"/>
      <c r="O149" s="361"/>
      <c r="P149" s="361"/>
      <c r="Q149" s="12"/>
      <c r="R149" s="12"/>
      <c r="S149" s="12"/>
      <c r="T149" s="12"/>
      <c r="U149" s="12" t="s">
        <v>371</v>
      </c>
      <c r="V149" s="12"/>
      <c r="W149" s="12"/>
      <c r="X149" s="12"/>
      <c r="Y149" s="12"/>
      <c r="Z149" s="12"/>
      <c r="AA149" s="12"/>
      <c r="AB149" s="12"/>
      <c r="AC149" s="12"/>
      <c r="AD149" s="12"/>
      <c r="AE149" s="12"/>
      <c r="AF149" s="12"/>
      <c r="AG149" s="12"/>
      <c r="AH149" s="12"/>
      <c r="AI149" s="12"/>
      <c r="AJ149" s="12"/>
      <c r="AK149" s="12"/>
    </row>
    <row r="150" spans="1:37" s="45" customFormat="1" ht="15" customHeight="1">
      <c r="A150" s="12">
        <v>149</v>
      </c>
      <c r="B150" s="365" t="s">
        <v>26</v>
      </c>
      <c r="C150" s="365" t="s">
        <v>37</v>
      </c>
      <c r="D150" s="365" t="s">
        <v>208</v>
      </c>
      <c r="E150" s="18" t="s">
        <v>5243</v>
      </c>
      <c r="F150" s="18" t="s">
        <v>36</v>
      </c>
      <c r="G150" s="365" t="s">
        <v>208</v>
      </c>
      <c r="I150" s="366" t="s">
        <v>260</v>
      </c>
      <c r="J150" s="202" t="s">
        <v>4928</v>
      </c>
      <c r="K150" s="368">
        <v>46198.42628472222</v>
      </c>
      <c r="L150" s="368">
        <v>46198.42628472222</v>
      </c>
      <c r="M150" s="368">
        <v>46198.42628472222</v>
      </c>
      <c r="N150" s="368"/>
      <c r="O150" s="368"/>
      <c r="P150" s="368"/>
      <c r="Q150" s="365"/>
      <c r="R150" s="365"/>
      <c r="S150" s="365"/>
      <c r="T150" s="365"/>
      <c r="U150" s="365" t="s">
        <v>371</v>
      </c>
      <c r="V150" s="365"/>
      <c r="W150" s="365"/>
      <c r="X150" s="365"/>
      <c r="Y150" s="365"/>
      <c r="Z150" s="365"/>
      <c r="AA150" s="365"/>
      <c r="AB150" s="365"/>
      <c r="AC150" s="365"/>
      <c r="AD150" s="365"/>
      <c r="AE150" s="365"/>
      <c r="AF150" s="365"/>
      <c r="AG150" s="365"/>
      <c r="AH150" s="365"/>
      <c r="AI150" s="365"/>
      <c r="AJ150" s="365"/>
      <c r="AK150" s="365"/>
    </row>
    <row r="151" spans="1:37" ht="15" customHeight="1">
      <c r="A151" s="12">
        <v>150</v>
      </c>
      <c r="B151" s="12" t="s">
        <v>26</v>
      </c>
      <c r="C151" s="12" t="s">
        <v>37</v>
      </c>
      <c r="D151" s="12" t="s">
        <v>208</v>
      </c>
      <c r="E151" s="12" t="s">
        <v>5239</v>
      </c>
      <c r="F151" s="12" t="s">
        <v>36</v>
      </c>
      <c r="G151" s="12" t="s">
        <v>208</v>
      </c>
      <c r="H151" s="12" t="s">
        <v>5244</v>
      </c>
      <c r="I151" s="182" t="s">
        <v>271</v>
      </c>
      <c r="J151" s="19" t="s">
        <v>4980</v>
      </c>
      <c r="K151" s="361">
        <v>46198.471921296295</v>
      </c>
      <c r="L151" s="361">
        <v>46198.48746527778</v>
      </c>
      <c r="M151" s="361">
        <v>46198.48746527778</v>
      </c>
      <c r="N151" s="361">
        <v>46216.723379629628</v>
      </c>
      <c r="O151" s="361"/>
      <c r="P151" s="361"/>
      <c r="Q151" s="19"/>
      <c r="R151" s="12"/>
      <c r="S151" s="12"/>
      <c r="T151" s="12"/>
      <c r="U151" s="12"/>
      <c r="V151" s="12"/>
      <c r="W151" s="12"/>
      <c r="X151" s="12"/>
      <c r="Y151" s="12"/>
      <c r="Z151" s="12"/>
      <c r="AA151" s="12"/>
      <c r="AB151" s="12"/>
      <c r="AC151" s="12"/>
      <c r="AD151" s="12"/>
      <c r="AE151" s="12"/>
      <c r="AF151" s="12"/>
      <c r="AG151" s="12"/>
      <c r="AH151" s="12"/>
      <c r="AI151" s="12"/>
      <c r="AJ151" s="12"/>
      <c r="AK151" s="12"/>
    </row>
    <row r="152" spans="1:37" ht="15" customHeight="1">
      <c r="A152" s="12">
        <v>151</v>
      </c>
      <c r="B152" s="12" t="s">
        <v>26</v>
      </c>
      <c r="C152" s="12" t="s">
        <v>37</v>
      </c>
      <c r="D152" s="12" t="s">
        <v>208</v>
      </c>
      <c r="E152" s="12" t="s">
        <v>5241</v>
      </c>
      <c r="F152" s="12" t="s">
        <v>36</v>
      </c>
      <c r="G152" s="12" t="s">
        <v>208</v>
      </c>
      <c r="H152" s="363" t="s">
        <v>5245</v>
      </c>
      <c r="I152" s="182" t="s">
        <v>271</v>
      </c>
      <c r="J152" s="19" t="s">
        <v>4940</v>
      </c>
      <c r="K152" s="361">
        <v>46198.492812500001</v>
      </c>
      <c r="L152" s="361">
        <v>46198.494710648149</v>
      </c>
      <c r="M152" s="361">
        <v>46198.494710648149</v>
      </c>
      <c r="N152" s="361">
        <v>46208.643576388888</v>
      </c>
      <c r="O152" s="361"/>
      <c r="P152" s="361"/>
      <c r="Q152" s="19"/>
      <c r="R152" s="12"/>
      <c r="S152" s="12"/>
      <c r="T152" s="12"/>
      <c r="U152" s="12"/>
      <c r="V152" s="12"/>
      <c r="W152" s="12"/>
      <c r="X152" s="12"/>
      <c r="Y152" s="12"/>
      <c r="Z152" s="12"/>
      <c r="AA152" s="12"/>
      <c r="AB152" s="12"/>
      <c r="AC152" s="12"/>
      <c r="AD152" s="12"/>
      <c r="AE152" s="12"/>
      <c r="AF152" s="12"/>
      <c r="AG152" s="12"/>
      <c r="AH152" s="12"/>
      <c r="AI152" s="12"/>
      <c r="AJ152" s="12"/>
      <c r="AK152" s="12"/>
    </row>
    <row r="153" spans="1:37" ht="15" customHeight="1">
      <c r="A153" s="378">
        <v>152</v>
      </c>
      <c r="B153" s="12" t="s">
        <v>26</v>
      </c>
      <c r="C153" s="12" t="s">
        <v>37</v>
      </c>
      <c r="D153" s="12" t="s">
        <v>208</v>
      </c>
      <c r="E153" s="12" t="s">
        <v>5243</v>
      </c>
      <c r="F153" s="12" t="s">
        <v>36</v>
      </c>
      <c r="G153" s="12" t="s">
        <v>208</v>
      </c>
      <c r="H153" s="85" t="s">
        <v>5246</v>
      </c>
      <c r="I153" s="182" t="s">
        <v>271</v>
      </c>
      <c r="J153" s="19" t="s">
        <v>4928</v>
      </c>
      <c r="K153" s="361">
        <v>46198.61378472222</v>
      </c>
      <c r="L153" s="361">
        <v>46198.743958333333</v>
      </c>
      <c r="M153" s="361">
        <v>46198.743958333333</v>
      </c>
      <c r="N153" s="361">
        <v>46215.529131944444</v>
      </c>
      <c r="O153" s="361"/>
      <c r="P153" s="361"/>
      <c r="Q153" s="19"/>
      <c r="R153" s="12"/>
      <c r="S153" s="12"/>
      <c r="T153" s="12"/>
      <c r="U153" s="12"/>
      <c r="V153" s="12"/>
      <c r="W153" s="12"/>
      <c r="X153" s="12"/>
      <c r="Y153" s="12"/>
      <c r="Z153" s="12"/>
      <c r="AA153" s="12"/>
      <c r="AB153" s="12"/>
      <c r="AC153" s="12"/>
      <c r="AD153" s="12"/>
      <c r="AE153" s="12"/>
      <c r="AF153" s="12"/>
      <c r="AG153" s="12"/>
      <c r="AH153" s="12"/>
      <c r="AI153" s="12"/>
      <c r="AJ153" s="12"/>
      <c r="AK153" s="12"/>
    </row>
    <row r="154" spans="1:37" ht="15" customHeight="1">
      <c r="A154" s="12">
        <v>153</v>
      </c>
      <c r="B154" s="19" t="s">
        <v>26</v>
      </c>
      <c r="C154" s="19" t="s">
        <v>37</v>
      </c>
      <c r="D154" s="19" t="s">
        <v>207</v>
      </c>
      <c r="E154" s="19" t="s">
        <v>5247</v>
      </c>
      <c r="F154" s="19" t="s">
        <v>36</v>
      </c>
      <c r="G154" s="19">
        <v>4</v>
      </c>
      <c r="H154" s="19" t="s">
        <v>5248</v>
      </c>
      <c r="I154" s="182" t="s">
        <v>271</v>
      </c>
      <c r="J154" s="19" t="s">
        <v>4935</v>
      </c>
      <c r="K154" s="361">
        <v>46201.929189814815</v>
      </c>
      <c r="L154" s="361">
        <v>46209.686111111114</v>
      </c>
      <c r="M154" s="361">
        <v>46210.438194444447</v>
      </c>
      <c r="N154" s="361">
        <v>46212.01666666667</v>
      </c>
      <c r="O154" s="361">
        <v>46210.532638888886</v>
      </c>
      <c r="P154" s="361">
        <v>46210.438194444447</v>
      </c>
      <c r="Q154" s="19" t="s">
        <v>5249</v>
      </c>
      <c r="R154" s="19"/>
      <c r="S154" s="19"/>
      <c r="T154" s="19"/>
      <c r="U154" s="19" t="s">
        <v>371</v>
      </c>
      <c r="V154" s="19"/>
      <c r="W154" s="19"/>
      <c r="X154" s="19"/>
      <c r="Y154" s="19"/>
      <c r="Z154" s="19"/>
      <c r="AA154" s="19"/>
      <c r="AB154" s="19"/>
      <c r="AC154" s="19"/>
      <c r="AD154" s="19"/>
      <c r="AE154" s="19"/>
      <c r="AF154" s="19"/>
      <c r="AG154" s="19"/>
      <c r="AH154" s="19"/>
      <c r="AI154" s="19"/>
      <c r="AJ154" s="19"/>
      <c r="AK154" s="12"/>
    </row>
    <row r="155" spans="1:37" ht="15" customHeight="1">
      <c r="A155" s="12">
        <v>154</v>
      </c>
      <c r="B155" s="19" t="s">
        <v>26</v>
      </c>
      <c r="C155" s="19" t="s">
        <v>37</v>
      </c>
      <c r="D155" s="19" t="s">
        <v>207</v>
      </c>
      <c r="E155" s="19" t="s">
        <v>5250</v>
      </c>
      <c r="F155" s="19" t="s">
        <v>36</v>
      </c>
      <c r="G155" s="19">
        <v>4</v>
      </c>
      <c r="H155" s="19" t="s">
        <v>5251</v>
      </c>
      <c r="I155" s="182" t="s">
        <v>271</v>
      </c>
      <c r="J155" s="19" t="s">
        <v>4924</v>
      </c>
      <c r="K155" s="361">
        <v>46202.700173611112</v>
      </c>
      <c r="L155" s="361">
        <v>46204.524305555555</v>
      </c>
      <c r="M155" s="361">
        <v>46204.536111111112</v>
      </c>
      <c r="N155" s="361">
        <v>46206.65</v>
      </c>
      <c r="O155" s="361">
        <v>46205.521527777775</v>
      </c>
      <c r="P155" s="361">
        <v>46205.578472222223</v>
      </c>
      <c r="Q155" s="19" t="s">
        <v>5025</v>
      </c>
      <c r="R155" s="19"/>
      <c r="S155" s="19"/>
      <c r="T155" s="19"/>
      <c r="U155" s="19" t="s">
        <v>371</v>
      </c>
      <c r="V155" s="19"/>
      <c r="W155" s="19"/>
      <c r="X155" s="19"/>
      <c r="Y155" s="19"/>
      <c r="Z155" s="19"/>
      <c r="AA155" s="19"/>
      <c r="AB155" s="19"/>
      <c r="AC155" s="19"/>
      <c r="AD155" s="19"/>
      <c r="AE155" s="19"/>
      <c r="AF155" s="19"/>
      <c r="AG155" s="19"/>
      <c r="AH155" s="19"/>
      <c r="AI155" s="19"/>
      <c r="AJ155" s="19"/>
      <c r="AK155" s="12"/>
    </row>
    <row r="156" spans="1:37" ht="15" customHeight="1">
      <c r="A156" s="12">
        <v>155</v>
      </c>
      <c r="B156" s="19" t="s">
        <v>26</v>
      </c>
      <c r="C156" s="19" t="s">
        <v>37</v>
      </c>
      <c r="D156" s="19" t="s">
        <v>207</v>
      </c>
      <c r="E156" s="19" t="s">
        <v>5252</v>
      </c>
      <c r="F156" s="19" t="s">
        <v>36</v>
      </c>
      <c r="G156" s="19">
        <v>4</v>
      </c>
      <c r="H156" s="19" t="s">
        <v>5253</v>
      </c>
      <c r="I156" s="182" t="s">
        <v>271</v>
      </c>
      <c r="J156" s="19" t="s">
        <v>4924</v>
      </c>
      <c r="K156" s="361">
        <v>46202.912824074076</v>
      </c>
      <c r="L156" s="361">
        <v>46205.694444444445</v>
      </c>
      <c r="M156" s="361">
        <v>46205.736805555556</v>
      </c>
      <c r="N156" s="361">
        <v>46210.470138888886</v>
      </c>
      <c r="O156" s="361">
        <v>46206.651388888888</v>
      </c>
      <c r="P156" s="361">
        <v>46209.813194444447</v>
      </c>
      <c r="Q156" s="19" t="s">
        <v>5013</v>
      </c>
      <c r="R156" s="19"/>
      <c r="S156" s="19"/>
      <c r="T156" s="19"/>
      <c r="U156" s="19" t="s">
        <v>371</v>
      </c>
      <c r="V156" s="19"/>
      <c r="W156" s="19"/>
      <c r="X156" s="19"/>
      <c r="Y156" s="19"/>
      <c r="Z156" s="19"/>
      <c r="AA156" s="19"/>
      <c r="AB156" s="19"/>
      <c r="AC156" s="19"/>
      <c r="AD156" s="19"/>
      <c r="AE156" s="19"/>
      <c r="AF156" s="19"/>
      <c r="AG156" s="19"/>
      <c r="AH156" s="19"/>
      <c r="AI156" s="19"/>
      <c r="AJ156" s="19"/>
      <c r="AK156" s="12"/>
    </row>
    <row r="157" spans="1:37" ht="15" customHeight="1">
      <c r="A157" s="12">
        <v>156</v>
      </c>
      <c r="B157" s="19" t="s">
        <v>26</v>
      </c>
      <c r="C157" s="19" t="s">
        <v>37</v>
      </c>
      <c r="D157" s="19" t="s">
        <v>207</v>
      </c>
      <c r="E157" s="19" t="s">
        <v>5254</v>
      </c>
      <c r="F157" s="19" t="s">
        <v>36</v>
      </c>
      <c r="G157" s="19">
        <v>4</v>
      </c>
      <c r="H157" s="19" t="s">
        <v>5255</v>
      </c>
      <c r="I157" s="182" t="s">
        <v>271</v>
      </c>
      <c r="J157" s="19" t="s">
        <v>4928</v>
      </c>
      <c r="K157" s="361">
        <v>46203.112870370373</v>
      </c>
      <c r="L157" s="361">
        <v>46203.112500000003</v>
      </c>
      <c r="M157" s="361">
        <v>46203.319444444445</v>
      </c>
      <c r="N157" s="361">
        <v>46206.523611111108</v>
      </c>
      <c r="O157" s="361">
        <v>46203.656944444447</v>
      </c>
      <c r="P157" s="361">
        <v>46205.657638888886</v>
      </c>
      <c r="Q157" s="19" t="s">
        <v>4925</v>
      </c>
      <c r="R157" s="19"/>
      <c r="S157" s="19"/>
      <c r="T157" s="19"/>
      <c r="U157" s="19" t="s">
        <v>371</v>
      </c>
      <c r="V157" s="19"/>
      <c r="W157" s="19"/>
      <c r="X157" s="19"/>
      <c r="Y157" s="19"/>
      <c r="Z157" s="19"/>
      <c r="AA157" s="19"/>
      <c r="AB157" s="19"/>
      <c r="AC157" s="19"/>
      <c r="AD157" s="19"/>
      <c r="AE157" s="19"/>
      <c r="AF157" s="19"/>
      <c r="AG157" s="19"/>
      <c r="AH157" s="19"/>
      <c r="AI157" s="19"/>
      <c r="AJ157" s="19"/>
      <c r="AK157" s="12"/>
    </row>
    <row r="158" spans="1:37" ht="15" customHeight="1">
      <c r="A158" s="378">
        <v>157</v>
      </c>
      <c r="B158" s="12" t="s">
        <v>26</v>
      </c>
      <c r="C158" s="12" t="s">
        <v>37</v>
      </c>
      <c r="D158" s="12" t="s">
        <v>208</v>
      </c>
      <c r="E158" s="12" t="s">
        <v>5256</v>
      </c>
      <c r="F158" s="12" t="s">
        <v>36</v>
      </c>
      <c r="G158" s="12" t="s">
        <v>208</v>
      </c>
      <c r="H158" s="334" t="s">
        <v>5257</v>
      </c>
      <c r="I158" s="182" t="s">
        <v>271</v>
      </c>
      <c r="J158" s="208" t="s">
        <v>4943</v>
      </c>
      <c r="K158" s="361">
        <v>46203.45684027778</v>
      </c>
      <c r="L158" s="361">
        <v>46203.45684027778</v>
      </c>
      <c r="M158" s="361">
        <v>46203.45684027778</v>
      </c>
      <c r="N158" s="361">
        <v>46203.463692129626</v>
      </c>
      <c r="O158" s="361"/>
      <c r="P158" s="361"/>
      <c r="Q158" s="12"/>
      <c r="R158" s="12"/>
      <c r="S158" s="12"/>
      <c r="T158" s="12"/>
      <c r="U158" s="12" t="s">
        <v>371</v>
      </c>
      <c r="V158" s="12"/>
      <c r="W158" s="336" t="s">
        <v>5246</v>
      </c>
      <c r="X158" s="12"/>
      <c r="Y158" s="12"/>
      <c r="Z158" s="12"/>
      <c r="AA158" s="12"/>
      <c r="AB158" s="12"/>
      <c r="AC158" s="12"/>
      <c r="AD158" s="12"/>
      <c r="AE158" s="12"/>
      <c r="AF158" s="12"/>
      <c r="AG158" s="12"/>
      <c r="AH158" s="12"/>
      <c r="AI158" s="12"/>
      <c r="AJ158" s="12"/>
      <c r="AK158" s="12"/>
    </row>
    <row r="159" spans="1:37" ht="15" customHeight="1">
      <c r="A159" s="12">
        <v>158</v>
      </c>
      <c r="B159" s="12" t="s">
        <v>26</v>
      </c>
      <c r="C159" s="12" t="s">
        <v>37</v>
      </c>
      <c r="D159" s="12" t="s">
        <v>208</v>
      </c>
      <c r="E159" s="12" t="s">
        <v>5258</v>
      </c>
      <c r="F159" s="12" t="s">
        <v>36</v>
      </c>
      <c r="G159" s="12" t="s">
        <v>208</v>
      </c>
      <c r="H159" s="334" t="s">
        <v>5259</v>
      </c>
      <c r="I159" s="182" t="s">
        <v>271</v>
      </c>
      <c r="J159" s="208" t="s">
        <v>4943</v>
      </c>
      <c r="K159" s="361">
        <v>46204.485300925924</v>
      </c>
      <c r="L159" s="361">
        <v>46203.45684027778</v>
      </c>
      <c r="M159" s="361">
        <v>46204.554444444446</v>
      </c>
      <c r="N159" s="361">
        <v>46216.501157407409</v>
      </c>
      <c r="O159" s="361"/>
      <c r="P159" s="361"/>
      <c r="Q159" s="12"/>
      <c r="R159" s="12"/>
      <c r="S159" s="12"/>
      <c r="T159" s="12"/>
      <c r="U159" s="12" t="s">
        <v>371</v>
      </c>
      <c r="V159" s="12"/>
      <c r="W159" s="336" t="s">
        <v>5246</v>
      </c>
      <c r="X159" s="12"/>
      <c r="Y159" s="12"/>
      <c r="Z159" s="12"/>
      <c r="AA159" s="12"/>
      <c r="AB159" s="12"/>
      <c r="AC159" s="12"/>
      <c r="AD159" s="12"/>
      <c r="AE159" s="12"/>
      <c r="AF159" s="12"/>
      <c r="AG159" s="12"/>
      <c r="AH159" s="12"/>
      <c r="AI159" s="12"/>
      <c r="AJ159" s="12"/>
      <c r="AK159" s="12"/>
    </row>
    <row r="160" spans="1:37" ht="15" customHeight="1">
      <c r="A160" s="12">
        <v>159</v>
      </c>
      <c r="B160" s="19" t="s">
        <v>26</v>
      </c>
      <c r="C160" s="19" t="s">
        <v>37</v>
      </c>
      <c r="D160" s="19" t="s">
        <v>207</v>
      </c>
      <c r="E160" s="19" t="s">
        <v>5260</v>
      </c>
      <c r="F160" s="19" t="s">
        <v>36</v>
      </c>
      <c r="G160" s="19">
        <v>4</v>
      </c>
      <c r="H160" s="19" t="s">
        <v>5261</v>
      </c>
      <c r="I160" s="182" t="s">
        <v>271</v>
      </c>
      <c r="J160" s="19" t="s">
        <v>4943</v>
      </c>
      <c r="K160" s="361">
        <v>46204.644444444442</v>
      </c>
      <c r="L160" s="361">
        <v>46209.706944444442</v>
      </c>
      <c r="M160" s="361">
        <v>46210.438194444447</v>
      </c>
      <c r="N160" s="361">
        <v>46219.937557870369</v>
      </c>
      <c r="O160" s="361">
        <v>46212.539583333331</v>
      </c>
      <c r="P160" s="361">
        <v>46210.438194444447</v>
      </c>
      <c r="Q160" s="19" t="s">
        <v>4925</v>
      </c>
      <c r="R160" s="19"/>
      <c r="S160" s="19"/>
      <c r="T160" s="19"/>
      <c r="U160" s="19" t="s">
        <v>371</v>
      </c>
      <c r="V160" s="19"/>
      <c r="W160" s="19"/>
      <c r="X160" s="19"/>
      <c r="Y160" s="19"/>
      <c r="Z160" s="19"/>
      <c r="AA160" s="19"/>
      <c r="AB160" s="19"/>
      <c r="AC160" s="19"/>
      <c r="AD160" s="19"/>
      <c r="AE160" s="19"/>
      <c r="AF160" s="19"/>
      <c r="AG160" s="19"/>
      <c r="AH160" s="19"/>
      <c r="AI160" s="19"/>
      <c r="AJ160" s="19"/>
      <c r="AK160" s="12"/>
    </row>
    <row r="161" spans="1:37" ht="15" customHeight="1">
      <c r="A161" s="12">
        <v>160</v>
      </c>
      <c r="B161" s="19" t="s">
        <v>26</v>
      </c>
      <c r="C161" s="19" t="s">
        <v>37</v>
      </c>
      <c r="D161" s="19" t="s">
        <v>207</v>
      </c>
      <c r="E161" s="19" t="s">
        <v>5262</v>
      </c>
      <c r="F161" s="19" t="s">
        <v>36</v>
      </c>
      <c r="G161" s="19">
        <v>4</v>
      </c>
      <c r="H161" s="19" t="s">
        <v>5263</v>
      </c>
      <c r="I161" s="182" t="s">
        <v>271</v>
      </c>
      <c r="J161" s="19" t="s">
        <v>4928</v>
      </c>
      <c r="K161" s="361">
        <v>46205.726388888892</v>
      </c>
      <c r="L161" s="361">
        <v>46205.727083333331</v>
      </c>
      <c r="M161" s="361">
        <v>46205.737500000003</v>
      </c>
      <c r="N161" s="361">
        <v>46212.532638888886</v>
      </c>
      <c r="O161" s="361"/>
      <c r="P161" s="361"/>
      <c r="Q161" s="19" t="s">
        <v>4925</v>
      </c>
      <c r="R161" s="19"/>
      <c r="S161" s="19"/>
      <c r="T161" s="19"/>
      <c r="U161" s="19" t="s">
        <v>371</v>
      </c>
      <c r="V161" s="19"/>
      <c r="W161" s="19"/>
      <c r="X161" s="19"/>
      <c r="Y161" s="19"/>
      <c r="Z161" s="19"/>
      <c r="AA161" s="19"/>
      <c r="AB161" s="19"/>
      <c r="AC161" s="19"/>
      <c r="AD161" s="19"/>
      <c r="AE161" s="19"/>
      <c r="AF161" s="19"/>
      <c r="AG161" s="19"/>
      <c r="AH161" s="19"/>
      <c r="AI161" s="19"/>
      <c r="AJ161" s="19"/>
      <c r="AK161" s="12"/>
    </row>
    <row r="162" spans="1:37" ht="15" customHeight="1">
      <c r="A162" s="12">
        <v>161</v>
      </c>
      <c r="B162" s="12" t="s">
        <v>26</v>
      </c>
      <c r="C162" s="12" t="s">
        <v>37</v>
      </c>
      <c r="D162" s="12" t="s">
        <v>208</v>
      </c>
      <c r="E162" s="12" t="s">
        <v>5264</v>
      </c>
      <c r="F162" s="12" t="s">
        <v>36</v>
      </c>
      <c r="G162" s="12" t="s">
        <v>208</v>
      </c>
      <c r="H162" s="363" t="s">
        <v>5265</v>
      </c>
      <c r="I162" s="182" t="s">
        <v>271</v>
      </c>
      <c r="J162" s="19" t="s">
        <v>4935</v>
      </c>
      <c r="K162" s="361">
        <v>46206.495636574073</v>
      </c>
      <c r="L162" s="361">
        <v>46206.51053240741</v>
      </c>
      <c r="M162" s="361">
        <v>46206.51053240741</v>
      </c>
      <c r="N162" s="361">
        <v>46216.501157407409</v>
      </c>
      <c r="O162" s="361"/>
      <c r="P162" s="361"/>
      <c r="Q162" s="19"/>
      <c r="R162" s="12"/>
      <c r="S162" s="12"/>
      <c r="T162" s="12"/>
      <c r="U162" s="12"/>
      <c r="V162" s="12"/>
      <c r="W162" s="12"/>
      <c r="X162" s="12"/>
      <c r="Y162" s="12"/>
      <c r="Z162" s="12"/>
      <c r="AA162" s="12"/>
      <c r="AB162" s="12"/>
      <c r="AC162" s="12"/>
      <c r="AD162" s="12"/>
      <c r="AE162" s="12"/>
      <c r="AF162" s="12"/>
      <c r="AG162" s="12"/>
      <c r="AH162" s="12"/>
      <c r="AI162" s="12"/>
      <c r="AJ162" s="12"/>
      <c r="AK162" s="12"/>
    </row>
    <row r="163" spans="1:37" ht="15" customHeight="1">
      <c r="A163" s="378">
        <v>162</v>
      </c>
      <c r="B163" s="19" t="s">
        <v>26</v>
      </c>
      <c r="C163" s="19" t="s">
        <v>37</v>
      </c>
      <c r="D163" s="19" t="s">
        <v>207</v>
      </c>
      <c r="E163" s="19" t="s">
        <v>5266</v>
      </c>
      <c r="F163" s="19" t="s">
        <v>36</v>
      </c>
      <c r="G163" s="19">
        <v>4</v>
      </c>
      <c r="H163" s="19" t="s">
        <v>5267</v>
      </c>
      <c r="I163" s="182" t="s">
        <v>271</v>
      </c>
      <c r="J163" s="19" t="s">
        <v>4940</v>
      </c>
      <c r="K163" s="361">
        <v>46206.688888888886</v>
      </c>
      <c r="L163" s="361">
        <v>46211.623611111114</v>
      </c>
      <c r="M163" s="361">
        <v>46211.655555555553</v>
      </c>
      <c r="N163" s="361">
        <v>46212.588888888888</v>
      </c>
      <c r="O163" s="361">
        <v>46211.65625</v>
      </c>
      <c r="P163" s="361">
        <v>46212.086805555555</v>
      </c>
      <c r="Q163" s="19" t="s">
        <v>4925</v>
      </c>
      <c r="R163" s="19"/>
      <c r="S163" s="19"/>
      <c r="T163" s="19"/>
      <c r="U163" s="19" t="s">
        <v>371</v>
      </c>
      <c r="V163" s="19"/>
      <c r="W163" s="19"/>
      <c r="X163" s="19"/>
      <c r="Y163" s="19"/>
      <c r="Z163" s="19"/>
      <c r="AA163" s="19"/>
      <c r="AB163" s="19"/>
      <c r="AC163" s="19"/>
      <c r="AD163" s="19"/>
      <c r="AE163" s="19"/>
      <c r="AF163" s="19"/>
      <c r="AG163" s="19"/>
      <c r="AH163" s="19"/>
      <c r="AI163" s="19"/>
      <c r="AJ163" s="19"/>
      <c r="AK163" s="12"/>
    </row>
    <row r="164" spans="1:37" s="45" customFormat="1" ht="15" customHeight="1">
      <c r="A164" s="12">
        <v>163</v>
      </c>
      <c r="B164" s="383" t="s">
        <v>26</v>
      </c>
      <c r="C164" s="383" t="s">
        <v>37</v>
      </c>
      <c r="D164" s="383" t="s">
        <v>207</v>
      </c>
      <c r="E164" s="383" t="s">
        <v>5268</v>
      </c>
      <c r="F164" s="383" t="s">
        <v>36</v>
      </c>
      <c r="G164" s="383">
        <v>4</v>
      </c>
      <c r="H164" s="383" t="s">
        <v>5269</v>
      </c>
      <c r="I164" s="380" t="s">
        <v>260</v>
      </c>
      <c r="J164" s="383" t="s">
        <v>4928</v>
      </c>
      <c r="K164" s="381">
        <v>46206.837500000001</v>
      </c>
      <c r="L164" s="381">
        <v>46206.840277777781</v>
      </c>
      <c r="M164" s="381">
        <v>46209.443055555559</v>
      </c>
      <c r="N164" s="381"/>
      <c r="O164" s="381">
        <v>46230.654861111114</v>
      </c>
      <c r="P164" s="381">
        <v>46230.752083333333</v>
      </c>
      <c r="Q164" s="383" t="s">
        <v>4930</v>
      </c>
      <c r="R164" s="383"/>
      <c r="S164" s="383"/>
      <c r="T164" s="383"/>
      <c r="U164" s="383" t="s">
        <v>371</v>
      </c>
      <c r="V164" s="383"/>
      <c r="W164" s="383"/>
      <c r="X164" s="383"/>
      <c r="Y164" s="383"/>
      <c r="Z164" s="383"/>
      <c r="AA164" s="383"/>
      <c r="AB164" s="383"/>
      <c r="AC164" s="383"/>
      <c r="AD164" s="383"/>
      <c r="AE164" s="383"/>
      <c r="AF164" s="383"/>
      <c r="AG164" s="383"/>
      <c r="AH164" s="383"/>
      <c r="AI164" s="383"/>
      <c r="AJ164" s="383"/>
      <c r="AK164" s="378"/>
    </row>
    <row r="165" spans="1:37" ht="15" customHeight="1">
      <c r="A165" s="12">
        <v>164</v>
      </c>
      <c r="B165" s="12" t="s">
        <v>26</v>
      </c>
      <c r="C165" s="12" t="s">
        <v>37</v>
      </c>
      <c r="D165" s="12" t="s">
        <v>207</v>
      </c>
      <c r="E165" s="182" t="s">
        <v>5270</v>
      </c>
      <c r="F165" s="12" t="s">
        <v>36</v>
      </c>
      <c r="G165" s="12">
        <v>4</v>
      </c>
      <c r="H165" s="208" t="s">
        <v>1598</v>
      </c>
      <c r="I165" s="182" t="s">
        <v>271</v>
      </c>
      <c r="J165" s="208" t="s">
        <v>4940</v>
      </c>
      <c r="K165" s="361">
        <v>46209.471909722219</v>
      </c>
      <c r="L165" s="361">
        <v>46209.471979166665</v>
      </c>
      <c r="M165" s="361">
        <v>46240.335173611114</v>
      </c>
      <c r="N165" s="361">
        <v>46271.712210648147</v>
      </c>
      <c r="O165" s="361">
        <v>46271.338854166665</v>
      </c>
      <c r="P165" s="361">
        <v>46271.712210648147</v>
      </c>
      <c r="Q165" s="182" t="s">
        <v>4925</v>
      </c>
      <c r="R165" s="12"/>
      <c r="S165" s="12"/>
      <c r="T165" s="12"/>
      <c r="U165" s="12" t="s">
        <v>371</v>
      </c>
      <c r="V165" s="12"/>
      <c r="W165" s="12"/>
      <c r="X165" s="12"/>
      <c r="Y165" s="12"/>
      <c r="Z165" s="167">
        <f ca="1">IF(NOT(OR(G165=1,G165=2)),MAX(0,_xlfn.IFS(AND(K165&lt;&gt;"",N165&lt;&gt;""),((MAX(NETWORKDAYS(K165,N165,UKBankHolidays)-1,0))*(TIME(17,0,0)-TIME(8,0,0))+IF(NETWORKDAYS(N165,N165,UKBankHolidays)&gt;0,MEDIAN(TIME(8,0,0),MOD(N165,1),TIME(17,0,0)),TIME(8,0,0))-IF(NETWORKDAYS(K165,K165,UKBankHolidays)&gt;0,MEDIAN(TIME(8,0,0),MOD(K165,1),TIME(17,0,0)),TIME(8,0,0)))-IF(AND(O165&lt;&gt;"",P165&lt;&gt;""),((MAX(NETWORKDAYS(O165,P165,UKBankHolidays)-1,0))*(TIME(17,0,0)-TIME(8,0,0))+IF(NETWORKDAYS(P165,P165,UKBankHolidays)&gt;0,MEDIAN(TIME(8,0,0),MOD(P165,1),TIME(17,0,0)),TIME(8,0,0))-IF(NETWORKDAYS(O165,O165,UKBankHolidays)&gt;0,MEDIAN(TIME(8,0,0),MOD(O165,1),TIME(17,0,0)),TIME(8,0,0))),0),AND(K165&lt;&gt;"",N165=""),((MAX(NETWORKDAYS(K165,NOW(),UKBankHolidays)-1,0))*(TIME(17,0,0)-TIME(8,0,0))+IF(NETWORKDAYS(NOW(),NOW(),UKBankHolidays)&gt;0,MEDIAN(TIME(8,0,0),MOD(NOW(),1),TIME(17,0,0)),TIME(8,0,0))-IF(NETWORKDAYS(K165,K165,UKBankHolidays)&gt;0,MEDIAN(TIME(8,0,0),MOD(K165,1),TIME(17,0,0)),TIME(8,0,0))))),IF(N165="",NOW()-K165,N165-K165))</f>
        <v>15.986423611114638</v>
      </c>
      <c r="AA165" s="12"/>
      <c r="AB165" s="12"/>
      <c r="AC165" s="12"/>
      <c r="AD165" s="12"/>
      <c r="AE165" s="12"/>
      <c r="AF165" s="12"/>
      <c r="AG165" s="12"/>
      <c r="AH165" s="12"/>
      <c r="AI165" s="12"/>
      <c r="AJ165" s="12"/>
      <c r="AK165" s="12"/>
    </row>
    <row r="166" spans="1:37" ht="15" customHeight="1">
      <c r="A166" s="12">
        <v>165</v>
      </c>
      <c r="B166" s="19" t="s">
        <v>26</v>
      </c>
      <c r="C166" s="19" t="s">
        <v>37</v>
      </c>
      <c r="D166" s="19" t="s">
        <v>207</v>
      </c>
      <c r="E166" s="19" t="s">
        <v>5271</v>
      </c>
      <c r="F166" s="19" t="s">
        <v>36</v>
      </c>
      <c r="G166" s="19">
        <v>4</v>
      </c>
      <c r="H166" s="19" t="s">
        <v>5272</v>
      </c>
      <c r="I166" s="182" t="s">
        <v>271</v>
      </c>
      <c r="J166" s="19" t="s">
        <v>4924</v>
      </c>
      <c r="K166" s="361">
        <v>46209.515277777777</v>
      </c>
      <c r="L166" s="361">
        <v>46209.515277777777</v>
      </c>
      <c r="M166" s="361">
        <v>46210.438888888886</v>
      </c>
      <c r="N166" s="361">
        <v>46219.9375462963</v>
      </c>
      <c r="O166" s="361"/>
      <c r="P166" s="361">
        <v>46212.456944444442</v>
      </c>
      <c r="Q166" s="19" t="s">
        <v>4925</v>
      </c>
      <c r="R166" s="19"/>
      <c r="S166" s="19"/>
      <c r="T166" s="19"/>
      <c r="U166" s="19" t="s">
        <v>371</v>
      </c>
      <c r="V166" s="19"/>
      <c r="W166" s="19"/>
      <c r="X166" s="19"/>
      <c r="Y166" s="19"/>
      <c r="Z166" s="19"/>
      <c r="AA166" s="19"/>
      <c r="AB166" s="19"/>
      <c r="AC166" s="19"/>
      <c r="AD166" s="19"/>
      <c r="AE166" s="19"/>
      <c r="AF166" s="19"/>
      <c r="AG166" s="19"/>
      <c r="AH166" s="19"/>
      <c r="AI166" s="19"/>
      <c r="AJ166" s="19"/>
      <c r="AK166" s="12"/>
    </row>
    <row r="167" spans="1:37" ht="15" customHeight="1">
      <c r="A167" s="12">
        <v>166</v>
      </c>
      <c r="B167" s="12" t="s">
        <v>26</v>
      </c>
      <c r="C167" s="12" t="s">
        <v>37</v>
      </c>
      <c r="D167" s="12" t="s">
        <v>208</v>
      </c>
      <c r="E167" s="12" t="s">
        <v>5273</v>
      </c>
      <c r="F167" s="12" t="s">
        <v>36</v>
      </c>
      <c r="G167" s="12" t="s">
        <v>208</v>
      </c>
      <c r="H167" s="12" t="s">
        <v>5274</v>
      </c>
      <c r="I167" s="182" t="s">
        <v>271</v>
      </c>
      <c r="J167" s="19" t="s">
        <v>4924</v>
      </c>
      <c r="K167" s="361">
        <v>46209.92832175926</v>
      </c>
      <c r="L167" s="361"/>
      <c r="M167" s="361">
        <v>46210.551817129628</v>
      </c>
      <c r="N167" s="361">
        <v>46219.420208333337</v>
      </c>
      <c r="O167" s="361"/>
      <c r="P167" s="361"/>
      <c r="Q167" s="19"/>
      <c r="R167" s="12"/>
      <c r="S167" s="12"/>
      <c r="T167" s="12"/>
      <c r="U167" s="12"/>
      <c r="V167" s="12"/>
      <c r="W167" s="12"/>
      <c r="X167" s="12"/>
      <c r="Y167" s="12"/>
      <c r="Z167" s="12"/>
      <c r="AA167" s="12"/>
      <c r="AB167" s="12"/>
      <c r="AC167" s="12"/>
      <c r="AD167" s="12"/>
      <c r="AE167" s="12"/>
      <c r="AF167" s="12"/>
      <c r="AG167" s="12"/>
      <c r="AH167" s="12"/>
      <c r="AI167" s="12"/>
      <c r="AJ167" s="12"/>
      <c r="AK167" s="12"/>
    </row>
    <row r="168" spans="1:37" ht="15" customHeight="1">
      <c r="A168" s="378">
        <v>167</v>
      </c>
      <c r="B168" s="19" t="s">
        <v>26</v>
      </c>
      <c r="C168" s="19" t="s">
        <v>37</v>
      </c>
      <c r="D168" s="19" t="s">
        <v>207</v>
      </c>
      <c r="E168" s="19" t="s">
        <v>5275</v>
      </c>
      <c r="F168" s="19" t="s">
        <v>36</v>
      </c>
      <c r="G168" s="19">
        <v>4</v>
      </c>
      <c r="H168" s="19" t="s">
        <v>5276</v>
      </c>
      <c r="I168" s="182" t="s">
        <v>271</v>
      </c>
      <c r="J168" s="19" t="s">
        <v>4924</v>
      </c>
      <c r="K168" s="361">
        <v>46210.105555555558</v>
      </c>
      <c r="L168" s="361">
        <v>46211.810416666667</v>
      </c>
      <c r="M168" s="361">
        <v>46212.309027777781</v>
      </c>
      <c r="N168" s="361">
        <v>46216.483900462961</v>
      </c>
      <c r="O168" s="361">
        <v>46212.458333333336</v>
      </c>
      <c r="P168" s="361">
        <v>46216.118750000001</v>
      </c>
      <c r="Q168" s="19" t="s">
        <v>4925</v>
      </c>
      <c r="R168" s="19"/>
      <c r="S168" s="19"/>
      <c r="T168" s="19"/>
      <c r="U168" s="19" t="s">
        <v>371</v>
      </c>
      <c r="V168" s="19"/>
      <c r="W168" s="19"/>
      <c r="X168" s="19"/>
      <c r="Y168" s="19"/>
      <c r="Z168" s="19"/>
      <c r="AA168" s="19"/>
      <c r="AB168" s="19"/>
      <c r="AC168" s="19"/>
      <c r="AD168" s="19"/>
      <c r="AE168" s="19"/>
      <c r="AF168" s="19"/>
      <c r="AG168" s="19"/>
      <c r="AH168" s="19"/>
      <c r="AI168" s="19"/>
      <c r="AJ168" s="19"/>
      <c r="AK168" s="12"/>
    </row>
    <row r="169" spans="1:37" s="330" customFormat="1" ht="15" customHeight="1">
      <c r="A169" s="12">
        <v>168</v>
      </c>
      <c r="B169" s="19" t="s">
        <v>26</v>
      </c>
      <c r="C169" s="19" t="s">
        <v>37</v>
      </c>
      <c r="D169" s="19" t="s">
        <v>207</v>
      </c>
      <c r="E169" s="19" t="s">
        <v>5277</v>
      </c>
      <c r="F169" s="19" t="s">
        <v>36</v>
      </c>
      <c r="G169" s="19">
        <v>4</v>
      </c>
      <c r="H169" s="19" t="s">
        <v>5278</v>
      </c>
      <c r="I169" s="182" t="s">
        <v>271</v>
      </c>
      <c r="J169" s="19" t="s">
        <v>4924</v>
      </c>
      <c r="K169" s="361">
        <v>46210.440972222219</v>
      </c>
      <c r="L169" s="361">
        <v>46210.440972222219</v>
      </c>
      <c r="M169" s="361">
        <v>46210.456250000003</v>
      </c>
      <c r="N169" s="361"/>
      <c r="O169" s="361">
        <v>46230.556250000001</v>
      </c>
      <c r="P169" s="361">
        <v>46228.894444444442</v>
      </c>
      <c r="Q169" s="19" t="s">
        <v>5279</v>
      </c>
      <c r="R169" s="19"/>
      <c r="S169" s="19"/>
      <c r="T169" s="19"/>
      <c r="U169" s="19" t="s">
        <v>371</v>
      </c>
      <c r="V169" s="19"/>
      <c r="W169" s="19"/>
      <c r="X169" s="19"/>
      <c r="Y169" s="19"/>
      <c r="Z169" s="19"/>
      <c r="AA169" s="19"/>
      <c r="AB169" s="19"/>
      <c r="AC169" s="19"/>
      <c r="AD169" s="19"/>
      <c r="AE169" s="19"/>
      <c r="AF169" s="19"/>
      <c r="AG169" s="19"/>
      <c r="AH169" s="19"/>
      <c r="AI169" s="19"/>
      <c r="AJ169" s="19"/>
      <c r="AK169" s="19"/>
    </row>
    <row r="170" spans="1:37" s="330" customFormat="1" ht="15" customHeight="1">
      <c r="A170" s="12">
        <v>169</v>
      </c>
      <c r="B170" s="19" t="s">
        <v>26</v>
      </c>
      <c r="C170" s="19" t="s">
        <v>37</v>
      </c>
      <c r="D170" s="19" t="s">
        <v>207</v>
      </c>
      <c r="E170" s="19" t="s">
        <v>5280</v>
      </c>
      <c r="F170" s="19" t="s">
        <v>36</v>
      </c>
      <c r="G170" s="19">
        <v>4</v>
      </c>
      <c r="H170" s="19" t="s">
        <v>5281</v>
      </c>
      <c r="I170" s="182" t="s">
        <v>271</v>
      </c>
      <c r="J170" s="19" t="s">
        <v>4935</v>
      </c>
      <c r="K170" s="361">
        <v>46211.667361111111</v>
      </c>
      <c r="L170" s="361">
        <v>46212.311805555553</v>
      </c>
      <c r="M170" s="361">
        <v>46213.359722222223</v>
      </c>
      <c r="N170" s="361">
        <v>46220.937638888892</v>
      </c>
      <c r="O170" s="361">
        <v>46213.446527777778</v>
      </c>
      <c r="P170" s="361">
        <v>46213.359722222223</v>
      </c>
      <c r="Q170" s="19" t="s">
        <v>5282</v>
      </c>
      <c r="R170" s="19"/>
      <c r="S170" s="19"/>
      <c r="T170" s="19"/>
      <c r="U170" s="19" t="s">
        <v>371</v>
      </c>
      <c r="V170" s="19"/>
      <c r="W170" s="19"/>
      <c r="X170" s="19"/>
      <c r="Y170" s="19"/>
      <c r="Z170" s="19"/>
      <c r="AA170" s="19"/>
      <c r="AB170" s="19"/>
      <c r="AC170" s="19"/>
      <c r="AD170" s="19"/>
      <c r="AE170" s="19"/>
      <c r="AF170" s="19"/>
      <c r="AG170" s="19"/>
      <c r="AH170" s="19"/>
      <c r="AI170" s="19"/>
      <c r="AJ170" s="19"/>
      <c r="AK170" s="19"/>
    </row>
    <row r="171" spans="1:37" s="330" customFormat="1" ht="15" customHeight="1">
      <c r="A171" s="12">
        <v>170</v>
      </c>
      <c r="B171" s="19" t="s">
        <v>26</v>
      </c>
      <c r="C171" s="19" t="s">
        <v>37</v>
      </c>
      <c r="D171" s="19" t="s">
        <v>207</v>
      </c>
      <c r="E171" s="19" t="s">
        <v>5283</v>
      </c>
      <c r="F171" s="19" t="s">
        <v>36</v>
      </c>
      <c r="G171" s="19">
        <v>4</v>
      </c>
      <c r="H171" s="19" t="s">
        <v>5148</v>
      </c>
      <c r="I171" s="182" t="s">
        <v>271</v>
      </c>
      <c r="J171" s="19" t="s">
        <v>4940</v>
      </c>
      <c r="K171" s="361">
        <v>46211.750694444447</v>
      </c>
      <c r="L171" s="361">
        <v>46211.911111111112</v>
      </c>
      <c r="M171" s="361">
        <v>46212.311805555553</v>
      </c>
      <c r="N171" s="361">
        <v>46212.667361111111</v>
      </c>
      <c r="O171" s="361">
        <v>46212.419444444444</v>
      </c>
      <c r="P171" s="361">
        <v>46212.663888888892</v>
      </c>
      <c r="Q171" s="19" t="s">
        <v>4925</v>
      </c>
      <c r="R171" s="19"/>
      <c r="S171" s="19"/>
      <c r="T171" s="19"/>
      <c r="U171" s="19" t="s">
        <v>371</v>
      </c>
      <c r="V171" s="19"/>
      <c r="W171" s="19"/>
      <c r="X171" s="19"/>
      <c r="Y171" s="19"/>
      <c r="Z171" s="19"/>
      <c r="AA171" s="19"/>
      <c r="AB171" s="19"/>
      <c r="AC171" s="19"/>
      <c r="AD171" s="19"/>
      <c r="AE171" s="19"/>
      <c r="AF171" s="19"/>
      <c r="AG171" s="19"/>
      <c r="AH171" s="19"/>
      <c r="AI171" s="19"/>
      <c r="AJ171" s="19"/>
      <c r="AK171" s="19"/>
    </row>
    <row r="172" spans="1:37" s="330" customFormat="1" ht="15" customHeight="1">
      <c r="A172" s="12">
        <v>171</v>
      </c>
      <c r="B172" s="19" t="s">
        <v>26</v>
      </c>
      <c r="C172" s="19" t="s">
        <v>37</v>
      </c>
      <c r="D172" s="19" t="s">
        <v>207</v>
      </c>
      <c r="E172" s="19" t="s">
        <v>5284</v>
      </c>
      <c r="F172" s="19" t="s">
        <v>36</v>
      </c>
      <c r="G172" s="19">
        <v>4</v>
      </c>
      <c r="H172" s="19" t="s">
        <v>5285</v>
      </c>
      <c r="I172" s="182" t="s">
        <v>271</v>
      </c>
      <c r="J172" s="19" t="s">
        <v>4940</v>
      </c>
      <c r="K172" s="361">
        <v>46212.277777777781</v>
      </c>
      <c r="L172" s="361">
        <v>46212.277777777781</v>
      </c>
      <c r="M172" s="361">
        <v>46212.277777777781</v>
      </c>
      <c r="N172" s="361">
        <v>46230.438611111109</v>
      </c>
      <c r="O172" s="361"/>
      <c r="P172" s="361"/>
      <c r="Q172" s="19"/>
      <c r="R172" s="19"/>
      <c r="S172" s="19"/>
      <c r="T172" s="19"/>
      <c r="U172" s="19"/>
      <c r="V172" s="19"/>
      <c r="W172" s="19"/>
      <c r="X172" s="19"/>
      <c r="Y172" s="19"/>
      <c r="Z172" s="19"/>
      <c r="AA172" s="19"/>
      <c r="AB172" s="19"/>
      <c r="AC172" s="19"/>
      <c r="AD172" s="19"/>
      <c r="AE172" s="19"/>
      <c r="AF172" s="19"/>
      <c r="AG172" s="19"/>
      <c r="AH172" s="19"/>
      <c r="AI172" s="19"/>
      <c r="AJ172" s="19"/>
      <c r="AK172" s="19"/>
    </row>
    <row r="173" spans="1:37" s="330" customFormat="1" ht="15" customHeight="1">
      <c r="A173" s="378">
        <v>172</v>
      </c>
      <c r="B173" s="19" t="s">
        <v>26</v>
      </c>
      <c r="C173" s="19" t="s">
        <v>37</v>
      </c>
      <c r="D173" s="19" t="s">
        <v>207</v>
      </c>
      <c r="E173" s="19" t="s">
        <v>5286</v>
      </c>
      <c r="F173" s="19"/>
      <c r="G173" s="19">
        <v>4</v>
      </c>
      <c r="H173" s="19" t="s">
        <v>5287</v>
      </c>
      <c r="I173" s="182" t="s">
        <v>271</v>
      </c>
      <c r="J173" s="19" t="s">
        <v>4940</v>
      </c>
      <c r="K173" s="361">
        <v>46212.656944444447</v>
      </c>
      <c r="L173" s="361">
        <v>46212.656944444447</v>
      </c>
      <c r="M173" s="361">
        <v>46212.656944444447</v>
      </c>
      <c r="N173" s="361">
        <v>46223.748472222222</v>
      </c>
      <c r="O173" s="361"/>
      <c r="P173" s="361"/>
      <c r="Q173" s="19"/>
      <c r="R173" s="19"/>
      <c r="S173" s="19"/>
      <c r="T173" s="19"/>
      <c r="U173" s="19"/>
      <c r="V173" s="19"/>
      <c r="W173" s="19"/>
      <c r="X173" s="19"/>
      <c r="Y173" s="19"/>
      <c r="Z173" s="19"/>
      <c r="AA173" s="19"/>
      <c r="AB173" s="19"/>
      <c r="AC173" s="19"/>
      <c r="AD173" s="19"/>
      <c r="AE173" s="19"/>
      <c r="AF173" s="19"/>
      <c r="AG173" s="19"/>
      <c r="AH173" s="19"/>
      <c r="AI173" s="19"/>
      <c r="AJ173" s="19"/>
      <c r="AK173" s="19"/>
    </row>
    <row r="174" spans="1:37" s="330" customFormat="1" ht="15" customHeight="1">
      <c r="A174" s="12">
        <v>173</v>
      </c>
      <c r="B174" s="19" t="s">
        <v>26</v>
      </c>
      <c r="C174" s="19" t="s">
        <v>37</v>
      </c>
      <c r="D174" s="19" t="s">
        <v>207</v>
      </c>
      <c r="E174" s="19" t="s">
        <v>5288</v>
      </c>
      <c r="F174" s="19" t="s">
        <v>36</v>
      </c>
      <c r="G174" s="19">
        <v>4</v>
      </c>
      <c r="H174" s="19" t="s">
        <v>5289</v>
      </c>
      <c r="I174" s="182" t="s">
        <v>271</v>
      </c>
      <c r="J174" s="19" t="s">
        <v>4943</v>
      </c>
      <c r="K174" s="361">
        <v>46212.683333333334</v>
      </c>
      <c r="L174" s="361">
        <v>46225.461805555555</v>
      </c>
      <c r="M174" s="361">
        <v>46225.481249999997</v>
      </c>
      <c r="N174" s="361">
        <v>46231.445833333331</v>
      </c>
      <c r="O174" s="361"/>
      <c r="P174" s="361">
        <v>46231.445833333331</v>
      </c>
      <c r="Q174" s="19" t="s">
        <v>4925</v>
      </c>
      <c r="R174" s="19"/>
      <c r="S174" s="19"/>
      <c r="T174" s="19"/>
      <c r="U174" s="19" t="s">
        <v>371</v>
      </c>
      <c r="V174" s="19"/>
      <c r="W174" s="19"/>
      <c r="X174" s="19"/>
      <c r="Y174" s="19"/>
      <c r="Z174" s="19"/>
      <c r="AA174" s="19"/>
      <c r="AB174" s="19"/>
      <c r="AC174" s="19"/>
      <c r="AD174" s="19"/>
      <c r="AE174" s="19"/>
      <c r="AF174" s="19"/>
      <c r="AG174" s="19"/>
      <c r="AH174" s="19"/>
      <c r="AI174" s="19"/>
      <c r="AJ174" s="19"/>
      <c r="AK174" s="19"/>
    </row>
    <row r="175" spans="1:37" ht="15" customHeight="1">
      <c r="A175" s="12">
        <v>174</v>
      </c>
      <c r="B175" s="19" t="s">
        <v>26</v>
      </c>
      <c r="C175" s="19" t="s">
        <v>37</v>
      </c>
      <c r="D175" s="19" t="s">
        <v>207</v>
      </c>
      <c r="E175" s="19" t="s">
        <v>5290</v>
      </c>
      <c r="F175" s="19" t="s">
        <v>36</v>
      </c>
      <c r="G175" s="19">
        <v>4</v>
      </c>
      <c r="H175" s="19" t="s">
        <v>5291</v>
      </c>
      <c r="I175" s="182" t="s">
        <v>271</v>
      </c>
      <c r="J175" s="19" t="s">
        <v>5292</v>
      </c>
      <c r="K175" s="361">
        <v>46212.683333333334</v>
      </c>
      <c r="L175" s="361">
        <v>46212.683333333334</v>
      </c>
      <c r="M175" s="361">
        <v>46212.683333333334</v>
      </c>
      <c r="N175" s="361">
        <v>46231.446250000001</v>
      </c>
      <c r="O175" s="361"/>
      <c r="P175" s="361"/>
      <c r="Q175" s="19" t="s">
        <v>4925</v>
      </c>
      <c r="R175" s="19"/>
      <c r="S175" s="19"/>
      <c r="T175" s="19"/>
      <c r="U175" s="19"/>
      <c r="V175" s="19"/>
      <c r="W175" s="19"/>
      <c r="X175" s="19"/>
      <c r="Y175" s="19"/>
      <c r="Z175" s="19"/>
      <c r="AA175" s="19"/>
      <c r="AB175" s="19"/>
      <c r="AC175" s="19"/>
      <c r="AD175" s="19"/>
      <c r="AE175" s="19"/>
      <c r="AF175" s="19"/>
      <c r="AG175" s="19"/>
      <c r="AH175" s="19"/>
      <c r="AI175" s="19"/>
      <c r="AJ175" s="19"/>
      <c r="AK175" s="19"/>
    </row>
    <row r="176" spans="1:37" s="330" customFormat="1" ht="15" customHeight="1">
      <c r="A176" s="12">
        <v>175</v>
      </c>
      <c r="B176" s="12" t="s">
        <v>26</v>
      </c>
      <c r="C176" s="12" t="s">
        <v>37</v>
      </c>
      <c r="D176" s="12" t="s">
        <v>208</v>
      </c>
      <c r="E176" s="12" t="s">
        <v>5293</v>
      </c>
      <c r="F176" s="12" t="s">
        <v>36</v>
      </c>
      <c r="G176" s="12" t="s">
        <v>208</v>
      </c>
      <c r="H176" s="85" t="s">
        <v>5294</v>
      </c>
      <c r="I176" s="182" t="s">
        <v>271</v>
      </c>
      <c r="J176" s="12" t="s">
        <v>4940</v>
      </c>
      <c r="K176" s="361">
        <v>46213.758483796293</v>
      </c>
      <c r="L176" s="361">
        <v>46216.325578703705</v>
      </c>
      <c r="M176" s="361">
        <v>46216.325578703705</v>
      </c>
      <c r="N176" s="361">
        <v>46220.532488425924</v>
      </c>
      <c r="O176" s="361"/>
      <c r="P176" s="361"/>
      <c r="Q176" s="12"/>
      <c r="R176" s="12"/>
      <c r="S176" s="12"/>
      <c r="T176" s="12"/>
      <c r="U176" s="12"/>
      <c r="V176" s="12"/>
      <c r="W176" s="12"/>
      <c r="X176" s="12"/>
      <c r="Y176" s="12"/>
      <c r="Z176" s="12"/>
      <c r="AA176" s="12"/>
      <c r="AB176" s="12"/>
      <c r="AC176" s="12"/>
      <c r="AD176" s="12"/>
      <c r="AE176" s="12"/>
      <c r="AF176" s="12"/>
      <c r="AG176" s="12"/>
      <c r="AH176" s="12"/>
      <c r="AI176" s="12"/>
      <c r="AJ176" s="12"/>
      <c r="AK176" s="19"/>
    </row>
    <row r="177" spans="1:37" s="330" customFormat="1" ht="15" customHeight="1">
      <c r="A177" s="12">
        <v>176</v>
      </c>
      <c r="B177" s="12" t="s">
        <v>26</v>
      </c>
      <c r="C177" s="12" t="s">
        <v>37</v>
      </c>
      <c r="D177" s="12" t="s">
        <v>208</v>
      </c>
      <c r="E177" s="12" t="s">
        <v>5295</v>
      </c>
      <c r="F177" s="12" t="s">
        <v>36</v>
      </c>
      <c r="G177" s="12" t="s">
        <v>208</v>
      </c>
      <c r="H177" s="85" t="s">
        <v>5296</v>
      </c>
      <c r="I177" s="182" t="s">
        <v>271</v>
      </c>
      <c r="J177" s="12" t="s">
        <v>4928</v>
      </c>
      <c r="K177" s="361">
        <v>46213.760081018518</v>
      </c>
      <c r="L177" s="361">
        <v>46216.433217592596</v>
      </c>
      <c r="M177" s="361">
        <v>46221.463043981479</v>
      </c>
      <c r="N177" s="361">
        <v>46221.463043981479</v>
      </c>
      <c r="O177" s="361"/>
      <c r="P177" s="361"/>
      <c r="Q177" s="98" t="s">
        <v>5131</v>
      </c>
      <c r="R177" s="12"/>
      <c r="S177" s="12"/>
      <c r="T177" s="12"/>
      <c r="U177" s="12"/>
      <c r="V177" s="12"/>
      <c r="W177" s="12"/>
      <c r="X177" s="12"/>
      <c r="Y177" s="12"/>
      <c r="Z177" s="12"/>
      <c r="AA177" s="12"/>
      <c r="AB177" s="12"/>
      <c r="AC177" s="12"/>
      <c r="AD177" s="12"/>
      <c r="AE177" s="12"/>
      <c r="AF177" s="12"/>
      <c r="AG177" s="12"/>
      <c r="AH177" s="12"/>
      <c r="AI177" s="12"/>
      <c r="AJ177" s="12"/>
      <c r="AK177" s="19"/>
    </row>
    <row r="178" spans="1:37" s="329" customFormat="1" ht="15" customHeight="1">
      <c r="A178" s="378">
        <v>177</v>
      </c>
      <c r="B178" t="s">
        <v>26</v>
      </c>
      <c r="C178" t="s">
        <v>37</v>
      </c>
      <c r="D178" t="s">
        <v>207</v>
      </c>
      <c r="E178" t="s">
        <v>5297</v>
      </c>
      <c r="F178" t="s">
        <v>36</v>
      </c>
      <c r="G178">
        <v>4</v>
      </c>
      <c r="H178" t="s">
        <v>5298</v>
      </c>
      <c r="I178" s="380" t="s">
        <v>260</v>
      </c>
      <c r="J178" t="s">
        <v>4940</v>
      </c>
      <c r="K178" s="381">
        <v>46216.320694444446</v>
      </c>
      <c r="L178" s="381">
        <v>46216.320694444446</v>
      </c>
      <c r="M178" s="381">
        <v>46216.320694444446</v>
      </c>
      <c r="N178" s="381">
        <v>46216.359571759262</v>
      </c>
      <c r="O178" s="381"/>
      <c r="P178" s="381"/>
      <c r="Q178" t="s">
        <v>4999</v>
      </c>
      <c r="R178"/>
      <c r="S178"/>
      <c r="T178"/>
      <c r="U178"/>
      <c r="V178"/>
      <c r="W178"/>
      <c r="X178"/>
      <c r="Y178"/>
      <c r="Z178"/>
      <c r="AA178"/>
      <c r="AB178"/>
      <c r="AC178"/>
      <c r="AD178"/>
      <c r="AE178"/>
      <c r="AF178"/>
      <c r="AG178"/>
      <c r="AH178"/>
      <c r="AI178"/>
      <c r="AJ178"/>
      <c r="AK178"/>
    </row>
    <row r="179" spans="1:37" s="330" customFormat="1" ht="15" customHeight="1">
      <c r="A179" s="12">
        <v>178</v>
      </c>
      <c r="B179" s="19" t="s">
        <v>26</v>
      </c>
      <c r="C179" s="19" t="s">
        <v>37</v>
      </c>
      <c r="D179" s="19" t="s">
        <v>207</v>
      </c>
      <c r="E179" s="19" t="s">
        <v>5299</v>
      </c>
      <c r="F179" s="19" t="s">
        <v>36</v>
      </c>
      <c r="G179" s="19">
        <v>4</v>
      </c>
      <c r="H179" s="19" t="s">
        <v>5300</v>
      </c>
      <c r="I179" s="182" t="s">
        <v>271</v>
      </c>
      <c r="J179" s="19" t="s">
        <v>4924</v>
      </c>
      <c r="K179" s="361">
        <v>46216.320868055554</v>
      </c>
      <c r="L179" s="361">
        <v>46216.320868055554</v>
      </c>
      <c r="M179" s="361">
        <v>46216.320868055554</v>
      </c>
      <c r="N179" s="361">
        <v>46216.358113425929</v>
      </c>
      <c r="O179" s="361"/>
      <c r="P179" s="361"/>
      <c r="Q179" s="19" t="s">
        <v>4999</v>
      </c>
      <c r="R179" s="19"/>
      <c r="S179" s="19"/>
      <c r="T179" s="19"/>
      <c r="U179" s="19"/>
      <c r="V179" s="19"/>
      <c r="W179" s="19"/>
      <c r="X179" s="19"/>
      <c r="Y179" s="19"/>
      <c r="Z179" s="19"/>
      <c r="AA179" s="19"/>
      <c r="AB179" s="19"/>
      <c r="AC179" s="19"/>
      <c r="AD179" s="19"/>
      <c r="AE179" s="19"/>
      <c r="AF179" s="19"/>
      <c r="AG179" s="19"/>
      <c r="AH179" s="19"/>
      <c r="AI179" s="19"/>
      <c r="AJ179" s="19"/>
      <c r="AK179" s="19"/>
    </row>
    <row r="180" spans="1:37" s="330" customFormat="1" ht="15" customHeight="1">
      <c r="A180" s="12">
        <v>179</v>
      </c>
      <c r="B180" s="19" t="s">
        <v>26</v>
      </c>
      <c r="C180" s="19" t="s">
        <v>37</v>
      </c>
      <c r="D180" s="19" t="s">
        <v>207</v>
      </c>
      <c r="E180" s="19" t="s">
        <v>5301</v>
      </c>
      <c r="F180" s="19" t="s">
        <v>36</v>
      </c>
      <c r="G180" s="19">
        <v>4</v>
      </c>
      <c r="H180" s="19" t="s">
        <v>5302</v>
      </c>
      <c r="I180" s="182" t="s">
        <v>271</v>
      </c>
      <c r="J180" s="19" t="s">
        <v>4940</v>
      </c>
      <c r="K180" s="361">
        <v>46216.578159722223</v>
      </c>
      <c r="L180" s="361">
        <v>46216.578159722223</v>
      </c>
      <c r="M180" s="361">
        <v>46216.578159722223</v>
      </c>
      <c r="N180" s="361">
        <v>46225.394814814812</v>
      </c>
      <c r="O180" s="361"/>
      <c r="P180" s="361"/>
      <c r="Q180" s="19" t="s">
        <v>4930</v>
      </c>
      <c r="R180" s="19"/>
      <c r="S180" s="19"/>
      <c r="T180" s="19"/>
      <c r="U180" s="19"/>
      <c r="V180" s="19"/>
      <c r="W180" s="19"/>
      <c r="X180" s="19"/>
      <c r="Y180" s="19"/>
      <c r="Z180" s="19"/>
      <c r="AA180" s="19"/>
      <c r="AB180" s="19"/>
      <c r="AC180" s="19"/>
      <c r="AD180" s="19"/>
      <c r="AE180" s="19"/>
      <c r="AF180" s="19"/>
      <c r="AG180" s="19"/>
      <c r="AH180" s="19"/>
      <c r="AI180" s="19"/>
      <c r="AJ180" s="19"/>
      <c r="AK180" s="19"/>
    </row>
    <row r="181" spans="1:37" s="330" customFormat="1" ht="15" customHeight="1">
      <c r="A181" s="12">
        <v>180</v>
      </c>
      <c r="B181" s="19" t="s">
        <v>26</v>
      </c>
      <c r="C181" s="19" t="s">
        <v>37</v>
      </c>
      <c r="D181" s="19" t="s">
        <v>207</v>
      </c>
      <c r="E181" s="19" t="s">
        <v>5303</v>
      </c>
      <c r="F181" s="19" t="s">
        <v>36</v>
      </c>
      <c r="G181" s="19">
        <v>4</v>
      </c>
      <c r="H181" s="19" t="s">
        <v>5304</v>
      </c>
      <c r="I181" s="182" t="s">
        <v>271</v>
      </c>
      <c r="J181" s="19" t="s">
        <v>4924</v>
      </c>
      <c r="K181" s="361">
        <v>46216.72320601852</v>
      </c>
      <c r="L181" s="361">
        <v>46216.72320601852</v>
      </c>
      <c r="M181" s="361">
        <v>46216.72320601852</v>
      </c>
      <c r="N181" s="361">
        <v>46230.46912037037</v>
      </c>
      <c r="O181" s="361"/>
      <c r="P181" s="361"/>
      <c r="Q181" s="19" t="s">
        <v>4930</v>
      </c>
      <c r="R181" s="19"/>
      <c r="S181" s="19"/>
      <c r="T181" s="19"/>
      <c r="U181" s="19"/>
      <c r="V181" s="19"/>
      <c r="W181" s="19"/>
      <c r="X181" s="19"/>
      <c r="Y181" s="19"/>
      <c r="Z181" s="19"/>
      <c r="AA181" s="19"/>
      <c r="AB181" s="19"/>
      <c r="AC181" s="19"/>
      <c r="AD181" s="19"/>
      <c r="AE181" s="19"/>
      <c r="AF181" s="19"/>
      <c r="AG181" s="19"/>
      <c r="AH181" s="19"/>
      <c r="AI181" s="19"/>
      <c r="AJ181" s="19"/>
      <c r="AK181" s="19"/>
    </row>
    <row r="182" spans="1:37" s="330" customFormat="1" ht="15" customHeight="1">
      <c r="A182" s="12">
        <v>181</v>
      </c>
      <c r="B182" s="19" t="s">
        <v>26</v>
      </c>
      <c r="C182" s="19" t="s">
        <v>37</v>
      </c>
      <c r="D182" s="19" t="s">
        <v>207</v>
      </c>
      <c r="E182" s="19" t="s">
        <v>5305</v>
      </c>
      <c r="F182" s="19" t="s">
        <v>36</v>
      </c>
      <c r="G182" s="19">
        <v>4</v>
      </c>
      <c r="H182" s="19" t="s">
        <v>5306</v>
      </c>
      <c r="I182" s="182" t="s">
        <v>271</v>
      </c>
      <c r="J182" s="19" t="s">
        <v>4928</v>
      </c>
      <c r="K182" s="361">
        <v>46217.72420138889</v>
      </c>
      <c r="L182" s="361">
        <v>46217.72420138889</v>
      </c>
      <c r="M182" s="361">
        <v>46217.72420138889</v>
      </c>
      <c r="N182" s="361"/>
      <c r="O182" s="361"/>
      <c r="P182" s="361"/>
      <c r="Q182" s="19"/>
      <c r="R182" s="19"/>
      <c r="S182" s="19"/>
      <c r="T182" s="19"/>
      <c r="U182" s="19"/>
      <c r="V182" s="19"/>
      <c r="W182" s="19"/>
      <c r="X182" s="19"/>
      <c r="Y182" s="19"/>
      <c r="Z182" s="19"/>
      <c r="AA182" s="19"/>
      <c r="AB182" s="19"/>
      <c r="AC182" s="19"/>
      <c r="AD182" s="19"/>
      <c r="AE182" s="19"/>
      <c r="AF182" s="19"/>
      <c r="AG182" s="19"/>
      <c r="AH182" s="19"/>
      <c r="AI182" s="19"/>
      <c r="AJ182" s="19"/>
      <c r="AK182" s="19"/>
    </row>
    <row r="183" spans="1:37" s="330" customFormat="1" ht="15" customHeight="1">
      <c r="A183" s="378">
        <v>182</v>
      </c>
      <c r="B183" s="19" t="s">
        <v>26</v>
      </c>
      <c r="C183" s="19" t="s">
        <v>37</v>
      </c>
      <c r="D183" s="19" t="s">
        <v>207</v>
      </c>
      <c r="E183" s="19" t="s">
        <v>5307</v>
      </c>
      <c r="F183" s="19" t="s">
        <v>36</v>
      </c>
      <c r="G183" s="19">
        <v>4</v>
      </c>
      <c r="H183" s="19" t="s">
        <v>5308</v>
      </c>
      <c r="I183" s="182" t="s">
        <v>271</v>
      </c>
      <c r="J183" s="19" t="s">
        <v>4943</v>
      </c>
      <c r="K183" s="361">
        <v>46218.517361111109</v>
      </c>
      <c r="L183" s="361">
        <v>46225.461111111108</v>
      </c>
      <c r="M183" s="361">
        <v>46225.480555555558</v>
      </c>
      <c r="N183" s="361">
        <v>46234.438888888886</v>
      </c>
      <c r="O183" s="361"/>
      <c r="P183" s="361">
        <v>46234.438888888886</v>
      </c>
      <c r="Q183" s="19" t="s">
        <v>4925</v>
      </c>
      <c r="R183" s="19"/>
      <c r="S183" s="19"/>
      <c r="T183" s="19"/>
      <c r="U183" s="19" t="s">
        <v>371</v>
      </c>
      <c r="V183" s="19"/>
      <c r="W183" s="19"/>
      <c r="X183" s="19"/>
      <c r="Y183" s="19"/>
      <c r="Z183" s="19"/>
      <c r="AA183" s="19"/>
      <c r="AB183" s="19"/>
      <c r="AC183" s="19"/>
      <c r="AD183" s="19"/>
      <c r="AE183" s="19"/>
      <c r="AF183" s="19"/>
      <c r="AG183" s="19"/>
      <c r="AH183" s="19"/>
      <c r="AI183" s="19"/>
      <c r="AJ183" s="19"/>
      <c r="AK183" s="19"/>
    </row>
    <row r="184" spans="1:37" s="391" customFormat="1" ht="15" customHeight="1">
      <c r="A184" s="12">
        <v>183</v>
      </c>
      <c r="B184" t="s">
        <v>26</v>
      </c>
      <c r="C184" t="s">
        <v>37</v>
      </c>
      <c r="D184" t="s">
        <v>207</v>
      </c>
      <c r="E184" t="s">
        <v>5309</v>
      </c>
      <c r="F184" t="s">
        <v>36</v>
      </c>
      <c r="G184">
        <v>4</v>
      </c>
      <c r="H184" t="s">
        <v>5310</v>
      </c>
      <c r="I184" s="380" t="s">
        <v>266</v>
      </c>
      <c r="J184" t="s">
        <v>4980</v>
      </c>
      <c r="K184" s="381">
        <v>46218.517731481479</v>
      </c>
      <c r="L184" s="381">
        <v>46218.517731481479</v>
      </c>
      <c r="M184" s="381">
        <v>46218.517731481479</v>
      </c>
      <c r="N184" s="381">
        <v>46234.439456018517</v>
      </c>
      <c r="O184" s="381"/>
      <c r="P184" s="381"/>
      <c r="Q184" t="s">
        <v>4925</v>
      </c>
      <c r="R184"/>
      <c r="S184"/>
      <c r="T184"/>
      <c r="U184"/>
      <c r="V184"/>
      <c r="W184"/>
      <c r="X184"/>
      <c r="Y184"/>
      <c r="Z184"/>
      <c r="AA184"/>
      <c r="AB184"/>
      <c r="AC184"/>
      <c r="AD184"/>
      <c r="AE184"/>
      <c r="AF184"/>
      <c r="AG184"/>
      <c r="AH184"/>
      <c r="AI184"/>
      <c r="AJ184"/>
      <c r="AK184"/>
    </row>
    <row r="185" spans="1:37" s="330" customFormat="1" ht="15" customHeight="1">
      <c r="A185" s="12">
        <v>184</v>
      </c>
      <c r="B185" s="19" t="s">
        <v>26</v>
      </c>
      <c r="C185" s="19" t="s">
        <v>37</v>
      </c>
      <c r="D185" s="19" t="s">
        <v>207</v>
      </c>
      <c r="E185" s="19" t="s">
        <v>5311</v>
      </c>
      <c r="F185" s="19" t="s">
        <v>36</v>
      </c>
      <c r="G185" s="19">
        <v>4</v>
      </c>
      <c r="H185" s="19" t="s">
        <v>5312</v>
      </c>
      <c r="I185" s="182" t="s">
        <v>271</v>
      </c>
      <c r="J185" s="19" t="s">
        <v>4943</v>
      </c>
      <c r="K185" s="361">
        <v>46221.704861111109</v>
      </c>
      <c r="L185" s="361">
        <v>46221.704861111109</v>
      </c>
      <c r="M185" s="361">
        <v>46223.175694444442</v>
      </c>
      <c r="N185" s="361">
        <v>46224.427083333336</v>
      </c>
      <c r="O185" s="361"/>
      <c r="P185" s="361">
        <v>46224.427083333336</v>
      </c>
      <c r="Q185" s="19" t="s">
        <v>5313</v>
      </c>
      <c r="R185" s="19"/>
      <c r="S185" s="19"/>
      <c r="T185" s="19"/>
      <c r="U185" s="19" t="s">
        <v>371</v>
      </c>
      <c r="V185" s="19"/>
      <c r="W185" s="19"/>
      <c r="X185" s="19"/>
      <c r="Y185" s="19"/>
      <c r="Z185" s="19"/>
      <c r="AA185" s="19"/>
      <c r="AB185" s="19"/>
      <c r="AC185" s="19"/>
      <c r="AD185" s="19"/>
      <c r="AE185" s="19"/>
      <c r="AF185" s="19"/>
      <c r="AG185" s="19"/>
      <c r="AH185" s="19"/>
      <c r="AI185" s="19"/>
      <c r="AJ185" s="19"/>
      <c r="AK185" s="19"/>
    </row>
    <row r="186" spans="1:37" s="330" customFormat="1" ht="15" customHeight="1">
      <c r="A186" s="12">
        <v>185</v>
      </c>
      <c r="B186" s="12" t="s">
        <v>26</v>
      </c>
      <c r="C186" s="12" t="s">
        <v>37</v>
      </c>
      <c r="D186" s="12" t="s">
        <v>208</v>
      </c>
      <c r="E186" s="12" t="s">
        <v>5314</v>
      </c>
      <c r="F186" s="12" t="s">
        <v>36</v>
      </c>
      <c r="G186" s="12" t="s">
        <v>208</v>
      </c>
      <c r="H186" s="85" t="s">
        <v>5315</v>
      </c>
      <c r="I186" s="182" t="s">
        <v>271</v>
      </c>
      <c r="J186" s="12" t="s">
        <v>4935</v>
      </c>
      <c r="K186" s="361">
        <v>46221.783148148148</v>
      </c>
      <c r="L186" s="361">
        <v>46223.598969907405</v>
      </c>
      <c r="M186" s="361">
        <v>46223.601493055554</v>
      </c>
      <c r="N186" s="361">
        <v>46223.601493055554</v>
      </c>
      <c r="O186" s="361"/>
      <c r="P186" s="361"/>
      <c r="Q186" s="12"/>
      <c r="R186" s="12"/>
      <c r="S186" s="12"/>
      <c r="T186" s="12"/>
      <c r="U186" s="12"/>
      <c r="V186" s="12"/>
      <c r="W186" s="12"/>
      <c r="X186" s="12"/>
      <c r="Y186" s="12"/>
      <c r="Z186" s="12"/>
      <c r="AA186" s="12"/>
      <c r="AB186" s="12"/>
      <c r="AC186" s="12"/>
      <c r="AD186" s="12"/>
      <c r="AE186" s="12"/>
      <c r="AF186" s="12"/>
      <c r="AG186" s="12"/>
      <c r="AH186" s="12"/>
      <c r="AI186" s="12"/>
      <c r="AJ186" s="12"/>
      <c r="AK186" s="19"/>
    </row>
    <row r="187" spans="1:37" s="330" customFormat="1" ht="15" customHeight="1">
      <c r="A187" s="12">
        <v>186</v>
      </c>
      <c r="B187" s="19" t="s">
        <v>26</v>
      </c>
      <c r="C187" s="19" t="s">
        <v>37</v>
      </c>
      <c r="D187" s="19" t="s">
        <v>207</v>
      </c>
      <c r="E187" s="19" t="s">
        <v>5316</v>
      </c>
      <c r="F187" s="19" t="s">
        <v>36</v>
      </c>
      <c r="G187" s="19">
        <v>4</v>
      </c>
      <c r="H187" s="19" t="s">
        <v>5317</v>
      </c>
      <c r="I187" s="182" t="s">
        <v>271</v>
      </c>
      <c r="J187" s="19" t="s">
        <v>4935</v>
      </c>
      <c r="K187" s="361">
        <v>46222.580555555556</v>
      </c>
      <c r="L187" s="361">
        <v>46222.580555555556</v>
      </c>
      <c r="M187" s="361">
        <v>46223.177083333336</v>
      </c>
      <c r="N187" s="361">
        <v>46231.394444444442</v>
      </c>
      <c r="O187" s="361"/>
      <c r="P187" s="361">
        <v>46231.394444444442</v>
      </c>
      <c r="Q187" s="19" t="s">
        <v>4930</v>
      </c>
      <c r="R187" s="19"/>
      <c r="S187" s="19"/>
      <c r="T187" s="19"/>
      <c r="U187" s="19" t="s">
        <v>371</v>
      </c>
      <c r="V187" s="19"/>
      <c r="W187" s="19"/>
      <c r="X187" s="19"/>
      <c r="Y187" s="19"/>
      <c r="Z187" s="19"/>
      <c r="AA187" s="19"/>
      <c r="AB187" s="19"/>
      <c r="AC187" s="19"/>
      <c r="AD187" s="19"/>
      <c r="AE187" s="19"/>
      <c r="AF187" s="19"/>
      <c r="AG187" s="19"/>
      <c r="AH187" s="19"/>
      <c r="AI187" s="19"/>
      <c r="AJ187" s="19"/>
      <c r="AK187" s="19"/>
    </row>
    <row r="188" spans="1:37" s="330" customFormat="1" ht="15" customHeight="1">
      <c r="A188" s="378">
        <v>187</v>
      </c>
      <c r="B188" s="19" t="s">
        <v>26</v>
      </c>
      <c r="C188" s="19" t="s">
        <v>37</v>
      </c>
      <c r="D188" s="19" t="s">
        <v>207</v>
      </c>
      <c r="E188" s="19" t="s">
        <v>5318</v>
      </c>
      <c r="F188" s="19" t="s">
        <v>36</v>
      </c>
      <c r="G188" s="19">
        <v>4</v>
      </c>
      <c r="H188" s="19" t="s">
        <v>5319</v>
      </c>
      <c r="I188" s="182" t="s">
        <v>271</v>
      </c>
      <c r="J188" s="19" t="s">
        <v>4935</v>
      </c>
      <c r="K188" s="361">
        <v>46223.415277777778</v>
      </c>
      <c r="L188" s="361">
        <v>46227.49722222222</v>
      </c>
      <c r="M188" s="361">
        <v>46227.498611111114</v>
      </c>
      <c r="N188" s="361">
        <v>46234.311805555553</v>
      </c>
      <c r="O188" s="361">
        <v>46231.328472222223</v>
      </c>
      <c r="P188" s="361">
        <v>46234.311805555553</v>
      </c>
      <c r="Q188" s="19" t="s">
        <v>4930</v>
      </c>
      <c r="R188" s="19"/>
      <c r="S188" s="19"/>
      <c r="T188" s="19"/>
      <c r="U188" s="19" t="s">
        <v>371</v>
      </c>
      <c r="V188" s="19"/>
      <c r="W188" s="19"/>
      <c r="X188" s="19"/>
      <c r="Y188" s="19"/>
      <c r="Z188" s="19"/>
      <c r="AA188" s="19"/>
      <c r="AB188" s="19"/>
      <c r="AC188" s="19"/>
      <c r="AD188" s="19"/>
      <c r="AE188" s="19"/>
      <c r="AF188" s="19"/>
      <c r="AG188" s="19"/>
      <c r="AH188" s="19"/>
      <c r="AI188" s="19"/>
      <c r="AJ188" s="19"/>
      <c r="AK188" s="19"/>
    </row>
    <row r="189" spans="1:37" s="330" customFormat="1" ht="15" customHeight="1">
      <c r="A189" s="12">
        <v>188</v>
      </c>
      <c r="B189" s="19" t="s">
        <v>26</v>
      </c>
      <c r="C189" s="19" t="s">
        <v>37</v>
      </c>
      <c r="D189" s="19" t="s">
        <v>207</v>
      </c>
      <c r="E189" s="19" t="s">
        <v>5320</v>
      </c>
      <c r="F189" s="19" t="s">
        <v>36</v>
      </c>
      <c r="G189" s="19">
        <v>3</v>
      </c>
      <c r="H189" s="19" t="s">
        <v>5321</v>
      </c>
      <c r="I189" s="182" t="s">
        <v>271</v>
      </c>
      <c r="J189" s="19" t="s">
        <v>4943</v>
      </c>
      <c r="K189" s="361">
        <v>46223.455555555556</v>
      </c>
      <c r="L189" s="361">
        <v>46223.464583333334</v>
      </c>
      <c r="M189" s="361">
        <v>46224.227777777778</v>
      </c>
      <c r="N189" s="361">
        <v>46231.75</v>
      </c>
      <c r="O189" s="361">
        <v>46224.374305555553</v>
      </c>
      <c r="P189" s="361">
        <v>46231.75</v>
      </c>
      <c r="Q189" s="19"/>
      <c r="R189" s="19"/>
      <c r="S189" s="19"/>
      <c r="T189" s="19"/>
      <c r="U189" s="19" t="s">
        <v>371</v>
      </c>
      <c r="V189" s="19"/>
      <c r="W189" s="19"/>
      <c r="X189" s="19"/>
      <c r="Y189" s="19"/>
      <c r="Z189" s="19"/>
      <c r="AA189" s="19"/>
      <c r="AB189" s="19"/>
      <c r="AC189" s="19"/>
      <c r="AD189" s="19"/>
      <c r="AE189" s="19"/>
      <c r="AF189" s="19"/>
      <c r="AG189" s="19"/>
      <c r="AH189" s="19"/>
      <c r="AI189" s="19"/>
      <c r="AJ189" s="19"/>
      <c r="AK189" s="19"/>
    </row>
    <row r="190" spans="1:37" s="330" customFormat="1" ht="15" customHeight="1">
      <c r="A190" s="12">
        <v>189</v>
      </c>
      <c r="B190" s="19" t="s">
        <v>26</v>
      </c>
      <c r="C190" s="19" t="s">
        <v>37</v>
      </c>
      <c r="D190" s="19" t="s">
        <v>207</v>
      </c>
      <c r="E190" s="19" t="s">
        <v>5322</v>
      </c>
      <c r="F190" s="19" t="s">
        <v>36</v>
      </c>
      <c r="G190" s="19">
        <v>4</v>
      </c>
      <c r="H190" s="19" t="s">
        <v>5323</v>
      </c>
      <c r="I190" s="182" t="s">
        <v>271</v>
      </c>
      <c r="J190" s="19" t="s">
        <v>4928</v>
      </c>
      <c r="K190" s="361">
        <v>46223.533333333333</v>
      </c>
      <c r="L190" s="361">
        <v>46223.533333333333</v>
      </c>
      <c r="M190" s="361">
        <v>46224.15347222222</v>
      </c>
      <c r="N190" s="361">
        <v>46230.470138888886</v>
      </c>
      <c r="O190" s="361"/>
      <c r="P190" s="361">
        <v>46230.470138888886</v>
      </c>
      <c r="Q190" s="19" t="s">
        <v>4930</v>
      </c>
      <c r="R190" s="19"/>
      <c r="S190" s="19"/>
      <c r="T190" s="19"/>
      <c r="U190" s="19" t="s">
        <v>371</v>
      </c>
      <c r="V190" s="19"/>
      <c r="W190" s="19"/>
      <c r="X190" s="19"/>
      <c r="Y190" s="19"/>
      <c r="Z190" s="19"/>
      <c r="AA190" s="19"/>
      <c r="AB190" s="19"/>
      <c r="AC190" s="19"/>
      <c r="AD190" s="19"/>
      <c r="AE190" s="19"/>
      <c r="AF190" s="19"/>
      <c r="AG190" s="19"/>
      <c r="AH190" s="19"/>
      <c r="AI190" s="19"/>
      <c r="AJ190" s="19"/>
      <c r="AK190" s="19"/>
    </row>
    <row r="191" spans="1:37" s="330" customFormat="1" ht="15" customHeight="1">
      <c r="A191" s="12">
        <v>190</v>
      </c>
      <c r="B191" s="19" t="s">
        <v>26</v>
      </c>
      <c r="C191" s="19" t="s">
        <v>37</v>
      </c>
      <c r="D191" s="19" t="s">
        <v>207</v>
      </c>
      <c r="E191" s="19" t="s">
        <v>5324</v>
      </c>
      <c r="F191" s="19" t="s">
        <v>36</v>
      </c>
      <c r="G191" s="19">
        <v>4</v>
      </c>
      <c r="H191" s="19" t="s">
        <v>5325</v>
      </c>
      <c r="I191" s="182" t="s">
        <v>271</v>
      </c>
      <c r="J191" s="19" t="s">
        <v>4940</v>
      </c>
      <c r="K191" s="361">
        <v>46223.789583333331</v>
      </c>
      <c r="L191" s="361">
        <v>46224.535416666666</v>
      </c>
      <c r="M191" s="361">
        <v>46225.219444444447</v>
      </c>
      <c r="N191" s="361">
        <v>46232.75</v>
      </c>
      <c r="O191" s="361">
        <v>46225.227777777778</v>
      </c>
      <c r="P191" s="361">
        <v>46232.75</v>
      </c>
      <c r="Q191" s="19"/>
      <c r="R191" s="19"/>
      <c r="S191" s="19"/>
      <c r="T191" s="19"/>
      <c r="U191" s="19" t="s">
        <v>371</v>
      </c>
      <c r="V191" s="19"/>
      <c r="W191" s="19"/>
      <c r="X191" s="19"/>
      <c r="Y191" s="19"/>
      <c r="Z191" s="19"/>
      <c r="AA191" s="19"/>
      <c r="AB191" s="19"/>
      <c r="AC191" s="19"/>
      <c r="AD191" s="19"/>
      <c r="AE191" s="19"/>
      <c r="AF191" s="19"/>
      <c r="AG191" s="19"/>
      <c r="AH191" s="19"/>
      <c r="AI191" s="19"/>
      <c r="AJ191" s="19"/>
      <c r="AK191" s="19"/>
    </row>
    <row r="192" spans="1:37" s="391" customFormat="1" ht="15" customHeight="1">
      <c r="A192" s="12">
        <v>191</v>
      </c>
      <c r="B192" t="s">
        <v>26</v>
      </c>
      <c r="C192" t="s">
        <v>37</v>
      </c>
      <c r="D192" t="s">
        <v>207</v>
      </c>
      <c r="E192" t="s">
        <v>5326</v>
      </c>
      <c r="F192" t="s">
        <v>36</v>
      </c>
      <c r="G192">
        <v>4</v>
      </c>
      <c r="H192" t="s">
        <v>5327</v>
      </c>
      <c r="I192" s="380" t="s">
        <v>266</v>
      </c>
      <c r="J192" t="s">
        <v>4980</v>
      </c>
      <c r="K192" s="381">
        <v>46225.728472222225</v>
      </c>
      <c r="L192" s="381">
        <v>46225.728472222225</v>
      </c>
      <c r="M192" s="381">
        <v>46226.202777777777</v>
      </c>
      <c r="N192" s="381"/>
      <c r="O192" s="381">
        <v>46230.270833333336</v>
      </c>
      <c r="P192" s="381"/>
      <c r="Q192"/>
      <c r="R192"/>
      <c r="S192"/>
      <c r="T192"/>
      <c r="U192" t="s">
        <v>371</v>
      </c>
      <c r="V192"/>
      <c r="W192"/>
      <c r="X192"/>
      <c r="Y192"/>
      <c r="Z192"/>
      <c r="AA192"/>
      <c r="AB192"/>
      <c r="AC192"/>
      <c r="AD192"/>
      <c r="AE192"/>
      <c r="AF192"/>
      <c r="AG192"/>
      <c r="AH192"/>
      <c r="AI192"/>
      <c r="AJ192"/>
      <c r="AK192"/>
    </row>
    <row r="193" spans="1:37" s="330" customFormat="1" ht="15" customHeight="1">
      <c r="A193" s="378">
        <v>192</v>
      </c>
      <c r="B193" s="19" t="s">
        <v>26</v>
      </c>
      <c r="C193" s="19" t="s">
        <v>37</v>
      </c>
      <c r="D193" s="19" t="s">
        <v>207</v>
      </c>
      <c r="E193" s="19" t="s">
        <v>5328</v>
      </c>
      <c r="F193" s="19" t="s">
        <v>36</v>
      </c>
      <c r="G193" s="19">
        <v>4</v>
      </c>
      <c r="H193" s="19" t="s">
        <v>5329</v>
      </c>
      <c r="I193" s="182" t="s">
        <v>271</v>
      </c>
      <c r="J193" s="19" t="s">
        <v>4924</v>
      </c>
      <c r="K193" s="361">
        <v>46226.206944444442</v>
      </c>
      <c r="L193" s="361">
        <v>46226.206944444442</v>
      </c>
      <c r="M193" s="361">
        <v>46226.230555555558</v>
      </c>
      <c r="N193" s="361">
        <v>46233.75</v>
      </c>
      <c r="O193" s="361">
        <v>46226.289583333331</v>
      </c>
      <c r="P193" s="361">
        <v>46233.75</v>
      </c>
      <c r="Q193" s="19" t="s">
        <v>4925</v>
      </c>
      <c r="R193" s="19"/>
      <c r="S193" s="19"/>
      <c r="T193" s="19"/>
      <c r="U193" s="19" t="s">
        <v>371</v>
      </c>
      <c r="V193" s="19"/>
      <c r="W193" s="19"/>
      <c r="X193" s="19"/>
      <c r="Y193" s="19"/>
      <c r="Z193" s="19"/>
      <c r="AA193" s="19"/>
      <c r="AB193" s="19"/>
      <c r="AC193" s="19"/>
      <c r="AD193" s="19"/>
      <c r="AE193" s="19"/>
      <c r="AF193" s="19"/>
      <c r="AG193" s="19"/>
      <c r="AH193" s="19"/>
      <c r="AI193" s="19"/>
      <c r="AJ193" s="19"/>
      <c r="AK193" s="19"/>
    </row>
    <row r="194" spans="1:37" s="330" customFormat="1" ht="15" customHeight="1">
      <c r="A194" s="12">
        <v>193</v>
      </c>
      <c r="B194" s="19" t="s">
        <v>26</v>
      </c>
      <c r="C194" s="19" t="s">
        <v>37</v>
      </c>
      <c r="D194" s="19" t="s">
        <v>207</v>
      </c>
      <c r="E194" s="19" t="s">
        <v>5330</v>
      </c>
      <c r="F194" s="19" t="s">
        <v>36</v>
      </c>
      <c r="G194" s="19">
        <v>4</v>
      </c>
      <c r="H194" s="19" t="s">
        <v>5331</v>
      </c>
      <c r="I194" s="182" t="s">
        <v>271</v>
      </c>
      <c r="J194" s="19" t="s">
        <v>4935</v>
      </c>
      <c r="K194" s="361">
        <v>46226.688888888886</v>
      </c>
      <c r="L194" s="361">
        <v>46227.484722222223</v>
      </c>
      <c r="M194" s="361">
        <v>46227.486111111109</v>
      </c>
      <c r="N194" s="361">
        <v>46232.756944444445</v>
      </c>
      <c r="O194" s="361">
        <v>46231.301388888889</v>
      </c>
      <c r="P194" s="361">
        <v>46232.756944444445</v>
      </c>
      <c r="Q194" s="19"/>
      <c r="R194" s="19"/>
      <c r="S194" s="19"/>
      <c r="T194" s="19"/>
      <c r="U194" s="19" t="s">
        <v>371</v>
      </c>
      <c r="V194" s="19"/>
      <c r="W194" s="19"/>
      <c r="X194" s="19"/>
      <c r="Y194" s="19"/>
      <c r="Z194" s="19"/>
      <c r="AA194" s="19"/>
      <c r="AB194" s="19"/>
      <c r="AC194" s="19"/>
      <c r="AD194" s="19"/>
      <c r="AE194" s="19"/>
      <c r="AF194" s="19"/>
      <c r="AG194" s="19"/>
      <c r="AH194" s="19"/>
      <c r="AI194" s="19"/>
      <c r="AJ194" s="19"/>
      <c r="AK194" s="19"/>
    </row>
    <row r="195" spans="1:37" s="330" customFormat="1" ht="15" customHeight="1">
      <c r="A195" s="12">
        <v>194</v>
      </c>
      <c r="B195" s="19" t="s">
        <v>26</v>
      </c>
      <c r="C195" s="19" t="s">
        <v>37</v>
      </c>
      <c r="D195" s="19" t="s">
        <v>207</v>
      </c>
      <c r="E195" s="19" t="s">
        <v>5332</v>
      </c>
      <c r="F195" s="19" t="s">
        <v>36</v>
      </c>
      <c r="G195" s="19">
        <v>4</v>
      </c>
      <c r="H195" s="19" t="s">
        <v>5333</v>
      </c>
      <c r="I195" s="182" t="s">
        <v>271</v>
      </c>
      <c r="J195" s="19" t="s">
        <v>4935</v>
      </c>
      <c r="K195" s="361">
        <v>46226.716666666667</v>
      </c>
      <c r="L195" s="361">
        <v>46227.489583333336</v>
      </c>
      <c r="M195" s="361">
        <v>46227.493750000001</v>
      </c>
      <c r="N195" s="361"/>
      <c r="O195" s="361">
        <v>46231.292361111111</v>
      </c>
      <c r="P195" s="361"/>
      <c r="Q195" s="19"/>
      <c r="R195" s="19"/>
      <c r="S195" s="19"/>
      <c r="T195" s="19"/>
      <c r="U195" s="19" t="s">
        <v>371</v>
      </c>
      <c r="V195" s="19"/>
      <c r="W195" s="19"/>
      <c r="X195" s="19"/>
      <c r="Y195" s="19"/>
      <c r="Z195" s="19"/>
      <c r="AA195" s="19"/>
      <c r="AB195" s="19"/>
      <c r="AC195" s="19"/>
      <c r="AD195" s="19"/>
      <c r="AE195" s="19"/>
      <c r="AF195" s="19"/>
      <c r="AG195" s="19"/>
      <c r="AH195" s="19"/>
      <c r="AI195" s="19"/>
      <c r="AJ195" s="19"/>
      <c r="AK195" s="19"/>
    </row>
    <row r="196" spans="1:37" s="392" customFormat="1" ht="15" customHeight="1">
      <c r="A196" s="12">
        <v>195</v>
      </c>
      <c r="B196" t="s">
        <v>26</v>
      </c>
      <c r="C196" t="s">
        <v>37</v>
      </c>
      <c r="D196" t="s">
        <v>207</v>
      </c>
      <c r="E196" t="s">
        <v>5334</v>
      </c>
      <c r="F196" t="s">
        <v>36</v>
      </c>
      <c r="G196">
        <v>4</v>
      </c>
      <c r="H196" t="s">
        <v>5335</v>
      </c>
      <c r="I196" s="332" t="s">
        <v>260</v>
      </c>
      <c r="J196" t="s">
        <v>4944</v>
      </c>
      <c r="K196" s="386">
        <v>46227.564583333333</v>
      </c>
      <c r="L196" s="386"/>
      <c r="M196" s="386"/>
      <c r="N196" s="386"/>
      <c r="O196" s="386"/>
      <c r="P196" s="386"/>
      <c r="Q196" t="s">
        <v>4944</v>
      </c>
      <c r="R196"/>
      <c r="S196"/>
      <c r="T196"/>
      <c r="U196"/>
      <c r="V196"/>
      <c r="W196"/>
      <c r="X196"/>
      <c r="Y196"/>
      <c r="Z196"/>
      <c r="AA196"/>
      <c r="AB196"/>
      <c r="AC196"/>
      <c r="AD196"/>
      <c r="AE196"/>
      <c r="AF196"/>
      <c r="AG196"/>
      <c r="AH196"/>
      <c r="AI196"/>
      <c r="AJ196"/>
      <c r="AK196"/>
    </row>
    <row r="197" spans="1:37" s="330" customFormat="1" ht="15" customHeight="1">
      <c r="A197" s="12">
        <v>196</v>
      </c>
      <c r="B197" t="s">
        <v>26</v>
      </c>
      <c r="C197" t="s">
        <v>37</v>
      </c>
      <c r="D197" t="s">
        <v>207</v>
      </c>
      <c r="E197" t="s">
        <v>5336</v>
      </c>
      <c r="F197" t="s">
        <v>36</v>
      </c>
      <c r="G197">
        <v>4</v>
      </c>
      <c r="H197" t="s">
        <v>5337</v>
      </c>
      <c r="I197" s="182" t="s">
        <v>266</v>
      </c>
      <c r="J197" t="s">
        <v>4980</v>
      </c>
      <c r="K197" s="361">
        <v>46228.418749999997</v>
      </c>
      <c r="L197" s="361"/>
      <c r="M197" s="361"/>
      <c r="N197" s="361"/>
      <c r="O197" s="361"/>
      <c r="P197" s="361"/>
      <c r="Q197" t="s">
        <v>4930</v>
      </c>
      <c r="R197"/>
      <c r="S197"/>
      <c r="T197"/>
      <c r="U197"/>
      <c r="V197"/>
      <c r="W197"/>
      <c r="X197"/>
      <c r="Y197"/>
      <c r="Z197"/>
      <c r="AA197"/>
      <c r="AB197"/>
      <c r="AC197"/>
      <c r="AD197"/>
      <c r="AE197"/>
      <c r="AF197"/>
      <c r="AG197"/>
      <c r="AH197"/>
      <c r="AI197"/>
      <c r="AJ197"/>
      <c r="AK197"/>
    </row>
    <row r="198" spans="1:37" s="372" customFormat="1" ht="15" customHeight="1">
      <c r="A198" s="378">
        <v>197</v>
      </c>
      <c r="B198" t="s">
        <v>26</v>
      </c>
      <c r="C198" t="s">
        <v>37</v>
      </c>
      <c r="D198" t="s">
        <v>207</v>
      </c>
      <c r="E198" t="s">
        <v>5338</v>
      </c>
      <c r="F198" t="s">
        <v>36</v>
      </c>
      <c r="G198">
        <v>4</v>
      </c>
      <c r="H198" t="s">
        <v>5339</v>
      </c>
      <c r="I198" s="366" t="s">
        <v>260</v>
      </c>
      <c r="J198" t="s">
        <v>4928</v>
      </c>
      <c r="K198" s="368">
        <v>46228.95</v>
      </c>
      <c r="L198" s="368"/>
      <c r="M198" s="368"/>
      <c r="N198" s="368"/>
      <c r="O198" s="368"/>
      <c r="P198" s="368"/>
      <c r="Q198" t="s">
        <v>4930</v>
      </c>
      <c r="R198"/>
      <c r="S198"/>
      <c r="T198"/>
      <c r="U198"/>
      <c r="V198"/>
      <c r="W198"/>
      <c r="X198"/>
      <c r="Y198"/>
      <c r="Z198"/>
      <c r="AA198"/>
      <c r="AB198"/>
      <c r="AC198"/>
      <c r="AD198"/>
      <c r="AE198"/>
      <c r="AF198"/>
      <c r="AG198"/>
      <c r="AH198"/>
      <c r="AI198"/>
      <c r="AJ198"/>
      <c r="AK198"/>
    </row>
    <row r="199" spans="1:37" s="330" customFormat="1" ht="15" customHeight="1">
      <c r="A199" s="12">
        <v>198</v>
      </c>
      <c r="B199" s="19" t="s">
        <v>26</v>
      </c>
      <c r="C199" s="19" t="s">
        <v>37</v>
      </c>
      <c r="D199" s="19" t="s">
        <v>207</v>
      </c>
      <c r="E199" s="19" t="s">
        <v>5340</v>
      </c>
      <c r="F199" s="19" t="s">
        <v>36</v>
      </c>
      <c r="G199" s="19">
        <v>4</v>
      </c>
      <c r="H199" s="19" t="s">
        <v>5341</v>
      </c>
      <c r="I199" s="182" t="s">
        <v>271</v>
      </c>
      <c r="J199" s="19" t="s">
        <v>4944</v>
      </c>
      <c r="K199" s="361">
        <v>46229.388888888891</v>
      </c>
      <c r="L199" s="361"/>
      <c r="M199" s="361"/>
      <c r="N199" s="361"/>
      <c r="O199" s="361"/>
      <c r="P199" s="361"/>
      <c r="Q199" s="19" t="s">
        <v>4930</v>
      </c>
      <c r="R199" s="19"/>
      <c r="S199" s="19"/>
      <c r="T199" s="19"/>
      <c r="U199" s="19"/>
      <c r="V199" s="19"/>
      <c r="W199" s="19"/>
      <c r="X199" s="19"/>
      <c r="Y199" s="19"/>
      <c r="Z199" s="19"/>
      <c r="AA199" s="19"/>
      <c r="AB199" s="19"/>
      <c r="AC199" s="19"/>
      <c r="AD199" s="19"/>
      <c r="AE199" s="19"/>
      <c r="AF199" s="19"/>
      <c r="AG199" s="19"/>
      <c r="AH199" s="19"/>
      <c r="AI199" s="19"/>
      <c r="AJ199" s="19"/>
      <c r="AK199" s="19"/>
    </row>
    <row r="200" spans="1:37" s="391" customFormat="1" ht="15" customHeight="1">
      <c r="A200" s="12">
        <v>199</v>
      </c>
      <c r="B200" t="s">
        <v>26</v>
      </c>
      <c r="C200" t="s">
        <v>37</v>
      </c>
      <c r="D200" t="s">
        <v>207</v>
      </c>
      <c r="E200" t="s">
        <v>5342</v>
      </c>
      <c r="F200" t="s">
        <v>36</v>
      </c>
      <c r="G200">
        <v>3</v>
      </c>
      <c r="H200" t="s">
        <v>5343</v>
      </c>
      <c r="I200" s="380" t="s">
        <v>266</v>
      </c>
      <c r="J200" t="s">
        <v>4924</v>
      </c>
      <c r="K200" s="381">
        <v>46229.412499999999</v>
      </c>
      <c r="L200" s="381"/>
      <c r="M200" s="381"/>
      <c r="N200" s="381"/>
      <c r="O200" s="381"/>
      <c r="P200" s="381"/>
      <c r="Q200" t="s">
        <v>4944</v>
      </c>
      <c r="R200"/>
      <c r="S200"/>
      <c r="T200"/>
      <c r="U200"/>
      <c r="V200"/>
      <c r="W200"/>
      <c r="X200"/>
      <c r="Y200"/>
      <c r="Z200"/>
      <c r="AA200"/>
      <c r="AB200"/>
      <c r="AC200"/>
      <c r="AD200"/>
      <c r="AE200"/>
      <c r="AF200"/>
      <c r="AG200"/>
      <c r="AH200"/>
      <c r="AI200"/>
      <c r="AJ200"/>
      <c r="AK200"/>
    </row>
    <row r="201" spans="1:37" s="330" customFormat="1" ht="15" customHeight="1">
      <c r="A201" s="12">
        <v>200</v>
      </c>
      <c r="B201" s="19" t="s">
        <v>26</v>
      </c>
      <c r="C201" s="19" t="s">
        <v>37</v>
      </c>
      <c r="D201" s="19" t="s">
        <v>207</v>
      </c>
      <c r="E201" s="19" t="s">
        <v>5344</v>
      </c>
      <c r="F201" s="19" t="s">
        <v>36</v>
      </c>
      <c r="G201" s="19">
        <v>4</v>
      </c>
      <c r="H201" s="19" t="s">
        <v>5341</v>
      </c>
      <c r="I201" s="182" t="s">
        <v>271</v>
      </c>
      <c r="J201" s="19" t="s">
        <v>4943</v>
      </c>
      <c r="K201" s="361">
        <v>46229.664583333331</v>
      </c>
      <c r="L201" s="361"/>
      <c r="M201" s="361"/>
      <c r="N201" s="361"/>
      <c r="O201" s="361"/>
      <c r="P201" s="361"/>
      <c r="Q201" s="19" t="s">
        <v>4930</v>
      </c>
      <c r="R201" s="19"/>
      <c r="S201" s="19"/>
      <c r="T201" s="19"/>
      <c r="U201" s="19"/>
      <c r="V201" s="19"/>
      <c r="W201" s="19"/>
      <c r="X201" s="19"/>
      <c r="Y201" s="19"/>
      <c r="Z201" s="19"/>
      <c r="AA201" s="19"/>
      <c r="AB201" s="19"/>
      <c r="AC201" s="19"/>
      <c r="AD201" s="19"/>
      <c r="AE201" s="19"/>
      <c r="AF201" s="19"/>
      <c r="AG201" s="19"/>
      <c r="AH201" s="19"/>
      <c r="AI201" s="19"/>
      <c r="AJ201" s="19"/>
      <c r="AK201" s="19"/>
    </row>
    <row r="202" spans="1:37" s="330" customFormat="1" ht="15" customHeight="1">
      <c r="A202" s="12">
        <v>201</v>
      </c>
      <c r="B202" s="19" t="s">
        <v>26</v>
      </c>
      <c r="C202" s="19" t="s">
        <v>37</v>
      </c>
      <c r="D202" s="19" t="s">
        <v>207</v>
      </c>
      <c r="E202" s="19" t="s">
        <v>5345</v>
      </c>
      <c r="F202" s="19" t="s">
        <v>36</v>
      </c>
      <c r="G202" s="19">
        <v>3</v>
      </c>
      <c r="H202" s="19" t="s">
        <v>5346</v>
      </c>
      <c r="I202" s="182" t="s">
        <v>271</v>
      </c>
      <c r="J202" s="19" t="s">
        <v>4928</v>
      </c>
      <c r="K202" s="361">
        <v>46231.263888888891</v>
      </c>
      <c r="L202" s="361"/>
      <c r="M202" s="361"/>
      <c r="N202" s="361"/>
      <c r="O202" s="361"/>
      <c r="P202" s="361"/>
      <c r="Q202" s="19" t="s">
        <v>5067</v>
      </c>
      <c r="R202" s="19"/>
      <c r="S202" s="19"/>
      <c r="T202" s="19"/>
      <c r="U202" s="19"/>
      <c r="V202" s="19"/>
      <c r="W202" s="19"/>
      <c r="X202" s="19"/>
      <c r="Y202" s="19"/>
      <c r="Z202" s="19"/>
      <c r="AA202" s="19"/>
      <c r="AB202" s="19"/>
      <c r="AC202" s="19"/>
      <c r="AD202" s="19"/>
      <c r="AE202" s="19"/>
      <c r="AF202" s="19"/>
      <c r="AG202" s="19"/>
      <c r="AH202" s="19"/>
      <c r="AI202" s="19"/>
      <c r="AJ202" s="19"/>
      <c r="AK202" s="19"/>
    </row>
    <row r="203" spans="1:37" s="392" customFormat="1" ht="15" customHeight="1">
      <c r="A203" s="378">
        <v>202</v>
      </c>
      <c r="B203" t="s">
        <v>26</v>
      </c>
      <c r="C203" t="s">
        <v>37</v>
      </c>
      <c r="D203" t="s">
        <v>207</v>
      </c>
      <c r="E203" t="s">
        <v>5347</v>
      </c>
      <c r="F203" t="s">
        <v>36</v>
      </c>
      <c r="G203">
        <v>4</v>
      </c>
      <c r="H203" t="s">
        <v>5348</v>
      </c>
      <c r="I203" s="332" t="s">
        <v>260</v>
      </c>
      <c r="J203" t="s">
        <v>4940</v>
      </c>
      <c r="K203" s="386">
        <v>46231.362500000003</v>
      </c>
      <c r="L203" s="386"/>
      <c r="M203" s="386"/>
      <c r="N203" s="386"/>
      <c r="O203" s="386"/>
      <c r="P203" s="386"/>
      <c r="Q203" t="s">
        <v>4930</v>
      </c>
      <c r="R203"/>
      <c r="S203"/>
      <c r="T203"/>
      <c r="U203"/>
      <c r="V203"/>
      <c r="W203"/>
      <c r="X203"/>
      <c r="Y203"/>
      <c r="Z203"/>
      <c r="AA203"/>
      <c r="AB203"/>
      <c r="AC203"/>
      <c r="AD203"/>
      <c r="AE203"/>
      <c r="AF203"/>
      <c r="AG203"/>
      <c r="AH203"/>
      <c r="AI203"/>
      <c r="AJ203"/>
      <c r="AK203"/>
    </row>
    <row r="204" spans="1:37" s="372" customFormat="1" ht="15" customHeight="1">
      <c r="A204" s="12">
        <v>203</v>
      </c>
      <c r="B204" s="18" t="s">
        <v>26</v>
      </c>
      <c r="C204" s="18" t="s">
        <v>37</v>
      </c>
      <c r="D204" s="18" t="s">
        <v>208</v>
      </c>
      <c r="E204" s="18" t="s">
        <v>5349</v>
      </c>
      <c r="F204" s="18" t="s">
        <v>36</v>
      </c>
      <c r="G204" s="18" t="s">
        <v>208</v>
      </c>
      <c r="H204" s="189" t="s">
        <v>5350</v>
      </c>
      <c r="I204" s="366" t="s">
        <v>260</v>
      </c>
      <c r="J204" s="18" t="s">
        <v>4943</v>
      </c>
      <c r="K204" s="368">
        <v>46232.50608796296</v>
      </c>
      <c r="L204" s="368">
        <v>46234.431550925925</v>
      </c>
      <c r="M204" s="368">
        <v>46234.431550925925</v>
      </c>
      <c r="N204" s="368"/>
      <c r="O204" s="368"/>
      <c r="P204" s="368"/>
      <c r="Q204" s="18"/>
      <c r="R204" s="18"/>
      <c r="S204" s="18"/>
      <c r="T204" s="18"/>
      <c r="U204" s="18"/>
      <c r="V204" s="18"/>
      <c r="W204" s="18"/>
      <c r="X204" s="18"/>
      <c r="Y204" s="18"/>
      <c r="Z204" s="18"/>
      <c r="AA204" s="18"/>
      <c r="AB204" s="18"/>
      <c r="AC204" s="18"/>
      <c r="AD204" s="18"/>
      <c r="AE204" s="18"/>
      <c r="AF204" s="18"/>
      <c r="AG204" s="18"/>
      <c r="AH204" s="18"/>
      <c r="AI204" s="18"/>
      <c r="AJ204" s="18"/>
      <c r="AK204"/>
    </row>
    <row r="205" spans="1:37" s="330" customFormat="1" ht="15" customHeight="1">
      <c r="A205" s="12">
        <v>204</v>
      </c>
      <c r="B205" s="19" t="s">
        <v>26</v>
      </c>
      <c r="C205" s="19" t="s">
        <v>37</v>
      </c>
      <c r="D205" s="19" t="s">
        <v>207</v>
      </c>
      <c r="E205" s="19" t="s">
        <v>5351</v>
      </c>
      <c r="F205" s="19" t="s">
        <v>36</v>
      </c>
      <c r="G205" s="19">
        <v>4</v>
      </c>
      <c r="H205" s="19" t="s">
        <v>5352</v>
      </c>
      <c r="I205" s="182" t="s">
        <v>271</v>
      </c>
      <c r="J205" s="19" t="s">
        <v>4944</v>
      </c>
      <c r="K205" s="361">
        <v>46232.522916666669</v>
      </c>
      <c r="L205" s="361"/>
      <c r="M205" s="361"/>
      <c r="N205" s="361"/>
      <c r="O205" s="361"/>
      <c r="P205" s="361"/>
      <c r="Q205" s="19" t="s">
        <v>4944</v>
      </c>
      <c r="R205" s="19"/>
      <c r="S205" s="19"/>
      <c r="T205" s="19"/>
      <c r="U205" s="19"/>
      <c r="V205" s="19"/>
      <c r="W205" s="19"/>
      <c r="X205" s="19"/>
      <c r="Y205" s="19"/>
      <c r="Z205" s="19"/>
      <c r="AA205" s="19"/>
      <c r="AB205" s="19"/>
      <c r="AC205" s="19"/>
      <c r="AD205" s="19"/>
      <c r="AE205" s="19"/>
      <c r="AF205" s="19"/>
      <c r="AG205" s="19"/>
      <c r="AH205" s="19"/>
      <c r="AI205" s="19"/>
      <c r="AJ205" s="19"/>
      <c r="AK205" s="19"/>
    </row>
    <row r="206" spans="1:37" s="392" customFormat="1" ht="15" customHeight="1">
      <c r="A206" s="12">
        <v>205</v>
      </c>
      <c r="B206" t="s">
        <v>26</v>
      </c>
      <c r="C206" t="s">
        <v>37</v>
      </c>
      <c r="D206" t="s">
        <v>207</v>
      </c>
      <c r="E206" t="s">
        <v>5353</v>
      </c>
      <c r="F206" t="s">
        <v>36</v>
      </c>
      <c r="G206">
        <v>4</v>
      </c>
      <c r="H206" t="s">
        <v>5354</v>
      </c>
      <c r="I206" s="332" t="s">
        <v>260</v>
      </c>
      <c r="J206" t="s">
        <v>4928</v>
      </c>
      <c r="K206" s="386">
        <v>46232.780555555553</v>
      </c>
      <c r="L206" s="386"/>
      <c r="M206" s="386"/>
      <c r="N206" s="386"/>
      <c r="O206" s="386"/>
      <c r="P206" s="386"/>
      <c r="Q206" t="s">
        <v>4944</v>
      </c>
      <c r="R206"/>
      <c r="S206"/>
      <c r="T206"/>
      <c r="U206"/>
      <c r="V206"/>
      <c r="W206"/>
      <c r="X206"/>
      <c r="Y206"/>
      <c r="Z206"/>
      <c r="AA206"/>
      <c r="AB206"/>
      <c r="AC206"/>
      <c r="AD206"/>
      <c r="AE206"/>
      <c r="AF206"/>
      <c r="AG206"/>
      <c r="AH206"/>
      <c r="AI206"/>
      <c r="AJ206"/>
      <c r="AK206"/>
    </row>
    <row r="207" spans="1:37" s="330" customFormat="1" ht="15" customHeight="1">
      <c r="A207" s="12">
        <v>206</v>
      </c>
      <c r="B207" t="s">
        <v>26</v>
      </c>
      <c r="C207" t="s">
        <v>37</v>
      </c>
      <c r="D207" t="s">
        <v>207</v>
      </c>
      <c r="E207" t="s">
        <v>5355</v>
      </c>
      <c r="F207" t="s">
        <v>36</v>
      </c>
      <c r="G207">
        <v>4</v>
      </c>
      <c r="H207" t="s">
        <v>5356</v>
      </c>
      <c r="I207" s="182" t="s">
        <v>266</v>
      </c>
      <c r="J207" t="s">
        <v>4940</v>
      </c>
      <c r="K207" s="361">
        <v>46233.261111111111</v>
      </c>
      <c r="L207" s="361"/>
      <c r="M207" s="361"/>
      <c r="N207" s="361"/>
      <c r="O207" s="361"/>
      <c r="P207" s="361"/>
      <c r="Q207" t="s">
        <v>4944</v>
      </c>
      <c r="R207"/>
      <c r="S207"/>
      <c r="T207"/>
      <c r="U207"/>
      <c r="V207"/>
      <c r="W207"/>
      <c r="X207"/>
      <c r="Y207"/>
      <c r="Z207"/>
      <c r="AA207"/>
      <c r="AB207"/>
      <c r="AC207"/>
      <c r="AD207"/>
      <c r="AE207"/>
      <c r="AF207"/>
      <c r="AG207"/>
      <c r="AH207"/>
      <c r="AI207"/>
      <c r="AJ207"/>
      <c r="AK207"/>
    </row>
    <row r="208" spans="1:37" s="330" customFormat="1" ht="15" customHeight="1">
      <c r="A208" s="378">
        <v>207</v>
      </c>
      <c r="B208" s="18" t="s">
        <v>26</v>
      </c>
      <c r="C208" s="18" t="s">
        <v>37</v>
      </c>
      <c r="D208" s="18" t="s">
        <v>207</v>
      </c>
      <c r="E208" s="205" t="s">
        <v>5129</v>
      </c>
      <c r="F208" s="202" t="s">
        <v>36</v>
      </c>
      <c r="G208" s="18">
        <v>4</v>
      </c>
      <c r="H208" s="207" t="s">
        <v>5357</v>
      </c>
      <c r="I208" s="182" t="s">
        <v>266</v>
      </c>
      <c r="J208" s="205" t="s">
        <v>4935</v>
      </c>
      <c r="K208" s="361">
        <v>46179.252905092595</v>
      </c>
      <c r="L208" s="361">
        <v>46202.584027777775</v>
      </c>
      <c r="M208" s="361" t="s">
        <v>5358</v>
      </c>
      <c r="N208" s="361" t="s">
        <v>5358</v>
      </c>
      <c r="O208" s="361"/>
      <c r="P208" s="361"/>
      <c r="Q208" s="18"/>
      <c r="R208" s="18"/>
      <c r="S208" s="18"/>
      <c r="T208" s="18"/>
      <c r="U208" s="18" t="s">
        <v>371</v>
      </c>
      <c r="V208" s="18"/>
      <c r="W208" s="18"/>
      <c r="X208" s="18"/>
      <c r="Y208" s="18"/>
      <c r="Z208" s="18"/>
      <c r="AA208" s="18"/>
      <c r="AB208" s="18"/>
      <c r="AC208" s="18"/>
      <c r="AD208" s="18"/>
      <c r="AE208" s="18"/>
      <c r="AF208" s="18"/>
      <c r="AG208" s="18"/>
      <c r="AH208" s="18"/>
      <c r="AI208" s="18"/>
      <c r="AJ208" s="18"/>
      <c r="AK208"/>
    </row>
    <row r="209" spans="1:37" s="372" customFormat="1" ht="15" customHeight="1">
      <c r="A209" s="12">
        <v>208</v>
      </c>
      <c r="B209" s="18" t="s">
        <v>26</v>
      </c>
      <c r="C209" s="18" t="s">
        <v>37</v>
      </c>
      <c r="D209" s="18" t="s">
        <v>207</v>
      </c>
      <c r="E209" s="205" t="s">
        <v>5165</v>
      </c>
      <c r="F209" s="202" t="s">
        <v>36</v>
      </c>
      <c r="G209" s="18">
        <v>4</v>
      </c>
      <c r="H209" s="207" t="s">
        <v>5359</v>
      </c>
      <c r="I209" s="366" t="s">
        <v>260</v>
      </c>
      <c r="J209" s="205"/>
      <c r="K209" s="368" t="s">
        <v>5360</v>
      </c>
      <c r="L209" s="368">
        <v>46202.594444444447</v>
      </c>
      <c r="M209" s="368"/>
      <c r="N209" s="368"/>
      <c r="O209" s="368"/>
      <c r="P209" s="368"/>
      <c r="Q209" s="18"/>
      <c r="R209" s="18"/>
      <c r="S209" s="18"/>
      <c r="T209" s="18"/>
      <c r="U209" s="18" t="s">
        <v>371</v>
      </c>
      <c r="V209" s="18"/>
      <c r="W209" s="18"/>
      <c r="X209" s="18"/>
      <c r="Y209" s="18"/>
      <c r="Z209" s="18"/>
      <c r="AA209" s="18"/>
      <c r="AB209" s="18"/>
      <c r="AC209" s="18"/>
      <c r="AD209" s="18"/>
      <c r="AE209" s="18"/>
      <c r="AF209" s="18"/>
      <c r="AG209" s="18"/>
      <c r="AH209" s="18"/>
      <c r="AI209" s="18"/>
      <c r="AJ209" s="18"/>
      <c r="AK209"/>
    </row>
    <row r="210" spans="1:37" ht="15" customHeight="1">
      <c r="A210" s="12">
        <v>209</v>
      </c>
      <c r="B210" s="12" t="s">
        <v>26</v>
      </c>
      <c r="C210" s="12" t="s">
        <v>37</v>
      </c>
      <c r="D210" s="12" t="s">
        <v>207</v>
      </c>
      <c r="E210" s="208" t="s">
        <v>5186</v>
      </c>
      <c r="F210" s="98" t="s">
        <v>36</v>
      </c>
      <c r="G210" s="12">
        <v>4</v>
      </c>
      <c r="H210" s="334" t="s">
        <v>5361</v>
      </c>
      <c r="I210" s="182" t="s">
        <v>271</v>
      </c>
      <c r="J210" s="208" t="s">
        <v>4940</v>
      </c>
      <c r="K210" s="361">
        <v>46188.398888888885</v>
      </c>
      <c r="L210" s="361">
        <v>46199.636805555558</v>
      </c>
      <c r="M210" s="361"/>
      <c r="N210" s="361"/>
      <c r="O210" s="361"/>
      <c r="P210" s="361"/>
      <c r="Q210" s="12"/>
      <c r="R210" s="12"/>
      <c r="S210" s="12"/>
      <c r="T210" s="12"/>
      <c r="U210" s="12" t="s">
        <v>371</v>
      </c>
      <c r="V210" s="12"/>
      <c r="W210" s="12"/>
      <c r="X210" s="12"/>
      <c r="Y210" s="12"/>
      <c r="Z210" s="167"/>
      <c r="AA210" s="168"/>
      <c r="AB210" s="167"/>
      <c r="AC210" s="168"/>
      <c r="AD210" s="167"/>
      <c r="AE210" s="167"/>
      <c r="AF210" s="168"/>
      <c r="AG210" s="168"/>
      <c r="AH210" s="81"/>
      <c r="AI210" s="81"/>
      <c r="AJ210" s="19"/>
      <c r="AK210" s="19"/>
    </row>
    <row r="211" spans="1:37" s="330" customFormat="1" ht="15" customHeight="1">
      <c r="A211" s="12">
        <v>210</v>
      </c>
      <c r="B211" s="12" t="s">
        <v>26</v>
      </c>
      <c r="C211" s="12" t="s">
        <v>37</v>
      </c>
      <c r="D211" s="12" t="s">
        <v>207</v>
      </c>
      <c r="E211" s="182" t="s">
        <v>5079</v>
      </c>
      <c r="F211" s="12" t="s">
        <v>36</v>
      </c>
      <c r="G211" s="12">
        <v>4</v>
      </c>
      <c r="H211" s="208" t="s">
        <v>5076</v>
      </c>
      <c r="I211" s="182" t="s">
        <v>271</v>
      </c>
      <c r="J211" s="208" t="s">
        <v>4924</v>
      </c>
      <c r="K211" s="361">
        <v>46158.715601851851</v>
      </c>
      <c r="L211" s="361">
        <v>46158.71565972222</v>
      </c>
      <c r="M211" s="361">
        <v>46160.33734953704</v>
      </c>
      <c r="N211" s="361">
        <v>46189.937881944446</v>
      </c>
      <c r="O211" s="361">
        <v>46161.53696759259</v>
      </c>
      <c r="P211" s="361">
        <v>46189.937881944446</v>
      </c>
      <c r="Q211" s="182" t="s">
        <v>4925</v>
      </c>
      <c r="R211" s="12"/>
      <c r="S211" s="12"/>
      <c r="T211" s="12"/>
      <c r="U211" s="12" t="s">
        <v>371</v>
      </c>
      <c r="V211" s="12"/>
      <c r="W211" s="12"/>
      <c r="X211" s="12"/>
      <c r="Y211" s="12"/>
      <c r="Z211" s="167">
        <f ca="1">IF(NOT(OR(G211=1,G211=2)),MAX(0,_xlfn.IFS(AND(K211&lt;&gt;"",N211&lt;&gt;""),((MAX(NETWORKDAYS(K211,N211,UKBankHolidays)-1,0))*(TIME(17,0,0)-TIME(8,0,0))+IF(NETWORKDAYS(N211,N211,UKBankHolidays)&gt;0,MEDIAN(TIME(8,0,0),MOD(N211,1),TIME(17,0,0)),TIME(8,0,0))-IF(NETWORKDAYS(K211,K211,UKBankHolidays)&gt;0,MEDIAN(TIME(8,0,0),MOD(K211,1),TIME(17,0,0)),TIME(8,0,0)))-IF(AND(O211&lt;&gt;"",P211&lt;&gt;""),((MAX(NETWORKDAYS(O211,P211,UKBankHolidays)-1,0))*(TIME(17,0,0)-TIME(8,0,0))+IF(NETWORKDAYS(P211,P211,UKBankHolidays)&gt;0,MEDIAN(TIME(8,0,0),MOD(P211,1),TIME(17,0,0)),TIME(8,0,0))-IF(NETWORKDAYS(O211,O211,UKBankHolidays)&gt;0,MEDIAN(TIME(8,0,0),MOD(O211,1),TIME(17,0,0)),TIME(8,0,0))),0),AND(K211&lt;&gt;"",N211=""),((MAX(NETWORKDAYS(K211,NOW(),UKBankHolidays)-1,0))*(TIME(17,0,0)-TIME(8,0,0))+IF(NETWORKDAYS(NOW(),NOW(),UKBankHolidays)&gt;0,MEDIAN(TIME(8,0,0),MOD(NOW(),1),TIME(17,0,0)),TIME(8,0,0))-IF(NETWORKDAYS(K211,K211,UKBankHolidays)&gt;0,MEDIAN(TIME(8,0,0),MOD(K211,1),TIME(17,0,0)),TIME(8,0,0))))),IF(N211="",NOW()-K211,N211-K211))</f>
        <v>0.57863425925703904</v>
      </c>
      <c r="AA211" s="168">
        <f ca="1">(Z211*24)/9</f>
        <v>1.5430246913521042</v>
      </c>
      <c r="AB211" s="12"/>
      <c r="AC211" s="12"/>
      <c r="AD211" s="12"/>
      <c r="AE211" s="12"/>
      <c r="AF211" s="12"/>
      <c r="AG211" s="12"/>
      <c r="AH211" s="12"/>
      <c r="AI211" s="12"/>
      <c r="AJ211" s="12"/>
      <c r="AK211" s="19"/>
    </row>
    <row r="212" spans="1:37" s="393" customFormat="1" ht="15" customHeight="1">
      <c r="A212" s="12">
        <v>211</v>
      </c>
      <c r="B212" s="18" t="s">
        <v>26</v>
      </c>
      <c r="C212" s="18" t="s">
        <v>37</v>
      </c>
      <c r="D212" s="18" t="s">
        <v>207</v>
      </c>
      <c r="E212" s="205" t="s">
        <v>5192</v>
      </c>
      <c r="F212" s="202" t="s">
        <v>36</v>
      </c>
      <c r="G212" s="18">
        <v>4</v>
      </c>
      <c r="H212" s="207" t="s">
        <v>5362</v>
      </c>
      <c r="I212" s="332" t="s">
        <v>260</v>
      </c>
      <c r="J212" s="205" t="s">
        <v>4968</v>
      </c>
      <c r="K212" s="386" t="s">
        <v>5363</v>
      </c>
      <c r="L212" s="386">
        <v>46199.568055555559</v>
      </c>
      <c r="M212" s="386" t="s">
        <v>5358</v>
      </c>
      <c r="N212" s="386" t="s">
        <v>5358</v>
      </c>
      <c r="O212" s="386"/>
      <c r="P212" s="386"/>
      <c r="Q212" s="18"/>
      <c r="R212" s="18"/>
      <c r="S212" s="18"/>
      <c r="T212" s="18"/>
      <c r="U212" s="18" t="s">
        <v>371</v>
      </c>
      <c r="V212" s="18"/>
      <c r="W212" s="18"/>
      <c r="X212" s="18"/>
      <c r="Y212" s="18"/>
      <c r="Z212" s="18"/>
      <c r="AA212" s="18"/>
      <c r="AB212" s="18"/>
      <c r="AC212" s="18"/>
      <c r="AD212" s="18"/>
      <c r="AE212" s="18"/>
      <c r="AF212" s="18"/>
      <c r="AG212" s="18"/>
      <c r="AH212" s="18"/>
      <c r="AI212" s="18"/>
      <c r="AJ212" s="18"/>
      <c r="AK212"/>
    </row>
    <row r="213" spans="1:37" s="372" customFormat="1" ht="15" customHeight="1">
      <c r="A213" s="378">
        <v>212</v>
      </c>
      <c r="B213" s="18" t="s">
        <v>26</v>
      </c>
      <c r="C213" s="18" t="s">
        <v>37</v>
      </c>
      <c r="D213" s="18" t="s">
        <v>207</v>
      </c>
      <c r="E213" s="206" t="s">
        <v>4950</v>
      </c>
      <c r="F213" s="18" t="s">
        <v>36</v>
      </c>
      <c r="G213" s="18">
        <v>4</v>
      </c>
      <c r="H213" s="205" t="s">
        <v>4952</v>
      </c>
      <c r="I213" s="366" t="s">
        <v>260</v>
      </c>
      <c r="J213" s="205" t="s">
        <v>4953</v>
      </c>
      <c r="K213" s="368" t="s">
        <v>5364</v>
      </c>
      <c r="L213" s="368"/>
      <c r="M213" s="368"/>
      <c r="N213" s="368"/>
      <c r="O213" s="368"/>
      <c r="P213" s="368"/>
      <c r="Q213" s="206" t="s">
        <v>4925</v>
      </c>
      <c r="R213" s="18"/>
      <c r="S213" s="18"/>
      <c r="T213" s="18"/>
      <c r="U213" s="18" t="s">
        <v>371</v>
      </c>
      <c r="V213" s="18"/>
      <c r="W213" s="18"/>
      <c r="X213" s="18"/>
      <c r="Y213" s="18"/>
      <c r="Z213" s="76">
        <f ca="1">IF(NOT(OR(G213=1,G213=2)),MAX(0,_xlfn.IFS(AND(K213&lt;&gt;"",N213&lt;&gt;""),((MAX(NETWORKDAYS(K213,N213,UKBankHolidays)-1,0))*(TIME(17,0,0)-TIME(8,0,0))+IF(NETWORKDAYS(N213,N213,UKBankHolidays)&gt;0,MEDIAN(TIME(8,0,0),MOD(N213,1),TIME(17,0,0)),TIME(8,0,0))-IF(NETWORKDAYS(K213,K213,UKBankHolidays)&gt;0,MEDIAN(TIME(8,0,0),MOD(K213,1),TIME(17,0,0)),TIME(8,0,0)))-IF(AND(O213&lt;&gt;"",P213&lt;&gt;""),((MAX(NETWORKDAYS(O213,P213,UKBankHolidays)-1,0))*(TIME(17,0,0)-TIME(8,0,0))+IF(NETWORKDAYS(P213,P213,UKBankHolidays)&gt;0,MEDIAN(TIME(8,0,0),MOD(P213,1),TIME(17,0,0)),TIME(8,0,0))-IF(NETWORKDAYS(O213,O213,UKBankHolidays)&gt;0,MEDIAN(TIME(8,0,0),MOD(O213,1),TIME(17,0,0)),TIME(8,0,0))),0),AND(K213&lt;&gt;"",N213=""),((MAX(NETWORKDAYS(K213,NOW(),UKBankHolidays)-1,0))*(TIME(17,0,0)-TIME(8,0,0))+IF(NETWORKDAYS(NOW(),NOW(),UKBankHolidays)&gt;0,MEDIAN(TIME(8,0,0),MOD(NOW(),1),TIME(17,0,0)),TIME(8,0,0))-IF(NETWORKDAYS(K213,K213,UKBankHolidays)&gt;0,MEDIAN(TIME(8,0,0),MOD(K213,1),TIME(17,0,0)),TIME(8,0,0))))),IF(N213="",NOW()-K213,N213-K213))</f>
        <v>33.300641087963115</v>
      </c>
      <c r="AA213" s="18"/>
      <c r="AB213" s="18"/>
      <c r="AC213" s="18"/>
      <c r="AD213" s="18"/>
      <c r="AE213" s="18"/>
      <c r="AF213" s="18"/>
      <c r="AG213" s="18"/>
      <c r="AH213" s="18"/>
      <c r="AI213" s="18"/>
      <c r="AJ213" s="18"/>
      <c r="AK213"/>
    </row>
    <row r="214" spans="1:37" s="330" customFormat="1" ht="15" customHeight="1">
      <c r="A214" s="12">
        <v>213</v>
      </c>
      <c r="B214" s="12" t="s">
        <v>26</v>
      </c>
      <c r="C214" s="12" t="s">
        <v>37</v>
      </c>
      <c r="D214" s="12" t="s">
        <v>207</v>
      </c>
      <c r="E214" s="182" t="s">
        <v>5103</v>
      </c>
      <c r="F214" s="12" t="s">
        <v>36</v>
      </c>
      <c r="G214" s="12">
        <v>4</v>
      </c>
      <c r="H214" s="208" t="s">
        <v>5104</v>
      </c>
      <c r="I214" s="182" t="s">
        <v>271</v>
      </c>
      <c r="J214" s="208" t="s">
        <v>4924</v>
      </c>
      <c r="K214" s="361">
        <v>46166.107719907406</v>
      </c>
      <c r="L214" s="361">
        <v>46166.107789351852</v>
      </c>
      <c r="M214" s="361">
        <v>46167.304930555554</v>
      </c>
      <c r="N214" s="361">
        <v>46087.453935185185</v>
      </c>
      <c r="O214" s="361">
        <v>46028.532777777778</v>
      </c>
      <c r="P214" s="361">
        <v>46087.073333333334</v>
      </c>
      <c r="Q214" s="182" t="s">
        <v>4999</v>
      </c>
      <c r="R214" s="12"/>
      <c r="S214" s="12"/>
      <c r="T214" s="12"/>
      <c r="U214" s="12" t="s">
        <v>371</v>
      </c>
      <c r="V214" s="12"/>
      <c r="W214" s="12"/>
      <c r="X214" s="12"/>
      <c r="Y214" s="12"/>
      <c r="Z214" s="167">
        <f ca="1">IF(NOT(OR(G214=1,G214=2)),MAX(0,_xlfn.IFS(AND(K214&lt;&gt;"",N214&lt;&gt;""),((MAX(NETWORKDAYS(K214,N214,UKBankHolidays)-1,0))*(TIME(17,0,0)-TIME(8,0,0))+IF(NETWORKDAYS(N214,N214,UKBankHolidays)&gt;0,MEDIAN(TIME(8,0,0),MOD(N214,1),TIME(17,0,0)),TIME(8,0,0))-IF(NETWORKDAYS(K214,K214,UKBankHolidays)&gt;0,MEDIAN(TIME(8,0,0),MOD(K214,1),TIME(17,0,0)),TIME(8,0,0)))-IF(AND(O214&lt;&gt;"",P214&lt;&gt;""),((MAX(NETWORKDAYS(O214,P214,UKBankHolidays)-1,0))*(TIME(17,0,0)-TIME(8,0,0))+IF(NETWORKDAYS(P214,P214,UKBankHolidays)&gt;0,MEDIAN(TIME(8,0,0),MOD(P214,1),TIME(17,0,0)),TIME(8,0,0))-IF(NETWORKDAYS(O214,O214,UKBankHolidays)&gt;0,MEDIAN(TIME(8,0,0),MOD(O214,1),TIME(17,0,0)),TIME(8,0,0))),0),AND(K214&lt;&gt;"",N214=""),((MAX(NETWORKDAYS(K214,NOW(),UKBankHolidays)-1,0))*(TIME(17,0,0)-TIME(8,0,0))+IF(NETWORKDAYS(NOW(),NOW(),UKBankHolidays)&gt;0,MEDIAN(TIME(8,0,0),MOD(NOW(),1),TIME(17,0,0)),TIME(8,0,0))-IF(NETWORKDAYS(K214,K214,UKBankHolidays)&gt;0,MEDIAN(TIME(8,0,0),MOD(K214,1),TIME(17,0,0)),TIME(8,0,0))))),IF(N214="",NOW()-K214,N214-K214))</f>
        <v>0</v>
      </c>
      <c r="AA214" s="168">
        <f ca="1">(Z214*24)/9</f>
        <v>0</v>
      </c>
      <c r="AB214" s="12"/>
      <c r="AC214" s="12"/>
      <c r="AD214" s="364"/>
      <c r="AE214" s="12"/>
      <c r="AF214" s="12"/>
      <c r="AG214" s="12"/>
      <c r="AH214" s="85"/>
      <c r="AI214" s="85"/>
      <c r="AJ214" s="12"/>
      <c r="AK214" s="19"/>
    </row>
    <row r="215" spans="1:37" s="330" customFormat="1" ht="15" customHeight="1">
      <c r="A215" s="12">
        <v>214</v>
      </c>
      <c r="B215" s="12" t="s">
        <v>26</v>
      </c>
      <c r="C215" s="12" t="s">
        <v>37</v>
      </c>
      <c r="D215" s="12" t="s">
        <v>207</v>
      </c>
      <c r="E215" s="208" t="s">
        <v>5365</v>
      </c>
      <c r="F215" s="98" t="s">
        <v>36</v>
      </c>
      <c r="G215" s="12">
        <v>4</v>
      </c>
      <c r="H215" s="334" t="s">
        <v>5366</v>
      </c>
      <c r="I215" s="182" t="s">
        <v>271</v>
      </c>
      <c r="J215" s="208" t="s">
        <v>4940</v>
      </c>
      <c r="K215" s="361">
        <v>46198.636828703704</v>
      </c>
      <c r="L215" s="361">
        <v>46198.865972222222</v>
      </c>
      <c r="M215" s="361" t="s">
        <v>5358</v>
      </c>
      <c r="N215" s="361"/>
      <c r="O215" s="361"/>
      <c r="P215" s="361"/>
      <c r="Q215" s="12"/>
      <c r="R215" s="12"/>
      <c r="S215" s="12"/>
      <c r="T215" s="12"/>
      <c r="U215" s="12" t="s">
        <v>371</v>
      </c>
      <c r="V215" s="12"/>
      <c r="W215" s="12"/>
      <c r="X215" s="12"/>
      <c r="Y215" s="12"/>
      <c r="Z215" s="12"/>
      <c r="AA215" s="12"/>
      <c r="AB215" s="12"/>
      <c r="AC215" s="12"/>
      <c r="AD215" s="12"/>
      <c r="AE215" s="12"/>
      <c r="AF215" s="12"/>
      <c r="AG215" s="12"/>
      <c r="AH215" s="12"/>
      <c r="AI215" s="12"/>
      <c r="AJ215" s="12"/>
      <c r="AK215" s="19"/>
    </row>
    <row r="216" spans="1:37" s="391" customFormat="1" ht="15" customHeight="1">
      <c r="A216" s="12">
        <v>215</v>
      </c>
      <c r="B216" s="18" t="s">
        <v>26</v>
      </c>
      <c r="C216" s="18" t="s">
        <v>37</v>
      </c>
      <c r="D216" s="18" t="s">
        <v>207</v>
      </c>
      <c r="E216" s="205" t="s">
        <v>5367</v>
      </c>
      <c r="F216" s="202" t="s">
        <v>36</v>
      </c>
      <c r="G216" s="18">
        <v>4</v>
      </c>
      <c r="H216" s="207" t="s">
        <v>5368</v>
      </c>
      <c r="I216" s="380" t="s">
        <v>266</v>
      </c>
      <c r="J216" s="205" t="s">
        <v>4924</v>
      </c>
      <c r="K216" s="381" t="s">
        <v>5369</v>
      </c>
      <c r="L216" s="381">
        <v>46198.867361111108</v>
      </c>
      <c r="M216" s="381" t="s">
        <v>5358</v>
      </c>
      <c r="N216" s="381" t="s">
        <v>5358</v>
      </c>
      <c r="O216" s="381"/>
      <c r="P216" s="381"/>
      <c r="Q216" s="18"/>
      <c r="R216" s="18"/>
      <c r="S216" s="18"/>
      <c r="T216" s="18"/>
      <c r="U216" s="18" t="s">
        <v>371</v>
      </c>
      <c r="V216" s="18"/>
      <c r="W216" s="18"/>
      <c r="X216" s="18"/>
      <c r="Y216" s="18"/>
      <c r="Z216" s="18"/>
      <c r="AA216" s="18"/>
      <c r="AB216" s="18"/>
      <c r="AC216" s="18"/>
      <c r="AD216" s="18"/>
      <c r="AE216" s="18"/>
      <c r="AF216" s="18"/>
      <c r="AG216" s="18"/>
      <c r="AH216" s="18"/>
      <c r="AI216" s="18"/>
      <c r="AJ216" s="18"/>
      <c r="AK216"/>
    </row>
    <row r="217" spans="1:37" s="330" customFormat="1" ht="15" customHeight="1">
      <c r="A217" s="12">
        <v>216</v>
      </c>
      <c r="B217" s="12" t="s">
        <v>26</v>
      </c>
      <c r="C217" s="12" t="s">
        <v>37</v>
      </c>
      <c r="D217" s="12" t="s">
        <v>207</v>
      </c>
      <c r="E217" s="182" t="s">
        <v>5111</v>
      </c>
      <c r="F217" s="12" t="s">
        <v>36</v>
      </c>
      <c r="G217" s="12">
        <v>4</v>
      </c>
      <c r="H217" s="208" t="s">
        <v>5112</v>
      </c>
      <c r="I217" s="182" t="s">
        <v>271</v>
      </c>
      <c r="J217" s="182" t="s">
        <v>4943</v>
      </c>
      <c r="K217" s="361">
        <v>46168.570393518516</v>
      </c>
      <c r="L217" s="361">
        <v>46168.570486111108</v>
      </c>
      <c r="M217" s="361">
        <v>46168.588483796295</v>
      </c>
      <c r="N217" s="361">
        <v>46148.605057870373</v>
      </c>
      <c r="O217" s="361">
        <v>46169.622627314813</v>
      </c>
      <c r="P217" s="361">
        <v>46118.623171296298</v>
      </c>
      <c r="Q217" s="182" t="s">
        <v>5025</v>
      </c>
      <c r="R217" s="12"/>
      <c r="S217" s="12"/>
      <c r="T217" s="12"/>
      <c r="U217" s="12" t="s">
        <v>371</v>
      </c>
      <c r="V217" s="12"/>
      <c r="W217" s="12"/>
      <c r="X217" s="12"/>
      <c r="Y217" s="12"/>
      <c r="Z217" s="167">
        <f ca="1">IF(NOT(OR(G217=1,G217=2)),MAX(0,_xlfn.IFS(AND(K217&lt;&gt;"",N217&lt;&gt;""),((MAX(NETWORKDAYS(K217,N217,UKBankHolidays)-1,0))*(TIME(17,0,0)-TIME(8,0,0))+IF(NETWORKDAYS(N217,N217,UKBankHolidays)&gt;0,MEDIAN(TIME(8,0,0),MOD(N217,1),TIME(17,0,0)),TIME(8,0,0))-IF(NETWORKDAYS(K217,K217,UKBankHolidays)&gt;0,MEDIAN(TIME(8,0,0),MOD(K217,1),TIME(17,0,0)),TIME(8,0,0)))-IF(AND(O217&lt;&gt;"",P217&lt;&gt;""),((MAX(NETWORKDAYS(O217,P217,UKBankHolidays)-1,0))*(TIME(17,0,0)-TIME(8,0,0))+IF(NETWORKDAYS(P217,P217,UKBankHolidays)&gt;0,MEDIAN(TIME(8,0,0),MOD(P217,1),TIME(17,0,0)),TIME(8,0,0))-IF(NETWORKDAYS(O217,O217,UKBankHolidays)&gt;0,MEDIAN(TIME(8,0,0),MOD(O217,1),TIME(17,0,0)),TIME(8,0,0))),0),AND(K217&lt;&gt;"",N217=""),((MAX(NETWORKDAYS(K217,NOW(),UKBankHolidays)-1,0))*(TIME(17,0,0)-TIME(8,0,0))+IF(NETWORKDAYS(NOW(),NOW(),UKBankHolidays)&gt;0,MEDIAN(TIME(8,0,0),MOD(NOW(),1),TIME(17,0,0)),TIME(8,0,0))-IF(NETWORKDAYS(K217,K217,UKBankHolidays)&gt;0,MEDIAN(TIME(8,0,0),MOD(K217,1),TIME(17,0,0)),TIME(8,0,0))))),IF(N217="",NOW()-K217,N217-K217))</f>
        <v>0.3239583333367288</v>
      </c>
      <c r="AA217" s="12"/>
      <c r="AB217" s="12"/>
      <c r="AC217" s="12"/>
      <c r="AD217" s="12"/>
      <c r="AE217" s="12"/>
      <c r="AF217" s="12"/>
      <c r="AG217" s="12"/>
      <c r="AH217" s="12"/>
      <c r="AI217" s="12"/>
      <c r="AJ217" s="12"/>
      <c r="AK217" s="19"/>
    </row>
    <row r="218" spans="1:37" s="330" customFormat="1" ht="15" customHeight="1">
      <c r="A218" s="378">
        <v>217</v>
      </c>
      <c r="B218" s="12" t="s">
        <v>26</v>
      </c>
      <c r="C218" s="12" t="s">
        <v>37</v>
      </c>
      <c r="D218" s="12" t="s">
        <v>207</v>
      </c>
      <c r="E218" s="182" t="s">
        <v>5115</v>
      </c>
      <c r="F218" s="12" t="s">
        <v>36</v>
      </c>
      <c r="G218" s="12">
        <v>4</v>
      </c>
      <c r="H218" s="208" t="s">
        <v>5116</v>
      </c>
      <c r="I218" s="182" t="s">
        <v>271</v>
      </c>
      <c r="J218" s="182" t="s">
        <v>4943</v>
      </c>
      <c r="K218" s="361">
        <v>46168.788055555553</v>
      </c>
      <c r="L218" s="361">
        <v>46168.789050925923</v>
      </c>
      <c r="M218" s="361">
        <v>46168.846875000003</v>
      </c>
      <c r="N218" s="361">
        <v>46332.670081018521</v>
      </c>
      <c r="O218" s="361">
        <v>46087.66951388889</v>
      </c>
      <c r="P218" s="361">
        <v>46332.670081018521</v>
      </c>
      <c r="Q218" s="182" t="s">
        <v>4925</v>
      </c>
      <c r="R218" s="12"/>
      <c r="S218" s="12"/>
      <c r="T218" s="12"/>
      <c r="U218" s="12" t="s">
        <v>371</v>
      </c>
      <c r="V218" s="12"/>
      <c r="W218" s="12"/>
      <c r="X218" s="12"/>
      <c r="Y218" s="12"/>
      <c r="Z218" s="167">
        <f ca="1">IF(NOT(OR(G218=1,G218=2)),MAX(0,_xlfn.IFS(AND(K218&lt;&gt;"",N218&lt;&gt;""),((MAX(NETWORKDAYS(K218,N218,UKBankHolidays)-1,0))*(TIME(17,0,0)-TIME(8,0,0))+IF(NETWORKDAYS(N218,N218,UKBankHolidays)&gt;0,MEDIAN(TIME(8,0,0),MOD(N218,1),TIME(17,0,0)),TIME(8,0,0))-IF(NETWORKDAYS(K218,K218,UKBankHolidays)&gt;0,MEDIAN(TIME(8,0,0),MOD(K218,1),TIME(17,0,0)),TIME(8,0,0)))-IF(AND(O218&lt;&gt;"",P218&lt;&gt;""),((MAX(NETWORKDAYS(O218,P218,UKBankHolidays)-1,0))*(TIME(17,0,0)-TIME(8,0,0))+IF(NETWORKDAYS(P218,P218,UKBankHolidays)&gt;0,MEDIAN(TIME(8,0,0),MOD(P218,1),TIME(17,0,0)),TIME(8,0,0))-IF(NETWORKDAYS(O218,O218,UKBankHolidays)&gt;0,MEDIAN(TIME(8,0,0),MOD(O218,1),TIME(17,0,0)),TIME(8,0,0))),0),AND(K218&lt;&gt;"",N218=""),((MAX(NETWORKDAYS(K218,NOW(),UKBankHolidays)-1,0))*(TIME(17,0,0)-TIME(8,0,0))+IF(NETWORKDAYS(NOW(),NOW(),UKBankHolidays)&gt;0,MEDIAN(TIME(8,0,0),MOD(NOW(),1),TIME(17,0,0)),TIME(8,0,0))-IF(NETWORKDAYS(K218,K218,UKBankHolidays)&gt;0,MEDIAN(TIME(8,0,0),MOD(K218,1),TIME(17,0,0)),TIME(8,0,0))))),IF(N218="",NOW()-K218,N218-K218))</f>
        <v>0</v>
      </c>
      <c r="AA218" s="12"/>
      <c r="AB218" s="12"/>
      <c r="AC218" s="12"/>
      <c r="AD218" s="12"/>
      <c r="AE218" s="12"/>
      <c r="AF218" s="12"/>
      <c r="AG218" s="12"/>
      <c r="AH218" s="12"/>
      <c r="AI218" s="12"/>
      <c r="AJ218" s="12"/>
      <c r="AK218" s="19"/>
    </row>
    <row r="219" spans="1:37" s="330" customFormat="1" ht="15" customHeight="1">
      <c r="A219" s="12">
        <v>218</v>
      </c>
      <c r="B219" s="12" t="s">
        <v>26</v>
      </c>
      <c r="C219" s="12" t="s">
        <v>37</v>
      </c>
      <c r="D219" s="12" t="s">
        <v>207</v>
      </c>
      <c r="E219" s="182" t="s">
        <v>5370</v>
      </c>
      <c r="F219" s="12" t="s">
        <v>36</v>
      </c>
      <c r="G219" s="12">
        <v>4</v>
      </c>
      <c r="H219" s="208" t="s">
        <v>5371</v>
      </c>
      <c r="I219" s="182" t="s">
        <v>271</v>
      </c>
      <c r="J219" s="208" t="s">
        <v>4924</v>
      </c>
      <c r="K219" s="361">
        <v>46169.980208333334</v>
      </c>
      <c r="L219" s="361">
        <v>46028.540451388886</v>
      </c>
      <c r="M219" s="361">
        <v>46028.548344907409</v>
      </c>
      <c r="N219" s="361">
        <v>46087.455925925926</v>
      </c>
      <c r="O219" s="361">
        <v>46059.507152777776</v>
      </c>
      <c r="P219" s="361">
        <v>46059.508483796293</v>
      </c>
      <c r="Q219" s="182" t="s">
        <v>4925</v>
      </c>
      <c r="R219" s="12"/>
      <c r="S219" s="12"/>
      <c r="T219" s="12"/>
      <c r="U219" s="12" t="s">
        <v>371</v>
      </c>
      <c r="V219" s="12"/>
      <c r="W219" s="12"/>
      <c r="X219" s="12"/>
      <c r="Y219" s="12"/>
      <c r="Z219" s="167">
        <f ca="1">IF(NOT(OR(G219=1,G219=2)),MAX(0,_xlfn.IFS(AND(K219&lt;&gt;"",N219&lt;&gt;""),((MAX(NETWORKDAYS(K219,N219,UKBankHolidays)-1,0))*(TIME(17,0,0)-TIME(8,0,0))+IF(NETWORKDAYS(N219,N219,UKBankHolidays)&gt;0,MEDIAN(TIME(8,0,0),MOD(N219,1),TIME(17,0,0)),TIME(8,0,0))-IF(NETWORKDAYS(K219,K219,UKBankHolidays)&gt;0,MEDIAN(TIME(8,0,0),MOD(K219,1),TIME(17,0,0)),TIME(8,0,0)))-IF(AND(O219&lt;&gt;"",P219&lt;&gt;""),((MAX(NETWORKDAYS(O219,P219,UKBankHolidays)-1,0))*(TIME(17,0,0)-TIME(8,0,0))+IF(NETWORKDAYS(P219,P219,UKBankHolidays)&gt;0,MEDIAN(TIME(8,0,0),MOD(P219,1),TIME(17,0,0)),TIME(8,0,0))-IF(NETWORKDAYS(O219,O219,UKBankHolidays)&gt;0,MEDIAN(TIME(8,0,0),MOD(O219,1),TIME(17,0,0)),TIME(8,0,0))),0),AND(K219&lt;&gt;"",N219=""),((MAX(NETWORKDAYS(K219,NOW(),UKBankHolidays)-1,0))*(TIME(17,0,0)-TIME(8,0,0))+IF(NETWORKDAYS(NOW(),NOW(),UKBankHolidays)&gt;0,MEDIAN(TIME(8,0,0),MOD(NOW(),1),TIME(17,0,0)),TIME(8,0,0))-IF(NETWORKDAYS(K219,K219,UKBankHolidays)&gt;0,MEDIAN(TIME(8,0,0),MOD(K219,1),TIME(17,0,0)),TIME(8,0,0))))),IF(N219="",NOW()-K219,N219-K219))</f>
        <v>0</v>
      </c>
      <c r="AA219" s="12"/>
      <c r="AB219" s="12"/>
      <c r="AC219" s="12"/>
      <c r="AD219" s="12"/>
      <c r="AE219" s="12"/>
      <c r="AF219" s="12"/>
      <c r="AG219" s="12"/>
      <c r="AH219" s="12"/>
      <c r="AI219" s="12"/>
      <c r="AJ219" s="12"/>
      <c r="AK219" s="19"/>
    </row>
    <row r="220" spans="1:37" s="329" customFormat="1" ht="15" customHeight="1">
      <c r="A220" s="12">
        <v>219</v>
      </c>
      <c r="B220" s="18" t="s">
        <v>26</v>
      </c>
      <c r="C220" s="18" t="s">
        <v>37</v>
      </c>
      <c r="D220" s="18" t="s">
        <v>207</v>
      </c>
      <c r="E220" s="205" t="s">
        <v>5372</v>
      </c>
      <c r="F220" s="202" t="s">
        <v>36</v>
      </c>
      <c r="G220" s="18">
        <v>4</v>
      </c>
      <c r="H220" s="207" t="s">
        <v>5373</v>
      </c>
      <c r="I220" s="380" t="s">
        <v>266</v>
      </c>
      <c r="J220" s="205" t="s">
        <v>4943</v>
      </c>
      <c r="K220" s="381" t="s">
        <v>5374</v>
      </c>
      <c r="L220" s="381">
        <v>46201.513888888891</v>
      </c>
      <c r="M220" s="381" t="s">
        <v>5358</v>
      </c>
      <c r="N220" s="381" t="s">
        <v>5358</v>
      </c>
      <c r="O220" s="381"/>
      <c r="P220" s="381"/>
      <c r="Q220" s="18"/>
      <c r="R220" s="18"/>
      <c r="S220" s="18"/>
      <c r="T220" s="18"/>
      <c r="U220" s="18" t="s">
        <v>371</v>
      </c>
      <c r="V220" s="18"/>
      <c r="W220" s="18"/>
      <c r="X220" s="18"/>
      <c r="Y220" s="18"/>
      <c r="Z220" s="18"/>
      <c r="AA220" s="18"/>
      <c r="AB220" s="18"/>
      <c r="AC220" s="18"/>
      <c r="AD220" s="18"/>
      <c r="AE220" s="18"/>
      <c r="AF220" s="18"/>
      <c r="AG220" s="18"/>
      <c r="AH220" s="18"/>
      <c r="AI220" s="18"/>
      <c r="AJ220" s="18"/>
      <c r="AK220"/>
    </row>
    <row r="221" spans="1:37" ht="15" customHeight="1">
      <c r="A221" s="12">
        <v>220</v>
      </c>
      <c r="B221" s="12" t="s">
        <v>26</v>
      </c>
      <c r="C221" s="12" t="s">
        <v>37</v>
      </c>
      <c r="D221" s="12" t="s">
        <v>207</v>
      </c>
      <c r="E221" s="208" t="s">
        <v>5375</v>
      </c>
      <c r="F221" s="98" t="s">
        <v>36</v>
      </c>
      <c r="G221" s="12">
        <v>4</v>
      </c>
      <c r="H221" s="334" t="s">
        <v>5376</v>
      </c>
      <c r="I221" s="182" t="s">
        <v>271</v>
      </c>
      <c r="J221" s="208" t="s">
        <v>4940</v>
      </c>
      <c r="K221" s="361">
        <v>46201.425324074073</v>
      </c>
      <c r="L221" s="361">
        <v>46201.654861111114</v>
      </c>
      <c r="M221" s="361"/>
      <c r="N221" s="361"/>
      <c r="O221" s="361"/>
      <c r="P221" s="361"/>
      <c r="Q221" s="12"/>
      <c r="R221" s="12"/>
      <c r="S221" s="12"/>
      <c r="T221" s="12"/>
      <c r="U221" s="12" t="s">
        <v>371</v>
      </c>
      <c r="V221" s="12"/>
      <c r="W221" s="12"/>
      <c r="X221" s="12"/>
      <c r="Y221" s="12"/>
      <c r="Z221" s="12"/>
      <c r="AA221" s="12"/>
      <c r="AB221" s="12"/>
      <c r="AC221" s="12"/>
      <c r="AD221" s="12"/>
      <c r="AE221" s="12"/>
      <c r="AF221" s="12"/>
      <c r="AG221" s="12"/>
      <c r="AH221" s="12"/>
      <c r="AI221" s="12"/>
      <c r="AJ221" s="12"/>
      <c r="AK221" s="12"/>
    </row>
    <row r="222" spans="1:37" s="45" customFormat="1" ht="15" customHeight="1">
      <c r="A222" s="12">
        <v>221</v>
      </c>
      <c r="B222" s="327" t="s">
        <v>26</v>
      </c>
      <c r="C222" s="327" t="s">
        <v>37</v>
      </c>
      <c r="D222" s="327" t="s">
        <v>207</v>
      </c>
      <c r="E222" s="331" t="s">
        <v>5247</v>
      </c>
      <c r="F222" s="389" t="s">
        <v>36</v>
      </c>
      <c r="G222" s="327">
        <v>4</v>
      </c>
      <c r="H222" s="333" t="s">
        <v>5377</v>
      </c>
      <c r="I222" s="332" t="s">
        <v>260</v>
      </c>
      <c r="J222" s="331" t="s">
        <v>5378</v>
      </c>
      <c r="K222" s="386" t="s">
        <v>5379</v>
      </c>
      <c r="L222" s="386">
        <v>46201.929166666669</v>
      </c>
      <c r="M222" s="386"/>
      <c r="N222" s="386"/>
      <c r="O222" s="386"/>
      <c r="P222" s="386"/>
      <c r="Q222" s="327"/>
      <c r="R222" s="328"/>
      <c r="S222" s="327"/>
      <c r="T222" s="327"/>
      <c r="U222" s="327" t="s">
        <v>371</v>
      </c>
      <c r="V222" s="327"/>
      <c r="W222" s="327"/>
      <c r="X222" s="327"/>
      <c r="Y222" s="327"/>
      <c r="Z222" s="327"/>
      <c r="AA222" s="327"/>
      <c r="AB222" s="327"/>
      <c r="AC222" s="327"/>
      <c r="AD222" s="327"/>
      <c r="AE222" s="327"/>
      <c r="AF222" s="327"/>
      <c r="AG222" s="327"/>
      <c r="AH222" s="327"/>
      <c r="AI222" s="327"/>
      <c r="AJ222" s="327"/>
      <c r="AK222" s="327"/>
    </row>
    <row r="223" spans="1:37" s="45" customFormat="1" ht="15" customHeight="1">
      <c r="A223" s="378">
        <v>222</v>
      </c>
      <c r="B223" s="365" t="s">
        <v>26</v>
      </c>
      <c r="C223" s="365" t="s">
        <v>37</v>
      </c>
      <c r="D223" s="365" t="s">
        <v>207</v>
      </c>
      <c r="E223" s="367" t="s">
        <v>4941</v>
      </c>
      <c r="F223" s="373" t="s">
        <v>36</v>
      </c>
      <c r="G223" s="365">
        <v>4</v>
      </c>
      <c r="H223" s="374" t="s">
        <v>5380</v>
      </c>
      <c r="I223" s="366" t="s">
        <v>260</v>
      </c>
      <c r="J223" s="367" t="s">
        <v>5080</v>
      </c>
      <c r="K223" s="368" t="s">
        <v>5381</v>
      </c>
      <c r="L223" s="368">
        <v>46198.651388888888</v>
      </c>
      <c r="M223" s="368" t="s">
        <v>5358</v>
      </c>
      <c r="N223" s="368" t="s">
        <v>5358</v>
      </c>
      <c r="O223" s="368"/>
      <c r="P223" s="368"/>
      <c r="Q223" s="365"/>
      <c r="R223" s="375"/>
      <c r="S223" s="365"/>
      <c r="T223" s="365"/>
      <c r="U223" s="365" t="s">
        <v>371</v>
      </c>
      <c r="V223" s="365"/>
      <c r="W223" s="365"/>
      <c r="X223" s="365"/>
      <c r="Y223" s="365"/>
      <c r="Z223" s="365"/>
      <c r="AA223" s="365"/>
      <c r="AB223" s="365"/>
      <c r="AC223" s="365"/>
      <c r="AD223" s="365"/>
      <c r="AE223" s="365"/>
      <c r="AF223" s="365"/>
      <c r="AG223" s="365"/>
      <c r="AH223" s="365"/>
      <c r="AI223" s="365"/>
      <c r="AJ223" s="365"/>
      <c r="AK223" s="365"/>
    </row>
    <row r="224" spans="1:37" ht="15" customHeight="1">
      <c r="A224" s="12">
        <v>223</v>
      </c>
      <c r="B224" s="12" t="s">
        <v>26</v>
      </c>
      <c r="C224" s="12" t="s">
        <v>37</v>
      </c>
      <c r="D224" s="12" t="s">
        <v>207</v>
      </c>
      <c r="E224" s="182" t="s">
        <v>5382</v>
      </c>
      <c r="F224" s="12" t="s">
        <v>36</v>
      </c>
      <c r="G224" s="12">
        <v>4</v>
      </c>
      <c r="H224" s="208" t="s">
        <v>5383</v>
      </c>
      <c r="I224" s="182" t="s">
        <v>271</v>
      </c>
      <c r="J224" s="182" t="s">
        <v>4943</v>
      </c>
      <c r="K224" s="361">
        <v>46171.79483796296</v>
      </c>
      <c r="L224" s="361">
        <v>46171.794849537036</v>
      </c>
      <c r="M224" s="361">
        <v>46028.406840277778</v>
      </c>
      <c r="N224" s="361">
        <v>46271.632268518515</v>
      </c>
      <c r="O224" s="361">
        <v>46087.72347222222</v>
      </c>
      <c r="P224" s="361">
        <v>46148.791944444441</v>
      </c>
      <c r="Q224" s="182" t="s">
        <v>4925</v>
      </c>
      <c r="R224" s="12"/>
      <c r="S224" s="12"/>
      <c r="T224" s="12"/>
      <c r="U224" s="12" t="s">
        <v>371</v>
      </c>
      <c r="V224" s="12"/>
      <c r="W224" s="12"/>
      <c r="X224" s="12"/>
      <c r="Y224" s="12"/>
      <c r="Z224" s="167">
        <f ca="1">IF(NOT(OR(G224=1,G224=2)),MAX(0,_xlfn.IFS(AND(K224&lt;&gt;"",N224&lt;&gt;""),((MAX(NETWORKDAYS(K224,N224,UKBankHolidays)-1,0))*(TIME(17,0,0)-TIME(8,0,0))+IF(NETWORKDAYS(N224,N224,UKBankHolidays)&gt;0,MEDIAN(TIME(8,0,0),MOD(N224,1),TIME(17,0,0)),TIME(8,0,0))-IF(NETWORKDAYS(K224,K224,UKBankHolidays)&gt;0,MEDIAN(TIME(8,0,0),MOD(K224,1),TIME(17,0,0)),TIME(8,0,0)))-IF(AND(O224&lt;&gt;"",P224&lt;&gt;""),((MAX(NETWORKDAYS(O224,P224,UKBankHolidays)-1,0))*(TIME(17,0,0)-TIME(8,0,0))+IF(NETWORKDAYS(P224,P224,UKBankHolidays)&gt;0,MEDIAN(TIME(8,0,0),MOD(P224,1),TIME(17,0,0)),TIME(8,0,0))-IF(NETWORKDAYS(O224,O224,UKBankHolidays)&gt;0,MEDIAN(TIME(8,0,0),MOD(O224,1),TIME(17,0,0)),TIME(8,0,0))),0),AND(K224&lt;&gt;"",N224=""),((MAX(NETWORKDAYS(K224,NOW(),UKBankHolidays)-1,0))*(TIME(17,0,0)-TIME(8,0,0))+IF(NETWORKDAYS(NOW(),NOW(),UKBankHolidays)&gt;0,MEDIAN(TIME(8,0,0),MOD(NOW(),1),TIME(17,0,0)),TIME(8,0,0))-IF(NETWORKDAYS(K224,K224,UKBankHolidays)&gt;0,MEDIAN(TIME(8,0,0),MOD(K224,1),TIME(17,0,0)),TIME(8,0,0))))),IF(N224="",NOW()-K224,N224-K224))</f>
        <v>10.875000000000002</v>
      </c>
      <c r="AA224" s="12"/>
      <c r="AB224" s="12"/>
      <c r="AC224" s="12"/>
      <c r="AD224" s="12"/>
      <c r="AE224" s="12"/>
      <c r="AF224" s="12"/>
      <c r="AG224" s="12"/>
      <c r="AH224" s="12"/>
      <c r="AI224" s="12"/>
      <c r="AJ224" s="12"/>
      <c r="AK224" s="12"/>
    </row>
    <row r="225" spans="1:37" ht="15" customHeight="1">
      <c r="A225" s="12">
        <v>224</v>
      </c>
      <c r="B225" s="12" t="s">
        <v>26</v>
      </c>
      <c r="C225" s="12" t="s">
        <v>37</v>
      </c>
      <c r="D225" s="12" t="s">
        <v>207</v>
      </c>
      <c r="E225" s="208" t="s">
        <v>5384</v>
      </c>
      <c r="F225" s="98" t="s">
        <v>36</v>
      </c>
      <c r="G225" s="12">
        <v>3</v>
      </c>
      <c r="H225" s="334" t="s">
        <v>5385</v>
      </c>
      <c r="I225" s="182" t="s">
        <v>271</v>
      </c>
      <c r="J225" s="208" t="s">
        <v>4943</v>
      </c>
      <c r="K225" s="361">
        <v>46202.250381944446</v>
      </c>
      <c r="L225" s="361">
        <v>46202.479861111111</v>
      </c>
      <c r="M225" s="361"/>
      <c r="N225" s="361"/>
      <c r="O225" s="361"/>
      <c r="P225" s="361"/>
      <c r="Q225" s="12"/>
      <c r="R225" s="12"/>
      <c r="S225" s="12"/>
      <c r="T225" s="12"/>
      <c r="U225" s="12" t="s">
        <v>371</v>
      </c>
      <c r="V225" s="12"/>
      <c r="W225" s="12"/>
      <c r="X225" s="12"/>
      <c r="Y225" s="12"/>
      <c r="Z225" s="12"/>
      <c r="AA225" s="12"/>
      <c r="AB225" s="12"/>
      <c r="AC225" s="12"/>
      <c r="AD225" s="12"/>
      <c r="AE225" s="12"/>
      <c r="AF225" s="12"/>
      <c r="AG225" s="12"/>
      <c r="AH225" s="12"/>
      <c r="AI225" s="12"/>
      <c r="AJ225" s="12"/>
      <c r="AK225" s="12"/>
    </row>
    <row r="226" spans="1:37" s="45" customFormat="1" ht="15" customHeight="1">
      <c r="A226" s="12">
        <v>225</v>
      </c>
      <c r="B226" s="327" t="s">
        <v>26</v>
      </c>
      <c r="C226" s="327" t="s">
        <v>37</v>
      </c>
      <c r="D226" s="327" t="s">
        <v>207</v>
      </c>
      <c r="E226" s="331" t="s">
        <v>5386</v>
      </c>
      <c r="F226" s="389" t="s">
        <v>36</v>
      </c>
      <c r="G226" s="327">
        <v>4</v>
      </c>
      <c r="H226" s="333" t="s">
        <v>5387</v>
      </c>
      <c r="I226" s="332" t="s">
        <v>266</v>
      </c>
      <c r="J226" s="331" t="s">
        <v>5388</v>
      </c>
      <c r="K226" s="386" t="s">
        <v>5389</v>
      </c>
      <c r="L226" s="386">
        <v>46202.884027777778</v>
      </c>
      <c r="M226" s="386"/>
      <c r="N226" s="386"/>
      <c r="O226" s="386"/>
      <c r="P226" s="386"/>
      <c r="Q226" s="327"/>
      <c r="R226" s="328"/>
      <c r="S226" s="327"/>
      <c r="T226" s="327"/>
      <c r="U226" s="327" t="s">
        <v>371</v>
      </c>
      <c r="V226" s="327"/>
      <c r="W226" s="327"/>
      <c r="X226" s="327"/>
      <c r="Y226" s="327"/>
      <c r="Z226" s="327"/>
      <c r="AA226" s="327"/>
      <c r="AB226" s="327"/>
      <c r="AC226" s="327"/>
      <c r="AD226" s="327"/>
      <c r="AE226" s="327"/>
      <c r="AF226" s="327"/>
      <c r="AG226" s="327"/>
      <c r="AH226" s="327"/>
      <c r="AI226" s="327"/>
      <c r="AJ226" s="327"/>
      <c r="AK226" s="327"/>
    </row>
    <row r="227" spans="1:37" s="45" customFormat="1" ht="15" customHeight="1">
      <c r="A227" s="12">
        <v>226</v>
      </c>
      <c r="B227" s="12" t="s">
        <v>26</v>
      </c>
      <c r="C227" s="12" t="s">
        <v>37</v>
      </c>
      <c r="D227" s="12" t="s">
        <v>207</v>
      </c>
      <c r="E227" s="331" t="s">
        <v>5252</v>
      </c>
      <c r="F227" s="98" t="s">
        <v>36</v>
      </c>
      <c r="G227" s="12">
        <v>4</v>
      </c>
      <c r="H227" s="333" t="s">
        <v>5390</v>
      </c>
      <c r="I227" s="182" t="s">
        <v>260</v>
      </c>
      <c r="J227" s="208" t="s">
        <v>5391</v>
      </c>
      <c r="K227" s="361" t="s">
        <v>5392</v>
      </c>
      <c r="L227" s="361">
        <v>46202.913194444445</v>
      </c>
      <c r="M227" s="361"/>
      <c r="N227" s="361"/>
      <c r="O227" s="361"/>
      <c r="P227" s="361"/>
      <c r="Q227" s="12"/>
      <c r="R227" s="328"/>
      <c r="S227" s="327"/>
      <c r="T227" s="327"/>
      <c r="U227" s="327" t="s">
        <v>371</v>
      </c>
      <c r="V227" s="327"/>
      <c r="W227" s="327"/>
      <c r="X227" s="327"/>
      <c r="Y227" s="327"/>
      <c r="Z227" s="327"/>
      <c r="AA227" s="327"/>
      <c r="AB227" s="327"/>
      <c r="AC227" s="327"/>
      <c r="AD227" s="327"/>
      <c r="AE227" s="327"/>
      <c r="AF227" s="327"/>
      <c r="AG227" s="327"/>
      <c r="AH227" s="327"/>
      <c r="AI227" s="327"/>
      <c r="AJ227" s="327"/>
      <c r="AK227" s="327"/>
    </row>
    <row r="228" spans="1:37" s="45" customFormat="1" ht="15" customHeight="1">
      <c r="A228" s="378">
        <v>227</v>
      </c>
      <c r="B228" s="12" t="s">
        <v>26</v>
      </c>
      <c r="C228" s="12" t="s">
        <v>37</v>
      </c>
      <c r="D228" s="12" t="s">
        <v>207</v>
      </c>
      <c r="E228" s="331" t="s">
        <v>5393</v>
      </c>
      <c r="F228" s="98" t="s">
        <v>36</v>
      </c>
      <c r="G228" s="12">
        <v>4</v>
      </c>
      <c r="H228" s="333" t="s">
        <v>5394</v>
      </c>
      <c r="I228" s="182" t="s">
        <v>266</v>
      </c>
      <c r="J228" s="331" t="s">
        <v>4928</v>
      </c>
      <c r="K228" s="361" t="s">
        <v>5395</v>
      </c>
      <c r="L228" s="361">
        <v>46203.7</v>
      </c>
      <c r="M228" s="361"/>
      <c r="N228" s="361"/>
      <c r="O228" s="361"/>
      <c r="P228" s="361"/>
      <c r="Q228" s="327"/>
      <c r="R228" s="328"/>
      <c r="S228" s="327"/>
      <c r="T228" s="327"/>
      <c r="U228" s="327" t="s">
        <v>371</v>
      </c>
      <c r="V228" s="327"/>
      <c r="W228" s="327"/>
      <c r="X228" s="327"/>
      <c r="Y228" s="327"/>
      <c r="Z228" s="327"/>
      <c r="AA228" s="327"/>
      <c r="AB228" s="327"/>
      <c r="AC228" s="327"/>
      <c r="AD228" s="327"/>
      <c r="AE228" s="327"/>
      <c r="AF228" s="327"/>
      <c r="AG228" s="327"/>
      <c r="AH228" s="327"/>
      <c r="AI228" s="327"/>
      <c r="AJ228" s="327"/>
      <c r="AK228" s="327"/>
    </row>
    <row r="229" spans="1:37" s="45" customFormat="1" ht="15" customHeight="1">
      <c r="A229" s="12">
        <v>228</v>
      </c>
      <c r="B229" s="365" t="s">
        <v>26</v>
      </c>
      <c r="C229" s="365" t="s">
        <v>37</v>
      </c>
      <c r="D229" s="365" t="s">
        <v>207</v>
      </c>
      <c r="E229" s="376" t="s">
        <v>5254</v>
      </c>
      <c r="F229" s="373" t="s">
        <v>36</v>
      </c>
      <c r="G229" s="365">
        <v>4</v>
      </c>
      <c r="H229" s="377" t="s">
        <v>5396</v>
      </c>
      <c r="I229" s="366" t="s">
        <v>266</v>
      </c>
      <c r="J229" s="376" t="s">
        <v>4928</v>
      </c>
      <c r="K229" s="368" t="s">
        <v>5397</v>
      </c>
      <c r="L229" s="368">
        <v>46203.113194444442</v>
      </c>
      <c r="M229" s="368"/>
      <c r="N229" s="368"/>
      <c r="O229" s="368"/>
      <c r="P229" s="368"/>
      <c r="Q229" s="378"/>
      <c r="R229" s="379"/>
      <c r="S229" s="378"/>
      <c r="T229" s="378"/>
      <c r="U229" s="378" t="s">
        <v>371</v>
      </c>
      <c r="V229" s="378"/>
      <c r="W229" s="378"/>
      <c r="X229" s="378"/>
      <c r="Y229" s="378"/>
      <c r="Z229" s="378"/>
      <c r="AA229" s="378"/>
      <c r="AB229" s="378"/>
      <c r="AC229" s="378"/>
      <c r="AD229" s="378"/>
      <c r="AE229" s="378"/>
      <c r="AF229" s="378"/>
      <c r="AG229" s="378"/>
      <c r="AH229" s="378"/>
      <c r="AI229" s="378"/>
      <c r="AJ229" s="378"/>
      <c r="AK229" s="378"/>
    </row>
    <row r="230" spans="1:37" ht="15" customHeight="1">
      <c r="A230" s="12">
        <v>229</v>
      </c>
      <c r="B230" s="12" t="s">
        <v>26</v>
      </c>
      <c r="C230" s="12" t="s">
        <v>37</v>
      </c>
      <c r="D230" s="12" t="s">
        <v>207</v>
      </c>
      <c r="E230" s="182" t="s">
        <v>5398</v>
      </c>
      <c r="F230" s="12" t="s">
        <v>36</v>
      </c>
      <c r="G230" s="12">
        <v>4</v>
      </c>
      <c r="H230" s="208" t="s">
        <v>1598</v>
      </c>
      <c r="I230" s="182" t="s">
        <v>271</v>
      </c>
      <c r="J230" s="208" t="s">
        <v>4940</v>
      </c>
      <c r="K230" s="361">
        <v>46173.034224537034</v>
      </c>
      <c r="L230" s="361">
        <v>46173.034247685187</v>
      </c>
      <c r="M230" s="361">
        <v>46028.407916666663</v>
      </c>
      <c r="N230" s="361">
        <v>46301.420590277776</v>
      </c>
      <c r="O230" s="361">
        <v>46148.835590277777</v>
      </c>
      <c r="P230" s="361">
        <v>46301.055590277778</v>
      </c>
      <c r="Q230" s="182" t="s">
        <v>4925</v>
      </c>
      <c r="R230" s="12"/>
      <c r="S230" s="12"/>
      <c r="T230" s="12"/>
      <c r="U230" s="12" t="s">
        <v>371</v>
      </c>
      <c r="V230" s="12"/>
      <c r="W230" s="12"/>
      <c r="X230" s="12"/>
      <c r="Y230" s="12"/>
      <c r="Z230" s="167">
        <f ca="1">IF(NOT(OR(G230=1,G230=2)),MAX(0,_xlfn.IFS(AND(K230&lt;&gt;"",N230&lt;&gt;""),((MAX(NETWORKDAYS(K230,N230,UKBankHolidays)-1,0))*(TIME(17,0,0)-TIME(8,0,0))+IF(NETWORKDAYS(N230,N230,UKBankHolidays)&gt;0,MEDIAN(TIME(8,0,0),MOD(N230,1),TIME(17,0,0)),TIME(8,0,0))-IF(NETWORKDAYS(K230,K230,UKBankHolidays)&gt;0,MEDIAN(TIME(8,0,0),MOD(K230,1),TIME(17,0,0)),TIME(8,0,0)))-IF(AND(O230&lt;&gt;"",P230&lt;&gt;""),((MAX(NETWORKDAYS(O230,P230,UKBankHolidays)-1,0))*(TIME(17,0,0)-TIME(8,0,0))+IF(NETWORKDAYS(P230,P230,UKBankHolidays)&gt;0,MEDIAN(TIME(8,0,0),MOD(P230,1),TIME(17,0,0)),TIME(8,0,0))-IF(NETWORKDAYS(O230,O230,UKBankHolidays)&gt;0,MEDIAN(TIME(8,0,0),MOD(O230,1),TIME(17,0,0)),TIME(8,0,0))),0),AND(K230&lt;&gt;"",N230=""),((MAX(NETWORKDAYS(K230,NOW(),UKBankHolidays)-1,0))*(TIME(17,0,0)-TIME(8,0,0))+IF(NETWORKDAYS(NOW(),NOW(),UKBankHolidays)&gt;0,MEDIAN(TIME(8,0,0),MOD(NOW(),1),TIME(17,0,0)),TIME(8,0,0))-IF(NETWORKDAYS(K230,K230,UKBankHolidays)&gt;0,MEDIAN(TIME(8,0,0),MOD(K230,1),TIME(17,0,0)),TIME(8,0,0))))),IF(N230="",NOW()-K230,N230-K230))</f>
        <v>0</v>
      </c>
      <c r="AA230" s="12"/>
      <c r="AB230" s="12"/>
      <c r="AC230" s="12"/>
      <c r="AD230" s="12"/>
      <c r="AE230" s="12"/>
      <c r="AF230" s="12"/>
      <c r="AG230" s="12"/>
      <c r="AH230" s="12"/>
      <c r="AI230" s="12"/>
      <c r="AJ230" s="12"/>
      <c r="AK230" s="12"/>
    </row>
    <row r="231" spans="1:37" ht="15" customHeight="1">
      <c r="A231" s="12">
        <v>230</v>
      </c>
      <c r="B231" s="19" t="s">
        <v>26</v>
      </c>
      <c r="C231" s="19" t="s">
        <v>37</v>
      </c>
      <c r="D231" s="19" t="s">
        <v>207</v>
      </c>
      <c r="E231" s="19" t="s">
        <v>5399</v>
      </c>
      <c r="F231" s="19" t="s">
        <v>36</v>
      </c>
      <c r="G231" s="19">
        <v>4</v>
      </c>
      <c r="H231" s="19" t="s">
        <v>5400</v>
      </c>
      <c r="I231" s="182" t="s">
        <v>271</v>
      </c>
      <c r="J231" s="19" t="s">
        <v>4943</v>
      </c>
      <c r="K231" s="19"/>
      <c r="L231" s="19"/>
      <c r="M231" s="19"/>
      <c r="N231" s="19"/>
      <c r="O231" s="19"/>
      <c r="P231" s="19"/>
      <c r="Q231" s="19"/>
      <c r="R231" s="19"/>
      <c r="S231" s="19"/>
      <c r="T231" s="19"/>
      <c r="U231" s="19"/>
      <c r="V231" s="19"/>
      <c r="W231" s="19"/>
      <c r="X231" s="19"/>
      <c r="Y231" s="19"/>
      <c r="Z231" s="19"/>
      <c r="AA231" s="19"/>
      <c r="AB231" s="19"/>
      <c r="AC231" s="19"/>
      <c r="AD231" s="19"/>
      <c r="AE231" s="19"/>
      <c r="AF231" s="19"/>
      <c r="AG231" s="19"/>
      <c r="AH231" s="19"/>
      <c r="AI231" s="19"/>
      <c r="AJ231" s="19"/>
      <c r="AK231" s="12"/>
    </row>
    <row r="232" spans="1:37" s="45" customFormat="1" ht="15" customHeight="1">
      <c r="A232" s="12">
        <v>231</v>
      </c>
      <c r="B232" s="378"/>
      <c r="C232" s="378"/>
      <c r="D232" s="378" t="s">
        <v>207</v>
      </c>
      <c r="E232" s="378"/>
      <c r="F232" s="378"/>
      <c r="G232" s="378"/>
      <c r="H232" s="378"/>
      <c r="I232" s="202"/>
      <c r="J232" s="378"/>
      <c r="K232" s="378"/>
      <c r="L232" s="378"/>
      <c r="M232" s="378"/>
      <c r="N232" s="378"/>
      <c r="O232" s="378"/>
      <c r="P232" s="378"/>
      <c r="Q232" s="378"/>
      <c r="R232" s="378"/>
      <c r="S232" s="378"/>
      <c r="T232" s="378"/>
      <c r="U232" s="378"/>
      <c r="V232" s="378"/>
      <c r="W232" s="378"/>
      <c r="X232" s="378"/>
      <c r="Y232" s="378"/>
      <c r="Z232" s="378"/>
      <c r="AA232" s="378"/>
      <c r="AB232" s="378"/>
      <c r="AC232" s="378"/>
      <c r="AD232" s="378"/>
      <c r="AE232" s="378"/>
      <c r="AF232" s="378"/>
      <c r="AG232" s="378"/>
      <c r="AH232" s="378"/>
      <c r="AI232" s="378"/>
      <c r="AJ232" s="378"/>
      <c r="AK232" s="378"/>
    </row>
    <row r="233" spans="1:37" ht="15" customHeight="1">
      <c r="A233" s="12"/>
      <c r="B233" s="12"/>
      <c r="C233" s="12"/>
      <c r="D233" s="12"/>
      <c r="E233" s="12"/>
      <c r="F233" s="12"/>
      <c r="G233" s="12"/>
      <c r="H233" s="12"/>
      <c r="I233" s="98"/>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row>
    <row r="234" spans="1:37" ht="15" customHeight="1">
      <c r="A234" s="12"/>
      <c r="B234" s="12"/>
      <c r="C234" s="12"/>
      <c r="D234" s="12"/>
      <c r="E234" s="12"/>
      <c r="F234" s="12"/>
      <c r="G234" s="12"/>
      <c r="H234" s="12"/>
      <c r="I234" s="98"/>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row>
    <row r="235" spans="1:37" ht="15" customHeight="1">
      <c r="A235" s="12"/>
      <c r="B235" s="12"/>
      <c r="C235" s="12"/>
      <c r="D235" s="12"/>
      <c r="E235" s="12"/>
      <c r="F235" s="12"/>
      <c r="G235" s="12"/>
      <c r="H235" s="12"/>
      <c r="I235" s="98"/>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row>
    <row r="236" spans="1:37" ht="15" customHeight="1">
      <c r="A236" s="12"/>
      <c r="B236" s="12"/>
      <c r="C236" s="12"/>
      <c r="D236" s="12"/>
      <c r="E236" s="12"/>
      <c r="F236" s="12"/>
      <c r="G236" s="12"/>
      <c r="H236" s="12"/>
      <c r="I236" s="98"/>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row>
    <row r="237" spans="1:37" ht="15" customHeight="1">
      <c r="A237" s="12"/>
      <c r="B237" s="12"/>
      <c r="C237" s="12"/>
      <c r="D237" s="12"/>
      <c r="E237" s="12"/>
      <c r="F237" s="12"/>
      <c r="G237" s="12"/>
      <c r="H237" s="12"/>
      <c r="I237" s="98"/>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row>
    <row r="238" spans="1:37" ht="15" customHeight="1">
      <c r="A238" s="12"/>
      <c r="B238" s="12"/>
      <c r="C238" s="12"/>
      <c r="D238" s="12"/>
      <c r="E238" s="12"/>
      <c r="F238" s="12"/>
      <c r="G238" s="12"/>
      <c r="H238" s="12"/>
      <c r="I238" s="98"/>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row>
    <row r="239" spans="1:37" ht="1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row>
    <row r="240" spans="1:37" ht="1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row>
    <row r="241" spans="1:37" ht="1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row>
    <row r="242" spans="1:37" ht="1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row>
    <row r="243" spans="1:37" ht="1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row>
    <row r="244" spans="1:37" ht="1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row>
    <row r="245" spans="1:37" ht="1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row>
    <row r="246" spans="1:37" ht="1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row>
    <row r="247" spans="1:37" ht="1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row>
    <row r="248" spans="1:37" ht="1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c r="AK248" s="12"/>
    </row>
    <row r="249" spans="1:37" ht="1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row>
    <row r="250" spans="1:37" ht="1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row>
    <row r="251" spans="1:37" ht="1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row>
    <row r="252" spans="1:37" ht="1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row>
    <row r="253" spans="1:37" ht="1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row>
    <row r="254" spans="1:37" ht="1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row>
    <row r="255" spans="1:37" ht="1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row>
    <row r="256" spans="1:37" ht="1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row>
    <row r="257" spans="1:37" ht="1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row>
    <row r="258" spans="1:37" ht="1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row>
    <row r="259" spans="1:37" ht="1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row>
    <row r="260" spans="1:37" ht="1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row>
    <row r="261" spans="1:37" ht="1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row>
    <row r="262" spans="1:37" ht="1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row>
    <row r="263" spans="1:37" ht="1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row>
    <row r="264" spans="1:37" ht="1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row>
    <row r="265" spans="1:37" ht="1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row>
    <row r="266" spans="1:37" ht="1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row>
    <row r="267" spans="1:37" ht="1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row>
    <row r="268" spans="1:37" ht="1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row>
    <row r="269" spans="1:37" ht="1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row>
    <row r="270" spans="1:37" ht="1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row>
    <row r="271" spans="1:37" ht="1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row>
    <row r="272" spans="1:37" ht="1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row>
    <row r="273" spans="1:37" ht="1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row>
    <row r="274" spans="1:37" ht="1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row>
    <row r="275" spans="1:37" ht="1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row>
    <row r="276" spans="1:37" ht="1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row>
    <row r="277" spans="1:37" ht="1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row>
    <row r="278" spans="1:37" ht="1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row>
    <row r="279" spans="1:37" ht="1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row>
    <row r="280" spans="1:37" ht="1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row>
    <row r="281" spans="1:37" ht="1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row>
    <row r="282" spans="1:37" ht="1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row>
    <row r="283" spans="1:37" ht="1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row>
    <row r="284" spans="1:37" ht="1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row>
    <row r="285" spans="1:37" ht="1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row>
    <row r="286" spans="1:37" ht="1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row>
    <row r="287" spans="1:37" ht="1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row>
    <row r="288" spans="1:37" ht="1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row>
    <row r="289" spans="1:37" ht="1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row>
    <row r="290" spans="1:37" ht="1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row>
    <row r="291" spans="1:37" ht="1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row>
    <row r="292" spans="1:37" ht="1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row>
    <row r="293" spans="1:37" ht="1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row>
    <row r="294" spans="1:37" ht="1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c r="AK294" s="12"/>
    </row>
    <row r="295" spans="1:37" ht="1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row>
    <row r="296" spans="1:37" ht="1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c r="AK296" s="12"/>
    </row>
    <row r="297" spans="1:37" ht="1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row>
    <row r="298" spans="1:37" ht="1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row>
    <row r="299" spans="1:37" ht="1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row>
    <row r="300" spans="1:37" ht="1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row>
    <row r="301" spans="1:37" ht="1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row>
    <row r="302" spans="1:37" ht="1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row>
    <row r="303" spans="1:37" ht="1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row>
    <row r="304" spans="1:37" ht="1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row>
    <row r="305" spans="1:37" ht="1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row>
    <row r="306" spans="1:37" ht="1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row>
    <row r="307" spans="1:37" ht="1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row>
    <row r="308" spans="1:37" ht="1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row>
    <row r="309" spans="1:37" ht="1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row>
    <row r="310" spans="1:37" ht="1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row>
    <row r="311" spans="1:37" ht="1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row>
    <row r="312" spans="1:37" ht="1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row>
    <row r="313" spans="1:37" ht="1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row>
    <row r="314" spans="1:37" ht="1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row>
    <row r="315" spans="1:37" ht="1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row>
    <row r="316" spans="1:37" ht="1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row>
    <row r="317" spans="1:37" ht="1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row>
    <row r="318" spans="1:37" ht="1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row>
    <row r="319" spans="1:37" ht="1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row>
    <row r="320" spans="1:37" ht="1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c r="AK320" s="12"/>
    </row>
    <row r="321" spans="1:37" ht="1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row>
    <row r="322" spans="1:37" ht="1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row>
    <row r="323" spans="1:37" ht="1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row>
    <row r="324" spans="1:37" ht="1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row>
    <row r="325" spans="1:37" ht="1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row>
    <row r="326" spans="1:37" ht="1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row>
    <row r="327" spans="1:37" ht="1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row>
    <row r="328" spans="1:37" ht="1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row>
    <row r="329" spans="1:37" ht="1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row>
    <row r="330" spans="1:37" ht="1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row>
    <row r="331" spans="1:37" ht="1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row>
    <row r="332" spans="1:37" ht="1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row>
    <row r="333" spans="1:37" ht="1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row>
    <row r="334" spans="1:37" ht="1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row>
    <row r="335" spans="1:37" ht="1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row>
    <row r="336" spans="1:37" ht="1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c r="AK336" s="12"/>
    </row>
    <row r="337" spans="1:37" ht="1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row>
    <row r="338" spans="1:37" ht="1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c r="AK338" s="12"/>
    </row>
    <row r="339" spans="1:37" ht="1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row>
    <row r="340" spans="1:37" ht="1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c r="AK340" s="12"/>
    </row>
    <row r="341" spans="1:37" ht="1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row>
    <row r="342" spans="1:37" ht="1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c r="AK342" s="12"/>
    </row>
    <row r="343" spans="1:37" ht="1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row>
    <row r="344" spans="1:37" ht="1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c r="AK344" s="12"/>
    </row>
    <row r="345" spans="1:37" ht="1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row>
    <row r="346" spans="1:37" ht="1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c r="AK346" s="12"/>
    </row>
    <row r="347" spans="1:37" ht="1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row>
    <row r="348" spans="1:37" ht="1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c r="AK348" s="12"/>
    </row>
    <row r="349" spans="1:37" ht="1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row>
    <row r="350" spans="1:37" ht="1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c r="AK350" s="12"/>
    </row>
    <row r="351" spans="1:37" ht="1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row>
    <row r="352" spans="1:37" ht="1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c r="AK352" s="12"/>
    </row>
    <row r="353" spans="1:37" ht="1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row>
    <row r="354" spans="1:37" ht="1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row>
    <row r="355" spans="1:37" ht="1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row>
    <row r="356" spans="1:37" ht="1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row>
    <row r="357" spans="1:37" ht="1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row>
    <row r="358" spans="1:37" ht="1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c r="AK358" s="12"/>
    </row>
    <row r="359" spans="1:37" ht="1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row>
    <row r="360" spans="1:37" ht="1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c r="AK360" s="12"/>
    </row>
    <row r="361" spans="1:37" ht="1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row>
    <row r="362" spans="1:37" ht="1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c r="AK362" s="12"/>
    </row>
    <row r="363" spans="1:37" ht="1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row>
    <row r="364" spans="1:37" ht="1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c r="AK364" s="12"/>
    </row>
    <row r="365" spans="1:37" ht="1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row>
    <row r="366" spans="1:37" ht="1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c r="AK366" s="12"/>
    </row>
    <row r="367" spans="1:37" ht="1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row>
    <row r="368" spans="1:37" ht="1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c r="AK368" s="12"/>
    </row>
    <row r="369" spans="1:37" ht="1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row>
    <row r="370" spans="1:37" ht="1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c r="AK370" s="12"/>
    </row>
    <row r="371" spans="1:37" ht="1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row>
    <row r="372" spans="1:37" ht="1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row>
    <row r="373" spans="1:37" ht="1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row>
    <row r="374" spans="1:37" ht="1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row>
    <row r="375" spans="1:37" ht="1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row>
    <row r="376" spans="1:37" ht="1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row>
    <row r="377" spans="1:37" ht="1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row>
    <row r="378" spans="1:37" ht="1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row>
    <row r="379" spans="1:37" ht="1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row>
    <row r="380" spans="1:37" ht="1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row>
    <row r="381" spans="1:37" ht="1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row>
    <row r="382" spans="1:37" ht="1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row>
    <row r="383" spans="1:37" ht="1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row>
    <row r="384" spans="1:37" ht="1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c r="AK384" s="12"/>
    </row>
    <row r="385" spans="1:37" ht="1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c r="AK385" s="12"/>
    </row>
    <row r="386" spans="1:37" ht="1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c r="AK386" s="12"/>
    </row>
    <row r="387" spans="1:37" ht="1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c r="AK387" s="12"/>
    </row>
    <row r="388" spans="1:37" ht="1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c r="AK388" s="12"/>
    </row>
    <row r="389" spans="1:37" ht="1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c r="AK389" s="12"/>
    </row>
    <row r="390" spans="1:37" ht="1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c r="AK390" s="12"/>
    </row>
    <row r="391" spans="1:37" ht="1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c r="AK391" s="12"/>
    </row>
    <row r="392" spans="1:37" ht="1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c r="AK392" s="12"/>
    </row>
    <row r="393" spans="1:37" ht="1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row>
    <row r="394" spans="1:37" ht="1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c r="AK394" s="12"/>
    </row>
  </sheetData>
  <sheetProtection deleteRows="0" autoFilter="0"/>
  <protectedRanges>
    <protectedRange algorithmName="SHA-512" hashValue="99OQ+VOyYeTgkyp5V2h7IJuhOY+ByGUUH4Kc0xKuZgn2w66Z/zb6NCagB6+bjIBmhadenmL7/H2PSKzd599e6Q==" saltValue="s8mGfn7WVHJZXEYeB6j8Yw==" spinCount="100000" sqref="U1 AB1:AJ1" name="Formula Cells"/>
  </protectedRanges>
  <autoFilter ref="A1:AJ231" xr:uid="{D6689C8D-F4F3-444E-B315-70319CF484A8}"/>
  <sortState xmlns:xlrd2="http://schemas.microsoft.com/office/spreadsheetml/2017/richdata2" ref="A2:AJ394">
    <sortCondition ref="K2:K394"/>
  </sortState>
  <conditionalFormatting sqref="E395:E1048576">
    <cfRule type="duplicateValues" dxfId="23" priority="52"/>
  </conditionalFormatting>
  <dataValidations count="10">
    <dataValidation type="list" allowBlank="1" showInputMessage="1" showErrorMessage="1" sqref="T395:T1048576" xr:uid="{8950BCB4-ED22-417E-8CAE-AB80D34238A1}">
      <formula1>SubCategory</formula1>
    </dataValidation>
    <dataValidation type="list" allowBlank="1" showInputMessage="1" showErrorMessage="1" sqref="R395:R1048576" xr:uid="{8CC09754-DACC-4E80-9843-2500AD9C9904}">
      <formula1>Resolution_List</formula1>
    </dataValidation>
    <dataValidation type="list" allowBlank="1" showInputMessage="1" showErrorMessage="1" sqref="F1:F145 F161:F168 F221:F1048576" xr:uid="{3DD940F4-A23B-402A-A690-D7129C2F62AF}">
      <formula1>Queue_List</formula1>
    </dataValidation>
    <dataValidation type="list" allowBlank="1" showInputMessage="1" showErrorMessage="1" sqref="I147 I208:I211 I1:I145 I151:I177 I179:I183 I185:I191 I193:I195 I199 I201:I202 I205 I214:I1048576" xr:uid="{0B341B7C-D3F0-420A-9D0F-242718E82DB5}">
      <formula1>Status_List</formula1>
    </dataValidation>
    <dataValidation type="list" showInputMessage="1" showErrorMessage="1" errorTitle="Invalid Entry" error="Please select a value in TYPE before entering Priority" sqref="G1:G145 G161:G168 G221:G1048576" xr:uid="{9B4C3B1F-3E80-46AC-9D85-A6135497F8F3}">
      <formula1>IF(D1="","",INDIRECT(D1&amp;"_PR"))</formula1>
    </dataValidation>
    <dataValidation type="list" allowBlank="1" showInputMessage="1" showErrorMessage="1" sqref="U1:U168 U221:U1048576" xr:uid="{8CB46A8C-B0BB-424A-BAE6-9CF6C6383FAE}">
      <formula1>"Yes,No"</formula1>
    </dataValidation>
    <dataValidation type="list" allowBlank="1" showInputMessage="1" showErrorMessage="1" sqref="B1:B168 B221:B1048576" xr:uid="{D3611C99-9D77-469C-9E3A-FF4DD6F262C4}">
      <formula1>OpCo_List</formula1>
    </dataValidation>
    <dataValidation type="list" allowBlank="1" showInputMessage="1" showErrorMessage="1" sqref="D1:D168 D221:D1048576" xr:uid="{86E21DC7-3E16-4315-A18D-97C909BBFD0B}">
      <formula1>Type_List</formula1>
    </dataValidation>
    <dataValidation type="list" showInputMessage="1" showErrorMessage="1" errorTitle="Invalid Domain" error="Please select value only from dropdown" sqref="C1:C168 C221:C1048576" xr:uid="{CCFA407F-404E-474D-A47A-B2B2AB1098E6}">
      <formula1>Domain_List</formula1>
    </dataValidation>
    <dataValidation type="list" allowBlank="1" showInputMessage="1" showErrorMessage="1" sqref="S395:S1048576" xr:uid="{B66A2C06-4171-4D80-B66F-DFFFB451FB55}">
      <formula1>IF(D395="","",INDIRECT(D395))</formula1>
    </dataValidation>
  </dataValidations>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E76A5-DA68-4626-BDD0-C7A0176AC995}">
  <sheetPr codeName="Sheet10"/>
  <dimension ref="A1:AJ600"/>
  <sheetViews>
    <sheetView topLeftCell="W1" zoomScale="70" zoomScaleNormal="70" workbookViewId="0">
      <pane ySplit="1" topLeftCell="A58" activePane="bottomLeft" state="frozen"/>
      <selection pane="bottomLeft" activeCell="J67" sqref="J67"/>
    </sheetView>
  </sheetViews>
  <sheetFormatPr defaultColWidth="9.140625" defaultRowHeight="15" customHeight="1"/>
  <cols>
    <col min="1" max="1" width="6.42578125" style="45" customWidth="1"/>
    <col min="2" max="2" width="7.85546875" style="45" customWidth="1"/>
    <col min="3" max="3" width="10.42578125" style="45" customWidth="1"/>
    <col min="4" max="4" width="8.28515625" style="45" customWidth="1"/>
    <col min="5" max="5" width="12.140625" style="45" customWidth="1"/>
    <col min="6" max="6" width="13.7109375" style="45" customWidth="1"/>
    <col min="7" max="7" width="9" style="45" customWidth="1"/>
    <col min="8" max="8" width="16.85546875" style="45" customWidth="1"/>
    <col min="9" max="9" width="8.140625" style="45" customWidth="1"/>
    <col min="10" max="10" width="19.28515625" style="45" customWidth="1"/>
    <col min="11" max="11" width="20.140625" style="47" customWidth="1"/>
    <col min="12" max="12" width="16.42578125" style="47" customWidth="1"/>
    <col min="13" max="13" width="24.7109375" style="47" customWidth="1"/>
    <col min="14" max="14" width="23.42578125" style="47" customWidth="1"/>
    <col min="15" max="15" width="21.42578125" style="47" customWidth="1"/>
    <col min="16" max="16" width="18.42578125" style="47" customWidth="1"/>
    <col min="17" max="17" width="20.42578125" style="45" customWidth="1"/>
    <col min="18" max="18" width="16.140625" style="45" customWidth="1"/>
    <col min="19" max="19" width="19.42578125" style="45" customWidth="1"/>
    <col min="20" max="20" width="13.85546875" style="45" customWidth="1"/>
    <col min="21" max="21" width="18" style="45" customWidth="1"/>
    <col min="22" max="22" width="17.85546875" style="45" customWidth="1"/>
    <col min="23" max="23" width="15.42578125" style="45" customWidth="1"/>
    <col min="24" max="24" width="25" style="45" customWidth="1"/>
    <col min="25" max="25" width="10.42578125" style="45" customWidth="1"/>
    <col min="26" max="26" width="19.28515625" style="45" customWidth="1"/>
    <col min="27" max="27" width="16.42578125" style="45" customWidth="1"/>
    <col min="28" max="28" width="21.85546875" style="45" customWidth="1"/>
    <col min="29" max="29" width="19.85546875" style="45" customWidth="1"/>
    <col min="30" max="30" width="13.42578125" style="45" customWidth="1"/>
    <col min="31" max="31" width="14" style="45" customWidth="1"/>
    <col min="32" max="32" width="18.85546875" style="45" customWidth="1"/>
    <col min="33" max="33" width="21" style="45" customWidth="1"/>
    <col min="34" max="34" width="17.85546875" style="45" bestFit="1" customWidth="1"/>
    <col min="35" max="35" width="28.28515625" style="45" bestFit="1" customWidth="1"/>
    <col min="36" max="36" width="28.7109375" style="45" bestFit="1" customWidth="1"/>
    <col min="37" max="16384" width="9.140625" style="45"/>
  </cols>
  <sheetData>
    <row r="1" spans="1:36" s="44" customFormat="1">
      <c r="A1" s="43" t="s">
        <v>347</v>
      </c>
      <c r="B1" s="43" t="s">
        <v>2</v>
      </c>
      <c r="C1" s="43" t="s">
        <v>3</v>
      </c>
      <c r="D1" s="43" t="s">
        <v>253</v>
      </c>
      <c r="E1" s="43" t="s">
        <v>348</v>
      </c>
      <c r="F1" s="43" t="s">
        <v>1</v>
      </c>
      <c r="G1" s="43" t="s">
        <v>324</v>
      </c>
      <c r="H1" s="43" t="s">
        <v>349</v>
      </c>
      <c r="I1" s="43" t="s">
        <v>254</v>
      </c>
      <c r="J1" s="43" t="s">
        <v>350</v>
      </c>
      <c r="K1" s="43" t="s">
        <v>351</v>
      </c>
      <c r="L1" s="43" t="s">
        <v>352</v>
      </c>
      <c r="M1" s="43" t="s">
        <v>353</v>
      </c>
      <c r="N1" s="43" t="s">
        <v>354</v>
      </c>
      <c r="O1" s="43" t="s">
        <v>355</v>
      </c>
      <c r="P1" s="43" t="s">
        <v>356</v>
      </c>
      <c r="Q1" s="43" t="s">
        <v>357</v>
      </c>
      <c r="R1" s="43" t="s">
        <v>358</v>
      </c>
      <c r="S1" s="43" t="s">
        <v>359</v>
      </c>
      <c r="T1" s="43" t="s">
        <v>258</v>
      </c>
      <c r="U1" s="43" t="s">
        <v>360</v>
      </c>
      <c r="V1" s="43" t="s">
        <v>361</v>
      </c>
      <c r="W1" s="43" t="s">
        <v>362</v>
      </c>
      <c r="X1" s="43" t="s">
        <v>363</v>
      </c>
      <c r="Y1" s="43" t="s">
        <v>364</v>
      </c>
      <c r="Z1" s="32" t="s">
        <v>82</v>
      </c>
      <c r="AA1" s="32" t="s">
        <v>90</v>
      </c>
      <c r="AB1" s="32" t="s">
        <v>84</v>
      </c>
      <c r="AC1" s="32" t="s">
        <v>92</v>
      </c>
      <c r="AD1" s="32" t="s">
        <v>86</v>
      </c>
      <c r="AE1" s="32" t="s">
        <v>88</v>
      </c>
      <c r="AF1" s="32" t="s">
        <v>365</v>
      </c>
      <c r="AG1" s="32" t="s">
        <v>366</v>
      </c>
      <c r="AH1" s="32" t="s">
        <v>94</v>
      </c>
      <c r="AI1" s="32" t="s">
        <v>96</v>
      </c>
      <c r="AJ1" s="33" t="s">
        <v>98</v>
      </c>
    </row>
    <row r="2" spans="1:36" ht="15.95">
      <c r="A2" s="45">
        <v>1</v>
      </c>
      <c r="B2" s="45" t="s">
        <v>51</v>
      </c>
      <c r="C2" s="45" t="s">
        <v>35</v>
      </c>
      <c r="D2" s="45" t="s">
        <v>208</v>
      </c>
      <c r="E2" s="121" t="s">
        <v>5401</v>
      </c>
      <c r="F2" s="53" t="s">
        <v>50</v>
      </c>
      <c r="G2" s="45" t="s">
        <v>208</v>
      </c>
      <c r="H2" s="121" t="s">
        <v>5402</v>
      </c>
      <c r="I2" s="45" t="s">
        <v>271</v>
      </c>
      <c r="J2" s="121" t="s">
        <v>5403</v>
      </c>
      <c r="K2" s="122">
        <v>46135.708333333336</v>
      </c>
      <c r="L2" s="122">
        <v>46135.709027777775</v>
      </c>
      <c r="M2" s="122">
        <v>46136.274305555555</v>
      </c>
      <c r="N2" s="122">
        <v>46148.461111111108</v>
      </c>
      <c r="O2" s="122">
        <v>46136.308333333334</v>
      </c>
      <c r="P2" s="122">
        <v>46148.459027777775</v>
      </c>
      <c r="Q2" s="121" t="s">
        <v>5404</v>
      </c>
      <c r="R2" s="45" t="s">
        <v>267</v>
      </c>
      <c r="S2" s="45" t="s">
        <v>151</v>
      </c>
      <c r="U2" s="45" t="s">
        <v>371</v>
      </c>
      <c r="Z2" s="76">
        <f ca="1">IF(NOT(OR(G2=1,G2=2)),MAX(0,_xlfn.IFS(AND(K2&lt;&gt;"",N2&lt;&gt;""),((MAX(NETWORKDAYS(K2,N2,UKBankHolidays)-1,0))*(TIME(17,0,0)-TIME(8,0,0))+IF(NETWORKDAYS(N2,N2,UKBankHolidays)&gt;0,MEDIAN(TIME(8,0,0),MOD(N2,1),TIME(17,0,0)),TIME(8,0,0))-IF(NETWORKDAYS(K2,K2,UKBankHolidays)&gt;0,MEDIAN(TIME(8,0,0),MOD(K2,1),TIME(17,0,0)),TIME(8,0,0)))-IF(AND(O2&lt;&gt;"",P2&lt;&gt;""),((MAX(NETWORKDAYS(O2,P2,UKBankHolidays)-1,0))*(TIME(17,0,0)-TIME(8,0,0))+IF(NETWORKDAYS(P2,P2,UKBankHolidays)&gt;0,MEDIAN(TIME(8,0,0),MOD(P2,1),TIME(17,0,0)),TIME(8,0,0))-IF(NETWORKDAYS(O2,O2,UKBankHolidays)&gt;0,MEDIAN(TIME(8,0,0),MOD(O2,1),TIME(17,0,0)),TIME(8,0,0))),0),AND(K2&lt;&gt;"",N2=""),((MAX(NETWORKDAYS(K2,NOW(),UKBankHolidays)-1,0))*(TIME(17,0,0)-TIME(8,0,0))+IF(NETWORKDAYS(NOW(),NOW(),UKBankHolidays)&gt;0,MEDIAN(TIME(8,0,0),MOD(NOW(),1),TIME(17,0,0)),TIME(8,0,0))-IF(NETWORKDAYS(K2,K2,UKBankHolidays)&gt;0,MEDIAN(TIME(8,0,0),MOD(K2,1),TIME(17,0,0)),TIME(8,0,0))))),IF(N2="",NOW()-K2,N2-K2))</f>
        <v>2.0833333328482695E-3</v>
      </c>
      <c r="AA2" s="75">
        <f ca="1">(Z2*24)/9</f>
        <v>5.5555555542620523E-3</v>
      </c>
      <c r="AB2" s="76">
        <f t="shared" ref="AB2" ca="1" si="0">IF(NOT(OR(G2=1,G2=2)),MAX(0,_xlfn.IFS(AND(K2&lt;&gt;"",N2&lt;&gt;""),(((MAX(NETWORKDAYS(L2,N2,UKBankHolidays)-1,0))*(TIME(17,0,0)-TIME(8,0,0)))+IF(NETWORKDAYS(N2,N2,UKBankHolidays)&gt;0,MEDIAN(TIME(8,0,0),MOD(N2,1),TIME(17,0,0)),TIME(8,0,0))-IF(NETWORKDAYS(L2,L2,UKBankHolidays)&gt;0,MEDIAN(TIME(8,0,0),MOD(L2,1),TIME(17,0,0)),TIME(8,0,0)))-IF(AND(O2&lt;&gt;"",P2&lt;&gt;""),(((MAX(NETWORKDAYS(O2,P2,UKBankHolidays)-1,0))*(TIME(17,0,0)-TIME(8,0,0)))+IF(NETWORKDAYS(P2,P2,UKBankHolidays)&gt;0,MEDIAN(TIME(8,0,0),MOD(P2,1),TIME(17,0,0)),TIME(8,0,0))-IF(NETWORKDAYS(O2,O2,UKBankHolidays)&gt;0,MEDIAN(TIME(8,0,0),MOD(O2,1),TIME(17,0,0)),TIME(8,0,0))),0),AND(L2&lt;&gt;"",N2="",O2=""),(((MAX(NETWORKDAYS(L2,NOW(),UKBankHolidays)-1,0))*(TIME(17,0,0)-TIME(8,0,0)))+IF(NETWORKDAYS(NOW(),NOW(),UKBankHolidays)&gt;0,MEDIAN(TIME(8,0,0),MOD(NOW(),1),TIME(17,0,0)),TIME(8,0,0))-IF(NETWORKDAYS(L2,L2,UKBankHolidays)&gt;0,MEDIAN(TIME(8,0,0),MOD(L2,1),TIME(17,0,0)),TIME(8,0,0)))-IF(AND(O2&lt;&gt;"",P2&lt;&gt;""),(((MAX(NETWORKDAYS(O2,P2,UKBankHolidays)-1,0))*(TIME(17,0,0)-TIME(8,0,0)))+IF(NETWORKDAYS(P2,P2,UKBankHolidays)&gt;0,MEDIAN(TIME(8,0,0),MOD(P2,1),TIME(17,0,0)),TIME(8,0,0))-IF(NETWORKDAYS(O2,O2,UKBankHolidays)&gt;0,MEDIAN(TIME(8,0,0),MOD(O2,1),TIME(17,0,0)),TIME(8,0,0))),0),AND(L2&lt;&gt;"",N2="",P2="",O2&lt;&gt;""),(((MAX(NETWORKDAYS(L2,O2,UKBankHolidays)-1,0))*(TIME(17,0,0)-TIME(8,0,0)))+IF(NETWORKDAYS(O2,O2,UKBankHolidays)&gt;0,MEDIAN(TIME(8,0,0),MOD(O2,1),TIME(17,0,0)),TIME(8,0,0))-IF(NETWORKDAYS(L2,L2,UKBankHolidays)&gt;0,MEDIAN(TIME(8,0,0),MOD(L2,1),TIME(17,0,0)),TIME(8,0,0))),ISBLANK(K2),"0")),IF(ISBLANK(N2),NOW()-L2,N2-L2))</f>
        <v>2.0833333328482695E-3</v>
      </c>
      <c r="AC2" s="75">
        <f ca="1">(AB2*24)/9</f>
        <v>5.5555555542620523E-3</v>
      </c>
      <c r="AD2" s="76">
        <f t="shared" ref="AD2" ca="1" si="1">MAX(0,IF(NOT(OR(G2=1,G2=2)),IF(M2&lt;&gt;"",((MAX(NETWORKDAYS(L2,M2,UKBankHolidays)-1,0))*(TIME(17,0,0)-TIME(8,0,0))+IF(NETWORKDAYS(M2,M2,UKBankHolidays)&gt;0,MEDIAN(TIME(8,0,0),MOD(M2,1),TIME(17,0,0)),TIME(8,0,0))-MEDIAN(TIME(8,0,0),MOD(L2,1),TIME(17,0,0))),((MAX(NETWORKDAYS(L2,NOW(),UKBankHolidays)-1,0))*(TIME(17,0,0)-TIME(8,0,0))+IF(NETWORKDAYS(NOW(),NOW(),UKBankHolidays)&gt;0,MEDIAN(TIME(8,0,0),MOD(NOW(),1),TIME(17,0,0)),TIME(8,0,0))-MEDIAN(TIME(8,0,0),MOD(L2,1),TIME(17,0,0)))),IF(M2&lt;&gt;"",M2-L2,NOW()-L2)))</f>
        <v>0</v>
      </c>
      <c r="AE2" s="76">
        <f ca="1">SUMIFS(AB:AB,E:E,E2)</f>
        <v>2.0833333328482695E-3</v>
      </c>
      <c r="AF2" s="75">
        <f ca="1">(AE2*24)/9</f>
        <v>5.5555555542620523E-3</v>
      </c>
      <c r="AG2" s="76">
        <f t="shared" ref="AG2:AG256" ca="1" si="2">AF2</f>
        <v>5.5555555542620523E-3</v>
      </c>
      <c r="AH2" s="31" t="str" cm="1">
        <f t="array" aca="1" ref="AH2" ca="1">IF((AD2) &lt; (INDEX(ResponseSLA[#All],(MATCH((G2),ResponseSLA[Priority],0))+1,3)),"YES","No")</f>
        <v>YES</v>
      </c>
      <c r="AI2" s="31" t="str">
        <f ca="1">_xlfn.IFNA(IF(AE2 &lt; (INDEX(SLATable[Minimum SLA],MATCH(G2,SLATable[Priority],0))),"YES","NO"),"")</f>
        <v>YES</v>
      </c>
      <c r="AJ2" t="str">
        <f ca="1">_xlfn.IFNA(IF(AE2 &lt; (INDEX(SLATable[Maximum SLA],MATCH(G2,SLATable[Priority],0))),"YES","NO"),"")</f>
        <v>YES</v>
      </c>
    </row>
    <row r="3" spans="1:36" ht="15.95">
      <c r="A3" s="45">
        <v>2</v>
      </c>
      <c r="B3" s="45" t="s">
        <v>51</v>
      </c>
      <c r="C3" s="45" t="s">
        <v>35</v>
      </c>
      <c r="D3" s="45" t="s">
        <v>208</v>
      </c>
      <c r="E3" s="121" t="s">
        <v>5405</v>
      </c>
      <c r="F3" s="45" t="s">
        <v>50</v>
      </c>
      <c r="G3" s="45" t="s">
        <v>208</v>
      </c>
      <c r="H3" s="121" t="s">
        <v>5406</v>
      </c>
      <c r="I3" s="45" t="s">
        <v>271</v>
      </c>
      <c r="J3" s="121" t="s">
        <v>5407</v>
      </c>
      <c r="K3" s="122">
        <v>46146.279166666667</v>
      </c>
      <c r="L3" s="122">
        <v>46146.283333333333</v>
      </c>
      <c r="M3" s="122">
        <v>46146.285416666666</v>
      </c>
      <c r="N3" s="122">
        <v>46146.286111111112</v>
      </c>
      <c r="O3" s="122"/>
      <c r="P3" s="122"/>
      <c r="Q3" s="121" t="s">
        <v>5408</v>
      </c>
      <c r="R3" s="45" t="s">
        <v>267</v>
      </c>
      <c r="S3" s="45" t="s">
        <v>179</v>
      </c>
      <c r="U3" s="45" t="s">
        <v>371</v>
      </c>
      <c r="Z3" s="76">
        <f t="shared" ref="Z3:Z66" ca="1" si="3">IF(NOT(OR(G3=1,G3=2)),MAX(0,_xlfn.IFS(AND(K3&lt;&gt;"",N3&lt;&gt;""),((MAX(NETWORKDAYS(K3,N3,UKBankHolidays)-1,0))*(TIME(17,0,0)-TIME(8,0,0))+IF(NETWORKDAYS(N3,N3,UKBankHolidays)&gt;0,MEDIAN(TIME(8,0,0),MOD(N3,1),TIME(17,0,0)),TIME(8,0,0))-IF(NETWORKDAYS(K3,K3,UKBankHolidays)&gt;0,MEDIAN(TIME(8,0,0),MOD(K3,1),TIME(17,0,0)),TIME(8,0,0)))-IF(AND(O3&lt;&gt;"",P3&lt;&gt;""),((MAX(NETWORKDAYS(O3,P3,UKBankHolidays)-1,0))*(TIME(17,0,0)-TIME(8,0,0))+IF(NETWORKDAYS(P3,P3,UKBankHolidays)&gt;0,MEDIAN(TIME(8,0,0),MOD(P3,1),TIME(17,0,0)),TIME(8,0,0))-IF(NETWORKDAYS(O3,O3,UKBankHolidays)&gt;0,MEDIAN(TIME(8,0,0),MOD(O3,1),TIME(17,0,0)),TIME(8,0,0))),0),AND(K3&lt;&gt;"",N3=""),((MAX(NETWORKDAYS(K3,NOW(),UKBankHolidays)-1,0))*(TIME(17,0,0)-TIME(8,0,0))+IF(NETWORKDAYS(NOW(),NOW(),UKBankHolidays)&gt;0,MEDIAN(TIME(8,0,0),MOD(NOW(),1),TIME(17,0,0)),TIME(8,0,0))-IF(NETWORKDAYS(K3,K3,UKBankHolidays)&gt;0,MEDIAN(TIME(8,0,0),MOD(K3,1),TIME(17,0,0)),TIME(8,0,0))))),IF(N3="",NOW()-K3,N3-K3))</f>
        <v>0</v>
      </c>
      <c r="AA3" s="75">
        <f t="shared" ref="AA3:AA66" ca="1" si="4">(Z3*24)/9</f>
        <v>0</v>
      </c>
      <c r="AB3" s="76">
        <f t="shared" ref="AB3:AB66" ca="1" si="5">IF(NOT(OR(G3=1,G3=2)),MAX(0,_xlfn.IFS(AND(K3&lt;&gt;"",N3&lt;&gt;""),(((MAX(NETWORKDAYS(L3,N3,UKBankHolidays)-1,0))*(TIME(17,0,0)-TIME(8,0,0)))+IF(NETWORKDAYS(N3,N3,UKBankHolidays)&gt;0,MEDIAN(TIME(8,0,0),MOD(N3,1),TIME(17,0,0)),TIME(8,0,0))-IF(NETWORKDAYS(L3,L3,UKBankHolidays)&gt;0,MEDIAN(TIME(8,0,0),MOD(L3,1),TIME(17,0,0)),TIME(8,0,0)))-IF(AND(O3&lt;&gt;"",P3&lt;&gt;""),(((MAX(NETWORKDAYS(O3,P3,UKBankHolidays)-1,0))*(TIME(17,0,0)-TIME(8,0,0)))+IF(NETWORKDAYS(P3,P3,UKBankHolidays)&gt;0,MEDIAN(TIME(8,0,0),MOD(P3,1),TIME(17,0,0)),TIME(8,0,0))-IF(NETWORKDAYS(O3,O3,UKBankHolidays)&gt;0,MEDIAN(TIME(8,0,0),MOD(O3,1),TIME(17,0,0)),TIME(8,0,0))),0),AND(L3&lt;&gt;"",N3="",O3=""),(((MAX(NETWORKDAYS(L3,NOW(),UKBankHolidays)-1,0))*(TIME(17,0,0)-TIME(8,0,0)))+IF(NETWORKDAYS(NOW(),NOW(),UKBankHolidays)&gt;0,MEDIAN(TIME(8,0,0),MOD(NOW(),1),TIME(17,0,0)),TIME(8,0,0))-IF(NETWORKDAYS(L3,L3,UKBankHolidays)&gt;0,MEDIAN(TIME(8,0,0),MOD(L3,1),TIME(17,0,0)),TIME(8,0,0)))-IF(AND(O3&lt;&gt;"",P3&lt;&gt;""),(((MAX(NETWORKDAYS(O3,P3,UKBankHolidays)-1,0))*(TIME(17,0,0)-TIME(8,0,0)))+IF(NETWORKDAYS(P3,P3,UKBankHolidays)&gt;0,MEDIAN(TIME(8,0,0),MOD(P3,1),TIME(17,0,0)),TIME(8,0,0))-IF(NETWORKDAYS(O3,O3,UKBankHolidays)&gt;0,MEDIAN(TIME(8,0,0),MOD(O3,1),TIME(17,0,0)),TIME(8,0,0))),0),AND(L3&lt;&gt;"",N3="",P3="",O3&lt;&gt;""),(((MAX(NETWORKDAYS(L3,O3,UKBankHolidays)-1,0))*(TIME(17,0,0)-TIME(8,0,0)))+IF(NETWORKDAYS(O3,O3,UKBankHolidays)&gt;0,MEDIAN(TIME(8,0,0),MOD(O3,1),TIME(17,0,0)),TIME(8,0,0))-IF(NETWORKDAYS(L3,L3,UKBankHolidays)&gt;0,MEDIAN(TIME(8,0,0),MOD(L3,1),TIME(17,0,0)),TIME(8,0,0))),ISBLANK(K3),"0")),IF(ISBLANK(N3),NOW()-L3,N3-L3))</f>
        <v>0</v>
      </c>
      <c r="AC3" s="75">
        <f t="shared" ref="AC3:AC66" ca="1" si="6">(AB3*24)/9</f>
        <v>0</v>
      </c>
      <c r="AD3" s="76">
        <f t="shared" ref="AD3:AD66" ca="1" si="7">MAX(0,IF(NOT(OR(G3=1,G3=2)),IF(M3&lt;&gt;"",((MAX(NETWORKDAYS(L3,M3,UKBankHolidays)-1,0))*(TIME(17,0,0)-TIME(8,0,0))+IF(NETWORKDAYS(M3,M3,UKBankHolidays)&gt;0,MEDIAN(TIME(8,0,0),MOD(M3,1),TIME(17,0,0)),TIME(8,0,0))-MEDIAN(TIME(8,0,0),MOD(L3,1),TIME(17,0,0))),((MAX(NETWORKDAYS(L3,NOW(),UKBankHolidays)-1,0))*(TIME(17,0,0)-TIME(8,0,0))+IF(NETWORKDAYS(NOW(),NOW(),UKBankHolidays)&gt;0,MEDIAN(TIME(8,0,0),MOD(NOW(),1),TIME(17,0,0)),TIME(8,0,0))-MEDIAN(TIME(8,0,0),MOD(L3,1),TIME(17,0,0)))),IF(M3&lt;&gt;"",M3-L3,NOW()-L3)))</f>
        <v>0</v>
      </c>
      <c r="AE3" s="76">
        <f t="shared" ref="AE3:AE66" ca="1" si="8">SUMIFS(AB:AB,E:E,E3)</f>
        <v>0</v>
      </c>
      <c r="AF3" s="75">
        <f t="shared" ref="AF3:AF66" ca="1" si="9">(AE3*24)/9</f>
        <v>0</v>
      </c>
      <c r="AG3" s="76">
        <f t="shared" ca="1" si="2"/>
        <v>0</v>
      </c>
      <c r="AH3" s="31" t="str" cm="1">
        <f t="array" aca="1" ref="AH3" ca="1">IF((AD3) &lt; (INDEX(ResponseSLA[#All],(MATCH((G3),ResponseSLA[Priority],0))+1,3)),"YES","No")</f>
        <v>YES</v>
      </c>
      <c r="AI3" s="31" t="str">
        <f ca="1">_xlfn.IFNA(IF(AE3 &lt; (INDEX(SLATable[Minimum SLA],MATCH(G3,SLATable[Priority],0))),"YES","NO"),"")</f>
        <v>YES</v>
      </c>
      <c r="AJ3" t="str">
        <f ca="1">_xlfn.IFNA(IF(AE3 &lt; (INDEX(SLATable[Maximum SLA],MATCH(G3,SLATable[Priority],0))),"YES","NO"),"")</f>
        <v>YES</v>
      </c>
    </row>
    <row r="4" spans="1:36" ht="15.95">
      <c r="A4" s="45">
        <v>3</v>
      </c>
      <c r="B4" s="45" t="s">
        <v>51</v>
      </c>
      <c r="C4" s="45" t="s">
        <v>35</v>
      </c>
      <c r="D4" s="45" t="s">
        <v>208</v>
      </c>
      <c r="E4" s="121" t="s">
        <v>5409</v>
      </c>
      <c r="F4" s="45" t="s">
        <v>50</v>
      </c>
      <c r="G4" s="45" t="s">
        <v>208</v>
      </c>
      <c r="H4" s="121" t="s">
        <v>5410</v>
      </c>
      <c r="I4" s="45" t="s">
        <v>271</v>
      </c>
      <c r="J4" s="121" t="s">
        <v>5403</v>
      </c>
      <c r="K4" s="122">
        <v>46146.331944444442</v>
      </c>
      <c r="L4" s="122">
        <v>46146.332638888889</v>
      </c>
      <c r="M4" s="122">
        <v>46146.332638888889</v>
      </c>
      <c r="N4" s="122">
        <v>46146.334722222222</v>
      </c>
      <c r="O4" s="122"/>
      <c r="P4" s="122"/>
      <c r="Q4" s="121" t="s">
        <v>5411</v>
      </c>
      <c r="R4" s="45" t="s">
        <v>267</v>
      </c>
      <c r="S4" s="45" t="s">
        <v>179</v>
      </c>
      <c r="U4" s="45" t="s">
        <v>371</v>
      </c>
      <c r="Z4" s="76">
        <f t="shared" ca="1" si="3"/>
        <v>0</v>
      </c>
      <c r="AA4" s="75">
        <f t="shared" ca="1" si="4"/>
        <v>0</v>
      </c>
      <c r="AB4" s="76">
        <f t="shared" ca="1" si="5"/>
        <v>0</v>
      </c>
      <c r="AC4" s="75">
        <f t="shared" ca="1" si="6"/>
        <v>0</v>
      </c>
      <c r="AD4" s="76">
        <f t="shared" ca="1" si="7"/>
        <v>0</v>
      </c>
      <c r="AE4" s="76">
        <f t="shared" ca="1" si="8"/>
        <v>0</v>
      </c>
      <c r="AF4" s="75">
        <f t="shared" ca="1" si="9"/>
        <v>0</v>
      </c>
      <c r="AG4" s="76">
        <f t="shared" ca="1" si="2"/>
        <v>0</v>
      </c>
      <c r="AH4" s="31" t="str" cm="1">
        <f t="array" aca="1" ref="AH4" ca="1">IF((AD4) &lt; (INDEX(ResponseSLA[#All],(MATCH((G4),ResponseSLA[Priority],0))+1,3)),"YES","No")</f>
        <v>YES</v>
      </c>
      <c r="AI4" s="31" t="str">
        <f ca="1">_xlfn.IFNA(IF(AE4 &lt; (INDEX(SLATable[Minimum SLA],MATCH(G4,SLATable[Priority],0))),"YES","NO"),"")</f>
        <v>YES</v>
      </c>
      <c r="AJ4" t="str">
        <f ca="1">_xlfn.IFNA(IF(AE4 &lt; (INDEX(SLATable[Maximum SLA],MATCH(G4,SLATable[Priority],0))),"YES","NO"),"")</f>
        <v>YES</v>
      </c>
    </row>
    <row r="5" spans="1:36" ht="15.95">
      <c r="A5" s="45">
        <v>4</v>
      </c>
      <c r="B5" s="45" t="s">
        <v>51</v>
      </c>
      <c r="C5" s="45" t="s">
        <v>35</v>
      </c>
      <c r="D5" s="45" t="s">
        <v>208</v>
      </c>
      <c r="E5" s="121" t="s">
        <v>5412</v>
      </c>
      <c r="F5" s="45" t="s">
        <v>50</v>
      </c>
      <c r="G5" s="45" t="s">
        <v>208</v>
      </c>
      <c r="H5" s="121" t="s">
        <v>5413</v>
      </c>
      <c r="I5" s="45" t="s">
        <v>271</v>
      </c>
      <c r="J5" s="121" t="s">
        <v>5414</v>
      </c>
      <c r="K5" s="122">
        <v>46148.563888888886</v>
      </c>
      <c r="L5" s="122">
        <v>46148.563888888886</v>
      </c>
      <c r="M5" s="122">
        <v>46148.564583333333</v>
      </c>
      <c r="N5" s="122">
        <v>46148.565972222219</v>
      </c>
      <c r="O5" s="122"/>
      <c r="P5" s="122"/>
      <c r="Q5" s="121" t="s">
        <v>5415</v>
      </c>
      <c r="R5" s="45" t="s">
        <v>267</v>
      </c>
      <c r="S5" s="45" t="s">
        <v>179</v>
      </c>
      <c r="U5" s="45" t="s">
        <v>371</v>
      </c>
      <c r="Z5" s="76">
        <f t="shared" ca="1" si="3"/>
        <v>2.0833333328482695E-3</v>
      </c>
      <c r="AA5" s="75">
        <f t="shared" ca="1" si="4"/>
        <v>5.5555555542620523E-3</v>
      </c>
      <c r="AB5" s="76">
        <f t="shared" ca="1" si="5"/>
        <v>2.0833333328482695E-3</v>
      </c>
      <c r="AC5" s="75">
        <f t="shared" ca="1" si="6"/>
        <v>5.5555555542620523E-3</v>
      </c>
      <c r="AD5" s="76">
        <f t="shared" ca="1" si="7"/>
        <v>6.944444467080757E-4</v>
      </c>
      <c r="AE5" s="76">
        <f t="shared" ca="1" si="8"/>
        <v>2.0833333328482695E-3</v>
      </c>
      <c r="AF5" s="75">
        <f t="shared" ca="1" si="9"/>
        <v>5.5555555542620523E-3</v>
      </c>
      <c r="AG5" s="76">
        <f t="shared" ca="1" si="2"/>
        <v>5.5555555542620523E-3</v>
      </c>
      <c r="AH5" s="31" t="str" cm="1">
        <f t="array" aca="1" ref="AH5" ca="1">IF((AD5) &lt; (INDEX(ResponseSLA[#All],(MATCH((G5),ResponseSLA[Priority],0))+1,3)),"YES","No")</f>
        <v>YES</v>
      </c>
      <c r="AI5" s="31" t="str">
        <f ca="1">_xlfn.IFNA(IF(AE5 &lt; (INDEX(SLATable[Minimum SLA],MATCH(G5,SLATable[Priority],0))),"YES","NO"),"")</f>
        <v>YES</v>
      </c>
      <c r="AJ5" t="str">
        <f ca="1">_xlfn.IFNA(IF(AE5 &lt; (INDEX(SLATable[Maximum SLA],MATCH(G5,SLATable[Priority],0))),"YES","NO"),"")</f>
        <v>YES</v>
      </c>
    </row>
    <row r="6" spans="1:36" ht="15" customHeight="1">
      <c r="A6" s="45">
        <v>5</v>
      </c>
      <c r="B6" s="45" t="s">
        <v>51</v>
      </c>
      <c r="C6" s="45" t="s">
        <v>35</v>
      </c>
      <c r="D6" s="45" t="s">
        <v>208</v>
      </c>
      <c r="E6" s="121" t="s">
        <v>5416</v>
      </c>
      <c r="F6" s="45" t="s">
        <v>50</v>
      </c>
      <c r="G6" s="45" t="s">
        <v>208</v>
      </c>
      <c r="H6" s="121" t="s">
        <v>5417</v>
      </c>
      <c r="I6" s="45" t="s">
        <v>271</v>
      </c>
      <c r="J6" s="121" t="s">
        <v>5403</v>
      </c>
      <c r="K6" s="122">
        <v>46149.455555555556</v>
      </c>
      <c r="L6" s="122">
        <v>46149.456250000003</v>
      </c>
      <c r="M6" s="122">
        <v>46149.456250000003</v>
      </c>
      <c r="N6" s="122">
        <v>46149.460416666669</v>
      </c>
      <c r="O6" s="122"/>
      <c r="P6" s="122"/>
      <c r="Q6" s="121" t="s">
        <v>5418</v>
      </c>
      <c r="R6" s="45" t="s">
        <v>267</v>
      </c>
      <c r="S6" s="45" t="s">
        <v>139</v>
      </c>
      <c r="U6" s="45" t="s">
        <v>371</v>
      </c>
      <c r="Z6" s="76">
        <f t="shared" ca="1" si="3"/>
        <v>4.8611111124046147E-3</v>
      </c>
      <c r="AA6" s="75">
        <f t="shared" ca="1" si="4"/>
        <v>1.2962962966412306E-2</v>
      </c>
      <c r="AB6" s="76">
        <f t="shared" ca="1" si="5"/>
        <v>4.166666665696539E-3</v>
      </c>
      <c r="AC6" s="75">
        <f t="shared" ca="1" si="6"/>
        <v>1.1111111108524105E-2</v>
      </c>
      <c r="AD6" s="76">
        <f t="shared" ca="1" si="7"/>
        <v>0</v>
      </c>
      <c r="AE6" s="76">
        <f t="shared" ca="1" si="8"/>
        <v>4.166666665696539E-3</v>
      </c>
      <c r="AF6" s="75">
        <f t="shared" ca="1" si="9"/>
        <v>1.1111111108524105E-2</v>
      </c>
      <c r="AG6" s="76">
        <f t="shared" ca="1" si="2"/>
        <v>1.1111111108524105E-2</v>
      </c>
      <c r="AH6" s="31" t="str" cm="1">
        <f t="array" aca="1" ref="AH6" ca="1">IF((AD6) &lt; (INDEX(ResponseSLA[#All],(MATCH((G6),ResponseSLA[Priority],0))+1,3)),"YES","No")</f>
        <v>YES</v>
      </c>
      <c r="AI6" s="31" t="str">
        <f ca="1">_xlfn.IFNA(IF(AE6 &lt; (INDEX(SLATable[Minimum SLA],MATCH(G6,SLATable[Priority],0))),"YES","NO"),"")</f>
        <v>YES</v>
      </c>
      <c r="AJ6" t="str">
        <f ca="1">_xlfn.IFNA(IF(AE6 &lt; (INDEX(SLATable[Maximum SLA],MATCH(G6,SLATable[Priority],0))),"YES","NO"),"")</f>
        <v>YES</v>
      </c>
    </row>
    <row r="7" spans="1:36" ht="15" customHeight="1">
      <c r="A7" s="45">
        <v>6</v>
      </c>
      <c r="B7" s="45" t="s">
        <v>51</v>
      </c>
      <c r="C7" s="45" t="s">
        <v>35</v>
      </c>
      <c r="D7" s="45" t="s">
        <v>207</v>
      </c>
      <c r="E7" s="121" t="s">
        <v>5419</v>
      </c>
      <c r="F7" s="45" t="s">
        <v>50</v>
      </c>
      <c r="G7" s="45">
        <v>3</v>
      </c>
      <c r="H7" s="121" t="s">
        <v>5420</v>
      </c>
      <c r="I7" s="45" t="s">
        <v>271</v>
      </c>
      <c r="J7" s="121" t="s">
        <v>5403</v>
      </c>
      <c r="K7" s="122">
        <v>46153.493055555555</v>
      </c>
      <c r="L7" s="122">
        <v>46153.493055555555</v>
      </c>
      <c r="M7" s="122">
        <v>46153.525694444441</v>
      </c>
      <c r="N7" s="122">
        <v>46164.462152777778</v>
      </c>
      <c r="O7" s="122">
        <v>46153.569444444445</v>
      </c>
      <c r="P7" s="122">
        <v>46164.461805555555</v>
      </c>
      <c r="Q7" s="121" t="s">
        <v>5421</v>
      </c>
      <c r="R7" s="45" t="s">
        <v>276</v>
      </c>
      <c r="S7" s="45" t="s">
        <v>161</v>
      </c>
      <c r="U7" s="45" t="s">
        <v>371</v>
      </c>
      <c r="Z7" s="76">
        <f t="shared" ca="1" si="3"/>
        <v>7.6736111113859806E-2</v>
      </c>
      <c r="AA7" s="75">
        <f t="shared" ca="1" si="4"/>
        <v>0.20462962963695949</v>
      </c>
      <c r="AB7" s="76">
        <f t="shared" ca="1" si="5"/>
        <v>7.6736111113859806E-2</v>
      </c>
      <c r="AC7" s="75">
        <f t="shared" ca="1" si="6"/>
        <v>0.20462962963695949</v>
      </c>
      <c r="AD7" s="76">
        <f t="shared" ca="1" si="7"/>
        <v>3.2638888886140194E-2</v>
      </c>
      <c r="AE7" s="76">
        <f t="shared" ca="1" si="8"/>
        <v>7.6736111113859806E-2</v>
      </c>
      <c r="AF7" s="75">
        <f t="shared" ca="1" si="9"/>
        <v>0.20462962963695949</v>
      </c>
      <c r="AG7" s="76">
        <f t="shared" ca="1" si="2"/>
        <v>0.20462962963695949</v>
      </c>
      <c r="AH7" s="31" t="str" cm="1">
        <f t="array" aca="1" ref="AH7" ca="1">IF((AD7) &lt; (INDEX(ResponseSLA[#All],(MATCH((G7),ResponseSLA[Priority],0))+1,3)),"YES","No")</f>
        <v>YES</v>
      </c>
      <c r="AI7" s="31" t="str">
        <f ca="1">_xlfn.IFNA(IF(AE7 &lt; (INDEX(SLATable[Minimum SLA],MATCH(G7,SLATable[Priority],0))),"YES","NO"),"")</f>
        <v>YES</v>
      </c>
      <c r="AJ7" t="str">
        <f ca="1">_xlfn.IFNA(IF(AE7 &lt; (INDEX(SLATable[Maximum SLA],MATCH(G7,SLATable[Priority],0))),"YES","NO"),"")</f>
        <v>YES</v>
      </c>
    </row>
    <row r="8" spans="1:36" ht="15" customHeight="1">
      <c r="A8" s="45">
        <v>7</v>
      </c>
      <c r="B8" s="45" t="s">
        <v>51</v>
      </c>
      <c r="C8" s="45" t="s">
        <v>35</v>
      </c>
      <c r="D8" s="45" t="s">
        <v>207</v>
      </c>
      <c r="E8" s="121" t="s">
        <v>5422</v>
      </c>
      <c r="F8" s="45" t="s">
        <v>50</v>
      </c>
      <c r="G8" s="45">
        <v>4</v>
      </c>
      <c r="H8" s="121" t="s">
        <v>5423</v>
      </c>
      <c r="I8" s="45" t="s">
        <v>275</v>
      </c>
      <c r="J8" s="121" t="s">
        <v>5403</v>
      </c>
      <c r="K8" s="122">
        <v>46157.512499999997</v>
      </c>
      <c r="L8" s="122">
        <v>46157.512499999997</v>
      </c>
      <c r="M8" s="122">
        <v>46157.526388888888</v>
      </c>
      <c r="N8" s="122">
        <v>46157.526388888888</v>
      </c>
      <c r="O8" s="122"/>
      <c r="P8" s="122"/>
      <c r="Q8" s="121" t="s">
        <v>5424</v>
      </c>
      <c r="R8" s="45" t="s">
        <v>267</v>
      </c>
      <c r="S8" s="45" t="s">
        <v>137</v>
      </c>
      <c r="U8" s="45" t="s">
        <v>371</v>
      </c>
      <c r="Z8" s="76">
        <f t="shared" ca="1" si="3"/>
        <v>1.3888888890505768E-2</v>
      </c>
      <c r="AA8" s="75">
        <f t="shared" ca="1" si="4"/>
        <v>3.7037037041348718E-2</v>
      </c>
      <c r="AB8" s="76">
        <f t="shared" ca="1" si="5"/>
        <v>1.3888888890505768E-2</v>
      </c>
      <c r="AC8" s="75">
        <f t="shared" ca="1" si="6"/>
        <v>3.7037037041348718E-2</v>
      </c>
      <c r="AD8" s="76">
        <f t="shared" ca="1" si="7"/>
        <v>1.3888888890505768E-2</v>
      </c>
      <c r="AE8" s="76">
        <f t="shared" ca="1" si="8"/>
        <v>1.3888888890505768E-2</v>
      </c>
      <c r="AF8" s="75">
        <f t="shared" ca="1" si="9"/>
        <v>3.7037037041348718E-2</v>
      </c>
      <c r="AG8" s="76">
        <f t="shared" ca="1" si="2"/>
        <v>3.7037037041348718E-2</v>
      </c>
      <c r="AH8" s="31" t="str" cm="1">
        <f t="array" aca="1" ref="AH8" ca="1">IF((AD8) &lt; (INDEX(ResponseSLA[#All],(MATCH((G8),ResponseSLA[Priority],0))+1,3)),"YES","No")</f>
        <v>YES</v>
      </c>
      <c r="AI8" s="31" t="str">
        <f ca="1">_xlfn.IFNA(IF(AE8 &lt; (INDEX(SLATable[Minimum SLA],MATCH(G8,SLATable[Priority],0))),"YES","NO"),"")</f>
        <v>YES</v>
      </c>
      <c r="AJ8" t="str">
        <f ca="1">_xlfn.IFNA(IF(AE8 &lt; (INDEX(SLATable[Maximum SLA],MATCH(G8,SLATable[Priority],0))),"YES","NO"),"")</f>
        <v>YES</v>
      </c>
    </row>
    <row r="9" spans="1:36" ht="15" customHeight="1">
      <c r="A9" s="45">
        <v>8</v>
      </c>
      <c r="B9" s="45" t="s">
        <v>51</v>
      </c>
      <c r="C9" s="45" t="s">
        <v>35</v>
      </c>
      <c r="D9" s="45" t="s">
        <v>208</v>
      </c>
      <c r="E9" s="121" t="s">
        <v>5425</v>
      </c>
      <c r="F9" s="45" t="s">
        <v>50</v>
      </c>
      <c r="G9" s="45" t="s">
        <v>208</v>
      </c>
      <c r="H9" s="121" t="s">
        <v>5426</v>
      </c>
      <c r="I9" s="45" t="s">
        <v>271</v>
      </c>
      <c r="J9" s="121" t="s">
        <v>5403</v>
      </c>
      <c r="K9" s="122">
        <v>46160.30972222222</v>
      </c>
      <c r="L9" s="122">
        <v>46160.310416666667</v>
      </c>
      <c r="M9" s="122">
        <v>46160.310416666667</v>
      </c>
      <c r="N9" s="122">
        <v>46160.311805555553</v>
      </c>
      <c r="O9" s="122"/>
      <c r="P9" s="122"/>
      <c r="Q9" s="121" t="s">
        <v>5418</v>
      </c>
      <c r="R9" s="45" t="s">
        <v>267</v>
      </c>
      <c r="S9" s="45" t="s">
        <v>139</v>
      </c>
      <c r="U9" s="45" t="s">
        <v>371</v>
      </c>
      <c r="Z9" s="76">
        <f t="shared" ca="1" si="3"/>
        <v>0</v>
      </c>
      <c r="AA9" s="75">
        <f t="shared" ca="1" si="4"/>
        <v>0</v>
      </c>
      <c r="AB9" s="76">
        <f t="shared" ca="1" si="5"/>
        <v>0</v>
      </c>
      <c r="AC9" s="75">
        <f t="shared" ca="1" si="6"/>
        <v>0</v>
      </c>
      <c r="AD9" s="76">
        <f t="shared" ca="1" si="7"/>
        <v>0</v>
      </c>
      <c r="AE9" s="76">
        <f t="shared" ca="1" si="8"/>
        <v>0</v>
      </c>
      <c r="AF9" s="75">
        <f t="shared" ca="1" si="9"/>
        <v>0</v>
      </c>
      <c r="AG9" s="76">
        <f t="shared" ca="1" si="2"/>
        <v>0</v>
      </c>
      <c r="AH9" s="31" t="str" cm="1">
        <f t="array" aca="1" ref="AH9" ca="1">IF((AD9) &lt; (INDEX(ResponseSLA[#All],(MATCH((G9),ResponseSLA[Priority],0))+1,3)),"YES","No")</f>
        <v>YES</v>
      </c>
      <c r="AI9" s="31" t="str">
        <f ca="1">_xlfn.IFNA(IF(AE9 &lt; (INDEX(SLATable[Minimum SLA],MATCH(G9,SLATable[Priority],0))),"YES","NO"),"")</f>
        <v>YES</v>
      </c>
      <c r="AJ9" t="str">
        <f ca="1">_xlfn.IFNA(IF(AE9 &lt; (INDEX(SLATable[Maximum SLA],MATCH(G9,SLATable[Priority],0))),"YES","NO"),"")</f>
        <v>YES</v>
      </c>
    </row>
    <row r="10" spans="1:36" ht="15" customHeight="1">
      <c r="A10" s="45">
        <v>9</v>
      </c>
      <c r="B10" s="45" t="s">
        <v>51</v>
      </c>
      <c r="C10" s="45" t="s">
        <v>35</v>
      </c>
      <c r="D10" s="45" t="s">
        <v>208</v>
      </c>
      <c r="E10" s="121" t="s">
        <v>5427</v>
      </c>
      <c r="F10" s="45" t="s">
        <v>50</v>
      </c>
      <c r="G10" s="45" t="s">
        <v>208</v>
      </c>
      <c r="H10" s="121" t="s">
        <v>5428</v>
      </c>
      <c r="I10" s="45" t="s">
        <v>271</v>
      </c>
      <c r="J10" s="121" t="s">
        <v>5403</v>
      </c>
      <c r="K10" s="122">
        <v>46157.456250000003</v>
      </c>
      <c r="L10" s="122">
        <v>46160.845833333333</v>
      </c>
      <c r="M10" s="122">
        <v>46161.28125</v>
      </c>
      <c r="N10" s="122">
        <v>46164.286111111112</v>
      </c>
      <c r="O10" s="122">
        <v>46162.263888888891</v>
      </c>
      <c r="P10" s="122">
        <v>46164.285416666666</v>
      </c>
      <c r="Q10" s="121" t="s">
        <v>5429</v>
      </c>
      <c r="R10" s="45" t="s">
        <v>267</v>
      </c>
      <c r="S10" s="45" t="s">
        <v>139</v>
      </c>
      <c r="U10" s="45" t="s">
        <v>371</v>
      </c>
      <c r="Z10" s="76">
        <f t="shared" ca="1" si="3"/>
        <v>1.0020833333304229</v>
      </c>
      <c r="AA10" s="75">
        <f t="shared" ca="1" si="4"/>
        <v>2.6722222222144612</v>
      </c>
      <c r="AB10" s="76">
        <f t="shared" ca="1" si="5"/>
        <v>0.37499999999999978</v>
      </c>
      <c r="AC10" s="75">
        <f t="shared" ca="1" si="6"/>
        <v>0.99999999999999944</v>
      </c>
      <c r="AD10" s="76">
        <f t="shared" ca="1" si="7"/>
        <v>0</v>
      </c>
      <c r="AE10" s="76">
        <f t="shared" ca="1" si="8"/>
        <v>0.37499999999999978</v>
      </c>
      <c r="AF10" s="75">
        <f t="shared" ca="1" si="9"/>
        <v>0.99999999999999944</v>
      </c>
      <c r="AG10" s="76">
        <f t="shared" ca="1" si="2"/>
        <v>0.99999999999999944</v>
      </c>
      <c r="AH10" s="31" t="str" cm="1">
        <f t="array" aca="1" ref="AH10" ca="1">IF((AD10) &lt; (INDEX(ResponseSLA[#All],(MATCH((G10),ResponseSLA[Priority],0))+1,3)),"YES","No")</f>
        <v>YES</v>
      </c>
      <c r="AI10" s="31" t="str">
        <f ca="1">_xlfn.IFNA(IF(AE10 &lt; (INDEX(SLATable[Minimum SLA],MATCH(G10,SLATable[Priority],0))),"YES","NO"),"")</f>
        <v>YES</v>
      </c>
      <c r="AJ10" t="str">
        <f ca="1">_xlfn.IFNA(IF(AE10 &lt; (INDEX(SLATable[Maximum SLA],MATCH(G10,SLATable[Priority],0))),"YES","NO"),"")</f>
        <v>YES</v>
      </c>
    </row>
    <row r="11" spans="1:36" ht="15" customHeight="1">
      <c r="A11" s="45">
        <v>10</v>
      </c>
      <c r="B11" s="45" t="s">
        <v>51</v>
      </c>
      <c r="C11" s="45" t="s">
        <v>35</v>
      </c>
      <c r="D11" s="45" t="s">
        <v>207</v>
      </c>
      <c r="E11" s="121" t="s">
        <v>5430</v>
      </c>
      <c r="F11" s="45" t="s">
        <v>50</v>
      </c>
      <c r="G11" s="45">
        <v>4</v>
      </c>
      <c r="H11" s="121" t="s">
        <v>5428</v>
      </c>
      <c r="I11" s="45" t="s">
        <v>271</v>
      </c>
      <c r="J11" s="121" t="s">
        <v>5403</v>
      </c>
      <c r="K11" s="122">
        <v>46160.597222222219</v>
      </c>
      <c r="L11" s="122">
        <v>46160.877083333333</v>
      </c>
      <c r="M11" s="122">
        <v>46161.28402777778</v>
      </c>
      <c r="N11" s="122">
        <v>46164.284722222219</v>
      </c>
      <c r="O11" s="122">
        <v>46161.322222222225</v>
      </c>
      <c r="P11" s="122">
        <v>46164.284722222219</v>
      </c>
      <c r="Q11" s="121" t="s">
        <v>5429</v>
      </c>
      <c r="R11" s="45" t="s">
        <v>276</v>
      </c>
      <c r="S11" s="45" t="s">
        <v>190</v>
      </c>
      <c r="U11" s="45" t="s">
        <v>371</v>
      </c>
      <c r="Z11" s="76">
        <f t="shared" ca="1" si="3"/>
        <v>0.1111111111143448</v>
      </c>
      <c r="AA11" s="75">
        <f t="shared" ca="1" si="4"/>
        <v>0.29629629630491944</v>
      </c>
      <c r="AB11" s="76">
        <f t="shared" ca="1" si="5"/>
        <v>0</v>
      </c>
      <c r="AC11" s="75">
        <f t="shared" ca="1" si="6"/>
        <v>0</v>
      </c>
      <c r="AD11" s="76">
        <f t="shared" ca="1" si="7"/>
        <v>0</v>
      </c>
      <c r="AE11" s="76">
        <f t="shared" ca="1" si="8"/>
        <v>0</v>
      </c>
      <c r="AF11" s="75">
        <f t="shared" ca="1" si="9"/>
        <v>0</v>
      </c>
      <c r="AG11" s="76">
        <f t="shared" ca="1" si="2"/>
        <v>0</v>
      </c>
      <c r="AH11" s="31" t="str" cm="1">
        <f t="array" aca="1" ref="AH11" ca="1">IF((AD11) &lt; (INDEX(ResponseSLA[#All],(MATCH((G11),ResponseSLA[Priority],0))+1,3)),"YES","No")</f>
        <v>YES</v>
      </c>
      <c r="AI11" s="31" t="str">
        <f ca="1">_xlfn.IFNA(IF(AE11 &lt; (INDEX(SLATable[Minimum SLA],MATCH(G11,SLATable[Priority],0))),"YES","NO"),"")</f>
        <v>YES</v>
      </c>
      <c r="AJ11" t="str">
        <f ca="1">_xlfn.IFNA(IF(AE11 &lt; (INDEX(SLATable[Maximum SLA],MATCH(G11,SLATable[Priority],0))),"YES","NO"),"")</f>
        <v>YES</v>
      </c>
    </row>
    <row r="12" spans="1:36" ht="15" customHeight="1">
      <c r="A12" s="45">
        <v>11</v>
      </c>
      <c r="B12" s="45" t="s">
        <v>51</v>
      </c>
      <c r="C12" s="45" t="s">
        <v>35</v>
      </c>
      <c r="D12" s="45" t="s">
        <v>207</v>
      </c>
      <c r="E12" s="121" t="s">
        <v>5431</v>
      </c>
      <c r="F12" s="45" t="s">
        <v>50</v>
      </c>
      <c r="G12" s="45">
        <v>3</v>
      </c>
      <c r="H12" s="121" t="s">
        <v>5432</v>
      </c>
      <c r="I12" s="45" t="s">
        <v>275</v>
      </c>
      <c r="J12" s="121" t="s">
        <v>5407</v>
      </c>
      <c r="K12" s="122">
        <v>46161.375694444447</v>
      </c>
      <c r="L12" s="122">
        <v>46161.375694444447</v>
      </c>
      <c r="M12" s="122">
        <v>46161.378472222219</v>
      </c>
      <c r="N12" s="122">
        <v>46161.380555555559</v>
      </c>
      <c r="O12" s="122"/>
      <c r="P12" s="122"/>
      <c r="Q12" s="121" t="s">
        <v>5424</v>
      </c>
      <c r="R12" s="45" t="s">
        <v>267</v>
      </c>
      <c r="S12" s="45" t="s">
        <v>153</v>
      </c>
      <c r="U12" s="45" t="s">
        <v>371</v>
      </c>
      <c r="Z12" s="76">
        <f t="shared" ca="1" si="3"/>
        <v>4.8611111124046147E-3</v>
      </c>
      <c r="AA12" s="75">
        <f t="shared" ca="1" si="4"/>
        <v>1.2962962966412306E-2</v>
      </c>
      <c r="AB12" s="76">
        <f t="shared" ca="1" si="5"/>
        <v>4.8611111124046147E-3</v>
      </c>
      <c r="AC12" s="75">
        <f t="shared" ca="1" si="6"/>
        <v>1.2962962966412306E-2</v>
      </c>
      <c r="AD12" s="76">
        <f t="shared" ca="1" si="7"/>
        <v>2.7777777722803876E-3</v>
      </c>
      <c r="AE12" s="76">
        <f t="shared" ca="1" si="8"/>
        <v>4.8611111124046147E-3</v>
      </c>
      <c r="AF12" s="75">
        <f t="shared" ca="1" si="9"/>
        <v>1.2962962966412306E-2</v>
      </c>
      <c r="AG12" s="76">
        <f t="shared" ca="1" si="2"/>
        <v>1.2962962966412306E-2</v>
      </c>
      <c r="AH12" s="31" t="str" cm="1">
        <f t="array" aca="1" ref="AH12" ca="1">IF((AD12) &lt; (INDEX(ResponseSLA[#All],(MATCH((G12),ResponseSLA[Priority],0))+1,3)),"YES","No")</f>
        <v>YES</v>
      </c>
      <c r="AI12" s="31" t="str">
        <f ca="1">_xlfn.IFNA(IF(AE12 &lt; (INDEX(SLATable[Minimum SLA],MATCH(G12,SLATable[Priority],0))),"YES","NO"),"")</f>
        <v>YES</v>
      </c>
      <c r="AJ12" t="str">
        <f ca="1">_xlfn.IFNA(IF(AE12 &lt; (INDEX(SLATable[Maximum SLA],MATCH(G12,SLATable[Priority],0))),"YES","NO"),"")</f>
        <v>YES</v>
      </c>
    </row>
    <row r="13" spans="1:36" ht="15" customHeight="1">
      <c r="A13" s="45">
        <v>12</v>
      </c>
      <c r="B13" s="45" t="s">
        <v>51</v>
      </c>
      <c r="C13" s="45" t="s">
        <v>35</v>
      </c>
      <c r="D13" s="45" t="s">
        <v>208</v>
      </c>
      <c r="E13" s="121" t="s">
        <v>5433</v>
      </c>
      <c r="F13" s="45" t="s">
        <v>50</v>
      </c>
      <c r="G13" s="45" t="s">
        <v>208</v>
      </c>
      <c r="H13" s="121" t="s">
        <v>5434</v>
      </c>
      <c r="I13" s="45" t="s">
        <v>271</v>
      </c>
      <c r="J13" s="121" t="s">
        <v>5407</v>
      </c>
      <c r="K13" s="122">
        <v>46162.34652777778</v>
      </c>
      <c r="L13" s="122">
        <v>46162.347222222219</v>
      </c>
      <c r="M13" s="122">
        <v>46162.347222222219</v>
      </c>
      <c r="N13" s="122">
        <v>46162.590277777781</v>
      </c>
      <c r="O13" s="122"/>
      <c r="P13" s="122"/>
      <c r="Q13" s="121" t="s">
        <v>5408</v>
      </c>
      <c r="R13" s="45" t="s">
        <v>276</v>
      </c>
      <c r="S13" s="45" t="s">
        <v>179</v>
      </c>
      <c r="U13" s="45" t="s">
        <v>371</v>
      </c>
      <c r="Z13" s="76">
        <f t="shared" ca="1" si="3"/>
        <v>0.24375000000145519</v>
      </c>
      <c r="AA13" s="75">
        <f t="shared" ca="1" si="4"/>
        <v>0.65000000000388047</v>
      </c>
      <c r="AB13" s="76">
        <f t="shared" ca="1" si="5"/>
        <v>0.24305555556202307</v>
      </c>
      <c r="AC13" s="75">
        <f t="shared" ca="1" si="6"/>
        <v>0.6481481481653949</v>
      </c>
      <c r="AD13" s="76">
        <f t="shared" ca="1" si="7"/>
        <v>0</v>
      </c>
      <c r="AE13" s="76">
        <f t="shared" ca="1" si="8"/>
        <v>0.24305555556202307</v>
      </c>
      <c r="AF13" s="75">
        <f t="shared" ca="1" si="9"/>
        <v>0.6481481481653949</v>
      </c>
      <c r="AG13" s="76">
        <f t="shared" ca="1" si="2"/>
        <v>0.6481481481653949</v>
      </c>
      <c r="AH13" s="31" t="str" cm="1">
        <f t="array" aca="1" ref="AH13" ca="1">IF((AD13) &lt; (INDEX(ResponseSLA[#All],(MATCH((G13),ResponseSLA[Priority],0))+1,3)),"YES","No")</f>
        <v>YES</v>
      </c>
      <c r="AI13" s="31" t="str">
        <f ca="1">_xlfn.IFNA(IF(AE13 &lt; (INDEX(SLATable[Minimum SLA],MATCH(G13,SLATable[Priority],0))),"YES","NO"),"")</f>
        <v>YES</v>
      </c>
      <c r="AJ13" t="str">
        <f ca="1">_xlfn.IFNA(IF(AE13 &lt; (INDEX(SLATable[Maximum SLA],MATCH(G13,SLATable[Priority],0))),"YES","NO"),"")</f>
        <v>YES</v>
      </c>
    </row>
    <row r="14" spans="1:36" ht="15" customHeight="1">
      <c r="A14" s="45">
        <v>13</v>
      </c>
      <c r="B14" s="45" t="s">
        <v>51</v>
      </c>
      <c r="C14" s="45" t="s">
        <v>35</v>
      </c>
      <c r="D14" s="45" t="s">
        <v>207</v>
      </c>
      <c r="E14" s="121" t="s">
        <v>5435</v>
      </c>
      <c r="F14" s="45" t="s">
        <v>50</v>
      </c>
      <c r="G14" s="45">
        <v>3</v>
      </c>
      <c r="H14" s="121" t="s">
        <v>5436</v>
      </c>
      <c r="I14" s="45" t="s">
        <v>275</v>
      </c>
      <c r="J14" s="121" t="s">
        <v>5403</v>
      </c>
      <c r="K14" s="122">
        <v>46162.859722222223</v>
      </c>
      <c r="L14" s="122">
        <v>46162.859722222223</v>
      </c>
      <c r="M14" s="122">
        <v>46163.273611111108</v>
      </c>
      <c r="N14" s="122">
        <v>46163.279166666667</v>
      </c>
      <c r="O14" s="122"/>
      <c r="P14" s="122"/>
      <c r="Q14" s="121" t="s">
        <v>5437</v>
      </c>
      <c r="R14" s="45" t="s">
        <v>267</v>
      </c>
      <c r="S14" s="45" t="s">
        <v>169</v>
      </c>
      <c r="U14" s="45" t="s">
        <v>371</v>
      </c>
      <c r="Z14" s="76">
        <f t="shared" ca="1" si="3"/>
        <v>0</v>
      </c>
      <c r="AA14" s="75">
        <f t="shared" ca="1" si="4"/>
        <v>0</v>
      </c>
      <c r="AB14" s="76">
        <f t="shared" ca="1" si="5"/>
        <v>0</v>
      </c>
      <c r="AC14" s="75">
        <f t="shared" ca="1" si="6"/>
        <v>0</v>
      </c>
      <c r="AD14" s="76">
        <f t="shared" ca="1" si="7"/>
        <v>0</v>
      </c>
      <c r="AE14" s="76">
        <f t="shared" ca="1" si="8"/>
        <v>0</v>
      </c>
      <c r="AF14" s="75">
        <f t="shared" ca="1" si="9"/>
        <v>0</v>
      </c>
      <c r="AG14" s="76">
        <f t="shared" ca="1" si="2"/>
        <v>0</v>
      </c>
      <c r="AH14" s="31" t="str" cm="1">
        <f t="array" aca="1" ref="AH14" ca="1">IF((AD14) &lt; (INDEX(ResponseSLA[#All],(MATCH((G14),ResponseSLA[Priority],0))+1,3)),"YES","No")</f>
        <v>YES</v>
      </c>
      <c r="AI14" s="31" t="str">
        <f ca="1">_xlfn.IFNA(IF(AE14 &lt; (INDEX(SLATable[Minimum SLA],MATCH(G14,SLATable[Priority],0))),"YES","NO"),"")</f>
        <v>YES</v>
      </c>
      <c r="AJ14" t="str">
        <f ca="1">_xlfn.IFNA(IF(AE14 &lt; (INDEX(SLATable[Maximum SLA],MATCH(G14,SLATable[Priority],0))),"YES","NO"),"")</f>
        <v>YES</v>
      </c>
    </row>
    <row r="15" spans="1:36" ht="15" customHeight="1">
      <c r="A15" s="45">
        <v>14</v>
      </c>
      <c r="B15" s="45" t="s">
        <v>51</v>
      </c>
      <c r="C15" s="45" t="s">
        <v>35</v>
      </c>
      <c r="D15" s="45" t="s">
        <v>208</v>
      </c>
      <c r="E15" s="121" t="s">
        <v>5438</v>
      </c>
      <c r="F15" s="45" t="s">
        <v>50</v>
      </c>
      <c r="G15" s="45" t="s">
        <v>208</v>
      </c>
      <c r="H15" s="121" t="s">
        <v>5439</v>
      </c>
      <c r="I15" s="45" t="s">
        <v>271</v>
      </c>
      <c r="J15" s="121" t="s">
        <v>5403</v>
      </c>
      <c r="K15" s="122">
        <v>46163.438194444447</v>
      </c>
      <c r="L15" s="122">
        <v>46163.438194444447</v>
      </c>
      <c r="M15" s="122">
        <v>46163.438888888886</v>
      </c>
      <c r="N15" s="122">
        <v>46163.442361111112</v>
      </c>
      <c r="O15" s="122"/>
      <c r="P15" s="122"/>
      <c r="Q15" s="121" t="s">
        <v>5418</v>
      </c>
      <c r="R15" s="45" t="s">
        <v>267</v>
      </c>
      <c r="S15" s="45" t="s">
        <v>139</v>
      </c>
      <c r="U15" s="45" t="s">
        <v>371</v>
      </c>
      <c r="Z15" s="76">
        <f t="shared" ca="1" si="3"/>
        <v>4.166666665696539E-3</v>
      </c>
      <c r="AA15" s="75">
        <f t="shared" ca="1" si="4"/>
        <v>1.1111111108524105E-2</v>
      </c>
      <c r="AB15" s="76">
        <f t="shared" ca="1" si="5"/>
        <v>4.166666665696539E-3</v>
      </c>
      <c r="AC15" s="75">
        <f t="shared" ca="1" si="6"/>
        <v>1.1111111108524105E-2</v>
      </c>
      <c r="AD15" s="76">
        <f t="shared" ca="1" si="7"/>
        <v>6.9444443943211809E-4</v>
      </c>
      <c r="AE15" s="76">
        <f t="shared" ca="1" si="8"/>
        <v>4.166666665696539E-3</v>
      </c>
      <c r="AF15" s="75">
        <f t="shared" ca="1" si="9"/>
        <v>1.1111111108524105E-2</v>
      </c>
      <c r="AG15" s="76">
        <f t="shared" ca="1" si="2"/>
        <v>1.1111111108524105E-2</v>
      </c>
      <c r="AH15" s="31" t="str" cm="1">
        <f t="array" aca="1" ref="AH15" ca="1">IF((AD15) &lt; (INDEX(ResponseSLA[#All],(MATCH((G15),ResponseSLA[Priority],0))+1,3)),"YES","No")</f>
        <v>YES</v>
      </c>
      <c r="AI15" s="31" t="str">
        <f ca="1">_xlfn.IFNA(IF(AE15 &lt; (INDEX(SLATable[Minimum SLA],MATCH(G15,SLATable[Priority],0))),"YES","NO"),"")</f>
        <v>YES</v>
      </c>
      <c r="AJ15" t="str">
        <f ca="1">_xlfn.IFNA(IF(AE15 &lt; (INDEX(SLATable[Maximum SLA],MATCH(G15,SLATable[Priority],0))),"YES","NO"),"")</f>
        <v>YES</v>
      </c>
    </row>
    <row r="16" spans="1:36" ht="15" customHeight="1">
      <c r="A16" s="45">
        <v>15</v>
      </c>
      <c r="B16" s="45" t="s">
        <v>51</v>
      </c>
      <c r="C16" s="45" t="s">
        <v>35</v>
      </c>
      <c r="D16" s="45" t="s">
        <v>207</v>
      </c>
      <c r="E16" s="121" t="s">
        <v>5440</v>
      </c>
      <c r="F16" s="45" t="s">
        <v>50</v>
      </c>
      <c r="G16" s="45">
        <v>4</v>
      </c>
      <c r="H16" s="121" t="s">
        <v>5441</v>
      </c>
      <c r="I16" s="45" t="s">
        <v>271</v>
      </c>
      <c r="J16" s="121" t="s">
        <v>5403</v>
      </c>
      <c r="K16" s="122">
        <v>46163.669444444444</v>
      </c>
      <c r="L16" s="122">
        <v>46163.669444444444</v>
      </c>
      <c r="M16" s="122">
        <v>46164.276388888888</v>
      </c>
      <c r="N16" s="122">
        <v>46164.293749999997</v>
      </c>
      <c r="O16" s="122">
        <v>46164.283333333333</v>
      </c>
      <c r="P16" s="122">
        <v>46167.292361111111</v>
      </c>
      <c r="Q16" s="121" t="s">
        <v>5429</v>
      </c>
      <c r="R16" s="45" t="s">
        <v>267</v>
      </c>
      <c r="S16" s="45" t="s">
        <v>190</v>
      </c>
      <c r="U16" s="45" t="s">
        <v>371</v>
      </c>
      <c r="Z16" s="76">
        <f t="shared" ca="1" si="3"/>
        <v>3.8888888889535678E-2</v>
      </c>
      <c r="AA16" s="75">
        <f t="shared" ca="1" si="4"/>
        <v>0.10370370370542847</v>
      </c>
      <c r="AB16" s="76">
        <f t="shared" ca="1" si="5"/>
        <v>3.8888888889535678E-2</v>
      </c>
      <c r="AC16" s="75">
        <f t="shared" ca="1" si="6"/>
        <v>0.10370370370542847</v>
      </c>
      <c r="AD16" s="76">
        <f t="shared" ca="1" si="7"/>
        <v>3.8888888889535678E-2</v>
      </c>
      <c r="AE16" s="76">
        <f t="shared" ca="1" si="8"/>
        <v>3.8888888889535678E-2</v>
      </c>
      <c r="AF16" s="75">
        <f t="shared" ca="1" si="9"/>
        <v>0.10370370370542847</v>
      </c>
      <c r="AG16" s="76">
        <f t="shared" ca="1" si="2"/>
        <v>0.10370370370542847</v>
      </c>
      <c r="AH16" s="31" t="str" cm="1">
        <f t="array" aca="1" ref="AH16" ca="1">IF((AD16) &lt; (INDEX(ResponseSLA[#All],(MATCH((G16),ResponseSLA[Priority],0))+1,3)),"YES","No")</f>
        <v>YES</v>
      </c>
      <c r="AI16" s="31" t="str">
        <f ca="1">_xlfn.IFNA(IF(AE16 &lt; (INDEX(SLATable[Minimum SLA],MATCH(G16,SLATable[Priority],0))),"YES","NO"),"")</f>
        <v>YES</v>
      </c>
      <c r="AJ16" t="str">
        <f ca="1">_xlfn.IFNA(IF(AE16 &lt; (INDEX(SLATable[Maximum SLA],MATCH(G16,SLATable[Priority],0))),"YES","NO"),"")</f>
        <v>YES</v>
      </c>
    </row>
    <row r="17" spans="1:36" ht="15" customHeight="1">
      <c r="A17" s="45">
        <v>16</v>
      </c>
      <c r="B17" s="45" t="s">
        <v>51</v>
      </c>
      <c r="C17" s="45" t="s">
        <v>35</v>
      </c>
      <c r="D17" s="45" t="s">
        <v>208</v>
      </c>
      <c r="E17" s="121" t="s">
        <v>5442</v>
      </c>
      <c r="F17" s="45" t="s">
        <v>50</v>
      </c>
      <c r="G17" s="45" t="s">
        <v>208</v>
      </c>
      <c r="H17" s="121" t="s">
        <v>5443</v>
      </c>
      <c r="I17" s="45" t="s">
        <v>271</v>
      </c>
      <c r="J17" s="121" t="s">
        <v>5403</v>
      </c>
      <c r="K17" s="122">
        <v>46164.292361111111</v>
      </c>
      <c r="L17" s="122">
        <v>46164.293055555558</v>
      </c>
      <c r="M17" s="122">
        <v>46164.293055555558</v>
      </c>
      <c r="N17" s="122">
        <v>46167.265277777777</v>
      </c>
      <c r="O17" s="122">
        <v>46164.426388888889</v>
      </c>
      <c r="P17" s="122">
        <v>46167.265277777777</v>
      </c>
      <c r="Q17" s="121" t="s">
        <v>5444</v>
      </c>
      <c r="R17" s="45" t="s">
        <v>267</v>
      </c>
      <c r="S17" s="45" t="s">
        <v>139</v>
      </c>
      <c r="U17" s="45" t="s">
        <v>371</v>
      </c>
      <c r="Z17" s="76">
        <f t="shared" ca="1" si="3"/>
        <v>9.3055555555717262E-2</v>
      </c>
      <c r="AA17" s="75">
        <f t="shared" ca="1" si="4"/>
        <v>0.24814814814857936</v>
      </c>
      <c r="AB17" s="76">
        <f t="shared" ca="1" si="5"/>
        <v>9.3055555555717262E-2</v>
      </c>
      <c r="AC17" s="75">
        <f t="shared" ca="1" si="6"/>
        <v>0.24814814814857936</v>
      </c>
      <c r="AD17" s="76">
        <f t="shared" ca="1" si="7"/>
        <v>0</v>
      </c>
      <c r="AE17" s="76">
        <f t="shared" ca="1" si="8"/>
        <v>9.3055555555717262E-2</v>
      </c>
      <c r="AF17" s="75">
        <f t="shared" ca="1" si="9"/>
        <v>0.24814814814857936</v>
      </c>
      <c r="AG17" s="76">
        <f t="shared" ca="1" si="2"/>
        <v>0.24814814814857936</v>
      </c>
      <c r="AH17" s="31" t="str" cm="1">
        <f t="array" aca="1" ref="AH17" ca="1">IF((AD17) &lt; (INDEX(ResponseSLA[#All],(MATCH((G17),ResponseSLA[Priority],0))+1,3)),"YES","No")</f>
        <v>YES</v>
      </c>
      <c r="AI17" s="31" t="str">
        <f ca="1">_xlfn.IFNA(IF(AE17 &lt; (INDEX(SLATable[Minimum SLA],MATCH(G17,SLATable[Priority],0))),"YES","NO"),"")</f>
        <v>YES</v>
      </c>
      <c r="AJ17" t="str">
        <f ca="1">_xlfn.IFNA(IF(AE17 &lt; (INDEX(SLATable[Maximum SLA],MATCH(G17,SLATable[Priority],0))),"YES","NO"),"")</f>
        <v>YES</v>
      </c>
    </row>
    <row r="18" spans="1:36" ht="15" customHeight="1">
      <c r="A18" s="45">
        <v>17</v>
      </c>
      <c r="B18" s="45" t="s">
        <v>51</v>
      </c>
      <c r="C18" s="45" t="s">
        <v>35</v>
      </c>
      <c r="D18" s="45" t="s">
        <v>207</v>
      </c>
      <c r="E18" s="121" t="s">
        <v>5445</v>
      </c>
      <c r="F18" s="45" t="s">
        <v>50</v>
      </c>
      <c r="G18" s="45">
        <v>4</v>
      </c>
      <c r="H18" s="121" t="s">
        <v>5428</v>
      </c>
      <c r="I18" s="45" t="s">
        <v>271</v>
      </c>
      <c r="J18" s="121" t="s">
        <v>5403</v>
      </c>
      <c r="K18" s="122">
        <v>46164.584722222222</v>
      </c>
      <c r="L18" s="122">
        <v>46164.584722222222</v>
      </c>
      <c r="M18" s="122">
        <v>46164.584722222222</v>
      </c>
      <c r="N18" s="122">
        <v>46167.289583333331</v>
      </c>
      <c r="O18" s="122">
        <v>46164.586805555555</v>
      </c>
      <c r="P18" s="122">
        <v>46167.269444444442</v>
      </c>
      <c r="Q18" s="121" t="s">
        <v>5429</v>
      </c>
      <c r="R18" s="45" t="s">
        <v>267</v>
      </c>
      <c r="S18" s="45" t="s">
        <v>190</v>
      </c>
      <c r="U18" s="45" t="s">
        <v>371</v>
      </c>
      <c r="Z18" s="76">
        <f t="shared" ca="1" si="3"/>
        <v>2.0833333328482695E-3</v>
      </c>
      <c r="AA18" s="75">
        <f t="shared" ca="1" si="4"/>
        <v>5.5555555542620523E-3</v>
      </c>
      <c r="AB18" s="76">
        <f t="shared" ca="1" si="5"/>
        <v>2.0833333328482695E-3</v>
      </c>
      <c r="AC18" s="75">
        <f t="shared" ca="1" si="6"/>
        <v>5.5555555542620523E-3</v>
      </c>
      <c r="AD18" s="76">
        <f t="shared" ca="1" si="7"/>
        <v>0</v>
      </c>
      <c r="AE18" s="76">
        <f t="shared" ca="1" si="8"/>
        <v>2.0833333328482695E-3</v>
      </c>
      <c r="AF18" s="75">
        <f t="shared" ca="1" si="9"/>
        <v>5.5555555542620523E-3</v>
      </c>
      <c r="AG18" s="76">
        <f t="shared" ca="1" si="2"/>
        <v>5.5555555542620523E-3</v>
      </c>
      <c r="AH18" s="31" t="str" cm="1">
        <f t="array" aca="1" ref="AH18" ca="1">IF((AD18) &lt; (INDEX(ResponseSLA[#All],(MATCH((G18),ResponseSLA[Priority],0))+1,3)),"YES","No")</f>
        <v>YES</v>
      </c>
      <c r="AI18" s="31" t="str">
        <f ca="1">_xlfn.IFNA(IF(AE18 &lt; (INDEX(SLATable[Minimum SLA],MATCH(G18,SLATable[Priority],0))),"YES","NO"),"")</f>
        <v>YES</v>
      </c>
      <c r="AJ18" t="str">
        <f ca="1">_xlfn.IFNA(IF(AE18 &lt; (INDEX(SLATable[Maximum SLA],MATCH(G18,SLATable[Priority],0))),"YES","NO"),"")</f>
        <v>YES</v>
      </c>
    </row>
    <row r="19" spans="1:36" ht="15" customHeight="1">
      <c r="A19" s="45">
        <v>18</v>
      </c>
      <c r="B19" s="45" t="s">
        <v>51</v>
      </c>
      <c r="C19" s="45" t="s">
        <v>35</v>
      </c>
      <c r="D19" s="45" t="s">
        <v>207</v>
      </c>
      <c r="E19" s="45" t="s">
        <v>5446</v>
      </c>
      <c r="F19" s="45" t="s">
        <v>50</v>
      </c>
      <c r="G19" s="45">
        <v>4</v>
      </c>
      <c r="H19" s="45" t="s">
        <v>5428</v>
      </c>
      <c r="I19" s="45" t="s">
        <v>275</v>
      </c>
      <c r="J19" s="45" t="s">
        <v>5403</v>
      </c>
      <c r="K19" s="47">
        <v>46167.495833333334</v>
      </c>
      <c r="L19" s="47">
        <v>46168.433333333334</v>
      </c>
      <c r="M19" s="47">
        <v>46168.472916666666</v>
      </c>
      <c r="N19" s="47">
        <v>46168.488888888889</v>
      </c>
      <c r="Q19" s="45" t="s">
        <v>5429</v>
      </c>
      <c r="R19" s="45" t="s">
        <v>267</v>
      </c>
      <c r="S19" s="45" t="s">
        <v>190</v>
      </c>
      <c r="U19" s="45" t="s">
        <v>371</v>
      </c>
      <c r="Z19" s="76">
        <f t="shared" ca="1" si="3"/>
        <v>0.15555555555571726</v>
      </c>
      <c r="AA19" s="75">
        <f t="shared" ca="1" si="4"/>
        <v>0.41481481481524601</v>
      </c>
      <c r="AB19" s="76">
        <f t="shared" ca="1" si="5"/>
        <v>5.5555555554747116E-2</v>
      </c>
      <c r="AC19" s="75">
        <f t="shared" ca="1" si="6"/>
        <v>0.14814814814599231</v>
      </c>
      <c r="AD19" s="76">
        <f t="shared" ca="1" si="7"/>
        <v>3.9583333331393078E-2</v>
      </c>
      <c r="AE19" s="76">
        <f t="shared" ca="1" si="8"/>
        <v>5.5555555554747116E-2</v>
      </c>
      <c r="AF19" s="75">
        <f t="shared" ca="1" si="9"/>
        <v>0.14814814814599231</v>
      </c>
      <c r="AG19" s="76">
        <f t="shared" ca="1" si="2"/>
        <v>0.14814814814599231</v>
      </c>
      <c r="AH19" s="31" t="str" cm="1">
        <f t="array" aca="1" ref="AH19" ca="1">IF((AD19) &lt; (INDEX(ResponseSLA[#All],(MATCH((G19),ResponseSLA[Priority],0))+1,3)),"YES","No")</f>
        <v>YES</v>
      </c>
      <c r="AI19" s="31" t="str">
        <f ca="1">_xlfn.IFNA(IF(AE19 &lt; (INDEX(SLATable[Minimum SLA],MATCH(G19,SLATable[Priority],0))),"YES","NO"),"")</f>
        <v>YES</v>
      </c>
      <c r="AJ19" t="str">
        <f ca="1">_xlfn.IFNA(IF(AE19 &lt; (INDEX(SLATable[Maximum SLA],MATCH(G19,SLATable[Priority],0))),"YES","NO"),"")</f>
        <v>YES</v>
      </c>
    </row>
    <row r="20" spans="1:36" ht="15" customHeight="1">
      <c r="A20" s="45">
        <v>19</v>
      </c>
      <c r="B20" s="45" t="s">
        <v>51</v>
      </c>
      <c r="C20" s="45" t="s">
        <v>35</v>
      </c>
      <c r="D20" s="45" t="s">
        <v>208</v>
      </c>
      <c r="E20" s="45" t="s">
        <v>5447</v>
      </c>
      <c r="F20" s="45" t="s">
        <v>50</v>
      </c>
      <c r="G20" s="45" t="s">
        <v>208</v>
      </c>
      <c r="H20" s="45" t="s">
        <v>5448</v>
      </c>
      <c r="I20" s="45" t="s">
        <v>271</v>
      </c>
      <c r="J20" s="45" t="s">
        <v>5449</v>
      </c>
      <c r="K20" s="47">
        <v>46171.324305555558</v>
      </c>
      <c r="L20" s="47">
        <v>46171.324305555558</v>
      </c>
      <c r="M20" s="47">
        <v>46171.32534722222</v>
      </c>
      <c r="N20" s="47">
        <v>46171.32916666667</v>
      </c>
      <c r="Q20" s="45" t="s">
        <v>5415</v>
      </c>
      <c r="R20" s="45" t="s">
        <v>267</v>
      </c>
      <c r="S20" s="45" t="s">
        <v>179</v>
      </c>
      <c r="U20" s="45" t="s">
        <v>371</v>
      </c>
      <c r="Z20" s="76">
        <f t="shared" ca="1" si="3"/>
        <v>0</v>
      </c>
      <c r="AA20" s="75">
        <f t="shared" ca="1" si="4"/>
        <v>0</v>
      </c>
      <c r="AB20" s="76">
        <f t="shared" ca="1" si="5"/>
        <v>0</v>
      </c>
      <c r="AC20" s="75">
        <f t="shared" ca="1" si="6"/>
        <v>0</v>
      </c>
      <c r="AD20" s="76">
        <f t="shared" ca="1" si="7"/>
        <v>0</v>
      </c>
      <c r="AE20" s="76">
        <f t="shared" ca="1" si="8"/>
        <v>0</v>
      </c>
      <c r="AF20" s="75">
        <f t="shared" ca="1" si="9"/>
        <v>0</v>
      </c>
      <c r="AG20" s="76">
        <f t="shared" ca="1" si="2"/>
        <v>0</v>
      </c>
      <c r="AH20" s="31" t="str" cm="1">
        <f t="array" aca="1" ref="AH20" ca="1">IF((AD20) &lt; (INDEX(ResponseSLA[#All],(MATCH((G20),ResponseSLA[Priority],0))+1,3)),"YES","No")</f>
        <v>YES</v>
      </c>
      <c r="AI20" s="31" t="str">
        <f ca="1">_xlfn.IFNA(IF(AE20 &lt; (INDEX(SLATable[Minimum SLA],MATCH(G20,SLATable[Priority],0))),"YES","NO"),"")</f>
        <v>YES</v>
      </c>
      <c r="AJ20" t="str">
        <f ca="1">_xlfn.IFNA(IF(AE20 &lt; (INDEX(SLATable[Maximum SLA],MATCH(G20,SLATable[Priority],0))),"YES","NO"),"")</f>
        <v>YES</v>
      </c>
    </row>
    <row r="21" spans="1:36" ht="15" customHeight="1">
      <c r="A21" s="45">
        <v>20</v>
      </c>
      <c r="B21" s="45" t="s">
        <v>51</v>
      </c>
      <c r="C21" s="45" t="s">
        <v>35</v>
      </c>
      <c r="D21" s="45" t="s">
        <v>208</v>
      </c>
      <c r="E21" s="45" t="s">
        <v>5450</v>
      </c>
      <c r="F21" s="45" t="s">
        <v>50</v>
      </c>
      <c r="G21" s="45" t="s">
        <v>208</v>
      </c>
      <c r="H21" s="148" t="s">
        <v>5451</v>
      </c>
      <c r="I21" s="45" t="s">
        <v>271</v>
      </c>
      <c r="J21" s="45" t="s">
        <v>5449</v>
      </c>
      <c r="K21" s="47">
        <v>46176.479861111111</v>
      </c>
      <c r="L21" s="47">
        <v>46176.479861111111</v>
      </c>
      <c r="M21" s="47">
        <v>46176.480555555558</v>
      </c>
      <c r="N21" s="47">
        <v>46176.48333333333</v>
      </c>
      <c r="Q21" s="45" t="s">
        <v>5415</v>
      </c>
      <c r="R21" s="45" t="s">
        <v>267</v>
      </c>
      <c r="S21" s="45" t="s">
        <v>179</v>
      </c>
      <c r="U21" s="45" t="s">
        <v>371</v>
      </c>
      <c r="Z21" s="76">
        <f t="shared" ca="1" si="3"/>
        <v>3.4722222189884633E-3</v>
      </c>
      <c r="AA21" s="75">
        <f t="shared" ca="1" si="4"/>
        <v>9.2592592506359015E-3</v>
      </c>
      <c r="AB21" s="76">
        <f t="shared" ca="1" si="5"/>
        <v>3.4722222189884633E-3</v>
      </c>
      <c r="AC21" s="75">
        <f t="shared" ca="1" si="6"/>
        <v>9.2592592506359015E-3</v>
      </c>
      <c r="AD21" s="76">
        <f t="shared" ca="1" si="7"/>
        <v>6.944444467080757E-4</v>
      </c>
      <c r="AE21" s="76">
        <f t="shared" ca="1" si="8"/>
        <v>3.4722222189884633E-3</v>
      </c>
      <c r="AF21" s="75">
        <f t="shared" ca="1" si="9"/>
        <v>9.2592592506359015E-3</v>
      </c>
      <c r="AG21" s="76">
        <f t="shared" ca="1" si="2"/>
        <v>9.2592592506359015E-3</v>
      </c>
      <c r="AH21" s="31" t="str" cm="1">
        <f t="array" aca="1" ref="AH21" ca="1">IF((AD21) &lt; (INDEX(ResponseSLA[#All],(MATCH((G21),ResponseSLA[Priority],0))+1,3)),"YES","No")</f>
        <v>YES</v>
      </c>
      <c r="AI21" s="31" t="str">
        <f ca="1">_xlfn.IFNA(IF(AE21 &lt; (INDEX(SLATable[Minimum SLA],MATCH(G21,SLATable[Priority],0))),"YES","NO"),"")</f>
        <v>YES</v>
      </c>
      <c r="AJ21" t="str">
        <f ca="1">_xlfn.IFNA(IF(AE21 &lt; (INDEX(SLATable[Maximum SLA],MATCH(G21,SLATable[Priority],0))),"YES","NO"),"")</f>
        <v>YES</v>
      </c>
    </row>
    <row r="22" spans="1:36" ht="15" customHeight="1">
      <c r="A22" s="45">
        <v>21</v>
      </c>
      <c r="B22" s="45" t="s">
        <v>51</v>
      </c>
      <c r="C22" s="45" t="s">
        <v>35</v>
      </c>
      <c r="D22" s="45" t="s">
        <v>207</v>
      </c>
      <c r="E22" s="45" t="s">
        <v>5452</v>
      </c>
      <c r="F22" s="45" t="s">
        <v>50</v>
      </c>
      <c r="G22" s="45">
        <v>3</v>
      </c>
      <c r="H22" s="45" t="s">
        <v>5453</v>
      </c>
      <c r="I22" s="45" t="s">
        <v>275</v>
      </c>
      <c r="J22" s="45" t="s">
        <v>5403</v>
      </c>
      <c r="K22" s="47">
        <v>46175.209027777775</v>
      </c>
      <c r="L22" s="47">
        <v>46175.28125</v>
      </c>
      <c r="M22" s="47">
        <v>46175.28402777778</v>
      </c>
      <c r="N22" s="47">
        <v>46175.293749999997</v>
      </c>
      <c r="Q22" s="45" t="s">
        <v>5454</v>
      </c>
      <c r="R22" s="45" t="s">
        <v>276</v>
      </c>
      <c r="S22" s="45" t="s">
        <v>201</v>
      </c>
      <c r="U22" s="45" t="s">
        <v>371</v>
      </c>
      <c r="Z22" s="76">
        <f t="shared" ca="1" si="3"/>
        <v>0</v>
      </c>
      <c r="AA22" s="75">
        <f t="shared" ca="1" si="4"/>
        <v>0</v>
      </c>
      <c r="AB22" s="76">
        <f t="shared" ca="1" si="5"/>
        <v>0</v>
      </c>
      <c r="AC22" s="75">
        <f t="shared" ca="1" si="6"/>
        <v>0</v>
      </c>
      <c r="AD22" s="76">
        <f t="shared" ca="1" si="7"/>
        <v>0</v>
      </c>
      <c r="AE22" s="76">
        <f t="shared" ca="1" si="8"/>
        <v>0</v>
      </c>
      <c r="AF22" s="75">
        <f t="shared" ca="1" si="9"/>
        <v>0</v>
      </c>
      <c r="AG22" s="76">
        <f t="shared" ca="1" si="2"/>
        <v>0</v>
      </c>
      <c r="AH22" s="31" t="str" cm="1">
        <f t="array" aca="1" ref="AH22" ca="1">IF((AD22) &lt; (INDEX(ResponseSLA[#All],(MATCH((G22),ResponseSLA[Priority],0))+1,3)),"YES","No")</f>
        <v>YES</v>
      </c>
      <c r="AI22" s="31" t="str">
        <f ca="1">_xlfn.IFNA(IF(AE22 &lt; (INDEX(SLATable[Minimum SLA],MATCH(G22,SLATable[Priority],0))),"YES","NO"),"")</f>
        <v>YES</v>
      </c>
      <c r="AJ22" t="str">
        <f ca="1">_xlfn.IFNA(IF(AE22 &lt; (INDEX(SLATable[Maximum SLA],MATCH(G22,SLATable[Priority],0))),"YES","NO"),"")</f>
        <v>YES</v>
      </c>
    </row>
    <row r="23" spans="1:36" ht="15" customHeight="1">
      <c r="A23" s="45">
        <v>22</v>
      </c>
      <c r="B23" s="45" t="s">
        <v>51</v>
      </c>
      <c r="C23" s="45" t="s">
        <v>35</v>
      </c>
      <c r="D23" s="45" t="s">
        <v>208</v>
      </c>
      <c r="E23" s="45" t="s">
        <v>5455</v>
      </c>
      <c r="F23" s="45" t="s">
        <v>50</v>
      </c>
      <c r="G23" s="45" t="s">
        <v>208</v>
      </c>
      <c r="H23" s="121" t="s">
        <v>5439</v>
      </c>
      <c r="I23" s="45" t="s">
        <v>271</v>
      </c>
      <c r="J23" s="45" t="s">
        <v>5449</v>
      </c>
      <c r="K23" s="47">
        <v>46178.259722222225</v>
      </c>
      <c r="L23" s="47">
        <v>46178.259722222225</v>
      </c>
      <c r="M23" s="47">
        <v>46178.260416666664</v>
      </c>
      <c r="N23" s="47">
        <v>46178.26458333333</v>
      </c>
      <c r="Q23" s="45" t="s">
        <v>5418</v>
      </c>
      <c r="R23" s="45" t="s">
        <v>267</v>
      </c>
      <c r="S23" s="45" t="s">
        <v>139</v>
      </c>
      <c r="U23" s="45" t="s">
        <v>371</v>
      </c>
      <c r="Z23" s="76">
        <f t="shared" ca="1" si="3"/>
        <v>0</v>
      </c>
      <c r="AA23" s="75">
        <f t="shared" ca="1" si="4"/>
        <v>0</v>
      </c>
      <c r="AB23" s="76">
        <f t="shared" ca="1" si="5"/>
        <v>0</v>
      </c>
      <c r="AC23" s="75">
        <f t="shared" ca="1" si="6"/>
        <v>0</v>
      </c>
      <c r="AD23" s="76">
        <f t="shared" ca="1" si="7"/>
        <v>0</v>
      </c>
      <c r="AE23" s="76">
        <f t="shared" ca="1" si="8"/>
        <v>0</v>
      </c>
      <c r="AF23" s="75">
        <f t="shared" ca="1" si="9"/>
        <v>0</v>
      </c>
      <c r="AG23" s="76">
        <f t="shared" ca="1" si="2"/>
        <v>0</v>
      </c>
      <c r="AH23" s="31" t="str" cm="1">
        <f t="array" aca="1" ref="AH23" ca="1">IF((AD23) &lt; (INDEX(ResponseSLA[#All],(MATCH((G23),ResponseSLA[Priority],0))+1,3)),"YES","No")</f>
        <v>YES</v>
      </c>
      <c r="AI23" s="31" t="str">
        <f ca="1">_xlfn.IFNA(IF(AE23 &lt; (INDEX(SLATable[Minimum SLA],MATCH(G23,SLATable[Priority],0))),"YES","NO"),"")</f>
        <v>YES</v>
      </c>
      <c r="AJ23" t="str">
        <f ca="1">_xlfn.IFNA(IF(AE23 &lt; (INDEX(SLATable[Maximum SLA],MATCH(G23,SLATable[Priority],0))),"YES","NO"),"")</f>
        <v>YES</v>
      </c>
    </row>
    <row r="24" spans="1:36" ht="15" customHeight="1">
      <c r="A24" s="45">
        <v>23</v>
      </c>
      <c r="B24" s="45" t="s">
        <v>51</v>
      </c>
      <c r="C24" s="45" t="s">
        <v>35</v>
      </c>
      <c r="D24" s="45" t="s">
        <v>207</v>
      </c>
      <c r="E24" s="45" t="s">
        <v>5456</v>
      </c>
      <c r="F24" s="45" t="s">
        <v>50</v>
      </c>
      <c r="G24" s="45">
        <v>3</v>
      </c>
      <c r="H24" s="45" t="s">
        <v>5457</v>
      </c>
      <c r="I24" s="45" t="s">
        <v>271</v>
      </c>
      <c r="J24" s="45" t="s">
        <v>5403</v>
      </c>
      <c r="K24" s="47">
        <v>46179.313194444447</v>
      </c>
      <c r="L24" s="47">
        <v>46179.313888888886</v>
      </c>
      <c r="M24" s="47">
        <v>46180.252083333333</v>
      </c>
      <c r="N24" s="47">
        <v>46183.440972222219</v>
      </c>
      <c r="O24" s="47">
        <v>46181.335416666669</v>
      </c>
      <c r="P24" s="47">
        <v>46183.438888888886</v>
      </c>
      <c r="Q24" s="45" t="s">
        <v>5421</v>
      </c>
      <c r="R24" s="45" t="s">
        <v>276</v>
      </c>
      <c r="S24" s="45" t="s">
        <v>161</v>
      </c>
      <c r="U24" s="45" t="s">
        <v>371</v>
      </c>
      <c r="Z24" s="76">
        <f t="shared" ca="1" si="3"/>
        <v>4.1666666681219322E-3</v>
      </c>
      <c r="AA24" s="75">
        <f t="shared" ca="1" si="4"/>
        <v>1.111111111499182E-2</v>
      </c>
      <c r="AB24" s="76">
        <f t="shared" ca="1" si="5"/>
        <v>4.1666666681219322E-3</v>
      </c>
      <c r="AC24" s="75">
        <f t="shared" ca="1" si="6"/>
        <v>1.111111111499182E-2</v>
      </c>
      <c r="AD24" s="76">
        <f t="shared" ca="1" si="7"/>
        <v>0</v>
      </c>
      <c r="AE24" s="76">
        <f t="shared" ca="1" si="8"/>
        <v>4.1666666681219322E-3</v>
      </c>
      <c r="AF24" s="75">
        <f t="shared" ca="1" si="9"/>
        <v>1.111111111499182E-2</v>
      </c>
      <c r="AG24" s="76">
        <f t="shared" ca="1" si="2"/>
        <v>1.111111111499182E-2</v>
      </c>
      <c r="AH24" s="31" t="str" cm="1">
        <f t="array" aca="1" ref="AH24" ca="1">IF((AD24) &lt; (INDEX(ResponseSLA[#All],(MATCH((G24),ResponseSLA[Priority],0))+1,3)),"YES","No")</f>
        <v>YES</v>
      </c>
      <c r="AI24" s="31" t="str">
        <f ca="1">_xlfn.IFNA(IF(AE24 &lt; (INDEX(SLATable[Minimum SLA],MATCH(G24,SLATable[Priority],0))),"YES","NO"),"")</f>
        <v>YES</v>
      </c>
      <c r="AJ24" t="str">
        <f ca="1">_xlfn.IFNA(IF(AE24 &lt; (INDEX(SLATable[Maximum SLA],MATCH(G24,SLATable[Priority],0))),"YES","NO"),"")</f>
        <v>YES</v>
      </c>
    </row>
    <row r="25" spans="1:36" ht="15" customHeight="1">
      <c r="A25" s="45">
        <v>24</v>
      </c>
      <c r="B25" s="45" t="s">
        <v>51</v>
      </c>
      <c r="C25" s="45" t="s">
        <v>35</v>
      </c>
      <c r="D25" s="45" t="s">
        <v>207</v>
      </c>
      <c r="E25" s="45" t="s">
        <v>5458</v>
      </c>
      <c r="F25" s="45" t="s">
        <v>50</v>
      </c>
      <c r="G25" s="45">
        <v>4</v>
      </c>
      <c r="H25" s="45" t="s">
        <v>5459</v>
      </c>
      <c r="I25" s="45" t="s">
        <v>271</v>
      </c>
      <c r="J25" s="45" t="s">
        <v>5403</v>
      </c>
      <c r="K25" s="47">
        <v>46181.281944444447</v>
      </c>
      <c r="L25" s="47">
        <v>46181.28229166667</v>
      </c>
      <c r="M25" s="47">
        <v>46181.282638888886</v>
      </c>
      <c r="N25" s="47">
        <v>46181.287499999999</v>
      </c>
      <c r="Q25" s="45" t="s">
        <v>5429</v>
      </c>
      <c r="R25" s="45" t="s">
        <v>267</v>
      </c>
      <c r="S25" s="45" t="s">
        <v>190</v>
      </c>
      <c r="U25" s="45" t="s">
        <v>371</v>
      </c>
      <c r="Z25" s="76">
        <f t="shared" ca="1" si="3"/>
        <v>0</v>
      </c>
      <c r="AA25" s="75">
        <f t="shared" ca="1" si="4"/>
        <v>0</v>
      </c>
      <c r="AB25" s="76">
        <f t="shared" ca="1" si="5"/>
        <v>0</v>
      </c>
      <c r="AC25" s="75">
        <f t="shared" ca="1" si="6"/>
        <v>0</v>
      </c>
      <c r="AD25" s="76">
        <f t="shared" ca="1" si="7"/>
        <v>0</v>
      </c>
      <c r="AE25" s="76">
        <f t="shared" ca="1" si="8"/>
        <v>0</v>
      </c>
      <c r="AF25" s="75">
        <f t="shared" ca="1" si="9"/>
        <v>0</v>
      </c>
      <c r="AG25" s="76">
        <f t="shared" ca="1" si="2"/>
        <v>0</v>
      </c>
      <c r="AH25" s="31" t="str" cm="1">
        <f t="array" aca="1" ref="AH25" ca="1">IF((AD25) &lt; (INDEX(ResponseSLA[#All],(MATCH((G25),ResponseSLA[Priority],0))+1,3)),"YES","No")</f>
        <v>YES</v>
      </c>
      <c r="AI25" s="31" t="str">
        <f ca="1">_xlfn.IFNA(IF(AE25 &lt; (INDEX(SLATable[Minimum SLA],MATCH(G25,SLATable[Priority],0))),"YES","NO"),"")</f>
        <v>YES</v>
      </c>
      <c r="AJ25" t="str">
        <f ca="1">_xlfn.IFNA(IF(AE25 &lt; (INDEX(SLATable[Maximum SLA],MATCH(G25,SLATable[Priority],0))),"YES","NO"),"")</f>
        <v>YES</v>
      </c>
    </row>
    <row r="26" spans="1:36" ht="15" customHeight="1">
      <c r="A26" s="45">
        <v>25</v>
      </c>
      <c r="B26" s="45" t="s">
        <v>51</v>
      </c>
      <c r="C26" s="45" t="s">
        <v>35</v>
      </c>
      <c r="D26" s="45" t="s">
        <v>208</v>
      </c>
      <c r="E26" s="45" t="s">
        <v>5460</v>
      </c>
      <c r="F26" s="45" t="s">
        <v>50</v>
      </c>
      <c r="G26" s="45" t="s">
        <v>208</v>
      </c>
      <c r="H26" s="148" t="s">
        <v>5461</v>
      </c>
      <c r="I26" s="45" t="s">
        <v>271</v>
      </c>
      <c r="J26" s="45" t="s">
        <v>5449</v>
      </c>
      <c r="K26" s="47">
        <v>46183.334027777775</v>
      </c>
      <c r="L26" s="47">
        <v>46183.335416666669</v>
      </c>
      <c r="M26" s="47">
        <v>46183.40625</v>
      </c>
      <c r="N26" s="47">
        <v>46188.321527777778</v>
      </c>
      <c r="O26" s="47">
        <v>46183.407638888886</v>
      </c>
      <c r="P26" s="47">
        <v>46188.314583333333</v>
      </c>
      <c r="Q26" s="45" t="s">
        <v>5418</v>
      </c>
      <c r="R26" s="45" t="s">
        <v>267</v>
      </c>
      <c r="S26" s="45" t="s">
        <v>139</v>
      </c>
      <c r="U26" s="45" t="s">
        <v>371</v>
      </c>
      <c r="Z26" s="76">
        <f t="shared" ca="1" si="3"/>
        <v>7.3611111110949423E-2</v>
      </c>
      <c r="AA26" s="75">
        <f t="shared" ca="1" si="4"/>
        <v>0.19629629629586512</v>
      </c>
      <c r="AB26" s="76">
        <f t="shared" ca="1" si="5"/>
        <v>7.2222222217533272E-2</v>
      </c>
      <c r="AC26" s="75">
        <f t="shared" ca="1" si="6"/>
        <v>0.19259259258008873</v>
      </c>
      <c r="AD26" s="76">
        <f t="shared" ca="1" si="7"/>
        <v>7.0833333331393078E-2</v>
      </c>
      <c r="AE26" s="76">
        <f t="shared" ca="1" si="8"/>
        <v>7.2222222217533272E-2</v>
      </c>
      <c r="AF26" s="75">
        <f t="shared" ca="1" si="9"/>
        <v>0.19259259258008873</v>
      </c>
      <c r="AG26" s="76">
        <f t="shared" ca="1" si="2"/>
        <v>0.19259259258008873</v>
      </c>
      <c r="AH26" s="31" t="str" cm="1">
        <f t="array" aca="1" ref="AH26" ca="1">IF((AD26) &lt; (INDEX(ResponseSLA[#All],(MATCH((G26),ResponseSLA[Priority],0))+1,3)),"YES","No")</f>
        <v>YES</v>
      </c>
      <c r="AI26" s="31" t="str">
        <f ca="1">_xlfn.IFNA(IF(AE26 &lt; (INDEX(SLATable[Minimum SLA],MATCH(G26,SLATable[Priority],0))),"YES","NO"),"")</f>
        <v>YES</v>
      </c>
      <c r="AJ26" t="str">
        <f ca="1">_xlfn.IFNA(IF(AE26 &lt; (INDEX(SLATable[Maximum SLA],MATCH(G26,SLATable[Priority],0))),"YES","NO"),"")</f>
        <v>YES</v>
      </c>
    </row>
    <row r="27" spans="1:36" ht="15" customHeight="1">
      <c r="A27" s="45">
        <v>26</v>
      </c>
      <c r="B27" s="45" t="s">
        <v>51</v>
      </c>
      <c r="C27" s="45" t="s">
        <v>35</v>
      </c>
      <c r="D27" s="45" t="s">
        <v>208</v>
      </c>
      <c r="E27" s="45" t="s">
        <v>5462</v>
      </c>
      <c r="F27" s="45" t="s">
        <v>50</v>
      </c>
      <c r="G27" s="45" t="s">
        <v>208</v>
      </c>
      <c r="H27" s="45" t="s">
        <v>5463</v>
      </c>
      <c r="I27" s="45" t="s">
        <v>271</v>
      </c>
      <c r="J27" s="45" t="s">
        <v>5403</v>
      </c>
      <c r="K27" s="47">
        <v>46183.313194444447</v>
      </c>
      <c r="L27" s="47">
        <v>46183.313888888886</v>
      </c>
      <c r="M27" s="47">
        <v>46183.349305555559</v>
      </c>
      <c r="N27" s="47">
        <v>46184.45208333333</v>
      </c>
      <c r="O27" s="47">
        <v>46183.350694444445</v>
      </c>
      <c r="P27" s="47">
        <v>46184.449305555558</v>
      </c>
      <c r="Q27" s="45" t="s">
        <v>5418</v>
      </c>
      <c r="R27" s="45" t="s">
        <v>267</v>
      </c>
      <c r="S27" s="45" t="s">
        <v>139</v>
      </c>
      <c r="U27" s="45" t="s">
        <v>371</v>
      </c>
      <c r="Z27" s="76">
        <f t="shared" ca="1" si="3"/>
        <v>2.0138888884199957E-2</v>
      </c>
      <c r="AA27" s="75">
        <f t="shared" ca="1" si="4"/>
        <v>5.3703703691199887E-2</v>
      </c>
      <c r="AB27" s="76">
        <f t="shared" ca="1" si="5"/>
        <v>2.0138888884199957E-2</v>
      </c>
      <c r="AC27" s="75">
        <f t="shared" ca="1" si="6"/>
        <v>5.3703703691199887E-2</v>
      </c>
      <c r="AD27" s="76">
        <f t="shared" ca="1" si="7"/>
        <v>1.5972222225779376E-2</v>
      </c>
      <c r="AE27" s="76">
        <f t="shared" ca="1" si="8"/>
        <v>2.0138888884199957E-2</v>
      </c>
      <c r="AF27" s="75">
        <f t="shared" ca="1" si="9"/>
        <v>5.3703703691199887E-2</v>
      </c>
      <c r="AG27" s="76">
        <f t="shared" ca="1" si="2"/>
        <v>5.3703703691199887E-2</v>
      </c>
      <c r="AH27" s="31" t="str" cm="1">
        <f t="array" aca="1" ref="AH27" ca="1">IF((AD27) &lt; (INDEX(ResponseSLA[#All],(MATCH((G27),ResponseSLA[Priority],0))+1,3)),"YES","No")</f>
        <v>YES</v>
      </c>
      <c r="AI27" s="31" t="str">
        <f ca="1">_xlfn.IFNA(IF(AE27 &lt; (INDEX(SLATable[Minimum SLA],MATCH(G27,SLATable[Priority],0))),"YES","NO"),"")</f>
        <v>YES</v>
      </c>
      <c r="AJ27" t="str">
        <f ca="1">_xlfn.IFNA(IF(AE27 &lt; (INDEX(SLATable[Maximum SLA],MATCH(G27,SLATable[Priority],0))),"YES","NO"),"")</f>
        <v>YES</v>
      </c>
    </row>
    <row r="28" spans="1:36" ht="15" customHeight="1">
      <c r="A28" s="45">
        <v>27</v>
      </c>
      <c r="B28" s="45" t="s">
        <v>51</v>
      </c>
      <c r="C28" s="45" t="s">
        <v>35</v>
      </c>
      <c r="D28" s="45" t="s">
        <v>207</v>
      </c>
      <c r="E28" s="45" t="s">
        <v>5464</v>
      </c>
      <c r="F28" s="45" t="s">
        <v>50</v>
      </c>
      <c r="G28" s="45">
        <v>3</v>
      </c>
      <c r="H28" s="45" t="s">
        <v>5465</v>
      </c>
      <c r="I28" s="45" t="s">
        <v>275</v>
      </c>
      <c r="J28" s="45" t="s">
        <v>5403</v>
      </c>
      <c r="K28" s="47">
        <v>46184.493750000001</v>
      </c>
      <c r="L28" s="47">
        <v>46184.494097222225</v>
      </c>
      <c r="M28" s="47">
        <v>46184.532638888886</v>
      </c>
      <c r="N28" s="47">
        <v>46184.640277777777</v>
      </c>
      <c r="O28" s="47">
        <v>46184.55972222222</v>
      </c>
      <c r="P28" s="47">
        <v>46184.640277777777</v>
      </c>
      <c r="Q28" s="45" t="s">
        <v>5444</v>
      </c>
      <c r="R28" s="45" t="s">
        <v>276</v>
      </c>
      <c r="S28" s="45" t="s">
        <v>190</v>
      </c>
      <c r="U28" s="45" t="s">
        <v>371</v>
      </c>
      <c r="Z28" s="76">
        <f t="shared" ca="1" si="3"/>
        <v>6.5972222218988463E-2</v>
      </c>
      <c r="AA28" s="75">
        <f t="shared" ca="1" si="4"/>
        <v>0.17592592591730258</v>
      </c>
      <c r="AB28" s="76">
        <f t="shared" ca="1" si="5"/>
        <v>6.5624999995634425E-2</v>
      </c>
      <c r="AC28" s="75">
        <f t="shared" ca="1" si="6"/>
        <v>0.17499999998835847</v>
      </c>
      <c r="AD28" s="76">
        <f t="shared" ca="1" si="7"/>
        <v>3.8541666661330964E-2</v>
      </c>
      <c r="AE28" s="76">
        <f t="shared" ca="1" si="8"/>
        <v>6.5624999995634425E-2</v>
      </c>
      <c r="AF28" s="75">
        <f t="shared" ca="1" si="9"/>
        <v>0.17499999998835847</v>
      </c>
      <c r="AG28" s="76">
        <f t="shared" ca="1" si="2"/>
        <v>0.17499999998835847</v>
      </c>
      <c r="AH28" s="31" t="str" cm="1">
        <f t="array" aca="1" ref="AH28" ca="1">IF((AD28) &lt; (INDEX(ResponseSLA[#All],(MATCH((G28),ResponseSLA[Priority],0))+1,3)),"YES","No")</f>
        <v>YES</v>
      </c>
      <c r="AI28" s="31" t="str">
        <f ca="1">_xlfn.IFNA(IF(AE28 &lt; (INDEX(SLATable[Minimum SLA],MATCH(G28,SLATable[Priority],0))),"YES","NO"),"")</f>
        <v>YES</v>
      </c>
      <c r="AJ28" t="str">
        <f ca="1">_xlfn.IFNA(IF(AE28 &lt; (INDEX(SLATable[Maximum SLA],MATCH(G28,SLATable[Priority],0))),"YES","NO"),"")</f>
        <v>YES</v>
      </c>
    </row>
    <row r="29" spans="1:36" ht="15" customHeight="1">
      <c r="A29" s="45">
        <v>28</v>
      </c>
      <c r="B29" s="45" t="s">
        <v>51</v>
      </c>
      <c r="C29" s="45" t="s">
        <v>35</v>
      </c>
      <c r="D29" s="45" t="s">
        <v>208</v>
      </c>
      <c r="E29" s="45" t="s">
        <v>5466</v>
      </c>
      <c r="F29" s="45" t="s">
        <v>50</v>
      </c>
      <c r="G29" s="45" t="s">
        <v>208</v>
      </c>
      <c r="H29" s="45" t="s">
        <v>5467</v>
      </c>
      <c r="I29" s="45" t="s">
        <v>271</v>
      </c>
      <c r="J29" s="45" t="s">
        <v>5403</v>
      </c>
      <c r="K29" s="47">
        <v>46184.581944444442</v>
      </c>
      <c r="L29" s="47">
        <v>46184.582638888889</v>
      </c>
      <c r="M29" s="47">
        <v>46184.582986111112</v>
      </c>
      <c r="N29" s="47">
        <v>46184.584722222222</v>
      </c>
      <c r="Q29" s="45" t="s">
        <v>5408</v>
      </c>
      <c r="R29" s="45" t="s">
        <v>267</v>
      </c>
      <c r="S29" s="45" t="s">
        <v>179</v>
      </c>
      <c r="U29" s="45" t="s">
        <v>371</v>
      </c>
      <c r="Z29" s="76">
        <f t="shared" ca="1" si="3"/>
        <v>2.7777777795563452E-3</v>
      </c>
      <c r="AA29" s="75">
        <f t="shared" ca="1" si="4"/>
        <v>7.4074074121502536E-3</v>
      </c>
      <c r="AB29" s="76">
        <f t="shared" ca="1" si="5"/>
        <v>2.0833333328482695E-3</v>
      </c>
      <c r="AC29" s="75">
        <f t="shared" ca="1" si="6"/>
        <v>5.5555555542620523E-3</v>
      </c>
      <c r="AD29" s="76">
        <f t="shared" ca="1" si="7"/>
        <v>3.4722222335403785E-4</v>
      </c>
      <c r="AE29" s="76">
        <f t="shared" ca="1" si="8"/>
        <v>2.0833333328482695E-3</v>
      </c>
      <c r="AF29" s="75">
        <f t="shared" ca="1" si="9"/>
        <v>5.5555555542620523E-3</v>
      </c>
      <c r="AG29" s="76">
        <f t="shared" ca="1" si="2"/>
        <v>5.5555555542620523E-3</v>
      </c>
      <c r="AH29" s="31" t="str" cm="1">
        <f t="array" aca="1" ref="AH29" ca="1">IF((AD29) &lt; (INDEX(ResponseSLA[#All],(MATCH((G29),ResponseSLA[Priority],0))+1,3)),"YES","No")</f>
        <v>YES</v>
      </c>
      <c r="AI29" s="31" t="str">
        <f ca="1">_xlfn.IFNA(IF(AE29 &lt; (INDEX(SLATable[Minimum SLA],MATCH(G29,SLATable[Priority],0))),"YES","NO"),"")</f>
        <v>YES</v>
      </c>
      <c r="AJ29" t="str">
        <f ca="1">_xlfn.IFNA(IF(AE29 &lt; (INDEX(SLATable[Maximum SLA],MATCH(G29,SLATable[Priority],0))),"YES","NO"),"")</f>
        <v>YES</v>
      </c>
    </row>
    <row r="30" spans="1:36" ht="15" customHeight="1">
      <c r="A30" s="45">
        <v>29</v>
      </c>
      <c r="B30" s="45" t="s">
        <v>51</v>
      </c>
      <c r="C30" s="45" t="s">
        <v>35</v>
      </c>
      <c r="D30" s="45" t="s">
        <v>207</v>
      </c>
      <c r="E30" s="45" t="s">
        <v>5468</v>
      </c>
      <c r="F30" s="45" t="s">
        <v>50</v>
      </c>
      <c r="G30" s="45">
        <v>4</v>
      </c>
      <c r="H30" s="45" t="s">
        <v>5459</v>
      </c>
      <c r="I30" s="45" t="s">
        <v>275</v>
      </c>
      <c r="J30" s="45" t="s">
        <v>5403</v>
      </c>
      <c r="K30" s="47">
        <v>46185.275694444441</v>
      </c>
      <c r="L30" s="47">
        <v>46185.275925925926</v>
      </c>
      <c r="M30" s="47">
        <v>46185.27615740741</v>
      </c>
      <c r="N30" s="47">
        <v>46185.28125</v>
      </c>
      <c r="Q30" s="45" t="s">
        <v>5429</v>
      </c>
      <c r="R30" s="45" t="s">
        <v>267</v>
      </c>
      <c r="S30" s="45" t="s">
        <v>190</v>
      </c>
      <c r="U30" s="45" t="s">
        <v>371</v>
      </c>
      <c r="Z30" s="76">
        <f t="shared" ca="1" si="3"/>
        <v>0</v>
      </c>
      <c r="AA30" s="75">
        <f t="shared" ca="1" si="4"/>
        <v>0</v>
      </c>
      <c r="AB30" s="76">
        <f t="shared" ca="1" si="5"/>
        <v>0</v>
      </c>
      <c r="AC30" s="75">
        <f t="shared" ca="1" si="6"/>
        <v>0</v>
      </c>
      <c r="AD30" s="76">
        <f t="shared" ca="1" si="7"/>
        <v>0</v>
      </c>
      <c r="AE30" s="76">
        <f t="shared" ca="1" si="8"/>
        <v>0</v>
      </c>
      <c r="AF30" s="75">
        <f t="shared" ca="1" si="9"/>
        <v>0</v>
      </c>
      <c r="AG30" s="76">
        <f t="shared" ca="1" si="2"/>
        <v>0</v>
      </c>
      <c r="AH30" s="31" t="str" cm="1">
        <f t="array" aca="1" ref="AH30" ca="1">IF((AD30) &lt; (INDEX(ResponseSLA[#All],(MATCH((G30),ResponseSLA[Priority],0))+1,3)),"YES","No")</f>
        <v>YES</v>
      </c>
      <c r="AI30" s="31" t="str">
        <f ca="1">_xlfn.IFNA(IF(AE30 &lt; (INDEX(SLATable[Minimum SLA],MATCH(G30,SLATable[Priority],0))),"YES","NO"),"")</f>
        <v>YES</v>
      </c>
      <c r="AJ30" t="str">
        <f ca="1">_xlfn.IFNA(IF(AE30 &lt; (INDEX(SLATable[Maximum SLA],MATCH(G30,SLATable[Priority],0))),"YES","NO"),"")</f>
        <v>YES</v>
      </c>
    </row>
    <row r="31" spans="1:36" ht="15" customHeight="1">
      <c r="A31" s="45">
        <v>30</v>
      </c>
      <c r="B31" s="45" t="s">
        <v>51</v>
      </c>
      <c r="C31" s="45" t="s">
        <v>35</v>
      </c>
      <c r="D31" s="45" t="s">
        <v>207</v>
      </c>
      <c r="E31" s="45" t="s">
        <v>5469</v>
      </c>
      <c r="F31" s="45" t="s">
        <v>50</v>
      </c>
      <c r="G31" s="45">
        <v>4</v>
      </c>
      <c r="H31" s="45" t="s">
        <v>5470</v>
      </c>
      <c r="I31" s="45" t="s">
        <v>271</v>
      </c>
      <c r="J31" s="45" t="s">
        <v>5403</v>
      </c>
      <c r="K31" s="47">
        <v>46185.442361111112</v>
      </c>
      <c r="L31" s="47">
        <v>46185.582638888889</v>
      </c>
      <c r="M31" s="47">
        <v>46185.64166666667</v>
      </c>
      <c r="N31" s="47">
        <v>46190.274652777778</v>
      </c>
      <c r="O31" s="47">
        <v>46185.650694444441</v>
      </c>
      <c r="P31" s="47">
        <v>46190.274305555555</v>
      </c>
      <c r="Q31" s="45" t="s">
        <v>5429</v>
      </c>
      <c r="R31" s="45" t="s">
        <v>267</v>
      </c>
      <c r="S31" s="45" t="s">
        <v>190</v>
      </c>
      <c r="U31" s="45" t="s">
        <v>371</v>
      </c>
      <c r="Z31" s="76">
        <f t="shared" ca="1" si="3"/>
        <v>0.20833333332848269</v>
      </c>
      <c r="AA31" s="75">
        <f t="shared" ca="1" si="4"/>
        <v>0.55555555554262048</v>
      </c>
      <c r="AB31" s="76">
        <f t="shared" ca="1" si="5"/>
        <v>6.8055555551836733E-2</v>
      </c>
      <c r="AC31" s="75">
        <f t="shared" ca="1" si="6"/>
        <v>0.18148148147156462</v>
      </c>
      <c r="AD31" s="76">
        <f t="shared" ca="1" si="7"/>
        <v>5.9027777781011537E-2</v>
      </c>
      <c r="AE31" s="76">
        <f t="shared" ca="1" si="8"/>
        <v>6.8055555551836733E-2</v>
      </c>
      <c r="AF31" s="75">
        <f t="shared" ca="1" si="9"/>
        <v>0.18148148147156462</v>
      </c>
      <c r="AG31" s="76">
        <f t="shared" ca="1" si="2"/>
        <v>0.18148148147156462</v>
      </c>
      <c r="AH31" s="31" t="str" cm="1">
        <f t="array" aca="1" ref="AH31" ca="1">IF((AD31) &lt; (INDEX(ResponseSLA[#All],(MATCH((G31),ResponseSLA[Priority],0))+1,3)),"YES","No")</f>
        <v>YES</v>
      </c>
      <c r="AI31" s="31" t="str">
        <f ca="1">_xlfn.IFNA(IF(AE31 &lt; (INDEX(SLATable[Minimum SLA],MATCH(G31,SLATable[Priority],0))),"YES","NO"),"")</f>
        <v>YES</v>
      </c>
      <c r="AJ31" t="str">
        <f ca="1">_xlfn.IFNA(IF(AE31 &lt; (INDEX(SLATable[Maximum SLA],MATCH(G31,SLATable[Priority],0))),"YES","NO"),"")</f>
        <v>YES</v>
      </c>
    </row>
    <row r="32" spans="1:36" ht="15" customHeight="1">
      <c r="A32" s="45">
        <v>31</v>
      </c>
      <c r="B32" s="45" t="s">
        <v>51</v>
      </c>
      <c r="C32" s="45" t="s">
        <v>35</v>
      </c>
      <c r="D32" s="45" t="s">
        <v>207</v>
      </c>
      <c r="E32" s="45" t="s">
        <v>5471</v>
      </c>
      <c r="F32" s="45" t="s">
        <v>50</v>
      </c>
      <c r="G32" s="45">
        <v>3</v>
      </c>
      <c r="H32" s="45" t="s">
        <v>5472</v>
      </c>
      <c r="I32" s="45" t="s">
        <v>275</v>
      </c>
      <c r="J32" s="45" t="s">
        <v>5403</v>
      </c>
      <c r="K32" s="47">
        <v>46187.354861111111</v>
      </c>
      <c r="L32" s="47">
        <v>46187.355555555558</v>
      </c>
      <c r="M32" s="47">
        <v>46187.382638888892</v>
      </c>
      <c r="N32" s="47">
        <v>46187.387499999997</v>
      </c>
      <c r="Q32" s="45" t="s">
        <v>5424</v>
      </c>
      <c r="R32" s="45" t="s">
        <v>267</v>
      </c>
      <c r="S32" s="45" t="s">
        <v>141</v>
      </c>
      <c r="U32" s="45" t="s">
        <v>371</v>
      </c>
      <c r="W32" s="47"/>
      <c r="Z32" s="76">
        <f ca="1">IF(NOT(OR(G32=1,G32=2)),MAX(0,_xlfn.IFS(AND(K32&lt;&gt;"",N32&lt;&gt;""),((MAX(NETWORKDAYS(K32,N32,UKBankHolidays)-1,0))*(TIME(17,0,0)-TIME(8,0,0))+IF(NETWORKDAYS(N32,N32,UKBankHolidays)&gt;0,MEDIAN(TIME(8,0,0),MOD(N32,1),TIME(17,0,0)),TIME(8,0,0))-IF(NETWORKDAYS(K32,K32,UKBankHolidays)&gt;0,MEDIAN(TIME(8,0,0),MOD(K32,1),TIME(17,0,0)),TIME(8,0,0)))-IF(AND(O32&lt;&gt;"",P32&lt;&gt;""),((MAX(NETWORKDAYS(O32,P32,UKBankHolidays)-1,0))*(TIME(17,0,0)-TIME(8,0,0))+IF(NETWORKDAYS(P32,P32,UKBankHolidays)&gt;0,MEDIAN(TIME(8,0,0),MOD(P32,1),TIME(17,0,0)),TIME(8,0,0))-IF(NETWORKDAYS(O32,O32,UKBankHolidays)&gt;0,MEDIAN(TIME(8,0,0),MOD(O32,1),TIME(17,0,0)),TIME(8,0,0))),0),AND(K32&lt;&gt;"",N32=""),((MAX(NETWORKDAYS(K32,NOW(),UKBankHolidays)-1,0))*(TIME(17,0,0)-TIME(8,0,0))+IF(NETWORKDAYS(NOW(),NOW(),UKBankHolidays)&gt;0,MEDIAN(TIME(8,0,0),MOD(NOW(),1),TIME(17,0,0)),TIME(8,0,0))-IF(NETWORKDAYS(K32,K32,UKBankHolidays)&gt;0,MEDIAN(TIME(8,0,0),MOD(K32,1),TIME(17,0,0)),TIME(8,0,0))))),IF(N32="",NOW()-K32,N32-K32))</f>
        <v>0</v>
      </c>
      <c r="AA32" s="75">
        <f t="shared" ca="1" si="4"/>
        <v>0</v>
      </c>
      <c r="AB32" s="76">
        <f ca="1">IF(NOT(OR(G32=1,G32=2)),MAX(0,_xlfn.IFS(AND(W32&lt;&gt;"",N32&lt;&gt;""),(((MAX(NETWORKDAYS(L32,N32,UKBankHolidays)-1,0))*(TIME(17,0,0)-TIME(8,0,0)))+IF(NETWORKDAYS(N32,N32,UKBankHolidays)&gt;0,MEDIAN(TIME(8,0,0),MOD(N32,1),TIME(17,0,0)),TIME(8,0,0))-IF(NETWORKDAYS(L32,L32,UKBankHolidays)&gt;0,MEDIAN(TIME(8,0,0),MOD(L32,1),TIME(17,0,0)),TIME(8,0,0)))-IF(AND(O32&lt;&gt;"",P32&lt;&gt;""),(((MAX(NETWORKDAYS(O32,P32,UKBankHolidays)-1,0))*(TIME(17,0,0)-TIME(8,0,0)))+IF(NETWORKDAYS(P32,P32,UKBankHolidays)&gt;0,MEDIAN(TIME(8,0,0),MOD(P32,1),TIME(17,0,0)),TIME(8,0,0))-IF(NETWORKDAYS(O32,O32,UKBankHolidays)&gt;0,MEDIAN(TIME(8,0,0),MOD(O32,1),TIME(17,0,0)),TIME(8,0,0))),0),AND(L32&lt;&gt;"",N32="",O32=""),(((MAX(NETWORKDAYS(L32,NOW(),UKBankHolidays)-1,0))*(TIME(17,0,0)-TIME(8,0,0)))+IF(NETWORKDAYS(NOW(),NOW(),UKBankHolidays)&gt;0,MEDIAN(TIME(8,0,0),MOD(NOW(),1),TIME(17,0,0)),TIME(8,0,0))-IF(NETWORKDAYS(L32,L32,UKBankHolidays)&gt;0,MEDIAN(TIME(8,0,0),MOD(L32,1),TIME(17,0,0)),TIME(8,0,0)))-IF(AND(O32&lt;&gt;"",P32&lt;&gt;""),(((MAX(NETWORKDAYS(O32,P32,UKBankHolidays)-1,0))*(TIME(17,0,0)-TIME(8,0,0)))+IF(NETWORKDAYS(P32,P32,UKBankHolidays)&gt;0,MEDIAN(TIME(8,0,0),MOD(P32,1),TIME(17,0,0)),TIME(8,0,0))-IF(NETWORKDAYS(O32,O32,UKBankHolidays)&gt;0,MEDIAN(TIME(8,0,0),MOD(O32,1),TIME(17,0,0)),TIME(8,0,0))),0),AND(L32&lt;&gt;"",N32="",P32="",O32&lt;&gt;""),(((MAX(NETWORKDAYS(L32,O32,UKBankHolidays)-1,0))*(TIME(17,0,0)-TIME(8,0,0)))+IF(NETWORKDAYS(O32,O32,UKBankHolidays)&gt;0,MEDIAN(TIME(8,0,0),MOD(O32,1),TIME(17,0,0)),TIME(8,0,0))-IF(NETWORKDAYS(L32,L32,UKBankHolidays)&gt;0,MEDIAN(TIME(8,0,0),MOD(L32,1),TIME(17,0,0)),TIME(8,0,0))),ISBLANK(W32),"0")),IF(ISBLANK(N32),NOW()-L32,N32-L32))</f>
        <v>0</v>
      </c>
      <c r="AC32" s="75">
        <f t="shared" ca="1" si="6"/>
        <v>0</v>
      </c>
      <c r="AD32" s="76">
        <f t="shared" ca="1" si="7"/>
        <v>0</v>
      </c>
      <c r="AE32" s="76">
        <f t="shared" ca="1" si="8"/>
        <v>0</v>
      </c>
      <c r="AF32" s="75">
        <f t="shared" ca="1" si="9"/>
        <v>0</v>
      </c>
      <c r="AG32" s="76">
        <f t="shared" ca="1" si="2"/>
        <v>0</v>
      </c>
      <c r="AH32" s="31" t="str" cm="1">
        <f t="array" aca="1" ref="AH32" ca="1">IF((AD32) &lt; (INDEX(ResponseSLA[#All],(MATCH((G32),ResponseSLA[Priority],0))+1,3)),"YES","No")</f>
        <v>YES</v>
      </c>
      <c r="AI32" s="31" t="str">
        <f ca="1">_xlfn.IFNA(IF(AE32 &lt; (INDEX(SLATable[Minimum SLA],MATCH(G32,SLATable[Priority],0))),"YES","NO"),"")</f>
        <v>YES</v>
      </c>
      <c r="AJ32" t="str">
        <f ca="1">_xlfn.IFNA(IF(AE32 &lt; (INDEX(SLATable[Maximum SLA],MATCH(G32,SLATable[Priority],0))),"YES","NO"),"")</f>
        <v>YES</v>
      </c>
    </row>
    <row r="33" spans="1:36" ht="15" customHeight="1">
      <c r="A33" s="45">
        <v>32</v>
      </c>
      <c r="B33" s="45" t="s">
        <v>51</v>
      </c>
      <c r="C33" s="45" t="s">
        <v>35</v>
      </c>
      <c r="D33" s="45" t="s">
        <v>207</v>
      </c>
      <c r="E33" s="45" t="s">
        <v>5473</v>
      </c>
      <c r="F33" s="45" t="s">
        <v>50</v>
      </c>
      <c r="G33" s="45">
        <v>3</v>
      </c>
      <c r="H33" s="45" t="s">
        <v>5474</v>
      </c>
      <c r="I33" s="45" t="s">
        <v>275</v>
      </c>
      <c r="J33" s="45" t="s">
        <v>5403</v>
      </c>
      <c r="K33" s="47">
        <v>46188.486805555556</v>
      </c>
      <c r="L33" s="47">
        <v>46188.488194444442</v>
      </c>
      <c r="M33" s="47">
        <v>46188.513888888891</v>
      </c>
      <c r="N33" s="47">
        <v>46188.51458333333</v>
      </c>
      <c r="Q33" s="45" t="s">
        <v>5424</v>
      </c>
      <c r="R33" s="45" t="s">
        <v>267</v>
      </c>
      <c r="S33" s="45" t="s">
        <v>137</v>
      </c>
      <c r="U33" s="45" t="s">
        <v>371</v>
      </c>
      <c r="Z33" s="76">
        <f t="shared" ca="1" si="3"/>
        <v>2.7777777773735579E-2</v>
      </c>
      <c r="AA33" s="75">
        <f t="shared" ca="1" si="4"/>
        <v>7.4074074063294873E-2</v>
      </c>
      <c r="AB33" s="76">
        <f t="shared" ca="1" si="5"/>
        <v>2.6388888887595385E-2</v>
      </c>
      <c r="AC33" s="75">
        <f t="shared" ca="1" si="6"/>
        <v>7.0370370366921023E-2</v>
      </c>
      <c r="AD33" s="76">
        <f t="shared" ca="1" si="7"/>
        <v>2.5694444448163267E-2</v>
      </c>
      <c r="AE33" s="76">
        <f t="shared" ca="1" si="8"/>
        <v>2.6388888887595385E-2</v>
      </c>
      <c r="AF33" s="75">
        <f t="shared" ca="1" si="9"/>
        <v>7.0370370366921023E-2</v>
      </c>
      <c r="AG33" s="76">
        <f t="shared" ca="1" si="2"/>
        <v>7.0370370366921023E-2</v>
      </c>
      <c r="AH33" s="31" t="str" cm="1">
        <f t="array" aca="1" ref="AH33" ca="1">IF((AD33) &lt; (INDEX(ResponseSLA[#All],(MATCH((G33),ResponseSLA[Priority],0))+1,3)),"YES","No")</f>
        <v>YES</v>
      </c>
      <c r="AI33" s="31" t="str">
        <f ca="1">_xlfn.IFNA(IF(AE33 &lt; (INDEX(SLATable[Minimum SLA],MATCH(G33,SLATable[Priority],0))),"YES","NO"),"")</f>
        <v>YES</v>
      </c>
      <c r="AJ33" t="str">
        <f ca="1">_xlfn.IFNA(IF(AE33 &lt; (INDEX(SLATable[Maximum SLA],MATCH(G33,SLATable[Priority],0))),"YES","NO"),"")</f>
        <v>YES</v>
      </c>
    </row>
    <row r="34" spans="1:36" ht="15" customHeight="1">
      <c r="A34" s="45">
        <v>33</v>
      </c>
      <c r="B34" s="45" t="s">
        <v>51</v>
      </c>
      <c r="C34" s="45" t="s">
        <v>35</v>
      </c>
      <c r="D34" s="45" t="s">
        <v>207</v>
      </c>
      <c r="E34" s="45" t="s">
        <v>5475</v>
      </c>
      <c r="F34" s="45" t="s">
        <v>50</v>
      </c>
      <c r="G34" s="45">
        <v>2</v>
      </c>
      <c r="H34" s="45" t="s">
        <v>5476</v>
      </c>
      <c r="I34" s="45" t="s">
        <v>271</v>
      </c>
      <c r="J34" s="45" t="s">
        <v>5449</v>
      </c>
      <c r="K34" s="47">
        <v>46196.970833333333</v>
      </c>
      <c r="L34" s="47">
        <v>46196.971180555556</v>
      </c>
      <c r="M34" s="47">
        <v>46196.976388888892</v>
      </c>
      <c r="N34" s="47">
        <v>46197.011111111111</v>
      </c>
      <c r="Q34" s="45" t="s">
        <v>5477</v>
      </c>
      <c r="R34" s="45" t="s">
        <v>267</v>
      </c>
      <c r="S34" s="45" t="s">
        <v>195</v>
      </c>
      <c r="U34" s="45" t="s">
        <v>371</v>
      </c>
      <c r="Z34" s="76">
        <f t="shared" ca="1" si="3"/>
        <v>4.0277777778101154E-2</v>
      </c>
      <c r="AA34" s="75">
        <f t="shared" ca="1" si="4"/>
        <v>0.10740740740826975</v>
      </c>
      <c r="AB34" s="76">
        <f t="shared" ca="1" si="5"/>
        <v>3.9930555554747116E-2</v>
      </c>
      <c r="AC34" s="75">
        <f t="shared" ca="1" si="6"/>
        <v>0.10648148147932564</v>
      </c>
      <c r="AD34" s="76">
        <f t="shared" ca="1" si="7"/>
        <v>5.2083333357586525E-3</v>
      </c>
      <c r="AE34" s="76">
        <f t="shared" ca="1" si="8"/>
        <v>3.9930555554747116E-2</v>
      </c>
      <c r="AF34" s="75">
        <f t="shared" ca="1" si="9"/>
        <v>0.10648148147932564</v>
      </c>
      <c r="AG34" s="76">
        <f t="shared" ca="1" si="2"/>
        <v>0.10648148147932564</v>
      </c>
      <c r="AH34" s="31" t="str" cm="1">
        <f t="array" aca="1" ref="AH34" ca="1">IF((AD34) &lt; (INDEX(ResponseSLA[#All],(MATCH((G34),ResponseSLA[Priority],0))+1,3)),"YES","No")</f>
        <v>YES</v>
      </c>
      <c r="AI34" s="31" t="str">
        <f ca="1">_xlfn.IFNA(IF(AE34 &lt; (INDEX(SLATable[Minimum SLA],MATCH(G34,SLATable[Priority],0))),"YES","NO"),"")</f>
        <v>YES</v>
      </c>
      <c r="AJ34" t="str">
        <f ca="1">_xlfn.IFNA(IF(AE34 &lt; (INDEX(SLATable[Maximum SLA],MATCH(G34,SLATable[Priority],0))),"YES","NO"),"")</f>
        <v>YES</v>
      </c>
    </row>
    <row r="35" spans="1:36" ht="15" customHeight="1">
      <c r="A35" s="45">
        <v>34</v>
      </c>
      <c r="B35" s="45" t="s">
        <v>51</v>
      </c>
      <c r="C35" s="45" t="s">
        <v>35</v>
      </c>
      <c r="D35" s="45" t="s">
        <v>207</v>
      </c>
      <c r="E35" s="45" t="s">
        <v>5478</v>
      </c>
      <c r="F35" s="45" t="s">
        <v>50</v>
      </c>
      <c r="G35" s="45">
        <v>4</v>
      </c>
      <c r="H35" s="45" t="s">
        <v>5459</v>
      </c>
      <c r="I35" s="45" t="s">
        <v>275</v>
      </c>
      <c r="J35" s="45" t="s">
        <v>5403</v>
      </c>
      <c r="K35" s="47">
        <v>46196.378472222219</v>
      </c>
      <c r="L35" s="47">
        <v>46196.98541666667</v>
      </c>
      <c r="M35" s="47">
        <v>46197.243750000001</v>
      </c>
      <c r="N35" s="47">
        <v>46197.337500000001</v>
      </c>
      <c r="O35" s="47">
        <v>46197.245833333334</v>
      </c>
      <c r="P35" s="47">
        <v>46197.344444444447</v>
      </c>
      <c r="Q35" s="45" t="s">
        <v>5429</v>
      </c>
      <c r="R35" s="45" t="s">
        <v>276</v>
      </c>
      <c r="S35" s="45" t="s">
        <v>190</v>
      </c>
      <c r="U35" s="45" t="s">
        <v>371</v>
      </c>
      <c r="Z35" s="76">
        <f t="shared" ca="1" si="3"/>
        <v>0.32291666666909197</v>
      </c>
      <c r="AA35" s="75">
        <f t="shared" ca="1" si="4"/>
        <v>0.86111111111757865</v>
      </c>
      <c r="AB35" s="76">
        <f t="shared" ca="1" si="5"/>
        <v>0</v>
      </c>
      <c r="AC35" s="75">
        <f t="shared" ca="1" si="6"/>
        <v>0</v>
      </c>
      <c r="AD35" s="76">
        <f t="shared" ca="1" si="7"/>
        <v>0</v>
      </c>
      <c r="AE35" s="76">
        <f t="shared" ca="1" si="8"/>
        <v>0</v>
      </c>
      <c r="AF35" s="75">
        <f t="shared" ca="1" si="9"/>
        <v>0</v>
      </c>
      <c r="AG35" s="76">
        <f t="shared" ca="1" si="2"/>
        <v>0</v>
      </c>
      <c r="AH35" s="31" t="str" cm="1">
        <f t="array" aca="1" ref="AH35" ca="1">IF((AD35) &lt; (INDEX(ResponseSLA[#All],(MATCH((G35),ResponseSLA[Priority],0))+1,3)),"YES","No")</f>
        <v>YES</v>
      </c>
      <c r="AI35" s="31" t="str">
        <f ca="1">_xlfn.IFNA(IF(AE35 &lt; (INDEX(SLATable[Minimum SLA],MATCH(G35,SLATable[Priority],0))),"YES","NO"),"")</f>
        <v>YES</v>
      </c>
      <c r="AJ35" t="str">
        <f ca="1">_xlfn.IFNA(IF(AE35 &lt; (INDEX(SLATable[Maximum SLA],MATCH(G35,SLATable[Priority],0))),"YES","NO"),"")</f>
        <v>YES</v>
      </c>
    </row>
    <row r="36" spans="1:36" ht="15" customHeight="1">
      <c r="A36" s="45">
        <v>35</v>
      </c>
      <c r="B36" s="45" t="s">
        <v>51</v>
      </c>
      <c r="C36" s="45" t="s">
        <v>35</v>
      </c>
      <c r="D36" s="45" t="s">
        <v>208</v>
      </c>
      <c r="E36" s="45" t="s">
        <v>5479</v>
      </c>
      <c r="F36" s="45" t="s">
        <v>50</v>
      </c>
      <c r="G36" s="45" t="s">
        <v>208</v>
      </c>
      <c r="H36" s="45" t="s">
        <v>5480</v>
      </c>
      <c r="I36" s="45" t="s">
        <v>271</v>
      </c>
      <c r="J36" s="45" t="s">
        <v>5403</v>
      </c>
      <c r="K36" s="47">
        <v>46197.636805555558</v>
      </c>
      <c r="L36" s="47">
        <v>46197.637152777781</v>
      </c>
      <c r="M36" s="47">
        <v>46197.637499999997</v>
      </c>
      <c r="N36" s="47">
        <v>46197.640277777777</v>
      </c>
      <c r="Q36" s="45" t="s">
        <v>5415</v>
      </c>
      <c r="R36" s="45" t="s">
        <v>267</v>
      </c>
      <c r="S36" s="45" t="s">
        <v>179</v>
      </c>
      <c r="U36" s="45" t="s">
        <v>371</v>
      </c>
      <c r="Z36" s="76">
        <f t="shared" ca="1" si="3"/>
        <v>3.4722222189884633E-3</v>
      </c>
      <c r="AA36" s="75">
        <f t="shared" ca="1" si="4"/>
        <v>9.2592592506359015E-3</v>
      </c>
      <c r="AB36" s="76">
        <f t="shared" ca="1" si="5"/>
        <v>3.1249999956344254E-3</v>
      </c>
      <c r="AC36" s="75">
        <f t="shared" ca="1" si="6"/>
        <v>8.3333333216918017E-3</v>
      </c>
      <c r="AD36" s="76">
        <f t="shared" ca="1" si="7"/>
        <v>3.4722221607808024E-4</v>
      </c>
      <c r="AE36" s="76">
        <f t="shared" ca="1" si="8"/>
        <v>3.1249999956344254E-3</v>
      </c>
      <c r="AF36" s="75">
        <f t="shared" ca="1" si="9"/>
        <v>8.3333333216918017E-3</v>
      </c>
      <c r="AG36" s="76">
        <f t="shared" ca="1" si="2"/>
        <v>8.3333333216918017E-3</v>
      </c>
      <c r="AH36" s="31" t="str" cm="1">
        <f t="array" aca="1" ref="AH36" ca="1">IF((AD36) &lt; (INDEX(ResponseSLA[#All],(MATCH((G36),ResponseSLA[Priority],0))+1,3)),"YES","No")</f>
        <v>YES</v>
      </c>
      <c r="AI36" s="31" t="str">
        <f ca="1">_xlfn.IFNA(IF(AE36 &lt; (INDEX(SLATable[Minimum SLA],MATCH(G36,SLATable[Priority],0))),"YES","NO"),"")</f>
        <v>YES</v>
      </c>
      <c r="AJ36" t="str">
        <f ca="1">_xlfn.IFNA(IF(AE36 &lt; (INDEX(SLATable[Maximum SLA],MATCH(G36,SLATable[Priority],0))),"YES","NO"),"")</f>
        <v>YES</v>
      </c>
    </row>
    <row r="37" spans="1:36" ht="15" customHeight="1">
      <c r="A37" s="45">
        <v>36</v>
      </c>
      <c r="B37" s="45" t="s">
        <v>51</v>
      </c>
      <c r="C37" s="45" t="s">
        <v>35</v>
      </c>
      <c r="D37" s="45" t="s">
        <v>208</v>
      </c>
      <c r="E37" s="45" t="s">
        <v>5481</v>
      </c>
      <c r="F37" s="45" t="s">
        <v>50</v>
      </c>
      <c r="G37" s="45" t="s">
        <v>208</v>
      </c>
      <c r="H37" s="45" t="s">
        <v>5482</v>
      </c>
      <c r="I37" s="45" t="s">
        <v>271</v>
      </c>
      <c r="J37" s="45" t="s">
        <v>5403</v>
      </c>
      <c r="K37" s="47">
        <v>46198.277777777781</v>
      </c>
      <c r="L37" s="47">
        <v>46198.27847222222</v>
      </c>
      <c r="M37" s="47">
        <v>46198.279166666667</v>
      </c>
      <c r="N37" s="47">
        <v>46198.284722222219</v>
      </c>
      <c r="Q37" s="45" t="s">
        <v>5421</v>
      </c>
      <c r="R37" s="45" t="s">
        <v>267</v>
      </c>
      <c r="S37" s="45" t="s">
        <v>179</v>
      </c>
      <c r="U37" s="45" t="s">
        <v>371</v>
      </c>
      <c r="Z37" s="76">
        <f t="shared" ca="1" si="3"/>
        <v>0</v>
      </c>
      <c r="AA37" s="75">
        <f t="shared" ca="1" si="4"/>
        <v>0</v>
      </c>
      <c r="AB37" s="76">
        <f t="shared" ca="1" si="5"/>
        <v>0</v>
      </c>
      <c r="AC37" s="75">
        <f t="shared" ca="1" si="6"/>
        <v>0</v>
      </c>
      <c r="AD37" s="76">
        <f t="shared" ca="1" si="7"/>
        <v>0</v>
      </c>
      <c r="AE37" s="76">
        <f t="shared" ca="1" si="8"/>
        <v>0</v>
      </c>
      <c r="AF37" s="75">
        <f t="shared" ca="1" si="9"/>
        <v>0</v>
      </c>
      <c r="AG37" s="76">
        <f t="shared" ca="1" si="2"/>
        <v>0</v>
      </c>
      <c r="AH37" s="31" t="str" cm="1">
        <f t="array" aca="1" ref="AH37" ca="1">IF((AD37) &lt; (INDEX(ResponseSLA[#All],(MATCH((G37),ResponseSLA[Priority],0))+1,3)),"YES","No")</f>
        <v>YES</v>
      </c>
      <c r="AI37" s="31" t="str">
        <f ca="1">_xlfn.IFNA(IF(AE37 &lt; (INDEX(SLATable[Minimum SLA],MATCH(G37,SLATable[Priority],0))),"YES","NO"),"")</f>
        <v>YES</v>
      </c>
      <c r="AJ37" t="str">
        <f ca="1">_xlfn.IFNA(IF(AE37 &lt; (INDEX(SLATable[Maximum SLA],MATCH(G37,SLATable[Priority],0))),"YES","NO"),"")</f>
        <v>YES</v>
      </c>
    </row>
    <row r="38" spans="1:36" ht="15" customHeight="1">
      <c r="A38" s="45">
        <v>37</v>
      </c>
      <c r="B38" s="45" t="s">
        <v>51</v>
      </c>
      <c r="C38" s="45" t="s">
        <v>35</v>
      </c>
      <c r="D38" s="45" t="s">
        <v>208</v>
      </c>
      <c r="E38" s="45" t="s">
        <v>5483</v>
      </c>
      <c r="F38" s="45" t="s">
        <v>50</v>
      </c>
      <c r="G38" s="45" t="s">
        <v>208</v>
      </c>
      <c r="H38" s="45" t="s">
        <v>5484</v>
      </c>
      <c r="I38" s="45" t="s">
        <v>275</v>
      </c>
      <c r="J38" s="45" t="s">
        <v>5403</v>
      </c>
      <c r="K38" s="47">
        <v>46198.955555555556</v>
      </c>
      <c r="L38" s="47">
        <v>46199.540972222225</v>
      </c>
      <c r="M38" s="47">
        <v>46199.553472222222</v>
      </c>
      <c r="N38" s="47">
        <v>46199.554861111108</v>
      </c>
      <c r="Q38" s="45" t="s">
        <v>5429</v>
      </c>
      <c r="R38" s="45" t="s">
        <v>276</v>
      </c>
      <c r="S38" s="45" t="s">
        <v>139</v>
      </c>
      <c r="U38" s="45" t="s">
        <v>371</v>
      </c>
      <c r="Z38" s="76">
        <f t="shared" ca="1" si="3"/>
        <v>0.22152777777470567</v>
      </c>
      <c r="AA38" s="75">
        <f t="shared" ca="1" si="4"/>
        <v>0.59074074073254845</v>
      </c>
      <c r="AB38" s="76">
        <f t="shared" ca="1" si="5"/>
        <v>1.3888888883229811E-2</v>
      </c>
      <c r="AC38" s="75">
        <f t="shared" ca="1" si="6"/>
        <v>3.7037037021946162E-2</v>
      </c>
      <c r="AD38" s="76">
        <f t="shared" ca="1" si="7"/>
        <v>1.2499999997089617E-2</v>
      </c>
      <c r="AE38" s="76">
        <f t="shared" ca="1" si="8"/>
        <v>1.3888888883229811E-2</v>
      </c>
      <c r="AF38" s="75">
        <f t="shared" ca="1" si="9"/>
        <v>3.7037037021946162E-2</v>
      </c>
      <c r="AG38" s="76">
        <f t="shared" ca="1" si="2"/>
        <v>3.7037037021946162E-2</v>
      </c>
      <c r="AH38" s="31" t="str" cm="1">
        <f t="array" aca="1" ref="AH38" ca="1">IF((AD38) &lt; (INDEX(ResponseSLA[#All],(MATCH((G38),ResponseSLA[Priority],0))+1,3)),"YES","No")</f>
        <v>YES</v>
      </c>
      <c r="AI38" s="31" t="str">
        <f ca="1">_xlfn.IFNA(IF(AE38 &lt; (INDEX(SLATable[Minimum SLA],MATCH(G38,SLATable[Priority],0))),"YES","NO"),"")</f>
        <v>YES</v>
      </c>
      <c r="AJ38" t="str">
        <f ca="1">_xlfn.IFNA(IF(AE38 &lt; (INDEX(SLATable[Maximum SLA],MATCH(G38,SLATable[Priority],0))),"YES","NO"),"")</f>
        <v>YES</v>
      </c>
    </row>
    <row r="39" spans="1:36" ht="15" customHeight="1">
      <c r="A39" s="45">
        <v>38</v>
      </c>
      <c r="B39" s="45" t="s">
        <v>51</v>
      </c>
      <c r="C39" s="45" t="s">
        <v>35</v>
      </c>
      <c r="D39" s="45" t="s">
        <v>208</v>
      </c>
      <c r="E39" s="45" t="s">
        <v>5485</v>
      </c>
      <c r="F39" s="45" t="s">
        <v>50</v>
      </c>
      <c r="G39" s="45" t="s">
        <v>208</v>
      </c>
      <c r="H39" s="45" t="s">
        <v>5486</v>
      </c>
      <c r="I39" s="45" t="s">
        <v>271</v>
      </c>
      <c r="J39" s="45" t="s">
        <v>5403</v>
      </c>
      <c r="K39" s="47">
        <v>46203.426388888889</v>
      </c>
      <c r="L39" s="47">
        <v>46203.427777777775</v>
      </c>
      <c r="M39" s="47">
        <v>46203.428472222222</v>
      </c>
      <c r="N39" s="47">
        <v>46203.457638888889</v>
      </c>
      <c r="Q39" s="45" t="s">
        <v>5418</v>
      </c>
      <c r="R39" s="45" t="s">
        <v>267</v>
      </c>
      <c r="S39" s="45" t="s">
        <v>139</v>
      </c>
      <c r="U39" s="45" t="s">
        <v>371</v>
      </c>
      <c r="Z39" s="76">
        <f t="shared" ca="1" si="3"/>
        <v>3.125E-2</v>
      </c>
      <c r="AA39" s="75">
        <f t="shared" ca="1" si="4"/>
        <v>8.3333333333333329E-2</v>
      </c>
      <c r="AB39" s="76">
        <f t="shared" ca="1" si="5"/>
        <v>2.9861111113859806E-2</v>
      </c>
      <c r="AC39" s="75">
        <f t="shared" ca="1" si="6"/>
        <v>7.9629629636959479E-2</v>
      </c>
      <c r="AD39" s="76">
        <f t="shared" ca="1" si="7"/>
        <v>6.944444467080757E-4</v>
      </c>
      <c r="AE39" s="76">
        <f t="shared" ca="1" si="8"/>
        <v>2.9861111113859806E-2</v>
      </c>
      <c r="AF39" s="75">
        <f t="shared" ca="1" si="9"/>
        <v>7.9629629636959479E-2</v>
      </c>
      <c r="AG39" s="76">
        <f t="shared" ca="1" si="2"/>
        <v>7.9629629636959479E-2</v>
      </c>
      <c r="AH39" s="31" t="str" cm="1">
        <f t="array" aca="1" ref="AH39" ca="1">IF((AD39) &lt; (INDEX(ResponseSLA[#All],(MATCH((G39),ResponseSLA[Priority],0))+1,3)),"YES","No")</f>
        <v>YES</v>
      </c>
      <c r="AI39" s="31" t="str">
        <f ca="1">_xlfn.IFNA(IF(AE39 &lt; (INDEX(SLATable[Minimum SLA],MATCH(G39,SLATable[Priority],0))),"YES","NO"),"")</f>
        <v>YES</v>
      </c>
      <c r="AJ39" t="str">
        <f ca="1">_xlfn.IFNA(IF(AE39 &lt; (INDEX(SLATable[Maximum SLA],MATCH(G39,SLATable[Priority],0))),"YES","NO"),"")</f>
        <v>YES</v>
      </c>
    </row>
    <row r="40" spans="1:36" ht="15" customHeight="1">
      <c r="A40" s="45">
        <v>39</v>
      </c>
      <c r="B40" s="45" t="s">
        <v>51</v>
      </c>
      <c r="C40" s="45" t="s">
        <v>35</v>
      </c>
      <c r="D40" s="45" t="s">
        <v>207</v>
      </c>
      <c r="E40" s="45" t="s">
        <v>5487</v>
      </c>
      <c r="F40" s="45" t="s">
        <v>50</v>
      </c>
      <c r="G40" s="45">
        <v>4</v>
      </c>
      <c r="H40" s="45" t="s">
        <v>5488</v>
      </c>
      <c r="I40" s="45" t="s">
        <v>271</v>
      </c>
      <c r="J40" s="45" t="s">
        <v>5449</v>
      </c>
      <c r="K40" s="47">
        <v>46204.29583333333</v>
      </c>
      <c r="L40" s="47">
        <v>46204.44027777778</v>
      </c>
      <c r="M40" s="47">
        <v>46204.440972222219</v>
      </c>
      <c r="N40" s="47">
        <v>46204.443749999999</v>
      </c>
      <c r="Q40" s="45" t="s">
        <v>5418</v>
      </c>
      <c r="R40" s="45" t="s">
        <v>267</v>
      </c>
      <c r="S40" s="45" t="s">
        <v>190</v>
      </c>
      <c r="U40" s="45" t="s">
        <v>371</v>
      </c>
      <c r="Z40" s="76">
        <f t="shared" ca="1" si="3"/>
        <v>0.11041666666521149</v>
      </c>
      <c r="AA40" s="75">
        <f t="shared" ca="1" si="4"/>
        <v>0.294444444440564</v>
      </c>
      <c r="AB40" s="76">
        <f t="shared" ca="1" si="5"/>
        <v>3.4722222189884633E-3</v>
      </c>
      <c r="AC40" s="75">
        <f t="shared" ca="1" si="6"/>
        <v>9.2592592506359015E-3</v>
      </c>
      <c r="AD40" s="76">
        <f t="shared" ca="1" si="7"/>
        <v>6.9444443943211809E-4</v>
      </c>
      <c r="AE40" s="76">
        <f t="shared" ca="1" si="8"/>
        <v>3.4722222189884633E-3</v>
      </c>
      <c r="AF40" s="75">
        <f t="shared" ca="1" si="9"/>
        <v>9.2592592506359015E-3</v>
      </c>
      <c r="AG40" s="76">
        <f t="shared" ca="1" si="2"/>
        <v>9.2592592506359015E-3</v>
      </c>
      <c r="AH40" s="31" t="str" cm="1">
        <f t="array" aca="1" ref="AH40" ca="1">IF((AD40) &lt; (INDEX(ResponseSLA[#All],(MATCH((G40),ResponseSLA[Priority],0))+1,3)),"YES","No")</f>
        <v>YES</v>
      </c>
      <c r="AI40" s="31" t="str">
        <f ca="1">_xlfn.IFNA(IF(AE40 &lt; (INDEX(SLATable[Minimum SLA],MATCH(G40,SLATable[Priority],0))),"YES","NO"),"")</f>
        <v>YES</v>
      </c>
      <c r="AJ40" t="str">
        <f ca="1">_xlfn.IFNA(IF(AE40 &lt; (INDEX(SLATable[Maximum SLA],MATCH(G40,SLATable[Priority],0))),"YES","NO"),"")</f>
        <v>YES</v>
      </c>
    </row>
    <row r="41" spans="1:36" ht="15" customHeight="1">
      <c r="A41" s="45">
        <v>40</v>
      </c>
      <c r="B41" s="45" t="s">
        <v>51</v>
      </c>
      <c r="C41" s="45" t="s">
        <v>35</v>
      </c>
      <c r="D41" s="45" t="s">
        <v>208</v>
      </c>
      <c r="E41" s="45" t="s">
        <v>5489</v>
      </c>
      <c r="F41" s="45" t="s">
        <v>50</v>
      </c>
      <c r="G41" s="45" t="s">
        <v>208</v>
      </c>
      <c r="H41" s="45" t="s">
        <v>5490</v>
      </c>
      <c r="I41" s="45" t="s">
        <v>271</v>
      </c>
      <c r="J41" s="45" t="s">
        <v>5449</v>
      </c>
      <c r="K41" s="47">
        <v>46205.301388888889</v>
      </c>
      <c r="L41" s="47">
        <v>46205.302777777775</v>
      </c>
      <c r="M41" s="47">
        <v>46205.302777777775</v>
      </c>
      <c r="N41" s="47">
        <v>46205.304861111108</v>
      </c>
      <c r="Q41" s="45" t="s">
        <v>5415</v>
      </c>
      <c r="R41" s="45" t="s">
        <v>267</v>
      </c>
      <c r="S41" s="45" t="s">
        <v>179</v>
      </c>
      <c r="U41" s="45" t="s">
        <v>371</v>
      </c>
      <c r="Z41" s="76">
        <f t="shared" ca="1" si="3"/>
        <v>0</v>
      </c>
      <c r="AA41" s="75">
        <f t="shared" ca="1" si="4"/>
        <v>0</v>
      </c>
      <c r="AB41" s="76">
        <f t="shared" ca="1" si="5"/>
        <v>0</v>
      </c>
      <c r="AC41" s="75">
        <f t="shared" ca="1" si="6"/>
        <v>0</v>
      </c>
      <c r="AD41" s="76">
        <f t="shared" ca="1" si="7"/>
        <v>0</v>
      </c>
      <c r="AE41" s="76">
        <f t="shared" ca="1" si="8"/>
        <v>0</v>
      </c>
      <c r="AF41" s="75">
        <f t="shared" ca="1" si="9"/>
        <v>0</v>
      </c>
      <c r="AG41" s="76">
        <f t="shared" ca="1" si="2"/>
        <v>0</v>
      </c>
      <c r="AH41" s="31" t="str" cm="1">
        <f t="array" aca="1" ref="AH41" ca="1">IF((AD41) &lt; (INDEX(ResponseSLA[#All],(MATCH((G41),ResponseSLA[Priority],0))+1,3)),"YES","No")</f>
        <v>YES</v>
      </c>
      <c r="AI41" s="31" t="str">
        <f ca="1">_xlfn.IFNA(IF(AE41 &lt; (INDEX(SLATable[Minimum SLA],MATCH(G41,SLATable[Priority],0))),"YES","NO"),"")</f>
        <v>YES</v>
      </c>
      <c r="AJ41" t="str">
        <f ca="1">_xlfn.IFNA(IF(AE41 &lt; (INDEX(SLATable[Maximum SLA],MATCH(G41,SLATable[Priority],0))),"YES","NO"),"")</f>
        <v>YES</v>
      </c>
    </row>
    <row r="42" spans="1:36" ht="15" customHeight="1">
      <c r="A42" s="45">
        <v>41</v>
      </c>
      <c r="B42" s="45" t="s">
        <v>51</v>
      </c>
      <c r="C42" s="45" t="s">
        <v>35</v>
      </c>
      <c r="D42" s="45" t="s">
        <v>208</v>
      </c>
      <c r="E42" s="45" t="s">
        <v>5491</v>
      </c>
      <c r="F42" s="45" t="s">
        <v>50</v>
      </c>
      <c r="G42" s="45" t="s">
        <v>208</v>
      </c>
      <c r="H42" s="45" t="s">
        <v>5439</v>
      </c>
      <c r="I42" s="45" t="s">
        <v>271</v>
      </c>
      <c r="J42" s="45" t="s">
        <v>5449</v>
      </c>
      <c r="K42" s="47">
        <v>46211.297222222223</v>
      </c>
      <c r="L42" s="47">
        <v>46211.29791666667</v>
      </c>
      <c r="M42" s="47">
        <v>46211.298611111109</v>
      </c>
      <c r="N42" s="47">
        <v>46211.299305555556</v>
      </c>
      <c r="Q42" s="45" t="s">
        <v>5418</v>
      </c>
      <c r="R42" s="45" t="s">
        <v>267</v>
      </c>
      <c r="S42" s="45" t="s">
        <v>139</v>
      </c>
      <c r="U42" s="45" t="s">
        <v>371</v>
      </c>
      <c r="Z42" s="76">
        <f t="shared" ca="1" si="3"/>
        <v>0</v>
      </c>
      <c r="AA42" s="75">
        <f t="shared" ca="1" si="4"/>
        <v>0</v>
      </c>
      <c r="AB42" s="76">
        <f t="shared" ca="1" si="5"/>
        <v>0</v>
      </c>
      <c r="AC42" s="75">
        <f t="shared" ca="1" si="6"/>
        <v>0</v>
      </c>
      <c r="AD42" s="76">
        <f t="shared" ca="1" si="7"/>
        <v>0</v>
      </c>
      <c r="AE42" s="76">
        <f t="shared" ca="1" si="8"/>
        <v>0</v>
      </c>
      <c r="AF42" s="75">
        <f t="shared" ca="1" si="9"/>
        <v>0</v>
      </c>
      <c r="AG42" s="76">
        <f t="shared" ca="1" si="2"/>
        <v>0</v>
      </c>
      <c r="AH42" s="31" t="str" cm="1">
        <f t="array" aca="1" ref="AH42" ca="1">IF((AD42) &lt; (INDEX(ResponseSLA[#All],(MATCH((G42),ResponseSLA[Priority],0))+1,3)),"YES","No")</f>
        <v>YES</v>
      </c>
      <c r="AI42" s="31" t="str">
        <f ca="1">_xlfn.IFNA(IF(AE42 &lt; (INDEX(SLATable[Minimum SLA],MATCH(G42,SLATable[Priority],0))),"YES","NO"),"")</f>
        <v>YES</v>
      </c>
      <c r="AJ42" t="str">
        <f ca="1">_xlfn.IFNA(IF(AE42 &lt; (INDEX(SLATable[Maximum SLA],MATCH(G42,SLATable[Priority],0))),"YES","NO"),"")</f>
        <v>YES</v>
      </c>
    </row>
    <row r="43" spans="1:36" ht="15" customHeight="1">
      <c r="A43" s="45">
        <v>42</v>
      </c>
      <c r="B43" s="45" t="s">
        <v>51</v>
      </c>
      <c r="C43" s="45" t="s">
        <v>35</v>
      </c>
      <c r="D43" s="45" t="s">
        <v>207</v>
      </c>
      <c r="E43" s="45" t="s">
        <v>5492</v>
      </c>
      <c r="F43" s="45" t="s">
        <v>50</v>
      </c>
      <c r="G43" s="45">
        <v>4</v>
      </c>
      <c r="H43" s="45" t="s">
        <v>5459</v>
      </c>
      <c r="I43" s="45" t="s">
        <v>271</v>
      </c>
      <c r="J43" s="45" t="s">
        <v>5403</v>
      </c>
      <c r="K43" s="47">
        <v>46211.6875</v>
      </c>
      <c r="L43" s="47">
        <v>46213.55</v>
      </c>
      <c r="M43" s="47">
        <v>46213.640972222223</v>
      </c>
      <c r="N43" s="47">
        <v>46216.313888888886</v>
      </c>
      <c r="O43" s="47">
        <v>46213.148611111108</v>
      </c>
      <c r="P43" s="47">
        <v>46216.313194444447</v>
      </c>
      <c r="Q43" s="45" t="s">
        <v>5429</v>
      </c>
      <c r="R43" s="45" t="s">
        <v>267</v>
      </c>
      <c r="S43" s="45" t="s">
        <v>190</v>
      </c>
      <c r="U43" s="45" t="s">
        <v>371</v>
      </c>
      <c r="Z43" s="76">
        <f t="shared" ca="1" si="3"/>
        <v>0.39583333333333343</v>
      </c>
      <c r="AA43" s="75">
        <f t="shared" ca="1" si="4"/>
        <v>1.0555555555555558</v>
      </c>
      <c r="AB43" s="76">
        <f t="shared" ca="1" si="5"/>
        <v>0</v>
      </c>
      <c r="AC43" s="75">
        <f t="shared" ca="1" si="6"/>
        <v>0</v>
      </c>
      <c r="AD43" s="76">
        <f t="shared" ca="1" si="7"/>
        <v>9.0972222220443655E-2</v>
      </c>
      <c r="AE43" s="76">
        <f t="shared" ca="1" si="8"/>
        <v>0</v>
      </c>
      <c r="AF43" s="75">
        <f t="shared" ca="1" si="9"/>
        <v>0</v>
      </c>
      <c r="AG43" s="76">
        <f t="shared" ca="1" si="2"/>
        <v>0</v>
      </c>
      <c r="AH43" s="31" t="str" cm="1">
        <f t="array" aca="1" ref="AH43" ca="1">IF((AD43) &lt; (INDEX(ResponseSLA[#All],(MATCH((G43),ResponseSLA[Priority],0))+1,3)),"YES","No")</f>
        <v>YES</v>
      </c>
      <c r="AI43" s="31" t="str">
        <f ca="1">_xlfn.IFNA(IF(AE43 &lt; (INDEX(SLATable[Minimum SLA],MATCH(G43,SLATable[Priority],0))),"YES","NO"),"")</f>
        <v>YES</v>
      </c>
      <c r="AJ43" t="str">
        <f ca="1">_xlfn.IFNA(IF(AE43 &lt; (INDEX(SLATable[Maximum SLA],MATCH(G43,SLATable[Priority],0))),"YES","NO"),"")</f>
        <v>YES</v>
      </c>
    </row>
    <row r="44" spans="1:36" ht="15" customHeight="1">
      <c r="A44" s="45">
        <v>43</v>
      </c>
      <c r="B44" s="45" t="s">
        <v>51</v>
      </c>
      <c r="C44" s="45" t="s">
        <v>35</v>
      </c>
      <c r="D44" s="45" t="s">
        <v>208</v>
      </c>
      <c r="E44" s="45" t="s">
        <v>5493</v>
      </c>
      <c r="F44" s="45" t="s">
        <v>50</v>
      </c>
      <c r="G44" s="45" t="s">
        <v>208</v>
      </c>
      <c r="H44" s="45" t="s">
        <v>5467</v>
      </c>
      <c r="I44" s="45" t="s">
        <v>271</v>
      </c>
      <c r="J44" s="45" t="s">
        <v>5407</v>
      </c>
      <c r="K44" s="47">
        <v>46213.652083333334</v>
      </c>
      <c r="L44" s="47">
        <v>46213.652777777781</v>
      </c>
      <c r="M44" s="47">
        <v>46213.653124999997</v>
      </c>
      <c r="N44" s="47">
        <v>46213.655555555553</v>
      </c>
      <c r="Q44" s="45" t="s">
        <v>5408</v>
      </c>
      <c r="R44" s="45" t="s">
        <v>267</v>
      </c>
      <c r="S44" s="45" t="s">
        <v>179</v>
      </c>
      <c r="U44" s="45" t="s">
        <v>371</v>
      </c>
      <c r="Z44" s="76">
        <f t="shared" ca="1" si="3"/>
        <v>3.4722222189884633E-3</v>
      </c>
      <c r="AA44" s="75">
        <f t="shared" ca="1" si="4"/>
        <v>9.2592592506359015E-3</v>
      </c>
      <c r="AB44" s="76">
        <f t="shared" ca="1" si="5"/>
        <v>2.7777777722803876E-3</v>
      </c>
      <c r="AC44" s="75">
        <f t="shared" ca="1" si="6"/>
        <v>7.4074073927477002E-3</v>
      </c>
      <c r="AD44" s="76">
        <f t="shared" ca="1" si="7"/>
        <v>3.4722221607808024E-4</v>
      </c>
      <c r="AE44" s="76">
        <f t="shared" ca="1" si="8"/>
        <v>2.7777777722803876E-3</v>
      </c>
      <c r="AF44" s="75">
        <f t="shared" ca="1" si="9"/>
        <v>7.4074073927477002E-3</v>
      </c>
      <c r="AG44" s="76">
        <f t="shared" ca="1" si="2"/>
        <v>7.4074073927477002E-3</v>
      </c>
      <c r="AH44" s="31" t="str" cm="1">
        <f t="array" aca="1" ref="AH44" ca="1">IF((AD44) &lt; (INDEX(ResponseSLA[#All],(MATCH((G44),ResponseSLA[Priority],0))+1,3)),"YES","No")</f>
        <v>YES</v>
      </c>
      <c r="AI44" s="31" t="str">
        <f ca="1">_xlfn.IFNA(IF(AE44 &lt; (INDEX(SLATable[Minimum SLA],MATCH(G44,SLATable[Priority],0))),"YES","NO"),"")</f>
        <v>YES</v>
      </c>
      <c r="AJ44" t="str">
        <f ca="1">_xlfn.IFNA(IF(AE44 &lt; (INDEX(SLATable[Maximum SLA],MATCH(G44,SLATable[Priority],0))),"YES","NO"),"")</f>
        <v>YES</v>
      </c>
    </row>
    <row r="45" spans="1:36" ht="15" customHeight="1">
      <c r="A45" s="45">
        <v>44</v>
      </c>
      <c r="B45" s="45" t="s">
        <v>51</v>
      </c>
      <c r="C45" s="45" t="s">
        <v>35</v>
      </c>
      <c r="D45" s="45" t="s">
        <v>207</v>
      </c>
      <c r="E45" s="45" t="s">
        <v>5494</v>
      </c>
      <c r="F45" s="45" t="s">
        <v>50</v>
      </c>
      <c r="G45" s="45">
        <v>4</v>
      </c>
      <c r="H45" s="45" t="s">
        <v>5459</v>
      </c>
      <c r="I45" s="45" t="s">
        <v>275</v>
      </c>
      <c r="J45" s="45" t="s">
        <v>5403</v>
      </c>
      <c r="K45" s="47">
        <v>46216.304861111108</v>
      </c>
      <c r="L45" s="47">
        <v>46216.305208333331</v>
      </c>
      <c r="M45" s="47">
        <v>46216.305555555555</v>
      </c>
      <c r="N45" s="47">
        <v>46216.308333333334</v>
      </c>
      <c r="Q45" s="45" t="s">
        <v>5429</v>
      </c>
      <c r="R45" s="45" t="s">
        <v>267</v>
      </c>
      <c r="S45" s="45" t="s">
        <v>190</v>
      </c>
      <c r="U45" s="45" t="s">
        <v>371</v>
      </c>
      <c r="Z45" s="76">
        <f t="shared" ca="1" si="3"/>
        <v>0</v>
      </c>
      <c r="AA45" s="75">
        <f t="shared" ca="1" si="4"/>
        <v>0</v>
      </c>
      <c r="AB45" s="76">
        <f t="shared" ca="1" si="5"/>
        <v>0</v>
      </c>
      <c r="AC45" s="75">
        <f t="shared" ca="1" si="6"/>
        <v>0</v>
      </c>
      <c r="AD45" s="76">
        <f t="shared" ca="1" si="7"/>
        <v>0</v>
      </c>
      <c r="AE45" s="76">
        <f t="shared" ca="1" si="8"/>
        <v>0</v>
      </c>
      <c r="AF45" s="75">
        <f t="shared" ca="1" si="9"/>
        <v>0</v>
      </c>
      <c r="AG45" s="76">
        <f t="shared" ca="1" si="2"/>
        <v>0</v>
      </c>
      <c r="AH45" s="31" t="str" cm="1">
        <f t="array" aca="1" ref="AH45" ca="1">IF((AD45) &lt; (INDEX(ResponseSLA[#All],(MATCH((G45),ResponseSLA[Priority],0))+1,3)),"YES","No")</f>
        <v>YES</v>
      </c>
      <c r="AI45" s="31" t="str">
        <f ca="1">_xlfn.IFNA(IF(AE45 &lt; (INDEX(SLATable[Minimum SLA],MATCH(G45,SLATable[Priority],0))),"YES","NO"),"")</f>
        <v>YES</v>
      </c>
      <c r="AJ45" t="str">
        <f ca="1">_xlfn.IFNA(IF(AE45 &lt; (INDEX(SLATable[Maximum SLA],MATCH(G45,SLATable[Priority],0))),"YES","NO"),"")</f>
        <v>YES</v>
      </c>
    </row>
    <row r="46" spans="1:36" ht="15" customHeight="1">
      <c r="A46" s="45">
        <v>45</v>
      </c>
      <c r="B46" s="45" t="s">
        <v>51</v>
      </c>
      <c r="C46" s="45" t="s">
        <v>35</v>
      </c>
      <c r="D46" s="45" t="s">
        <v>207</v>
      </c>
      <c r="E46" s="45" t="s">
        <v>5495</v>
      </c>
      <c r="F46" s="45" t="s">
        <v>50</v>
      </c>
      <c r="G46" s="45">
        <v>4</v>
      </c>
      <c r="H46" s="45" t="s">
        <v>5459</v>
      </c>
      <c r="I46" s="45" t="s">
        <v>271</v>
      </c>
      <c r="J46" s="45" t="s">
        <v>5403</v>
      </c>
      <c r="K46" s="47">
        <v>46216.426388888889</v>
      </c>
      <c r="L46" s="47">
        <v>46217.525000000001</v>
      </c>
      <c r="M46" s="47">
        <v>46217.52847222222</v>
      </c>
      <c r="N46" s="47">
        <v>46218.276388888888</v>
      </c>
      <c r="O46" s="47">
        <v>46217.540972222225</v>
      </c>
      <c r="P46" s="47">
        <v>46218.275000000001</v>
      </c>
      <c r="Q46" s="45" t="s">
        <v>5429</v>
      </c>
      <c r="R46" s="45" t="s">
        <v>267</v>
      </c>
      <c r="S46" s="45" t="s">
        <v>190</v>
      </c>
      <c r="U46" s="45" t="s">
        <v>371</v>
      </c>
      <c r="Z46" s="76">
        <f t="shared" ca="1" si="3"/>
        <v>0.48958333333575876</v>
      </c>
      <c r="AA46" s="75">
        <f t="shared" ca="1" si="4"/>
        <v>1.3055555555620235</v>
      </c>
      <c r="AB46" s="76">
        <f t="shared" ca="1" si="5"/>
        <v>1.5972222223354038E-2</v>
      </c>
      <c r="AC46" s="75">
        <f t="shared" ca="1" si="6"/>
        <v>4.2592592595610768E-2</v>
      </c>
      <c r="AD46" s="76">
        <f t="shared" ca="1" si="7"/>
        <v>3.4722222189884633E-3</v>
      </c>
      <c r="AE46" s="76">
        <f t="shared" ca="1" si="8"/>
        <v>1.5972222223354038E-2</v>
      </c>
      <c r="AF46" s="75">
        <f t="shared" ca="1" si="9"/>
        <v>4.2592592595610768E-2</v>
      </c>
      <c r="AG46" s="76">
        <f t="shared" ca="1" si="2"/>
        <v>4.2592592595610768E-2</v>
      </c>
      <c r="AH46" s="31" t="str" cm="1">
        <f t="array" aca="1" ref="AH46" ca="1">IF((AD46) &lt; (INDEX(ResponseSLA[#All],(MATCH((G46),ResponseSLA[Priority],0))+1,3)),"YES","No")</f>
        <v>YES</v>
      </c>
      <c r="AI46" s="31" t="str">
        <f ca="1">_xlfn.IFNA(IF(AE46 &lt; (INDEX(SLATable[Minimum SLA],MATCH(G46,SLATable[Priority],0))),"YES","NO"),"")</f>
        <v>YES</v>
      </c>
      <c r="AJ46" t="str">
        <f ca="1">_xlfn.IFNA(IF(AE46 &lt; (INDEX(SLATable[Maximum SLA],MATCH(G46,SLATable[Priority],0))),"YES","NO"),"")</f>
        <v>YES</v>
      </c>
    </row>
    <row r="47" spans="1:36" ht="15" customHeight="1">
      <c r="A47" s="45">
        <v>46</v>
      </c>
      <c r="B47" s="45" t="s">
        <v>51</v>
      </c>
      <c r="C47" s="45" t="s">
        <v>35</v>
      </c>
      <c r="D47" s="45" t="s">
        <v>208</v>
      </c>
      <c r="E47" s="45" t="s">
        <v>5496</v>
      </c>
      <c r="F47" s="45" t="s">
        <v>50</v>
      </c>
      <c r="G47" s="45" t="s">
        <v>208</v>
      </c>
      <c r="H47" s="45" t="s">
        <v>5497</v>
      </c>
      <c r="I47" s="45" t="s">
        <v>271</v>
      </c>
      <c r="J47" s="45" t="s">
        <v>5407</v>
      </c>
      <c r="K47" s="47">
        <v>46218.464583333334</v>
      </c>
      <c r="L47" s="47">
        <v>46218.465277777781</v>
      </c>
      <c r="M47" s="47">
        <v>46218.465624999997</v>
      </c>
      <c r="N47" s="47">
        <v>46218.474999999999</v>
      </c>
      <c r="Q47" s="45" t="s">
        <v>5408</v>
      </c>
      <c r="R47" s="45" t="s">
        <v>267</v>
      </c>
      <c r="S47" s="45" t="s">
        <v>179</v>
      </c>
      <c r="U47" s="45" t="s">
        <v>371</v>
      </c>
      <c r="Z47" s="76">
        <f t="shared" ca="1" si="3"/>
        <v>1.0416666664241347E-2</v>
      </c>
      <c r="AA47" s="75">
        <f t="shared" ca="1" si="4"/>
        <v>2.7777777771310259E-2</v>
      </c>
      <c r="AB47" s="76">
        <f t="shared" ca="1" si="5"/>
        <v>9.7222222175332718E-3</v>
      </c>
      <c r="AC47" s="75">
        <f t="shared" ca="1" si="6"/>
        <v>2.5925925913422059E-2</v>
      </c>
      <c r="AD47" s="76">
        <f t="shared" ca="1" si="7"/>
        <v>3.4722221607808024E-4</v>
      </c>
      <c r="AE47" s="76">
        <f t="shared" ca="1" si="8"/>
        <v>9.7222222175332718E-3</v>
      </c>
      <c r="AF47" s="75">
        <f t="shared" ca="1" si="9"/>
        <v>2.5925925913422059E-2</v>
      </c>
      <c r="AG47" s="76">
        <f t="shared" ca="1" si="2"/>
        <v>2.5925925913422059E-2</v>
      </c>
      <c r="AH47" s="31" t="str" cm="1">
        <f t="array" aca="1" ref="AH47" ca="1">IF((AD47) &lt; (INDEX(ResponseSLA[#All],(MATCH((G47),ResponseSLA[Priority],0))+1,3)),"YES","No")</f>
        <v>YES</v>
      </c>
      <c r="AI47" s="31" t="str">
        <f ca="1">_xlfn.IFNA(IF(AE47 &lt; (INDEX(SLATable[Minimum SLA],MATCH(G47,SLATable[Priority],0))),"YES","NO"),"")</f>
        <v>YES</v>
      </c>
      <c r="AJ47" t="str">
        <f ca="1">_xlfn.IFNA(IF(AE47 &lt; (INDEX(SLATable[Maximum SLA],MATCH(G47,SLATable[Priority],0))),"YES","NO"),"")</f>
        <v>YES</v>
      </c>
    </row>
    <row r="48" spans="1:36" ht="15" customHeight="1">
      <c r="A48" s="45">
        <v>47</v>
      </c>
      <c r="B48" s="45" t="s">
        <v>51</v>
      </c>
      <c r="C48" s="45" t="s">
        <v>35</v>
      </c>
      <c r="D48" s="45" t="s">
        <v>207</v>
      </c>
      <c r="E48" s="45" t="s">
        <v>5498</v>
      </c>
      <c r="F48" s="45" t="s">
        <v>50</v>
      </c>
      <c r="G48" s="45">
        <v>3</v>
      </c>
      <c r="H48" s="45" t="s">
        <v>5499</v>
      </c>
      <c r="I48" s="45" t="s">
        <v>275</v>
      </c>
      <c r="J48" s="45" t="s">
        <v>5403</v>
      </c>
      <c r="K48" s="47">
        <v>46219.552777777775</v>
      </c>
      <c r="L48" s="47">
        <v>46219.553124999999</v>
      </c>
      <c r="M48" s="47">
        <v>46219.571527777778</v>
      </c>
      <c r="N48" s="47">
        <v>46219.62777777778</v>
      </c>
      <c r="O48" s="47">
        <v>46219.573611111111</v>
      </c>
      <c r="P48" s="47">
        <v>46219.62777777778</v>
      </c>
      <c r="Q48" s="45" t="s">
        <v>5421</v>
      </c>
      <c r="R48" s="45" t="s">
        <v>276</v>
      </c>
      <c r="S48" s="45" t="s">
        <v>205</v>
      </c>
      <c r="U48" s="45" t="s">
        <v>371</v>
      </c>
      <c r="Z48" s="76">
        <f t="shared" ca="1" si="3"/>
        <v>2.0833333335758653E-2</v>
      </c>
      <c r="AA48" s="75">
        <f t="shared" ca="1" si="4"/>
        <v>5.5555555562023073E-2</v>
      </c>
      <c r="AB48" s="76">
        <f t="shared" ca="1" si="5"/>
        <v>2.0486111112404615E-2</v>
      </c>
      <c r="AC48" s="75">
        <f t="shared" ca="1" si="6"/>
        <v>5.462962963307897E-2</v>
      </c>
      <c r="AD48" s="76">
        <f t="shared" ca="1" si="7"/>
        <v>1.8402777779556345E-2</v>
      </c>
      <c r="AE48" s="76">
        <f t="shared" ca="1" si="8"/>
        <v>2.0486111112404615E-2</v>
      </c>
      <c r="AF48" s="75">
        <f t="shared" ca="1" si="9"/>
        <v>5.462962963307897E-2</v>
      </c>
      <c r="AG48" s="76">
        <f t="shared" ca="1" si="2"/>
        <v>5.462962963307897E-2</v>
      </c>
      <c r="AH48" s="31" t="str" cm="1">
        <f t="array" aca="1" ref="AH48" ca="1">IF((AD48) &lt; (INDEX(ResponseSLA[#All],(MATCH((G48),ResponseSLA[Priority],0))+1,3)),"YES","No")</f>
        <v>YES</v>
      </c>
      <c r="AI48" s="31" t="str">
        <f ca="1">_xlfn.IFNA(IF(AE48 &lt; (INDEX(SLATable[Minimum SLA],MATCH(G48,SLATable[Priority],0))),"YES","NO"),"")</f>
        <v>YES</v>
      </c>
      <c r="AJ48" t="str">
        <f ca="1">_xlfn.IFNA(IF(AE48 &lt; (INDEX(SLATable[Maximum SLA],MATCH(G48,SLATable[Priority],0))),"YES","NO"),"")</f>
        <v>YES</v>
      </c>
    </row>
    <row r="49" spans="1:36" ht="15" customHeight="1">
      <c r="A49" s="45">
        <v>48</v>
      </c>
      <c r="B49" s="45" t="s">
        <v>51</v>
      </c>
      <c r="C49" s="45" t="s">
        <v>35</v>
      </c>
      <c r="D49" s="45" t="s">
        <v>207</v>
      </c>
      <c r="E49" s="45" t="s">
        <v>5500</v>
      </c>
      <c r="F49" s="45" t="s">
        <v>50</v>
      </c>
      <c r="G49" s="45">
        <v>3</v>
      </c>
      <c r="H49" s="45" t="s">
        <v>5499</v>
      </c>
      <c r="I49" s="45" t="s">
        <v>275</v>
      </c>
      <c r="J49" s="45" t="s">
        <v>5403</v>
      </c>
      <c r="K49" s="47">
        <v>46219.577777777777</v>
      </c>
      <c r="L49" s="47">
        <v>46219.578125</v>
      </c>
      <c r="M49" s="47">
        <v>46219.581250000003</v>
      </c>
      <c r="N49" s="47">
        <v>46219.62777777778</v>
      </c>
      <c r="O49" s="47">
        <v>46219.582638888889</v>
      </c>
      <c r="P49" s="47">
        <v>46219.62777777778</v>
      </c>
      <c r="Q49" s="45" t="s">
        <v>5421</v>
      </c>
      <c r="R49" s="45" t="s">
        <v>276</v>
      </c>
      <c r="S49" s="45" t="s">
        <v>205</v>
      </c>
      <c r="U49" s="45" t="s">
        <v>371</v>
      </c>
      <c r="Z49" s="76">
        <f t="shared" ca="1" si="3"/>
        <v>4.8611111124046147E-3</v>
      </c>
      <c r="AA49" s="75">
        <f t="shared" ca="1" si="4"/>
        <v>1.2962962966412306E-2</v>
      </c>
      <c r="AB49" s="76">
        <f t="shared" ca="1" si="5"/>
        <v>4.5138888890505768E-3</v>
      </c>
      <c r="AC49" s="75">
        <f t="shared" ca="1" si="6"/>
        <v>1.2037037037468204E-2</v>
      </c>
      <c r="AD49" s="76">
        <f t="shared" ca="1" si="7"/>
        <v>3.125000002910383E-3</v>
      </c>
      <c r="AE49" s="76">
        <f t="shared" ca="1" si="8"/>
        <v>4.5138888890505768E-3</v>
      </c>
      <c r="AF49" s="75">
        <f t="shared" ca="1" si="9"/>
        <v>1.2037037037468204E-2</v>
      </c>
      <c r="AG49" s="76">
        <f t="shared" ca="1" si="2"/>
        <v>1.2037037037468204E-2</v>
      </c>
      <c r="AH49" s="31" t="str" cm="1">
        <f t="array" aca="1" ref="AH49" ca="1">IF((AD49) &lt; (INDEX(ResponseSLA[#All],(MATCH((G49),ResponseSLA[Priority],0))+1,3)),"YES","No")</f>
        <v>YES</v>
      </c>
      <c r="AI49" s="31" t="str">
        <f ca="1">_xlfn.IFNA(IF(AE49 &lt; (INDEX(SLATable[Minimum SLA],MATCH(G49,SLATable[Priority],0))),"YES","NO"),"")</f>
        <v>YES</v>
      </c>
      <c r="AJ49" t="str">
        <f ca="1">_xlfn.IFNA(IF(AE49 &lt; (INDEX(SLATable[Maximum SLA],MATCH(G49,SLATable[Priority],0))),"YES","NO"),"")</f>
        <v>YES</v>
      </c>
    </row>
    <row r="50" spans="1:36" ht="15" customHeight="1">
      <c r="A50" s="45">
        <v>49</v>
      </c>
      <c r="B50" s="45" t="s">
        <v>51</v>
      </c>
      <c r="C50" s="45" t="s">
        <v>35</v>
      </c>
      <c r="D50" s="45" t="s">
        <v>207</v>
      </c>
      <c r="E50" s="45" t="s">
        <v>5501</v>
      </c>
      <c r="F50" s="45" t="s">
        <v>50</v>
      </c>
      <c r="G50" s="45">
        <v>3</v>
      </c>
      <c r="H50" s="45" t="s">
        <v>5499</v>
      </c>
      <c r="I50" s="45" t="s">
        <v>275</v>
      </c>
      <c r="J50" s="45" t="s">
        <v>5403</v>
      </c>
      <c r="K50" s="47">
        <v>46219.593055555553</v>
      </c>
      <c r="L50" s="47">
        <v>46219.593402777777</v>
      </c>
      <c r="M50" s="47">
        <v>46219.600694444445</v>
      </c>
      <c r="N50" s="47">
        <v>46219.62777777778</v>
      </c>
      <c r="O50" s="47">
        <v>46219.615972222222</v>
      </c>
      <c r="P50" s="47">
        <v>46219.62777777778</v>
      </c>
      <c r="Q50" s="45" t="s">
        <v>5421</v>
      </c>
      <c r="R50" s="45" t="s">
        <v>276</v>
      </c>
      <c r="S50" s="45" t="s">
        <v>205</v>
      </c>
      <c r="U50" s="45" t="s">
        <v>371</v>
      </c>
      <c r="Z50" s="76">
        <f t="shared" ca="1" si="3"/>
        <v>2.2916666668606922E-2</v>
      </c>
      <c r="AA50" s="75">
        <f t="shared" ca="1" si="4"/>
        <v>6.1111111116285123E-2</v>
      </c>
      <c r="AB50" s="76">
        <f t="shared" ca="1" si="5"/>
        <v>2.2569444445252884E-2</v>
      </c>
      <c r="AC50" s="75">
        <f t="shared" ca="1" si="6"/>
        <v>6.0185185187341027E-2</v>
      </c>
      <c r="AD50" s="76">
        <f t="shared" ca="1" si="7"/>
        <v>7.291666668606922E-3</v>
      </c>
      <c r="AE50" s="76">
        <f t="shared" ca="1" si="8"/>
        <v>2.2569444445252884E-2</v>
      </c>
      <c r="AF50" s="75">
        <f t="shared" ca="1" si="9"/>
        <v>6.0185185187341027E-2</v>
      </c>
      <c r="AG50" s="76">
        <f t="shared" ca="1" si="2"/>
        <v>6.0185185187341027E-2</v>
      </c>
      <c r="AH50" s="31" t="str" cm="1">
        <f t="array" aca="1" ref="AH50" ca="1">IF((AD50) &lt; (INDEX(ResponseSLA[#All],(MATCH((G50),ResponseSLA[Priority],0))+1,3)),"YES","No")</f>
        <v>YES</v>
      </c>
      <c r="AI50" s="31" t="str">
        <f ca="1">_xlfn.IFNA(IF(AE50 &lt; (INDEX(SLATable[Minimum SLA],MATCH(G50,SLATable[Priority],0))),"YES","NO"),"")</f>
        <v>YES</v>
      </c>
      <c r="AJ50" t="str">
        <f ca="1">_xlfn.IFNA(IF(AE50 &lt; (INDEX(SLATable[Maximum SLA],MATCH(G50,SLATable[Priority],0))),"YES","NO"),"")</f>
        <v>YES</v>
      </c>
    </row>
    <row r="51" spans="1:36" ht="15" customHeight="1">
      <c r="A51" s="45">
        <v>50</v>
      </c>
      <c r="B51" s="45" t="s">
        <v>51</v>
      </c>
      <c r="C51" s="45" t="s">
        <v>35</v>
      </c>
      <c r="D51" s="45" t="s">
        <v>207</v>
      </c>
      <c r="E51" s="45" t="s">
        <v>5502</v>
      </c>
      <c r="F51" s="45" t="s">
        <v>50</v>
      </c>
      <c r="G51" s="45">
        <v>4</v>
      </c>
      <c r="H51" s="45" t="s">
        <v>5459</v>
      </c>
      <c r="I51" s="45" t="s">
        <v>275</v>
      </c>
      <c r="J51" s="45" t="s">
        <v>5403</v>
      </c>
      <c r="K51" s="47">
        <v>46221.604861111111</v>
      </c>
      <c r="L51" s="47">
        <v>46221.606249999997</v>
      </c>
      <c r="M51" s="47">
        <v>46221.611111111109</v>
      </c>
      <c r="N51" s="47">
        <v>46222.701388888891</v>
      </c>
      <c r="O51" s="47">
        <v>46221.615972222222</v>
      </c>
      <c r="P51" s="47">
        <v>46222.701388888891</v>
      </c>
      <c r="Q51" s="45" t="s">
        <v>5429</v>
      </c>
      <c r="R51" s="45" t="s">
        <v>267</v>
      </c>
      <c r="S51" s="45" t="s">
        <v>190</v>
      </c>
      <c r="U51" s="45" t="s">
        <v>371</v>
      </c>
      <c r="Z51" s="76">
        <f t="shared" ca="1" si="3"/>
        <v>0</v>
      </c>
      <c r="AA51" s="75">
        <f t="shared" ca="1" si="4"/>
        <v>0</v>
      </c>
      <c r="AB51" s="76">
        <f t="shared" ca="1" si="5"/>
        <v>0</v>
      </c>
      <c r="AC51" s="75">
        <f t="shared" ca="1" si="6"/>
        <v>0</v>
      </c>
      <c r="AD51" s="76">
        <f t="shared" ca="1" si="7"/>
        <v>0</v>
      </c>
      <c r="AE51" s="76">
        <f t="shared" ca="1" si="8"/>
        <v>0</v>
      </c>
      <c r="AF51" s="75">
        <f t="shared" ca="1" si="9"/>
        <v>0</v>
      </c>
      <c r="AG51" s="76">
        <f t="shared" ca="1" si="2"/>
        <v>0</v>
      </c>
      <c r="AH51" s="31" t="str" cm="1">
        <f t="array" aca="1" ref="AH51" ca="1">IF((AD51) &lt; (INDEX(ResponseSLA[#All],(MATCH((G51),ResponseSLA[Priority],0))+1,3)),"YES","No")</f>
        <v>YES</v>
      </c>
      <c r="AI51" s="31" t="str">
        <f ca="1">_xlfn.IFNA(IF(AE51 &lt; (INDEX(SLATable[Minimum SLA],MATCH(G51,SLATable[Priority],0))),"YES","NO"),"")</f>
        <v>YES</v>
      </c>
      <c r="AJ51" t="str">
        <f ca="1">_xlfn.IFNA(IF(AE51 &lt; (INDEX(SLATable[Maximum SLA],MATCH(G51,SLATable[Priority],0))),"YES","NO"),"")</f>
        <v>YES</v>
      </c>
    </row>
    <row r="52" spans="1:36" ht="15" customHeight="1">
      <c r="A52" s="45">
        <v>51</v>
      </c>
      <c r="B52" s="45" t="s">
        <v>51</v>
      </c>
      <c r="C52" s="45" t="s">
        <v>35</v>
      </c>
      <c r="D52" s="45" t="s">
        <v>208</v>
      </c>
      <c r="E52" s="45" t="s">
        <v>5503</v>
      </c>
      <c r="F52" s="45" t="s">
        <v>50</v>
      </c>
      <c r="G52" s="45" t="s">
        <v>208</v>
      </c>
      <c r="H52" s="45" t="s">
        <v>5504</v>
      </c>
      <c r="I52" s="45" t="s">
        <v>275</v>
      </c>
      <c r="J52" s="45" t="s">
        <v>5403</v>
      </c>
      <c r="K52" s="47">
        <v>46224.556944444441</v>
      </c>
      <c r="L52" s="47">
        <v>46224.557291666664</v>
      </c>
      <c r="M52" s="47">
        <v>46224.557638888888</v>
      </c>
      <c r="N52" s="47">
        <v>46224.558680555558</v>
      </c>
      <c r="Q52" s="45" t="s">
        <v>5505</v>
      </c>
      <c r="R52" s="45" t="s">
        <v>276</v>
      </c>
      <c r="S52" s="45" t="s">
        <v>179</v>
      </c>
      <c r="U52" s="45" t="s">
        <v>371</v>
      </c>
      <c r="Z52" s="76">
        <f t="shared" ca="1" si="3"/>
        <v>1.7361111167701893E-3</v>
      </c>
      <c r="AA52" s="75">
        <f t="shared" ca="1" si="4"/>
        <v>4.629629644720505E-3</v>
      </c>
      <c r="AB52" s="76">
        <f t="shared" ca="1" si="5"/>
        <v>1.3888888934161514E-3</v>
      </c>
      <c r="AC52" s="75">
        <f t="shared" ca="1" si="6"/>
        <v>3.7037037157764039E-3</v>
      </c>
      <c r="AD52" s="76">
        <f t="shared" ca="1" si="7"/>
        <v>3.4722222335403785E-4</v>
      </c>
      <c r="AE52" s="76">
        <f t="shared" ca="1" si="8"/>
        <v>1.3888888934161514E-3</v>
      </c>
      <c r="AF52" s="75">
        <f t="shared" ca="1" si="9"/>
        <v>3.7037037157764039E-3</v>
      </c>
      <c r="AG52" s="76">
        <f t="shared" ca="1" si="2"/>
        <v>3.7037037157764039E-3</v>
      </c>
      <c r="AH52" s="31" t="str" cm="1">
        <f t="array" aca="1" ref="AH52" ca="1">IF((AD52) &lt; (INDEX(ResponseSLA[#All],(MATCH((G52),ResponseSLA[Priority],0))+1,3)),"YES","No")</f>
        <v>YES</v>
      </c>
      <c r="AI52" s="31" t="str">
        <f ca="1">_xlfn.IFNA(IF(AE52 &lt; (INDEX(SLATable[Minimum SLA],MATCH(G52,SLATable[Priority],0))),"YES","NO"),"")</f>
        <v>YES</v>
      </c>
      <c r="AJ52" t="str">
        <f ca="1">_xlfn.IFNA(IF(AE52 &lt; (INDEX(SLATable[Maximum SLA],MATCH(G52,SLATable[Priority],0))),"YES","NO"),"")</f>
        <v>YES</v>
      </c>
    </row>
    <row r="53" spans="1:36" ht="15" customHeight="1">
      <c r="A53" s="45">
        <v>52</v>
      </c>
      <c r="B53" s="45" t="s">
        <v>51</v>
      </c>
      <c r="C53" s="45" t="s">
        <v>35</v>
      </c>
      <c r="D53" s="45" t="s">
        <v>208</v>
      </c>
      <c r="E53" s="45" t="s">
        <v>5506</v>
      </c>
      <c r="F53" s="45" t="s">
        <v>50</v>
      </c>
      <c r="G53" s="45" t="s">
        <v>208</v>
      </c>
      <c r="H53" s="45" t="s">
        <v>5507</v>
      </c>
      <c r="I53" s="45" t="s">
        <v>271</v>
      </c>
      <c r="J53" s="45" t="s">
        <v>5449</v>
      </c>
      <c r="K53" s="47">
        <v>46230.395833333336</v>
      </c>
      <c r="L53" s="47">
        <v>46230.398611111108</v>
      </c>
      <c r="M53" s="47">
        <v>46230.398611111108</v>
      </c>
      <c r="N53" s="47">
        <v>46230.399305555555</v>
      </c>
      <c r="Q53" s="45" t="s">
        <v>5418</v>
      </c>
      <c r="R53" s="45" t="s">
        <v>267</v>
      </c>
      <c r="S53" s="45" t="s">
        <v>139</v>
      </c>
      <c r="U53" s="45" t="s">
        <v>371</v>
      </c>
      <c r="Z53" s="76">
        <f t="shared" ca="1" si="3"/>
        <v>3.4722222189884633E-3</v>
      </c>
      <c r="AA53" s="75">
        <f t="shared" ca="1" si="4"/>
        <v>9.2592592506359015E-3</v>
      </c>
      <c r="AB53" s="76">
        <f t="shared" ca="1" si="5"/>
        <v>6.944444467080757E-4</v>
      </c>
      <c r="AC53" s="75">
        <f t="shared" ca="1" si="6"/>
        <v>1.8518518578882019E-3</v>
      </c>
      <c r="AD53" s="76">
        <f t="shared" ca="1" si="7"/>
        <v>0</v>
      </c>
      <c r="AE53" s="76">
        <f t="shared" ca="1" si="8"/>
        <v>6.944444467080757E-4</v>
      </c>
      <c r="AF53" s="75">
        <f t="shared" ca="1" si="9"/>
        <v>1.8518518578882019E-3</v>
      </c>
      <c r="AG53" s="76">
        <f t="shared" ca="1" si="2"/>
        <v>1.8518518578882019E-3</v>
      </c>
      <c r="AH53" s="31" t="str" cm="1">
        <f t="array" aca="1" ref="AH53" ca="1">IF((AD53) &lt; (INDEX(ResponseSLA[#All],(MATCH((G53),ResponseSLA[Priority],0))+1,3)),"YES","No")</f>
        <v>YES</v>
      </c>
      <c r="AI53" s="31" t="str">
        <f ca="1">_xlfn.IFNA(IF(AE53 &lt; (INDEX(SLATable[Minimum SLA],MATCH(G53,SLATable[Priority],0))),"YES","NO"),"")</f>
        <v>YES</v>
      </c>
      <c r="AJ53" t="str">
        <f ca="1">_xlfn.IFNA(IF(AE53 &lt; (INDEX(SLATable[Maximum SLA],MATCH(G53,SLATable[Priority],0))),"YES","NO"),"")</f>
        <v>YES</v>
      </c>
    </row>
    <row r="54" spans="1:36" ht="15" customHeight="1">
      <c r="A54" s="45">
        <v>53</v>
      </c>
      <c r="B54" s="45" t="s">
        <v>51</v>
      </c>
      <c r="C54" s="45" t="s">
        <v>35</v>
      </c>
      <c r="D54" s="45" t="s">
        <v>207</v>
      </c>
      <c r="E54" s="45" t="s">
        <v>1025</v>
      </c>
      <c r="F54" s="45" t="s">
        <v>50</v>
      </c>
      <c r="G54" s="45">
        <v>3</v>
      </c>
      <c r="H54" s="45" t="s">
        <v>5508</v>
      </c>
      <c r="I54" s="45" t="s">
        <v>275</v>
      </c>
      <c r="J54" s="45" t="s">
        <v>5403</v>
      </c>
      <c r="K54" s="47">
        <v>46232.586805555555</v>
      </c>
      <c r="L54" s="47">
        <v>46232.609027777777</v>
      </c>
      <c r="M54" s="47">
        <v>46232.609375</v>
      </c>
      <c r="N54" s="47">
        <v>46232.611805555556</v>
      </c>
      <c r="Q54" s="45" t="s">
        <v>5509</v>
      </c>
      <c r="R54" s="45" t="s">
        <v>276</v>
      </c>
      <c r="S54" s="45" t="s">
        <v>190</v>
      </c>
      <c r="U54" s="45" t="s">
        <v>371</v>
      </c>
      <c r="Z54" s="76">
        <f t="shared" ca="1" si="3"/>
        <v>2.5000000001455192E-2</v>
      </c>
      <c r="AA54" s="75">
        <f t="shared" ca="1" si="4"/>
        <v>6.6666666670547173E-2</v>
      </c>
      <c r="AB54" s="76">
        <f t="shared" ca="1" si="5"/>
        <v>2.7777777795563452E-3</v>
      </c>
      <c r="AC54" s="75">
        <f t="shared" ca="1" si="6"/>
        <v>7.4074074121502536E-3</v>
      </c>
      <c r="AD54" s="76">
        <f t="shared" ca="1" si="7"/>
        <v>3.4722222335403785E-4</v>
      </c>
      <c r="AE54" s="76">
        <f t="shared" ca="1" si="8"/>
        <v>2.7777777795563452E-3</v>
      </c>
      <c r="AF54" s="75">
        <f t="shared" ca="1" si="9"/>
        <v>7.4074074121502536E-3</v>
      </c>
      <c r="AG54" s="76">
        <f t="shared" ca="1" si="2"/>
        <v>7.4074074121502536E-3</v>
      </c>
      <c r="AH54" s="31" t="str" cm="1">
        <f t="array" aca="1" ref="AH54" ca="1">IF((AD54) &lt; (INDEX(ResponseSLA[#All],(MATCH((G54),ResponseSLA[Priority],0))+1,3)),"YES","No")</f>
        <v>YES</v>
      </c>
      <c r="AI54" s="31" t="str">
        <f ca="1">_xlfn.IFNA(IF(AE54 &lt; (INDEX(SLATable[Minimum SLA],MATCH(G54,SLATable[Priority],0))),"YES","NO"),"")</f>
        <v>YES</v>
      </c>
      <c r="AJ54" t="str">
        <f ca="1">_xlfn.IFNA(IF(AE54 &lt; (INDEX(SLATable[Maximum SLA],MATCH(G54,SLATable[Priority],0))),"YES","NO"),"")</f>
        <v>YES</v>
      </c>
    </row>
    <row r="55" spans="1:36" ht="15" customHeight="1">
      <c r="A55" s="45">
        <v>54</v>
      </c>
      <c r="B55" s="45" t="s">
        <v>51</v>
      </c>
      <c r="C55" s="45" t="s">
        <v>35</v>
      </c>
      <c r="D55" s="45" t="s">
        <v>208</v>
      </c>
      <c r="E55" s="45" t="s">
        <v>5510</v>
      </c>
      <c r="F55" s="45" t="s">
        <v>50</v>
      </c>
      <c r="G55" s="45" t="s">
        <v>208</v>
      </c>
      <c r="H55" s="45" t="s">
        <v>5511</v>
      </c>
      <c r="I55" s="45" t="s">
        <v>271</v>
      </c>
      <c r="J55" s="45" t="s">
        <v>5414</v>
      </c>
      <c r="K55" s="47">
        <v>46233.292361111111</v>
      </c>
      <c r="L55" s="47">
        <v>46233.293055555558</v>
      </c>
      <c r="M55" s="47">
        <v>46233.293749999997</v>
      </c>
      <c r="N55" s="47">
        <v>46233.296527777777</v>
      </c>
      <c r="Q55" s="45" t="s">
        <v>5415</v>
      </c>
      <c r="R55" s="45" t="s">
        <v>267</v>
      </c>
      <c r="S55" s="45" t="s">
        <v>179</v>
      </c>
      <c r="U55" s="45" t="s">
        <v>371</v>
      </c>
      <c r="Z55" s="76">
        <f t="shared" ca="1" si="3"/>
        <v>0</v>
      </c>
      <c r="AA55" s="75">
        <f t="shared" ca="1" si="4"/>
        <v>0</v>
      </c>
      <c r="AB55" s="76">
        <f t="shared" ca="1" si="5"/>
        <v>0</v>
      </c>
      <c r="AC55" s="75">
        <f t="shared" ca="1" si="6"/>
        <v>0</v>
      </c>
      <c r="AD55" s="76">
        <f t="shared" ca="1" si="7"/>
        <v>0</v>
      </c>
      <c r="AE55" s="76">
        <f t="shared" ca="1" si="8"/>
        <v>0</v>
      </c>
      <c r="AF55" s="75">
        <f t="shared" ca="1" si="9"/>
        <v>0</v>
      </c>
      <c r="AG55" s="76">
        <f t="shared" ca="1" si="2"/>
        <v>0</v>
      </c>
      <c r="AH55" s="31" t="str" cm="1">
        <f t="array" aca="1" ref="AH55" ca="1">IF((AD55) &lt; (INDEX(ResponseSLA[#All],(MATCH((G55),ResponseSLA[Priority],0))+1,3)),"YES","No")</f>
        <v>YES</v>
      </c>
      <c r="AI55" s="31" t="str">
        <f ca="1">_xlfn.IFNA(IF(AE55 &lt; (INDEX(SLATable[Minimum SLA],MATCH(G55,SLATable[Priority],0))),"YES","NO"),"")</f>
        <v>YES</v>
      </c>
      <c r="AJ55" t="str">
        <f ca="1">_xlfn.IFNA(IF(AE55 &lt; (INDEX(SLATable[Maximum SLA],MATCH(G55,SLATable[Priority],0))),"YES","NO"),"")</f>
        <v>YES</v>
      </c>
    </row>
    <row r="56" spans="1:36" ht="15" customHeight="1">
      <c r="A56" s="45">
        <v>55</v>
      </c>
      <c r="B56" s="45" t="s">
        <v>51</v>
      </c>
      <c r="C56" s="45" t="s">
        <v>35</v>
      </c>
      <c r="D56" s="45" t="s">
        <v>207</v>
      </c>
      <c r="E56" s="45" t="s">
        <v>5512</v>
      </c>
      <c r="F56" s="45" t="s">
        <v>50</v>
      </c>
      <c r="G56" s="45">
        <v>4</v>
      </c>
      <c r="H56" s="45" t="s">
        <v>5513</v>
      </c>
      <c r="I56" s="45" t="s">
        <v>271</v>
      </c>
      <c r="J56" s="45" t="s">
        <v>5403</v>
      </c>
      <c r="K56" s="47">
        <v>46226.643750000003</v>
      </c>
      <c r="L56" s="47">
        <v>46233.313888888886</v>
      </c>
      <c r="M56" s="47">
        <v>46233.34652777778</v>
      </c>
      <c r="N56" s="47">
        <v>46233.668402777781</v>
      </c>
      <c r="O56" s="47">
        <v>46233.346875000003</v>
      </c>
      <c r="P56" s="47">
        <v>46233.668055555558</v>
      </c>
      <c r="Q56" s="45" t="s">
        <v>5429</v>
      </c>
      <c r="R56" s="45" t="s">
        <v>267</v>
      </c>
      <c r="S56" s="45" t="s">
        <v>190</v>
      </c>
      <c r="U56" s="45" t="s">
        <v>371</v>
      </c>
      <c r="Z56" s="76">
        <f t="shared" ca="1" si="3"/>
        <v>1.578472222223354</v>
      </c>
      <c r="AA56" s="75">
        <f t="shared" ca="1" si="4"/>
        <v>4.2092592592622777</v>
      </c>
      <c r="AB56" s="76">
        <f t="shared" ca="1" si="5"/>
        <v>1.3888888892931106E-2</v>
      </c>
      <c r="AC56" s="75">
        <f t="shared" ca="1" si="6"/>
        <v>3.7037037047816281E-2</v>
      </c>
      <c r="AD56" s="76">
        <f t="shared" ca="1" si="7"/>
        <v>1.319444444622303E-2</v>
      </c>
      <c r="AE56" s="76">
        <f t="shared" ca="1" si="8"/>
        <v>1.3888888892931106E-2</v>
      </c>
      <c r="AF56" s="75">
        <f t="shared" ca="1" si="9"/>
        <v>3.7037037047816281E-2</v>
      </c>
      <c r="AG56" s="76">
        <f t="shared" ca="1" si="2"/>
        <v>3.7037037047816281E-2</v>
      </c>
      <c r="AH56" s="31" t="str" cm="1">
        <f t="array" aca="1" ref="AH56" ca="1">IF((AD56) &lt; (INDEX(ResponseSLA[#All],(MATCH((G56),ResponseSLA[Priority],0))+1,3)),"YES","No")</f>
        <v>YES</v>
      </c>
      <c r="AI56" s="31" t="str">
        <f ca="1">_xlfn.IFNA(IF(AE56 &lt; (INDEX(SLATable[Minimum SLA],MATCH(G56,SLATable[Priority],0))),"YES","NO"),"")</f>
        <v>YES</v>
      </c>
      <c r="AJ56" t="str">
        <f ca="1">_xlfn.IFNA(IF(AE56 &lt; (INDEX(SLATable[Maximum SLA],MATCH(G56,SLATable[Priority],0))),"YES","NO"),"")</f>
        <v>YES</v>
      </c>
    </row>
    <row r="57" spans="1:36" ht="15" customHeight="1">
      <c r="A57" s="45">
        <v>56</v>
      </c>
      <c r="B57" s="45" t="s">
        <v>51</v>
      </c>
      <c r="C57" s="45" t="s">
        <v>35</v>
      </c>
      <c r="D57" s="45" t="s">
        <v>208</v>
      </c>
      <c r="E57" s="45" t="s">
        <v>5514</v>
      </c>
      <c r="F57" s="45" t="s">
        <v>50</v>
      </c>
      <c r="G57" s="45" t="s">
        <v>208</v>
      </c>
      <c r="H57" s="45" t="s">
        <v>5515</v>
      </c>
      <c r="I57" s="45" t="s">
        <v>271</v>
      </c>
      <c r="J57" s="45" t="s">
        <v>5449</v>
      </c>
      <c r="K57" s="47">
        <v>46240.293055555558</v>
      </c>
      <c r="L57" s="47">
        <v>46240.293749999997</v>
      </c>
      <c r="M57" s="47">
        <v>46240.293749999997</v>
      </c>
      <c r="N57" s="47">
        <v>46240.295138888891</v>
      </c>
      <c r="Q57" s="45" t="s">
        <v>5415</v>
      </c>
      <c r="R57" s="45" t="s">
        <v>267</v>
      </c>
      <c r="S57" s="45" t="s">
        <v>179</v>
      </c>
      <c r="U57" s="45" t="s">
        <v>371</v>
      </c>
      <c r="Z57" s="76">
        <f t="shared" ca="1" si="3"/>
        <v>0</v>
      </c>
      <c r="AA57" s="75">
        <f t="shared" ca="1" si="4"/>
        <v>0</v>
      </c>
      <c r="AB57" s="76">
        <f t="shared" ca="1" si="5"/>
        <v>0</v>
      </c>
      <c r="AC57" s="75">
        <f t="shared" ca="1" si="6"/>
        <v>0</v>
      </c>
      <c r="AD57" s="76">
        <f t="shared" ca="1" si="7"/>
        <v>0</v>
      </c>
      <c r="AE57" s="76">
        <f t="shared" ca="1" si="8"/>
        <v>0</v>
      </c>
      <c r="AF57" s="75">
        <f t="shared" ca="1" si="9"/>
        <v>0</v>
      </c>
      <c r="AG57" s="76">
        <f t="shared" ca="1" si="2"/>
        <v>0</v>
      </c>
      <c r="AH57" s="31" t="str" cm="1">
        <f t="array" aca="1" ref="AH57" ca="1">IF((AD57) &lt; (INDEX(ResponseSLA[#All],(MATCH((G57),ResponseSLA[Priority],0))+1,3)),"YES","No")</f>
        <v>YES</v>
      </c>
      <c r="AI57" s="31" t="str">
        <f ca="1">_xlfn.IFNA(IF(AE57 &lt; (INDEX(SLATable[Minimum SLA],MATCH(G57,SLATable[Priority],0))),"YES","NO"),"")</f>
        <v>YES</v>
      </c>
      <c r="AJ57" t="str">
        <f ca="1">_xlfn.IFNA(IF(AE57 &lt; (INDEX(SLATable[Maximum SLA],MATCH(G57,SLATable[Priority],0))),"YES","NO"),"")</f>
        <v>YES</v>
      </c>
    </row>
    <row r="58" spans="1:36" ht="15" customHeight="1">
      <c r="A58" s="45">
        <v>57</v>
      </c>
      <c r="B58" s="45" t="s">
        <v>51</v>
      </c>
      <c r="C58" s="45" t="s">
        <v>35</v>
      </c>
      <c r="D58" s="45" t="s">
        <v>208</v>
      </c>
      <c r="E58" s="45" t="s">
        <v>5516</v>
      </c>
      <c r="F58" s="45" t="s">
        <v>50</v>
      </c>
      <c r="G58" s="45" t="s">
        <v>208</v>
      </c>
      <c r="H58" s="45" t="s">
        <v>5439</v>
      </c>
      <c r="I58" s="45" t="s">
        <v>271</v>
      </c>
      <c r="J58" s="45" t="s">
        <v>5449</v>
      </c>
      <c r="K58" s="47">
        <v>46245.415277777778</v>
      </c>
      <c r="L58" s="47">
        <v>46245.415277777778</v>
      </c>
      <c r="M58" s="47">
        <v>46245.415972222225</v>
      </c>
      <c r="N58" s="47">
        <v>46245.417361111111</v>
      </c>
      <c r="Q58" s="45" t="s">
        <v>5418</v>
      </c>
      <c r="R58" s="45" t="s">
        <v>267</v>
      </c>
      <c r="S58" s="45" t="s">
        <v>179</v>
      </c>
      <c r="U58" s="45" t="s">
        <v>371</v>
      </c>
      <c r="Z58" s="76">
        <f t="shared" ca="1" si="3"/>
        <v>2.0833333328482695E-3</v>
      </c>
      <c r="AA58" s="75">
        <f t="shared" ca="1" si="4"/>
        <v>5.5555555542620523E-3</v>
      </c>
      <c r="AB58" s="76">
        <f t="shared" ca="1" si="5"/>
        <v>2.0833333328482695E-3</v>
      </c>
      <c r="AC58" s="75">
        <f t="shared" ca="1" si="6"/>
        <v>5.5555555542620523E-3</v>
      </c>
      <c r="AD58" s="76">
        <f t="shared" ca="1" si="7"/>
        <v>6.944444467080757E-4</v>
      </c>
      <c r="AE58" s="76">
        <f t="shared" ca="1" si="8"/>
        <v>2.0833333328482695E-3</v>
      </c>
      <c r="AF58" s="75">
        <f t="shared" ca="1" si="9"/>
        <v>5.5555555542620523E-3</v>
      </c>
      <c r="AG58" s="76">
        <f t="shared" ca="1" si="2"/>
        <v>5.5555555542620523E-3</v>
      </c>
      <c r="AH58" s="31" t="str" cm="1">
        <f t="array" aca="1" ref="AH58" ca="1">IF((AD58) &lt; (INDEX(ResponseSLA[#All],(MATCH((G58),ResponseSLA[Priority],0))+1,3)),"YES","No")</f>
        <v>YES</v>
      </c>
      <c r="AI58" s="31" t="str">
        <f ca="1">_xlfn.IFNA(IF(AE58 &lt; (INDEX(SLATable[Minimum SLA],MATCH(G58,SLATable[Priority],0))),"YES","NO"),"")</f>
        <v>YES</v>
      </c>
      <c r="AJ58" t="str">
        <f ca="1">_xlfn.IFNA(IF(AE58 &lt; (INDEX(SLATable[Maximum SLA],MATCH(G58,SLATable[Priority],0))),"YES","NO"),"")</f>
        <v>YES</v>
      </c>
    </row>
    <row r="59" spans="1:36" ht="15" customHeight="1">
      <c r="A59" s="45">
        <v>58</v>
      </c>
      <c r="B59" s="45" t="s">
        <v>51</v>
      </c>
      <c r="C59" s="45" t="s">
        <v>35</v>
      </c>
      <c r="D59" s="45" t="s">
        <v>207</v>
      </c>
      <c r="E59" s="45" t="s">
        <v>5517</v>
      </c>
      <c r="F59" s="45" t="s">
        <v>50</v>
      </c>
      <c r="G59" s="45">
        <v>4</v>
      </c>
      <c r="H59" s="45" t="s">
        <v>5518</v>
      </c>
      <c r="I59" s="45" t="s">
        <v>271</v>
      </c>
      <c r="J59" s="45" t="s">
        <v>5403</v>
      </c>
      <c r="K59" s="47">
        <v>46245.445833333331</v>
      </c>
      <c r="L59" s="47">
        <v>46246.604166666664</v>
      </c>
      <c r="M59" s="47">
        <v>46246.749305555553</v>
      </c>
      <c r="N59" s="47">
        <v>46246.751388888886</v>
      </c>
      <c r="Q59" s="45" t="s">
        <v>5421</v>
      </c>
      <c r="R59" s="45" t="s">
        <v>267</v>
      </c>
      <c r="S59" s="45" t="s">
        <v>190</v>
      </c>
      <c r="U59" s="45" t="s">
        <v>371</v>
      </c>
      <c r="Z59" s="76">
        <f t="shared" ca="1" si="3"/>
        <v>0.6375000000019404</v>
      </c>
      <c r="AA59" s="75">
        <f t="shared" ca="1" si="4"/>
        <v>1.7000000000051745</v>
      </c>
      <c r="AB59" s="76">
        <f t="shared" ca="1" si="5"/>
        <v>0.10416666666909202</v>
      </c>
      <c r="AC59" s="75">
        <f t="shared" ca="1" si="6"/>
        <v>0.27777777778424539</v>
      </c>
      <c r="AD59" s="76">
        <f t="shared" ca="1" si="7"/>
        <v>0.10416666666909202</v>
      </c>
      <c r="AE59" s="76">
        <f t="shared" ca="1" si="8"/>
        <v>0.10416666666909202</v>
      </c>
      <c r="AF59" s="75">
        <f t="shared" ca="1" si="9"/>
        <v>0.27777777778424539</v>
      </c>
      <c r="AG59" s="76">
        <f t="shared" ca="1" si="2"/>
        <v>0.27777777778424539</v>
      </c>
      <c r="AH59" s="31" t="str" cm="1">
        <f t="array" aca="1" ref="AH59" ca="1">IF((AD59) &lt; (INDEX(ResponseSLA[#All],(MATCH((G59),ResponseSLA[Priority],0))+1,3)),"YES","No")</f>
        <v>YES</v>
      </c>
      <c r="AI59" s="31" t="str">
        <f ca="1">_xlfn.IFNA(IF(AE59 &lt; (INDEX(SLATable[Minimum SLA],MATCH(G59,SLATable[Priority],0))),"YES","NO"),"")</f>
        <v>YES</v>
      </c>
      <c r="AJ59" t="str">
        <f ca="1">_xlfn.IFNA(IF(AE59 &lt; (INDEX(SLATable[Maximum SLA],MATCH(G59,SLATable[Priority],0))),"YES","NO"),"")</f>
        <v>YES</v>
      </c>
    </row>
    <row r="60" spans="1:36" ht="15" customHeight="1">
      <c r="A60" s="45">
        <v>59</v>
      </c>
      <c r="B60" s="45" t="s">
        <v>51</v>
      </c>
      <c r="C60" s="45" t="s">
        <v>35</v>
      </c>
      <c r="D60" s="45" t="s">
        <v>208</v>
      </c>
      <c r="E60" s="46" t="s">
        <v>5519</v>
      </c>
      <c r="F60" s="45" t="s">
        <v>50</v>
      </c>
      <c r="G60" s="45" t="s">
        <v>208</v>
      </c>
      <c r="H60" s="45" t="s">
        <v>5520</v>
      </c>
      <c r="I60" s="45" t="s">
        <v>271</v>
      </c>
      <c r="J60" s="45" t="s">
        <v>5407</v>
      </c>
      <c r="K60" s="47">
        <v>46248.27847222222</v>
      </c>
      <c r="L60" s="47">
        <v>46248.279166666667</v>
      </c>
      <c r="M60" s="47">
        <v>46248.279513888891</v>
      </c>
      <c r="N60" s="47">
        <v>46248.280555555553</v>
      </c>
      <c r="Q60" s="45" t="s">
        <v>5408</v>
      </c>
      <c r="R60" s="45" t="s">
        <v>267</v>
      </c>
      <c r="S60" s="45" t="s">
        <v>179</v>
      </c>
      <c r="U60" s="45" t="s">
        <v>371</v>
      </c>
      <c r="Z60" s="76">
        <f t="shared" ca="1" si="3"/>
        <v>0</v>
      </c>
      <c r="AA60" s="75">
        <f t="shared" ca="1" si="4"/>
        <v>0</v>
      </c>
      <c r="AB60" s="76">
        <f t="shared" ca="1" si="5"/>
        <v>0</v>
      </c>
      <c r="AC60" s="75">
        <f t="shared" ca="1" si="6"/>
        <v>0</v>
      </c>
      <c r="AD60" s="76">
        <f t="shared" ca="1" si="7"/>
        <v>0</v>
      </c>
      <c r="AE60" s="76">
        <f t="shared" ca="1" si="8"/>
        <v>0</v>
      </c>
      <c r="AF60" s="75">
        <f t="shared" ca="1" si="9"/>
        <v>0</v>
      </c>
      <c r="AG60" s="76">
        <f t="shared" ca="1" si="2"/>
        <v>0</v>
      </c>
      <c r="AH60" s="31" t="str" cm="1">
        <f t="array" aca="1" ref="AH60" ca="1">IF((AD60) &lt; (INDEX(ResponseSLA[#All],(MATCH((G60),ResponseSLA[Priority],0))+1,3)),"YES","No")</f>
        <v>YES</v>
      </c>
      <c r="AI60" s="31" t="str">
        <f ca="1">_xlfn.IFNA(IF(AE60 &lt; (INDEX(SLATable[Minimum SLA],MATCH(G60,SLATable[Priority],0))),"YES","NO"),"")</f>
        <v>YES</v>
      </c>
      <c r="AJ60" t="str">
        <f ca="1">_xlfn.IFNA(IF(AE60 &lt; (INDEX(SLATable[Maximum SLA],MATCH(G60,SLATable[Priority],0))),"YES","NO"),"")</f>
        <v>YES</v>
      </c>
    </row>
    <row r="61" spans="1:36" ht="15" customHeight="1">
      <c r="A61" s="45">
        <v>60</v>
      </c>
      <c r="B61" s="45" t="s">
        <v>51</v>
      </c>
      <c r="C61" s="45" t="s">
        <v>35</v>
      </c>
      <c r="D61" s="45" t="s">
        <v>208</v>
      </c>
      <c r="E61" s="45" t="s">
        <v>5521</v>
      </c>
      <c r="F61" s="45" t="s">
        <v>50</v>
      </c>
      <c r="G61" s="45" t="s">
        <v>208</v>
      </c>
      <c r="H61" s="45" t="s">
        <v>5522</v>
      </c>
      <c r="I61" s="45" t="s">
        <v>275</v>
      </c>
      <c r="J61" s="45" t="s">
        <v>5403</v>
      </c>
      <c r="K61" s="47">
        <v>46247.742361111108</v>
      </c>
      <c r="L61" s="47">
        <v>46251.602083333331</v>
      </c>
      <c r="M61" s="47">
        <v>46252.302083333336</v>
      </c>
      <c r="N61" s="47">
        <v>46253.505555555559</v>
      </c>
      <c r="Q61" s="45" t="s">
        <v>5523</v>
      </c>
      <c r="R61" s="45" t="s">
        <v>276</v>
      </c>
      <c r="S61" s="45" t="s">
        <v>139</v>
      </c>
      <c r="U61" s="45" t="s">
        <v>371</v>
      </c>
      <c r="Z61" s="76">
        <f t="shared" ca="1" si="3"/>
        <v>1.2972222222257792</v>
      </c>
      <c r="AA61" s="75">
        <f t="shared" ca="1" si="4"/>
        <v>3.4592592592687446</v>
      </c>
      <c r="AB61" s="76">
        <f t="shared" ca="1" si="5"/>
        <v>0.65347222222771961</v>
      </c>
      <c r="AC61" s="75">
        <f t="shared" ca="1" si="6"/>
        <v>1.7425925926072523</v>
      </c>
      <c r="AD61" s="76">
        <f t="shared" ca="1" si="7"/>
        <v>0.10625000000194029</v>
      </c>
      <c r="AE61" s="76">
        <f t="shared" ca="1" si="8"/>
        <v>0.65347222222771961</v>
      </c>
      <c r="AF61" s="75">
        <f t="shared" ca="1" si="9"/>
        <v>1.7425925926072523</v>
      </c>
      <c r="AG61" s="76">
        <f t="shared" ca="1" si="2"/>
        <v>1.7425925926072523</v>
      </c>
      <c r="AH61" s="31" t="str" cm="1">
        <f t="array" aca="1" ref="AH61" ca="1">IF((AD61) &lt; (INDEX(ResponseSLA[#All],(MATCH((G61),ResponseSLA[Priority],0))+1,3)),"YES","No")</f>
        <v>YES</v>
      </c>
      <c r="AI61" s="31" t="str">
        <f ca="1">_xlfn.IFNA(IF(AE61 &lt; (INDEX(SLATable[Minimum SLA],MATCH(G61,SLATable[Priority],0))),"YES","NO"),"")</f>
        <v>YES</v>
      </c>
      <c r="AJ61" t="str">
        <f ca="1">_xlfn.IFNA(IF(AE61 &lt; (INDEX(SLATable[Maximum SLA],MATCH(G61,SLATable[Priority],0))),"YES","NO"),"")</f>
        <v>YES</v>
      </c>
    </row>
    <row r="62" spans="1:36" ht="15" customHeight="1">
      <c r="A62" s="45">
        <v>61</v>
      </c>
      <c r="B62" s="45" t="s">
        <v>51</v>
      </c>
      <c r="C62" s="45" t="s">
        <v>35</v>
      </c>
      <c r="D62" s="45" t="s">
        <v>208</v>
      </c>
      <c r="E62" s="45" t="s">
        <v>5524</v>
      </c>
      <c r="F62" s="45" t="s">
        <v>50</v>
      </c>
      <c r="G62" s="45" t="s">
        <v>208</v>
      </c>
      <c r="H62" s="45" t="s">
        <v>5525</v>
      </c>
      <c r="I62" s="45" t="s">
        <v>271</v>
      </c>
      <c r="J62" s="45" t="s">
        <v>5414</v>
      </c>
      <c r="K62" s="47">
        <v>46253.364583333336</v>
      </c>
      <c r="L62" s="47">
        <v>46253.365972222222</v>
      </c>
      <c r="M62" s="47">
        <v>46253.366319444445</v>
      </c>
      <c r="N62" s="47">
        <v>46253.373611111114</v>
      </c>
      <c r="Q62" s="45" t="s">
        <v>5415</v>
      </c>
      <c r="R62" s="45" t="s">
        <v>272</v>
      </c>
      <c r="S62" s="45" t="s">
        <v>179</v>
      </c>
      <c r="U62" s="45" t="s">
        <v>371</v>
      </c>
      <c r="Z62" s="76">
        <f t="shared" ca="1" si="3"/>
        <v>9.0277777781011537E-3</v>
      </c>
      <c r="AA62" s="75">
        <f t="shared" ca="1" si="4"/>
        <v>2.4074074074936409E-2</v>
      </c>
      <c r="AB62" s="76">
        <f t="shared" ca="1" si="5"/>
        <v>7.6388888919609599E-3</v>
      </c>
      <c r="AC62" s="75">
        <f t="shared" ca="1" si="6"/>
        <v>2.0370370378562559E-2</v>
      </c>
      <c r="AD62" s="76">
        <f t="shared" ca="1" si="7"/>
        <v>3.4722222335403785E-4</v>
      </c>
      <c r="AE62" s="76">
        <f t="shared" ca="1" si="8"/>
        <v>7.6388888919609599E-3</v>
      </c>
      <c r="AF62" s="75">
        <f t="shared" ca="1" si="9"/>
        <v>2.0370370378562559E-2</v>
      </c>
      <c r="AG62" s="76">
        <f t="shared" ca="1" si="2"/>
        <v>2.0370370378562559E-2</v>
      </c>
      <c r="AH62" s="31" t="str" cm="1">
        <f t="array" aca="1" ref="AH62" ca="1">IF((AD62) &lt; (INDEX(ResponseSLA[#All],(MATCH((G62),ResponseSLA[Priority],0))+1,3)),"YES","No")</f>
        <v>YES</v>
      </c>
      <c r="AI62" s="31" t="str">
        <f ca="1">_xlfn.IFNA(IF(AE62 &lt; (INDEX(SLATable[Minimum SLA],MATCH(G62,SLATable[Priority],0))),"YES","NO"),"")</f>
        <v>YES</v>
      </c>
      <c r="AJ62" t="str">
        <f ca="1">_xlfn.IFNA(IF(AE62 &lt; (INDEX(SLATable[Maximum SLA],MATCH(G62,SLATable[Priority],0))),"YES","NO"),"")</f>
        <v>YES</v>
      </c>
    </row>
    <row r="63" spans="1:36" ht="15" customHeight="1">
      <c r="A63" s="45">
        <v>62</v>
      </c>
      <c r="B63" s="45" t="s">
        <v>51</v>
      </c>
      <c r="C63" s="45" t="s">
        <v>35</v>
      </c>
      <c r="D63" s="45" t="s">
        <v>208</v>
      </c>
      <c r="E63" s="45" t="s">
        <v>5526</v>
      </c>
      <c r="F63" s="45" t="s">
        <v>50</v>
      </c>
      <c r="G63" s="45" t="s">
        <v>208</v>
      </c>
      <c r="H63" s="45" t="s">
        <v>5527</v>
      </c>
      <c r="I63" s="45" t="s">
        <v>271</v>
      </c>
      <c r="J63" s="45" t="s">
        <v>5414</v>
      </c>
      <c r="K63" s="47">
        <v>46254.275694444441</v>
      </c>
      <c r="L63" s="47">
        <v>46254.277083333334</v>
      </c>
      <c r="M63" s="47">
        <v>46254.277430555558</v>
      </c>
      <c r="N63" s="47">
        <v>46254.488888888889</v>
      </c>
      <c r="Q63" s="45" t="s">
        <v>5415</v>
      </c>
      <c r="R63" s="45" t="s">
        <v>267</v>
      </c>
      <c r="S63" s="45" t="s">
        <v>139</v>
      </c>
      <c r="Z63" s="76">
        <f t="shared" ca="1" si="3"/>
        <v>0.15555555555571726</v>
      </c>
      <c r="AA63" s="75">
        <f t="shared" ca="1" si="4"/>
        <v>0.41481481481524601</v>
      </c>
      <c r="AB63" s="76">
        <f t="shared" ca="1" si="5"/>
        <v>0.15555555555571726</v>
      </c>
      <c r="AC63" s="75">
        <f t="shared" ca="1" si="6"/>
        <v>0.41481481481524601</v>
      </c>
      <c r="AD63" s="76">
        <f t="shared" ca="1" si="7"/>
        <v>0</v>
      </c>
      <c r="AE63" s="76">
        <f t="shared" ca="1" si="8"/>
        <v>0.15555555555571726</v>
      </c>
      <c r="AF63" s="75">
        <f t="shared" ca="1" si="9"/>
        <v>0.41481481481524601</v>
      </c>
      <c r="AG63" s="76">
        <f t="shared" ca="1" si="2"/>
        <v>0.41481481481524601</v>
      </c>
      <c r="AH63" s="31" t="str" cm="1">
        <f t="array" aca="1" ref="AH63" ca="1">IF((AD63) &lt; (INDEX(ResponseSLA[#All],(MATCH((G63),ResponseSLA[Priority],0))+1,3)),"YES","No")</f>
        <v>YES</v>
      </c>
      <c r="AI63" s="31" t="str">
        <f ca="1">_xlfn.IFNA(IF(AE63 &lt; (INDEX(SLATable[Minimum SLA],MATCH(G63,SLATable[Priority],0))),"YES","NO"),"")</f>
        <v>YES</v>
      </c>
      <c r="AJ63" t="str">
        <f ca="1">_xlfn.IFNA(IF(AE63 &lt; (INDEX(SLATable[Maximum SLA],MATCH(G63,SLATable[Priority],0))),"YES","NO"),"")</f>
        <v>YES</v>
      </c>
    </row>
    <row r="64" spans="1:36" ht="15" customHeight="1">
      <c r="Z64" s="76" t="e">
        <f t="shared" ca="1" si="3"/>
        <v>#N/A</v>
      </c>
      <c r="AA64" s="75" t="e">
        <f t="shared" ca="1" si="4"/>
        <v>#N/A</v>
      </c>
      <c r="AB64" s="76">
        <f t="shared" ca="1" si="5"/>
        <v>0</v>
      </c>
      <c r="AC64" s="75">
        <f t="shared" ca="1" si="6"/>
        <v>0</v>
      </c>
      <c r="AD64" s="76">
        <f t="shared" ca="1" si="7"/>
        <v>12388.425643402781</v>
      </c>
      <c r="AE64" s="76">
        <f t="shared" si="8"/>
        <v>0</v>
      </c>
      <c r="AF64" s="75">
        <f t="shared" si="9"/>
        <v>0</v>
      </c>
      <c r="AG64" s="76">
        <f t="shared" si="2"/>
        <v>0</v>
      </c>
      <c r="AH64" s="31" t="e" cm="1">
        <f t="array" aca="1" ref="AH64" ca="1">IF((AD64) &lt; (INDEX(ResponseSLA[#All],(MATCH((G64),ResponseSLA[Priority],0))+1,3)),"YES","No")</f>
        <v>#N/A</v>
      </c>
      <c r="AI64" s="31" t="str">
        <f>_xlfn.IFNA(IF(AE64 &lt; (INDEX(SLATable[Minimum SLA],MATCH(G64,SLATable[Priority],0))),"YES","NO"),"")</f>
        <v/>
      </c>
      <c r="AJ64" t="str">
        <f>_xlfn.IFNA(IF(AE64 &lt; (INDEX(SLATable[Maximum SLA],MATCH(G64,SLATable[Priority],0))),"YES","NO"),"")</f>
        <v/>
      </c>
    </row>
    <row r="65" spans="26:36" ht="15" customHeight="1">
      <c r="Z65" s="76" t="e">
        <f t="shared" ca="1" si="3"/>
        <v>#N/A</v>
      </c>
      <c r="AA65" s="75" t="e">
        <f t="shared" ca="1" si="4"/>
        <v>#N/A</v>
      </c>
      <c r="AB65" s="76">
        <f t="shared" ca="1" si="5"/>
        <v>0</v>
      </c>
      <c r="AC65" s="75">
        <f t="shared" ca="1" si="6"/>
        <v>0</v>
      </c>
      <c r="AD65" s="76">
        <f t="shared" ca="1" si="7"/>
        <v>12388.425643402781</v>
      </c>
      <c r="AE65" s="76">
        <f t="shared" si="8"/>
        <v>0</v>
      </c>
      <c r="AF65" s="75">
        <f t="shared" si="9"/>
        <v>0</v>
      </c>
      <c r="AG65" s="76">
        <f t="shared" si="2"/>
        <v>0</v>
      </c>
      <c r="AH65" s="31" t="e" cm="1">
        <f t="array" aca="1" ref="AH65" ca="1">IF((AD65) &lt; (INDEX(ResponseSLA[#All],(MATCH((G65),ResponseSLA[Priority],0))+1,3)),"YES","No")</f>
        <v>#N/A</v>
      </c>
      <c r="AI65" s="31" t="str">
        <f>_xlfn.IFNA(IF(AE65 &lt; (INDEX(SLATable[Minimum SLA],MATCH(G65,SLATable[Priority],0))),"YES","NO"),"")</f>
        <v/>
      </c>
      <c r="AJ65" t="str">
        <f>_xlfn.IFNA(IF(AE65 &lt; (INDEX(SLATable[Maximum SLA],MATCH(G65,SLATable[Priority],0))),"YES","NO"),"")</f>
        <v/>
      </c>
    </row>
    <row r="66" spans="26:36" ht="15" customHeight="1">
      <c r="Z66" s="76" t="e">
        <f t="shared" ca="1" si="3"/>
        <v>#N/A</v>
      </c>
      <c r="AA66" s="75" t="e">
        <f t="shared" ca="1" si="4"/>
        <v>#N/A</v>
      </c>
      <c r="AB66" s="76">
        <f t="shared" ca="1" si="5"/>
        <v>0</v>
      </c>
      <c r="AC66" s="75">
        <f t="shared" ca="1" si="6"/>
        <v>0</v>
      </c>
      <c r="AD66" s="76">
        <f t="shared" ca="1" si="7"/>
        <v>12388.425643171297</v>
      </c>
      <c r="AE66" s="76">
        <f t="shared" si="8"/>
        <v>0</v>
      </c>
      <c r="AF66" s="75">
        <f t="shared" si="9"/>
        <v>0</v>
      </c>
      <c r="AG66" s="76">
        <f t="shared" si="2"/>
        <v>0</v>
      </c>
      <c r="AH66" s="31" t="e" cm="1">
        <f t="array" aca="1" ref="AH66" ca="1">IF((AD66) &lt; (INDEX(ResponseSLA[#All],(MATCH((G66),ResponseSLA[Priority],0))+1,3)),"YES","No")</f>
        <v>#N/A</v>
      </c>
      <c r="AI66" s="31" t="str">
        <f>_xlfn.IFNA(IF(AE66 &lt; (INDEX(SLATable[Minimum SLA],MATCH(G66,SLATable[Priority],0))),"YES","NO"),"")</f>
        <v/>
      </c>
      <c r="AJ66" t="str">
        <f>_xlfn.IFNA(IF(AE66 &lt; (INDEX(SLATable[Maximum SLA],MATCH(G66,SLATable[Priority],0))),"YES","NO"),"")</f>
        <v/>
      </c>
    </row>
    <row r="67" spans="26:36" ht="15" customHeight="1">
      <c r="Z67" s="76" t="e">
        <f t="shared" ref="Z67:Z130" ca="1" si="10">IF(NOT(OR(G67=1,G67=2)),MAX(0,_xlfn.IFS(AND(K67&lt;&gt;"",N67&lt;&gt;""),((MAX(NETWORKDAYS(K67,N67,UKBankHolidays)-1,0))*(TIME(17,0,0)-TIME(8,0,0))+IF(NETWORKDAYS(N67,N67,UKBankHolidays)&gt;0,MEDIAN(TIME(8,0,0),MOD(N67,1),TIME(17,0,0)),TIME(8,0,0))-IF(NETWORKDAYS(K67,K67,UKBankHolidays)&gt;0,MEDIAN(TIME(8,0,0),MOD(K67,1),TIME(17,0,0)),TIME(8,0,0)))-IF(AND(O67&lt;&gt;"",P67&lt;&gt;""),((MAX(NETWORKDAYS(O67,P67,UKBankHolidays)-1,0))*(TIME(17,0,0)-TIME(8,0,0))+IF(NETWORKDAYS(P67,P67,UKBankHolidays)&gt;0,MEDIAN(TIME(8,0,0),MOD(P67,1),TIME(17,0,0)),TIME(8,0,0))-IF(NETWORKDAYS(O67,O67,UKBankHolidays)&gt;0,MEDIAN(TIME(8,0,0),MOD(O67,1),TIME(17,0,0)),TIME(8,0,0))),0),AND(K67&lt;&gt;"",N67=""),((MAX(NETWORKDAYS(K67,NOW(),UKBankHolidays)-1,0))*(TIME(17,0,0)-TIME(8,0,0))+IF(NETWORKDAYS(NOW(),NOW(),UKBankHolidays)&gt;0,MEDIAN(TIME(8,0,0),MOD(NOW(),1),TIME(17,0,0)),TIME(8,0,0))-IF(NETWORKDAYS(K67,K67,UKBankHolidays)&gt;0,MEDIAN(TIME(8,0,0),MOD(K67,1),TIME(17,0,0)),TIME(8,0,0))))),IF(N67="",NOW()-K67,N67-K67))</f>
        <v>#N/A</v>
      </c>
      <c r="AA67" s="75" t="e">
        <f t="shared" ref="AA67:AA130" ca="1" si="11">(Z67*24)/9</f>
        <v>#N/A</v>
      </c>
      <c r="AB67" s="76">
        <f t="shared" ref="AB67:AB130" ca="1" si="12">IF(NOT(OR(G67=1,G67=2)),MAX(0,_xlfn.IFS(AND(K67&lt;&gt;"",N67&lt;&gt;""),(((MAX(NETWORKDAYS(L67,N67,UKBankHolidays)-1,0))*(TIME(17,0,0)-TIME(8,0,0)))+IF(NETWORKDAYS(N67,N67,UKBankHolidays)&gt;0,MEDIAN(TIME(8,0,0),MOD(N67,1),TIME(17,0,0)),TIME(8,0,0))-IF(NETWORKDAYS(L67,L67,UKBankHolidays)&gt;0,MEDIAN(TIME(8,0,0),MOD(L67,1),TIME(17,0,0)),TIME(8,0,0)))-IF(AND(O67&lt;&gt;"",P67&lt;&gt;""),(((MAX(NETWORKDAYS(O67,P67,UKBankHolidays)-1,0))*(TIME(17,0,0)-TIME(8,0,0)))+IF(NETWORKDAYS(P67,P67,UKBankHolidays)&gt;0,MEDIAN(TIME(8,0,0),MOD(P67,1),TIME(17,0,0)),TIME(8,0,0))-IF(NETWORKDAYS(O67,O67,UKBankHolidays)&gt;0,MEDIAN(TIME(8,0,0),MOD(O67,1),TIME(17,0,0)),TIME(8,0,0))),0),AND(L67&lt;&gt;"",N67="",O67=""),(((MAX(NETWORKDAYS(L67,NOW(),UKBankHolidays)-1,0))*(TIME(17,0,0)-TIME(8,0,0)))+IF(NETWORKDAYS(NOW(),NOW(),UKBankHolidays)&gt;0,MEDIAN(TIME(8,0,0),MOD(NOW(),1),TIME(17,0,0)),TIME(8,0,0))-IF(NETWORKDAYS(L67,L67,UKBankHolidays)&gt;0,MEDIAN(TIME(8,0,0),MOD(L67,1),TIME(17,0,0)),TIME(8,0,0)))-IF(AND(O67&lt;&gt;"",P67&lt;&gt;""),(((MAX(NETWORKDAYS(O67,P67,UKBankHolidays)-1,0))*(TIME(17,0,0)-TIME(8,0,0)))+IF(NETWORKDAYS(P67,P67,UKBankHolidays)&gt;0,MEDIAN(TIME(8,0,0),MOD(P67,1),TIME(17,0,0)),TIME(8,0,0))-IF(NETWORKDAYS(O67,O67,UKBankHolidays)&gt;0,MEDIAN(TIME(8,0,0),MOD(O67,1),TIME(17,0,0)),TIME(8,0,0))),0),AND(L67&lt;&gt;"",N67="",P67="",O67&lt;&gt;""),(((MAX(NETWORKDAYS(L67,O67,UKBankHolidays)-1,0))*(TIME(17,0,0)-TIME(8,0,0)))+IF(NETWORKDAYS(O67,O67,UKBankHolidays)&gt;0,MEDIAN(TIME(8,0,0),MOD(O67,1),TIME(17,0,0)),TIME(8,0,0))-IF(NETWORKDAYS(L67,L67,UKBankHolidays)&gt;0,MEDIAN(TIME(8,0,0),MOD(L67,1),TIME(17,0,0)),TIME(8,0,0))),ISBLANK(K67),"0")),IF(ISBLANK(N67),NOW()-L67,N67-L67))</f>
        <v>0</v>
      </c>
      <c r="AC67" s="75">
        <f t="shared" ref="AC67:AC130" ca="1" si="13">(AB67*24)/9</f>
        <v>0</v>
      </c>
      <c r="AD67" s="76">
        <f t="shared" ref="AD67:AD130" ca="1" si="14">MAX(0,IF(NOT(OR(G67=1,G67=2)),IF(M67&lt;&gt;"",((MAX(NETWORKDAYS(L67,M67,UKBankHolidays)-1,0))*(TIME(17,0,0)-TIME(8,0,0))+IF(NETWORKDAYS(M67,M67,UKBankHolidays)&gt;0,MEDIAN(TIME(8,0,0),MOD(M67,1),TIME(17,0,0)),TIME(8,0,0))-MEDIAN(TIME(8,0,0),MOD(L67,1),TIME(17,0,0))),((MAX(NETWORKDAYS(L67,NOW(),UKBankHolidays)-1,0))*(TIME(17,0,0)-TIME(8,0,0))+IF(NETWORKDAYS(NOW(),NOW(),UKBankHolidays)&gt;0,MEDIAN(TIME(8,0,0),MOD(NOW(),1),TIME(17,0,0)),TIME(8,0,0))-MEDIAN(TIME(8,0,0),MOD(L67,1),TIME(17,0,0)))),IF(M67&lt;&gt;"",M67-L67,NOW()-L67)))</f>
        <v>12388.425643402781</v>
      </c>
      <c r="AE67" s="76">
        <f t="shared" ref="AE67:AE130" si="15">SUMIFS(AB:AB,E:E,E67)</f>
        <v>0</v>
      </c>
      <c r="AF67" s="75">
        <f t="shared" ref="AF67:AF130" si="16">(AE67*24)/9</f>
        <v>0</v>
      </c>
      <c r="AG67" s="76">
        <f t="shared" si="2"/>
        <v>0</v>
      </c>
      <c r="AH67" s="31" t="e" cm="1">
        <f t="array" aca="1" ref="AH67" ca="1">IF((AD67) &lt; (INDEX(ResponseSLA[#All],(MATCH((G67),ResponseSLA[Priority],0))+1,3)),"YES","No")</f>
        <v>#N/A</v>
      </c>
      <c r="AI67" s="31" t="str">
        <f>_xlfn.IFNA(IF(AE67 &lt; (INDEX(SLATable[Minimum SLA],MATCH(G67,SLATable[Priority],0))),"YES","NO"),"")</f>
        <v/>
      </c>
      <c r="AJ67" t="str">
        <f>_xlfn.IFNA(IF(AE67 &lt; (INDEX(SLATable[Maximum SLA],MATCH(G67,SLATable[Priority],0))),"YES","NO"),"")</f>
        <v/>
      </c>
    </row>
    <row r="68" spans="26:36" ht="15" customHeight="1">
      <c r="Z68" s="76" t="e">
        <f t="shared" ca="1" si="10"/>
        <v>#N/A</v>
      </c>
      <c r="AA68" s="75" t="e">
        <f t="shared" ca="1" si="11"/>
        <v>#N/A</v>
      </c>
      <c r="AB68" s="76">
        <f t="shared" ca="1" si="12"/>
        <v>0</v>
      </c>
      <c r="AC68" s="75">
        <f t="shared" ca="1" si="13"/>
        <v>0</v>
      </c>
      <c r="AD68" s="76">
        <f t="shared" ca="1" si="14"/>
        <v>12388.425643402781</v>
      </c>
      <c r="AE68" s="76">
        <f t="shared" si="15"/>
        <v>0</v>
      </c>
      <c r="AF68" s="75">
        <f t="shared" si="16"/>
        <v>0</v>
      </c>
      <c r="AG68" s="76">
        <f t="shared" si="2"/>
        <v>0</v>
      </c>
      <c r="AH68" s="31" t="e" cm="1">
        <f t="array" aca="1" ref="AH68" ca="1">IF((AD68) &lt; (INDEX(ResponseSLA[#All],(MATCH((G68),ResponseSLA[Priority],0))+1,3)),"YES","No")</f>
        <v>#N/A</v>
      </c>
      <c r="AI68" s="31" t="str">
        <f>_xlfn.IFNA(IF(AE68 &lt; (INDEX(SLATable[Minimum SLA],MATCH(G68,SLATable[Priority],0))),"YES","NO"),"")</f>
        <v/>
      </c>
      <c r="AJ68" t="str">
        <f>_xlfn.IFNA(IF(AE68 &lt; (INDEX(SLATable[Maximum SLA],MATCH(G68,SLATable[Priority],0))),"YES","NO"),"")</f>
        <v/>
      </c>
    </row>
    <row r="69" spans="26:36" ht="15" customHeight="1">
      <c r="Z69" s="76" t="e">
        <f t="shared" ca="1" si="10"/>
        <v>#N/A</v>
      </c>
      <c r="AA69" s="75" t="e">
        <f t="shared" ca="1" si="11"/>
        <v>#N/A</v>
      </c>
      <c r="AB69" s="76">
        <f t="shared" ca="1" si="12"/>
        <v>0</v>
      </c>
      <c r="AC69" s="75">
        <f t="shared" ca="1" si="13"/>
        <v>0</v>
      </c>
      <c r="AD69" s="76">
        <f t="shared" ca="1" si="14"/>
        <v>12388.425643171297</v>
      </c>
      <c r="AE69" s="76">
        <f t="shared" si="15"/>
        <v>0</v>
      </c>
      <c r="AF69" s="75">
        <f t="shared" si="16"/>
        <v>0</v>
      </c>
      <c r="AG69" s="76">
        <f t="shared" si="2"/>
        <v>0</v>
      </c>
      <c r="AH69" s="31" t="e" cm="1">
        <f t="array" aca="1" ref="AH69" ca="1">IF((AD69) &lt; (INDEX(ResponseSLA[#All],(MATCH((G69),ResponseSLA[Priority],0))+1,3)),"YES","No")</f>
        <v>#N/A</v>
      </c>
      <c r="AI69" s="31" t="str">
        <f>_xlfn.IFNA(IF(AE69 &lt; (INDEX(SLATable[Minimum SLA],MATCH(G69,SLATable[Priority],0))),"YES","NO"),"")</f>
        <v/>
      </c>
      <c r="AJ69" t="str">
        <f>_xlfn.IFNA(IF(AE69 &lt; (INDEX(SLATable[Maximum SLA],MATCH(G69,SLATable[Priority],0))),"YES","NO"),"")</f>
        <v/>
      </c>
    </row>
    <row r="70" spans="26:36" ht="15" customHeight="1">
      <c r="Z70" s="76" t="e">
        <f t="shared" ca="1" si="10"/>
        <v>#N/A</v>
      </c>
      <c r="AA70" s="75" t="e">
        <f t="shared" ca="1" si="11"/>
        <v>#N/A</v>
      </c>
      <c r="AB70" s="76">
        <f t="shared" ca="1" si="12"/>
        <v>0</v>
      </c>
      <c r="AC70" s="75">
        <f t="shared" ca="1" si="13"/>
        <v>0</v>
      </c>
      <c r="AD70" s="76">
        <f t="shared" ca="1" si="14"/>
        <v>12388.425643402781</v>
      </c>
      <c r="AE70" s="76">
        <f t="shared" si="15"/>
        <v>0</v>
      </c>
      <c r="AF70" s="75">
        <f t="shared" si="16"/>
        <v>0</v>
      </c>
      <c r="AG70" s="76">
        <f t="shared" si="2"/>
        <v>0</v>
      </c>
      <c r="AH70" s="31" t="e" cm="1">
        <f t="array" aca="1" ref="AH70" ca="1">IF((AD70) &lt; (INDEX(ResponseSLA[#All],(MATCH((G70),ResponseSLA[Priority],0))+1,3)),"YES","No")</f>
        <v>#N/A</v>
      </c>
      <c r="AI70" s="31" t="str">
        <f>_xlfn.IFNA(IF(AE70 &lt; (INDEX(SLATable[Minimum SLA],MATCH(G70,SLATable[Priority],0))),"YES","NO"),"")</f>
        <v/>
      </c>
      <c r="AJ70" t="str">
        <f>_xlfn.IFNA(IF(AE70 &lt; (INDEX(SLATable[Maximum SLA],MATCH(G70,SLATable[Priority],0))),"YES","NO"),"")</f>
        <v/>
      </c>
    </row>
    <row r="71" spans="26:36" ht="15" customHeight="1">
      <c r="Z71" s="76" t="e">
        <f t="shared" ca="1" si="10"/>
        <v>#N/A</v>
      </c>
      <c r="AA71" s="75" t="e">
        <f t="shared" ca="1" si="11"/>
        <v>#N/A</v>
      </c>
      <c r="AB71" s="76">
        <f t="shared" ca="1" si="12"/>
        <v>0</v>
      </c>
      <c r="AC71" s="75">
        <f t="shared" ca="1" si="13"/>
        <v>0</v>
      </c>
      <c r="AD71" s="76">
        <f t="shared" ca="1" si="14"/>
        <v>12388.425643402781</v>
      </c>
      <c r="AE71" s="76">
        <f t="shared" si="15"/>
        <v>0</v>
      </c>
      <c r="AF71" s="75">
        <f t="shared" si="16"/>
        <v>0</v>
      </c>
      <c r="AG71" s="76">
        <f t="shared" si="2"/>
        <v>0</v>
      </c>
      <c r="AH71" s="31" t="e" cm="1">
        <f t="array" aca="1" ref="AH71" ca="1">IF((AD71) &lt; (INDEX(ResponseSLA[#All],(MATCH((G71),ResponseSLA[Priority],0))+1,3)),"YES","No")</f>
        <v>#N/A</v>
      </c>
      <c r="AI71" s="31" t="str">
        <f>_xlfn.IFNA(IF(AE71 &lt; (INDEX(SLATable[Minimum SLA],MATCH(G71,SLATable[Priority],0))),"YES","NO"),"")</f>
        <v/>
      </c>
      <c r="AJ71" t="str">
        <f>_xlfn.IFNA(IF(AE71 &lt; (INDEX(SLATable[Maximum SLA],MATCH(G71,SLATable[Priority],0))),"YES","NO"),"")</f>
        <v/>
      </c>
    </row>
    <row r="72" spans="26:36" ht="15" customHeight="1">
      <c r="Z72" s="76" t="e">
        <f t="shared" ca="1" si="10"/>
        <v>#N/A</v>
      </c>
      <c r="AA72" s="75" t="e">
        <f t="shared" ca="1" si="11"/>
        <v>#N/A</v>
      </c>
      <c r="AB72" s="76">
        <f t="shared" ca="1" si="12"/>
        <v>0</v>
      </c>
      <c r="AC72" s="75">
        <f t="shared" ca="1" si="13"/>
        <v>0</v>
      </c>
      <c r="AD72" s="76">
        <f t="shared" ca="1" si="14"/>
        <v>12388.425643171297</v>
      </c>
      <c r="AE72" s="76">
        <f t="shared" si="15"/>
        <v>0</v>
      </c>
      <c r="AF72" s="75">
        <f t="shared" si="16"/>
        <v>0</v>
      </c>
      <c r="AG72" s="76">
        <f t="shared" si="2"/>
        <v>0</v>
      </c>
      <c r="AH72" s="31" t="e" cm="1">
        <f t="array" aca="1" ref="AH72" ca="1">IF((AD72) &lt; (INDEX(ResponseSLA[#All],(MATCH((G72),ResponseSLA[Priority],0))+1,3)),"YES","No")</f>
        <v>#N/A</v>
      </c>
      <c r="AI72" s="31" t="str">
        <f>_xlfn.IFNA(IF(AE72 &lt; (INDEX(SLATable[Minimum SLA],MATCH(G72,SLATable[Priority],0))),"YES","NO"),"")</f>
        <v/>
      </c>
      <c r="AJ72" t="str">
        <f>_xlfn.IFNA(IF(AE72 &lt; (INDEX(SLATable[Maximum SLA],MATCH(G72,SLATable[Priority],0))),"YES","NO"),"")</f>
        <v/>
      </c>
    </row>
    <row r="73" spans="26:36" ht="15" customHeight="1">
      <c r="Z73" s="76" t="e">
        <f t="shared" ca="1" si="10"/>
        <v>#N/A</v>
      </c>
      <c r="AA73" s="75" t="e">
        <f t="shared" ca="1" si="11"/>
        <v>#N/A</v>
      </c>
      <c r="AB73" s="76">
        <f t="shared" ca="1" si="12"/>
        <v>0</v>
      </c>
      <c r="AC73" s="75">
        <f t="shared" ca="1" si="13"/>
        <v>0</v>
      </c>
      <c r="AD73" s="76">
        <f t="shared" ca="1" si="14"/>
        <v>12388.425643402781</v>
      </c>
      <c r="AE73" s="76">
        <f t="shared" si="15"/>
        <v>0</v>
      </c>
      <c r="AF73" s="75">
        <f t="shared" si="16"/>
        <v>0</v>
      </c>
      <c r="AG73" s="76">
        <f t="shared" si="2"/>
        <v>0</v>
      </c>
      <c r="AH73" s="31" t="e" cm="1">
        <f t="array" aca="1" ref="AH73" ca="1">IF((AD73) &lt; (INDEX(ResponseSLA[#All],(MATCH((G73),ResponseSLA[Priority],0))+1,3)),"YES","No")</f>
        <v>#N/A</v>
      </c>
      <c r="AI73" s="31" t="str">
        <f>_xlfn.IFNA(IF(AE73 &lt; (INDEX(SLATable[Minimum SLA],MATCH(G73,SLATable[Priority],0))),"YES","NO"),"")</f>
        <v/>
      </c>
      <c r="AJ73" t="str">
        <f>_xlfn.IFNA(IF(AE73 &lt; (INDEX(SLATable[Maximum SLA],MATCH(G73,SLATable[Priority],0))),"YES","NO"),"")</f>
        <v/>
      </c>
    </row>
    <row r="74" spans="26:36" ht="15" customHeight="1">
      <c r="Z74" s="76" t="e">
        <f t="shared" ca="1" si="10"/>
        <v>#N/A</v>
      </c>
      <c r="AA74" s="75" t="e">
        <f t="shared" ca="1" si="11"/>
        <v>#N/A</v>
      </c>
      <c r="AB74" s="76">
        <f t="shared" ca="1" si="12"/>
        <v>0</v>
      </c>
      <c r="AC74" s="75">
        <f t="shared" ca="1" si="13"/>
        <v>0</v>
      </c>
      <c r="AD74" s="76">
        <f t="shared" ca="1" si="14"/>
        <v>12388.425643402781</v>
      </c>
      <c r="AE74" s="76">
        <f t="shared" si="15"/>
        <v>0</v>
      </c>
      <c r="AF74" s="75">
        <f t="shared" si="16"/>
        <v>0</v>
      </c>
      <c r="AG74" s="76">
        <f t="shared" si="2"/>
        <v>0</v>
      </c>
      <c r="AH74" s="31" t="e" cm="1">
        <f t="array" aca="1" ref="AH74" ca="1">IF((AD74) &lt; (INDEX(ResponseSLA[#All],(MATCH((G74),ResponseSLA[Priority],0))+1,3)),"YES","No")</f>
        <v>#N/A</v>
      </c>
      <c r="AI74" s="31" t="str">
        <f>_xlfn.IFNA(IF(AE74 &lt; (INDEX(SLATable[Minimum SLA],MATCH(G74,SLATable[Priority],0))),"YES","NO"),"")</f>
        <v/>
      </c>
      <c r="AJ74" t="str">
        <f>_xlfn.IFNA(IF(AE74 &lt; (INDEX(SLATable[Maximum SLA],MATCH(G74,SLATable[Priority],0))),"YES","NO"),"")</f>
        <v/>
      </c>
    </row>
    <row r="75" spans="26:36" ht="15" customHeight="1">
      <c r="Z75" s="76" t="e">
        <f t="shared" ca="1" si="10"/>
        <v>#N/A</v>
      </c>
      <c r="AA75" s="75" t="e">
        <f t="shared" ca="1" si="11"/>
        <v>#N/A</v>
      </c>
      <c r="AB75" s="76">
        <f t="shared" ca="1" si="12"/>
        <v>0</v>
      </c>
      <c r="AC75" s="75">
        <f t="shared" ca="1" si="13"/>
        <v>0</v>
      </c>
      <c r="AD75" s="76">
        <f t="shared" ca="1" si="14"/>
        <v>12388.425643171297</v>
      </c>
      <c r="AE75" s="76">
        <f t="shared" si="15"/>
        <v>0</v>
      </c>
      <c r="AF75" s="75">
        <f t="shared" si="16"/>
        <v>0</v>
      </c>
      <c r="AG75" s="76">
        <f t="shared" si="2"/>
        <v>0</v>
      </c>
      <c r="AH75" s="31" t="e" cm="1">
        <f t="array" aca="1" ref="AH75" ca="1">IF((AD75) &lt; (INDEX(ResponseSLA[#All],(MATCH((G75),ResponseSLA[Priority],0))+1,3)),"YES","No")</f>
        <v>#N/A</v>
      </c>
      <c r="AI75" s="31" t="str">
        <f>_xlfn.IFNA(IF(AE75 &lt; (INDEX(SLATable[Minimum SLA],MATCH(G75,SLATable[Priority],0))),"YES","NO"),"")</f>
        <v/>
      </c>
      <c r="AJ75" t="str">
        <f>_xlfn.IFNA(IF(AE75 &lt; (INDEX(SLATable[Maximum SLA],MATCH(G75,SLATable[Priority],0))),"YES","NO"),"")</f>
        <v/>
      </c>
    </row>
    <row r="76" spans="26:36" ht="15" customHeight="1">
      <c r="Z76" s="76" t="e">
        <f t="shared" ca="1" si="10"/>
        <v>#N/A</v>
      </c>
      <c r="AA76" s="75" t="e">
        <f t="shared" ca="1" si="11"/>
        <v>#N/A</v>
      </c>
      <c r="AB76" s="76">
        <f t="shared" ca="1" si="12"/>
        <v>0</v>
      </c>
      <c r="AC76" s="75">
        <f t="shared" ca="1" si="13"/>
        <v>0</v>
      </c>
      <c r="AD76" s="76">
        <f t="shared" ca="1" si="14"/>
        <v>12388.425643402781</v>
      </c>
      <c r="AE76" s="76">
        <f t="shared" si="15"/>
        <v>0</v>
      </c>
      <c r="AF76" s="75">
        <f t="shared" si="16"/>
        <v>0</v>
      </c>
      <c r="AG76" s="76">
        <f t="shared" si="2"/>
        <v>0</v>
      </c>
      <c r="AH76" s="31" t="e" cm="1">
        <f t="array" aca="1" ref="AH76" ca="1">IF((AD76) &lt; (INDEX(ResponseSLA[#All],(MATCH((G76),ResponseSLA[Priority],0))+1,3)),"YES","No")</f>
        <v>#N/A</v>
      </c>
      <c r="AI76" s="31" t="str">
        <f>_xlfn.IFNA(IF(AE76 &lt; (INDEX(SLATable[Minimum SLA],MATCH(G76,SLATable[Priority],0))),"YES","NO"),"")</f>
        <v/>
      </c>
      <c r="AJ76" t="str">
        <f>_xlfn.IFNA(IF(AE76 &lt; (INDEX(SLATable[Maximum SLA],MATCH(G76,SLATable[Priority],0))),"YES","NO"),"")</f>
        <v/>
      </c>
    </row>
    <row r="77" spans="26:36" ht="15" customHeight="1">
      <c r="Z77" s="76" t="e">
        <f t="shared" ca="1" si="10"/>
        <v>#N/A</v>
      </c>
      <c r="AA77" s="75" t="e">
        <f t="shared" ca="1" si="11"/>
        <v>#N/A</v>
      </c>
      <c r="AB77" s="76">
        <f t="shared" ca="1" si="12"/>
        <v>0</v>
      </c>
      <c r="AC77" s="75">
        <f t="shared" ca="1" si="13"/>
        <v>0</v>
      </c>
      <c r="AD77" s="76">
        <f t="shared" ca="1" si="14"/>
        <v>12388.425643402781</v>
      </c>
      <c r="AE77" s="76">
        <f t="shared" si="15"/>
        <v>0</v>
      </c>
      <c r="AF77" s="75">
        <f t="shared" si="16"/>
        <v>0</v>
      </c>
      <c r="AG77" s="76">
        <f t="shared" si="2"/>
        <v>0</v>
      </c>
      <c r="AH77" s="31" t="e" cm="1">
        <f t="array" aca="1" ref="AH77" ca="1">IF((AD77) &lt; (INDEX(ResponseSLA[#All],(MATCH((G77),ResponseSLA[Priority],0))+1,3)),"YES","No")</f>
        <v>#N/A</v>
      </c>
      <c r="AI77" s="31" t="str">
        <f>_xlfn.IFNA(IF(AE77 &lt; (INDEX(SLATable[Minimum SLA],MATCH(G77,SLATable[Priority],0))),"YES","NO"),"")</f>
        <v/>
      </c>
      <c r="AJ77" t="str">
        <f>_xlfn.IFNA(IF(AE77 &lt; (INDEX(SLATable[Maximum SLA],MATCH(G77,SLATable[Priority],0))),"YES","NO"),"")</f>
        <v/>
      </c>
    </row>
    <row r="78" spans="26:36" ht="15" customHeight="1">
      <c r="Z78" s="76" t="e">
        <f t="shared" ca="1" si="10"/>
        <v>#N/A</v>
      </c>
      <c r="AA78" s="75" t="e">
        <f t="shared" ca="1" si="11"/>
        <v>#N/A</v>
      </c>
      <c r="AB78" s="76">
        <f t="shared" ca="1" si="12"/>
        <v>0</v>
      </c>
      <c r="AC78" s="75">
        <f t="shared" ca="1" si="13"/>
        <v>0</v>
      </c>
      <c r="AD78" s="76">
        <f t="shared" ca="1" si="14"/>
        <v>12388.425643402781</v>
      </c>
      <c r="AE78" s="76">
        <f t="shared" si="15"/>
        <v>0</v>
      </c>
      <c r="AF78" s="75">
        <f t="shared" si="16"/>
        <v>0</v>
      </c>
      <c r="AG78" s="76">
        <f t="shared" si="2"/>
        <v>0</v>
      </c>
      <c r="AH78" s="31" t="e" cm="1">
        <f t="array" aca="1" ref="AH78" ca="1">IF((AD78) &lt; (INDEX(ResponseSLA[#All],(MATCH((G78),ResponseSLA[Priority],0))+1,3)),"YES","No")</f>
        <v>#N/A</v>
      </c>
      <c r="AI78" s="31" t="str">
        <f>_xlfn.IFNA(IF(AE78 &lt; (INDEX(SLATable[Minimum SLA],MATCH(G78,SLATable[Priority],0))),"YES","NO"),"")</f>
        <v/>
      </c>
      <c r="AJ78" t="str">
        <f>_xlfn.IFNA(IF(AE78 &lt; (INDEX(SLATable[Maximum SLA],MATCH(G78,SLATable[Priority],0))),"YES","NO"),"")</f>
        <v/>
      </c>
    </row>
    <row r="79" spans="26:36" ht="15" customHeight="1">
      <c r="Z79" s="76" t="e">
        <f t="shared" ca="1" si="10"/>
        <v>#N/A</v>
      </c>
      <c r="AA79" s="75" t="e">
        <f t="shared" ca="1" si="11"/>
        <v>#N/A</v>
      </c>
      <c r="AB79" s="76">
        <f t="shared" ca="1" si="12"/>
        <v>0</v>
      </c>
      <c r="AC79" s="75">
        <f t="shared" ca="1" si="13"/>
        <v>0</v>
      </c>
      <c r="AD79" s="76">
        <f t="shared" ca="1" si="14"/>
        <v>12388.425643402781</v>
      </c>
      <c r="AE79" s="76">
        <f t="shared" si="15"/>
        <v>0</v>
      </c>
      <c r="AF79" s="75">
        <f t="shared" si="16"/>
        <v>0</v>
      </c>
      <c r="AG79" s="76">
        <f t="shared" si="2"/>
        <v>0</v>
      </c>
      <c r="AH79" s="31" t="e" cm="1">
        <f t="array" aca="1" ref="AH79" ca="1">IF((AD79) &lt; (INDEX(ResponseSLA[#All],(MATCH((G79),ResponseSLA[Priority],0))+1,3)),"YES","No")</f>
        <v>#N/A</v>
      </c>
      <c r="AI79" s="31" t="str">
        <f>_xlfn.IFNA(IF(AE79 &lt; (INDEX(SLATable[Minimum SLA],MATCH(G79,SLATable[Priority],0))),"YES","NO"),"")</f>
        <v/>
      </c>
      <c r="AJ79" t="str">
        <f>_xlfn.IFNA(IF(AE79 &lt; (INDEX(SLATable[Maximum SLA],MATCH(G79,SLATable[Priority],0))),"YES","NO"),"")</f>
        <v/>
      </c>
    </row>
    <row r="80" spans="26:36" ht="15" customHeight="1">
      <c r="Z80" s="76" t="e">
        <f t="shared" ca="1" si="10"/>
        <v>#N/A</v>
      </c>
      <c r="AA80" s="75" t="e">
        <f t="shared" ca="1" si="11"/>
        <v>#N/A</v>
      </c>
      <c r="AB80" s="76">
        <f t="shared" ca="1" si="12"/>
        <v>0</v>
      </c>
      <c r="AC80" s="75">
        <f t="shared" ca="1" si="13"/>
        <v>0</v>
      </c>
      <c r="AD80" s="76">
        <f t="shared" ca="1" si="14"/>
        <v>12388.425643402781</v>
      </c>
      <c r="AE80" s="76">
        <f t="shared" si="15"/>
        <v>0</v>
      </c>
      <c r="AF80" s="75">
        <f t="shared" si="16"/>
        <v>0</v>
      </c>
      <c r="AG80" s="76">
        <f t="shared" si="2"/>
        <v>0</v>
      </c>
      <c r="AH80" s="31" t="e" cm="1">
        <f t="array" aca="1" ref="AH80" ca="1">IF((AD80) &lt; (INDEX(ResponseSLA[#All],(MATCH((G80),ResponseSLA[Priority],0))+1,3)),"YES","No")</f>
        <v>#N/A</v>
      </c>
      <c r="AI80" s="31" t="str">
        <f>_xlfn.IFNA(IF(AE80 &lt; (INDEX(SLATable[Minimum SLA],MATCH(G80,SLATable[Priority],0))),"YES","NO"),"")</f>
        <v/>
      </c>
      <c r="AJ80" t="str">
        <f>_xlfn.IFNA(IF(AE80 &lt; (INDEX(SLATable[Maximum SLA],MATCH(G80,SLATable[Priority],0))),"YES","NO"),"")</f>
        <v/>
      </c>
    </row>
    <row r="81" spans="26:36" ht="15" customHeight="1">
      <c r="Z81" s="76" t="e">
        <f t="shared" ca="1" si="10"/>
        <v>#N/A</v>
      </c>
      <c r="AA81" s="75" t="e">
        <f t="shared" ca="1" si="11"/>
        <v>#N/A</v>
      </c>
      <c r="AB81" s="76">
        <f t="shared" ca="1" si="12"/>
        <v>0</v>
      </c>
      <c r="AC81" s="75">
        <f t="shared" ca="1" si="13"/>
        <v>0</v>
      </c>
      <c r="AD81" s="76">
        <f t="shared" ca="1" si="14"/>
        <v>12388.425643402781</v>
      </c>
      <c r="AE81" s="76">
        <f t="shared" si="15"/>
        <v>0</v>
      </c>
      <c r="AF81" s="75">
        <f t="shared" si="16"/>
        <v>0</v>
      </c>
      <c r="AG81" s="76">
        <f t="shared" si="2"/>
        <v>0</v>
      </c>
      <c r="AH81" s="31" t="e" cm="1">
        <f t="array" aca="1" ref="AH81" ca="1">IF((AD81) &lt; (INDEX(ResponseSLA[#All],(MATCH((G81),ResponseSLA[Priority],0))+1,3)),"YES","No")</f>
        <v>#N/A</v>
      </c>
      <c r="AI81" s="31" t="str">
        <f>_xlfn.IFNA(IF(AE81 &lt; (INDEX(SLATable[Minimum SLA],MATCH(G81,SLATable[Priority],0))),"YES","NO"),"")</f>
        <v/>
      </c>
      <c r="AJ81" t="str">
        <f>_xlfn.IFNA(IF(AE81 &lt; (INDEX(SLATable[Maximum SLA],MATCH(G81,SLATable[Priority],0))),"YES","NO"),"")</f>
        <v/>
      </c>
    </row>
    <row r="82" spans="26:36" ht="15" customHeight="1">
      <c r="Z82" s="76" t="e">
        <f t="shared" ca="1" si="10"/>
        <v>#N/A</v>
      </c>
      <c r="AA82" s="75" t="e">
        <f t="shared" ca="1" si="11"/>
        <v>#N/A</v>
      </c>
      <c r="AB82" s="76">
        <f t="shared" ca="1" si="12"/>
        <v>0</v>
      </c>
      <c r="AC82" s="75">
        <f t="shared" ca="1" si="13"/>
        <v>0</v>
      </c>
      <c r="AD82" s="76">
        <f t="shared" ca="1" si="14"/>
        <v>12388.425643402781</v>
      </c>
      <c r="AE82" s="76">
        <f t="shared" si="15"/>
        <v>0</v>
      </c>
      <c r="AF82" s="75">
        <f t="shared" si="16"/>
        <v>0</v>
      </c>
      <c r="AG82" s="76">
        <f t="shared" si="2"/>
        <v>0</v>
      </c>
      <c r="AH82" s="31" t="e" cm="1">
        <f t="array" aca="1" ref="AH82" ca="1">IF((AD82) &lt; (INDEX(ResponseSLA[#All],(MATCH((G82),ResponseSLA[Priority],0))+1,3)),"YES","No")</f>
        <v>#N/A</v>
      </c>
      <c r="AI82" s="31" t="str">
        <f>_xlfn.IFNA(IF(AE82 &lt; (INDEX(SLATable[Minimum SLA],MATCH(G82,SLATable[Priority],0))),"YES","NO"),"")</f>
        <v/>
      </c>
      <c r="AJ82" t="str">
        <f>_xlfn.IFNA(IF(AE82 &lt; (INDEX(SLATable[Maximum SLA],MATCH(G82,SLATable[Priority],0))),"YES","NO"),"")</f>
        <v/>
      </c>
    </row>
    <row r="83" spans="26:36" ht="15" customHeight="1">
      <c r="Z83" s="76" t="e">
        <f t="shared" ca="1" si="10"/>
        <v>#N/A</v>
      </c>
      <c r="AA83" s="75" t="e">
        <f t="shared" ca="1" si="11"/>
        <v>#N/A</v>
      </c>
      <c r="AB83" s="76">
        <f t="shared" ca="1" si="12"/>
        <v>0</v>
      </c>
      <c r="AC83" s="75">
        <f t="shared" ca="1" si="13"/>
        <v>0</v>
      </c>
      <c r="AD83" s="76">
        <f t="shared" ca="1" si="14"/>
        <v>12388.425643402781</v>
      </c>
      <c r="AE83" s="76">
        <f t="shared" si="15"/>
        <v>0</v>
      </c>
      <c r="AF83" s="75">
        <f t="shared" si="16"/>
        <v>0</v>
      </c>
      <c r="AG83" s="76">
        <f t="shared" si="2"/>
        <v>0</v>
      </c>
      <c r="AH83" s="31" t="e" cm="1">
        <f t="array" aca="1" ref="AH83" ca="1">IF((AD83) &lt; (INDEX(ResponseSLA[#All],(MATCH((G83),ResponseSLA[Priority],0))+1,3)),"YES","No")</f>
        <v>#N/A</v>
      </c>
      <c r="AI83" s="31" t="str">
        <f>_xlfn.IFNA(IF(AE83 &lt; (INDEX(SLATable[Minimum SLA],MATCH(G83,SLATable[Priority],0))),"YES","NO"),"")</f>
        <v/>
      </c>
      <c r="AJ83" t="str">
        <f>_xlfn.IFNA(IF(AE83 &lt; (INDEX(SLATable[Maximum SLA],MATCH(G83,SLATable[Priority],0))),"YES","NO"),"")</f>
        <v/>
      </c>
    </row>
    <row r="84" spans="26:36" ht="15" customHeight="1">
      <c r="Z84" s="76" t="e">
        <f t="shared" ca="1" si="10"/>
        <v>#N/A</v>
      </c>
      <c r="AA84" s="75" t="e">
        <f t="shared" ca="1" si="11"/>
        <v>#N/A</v>
      </c>
      <c r="AB84" s="76">
        <f t="shared" ca="1" si="12"/>
        <v>0</v>
      </c>
      <c r="AC84" s="75">
        <f t="shared" ca="1" si="13"/>
        <v>0</v>
      </c>
      <c r="AD84" s="76">
        <f t="shared" ca="1" si="14"/>
        <v>12388.425643402781</v>
      </c>
      <c r="AE84" s="76">
        <f t="shared" si="15"/>
        <v>0</v>
      </c>
      <c r="AF84" s="75">
        <f t="shared" si="16"/>
        <v>0</v>
      </c>
      <c r="AG84" s="76">
        <f t="shared" si="2"/>
        <v>0</v>
      </c>
      <c r="AH84" s="31" t="e" cm="1">
        <f t="array" aca="1" ref="AH84" ca="1">IF((AD84) &lt; (INDEX(ResponseSLA[#All],(MATCH((G84),ResponseSLA[Priority],0))+1,3)),"YES","No")</f>
        <v>#N/A</v>
      </c>
      <c r="AI84" s="31" t="str">
        <f>_xlfn.IFNA(IF(AE84 &lt; (INDEX(SLATable[Minimum SLA],MATCH(G84,SLATable[Priority],0))),"YES","NO"),"")</f>
        <v/>
      </c>
      <c r="AJ84" t="str">
        <f>_xlfn.IFNA(IF(AE84 &lt; (INDEX(SLATable[Maximum SLA],MATCH(G84,SLATable[Priority],0))),"YES","NO"),"")</f>
        <v/>
      </c>
    </row>
    <row r="85" spans="26:36" ht="15" customHeight="1">
      <c r="Z85" s="76" t="e">
        <f t="shared" ca="1" si="10"/>
        <v>#N/A</v>
      </c>
      <c r="AA85" s="75" t="e">
        <f t="shared" ca="1" si="11"/>
        <v>#N/A</v>
      </c>
      <c r="AB85" s="76">
        <f t="shared" ca="1" si="12"/>
        <v>0</v>
      </c>
      <c r="AC85" s="75">
        <f t="shared" ca="1" si="13"/>
        <v>0</v>
      </c>
      <c r="AD85" s="76">
        <f t="shared" ca="1" si="14"/>
        <v>12388.425643402781</v>
      </c>
      <c r="AE85" s="76">
        <f t="shared" si="15"/>
        <v>0</v>
      </c>
      <c r="AF85" s="75">
        <f t="shared" si="16"/>
        <v>0</v>
      </c>
      <c r="AG85" s="76">
        <f t="shared" si="2"/>
        <v>0</v>
      </c>
      <c r="AH85" s="31" t="e" cm="1">
        <f t="array" aca="1" ref="AH85" ca="1">IF((AD85) &lt; (INDEX(ResponseSLA[#All],(MATCH((G85),ResponseSLA[Priority],0))+1,3)),"YES","No")</f>
        <v>#N/A</v>
      </c>
      <c r="AI85" s="31" t="str">
        <f>_xlfn.IFNA(IF(AE85 &lt; (INDEX(SLATable[Minimum SLA],MATCH(G85,SLATable[Priority],0))),"YES","NO"),"")</f>
        <v/>
      </c>
      <c r="AJ85" t="str">
        <f>_xlfn.IFNA(IF(AE85 &lt; (INDEX(SLATable[Maximum SLA],MATCH(G85,SLATable[Priority],0))),"YES","NO"),"")</f>
        <v/>
      </c>
    </row>
    <row r="86" spans="26:36" ht="15" customHeight="1">
      <c r="Z86" s="76" t="e">
        <f t="shared" ca="1" si="10"/>
        <v>#N/A</v>
      </c>
      <c r="AA86" s="75" t="e">
        <f t="shared" ca="1" si="11"/>
        <v>#N/A</v>
      </c>
      <c r="AB86" s="76">
        <f t="shared" ca="1" si="12"/>
        <v>0</v>
      </c>
      <c r="AC86" s="75">
        <f t="shared" ca="1" si="13"/>
        <v>0</v>
      </c>
      <c r="AD86" s="76">
        <f t="shared" ca="1" si="14"/>
        <v>12388.425643402781</v>
      </c>
      <c r="AE86" s="76">
        <f t="shared" si="15"/>
        <v>0</v>
      </c>
      <c r="AF86" s="75">
        <f t="shared" si="16"/>
        <v>0</v>
      </c>
      <c r="AG86" s="76">
        <f t="shared" si="2"/>
        <v>0</v>
      </c>
      <c r="AH86" s="31" t="e" cm="1">
        <f t="array" aca="1" ref="AH86" ca="1">IF((AD86) &lt; (INDEX(ResponseSLA[#All],(MATCH((G86),ResponseSLA[Priority],0))+1,3)),"YES","No")</f>
        <v>#N/A</v>
      </c>
      <c r="AI86" s="31" t="str">
        <f>_xlfn.IFNA(IF(AE86 &lt; (INDEX(SLATable[Minimum SLA],MATCH(G86,SLATable[Priority],0))),"YES","NO"),"")</f>
        <v/>
      </c>
      <c r="AJ86" t="str">
        <f>_xlfn.IFNA(IF(AE86 &lt; (INDEX(SLATable[Maximum SLA],MATCH(G86,SLATable[Priority],0))),"YES","NO"),"")</f>
        <v/>
      </c>
    </row>
    <row r="87" spans="26:36" ht="15" customHeight="1">
      <c r="Z87" s="76" t="e">
        <f t="shared" ca="1" si="10"/>
        <v>#N/A</v>
      </c>
      <c r="AA87" s="75" t="e">
        <f t="shared" ca="1" si="11"/>
        <v>#N/A</v>
      </c>
      <c r="AB87" s="76">
        <f t="shared" ca="1" si="12"/>
        <v>0</v>
      </c>
      <c r="AC87" s="75">
        <f t="shared" ca="1" si="13"/>
        <v>0</v>
      </c>
      <c r="AD87" s="76">
        <f t="shared" ca="1" si="14"/>
        <v>12388.425643402781</v>
      </c>
      <c r="AE87" s="76">
        <f t="shared" si="15"/>
        <v>0</v>
      </c>
      <c r="AF87" s="75">
        <f t="shared" si="16"/>
        <v>0</v>
      </c>
      <c r="AG87" s="76">
        <f t="shared" si="2"/>
        <v>0</v>
      </c>
      <c r="AH87" s="31" t="e" cm="1">
        <f t="array" aca="1" ref="AH87" ca="1">IF((AD87) &lt; (INDEX(ResponseSLA[#All],(MATCH((G87),ResponseSLA[Priority],0))+1,3)),"YES","No")</f>
        <v>#N/A</v>
      </c>
      <c r="AI87" s="31" t="str">
        <f>_xlfn.IFNA(IF(AE87 &lt; (INDEX(SLATable[Minimum SLA],MATCH(G87,SLATable[Priority],0))),"YES","NO"),"")</f>
        <v/>
      </c>
      <c r="AJ87" t="str">
        <f>_xlfn.IFNA(IF(AE87 &lt; (INDEX(SLATable[Maximum SLA],MATCH(G87,SLATable[Priority],0))),"YES","NO"),"")</f>
        <v/>
      </c>
    </row>
    <row r="88" spans="26:36" ht="15" customHeight="1">
      <c r="Z88" s="76" t="e">
        <f t="shared" ca="1" si="10"/>
        <v>#N/A</v>
      </c>
      <c r="AA88" s="75" t="e">
        <f t="shared" ca="1" si="11"/>
        <v>#N/A</v>
      </c>
      <c r="AB88" s="76">
        <f t="shared" ca="1" si="12"/>
        <v>0</v>
      </c>
      <c r="AC88" s="75">
        <f t="shared" ca="1" si="13"/>
        <v>0</v>
      </c>
      <c r="AD88" s="76">
        <f t="shared" ca="1" si="14"/>
        <v>12388.425643402781</v>
      </c>
      <c r="AE88" s="76">
        <f t="shared" si="15"/>
        <v>0</v>
      </c>
      <c r="AF88" s="75">
        <f t="shared" si="16"/>
        <v>0</v>
      </c>
      <c r="AG88" s="76">
        <f t="shared" si="2"/>
        <v>0</v>
      </c>
      <c r="AH88" s="31" t="e" cm="1">
        <f t="array" aca="1" ref="AH88" ca="1">IF((AD88) &lt; (INDEX(ResponseSLA[#All],(MATCH((G88),ResponseSLA[Priority],0))+1,3)),"YES","No")</f>
        <v>#N/A</v>
      </c>
      <c r="AI88" s="31" t="str">
        <f>_xlfn.IFNA(IF(AE88 &lt; (INDEX(SLATable[Minimum SLA],MATCH(G88,SLATable[Priority],0))),"YES","NO"),"")</f>
        <v/>
      </c>
      <c r="AJ88" t="str">
        <f>_xlfn.IFNA(IF(AE88 &lt; (INDEX(SLATable[Maximum SLA],MATCH(G88,SLATable[Priority],0))),"YES","NO"),"")</f>
        <v/>
      </c>
    </row>
    <row r="89" spans="26:36" ht="15" customHeight="1">
      <c r="Z89" s="76" t="e">
        <f t="shared" ca="1" si="10"/>
        <v>#N/A</v>
      </c>
      <c r="AA89" s="75" t="e">
        <f t="shared" ca="1" si="11"/>
        <v>#N/A</v>
      </c>
      <c r="AB89" s="76">
        <f t="shared" ca="1" si="12"/>
        <v>0</v>
      </c>
      <c r="AC89" s="75">
        <f t="shared" ca="1" si="13"/>
        <v>0</v>
      </c>
      <c r="AD89" s="76">
        <f t="shared" ca="1" si="14"/>
        <v>12388.425643402781</v>
      </c>
      <c r="AE89" s="76">
        <f t="shared" si="15"/>
        <v>0</v>
      </c>
      <c r="AF89" s="75">
        <f t="shared" si="16"/>
        <v>0</v>
      </c>
      <c r="AG89" s="76">
        <f t="shared" si="2"/>
        <v>0</v>
      </c>
      <c r="AH89" s="31" t="e" cm="1">
        <f t="array" aca="1" ref="AH89" ca="1">IF((AD89) &lt; (INDEX(ResponseSLA[#All],(MATCH((G89),ResponseSLA[Priority],0))+1,3)),"YES","No")</f>
        <v>#N/A</v>
      </c>
      <c r="AI89" s="31" t="str">
        <f>_xlfn.IFNA(IF(AE89 &lt; (INDEX(SLATable[Minimum SLA],MATCH(G89,SLATable[Priority],0))),"YES","NO"),"")</f>
        <v/>
      </c>
      <c r="AJ89" t="str">
        <f>_xlfn.IFNA(IF(AE89 &lt; (INDEX(SLATable[Maximum SLA],MATCH(G89,SLATable[Priority],0))),"YES","NO"),"")</f>
        <v/>
      </c>
    </row>
    <row r="90" spans="26:36" ht="15" customHeight="1">
      <c r="Z90" s="76" t="e">
        <f t="shared" ca="1" si="10"/>
        <v>#N/A</v>
      </c>
      <c r="AA90" s="75" t="e">
        <f t="shared" ca="1" si="11"/>
        <v>#N/A</v>
      </c>
      <c r="AB90" s="76">
        <f t="shared" ca="1" si="12"/>
        <v>0</v>
      </c>
      <c r="AC90" s="75">
        <f t="shared" ca="1" si="13"/>
        <v>0</v>
      </c>
      <c r="AD90" s="76">
        <f t="shared" ca="1" si="14"/>
        <v>12388.425643402781</v>
      </c>
      <c r="AE90" s="76">
        <f t="shared" si="15"/>
        <v>0</v>
      </c>
      <c r="AF90" s="75">
        <f t="shared" si="16"/>
        <v>0</v>
      </c>
      <c r="AG90" s="76">
        <f t="shared" si="2"/>
        <v>0</v>
      </c>
      <c r="AH90" s="31" t="e" cm="1">
        <f t="array" aca="1" ref="AH90" ca="1">IF((AD90) &lt; (INDEX(ResponseSLA[#All],(MATCH((G90),ResponseSLA[Priority],0))+1,3)),"YES","No")</f>
        <v>#N/A</v>
      </c>
      <c r="AI90" s="31" t="str">
        <f>_xlfn.IFNA(IF(AE90 &lt; (INDEX(SLATable[Minimum SLA],MATCH(G90,SLATable[Priority],0))),"YES","NO"),"")</f>
        <v/>
      </c>
      <c r="AJ90" t="str">
        <f>_xlfn.IFNA(IF(AE90 &lt; (INDEX(SLATable[Maximum SLA],MATCH(G90,SLATable[Priority],0))),"YES","NO"),"")</f>
        <v/>
      </c>
    </row>
    <row r="91" spans="26:36" ht="15" customHeight="1">
      <c r="Z91" s="76" t="e">
        <f t="shared" ca="1" si="10"/>
        <v>#N/A</v>
      </c>
      <c r="AA91" s="75" t="e">
        <f t="shared" ca="1" si="11"/>
        <v>#N/A</v>
      </c>
      <c r="AB91" s="76">
        <f t="shared" ca="1" si="12"/>
        <v>0</v>
      </c>
      <c r="AC91" s="75">
        <f t="shared" ca="1" si="13"/>
        <v>0</v>
      </c>
      <c r="AD91" s="76">
        <f t="shared" ca="1" si="14"/>
        <v>12388.425643402781</v>
      </c>
      <c r="AE91" s="76">
        <f t="shared" si="15"/>
        <v>0</v>
      </c>
      <c r="AF91" s="75">
        <f t="shared" si="16"/>
        <v>0</v>
      </c>
      <c r="AG91" s="76">
        <f t="shared" si="2"/>
        <v>0</v>
      </c>
      <c r="AH91" s="31" t="e" cm="1">
        <f t="array" aca="1" ref="AH91" ca="1">IF((AD91) &lt; (INDEX(ResponseSLA[#All],(MATCH((G91),ResponseSLA[Priority],0))+1,3)),"YES","No")</f>
        <v>#N/A</v>
      </c>
      <c r="AI91" s="31" t="str">
        <f>_xlfn.IFNA(IF(AE91 &lt; (INDEX(SLATable[Minimum SLA],MATCH(G91,SLATable[Priority],0))),"YES","NO"),"")</f>
        <v/>
      </c>
      <c r="AJ91" t="str">
        <f>_xlfn.IFNA(IF(AE91 &lt; (INDEX(SLATable[Maximum SLA],MATCH(G91,SLATable[Priority],0))),"YES","NO"),"")</f>
        <v/>
      </c>
    </row>
    <row r="92" spans="26:36" ht="15" customHeight="1">
      <c r="Z92" s="76" t="e">
        <f t="shared" ca="1" si="10"/>
        <v>#N/A</v>
      </c>
      <c r="AA92" s="75" t="e">
        <f t="shared" ca="1" si="11"/>
        <v>#N/A</v>
      </c>
      <c r="AB92" s="76">
        <f t="shared" ca="1" si="12"/>
        <v>0</v>
      </c>
      <c r="AC92" s="75">
        <f t="shared" ca="1" si="13"/>
        <v>0</v>
      </c>
      <c r="AD92" s="76">
        <f t="shared" ca="1" si="14"/>
        <v>12388.425643402781</v>
      </c>
      <c r="AE92" s="76">
        <f t="shared" si="15"/>
        <v>0</v>
      </c>
      <c r="AF92" s="75">
        <f t="shared" si="16"/>
        <v>0</v>
      </c>
      <c r="AG92" s="76">
        <f t="shared" si="2"/>
        <v>0</v>
      </c>
      <c r="AH92" s="31" t="e" cm="1">
        <f t="array" aca="1" ref="AH92" ca="1">IF((AD92) &lt; (INDEX(ResponseSLA[#All],(MATCH((G92),ResponseSLA[Priority],0))+1,3)),"YES","No")</f>
        <v>#N/A</v>
      </c>
      <c r="AI92" s="31" t="str">
        <f>_xlfn.IFNA(IF(AE92 &lt; (INDEX(SLATable[Minimum SLA],MATCH(G92,SLATable[Priority],0))),"YES","NO"),"")</f>
        <v/>
      </c>
      <c r="AJ92" t="str">
        <f>_xlfn.IFNA(IF(AE92 &lt; (INDEX(SLATable[Maximum SLA],MATCH(G92,SLATable[Priority],0))),"YES","NO"),"")</f>
        <v/>
      </c>
    </row>
    <row r="93" spans="26:36" ht="15" customHeight="1">
      <c r="Z93" s="76" t="e">
        <f t="shared" ca="1" si="10"/>
        <v>#N/A</v>
      </c>
      <c r="AA93" s="75" t="e">
        <f t="shared" ca="1" si="11"/>
        <v>#N/A</v>
      </c>
      <c r="AB93" s="76">
        <f t="shared" ca="1" si="12"/>
        <v>0</v>
      </c>
      <c r="AC93" s="75">
        <f t="shared" ca="1" si="13"/>
        <v>0</v>
      </c>
      <c r="AD93" s="76">
        <f t="shared" ca="1" si="14"/>
        <v>12388.425643402781</v>
      </c>
      <c r="AE93" s="76">
        <f t="shared" si="15"/>
        <v>0</v>
      </c>
      <c r="AF93" s="75">
        <f t="shared" si="16"/>
        <v>0</v>
      </c>
      <c r="AG93" s="76">
        <f t="shared" si="2"/>
        <v>0</v>
      </c>
      <c r="AH93" s="31" t="e" cm="1">
        <f t="array" aca="1" ref="AH93" ca="1">IF((AD93) &lt; (INDEX(ResponseSLA[#All],(MATCH((G93),ResponseSLA[Priority],0))+1,3)),"YES","No")</f>
        <v>#N/A</v>
      </c>
      <c r="AI93" s="31" t="str">
        <f>_xlfn.IFNA(IF(AE93 &lt; (INDEX(SLATable[Minimum SLA],MATCH(G93,SLATable[Priority],0))),"YES","NO"),"")</f>
        <v/>
      </c>
      <c r="AJ93" t="str">
        <f>_xlfn.IFNA(IF(AE93 &lt; (INDEX(SLATable[Maximum SLA],MATCH(G93,SLATable[Priority],0))),"YES","NO"),"")</f>
        <v/>
      </c>
    </row>
    <row r="94" spans="26:36" ht="15" customHeight="1">
      <c r="Z94" s="76" t="e">
        <f t="shared" ca="1" si="10"/>
        <v>#N/A</v>
      </c>
      <c r="AA94" s="75" t="e">
        <f t="shared" ca="1" si="11"/>
        <v>#N/A</v>
      </c>
      <c r="AB94" s="76">
        <f t="shared" ca="1" si="12"/>
        <v>0</v>
      </c>
      <c r="AC94" s="75">
        <f t="shared" ca="1" si="13"/>
        <v>0</v>
      </c>
      <c r="AD94" s="76">
        <f t="shared" ca="1" si="14"/>
        <v>12388.425643402781</v>
      </c>
      <c r="AE94" s="76">
        <f t="shared" si="15"/>
        <v>0</v>
      </c>
      <c r="AF94" s="75">
        <f t="shared" si="16"/>
        <v>0</v>
      </c>
      <c r="AG94" s="76">
        <f t="shared" si="2"/>
        <v>0</v>
      </c>
      <c r="AH94" s="31" t="e" cm="1">
        <f t="array" aca="1" ref="AH94" ca="1">IF((AD94) &lt; (INDEX(ResponseSLA[#All],(MATCH((G94),ResponseSLA[Priority],0))+1,3)),"YES","No")</f>
        <v>#N/A</v>
      </c>
      <c r="AI94" s="31" t="str">
        <f>_xlfn.IFNA(IF(AE94 &lt; (INDEX(SLATable[Minimum SLA],MATCH(G94,SLATable[Priority],0))),"YES","NO"),"")</f>
        <v/>
      </c>
      <c r="AJ94" t="str">
        <f>_xlfn.IFNA(IF(AE94 &lt; (INDEX(SLATable[Maximum SLA],MATCH(G94,SLATable[Priority],0))),"YES","NO"),"")</f>
        <v/>
      </c>
    </row>
    <row r="95" spans="26:36" ht="15" customHeight="1">
      <c r="Z95" s="76" t="e">
        <f t="shared" ca="1" si="10"/>
        <v>#N/A</v>
      </c>
      <c r="AA95" s="75" t="e">
        <f t="shared" ca="1" si="11"/>
        <v>#N/A</v>
      </c>
      <c r="AB95" s="76">
        <f t="shared" ca="1" si="12"/>
        <v>0</v>
      </c>
      <c r="AC95" s="75">
        <f t="shared" ca="1" si="13"/>
        <v>0</v>
      </c>
      <c r="AD95" s="76">
        <f t="shared" ca="1" si="14"/>
        <v>12388.425643402781</v>
      </c>
      <c r="AE95" s="76">
        <f t="shared" si="15"/>
        <v>0</v>
      </c>
      <c r="AF95" s="75">
        <f t="shared" si="16"/>
        <v>0</v>
      </c>
      <c r="AG95" s="76">
        <f t="shared" si="2"/>
        <v>0</v>
      </c>
      <c r="AH95" s="31" t="e" cm="1">
        <f t="array" aca="1" ref="AH95" ca="1">IF((AD95) &lt; (INDEX(ResponseSLA[#All],(MATCH((G95),ResponseSLA[Priority],0))+1,3)),"YES","No")</f>
        <v>#N/A</v>
      </c>
      <c r="AI95" s="31" t="str">
        <f>_xlfn.IFNA(IF(AE95 &lt; (INDEX(SLATable[Minimum SLA],MATCH(G95,SLATable[Priority],0))),"YES","NO"),"")</f>
        <v/>
      </c>
      <c r="AJ95" t="str">
        <f>_xlfn.IFNA(IF(AE95 &lt; (INDEX(SLATable[Maximum SLA],MATCH(G95,SLATable[Priority],0))),"YES","NO"),"")</f>
        <v/>
      </c>
    </row>
    <row r="96" spans="26:36" ht="15" customHeight="1">
      <c r="Z96" s="76" t="e">
        <f t="shared" ca="1" si="10"/>
        <v>#N/A</v>
      </c>
      <c r="AA96" s="75" t="e">
        <f t="shared" ca="1" si="11"/>
        <v>#N/A</v>
      </c>
      <c r="AB96" s="76">
        <f t="shared" ca="1" si="12"/>
        <v>0</v>
      </c>
      <c r="AC96" s="75">
        <f t="shared" ca="1" si="13"/>
        <v>0</v>
      </c>
      <c r="AD96" s="76">
        <f t="shared" ca="1" si="14"/>
        <v>12388.425643402781</v>
      </c>
      <c r="AE96" s="76">
        <f t="shared" si="15"/>
        <v>0</v>
      </c>
      <c r="AF96" s="75">
        <f t="shared" si="16"/>
        <v>0</v>
      </c>
      <c r="AG96" s="76">
        <f t="shared" si="2"/>
        <v>0</v>
      </c>
      <c r="AH96" s="31" t="e" cm="1">
        <f t="array" aca="1" ref="AH96" ca="1">IF((AD96) &lt; (INDEX(ResponseSLA[#All],(MATCH((G96),ResponseSLA[Priority],0))+1,3)),"YES","No")</f>
        <v>#N/A</v>
      </c>
      <c r="AI96" s="31" t="str">
        <f>_xlfn.IFNA(IF(AE96 &lt; (INDEX(SLATable[Minimum SLA],MATCH(G96,SLATable[Priority],0))),"YES","NO"),"")</f>
        <v/>
      </c>
      <c r="AJ96" t="str">
        <f>_xlfn.IFNA(IF(AE96 &lt; (INDEX(SLATable[Maximum SLA],MATCH(G96,SLATable[Priority],0))),"YES","NO"),"")</f>
        <v/>
      </c>
    </row>
    <row r="97" spans="26:36" ht="15" customHeight="1">
      <c r="Z97" s="76" t="e">
        <f t="shared" ca="1" si="10"/>
        <v>#N/A</v>
      </c>
      <c r="AA97" s="75" t="e">
        <f t="shared" ca="1" si="11"/>
        <v>#N/A</v>
      </c>
      <c r="AB97" s="76">
        <f t="shared" ca="1" si="12"/>
        <v>0</v>
      </c>
      <c r="AC97" s="75">
        <f t="shared" ca="1" si="13"/>
        <v>0</v>
      </c>
      <c r="AD97" s="76">
        <f t="shared" ca="1" si="14"/>
        <v>12388.425643402781</v>
      </c>
      <c r="AE97" s="76">
        <f t="shared" si="15"/>
        <v>0</v>
      </c>
      <c r="AF97" s="75">
        <f t="shared" si="16"/>
        <v>0</v>
      </c>
      <c r="AG97" s="76">
        <f t="shared" si="2"/>
        <v>0</v>
      </c>
      <c r="AH97" s="31" t="e" cm="1">
        <f t="array" aca="1" ref="AH97" ca="1">IF((AD97) &lt; (INDEX(ResponseSLA[#All],(MATCH((G97),ResponseSLA[Priority],0))+1,3)),"YES","No")</f>
        <v>#N/A</v>
      </c>
      <c r="AI97" s="31" t="str">
        <f>_xlfn.IFNA(IF(AE97 &lt; (INDEX(SLATable[Minimum SLA],MATCH(G97,SLATable[Priority],0))),"YES","NO"),"")</f>
        <v/>
      </c>
      <c r="AJ97" t="str">
        <f>_xlfn.IFNA(IF(AE97 &lt; (INDEX(SLATable[Maximum SLA],MATCH(G97,SLATable[Priority],0))),"YES","NO"),"")</f>
        <v/>
      </c>
    </row>
    <row r="98" spans="26:36" ht="15" customHeight="1">
      <c r="Z98" s="76" t="e">
        <f t="shared" ca="1" si="10"/>
        <v>#N/A</v>
      </c>
      <c r="AA98" s="75" t="e">
        <f t="shared" ca="1" si="11"/>
        <v>#N/A</v>
      </c>
      <c r="AB98" s="76">
        <f t="shared" ca="1" si="12"/>
        <v>0</v>
      </c>
      <c r="AC98" s="75">
        <f t="shared" ca="1" si="13"/>
        <v>0</v>
      </c>
      <c r="AD98" s="76">
        <f t="shared" ca="1" si="14"/>
        <v>12388.425643402781</v>
      </c>
      <c r="AE98" s="76">
        <f t="shared" si="15"/>
        <v>0</v>
      </c>
      <c r="AF98" s="75">
        <f t="shared" si="16"/>
        <v>0</v>
      </c>
      <c r="AG98" s="76">
        <f t="shared" si="2"/>
        <v>0</v>
      </c>
      <c r="AH98" s="31" t="e" cm="1">
        <f t="array" aca="1" ref="AH98" ca="1">IF((AD98) &lt; (INDEX(ResponseSLA[#All],(MATCH((G98),ResponseSLA[Priority],0))+1,3)),"YES","No")</f>
        <v>#N/A</v>
      </c>
      <c r="AI98" s="31" t="str">
        <f>_xlfn.IFNA(IF(AE98 &lt; (INDEX(SLATable[Minimum SLA],MATCH(G98,SLATable[Priority],0))),"YES","NO"),"")</f>
        <v/>
      </c>
      <c r="AJ98" t="str">
        <f>_xlfn.IFNA(IF(AE98 &lt; (INDEX(SLATable[Maximum SLA],MATCH(G98,SLATable[Priority],0))),"YES","NO"),"")</f>
        <v/>
      </c>
    </row>
    <row r="99" spans="26:36" ht="15" customHeight="1">
      <c r="Z99" s="76" t="e">
        <f t="shared" ca="1" si="10"/>
        <v>#N/A</v>
      </c>
      <c r="AA99" s="75" t="e">
        <f t="shared" ca="1" si="11"/>
        <v>#N/A</v>
      </c>
      <c r="AB99" s="76">
        <f t="shared" ca="1" si="12"/>
        <v>0</v>
      </c>
      <c r="AC99" s="75">
        <f t="shared" ca="1" si="13"/>
        <v>0</v>
      </c>
      <c r="AD99" s="76">
        <f t="shared" ca="1" si="14"/>
        <v>12388.425643402781</v>
      </c>
      <c r="AE99" s="76">
        <f t="shared" si="15"/>
        <v>0</v>
      </c>
      <c r="AF99" s="75">
        <f t="shared" si="16"/>
        <v>0</v>
      </c>
      <c r="AG99" s="76">
        <f t="shared" si="2"/>
        <v>0</v>
      </c>
      <c r="AH99" s="31" t="e" cm="1">
        <f t="array" aca="1" ref="AH99" ca="1">IF((AD99) &lt; (INDEX(ResponseSLA[#All],(MATCH((G99),ResponseSLA[Priority],0))+1,3)),"YES","No")</f>
        <v>#N/A</v>
      </c>
      <c r="AI99" s="31" t="str">
        <f>_xlfn.IFNA(IF(AE99 &lt; (INDEX(SLATable[Minimum SLA],MATCH(G99,SLATable[Priority],0))),"YES","NO"),"")</f>
        <v/>
      </c>
      <c r="AJ99" t="str">
        <f>_xlfn.IFNA(IF(AE99 &lt; (INDEX(SLATable[Maximum SLA],MATCH(G99,SLATable[Priority],0))),"YES","NO"),"")</f>
        <v/>
      </c>
    </row>
    <row r="100" spans="26:36" ht="15" customHeight="1">
      <c r="Z100" s="76" t="e">
        <f t="shared" ca="1" si="10"/>
        <v>#N/A</v>
      </c>
      <c r="AA100" s="75" t="e">
        <f t="shared" ca="1" si="11"/>
        <v>#N/A</v>
      </c>
      <c r="AB100" s="76">
        <f t="shared" ca="1" si="12"/>
        <v>0</v>
      </c>
      <c r="AC100" s="75">
        <f t="shared" ca="1" si="13"/>
        <v>0</v>
      </c>
      <c r="AD100" s="76">
        <f t="shared" ca="1" si="14"/>
        <v>12388.425643402781</v>
      </c>
      <c r="AE100" s="76">
        <f t="shared" si="15"/>
        <v>0</v>
      </c>
      <c r="AF100" s="75">
        <f t="shared" si="16"/>
        <v>0</v>
      </c>
      <c r="AG100" s="76">
        <f t="shared" si="2"/>
        <v>0</v>
      </c>
      <c r="AH100" s="31" t="e" cm="1">
        <f t="array" aca="1" ref="AH100" ca="1">IF((AD100) &lt; (INDEX(ResponseSLA[#All],(MATCH((G100),ResponseSLA[Priority],0))+1,3)),"YES","No")</f>
        <v>#N/A</v>
      </c>
      <c r="AI100" s="31" t="str">
        <f>_xlfn.IFNA(IF(AE100 &lt; (INDEX(SLATable[Minimum SLA],MATCH(G100,SLATable[Priority],0))),"YES","NO"),"")</f>
        <v/>
      </c>
      <c r="AJ100" t="str">
        <f>_xlfn.IFNA(IF(AE100 &lt; (INDEX(SLATable[Maximum SLA],MATCH(G100,SLATable[Priority],0))),"YES","NO"),"")</f>
        <v/>
      </c>
    </row>
    <row r="101" spans="26:36" ht="15" customHeight="1">
      <c r="Z101" s="76" t="e">
        <f t="shared" ca="1" si="10"/>
        <v>#N/A</v>
      </c>
      <c r="AA101" s="75" t="e">
        <f t="shared" ca="1" si="11"/>
        <v>#N/A</v>
      </c>
      <c r="AB101" s="76">
        <f t="shared" ca="1" si="12"/>
        <v>0</v>
      </c>
      <c r="AC101" s="75">
        <f t="shared" ca="1" si="13"/>
        <v>0</v>
      </c>
      <c r="AD101" s="76">
        <f t="shared" ca="1" si="14"/>
        <v>12388.425643402781</v>
      </c>
      <c r="AE101" s="76">
        <f t="shared" si="15"/>
        <v>0</v>
      </c>
      <c r="AF101" s="75">
        <f t="shared" si="16"/>
        <v>0</v>
      </c>
      <c r="AG101" s="76">
        <f t="shared" si="2"/>
        <v>0</v>
      </c>
      <c r="AH101" s="31" t="e" cm="1">
        <f t="array" aca="1" ref="AH101" ca="1">IF((AD101) &lt; (INDEX(ResponseSLA[#All],(MATCH((G101),ResponseSLA[Priority],0))+1,3)),"YES","No")</f>
        <v>#N/A</v>
      </c>
      <c r="AI101" s="31" t="str">
        <f>_xlfn.IFNA(IF(AE101 &lt; (INDEX(SLATable[Minimum SLA],MATCH(G101,SLATable[Priority],0))),"YES","NO"),"")</f>
        <v/>
      </c>
      <c r="AJ101" t="str">
        <f>_xlfn.IFNA(IF(AE101 &lt; (INDEX(SLATable[Maximum SLA],MATCH(G101,SLATable[Priority],0))),"YES","NO"),"")</f>
        <v/>
      </c>
    </row>
    <row r="102" spans="26:36" ht="15" customHeight="1">
      <c r="Z102" s="76" t="e">
        <f t="shared" ca="1" si="10"/>
        <v>#N/A</v>
      </c>
      <c r="AA102" s="75" t="e">
        <f t="shared" ca="1" si="11"/>
        <v>#N/A</v>
      </c>
      <c r="AB102" s="76">
        <f t="shared" ca="1" si="12"/>
        <v>0</v>
      </c>
      <c r="AC102" s="75">
        <f t="shared" ca="1" si="13"/>
        <v>0</v>
      </c>
      <c r="AD102" s="76">
        <f t="shared" ca="1" si="14"/>
        <v>12388.425643402781</v>
      </c>
      <c r="AE102" s="76">
        <f t="shared" si="15"/>
        <v>0</v>
      </c>
      <c r="AF102" s="75">
        <f t="shared" si="16"/>
        <v>0</v>
      </c>
      <c r="AG102" s="76">
        <f t="shared" si="2"/>
        <v>0</v>
      </c>
      <c r="AH102" s="31" t="e" cm="1">
        <f t="array" aca="1" ref="AH102" ca="1">IF((AD102) &lt; (INDEX(ResponseSLA[#All],(MATCH((G102),ResponseSLA[Priority],0))+1,3)),"YES","No")</f>
        <v>#N/A</v>
      </c>
      <c r="AI102" s="31" t="str">
        <f>_xlfn.IFNA(IF(AE102 &lt; (INDEX(SLATable[Minimum SLA],MATCH(G102,SLATable[Priority],0))),"YES","NO"),"")</f>
        <v/>
      </c>
      <c r="AJ102" t="str">
        <f>_xlfn.IFNA(IF(AE102 &lt; (INDEX(SLATable[Maximum SLA],MATCH(G102,SLATable[Priority],0))),"YES","NO"),"")</f>
        <v/>
      </c>
    </row>
    <row r="103" spans="26:36" ht="15" customHeight="1">
      <c r="Z103" s="76" t="e">
        <f t="shared" ca="1" si="10"/>
        <v>#N/A</v>
      </c>
      <c r="AA103" s="75" t="e">
        <f t="shared" ca="1" si="11"/>
        <v>#N/A</v>
      </c>
      <c r="AB103" s="76">
        <f t="shared" ca="1" si="12"/>
        <v>0</v>
      </c>
      <c r="AC103" s="75">
        <f t="shared" ca="1" si="13"/>
        <v>0</v>
      </c>
      <c r="AD103" s="76">
        <f t="shared" ca="1" si="14"/>
        <v>12388.425643402781</v>
      </c>
      <c r="AE103" s="76">
        <f t="shared" si="15"/>
        <v>0</v>
      </c>
      <c r="AF103" s="75">
        <f t="shared" si="16"/>
        <v>0</v>
      </c>
      <c r="AG103" s="76">
        <f t="shared" si="2"/>
        <v>0</v>
      </c>
      <c r="AH103" s="31" t="e" cm="1">
        <f t="array" aca="1" ref="AH103" ca="1">IF((AD103) &lt; (INDEX(ResponseSLA[#All],(MATCH((G103),ResponseSLA[Priority],0))+1,3)),"YES","No")</f>
        <v>#N/A</v>
      </c>
      <c r="AI103" s="31" t="str">
        <f>_xlfn.IFNA(IF(AE103 &lt; (INDEX(SLATable[Minimum SLA],MATCH(G103,SLATable[Priority],0))),"YES","NO"),"")</f>
        <v/>
      </c>
      <c r="AJ103" t="str">
        <f>_xlfn.IFNA(IF(AE103 &lt; (INDEX(SLATable[Maximum SLA],MATCH(G103,SLATable[Priority],0))),"YES","NO"),"")</f>
        <v/>
      </c>
    </row>
    <row r="104" spans="26:36" ht="15" customHeight="1">
      <c r="Z104" s="76" t="e">
        <f t="shared" ca="1" si="10"/>
        <v>#N/A</v>
      </c>
      <c r="AA104" s="75" t="e">
        <f t="shared" ca="1" si="11"/>
        <v>#N/A</v>
      </c>
      <c r="AB104" s="76">
        <f t="shared" ca="1" si="12"/>
        <v>0</v>
      </c>
      <c r="AC104" s="75">
        <f t="shared" ca="1" si="13"/>
        <v>0</v>
      </c>
      <c r="AD104" s="76">
        <f t="shared" ca="1" si="14"/>
        <v>12388.425643402781</v>
      </c>
      <c r="AE104" s="76">
        <f t="shared" si="15"/>
        <v>0</v>
      </c>
      <c r="AF104" s="75">
        <f t="shared" si="16"/>
        <v>0</v>
      </c>
      <c r="AG104" s="76">
        <f t="shared" si="2"/>
        <v>0</v>
      </c>
      <c r="AH104" s="31" t="e" cm="1">
        <f t="array" aca="1" ref="AH104" ca="1">IF((AD104) &lt; (INDEX(ResponseSLA[#All],(MATCH((G104),ResponseSLA[Priority],0))+1,3)),"YES","No")</f>
        <v>#N/A</v>
      </c>
      <c r="AI104" s="31" t="str">
        <f>_xlfn.IFNA(IF(AE104 &lt; (INDEX(SLATable[Minimum SLA],MATCH(G104,SLATable[Priority],0))),"YES","NO"),"")</f>
        <v/>
      </c>
      <c r="AJ104" t="str">
        <f>_xlfn.IFNA(IF(AE104 &lt; (INDEX(SLATable[Maximum SLA],MATCH(G104,SLATable[Priority],0))),"YES","NO"),"")</f>
        <v/>
      </c>
    </row>
    <row r="105" spans="26:36" ht="15" customHeight="1">
      <c r="Z105" s="76" t="e">
        <f t="shared" ca="1" si="10"/>
        <v>#N/A</v>
      </c>
      <c r="AA105" s="75" t="e">
        <f t="shared" ca="1" si="11"/>
        <v>#N/A</v>
      </c>
      <c r="AB105" s="76">
        <f t="shared" ca="1" si="12"/>
        <v>0</v>
      </c>
      <c r="AC105" s="75">
        <f t="shared" ca="1" si="13"/>
        <v>0</v>
      </c>
      <c r="AD105" s="76">
        <f t="shared" ca="1" si="14"/>
        <v>12388.425643402781</v>
      </c>
      <c r="AE105" s="76">
        <f t="shared" si="15"/>
        <v>0</v>
      </c>
      <c r="AF105" s="75">
        <f t="shared" si="16"/>
        <v>0</v>
      </c>
      <c r="AG105" s="76">
        <f t="shared" si="2"/>
        <v>0</v>
      </c>
      <c r="AH105" s="31" t="e" cm="1">
        <f t="array" aca="1" ref="AH105" ca="1">IF((AD105) &lt; (INDEX(ResponseSLA[#All],(MATCH((G105),ResponseSLA[Priority],0))+1,3)),"YES","No")</f>
        <v>#N/A</v>
      </c>
      <c r="AI105" s="31" t="str">
        <f>_xlfn.IFNA(IF(AE105 &lt; (INDEX(SLATable[Minimum SLA],MATCH(G105,SLATable[Priority],0))),"YES","NO"),"")</f>
        <v/>
      </c>
      <c r="AJ105" t="str">
        <f>_xlfn.IFNA(IF(AE105 &lt; (INDEX(SLATable[Maximum SLA],MATCH(G105,SLATable[Priority],0))),"YES","NO"),"")</f>
        <v/>
      </c>
    </row>
    <row r="106" spans="26:36" ht="15" customHeight="1">
      <c r="Z106" s="76" t="e">
        <f t="shared" ca="1" si="10"/>
        <v>#N/A</v>
      </c>
      <c r="AA106" s="75" t="e">
        <f t="shared" ca="1" si="11"/>
        <v>#N/A</v>
      </c>
      <c r="AB106" s="76">
        <f t="shared" ca="1" si="12"/>
        <v>0</v>
      </c>
      <c r="AC106" s="75">
        <f t="shared" ca="1" si="13"/>
        <v>0</v>
      </c>
      <c r="AD106" s="76">
        <f t="shared" ca="1" si="14"/>
        <v>12388.425643402781</v>
      </c>
      <c r="AE106" s="76">
        <f t="shared" si="15"/>
        <v>0</v>
      </c>
      <c r="AF106" s="75">
        <f t="shared" si="16"/>
        <v>0</v>
      </c>
      <c r="AG106" s="76">
        <f t="shared" si="2"/>
        <v>0</v>
      </c>
      <c r="AH106" s="31" t="e" cm="1">
        <f t="array" aca="1" ref="AH106" ca="1">IF((AD106) &lt; (INDEX(ResponseSLA[#All],(MATCH((G106),ResponseSLA[Priority],0))+1,3)),"YES","No")</f>
        <v>#N/A</v>
      </c>
      <c r="AI106" s="31" t="str">
        <f>_xlfn.IFNA(IF(AE106 &lt; (INDEX(SLATable[Minimum SLA],MATCH(G106,SLATable[Priority],0))),"YES","NO"),"")</f>
        <v/>
      </c>
      <c r="AJ106" t="str">
        <f>_xlfn.IFNA(IF(AE106 &lt; (INDEX(SLATable[Maximum SLA],MATCH(G106,SLATable[Priority],0))),"YES","NO"),"")</f>
        <v/>
      </c>
    </row>
    <row r="107" spans="26:36" ht="15" customHeight="1">
      <c r="Z107" s="76" t="e">
        <f t="shared" ca="1" si="10"/>
        <v>#N/A</v>
      </c>
      <c r="AA107" s="75" t="e">
        <f t="shared" ca="1" si="11"/>
        <v>#N/A</v>
      </c>
      <c r="AB107" s="76">
        <f t="shared" ca="1" si="12"/>
        <v>0</v>
      </c>
      <c r="AC107" s="75">
        <f t="shared" ca="1" si="13"/>
        <v>0</v>
      </c>
      <c r="AD107" s="76">
        <f t="shared" ca="1" si="14"/>
        <v>12388.425643402781</v>
      </c>
      <c r="AE107" s="76">
        <f t="shared" si="15"/>
        <v>0</v>
      </c>
      <c r="AF107" s="75">
        <f t="shared" si="16"/>
        <v>0</v>
      </c>
      <c r="AG107" s="76">
        <f t="shared" si="2"/>
        <v>0</v>
      </c>
      <c r="AH107" s="31" t="e" cm="1">
        <f t="array" aca="1" ref="AH107" ca="1">IF((AD107) &lt; (INDEX(ResponseSLA[#All],(MATCH((G107),ResponseSLA[Priority],0))+1,3)),"YES","No")</f>
        <v>#N/A</v>
      </c>
      <c r="AI107" s="31" t="str">
        <f>_xlfn.IFNA(IF(AE107 &lt; (INDEX(SLATable[Minimum SLA],MATCH(G107,SLATable[Priority],0))),"YES","NO"),"")</f>
        <v/>
      </c>
      <c r="AJ107" t="str">
        <f>_xlfn.IFNA(IF(AE107 &lt; (INDEX(SLATable[Maximum SLA],MATCH(G107,SLATable[Priority],0))),"YES","NO"),"")</f>
        <v/>
      </c>
    </row>
    <row r="108" spans="26:36" ht="15" customHeight="1">
      <c r="Z108" s="76" t="e">
        <f t="shared" ca="1" si="10"/>
        <v>#N/A</v>
      </c>
      <c r="AA108" s="75" t="e">
        <f t="shared" ca="1" si="11"/>
        <v>#N/A</v>
      </c>
      <c r="AB108" s="76">
        <f t="shared" ca="1" si="12"/>
        <v>0</v>
      </c>
      <c r="AC108" s="75">
        <f t="shared" ca="1" si="13"/>
        <v>0</v>
      </c>
      <c r="AD108" s="76">
        <f t="shared" ca="1" si="14"/>
        <v>12388.425643402781</v>
      </c>
      <c r="AE108" s="76">
        <f t="shared" si="15"/>
        <v>0</v>
      </c>
      <c r="AF108" s="75">
        <f t="shared" si="16"/>
        <v>0</v>
      </c>
      <c r="AG108" s="76">
        <f t="shared" si="2"/>
        <v>0</v>
      </c>
      <c r="AH108" s="31" t="e" cm="1">
        <f t="array" aca="1" ref="AH108" ca="1">IF((AD108) &lt; (INDEX(ResponseSLA[#All],(MATCH((G108),ResponseSLA[Priority],0))+1,3)),"YES","No")</f>
        <v>#N/A</v>
      </c>
      <c r="AI108" s="31" t="str">
        <f>_xlfn.IFNA(IF(AE108 &lt; (INDEX(SLATable[Minimum SLA],MATCH(G108,SLATable[Priority],0))),"YES","NO"),"")</f>
        <v/>
      </c>
      <c r="AJ108" t="str">
        <f>_xlfn.IFNA(IF(AE108 &lt; (INDEX(SLATable[Maximum SLA],MATCH(G108,SLATable[Priority],0))),"YES","NO"),"")</f>
        <v/>
      </c>
    </row>
    <row r="109" spans="26:36" ht="15" customHeight="1">
      <c r="Z109" s="76" t="e">
        <f t="shared" ca="1" si="10"/>
        <v>#N/A</v>
      </c>
      <c r="AA109" s="75" t="e">
        <f t="shared" ca="1" si="11"/>
        <v>#N/A</v>
      </c>
      <c r="AB109" s="76">
        <f t="shared" ca="1" si="12"/>
        <v>0</v>
      </c>
      <c r="AC109" s="75">
        <f t="shared" ca="1" si="13"/>
        <v>0</v>
      </c>
      <c r="AD109" s="76">
        <f t="shared" ca="1" si="14"/>
        <v>12388.425643402781</v>
      </c>
      <c r="AE109" s="76">
        <f t="shared" si="15"/>
        <v>0</v>
      </c>
      <c r="AF109" s="75">
        <f t="shared" si="16"/>
        <v>0</v>
      </c>
      <c r="AG109" s="76">
        <f t="shared" si="2"/>
        <v>0</v>
      </c>
      <c r="AH109" s="31" t="e" cm="1">
        <f t="array" aca="1" ref="AH109" ca="1">IF((AD109) &lt; (INDEX(ResponseSLA[#All],(MATCH((G109),ResponseSLA[Priority],0))+1,3)),"YES","No")</f>
        <v>#N/A</v>
      </c>
      <c r="AI109" s="31" t="str">
        <f>_xlfn.IFNA(IF(AE109 &lt; (INDEX(SLATable[Minimum SLA],MATCH(G109,SLATable[Priority],0))),"YES","NO"),"")</f>
        <v/>
      </c>
      <c r="AJ109" t="str">
        <f>_xlfn.IFNA(IF(AE109 &lt; (INDEX(SLATable[Maximum SLA],MATCH(G109,SLATable[Priority],0))),"YES","NO"),"")</f>
        <v/>
      </c>
    </row>
    <row r="110" spans="26:36" ht="15" customHeight="1">
      <c r="Z110" s="76" t="e">
        <f t="shared" ca="1" si="10"/>
        <v>#N/A</v>
      </c>
      <c r="AA110" s="75" t="e">
        <f t="shared" ca="1" si="11"/>
        <v>#N/A</v>
      </c>
      <c r="AB110" s="76">
        <f t="shared" ca="1" si="12"/>
        <v>0</v>
      </c>
      <c r="AC110" s="75">
        <f t="shared" ca="1" si="13"/>
        <v>0</v>
      </c>
      <c r="AD110" s="76">
        <f t="shared" ca="1" si="14"/>
        <v>12388.425643402781</v>
      </c>
      <c r="AE110" s="76">
        <f t="shared" si="15"/>
        <v>0</v>
      </c>
      <c r="AF110" s="75">
        <f t="shared" si="16"/>
        <v>0</v>
      </c>
      <c r="AG110" s="76">
        <f t="shared" si="2"/>
        <v>0</v>
      </c>
      <c r="AH110" s="31" t="e" cm="1">
        <f t="array" aca="1" ref="AH110" ca="1">IF((AD110) &lt; (INDEX(ResponseSLA[#All],(MATCH((G110),ResponseSLA[Priority],0))+1,3)),"YES","No")</f>
        <v>#N/A</v>
      </c>
      <c r="AI110" s="31" t="str">
        <f>_xlfn.IFNA(IF(AE110 &lt; (INDEX(SLATable[Minimum SLA],MATCH(G110,SLATable[Priority],0))),"YES","NO"),"")</f>
        <v/>
      </c>
      <c r="AJ110" t="str">
        <f>_xlfn.IFNA(IF(AE110 &lt; (INDEX(SLATable[Maximum SLA],MATCH(G110,SLATable[Priority],0))),"YES","NO"),"")</f>
        <v/>
      </c>
    </row>
    <row r="111" spans="26:36" ht="15" customHeight="1">
      <c r="Z111" s="76" t="e">
        <f t="shared" ca="1" si="10"/>
        <v>#N/A</v>
      </c>
      <c r="AA111" s="75" t="e">
        <f t="shared" ca="1" si="11"/>
        <v>#N/A</v>
      </c>
      <c r="AB111" s="76">
        <f t="shared" ca="1" si="12"/>
        <v>0</v>
      </c>
      <c r="AC111" s="75">
        <f t="shared" ca="1" si="13"/>
        <v>0</v>
      </c>
      <c r="AD111" s="76">
        <f t="shared" ca="1" si="14"/>
        <v>12388.425643402781</v>
      </c>
      <c r="AE111" s="76">
        <f t="shared" si="15"/>
        <v>0</v>
      </c>
      <c r="AF111" s="75">
        <f t="shared" si="16"/>
        <v>0</v>
      </c>
      <c r="AG111" s="76">
        <f t="shared" si="2"/>
        <v>0</v>
      </c>
      <c r="AH111" s="31" t="e" cm="1">
        <f t="array" aca="1" ref="AH111" ca="1">IF((AD111) &lt; (INDEX(ResponseSLA[#All],(MATCH((G111),ResponseSLA[Priority],0))+1,3)),"YES","No")</f>
        <v>#N/A</v>
      </c>
      <c r="AI111" s="31" t="str">
        <f>_xlfn.IFNA(IF(AE111 &lt; (INDEX(SLATable[Minimum SLA],MATCH(G111,SLATable[Priority],0))),"YES","NO"),"")</f>
        <v/>
      </c>
      <c r="AJ111" t="str">
        <f>_xlfn.IFNA(IF(AE111 &lt; (INDEX(SLATable[Maximum SLA],MATCH(G111,SLATable[Priority],0))),"YES","NO"),"")</f>
        <v/>
      </c>
    </row>
    <row r="112" spans="26:36" ht="15" customHeight="1">
      <c r="Z112" s="76" t="e">
        <f t="shared" ca="1" si="10"/>
        <v>#N/A</v>
      </c>
      <c r="AA112" s="75" t="e">
        <f t="shared" ca="1" si="11"/>
        <v>#N/A</v>
      </c>
      <c r="AB112" s="76">
        <f t="shared" ca="1" si="12"/>
        <v>0</v>
      </c>
      <c r="AC112" s="75">
        <f t="shared" ca="1" si="13"/>
        <v>0</v>
      </c>
      <c r="AD112" s="76">
        <f t="shared" ca="1" si="14"/>
        <v>12388.425643402781</v>
      </c>
      <c r="AE112" s="76">
        <f t="shared" si="15"/>
        <v>0</v>
      </c>
      <c r="AF112" s="75">
        <f t="shared" si="16"/>
        <v>0</v>
      </c>
      <c r="AG112" s="76">
        <f t="shared" si="2"/>
        <v>0</v>
      </c>
      <c r="AH112" s="31" t="e" cm="1">
        <f t="array" aca="1" ref="AH112" ca="1">IF((AD112) &lt; (INDEX(ResponseSLA[#All],(MATCH((G112),ResponseSLA[Priority],0))+1,3)),"YES","No")</f>
        <v>#N/A</v>
      </c>
      <c r="AI112" s="31" t="str">
        <f>_xlfn.IFNA(IF(AE112 &lt; (INDEX(SLATable[Minimum SLA],MATCH(G112,SLATable[Priority],0))),"YES","NO"),"")</f>
        <v/>
      </c>
      <c r="AJ112" t="str">
        <f>_xlfn.IFNA(IF(AE112 &lt; (INDEX(SLATable[Maximum SLA],MATCH(G112,SLATable[Priority],0))),"YES","NO"),"")</f>
        <v/>
      </c>
    </row>
    <row r="113" spans="26:36" ht="15" customHeight="1">
      <c r="Z113" s="76" t="e">
        <f t="shared" ca="1" si="10"/>
        <v>#N/A</v>
      </c>
      <c r="AA113" s="75" t="e">
        <f t="shared" ca="1" si="11"/>
        <v>#N/A</v>
      </c>
      <c r="AB113" s="76">
        <f t="shared" ca="1" si="12"/>
        <v>0</v>
      </c>
      <c r="AC113" s="75">
        <f t="shared" ca="1" si="13"/>
        <v>0</v>
      </c>
      <c r="AD113" s="76">
        <f t="shared" ca="1" si="14"/>
        <v>12388.425643402781</v>
      </c>
      <c r="AE113" s="76">
        <f t="shared" si="15"/>
        <v>0</v>
      </c>
      <c r="AF113" s="75">
        <f t="shared" si="16"/>
        <v>0</v>
      </c>
      <c r="AG113" s="76">
        <f t="shared" si="2"/>
        <v>0</v>
      </c>
      <c r="AH113" s="31" t="e" cm="1">
        <f t="array" aca="1" ref="AH113" ca="1">IF((AD113) &lt; (INDEX(ResponseSLA[#All],(MATCH((G113),ResponseSLA[Priority],0))+1,3)),"YES","No")</f>
        <v>#N/A</v>
      </c>
      <c r="AI113" s="31" t="str">
        <f>_xlfn.IFNA(IF(AE113 &lt; (INDEX(SLATable[Minimum SLA],MATCH(G113,SLATable[Priority],0))),"YES","NO"),"")</f>
        <v/>
      </c>
      <c r="AJ113" t="str">
        <f>_xlfn.IFNA(IF(AE113 &lt; (INDEX(SLATable[Maximum SLA],MATCH(G113,SLATable[Priority],0))),"YES","NO"),"")</f>
        <v/>
      </c>
    </row>
    <row r="114" spans="26:36" ht="15" customHeight="1">
      <c r="Z114" s="76" t="e">
        <f t="shared" ca="1" si="10"/>
        <v>#N/A</v>
      </c>
      <c r="AA114" s="75" t="e">
        <f t="shared" ca="1" si="11"/>
        <v>#N/A</v>
      </c>
      <c r="AB114" s="76">
        <f t="shared" ca="1" si="12"/>
        <v>0</v>
      </c>
      <c r="AC114" s="75">
        <f t="shared" ca="1" si="13"/>
        <v>0</v>
      </c>
      <c r="AD114" s="76">
        <f t="shared" ca="1" si="14"/>
        <v>12388.425643402781</v>
      </c>
      <c r="AE114" s="76">
        <f t="shared" si="15"/>
        <v>0</v>
      </c>
      <c r="AF114" s="75">
        <f t="shared" si="16"/>
        <v>0</v>
      </c>
      <c r="AG114" s="76">
        <f t="shared" si="2"/>
        <v>0</v>
      </c>
      <c r="AH114" s="31" t="e" cm="1">
        <f t="array" aca="1" ref="AH114" ca="1">IF((AD114) &lt; (INDEX(ResponseSLA[#All],(MATCH((G114),ResponseSLA[Priority],0))+1,3)),"YES","No")</f>
        <v>#N/A</v>
      </c>
      <c r="AI114" s="31" t="str">
        <f>_xlfn.IFNA(IF(AE114 &lt; (INDEX(SLATable[Minimum SLA],MATCH(G114,SLATable[Priority],0))),"YES","NO"),"")</f>
        <v/>
      </c>
      <c r="AJ114" t="str">
        <f>_xlfn.IFNA(IF(AE114 &lt; (INDEX(SLATable[Maximum SLA],MATCH(G114,SLATable[Priority],0))),"YES","NO"),"")</f>
        <v/>
      </c>
    </row>
    <row r="115" spans="26:36" ht="15" customHeight="1">
      <c r="Z115" s="76" t="e">
        <f t="shared" ca="1" si="10"/>
        <v>#N/A</v>
      </c>
      <c r="AA115" s="75" t="e">
        <f t="shared" ca="1" si="11"/>
        <v>#N/A</v>
      </c>
      <c r="AB115" s="76">
        <f t="shared" ca="1" si="12"/>
        <v>0</v>
      </c>
      <c r="AC115" s="75">
        <f t="shared" ca="1" si="13"/>
        <v>0</v>
      </c>
      <c r="AD115" s="76">
        <f t="shared" ca="1" si="14"/>
        <v>12388.425643402781</v>
      </c>
      <c r="AE115" s="76">
        <f t="shared" si="15"/>
        <v>0</v>
      </c>
      <c r="AF115" s="75">
        <f t="shared" si="16"/>
        <v>0</v>
      </c>
      <c r="AG115" s="76">
        <f t="shared" si="2"/>
        <v>0</v>
      </c>
      <c r="AH115" s="31" t="e" cm="1">
        <f t="array" aca="1" ref="AH115" ca="1">IF((AD115) &lt; (INDEX(ResponseSLA[#All],(MATCH((G115),ResponseSLA[Priority],0))+1,3)),"YES","No")</f>
        <v>#N/A</v>
      </c>
      <c r="AI115" s="31" t="str">
        <f>_xlfn.IFNA(IF(AE115 &lt; (INDEX(SLATable[Minimum SLA],MATCH(G115,SLATable[Priority],0))),"YES","NO"),"")</f>
        <v/>
      </c>
      <c r="AJ115" t="str">
        <f>_xlfn.IFNA(IF(AE115 &lt; (INDEX(SLATable[Maximum SLA],MATCH(G115,SLATable[Priority],0))),"YES","NO"),"")</f>
        <v/>
      </c>
    </row>
    <row r="116" spans="26:36" ht="15" customHeight="1">
      <c r="Z116" s="76" t="e">
        <f t="shared" ca="1" si="10"/>
        <v>#N/A</v>
      </c>
      <c r="AA116" s="75" t="e">
        <f t="shared" ca="1" si="11"/>
        <v>#N/A</v>
      </c>
      <c r="AB116" s="76">
        <f t="shared" ca="1" si="12"/>
        <v>0</v>
      </c>
      <c r="AC116" s="75">
        <f t="shared" ca="1" si="13"/>
        <v>0</v>
      </c>
      <c r="AD116" s="76">
        <f t="shared" ca="1" si="14"/>
        <v>12388.425643402781</v>
      </c>
      <c r="AE116" s="76">
        <f t="shared" si="15"/>
        <v>0</v>
      </c>
      <c r="AF116" s="75">
        <f t="shared" si="16"/>
        <v>0</v>
      </c>
      <c r="AG116" s="76">
        <f t="shared" si="2"/>
        <v>0</v>
      </c>
      <c r="AH116" s="31" t="e" cm="1">
        <f t="array" aca="1" ref="AH116" ca="1">IF((AD116) &lt; (INDEX(ResponseSLA[#All],(MATCH((G116),ResponseSLA[Priority],0))+1,3)),"YES","No")</f>
        <v>#N/A</v>
      </c>
      <c r="AI116" s="31" t="str">
        <f>_xlfn.IFNA(IF(AE116 &lt; (INDEX(SLATable[Minimum SLA],MATCH(G116,SLATable[Priority],0))),"YES","NO"),"")</f>
        <v/>
      </c>
      <c r="AJ116" t="str">
        <f>_xlfn.IFNA(IF(AE116 &lt; (INDEX(SLATable[Maximum SLA],MATCH(G116,SLATable[Priority],0))),"YES","NO"),"")</f>
        <v/>
      </c>
    </row>
    <row r="117" spans="26:36" ht="15" customHeight="1">
      <c r="Z117" s="76" t="e">
        <f t="shared" ca="1" si="10"/>
        <v>#N/A</v>
      </c>
      <c r="AA117" s="75" t="e">
        <f t="shared" ca="1" si="11"/>
        <v>#N/A</v>
      </c>
      <c r="AB117" s="76">
        <f t="shared" ca="1" si="12"/>
        <v>0</v>
      </c>
      <c r="AC117" s="75">
        <f t="shared" ca="1" si="13"/>
        <v>0</v>
      </c>
      <c r="AD117" s="76">
        <f t="shared" ca="1" si="14"/>
        <v>12388.425643402781</v>
      </c>
      <c r="AE117" s="76">
        <f t="shared" si="15"/>
        <v>0</v>
      </c>
      <c r="AF117" s="75">
        <f t="shared" si="16"/>
        <v>0</v>
      </c>
      <c r="AG117" s="76">
        <f t="shared" si="2"/>
        <v>0</v>
      </c>
      <c r="AH117" s="31" t="e" cm="1">
        <f t="array" aca="1" ref="AH117" ca="1">IF((AD117) &lt; (INDEX(ResponseSLA[#All],(MATCH((G117),ResponseSLA[Priority],0))+1,3)),"YES","No")</f>
        <v>#N/A</v>
      </c>
      <c r="AI117" s="31" t="str">
        <f>_xlfn.IFNA(IF(AE117 &lt; (INDEX(SLATable[Minimum SLA],MATCH(G117,SLATable[Priority],0))),"YES","NO"),"")</f>
        <v/>
      </c>
      <c r="AJ117" t="str">
        <f>_xlfn.IFNA(IF(AE117 &lt; (INDEX(SLATable[Maximum SLA],MATCH(G117,SLATable[Priority],0))),"YES","NO"),"")</f>
        <v/>
      </c>
    </row>
    <row r="118" spans="26:36" ht="15" customHeight="1">
      <c r="Z118" s="76" t="e">
        <f t="shared" ca="1" si="10"/>
        <v>#N/A</v>
      </c>
      <c r="AA118" s="75" t="e">
        <f t="shared" ca="1" si="11"/>
        <v>#N/A</v>
      </c>
      <c r="AB118" s="76">
        <f t="shared" ca="1" si="12"/>
        <v>0</v>
      </c>
      <c r="AC118" s="75">
        <f t="shared" ca="1" si="13"/>
        <v>0</v>
      </c>
      <c r="AD118" s="76">
        <f t="shared" ca="1" si="14"/>
        <v>12388.425643402781</v>
      </c>
      <c r="AE118" s="76">
        <f t="shared" si="15"/>
        <v>0</v>
      </c>
      <c r="AF118" s="75">
        <f t="shared" si="16"/>
        <v>0</v>
      </c>
      <c r="AG118" s="76">
        <f t="shared" si="2"/>
        <v>0</v>
      </c>
      <c r="AH118" s="31" t="e" cm="1">
        <f t="array" aca="1" ref="AH118" ca="1">IF((AD118) &lt; (INDEX(ResponseSLA[#All],(MATCH((G118),ResponseSLA[Priority],0))+1,3)),"YES","No")</f>
        <v>#N/A</v>
      </c>
      <c r="AI118" s="31" t="str">
        <f>_xlfn.IFNA(IF(AE118 &lt; (INDEX(SLATable[Minimum SLA],MATCH(G118,SLATable[Priority],0))),"YES","NO"),"")</f>
        <v/>
      </c>
      <c r="AJ118" t="str">
        <f>_xlfn.IFNA(IF(AE118 &lt; (INDEX(SLATable[Maximum SLA],MATCH(G118,SLATable[Priority],0))),"YES","NO"),"")</f>
        <v/>
      </c>
    </row>
    <row r="119" spans="26:36" ht="15" customHeight="1">
      <c r="Z119" s="76" t="e">
        <f t="shared" ca="1" si="10"/>
        <v>#N/A</v>
      </c>
      <c r="AA119" s="75" t="e">
        <f t="shared" ca="1" si="11"/>
        <v>#N/A</v>
      </c>
      <c r="AB119" s="76">
        <f t="shared" ca="1" si="12"/>
        <v>0</v>
      </c>
      <c r="AC119" s="75">
        <f t="shared" ca="1" si="13"/>
        <v>0</v>
      </c>
      <c r="AD119" s="76">
        <f t="shared" ca="1" si="14"/>
        <v>12388.425643402781</v>
      </c>
      <c r="AE119" s="76">
        <f t="shared" si="15"/>
        <v>0</v>
      </c>
      <c r="AF119" s="75">
        <f t="shared" si="16"/>
        <v>0</v>
      </c>
      <c r="AG119" s="76">
        <f t="shared" si="2"/>
        <v>0</v>
      </c>
      <c r="AH119" s="31" t="e" cm="1">
        <f t="array" aca="1" ref="AH119" ca="1">IF((AD119) &lt; (INDEX(ResponseSLA[#All],(MATCH((G119),ResponseSLA[Priority],0))+1,3)),"YES","No")</f>
        <v>#N/A</v>
      </c>
      <c r="AI119" s="31" t="str">
        <f>_xlfn.IFNA(IF(AE119 &lt; (INDEX(SLATable[Minimum SLA],MATCH(G119,SLATable[Priority],0))),"YES","NO"),"")</f>
        <v/>
      </c>
      <c r="AJ119" t="str">
        <f>_xlfn.IFNA(IF(AE119 &lt; (INDEX(SLATable[Maximum SLA],MATCH(G119,SLATable[Priority],0))),"YES","NO"),"")</f>
        <v/>
      </c>
    </row>
    <row r="120" spans="26:36" ht="15" customHeight="1">
      <c r="Z120" s="76" t="e">
        <f t="shared" ca="1" si="10"/>
        <v>#N/A</v>
      </c>
      <c r="AA120" s="75" t="e">
        <f t="shared" ca="1" si="11"/>
        <v>#N/A</v>
      </c>
      <c r="AB120" s="76">
        <f t="shared" ca="1" si="12"/>
        <v>0</v>
      </c>
      <c r="AC120" s="75">
        <f t="shared" ca="1" si="13"/>
        <v>0</v>
      </c>
      <c r="AD120" s="76">
        <f t="shared" ca="1" si="14"/>
        <v>12388.425643402781</v>
      </c>
      <c r="AE120" s="76">
        <f t="shared" si="15"/>
        <v>0</v>
      </c>
      <c r="AF120" s="75">
        <f t="shared" si="16"/>
        <v>0</v>
      </c>
      <c r="AG120" s="76">
        <f t="shared" si="2"/>
        <v>0</v>
      </c>
      <c r="AH120" s="31" t="e" cm="1">
        <f t="array" aca="1" ref="AH120" ca="1">IF((AD120) &lt; (INDEX(ResponseSLA[#All],(MATCH((G120),ResponseSLA[Priority],0))+1,3)),"YES","No")</f>
        <v>#N/A</v>
      </c>
      <c r="AI120" s="31" t="str">
        <f>_xlfn.IFNA(IF(AE120 &lt; (INDEX(SLATable[Minimum SLA],MATCH(G120,SLATable[Priority],0))),"YES","NO"),"")</f>
        <v/>
      </c>
      <c r="AJ120" t="str">
        <f>_xlfn.IFNA(IF(AE120 &lt; (INDEX(SLATable[Maximum SLA],MATCH(G120,SLATable[Priority],0))),"YES","NO"),"")</f>
        <v/>
      </c>
    </row>
    <row r="121" spans="26:36" ht="15" customHeight="1">
      <c r="Z121" s="76" t="e">
        <f t="shared" ca="1" si="10"/>
        <v>#N/A</v>
      </c>
      <c r="AA121" s="75" t="e">
        <f t="shared" ca="1" si="11"/>
        <v>#N/A</v>
      </c>
      <c r="AB121" s="76">
        <f t="shared" ca="1" si="12"/>
        <v>0</v>
      </c>
      <c r="AC121" s="75">
        <f t="shared" ca="1" si="13"/>
        <v>0</v>
      </c>
      <c r="AD121" s="76">
        <f t="shared" ca="1" si="14"/>
        <v>12388.425643402781</v>
      </c>
      <c r="AE121" s="76">
        <f t="shared" si="15"/>
        <v>0</v>
      </c>
      <c r="AF121" s="75">
        <f t="shared" si="16"/>
        <v>0</v>
      </c>
      <c r="AG121" s="76">
        <f t="shared" si="2"/>
        <v>0</v>
      </c>
      <c r="AH121" s="31" t="e" cm="1">
        <f t="array" aca="1" ref="AH121" ca="1">IF((AD121) &lt; (INDEX(ResponseSLA[#All],(MATCH((G121),ResponseSLA[Priority],0))+1,3)),"YES","No")</f>
        <v>#N/A</v>
      </c>
      <c r="AI121" s="31" t="str">
        <f>_xlfn.IFNA(IF(AE121 &lt; (INDEX(SLATable[Minimum SLA],MATCH(G121,SLATable[Priority],0))),"YES","NO"),"")</f>
        <v/>
      </c>
      <c r="AJ121" t="str">
        <f>_xlfn.IFNA(IF(AE121 &lt; (INDEX(SLATable[Maximum SLA],MATCH(G121,SLATable[Priority],0))),"YES","NO"),"")</f>
        <v/>
      </c>
    </row>
    <row r="122" spans="26:36" ht="15" customHeight="1">
      <c r="Z122" s="76" t="e">
        <f t="shared" ca="1" si="10"/>
        <v>#N/A</v>
      </c>
      <c r="AA122" s="75" t="e">
        <f t="shared" ca="1" si="11"/>
        <v>#N/A</v>
      </c>
      <c r="AB122" s="76">
        <f t="shared" ca="1" si="12"/>
        <v>0</v>
      </c>
      <c r="AC122" s="75">
        <f t="shared" ca="1" si="13"/>
        <v>0</v>
      </c>
      <c r="AD122" s="76">
        <f t="shared" ca="1" si="14"/>
        <v>12388.425643402781</v>
      </c>
      <c r="AE122" s="76">
        <f t="shared" si="15"/>
        <v>0</v>
      </c>
      <c r="AF122" s="75">
        <f t="shared" si="16"/>
        <v>0</v>
      </c>
      <c r="AG122" s="76">
        <f t="shared" si="2"/>
        <v>0</v>
      </c>
      <c r="AH122" s="31" t="e" cm="1">
        <f t="array" aca="1" ref="AH122" ca="1">IF((AD122) &lt; (INDEX(ResponseSLA[#All],(MATCH((G122),ResponseSLA[Priority],0))+1,3)),"YES","No")</f>
        <v>#N/A</v>
      </c>
      <c r="AI122" s="31" t="str">
        <f>_xlfn.IFNA(IF(AE122 &lt; (INDEX(SLATable[Minimum SLA],MATCH(G122,SLATable[Priority],0))),"YES","NO"),"")</f>
        <v/>
      </c>
      <c r="AJ122" t="str">
        <f>_xlfn.IFNA(IF(AE122 &lt; (INDEX(SLATable[Maximum SLA],MATCH(G122,SLATable[Priority],0))),"YES","NO"),"")</f>
        <v/>
      </c>
    </row>
    <row r="123" spans="26:36" ht="15" customHeight="1">
      <c r="Z123" s="76" t="e">
        <f t="shared" ca="1" si="10"/>
        <v>#N/A</v>
      </c>
      <c r="AA123" s="75" t="e">
        <f t="shared" ca="1" si="11"/>
        <v>#N/A</v>
      </c>
      <c r="AB123" s="76">
        <f t="shared" ca="1" si="12"/>
        <v>0</v>
      </c>
      <c r="AC123" s="75">
        <f t="shared" ca="1" si="13"/>
        <v>0</v>
      </c>
      <c r="AD123" s="76">
        <f t="shared" ca="1" si="14"/>
        <v>12388.425643402781</v>
      </c>
      <c r="AE123" s="76">
        <f t="shared" si="15"/>
        <v>0</v>
      </c>
      <c r="AF123" s="75">
        <f t="shared" si="16"/>
        <v>0</v>
      </c>
      <c r="AG123" s="76">
        <f t="shared" si="2"/>
        <v>0</v>
      </c>
      <c r="AH123" s="31" t="e" cm="1">
        <f t="array" aca="1" ref="AH123" ca="1">IF((AD123) &lt; (INDEX(ResponseSLA[#All],(MATCH((G123),ResponseSLA[Priority],0))+1,3)),"YES","No")</f>
        <v>#N/A</v>
      </c>
      <c r="AI123" s="31" t="str">
        <f>_xlfn.IFNA(IF(AE123 &lt; (INDEX(SLATable[Minimum SLA],MATCH(G123,SLATable[Priority],0))),"YES","NO"),"")</f>
        <v/>
      </c>
      <c r="AJ123" t="str">
        <f>_xlfn.IFNA(IF(AE123 &lt; (INDEX(SLATable[Maximum SLA],MATCH(G123,SLATable[Priority],0))),"YES","NO"),"")</f>
        <v/>
      </c>
    </row>
    <row r="124" spans="26:36" ht="15" customHeight="1">
      <c r="Z124" s="76" t="e">
        <f t="shared" ca="1" si="10"/>
        <v>#N/A</v>
      </c>
      <c r="AA124" s="75" t="e">
        <f t="shared" ca="1" si="11"/>
        <v>#N/A</v>
      </c>
      <c r="AB124" s="76">
        <f t="shared" ca="1" si="12"/>
        <v>0</v>
      </c>
      <c r="AC124" s="75">
        <f t="shared" ca="1" si="13"/>
        <v>0</v>
      </c>
      <c r="AD124" s="76">
        <f t="shared" ca="1" si="14"/>
        <v>12388.425643402781</v>
      </c>
      <c r="AE124" s="76">
        <f t="shared" si="15"/>
        <v>0</v>
      </c>
      <c r="AF124" s="75">
        <f t="shared" si="16"/>
        <v>0</v>
      </c>
      <c r="AG124" s="76">
        <f t="shared" si="2"/>
        <v>0</v>
      </c>
      <c r="AH124" s="31" t="e" cm="1">
        <f t="array" aca="1" ref="AH124" ca="1">IF((AD124) &lt; (INDEX(ResponseSLA[#All],(MATCH((G124),ResponseSLA[Priority],0))+1,3)),"YES","No")</f>
        <v>#N/A</v>
      </c>
      <c r="AI124" s="31" t="str">
        <f>_xlfn.IFNA(IF(AE124 &lt; (INDEX(SLATable[Minimum SLA],MATCH(G124,SLATable[Priority],0))),"YES","NO"),"")</f>
        <v/>
      </c>
      <c r="AJ124" t="str">
        <f>_xlfn.IFNA(IF(AE124 &lt; (INDEX(SLATable[Maximum SLA],MATCH(G124,SLATable[Priority],0))),"YES","NO"),"")</f>
        <v/>
      </c>
    </row>
    <row r="125" spans="26:36" ht="15" customHeight="1">
      <c r="Z125" s="76" t="e">
        <f t="shared" ca="1" si="10"/>
        <v>#N/A</v>
      </c>
      <c r="AA125" s="75" t="e">
        <f t="shared" ca="1" si="11"/>
        <v>#N/A</v>
      </c>
      <c r="AB125" s="76">
        <f t="shared" ca="1" si="12"/>
        <v>0</v>
      </c>
      <c r="AC125" s="75">
        <f t="shared" ca="1" si="13"/>
        <v>0</v>
      </c>
      <c r="AD125" s="76">
        <f t="shared" ca="1" si="14"/>
        <v>12388.425643402781</v>
      </c>
      <c r="AE125" s="76">
        <f t="shared" si="15"/>
        <v>0</v>
      </c>
      <c r="AF125" s="75">
        <f t="shared" si="16"/>
        <v>0</v>
      </c>
      <c r="AG125" s="76">
        <f t="shared" si="2"/>
        <v>0</v>
      </c>
      <c r="AH125" s="31" t="e" cm="1">
        <f t="array" aca="1" ref="AH125" ca="1">IF((AD125) &lt; (INDEX(ResponseSLA[#All],(MATCH((G125),ResponseSLA[Priority],0))+1,3)),"YES","No")</f>
        <v>#N/A</v>
      </c>
      <c r="AI125" s="31" t="str">
        <f>_xlfn.IFNA(IF(AE125 &lt; (INDEX(SLATable[Minimum SLA],MATCH(G125,SLATable[Priority],0))),"YES","NO"),"")</f>
        <v/>
      </c>
      <c r="AJ125" t="str">
        <f>_xlfn.IFNA(IF(AE125 &lt; (INDEX(SLATable[Maximum SLA],MATCH(G125,SLATable[Priority],0))),"YES","NO"),"")</f>
        <v/>
      </c>
    </row>
    <row r="126" spans="26:36" ht="15" customHeight="1">
      <c r="Z126" s="76" t="e">
        <f t="shared" ca="1" si="10"/>
        <v>#N/A</v>
      </c>
      <c r="AA126" s="75" t="e">
        <f t="shared" ca="1" si="11"/>
        <v>#N/A</v>
      </c>
      <c r="AB126" s="76">
        <f t="shared" ca="1" si="12"/>
        <v>0</v>
      </c>
      <c r="AC126" s="75">
        <f t="shared" ca="1" si="13"/>
        <v>0</v>
      </c>
      <c r="AD126" s="76">
        <f t="shared" ca="1" si="14"/>
        <v>12388.425643402781</v>
      </c>
      <c r="AE126" s="76">
        <f t="shared" si="15"/>
        <v>0</v>
      </c>
      <c r="AF126" s="75">
        <f t="shared" si="16"/>
        <v>0</v>
      </c>
      <c r="AG126" s="76">
        <f t="shared" si="2"/>
        <v>0</v>
      </c>
      <c r="AH126" s="31" t="e" cm="1">
        <f t="array" aca="1" ref="AH126" ca="1">IF((AD126) &lt; (INDEX(ResponseSLA[#All],(MATCH((G126),ResponseSLA[Priority],0))+1,3)),"YES","No")</f>
        <v>#N/A</v>
      </c>
      <c r="AI126" s="31" t="str">
        <f>_xlfn.IFNA(IF(AE126 &lt; (INDEX(SLATable[Minimum SLA],MATCH(G126,SLATable[Priority],0))),"YES","NO"),"")</f>
        <v/>
      </c>
      <c r="AJ126" t="str">
        <f>_xlfn.IFNA(IF(AE126 &lt; (INDEX(SLATable[Maximum SLA],MATCH(G126,SLATable[Priority],0))),"YES","NO"),"")</f>
        <v/>
      </c>
    </row>
    <row r="127" spans="26:36" ht="15" customHeight="1">
      <c r="Z127" s="76" t="e">
        <f t="shared" ca="1" si="10"/>
        <v>#N/A</v>
      </c>
      <c r="AA127" s="75" t="e">
        <f t="shared" ca="1" si="11"/>
        <v>#N/A</v>
      </c>
      <c r="AB127" s="76">
        <f t="shared" ca="1" si="12"/>
        <v>0</v>
      </c>
      <c r="AC127" s="75">
        <f t="shared" ca="1" si="13"/>
        <v>0</v>
      </c>
      <c r="AD127" s="76">
        <f t="shared" ca="1" si="14"/>
        <v>12388.425643402781</v>
      </c>
      <c r="AE127" s="76">
        <f t="shared" si="15"/>
        <v>0</v>
      </c>
      <c r="AF127" s="75">
        <f t="shared" si="16"/>
        <v>0</v>
      </c>
      <c r="AG127" s="76">
        <f t="shared" si="2"/>
        <v>0</v>
      </c>
      <c r="AH127" s="31" t="e" cm="1">
        <f t="array" aca="1" ref="AH127" ca="1">IF((AD127) &lt; (INDEX(ResponseSLA[#All],(MATCH((G127),ResponseSLA[Priority],0))+1,3)),"YES","No")</f>
        <v>#N/A</v>
      </c>
      <c r="AI127" s="31" t="str">
        <f>_xlfn.IFNA(IF(AE127 &lt; (INDEX(SLATable[Minimum SLA],MATCH(G127,SLATable[Priority],0))),"YES","NO"),"")</f>
        <v/>
      </c>
      <c r="AJ127" t="str">
        <f>_xlfn.IFNA(IF(AE127 &lt; (INDEX(SLATable[Maximum SLA],MATCH(G127,SLATable[Priority],0))),"YES","NO"),"")</f>
        <v/>
      </c>
    </row>
    <row r="128" spans="26:36" ht="15" customHeight="1">
      <c r="Z128" s="76" t="e">
        <f t="shared" ca="1" si="10"/>
        <v>#N/A</v>
      </c>
      <c r="AA128" s="75" t="e">
        <f t="shared" ca="1" si="11"/>
        <v>#N/A</v>
      </c>
      <c r="AB128" s="76">
        <f t="shared" ca="1" si="12"/>
        <v>0</v>
      </c>
      <c r="AC128" s="75">
        <f t="shared" ca="1" si="13"/>
        <v>0</v>
      </c>
      <c r="AD128" s="76">
        <f t="shared" ca="1" si="14"/>
        <v>12388.425643402781</v>
      </c>
      <c r="AE128" s="76">
        <f t="shared" si="15"/>
        <v>0</v>
      </c>
      <c r="AF128" s="75">
        <f t="shared" si="16"/>
        <v>0</v>
      </c>
      <c r="AG128" s="76">
        <f t="shared" si="2"/>
        <v>0</v>
      </c>
      <c r="AH128" s="31" t="e" cm="1">
        <f t="array" aca="1" ref="AH128" ca="1">IF((AD128) &lt; (INDEX(ResponseSLA[#All],(MATCH((G128),ResponseSLA[Priority],0))+1,3)),"YES","No")</f>
        <v>#N/A</v>
      </c>
      <c r="AI128" s="31" t="str">
        <f>_xlfn.IFNA(IF(AE128 &lt; (INDEX(SLATable[Minimum SLA],MATCH(G128,SLATable[Priority],0))),"YES","NO"),"")</f>
        <v/>
      </c>
      <c r="AJ128" t="str">
        <f>_xlfn.IFNA(IF(AE128 &lt; (INDEX(SLATable[Maximum SLA],MATCH(G128,SLATable[Priority],0))),"YES","NO"),"")</f>
        <v/>
      </c>
    </row>
    <row r="129" spans="26:36" ht="15" customHeight="1">
      <c r="Z129" s="76" t="e">
        <f t="shared" ca="1" si="10"/>
        <v>#N/A</v>
      </c>
      <c r="AA129" s="75" t="e">
        <f t="shared" ca="1" si="11"/>
        <v>#N/A</v>
      </c>
      <c r="AB129" s="76">
        <f t="shared" ca="1" si="12"/>
        <v>0</v>
      </c>
      <c r="AC129" s="75">
        <f t="shared" ca="1" si="13"/>
        <v>0</v>
      </c>
      <c r="AD129" s="76">
        <f t="shared" ca="1" si="14"/>
        <v>12388.425643402781</v>
      </c>
      <c r="AE129" s="76">
        <f t="shared" si="15"/>
        <v>0</v>
      </c>
      <c r="AF129" s="75">
        <f t="shared" si="16"/>
        <v>0</v>
      </c>
      <c r="AG129" s="76">
        <f t="shared" si="2"/>
        <v>0</v>
      </c>
      <c r="AH129" s="31" t="e" cm="1">
        <f t="array" aca="1" ref="AH129" ca="1">IF((AD129) &lt; (INDEX(ResponseSLA[#All],(MATCH((G129),ResponseSLA[Priority],0))+1,3)),"YES","No")</f>
        <v>#N/A</v>
      </c>
      <c r="AI129" s="31" t="str">
        <f>_xlfn.IFNA(IF(AE129 &lt; (INDEX(SLATable[Minimum SLA],MATCH(G129,SLATable[Priority],0))),"YES","NO"),"")</f>
        <v/>
      </c>
      <c r="AJ129" t="str">
        <f>_xlfn.IFNA(IF(AE129 &lt; (INDEX(SLATable[Maximum SLA],MATCH(G129,SLATable[Priority],0))),"YES","NO"),"")</f>
        <v/>
      </c>
    </row>
    <row r="130" spans="26:36" ht="15" customHeight="1">
      <c r="Z130" s="76" t="e">
        <f t="shared" ca="1" si="10"/>
        <v>#N/A</v>
      </c>
      <c r="AA130" s="75" t="e">
        <f t="shared" ca="1" si="11"/>
        <v>#N/A</v>
      </c>
      <c r="AB130" s="76">
        <f t="shared" ca="1" si="12"/>
        <v>0</v>
      </c>
      <c r="AC130" s="75">
        <f t="shared" ca="1" si="13"/>
        <v>0</v>
      </c>
      <c r="AD130" s="76">
        <f t="shared" ca="1" si="14"/>
        <v>12388.425643402781</v>
      </c>
      <c r="AE130" s="76">
        <f t="shared" si="15"/>
        <v>0</v>
      </c>
      <c r="AF130" s="75">
        <f t="shared" si="16"/>
        <v>0</v>
      </c>
      <c r="AG130" s="76">
        <f t="shared" si="2"/>
        <v>0</v>
      </c>
      <c r="AH130" s="31" t="e" cm="1">
        <f t="array" aca="1" ref="AH130" ca="1">IF((AD130) &lt; (INDEX(ResponseSLA[#All],(MATCH((G130),ResponseSLA[Priority],0))+1,3)),"YES","No")</f>
        <v>#N/A</v>
      </c>
      <c r="AI130" s="31" t="str">
        <f>_xlfn.IFNA(IF(AE130 &lt; (INDEX(SLATable[Minimum SLA],MATCH(G130,SLATable[Priority],0))),"YES","NO"),"")</f>
        <v/>
      </c>
      <c r="AJ130" t="str">
        <f>_xlfn.IFNA(IF(AE130 &lt; (INDEX(SLATable[Maximum SLA],MATCH(G130,SLATable[Priority],0))),"YES","NO"),"")</f>
        <v/>
      </c>
    </row>
    <row r="131" spans="26:36" ht="15" customHeight="1">
      <c r="Z131" s="76" t="e">
        <f t="shared" ref="Z131:Z194" ca="1" si="17">IF(NOT(OR(G131=1,G131=2)),MAX(0,_xlfn.IFS(AND(K131&lt;&gt;"",N131&lt;&gt;""),((MAX(NETWORKDAYS(K131,N131,UKBankHolidays)-1,0))*(TIME(17,0,0)-TIME(8,0,0))+IF(NETWORKDAYS(N131,N131,UKBankHolidays)&gt;0,MEDIAN(TIME(8,0,0),MOD(N131,1),TIME(17,0,0)),TIME(8,0,0))-IF(NETWORKDAYS(K131,K131,UKBankHolidays)&gt;0,MEDIAN(TIME(8,0,0),MOD(K131,1),TIME(17,0,0)),TIME(8,0,0)))-IF(AND(O131&lt;&gt;"",P131&lt;&gt;""),((MAX(NETWORKDAYS(O131,P131,UKBankHolidays)-1,0))*(TIME(17,0,0)-TIME(8,0,0))+IF(NETWORKDAYS(P131,P131,UKBankHolidays)&gt;0,MEDIAN(TIME(8,0,0),MOD(P131,1),TIME(17,0,0)),TIME(8,0,0))-IF(NETWORKDAYS(O131,O131,UKBankHolidays)&gt;0,MEDIAN(TIME(8,0,0),MOD(O131,1),TIME(17,0,0)),TIME(8,0,0))),0),AND(K131&lt;&gt;"",N131=""),((MAX(NETWORKDAYS(K131,NOW(),UKBankHolidays)-1,0))*(TIME(17,0,0)-TIME(8,0,0))+IF(NETWORKDAYS(NOW(),NOW(),UKBankHolidays)&gt;0,MEDIAN(TIME(8,0,0),MOD(NOW(),1),TIME(17,0,0)),TIME(8,0,0))-IF(NETWORKDAYS(K131,K131,UKBankHolidays)&gt;0,MEDIAN(TIME(8,0,0),MOD(K131,1),TIME(17,0,0)),TIME(8,0,0))))),IF(N131="",NOW()-K131,N131-K131))</f>
        <v>#N/A</v>
      </c>
      <c r="AA131" s="75" t="e">
        <f t="shared" ref="AA131:AA194" ca="1" si="18">(Z131*24)/9</f>
        <v>#N/A</v>
      </c>
      <c r="AB131" s="76">
        <f t="shared" ref="AB131:AB194" ca="1" si="19">IF(NOT(OR(G131=1,G131=2)),MAX(0,_xlfn.IFS(AND(K131&lt;&gt;"",N131&lt;&gt;""),(((MAX(NETWORKDAYS(L131,N131,UKBankHolidays)-1,0))*(TIME(17,0,0)-TIME(8,0,0)))+IF(NETWORKDAYS(N131,N131,UKBankHolidays)&gt;0,MEDIAN(TIME(8,0,0),MOD(N131,1),TIME(17,0,0)),TIME(8,0,0))-IF(NETWORKDAYS(L131,L131,UKBankHolidays)&gt;0,MEDIAN(TIME(8,0,0),MOD(L131,1),TIME(17,0,0)),TIME(8,0,0)))-IF(AND(O131&lt;&gt;"",P131&lt;&gt;""),(((MAX(NETWORKDAYS(O131,P131,UKBankHolidays)-1,0))*(TIME(17,0,0)-TIME(8,0,0)))+IF(NETWORKDAYS(P131,P131,UKBankHolidays)&gt;0,MEDIAN(TIME(8,0,0),MOD(P131,1),TIME(17,0,0)),TIME(8,0,0))-IF(NETWORKDAYS(O131,O131,UKBankHolidays)&gt;0,MEDIAN(TIME(8,0,0),MOD(O131,1),TIME(17,0,0)),TIME(8,0,0))),0),AND(L131&lt;&gt;"",N131="",O131=""),(((MAX(NETWORKDAYS(L131,NOW(),UKBankHolidays)-1,0))*(TIME(17,0,0)-TIME(8,0,0)))+IF(NETWORKDAYS(NOW(),NOW(),UKBankHolidays)&gt;0,MEDIAN(TIME(8,0,0),MOD(NOW(),1),TIME(17,0,0)),TIME(8,0,0))-IF(NETWORKDAYS(L131,L131,UKBankHolidays)&gt;0,MEDIAN(TIME(8,0,0),MOD(L131,1),TIME(17,0,0)),TIME(8,0,0)))-IF(AND(O131&lt;&gt;"",P131&lt;&gt;""),(((MAX(NETWORKDAYS(O131,P131,UKBankHolidays)-1,0))*(TIME(17,0,0)-TIME(8,0,0)))+IF(NETWORKDAYS(P131,P131,UKBankHolidays)&gt;0,MEDIAN(TIME(8,0,0),MOD(P131,1),TIME(17,0,0)),TIME(8,0,0))-IF(NETWORKDAYS(O131,O131,UKBankHolidays)&gt;0,MEDIAN(TIME(8,0,0),MOD(O131,1),TIME(17,0,0)),TIME(8,0,0))),0),AND(L131&lt;&gt;"",N131="",P131="",O131&lt;&gt;""),(((MAX(NETWORKDAYS(L131,O131,UKBankHolidays)-1,0))*(TIME(17,0,0)-TIME(8,0,0)))+IF(NETWORKDAYS(O131,O131,UKBankHolidays)&gt;0,MEDIAN(TIME(8,0,0),MOD(O131,1),TIME(17,0,0)),TIME(8,0,0))-IF(NETWORKDAYS(L131,L131,UKBankHolidays)&gt;0,MEDIAN(TIME(8,0,0),MOD(L131,1),TIME(17,0,0)),TIME(8,0,0))),ISBLANK(K131),"0")),IF(ISBLANK(N131),NOW()-L131,N131-L131))</f>
        <v>0</v>
      </c>
      <c r="AC131" s="75">
        <f t="shared" ref="AC131:AC194" ca="1" si="20">(AB131*24)/9</f>
        <v>0</v>
      </c>
      <c r="AD131" s="76">
        <f t="shared" ref="AD131:AD194" ca="1" si="21">MAX(0,IF(NOT(OR(G131=1,G131=2)),IF(M131&lt;&gt;"",((MAX(NETWORKDAYS(L131,M131,UKBankHolidays)-1,0))*(TIME(17,0,0)-TIME(8,0,0))+IF(NETWORKDAYS(M131,M131,UKBankHolidays)&gt;0,MEDIAN(TIME(8,0,0),MOD(M131,1),TIME(17,0,0)),TIME(8,0,0))-MEDIAN(TIME(8,0,0),MOD(L131,1),TIME(17,0,0))),((MAX(NETWORKDAYS(L131,NOW(),UKBankHolidays)-1,0))*(TIME(17,0,0)-TIME(8,0,0))+IF(NETWORKDAYS(NOW(),NOW(),UKBankHolidays)&gt;0,MEDIAN(TIME(8,0,0),MOD(NOW(),1),TIME(17,0,0)),TIME(8,0,0))-MEDIAN(TIME(8,0,0),MOD(L131,1),TIME(17,0,0)))),IF(M131&lt;&gt;"",M131-L131,NOW()-L131)))</f>
        <v>12388.425643402781</v>
      </c>
      <c r="AE131" s="76">
        <f t="shared" ref="AE131:AE194" si="22">SUMIFS(AB:AB,E:E,E131)</f>
        <v>0</v>
      </c>
      <c r="AF131" s="75">
        <f t="shared" ref="AF131:AF194" si="23">(AE131*24)/9</f>
        <v>0</v>
      </c>
      <c r="AG131" s="76">
        <f t="shared" si="2"/>
        <v>0</v>
      </c>
      <c r="AH131" s="31" t="e" cm="1">
        <f t="array" aca="1" ref="AH131" ca="1">IF((AD131) &lt; (INDEX(ResponseSLA[#All],(MATCH((G131),ResponseSLA[Priority],0))+1,3)),"YES","No")</f>
        <v>#N/A</v>
      </c>
      <c r="AI131" s="31" t="str">
        <f>_xlfn.IFNA(IF(AE131 &lt; (INDEX(SLATable[Minimum SLA],MATCH(G131,SLATable[Priority],0))),"YES","NO"),"")</f>
        <v/>
      </c>
      <c r="AJ131" t="str">
        <f>_xlfn.IFNA(IF(AE131 &lt; (INDEX(SLATable[Maximum SLA],MATCH(G131,SLATable[Priority],0))),"YES","NO"),"")</f>
        <v/>
      </c>
    </row>
    <row r="132" spans="26:36" ht="15" customHeight="1">
      <c r="Z132" s="76" t="e">
        <f t="shared" ca="1" si="17"/>
        <v>#N/A</v>
      </c>
      <c r="AA132" s="75" t="e">
        <f t="shared" ca="1" si="18"/>
        <v>#N/A</v>
      </c>
      <c r="AB132" s="76">
        <f t="shared" ca="1" si="19"/>
        <v>0</v>
      </c>
      <c r="AC132" s="75">
        <f t="shared" ca="1" si="20"/>
        <v>0</v>
      </c>
      <c r="AD132" s="76">
        <f t="shared" ca="1" si="21"/>
        <v>12388.425643402781</v>
      </c>
      <c r="AE132" s="76">
        <f t="shared" si="22"/>
        <v>0</v>
      </c>
      <c r="AF132" s="75">
        <f t="shared" si="23"/>
        <v>0</v>
      </c>
      <c r="AG132" s="76">
        <f t="shared" si="2"/>
        <v>0</v>
      </c>
      <c r="AH132" s="31" t="e" cm="1">
        <f t="array" aca="1" ref="AH132" ca="1">IF((AD132) &lt; (INDEX(ResponseSLA[#All],(MATCH((G132),ResponseSLA[Priority],0))+1,3)),"YES","No")</f>
        <v>#N/A</v>
      </c>
      <c r="AI132" s="31" t="str">
        <f>_xlfn.IFNA(IF(AE132 &lt; (INDEX(SLATable[Minimum SLA],MATCH(G132,SLATable[Priority],0))),"YES","NO"),"")</f>
        <v/>
      </c>
      <c r="AJ132" t="str">
        <f>_xlfn.IFNA(IF(AE132 &lt; (INDEX(SLATable[Maximum SLA],MATCH(G132,SLATable[Priority],0))),"YES","NO"),"")</f>
        <v/>
      </c>
    </row>
    <row r="133" spans="26:36" ht="15" customHeight="1">
      <c r="Z133" s="76" t="e">
        <f t="shared" ca="1" si="17"/>
        <v>#N/A</v>
      </c>
      <c r="AA133" s="75" t="e">
        <f t="shared" ca="1" si="18"/>
        <v>#N/A</v>
      </c>
      <c r="AB133" s="76">
        <f t="shared" ca="1" si="19"/>
        <v>0</v>
      </c>
      <c r="AC133" s="75">
        <f t="shared" ca="1" si="20"/>
        <v>0</v>
      </c>
      <c r="AD133" s="76">
        <f t="shared" ca="1" si="21"/>
        <v>12388.425643402781</v>
      </c>
      <c r="AE133" s="76">
        <f t="shared" si="22"/>
        <v>0</v>
      </c>
      <c r="AF133" s="75">
        <f t="shared" si="23"/>
        <v>0</v>
      </c>
      <c r="AG133" s="76">
        <f t="shared" si="2"/>
        <v>0</v>
      </c>
      <c r="AH133" s="31" t="e" cm="1">
        <f t="array" aca="1" ref="AH133" ca="1">IF((AD133) &lt; (INDEX(ResponseSLA[#All],(MATCH((G133),ResponseSLA[Priority],0))+1,3)),"YES","No")</f>
        <v>#N/A</v>
      </c>
      <c r="AI133" s="31" t="str">
        <f>_xlfn.IFNA(IF(AE133 &lt; (INDEX(SLATable[Minimum SLA],MATCH(G133,SLATable[Priority],0))),"YES","NO"),"")</f>
        <v/>
      </c>
      <c r="AJ133" t="str">
        <f>_xlfn.IFNA(IF(AE133 &lt; (INDEX(SLATable[Maximum SLA],MATCH(G133,SLATable[Priority],0))),"YES","NO"),"")</f>
        <v/>
      </c>
    </row>
    <row r="134" spans="26:36" ht="15" customHeight="1">
      <c r="Z134" s="76" t="e">
        <f t="shared" ca="1" si="17"/>
        <v>#N/A</v>
      </c>
      <c r="AA134" s="75" t="e">
        <f t="shared" ca="1" si="18"/>
        <v>#N/A</v>
      </c>
      <c r="AB134" s="76">
        <f t="shared" ca="1" si="19"/>
        <v>0</v>
      </c>
      <c r="AC134" s="75">
        <f t="shared" ca="1" si="20"/>
        <v>0</v>
      </c>
      <c r="AD134" s="76">
        <f t="shared" ca="1" si="21"/>
        <v>12388.425643402781</v>
      </c>
      <c r="AE134" s="76">
        <f t="shared" si="22"/>
        <v>0</v>
      </c>
      <c r="AF134" s="75">
        <f t="shared" si="23"/>
        <v>0</v>
      </c>
      <c r="AG134" s="76">
        <f t="shared" si="2"/>
        <v>0</v>
      </c>
      <c r="AH134" s="31" t="e" cm="1">
        <f t="array" aca="1" ref="AH134" ca="1">IF((AD134) &lt; (INDEX(ResponseSLA[#All],(MATCH((G134),ResponseSLA[Priority],0))+1,3)),"YES","No")</f>
        <v>#N/A</v>
      </c>
      <c r="AI134" s="31" t="str">
        <f>_xlfn.IFNA(IF(AE134 &lt; (INDEX(SLATable[Minimum SLA],MATCH(G134,SLATable[Priority],0))),"YES","NO"),"")</f>
        <v/>
      </c>
      <c r="AJ134" t="str">
        <f>_xlfn.IFNA(IF(AE134 &lt; (INDEX(SLATable[Maximum SLA],MATCH(G134,SLATable[Priority],0))),"YES","NO"),"")</f>
        <v/>
      </c>
    </row>
    <row r="135" spans="26:36" ht="15" customHeight="1">
      <c r="Z135" s="76" t="e">
        <f t="shared" ca="1" si="17"/>
        <v>#N/A</v>
      </c>
      <c r="AA135" s="75" t="e">
        <f t="shared" ca="1" si="18"/>
        <v>#N/A</v>
      </c>
      <c r="AB135" s="76">
        <f t="shared" ca="1" si="19"/>
        <v>0</v>
      </c>
      <c r="AC135" s="75">
        <f t="shared" ca="1" si="20"/>
        <v>0</v>
      </c>
      <c r="AD135" s="76">
        <f t="shared" ca="1" si="21"/>
        <v>12388.425643402781</v>
      </c>
      <c r="AE135" s="76">
        <f t="shared" si="22"/>
        <v>0</v>
      </c>
      <c r="AF135" s="75">
        <f t="shared" si="23"/>
        <v>0</v>
      </c>
      <c r="AG135" s="76">
        <f t="shared" si="2"/>
        <v>0</v>
      </c>
      <c r="AH135" s="31" t="e" cm="1">
        <f t="array" aca="1" ref="AH135" ca="1">IF((AD135) &lt; (INDEX(ResponseSLA[#All],(MATCH((G135),ResponseSLA[Priority],0))+1,3)),"YES","No")</f>
        <v>#N/A</v>
      </c>
      <c r="AI135" s="31" t="str">
        <f>_xlfn.IFNA(IF(AE135 &lt; (INDEX(SLATable[Minimum SLA],MATCH(G135,SLATable[Priority],0))),"YES","NO"),"")</f>
        <v/>
      </c>
      <c r="AJ135" t="str">
        <f>_xlfn.IFNA(IF(AE135 &lt; (INDEX(SLATable[Maximum SLA],MATCH(G135,SLATable[Priority],0))),"YES","NO"),"")</f>
        <v/>
      </c>
    </row>
    <row r="136" spans="26:36" ht="15" customHeight="1">
      <c r="Z136" s="76" t="e">
        <f t="shared" ca="1" si="17"/>
        <v>#N/A</v>
      </c>
      <c r="AA136" s="75" t="e">
        <f t="shared" ca="1" si="18"/>
        <v>#N/A</v>
      </c>
      <c r="AB136" s="76">
        <f t="shared" ca="1" si="19"/>
        <v>0</v>
      </c>
      <c r="AC136" s="75">
        <f t="shared" ca="1" si="20"/>
        <v>0</v>
      </c>
      <c r="AD136" s="76">
        <f t="shared" ca="1" si="21"/>
        <v>12388.425643402781</v>
      </c>
      <c r="AE136" s="76">
        <f t="shared" si="22"/>
        <v>0</v>
      </c>
      <c r="AF136" s="75">
        <f t="shared" si="23"/>
        <v>0</v>
      </c>
      <c r="AG136" s="76">
        <f t="shared" si="2"/>
        <v>0</v>
      </c>
      <c r="AH136" s="31" t="e" cm="1">
        <f t="array" aca="1" ref="AH136" ca="1">IF((AD136) &lt; (INDEX(ResponseSLA[#All],(MATCH((G136),ResponseSLA[Priority],0))+1,3)),"YES","No")</f>
        <v>#N/A</v>
      </c>
      <c r="AI136" s="31" t="str">
        <f>_xlfn.IFNA(IF(AE136 &lt; (INDEX(SLATable[Minimum SLA],MATCH(G136,SLATable[Priority],0))),"YES","NO"),"")</f>
        <v/>
      </c>
      <c r="AJ136" t="str">
        <f>_xlfn.IFNA(IF(AE136 &lt; (INDEX(SLATable[Maximum SLA],MATCH(G136,SLATable[Priority],0))),"YES","NO"),"")</f>
        <v/>
      </c>
    </row>
    <row r="137" spans="26:36" ht="15" customHeight="1">
      <c r="Z137" s="76" t="e">
        <f t="shared" ca="1" si="17"/>
        <v>#N/A</v>
      </c>
      <c r="AA137" s="75" t="e">
        <f t="shared" ca="1" si="18"/>
        <v>#N/A</v>
      </c>
      <c r="AB137" s="76">
        <f t="shared" ca="1" si="19"/>
        <v>0</v>
      </c>
      <c r="AC137" s="75">
        <f t="shared" ca="1" si="20"/>
        <v>0</v>
      </c>
      <c r="AD137" s="76">
        <f t="shared" ca="1" si="21"/>
        <v>12388.425643402781</v>
      </c>
      <c r="AE137" s="76">
        <f t="shared" si="22"/>
        <v>0</v>
      </c>
      <c r="AF137" s="75">
        <f t="shared" si="23"/>
        <v>0</v>
      </c>
      <c r="AG137" s="76">
        <f t="shared" si="2"/>
        <v>0</v>
      </c>
      <c r="AH137" s="31" t="e" cm="1">
        <f t="array" aca="1" ref="AH137" ca="1">IF((AD137) &lt; (INDEX(ResponseSLA[#All],(MATCH((G137),ResponseSLA[Priority],0))+1,3)),"YES","No")</f>
        <v>#N/A</v>
      </c>
      <c r="AI137" s="31" t="str">
        <f>_xlfn.IFNA(IF(AE137 &lt; (INDEX(SLATable[Minimum SLA],MATCH(G137,SLATable[Priority],0))),"YES","NO"),"")</f>
        <v/>
      </c>
      <c r="AJ137" t="str">
        <f>_xlfn.IFNA(IF(AE137 &lt; (INDEX(SLATable[Maximum SLA],MATCH(G137,SLATable[Priority],0))),"YES","NO"),"")</f>
        <v/>
      </c>
    </row>
    <row r="138" spans="26:36" ht="15" customHeight="1">
      <c r="Z138" s="76" t="e">
        <f t="shared" ca="1" si="17"/>
        <v>#N/A</v>
      </c>
      <c r="AA138" s="75" t="e">
        <f t="shared" ca="1" si="18"/>
        <v>#N/A</v>
      </c>
      <c r="AB138" s="76">
        <f t="shared" ca="1" si="19"/>
        <v>0</v>
      </c>
      <c r="AC138" s="75">
        <f t="shared" ca="1" si="20"/>
        <v>0</v>
      </c>
      <c r="AD138" s="76">
        <f t="shared" ca="1" si="21"/>
        <v>12388.425643402781</v>
      </c>
      <c r="AE138" s="76">
        <f t="shared" si="22"/>
        <v>0</v>
      </c>
      <c r="AF138" s="75">
        <f t="shared" si="23"/>
        <v>0</v>
      </c>
      <c r="AG138" s="76">
        <f t="shared" si="2"/>
        <v>0</v>
      </c>
      <c r="AH138" s="31" t="e" cm="1">
        <f t="array" aca="1" ref="AH138" ca="1">IF((AD138) &lt; (INDEX(ResponseSLA[#All],(MATCH((G138),ResponseSLA[Priority],0))+1,3)),"YES","No")</f>
        <v>#N/A</v>
      </c>
      <c r="AI138" s="31" t="str">
        <f>_xlfn.IFNA(IF(AE138 &lt; (INDEX(SLATable[Minimum SLA],MATCH(G138,SLATable[Priority],0))),"YES","NO"),"")</f>
        <v/>
      </c>
      <c r="AJ138" t="str">
        <f>_xlfn.IFNA(IF(AE138 &lt; (INDEX(SLATable[Maximum SLA],MATCH(G138,SLATable[Priority],0))),"YES","NO"),"")</f>
        <v/>
      </c>
    </row>
    <row r="139" spans="26:36" ht="15" customHeight="1">
      <c r="Z139" s="76" t="e">
        <f t="shared" ca="1" si="17"/>
        <v>#N/A</v>
      </c>
      <c r="AA139" s="75" t="e">
        <f t="shared" ca="1" si="18"/>
        <v>#N/A</v>
      </c>
      <c r="AB139" s="76">
        <f t="shared" ca="1" si="19"/>
        <v>0</v>
      </c>
      <c r="AC139" s="75">
        <f t="shared" ca="1" si="20"/>
        <v>0</v>
      </c>
      <c r="AD139" s="76">
        <f t="shared" ca="1" si="21"/>
        <v>12388.425643402781</v>
      </c>
      <c r="AE139" s="76">
        <f t="shared" si="22"/>
        <v>0</v>
      </c>
      <c r="AF139" s="75">
        <f t="shared" si="23"/>
        <v>0</v>
      </c>
      <c r="AG139" s="76">
        <f t="shared" si="2"/>
        <v>0</v>
      </c>
      <c r="AH139" s="31" t="e" cm="1">
        <f t="array" aca="1" ref="AH139" ca="1">IF((AD139) &lt; (INDEX(ResponseSLA[#All],(MATCH((G139),ResponseSLA[Priority],0))+1,3)),"YES","No")</f>
        <v>#N/A</v>
      </c>
      <c r="AI139" s="31" t="str">
        <f>_xlfn.IFNA(IF(AE139 &lt; (INDEX(SLATable[Minimum SLA],MATCH(G139,SLATable[Priority],0))),"YES","NO"),"")</f>
        <v/>
      </c>
      <c r="AJ139" t="str">
        <f>_xlfn.IFNA(IF(AE139 &lt; (INDEX(SLATable[Maximum SLA],MATCH(G139,SLATable[Priority],0))),"YES","NO"),"")</f>
        <v/>
      </c>
    </row>
    <row r="140" spans="26:36" ht="15" customHeight="1">
      <c r="Z140" s="76" t="e">
        <f t="shared" ca="1" si="17"/>
        <v>#N/A</v>
      </c>
      <c r="AA140" s="75" t="e">
        <f t="shared" ca="1" si="18"/>
        <v>#N/A</v>
      </c>
      <c r="AB140" s="76">
        <f t="shared" ca="1" si="19"/>
        <v>0</v>
      </c>
      <c r="AC140" s="75">
        <f t="shared" ca="1" si="20"/>
        <v>0</v>
      </c>
      <c r="AD140" s="76">
        <f t="shared" ca="1" si="21"/>
        <v>12388.425643402781</v>
      </c>
      <c r="AE140" s="76">
        <f t="shared" si="22"/>
        <v>0</v>
      </c>
      <c r="AF140" s="75">
        <f t="shared" si="23"/>
        <v>0</v>
      </c>
      <c r="AG140" s="76">
        <f t="shared" si="2"/>
        <v>0</v>
      </c>
      <c r="AH140" s="31" t="e" cm="1">
        <f t="array" aca="1" ref="AH140" ca="1">IF((AD140) &lt; (INDEX(ResponseSLA[#All],(MATCH((G140),ResponseSLA[Priority],0))+1,3)),"YES","No")</f>
        <v>#N/A</v>
      </c>
      <c r="AI140" s="31" t="str">
        <f>_xlfn.IFNA(IF(AE140 &lt; (INDEX(SLATable[Minimum SLA],MATCH(G140,SLATable[Priority],0))),"YES","NO"),"")</f>
        <v/>
      </c>
      <c r="AJ140" t="str">
        <f>_xlfn.IFNA(IF(AE140 &lt; (INDEX(SLATable[Maximum SLA],MATCH(G140,SLATable[Priority],0))),"YES","NO"),"")</f>
        <v/>
      </c>
    </row>
    <row r="141" spans="26:36" ht="15" customHeight="1">
      <c r="Z141" s="76" t="e">
        <f t="shared" ca="1" si="17"/>
        <v>#N/A</v>
      </c>
      <c r="AA141" s="75" t="e">
        <f t="shared" ca="1" si="18"/>
        <v>#N/A</v>
      </c>
      <c r="AB141" s="76">
        <f t="shared" ca="1" si="19"/>
        <v>0</v>
      </c>
      <c r="AC141" s="75">
        <f t="shared" ca="1" si="20"/>
        <v>0</v>
      </c>
      <c r="AD141" s="76">
        <f t="shared" ca="1" si="21"/>
        <v>12388.425643402781</v>
      </c>
      <c r="AE141" s="76">
        <f t="shared" si="22"/>
        <v>0</v>
      </c>
      <c r="AF141" s="75">
        <f t="shared" si="23"/>
        <v>0</v>
      </c>
      <c r="AG141" s="76">
        <f t="shared" si="2"/>
        <v>0</v>
      </c>
      <c r="AH141" s="31" t="e" cm="1">
        <f t="array" aca="1" ref="AH141" ca="1">IF((AD141) &lt; (INDEX(ResponseSLA[#All],(MATCH((G141),ResponseSLA[Priority],0))+1,3)),"YES","No")</f>
        <v>#N/A</v>
      </c>
      <c r="AI141" s="31" t="str">
        <f>_xlfn.IFNA(IF(AE141 &lt; (INDEX(SLATable[Minimum SLA],MATCH(G141,SLATable[Priority],0))),"YES","NO"),"")</f>
        <v/>
      </c>
      <c r="AJ141" t="str">
        <f>_xlfn.IFNA(IF(AE141 &lt; (INDEX(SLATable[Maximum SLA],MATCH(G141,SLATable[Priority],0))),"YES","NO"),"")</f>
        <v/>
      </c>
    </row>
    <row r="142" spans="26:36" ht="15" customHeight="1">
      <c r="Z142" s="76" t="e">
        <f t="shared" ca="1" si="17"/>
        <v>#N/A</v>
      </c>
      <c r="AA142" s="75" t="e">
        <f t="shared" ca="1" si="18"/>
        <v>#N/A</v>
      </c>
      <c r="AB142" s="76">
        <f t="shared" ca="1" si="19"/>
        <v>0</v>
      </c>
      <c r="AC142" s="75">
        <f t="shared" ca="1" si="20"/>
        <v>0</v>
      </c>
      <c r="AD142" s="76">
        <f t="shared" ca="1" si="21"/>
        <v>12388.425643402781</v>
      </c>
      <c r="AE142" s="76">
        <f t="shared" si="22"/>
        <v>0</v>
      </c>
      <c r="AF142" s="75">
        <f t="shared" si="23"/>
        <v>0</v>
      </c>
      <c r="AG142" s="76">
        <f t="shared" si="2"/>
        <v>0</v>
      </c>
      <c r="AH142" s="31" t="e" cm="1">
        <f t="array" aca="1" ref="AH142" ca="1">IF((AD142) &lt; (INDEX(ResponseSLA[#All],(MATCH((G142),ResponseSLA[Priority],0))+1,3)),"YES","No")</f>
        <v>#N/A</v>
      </c>
      <c r="AI142" s="31" t="str">
        <f>_xlfn.IFNA(IF(AE142 &lt; (INDEX(SLATable[Minimum SLA],MATCH(G142,SLATable[Priority],0))),"YES","NO"),"")</f>
        <v/>
      </c>
      <c r="AJ142" t="str">
        <f>_xlfn.IFNA(IF(AE142 &lt; (INDEX(SLATable[Maximum SLA],MATCH(G142,SLATable[Priority],0))),"YES","NO"),"")</f>
        <v/>
      </c>
    </row>
    <row r="143" spans="26:36" ht="15" customHeight="1">
      <c r="Z143" s="76" t="e">
        <f t="shared" ca="1" si="17"/>
        <v>#N/A</v>
      </c>
      <c r="AA143" s="75" t="e">
        <f t="shared" ca="1" si="18"/>
        <v>#N/A</v>
      </c>
      <c r="AB143" s="76">
        <f t="shared" ca="1" si="19"/>
        <v>0</v>
      </c>
      <c r="AC143" s="75">
        <f t="shared" ca="1" si="20"/>
        <v>0</v>
      </c>
      <c r="AD143" s="76">
        <f t="shared" ca="1" si="21"/>
        <v>12388.425643402781</v>
      </c>
      <c r="AE143" s="76">
        <f t="shared" si="22"/>
        <v>0</v>
      </c>
      <c r="AF143" s="75">
        <f t="shared" si="23"/>
        <v>0</v>
      </c>
      <c r="AG143" s="76">
        <f t="shared" si="2"/>
        <v>0</v>
      </c>
      <c r="AH143" s="31" t="e" cm="1">
        <f t="array" aca="1" ref="AH143" ca="1">IF((AD143) &lt; (INDEX(ResponseSLA[#All],(MATCH((G143),ResponseSLA[Priority],0))+1,3)),"YES","No")</f>
        <v>#N/A</v>
      </c>
      <c r="AI143" s="31" t="str">
        <f>_xlfn.IFNA(IF(AE143 &lt; (INDEX(SLATable[Minimum SLA],MATCH(G143,SLATable[Priority],0))),"YES","NO"),"")</f>
        <v/>
      </c>
      <c r="AJ143" t="str">
        <f>_xlfn.IFNA(IF(AE143 &lt; (INDEX(SLATable[Maximum SLA],MATCH(G143,SLATable[Priority],0))),"YES","NO"),"")</f>
        <v/>
      </c>
    </row>
    <row r="144" spans="26:36" ht="15" customHeight="1">
      <c r="Z144" s="76" t="e">
        <f t="shared" ca="1" si="17"/>
        <v>#N/A</v>
      </c>
      <c r="AA144" s="75" t="e">
        <f t="shared" ca="1" si="18"/>
        <v>#N/A</v>
      </c>
      <c r="AB144" s="76">
        <f t="shared" ca="1" si="19"/>
        <v>0</v>
      </c>
      <c r="AC144" s="75">
        <f t="shared" ca="1" si="20"/>
        <v>0</v>
      </c>
      <c r="AD144" s="76">
        <f t="shared" ca="1" si="21"/>
        <v>12388.425643402781</v>
      </c>
      <c r="AE144" s="76">
        <f t="shared" si="22"/>
        <v>0</v>
      </c>
      <c r="AF144" s="75">
        <f t="shared" si="23"/>
        <v>0</v>
      </c>
      <c r="AG144" s="76">
        <f t="shared" si="2"/>
        <v>0</v>
      </c>
      <c r="AH144" s="31" t="e" cm="1">
        <f t="array" aca="1" ref="AH144" ca="1">IF((AD144) &lt; (INDEX(ResponseSLA[#All],(MATCH((G144),ResponseSLA[Priority],0))+1,3)),"YES","No")</f>
        <v>#N/A</v>
      </c>
      <c r="AI144" s="31" t="str">
        <f>_xlfn.IFNA(IF(AE144 &lt; (INDEX(SLATable[Minimum SLA],MATCH(G144,SLATable[Priority],0))),"YES","NO"),"")</f>
        <v/>
      </c>
      <c r="AJ144" t="str">
        <f>_xlfn.IFNA(IF(AE144 &lt; (INDEX(SLATable[Maximum SLA],MATCH(G144,SLATable[Priority],0))),"YES","NO"),"")</f>
        <v/>
      </c>
    </row>
    <row r="145" spans="26:36" ht="15" customHeight="1">
      <c r="Z145" s="76" t="e">
        <f t="shared" ca="1" si="17"/>
        <v>#N/A</v>
      </c>
      <c r="AA145" s="75" t="e">
        <f t="shared" ca="1" si="18"/>
        <v>#N/A</v>
      </c>
      <c r="AB145" s="76">
        <f t="shared" ca="1" si="19"/>
        <v>0</v>
      </c>
      <c r="AC145" s="75">
        <f t="shared" ca="1" si="20"/>
        <v>0</v>
      </c>
      <c r="AD145" s="76">
        <f t="shared" ca="1" si="21"/>
        <v>12388.425643402781</v>
      </c>
      <c r="AE145" s="76">
        <f t="shared" si="22"/>
        <v>0</v>
      </c>
      <c r="AF145" s="75">
        <f t="shared" si="23"/>
        <v>0</v>
      </c>
      <c r="AG145" s="76">
        <f t="shared" si="2"/>
        <v>0</v>
      </c>
      <c r="AH145" s="31" t="e" cm="1">
        <f t="array" aca="1" ref="AH145" ca="1">IF((AD145) &lt; (INDEX(ResponseSLA[#All],(MATCH((G145),ResponseSLA[Priority],0))+1,3)),"YES","No")</f>
        <v>#N/A</v>
      </c>
      <c r="AI145" s="31" t="str">
        <f>_xlfn.IFNA(IF(AE145 &lt; (INDEX(SLATable[Minimum SLA],MATCH(G145,SLATable[Priority],0))),"YES","NO"),"")</f>
        <v/>
      </c>
      <c r="AJ145" t="str">
        <f>_xlfn.IFNA(IF(AE145 &lt; (INDEX(SLATable[Maximum SLA],MATCH(G145,SLATable[Priority],0))),"YES","NO"),"")</f>
        <v/>
      </c>
    </row>
    <row r="146" spans="26:36" ht="15" customHeight="1">
      <c r="Z146" s="76" t="e">
        <f t="shared" ca="1" si="17"/>
        <v>#N/A</v>
      </c>
      <c r="AA146" s="75" t="e">
        <f t="shared" ca="1" si="18"/>
        <v>#N/A</v>
      </c>
      <c r="AB146" s="76">
        <f t="shared" ca="1" si="19"/>
        <v>0</v>
      </c>
      <c r="AC146" s="75">
        <f t="shared" ca="1" si="20"/>
        <v>0</v>
      </c>
      <c r="AD146" s="76">
        <f t="shared" ca="1" si="21"/>
        <v>12388.425643402781</v>
      </c>
      <c r="AE146" s="76">
        <f t="shared" si="22"/>
        <v>0</v>
      </c>
      <c r="AF146" s="75">
        <f t="shared" si="23"/>
        <v>0</v>
      </c>
      <c r="AG146" s="76">
        <f t="shared" si="2"/>
        <v>0</v>
      </c>
      <c r="AH146" s="31" t="e" cm="1">
        <f t="array" aca="1" ref="AH146" ca="1">IF((AD146) &lt; (INDEX(ResponseSLA[#All],(MATCH((G146),ResponseSLA[Priority],0))+1,3)),"YES","No")</f>
        <v>#N/A</v>
      </c>
      <c r="AI146" s="31" t="str">
        <f>_xlfn.IFNA(IF(AE146 &lt; (INDEX(SLATable[Minimum SLA],MATCH(G146,SLATable[Priority],0))),"YES","NO"),"")</f>
        <v/>
      </c>
      <c r="AJ146" t="str">
        <f>_xlfn.IFNA(IF(AE146 &lt; (INDEX(SLATable[Maximum SLA],MATCH(G146,SLATable[Priority],0))),"YES","NO"),"")</f>
        <v/>
      </c>
    </row>
    <row r="147" spans="26:36" ht="15" customHeight="1">
      <c r="Z147" s="76" t="e">
        <f t="shared" ca="1" si="17"/>
        <v>#N/A</v>
      </c>
      <c r="AA147" s="75" t="e">
        <f t="shared" ca="1" si="18"/>
        <v>#N/A</v>
      </c>
      <c r="AB147" s="76">
        <f t="shared" ca="1" si="19"/>
        <v>0</v>
      </c>
      <c r="AC147" s="75">
        <f t="shared" ca="1" si="20"/>
        <v>0</v>
      </c>
      <c r="AD147" s="76">
        <f t="shared" ca="1" si="21"/>
        <v>12388.425643402781</v>
      </c>
      <c r="AE147" s="76">
        <f t="shared" si="22"/>
        <v>0</v>
      </c>
      <c r="AF147" s="75">
        <f t="shared" si="23"/>
        <v>0</v>
      </c>
      <c r="AG147" s="76">
        <f t="shared" si="2"/>
        <v>0</v>
      </c>
      <c r="AH147" s="31" t="e" cm="1">
        <f t="array" aca="1" ref="AH147" ca="1">IF((AD147) &lt; (INDEX(ResponseSLA[#All],(MATCH((G147),ResponseSLA[Priority],0))+1,3)),"YES","No")</f>
        <v>#N/A</v>
      </c>
      <c r="AI147" s="31" t="str">
        <f>_xlfn.IFNA(IF(AE147 &lt; (INDEX(SLATable[Minimum SLA],MATCH(G147,SLATable[Priority],0))),"YES","NO"),"")</f>
        <v/>
      </c>
      <c r="AJ147" t="str">
        <f>_xlfn.IFNA(IF(AE147 &lt; (INDEX(SLATable[Maximum SLA],MATCH(G147,SLATable[Priority],0))),"YES","NO"),"")</f>
        <v/>
      </c>
    </row>
    <row r="148" spans="26:36" ht="15" customHeight="1">
      <c r="Z148" s="76" t="e">
        <f t="shared" ca="1" si="17"/>
        <v>#N/A</v>
      </c>
      <c r="AA148" s="75" t="e">
        <f t="shared" ca="1" si="18"/>
        <v>#N/A</v>
      </c>
      <c r="AB148" s="76">
        <f t="shared" ca="1" si="19"/>
        <v>0</v>
      </c>
      <c r="AC148" s="75">
        <f t="shared" ca="1" si="20"/>
        <v>0</v>
      </c>
      <c r="AD148" s="76">
        <f t="shared" ca="1" si="21"/>
        <v>12388.425643402781</v>
      </c>
      <c r="AE148" s="76">
        <f t="shared" si="22"/>
        <v>0</v>
      </c>
      <c r="AF148" s="75">
        <f t="shared" si="23"/>
        <v>0</v>
      </c>
      <c r="AG148" s="76">
        <f t="shared" si="2"/>
        <v>0</v>
      </c>
      <c r="AH148" s="31" t="e" cm="1">
        <f t="array" aca="1" ref="AH148" ca="1">IF((AD148) &lt; (INDEX(ResponseSLA[#All],(MATCH((G148),ResponseSLA[Priority],0))+1,3)),"YES","No")</f>
        <v>#N/A</v>
      </c>
      <c r="AI148" s="31" t="str">
        <f>_xlfn.IFNA(IF(AE148 &lt; (INDEX(SLATable[Minimum SLA],MATCH(G148,SLATable[Priority],0))),"YES","NO"),"")</f>
        <v/>
      </c>
      <c r="AJ148" t="str">
        <f>_xlfn.IFNA(IF(AE148 &lt; (INDEX(SLATable[Maximum SLA],MATCH(G148,SLATable[Priority],0))),"YES","NO"),"")</f>
        <v/>
      </c>
    </row>
    <row r="149" spans="26:36" ht="15" customHeight="1">
      <c r="Z149" s="76" t="e">
        <f t="shared" ca="1" si="17"/>
        <v>#N/A</v>
      </c>
      <c r="AA149" s="75" t="e">
        <f t="shared" ca="1" si="18"/>
        <v>#N/A</v>
      </c>
      <c r="AB149" s="76">
        <f t="shared" ca="1" si="19"/>
        <v>0</v>
      </c>
      <c r="AC149" s="75">
        <f t="shared" ca="1" si="20"/>
        <v>0</v>
      </c>
      <c r="AD149" s="76">
        <f t="shared" ca="1" si="21"/>
        <v>12388.425643402781</v>
      </c>
      <c r="AE149" s="76">
        <f t="shared" si="22"/>
        <v>0</v>
      </c>
      <c r="AF149" s="75">
        <f t="shared" si="23"/>
        <v>0</v>
      </c>
      <c r="AG149" s="76">
        <f t="shared" si="2"/>
        <v>0</v>
      </c>
      <c r="AH149" s="31" t="e" cm="1">
        <f t="array" aca="1" ref="AH149" ca="1">IF((AD149) &lt; (INDEX(ResponseSLA[#All],(MATCH((G149),ResponseSLA[Priority],0))+1,3)),"YES","No")</f>
        <v>#N/A</v>
      </c>
      <c r="AI149" s="31" t="str">
        <f>_xlfn.IFNA(IF(AE149 &lt; (INDEX(SLATable[Minimum SLA],MATCH(G149,SLATable[Priority],0))),"YES","NO"),"")</f>
        <v/>
      </c>
      <c r="AJ149" t="str">
        <f>_xlfn.IFNA(IF(AE149 &lt; (INDEX(SLATable[Maximum SLA],MATCH(G149,SLATable[Priority],0))),"YES","NO"),"")</f>
        <v/>
      </c>
    </row>
    <row r="150" spans="26:36" ht="15" customHeight="1">
      <c r="Z150" s="76" t="e">
        <f t="shared" ca="1" si="17"/>
        <v>#N/A</v>
      </c>
      <c r="AA150" s="75" t="e">
        <f t="shared" ca="1" si="18"/>
        <v>#N/A</v>
      </c>
      <c r="AB150" s="76">
        <f t="shared" ca="1" si="19"/>
        <v>0</v>
      </c>
      <c r="AC150" s="75">
        <f t="shared" ca="1" si="20"/>
        <v>0</v>
      </c>
      <c r="AD150" s="76">
        <f t="shared" ca="1" si="21"/>
        <v>12388.425643402781</v>
      </c>
      <c r="AE150" s="76">
        <f t="shared" si="22"/>
        <v>0</v>
      </c>
      <c r="AF150" s="75">
        <f t="shared" si="23"/>
        <v>0</v>
      </c>
      <c r="AG150" s="76">
        <f t="shared" si="2"/>
        <v>0</v>
      </c>
      <c r="AH150" s="31" t="e" cm="1">
        <f t="array" aca="1" ref="AH150" ca="1">IF((AD150) &lt; (INDEX(ResponseSLA[#All],(MATCH((G150),ResponseSLA[Priority],0))+1,3)),"YES","No")</f>
        <v>#N/A</v>
      </c>
      <c r="AI150" s="31" t="str">
        <f>_xlfn.IFNA(IF(AE150 &lt; (INDEX(SLATable[Minimum SLA],MATCH(G150,SLATable[Priority],0))),"YES","NO"),"")</f>
        <v/>
      </c>
      <c r="AJ150" t="str">
        <f>_xlfn.IFNA(IF(AE150 &lt; (INDEX(SLATable[Maximum SLA],MATCH(G150,SLATable[Priority],0))),"YES","NO"),"")</f>
        <v/>
      </c>
    </row>
    <row r="151" spans="26:36" ht="15" customHeight="1">
      <c r="Z151" s="76" t="e">
        <f t="shared" ca="1" si="17"/>
        <v>#N/A</v>
      </c>
      <c r="AA151" s="75" t="e">
        <f t="shared" ca="1" si="18"/>
        <v>#N/A</v>
      </c>
      <c r="AB151" s="76">
        <f t="shared" ca="1" si="19"/>
        <v>0</v>
      </c>
      <c r="AC151" s="75">
        <f t="shared" ca="1" si="20"/>
        <v>0</v>
      </c>
      <c r="AD151" s="76">
        <f t="shared" ca="1" si="21"/>
        <v>12388.425643402781</v>
      </c>
      <c r="AE151" s="76">
        <f t="shared" si="22"/>
        <v>0</v>
      </c>
      <c r="AF151" s="75">
        <f t="shared" si="23"/>
        <v>0</v>
      </c>
      <c r="AG151" s="76">
        <f t="shared" si="2"/>
        <v>0</v>
      </c>
      <c r="AH151" s="31" t="e" cm="1">
        <f t="array" aca="1" ref="AH151" ca="1">IF((AD151) &lt; (INDEX(ResponseSLA[#All],(MATCH((G151),ResponseSLA[Priority],0))+1,3)),"YES","No")</f>
        <v>#N/A</v>
      </c>
      <c r="AI151" s="31" t="str">
        <f>_xlfn.IFNA(IF(AE151 &lt; (INDEX(SLATable[Minimum SLA],MATCH(G151,SLATable[Priority],0))),"YES","NO"),"")</f>
        <v/>
      </c>
      <c r="AJ151" t="str">
        <f>_xlfn.IFNA(IF(AE151 &lt; (INDEX(SLATable[Maximum SLA],MATCH(G151,SLATable[Priority],0))),"YES","NO"),"")</f>
        <v/>
      </c>
    </row>
    <row r="152" spans="26:36" ht="15" customHeight="1">
      <c r="Z152" s="76" t="e">
        <f t="shared" ca="1" si="17"/>
        <v>#N/A</v>
      </c>
      <c r="AA152" s="75" t="e">
        <f t="shared" ca="1" si="18"/>
        <v>#N/A</v>
      </c>
      <c r="AB152" s="76">
        <f t="shared" ca="1" si="19"/>
        <v>0</v>
      </c>
      <c r="AC152" s="75">
        <f t="shared" ca="1" si="20"/>
        <v>0</v>
      </c>
      <c r="AD152" s="76">
        <f t="shared" ca="1" si="21"/>
        <v>12388.425643402781</v>
      </c>
      <c r="AE152" s="76">
        <f t="shared" si="22"/>
        <v>0</v>
      </c>
      <c r="AF152" s="75">
        <f t="shared" si="23"/>
        <v>0</v>
      </c>
      <c r="AG152" s="76">
        <f t="shared" si="2"/>
        <v>0</v>
      </c>
      <c r="AH152" s="31" t="e" cm="1">
        <f t="array" aca="1" ref="AH152" ca="1">IF((AD152) &lt; (INDEX(ResponseSLA[#All],(MATCH((G152),ResponseSLA[Priority],0))+1,3)),"YES","No")</f>
        <v>#N/A</v>
      </c>
      <c r="AI152" s="31" t="str">
        <f>_xlfn.IFNA(IF(AE152 &lt; (INDEX(SLATable[Minimum SLA],MATCH(G152,SLATable[Priority],0))),"YES","NO"),"")</f>
        <v/>
      </c>
      <c r="AJ152" t="str">
        <f>_xlfn.IFNA(IF(AE152 &lt; (INDEX(SLATable[Maximum SLA],MATCH(G152,SLATable[Priority],0))),"YES","NO"),"")</f>
        <v/>
      </c>
    </row>
    <row r="153" spans="26:36" ht="15" customHeight="1">
      <c r="Z153" s="76" t="e">
        <f t="shared" ca="1" si="17"/>
        <v>#N/A</v>
      </c>
      <c r="AA153" s="75" t="e">
        <f t="shared" ca="1" si="18"/>
        <v>#N/A</v>
      </c>
      <c r="AB153" s="76">
        <f t="shared" ca="1" si="19"/>
        <v>0</v>
      </c>
      <c r="AC153" s="75">
        <f t="shared" ca="1" si="20"/>
        <v>0</v>
      </c>
      <c r="AD153" s="76">
        <f t="shared" ca="1" si="21"/>
        <v>12388.425643402781</v>
      </c>
      <c r="AE153" s="76">
        <f t="shared" si="22"/>
        <v>0</v>
      </c>
      <c r="AF153" s="75">
        <f t="shared" si="23"/>
        <v>0</v>
      </c>
      <c r="AG153" s="76">
        <f t="shared" si="2"/>
        <v>0</v>
      </c>
      <c r="AH153" s="31" t="e" cm="1">
        <f t="array" aca="1" ref="AH153" ca="1">IF((AD153) &lt; (INDEX(ResponseSLA[#All],(MATCH((G153),ResponseSLA[Priority],0))+1,3)),"YES","No")</f>
        <v>#N/A</v>
      </c>
      <c r="AI153" s="31" t="str">
        <f>_xlfn.IFNA(IF(AE153 &lt; (INDEX(SLATable[Minimum SLA],MATCH(G153,SLATable[Priority],0))),"YES","NO"),"")</f>
        <v/>
      </c>
      <c r="AJ153" t="str">
        <f>_xlfn.IFNA(IF(AE153 &lt; (INDEX(SLATable[Maximum SLA],MATCH(G153,SLATable[Priority],0))),"YES","NO"),"")</f>
        <v/>
      </c>
    </row>
    <row r="154" spans="26:36" ht="15" customHeight="1">
      <c r="Z154" s="76" t="e">
        <f t="shared" ca="1" si="17"/>
        <v>#N/A</v>
      </c>
      <c r="AA154" s="75" t="e">
        <f t="shared" ca="1" si="18"/>
        <v>#N/A</v>
      </c>
      <c r="AB154" s="76">
        <f t="shared" ca="1" si="19"/>
        <v>0</v>
      </c>
      <c r="AC154" s="75">
        <f t="shared" ca="1" si="20"/>
        <v>0</v>
      </c>
      <c r="AD154" s="76">
        <f t="shared" ca="1" si="21"/>
        <v>12388.425643402781</v>
      </c>
      <c r="AE154" s="76">
        <f t="shared" si="22"/>
        <v>0</v>
      </c>
      <c r="AF154" s="75">
        <f t="shared" si="23"/>
        <v>0</v>
      </c>
      <c r="AG154" s="76">
        <f t="shared" si="2"/>
        <v>0</v>
      </c>
      <c r="AH154" s="31" t="e" cm="1">
        <f t="array" aca="1" ref="AH154" ca="1">IF((AD154) &lt; (INDEX(ResponseSLA[#All],(MATCH((G154),ResponseSLA[Priority],0))+1,3)),"YES","No")</f>
        <v>#N/A</v>
      </c>
      <c r="AI154" s="31" t="str">
        <f>_xlfn.IFNA(IF(AE154 &lt; (INDEX(SLATable[Minimum SLA],MATCH(G154,SLATable[Priority],0))),"YES","NO"),"")</f>
        <v/>
      </c>
      <c r="AJ154" t="str">
        <f>_xlfn.IFNA(IF(AE154 &lt; (INDEX(SLATable[Maximum SLA],MATCH(G154,SLATable[Priority],0))),"YES","NO"),"")</f>
        <v/>
      </c>
    </row>
    <row r="155" spans="26:36" ht="15" customHeight="1">
      <c r="Z155" s="76" t="e">
        <f t="shared" ca="1" si="17"/>
        <v>#N/A</v>
      </c>
      <c r="AA155" s="75" t="e">
        <f t="shared" ca="1" si="18"/>
        <v>#N/A</v>
      </c>
      <c r="AB155" s="76">
        <f t="shared" ca="1" si="19"/>
        <v>0</v>
      </c>
      <c r="AC155" s="75">
        <f t="shared" ca="1" si="20"/>
        <v>0</v>
      </c>
      <c r="AD155" s="76">
        <f t="shared" ca="1" si="21"/>
        <v>12388.425643402781</v>
      </c>
      <c r="AE155" s="76">
        <f t="shared" si="22"/>
        <v>0</v>
      </c>
      <c r="AF155" s="75">
        <f t="shared" si="23"/>
        <v>0</v>
      </c>
      <c r="AG155" s="76">
        <f t="shared" si="2"/>
        <v>0</v>
      </c>
      <c r="AH155" s="31" t="e" cm="1">
        <f t="array" aca="1" ref="AH155" ca="1">IF((AD155) &lt; (INDEX(ResponseSLA[#All],(MATCH((G155),ResponseSLA[Priority],0))+1,3)),"YES","No")</f>
        <v>#N/A</v>
      </c>
      <c r="AI155" s="31" t="str">
        <f>_xlfn.IFNA(IF(AE155 &lt; (INDEX(SLATable[Minimum SLA],MATCH(G155,SLATable[Priority],0))),"YES","NO"),"")</f>
        <v/>
      </c>
      <c r="AJ155" t="str">
        <f>_xlfn.IFNA(IF(AE155 &lt; (INDEX(SLATable[Maximum SLA],MATCH(G155,SLATable[Priority],0))),"YES","NO"),"")</f>
        <v/>
      </c>
    </row>
    <row r="156" spans="26:36" ht="15" customHeight="1">
      <c r="Z156" s="76" t="e">
        <f t="shared" ca="1" si="17"/>
        <v>#N/A</v>
      </c>
      <c r="AA156" s="75" t="e">
        <f t="shared" ca="1" si="18"/>
        <v>#N/A</v>
      </c>
      <c r="AB156" s="76">
        <f t="shared" ca="1" si="19"/>
        <v>0</v>
      </c>
      <c r="AC156" s="75">
        <f t="shared" ca="1" si="20"/>
        <v>0</v>
      </c>
      <c r="AD156" s="76">
        <f t="shared" ca="1" si="21"/>
        <v>12388.425643402781</v>
      </c>
      <c r="AE156" s="76">
        <f t="shared" si="22"/>
        <v>0</v>
      </c>
      <c r="AF156" s="75">
        <f t="shared" si="23"/>
        <v>0</v>
      </c>
      <c r="AG156" s="76">
        <f t="shared" si="2"/>
        <v>0</v>
      </c>
      <c r="AH156" s="31" t="e" cm="1">
        <f t="array" aca="1" ref="AH156" ca="1">IF((AD156) &lt; (INDEX(ResponseSLA[#All],(MATCH((G156),ResponseSLA[Priority],0))+1,3)),"YES","No")</f>
        <v>#N/A</v>
      </c>
      <c r="AI156" s="31" t="str">
        <f>_xlfn.IFNA(IF(AE156 &lt; (INDEX(SLATable[Minimum SLA],MATCH(G156,SLATable[Priority],0))),"YES","NO"),"")</f>
        <v/>
      </c>
      <c r="AJ156" t="str">
        <f>_xlfn.IFNA(IF(AE156 &lt; (INDEX(SLATable[Maximum SLA],MATCH(G156,SLATable[Priority],0))),"YES","NO"),"")</f>
        <v/>
      </c>
    </row>
    <row r="157" spans="26:36" ht="15" customHeight="1">
      <c r="Z157" s="76" t="e">
        <f t="shared" ca="1" si="17"/>
        <v>#N/A</v>
      </c>
      <c r="AA157" s="75" t="e">
        <f t="shared" ca="1" si="18"/>
        <v>#N/A</v>
      </c>
      <c r="AB157" s="76">
        <f t="shared" ca="1" si="19"/>
        <v>0</v>
      </c>
      <c r="AC157" s="75">
        <f t="shared" ca="1" si="20"/>
        <v>0</v>
      </c>
      <c r="AD157" s="76">
        <f t="shared" ca="1" si="21"/>
        <v>12388.425643402781</v>
      </c>
      <c r="AE157" s="76">
        <f t="shared" si="22"/>
        <v>0</v>
      </c>
      <c r="AF157" s="75">
        <f t="shared" si="23"/>
        <v>0</v>
      </c>
      <c r="AG157" s="76">
        <f t="shared" si="2"/>
        <v>0</v>
      </c>
      <c r="AH157" s="31" t="e" cm="1">
        <f t="array" aca="1" ref="AH157" ca="1">IF((AD157) &lt; (INDEX(ResponseSLA[#All],(MATCH((G157),ResponseSLA[Priority],0))+1,3)),"YES","No")</f>
        <v>#N/A</v>
      </c>
      <c r="AI157" s="31" t="str">
        <f>_xlfn.IFNA(IF(AE157 &lt; (INDEX(SLATable[Minimum SLA],MATCH(G157,SLATable[Priority],0))),"YES","NO"),"")</f>
        <v/>
      </c>
      <c r="AJ157" t="str">
        <f>_xlfn.IFNA(IF(AE157 &lt; (INDEX(SLATable[Maximum SLA],MATCH(G157,SLATable[Priority],0))),"YES","NO"),"")</f>
        <v/>
      </c>
    </row>
    <row r="158" spans="26:36" ht="15" customHeight="1">
      <c r="Z158" s="76" t="e">
        <f t="shared" ca="1" si="17"/>
        <v>#N/A</v>
      </c>
      <c r="AA158" s="75" t="e">
        <f t="shared" ca="1" si="18"/>
        <v>#N/A</v>
      </c>
      <c r="AB158" s="76">
        <f t="shared" ca="1" si="19"/>
        <v>0</v>
      </c>
      <c r="AC158" s="75">
        <f t="shared" ca="1" si="20"/>
        <v>0</v>
      </c>
      <c r="AD158" s="76">
        <f t="shared" ca="1" si="21"/>
        <v>12388.425643402781</v>
      </c>
      <c r="AE158" s="76">
        <f t="shared" si="22"/>
        <v>0</v>
      </c>
      <c r="AF158" s="75">
        <f t="shared" si="23"/>
        <v>0</v>
      </c>
      <c r="AG158" s="76">
        <f t="shared" si="2"/>
        <v>0</v>
      </c>
      <c r="AH158" s="31" t="e" cm="1">
        <f t="array" aca="1" ref="AH158" ca="1">IF((AD158) &lt; (INDEX(ResponseSLA[#All],(MATCH((G158),ResponseSLA[Priority],0))+1,3)),"YES","No")</f>
        <v>#N/A</v>
      </c>
      <c r="AI158" s="31" t="str">
        <f>_xlfn.IFNA(IF(AE158 &lt; (INDEX(SLATable[Minimum SLA],MATCH(G158,SLATable[Priority],0))),"YES","NO"),"")</f>
        <v/>
      </c>
      <c r="AJ158" t="str">
        <f>_xlfn.IFNA(IF(AE158 &lt; (INDEX(SLATable[Maximum SLA],MATCH(G158,SLATable[Priority],0))),"YES","NO"),"")</f>
        <v/>
      </c>
    </row>
    <row r="159" spans="26:36" ht="15" customHeight="1">
      <c r="Z159" s="76" t="e">
        <f t="shared" ca="1" si="17"/>
        <v>#N/A</v>
      </c>
      <c r="AA159" s="75" t="e">
        <f t="shared" ca="1" si="18"/>
        <v>#N/A</v>
      </c>
      <c r="AB159" s="76">
        <f t="shared" ca="1" si="19"/>
        <v>0</v>
      </c>
      <c r="AC159" s="75">
        <f t="shared" ca="1" si="20"/>
        <v>0</v>
      </c>
      <c r="AD159" s="76">
        <f t="shared" ca="1" si="21"/>
        <v>12388.425643402781</v>
      </c>
      <c r="AE159" s="76">
        <f t="shared" si="22"/>
        <v>0</v>
      </c>
      <c r="AF159" s="75">
        <f t="shared" si="23"/>
        <v>0</v>
      </c>
      <c r="AG159" s="76">
        <f t="shared" si="2"/>
        <v>0</v>
      </c>
      <c r="AH159" s="31" t="e" cm="1">
        <f t="array" aca="1" ref="AH159" ca="1">IF((AD159) &lt; (INDEX(ResponseSLA[#All],(MATCH((G159),ResponseSLA[Priority],0))+1,3)),"YES","No")</f>
        <v>#N/A</v>
      </c>
      <c r="AI159" s="31" t="str">
        <f>_xlfn.IFNA(IF(AE159 &lt; (INDEX(SLATable[Minimum SLA],MATCH(G159,SLATable[Priority],0))),"YES","NO"),"")</f>
        <v/>
      </c>
      <c r="AJ159" t="str">
        <f>_xlfn.IFNA(IF(AE159 &lt; (INDEX(SLATable[Maximum SLA],MATCH(G159,SLATable[Priority],0))),"YES","NO"),"")</f>
        <v/>
      </c>
    </row>
    <row r="160" spans="26:36" ht="15" customHeight="1">
      <c r="Z160" s="76" t="e">
        <f t="shared" ca="1" si="17"/>
        <v>#N/A</v>
      </c>
      <c r="AA160" s="75" t="e">
        <f t="shared" ca="1" si="18"/>
        <v>#N/A</v>
      </c>
      <c r="AB160" s="76">
        <f t="shared" ca="1" si="19"/>
        <v>0</v>
      </c>
      <c r="AC160" s="75">
        <f t="shared" ca="1" si="20"/>
        <v>0</v>
      </c>
      <c r="AD160" s="76">
        <f t="shared" ca="1" si="21"/>
        <v>12388.425643402781</v>
      </c>
      <c r="AE160" s="76">
        <f t="shared" si="22"/>
        <v>0</v>
      </c>
      <c r="AF160" s="75">
        <f t="shared" si="23"/>
        <v>0</v>
      </c>
      <c r="AG160" s="76">
        <f t="shared" si="2"/>
        <v>0</v>
      </c>
      <c r="AH160" s="31" t="e" cm="1">
        <f t="array" aca="1" ref="AH160" ca="1">IF((AD160) &lt; (INDEX(ResponseSLA[#All],(MATCH((G160),ResponseSLA[Priority],0))+1,3)),"YES","No")</f>
        <v>#N/A</v>
      </c>
      <c r="AI160" s="31" t="str">
        <f>_xlfn.IFNA(IF(AE160 &lt; (INDEX(SLATable[Minimum SLA],MATCH(G160,SLATable[Priority],0))),"YES","NO"),"")</f>
        <v/>
      </c>
      <c r="AJ160" t="str">
        <f>_xlfn.IFNA(IF(AE160 &lt; (INDEX(SLATable[Maximum SLA],MATCH(G160,SLATable[Priority],0))),"YES","NO"),"")</f>
        <v/>
      </c>
    </row>
    <row r="161" spans="26:36" ht="15" customHeight="1">
      <c r="Z161" s="76" t="e">
        <f t="shared" ca="1" si="17"/>
        <v>#N/A</v>
      </c>
      <c r="AA161" s="75" t="e">
        <f t="shared" ca="1" si="18"/>
        <v>#N/A</v>
      </c>
      <c r="AB161" s="76">
        <f t="shared" ca="1" si="19"/>
        <v>0</v>
      </c>
      <c r="AC161" s="75">
        <f t="shared" ca="1" si="20"/>
        <v>0</v>
      </c>
      <c r="AD161" s="76">
        <f t="shared" ca="1" si="21"/>
        <v>12388.425643402781</v>
      </c>
      <c r="AE161" s="76">
        <f t="shared" si="22"/>
        <v>0</v>
      </c>
      <c r="AF161" s="75">
        <f t="shared" si="23"/>
        <v>0</v>
      </c>
      <c r="AG161" s="76">
        <f t="shared" si="2"/>
        <v>0</v>
      </c>
      <c r="AH161" s="31" t="e" cm="1">
        <f t="array" aca="1" ref="AH161" ca="1">IF((AD161) &lt; (INDEX(ResponseSLA[#All],(MATCH((G161),ResponseSLA[Priority],0))+1,3)),"YES","No")</f>
        <v>#N/A</v>
      </c>
      <c r="AI161" s="31" t="str">
        <f>_xlfn.IFNA(IF(AE161 &lt; (INDEX(SLATable[Minimum SLA],MATCH(G161,SLATable[Priority],0))),"YES","NO"),"")</f>
        <v/>
      </c>
      <c r="AJ161" t="str">
        <f>_xlfn.IFNA(IF(AE161 &lt; (INDEX(SLATable[Maximum SLA],MATCH(G161,SLATable[Priority],0))),"YES","NO"),"")</f>
        <v/>
      </c>
    </row>
    <row r="162" spans="26:36" ht="15" customHeight="1">
      <c r="Z162" s="76" t="e">
        <f t="shared" ca="1" si="17"/>
        <v>#N/A</v>
      </c>
      <c r="AA162" s="75" t="e">
        <f t="shared" ca="1" si="18"/>
        <v>#N/A</v>
      </c>
      <c r="AB162" s="76">
        <f t="shared" ca="1" si="19"/>
        <v>0</v>
      </c>
      <c r="AC162" s="75">
        <f t="shared" ca="1" si="20"/>
        <v>0</v>
      </c>
      <c r="AD162" s="76">
        <f t="shared" ca="1" si="21"/>
        <v>12388.425643402781</v>
      </c>
      <c r="AE162" s="76">
        <f t="shared" si="22"/>
        <v>0</v>
      </c>
      <c r="AF162" s="75">
        <f t="shared" si="23"/>
        <v>0</v>
      </c>
      <c r="AG162" s="76">
        <f t="shared" si="2"/>
        <v>0</v>
      </c>
      <c r="AH162" s="31" t="e" cm="1">
        <f t="array" aca="1" ref="AH162" ca="1">IF((AD162) &lt; (INDEX(ResponseSLA[#All],(MATCH((G162),ResponseSLA[Priority],0))+1,3)),"YES","No")</f>
        <v>#N/A</v>
      </c>
      <c r="AI162" s="31" t="str">
        <f>_xlfn.IFNA(IF(AE162 &lt; (INDEX(SLATable[Minimum SLA],MATCH(G162,SLATable[Priority],0))),"YES","NO"),"")</f>
        <v/>
      </c>
      <c r="AJ162" t="str">
        <f>_xlfn.IFNA(IF(AE162 &lt; (INDEX(SLATable[Maximum SLA],MATCH(G162,SLATable[Priority],0))),"YES","NO"),"")</f>
        <v/>
      </c>
    </row>
    <row r="163" spans="26:36" ht="15" customHeight="1">
      <c r="Z163" s="76" t="e">
        <f t="shared" ca="1" si="17"/>
        <v>#N/A</v>
      </c>
      <c r="AA163" s="75" t="e">
        <f t="shared" ca="1" si="18"/>
        <v>#N/A</v>
      </c>
      <c r="AB163" s="76">
        <f t="shared" ca="1" si="19"/>
        <v>0</v>
      </c>
      <c r="AC163" s="75">
        <f t="shared" ca="1" si="20"/>
        <v>0</v>
      </c>
      <c r="AD163" s="76">
        <f t="shared" ca="1" si="21"/>
        <v>12388.425643402781</v>
      </c>
      <c r="AE163" s="76">
        <f t="shared" si="22"/>
        <v>0</v>
      </c>
      <c r="AF163" s="75">
        <f t="shared" si="23"/>
        <v>0</v>
      </c>
      <c r="AG163" s="76">
        <f t="shared" si="2"/>
        <v>0</v>
      </c>
      <c r="AH163" s="31" t="e" cm="1">
        <f t="array" aca="1" ref="AH163" ca="1">IF((AD163) &lt; (INDEX(ResponseSLA[#All],(MATCH((G163),ResponseSLA[Priority],0))+1,3)),"YES","No")</f>
        <v>#N/A</v>
      </c>
      <c r="AI163" s="31" t="str">
        <f>_xlfn.IFNA(IF(AE163 &lt; (INDEX(SLATable[Minimum SLA],MATCH(G163,SLATable[Priority],0))),"YES","NO"),"")</f>
        <v/>
      </c>
      <c r="AJ163" t="str">
        <f>_xlfn.IFNA(IF(AE163 &lt; (INDEX(SLATable[Maximum SLA],MATCH(G163,SLATable[Priority],0))),"YES","NO"),"")</f>
        <v/>
      </c>
    </row>
    <row r="164" spans="26:36" ht="15" customHeight="1">
      <c r="Z164" s="76" t="e">
        <f t="shared" ca="1" si="17"/>
        <v>#N/A</v>
      </c>
      <c r="AA164" s="75" t="e">
        <f t="shared" ca="1" si="18"/>
        <v>#N/A</v>
      </c>
      <c r="AB164" s="76">
        <f t="shared" ca="1" si="19"/>
        <v>0</v>
      </c>
      <c r="AC164" s="75">
        <f t="shared" ca="1" si="20"/>
        <v>0</v>
      </c>
      <c r="AD164" s="76">
        <f t="shared" ca="1" si="21"/>
        <v>12388.425643402781</v>
      </c>
      <c r="AE164" s="76">
        <f t="shared" si="22"/>
        <v>0</v>
      </c>
      <c r="AF164" s="75">
        <f t="shared" si="23"/>
        <v>0</v>
      </c>
      <c r="AG164" s="76">
        <f t="shared" si="2"/>
        <v>0</v>
      </c>
      <c r="AH164" s="31" t="e" cm="1">
        <f t="array" aca="1" ref="AH164" ca="1">IF((AD164) &lt; (INDEX(ResponseSLA[#All],(MATCH((G164),ResponseSLA[Priority],0))+1,3)),"YES","No")</f>
        <v>#N/A</v>
      </c>
      <c r="AI164" s="31" t="str">
        <f>_xlfn.IFNA(IF(AE164 &lt; (INDEX(SLATable[Minimum SLA],MATCH(G164,SLATable[Priority],0))),"YES","NO"),"")</f>
        <v/>
      </c>
      <c r="AJ164" t="str">
        <f>_xlfn.IFNA(IF(AE164 &lt; (INDEX(SLATable[Maximum SLA],MATCH(G164,SLATable[Priority],0))),"YES","NO"),"")</f>
        <v/>
      </c>
    </row>
    <row r="165" spans="26:36" ht="15" customHeight="1">
      <c r="Z165" s="76" t="e">
        <f t="shared" ca="1" si="17"/>
        <v>#N/A</v>
      </c>
      <c r="AA165" s="75" t="e">
        <f t="shared" ca="1" si="18"/>
        <v>#N/A</v>
      </c>
      <c r="AB165" s="76">
        <f t="shared" ca="1" si="19"/>
        <v>0</v>
      </c>
      <c r="AC165" s="75">
        <f t="shared" ca="1" si="20"/>
        <v>0</v>
      </c>
      <c r="AD165" s="76">
        <f t="shared" ca="1" si="21"/>
        <v>12388.425643402781</v>
      </c>
      <c r="AE165" s="76">
        <f t="shared" si="22"/>
        <v>0</v>
      </c>
      <c r="AF165" s="75">
        <f t="shared" si="23"/>
        <v>0</v>
      </c>
      <c r="AG165" s="76">
        <f t="shared" si="2"/>
        <v>0</v>
      </c>
      <c r="AH165" s="31" t="e" cm="1">
        <f t="array" aca="1" ref="AH165" ca="1">IF((AD165) &lt; (INDEX(ResponseSLA[#All],(MATCH((G165),ResponseSLA[Priority],0))+1,3)),"YES","No")</f>
        <v>#N/A</v>
      </c>
      <c r="AI165" s="31" t="str">
        <f>_xlfn.IFNA(IF(AE165 &lt; (INDEX(SLATable[Minimum SLA],MATCH(G165,SLATable[Priority],0))),"YES","NO"),"")</f>
        <v/>
      </c>
      <c r="AJ165" t="str">
        <f>_xlfn.IFNA(IF(AE165 &lt; (INDEX(SLATable[Maximum SLA],MATCH(G165,SLATable[Priority],0))),"YES","NO"),"")</f>
        <v/>
      </c>
    </row>
    <row r="166" spans="26:36" ht="15" customHeight="1">
      <c r="Z166" s="76" t="e">
        <f t="shared" ca="1" si="17"/>
        <v>#N/A</v>
      </c>
      <c r="AA166" s="75" t="e">
        <f t="shared" ca="1" si="18"/>
        <v>#N/A</v>
      </c>
      <c r="AB166" s="76">
        <f t="shared" ca="1" si="19"/>
        <v>0</v>
      </c>
      <c r="AC166" s="75">
        <f t="shared" ca="1" si="20"/>
        <v>0</v>
      </c>
      <c r="AD166" s="76">
        <f t="shared" ca="1" si="21"/>
        <v>12388.425643402781</v>
      </c>
      <c r="AE166" s="76">
        <f t="shared" si="22"/>
        <v>0</v>
      </c>
      <c r="AF166" s="75">
        <f t="shared" si="23"/>
        <v>0</v>
      </c>
      <c r="AG166" s="76">
        <f t="shared" si="2"/>
        <v>0</v>
      </c>
      <c r="AH166" s="31" t="e" cm="1">
        <f t="array" aca="1" ref="AH166" ca="1">IF((AD166) &lt; (INDEX(ResponseSLA[#All],(MATCH((G166),ResponseSLA[Priority],0))+1,3)),"YES","No")</f>
        <v>#N/A</v>
      </c>
      <c r="AI166" s="31" t="str">
        <f>_xlfn.IFNA(IF(AE166 &lt; (INDEX(SLATable[Minimum SLA],MATCH(G166,SLATable[Priority],0))),"YES","NO"),"")</f>
        <v/>
      </c>
      <c r="AJ166" t="str">
        <f>_xlfn.IFNA(IF(AE166 &lt; (INDEX(SLATable[Maximum SLA],MATCH(G166,SLATable[Priority],0))),"YES","NO"),"")</f>
        <v/>
      </c>
    </row>
    <row r="167" spans="26:36" ht="15" customHeight="1">
      <c r="Z167" s="76" t="e">
        <f t="shared" ca="1" si="17"/>
        <v>#N/A</v>
      </c>
      <c r="AA167" s="75" t="e">
        <f t="shared" ca="1" si="18"/>
        <v>#N/A</v>
      </c>
      <c r="AB167" s="76">
        <f t="shared" ca="1" si="19"/>
        <v>0</v>
      </c>
      <c r="AC167" s="75">
        <f t="shared" ca="1" si="20"/>
        <v>0</v>
      </c>
      <c r="AD167" s="76">
        <f t="shared" ca="1" si="21"/>
        <v>12388.425643402781</v>
      </c>
      <c r="AE167" s="76">
        <f t="shared" si="22"/>
        <v>0</v>
      </c>
      <c r="AF167" s="75">
        <f t="shared" si="23"/>
        <v>0</v>
      </c>
      <c r="AG167" s="76">
        <f t="shared" si="2"/>
        <v>0</v>
      </c>
      <c r="AH167" s="31" t="e" cm="1">
        <f t="array" aca="1" ref="AH167" ca="1">IF((AD167) &lt; (INDEX(ResponseSLA[#All],(MATCH((G167),ResponseSLA[Priority],0))+1,3)),"YES","No")</f>
        <v>#N/A</v>
      </c>
      <c r="AI167" s="31" t="str">
        <f>_xlfn.IFNA(IF(AE167 &lt; (INDEX(SLATable[Minimum SLA],MATCH(G167,SLATable[Priority],0))),"YES","NO"),"")</f>
        <v/>
      </c>
      <c r="AJ167" t="str">
        <f>_xlfn.IFNA(IF(AE167 &lt; (INDEX(SLATable[Maximum SLA],MATCH(G167,SLATable[Priority],0))),"YES","NO"),"")</f>
        <v/>
      </c>
    </row>
    <row r="168" spans="26:36" ht="15" customHeight="1">
      <c r="Z168" s="76" t="e">
        <f t="shared" ca="1" si="17"/>
        <v>#N/A</v>
      </c>
      <c r="AA168" s="75" t="e">
        <f t="shared" ca="1" si="18"/>
        <v>#N/A</v>
      </c>
      <c r="AB168" s="76">
        <f t="shared" ca="1" si="19"/>
        <v>0</v>
      </c>
      <c r="AC168" s="75">
        <f t="shared" ca="1" si="20"/>
        <v>0</v>
      </c>
      <c r="AD168" s="76">
        <f t="shared" ca="1" si="21"/>
        <v>12388.425643402781</v>
      </c>
      <c r="AE168" s="76">
        <f t="shared" si="22"/>
        <v>0</v>
      </c>
      <c r="AF168" s="75">
        <f t="shared" si="23"/>
        <v>0</v>
      </c>
      <c r="AG168" s="76">
        <f t="shared" si="2"/>
        <v>0</v>
      </c>
      <c r="AH168" s="31" t="e" cm="1">
        <f t="array" aca="1" ref="AH168" ca="1">IF((AD168) &lt; (INDEX(ResponseSLA[#All],(MATCH((G168),ResponseSLA[Priority],0))+1,3)),"YES","No")</f>
        <v>#N/A</v>
      </c>
      <c r="AI168" s="31" t="str">
        <f>_xlfn.IFNA(IF(AE168 &lt; (INDEX(SLATable[Minimum SLA],MATCH(G168,SLATable[Priority],0))),"YES","NO"),"")</f>
        <v/>
      </c>
      <c r="AJ168" t="str">
        <f>_xlfn.IFNA(IF(AE168 &lt; (INDEX(SLATable[Maximum SLA],MATCH(G168,SLATable[Priority],0))),"YES","NO"),"")</f>
        <v/>
      </c>
    </row>
    <row r="169" spans="26:36" ht="15" customHeight="1">
      <c r="Z169" s="76" t="e">
        <f t="shared" ca="1" si="17"/>
        <v>#N/A</v>
      </c>
      <c r="AA169" s="75" t="e">
        <f t="shared" ca="1" si="18"/>
        <v>#N/A</v>
      </c>
      <c r="AB169" s="76">
        <f t="shared" ca="1" si="19"/>
        <v>0</v>
      </c>
      <c r="AC169" s="75">
        <f t="shared" ca="1" si="20"/>
        <v>0</v>
      </c>
      <c r="AD169" s="76">
        <f t="shared" ca="1" si="21"/>
        <v>12388.425643402781</v>
      </c>
      <c r="AE169" s="76">
        <f t="shared" si="22"/>
        <v>0</v>
      </c>
      <c r="AF169" s="75">
        <f t="shared" si="23"/>
        <v>0</v>
      </c>
      <c r="AG169" s="76">
        <f t="shared" si="2"/>
        <v>0</v>
      </c>
      <c r="AH169" s="31" t="e" cm="1">
        <f t="array" aca="1" ref="AH169" ca="1">IF((AD169) &lt; (INDEX(ResponseSLA[#All],(MATCH((G169),ResponseSLA[Priority],0))+1,3)),"YES","No")</f>
        <v>#N/A</v>
      </c>
      <c r="AI169" s="31" t="str">
        <f>_xlfn.IFNA(IF(AE169 &lt; (INDEX(SLATable[Minimum SLA],MATCH(G169,SLATable[Priority],0))),"YES","NO"),"")</f>
        <v/>
      </c>
      <c r="AJ169" t="str">
        <f>_xlfn.IFNA(IF(AE169 &lt; (INDEX(SLATable[Maximum SLA],MATCH(G169,SLATable[Priority],0))),"YES","NO"),"")</f>
        <v/>
      </c>
    </row>
    <row r="170" spans="26:36" ht="15" customHeight="1">
      <c r="Z170" s="76" t="e">
        <f t="shared" ca="1" si="17"/>
        <v>#N/A</v>
      </c>
      <c r="AA170" s="75" t="e">
        <f t="shared" ca="1" si="18"/>
        <v>#N/A</v>
      </c>
      <c r="AB170" s="76">
        <f t="shared" ca="1" si="19"/>
        <v>0</v>
      </c>
      <c r="AC170" s="75">
        <f t="shared" ca="1" si="20"/>
        <v>0</v>
      </c>
      <c r="AD170" s="76">
        <f t="shared" ca="1" si="21"/>
        <v>12388.425643402781</v>
      </c>
      <c r="AE170" s="76">
        <f t="shared" si="22"/>
        <v>0</v>
      </c>
      <c r="AF170" s="75">
        <f t="shared" si="23"/>
        <v>0</v>
      </c>
      <c r="AG170" s="76">
        <f t="shared" si="2"/>
        <v>0</v>
      </c>
      <c r="AH170" s="31" t="e" cm="1">
        <f t="array" aca="1" ref="AH170" ca="1">IF((AD170) &lt; (INDEX(ResponseSLA[#All],(MATCH((G170),ResponseSLA[Priority],0))+1,3)),"YES","No")</f>
        <v>#N/A</v>
      </c>
      <c r="AI170" s="31" t="str">
        <f>_xlfn.IFNA(IF(AE170 &lt; (INDEX(SLATable[Minimum SLA],MATCH(G170,SLATable[Priority],0))),"YES","NO"),"")</f>
        <v/>
      </c>
      <c r="AJ170" t="str">
        <f>_xlfn.IFNA(IF(AE170 &lt; (INDEX(SLATable[Maximum SLA],MATCH(G170,SLATable[Priority],0))),"YES","NO"),"")</f>
        <v/>
      </c>
    </row>
    <row r="171" spans="26:36" ht="15" customHeight="1">
      <c r="Z171" s="76" t="e">
        <f t="shared" ca="1" si="17"/>
        <v>#N/A</v>
      </c>
      <c r="AA171" s="75" t="e">
        <f t="shared" ca="1" si="18"/>
        <v>#N/A</v>
      </c>
      <c r="AB171" s="76">
        <f t="shared" ca="1" si="19"/>
        <v>0</v>
      </c>
      <c r="AC171" s="75">
        <f t="shared" ca="1" si="20"/>
        <v>0</v>
      </c>
      <c r="AD171" s="76">
        <f t="shared" ca="1" si="21"/>
        <v>12388.425643402781</v>
      </c>
      <c r="AE171" s="76">
        <f t="shared" si="22"/>
        <v>0</v>
      </c>
      <c r="AF171" s="75">
        <f t="shared" si="23"/>
        <v>0</v>
      </c>
      <c r="AG171" s="76">
        <f t="shared" si="2"/>
        <v>0</v>
      </c>
      <c r="AH171" s="31" t="e" cm="1">
        <f t="array" aca="1" ref="AH171" ca="1">IF((AD171) &lt; (INDEX(ResponseSLA[#All],(MATCH((G171),ResponseSLA[Priority],0))+1,3)),"YES","No")</f>
        <v>#N/A</v>
      </c>
      <c r="AI171" s="31" t="str">
        <f>_xlfn.IFNA(IF(AE171 &lt; (INDEX(SLATable[Minimum SLA],MATCH(G171,SLATable[Priority],0))),"YES","NO"),"")</f>
        <v/>
      </c>
      <c r="AJ171" t="str">
        <f>_xlfn.IFNA(IF(AE171 &lt; (INDEX(SLATable[Maximum SLA],MATCH(G171,SLATable[Priority],0))),"YES","NO"),"")</f>
        <v/>
      </c>
    </row>
    <row r="172" spans="26:36" ht="15" customHeight="1">
      <c r="Z172" s="76" t="e">
        <f t="shared" ca="1" si="17"/>
        <v>#N/A</v>
      </c>
      <c r="AA172" s="75" t="e">
        <f t="shared" ca="1" si="18"/>
        <v>#N/A</v>
      </c>
      <c r="AB172" s="76">
        <f t="shared" ca="1" si="19"/>
        <v>0</v>
      </c>
      <c r="AC172" s="75">
        <f t="shared" ca="1" si="20"/>
        <v>0</v>
      </c>
      <c r="AD172" s="76">
        <f t="shared" ca="1" si="21"/>
        <v>12388.425643402781</v>
      </c>
      <c r="AE172" s="76">
        <f t="shared" si="22"/>
        <v>0</v>
      </c>
      <c r="AF172" s="75">
        <f t="shared" si="23"/>
        <v>0</v>
      </c>
      <c r="AG172" s="76">
        <f t="shared" si="2"/>
        <v>0</v>
      </c>
      <c r="AH172" s="31" t="e" cm="1">
        <f t="array" aca="1" ref="AH172" ca="1">IF((AD172) &lt; (INDEX(ResponseSLA[#All],(MATCH((G172),ResponseSLA[Priority],0))+1,3)),"YES","No")</f>
        <v>#N/A</v>
      </c>
      <c r="AI172" s="31" t="str">
        <f>_xlfn.IFNA(IF(AE172 &lt; (INDEX(SLATable[Minimum SLA],MATCH(G172,SLATable[Priority],0))),"YES","NO"),"")</f>
        <v/>
      </c>
      <c r="AJ172" t="str">
        <f>_xlfn.IFNA(IF(AE172 &lt; (INDEX(SLATable[Maximum SLA],MATCH(G172,SLATable[Priority],0))),"YES","NO"),"")</f>
        <v/>
      </c>
    </row>
    <row r="173" spans="26:36" ht="15" customHeight="1">
      <c r="Z173" s="76" t="e">
        <f t="shared" ca="1" si="17"/>
        <v>#N/A</v>
      </c>
      <c r="AA173" s="75" t="e">
        <f t="shared" ca="1" si="18"/>
        <v>#N/A</v>
      </c>
      <c r="AB173" s="76">
        <f t="shared" ca="1" si="19"/>
        <v>0</v>
      </c>
      <c r="AC173" s="75">
        <f t="shared" ca="1" si="20"/>
        <v>0</v>
      </c>
      <c r="AD173" s="76">
        <f t="shared" ca="1" si="21"/>
        <v>12388.425643402781</v>
      </c>
      <c r="AE173" s="76">
        <f t="shared" si="22"/>
        <v>0</v>
      </c>
      <c r="AF173" s="75">
        <f t="shared" si="23"/>
        <v>0</v>
      </c>
      <c r="AG173" s="76">
        <f t="shared" si="2"/>
        <v>0</v>
      </c>
      <c r="AH173" s="31" t="e" cm="1">
        <f t="array" aca="1" ref="AH173" ca="1">IF((AD173) &lt; (INDEX(ResponseSLA[#All],(MATCH((G173),ResponseSLA[Priority],0))+1,3)),"YES","No")</f>
        <v>#N/A</v>
      </c>
      <c r="AI173" s="31" t="str">
        <f>_xlfn.IFNA(IF(AE173 &lt; (INDEX(SLATable[Minimum SLA],MATCH(G173,SLATable[Priority],0))),"YES","NO"),"")</f>
        <v/>
      </c>
      <c r="AJ173" t="str">
        <f>_xlfn.IFNA(IF(AE173 &lt; (INDEX(SLATable[Maximum SLA],MATCH(G173,SLATable[Priority],0))),"YES","NO"),"")</f>
        <v/>
      </c>
    </row>
    <row r="174" spans="26:36" ht="15" customHeight="1">
      <c r="Z174" s="76" t="e">
        <f t="shared" ca="1" si="17"/>
        <v>#N/A</v>
      </c>
      <c r="AA174" s="75" t="e">
        <f t="shared" ca="1" si="18"/>
        <v>#N/A</v>
      </c>
      <c r="AB174" s="76">
        <f t="shared" ca="1" si="19"/>
        <v>0</v>
      </c>
      <c r="AC174" s="75">
        <f t="shared" ca="1" si="20"/>
        <v>0</v>
      </c>
      <c r="AD174" s="76">
        <f t="shared" ca="1" si="21"/>
        <v>12388.425643402781</v>
      </c>
      <c r="AE174" s="76">
        <f t="shared" si="22"/>
        <v>0</v>
      </c>
      <c r="AF174" s="75">
        <f t="shared" si="23"/>
        <v>0</v>
      </c>
      <c r="AG174" s="76">
        <f t="shared" si="2"/>
        <v>0</v>
      </c>
      <c r="AH174" s="31" t="e" cm="1">
        <f t="array" aca="1" ref="AH174" ca="1">IF((AD174) &lt; (INDEX(ResponseSLA[#All],(MATCH((G174),ResponseSLA[Priority],0))+1,3)),"YES","No")</f>
        <v>#N/A</v>
      </c>
      <c r="AI174" s="31" t="str">
        <f>_xlfn.IFNA(IF(AE174 &lt; (INDEX(SLATable[Minimum SLA],MATCH(G174,SLATable[Priority],0))),"YES","NO"),"")</f>
        <v/>
      </c>
      <c r="AJ174" t="str">
        <f>_xlfn.IFNA(IF(AE174 &lt; (INDEX(SLATable[Maximum SLA],MATCH(G174,SLATable[Priority],0))),"YES","NO"),"")</f>
        <v/>
      </c>
    </row>
    <row r="175" spans="26:36" ht="15" customHeight="1">
      <c r="Z175" s="76" t="e">
        <f t="shared" ca="1" si="17"/>
        <v>#N/A</v>
      </c>
      <c r="AA175" s="75" t="e">
        <f t="shared" ca="1" si="18"/>
        <v>#N/A</v>
      </c>
      <c r="AB175" s="76">
        <f t="shared" ca="1" si="19"/>
        <v>0</v>
      </c>
      <c r="AC175" s="75">
        <f t="shared" ca="1" si="20"/>
        <v>0</v>
      </c>
      <c r="AD175" s="76">
        <f t="shared" ca="1" si="21"/>
        <v>12388.425643402781</v>
      </c>
      <c r="AE175" s="76">
        <f t="shared" si="22"/>
        <v>0</v>
      </c>
      <c r="AF175" s="75">
        <f t="shared" si="23"/>
        <v>0</v>
      </c>
      <c r="AG175" s="76">
        <f t="shared" si="2"/>
        <v>0</v>
      </c>
      <c r="AH175" s="31" t="e" cm="1">
        <f t="array" aca="1" ref="AH175" ca="1">IF((AD175) &lt; (INDEX(ResponseSLA[#All],(MATCH((G175),ResponseSLA[Priority],0))+1,3)),"YES","No")</f>
        <v>#N/A</v>
      </c>
      <c r="AI175" s="31" t="str">
        <f>_xlfn.IFNA(IF(AE175 &lt; (INDEX(SLATable[Minimum SLA],MATCH(G175,SLATable[Priority],0))),"YES","NO"),"")</f>
        <v/>
      </c>
      <c r="AJ175" t="str">
        <f>_xlfn.IFNA(IF(AE175 &lt; (INDEX(SLATable[Maximum SLA],MATCH(G175,SLATable[Priority],0))),"YES","NO"),"")</f>
        <v/>
      </c>
    </row>
    <row r="176" spans="26:36" ht="15" customHeight="1">
      <c r="Z176" s="76" t="e">
        <f t="shared" ca="1" si="17"/>
        <v>#N/A</v>
      </c>
      <c r="AA176" s="75" t="e">
        <f t="shared" ca="1" si="18"/>
        <v>#N/A</v>
      </c>
      <c r="AB176" s="76">
        <f t="shared" ca="1" si="19"/>
        <v>0</v>
      </c>
      <c r="AC176" s="75">
        <f t="shared" ca="1" si="20"/>
        <v>0</v>
      </c>
      <c r="AD176" s="76">
        <f t="shared" ca="1" si="21"/>
        <v>12388.425643402781</v>
      </c>
      <c r="AE176" s="76">
        <f t="shared" si="22"/>
        <v>0</v>
      </c>
      <c r="AF176" s="75">
        <f t="shared" si="23"/>
        <v>0</v>
      </c>
      <c r="AG176" s="76">
        <f t="shared" si="2"/>
        <v>0</v>
      </c>
      <c r="AH176" s="31" t="e" cm="1">
        <f t="array" aca="1" ref="AH176" ca="1">IF((AD176) &lt; (INDEX(ResponseSLA[#All],(MATCH((G176),ResponseSLA[Priority],0))+1,3)),"YES","No")</f>
        <v>#N/A</v>
      </c>
      <c r="AI176" s="31" t="str">
        <f>_xlfn.IFNA(IF(AE176 &lt; (INDEX(SLATable[Minimum SLA],MATCH(G176,SLATable[Priority],0))),"YES","NO"),"")</f>
        <v/>
      </c>
      <c r="AJ176" t="str">
        <f>_xlfn.IFNA(IF(AE176 &lt; (INDEX(SLATable[Maximum SLA],MATCH(G176,SLATable[Priority],0))),"YES","NO"),"")</f>
        <v/>
      </c>
    </row>
    <row r="177" spans="26:36" ht="15" customHeight="1">
      <c r="Z177" s="76" t="e">
        <f t="shared" ca="1" si="17"/>
        <v>#N/A</v>
      </c>
      <c r="AA177" s="75" t="e">
        <f t="shared" ca="1" si="18"/>
        <v>#N/A</v>
      </c>
      <c r="AB177" s="76">
        <f t="shared" ca="1" si="19"/>
        <v>0</v>
      </c>
      <c r="AC177" s="75">
        <f t="shared" ca="1" si="20"/>
        <v>0</v>
      </c>
      <c r="AD177" s="76">
        <f t="shared" ca="1" si="21"/>
        <v>12388.425643402781</v>
      </c>
      <c r="AE177" s="76">
        <f t="shared" si="22"/>
        <v>0</v>
      </c>
      <c r="AF177" s="75">
        <f t="shared" si="23"/>
        <v>0</v>
      </c>
      <c r="AG177" s="76">
        <f t="shared" si="2"/>
        <v>0</v>
      </c>
      <c r="AH177" s="31" t="e" cm="1">
        <f t="array" aca="1" ref="AH177" ca="1">IF((AD177) &lt; (INDEX(ResponseSLA[#All],(MATCH((G177),ResponseSLA[Priority],0))+1,3)),"YES","No")</f>
        <v>#N/A</v>
      </c>
      <c r="AI177" s="31" t="str">
        <f>_xlfn.IFNA(IF(AE177 &lt; (INDEX(SLATable[Minimum SLA],MATCH(G177,SLATable[Priority],0))),"YES","NO"),"")</f>
        <v/>
      </c>
      <c r="AJ177" t="str">
        <f>_xlfn.IFNA(IF(AE177 &lt; (INDEX(SLATable[Maximum SLA],MATCH(G177,SLATable[Priority],0))),"YES","NO"),"")</f>
        <v/>
      </c>
    </row>
    <row r="178" spans="26:36" ht="15" customHeight="1">
      <c r="Z178" s="76" t="e">
        <f t="shared" ca="1" si="17"/>
        <v>#N/A</v>
      </c>
      <c r="AA178" s="75" t="e">
        <f t="shared" ca="1" si="18"/>
        <v>#N/A</v>
      </c>
      <c r="AB178" s="76">
        <f t="shared" ca="1" si="19"/>
        <v>0</v>
      </c>
      <c r="AC178" s="75">
        <f t="shared" ca="1" si="20"/>
        <v>0</v>
      </c>
      <c r="AD178" s="76">
        <f t="shared" ca="1" si="21"/>
        <v>12388.425643402781</v>
      </c>
      <c r="AE178" s="76">
        <f t="shared" si="22"/>
        <v>0</v>
      </c>
      <c r="AF178" s="75">
        <f t="shared" si="23"/>
        <v>0</v>
      </c>
      <c r="AG178" s="76">
        <f t="shared" si="2"/>
        <v>0</v>
      </c>
      <c r="AH178" s="31" t="e" cm="1">
        <f t="array" aca="1" ref="AH178" ca="1">IF((AD178) &lt; (INDEX(ResponseSLA[#All],(MATCH((G178),ResponseSLA[Priority],0))+1,3)),"YES","No")</f>
        <v>#N/A</v>
      </c>
      <c r="AI178" s="31" t="str">
        <f>_xlfn.IFNA(IF(AE178 &lt; (INDEX(SLATable[Minimum SLA],MATCH(G178,SLATable[Priority],0))),"YES","NO"),"")</f>
        <v/>
      </c>
      <c r="AJ178" t="str">
        <f>_xlfn.IFNA(IF(AE178 &lt; (INDEX(SLATable[Maximum SLA],MATCH(G178,SLATable[Priority],0))),"YES","NO"),"")</f>
        <v/>
      </c>
    </row>
    <row r="179" spans="26:36" ht="15" customHeight="1">
      <c r="Z179" s="76" t="e">
        <f t="shared" ca="1" si="17"/>
        <v>#N/A</v>
      </c>
      <c r="AA179" s="75" t="e">
        <f t="shared" ca="1" si="18"/>
        <v>#N/A</v>
      </c>
      <c r="AB179" s="76">
        <f t="shared" ca="1" si="19"/>
        <v>0</v>
      </c>
      <c r="AC179" s="75">
        <f t="shared" ca="1" si="20"/>
        <v>0</v>
      </c>
      <c r="AD179" s="76">
        <f t="shared" ca="1" si="21"/>
        <v>12388.425643402781</v>
      </c>
      <c r="AE179" s="76">
        <f t="shared" si="22"/>
        <v>0</v>
      </c>
      <c r="AF179" s="75">
        <f t="shared" si="23"/>
        <v>0</v>
      </c>
      <c r="AG179" s="76">
        <f t="shared" si="2"/>
        <v>0</v>
      </c>
      <c r="AH179" s="31" t="e" cm="1">
        <f t="array" aca="1" ref="AH179" ca="1">IF((AD179) &lt; (INDEX(ResponseSLA[#All],(MATCH((G179),ResponseSLA[Priority],0))+1,3)),"YES","No")</f>
        <v>#N/A</v>
      </c>
      <c r="AI179" s="31" t="str">
        <f>_xlfn.IFNA(IF(AE179 &lt; (INDEX(SLATable[Minimum SLA],MATCH(G179,SLATable[Priority],0))),"YES","NO"),"")</f>
        <v/>
      </c>
      <c r="AJ179" t="str">
        <f>_xlfn.IFNA(IF(AE179 &lt; (INDEX(SLATable[Maximum SLA],MATCH(G179,SLATable[Priority],0))),"YES","NO"),"")</f>
        <v/>
      </c>
    </row>
    <row r="180" spans="26:36" ht="15" customHeight="1">
      <c r="Z180" s="76" t="e">
        <f t="shared" ca="1" si="17"/>
        <v>#N/A</v>
      </c>
      <c r="AA180" s="75" t="e">
        <f t="shared" ca="1" si="18"/>
        <v>#N/A</v>
      </c>
      <c r="AB180" s="76">
        <f t="shared" ca="1" si="19"/>
        <v>0</v>
      </c>
      <c r="AC180" s="75">
        <f t="shared" ca="1" si="20"/>
        <v>0</v>
      </c>
      <c r="AD180" s="76">
        <f t="shared" ca="1" si="21"/>
        <v>12388.425643402781</v>
      </c>
      <c r="AE180" s="76">
        <f t="shared" si="22"/>
        <v>0</v>
      </c>
      <c r="AF180" s="75">
        <f t="shared" si="23"/>
        <v>0</v>
      </c>
      <c r="AG180" s="76">
        <f t="shared" si="2"/>
        <v>0</v>
      </c>
      <c r="AH180" s="31" t="e" cm="1">
        <f t="array" aca="1" ref="AH180" ca="1">IF((AD180) &lt; (INDEX(ResponseSLA[#All],(MATCH((G180),ResponseSLA[Priority],0))+1,3)),"YES","No")</f>
        <v>#N/A</v>
      </c>
      <c r="AI180" s="31" t="str">
        <f>_xlfn.IFNA(IF(AE180 &lt; (INDEX(SLATable[Minimum SLA],MATCH(G180,SLATable[Priority],0))),"YES","NO"),"")</f>
        <v/>
      </c>
      <c r="AJ180" t="str">
        <f>_xlfn.IFNA(IF(AE180 &lt; (INDEX(SLATable[Maximum SLA],MATCH(G180,SLATable[Priority],0))),"YES","NO"),"")</f>
        <v/>
      </c>
    </row>
    <row r="181" spans="26:36" ht="15" customHeight="1">
      <c r="Z181" s="76" t="e">
        <f t="shared" ca="1" si="17"/>
        <v>#N/A</v>
      </c>
      <c r="AA181" s="75" t="e">
        <f t="shared" ca="1" si="18"/>
        <v>#N/A</v>
      </c>
      <c r="AB181" s="76">
        <f t="shared" ca="1" si="19"/>
        <v>0</v>
      </c>
      <c r="AC181" s="75">
        <f t="shared" ca="1" si="20"/>
        <v>0</v>
      </c>
      <c r="AD181" s="76">
        <f t="shared" ca="1" si="21"/>
        <v>12388.425643402781</v>
      </c>
      <c r="AE181" s="76">
        <f t="shared" si="22"/>
        <v>0</v>
      </c>
      <c r="AF181" s="75">
        <f t="shared" si="23"/>
        <v>0</v>
      </c>
      <c r="AG181" s="76">
        <f t="shared" si="2"/>
        <v>0</v>
      </c>
      <c r="AH181" s="31" t="e" cm="1">
        <f t="array" aca="1" ref="AH181" ca="1">IF((AD181) &lt; (INDEX(ResponseSLA[#All],(MATCH((G181),ResponseSLA[Priority],0))+1,3)),"YES","No")</f>
        <v>#N/A</v>
      </c>
      <c r="AI181" s="31" t="str">
        <f>_xlfn.IFNA(IF(AE181 &lt; (INDEX(SLATable[Minimum SLA],MATCH(G181,SLATable[Priority],0))),"YES","NO"),"")</f>
        <v/>
      </c>
      <c r="AJ181" t="str">
        <f>_xlfn.IFNA(IF(AE181 &lt; (INDEX(SLATable[Maximum SLA],MATCH(G181,SLATable[Priority],0))),"YES","NO"),"")</f>
        <v/>
      </c>
    </row>
    <row r="182" spans="26:36" ht="15" customHeight="1">
      <c r="Z182" s="76" t="e">
        <f t="shared" ca="1" si="17"/>
        <v>#N/A</v>
      </c>
      <c r="AA182" s="75" t="e">
        <f t="shared" ca="1" si="18"/>
        <v>#N/A</v>
      </c>
      <c r="AB182" s="76">
        <f t="shared" ca="1" si="19"/>
        <v>0</v>
      </c>
      <c r="AC182" s="75">
        <f t="shared" ca="1" si="20"/>
        <v>0</v>
      </c>
      <c r="AD182" s="76">
        <f t="shared" ca="1" si="21"/>
        <v>12388.425643402781</v>
      </c>
      <c r="AE182" s="76">
        <f t="shared" si="22"/>
        <v>0</v>
      </c>
      <c r="AF182" s="75">
        <f t="shared" si="23"/>
        <v>0</v>
      </c>
      <c r="AG182" s="76">
        <f t="shared" si="2"/>
        <v>0</v>
      </c>
      <c r="AH182" s="31" t="e" cm="1">
        <f t="array" aca="1" ref="AH182" ca="1">IF((AD182) &lt; (INDEX(ResponseSLA[#All],(MATCH((G182),ResponseSLA[Priority],0))+1,3)),"YES","No")</f>
        <v>#N/A</v>
      </c>
      <c r="AI182" s="31" t="str">
        <f>_xlfn.IFNA(IF(AE182 &lt; (INDEX(SLATable[Minimum SLA],MATCH(G182,SLATable[Priority],0))),"YES","NO"),"")</f>
        <v/>
      </c>
      <c r="AJ182" t="str">
        <f>_xlfn.IFNA(IF(AE182 &lt; (INDEX(SLATable[Maximum SLA],MATCH(G182,SLATable[Priority],0))),"YES","NO"),"")</f>
        <v/>
      </c>
    </row>
    <row r="183" spans="26:36" ht="15" customHeight="1">
      <c r="Z183" s="76" t="e">
        <f t="shared" ca="1" si="17"/>
        <v>#N/A</v>
      </c>
      <c r="AA183" s="75" t="e">
        <f t="shared" ca="1" si="18"/>
        <v>#N/A</v>
      </c>
      <c r="AB183" s="76">
        <f t="shared" ca="1" si="19"/>
        <v>0</v>
      </c>
      <c r="AC183" s="75">
        <f t="shared" ca="1" si="20"/>
        <v>0</v>
      </c>
      <c r="AD183" s="76">
        <f t="shared" ca="1" si="21"/>
        <v>12388.425643402781</v>
      </c>
      <c r="AE183" s="76">
        <f t="shared" si="22"/>
        <v>0</v>
      </c>
      <c r="AF183" s="75">
        <f t="shared" si="23"/>
        <v>0</v>
      </c>
      <c r="AG183" s="76">
        <f t="shared" si="2"/>
        <v>0</v>
      </c>
      <c r="AH183" s="31" t="e" cm="1">
        <f t="array" aca="1" ref="AH183" ca="1">IF((AD183) &lt; (INDEX(ResponseSLA[#All],(MATCH((G183),ResponseSLA[Priority],0))+1,3)),"YES","No")</f>
        <v>#N/A</v>
      </c>
      <c r="AI183" s="31" t="str">
        <f>_xlfn.IFNA(IF(AE183 &lt; (INDEX(SLATable[Minimum SLA],MATCH(G183,SLATable[Priority],0))),"YES","NO"),"")</f>
        <v/>
      </c>
      <c r="AJ183" t="str">
        <f>_xlfn.IFNA(IF(AE183 &lt; (INDEX(SLATable[Maximum SLA],MATCH(G183,SLATable[Priority],0))),"YES","NO"),"")</f>
        <v/>
      </c>
    </row>
    <row r="184" spans="26:36" ht="15" customHeight="1">
      <c r="Z184" s="76" t="e">
        <f t="shared" ca="1" si="17"/>
        <v>#N/A</v>
      </c>
      <c r="AA184" s="75" t="e">
        <f t="shared" ca="1" si="18"/>
        <v>#N/A</v>
      </c>
      <c r="AB184" s="76">
        <f t="shared" ca="1" si="19"/>
        <v>0</v>
      </c>
      <c r="AC184" s="75">
        <f t="shared" ca="1" si="20"/>
        <v>0</v>
      </c>
      <c r="AD184" s="76">
        <f t="shared" ca="1" si="21"/>
        <v>12388.425643402781</v>
      </c>
      <c r="AE184" s="76">
        <f t="shared" si="22"/>
        <v>0</v>
      </c>
      <c r="AF184" s="75">
        <f t="shared" si="23"/>
        <v>0</v>
      </c>
      <c r="AG184" s="76">
        <f t="shared" si="2"/>
        <v>0</v>
      </c>
      <c r="AH184" s="31" t="e" cm="1">
        <f t="array" aca="1" ref="AH184" ca="1">IF((AD184) &lt; (INDEX(ResponseSLA[#All],(MATCH((G184),ResponseSLA[Priority],0))+1,3)),"YES","No")</f>
        <v>#N/A</v>
      </c>
      <c r="AI184" s="31" t="str">
        <f>_xlfn.IFNA(IF(AE184 &lt; (INDEX(SLATable[Minimum SLA],MATCH(G184,SLATable[Priority],0))),"YES","NO"),"")</f>
        <v/>
      </c>
      <c r="AJ184" t="str">
        <f>_xlfn.IFNA(IF(AE184 &lt; (INDEX(SLATable[Maximum SLA],MATCH(G184,SLATable[Priority],0))),"YES","NO"),"")</f>
        <v/>
      </c>
    </row>
    <row r="185" spans="26:36" ht="15" customHeight="1">
      <c r="Z185" s="76" t="e">
        <f t="shared" ca="1" si="17"/>
        <v>#N/A</v>
      </c>
      <c r="AA185" s="75" t="e">
        <f t="shared" ca="1" si="18"/>
        <v>#N/A</v>
      </c>
      <c r="AB185" s="76">
        <f t="shared" ca="1" si="19"/>
        <v>0</v>
      </c>
      <c r="AC185" s="75">
        <f t="shared" ca="1" si="20"/>
        <v>0</v>
      </c>
      <c r="AD185" s="76">
        <f t="shared" ca="1" si="21"/>
        <v>12388.425643402781</v>
      </c>
      <c r="AE185" s="76">
        <f t="shared" si="22"/>
        <v>0</v>
      </c>
      <c r="AF185" s="75">
        <f t="shared" si="23"/>
        <v>0</v>
      </c>
      <c r="AG185" s="76">
        <f t="shared" si="2"/>
        <v>0</v>
      </c>
      <c r="AH185" s="31" t="e" cm="1">
        <f t="array" aca="1" ref="AH185" ca="1">IF((AD185) &lt; (INDEX(ResponseSLA[#All],(MATCH((G185),ResponseSLA[Priority],0))+1,3)),"YES","No")</f>
        <v>#N/A</v>
      </c>
      <c r="AI185" s="31" t="str">
        <f>_xlfn.IFNA(IF(AE185 &lt; (INDEX(SLATable[Minimum SLA],MATCH(G185,SLATable[Priority],0))),"YES","NO"),"")</f>
        <v/>
      </c>
      <c r="AJ185" t="str">
        <f>_xlfn.IFNA(IF(AE185 &lt; (INDEX(SLATable[Maximum SLA],MATCH(G185,SLATable[Priority],0))),"YES","NO"),"")</f>
        <v/>
      </c>
    </row>
    <row r="186" spans="26:36" ht="15" customHeight="1">
      <c r="Z186" s="76" t="e">
        <f t="shared" ca="1" si="17"/>
        <v>#N/A</v>
      </c>
      <c r="AA186" s="75" t="e">
        <f t="shared" ca="1" si="18"/>
        <v>#N/A</v>
      </c>
      <c r="AB186" s="76">
        <f t="shared" ca="1" si="19"/>
        <v>0</v>
      </c>
      <c r="AC186" s="75">
        <f t="shared" ca="1" si="20"/>
        <v>0</v>
      </c>
      <c r="AD186" s="76">
        <f t="shared" ca="1" si="21"/>
        <v>12388.425643402781</v>
      </c>
      <c r="AE186" s="76">
        <f t="shared" si="22"/>
        <v>0</v>
      </c>
      <c r="AF186" s="75">
        <f t="shared" si="23"/>
        <v>0</v>
      </c>
      <c r="AG186" s="76">
        <f t="shared" si="2"/>
        <v>0</v>
      </c>
      <c r="AH186" s="31" t="e" cm="1">
        <f t="array" aca="1" ref="AH186" ca="1">IF((AD186) &lt; (INDEX(ResponseSLA[#All],(MATCH((G186),ResponseSLA[Priority],0))+1,3)),"YES","No")</f>
        <v>#N/A</v>
      </c>
      <c r="AI186" s="31" t="str">
        <f>_xlfn.IFNA(IF(AE186 &lt; (INDEX(SLATable[Minimum SLA],MATCH(G186,SLATable[Priority],0))),"YES","NO"),"")</f>
        <v/>
      </c>
      <c r="AJ186" t="str">
        <f>_xlfn.IFNA(IF(AE186 &lt; (INDEX(SLATable[Maximum SLA],MATCH(G186,SLATable[Priority],0))),"YES","NO"),"")</f>
        <v/>
      </c>
    </row>
    <row r="187" spans="26:36" ht="15" customHeight="1">
      <c r="Z187" s="76" t="e">
        <f t="shared" ca="1" si="17"/>
        <v>#N/A</v>
      </c>
      <c r="AA187" s="75" t="e">
        <f t="shared" ca="1" si="18"/>
        <v>#N/A</v>
      </c>
      <c r="AB187" s="76">
        <f t="shared" ca="1" si="19"/>
        <v>0</v>
      </c>
      <c r="AC187" s="75">
        <f t="shared" ca="1" si="20"/>
        <v>0</v>
      </c>
      <c r="AD187" s="76">
        <f t="shared" ca="1" si="21"/>
        <v>12388.425643402781</v>
      </c>
      <c r="AE187" s="76">
        <f t="shared" si="22"/>
        <v>0</v>
      </c>
      <c r="AF187" s="75">
        <f t="shared" si="23"/>
        <v>0</v>
      </c>
      <c r="AG187" s="76">
        <f t="shared" si="2"/>
        <v>0</v>
      </c>
      <c r="AH187" s="31" t="e" cm="1">
        <f t="array" aca="1" ref="AH187" ca="1">IF((AD187) &lt; (INDEX(ResponseSLA[#All],(MATCH((G187),ResponseSLA[Priority],0))+1,3)),"YES","No")</f>
        <v>#N/A</v>
      </c>
      <c r="AI187" s="31" t="str">
        <f>_xlfn.IFNA(IF(AE187 &lt; (INDEX(SLATable[Minimum SLA],MATCH(G187,SLATable[Priority],0))),"YES","NO"),"")</f>
        <v/>
      </c>
      <c r="AJ187" t="str">
        <f>_xlfn.IFNA(IF(AE187 &lt; (INDEX(SLATable[Maximum SLA],MATCH(G187,SLATable[Priority],0))),"YES","NO"),"")</f>
        <v/>
      </c>
    </row>
    <row r="188" spans="26:36" ht="15" customHeight="1">
      <c r="Z188" s="76" t="e">
        <f t="shared" ca="1" si="17"/>
        <v>#N/A</v>
      </c>
      <c r="AA188" s="75" t="e">
        <f t="shared" ca="1" si="18"/>
        <v>#N/A</v>
      </c>
      <c r="AB188" s="76">
        <f t="shared" ca="1" si="19"/>
        <v>0</v>
      </c>
      <c r="AC188" s="75">
        <f t="shared" ca="1" si="20"/>
        <v>0</v>
      </c>
      <c r="AD188" s="76">
        <f t="shared" ca="1" si="21"/>
        <v>12388.425643402781</v>
      </c>
      <c r="AE188" s="76">
        <f t="shared" si="22"/>
        <v>0</v>
      </c>
      <c r="AF188" s="75">
        <f t="shared" si="23"/>
        <v>0</v>
      </c>
      <c r="AG188" s="76">
        <f t="shared" si="2"/>
        <v>0</v>
      </c>
      <c r="AH188" s="31" t="e" cm="1">
        <f t="array" aca="1" ref="AH188" ca="1">IF((AD188) &lt; (INDEX(ResponseSLA[#All],(MATCH((G188),ResponseSLA[Priority],0))+1,3)),"YES","No")</f>
        <v>#N/A</v>
      </c>
      <c r="AI188" s="31" t="str">
        <f>_xlfn.IFNA(IF(AE188 &lt; (INDEX(SLATable[Minimum SLA],MATCH(G188,SLATable[Priority],0))),"YES","NO"),"")</f>
        <v/>
      </c>
      <c r="AJ188" t="str">
        <f>_xlfn.IFNA(IF(AE188 &lt; (INDEX(SLATable[Maximum SLA],MATCH(G188,SLATable[Priority],0))),"YES","NO"),"")</f>
        <v/>
      </c>
    </row>
    <row r="189" spans="26:36" ht="15" customHeight="1">
      <c r="Z189" s="76" t="e">
        <f t="shared" ca="1" si="17"/>
        <v>#N/A</v>
      </c>
      <c r="AA189" s="75" t="e">
        <f t="shared" ca="1" si="18"/>
        <v>#N/A</v>
      </c>
      <c r="AB189" s="76">
        <f t="shared" ca="1" si="19"/>
        <v>0</v>
      </c>
      <c r="AC189" s="75">
        <f t="shared" ca="1" si="20"/>
        <v>0</v>
      </c>
      <c r="AD189" s="76">
        <f t="shared" ca="1" si="21"/>
        <v>12388.425643402781</v>
      </c>
      <c r="AE189" s="76">
        <f t="shared" si="22"/>
        <v>0</v>
      </c>
      <c r="AF189" s="75">
        <f t="shared" si="23"/>
        <v>0</v>
      </c>
      <c r="AG189" s="76">
        <f t="shared" si="2"/>
        <v>0</v>
      </c>
      <c r="AH189" s="31" t="e" cm="1">
        <f t="array" aca="1" ref="AH189" ca="1">IF((AD189) &lt; (INDEX(ResponseSLA[#All],(MATCH((G189),ResponseSLA[Priority],0))+1,3)),"YES","No")</f>
        <v>#N/A</v>
      </c>
      <c r="AI189" s="31" t="str">
        <f>_xlfn.IFNA(IF(AE189 &lt; (INDEX(SLATable[Minimum SLA],MATCH(G189,SLATable[Priority],0))),"YES","NO"),"")</f>
        <v/>
      </c>
      <c r="AJ189" t="str">
        <f>_xlfn.IFNA(IF(AE189 &lt; (INDEX(SLATable[Maximum SLA],MATCH(G189,SLATable[Priority],0))),"YES","NO"),"")</f>
        <v/>
      </c>
    </row>
    <row r="190" spans="26:36" ht="15" customHeight="1">
      <c r="Z190" s="76" t="e">
        <f t="shared" ca="1" si="17"/>
        <v>#N/A</v>
      </c>
      <c r="AA190" s="75" t="e">
        <f t="shared" ca="1" si="18"/>
        <v>#N/A</v>
      </c>
      <c r="AB190" s="76">
        <f t="shared" ca="1" si="19"/>
        <v>0</v>
      </c>
      <c r="AC190" s="75">
        <f t="shared" ca="1" si="20"/>
        <v>0</v>
      </c>
      <c r="AD190" s="76">
        <f t="shared" ca="1" si="21"/>
        <v>12388.425643402781</v>
      </c>
      <c r="AE190" s="76">
        <f t="shared" si="22"/>
        <v>0</v>
      </c>
      <c r="AF190" s="75">
        <f t="shared" si="23"/>
        <v>0</v>
      </c>
      <c r="AG190" s="76">
        <f t="shared" si="2"/>
        <v>0</v>
      </c>
      <c r="AH190" s="31" t="e" cm="1">
        <f t="array" aca="1" ref="AH190" ca="1">IF((AD190) &lt; (INDEX(ResponseSLA[#All],(MATCH((G190),ResponseSLA[Priority],0))+1,3)),"YES","No")</f>
        <v>#N/A</v>
      </c>
      <c r="AI190" s="31" t="str">
        <f>_xlfn.IFNA(IF(AE190 &lt; (INDEX(SLATable[Minimum SLA],MATCH(G190,SLATable[Priority],0))),"YES","NO"),"")</f>
        <v/>
      </c>
      <c r="AJ190" t="str">
        <f>_xlfn.IFNA(IF(AE190 &lt; (INDEX(SLATable[Maximum SLA],MATCH(G190,SLATable[Priority],0))),"YES","NO"),"")</f>
        <v/>
      </c>
    </row>
    <row r="191" spans="26:36" ht="15" customHeight="1">
      <c r="Z191" s="76" t="e">
        <f t="shared" ca="1" si="17"/>
        <v>#N/A</v>
      </c>
      <c r="AA191" s="75" t="e">
        <f t="shared" ca="1" si="18"/>
        <v>#N/A</v>
      </c>
      <c r="AB191" s="76">
        <f t="shared" ca="1" si="19"/>
        <v>0</v>
      </c>
      <c r="AC191" s="75">
        <f t="shared" ca="1" si="20"/>
        <v>0</v>
      </c>
      <c r="AD191" s="76">
        <f t="shared" ca="1" si="21"/>
        <v>12388.425643402781</v>
      </c>
      <c r="AE191" s="76">
        <f t="shared" si="22"/>
        <v>0</v>
      </c>
      <c r="AF191" s="75">
        <f t="shared" si="23"/>
        <v>0</v>
      </c>
      <c r="AG191" s="76">
        <f t="shared" si="2"/>
        <v>0</v>
      </c>
      <c r="AH191" s="31" t="e" cm="1">
        <f t="array" aca="1" ref="AH191" ca="1">IF((AD191) &lt; (INDEX(ResponseSLA[#All],(MATCH((G191),ResponseSLA[Priority],0))+1,3)),"YES","No")</f>
        <v>#N/A</v>
      </c>
      <c r="AI191" s="31" t="str">
        <f>_xlfn.IFNA(IF(AE191 &lt; (INDEX(SLATable[Minimum SLA],MATCH(G191,SLATable[Priority],0))),"YES","NO"),"")</f>
        <v/>
      </c>
      <c r="AJ191" t="str">
        <f>_xlfn.IFNA(IF(AE191 &lt; (INDEX(SLATable[Maximum SLA],MATCH(G191,SLATable[Priority],0))),"YES","NO"),"")</f>
        <v/>
      </c>
    </row>
    <row r="192" spans="26:36" ht="15" customHeight="1">
      <c r="Z192" s="76" t="e">
        <f t="shared" ca="1" si="17"/>
        <v>#N/A</v>
      </c>
      <c r="AA192" s="75" t="e">
        <f t="shared" ca="1" si="18"/>
        <v>#N/A</v>
      </c>
      <c r="AB192" s="76">
        <f t="shared" ca="1" si="19"/>
        <v>0</v>
      </c>
      <c r="AC192" s="75">
        <f t="shared" ca="1" si="20"/>
        <v>0</v>
      </c>
      <c r="AD192" s="76">
        <f t="shared" ca="1" si="21"/>
        <v>12388.425643402781</v>
      </c>
      <c r="AE192" s="76">
        <f t="shared" si="22"/>
        <v>0</v>
      </c>
      <c r="AF192" s="75">
        <f t="shared" si="23"/>
        <v>0</v>
      </c>
      <c r="AG192" s="76">
        <f t="shared" si="2"/>
        <v>0</v>
      </c>
      <c r="AH192" s="31" t="e" cm="1">
        <f t="array" aca="1" ref="AH192" ca="1">IF((AD192) &lt; (INDEX(ResponseSLA[#All],(MATCH((G192),ResponseSLA[Priority],0))+1,3)),"YES","No")</f>
        <v>#N/A</v>
      </c>
      <c r="AI192" s="31" t="str">
        <f>_xlfn.IFNA(IF(AE192 &lt; (INDEX(SLATable[Minimum SLA],MATCH(G192,SLATable[Priority],0))),"YES","NO"),"")</f>
        <v/>
      </c>
      <c r="AJ192" t="str">
        <f>_xlfn.IFNA(IF(AE192 &lt; (INDEX(SLATable[Maximum SLA],MATCH(G192,SLATable[Priority],0))),"YES","NO"),"")</f>
        <v/>
      </c>
    </row>
    <row r="193" spans="26:36" ht="15" customHeight="1">
      <c r="Z193" s="76" t="e">
        <f t="shared" ca="1" si="17"/>
        <v>#N/A</v>
      </c>
      <c r="AA193" s="75" t="e">
        <f t="shared" ca="1" si="18"/>
        <v>#N/A</v>
      </c>
      <c r="AB193" s="76">
        <f t="shared" ca="1" si="19"/>
        <v>0</v>
      </c>
      <c r="AC193" s="75">
        <f t="shared" ca="1" si="20"/>
        <v>0</v>
      </c>
      <c r="AD193" s="76">
        <f t="shared" ca="1" si="21"/>
        <v>12388.425643402781</v>
      </c>
      <c r="AE193" s="76">
        <f t="shared" si="22"/>
        <v>0</v>
      </c>
      <c r="AF193" s="75">
        <f t="shared" si="23"/>
        <v>0</v>
      </c>
      <c r="AG193" s="76">
        <f t="shared" si="2"/>
        <v>0</v>
      </c>
      <c r="AH193" s="31" t="e" cm="1">
        <f t="array" aca="1" ref="AH193" ca="1">IF((AD193) &lt; (INDEX(ResponseSLA[#All],(MATCH((G193),ResponseSLA[Priority],0))+1,3)),"YES","No")</f>
        <v>#N/A</v>
      </c>
      <c r="AI193" s="31" t="str">
        <f>_xlfn.IFNA(IF(AE193 &lt; (INDEX(SLATable[Minimum SLA],MATCH(G193,SLATable[Priority],0))),"YES","NO"),"")</f>
        <v/>
      </c>
      <c r="AJ193" t="str">
        <f>_xlfn.IFNA(IF(AE193 &lt; (INDEX(SLATable[Maximum SLA],MATCH(G193,SLATable[Priority],0))),"YES","NO"),"")</f>
        <v/>
      </c>
    </row>
    <row r="194" spans="26:36" ht="15" customHeight="1">
      <c r="Z194" s="76" t="e">
        <f t="shared" ca="1" si="17"/>
        <v>#N/A</v>
      </c>
      <c r="AA194" s="75" t="e">
        <f t="shared" ca="1" si="18"/>
        <v>#N/A</v>
      </c>
      <c r="AB194" s="76">
        <f t="shared" ca="1" si="19"/>
        <v>0</v>
      </c>
      <c r="AC194" s="75">
        <f t="shared" ca="1" si="20"/>
        <v>0</v>
      </c>
      <c r="AD194" s="76">
        <f t="shared" ca="1" si="21"/>
        <v>12388.425643402781</v>
      </c>
      <c r="AE194" s="76">
        <f t="shared" si="22"/>
        <v>0</v>
      </c>
      <c r="AF194" s="75">
        <f t="shared" si="23"/>
        <v>0</v>
      </c>
      <c r="AG194" s="76">
        <f t="shared" si="2"/>
        <v>0</v>
      </c>
      <c r="AH194" s="31" t="e" cm="1">
        <f t="array" aca="1" ref="AH194" ca="1">IF((AD194) &lt; (INDEX(ResponseSLA[#All],(MATCH((G194),ResponseSLA[Priority],0))+1,3)),"YES","No")</f>
        <v>#N/A</v>
      </c>
      <c r="AI194" s="31" t="str">
        <f>_xlfn.IFNA(IF(AE194 &lt; (INDEX(SLATable[Minimum SLA],MATCH(G194,SLATable[Priority],0))),"YES","NO"),"")</f>
        <v/>
      </c>
      <c r="AJ194" t="str">
        <f>_xlfn.IFNA(IF(AE194 &lt; (INDEX(SLATable[Maximum SLA],MATCH(G194,SLATable[Priority],0))),"YES","NO"),"")</f>
        <v/>
      </c>
    </row>
    <row r="195" spans="26:36" ht="15" customHeight="1">
      <c r="Z195" s="76" t="e">
        <f t="shared" ref="Z195:Z258" ca="1" si="24">IF(NOT(OR(G195=1,G195=2)),MAX(0,_xlfn.IFS(AND(K195&lt;&gt;"",N195&lt;&gt;""),((MAX(NETWORKDAYS(K195,N195,UKBankHolidays)-1,0))*(TIME(17,0,0)-TIME(8,0,0))+IF(NETWORKDAYS(N195,N195,UKBankHolidays)&gt;0,MEDIAN(TIME(8,0,0),MOD(N195,1),TIME(17,0,0)),TIME(8,0,0))-IF(NETWORKDAYS(K195,K195,UKBankHolidays)&gt;0,MEDIAN(TIME(8,0,0),MOD(K195,1),TIME(17,0,0)),TIME(8,0,0)))-IF(AND(O195&lt;&gt;"",P195&lt;&gt;""),((MAX(NETWORKDAYS(O195,P195,UKBankHolidays)-1,0))*(TIME(17,0,0)-TIME(8,0,0))+IF(NETWORKDAYS(P195,P195,UKBankHolidays)&gt;0,MEDIAN(TIME(8,0,0),MOD(P195,1),TIME(17,0,0)),TIME(8,0,0))-IF(NETWORKDAYS(O195,O195,UKBankHolidays)&gt;0,MEDIAN(TIME(8,0,0),MOD(O195,1),TIME(17,0,0)),TIME(8,0,0))),0),AND(K195&lt;&gt;"",N195=""),((MAX(NETWORKDAYS(K195,NOW(),UKBankHolidays)-1,0))*(TIME(17,0,0)-TIME(8,0,0))+IF(NETWORKDAYS(NOW(),NOW(),UKBankHolidays)&gt;0,MEDIAN(TIME(8,0,0),MOD(NOW(),1),TIME(17,0,0)),TIME(8,0,0))-IF(NETWORKDAYS(K195,K195,UKBankHolidays)&gt;0,MEDIAN(TIME(8,0,0),MOD(K195,1),TIME(17,0,0)),TIME(8,0,0))))),IF(N195="",NOW()-K195,N195-K195))</f>
        <v>#N/A</v>
      </c>
      <c r="AA195" s="75" t="e">
        <f t="shared" ref="AA195:AA258" ca="1" si="25">(Z195*24)/9</f>
        <v>#N/A</v>
      </c>
      <c r="AB195" s="76">
        <f t="shared" ref="AB195:AB258" ca="1" si="26">IF(NOT(OR(G195=1,G195=2)),MAX(0,_xlfn.IFS(AND(K195&lt;&gt;"",N195&lt;&gt;""),(((MAX(NETWORKDAYS(L195,N195,UKBankHolidays)-1,0))*(TIME(17,0,0)-TIME(8,0,0)))+IF(NETWORKDAYS(N195,N195,UKBankHolidays)&gt;0,MEDIAN(TIME(8,0,0),MOD(N195,1),TIME(17,0,0)),TIME(8,0,0))-IF(NETWORKDAYS(L195,L195,UKBankHolidays)&gt;0,MEDIAN(TIME(8,0,0),MOD(L195,1),TIME(17,0,0)),TIME(8,0,0)))-IF(AND(O195&lt;&gt;"",P195&lt;&gt;""),(((MAX(NETWORKDAYS(O195,P195,UKBankHolidays)-1,0))*(TIME(17,0,0)-TIME(8,0,0)))+IF(NETWORKDAYS(P195,P195,UKBankHolidays)&gt;0,MEDIAN(TIME(8,0,0),MOD(P195,1),TIME(17,0,0)),TIME(8,0,0))-IF(NETWORKDAYS(O195,O195,UKBankHolidays)&gt;0,MEDIAN(TIME(8,0,0),MOD(O195,1),TIME(17,0,0)),TIME(8,0,0))),0),AND(L195&lt;&gt;"",N195="",O195=""),(((MAX(NETWORKDAYS(L195,NOW(),UKBankHolidays)-1,0))*(TIME(17,0,0)-TIME(8,0,0)))+IF(NETWORKDAYS(NOW(),NOW(),UKBankHolidays)&gt;0,MEDIAN(TIME(8,0,0),MOD(NOW(),1),TIME(17,0,0)),TIME(8,0,0))-IF(NETWORKDAYS(L195,L195,UKBankHolidays)&gt;0,MEDIAN(TIME(8,0,0),MOD(L195,1),TIME(17,0,0)),TIME(8,0,0)))-IF(AND(O195&lt;&gt;"",P195&lt;&gt;""),(((MAX(NETWORKDAYS(O195,P195,UKBankHolidays)-1,0))*(TIME(17,0,0)-TIME(8,0,0)))+IF(NETWORKDAYS(P195,P195,UKBankHolidays)&gt;0,MEDIAN(TIME(8,0,0),MOD(P195,1),TIME(17,0,0)),TIME(8,0,0))-IF(NETWORKDAYS(O195,O195,UKBankHolidays)&gt;0,MEDIAN(TIME(8,0,0),MOD(O195,1),TIME(17,0,0)),TIME(8,0,0))),0),AND(L195&lt;&gt;"",N195="",P195="",O195&lt;&gt;""),(((MAX(NETWORKDAYS(L195,O195,UKBankHolidays)-1,0))*(TIME(17,0,0)-TIME(8,0,0)))+IF(NETWORKDAYS(O195,O195,UKBankHolidays)&gt;0,MEDIAN(TIME(8,0,0),MOD(O195,1),TIME(17,0,0)),TIME(8,0,0))-IF(NETWORKDAYS(L195,L195,UKBankHolidays)&gt;0,MEDIAN(TIME(8,0,0),MOD(L195,1),TIME(17,0,0)),TIME(8,0,0))),ISBLANK(K195),"0")),IF(ISBLANK(N195),NOW()-L195,N195-L195))</f>
        <v>0</v>
      </c>
      <c r="AC195" s="75">
        <f t="shared" ref="AC195:AC258" ca="1" si="27">(AB195*24)/9</f>
        <v>0</v>
      </c>
      <c r="AD195" s="76">
        <f t="shared" ref="AD195:AD258" ca="1" si="28">MAX(0,IF(NOT(OR(G195=1,G195=2)),IF(M195&lt;&gt;"",((MAX(NETWORKDAYS(L195,M195,UKBankHolidays)-1,0))*(TIME(17,0,0)-TIME(8,0,0))+IF(NETWORKDAYS(M195,M195,UKBankHolidays)&gt;0,MEDIAN(TIME(8,0,0),MOD(M195,1),TIME(17,0,0)),TIME(8,0,0))-MEDIAN(TIME(8,0,0),MOD(L195,1),TIME(17,0,0))),((MAX(NETWORKDAYS(L195,NOW(),UKBankHolidays)-1,0))*(TIME(17,0,0)-TIME(8,0,0))+IF(NETWORKDAYS(NOW(),NOW(),UKBankHolidays)&gt;0,MEDIAN(TIME(8,0,0),MOD(NOW(),1),TIME(17,0,0)),TIME(8,0,0))-MEDIAN(TIME(8,0,0),MOD(L195,1),TIME(17,0,0)))),IF(M195&lt;&gt;"",M195-L195,NOW()-L195)))</f>
        <v>12388.425643402781</v>
      </c>
      <c r="AE195" s="76">
        <f t="shared" ref="AE195:AE258" si="29">SUMIFS(AB:AB,E:E,E195)</f>
        <v>0</v>
      </c>
      <c r="AF195" s="75">
        <f t="shared" ref="AF195:AF258" si="30">(AE195*24)/9</f>
        <v>0</v>
      </c>
      <c r="AG195" s="76">
        <f t="shared" si="2"/>
        <v>0</v>
      </c>
      <c r="AH195" s="31" t="e" cm="1">
        <f t="array" aca="1" ref="AH195" ca="1">IF((AD195) &lt; (INDEX(ResponseSLA[#All],(MATCH((G195),ResponseSLA[Priority],0))+1,3)),"YES","No")</f>
        <v>#N/A</v>
      </c>
      <c r="AI195" s="31" t="str">
        <f>_xlfn.IFNA(IF(AE195 &lt; (INDEX(SLATable[Minimum SLA],MATCH(G195,SLATable[Priority],0))),"YES","NO"),"")</f>
        <v/>
      </c>
      <c r="AJ195" t="str">
        <f>_xlfn.IFNA(IF(AE195 &lt; (INDEX(SLATable[Maximum SLA],MATCH(G195,SLATable[Priority],0))),"YES","NO"),"")</f>
        <v/>
      </c>
    </row>
    <row r="196" spans="26:36" ht="15" customHeight="1">
      <c r="Z196" s="76" t="e">
        <f t="shared" ca="1" si="24"/>
        <v>#N/A</v>
      </c>
      <c r="AA196" s="75" t="e">
        <f t="shared" ca="1" si="25"/>
        <v>#N/A</v>
      </c>
      <c r="AB196" s="76">
        <f t="shared" ca="1" si="26"/>
        <v>0</v>
      </c>
      <c r="AC196" s="75">
        <f t="shared" ca="1" si="27"/>
        <v>0</v>
      </c>
      <c r="AD196" s="76">
        <f t="shared" ca="1" si="28"/>
        <v>12388.425643402781</v>
      </c>
      <c r="AE196" s="76">
        <f t="shared" si="29"/>
        <v>0</v>
      </c>
      <c r="AF196" s="75">
        <f t="shared" si="30"/>
        <v>0</v>
      </c>
      <c r="AG196" s="76">
        <f t="shared" si="2"/>
        <v>0</v>
      </c>
      <c r="AH196" s="31" t="e" cm="1">
        <f t="array" aca="1" ref="AH196" ca="1">IF((AD196) &lt; (INDEX(ResponseSLA[#All],(MATCH((G196),ResponseSLA[Priority],0))+1,3)),"YES","No")</f>
        <v>#N/A</v>
      </c>
      <c r="AI196" s="31" t="str">
        <f>_xlfn.IFNA(IF(AE196 &lt; (INDEX(SLATable[Minimum SLA],MATCH(G196,SLATable[Priority],0))),"YES","NO"),"")</f>
        <v/>
      </c>
      <c r="AJ196" t="str">
        <f>_xlfn.IFNA(IF(AE196 &lt; (INDEX(SLATable[Maximum SLA],MATCH(G196,SLATable[Priority],0))),"YES","NO"),"")</f>
        <v/>
      </c>
    </row>
    <row r="197" spans="26:36" ht="15" customHeight="1">
      <c r="Z197" s="76" t="e">
        <f t="shared" ca="1" si="24"/>
        <v>#N/A</v>
      </c>
      <c r="AA197" s="75" t="e">
        <f t="shared" ca="1" si="25"/>
        <v>#N/A</v>
      </c>
      <c r="AB197" s="76">
        <f t="shared" ca="1" si="26"/>
        <v>0</v>
      </c>
      <c r="AC197" s="75">
        <f t="shared" ca="1" si="27"/>
        <v>0</v>
      </c>
      <c r="AD197" s="76">
        <f t="shared" ca="1" si="28"/>
        <v>12388.425643402781</v>
      </c>
      <c r="AE197" s="76">
        <f t="shared" si="29"/>
        <v>0</v>
      </c>
      <c r="AF197" s="75">
        <f t="shared" si="30"/>
        <v>0</v>
      </c>
      <c r="AG197" s="76">
        <f t="shared" si="2"/>
        <v>0</v>
      </c>
      <c r="AH197" s="31" t="e" cm="1">
        <f t="array" aca="1" ref="AH197" ca="1">IF((AD197) &lt; (INDEX(ResponseSLA[#All],(MATCH((G197),ResponseSLA[Priority],0))+1,3)),"YES","No")</f>
        <v>#N/A</v>
      </c>
      <c r="AI197" s="31" t="str">
        <f>_xlfn.IFNA(IF(AE197 &lt; (INDEX(SLATable[Minimum SLA],MATCH(G197,SLATable[Priority],0))),"YES","NO"),"")</f>
        <v/>
      </c>
      <c r="AJ197" t="str">
        <f>_xlfn.IFNA(IF(AE197 &lt; (INDEX(SLATable[Maximum SLA],MATCH(G197,SLATable[Priority],0))),"YES","NO"),"")</f>
        <v/>
      </c>
    </row>
    <row r="198" spans="26:36" ht="15" customHeight="1">
      <c r="Z198" s="76" t="e">
        <f t="shared" ca="1" si="24"/>
        <v>#N/A</v>
      </c>
      <c r="AA198" s="75" t="e">
        <f t="shared" ca="1" si="25"/>
        <v>#N/A</v>
      </c>
      <c r="AB198" s="76">
        <f t="shared" ca="1" si="26"/>
        <v>0</v>
      </c>
      <c r="AC198" s="75">
        <f t="shared" ca="1" si="27"/>
        <v>0</v>
      </c>
      <c r="AD198" s="76">
        <f t="shared" ca="1" si="28"/>
        <v>12388.425643402781</v>
      </c>
      <c r="AE198" s="76">
        <f t="shared" si="29"/>
        <v>0</v>
      </c>
      <c r="AF198" s="75">
        <f t="shared" si="30"/>
        <v>0</v>
      </c>
      <c r="AG198" s="76">
        <f t="shared" si="2"/>
        <v>0</v>
      </c>
      <c r="AH198" s="31" t="e" cm="1">
        <f t="array" aca="1" ref="AH198" ca="1">IF((AD198) &lt; (INDEX(ResponseSLA[#All],(MATCH((G198),ResponseSLA[Priority],0))+1,3)),"YES","No")</f>
        <v>#N/A</v>
      </c>
      <c r="AI198" s="31" t="str">
        <f>_xlfn.IFNA(IF(AE198 &lt; (INDEX(SLATable[Minimum SLA],MATCH(G198,SLATable[Priority],0))),"YES","NO"),"")</f>
        <v/>
      </c>
      <c r="AJ198" t="str">
        <f>_xlfn.IFNA(IF(AE198 &lt; (INDEX(SLATable[Maximum SLA],MATCH(G198,SLATable[Priority],0))),"YES","NO"),"")</f>
        <v/>
      </c>
    </row>
    <row r="199" spans="26:36" ht="15" customHeight="1">
      <c r="Z199" s="76" t="e">
        <f t="shared" ca="1" si="24"/>
        <v>#N/A</v>
      </c>
      <c r="AA199" s="75" t="e">
        <f t="shared" ca="1" si="25"/>
        <v>#N/A</v>
      </c>
      <c r="AB199" s="76">
        <f t="shared" ca="1" si="26"/>
        <v>0</v>
      </c>
      <c r="AC199" s="75">
        <f t="shared" ca="1" si="27"/>
        <v>0</v>
      </c>
      <c r="AD199" s="76">
        <f t="shared" ca="1" si="28"/>
        <v>12388.425643402781</v>
      </c>
      <c r="AE199" s="76">
        <f t="shared" si="29"/>
        <v>0</v>
      </c>
      <c r="AF199" s="75">
        <f t="shared" si="30"/>
        <v>0</v>
      </c>
      <c r="AG199" s="76">
        <f t="shared" si="2"/>
        <v>0</v>
      </c>
      <c r="AH199" s="31" t="e" cm="1">
        <f t="array" aca="1" ref="AH199" ca="1">IF((AD199) &lt; (INDEX(ResponseSLA[#All],(MATCH((G199),ResponseSLA[Priority],0))+1,3)),"YES","No")</f>
        <v>#N/A</v>
      </c>
      <c r="AI199" s="31" t="str">
        <f>_xlfn.IFNA(IF(AE199 &lt; (INDEX(SLATable[Minimum SLA],MATCH(G199,SLATable[Priority],0))),"YES","NO"),"")</f>
        <v/>
      </c>
      <c r="AJ199" t="str">
        <f>_xlfn.IFNA(IF(AE199 &lt; (INDEX(SLATable[Maximum SLA],MATCH(G199,SLATable[Priority],0))),"YES","NO"),"")</f>
        <v/>
      </c>
    </row>
    <row r="200" spans="26:36" ht="15" customHeight="1">
      <c r="Z200" s="76" t="e">
        <f t="shared" ca="1" si="24"/>
        <v>#N/A</v>
      </c>
      <c r="AA200" s="75" t="e">
        <f t="shared" ca="1" si="25"/>
        <v>#N/A</v>
      </c>
      <c r="AB200" s="76">
        <f t="shared" ca="1" si="26"/>
        <v>0</v>
      </c>
      <c r="AC200" s="75">
        <f t="shared" ca="1" si="27"/>
        <v>0</v>
      </c>
      <c r="AD200" s="76">
        <f t="shared" ca="1" si="28"/>
        <v>12388.425643402781</v>
      </c>
      <c r="AE200" s="76">
        <f t="shared" si="29"/>
        <v>0</v>
      </c>
      <c r="AF200" s="75">
        <f t="shared" si="30"/>
        <v>0</v>
      </c>
      <c r="AG200" s="76">
        <f t="shared" si="2"/>
        <v>0</v>
      </c>
      <c r="AH200" s="31" t="e" cm="1">
        <f t="array" aca="1" ref="AH200" ca="1">IF((AD200) &lt; (INDEX(ResponseSLA[#All],(MATCH((G200),ResponseSLA[Priority],0))+1,3)),"YES","No")</f>
        <v>#N/A</v>
      </c>
      <c r="AI200" s="31" t="str">
        <f>_xlfn.IFNA(IF(AE200 &lt; (INDEX(SLATable[Minimum SLA],MATCH(G200,SLATable[Priority],0))),"YES","NO"),"")</f>
        <v/>
      </c>
      <c r="AJ200" t="str">
        <f>_xlfn.IFNA(IF(AE200 &lt; (INDEX(SLATable[Maximum SLA],MATCH(G200,SLATable[Priority],0))),"YES","NO"),"")</f>
        <v/>
      </c>
    </row>
    <row r="201" spans="26:36" ht="15" customHeight="1">
      <c r="Z201" s="76" t="e">
        <f t="shared" ca="1" si="24"/>
        <v>#N/A</v>
      </c>
      <c r="AA201" s="75" t="e">
        <f t="shared" ca="1" si="25"/>
        <v>#N/A</v>
      </c>
      <c r="AB201" s="76">
        <f t="shared" ca="1" si="26"/>
        <v>0</v>
      </c>
      <c r="AC201" s="75">
        <f t="shared" ca="1" si="27"/>
        <v>0</v>
      </c>
      <c r="AD201" s="76">
        <f t="shared" ca="1" si="28"/>
        <v>12388.425643402781</v>
      </c>
      <c r="AE201" s="76">
        <f t="shared" si="29"/>
        <v>0</v>
      </c>
      <c r="AF201" s="75">
        <f t="shared" si="30"/>
        <v>0</v>
      </c>
      <c r="AG201" s="76">
        <f t="shared" si="2"/>
        <v>0</v>
      </c>
      <c r="AH201" s="31" t="e" cm="1">
        <f t="array" aca="1" ref="AH201" ca="1">IF((AD201) &lt; (INDEX(ResponseSLA[#All],(MATCH((G201),ResponseSLA[Priority],0))+1,3)),"YES","No")</f>
        <v>#N/A</v>
      </c>
      <c r="AI201" s="31" t="str">
        <f>_xlfn.IFNA(IF(AE201 &lt; (INDEX(SLATable[Minimum SLA],MATCH(G201,SLATable[Priority],0))),"YES","NO"),"")</f>
        <v/>
      </c>
      <c r="AJ201" t="str">
        <f>_xlfn.IFNA(IF(AE201 &lt; (INDEX(SLATable[Maximum SLA],MATCH(G201,SLATable[Priority],0))),"YES","NO"),"")</f>
        <v/>
      </c>
    </row>
    <row r="202" spans="26:36" ht="15" customHeight="1">
      <c r="Z202" s="76" t="e">
        <f t="shared" ca="1" si="24"/>
        <v>#N/A</v>
      </c>
      <c r="AA202" s="75" t="e">
        <f t="shared" ca="1" si="25"/>
        <v>#N/A</v>
      </c>
      <c r="AB202" s="76">
        <f t="shared" ca="1" si="26"/>
        <v>0</v>
      </c>
      <c r="AC202" s="75">
        <f t="shared" ca="1" si="27"/>
        <v>0</v>
      </c>
      <c r="AD202" s="76">
        <f t="shared" ca="1" si="28"/>
        <v>12388.425643402781</v>
      </c>
      <c r="AE202" s="76">
        <f t="shared" si="29"/>
        <v>0</v>
      </c>
      <c r="AF202" s="75">
        <f t="shared" si="30"/>
        <v>0</v>
      </c>
      <c r="AG202" s="76">
        <f t="shared" si="2"/>
        <v>0</v>
      </c>
      <c r="AH202" s="31" t="e" cm="1">
        <f t="array" aca="1" ref="AH202" ca="1">IF((AD202) &lt; (INDEX(ResponseSLA[#All],(MATCH((G202),ResponseSLA[Priority],0))+1,3)),"YES","No")</f>
        <v>#N/A</v>
      </c>
      <c r="AI202" s="31" t="str">
        <f>_xlfn.IFNA(IF(AE202 &lt; (INDEX(SLATable[Minimum SLA],MATCH(G202,SLATable[Priority],0))),"YES","NO"),"")</f>
        <v/>
      </c>
      <c r="AJ202" t="str">
        <f>_xlfn.IFNA(IF(AE202 &lt; (INDEX(SLATable[Maximum SLA],MATCH(G202,SLATable[Priority],0))),"YES","NO"),"")</f>
        <v/>
      </c>
    </row>
    <row r="203" spans="26:36" ht="15" customHeight="1">
      <c r="Z203" s="76" t="e">
        <f t="shared" ca="1" si="24"/>
        <v>#N/A</v>
      </c>
      <c r="AA203" s="75" t="e">
        <f t="shared" ca="1" si="25"/>
        <v>#N/A</v>
      </c>
      <c r="AB203" s="76">
        <f t="shared" ca="1" si="26"/>
        <v>0</v>
      </c>
      <c r="AC203" s="75">
        <f t="shared" ca="1" si="27"/>
        <v>0</v>
      </c>
      <c r="AD203" s="76">
        <f t="shared" ca="1" si="28"/>
        <v>12388.425643402781</v>
      </c>
      <c r="AE203" s="76">
        <f t="shared" si="29"/>
        <v>0</v>
      </c>
      <c r="AF203" s="75">
        <f t="shared" si="30"/>
        <v>0</v>
      </c>
      <c r="AG203" s="76">
        <f t="shared" si="2"/>
        <v>0</v>
      </c>
      <c r="AH203" s="31" t="e" cm="1">
        <f t="array" aca="1" ref="AH203" ca="1">IF((AD203) &lt; (INDEX(ResponseSLA[#All],(MATCH((G203),ResponseSLA[Priority],0))+1,3)),"YES","No")</f>
        <v>#N/A</v>
      </c>
      <c r="AI203" s="31" t="str">
        <f>_xlfn.IFNA(IF(AE203 &lt; (INDEX(SLATable[Minimum SLA],MATCH(G203,SLATable[Priority],0))),"YES","NO"),"")</f>
        <v/>
      </c>
      <c r="AJ203" t="str">
        <f>_xlfn.IFNA(IF(AE203 &lt; (INDEX(SLATable[Maximum SLA],MATCH(G203,SLATable[Priority],0))),"YES","NO"),"")</f>
        <v/>
      </c>
    </row>
    <row r="204" spans="26:36" ht="15" customHeight="1">
      <c r="Z204" s="76" t="e">
        <f t="shared" ca="1" si="24"/>
        <v>#N/A</v>
      </c>
      <c r="AA204" s="75" t="e">
        <f t="shared" ca="1" si="25"/>
        <v>#N/A</v>
      </c>
      <c r="AB204" s="76">
        <f t="shared" ca="1" si="26"/>
        <v>0</v>
      </c>
      <c r="AC204" s="75">
        <f t="shared" ca="1" si="27"/>
        <v>0</v>
      </c>
      <c r="AD204" s="76">
        <f t="shared" ca="1" si="28"/>
        <v>12388.425643402781</v>
      </c>
      <c r="AE204" s="76">
        <f t="shared" si="29"/>
        <v>0</v>
      </c>
      <c r="AF204" s="75">
        <f t="shared" si="30"/>
        <v>0</v>
      </c>
      <c r="AG204" s="76">
        <f t="shared" si="2"/>
        <v>0</v>
      </c>
      <c r="AH204" s="31" t="e" cm="1">
        <f t="array" aca="1" ref="AH204" ca="1">IF((AD204) &lt; (INDEX(ResponseSLA[#All],(MATCH((G204),ResponseSLA[Priority],0))+1,3)),"YES","No")</f>
        <v>#N/A</v>
      </c>
      <c r="AI204" s="31" t="str">
        <f>_xlfn.IFNA(IF(AE204 &lt; (INDEX(SLATable[Minimum SLA],MATCH(G204,SLATable[Priority],0))),"YES","NO"),"")</f>
        <v/>
      </c>
      <c r="AJ204" t="str">
        <f>_xlfn.IFNA(IF(AE204 &lt; (INDEX(SLATable[Maximum SLA],MATCH(G204,SLATable[Priority],0))),"YES","NO"),"")</f>
        <v/>
      </c>
    </row>
    <row r="205" spans="26:36" ht="15" customHeight="1">
      <c r="Z205" s="76" t="e">
        <f t="shared" ca="1" si="24"/>
        <v>#N/A</v>
      </c>
      <c r="AA205" s="75" t="e">
        <f t="shared" ca="1" si="25"/>
        <v>#N/A</v>
      </c>
      <c r="AB205" s="76">
        <f t="shared" ca="1" si="26"/>
        <v>0</v>
      </c>
      <c r="AC205" s="75">
        <f t="shared" ca="1" si="27"/>
        <v>0</v>
      </c>
      <c r="AD205" s="76">
        <f t="shared" ca="1" si="28"/>
        <v>12388.425643402781</v>
      </c>
      <c r="AE205" s="76">
        <f t="shared" si="29"/>
        <v>0</v>
      </c>
      <c r="AF205" s="75">
        <f t="shared" si="30"/>
        <v>0</v>
      </c>
      <c r="AG205" s="76">
        <f t="shared" si="2"/>
        <v>0</v>
      </c>
      <c r="AH205" s="31" t="e" cm="1">
        <f t="array" aca="1" ref="AH205" ca="1">IF((AD205) &lt; (INDEX(ResponseSLA[#All],(MATCH((G205),ResponseSLA[Priority],0))+1,3)),"YES","No")</f>
        <v>#N/A</v>
      </c>
      <c r="AI205" s="31" t="str">
        <f>_xlfn.IFNA(IF(AE205 &lt; (INDEX(SLATable[Minimum SLA],MATCH(G205,SLATable[Priority],0))),"YES","NO"),"")</f>
        <v/>
      </c>
      <c r="AJ205" t="str">
        <f>_xlfn.IFNA(IF(AE205 &lt; (INDEX(SLATable[Maximum SLA],MATCH(G205,SLATable[Priority],0))),"YES","NO"),"")</f>
        <v/>
      </c>
    </row>
    <row r="206" spans="26:36" ht="15" customHeight="1">
      <c r="Z206" s="76" t="e">
        <f t="shared" ca="1" si="24"/>
        <v>#N/A</v>
      </c>
      <c r="AA206" s="75" t="e">
        <f t="shared" ca="1" si="25"/>
        <v>#N/A</v>
      </c>
      <c r="AB206" s="76">
        <f t="shared" ca="1" si="26"/>
        <v>0</v>
      </c>
      <c r="AC206" s="75">
        <f t="shared" ca="1" si="27"/>
        <v>0</v>
      </c>
      <c r="AD206" s="76">
        <f t="shared" ca="1" si="28"/>
        <v>12388.425643402781</v>
      </c>
      <c r="AE206" s="76">
        <f t="shared" si="29"/>
        <v>0</v>
      </c>
      <c r="AF206" s="75">
        <f t="shared" si="30"/>
        <v>0</v>
      </c>
      <c r="AG206" s="76">
        <f t="shared" si="2"/>
        <v>0</v>
      </c>
      <c r="AH206" s="31" t="e" cm="1">
        <f t="array" aca="1" ref="AH206" ca="1">IF((AD206) &lt; (INDEX(ResponseSLA[#All],(MATCH((G206),ResponseSLA[Priority],0))+1,3)),"YES","No")</f>
        <v>#N/A</v>
      </c>
      <c r="AI206" s="31" t="str">
        <f>_xlfn.IFNA(IF(AE206 &lt; (INDEX(SLATable[Minimum SLA],MATCH(G206,SLATable[Priority],0))),"YES","NO"),"")</f>
        <v/>
      </c>
      <c r="AJ206" t="str">
        <f>_xlfn.IFNA(IF(AE206 &lt; (INDEX(SLATable[Maximum SLA],MATCH(G206,SLATable[Priority],0))),"YES","NO"),"")</f>
        <v/>
      </c>
    </row>
    <row r="207" spans="26:36" ht="15" customHeight="1">
      <c r="Z207" s="76" t="e">
        <f t="shared" ca="1" si="24"/>
        <v>#N/A</v>
      </c>
      <c r="AA207" s="75" t="e">
        <f t="shared" ca="1" si="25"/>
        <v>#N/A</v>
      </c>
      <c r="AB207" s="76">
        <f t="shared" ca="1" si="26"/>
        <v>0</v>
      </c>
      <c r="AC207" s="75">
        <f t="shared" ca="1" si="27"/>
        <v>0</v>
      </c>
      <c r="AD207" s="76">
        <f t="shared" ca="1" si="28"/>
        <v>12388.425643402781</v>
      </c>
      <c r="AE207" s="76">
        <f t="shared" si="29"/>
        <v>0</v>
      </c>
      <c r="AF207" s="75">
        <f t="shared" si="30"/>
        <v>0</v>
      </c>
      <c r="AG207" s="76">
        <f t="shared" si="2"/>
        <v>0</v>
      </c>
      <c r="AH207" s="31" t="e" cm="1">
        <f t="array" aca="1" ref="AH207" ca="1">IF((AD207) &lt; (INDEX(ResponseSLA[#All],(MATCH((G207),ResponseSLA[Priority],0))+1,3)),"YES","No")</f>
        <v>#N/A</v>
      </c>
      <c r="AI207" s="31" t="str">
        <f>_xlfn.IFNA(IF(AE207 &lt; (INDEX(SLATable[Minimum SLA],MATCH(G207,SLATable[Priority],0))),"YES","NO"),"")</f>
        <v/>
      </c>
      <c r="AJ207" t="str">
        <f>_xlfn.IFNA(IF(AE207 &lt; (INDEX(SLATable[Maximum SLA],MATCH(G207,SLATable[Priority],0))),"YES","NO"),"")</f>
        <v/>
      </c>
    </row>
    <row r="208" spans="26:36" ht="15" customHeight="1">
      <c r="Z208" s="76" t="e">
        <f t="shared" ca="1" si="24"/>
        <v>#N/A</v>
      </c>
      <c r="AA208" s="75" t="e">
        <f t="shared" ca="1" si="25"/>
        <v>#N/A</v>
      </c>
      <c r="AB208" s="76">
        <f t="shared" ca="1" si="26"/>
        <v>0</v>
      </c>
      <c r="AC208" s="75">
        <f t="shared" ca="1" si="27"/>
        <v>0</v>
      </c>
      <c r="AD208" s="76">
        <f t="shared" ca="1" si="28"/>
        <v>12388.425643402781</v>
      </c>
      <c r="AE208" s="76">
        <f t="shared" si="29"/>
        <v>0</v>
      </c>
      <c r="AF208" s="75">
        <f t="shared" si="30"/>
        <v>0</v>
      </c>
      <c r="AG208" s="76">
        <f t="shared" si="2"/>
        <v>0</v>
      </c>
      <c r="AH208" s="31" t="e" cm="1">
        <f t="array" aca="1" ref="AH208" ca="1">IF((AD208) &lt; (INDEX(ResponseSLA[#All],(MATCH((G208),ResponseSLA[Priority],0))+1,3)),"YES","No")</f>
        <v>#N/A</v>
      </c>
      <c r="AI208" s="31" t="str">
        <f>_xlfn.IFNA(IF(AE208 &lt; (INDEX(SLATable[Minimum SLA],MATCH(G208,SLATable[Priority],0))),"YES","NO"),"")</f>
        <v/>
      </c>
      <c r="AJ208" t="str">
        <f>_xlfn.IFNA(IF(AE208 &lt; (INDEX(SLATable[Maximum SLA],MATCH(G208,SLATable[Priority],0))),"YES","NO"),"")</f>
        <v/>
      </c>
    </row>
    <row r="209" spans="26:36" ht="15" customHeight="1">
      <c r="Z209" s="76" t="e">
        <f t="shared" ca="1" si="24"/>
        <v>#N/A</v>
      </c>
      <c r="AA209" s="75" t="e">
        <f t="shared" ca="1" si="25"/>
        <v>#N/A</v>
      </c>
      <c r="AB209" s="76">
        <f t="shared" ca="1" si="26"/>
        <v>0</v>
      </c>
      <c r="AC209" s="75">
        <f t="shared" ca="1" si="27"/>
        <v>0</v>
      </c>
      <c r="AD209" s="76">
        <f t="shared" ca="1" si="28"/>
        <v>12388.425643402781</v>
      </c>
      <c r="AE209" s="76">
        <f t="shared" si="29"/>
        <v>0</v>
      </c>
      <c r="AF209" s="75">
        <f t="shared" si="30"/>
        <v>0</v>
      </c>
      <c r="AG209" s="76">
        <f t="shared" si="2"/>
        <v>0</v>
      </c>
      <c r="AH209" s="31" t="e" cm="1">
        <f t="array" aca="1" ref="AH209" ca="1">IF((AD209) &lt; (INDEX(ResponseSLA[#All],(MATCH((G209),ResponseSLA[Priority],0))+1,3)),"YES","No")</f>
        <v>#N/A</v>
      </c>
      <c r="AI209" s="31" t="str">
        <f>_xlfn.IFNA(IF(AE209 &lt; (INDEX(SLATable[Minimum SLA],MATCH(G209,SLATable[Priority],0))),"YES","NO"),"")</f>
        <v/>
      </c>
      <c r="AJ209" t="str">
        <f>_xlfn.IFNA(IF(AE209 &lt; (INDEX(SLATable[Maximum SLA],MATCH(G209,SLATable[Priority],0))),"YES","NO"),"")</f>
        <v/>
      </c>
    </row>
    <row r="210" spans="26:36" ht="15" customHeight="1">
      <c r="Z210" s="76" t="e">
        <f t="shared" ca="1" si="24"/>
        <v>#N/A</v>
      </c>
      <c r="AA210" s="75" t="e">
        <f t="shared" ca="1" si="25"/>
        <v>#N/A</v>
      </c>
      <c r="AB210" s="76">
        <f t="shared" ca="1" si="26"/>
        <v>0</v>
      </c>
      <c r="AC210" s="75">
        <f t="shared" ca="1" si="27"/>
        <v>0</v>
      </c>
      <c r="AD210" s="76">
        <f t="shared" ca="1" si="28"/>
        <v>12388.425643402781</v>
      </c>
      <c r="AE210" s="76">
        <f t="shared" si="29"/>
        <v>0</v>
      </c>
      <c r="AF210" s="75">
        <f t="shared" si="30"/>
        <v>0</v>
      </c>
      <c r="AG210" s="76">
        <f t="shared" si="2"/>
        <v>0</v>
      </c>
      <c r="AH210" s="31" t="e" cm="1">
        <f t="array" aca="1" ref="AH210" ca="1">IF((AD210) &lt; (INDEX(ResponseSLA[#All],(MATCH((G210),ResponseSLA[Priority],0))+1,3)),"YES","No")</f>
        <v>#N/A</v>
      </c>
      <c r="AI210" s="31" t="str">
        <f>_xlfn.IFNA(IF(AE210 &lt; (INDEX(SLATable[Minimum SLA],MATCH(G210,SLATable[Priority],0))),"YES","NO"),"")</f>
        <v/>
      </c>
      <c r="AJ210" t="str">
        <f>_xlfn.IFNA(IF(AE210 &lt; (INDEX(SLATable[Maximum SLA],MATCH(G210,SLATable[Priority],0))),"YES","NO"),"")</f>
        <v/>
      </c>
    </row>
    <row r="211" spans="26:36" ht="15" customHeight="1">
      <c r="Z211" s="76" t="e">
        <f t="shared" ca="1" si="24"/>
        <v>#N/A</v>
      </c>
      <c r="AA211" s="75" t="e">
        <f t="shared" ca="1" si="25"/>
        <v>#N/A</v>
      </c>
      <c r="AB211" s="76">
        <f t="shared" ca="1" si="26"/>
        <v>0</v>
      </c>
      <c r="AC211" s="75">
        <f t="shared" ca="1" si="27"/>
        <v>0</v>
      </c>
      <c r="AD211" s="76">
        <f t="shared" ca="1" si="28"/>
        <v>12388.425643402781</v>
      </c>
      <c r="AE211" s="76">
        <f t="shared" si="29"/>
        <v>0</v>
      </c>
      <c r="AF211" s="75">
        <f t="shared" si="30"/>
        <v>0</v>
      </c>
      <c r="AG211" s="76">
        <f t="shared" si="2"/>
        <v>0</v>
      </c>
      <c r="AH211" s="31" t="e" cm="1">
        <f t="array" aca="1" ref="AH211" ca="1">IF((AD211) &lt; (INDEX(ResponseSLA[#All],(MATCH((G211),ResponseSLA[Priority],0))+1,3)),"YES","No")</f>
        <v>#N/A</v>
      </c>
      <c r="AI211" s="31" t="str">
        <f>_xlfn.IFNA(IF(AE211 &lt; (INDEX(SLATable[Minimum SLA],MATCH(G211,SLATable[Priority],0))),"YES","NO"),"")</f>
        <v/>
      </c>
      <c r="AJ211" t="str">
        <f>_xlfn.IFNA(IF(AE211 &lt; (INDEX(SLATable[Maximum SLA],MATCH(G211,SLATable[Priority],0))),"YES","NO"),"")</f>
        <v/>
      </c>
    </row>
    <row r="212" spans="26:36" ht="15" customHeight="1">
      <c r="Z212" s="76" t="e">
        <f t="shared" ca="1" si="24"/>
        <v>#N/A</v>
      </c>
      <c r="AA212" s="75" t="e">
        <f t="shared" ca="1" si="25"/>
        <v>#N/A</v>
      </c>
      <c r="AB212" s="76">
        <f t="shared" ca="1" si="26"/>
        <v>0</v>
      </c>
      <c r="AC212" s="75">
        <f t="shared" ca="1" si="27"/>
        <v>0</v>
      </c>
      <c r="AD212" s="76">
        <f t="shared" ca="1" si="28"/>
        <v>12388.425643402781</v>
      </c>
      <c r="AE212" s="76">
        <f t="shared" si="29"/>
        <v>0</v>
      </c>
      <c r="AF212" s="75">
        <f t="shared" si="30"/>
        <v>0</v>
      </c>
      <c r="AG212" s="76">
        <f t="shared" si="2"/>
        <v>0</v>
      </c>
      <c r="AH212" s="31" t="e" cm="1">
        <f t="array" aca="1" ref="AH212" ca="1">IF((AD212) &lt; (INDEX(ResponseSLA[#All],(MATCH((G212),ResponseSLA[Priority],0))+1,3)),"YES","No")</f>
        <v>#N/A</v>
      </c>
      <c r="AI212" s="31" t="str">
        <f>_xlfn.IFNA(IF(AE212 &lt; (INDEX(SLATable[Minimum SLA],MATCH(G212,SLATable[Priority],0))),"YES","NO"),"")</f>
        <v/>
      </c>
      <c r="AJ212" t="str">
        <f>_xlfn.IFNA(IF(AE212 &lt; (INDEX(SLATable[Maximum SLA],MATCH(G212,SLATable[Priority],0))),"YES","NO"),"")</f>
        <v/>
      </c>
    </row>
    <row r="213" spans="26:36" ht="15" customHeight="1">
      <c r="Z213" s="76" t="e">
        <f t="shared" ca="1" si="24"/>
        <v>#N/A</v>
      </c>
      <c r="AA213" s="75" t="e">
        <f t="shared" ca="1" si="25"/>
        <v>#N/A</v>
      </c>
      <c r="AB213" s="76">
        <f t="shared" ca="1" si="26"/>
        <v>0</v>
      </c>
      <c r="AC213" s="75">
        <f t="shared" ca="1" si="27"/>
        <v>0</v>
      </c>
      <c r="AD213" s="76">
        <f t="shared" ca="1" si="28"/>
        <v>12388.425643402781</v>
      </c>
      <c r="AE213" s="76">
        <f t="shared" si="29"/>
        <v>0</v>
      </c>
      <c r="AF213" s="75">
        <f t="shared" si="30"/>
        <v>0</v>
      </c>
      <c r="AG213" s="76">
        <f t="shared" si="2"/>
        <v>0</v>
      </c>
      <c r="AH213" s="31" t="e" cm="1">
        <f t="array" aca="1" ref="AH213" ca="1">IF((AD213) &lt; (INDEX(ResponseSLA[#All],(MATCH((G213),ResponseSLA[Priority],0))+1,3)),"YES","No")</f>
        <v>#N/A</v>
      </c>
      <c r="AI213" s="31" t="str">
        <f>_xlfn.IFNA(IF(AE213 &lt; (INDEX(SLATable[Minimum SLA],MATCH(G213,SLATable[Priority],0))),"YES","NO"),"")</f>
        <v/>
      </c>
      <c r="AJ213" t="str">
        <f>_xlfn.IFNA(IF(AE213 &lt; (INDEX(SLATable[Maximum SLA],MATCH(G213,SLATable[Priority],0))),"YES","NO"),"")</f>
        <v/>
      </c>
    </row>
    <row r="214" spans="26:36" ht="15" customHeight="1">
      <c r="Z214" s="76" t="e">
        <f t="shared" ca="1" si="24"/>
        <v>#N/A</v>
      </c>
      <c r="AA214" s="75" t="e">
        <f t="shared" ca="1" si="25"/>
        <v>#N/A</v>
      </c>
      <c r="AB214" s="76">
        <f t="shared" ca="1" si="26"/>
        <v>0</v>
      </c>
      <c r="AC214" s="75">
        <f t="shared" ca="1" si="27"/>
        <v>0</v>
      </c>
      <c r="AD214" s="76">
        <f t="shared" ca="1" si="28"/>
        <v>12388.425643402781</v>
      </c>
      <c r="AE214" s="76">
        <f t="shared" si="29"/>
        <v>0</v>
      </c>
      <c r="AF214" s="75">
        <f t="shared" si="30"/>
        <v>0</v>
      </c>
      <c r="AG214" s="76">
        <f t="shared" si="2"/>
        <v>0</v>
      </c>
      <c r="AH214" s="31" t="e" cm="1">
        <f t="array" aca="1" ref="AH214" ca="1">IF((AD214) &lt; (INDEX(ResponseSLA[#All],(MATCH((G214),ResponseSLA[Priority],0))+1,3)),"YES","No")</f>
        <v>#N/A</v>
      </c>
      <c r="AI214" s="31" t="str">
        <f>_xlfn.IFNA(IF(AE214 &lt; (INDEX(SLATable[Minimum SLA],MATCH(G214,SLATable[Priority],0))),"YES","NO"),"")</f>
        <v/>
      </c>
      <c r="AJ214" t="str">
        <f>_xlfn.IFNA(IF(AE214 &lt; (INDEX(SLATable[Maximum SLA],MATCH(G214,SLATable[Priority],0))),"YES","NO"),"")</f>
        <v/>
      </c>
    </row>
    <row r="215" spans="26:36" ht="15" customHeight="1">
      <c r="Z215" s="76" t="e">
        <f t="shared" ca="1" si="24"/>
        <v>#N/A</v>
      </c>
      <c r="AA215" s="75" t="e">
        <f t="shared" ca="1" si="25"/>
        <v>#N/A</v>
      </c>
      <c r="AB215" s="76">
        <f t="shared" ca="1" si="26"/>
        <v>0</v>
      </c>
      <c r="AC215" s="75">
        <f t="shared" ca="1" si="27"/>
        <v>0</v>
      </c>
      <c r="AD215" s="76">
        <f t="shared" ca="1" si="28"/>
        <v>12388.425643402781</v>
      </c>
      <c r="AE215" s="76">
        <f t="shared" si="29"/>
        <v>0</v>
      </c>
      <c r="AF215" s="75">
        <f t="shared" si="30"/>
        <v>0</v>
      </c>
      <c r="AG215" s="76">
        <f t="shared" si="2"/>
        <v>0</v>
      </c>
      <c r="AH215" s="31" t="e" cm="1">
        <f t="array" aca="1" ref="AH215" ca="1">IF((AD215) &lt; (INDEX(ResponseSLA[#All],(MATCH((G215),ResponseSLA[Priority],0))+1,3)),"YES","No")</f>
        <v>#N/A</v>
      </c>
      <c r="AI215" s="31" t="str">
        <f>_xlfn.IFNA(IF(AE215 &lt; (INDEX(SLATable[Minimum SLA],MATCH(G215,SLATable[Priority],0))),"YES","NO"),"")</f>
        <v/>
      </c>
      <c r="AJ215" t="str">
        <f>_xlfn.IFNA(IF(AE215 &lt; (INDEX(SLATable[Maximum SLA],MATCH(G215,SLATable[Priority],0))),"YES","NO"),"")</f>
        <v/>
      </c>
    </row>
    <row r="216" spans="26:36" ht="15" customHeight="1">
      <c r="Z216" s="76" t="e">
        <f t="shared" ca="1" si="24"/>
        <v>#N/A</v>
      </c>
      <c r="AA216" s="75" t="e">
        <f t="shared" ca="1" si="25"/>
        <v>#N/A</v>
      </c>
      <c r="AB216" s="76">
        <f t="shared" ca="1" si="26"/>
        <v>0</v>
      </c>
      <c r="AC216" s="75">
        <f t="shared" ca="1" si="27"/>
        <v>0</v>
      </c>
      <c r="AD216" s="76">
        <f t="shared" ca="1" si="28"/>
        <v>12388.425643402781</v>
      </c>
      <c r="AE216" s="76">
        <f t="shared" si="29"/>
        <v>0</v>
      </c>
      <c r="AF216" s="75">
        <f t="shared" si="30"/>
        <v>0</v>
      </c>
      <c r="AG216" s="76">
        <f t="shared" si="2"/>
        <v>0</v>
      </c>
      <c r="AH216" s="31" t="e" cm="1">
        <f t="array" aca="1" ref="AH216" ca="1">IF((AD216) &lt; (INDEX(ResponseSLA[#All],(MATCH((G216),ResponseSLA[Priority],0))+1,3)),"YES","No")</f>
        <v>#N/A</v>
      </c>
      <c r="AI216" s="31" t="str">
        <f>_xlfn.IFNA(IF(AE216 &lt; (INDEX(SLATable[Minimum SLA],MATCH(G216,SLATable[Priority],0))),"YES","NO"),"")</f>
        <v/>
      </c>
      <c r="AJ216" t="str">
        <f>_xlfn.IFNA(IF(AE216 &lt; (INDEX(SLATable[Maximum SLA],MATCH(G216,SLATable[Priority],0))),"YES","NO"),"")</f>
        <v/>
      </c>
    </row>
    <row r="217" spans="26:36" ht="15" customHeight="1">
      <c r="Z217" s="76" t="e">
        <f t="shared" ca="1" si="24"/>
        <v>#N/A</v>
      </c>
      <c r="AA217" s="75" t="e">
        <f t="shared" ca="1" si="25"/>
        <v>#N/A</v>
      </c>
      <c r="AB217" s="76">
        <f t="shared" ca="1" si="26"/>
        <v>0</v>
      </c>
      <c r="AC217" s="75">
        <f t="shared" ca="1" si="27"/>
        <v>0</v>
      </c>
      <c r="AD217" s="76">
        <f t="shared" ca="1" si="28"/>
        <v>12388.425643402781</v>
      </c>
      <c r="AE217" s="76">
        <f t="shared" si="29"/>
        <v>0</v>
      </c>
      <c r="AF217" s="75">
        <f t="shared" si="30"/>
        <v>0</v>
      </c>
      <c r="AG217" s="76">
        <f t="shared" si="2"/>
        <v>0</v>
      </c>
      <c r="AH217" s="31" t="e" cm="1">
        <f t="array" aca="1" ref="AH217" ca="1">IF((AD217) &lt; (INDEX(ResponseSLA[#All],(MATCH((G217),ResponseSLA[Priority],0))+1,3)),"YES","No")</f>
        <v>#N/A</v>
      </c>
      <c r="AI217" s="31" t="str">
        <f>_xlfn.IFNA(IF(AE217 &lt; (INDEX(SLATable[Minimum SLA],MATCH(G217,SLATable[Priority],0))),"YES","NO"),"")</f>
        <v/>
      </c>
      <c r="AJ217" t="str">
        <f>_xlfn.IFNA(IF(AE217 &lt; (INDEX(SLATable[Maximum SLA],MATCH(G217,SLATable[Priority],0))),"YES","NO"),"")</f>
        <v/>
      </c>
    </row>
    <row r="218" spans="26:36" ht="15" customHeight="1">
      <c r="Z218" s="76" t="e">
        <f t="shared" ca="1" si="24"/>
        <v>#N/A</v>
      </c>
      <c r="AA218" s="75" t="e">
        <f t="shared" ca="1" si="25"/>
        <v>#N/A</v>
      </c>
      <c r="AB218" s="76">
        <f t="shared" ca="1" si="26"/>
        <v>0</v>
      </c>
      <c r="AC218" s="75">
        <f t="shared" ca="1" si="27"/>
        <v>0</v>
      </c>
      <c r="AD218" s="76">
        <f t="shared" ca="1" si="28"/>
        <v>12388.425643402781</v>
      </c>
      <c r="AE218" s="76">
        <f t="shared" si="29"/>
        <v>0</v>
      </c>
      <c r="AF218" s="75">
        <f t="shared" si="30"/>
        <v>0</v>
      </c>
      <c r="AG218" s="76">
        <f t="shared" si="2"/>
        <v>0</v>
      </c>
      <c r="AH218" s="31" t="e" cm="1">
        <f t="array" aca="1" ref="AH218" ca="1">IF((AD218) &lt; (INDEX(ResponseSLA[#All],(MATCH((G218),ResponseSLA[Priority],0))+1,3)),"YES","No")</f>
        <v>#N/A</v>
      </c>
      <c r="AI218" s="31" t="str">
        <f>_xlfn.IFNA(IF(AE218 &lt; (INDEX(SLATable[Minimum SLA],MATCH(G218,SLATable[Priority],0))),"YES","NO"),"")</f>
        <v/>
      </c>
      <c r="AJ218" t="str">
        <f>_xlfn.IFNA(IF(AE218 &lt; (INDEX(SLATable[Maximum SLA],MATCH(G218,SLATable[Priority],0))),"YES","NO"),"")</f>
        <v/>
      </c>
    </row>
    <row r="219" spans="26:36" ht="15" customHeight="1">
      <c r="Z219" s="76" t="e">
        <f t="shared" ca="1" si="24"/>
        <v>#N/A</v>
      </c>
      <c r="AA219" s="75" t="e">
        <f t="shared" ca="1" si="25"/>
        <v>#N/A</v>
      </c>
      <c r="AB219" s="76">
        <f t="shared" ca="1" si="26"/>
        <v>0</v>
      </c>
      <c r="AC219" s="75">
        <f t="shared" ca="1" si="27"/>
        <v>0</v>
      </c>
      <c r="AD219" s="76">
        <f t="shared" ca="1" si="28"/>
        <v>12388.425643402781</v>
      </c>
      <c r="AE219" s="76">
        <f t="shared" si="29"/>
        <v>0</v>
      </c>
      <c r="AF219" s="75">
        <f t="shared" si="30"/>
        <v>0</v>
      </c>
      <c r="AG219" s="76">
        <f t="shared" si="2"/>
        <v>0</v>
      </c>
      <c r="AH219" s="31" t="e" cm="1">
        <f t="array" aca="1" ref="AH219" ca="1">IF((AD219) &lt; (INDEX(ResponseSLA[#All],(MATCH((G219),ResponseSLA[Priority],0))+1,3)),"YES","No")</f>
        <v>#N/A</v>
      </c>
      <c r="AI219" s="31" t="str">
        <f>_xlfn.IFNA(IF(AE219 &lt; (INDEX(SLATable[Minimum SLA],MATCH(G219,SLATable[Priority],0))),"YES","NO"),"")</f>
        <v/>
      </c>
      <c r="AJ219" t="str">
        <f>_xlfn.IFNA(IF(AE219 &lt; (INDEX(SLATable[Maximum SLA],MATCH(G219,SLATable[Priority],0))),"YES","NO"),"")</f>
        <v/>
      </c>
    </row>
    <row r="220" spans="26:36" ht="15" customHeight="1">
      <c r="Z220" s="76" t="e">
        <f t="shared" ca="1" si="24"/>
        <v>#N/A</v>
      </c>
      <c r="AA220" s="75" t="e">
        <f t="shared" ca="1" si="25"/>
        <v>#N/A</v>
      </c>
      <c r="AB220" s="76">
        <f t="shared" ca="1" si="26"/>
        <v>0</v>
      </c>
      <c r="AC220" s="75">
        <f t="shared" ca="1" si="27"/>
        <v>0</v>
      </c>
      <c r="AD220" s="76">
        <f t="shared" ca="1" si="28"/>
        <v>12388.425643402781</v>
      </c>
      <c r="AE220" s="76">
        <f t="shared" si="29"/>
        <v>0</v>
      </c>
      <c r="AF220" s="75">
        <f t="shared" si="30"/>
        <v>0</v>
      </c>
      <c r="AG220" s="76">
        <f t="shared" si="2"/>
        <v>0</v>
      </c>
      <c r="AH220" s="31" t="e" cm="1">
        <f t="array" aca="1" ref="AH220" ca="1">IF((AD220) &lt; (INDEX(ResponseSLA[#All],(MATCH((G220),ResponseSLA[Priority],0))+1,3)),"YES","No")</f>
        <v>#N/A</v>
      </c>
      <c r="AI220" s="31" t="str">
        <f>_xlfn.IFNA(IF(AE220 &lt; (INDEX(SLATable[Minimum SLA],MATCH(G220,SLATable[Priority],0))),"YES","NO"),"")</f>
        <v/>
      </c>
      <c r="AJ220" t="str">
        <f>_xlfn.IFNA(IF(AE220 &lt; (INDEX(SLATable[Maximum SLA],MATCH(G220,SLATable[Priority],0))),"YES","NO"),"")</f>
        <v/>
      </c>
    </row>
    <row r="221" spans="26:36" ht="15" customHeight="1">
      <c r="Z221" s="76" t="e">
        <f t="shared" ca="1" si="24"/>
        <v>#N/A</v>
      </c>
      <c r="AA221" s="75" t="e">
        <f t="shared" ca="1" si="25"/>
        <v>#N/A</v>
      </c>
      <c r="AB221" s="76">
        <f t="shared" ca="1" si="26"/>
        <v>0</v>
      </c>
      <c r="AC221" s="75">
        <f t="shared" ca="1" si="27"/>
        <v>0</v>
      </c>
      <c r="AD221" s="76">
        <f t="shared" ca="1" si="28"/>
        <v>12388.425643402781</v>
      </c>
      <c r="AE221" s="76">
        <f t="shared" si="29"/>
        <v>0</v>
      </c>
      <c r="AF221" s="75">
        <f t="shared" si="30"/>
        <v>0</v>
      </c>
      <c r="AG221" s="76">
        <f t="shared" si="2"/>
        <v>0</v>
      </c>
      <c r="AH221" s="31" t="e" cm="1">
        <f t="array" aca="1" ref="AH221" ca="1">IF((AD221) &lt; (INDEX(ResponseSLA[#All],(MATCH((G221),ResponseSLA[Priority],0))+1,3)),"YES","No")</f>
        <v>#N/A</v>
      </c>
      <c r="AI221" s="31" t="str">
        <f>_xlfn.IFNA(IF(AE221 &lt; (INDEX(SLATable[Minimum SLA],MATCH(G221,SLATable[Priority],0))),"YES","NO"),"")</f>
        <v/>
      </c>
      <c r="AJ221" t="str">
        <f>_xlfn.IFNA(IF(AE221 &lt; (INDEX(SLATable[Maximum SLA],MATCH(G221,SLATable[Priority],0))),"YES","NO"),"")</f>
        <v/>
      </c>
    </row>
    <row r="222" spans="26:36" ht="15" customHeight="1">
      <c r="Z222" s="76" t="e">
        <f t="shared" ca="1" si="24"/>
        <v>#N/A</v>
      </c>
      <c r="AA222" s="75" t="e">
        <f t="shared" ca="1" si="25"/>
        <v>#N/A</v>
      </c>
      <c r="AB222" s="76">
        <f t="shared" ca="1" si="26"/>
        <v>0</v>
      </c>
      <c r="AC222" s="75">
        <f t="shared" ca="1" si="27"/>
        <v>0</v>
      </c>
      <c r="AD222" s="76">
        <f t="shared" ca="1" si="28"/>
        <v>12388.425643402781</v>
      </c>
      <c r="AE222" s="76">
        <f t="shared" si="29"/>
        <v>0</v>
      </c>
      <c r="AF222" s="75">
        <f t="shared" si="30"/>
        <v>0</v>
      </c>
      <c r="AG222" s="76">
        <f t="shared" si="2"/>
        <v>0</v>
      </c>
      <c r="AH222" s="31" t="e" cm="1">
        <f t="array" aca="1" ref="AH222" ca="1">IF((AD222) &lt; (INDEX(ResponseSLA[#All],(MATCH((G222),ResponseSLA[Priority],0))+1,3)),"YES","No")</f>
        <v>#N/A</v>
      </c>
      <c r="AI222" s="31" t="str">
        <f>_xlfn.IFNA(IF(AE222 &lt; (INDEX(SLATable[Minimum SLA],MATCH(G222,SLATable[Priority],0))),"YES","NO"),"")</f>
        <v/>
      </c>
      <c r="AJ222" t="str">
        <f>_xlfn.IFNA(IF(AE222 &lt; (INDEX(SLATable[Maximum SLA],MATCH(G222,SLATable[Priority],0))),"YES","NO"),"")</f>
        <v/>
      </c>
    </row>
    <row r="223" spans="26:36" ht="15" customHeight="1">
      <c r="Z223" s="76" t="e">
        <f t="shared" ca="1" si="24"/>
        <v>#N/A</v>
      </c>
      <c r="AA223" s="75" t="e">
        <f t="shared" ca="1" si="25"/>
        <v>#N/A</v>
      </c>
      <c r="AB223" s="76">
        <f t="shared" ca="1" si="26"/>
        <v>0</v>
      </c>
      <c r="AC223" s="75">
        <f t="shared" ca="1" si="27"/>
        <v>0</v>
      </c>
      <c r="AD223" s="76">
        <f t="shared" ca="1" si="28"/>
        <v>12388.425643402781</v>
      </c>
      <c r="AE223" s="76">
        <f t="shared" si="29"/>
        <v>0</v>
      </c>
      <c r="AF223" s="75">
        <f t="shared" si="30"/>
        <v>0</v>
      </c>
      <c r="AG223" s="76">
        <f t="shared" si="2"/>
        <v>0</v>
      </c>
      <c r="AH223" s="31" t="e" cm="1">
        <f t="array" aca="1" ref="AH223" ca="1">IF((AD223) &lt; (INDEX(ResponseSLA[#All],(MATCH((G223),ResponseSLA[Priority],0))+1,3)),"YES","No")</f>
        <v>#N/A</v>
      </c>
      <c r="AI223" s="31" t="str">
        <f>_xlfn.IFNA(IF(AE223 &lt; (INDEX(SLATable[Minimum SLA],MATCH(G223,SLATable[Priority],0))),"YES","NO"),"")</f>
        <v/>
      </c>
      <c r="AJ223" t="str">
        <f>_xlfn.IFNA(IF(AE223 &lt; (INDEX(SLATable[Maximum SLA],MATCH(G223,SLATable[Priority],0))),"YES","NO"),"")</f>
        <v/>
      </c>
    </row>
    <row r="224" spans="26:36" ht="15" customHeight="1">
      <c r="Z224" s="76" t="e">
        <f t="shared" ca="1" si="24"/>
        <v>#N/A</v>
      </c>
      <c r="AA224" s="75" t="e">
        <f t="shared" ca="1" si="25"/>
        <v>#N/A</v>
      </c>
      <c r="AB224" s="76">
        <f t="shared" ca="1" si="26"/>
        <v>0</v>
      </c>
      <c r="AC224" s="75">
        <f t="shared" ca="1" si="27"/>
        <v>0</v>
      </c>
      <c r="AD224" s="76">
        <f t="shared" ca="1" si="28"/>
        <v>12388.425643402781</v>
      </c>
      <c r="AE224" s="76">
        <f t="shared" si="29"/>
        <v>0</v>
      </c>
      <c r="AF224" s="75">
        <f t="shared" si="30"/>
        <v>0</v>
      </c>
      <c r="AG224" s="76">
        <f t="shared" si="2"/>
        <v>0</v>
      </c>
      <c r="AH224" s="31" t="e" cm="1">
        <f t="array" aca="1" ref="AH224" ca="1">IF((AD224) &lt; (INDEX(ResponseSLA[#All],(MATCH((G224),ResponseSLA[Priority],0))+1,3)),"YES","No")</f>
        <v>#N/A</v>
      </c>
      <c r="AI224" s="31" t="str">
        <f>_xlfn.IFNA(IF(AE224 &lt; (INDEX(SLATable[Minimum SLA],MATCH(G224,SLATable[Priority],0))),"YES","NO"),"")</f>
        <v/>
      </c>
      <c r="AJ224" t="str">
        <f>_xlfn.IFNA(IF(AE224 &lt; (INDEX(SLATable[Maximum SLA],MATCH(G224,SLATable[Priority],0))),"YES","NO"),"")</f>
        <v/>
      </c>
    </row>
    <row r="225" spans="26:36" ht="15" customHeight="1">
      <c r="Z225" s="76" t="e">
        <f t="shared" ca="1" si="24"/>
        <v>#N/A</v>
      </c>
      <c r="AA225" s="75" t="e">
        <f t="shared" ca="1" si="25"/>
        <v>#N/A</v>
      </c>
      <c r="AB225" s="76">
        <f t="shared" ca="1" si="26"/>
        <v>0</v>
      </c>
      <c r="AC225" s="75">
        <f t="shared" ca="1" si="27"/>
        <v>0</v>
      </c>
      <c r="AD225" s="76">
        <f t="shared" ca="1" si="28"/>
        <v>12388.425643402781</v>
      </c>
      <c r="AE225" s="76">
        <f t="shared" si="29"/>
        <v>0</v>
      </c>
      <c r="AF225" s="75">
        <f t="shared" si="30"/>
        <v>0</v>
      </c>
      <c r="AG225" s="76">
        <f t="shared" si="2"/>
        <v>0</v>
      </c>
      <c r="AH225" s="31" t="e" cm="1">
        <f t="array" aca="1" ref="AH225" ca="1">IF((AD225) &lt; (INDEX(ResponseSLA[#All],(MATCH((G225),ResponseSLA[Priority],0))+1,3)),"YES","No")</f>
        <v>#N/A</v>
      </c>
      <c r="AI225" s="31" t="str">
        <f>_xlfn.IFNA(IF(AE225 &lt; (INDEX(SLATable[Minimum SLA],MATCH(G225,SLATable[Priority],0))),"YES","NO"),"")</f>
        <v/>
      </c>
      <c r="AJ225" t="str">
        <f>_xlfn.IFNA(IF(AE225 &lt; (INDEX(SLATable[Maximum SLA],MATCH(G225,SLATable[Priority],0))),"YES","NO"),"")</f>
        <v/>
      </c>
    </row>
    <row r="226" spans="26:36" ht="15" customHeight="1">
      <c r="Z226" s="76" t="e">
        <f t="shared" ca="1" si="24"/>
        <v>#N/A</v>
      </c>
      <c r="AA226" s="75" t="e">
        <f t="shared" ca="1" si="25"/>
        <v>#N/A</v>
      </c>
      <c r="AB226" s="76">
        <f t="shared" ca="1" si="26"/>
        <v>0</v>
      </c>
      <c r="AC226" s="75">
        <f t="shared" ca="1" si="27"/>
        <v>0</v>
      </c>
      <c r="AD226" s="76">
        <f t="shared" ca="1" si="28"/>
        <v>12388.425643402781</v>
      </c>
      <c r="AE226" s="76">
        <f t="shared" si="29"/>
        <v>0</v>
      </c>
      <c r="AF226" s="75">
        <f t="shared" si="30"/>
        <v>0</v>
      </c>
      <c r="AG226" s="76">
        <f t="shared" si="2"/>
        <v>0</v>
      </c>
      <c r="AH226" s="31" t="e" cm="1">
        <f t="array" aca="1" ref="AH226" ca="1">IF((AD226) &lt; (INDEX(ResponseSLA[#All],(MATCH((G226),ResponseSLA[Priority],0))+1,3)),"YES","No")</f>
        <v>#N/A</v>
      </c>
      <c r="AI226" s="31" t="str">
        <f>_xlfn.IFNA(IF(AE226 &lt; (INDEX(SLATable[Minimum SLA],MATCH(G226,SLATable[Priority],0))),"YES","NO"),"")</f>
        <v/>
      </c>
      <c r="AJ226" t="str">
        <f>_xlfn.IFNA(IF(AE226 &lt; (INDEX(SLATable[Maximum SLA],MATCH(G226,SLATable[Priority],0))),"YES","NO"),"")</f>
        <v/>
      </c>
    </row>
    <row r="227" spans="26:36" ht="15" customHeight="1">
      <c r="Z227" s="76" t="e">
        <f t="shared" ca="1" si="24"/>
        <v>#N/A</v>
      </c>
      <c r="AA227" s="75" t="e">
        <f t="shared" ca="1" si="25"/>
        <v>#N/A</v>
      </c>
      <c r="AB227" s="76">
        <f t="shared" ca="1" si="26"/>
        <v>0</v>
      </c>
      <c r="AC227" s="75">
        <f t="shared" ca="1" si="27"/>
        <v>0</v>
      </c>
      <c r="AD227" s="76">
        <f t="shared" ca="1" si="28"/>
        <v>12388.425643402781</v>
      </c>
      <c r="AE227" s="76">
        <f t="shared" si="29"/>
        <v>0</v>
      </c>
      <c r="AF227" s="75">
        <f t="shared" si="30"/>
        <v>0</v>
      </c>
      <c r="AG227" s="76">
        <f t="shared" si="2"/>
        <v>0</v>
      </c>
      <c r="AH227" s="31" t="e" cm="1">
        <f t="array" aca="1" ref="AH227" ca="1">IF((AD227) &lt; (INDEX(ResponseSLA[#All],(MATCH((G227),ResponseSLA[Priority],0))+1,3)),"YES","No")</f>
        <v>#N/A</v>
      </c>
      <c r="AI227" s="31" t="str">
        <f>_xlfn.IFNA(IF(AE227 &lt; (INDEX(SLATable[Minimum SLA],MATCH(G227,SLATable[Priority],0))),"YES","NO"),"")</f>
        <v/>
      </c>
      <c r="AJ227" t="str">
        <f>_xlfn.IFNA(IF(AE227 &lt; (INDEX(SLATable[Maximum SLA],MATCH(G227,SLATable[Priority],0))),"YES","NO"),"")</f>
        <v/>
      </c>
    </row>
    <row r="228" spans="26:36" ht="15" customHeight="1">
      <c r="Z228" s="76" t="e">
        <f t="shared" ca="1" si="24"/>
        <v>#N/A</v>
      </c>
      <c r="AA228" s="75" t="e">
        <f t="shared" ca="1" si="25"/>
        <v>#N/A</v>
      </c>
      <c r="AB228" s="76">
        <f t="shared" ca="1" si="26"/>
        <v>0</v>
      </c>
      <c r="AC228" s="75">
        <f t="shared" ca="1" si="27"/>
        <v>0</v>
      </c>
      <c r="AD228" s="76">
        <f t="shared" ca="1" si="28"/>
        <v>12388.425643402781</v>
      </c>
      <c r="AE228" s="76">
        <f t="shared" si="29"/>
        <v>0</v>
      </c>
      <c r="AF228" s="75">
        <f t="shared" si="30"/>
        <v>0</v>
      </c>
      <c r="AG228" s="76">
        <f t="shared" si="2"/>
        <v>0</v>
      </c>
      <c r="AH228" s="31" t="e" cm="1">
        <f t="array" aca="1" ref="AH228" ca="1">IF((AD228) &lt; (INDEX(ResponseSLA[#All],(MATCH((G228),ResponseSLA[Priority],0))+1,3)),"YES","No")</f>
        <v>#N/A</v>
      </c>
      <c r="AI228" s="31" t="str">
        <f>_xlfn.IFNA(IF(AE228 &lt; (INDEX(SLATable[Minimum SLA],MATCH(G228,SLATable[Priority],0))),"YES","NO"),"")</f>
        <v/>
      </c>
      <c r="AJ228" t="str">
        <f>_xlfn.IFNA(IF(AE228 &lt; (INDEX(SLATable[Maximum SLA],MATCH(G228,SLATable[Priority],0))),"YES","NO"),"")</f>
        <v/>
      </c>
    </row>
    <row r="229" spans="26:36" ht="15" customHeight="1">
      <c r="Z229" s="76" t="e">
        <f t="shared" ca="1" si="24"/>
        <v>#N/A</v>
      </c>
      <c r="AA229" s="75" t="e">
        <f t="shared" ca="1" si="25"/>
        <v>#N/A</v>
      </c>
      <c r="AB229" s="76">
        <f t="shared" ca="1" si="26"/>
        <v>0</v>
      </c>
      <c r="AC229" s="75">
        <f t="shared" ca="1" si="27"/>
        <v>0</v>
      </c>
      <c r="AD229" s="76">
        <f t="shared" ca="1" si="28"/>
        <v>12388.425643402781</v>
      </c>
      <c r="AE229" s="76">
        <f t="shared" si="29"/>
        <v>0</v>
      </c>
      <c r="AF229" s="75">
        <f t="shared" si="30"/>
        <v>0</v>
      </c>
      <c r="AG229" s="76">
        <f t="shared" si="2"/>
        <v>0</v>
      </c>
      <c r="AH229" s="31" t="e" cm="1">
        <f t="array" aca="1" ref="AH229" ca="1">IF((AD229) &lt; (INDEX(ResponseSLA[#All],(MATCH((G229),ResponseSLA[Priority],0))+1,3)),"YES","No")</f>
        <v>#N/A</v>
      </c>
      <c r="AI229" s="31" t="str">
        <f>_xlfn.IFNA(IF(AE229 &lt; (INDEX(SLATable[Minimum SLA],MATCH(G229,SLATable[Priority],0))),"YES","NO"),"")</f>
        <v/>
      </c>
      <c r="AJ229" t="str">
        <f>_xlfn.IFNA(IF(AE229 &lt; (INDEX(SLATable[Maximum SLA],MATCH(G229,SLATable[Priority],0))),"YES","NO"),"")</f>
        <v/>
      </c>
    </row>
    <row r="230" spans="26:36" ht="15" customHeight="1">
      <c r="Z230" s="76" t="e">
        <f t="shared" ca="1" si="24"/>
        <v>#N/A</v>
      </c>
      <c r="AA230" s="75" t="e">
        <f t="shared" ca="1" si="25"/>
        <v>#N/A</v>
      </c>
      <c r="AB230" s="76">
        <f t="shared" ca="1" si="26"/>
        <v>0</v>
      </c>
      <c r="AC230" s="75">
        <f t="shared" ca="1" si="27"/>
        <v>0</v>
      </c>
      <c r="AD230" s="76">
        <f t="shared" ca="1" si="28"/>
        <v>12388.425643402781</v>
      </c>
      <c r="AE230" s="76">
        <f t="shared" si="29"/>
        <v>0</v>
      </c>
      <c r="AF230" s="75">
        <f t="shared" si="30"/>
        <v>0</v>
      </c>
      <c r="AG230" s="76">
        <f t="shared" si="2"/>
        <v>0</v>
      </c>
      <c r="AH230" s="31" t="e" cm="1">
        <f t="array" aca="1" ref="AH230" ca="1">IF((AD230) &lt; (INDEX(ResponseSLA[#All],(MATCH((G230),ResponseSLA[Priority],0))+1,3)),"YES","No")</f>
        <v>#N/A</v>
      </c>
      <c r="AI230" s="31" t="str">
        <f>_xlfn.IFNA(IF(AE230 &lt; (INDEX(SLATable[Minimum SLA],MATCH(G230,SLATable[Priority],0))),"YES","NO"),"")</f>
        <v/>
      </c>
      <c r="AJ230" t="str">
        <f>_xlfn.IFNA(IF(AE230 &lt; (INDEX(SLATable[Maximum SLA],MATCH(G230,SLATable[Priority],0))),"YES","NO"),"")</f>
        <v/>
      </c>
    </row>
    <row r="231" spans="26:36" ht="15" customHeight="1">
      <c r="Z231" s="76" t="e">
        <f t="shared" ca="1" si="24"/>
        <v>#N/A</v>
      </c>
      <c r="AA231" s="75" t="e">
        <f t="shared" ca="1" si="25"/>
        <v>#N/A</v>
      </c>
      <c r="AB231" s="76">
        <f t="shared" ca="1" si="26"/>
        <v>0</v>
      </c>
      <c r="AC231" s="75">
        <f t="shared" ca="1" si="27"/>
        <v>0</v>
      </c>
      <c r="AD231" s="76">
        <f t="shared" ca="1" si="28"/>
        <v>12388.425643402781</v>
      </c>
      <c r="AE231" s="76">
        <f t="shared" si="29"/>
        <v>0</v>
      </c>
      <c r="AF231" s="75">
        <f t="shared" si="30"/>
        <v>0</v>
      </c>
      <c r="AG231" s="76">
        <f t="shared" si="2"/>
        <v>0</v>
      </c>
      <c r="AH231" s="31" t="e" cm="1">
        <f t="array" aca="1" ref="AH231" ca="1">IF((AD231) &lt; (INDEX(ResponseSLA[#All],(MATCH((G231),ResponseSLA[Priority],0))+1,3)),"YES","No")</f>
        <v>#N/A</v>
      </c>
      <c r="AI231" s="31" t="str">
        <f>_xlfn.IFNA(IF(AE231 &lt; (INDEX(SLATable[Minimum SLA],MATCH(G231,SLATable[Priority],0))),"YES","NO"),"")</f>
        <v/>
      </c>
      <c r="AJ231" t="str">
        <f>_xlfn.IFNA(IF(AE231 &lt; (INDEX(SLATable[Maximum SLA],MATCH(G231,SLATable[Priority],0))),"YES","NO"),"")</f>
        <v/>
      </c>
    </row>
    <row r="232" spans="26:36" ht="15" customHeight="1">
      <c r="Z232" s="76" t="e">
        <f t="shared" ca="1" si="24"/>
        <v>#N/A</v>
      </c>
      <c r="AA232" s="75" t="e">
        <f t="shared" ca="1" si="25"/>
        <v>#N/A</v>
      </c>
      <c r="AB232" s="76">
        <f t="shared" ca="1" si="26"/>
        <v>0</v>
      </c>
      <c r="AC232" s="75">
        <f t="shared" ca="1" si="27"/>
        <v>0</v>
      </c>
      <c r="AD232" s="76">
        <f t="shared" ca="1" si="28"/>
        <v>12388.425643402781</v>
      </c>
      <c r="AE232" s="76">
        <f t="shared" si="29"/>
        <v>0</v>
      </c>
      <c r="AF232" s="75">
        <f t="shared" si="30"/>
        <v>0</v>
      </c>
      <c r="AG232" s="76">
        <f t="shared" si="2"/>
        <v>0</v>
      </c>
      <c r="AH232" s="31" t="e" cm="1">
        <f t="array" aca="1" ref="AH232" ca="1">IF((AD232) &lt; (INDEX(ResponseSLA[#All],(MATCH((G232),ResponseSLA[Priority],0))+1,3)),"YES","No")</f>
        <v>#N/A</v>
      </c>
      <c r="AI232" s="31" t="str">
        <f>_xlfn.IFNA(IF(AE232 &lt; (INDEX(SLATable[Minimum SLA],MATCH(G232,SLATable[Priority],0))),"YES","NO"),"")</f>
        <v/>
      </c>
      <c r="AJ232" t="str">
        <f>_xlfn.IFNA(IF(AE232 &lt; (INDEX(SLATable[Maximum SLA],MATCH(G232,SLATable[Priority],0))),"YES","NO"),"")</f>
        <v/>
      </c>
    </row>
    <row r="233" spans="26:36" ht="15" customHeight="1">
      <c r="Z233" s="76" t="e">
        <f t="shared" ca="1" si="24"/>
        <v>#N/A</v>
      </c>
      <c r="AA233" s="75" t="e">
        <f t="shared" ca="1" si="25"/>
        <v>#N/A</v>
      </c>
      <c r="AB233" s="76">
        <f t="shared" ca="1" si="26"/>
        <v>0</v>
      </c>
      <c r="AC233" s="75">
        <f t="shared" ca="1" si="27"/>
        <v>0</v>
      </c>
      <c r="AD233" s="76">
        <f t="shared" ca="1" si="28"/>
        <v>12388.425643402781</v>
      </c>
      <c r="AE233" s="76">
        <f t="shared" si="29"/>
        <v>0</v>
      </c>
      <c r="AF233" s="75">
        <f t="shared" si="30"/>
        <v>0</v>
      </c>
      <c r="AG233" s="76">
        <f t="shared" si="2"/>
        <v>0</v>
      </c>
      <c r="AH233" s="31" t="e" cm="1">
        <f t="array" aca="1" ref="AH233" ca="1">IF((AD233) &lt; (INDEX(ResponseSLA[#All],(MATCH((G233),ResponseSLA[Priority],0))+1,3)),"YES","No")</f>
        <v>#N/A</v>
      </c>
      <c r="AI233" s="31" t="str">
        <f>_xlfn.IFNA(IF(AE233 &lt; (INDEX(SLATable[Minimum SLA],MATCH(G233,SLATable[Priority],0))),"YES","NO"),"")</f>
        <v/>
      </c>
      <c r="AJ233" t="str">
        <f>_xlfn.IFNA(IF(AE233 &lt; (INDEX(SLATable[Maximum SLA],MATCH(G233,SLATable[Priority],0))),"YES","NO"),"")</f>
        <v/>
      </c>
    </row>
    <row r="234" spans="26:36" ht="15" customHeight="1">
      <c r="Z234" s="76" t="e">
        <f t="shared" ca="1" si="24"/>
        <v>#N/A</v>
      </c>
      <c r="AA234" s="75" t="e">
        <f t="shared" ca="1" si="25"/>
        <v>#N/A</v>
      </c>
      <c r="AB234" s="76">
        <f t="shared" ca="1" si="26"/>
        <v>0</v>
      </c>
      <c r="AC234" s="75">
        <f t="shared" ca="1" si="27"/>
        <v>0</v>
      </c>
      <c r="AD234" s="76">
        <f t="shared" ca="1" si="28"/>
        <v>12388.425643402781</v>
      </c>
      <c r="AE234" s="76">
        <f t="shared" si="29"/>
        <v>0</v>
      </c>
      <c r="AF234" s="75">
        <f t="shared" si="30"/>
        <v>0</v>
      </c>
      <c r="AG234" s="76">
        <f t="shared" si="2"/>
        <v>0</v>
      </c>
      <c r="AH234" s="31" t="e" cm="1">
        <f t="array" aca="1" ref="AH234" ca="1">IF((AD234) &lt; (INDEX(ResponseSLA[#All],(MATCH((G234),ResponseSLA[Priority],0))+1,3)),"YES","No")</f>
        <v>#N/A</v>
      </c>
      <c r="AI234" s="31" t="str">
        <f>_xlfn.IFNA(IF(AE234 &lt; (INDEX(SLATable[Minimum SLA],MATCH(G234,SLATable[Priority],0))),"YES","NO"),"")</f>
        <v/>
      </c>
      <c r="AJ234" t="str">
        <f>_xlfn.IFNA(IF(AE234 &lt; (INDEX(SLATable[Maximum SLA],MATCH(G234,SLATable[Priority],0))),"YES","NO"),"")</f>
        <v/>
      </c>
    </row>
    <row r="235" spans="26:36" ht="15" customHeight="1">
      <c r="Z235" s="76" t="e">
        <f t="shared" ca="1" si="24"/>
        <v>#N/A</v>
      </c>
      <c r="AA235" s="75" t="e">
        <f t="shared" ca="1" si="25"/>
        <v>#N/A</v>
      </c>
      <c r="AB235" s="76">
        <f t="shared" ca="1" si="26"/>
        <v>0</v>
      </c>
      <c r="AC235" s="75">
        <f t="shared" ca="1" si="27"/>
        <v>0</v>
      </c>
      <c r="AD235" s="76">
        <f t="shared" ca="1" si="28"/>
        <v>12388.425643402781</v>
      </c>
      <c r="AE235" s="76">
        <f t="shared" si="29"/>
        <v>0</v>
      </c>
      <c r="AF235" s="75">
        <f t="shared" si="30"/>
        <v>0</v>
      </c>
      <c r="AG235" s="76">
        <f t="shared" si="2"/>
        <v>0</v>
      </c>
      <c r="AH235" s="31" t="e" cm="1">
        <f t="array" aca="1" ref="AH235" ca="1">IF((AD235) &lt; (INDEX(ResponseSLA[#All],(MATCH((G235),ResponseSLA[Priority],0))+1,3)),"YES","No")</f>
        <v>#N/A</v>
      </c>
      <c r="AI235" s="31" t="str">
        <f>_xlfn.IFNA(IF(AE235 &lt; (INDEX(SLATable[Minimum SLA],MATCH(G235,SLATable[Priority],0))),"YES","NO"),"")</f>
        <v/>
      </c>
      <c r="AJ235" t="str">
        <f>_xlfn.IFNA(IF(AE235 &lt; (INDEX(SLATable[Maximum SLA],MATCH(G235,SLATable[Priority],0))),"YES","NO"),"")</f>
        <v/>
      </c>
    </row>
    <row r="236" spans="26:36" ht="15" customHeight="1">
      <c r="Z236" s="76" t="e">
        <f t="shared" ca="1" si="24"/>
        <v>#N/A</v>
      </c>
      <c r="AA236" s="75" t="e">
        <f t="shared" ca="1" si="25"/>
        <v>#N/A</v>
      </c>
      <c r="AB236" s="76">
        <f t="shared" ca="1" si="26"/>
        <v>0</v>
      </c>
      <c r="AC236" s="75">
        <f t="shared" ca="1" si="27"/>
        <v>0</v>
      </c>
      <c r="AD236" s="76">
        <f t="shared" ca="1" si="28"/>
        <v>12388.425643402781</v>
      </c>
      <c r="AE236" s="76">
        <f t="shared" si="29"/>
        <v>0</v>
      </c>
      <c r="AF236" s="75">
        <f t="shared" si="30"/>
        <v>0</v>
      </c>
      <c r="AG236" s="76">
        <f t="shared" si="2"/>
        <v>0</v>
      </c>
      <c r="AH236" s="31" t="e" cm="1">
        <f t="array" aca="1" ref="AH236" ca="1">IF((AD236) &lt; (INDEX(ResponseSLA[#All],(MATCH((G236),ResponseSLA[Priority],0))+1,3)),"YES","No")</f>
        <v>#N/A</v>
      </c>
      <c r="AI236" s="31" t="str">
        <f>_xlfn.IFNA(IF(AE236 &lt; (INDEX(SLATable[Minimum SLA],MATCH(G236,SLATable[Priority],0))),"YES","NO"),"")</f>
        <v/>
      </c>
      <c r="AJ236" t="str">
        <f>_xlfn.IFNA(IF(AE236 &lt; (INDEX(SLATable[Maximum SLA],MATCH(G236,SLATable[Priority],0))),"YES","NO"),"")</f>
        <v/>
      </c>
    </row>
    <row r="237" spans="26:36" ht="15" customHeight="1">
      <c r="Z237" s="76" t="e">
        <f t="shared" ca="1" si="24"/>
        <v>#N/A</v>
      </c>
      <c r="AA237" s="75" t="e">
        <f t="shared" ca="1" si="25"/>
        <v>#N/A</v>
      </c>
      <c r="AB237" s="76">
        <f t="shared" ca="1" si="26"/>
        <v>0</v>
      </c>
      <c r="AC237" s="75">
        <f t="shared" ca="1" si="27"/>
        <v>0</v>
      </c>
      <c r="AD237" s="76">
        <f t="shared" ca="1" si="28"/>
        <v>12388.425643402781</v>
      </c>
      <c r="AE237" s="76">
        <f t="shared" si="29"/>
        <v>0</v>
      </c>
      <c r="AF237" s="75">
        <f t="shared" si="30"/>
        <v>0</v>
      </c>
      <c r="AG237" s="76">
        <f t="shared" si="2"/>
        <v>0</v>
      </c>
      <c r="AH237" s="31" t="e" cm="1">
        <f t="array" aca="1" ref="AH237" ca="1">IF((AD237) &lt; (INDEX(ResponseSLA[#All],(MATCH((G237),ResponseSLA[Priority],0))+1,3)),"YES","No")</f>
        <v>#N/A</v>
      </c>
      <c r="AI237" s="31" t="str">
        <f>_xlfn.IFNA(IF(AE237 &lt; (INDEX(SLATable[Minimum SLA],MATCH(G237,SLATable[Priority],0))),"YES","NO"),"")</f>
        <v/>
      </c>
      <c r="AJ237" t="str">
        <f>_xlfn.IFNA(IF(AE237 &lt; (INDEX(SLATable[Maximum SLA],MATCH(G237,SLATable[Priority],0))),"YES","NO"),"")</f>
        <v/>
      </c>
    </row>
    <row r="238" spans="26:36" ht="15" customHeight="1">
      <c r="Z238" s="76" t="e">
        <f t="shared" ca="1" si="24"/>
        <v>#N/A</v>
      </c>
      <c r="AA238" s="75" t="e">
        <f t="shared" ca="1" si="25"/>
        <v>#N/A</v>
      </c>
      <c r="AB238" s="76">
        <f t="shared" ca="1" si="26"/>
        <v>0</v>
      </c>
      <c r="AC238" s="75">
        <f t="shared" ca="1" si="27"/>
        <v>0</v>
      </c>
      <c r="AD238" s="76">
        <f t="shared" ca="1" si="28"/>
        <v>12388.425643402781</v>
      </c>
      <c r="AE238" s="76">
        <f t="shared" si="29"/>
        <v>0</v>
      </c>
      <c r="AF238" s="75">
        <f t="shared" si="30"/>
        <v>0</v>
      </c>
      <c r="AG238" s="76">
        <f t="shared" si="2"/>
        <v>0</v>
      </c>
      <c r="AH238" s="31" t="e" cm="1">
        <f t="array" aca="1" ref="AH238" ca="1">IF((AD238) &lt; (INDEX(ResponseSLA[#All],(MATCH((G238),ResponseSLA[Priority],0))+1,3)),"YES","No")</f>
        <v>#N/A</v>
      </c>
      <c r="AI238" s="31" t="str">
        <f>_xlfn.IFNA(IF(AE238 &lt; (INDEX(SLATable[Minimum SLA],MATCH(G238,SLATable[Priority],0))),"YES","NO"),"")</f>
        <v/>
      </c>
      <c r="AJ238" t="str">
        <f>_xlfn.IFNA(IF(AE238 &lt; (INDEX(SLATable[Maximum SLA],MATCH(G238,SLATable[Priority],0))),"YES","NO"),"")</f>
        <v/>
      </c>
    </row>
    <row r="239" spans="26:36" ht="15" customHeight="1">
      <c r="Z239" s="76" t="e">
        <f t="shared" ca="1" si="24"/>
        <v>#N/A</v>
      </c>
      <c r="AA239" s="75" t="e">
        <f t="shared" ca="1" si="25"/>
        <v>#N/A</v>
      </c>
      <c r="AB239" s="76">
        <f t="shared" ca="1" si="26"/>
        <v>0</v>
      </c>
      <c r="AC239" s="75">
        <f t="shared" ca="1" si="27"/>
        <v>0</v>
      </c>
      <c r="AD239" s="76">
        <f t="shared" ca="1" si="28"/>
        <v>12388.425643402781</v>
      </c>
      <c r="AE239" s="76">
        <f t="shared" si="29"/>
        <v>0</v>
      </c>
      <c r="AF239" s="75">
        <f t="shared" si="30"/>
        <v>0</v>
      </c>
      <c r="AG239" s="76">
        <f t="shared" si="2"/>
        <v>0</v>
      </c>
      <c r="AH239" s="31" t="e" cm="1">
        <f t="array" aca="1" ref="AH239" ca="1">IF((AD239) &lt; (INDEX(ResponseSLA[#All],(MATCH((G239),ResponseSLA[Priority],0))+1,3)),"YES","No")</f>
        <v>#N/A</v>
      </c>
      <c r="AI239" s="31" t="str">
        <f>_xlfn.IFNA(IF(AE239 &lt; (INDEX(SLATable[Minimum SLA],MATCH(G239,SLATable[Priority],0))),"YES","NO"),"")</f>
        <v/>
      </c>
      <c r="AJ239" t="str">
        <f>_xlfn.IFNA(IF(AE239 &lt; (INDEX(SLATable[Maximum SLA],MATCH(G239,SLATable[Priority],0))),"YES","NO"),"")</f>
        <v/>
      </c>
    </row>
    <row r="240" spans="26:36" ht="15" customHeight="1">
      <c r="Z240" s="76" t="e">
        <f t="shared" ca="1" si="24"/>
        <v>#N/A</v>
      </c>
      <c r="AA240" s="75" t="e">
        <f t="shared" ca="1" si="25"/>
        <v>#N/A</v>
      </c>
      <c r="AB240" s="76">
        <f t="shared" ca="1" si="26"/>
        <v>0</v>
      </c>
      <c r="AC240" s="75">
        <f t="shared" ca="1" si="27"/>
        <v>0</v>
      </c>
      <c r="AD240" s="76">
        <f t="shared" ca="1" si="28"/>
        <v>12388.425643402781</v>
      </c>
      <c r="AE240" s="76">
        <f t="shared" si="29"/>
        <v>0</v>
      </c>
      <c r="AF240" s="75">
        <f t="shared" si="30"/>
        <v>0</v>
      </c>
      <c r="AG240" s="76">
        <f t="shared" si="2"/>
        <v>0</v>
      </c>
      <c r="AH240" s="31" t="e" cm="1">
        <f t="array" aca="1" ref="AH240" ca="1">IF((AD240) &lt; (INDEX(ResponseSLA[#All],(MATCH((G240),ResponseSLA[Priority],0))+1,3)),"YES","No")</f>
        <v>#N/A</v>
      </c>
      <c r="AI240" s="31" t="str">
        <f>_xlfn.IFNA(IF(AE240 &lt; (INDEX(SLATable[Minimum SLA],MATCH(G240,SLATable[Priority],0))),"YES","NO"),"")</f>
        <v/>
      </c>
      <c r="AJ240" t="str">
        <f>_xlfn.IFNA(IF(AE240 &lt; (INDEX(SLATable[Maximum SLA],MATCH(G240,SLATable[Priority],0))),"YES","NO"),"")</f>
        <v/>
      </c>
    </row>
    <row r="241" spans="26:36" ht="15" customHeight="1">
      <c r="Z241" s="76" t="e">
        <f t="shared" ca="1" si="24"/>
        <v>#N/A</v>
      </c>
      <c r="AA241" s="75" t="e">
        <f t="shared" ca="1" si="25"/>
        <v>#N/A</v>
      </c>
      <c r="AB241" s="76">
        <f t="shared" ca="1" si="26"/>
        <v>0</v>
      </c>
      <c r="AC241" s="75">
        <f t="shared" ca="1" si="27"/>
        <v>0</v>
      </c>
      <c r="AD241" s="76">
        <f t="shared" ca="1" si="28"/>
        <v>12388.425643402781</v>
      </c>
      <c r="AE241" s="76">
        <f t="shared" si="29"/>
        <v>0</v>
      </c>
      <c r="AF241" s="75">
        <f t="shared" si="30"/>
        <v>0</v>
      </c>
      <c r="AG241" s="76">
        <f t="shared" si="2"/>
        <v>0</v>
      </c>
      <c r="AH241" s="31" t="e" cm="1">
        <f t="array" aca="1" ref="AH241" ca="1">IF((AD241) &lt; (INDEX(ResponseSLA[#All],(MATCH((G241),ResponseSLA[Priority],0))+1,3)),"YES","No")</f>
        <v>#N/A</v>
      </c>
      <c r="AI241" s="31" t="str">
        <f>_xlfn.IFNA(IF(AE241 &lt; (INDEX(SLATable[Minimum SLA],MATCH(G241,SLATable[Priority],0))),"YES","NO"),"")</f>
        <v/>
      </c>
      <c r="AJ241" t="str">
        <f>_xlfn.IFNA(IF(AE241 &lt; (INDEX(SLATable[Maximum SLA],MATCH(G241,SLATable[Priority],0))),"YES","NO"),"")</f>
        <v/>
      </c>
    </row>
    <row r="242" spans="26:36" ht="15" customHeight="1">
      <c r="Z242" s="76" t="e">
        <f t="shared" ca="1" si="24"/>
        <v>#N/A</v>
      </c>
      <c r="AA242" s="75" t="e">
        <f t="shared" ca="1" si="25"/>
        <v>#N/A</v>
      </c>
      <c r="AB242" s="76">
        <f t="shared" ca="1" si="26"/>
        <v>0</v>
      </c>
      <c r="AC242" s="75">
        <f t="shared" ca="1" si="27"/>
        <v>0</v>
      </c>
      <c r="AD242" s="76">
        <f t="shared" ca="1" si="28"/>
        <v>12388.425643402781</v>
      </c>
      <c r="AE242" s="76">
        <f t="shared" si="29"/>
        <v>0</v>
      </c>
      <c r="AF242" s="75">
        <f t="shared" si="30"/>
        <v>0</v>
      </c>
      <c r="AG242" s="76">
        <f t="shared" si="2"/>
        <v>0</v>
      </c>
      <c r="AH242" s="31" t="e" cm="1">
        <f t="array" aca="1" ref="AH242" ca="1">IF((AD242) &lt; (INDEX(ResponseSLA[#All],(MATCH((G242),ResponseSLA[Priority],0))+1,3)),"YES","No")</f>
        <v>#N/A</v>
      </c>
      <c r="AI242" s="31" t="str">
        <f>_xlfn.IFNA(IF(AE242 &lt; (INDEX(SLATable[Minimum SLA],MATCH(G242,SLATable[Priority],0))),"YES","NO"),"")</f>
        <v/>
      </c>
      <c r="AJ242" t="str">
        <f>_xlfn.IFNA(IF(AE242 &lt; (INDEX(SLATable[Maximum SLA],MATCH(G242,SLATable[Priority],0))),"YES","NO"),"")</f>
        <v/>
      </c>
    </row>
    <row r="243" spans="26:36" ht="15" customHeight="1">
      <c r="Z243" s="76" t="e">
        <f t="shared" ca="1" si="24"/>
        <v>#N/A</v>
      </c>
      <c r="AA243" s="75" t="e">
        <f t="shared" ca="1" si="25"/>
        <v>#N/A</v>
      </c>
      <c r="AB243" s="76">
        <f t="shared" ca="1" si="26"/>
        <v>0</v>
      </c>
      <c r="AC243" s="75">
        <f t="shared" ca="1" si="27"/>
        <v>0</v>
      </c>
      <c r="AD243" s="76">
        <f t="shared" ca="1" si="28"/>
        <v>12388.425643402781</v>
      </c>
      <c r="AE243" s="76">
        <f t="shared" si="29"/>
        <v>0</v>
      </c>
      <c r="AF243" s="75">
        <f t="shared" si="30"/>
        <v>0</v>
      </c>
      <c r="AG243" s="76">
        <f t="shared" si="2"/>
        <v>0</v>
      </c>
      <c r="AH243" s="31" t="e" cm="1">
        <f t="array" aca="1" ref="AH243" ca="1">IF((AD243) &lt; (INDEX(ResponseSLA[#All],(MATCH((G243),ResponseSLA[Priority],0))+1,3)),"YES","No")</f>
        <v>#N/A</v>
      </c>
      <c r="AI243" s="31" t="str">
        <f>_xlfn.IFNA(IF(AE243 &lt; (INDEX(SLATable[Minimum SLA],MATCH(G243,SLATable[Priority],0))),"YES","NO"),"")</f>
        <v/>
      </c>
      <c r="AJ243" t="str">
        <f>_xlfn.IFNA(IF(AE243 &lt; (INDEX(SLATable[Maximum SLA],MATCH(G243,SLATable[Priority],0))),"YES","NO"),"")</f>
        <v/>
      </c>
    </row>
    <row r="244" spans="26:36" ht="15" customHeight="1">
      <c r="Z244" s="76" t="e">
        <f t="shared" ca="1" si="24"/>
        <v>#N/A</v>
      </c>
      <c r="AA244" s="75" t="e">
        <f t="shared" ca="1" si="25"/>
        <v>#N/A</v>
      </c>
      <c r="AB244" s="76">
        <f t="shared" ca="1" si="26"/>
        <v>0</v>
      </c>
      <c r="AC244" s="75">
        <f t="shared" ca="1" si="27"/>
        <v>0</v>
      </c>
      <c r="AD244" s="76">
        <f t="shared" ca="1" si="28"/>
        <v>12388.425643402781</v>
      </c>
      <c r="AE244" s="76">
        <f t="shared" si="29"/>
        <v>0</v>
      </c>
      <c r="AF244" s="75">
        <f t="shared" si="30"/>
        <v>0</v>
      </c>
      <c r="AG244" s="76">
        <f t="shared" si="2"/>
        <v>0</v>
      </c>
      <c r="AH244" s="31" t="e" cm="1">
        <f t="array" aca="1" ref="AH244" ca="1">IF((AD244) &lt; (INDEX(ResponseSLA[#All],(MATCH((G244),ResponseSLA[Priority],0))+1,3)),"YES","No")</f>
        <v>#N/A</v>
      </c>
      <c r="AI244" s="31" t="str">
        <f>_xlfn.IFNA(IF(AE244 &lt; (INDEX(SLATable[Minimum SLA],MATCH(G244,SLATable[Priority],0))),"YES","NO"),"")</f>
        <v/>
      </c>
      <c r="AJ244" t="str">
        <f>_xlfn.IFNA(IF(AE244 &lt; (INDEX(SLATable[Maximum SLA],MATCH(G244,SLATable[Priority],0))),"YES","NO"),"")</f>
        <v/>
      </c>
    </row>
    <row r="245" spans="26:36" ht="15" customHeight="1">
      <c r="Z245" s="76" t="e">
        <f t="shared" ca="1" si="24"/>
        <v>#N/A</v>
      </c>
      <c r="AA245" s="75" t="e">
        <f t="shared" ca="1" si="25"/>
        <v>#N/A</v>
      </c>
      <c r="AB245" s="76">
        <f t="shared" ca="1" si="26"/>
        <v>0</v>
      </c>
      <c r="AC245" s="75">
        <f t="shared" ca="1" si="27"/>
        <v>0</v>
      </c>
      <c r="AD245" s="76">
        <f t="shared" ca="1" si="28"/>
        <v>12388.425643402781</v>
      </c>
      <c r="AE245" s="76">
        <f t="shared" si="29"/>
        <v>0</v>
      </c>
      <c r="AF245" s="75">
        <f t="shared" si="30"/>
        <v>0</v>
      </c>
      <c r="AG245" s="76">
        <f t="shared" si="2"/>
        <v>0</v>
      </c>
      <c r="AH245" s="31" t="e" cm="1">
        <f t="array" aca="1" ref="AH245" ca="1">IF((AD245) &lt; (INDEX(ResponseSLA[#All],(MATCH((G245),ResponseSLA[Priority],0))+1,3)),"YES","No")</f>
        <v>#N/A</v>
      </c>
      <c r="AI245" s="31" t="str">
        <f>_xlfn.IFNA(IF(AE245 &lt; (INDEX(SLATable[Minimum SLA],MATCH(G245,SLATable[Priority],0))),"YES","NO"),"")</f>
        <v/>
      </c>
      <c r="AJ245" t="str">
        <f>_xlfn.IFNA(IF(AE245 &lt; (INDEX(SLATable[Maximum SLA],MATCH(G245,SLATable[Priority],0))),"YES","NO"),"")</f>
        <v/>
      </c>
    </row>
    <row r="246" spans="26:36" ht="15" customHeight="1">
      <c r="Z246" s="76" t="e">
        <f t="shared" ca="1" si="24"/>
        <v>#N/A</v>
      </c>
      <c r="AA246" s="75" t="e">
        <f t="shared" ca="1" si="25"/>
        <v>#N/A</v>
      </c>
      <c r="AB246" s="76">
        <f t="shared" ca="1" si="26"/>
        <v>0</v>
      </c>
      <c r="AC246" s="75">
        <f t="shared" ca="1" si="27"/>
        <v>0</v>
      </c>
      <c r="AD246" s="76">
        <f t="shared" ca="1" si="28"/>
        <v>12388.425643402781</v>
      </c>
      <c r="AE246" s="76">
        <f t="shared" si="29"/>
        <v>0</v>
      </c>
      <c r="AF246" s="75">
        <f t="shared" si="30"/>
        <v>0</v>
      </c>
      <c r="AG246" s="76">
        <f t="shared" si="2"/>
        <v>0</v>
      </c>
      <c r="AH246" s="31" t="e" cm="1">
        <f t="array" aca="1" ref="AH246" ca="1">IF((AD246) &lt; (INDEX(ResponseSLA[#All],(MATCH((G246),ResponseSLA[Priority],0))+1,3)),"YES","No")</f>
        <v>#N/A</v>
      </c>
      <c r="AI246" s="31" t="str">
        <f>_xlfn.IFNA(IF(AE246 &lt; (INDEX(SLATable[Minimum SLA],MATCH(G246,SLATable[Priority],0))),"YES","NO"),"")</f>
        <v/>
      </c>
      <c r="AJ246" t="str">
        <f>_xlfn.IFNA(IF(AE246 &lt; (INDEX(SLATable[Maximum SLA],MATCH(G246,SLATable[Priority],0))),"YES","NO"),"")</f>
        <v/>
      </c>
    </row>
    <row r="247" spans="26:36" ht="15" customHeight="1">
      <c r="Z247" s="76" t="e">
        <f t="shared" ca="1" si="24"/>
        <v>#N/A</v>
      </c>
      <c r="AA247" s="75" t="e">
        <f t="shared" ca="1" si="25"/>
        <v>#N/A</v>
      </c>
      <c r="AB247" s="76">
        <f t="shared" ca="1" si="26"/>
        <v>0</v>
      </c>
      <c r="AC247" s="75">
        <f t="shared" ca="1" si="27"/>
        <v>0</v>
      </c>
      <c r="AD247" s="76">
        <f t="shared" ca="1" si="28"/>
        <v>12388.425643402781</v>
      </c>
      <c r="AE247" s="76">
        <f t="shared" si="29"/>
        <v>0</v>
      </c>
      <c r="AF247" s="75">
        <f t="shared" si="30"/>
        <v>0</v>
      </c>
      <c r="AG247" s="76">
        <f t="shared" si="2"/>
        <v>0</v>
      </c>
      <c r="AH247" s="31" t="e" cm="1">
        <f t="array" aca="1" ref="AH247" ca="1">IF((AD247) &lt; (INDEX(ResponseSLA[#All],(MATCH((G247),ResponseSLA[Priority],0))+1,3)),"YES","No")</f>
        <v>#N/A</v>
      </c>
      <c r="AI247" s="31" t="str">
        <f>_xlfn.IFNA(IF(AE247 &lt; (INDEX(SLATable[Minimum SLA],MATCH(G247,SLATable[Priority],0))),"YES","NO"),"")</f>
        <v/>
      </c>
      <c r="AJ247" t="str">
        <f>_xlfn.IFNA(IF(AE247 &lt; (INDEX(SLATable[Maximum SLA],MATCH(G247,SLATable[Priority],0))),"YES","NO"),"")</f>
        <v/>
      </c>
    </row>
    <row r="248" spans="26:36" ht="15" customHeight="1">
      <c r="Z248" s="76" t="e">
        <f t="shared" ca="1" si="24"/>
        <v>#N/A</v>
      </c>
      <c r="AA248" s="75" t="e">
        <f t="shared" ca="1" si="25"/>
        <v>#N/A</v>
      </c>
      <c r="AB248" s="76">
        <f t="shared" ca="1" si="26"/>
        <v>0</v>
      </c>
      <c r="AC248" s="75">
        <f t="shared" ca="1" si="27"/>
        <v>0</v>
      </c>
      <c r="AD248" s="76">
        <f t="shared" ca="1" si="28"/>
        <v>12388.425643402781</v>
      </c>
      <c r="AE248" s="76">
        <f t="shared" si="29"/>
        <v>0</v>
      </c>
      <c r="AF248" s="75">
        <f t="shared" si="30"/>
        <v>0</v>
      </c>
      <c r="AG248" s="76">
        <f t="shared" si="2"/>
        <v>0</v>
      </c>
      <c r="AH248" s="31" t="e" cm="1">
        <f t="array" aca="1" ref="AH248" ca="1">IF((AD248) &lt; (INDEX(ResponseSLA[#All],(MATCH((G248),ResponseSLA[Priority],0))+1,3)),"YES","No")</f>
        <v>#N/A</v>
      </c>
      <c r="AI248" s="31" t="str">
        <f>_xlfn.IFNA(IF(AE248 &lt; (INDEX(SLATable[Minimum SLA],MATCH(G248,SLATable[Priority],0))),"YES","NO"),"")</f>
        <v/>
      </c>
      <c r="AJ248" t="str">
        <f>_xlfn.IFNA(IF(AE248 &lt; (INDEX(SLATable[Maximum SLA],MATCH(G248,SLATable[Priority],0))),"YES","NO"),"")</f>
        <v/>
      </c>
    </row>
    <row r="249" spans="26:36" ht="15" customHeight="1">
      <c r="Z249" s="76" t="e">
        <f t="shared" ca="1" si="24"/>
        <v>#N/A</v>
      </c>
      <c r="AA249" s="75" t="e">
        <f t="shared" ca="1" si="25"/>
        <v>#N/A</v>
      </c>
      <c r="AB249" s="76">
        <f t="shared" ca="1" si="26"/>
        <v>0</v>
      </c>
      <c r="AC249" s="75">
        <f t="shared" ca="1" si="27"/>
        <v>0</v>
      </c>
      <c r="AD249" s="76">
        <f t="shared" ca="1" si="28"/>
        <v>12388.425643402781</v>
      </c>
      <c r="AE249" s="76">
        <f t="shared" si="29"/>
        <v>0</v>
      </c>
      <c r="AF249" s="75">
        <f t="shared" si="30"/>
        <v>0</v>
      </c>
      <c r="AG249" s="76">
        <f t="shared" si="2"/>
        <v>0</v>
      </c>
      <c r="AH249" s="31" t="e" cm="1">
        <f t="array" aca="1" ref="AH249" ca="1">IF((AD249) &lt; (INDEX(ResponseSLA[#All],(MATCH((G249),ResponseSLA[Priority],0))+1,3)),"YES","No")</f>
        <v>#N/A</v>
      </c>
      <c r="AI249" s="31" t="str">
        <f>_xlfn.IFNA(IF(AE249 &lt; (INDEX(SLATable[Minimum SLA],MATCH(G249,SLATable[Priority],0))),"YES","NO"),"")</f>
        <v/>
      </c>
      <c r="AJ249" t="str">
        <f>_xlfn.IFNA(IF(AE249 &lt; (INDEX(SLATable[Maximum SLA],MATCH(G249,SLATable[Priority],0))),"YES","NO"),"")</f>
        <v/>
      </c>
    </row>
    <row r="250" spans="26:36" ht="15" customHeight="1">
      <c r="Z250" s="76" t="e">
        <f t="shared" ca="1" si="24"/>
        <v>#N/A</v>
      </c>
      <c r="AA250" s="75" t="e">
        <f t="shared" ca="1" si="25"/>
        <v>#N/A</v>
      </c>
      <c r="AB250" s="76">
        <f t="shared" ca="1" si="26"/>
        <v>0</v>
      </c>
      <c r="AC250" s="75">
        <f t="shared" ca="1" si="27"/>
        <v>0</v>
      </c>
      <c r="AD250" s="76">
        <f t="shared" ca="1" si="28"/>
        <v>12388.425643402781</v>
      </c>
      <c r="AE250" s="76">
        <f t="shared" si="29"/>
        <v>0</v>
      </c>
      <c r="AF250" s="75">
        <f t="shared" si="30"/>
        <v>0</v>
      </c>
      <c r="AG250" s="76">
        <f t="shared" si="2"/>
        <v>0</v>
      </c>
      <c r="AH250" s="31" t="e" cm="1">
        <f t="array" aca="1" ref="AH250" ca="1">IF((AD250) &lt; (INDEX(ResponseSLA[#All],(MATCH((G250),ResponseSLA[Priority],0))+1,3)),"YES","No")</f>
        <v>#N/A</v>
      </c>
      <c r="AI250" s="31" t="str">
        <f>_xlfn.IFNA(IF(AE250 &lt; (INDEX(SLATable[Minimum SLA],MATCH(G250,SLATable[Priority],0))),"YES","NO"),"")</f>
        <v/>
      </c>
      <c r="AJ250" t="str">
        <f>_xlfn.IFNA(IF(AE250 &lt; (INDEX(SLATable[Maximum SLA],MATCH(G250,SLATable[Priority],0))),"YES","NO"),"")</f>
        <v/>
      </c>
    </row>
    <row r="251" spans="26:36" ht="15" customHeight="1">
      <c r="Z251" s="76" t="e">
        <f t="shared" ca="1" si="24"/>
        <v>#N/A</v>
      </c>
      <c r="AA251" s="75" t="e">
        <f t="shared" ca="1" si="25"/>
        <v>#N/A</v>
      </c>
      <c r="AB251" s="76">
        <f t="shared" ca="1" si="26"/>
        <v>0</v>
      </c>
      <c r="AC251" s="75">
        <f t="shared" ca="1" si="27"/>
        <v>0</v>
      </c>
      <c r="AD251" s="76">
        <f t="shared" ca="1" si="28"/>
        <v>12388.425643402781</v>
      </c>
      <c r="AE251" s="76">
        <f t="shared" si="29"/>
        <v>0</v>
      </c>
      <c r="AF251" s="75">
        <f t="shared" si="30"/>
        <v>0</v>
      </c>
      <c r="AG251" s="76">
        <f t="shared" si="2"/>
        <v>0</v>
      </c>
      <c r="AH251" s="31" t="e" cm="1">
        <f t="array" aca="1" ref="AH251" ca="1">IF((AD251) &lt; (INDEX(ResponseSLA[#All],(MATCH((G251),ResponseSLA[Priority],0))+1,3)),"YES","No")</f>
        <v>#N/A</v>
      </c>
      <c r="AI251" s="31" t="str">
        <f>_xlfn.IFNA(IF(AE251 &lt; (INDEX(SLATable[Minimum SLA],MATCH(G251,SLATable[Priority],0))),"YES","NO"),"")</f>
        <v/>
      </c>
      <c r="AJ251" t="str">
        <f>_xlfn.IFNA(IF(AE251 &lt; (INDEX(SLATable[Maximum SLA],MATCH(G251,SLATable[Priority],0))),"YES","NO"),"")</f>
        <v/>
      </c>
    </row>
    <row r="252" spans="26:36" ht="15" customHeight="1">
      <c r="Z252" s="76" t="e">
        <f t="shared" ca="1" si="24"/>
        <v>#N/A</v>
      </c>
      <c r="AA252" s="75" t="e">
        <f t="shared" ca="1" si="25"/>
        <v>#N/A</v>
      </c>
      <c r="AB252" s="76">
        <f t="shared" ca="1" si="26"/>
        <v>0</v>
      </c>
      <c r="AC252" s="75">
        <f t="shared" ca="1" si="27"/>
        <v>0</v>
      </c>
      <c r="AD252" s="76">
        <f t="shared" ca="1" si="28"/>
        <v>12388.425643402781</v>
      </c>
      <c r="AE252" s="76">
        <f t="shared" si="29"/>
        <v>0</v>
      </c>
      <c r="AF252" s="75">
        <f t="shared" si="30"/>
        <v>0</v>
      </c>
      <c r="AG252" s="76">
        <f t="shared" si="2"/>
        <v>0</v>
      </c>
      <c r="AH252" s="31" t="e" cm="1">
        <f t="array" aca="1" ref="AH252" ca="1">IF((AD252) &lt; (INDEX(ResponseSLA[#All],(MATCH((G252),ResponseSLA[Priority],0))+1,3)),"YES","No")</f>
        <v>#N/A</v>
      </c>
      <c r="AI252" s="31" t="str">
        <f>_xlfn.IFNA(IF(AE252 &lt; (INDEX(SLATable[Minimum SLA],MATCH(G252,SLATable[Priority],0))),"YES","NO"),"")</f>
        <v/>
      </c>
      <c r="AJ252" t="str">
        <f>_xlfn.IFNA(IF(AE252 &lt; (INDEX(SLATable[Maximum SLA],MATCH(G252,SLATable[Priority],0))),"YES","NO"),"")</f>
        <v/>
      </c>
    </row>
    <row r="253" spans="26:36" ht="15" customHeight="1">
      <c r="Z253" s="76" t="e">
        <f t="shared" ca="1" si="24"/>
        <v>#N/A</v>
      </c>
      <c r="AA253" s="75" t="e">
        <f t="shared" ca="1" si="25"/>
        <v>#N/A</v>
      </c>
      <c r="AB253" s="76">
        <f t="shared" ca="1" si="26"/>
        <v>0</v>
      </c>
      <c r="AC253" s="75">
        <f t="shared" ca="1" si="27"/>
        <v>0</v>
      </c>
      <c r="AD253" s="76">
        <f t="shared" ca="1" si="28"/>
        <v>12388.425643402781</v>
      </c>
      <c r="AE253" s="76">
        <f t="shared" si="29"/>
        <v>0</v>
      </c>
      <c r="AF253" s="75">
        <f t="shared" si="30"/>
        <v>0</v>
      </c>
      <c r="AG253" s="76">
        <f t="shared" si="2"/>
        <v>0</v>
      </c>
      <c r="AH253" s="31" t="e" cm="1">
        <f t="array" aca="1" ref="AH253" ca="1">IF((AD253) &lt; (INDEX(ResponseSLA[#All],(MATCH((G253),ResponseSLA[Priority],0))+1,3)),"YES","No")</f>
        <v>#N/A</v>
      </c>
      <c r="AI253" s="31" t="str">
        <f>_xlfn.IFNA(IF(AE253 &lt; (INDEX(SLATable[Minimum SLA],MATCH(G253,SLATable[Priority],0))),"YES","NO"),"")</f>
        <v/>
      </c>
      <c r="AJ253" t="str">
        <f>_xlfn.IFNA(IF(AE253 &lt; (INDEX(SLATable[Maximum SLA],MATCH(G253,SLATable[Priority],0))),"YES","NO"),"")</f>
        <v/>
      </c>
    </row>
    <row r="254" spans="26:36" ht="15" customHeight="1">
      <c r="Z254" s="76" t="e">
        <f t="shared" ca="1" si="24"/>
        <v>#N/A</v>
      </c>
      <c r="AA254" s="75" t="e">
        <f t="shared" ca="1" si="25"/>
        <v>#N/A</v>
      </c>
      <c r="AB254" s="76">
        <f t="shared" ca="1" si="26"/>
        <v>0</v>
      </c>
      <c r="AC254" s="75">
        <f t="shared" ca="1" si="27"/>
        <v>0</v>
      </c>
      <c r="AD254" s="76">
        <f t="shared" ca="1" si="28"/>
        <v>12388.425643402781</v>
      </c>
      <c r="AE254" s="76">
        <f t="shared" si="29"/>
        <v>0</v>
      </c>
      <c r="AF254" s="75">
        <f t="shared" si="30"/>
        <v>0</v>
      </c>
      <c r="AG254" s="76">
        <f t="shared" si="2"/>
        <v>0</v>
      </c>
      <c r="AH254" s="31" t="e" cm="1">
        <f t="array" aca="1" ref="AH254" ca="1">IF((AD254) &lt; (INDEX(ResponseSLA[#All],(MATCH((G254),ResponseSLA[Priority],0))+1,3)),"YES","No")</f>
        <v>#N/A</v>
      </c>
      <c r="AI254" s="31" t="str">
        <f>_xlfn.IFNA(IF(AE254 &lt; (INDEX(SLATable[Minimum SLA],MATCH(G254,SLATable[Priority],0))),"YES","NO"),"")</f>
        <v/>
      </c>
      <c r="AJ254" t="str">
        <f>_xlfn.IFNA(IF(AE254 &lt; (INDEX(SLATable[Maximum SLA],MATCH(G254,SLATable[Priority],0))),"YES","NO"),"")</f>
        <v/>
      </c>
    </row>
    <row r="255" spans="26:36" ht="15" customHeight="1">
      <c r="Z255" s="76" t="e">
        <f t="shared" ca="1" si="24"/>
        <v>#N/A</v>
      </c>
      <c r="AA255" s="75" t="e">
        <f t="shared" ca="1" si="25"/>
        <v>#N/A</v>
      </c>
      <c r="AB255" s="76">
        <f t="shared" ca="1" si="26"/>
        <v>0</v>
      </c>
      <c r="AC255" s="75">
        <f t="shared" ca="1" si="27"/>
        <v>0</v>
      </c>
      <c r="AD255" s="76">
        <f t="shared" ca="1" si="28"/>
        <v>12388.425643402781</v>
      </c>
      <c r="AE255" s="76">
        <f t="shared" si="29"/>
        <v>0</v>
      </c>
      <c r="AF255" s="75">
        <f t="shared" si="30"/>
        <v>0</v>
      </c>
      <c r="AG255" s="76">
        <f t="shared" si="2"/>
        <v>0</v>
      </c>
      <c r="AH255" s="31" t="e" cm="1">
        <f t="array" aca="1" ref="AH255" ca="1">IF((AD255) &lt; (INDEX(ResponseSLA[#All],(MATCH((G255),ResponseSLA[Priority],0))+1,3)),"YES","No")</f>
        <v>#N/A</v>
      </c>
      <c r="AI255" s="31" t="str">
        <f>_xlfn.IFNA(IF(AE255 &lt; (INDEX(SLATable[Minimum SLA],MATCH(G255,SLATable[Priority],0))),"YES","NO"),"")</f>
        <v/>
      </c>
      <c r="AJ255" t="str">
        <f>_xlfn.IFNA(IF(AE255 &lt; (INDEX(SLATable[Maximum SLA],MATCH(G255,SLATable[Priority],0))),"YES","NO"),"")</f>
        <v/>
      </c>
    </row>
    <row r="256" spans="26:36" ht="15" customHeight="1">
      <c r="Z256" s="76" t="e">
        <f t="shared" ca="1" si="24"/>
        <v>#N/A</v>
      </c>
      <c r="AA256" s="75" t="e">
        <f t="shared" ca="1" si="25"/>
        <v>#N/A</v>
      </c>
      <c r="AB256" s="76">
        <f t="shared" ca="1" si="26"/>
        <v>0</v>
      </c>
      <c r="AC256" s="75">
        <f t="shared" ca="1" si="27"/>
        <v>0</v>
      </c>
      <c r="AD256" s="76">
        <f t="shared" ca="1" si="28"/>
        <v>12388.425643402781</v>
      </c>
      <c r="AE256" s="76">
        <f t="shared" si="29"/>
        <v>0</v>
      </c>
      <c r="AF256" s="75">
        <f t="shared" si="30"/>
        <v>0</v>
      </c>
      <c r="AG256" s="76">
        <f t="shared" si="2"/>
        <v>0</v>
      </c>
      <c r="AH256" s="31" t="e" cm="1">
        <f t="array" aca="1" ref="AH256" ca="1">IF((AD256) &lt; (INDEX(ResponseSLA[#All],(MATCH((G256),ResponseSLA[Priority],0))+1,3)),"YES","No")</f>
        <v>#N/A</v>
      </c>
      <c r="AI256" s="31" t="str">
        <f>_xlfn.IFNA(IF(AE256 &lt; (INDEX(SLATable[Minimum SLA],MATCH(G256,SLATable[Priority],0))),"YES","NO"),"")</f>
        <v/>
      </c>
      <c r="AJ256" t="str">
        <f>_xlfn.IFNA(IF(AE256 &lt; (INDEX(SLATable[Maximum SLA],MATCH(G256,SLATable[Priority],0))),"YES","NO"),"")</f>
        <v/>
      </c>
    </row>
    <row r="257" spans="26:36" ht="15" customHeight="1">
      <c r="Z257" s="76" t="e">
        <f t="shared" ca="1" si="24"/>
        <v>#N/A</v>
      </c>
      <c r="AA257" s="75" t="e">
        <f t="shared" ca="1" si="25"/>
        <v>#N/A</v>
      </c>
      <c r="AB257" s="76">
        <f t="shared" ca="1" si="26"/>
        <v>0</v>
      </c>
      <c r="AC257" s="75">
        <f t="shared" ca="1" si="27"/>
        <v>0</v>
      </c>
      <c r="AD257" s="76">
        <f t="shared" ca="1" si="28"/>
        <v>12388.425643402781</v>
      </c>
      <c r="AE257" s="76">
        <f t="shared" si="29"/>
        <v>0</v>
      </c>
      <c r="AF257" s="75">
        <f t="shared" si="30"/>
        <v>0</v>
      </c>
      <c r="AG257" s="76">
        <f t="shared" ref="AG257:AG320" si="31">AF257</f>
        <v>0</v>
      </c>
      <c r="AH257" s="31" t="e" cm="1">
        <f t="array" aca="1" ref="AH257" ca="1">IF((AD257) &lt; (INDEX(ResponseSLA[#All],(MATCH((G257),ResponseSLA[Priority],0))+1,3)),"YES","No")</f>
        <v>#N/A</v>
      </c>
      <c r="AI257" s="31" t="str">
        <f>_xlfn.IFNA(IF(AE257 &lt; (INDEX(SLATable[Minimum SLA],MATCH(G257,SLATable[Priority],0))),"YES","NO"),"")</f>
        <v/>
      </c>
      <c r="AJ257" t="str">
        <f>_xlfn.IFNA(IF(AE257 &lt; (INDEX(SLATable[Maximum SLA],MATCH(G257,SLATable[Priority],0))),"YES","NO"),"")</f>
        <v/>
      </c>
    </row>
    <row r="258" spans="26:36" ht="15" customHeight="1">
      <c r="Z258" s="76" t="e">
        <f t="shared" ca="1" si="24"/>
        <v>#N/A</v>
      </c>
      <c r="AA258" s="75" t="e">
        <f t="shared" ca="1" si="25"/>
        <v>#N/A</v>
      </c>
      <c r="AB258" s="76">
        <f t="shared" ca="1" si="26"/>
        <v>0</v>
      </c>
      <c r="AC258" s="75">
        <f t="shared" ca="1" si="27"/>
        <v>0</v>
      </c>
      <c r="AD258" s="76">
        <f t="shared" ca="1" si="28"/>
        <v>12388.425643402781</v>
      </c>
      <c r="AE258" s="76">
        <f t="shared" si="29"/>
        <v>0</v>
      </c>
      <c r="AF258" s="75">
        <f t="shared" si="30"/>
        <v>0</v>
      </c>
      <c r="AG258" s="76">
        <f t="shared" si="31"/>
        <v>0</v>
      </c>
      <c r="AH258" s="31" t="e" cm="1">
        <f t="array" aca="1" ref="AH258" ca="1">IF((AD258) &lt; (INDEX(ResponseSLA[#All],(MATCH((G258),ResponseSLA[Priority],0))+1,3)),"YES","No")</f>
        <v>#N/A</v>
      </c>
      <c r="AI258" s="31" t="str">
        <f>_xlfn.IFNA(IF(AE258 &lt; (INDEX(SLATable[Minimum SLA],MATCH(G258,SLATable[Priority],0))),"YES","NO"),"")</f>
        <v/>
      </c>
      <c r="AJ258" t="str">
        <f>_xlfn.IFNA(IF(AE258 &lt; (INDEX(SLATable[Maximum SLA],MATCH(G258,SLATable[Priority],0))),"YES","NO"),"")</f>
        <v/>
      </c>
    </row>
    <row r="259" spans="26:36" ht="15" customHeight="1">
      <c r="Z259" s="76" t="e">
        <f t="shared" ref="Z259:Z322" ca="1" si="32">IF(NOT(OR(G259=1,G259=2)),MAX(0,_xlfn.IFS(AND(K259&lt;&gt;"",N259&lt;&gt;""),((MAX(NETWORKDAYS(K259,N259,UKBankHolidays)-1,0))*(TIME(17,0,0)-TIME(8,0,0))+IF(NETWORKDAYS(N259,N259,UKBankHolidays)&gt;0,MEDIAN(TIME(8,0,0),MOD(N259,1),TIME(17,0,0)),TIME(8,0,0))-IF(NETWORKDAYS(K259,K259,UKBankHolidays)&gt;0,MEDIAN(TIME(8,0,0),MOD(K259,1),TIME(17,0,0)),TIME(8,0,0)))-IF(AND(O259&lt;&gt;"",P259&lt;&gt;""),((MAX(NETWORKDAYS(O259,P259,UKBankHolidays)-1,0))*(TIME(17,0,0)-TIME(8,0,0))+IF(NETWORKDAYS(P259,P259,UKBankHolidays)&gt;0,MEDIAN(TIME(8,0,0),MOD(P259,1),TIME(17,0,0)),TIME(8,0,0))-IF(NETWORKDAYS(O259,O259,UKBankHolidays)&gt;0,MEDIAN(TIME(8,0,0),MOD(O259,1),TIME(17,0,0)),TIME(8,0,0))),0),AND(K259&lt;&gt;"",N259=""),((MAX(NETWORKDAYS(K259,NOW(),UKBankHolidays)-1,0))*(TIME(17,0,0)-TIME(8,0,0))+IF(NETWORKDAYS(NOW(),NOW(),UKBankHolidays)&gt;0,MEDIAN(TIME(8,0,0),MOD(NOW(),1),TIME(17,0,0)),TIME(8,0,0))-IF(NETWORKDAYS(K259,K259,UKBankHolidays)&gt;0,MEDIAN(TIME(8,0,0),MOD(K259,1),TIME(17,0,0)),TIME(8,0,0))))),IF(N259="",NOW()-K259,N259-K259))</f>
        <v>#N/A</v>
      </c>
      <c r="AA259" s="75" t="e">
        <f t="shared" ref="AA259:AA322" ca="1" si="33">(Z259*24)/9</f>
        <v>#N/A</v>
      </c>
      <c r="AB259" s="76">
        <f t="shared" ref="AB259:AB322" ca="1" si="34">IF(NOT(OR(G259=1,G259=2)),MAX(0,_xlfn.IFS(AND(K259&lt;&gt;"",N259&lt;&gt;""),(((MAX(NETWORKDAYS(L259,N259,UKBankHolidays)-1,0))*(TIME(17,0,0)-TIME(8,0,0)))+IF(NETWORKDAYS(N259,N259,UKBankHolidays)&gt;0,MEDIAN(TIME(8,0,0),MOD(N259,1),TIME(17,0,0)),TIME(8,0,0))-IF(NETWORKDAYS(L259,L259,UKBankHolidays)&gt;0,MEDIAN(TIME(8,0,0),MOD(L259,1),TIME(17,0,0)),TIME(8,0,0)))-IF(AND(O259&lt;&gt;"",P259&lt;&gt;""),(((MAX(NETWORKDAYS(O259,P259,UKBankHolidays)-1,0))*(TIME(17,0,0)-TIME(8,0,0)))+IF(NETWORKDAYS(P259,P259,UKBankHolidays)&gt;0,MEDIAN(TIME(8,0,0),MOD(P259,1),TIME(17,0,0)),TIME(8,0,0))-IF(NETWORKDAYS(O259,O259,UKBankHolidays)&gt;0,MEDIAN(TIME(8,0,0),MOD(O259,1),TIME(17,0,0)),TIME(8,0,0))),0),AND(L259&lt;&gt;"",N259="",O259=""),(((MAX(NETWORKDAYS(L259,NOW(),UKBankHolidays)-1,0))*(TIME(17,0,0)-TIME(8,0,0)))+IF(NETWORKDAYS(NOW(),NOW(),UKBankHolidays)&gt;0,MEDIAN(TIME(8,0,0),MOD(NOW(),1),TIME(17,0,0)),TIME(8,0,0))-IF(NETWORKDAYS(L259,L259,UKBankHolidays)&gt;0,MEDIAN(TIME(8,0,0),MOD(L259,1),TIME(17,0,0)),TIME(8,0,0)))-IF(AND(O259&lt;&gt;"",P259&lt;&gt;""),(((MAX(NETWORKDAYS(O259,P259,UKBankHolidays)-1,0))*(TIME(17,0,0)-TIME(8,0,0)))+IF(NETWORKDAYS(P259,P259,UKBankHolidays)&gt;0,MEDIAN(TIME(8,0,0),MOD(P259,1),TIME(17,0,0)),TIME(8,0,0))-IF(NETWORKDAYS(O259,O259,UKBankHolidays)&gt;0,MEDIAN(TIME(8,0,0),MOD(O259,1),TIME(17,0,0)),TIME(8,0,0))),0),AND(L259&lt;&gt;"",N259="",P259="",O259&lt;&gt;""),(((MAX(NETWORKDAYS(L259,O259,UKBankHolidays)-1,0))*(TIME(17,0,0)-TIME(8,0,0)))+IF(NETWORKDAYS(O259,O259,UKBankHolidays)&gt;0,MEDIAN(TIME(8,0,0),MOD(O259,1),TIME(17,0,0)),TIME(8,0,0))-IF(NETWORKDAYS(L259,L259,UKBankHolidays)&gt;0,MEDIAN(TIME(8,0,0),MOD(L259,1),TIME(17,0,0)),TIME(8,0,0))),ISBLANK(K259),"0")),IF(ISBLANK(N259),NOW()-L259,N259-L259))</f>
        <v>0</v>
      </c>
      <c r="AC259" s="75">
        <f t="shared" ref="AC259:AC322" ca="1" si="35">(AB259*24)/9</f>
        <v>0</v>
      </c>
      <c r="AD259" s="76">
        <f t="shared" ref="AD259:AD322" ca="1" si="36">MAX(0,IF(NOT(OR(G259=1,G259=2)),IF(M259&lt;&gt;"",((MAX(NETWORKDAYS(L259,M259,UKBankHolidays)-1,0))*(TIME(17,0,0)-TIME(8,0,0))+IF(NETWORKDAYS(M259,M259,UKBankHolidays)&gt;0,MEDIAN(TIME(8,0,0),MOD(M259,1),TIME(17,0,0)),TIME(8,0,0))-MEDIAN(TIME(8,0,0),MOD(L259,1),TIME(17,0,0))),((MAX(NETWORKDAYS(L259,NOW(),UKBankHolidays)-1,0))*(TIME(17,0,0)-TIME(8,0,0))+IF(NETWORKDAYS(NOW(),NOW(),UKBankHolidays)&gt;0,MEDIAN(TIME(8,0,0),MOD(NOW(),1),TIME(17,0,0)),TIME(8,0,0))-MEDIAN(TIME(8,0,0),MOD(L259,1),TIME(17,0,0)))),IF(M259&lt;&gt;"",M259-L259,NOW()-L259)))</f>
        <v>12388.425643402781</v>
      </c>
      <c r="AE259" s="76">
        <f t="shared" ref="AE259:AE322" si="37">SUMIFS(AB:AB,E:E,E259)</f>
        <v>0</v>
      </c>
      <c r="AF259" s="75">
        <f t="shared" ref="AF259:AF322" si="38">(AE259*24)/9</f>
        <v>0</v>
      </c>
      <c r="AG259" s="76">
        <f t="shared" si="31"/>
        <v>0</v>
      </c>
      <c r="AH259" s="31" t="e" cm="1">
        <f t="array" aca="1" ref="AH259" ca="1">IF((AD259) &lt; (INDEX(ResponseSLA[#All],(MATCH((G259),ResponseSLA[Priority],0))+1,3)),"YES","No")</f>
        <v>#N/A</v>
      </c>
      <c r="AI259" s="31" t="str">
        <f>_xlfn.IFNA(IF(AE259 &lt; (INDEX(SLATable[Minimum SLA],MATCH(G259,SLATable[Priority],0))),"YES","NO"),"")</f>
        <v/>
      </c>
      <c r="AJ259" t="str">
        <f>_xlfn.IFNA(IF(AE259 &lt; (INDEX(SLATable[Maximum SLA],MATCH(G259,SLATable[Priority],0))),"YES","NO"),"")</f>
        <v/>
      </c>
    </row>
    <row r="260" spans="26:36" ht="15" customHeight="1">
      <c r="Z260" s="76" t="e">
        <f t="shared" ca="1" si="32"/>
        <v>#N/A</v>
      </c>
      <c r="AA260" s="75" t="e">
        <f t="shared" ca="1" si="33"/>
        <v>#N/A</v>
      </c>
      <c r="AB260" s="76">
        <f t="shared" ca="1" si="34"/>
        <v>0</v>
      </c>
      <c r="AC260" s="75">
        <f t="shared" ca="1" si="35"/>
        <v>0</v>
      </c>
      <c r="AD260" s="76">
        <f t="shared" ca="1" si="36"/>
        <v>12388.425643402781</v>
      </c>
      <c r="AE260" s="76">
        <f t="shared" si="37"/>
        <v>0</v>
      </c>
      <c r="AF260" s="75">
        <f t="shared" si="38"/>
        <v>0</v>
      </c>
      <c r="AG260" s="76">
        <f t="shared" si="31"/>
        <v>0</v>
      </c>
      <c r="AH260" s="31" t="e" cm="1">
        <f t="array" aca="1" ref="AH260" ca="1">IF((AD260) &lt; (INDEX(ResponseSLA[#All],(MATCH((G260),ResponseSLA[Priority],0))+1,3)),"YES","No")</f>
        <v>#N/A</v>
      </c>
      <c r="AI260" s="31" t="str">
        <f>_xlfn.IFNA(IF(AE260 &lt; (INDEX(SLATable[Minimum SLA],MATCH(G260,SLATable[Priority],0))),"YES","NO"),"")</f>
        <v/>
      </c>
      <c r="AJ260" t="str">
        <f>_xlfn.IFNA(IF(AE260 &lt; (INDEX(SLATable[Maximum SLA],MATCH(G260,SLATable[Priority],0))),"YES","NO"),"")</f>
        <v/>
      </c>
    </row>
    <row r="261" spans="26:36" ht="15" customHeight="1">
      <c r="Z261" s="76" t="e">
        <f t="shared" ca="1" si="32"/>
        <v>#N/A</v>
      </c>
      <c r="AA261" s="75" t="e">
        <f t="shared" ca="1" si="33"/>
        <v>#N/A</v>
      </c>
      <c r="AB261" s="76">
        <f t="shared" ca="1" si="34"/>
        <v>0</v>
      </c>
      <c r="AC261" s="75">
        <f t="shared" ca="1" si="35"/>
        <v>0</v>
      </c>
      <c r="AD261" s="76">
        <f t="shared" ca="1" si="36"/>
        <v>12388.425643402781</v>
      </c>
      <c r="AE261" s="76">
        <f t="shared" si="37"/>
        <v>0</v>
      </c>
      <c r="AF261" s="75">
        <f t="shared" si="38"/>
        <v>0</v>
      </c>
      <c r="AG261" s="76">
        <f t="shared" si="31"/>
        <v>0</v>
      </c>
      <c r="AH261" s="31" t="e" cm="1">
        <f t="array" aca="1" ref="AH261" ca="1">IF((AD261) &lt; (INDEX(ResponseSLA[#All],(MATCH((G261),ResponseSLA[Priority],0))+1,3)),"YES","No")</f>
        <v>#N/A</v>
      </c>
      <c r="AI261" s="31" t="str">
        <f>_xlfn.IFNA(IF(AE261 &lt; (INDEX(SLATable[Minimum SLA],MATCH(G261,SLATable[Priority],0))),"YES","NO"),"")</f>
        <v/>
      </c>
      <c r="AJ261" t="str">
        <f>_xlfn.IFNA(IF(AE261 &lt; (INDEX(SLATable[Maximum SLA],MATCH(G261,SLATable[Priority],0))),"YES","NO"),"")</f>
        <v/>
      </c>
    </row>
    <row r="262" spans="26:36" ht="15" customHeight="1">
      <c r="Z262" s="76" t="e">
        <f t="shared" ca="1" si="32"/>
        <v>#N/A</v>
      </c>
      <c r="AA262" s="75" t="e">
        <f t="shared" ca="1" si="33"/>
        <v>#N/A</v>
      </c>
      <c r="AB262" s="76">
        <f t="shared" ca="1" si="34"/>
        <v>0</v>
      </c>
      <c r="AC262" s="75">
        <f t="shared" ca="1" si="35"/>
        <v>0</v>
      </c>
      <c r="AD262" s="76">
        <f t="shared" ca="1" si="36"/>
        <v>12388.425643402781</v>
      </c>
      <c r="AE262" s="76">
        <f t="shared" si="37"/>
        <v>0</v>
      </c>
      <c r="AF262" s="75">
        <f t="shared" si="38"/>
        <v>0</v>
      </c>
      <c r="AG262" s="76">
        <f t="shared" si="31"/>
        <v>0</v>
      </c>
      <c r="AH262" s="31" t="e" cm="1">
        <f t="array" aca="1" ref="AH262" ca="1">IF((AD262) &lt; (INDEX(ResponseSLA[#All],(MATCH((G262),ResponseSLA[Priority],0))+1,3)),"YES","No")</f>
        <v>#N/A</v>
      </c>
      <c r="AI262" s="31" t="str">
        <f>_xlfn.IFNA(IF(AE262 &lt; (INDEX(SLATable[Minimum SLA],MATCH(G262,SLATable[Priority],0))),"YES","NO"),"")</f>
        <v/>
      </c>
      <c r="AJ262" t="str">
        <f>_xlfn.IFNA(IF(AE262 &lt; (INDEX(SLATable[Maximum SLA],MATCH(G262,SLATable[Priority],0))),"YES","NO"),"")</f>
        <v/>
      </c>
    </row>
    <row r="263" spans="26:36" ht="15" customHeight="1">
      <c r="Z263" s="76" t="e">
        <f t="shared" ca="1" si="32"/>
        <v>#N/A</v>
      </c>
      <c r="AA263" s="75" t="e">
        <f t="shared" ca="1" si="33"/>
        <v>#N/A</v>
      </c>
      <c r="AB263" s="76">
        <f t="shared" ca="1" si="34"/>
        <v>0</v>
      </c>
      <c r="AC263" s="75">
        <f t="shared" ca="1" si="35"/>
        <v>0</v>
      </c>
      <c r="AD263" s="76">
        <f t="shared" ca="1" si="36"/>
        <v>12388.425643402781</v>
      </c>
      <c r="AE263" s="76">
        <f t="shared" si="37"/>
        <v>0</v>
      </c>
      <c r="AF263" s="75">
        <f t="shared" si="38"/>
        <v>0</v>
      </c>
      <c r="AG263" s="76">
        <f t="shared" si="31"/>
        <v>0</v>
      </c>
      <c r="AH263" s="31" t="e" cm="1">
        <f t="array" aca="1" ref="AH263" ca="1">IF((AD263) &lt; (INDEX(ResponseSLA[#All],(MATCH((G263),ResponseSLA[Priority],0))+1,3)),"YES","No")</f>
        <v>#N/A</v>
      </c>
      <c r="AI263" s="31" t="str">
        <f>_xlfn.IFNA(IF(AE263 &lt; (INDEX(SLATable[Minimum SLA],MATCH(G263,SLATable[Priority],0))),"YES","NO"),"")</f>
        <v/>
      </c>
      <c r="AJ263" t="str">
        <f>_xlfn.IFNA(IF(AE263 &lt; (INDEX(SLATable[Maximum SLA],MATCH(G263,SLATable[Priority],0))),"YES","NO"),"")</f>
        <v/>
      </c>
    </row>
    <row r="264" spans="26:36" ht="15" customHeight="1">
      <c r="Z264" s="76" t="e">
        <f t="shared" ca="1" si="32"/>
        <v>#N/A</v>
      </c>
      <c r="AA264" s="75" t="e">
        <f t="shared" ca="1" si="33"/>
        <v>#N/A</v>
      </c>
      <c r="AB264" s="76">
        <f t="shared" ca="1" si="34"/>
        <v>0</v>
      </c>
      <c r="AC264" s="75">
        <f t="shared" ca="1" si="35"/>
        <v>0</v>
      </c>
      <c r="AD264" s="76">
        <f t="shared" ca="1" si="36"/>
        <v>12388.425643402781</v>
      </c>
      <c r="AE264" s="76">
        <f t="shared" si="37"/>
        <v>0</v>
      </c>
      <c r="AF264" s="75">
        <f t="shared" si="38"/>
        <v>0</v>
      </c>
      <c r="AG264" s="76">
        <f t="shared" si="31"/>
        <v>0</v>
      </c>
      <c r="AH264" s="31" t="e" cm="1">
        <f t="array" aca="1" ref="AH264" ca="1">IF((AD264) &lt; (INDEX(ResponseSLA[#All],(MATCH((G264),ResponseSLA[Priority],0))+1,3)),"YES","No")</f>
        <v>#N/A</v>
      </c>
      <c r="AI264" s="31" t="str">
        <f>_xlfn.IFNA(IF(AE264 &lt; (INDEX(SLATable[Minimum SLA],MATCH(G264,SLATable[Priority],0))),"YES","NO"),"")</f>
        <v/>
      </c>
      <c r="AJ264" t="str">
        <f>_xlfn.IFNA(IF(AE264 &lt; (INDEX(SLATable[Maximum SLA],MATCH(G264,SLATable[Priority],0))),"YES","NO"),"")</f>
        <v/>
      </c>
    </row>
    <row r="265" spans="26:36" ht="15" customHeight="1">
      <c r="Z265" s="76" t="e">
        <f t="shared" ca="1" si="32"/>
        <v>#N/A</v>
      </c>
      <c r="AA265" s="75" t="e">
        <f t="shared" ca="1" si="33"/>
        <v>#N/A</v>
      </c>
      <c r="AB265" s="76">
        <f t="shared" ca="1" si="34"/>
        <v>0</v>
      </c>
      <c r="AC265" s="75">
        <f t="shared" ca="1" si="35"/>
        <v>0</v>
      </c>
      <c r="AD265" s="76">
        <f t="shared" ca="1" si="36"/>
        <v>12388.425643402781</v>
      </c>
      <c r="AE265" s="76">
        <f t="shared" si="37"/>
        <v>0</v>
      </c>
      <c r="AF265" s="75">
        <f t="shared" si="38"/>
        <v>0</v>
      </c>
      <c r="AG265" s="76">
        <f t="shared" si="31"/>
        <v>0</v>
      </c>
      <c r="AH265" s="31" t="e" cm="1">
        <f t="array" aca="1" ref="AH265" ca="1">IF((AD265) &lt; (INDEX(ResponseSLA[#All],(MATCH((G265),ResponseSLA[Priority],0))+1,3)),"YES","No")</f>
        <v>#N/A</v>
      </c>
      <c r="AI265" s="31" t="str">
        <f>_xlfn.IFNA(IF(AE265 &lt; (INDEX(SLATable[Minimum SLA],MATCH(G265,SLATable[Priority],0))),"YES","NO"),"")</f>
        <v/>
      </c>
      <c r="AJ265" t="str">
        <f>_xlfn.IFNA(IF(AE265 &lt; (INDEX(SLATable[Maximum SLA],MATCH(G265,SLATable[Priority],0))),"YES","NO"),"")</f>
        <v/>
      </c>
    </row>
    <row r="266" spans="26:36" ht="15" customHeight="1">
      <c r="Z266" s="76" t="e">
        <f t="shared" ca="1" si="32"/>
        <v>#N/A</v>
      </c>
      <c r="AA266" s="75" t="e">
        <f t="shared" ca="1" si="33"/>
        <v>#N/A</v>
      </c>
      <c r="AB266" s="76">
        <f t="shared" ca="1" si="34"/>
        <v>0</v>
      </c>
      <c r="AC266" s="75">
        <f t="shared" ca="1" si="35"/>
        <v>0</v>
      </c>
      <c r="AD266" s="76">
        <f t="shared" ca="1" si="36"/>
        <v>12388.425643402781</v>
      </c>
      <c r="AE266" s="76">
        <f t="shared" si="37"/>
        <v>0</v>
      </c>
      <c r="AF266" s="75">
        <f t="shared" si="38"/>
        <v>0</v>
      </c>
      <c r="AG266" s="76">
        <f t="shared" si="31"/>
        <v>0</v>
      </c>
      <c r="AH266" s="31" t="e" cm="1">
        <f t="array" aca="1" ref="AH266" ca="1">IF((AD266) &lt; (INDEX(ResponseSLA[#All],(MATCH((G266),ResponseSLA[Priority],0))+1,3)),"YES","No")</f>
        <v>#N/A</v>
      </c>
      <c r="AI266" s="31" t="str">
        <f>_xlfn.IFNA(IF(AE266 &lt; (INDEX(SLATable[Minimum SLA],MATCH(G266,SLATable[Priority],0))),"YES","NO"),"")</f>
        <v/>
      </c>
      <c r="AJ266" t="str">
        <f>_xlfn.IFNA(IF(AE266 &lt; (INDEX(SLATable[Maximum SLA],MATCH(G266,SLATable[Priority],0))),"YES","NO"),"")</f>
        <v/>
      </c>
    </row>
    <row r="267" spans="26:36" ht="15" customHeight="1">
      <c r="Z267" s="76" t="e">
        <f t="shared" ca="1" si="32"/>
        <v>#N/A</v>
      </c>
      <c r="AA267" s="75" t="e">
        <f t="shared" ca="1" si="33"/>
        <v>#N/A</v>
      </c>
      <c r="AB267" s="76">
        <f t="shared" ca="1" si="34"/>
        <v>0</v>
      </c>
      <c r="AC267" s="75">
        <f t="shared" ca="1" si="35"/>
        <v>0</v>
      </c>
      <c r="AD267" s="76">
        <f t="shared" ca="1" si="36"/>
        <v>12388.425643402781</v>
      </c>
      <c r="AE267" s="76">
        <f t="shared" si="37"/>
        <v>0</v>
      </c>
      <c r="AF267" s="75">
        <f t="shared" si="38"/>
        <v>0</v>
      </c>
      <c r="AG267" s="76">
        <f t="shared" si="31"/>
        <v>0</v>
      </c>
      <c r="AH267" s="31" t="e" cm="1">
        <f t="array" aca="1" ref="AH267" ca="1">IF((AD267) &lt; (INDEX(ResponseSLA[#All],(MATCH((G267),ResponseSLA[Priority],0))+1,3)),"YES","No")</f>
        <v>#N/A</v>
      </c>
      <c r="AI267" s="31" t="str">
        <f>_xlfn.IFNA(IF(AE267 &lt; (INDEX(SLATable[Minimum SLA],MATCH(G267,SLATable[Priority],0))),"YES","NO"),"")</f>
        <v/>
      </c>
      <c r="AJ267" t="str">
        <f>_xlfn.IFNA(IF(AE267 &lt; (INDEX(SLATable[Maximum SLA],MATCH(G267,SLATable[Priority],0))),"YES","NO"),"")</f>
        <v/>
      </c>
    </row>
    <row r="268" spans="26:36" ht="15" customHeight="1">
      <c r="Z268" s="76" t="e">
        <f t="shared" ca="1" si="32"/>
        <v>#N/A</v>
      </c>
      <c r="AA268" s="75" t="e">
        <f t="shared" ca="1" si="33"/>
        <v>#N/A</v>
      </c>
      <c r="AB268" s="76">
        <f t="shared" ca="1" si="34"/>
        <v>0</v>
      </c>
      <c r="AC268" s="75">
        <f t="shared" ca="1" si="35"/>
        <v>0</v>
      </c>
      <c r="AD268" s="76">
        <f t="shared" ca="1" si="36"/>
        <v>12388.425643402781</v>
      </c>
      <c r="AE268" s="76">
        <f t="shared" si="37"/>
        <v>0</v>
      </c>
      <c r="AF268" s="75">
        <f t="shared" si="38"/>
        <v>0</v>
      </c>
      <c r="AG268" s="76">
        <f t="shared" si="31"/>
        <v>0</v>
      </c>
      <c r="AH268" s="31" t="e" cm="1">
        <f t="array" aca="1" ref="AH268" ca="1">IF((AD268) &lt; (INDEX(ResponseSLA[#All],(MATCH((G268),ResponseSLA[Priority],0))+1,3)),"YES","No")</f>
        <v>#N/A</v>
      </c>
      <c r="AI268" s="31" t="str">
        <f>_xlfn.IFNA(IF(AE268 &lt; (INDEX(SLATable[Minimum SLA],MATCH(G268,SLATable[Priority],0))),"YES","NO"),"")</f>
        <v/>
      </c>
      <c r="AJ268" t="str">
        <f>_xlfn.IFNA(IF(AE268 &lt; (INDEX(SLATable[Maximum SLA],MATCH(G268,SLATable[Priority],0))),"YES","NO"),"")</f>
        <v/>
      </c>
    </row>
    <row r="269" spans="26:36" ht="15" customHeight="1">
      <c r="Z269" s="76" t="e">
        <f t="shared" ca="1" si="32"/>
        <v>#N/A</v>
      </c>
      <c r="AA269" s="75" t="e">
        <f t="shared" ca="1" si="33"/>
        <v>#N/A</v>
      </c>
      <c r="AB269" s="76">
        <f t="shared" ca="1" si="34"/>
        <v>0</v>
      </c>
      <c r="AC269" s="75">
        <f t="shared" ca="1" si="35"/>
        <v>0</v>
      </c>
      <c r="AD269" s="76">
        <f t="shared" ca="1" si="36"/>
        <v>12388.425643402781</v>
      </c>
      <c r="AE269" s="76">
        <f t="shared" si="37"/>
        <v>0</v>
      </c>
      <c r="AF269" s="75">
        <f t="shared" si="38"/>
        <v>0</v>
      </c>
      <c r="AG269" s="76">
        <f t="shared" si="31"/>
        <v>0</v>
      </c>
      <c r="AH269" s="31" t="e" cm="1">
        <f t="array" aca="1" ref="AH269" ca="1">IF((AD269) &lt; (INDEX(ResponseSLA[#All],(MATCH((G269),ResponseSLA[Priority],0))+1,3)),"YES","No")</f>
        <v>#N/A</v>
      </c>
      <c r="AI269" s="31" t="str">
        <f>_xlfn.IFNA(IF(AE269 &lt; (INDEX(SLATable[Minimum SLA],MATCH(G269,SLATable[Priority],0))),"YES","NO"),"")</f>
        <v/>
      </c>
      <c r="AJ269" t="str">
        <f>_xlfn.IFNA(IF(AE269 &lt; (INDEX(SLATable[Maximum SLA],MATCH(G269,SLATable[Priority],0))),"YES","NO"),"")</f>
        <v/>
      </c>
    </row>
    <row r="270" spans="26:36" ht="15" customHeight="1">
      <c r="Z270" s="76" t="e">
        <f t="shared" ca="1" si="32"/>
        <v>#N/A</v>
      </c>
      <c r="AA270" s="75" t="e">
        <f t="shared" ca="1" si="33"/>
        <v>#N/A</v>
      </c>
      <c r="AB270" s="76">
        <f t="shared" ca="1" si="34"/>
        <v>0</v>
      </c>
      <c r="AC270" s="75">
        <f t="shared" ca="1" si="35"/>
        <v>0</v>
      </c>
      <c r="AD270" s="76">
        <f t="shared" ca="1" si="36"/>
        <v>12388.425643402781</v>
      </c>
      <c r="AE270" s="76">
        <f t="shared" si="37"/>
        <v>0</v>
      </c>
      <c r="AF270" s="75">
        <f t="shared" si="38"/>
        <v>0</v>
      </c>
      <c r="AG270" s="76">
        <f t="shared" si="31"/>
        <v>0</v>
      </c>
      <c r="AH270" s="31" t="e" cm="1">
        <f t="array" aca="1" ref="AH270" ca="1">IF((AD270) &lt; (INDEX(ResponseSLA[#All],(MATCH((G270),ResponseSLA[Priority],0))+1,3)),"YES","No")</f>
        <v>#N/A</v>
      </c>
      <c r="AI270" s="31" t="str">
        <f>_xlfn.IFNA(IF(AE270 &lt; (INDEX(SLATable[Minimum SLA],MATCH(G270,SLATable[Priority],0))),"YES","NO"),"")</f>
        <v/>
      </c>
      <c r="AJ270" t="str">
        <f>_xlfn.IFNA(IF(AE270 &lt; (INDEX(SLATable[Maximum SLA],MATCH(G270,SLATable[Priority],0))),"YES","NO"),"")</f>
        <v/>
      </c>
    </row>
    <row r="271" spans="26:36" ht="15" customHeight="1">
      <c r="Z271" s="76" t="e">
        <f t="shared" ca="1" si="32"/>
        <v>#N/A</v>
      </c>
      <c r="AA271" s="75" t="e">
        <f t="shared" ca="1" si="33"/>
        <v>#N/A</v>
      </c>
      <c r="AB271" s="76">
        <f t="shared" ca="1" si="34"/>
        <v>0</v>
      </c>
      <c r="AC271" s="75">
        <f t="shared" ca="1" si="35"/>
        <v>0</v>
      </c>
      <c r="AD271" s="76">
        <f t="shared" ca="1" si="36"/>
        <v>12388.425643402781</v>
      </c>
      <c r="AE271" s="76">
        <f t="shared" si="37"/>
        <v>0</v>
      </c>
      <c r="AF271" s="75">
        <f t="shared" si="38"/>
        <v>0</v>
      </c>
      <c r="AG271" s="76">
        <f t="shared" si="31"/>
        <v>0</v>
      </c>
      <c r="AH271" s="31" t="e" cm="1">
        <f t="array" aca="1" ref="AH271" ca="1">IF((AD271) &lt; (INDEX(ResponseSLA[#All],(MATCH((G271),ResponseSLA[Priority],0))+1,3)),"YES","No")</f>
        <v>#N/A</v>
      </c>
      <c r="AI271" s="31" t="str">
        <f>_xlfn.IFNA(IF(AE271 &lt; (INDEX(SLATable[Minimum SLA],MATCH(G271,SLATable[Priority],0))),"YES","NO"),"")</f>
        <v/>
      </c>
      <c r="AJ271" t="str">
        <f>_xlfn.IFNA(IF(AE271 &lt; (INDEX(SLATable[Maximum SLA],MATCH(G271,SLATable[Priority],0))),"YES","NO"),"")</f>
        <v/>
      </c>
    </row>
    <row r="272" spans="26:36" ht="15" customHeight="1">
      <c r="Z272" s="76" t="e">
        <f t="shared" ca="1" si="32"/>
        <v>#N/A</v>
      </c>
      <c r="AA272" s="75" t="e">
        <f t="shared" ca="1" si="33"/>
        <v>#N/A</v>
      </c>
      <c r="AB272" s="76">
        <f t="shared" ca="1" si="34"/>
        <v>0</v>
      </c>
      <c r="AC272" s="75">
        <f t="shared" ca="1" si="35"/>
        <v>0</v>
      </c>
      <c r="AD272" s="76">
        <f t="shared" ca="1" si="36"/>
        <v>12388.425643402781</v>
      </c>
      <c r="AE272" s="76">
        <f t="shared" si="37"/>
        <v>0</v>
      </c>
      <c r="AF272" s="75">
        <f t="shared" si="38"/>
        <v>0</v>
      </c>
      <c r="AG272" s="76">
        <f t="shared" si="31"/>
        <v>0</v>
      </c>
      <c r="AH272" s="31" t="e" cm="1">
        <f t="array" aca="1" ref="AH272" ca="1">IF((AD272) &lt; (INDEX(ResponseSLA[#All],(MATCH((G272),ResponseSLA[Priority],0))+1,3)),"YES","No")</f>
        <v>#N/A</v>
      </c>
      <c r="AI272" s="31" t="str">
        <f>_xlfn.IFNA(IF(AE272 &lt; (INDEX(SLATable[Minimum SLA],MATCH(G272,SLATable[Priority],0))),"YES","NO"),"")</f>
        <v/>
      </c>
      <c r="AJ272" t="str">
        <f>_xlfn.IFNA(IF(AE272 &lt; (INDEX(SLATable[Maximum SLA],MATCH(G272,SLATable[Priority],0))),"YES","NO"),"")</f>
        <v/>
      </c>
    </row>
    <row r="273" spans="26:36" ht="15" customHeight="1">
      <c r="Z273" s="76" t="e">
        <f t="shared" ca="1" si="32"/>
        <v>#N/A</v>
      </c>
      <c r="AA273" s="75" t="e">
        <f t="shared" ca="1" si="33"/>
        <v>#N/A</v>
      </c>
      <c r="AB273" s="76">
        <f t="shared" ca="1" si="34"/>
        <v>0</v>
      </c>
      <c r="AC273" s="75">
        <f t="shared" ca="1" si="35"/>
        <v>0</v>
      </c>
      <c r="AD273" s="76">
        <f t="shared" ca="1" si="36"/>
        <v>12388.425643402781</v>
      </c>
      <c r="AE273" s="76">
        <f t="shared" si="37"/>
        <v>0</v>
      </c>
      <c r="AF273" s="75">
        <f t="shared" si="38"/>
        <v>0</v>
      </c>
      <c r="AG273" s="76">
        <f t="shared" si="31"/>
        <v>0</v>
      </c>
      <c r="AH273" s="31" t="e" cm="1">
        <f t="array" aca="1" ref="AH273" ca="1">IF((AD273) &lt; (INDEX(ResponseSLA[#All],(MATCH((G273),ResponseSLA[Priority],0))+1,3)),"YES","No")</f>
        <v>#N/A</v>
      </c>
      <c r="AI273" s="31" t="str">
        <f>_xlfn.IFNA(IF(AE273 &lt; (INDEX(SLATable[Minimum SLA],MATCH(G273,SLATable[Priority],0))),"YES","NO"),"")</f>
        <v/>
      </c>
      <c r="AJ273" t="str">
        <f>_xlfn.IFNA(IF(AE273 &lt; (INDEX(SLATable[Maximum SLA],MATCH(G273,SLATable[Priority],0))),"YES","NO"),"")</f>
        <v/>
      </c>
    </row>
    <row r="274" spans="26:36" ht="15" customHeight="1">
      <c r="Z274" s="76" t="e">
        <f t="shared" ca="1" si="32"/>
        <v>#N/A</v>
      </c>
      <c r="AA274" s="75" t="e">
        <f t="shared" ca="1" si="33"/>
        <v>#N/A</v>
      </c>
      <c r="AB274" s="76">
        <f t="shared" ca="1" si="34"/>
        <v>0</v>
      </c>
      <c r="AC274" s="75">
        <f t="shared" ca="1" si="35"/>
        <v>0</v>
      </c>
      <c r="AD274" s="76">
        <f t="shared" ca="1" si="36"/>
        <v>12388.425643402781</v>
      </c>
      <c r="AE274" s="76">
        <f t="shared" si="37"/>
        <v>0</v>
      </c>
      <c r="AF274" s="75">
        <f t="shared" si="38"/>
        <v>0</v>
      </c>
      <c r="AG274" s="76">
        <f t="shared" si="31"/>
        <v>0</v>
      </c>
      <c r="AH274" s="31" t="e" cm="1">
        <f t="array" aca="1" ref="AH274" ca="1">IF((AD274) &lt; (INDEX(ResponseSLA[#All],(MATCH((G274),ResponseSLA[Priority],0))+1,3)),"YES","No")</f>
        <v>#N/A</v>
      </c>
      <c r="AI274" s="31" t="str">
        <f>_xlfn.IFNA(IF(AE274 &lt; (INDEX(SLATable[Minimum SLA],MATCH(G274,SLATable[Priority],0))),"YES","NO"),"")</f>
        <v/>
      </c>
      <c r="AJ274" t="str">
        <f>_xlfn.IFNA(IF(AE274 &lt; (INDEX(SLATable[Maximum SLA],MATCH(G274,SLATable[Priority],0))),"YES","NO"),"")</f>
        <v/>
      </c>
    </row>
    <row r="275" spans="26:36" ht="15" customHeight="1">
      <c r="Z275" s="76" t="e">
        <f t="shared" ca="1" si="32"/>
        <v>#N/A</v>
      </c>
      <c r="AA275" s="75" t="e">
        <f t="shared" ca="1" si="33"/>
        <v>#N/A</v>
      </c>
      <c r="AB275" s="76">
        <f t="shared" ca="1" si="34"/>
        <v>0</v>
      </c>
      <c r="AC275" s="75">
        <f t="shared" ca="1" si="35"/>
        <v>0</v>
      </c>
      <c r="AD275" s="76">
        <f t="shared" ca="1" si="36"/>
        <v>12388.425643402781</v>
      </c>
      <c r="AE275" s="76">
        <f t="shared" si="37"/>
        <v>0</v>
      </c>
      <c r="AF275" s="75">
        <f t="shared" si="38"/>
        <v>0</v>
      </c>
      <c r="AG275" s="76">
        <f t="shared" si="31"/>
        <v>0</v>
      </c>
      <c r="AH275" s="31" t="e" cm="1">
        <f t="array" aca="1" ref="AH275" ca="1">IF((AD275) &lt; (INDEX(ResponseSLA[#All],(MATCH((G275),ResponseSLA[Priority],0))+1,3)),"YES","No")</f>
        <v>#N/A</v>
      </c>
      <c r="AI275" s="31" t="str">
        <f>_xlfn.IFNA(IF(AE275 &lt; (INDEX(SLATable[Minimum SLA],MATCH(G275,SLATable[Priority],0))),"YES","NO"),"")</f>
        <v/>
      </c>
      <c r="AJ275" t="str">
        <f>_xlfn.IFNA(IF(AE275 &lt; (INDEX(SLATable[Maximum SLA],MATCH(G275,SLATable[Priority],0))),"YES","NO"),"")</f>
        <v/>
      </c>
    </row>
    <row r="276" spans="26:36" ht="15" customHeight="1">
      <c r="Z276" s="76" t="e">
        <f t="shared" ca="1" si="32"/>
        <v>#N/A</v>
      </c>
      <c r="AA276" s="75" t="e">
        <f t="shared" ca="1" si="33"/>
        <v>#N/A</v>
      </c>
      <c r="AB276" s="76">
        <f t="shared" ca="1" si="34"/>
        <v>0</v>
      </c>
      <c r="AC276" s="75">
        <f t="shared" ca="1" si="35"/>
        <v>0</v>
      </c>
      <c r="AD276" s="76">
        <f t="shared" ca="1" si="36"/>
        <v>12388.425643402781</v>
      </c>
      <c r="AE276" s="76">
        <f t="shared" si="37"/>
        <v>0</v>
      </c>
      <c r="AF276" s="75">
        <f t="shared" si="38"/>
        <v>0</v>
      </c>
      <c r="AG276" s="76">
        <f t="shared" si="31"/>
        <v>0</v>
      </c>
      <c r="AH276" s="31" t="e" cm="1">
        <f t="array" aca="1" ref="AH276" ca="1">IF((AD276) &lt; (INDEX(ResponseSLA[#All],(MATCH((G276),ResponseSLA[Priority],0))+1,3)),"YES","No")</f>
        <v>#N/A</v>
      </c>
      <c r="AI276" s="31" t="str">
        <f>_xlfn.IFNA(IF(AE276 &lt; (INDEX(SLATable[Minimum SLA],MATCH(G276,SLATable[Priority],0))),"YES","NO"),"")</f>
        <v/>
      </c>
      <c r="AJ276" t="str">
        <f>_xlfn.IFNA(IF(AE276 &lt; (INDEX(SLATable[Maximum SLA],MATCH(G276,SLATable[Priority],0))),"YES","NO"),"")</f>
        <v/>
      </c>
    </row>
    <row r="277" spans="26:36" ht="15" customHeight="1">
      <c r="Z277" s="76" t="e">
        <f t="shared" ca="1" si="32"/>
        <v>#N/A</v>
      </c>
      <c r="AA277" s="75" t="e">
        <f t="shared" ca="1" si="33"/>
        <v>#N/A</v>
      </c>
      <c r="AB277" s="76">
        <f t="shared" ca="1" si="34"/>
        <v>0</v>
      </c>
      <c r="AC277" s="75">
        <f t="shared" ca="1" si="35"/>
        <v>0</v>
      </c>
      <c r="AD277" s="76">
        <f t="shared" ca="1" si="36"/>
        <v>12388.425643402781</v>
      </c>
      <c r="AE277" s="76">
        <f t="shared" si="37"/>
        <v>0</v>
      </c>
      <c r="AF277" s="75">
        <f t="shared" si="38"/>
        <v>0</v>
      </c>
      <c r="AG277" s="76">
        <f t="shared" si="31"/>
        <v>0</v>
      </c>
      <c r="AH277" s="31" t="e" cm="1">
        <f t="array" aca="1" ref="AH277" ca="1">IF((AD277) &lt; (INDEX(ResponseSLA[#All],(MATCH((G277),ResponseSLA[Priority],0))+1,3)),"YES","No")</f>
        <v>#N/A</v>
      </c>
      <c r="AI277" s="31" t="str">
        <f>_xlfn.IFNA(IF(AE277 &lt; (INDEX(SLATable[Minimum SLA],MATCH(G277,SLATable[Priority],0))),"YES","NO"),"")</f>
        <v/>
      </c>
      <c r="AJ277" t="str">
        <f>_xlfn.IFNA(IF(AE277 &lt; (INDEX(SLATable[Maximum SLA],MATCH(G277,SLATable[Priority],0))),"YES","NO"),"")</f>
        <v/>
      </c>
    </row>
    <row r="278" spans="26:36" ht="15" customHeight="1">
      <c r="Z278" s="76" t="e">
        <f t="shared" ca="1" si="32"/>
        <v>#N/A</v>
      </c>
      <c r="AA278" s="75" t="e">
        <f t="shared" ca="1" si="33"/>
        <v>#N/A</v>
      </c>
      <c r="AB278" s="76">
        <f t="shared" ca="1" si="34"/>
        <v>0</v>
      </c>
      <c r="AC278" s="75">
        <f t="shared" ca="1" si="35"/>
        <v>0</v>
      </c>
      <c r="AD278" s="76">
        <f t="shared" ca="1" si="36"/>
        <v>12388.425643402781</v>
      </c>
      <c r="AE278" s="76">
        <f t="shared" si="37"/>
        <v>0</v>
      </c>
      <c r="AF278" s="75">
        <f t="shared" si="38"/>
        <v>0</v>
      </c>
      <c r="AG278" s="76">
        <f t="shared" si="31"/>
        <v>0</v>
      </c>
      <c r="AH278" s="31" t="e" cm="1">
        <f t="array" aca="1" ref="AH278" ca="1">IF((AD278) &lt; (INDEX(ResponseSLA[#All],(MATCH((G278),ResponseSLA[Priority],0))+1,3)),"YES","No")</f>
        <v>#N/A</v>
      </c>
      <c r="AI278" s="31" t="str">
        <f>_xlfn.IFNA(IF(AE278 &lt; (INDEX(SLATable[Minimum SLA],MATCH(G278,SLATable[Priority],0))),"YES","NO"),"")</f>
        <v/>
      </c>
      <c r="AJ278" t="str">
        <f>_xlfn.IFNA(IF(AE278 &lt; (INDEX(SLATable[Maximum SLA],MATCH(G278,SLATable[Priority],0))),"YES","NO"),"")</f>
        <v/>
      </c>
    </row>
    <row r="279" spans="26:36" ht="15" customHeight="1">
      <c r="Z279" s="76" t="e">
        <f t="shared" ca="1" si="32"/>
        <v>#N/A</v>
      </c>
      <c r="AA279" s="75" t="e">
        <f t="shared" ca="1" si="33"/>
        <v>#N/A</v>
      </c>
      <c r="AB279" s="76">
        <f t="shared" ca="1" si="34"/>
        <v>0</v>
      </c>
      <c r="AC279" s="75">
        <f t="shared" ca="1" si="35"/>
        <v>0</v>
      </c>
      <c r="AD279" s="76">
        <f t="shared" ca="1" si="36"/>
        <v>12388.425643402781</v>
      </c>
      <c r="AE279" s="76">
        <f t="shared" si="37"/>
        <v>0</v>
      </c>
      <c r="AF279" s="75">
        <f t="shared" si="38"/>
        <v>0</v>
      </c>
      <c r="AG279" s="76">
        <f t="shared" si="31"/>
        <v>0</v>
      </c>
      <c r="AH279" s="31" t="e" cm="1">
        <f t="array" aca="1" ref="AH279" ca="1">IF((AD279) &lt; (INDEX(ResponseSLA[#All],(MATCH((G279),ResponseSLA[Priority],0))+1,3)),"YES","No")</f>
        <v>#N/A</v>
      </c>
      <c r="AI279" s="31" t="str">
        <f>_xlfn.IFNA(IF(AE279 &lt; (INDEX(SLATable[Minimum SLA],MATCH(G279,SLATable[Priority],0))),"YES","NO"),"")</f>
        <v/>
      </c>
      <c r="AJ279" t="str">
        <f>_xlfn.IFNA(IF(AE279 &lt; (INDEX(SLATable[Maximum SLA],MATCH(G279,SLATable[Priority],0))),"YES","NO"),"")</f>
        <v/>
      </c>
    </row>
    <row r="280" spans="26:36" ht="15" customHeight="1">
      <c r="Z280" s="76" t="e">
        <f t="shared" ca="1" si="32"/>
        <v>#N/A</v>
      </c>
      <c r="AA280" s="75" t="e">
        <f t="shared" ca="1" si="33"/>
        <v>#N/A</v>
      </c>
      <c r="AB280" s="76">
        <f t="shared" ca="1" si="34"/>
        <v>0</v>
      </c>
      <c r="AC280" s="75">
        <f t="shared" ca="1" si="35"/>
        <v>0</v>
      </c>
      <c r="AD280" s="76">
        <f t="shared" ca="1" si="36"/>
        <v>12388.425643402781</v>
      </c>
      <c r="AE280" s="76">
        <f t="shared" si="37"/>
        <v>0</v>
      </c>
      <c r="AF280" s="75">
        <f t="shared" si="38"/>
        <v>0</v>
      </c>
      <c r="AG280" s="76">
        <f t="shared" si="31"/>
        <v>0</v>
      </c>
      <c r="AH280" s="31" t="e" cm="1">
        <f t="array" aca="1" ref="AH280" ca="1">IF((AD280) &lt; (INDEX(ResponseSLA[#All],(MATCH((G280),ResponseSLA[Priority],0))+1,3)),"YES","No")</f>
        <v>#N/A</v>
      </c>
      <c r="AI280" s="31" t="str">
        <f>_xlfn.IFNA(IF(AE280 &lt; (INDEX(SLATable[Minimum SLA],MATCH(G280,SLATable[Priority],0))),"YES","NO"),"")</f>
        <v/>
      </c>
      <c r="AJ280" t="str">
        <f>_xlfn.IFNA(IF(AE280 &lt; (INDEX(SLATable[Maximum SLA],MATCH(G280,SLATable[Priority],0))),"YES","NO"),"")</f>
        <v/>
      </c>
    </row>
    <row r="281" spans="26:36" ht="15" customHeight="1">
      <c r="Z281" s="76" t="e">
        <f t="shared" ca="1" si="32"/>
        <v>#N/A</v>
      </c>
      <c r="AA281" s="75" t="e">
        <f t="shared" ca="1" si="33"/>
        <v>#N/A</v>
      </c>
      <c r="AB281" s="76">
        <f t="shared" ca="1" si="34"/>
        <v>0</v>
      </c>
      <c r="AC281" s="75">
        <f t="shared" ca="1" si="35"/>
        <v>0</v>
      </c>
      <c r="AD281" s="76">
        <f t="shared" ca="1" si="36"/>
        <v>12388.425643402781</v>
      </c>
      <c r="AE281" s="76">
        <f t="shared" si="37"/>
        <v>0</v>
      </c>
      <c r="AF281" s="75">
        <f t="shared" si="38"/>
        <v>0</v>
      </c>
      <c r="AG281" s="76">
        <f t="shared" si="31"/>
        <v>0</v>
      </c>
      <c r="AH281" s="31" t="e" cm="1">
        <f t="array" aca="1" ref="AH281" ca="1">IF((AD281) &lt; (INDEX(ResponseSLA[#All],(MATCH((G281),ResponseSLA[Priority],0))+1,3)),"YES","No")</f>
        <v>#N/A</v>
      </c>
      <c r="AI281" s="31" t="str">
        <f>_xlfn.IFNA(IF(AE281 &lt; (INDEX(SLATable[Minimum SLA],MATCH(G281,SLATable[Priority],0))),"YES","NO"),"")</f>
        <v/>
      </c>
      <c r="AJ281" t="str">
        <f>_xlfn.IFNA(IF(AE281 &lt; (INDEX(SLATable[Maximum SLA],MATCH(G281,SLATable[Priority],0))),"YES","NO"),"")</f>
        <v/>
      </c>
    </row>
    <row r="282" spans="26:36" ht="15" customHeight="1">
      <c r="Z282" s="76" t="e">
        <f t="shared" ca="1" si="32"/>
        <v>#N/A</v>
      </c>
      <c r="AA282" s="75" t="e">
        <f t="shared" ca="1" si="33"/>
        <v>#N/A</v>
      </c>
      <c r="AB282" s="76">
        <f t="shared" ca="1" si="34"/>
        <v>0</v>
      </c>
      <c r="AC282" s="75">
        <f t="shared" ca="1" si="35"/>
        <v>0</v>
      </c>
      <c r="AD282" s="76">
        <f t="shared" ca="1" si="36"/>
        <v>12388.425643402781</v>
      </c>
      <c r="AE282" s="76">
        <f t="shared" si="37"/>
        <v>0</v>
      </c>
      <c r="AF282" s="75">
        <f t="shared" si="38"/>
        <v>0</v>
      </c>
      <c r="AG282" s="76">
        <f t="shared" si="31"/>
        <v>0</v>
      </c>
      <c r="AH282" s="31" t="e" cm="1">
        <f t="array" aca="1" ref="AH282" ca="1">IF((AD282) &lt; (INDEX(ResponseSLA[#All],(MATCH((G282),ResponseSLA[Priority],0))+1,3)),"YES","No")</f>
        <v>#N/A</v>
      </c>
      <c r="AI282" s="31" t="str">
        <f>_xlfn.IFNA(IF(AE282 &lt; (INDEX(SLATable[Minimum SLA],MATCH(G282,SLATable[Priority],0))),"YES","NO"),"")</f>
        <v/>
      </c>
      <c r="AJ282" t="str">
        <f>_xlfn.IFNA(IF(AE282 &lt; (INDEX(SLATable[Maximum SLA],MATCH(G282,SLATable[Priority],0))),"YES","NO"),"")</f>
        <v/>
      </c>
    </row>
    <row r="283" spans="26:36" ht="15" customHeight="1">
      <c r="Z283" s="76" t="e">
        <f t="shared" ca="1" si="32"/>
        <v>#N/A</v>
      </c>
      <c r="AA283" s="75" t="e">
        <f t="shared" ca="1" si="33"/>
        <v>#N/A</v>
      </c>
      <c r="AB283" s="76">
        <f t="shared" ca="1" si="34"/>
        <v>0</v>
      </c>
      <c r="AC283" s="75">
        <f t="shared" ca="1" si="35"/>
        <v>0</v>
      </c>
      <c r="AD283" s="76">
        <f t="shared" ca="1" si="36"/>
        <v>12388.425643402781</v>
      </c>
      <c r="AE283" s="76">
        <f t="shared" si="37"/>
        <v>0</v>
      </c>
      <c r="AF283" s="75">
        <f t="shared" si="38"/>
        <v>0</v>
      </c>
      <c r="AG283" s="76">
        <f t="shared" si="31"/>
        <v>0</v>
      </c>
      <c r="AH283" s="31" t="e" cm="1">
        <f t="array" aca="1" ref="AH283" ca="1">IF((AD283) &lt; (INDEX(ResponseSLA[#All],(MATCH((G283),ResponseSLA[Priority],0))+1,3)),"YES","No")</f>
        <v>#N/A</v>
      </c>
      <c r="AI283" s="31" t="str">
        <f>_xlfn.IFNA(IF(AE283 &lt; (INDEX(SLATable[Minimum SLA],MATCH(G283,SLATable[Priority],0))),"YES","NO"),"")</f>
        <v/>
      </c>
      <c r="AJ283" t="str">
        <f>_xlfn.IFNA(IF(AE283 &lt; (INDEX(SLATable[Maximum SLA],MATCH(G283,SLATable[Priority],0))),"YES","NO"),"")</f>
        <v/>
      </c>
    </row>
    <row r="284" spans="26:36" ht="15" customHeight="1">
      <c r="Z284" s="76" t="e">
        <f t="shared" ca="1" si="32"/>
        <v>#N/A</v>
      </c>
      <c r="AA284" s="75" t="e">
        <f t="shared" ca="1" si="33"/>
        <v>#N/A</v>
      </c>
      <c r="AB284" s="76">
        <f t="shared" ca="1" si="34"/>
        <v>0</v>
      </c>
      <c r="AC284" s="75">
        <f t="shared" ca="1" si="35"/>
        <v>0</v>
      </c>
      <c r="AD284" s="76">
        <f t="shared" ca="1" si="36"/>
        <v>12388.425643402781</v>
      </c>
      <c r="AE284" s="76">
        <f t="shared" si="37"/>
        <v>0</v>
      </c>
      <c r="AF284" s="75">
        <f t="shared" si="38"/>
        <v>0</v>
      </c>
      <c r="AG284" s="76">
        <f t="shared" si="31"/>
        <v>0</v>
      </c>
      <c r="AH284" s="31" t="e" cm="1">
        <f t="array" aca="1" ref="AH284" ca="1">IF((AD284) &lt; (INDEX(ResponseSLA[#All],(MATCH((G284),ResponseSLA[Priority],0))+1,3)),"YES","No")</f>
        <v>#N/A</v>
      </c>
      <c r="AI284" s="31" t="str">
        <f>_xlfn.IFNA(IF(AE284 &lt; (INDEX(SLATable[Minimum SLA],MATCH(G284,SLATable[Priority],0))),"YES","NO"),"")</f>
        <v/>
      </c>
      <c r="AJ284" t="str">
        <f>_xlfn.IFNA(IF(AE284 &lt; (INDEX(SLATable[Maximum SLA],MATCH(G284,SLATable[Priority],0))),"YES","NO"),"")</f>
        <v/>
      </c>
    </row>
    <row r="285" spans="26:36" ht="15" customHeight="1">
      <c r="Z285" s="76" t="e">
        <f t="shared" ca="1" si="32"/>
        <v>#N/A</v>
      </c>
      <c r="AA285" s="75" t="e">
        <f t="shared" ca="1" si="33"/>
        <v>#N/A</v>
      </c>
      <c r="AB285" s="76">
        <f t="shared" ca="1" si="34"/>
        <v>0</v>
      </c>
      <c r="AC285" s="75">
        <f t="shared" ca="1" si="35"/>
        <v>0</v>
      </c>
      <c r="AD285" s="76">
        <f t="shared" ca="1" si="36"/>
        <v>12388.425643402781</v>
      </c>
      <c r="AE285" s="76">
        <f t="shared" si="37"/>
        <v>0</v>
      </c>
      <c r="AF285" s="75">
        <f t="shared" si="38"/>
        <v>0</v>
      </c>
      <c r="AG285" s="76">
        <f t="shared" si="31"/>
        <v>0</v>
      </c>
      <c r="AH285" s="31" t="e" cm="1">
        <f t="array" aca="1" ref="AH285" ca="1">IF((AD285) &lt; (INDEX(ResponseSLA[#All],(MATCH((G285),ResponseSLA[Priority],0))+1,3)),"YES","No")</f>
        <v>#N/A</v>
      </c>
      <c r="AI285" s="31" t="str">
        <f>_xlfn.IFNA(IF(AE285 &lt; (INDEX(SLATable[Minimum SLA],MATCH(G285,SLATable[Priority],0))),"YES","NO"),"")</f>
        <v/>
      </c>
      <c r="AJ285" t="str">
        <f>_xlfn.IFNA(IF(AE285 &lt; (INDEX(SLATable[Maximum SLA],MATCH(G285,SLATable[Priority],0))),"YES","NO"),"")</f>
        <v/>
      </c>
    </row>
    <row r="286" spans="26:36" ht="15" customHeight="1">
      <c r="Z286" s="76" t="e">
        <f t="shared" ca="1" si="32"/>
        <v>#N/A</v>
      </c>
      <c r="AA286" s="75" t="e">
        <f t="shared" ca="1" si="33"/>
        <v>#N/A</v>
      </c>
      <c r="AB286" s="76">
        <f t="shared" ca="1" si="34"/>
        <v>0</v>
      </c>
      <c r="AC286" s="75">
        <f t="shared" ca="1" si="35"/>
        <v>0</v>
      </c>
      <c r="AD286" s="76">
        <f t="shared" ca="1" si="36"/>
        <v>12388.425643402781</v>
      </c>
      <c r="AE286" s="76">
        <f t="shared" si="37"/>
        <v>0</v>
      </c>
      <c r="AF286" s="75">
        <f t="shared" si="38"/>
        <v>0</v>
      </c>
      <c r="AG286" s="76">
        <f t="shared" si="31"/>
        <v>0</v>
      </c>
      <c r="AH286" s="31" t="e" cm="1">
        <f t="array" aca="1" ref="AH286" ca="1">IF((AD286) &lt; (INDEX(ResponseSLA[#All],(MATCH((G286),ResponseSLA[Priority],0))+1,3)),"YES","No")</f>
        <v>#N/A</v>
      </c>
      <c r="AI286" s="31" t="str">
        <f>_xlfn.IFNA(IF(AE286 &lt; (INDEX(SLATable[Minimum SLA],MATCH(G286,SLATable[Priority],0))),"YES","NO"),"")</f>
        <v/>
      </c>
      <c r="AJ286" t="str">
        <f>_xlfn.IFNA(IF(AE286 &lt; (INDEX(SLATable[Maximum SLA],MATCH(G286,SLATable[Priority],0))),"YES","NO"),"")</f>
        <v/>
      </c>
    </row>
    <row r="287" spans="26:36" ht="15" customHeight="1">
      <c r="Z287" s="76" t="e">
        <f t="shared" ca="1" si="32"/>
        <v>#N/A</v>
      </c>
      <c r="AA287" s="75" t="e">
        <f t="shared" ca="1" si="33"/>
        <v>#N/A</v>
      </c>
      <c r="AB287" s="76">
        <f t="shared" ca="1" si="34"/>
        <v>0</v>
      </c>
      <c r="AC287" s="75">
        <f t="shared" ca="1" si="35"/>
        <v>0</v>
      </c>
      <c r="AD287" s="76">
        <f t="shared" ca="1" si="36"/>
        <v>12388.425643402781</v>
      </c>
      <c r="AE287" s="76">
        <f t="shared" si="37"/>
        <v>0</v>
      </c>
      <c r="AF287" s="75">
        <f t="shared" si="38"/>
        <v>0</v>
      </c>
      <c r="AG287" s="76">
        <f t="shared" si="31"/>
        <v>0</v>
      </c>
      <c r="AH287" s="31" t="e" cm="1">
        <f t="array" aca="1" ref="AH287" ca="1">IF((AD287) &lt; (INDEX(ResponseSLA[#All],(MATCH((G287),ResponseSLA[Priority],0))+1,3)),"YES","No")</f>
        <v>#N/A</v>
      </c>
      <c r="AI287" s="31" t="str">
        <f>_xlfn.IFNA(IF(AE287 &lt; (INDEX(SLATable[Minimum SLA],MATCH(G287,SLATable[Priority],0))),"YES","NO"),"")</f>
        <v/>
      </c>
      <c r="AJ287" t="str">
        <f>_xlfn.IFNA(IF(AE287 &lt; (INDEX(SLATable[Maximum SLA],MATCH(G287,SLATable[Priority],0))),"YES","NO"),"")</f>
        <v/>
      </c>
    </row>
    <row r="288" spans="26:36" ht="15" customHeight="1">
      <c r="Z288" s="76" t="e">
        <f t="shared" ca="1" si="32"/>
        <v>#N/A</v>
      </c>
      <c r="AA288" s="75" t="e">
        <f t="shared" ca="1" si="33"/>
        <v>#N/A</v>
      </c>
      <c r="AB288" s="76">
        <f t="shared" ca="1" si="34"/>
        <v>0</v>
      </c>
      <c r="AC288" s="75">
        <f t="shared" ca="1" si="35"/>
        <v>0</v>
      </c>
      <c r="AD288" s="76">
        <f t="shared" ca="1" si="36"/>
        <v>12388.425643402781</v>
      </c>
      <c r="AE288" s="76">
        <f t="shared" si="37"/>
        <v>0</v>
      </c>
      <c r="AF288" s="75">
        <f t="shared" si="38"/>
        <v>0</v>
      </c>
      <c r="AG288" s="76">
        <f t="shared" si="31"/>
        <v>0</v>
      </c>
      <c r="AH288" s="31" t="e" cm="1">
        <f t="array" aca="1" ref="AH288" ca="1">IF((AD288) &lt; (INDEX(ResponseSLA[#All],(MATCH((G288),ResponseSLA[Priority],0))+1,3)),"YES","No")</f>
        <v>#N/A</v>
      </c>
      <c r="AI288" s="31" t="str">
        <f>_xlfn.IFNA(IF(AE288 &lt; (INDEX(SLATable[Minimum SLA],MATCH(G288,SLATable[Priority],0))),"YES","NO"),"")</f>
        <v/>
      </c>
      <c r="AJ288" t="str">
        <f>_xlfn.IFNA(IF(AE288 &lt; (INDEX(SLATable[Maximum SLA],MATCH(G288,SLATable[Priority],0))),"YES","NO"),"")</f>
        <v/>
      </c>
    </row>
    <row r="289" spans="26:36" ht="15" customHeight="1">
      <c r="Z289" s="76" t="e">
        <f t="shared" ca="1" si="32"/>
        <v>#N/A</v>
      </c>
      <c r="AA289" s="75" t="e">
        <f t="shared" ca="1" si="33"/>
        <v>#N/A</v>
      </c>
      <c r="AB289" s="76">
        <f t="shared" ca="1" si="34"/>
        <v>0</v>
      </c>
      <c r="AC289" s="75">
        <f t="shared" ca="1" si="35"/>
        <v>0</v>
      </c>
      <c r="AD289" s="76">
        <f t="shared" ca="1" si="36"/>
        <v>12388.425643402781</v>
      </c>
      <c r="AE289" s="76">
        <f t="shared" si="37"/>
        <v>0</v>
      </c>
      <c r="AF289" s="75">
        <f t="shared" si="38"/>
        <v>0</v>
      </c>
      <c r="AG289" s="76">
        <f t="shared" si="31"/>
        <v>0</v>
      </c>
      <c r="AH289" s="31" t="e" cm="1">
        <f t="array" aca="1" ref="AH289" ca="1">IF((AD289) &lt; (INDEX(ResponseSLA[#All],(MATCH((G289),ResponseSLA[Priority],0))+1,3)),"YES","No")</f>
        <v>#N/A</v>
      </c>
      <c r="AI289" s="31" t="str">
        <f>_xlfn.IFNA(IF(AE289 &lt; (INDEX(SLATable[Minimum SLA],MATCH(G289,SLATable[Priority],0))),"YES","NO"),"")</f>
        <v/>
      </c>
      <c r="AJ289" t="str">
        <f>_xlfn.IFNA(IF(AE289 &lt; (INDEX(SLATable[Maximum SLA],MATCH(G289,SLATable[Priority],0))),"YES","NO"),"")</f>
        <v/>
      </c>
    </row>
    <row r="290" spans="26:36" ht="15" customHeight="1">
      <c r="Z290" s="76" t="e">
        <f t="shared" ca="1" si="32"/>
        <v>#N/A</v>
      </c>
      <c r="AA290" s="75" t="e">
        <f t="shared" ca="1" si="33"/>
        <v>#N/A</v>
      </c>
      <c r="AB290" s="76">
        <f t="shared" ca="1" si="34"/>
        <v>0</v>
      </c>
      <c r="AC290" s="75">
        <f t="shared" ca="1" si="35"/>
        <v>0</v>
      </c>
      <c r="AD290" s="76">
        <f t="shared" ca="1" si="36"/>
        <v>12388.425643402781</v>
      </c>
      <c r="AE290" s="76">
        <f t="shared" si="37"/>
        <v>0</v>
      </c>
      <c r="AF290" s="75">
        <f t="shared" si="38"/>
        <v>0</v>
      </c>
      <c r="AG290" s="76">
        <f t="shared" si="31"/>
        <v>0</v>
      </c>
      <c r="AH290" s="31" t="e" cm="1">
        <f t="array" aca="1" ref="AH290" ca="1">IF((AD290) &lt; (INDEX(ResponseSLA[#All],(MATCH((G290),ResponseSLA[Priority],0))+1,3)),"YES","No")</f>
        <v>#N/A</v>
      </c>
      <c r="AI290" s="31" t="str">
        <f>_xlfn.IFNA(IF(AE290 &lt; (INDEX(SLATable[Minimum SLA],MATCH(G290,SLATable[Priority],0))),"YES","NO"),"")</f>
        <v/>
      </c>
      <c r="AJ290" t="str">
        <f>_xlfn.IFNA(IF(AE290 &lt; (INDEX(SLATable[Maximum SLA],MATCH(G290,SLATable[Priority],0))),"YES","NO"),"")</f>
        <v/>
      </c>
    </row>
    <row r="291" spans="26:36" ht="15" customHeight="1">
      <c r="Z291" s="76" t="e">
        <f t="shared" ca="1" si="32"/>
        <v>#N/A</v>
      </c>
      <c r="AA291" s="75" t="e">
        <f t="shared" ca="1" si="33"/>
        <v>#N/A</v>
      </c>
      <c r="AB291" s="76">
        <f t="shared" ca="1" si="34"/>
        <v>0</v>
      </c>
      <c r="AC291" s="75">
        <f t="shared" ca="1" si="35"/>
        <v>0</v>
      </c>
      <c r="AD291" s="76">
        <f t="shared" ca="1" si="36"/>
        <v>12388.425643402781</v>
      </c>
      <c r="AE291" s="76">
        <f t="shared" si="37"/>
        <v>0</v>
      </c>
      <c r="AF291" s="75">
        <f t="shared" si="38"/>
        <v>0</v>
      </c>
      <c r="AG291" s="76">
        <f t="shared" si="31"/>
        <v>0</v>
      </c>
      <c r="AH291" s="31" t="e" cm="1">
        <f t="array" aca="1" ref="AH291" ca="1">IF((AD291) &lt; (INDEX(ResponseSLA[#All],(MATCH((G291),ResponseSLA[Priority],0))+1,3)),"YES","No")</f>
        <v>#N/A</v>
      </c>
      <c r="AI291" s="31" t="str">
        <f>_xlfn.IFNA(IF(AE291 &lt; (INDEX(SLATable[Minimum SLA],MATCH(G291,SLATable[Priority],0))),"YES","NO"),"")</f>
        <v/>
      </c>
      <c r="AJ291" t="str">
        <f>_xlfn.IFNA(IF(AE291 &lt; (INDEX(SLATable[Maximum SLA],MATCH(G291,SLATable[Priority],0))),"YES","NO"),"")</f>
        <v/>
      </c>
    </row>
    <row r="292" spans="26:36" ht="15" customHeight="1">
      <c r="Z292" s="76" t="e">
        <f t="shared" ca="1" si="32"/>
        <v>#N/A</v>
      </c>
      <c r="AA292" s="75" t="e">
        <f t="shared" ca="1" si="33"/>
        <v>#N/A</v>
      </c>
      <c r="AB292" s="76">
        <f t="shared" ca="1" si="34"/>
        <v>0</v>
      </c>
      <c r="AC292" s="75">
        <f t="shared" ca="1" si="35"/>
        <v>0</v>
      </c>
      <c r="AD292" s="76">
        <f t="shared" ca="1" si="36"/>
        <v>12388.425643402781</v>
      </c>
      <c r="AE292" s="76">
        <f t="shared" si="37"/>
        <v>0</v>
      </c>
      <c r="AF292" s="75">
        <f t="shared" si="38"/>
        <v>0</v>
      </c>
      <c r="AG292" s="76">
        <f t="shared" si="31"/>
        <v>0</v>
      </c>
      <c r="AH292" s="31" t="e" cm="1">
        <f t="array" aca="1" ref="AH292" ca="1">IF((AD292) &lt; (INDEX(ResponseSLA[#All],(MATCH((G292),ResponseSLA[Priority],0))+1,3)),"YES","No")</f>
        <v>#N/A</v>
      </c>
      <c r="AI292" s="31" t="str">
        <f>_xlfn.IFNA(IF(AE292 &lt; (INDEX(SLATable[Minimum SLA],MATCH(G292,SLATable[Priority],0))),"YES","NO"),"")</f>
        <v/>
      </c>
      <c r="AJ292" t="str">
        <f>_xlfn.IFNA(IF(AE292 &lt; (INDEX(SLATable[Maximum SLA],MATCH(G292,SLATable[Priority],0))),"YES","NO"),"")</f>
        <v/>
      </c>
    </row>
    <row r="293" spans="26:36" ht="15" customHeight="1">
      <c r="Z293" s="76" t="e">
        <f t="shared" ca="1" si="32"/>
        <v>#N/A</v>
      </c>
      <c r="AA293" s="75" t="e">
        <f t="shared" ca="1" si="33"/>
        <v>#N/A</v>
      </c>
      <c r="AB293" s="76">
        <f t="shared" ca="1" si="34"/>
        <v>0</v>
      </c>
      <c r="AC293" s="75">
        <f t="shared" ca="1" si="35"/>
        <v>0</v>
      </c>
      <c r="AD293" s="76">
        <f t="shared" ca="1" si="36"/>
        <v>12388.425643402781</v>
      </c>
      <c r="AE293" s="76">
        <f t="shared" si="37"/>
        <v>0</v>
      </c>
      <c r="AF293" s="75">
        <f t="shared" si="38"/>
        <v>0</v>
      </c>
      <c r="AG293" s="76">
        <f t="shared" si="31"/>
        <v>0</v>
      </c>
      <c r="AH293" s="31" t="e" cm="1">
        <f t="array" aca="1" ref="AH293" ca="1">IF((AD293) &lt; (INDEX(ResponseSLA[#All],(MATCH((G293),ResponseSLA[Priority],0))+1,3)),"YES","No")</f>
        <v>#N/A</v>
      </c>
      <c r="AI293" s="31" t="str">
        <f>_xlfn.IFNA(IF(AE293 &lt; (INDEX(SLATable[Minimum SLA],MATCH(G293,SLATable[Priority],0))),"YES","NO"),"")</f>
        <v/>
      </c>
      <c r="AJ293" t="str">
        <f>_xlfn.IFNA(IF(AE293 &lt; (INDEX(SLATable[Maximum SLA],MATCH(G293,SLATable[Priority],0))),"YES","NO"),"")</f>
        <v/>
      </c>
    </row>
    <row r="294" spans="26:36" ht="15" customHeight="1">
      <c r="Z294" s="76" t="e">
        <f t="shared" ca="1" si="32"/>
        <v>#N/A</v>
      </c>
      <c r="AA294" s="75" t="e">
        <f t="shared" ca="1" si="33"/>
        <v>#N/A</v>
      </c>
      <c r="AB294" s="76">
        <f t="shared" ca="1" si="34"/>
        <v>0</v>
      </c>
      <c r="AC294" s="75">
        <f t="shared" ca="1" si="35"/>
        <v>0</v>
      </c>
      <c r="AD294" s="76">
        <f t="shared" ca="1" si="36"/>
        <v>12388.425643402781</v>
      </c>
      <c r="AE294" s="76">
        <f t="shared" si="37"/>
        <v>0</v>
      </c>
      <c r="AF294" s="75">
        <f t="shared" si="38"/>
        <v>0</v>
      </c>
      <c r="AG294" s="76">
        <f t="shared" si="31"/>
        <v>0</v>
      </c>
      <c r="AH294" s="31" t="e" cm="1">
        <f t="array" aca="1" ref="AH294" ca="1">IF((AD294) &lt; (INDEX(ResponseSLA[#All],(MATCH((G294),ResponseSLA[Priority],0))+1,3)),"YES","No")</f>
        <v>#N/A</v>
      </c>
      <c r="AI294" s="31" t="str">
        <f>_xlfn.IFNA(IF(AE294 &lt; (INDEX(SLATable[Minimum SLA],MATCH(G294,SLATable[Priority],0))),"YES","NO"),"")</f>
        <v/>
      </c>
      <c r="AJ294" t="str">
        <f>_xlfn.IFNA(IF(AE294 &lt; (INDEX(SLATable[Maximum SLA],MATCH(G294,SLATable[Priority],0))),"YES","NO"),"")</f>
        <v/>
      </c>
    </row>
    <row r="295" spans="26:36" ht="15" customHeight="1">
      <c r="Z295" s="76" t="e">
        <f t="shared" ca="1" si="32"/>
        <v>#N/A</v>
      </c>
      <c r="AA295" s="75" t="e">
        <f t="shared" ca="1" si="33"/>
        <v>#N/A</v>
      </c>
      <c r="AB295" s="76">
        <f t="shared" ca="1" si="34"/>
        <v>0</v>
      </c>
      <c r="AC295" s="75">
        <f t="shared" ca="1" si="35"/>
        <v>0</v>
      </c>
      <c r="AD295" s="76">
        <f t="shared" ca="1" si="36"/>
        <v>12388.425643402781</v>
      </c>
      <c r="AE295" s="76">
        <f t="shared" si="37"/>
        <v>0</v>
      </c>
      <c r="AF295" s="75">
        <f t="shared" si="38"/>
        <v>0</v>
      </c>
      <c r="AG295" s="76">
        <f t="shared" si="31"/>
        <v>0</v>
      </c>
      <c r="AH295" s="31" t="e" cm="1">
        <f t="array" aca="1" ref="AH295" ca="1">IF((AD295) &lt; (INDEX(ResponseSLA[#All],(MATCH((G295),ResponseSLA[Priority],0))+1,3)),"YES","No")</f>
        <v>#N/A</v>
      </c>
      <c r="AI295" s="31" t="str">
        <f>_xlfn.IFNA(IF(AE295 &lt; (INDEX(SLATable[Minimum SLA],MATCH(G295,SLATable[Priority],0))),"YES","NO"),"")</f>
        <v/>
      </c>
      <c r="AJ295" t="str">
        <f>_xlfn.IFNA(IF(AE295 &lt; (INDEX(SLATable[Maximum SLA],MATCH(G295,SLATable[Priority],0))),"YES","NO"),"")</f>
        <v/>
      </c>
    </row>
    <row r="296" spans="26:36" ht="15" customHeight="1">
      <c r="Z296" s="76" t="e">
        <f t="shared" ca="1" si="32"/>
        <v>#N/A</v>
      </c>
      <c r="AA296" s="75" t="e">
        <f t="shared" ca="1" si="33"/>
        <v>#N/A</v>
      </c>
      <c r="AB296" s="76">
        <f t="shared" ca="1" si="34"/>
        <v>0</v>
      </c>
      <c r="AC296" s="75">
        <f t="shared" ca="1" si="35"/>
        <v>0</v>
      </c>
      <c r="AD296" s="76">
        <f t="shared" ca="1" si="36"/>
        <v>12388.425643402781</v>
      </c>
      <c r="AE296" s="76">
        <f t="shared" si="37"/>
        <v>0</v>
      </c>
      <c r="AF296" s="75">
        <f t="shared" si="38"/>
        <v>0</v>
      </c>
      <c r="AG296" s="76">
        <f t="shared" si="31"/>
        <v>0</v>
      </c>
      <c r="AH296" s="31" t="e" cm="1">
        <f t="array" aca="1" ref="AH296" ca="1">IF((AD296) &lt; (INDEX(ResponseSLA[#All],(MATCH((G296),ResponseSLA[Priority],0))+1,3)),"YES","No")</f>
        <v>#N/A</v>
      </c>
      <c r="AI296" s="31" t="str">
        <f>_xlfn.IFNA(IF(AE296 &lt; (INDEX(SLATable[Minimum SLA],MATCH(G296,SLATable[Priority],0))),"YES","NO"),"")</f>
        <v/>
      </c>
      <c r="AJ296" t="str">
        <f>_xlfn.IFNA(IF(AE296 &lt; (INDEX(SLATable[Maximum SLA],MATCH(G296,SLATable[Priority],0))),"YES","NO"),"")</f>
        <v/>
      </c>
    </row>
    <row r="297" spans="26:36" ht="15" customHeight="1">
      <c r="Z297" s="76" t="e">
        <f t="shared" ca="1" si="32"/>
        <v>#N/A</v>
      </c>
      <c r="AA297" s="75" t="e">
        <f t="shared" ca="1" si="33"/>
        <v>#N/A</v>
      </c>
      <c r="AB297" s="76">
        <f t="shared" ca="1" si="34"/>
        <v>0</v>
      </c>
      <c r="AC297" s="75">
        <f t="shared" ca="1" si="35"/>
        <v>0</v>
      </c>
      <c r="AD297" s="76">
        <f t="shared" ca="1" si="36"/>
        <v>12388.425643402781</v>
      </c>
      <c r="AE297" s="76">
        <f t="shared" si="37"/>
        <v>0</v>
      </c>
      <c r="AF297" s="75">
        <f t="shared" si="38"/>
        <v>0</v>
      </c>
      <c r="AG297" s="76">
        <f t="shared" si="31"/>
        <v>0</v>
      </c>
      <c r="AH297" s="31" t="e" cm="1">
        <f t="array" aca="1" ref="AH297" ca="1">IF((AD297) &lt; (INDEX(ResponseSLA[#All],(MATCH((G297),ResponseSLA[Priority],0))+1,3)),"YES","No")</f>
        <v>#N/A</v>
      </c>
      <c r="AI297" s="31" t="str">
        <f>_xlfn.IFNA(IF(AE297 &lt; (INDEX(SLATable[Minimum SLA],MATCH(G297,SLATable[Priority],0))),"YES","NO"),"")</f>
        <v/>
      </c>
      <c r="AJ297" t="str">
        <f>_xlfn.IFNA(IF(AE297 &lt; (INDEX(SLATable[Maximum SLA],MATCH(G297,SLATable[Priority],0))),"YES","NO"),"")</f>
        <v/>
      </c>
    </row>
    <row r="298" spans="26:36" ht="15" customHeight="1">
      <c r="Z298" s="76" t="e">
        <f t="shared" ca="1" si="32"/>
        <v>#N/A</v>
      </c>
      <c r="AA298" s="75" t="e">
        <f t="shared" ca="1" si="33"/>
        <v>#N/A</v>
      </c>
      <c r="AB298" s="76">
        <f t="shared" ca="1" si="34"/>
        <v>0</v>
      </c>
      <c r="AC298" s="75">
        <f t="shared" ca="1" si="35"/>
        <v>0</v>
      </c>
      <c r="AD298" s="76">
        <f t="shared" ca="1" si="36"/>
        <v>12388.425643402781</v>
      </c>
      <c r="AE298" s="76">
        <f t="shared" si="37"/>
        <v>0</v>
      </c>
      <c r="AF298" s="75">
        <f t="shared" si="38"/>
        <v>0</v>
      </c>
      <c r="AG298" s="76">
        <f t="shared" si="31"/>
        <v>0</v>
      </c>
      <c r="AH298" s="31" t="e" cm="1">
        <f t="array" aca="1" ref="AH298" ca="1">IF((AD298) &lt; (INDEX(ResponseSLA[#All],(MATCH((G298),ResponseSLA[Priority],0))+1,3)),"YES","No")</f>
        <v>#N/A</v>
      </c>
      <c r="AI298" s="31" t="str">
        <f>_xlfn.IFNA(IF(AE298 &lt; (INDEX(SLATable[Minimum SLA],MATCH(G298,SLATable[Priority],0))),"YES","NO"),"")</f>
        <v/>
      </c>
      <c r="AJ298" t="str">
        <f>_xlfn.IFNA(IF(AE298 &lt; (INDEX(SLATable[Maximum SLA],MATCH(G298,SLATable[Priority],0))),"YES","NO"),"")</f>
        <v/>
      </c>
    </row>
    <row r="299" spans="26:36" ht="15" customHeight="1">
      <c r="Z299" s="76" t="e">
        <f t="shared" ca="1" si="32"/>
        <v>#N/A</v>
      </c>
      <c r="AA299" s="75" t="e">
        <f t="shared" ca="1" si="33"/>
        <v>#N/A</v>
      </c>
      <c r="AB299" s="76">
        <f t="shared" ca="1" si="34"/>
        <v>0</v>
      </c>
      <c r="AC299" s="75">
        <f t="shared" ca="1" si="35"/>
        <v>0</v>
      </c>
      <c r="AD299" s="76">
        <f t="shared" ca="1" si="36"/>
        <v>12388.425643402781</v>
      </c>
      <c r="AE299" s="76">
        <f t="shared" si="37"/>
        <v>0</v>
      </c>
      <c r="AF299" s="75">
        <f t="shared" si="38"/>
        <v>0</v>
      </c>
      <c r="AG299" s="76">
        <f t="shared" si="31"/>
        <v>0</v>
      </c>
      <c r="AH299" s="31" t="e" cm="1">
        <f t="array" aca="1" ref="AH299" ca="1">IF((AD299) &lt; (INDEX(ResponseSLA[#All],(MATCH((G299),ResponseSLA[Priority],0))+1,3)),"YES","No")</f>
        <v>#N/A</v>
      </c>
      <c r="AI299" s="31" t="str">
        <f>_xlfn.IFNA(IF(AE299 &lt; (INDEX(SLATable[Minimum SLA],MATCH(G299,SLATable[Priority],0))),"YES","NO"),"")</f>
        <v/>
      </c>
      <c r="AJ299" t="str">
        <f>_xlfn.IFNA(IF(AE299 &lt; (INDEX(SLATable[Maximum SLA],MATCH(G299,SLATable[Priority],0))),"YES","NO"),"")</f>
        <v/>
      </c>
    </row>
    <row r="300" spans="26:36" ht="15" customHeight="1">
      <c r="Z300" s="76" t="e">
        <f t="shared" ca="1" si="32"/>
        <v>#N/A</v>
      </c>
      <c r="AA300" s="75" t="e">
        <f t="shared" ca="1" si="33"/>
        <v>#N/A</v>
      </c>
      <c r="AB300" s="76">
        <f t="shared" ca="1" si="34"/>
        <v>0</v>
      </c>
      <c r="AC300" s="75">
        <f t="shared" ca="1" si="35"/>
        <v>0</v>
      </c>
      <c r="AD300" s="76">
        <f t="shared" ca="1" si="36"/>
        <v>12388.425643402781</v>
      </c>
      <c r="AE300" s="76">
        <f t="shared" si="37"/>
        <v>0</v>
      </c>
      <c r="AF300" s="75">
        <f t="shared" si="38"/>
        <v>0</v>
      </c>
      <c r="AG300" s="76">
        <f t="shared" si="31"/>
        <v>0</v>
      </c>
      <c r="AH300" s="31" t="e" cm="1">
        <f t="array" aca="1" ref="AH300" ca="1">IF((AD300) &lt; (INDEX(ResponseSLA[#All],(MATCH((G300),ResponseSLA[Priority],0))+1,3)),"YES","No")</f>
        <v>#N/A</v>
      </c>
      <c r="AI300" s="31" t="str">
        <f>_xlfn.IFNA(IF(AE300 &lt; (INDEX(SLATable[Minimum SLA],MATCH(G300,SLATable[Priority],0))),"YES","NO"),"")</f>
        <v/>
      </c>
      <c r="AJ300" t="str">
        <f>_xlfn.IFNA(IF(AE300 &lt; (INDEX(SLATable[Maximum SLA],MATCH(G300,SLATable[Priority],0))),"YES","NO"),"")</f>
        <v/>
      </c>
    </row>
    <row r="301" spans="26:36" ht="15" customHeight="1">
      <c r="Z301" s="76" t="e">
        <f t="shared" ca="1" si="32"/>
        <v>#N/A</v>
      </c>
      <c r="AA301" s="75" t="e">
        <f t="shared" ca="1" si="33"/>
        <v>#N/A</v>
      </c>
      <c r="AB301" s="76">
        <f t="shared" ca="1" si="34"/>
        <v>0</v>
      </c>
      <c r="AC301" s="75">
        <f t="shared" ca="1" si="35"/>
        <v>0</v>
      </c>
      <c r="AD301" s="76">
        <f t="shared" ca="1" si="36"/>
        <v>12388.425643402781</v>
      </c>
      <c r="AE301" s="76">
        <f t="shared" si="37"/>
        <v>0</v>
      </c>
      <c r="AF301" s="75">
        <f t="shared" si="38"/>
        <v>0</v>
      </c>
      <c r="AG301" s="76">
        <f t="shared" si="31"/>
        <v>0</v>
      </c>
      <c r="AH301" s="31" t="e" cm="1">
        <f t="array" aca="1" ref="AH301" ca="1">IF((AD301) &lt; (INDEX(ResponseSLA[#All],(MATCH((G301),ResponseSLA[Priority],0))+1,3)),"YES","No")</f>
        <v>#N/A</v>
      </c>
      <c r="AI301" s="31" t="str">
        <f>_xlfn.IFNA(IF(AE301 &lt; (INDEX(SLATable[Minimum SLA],MATCH(G301,SLATable[Priority],0))),"YES","NO"),"")</f>
        <v/>
      </c>
      <c r="AJ301" t="str">
        <f>_xlfn.IFNA(IF(AE301 &lt; (INDEX(SLATable[Maximum SLA],MATCH(G301,SLATable[Priority],0))),"YES","NO"),"")</f>
        <v/>
      </c>
    </row>
    <row r="302" spans="26:36" ht="15" customHeight="1">
      <c r="Z302" s="76" t="e">
        <f t="shared" ca="1" si="32"/>
        <v>#N/A</v>
      </c>
      <c r="AA302" s="75" t="e">
        <f t="shared" ca="1" si="33"/>
        <v>#N/A</v>
      </c>
      <c r="AB302" s="76">
        <f t="shared" ca="1" si="34"/>
        <v>0</v>
      </c>
      <c r="AC302" s="75">
        <f t="shared" ca="1" si="35"/>
        <v>0</v>
      </c>
      <c r="AD302" s="76">
        <f t="shared" ca="1" si="36"/>
        <v>12388.425643402781</v>
      </c>
      <c r="AE302" s="76">
        <f t="shared" si="37"/>
        <v>0</v>
      </c>
      <c r="AF302" s="75">
        <f t="shared" si="38"/>
        <v>0</v>
      </c>
      <c r="AG302" s="76">
        <f t="shared" si="31"/>
        <v>0</v>
      </c>
      <c r="AH302" s="31" t="e" cm="1">
        <f t="array" aca="1" ref="AH302" ca="1">IF((AD302) &lt; (INDEX(ResponseSLA[#All],(MATCH((G302),ResponseSLA[Priority],0))+1,3)),"YES","No")</f>
        <v>#N/A</v>
      </c>
      <c r="AI302" s="31" t="str">
        <f>_xlfn.IFNA(IF(AE302 &lt; (INDEX(SLATable[Minimum SLA],MATCH(G302,SLATable[Priority],0))),"YES","NO"),"")</f>
        <v/>
      </c>
      <c r="AJ302" t="str">
        <f>_xlfn.IFNA(IF(AE302 &lt; (INDEX(SLATable[Maximum SLA],MATCH(G302,SLATable[Priority],0))),"YES","NO"),"")</f>
        <v/>
      </c>
    </row>
    <row r="303" spans="26:36" ht="15" customHeight="1">
      <c r="Z303" s="76" t="e">
        <f t="shared" ca="1" si="32"/>
        <v>#N/A</v>
      </c>
      <c r="AA303" s="75" t="e">
        <f t="shared" ca="1" si="33"/>
        <v>#N/A</v>
      </c>
      <c r="AB303" s="76">
        <f t="shared" ca="1" si="34"/>
        <v>0</v>
      </c>
      <c r="AC303" s="75">
        <f t="shared" ca="1" si="35"/>
        <v>0</v>
      </c>
      <c r="AD303" s="76">
        <f t="shared" ca="1" si="36"/>
        <v>12388.425643402781</v>
      </c>
      <c r="AE303" s="76">
        <f t="shared" si="37"/>
        <v>0</v>
      </c>
      <c r="AF303" s="75">
        <f t="shared" si="38"/>
        <v>0</v>
      </c>
      <c r="AG303" s="76">
        <f t="shared" si="31"/>
        <v>0</v>
      </c>
      <c r="AH303" s="31" t="e" cm="1">
        <f t="array" aca="1" ref="AH303" ca="1">IF((AD303) &lt; (INDEX(ResponseSLA[#All],(MATCH((G303),ResponseSLA[Priority],0))+1,3)),"YES","No")</f>
        <v>#N/A</v>
      </c>
      <c r="AI303" s="31" t="str">
        <f>_xlfn.IFNA(IF(AE303 &lt; (INDEX(SLATable[Minimum SLA],MATCH(G303,SLATable[Priority],0))),"YES","NO"),"")</f>
        <v/>
      </c>
      <c r="AJ303" t="str">
        <f>_xlfn.IFNA(IF(AE303 &lt; (INDEX(SLATable[Maximum SLA],MATCH(G303,SLATable[Priority],0))),"YES","NO"),"")</f>
        <v/>
      </c>
    </row>
    <row r="304" spans="26:36" ht="15" customHeight="1">
      <c r="Z304" s="76" t="e">
        <f t="shared" ca="1" si="32"/>
        <v>#N/A</v>
      </c>
      <c r="AA304" s="75" t="e">
        <f t="shared" ca="1" si="33"/>
        <v>#N/A</v>
      </c>
      <c r="AB304" s="76">
        <f t="shared" ca="1" si="34"/>
        <v>0</v>
      </c>
      <c r="AC304" s="75">
        <f t="shared" ca="1" si="35"/>
        <v>0</v>
      </c>
      <c r="AD304" s="76">
        <f t="shared" ca="1" si="36"/>
        <v>12388.425643402781</v>
      </c>
      <c r="AE304" s="76">
        <f t="shared" si="37"/>
        <v>0</v>
      </c>
      <c r="AF304" s="75">
        <f t="shared" si="38"/>
        <v>0</v>
      </c>
      <c r="AG304" s="76">
        <f t="shared" si="31"/>
        <v>0</v>
      </c>
      <c r="AH304" s="31" t="e" cm="1">
        <f t="array" aca="1" ref="AH304" ca="1">IF((AD304) &lt; (INDEX(ResponseSLA[#All],(MATCH((G304),ResponseSLA[Priority],0))+1,3)),"YES","No")</f>
        <v>#N/A</v>
      </c>
      <c r="AI304" s="31" t="str">
        <f>_xlfn.IFNA(IF(AE304 &lt; (INDEX(SLATable[Minimum SLA],MATCH(G304,SLATable[Priority],0))),"YES","NO"),"")</f>
        <v/>
      </c>
      <c r="AJ304" t="str">
        <f>_xlfn.IFNA(IF(AE304 &lt; (INDEX(SLATable[Maximum SLA],MATCH(G304,SLATable[Priority],0))),"YES","NO"),"")</f>
        <v/>
      </c>
    </row>
    <row r="305" spans="26:36" ht="15" customHeight="1">
      <c r="Z305" s="76" t="e">
        <f t="shared" ca="1" si="32"/>
        <v>#N/A</v>
      </c>
      <c r="AA305" s="75" t="e">
        <f t="shared" ca="1" si="33"/>
        <v>#N/A</v>
      </c>
      <c r="AB305" s="76">
        <f t="shared" ca="1" si="34"/>
        <v>0</v>
      </c>
      <c r="AC305" s="75">
        <f t="shared" ca="1" si="35"/>
        <v>0</v>
      </c>
      <c r="AD305" s="76">
        <f t="shared" ca="1" si="36"/>
        <v>12388.425643402781</v>
      </c>
      <c r="AE305" s="76">
        <f t="shared" si="37"/>
        <v>0</v>
      </c>
      <c r="AF305" s="75">
        <f t="shared" si="38"/>
        <v>0</v>
      </c>
      <c r="AG305" s="76">
        <f t="shared" si="31"/>
        <v>0</v>
      </c>
      <c r="AH305" s="31" t="e" cm="1">
        <f t="array" aca="1" ref="AH305" ca="1">IF((AD305) &lt; (INDEX(ResponseSLA[#All],(MATCH((G305),ResponseSLA[Priority],0))+1,3)),"YES","No")</f>
        <v>#N/A</v>
      </c>
      <c r="AI305" s="31" t="str">
        <f>_xlfn.IFNA(IF(AE305 &lt; (INDEX(SLATable[Minimum SLA],MATCH(G305,SLATable[Priority],0))),"YES","NO"),"")</f>
        <v/>
      </c>
      <c r="AJ305" t="str">
        <f>_xlfn.IFNA(IF(AE305 &lt; (INDEX(SLATable[Maximum SLA],MATCH(G305,SLATable[Priority],0))),"YES","NO"),"")</f>
        <v/>
      </c>
    </row>
    <row r="306" spans="26:36" ht="15" customHeight="1">
      <c r="Z306" s="76" t="e">
        <f t="shared" ca="1" si="32"/>
        <v>#N/A</v>
      </c>
      <c r="AA306" s="75" t="e">
        <f t="shared" ca="1" si="33"/>
        <v>#N/A</v>
      </c>
      <c r="AB306" s="76">
        <f t="shared" ca="1" si="34"/>
        <v>0</v>
      </c>
      <c r="AC306" s="75">
        <f t="shared" ca="1" si="35"/>
        <v>0</v>
      </c>
      <c r="AD306" s="76">
        <f t="shared" ca="1" si="36"/>
        <v>12388.425643402781</v>
      </c>
      <c r="AE306" s="76">
        <f t="shared" si="37"/>
        <v>0</v>
      </c>
      <c r="AF306" s="75">
        <f t="shared" si="38"/>
        <v>0</v>
      </c>
      <c r="AG306" s="76">
        <f t="shared" si="31"/>
        <v>0</v>
      </c>
      <c r="AH306" s="31" t="e" cm="1">
        <f t="array" aca="1" ref="AH306" ca="1">IF((AD306) &lt; (INDEX(ResponseSLA[#All],(MATCH((G306),ResponseSLA[Priority],0))+1,3)),"YES","No")</f>
        <v>#N/A</v>
      </c>
      <c r="AI306" s="31" t="str">
        <f>_xlfn.IFNA(IF(AE306 &lt; (INDEX(SLATable[Minimum SLA],MATCH(G306,SLATable[Priority],0))),"YES","NO"),"")</f>
        <v/>
      </c>
      <c r="AJ306" t="str">
        <f>_xlfn.IFNA(IF(AE306 &lt; (INDEX(SLATable[Maximum SLA],MATCH(G306,SLATable[Priority],0))),"YES","NO"),"")</f>
        <v/>
      </c>
    </row>
    <row r="307" spans="26:36" ht="15" customHeight="1">
      <c r="Z307" s="76" t="e">
        <f t="shared" ca="1" si="32"/>
        <v>#N/A</v>
      </c>
      <c r="AA307" s="75" t="e">
        <f t="shared" ca="1" si="33"/>
        <v>#N/A</v>
      </c>
      <c r="AB307" s="76">
        <f t="shared" ca="1" si="34"/>
        <v>0</v>
      </c>
      <c r="AC307" s="75">
        <f t="shared" ca="1" si="35"/>
        <v>0</v>
      </c>
      <c r="AD307" s="76">
        <f t="shared" ca="1" si="36"/>
        <v>12388.425643402781</v>
      </c>
      <c r="AE307" s="76">
        <f t="shared" si="37"/>
        <v>0</v>
      </c>
      <c r="AF307" s="75">
        <f t="shared" si="38"/>
        <v>0</v>
      </c>
      <c r="AG307" s="76">
        <f t="shared" si="31"/>
        <v>0</v>
      </c>
      <c r="AH307" s="31" t="e" cm="1">
        <f t="array" aca="1" ref="AH307" ca="1">IF((AD307) &lt; (INDEX(ResponseSLA[#All],(MATCH((G307),ResponseSLA[Priority],0))+1,3)),"YES","No")</f>
        <v>#N/A</v>
      </c>
      <c r="AI307" s="31" t="str">
        <f>_xlfn.IFNA(IF(AE307 &lt; (INDEX(SLATable[Minimum SLA],MATCH(G307,SLATable[Priority],0))),"YES","NO"),"")</f>
        <v/>
      </c>
      <c r="AJ307" t="str">
        <f>_xlfn.IFNA(IF(AE307 &lt; (INDEX(SLATable[Maximum SLA],MATCH(G307,SLATable[Priority],0))),"YES","NO"),"")</f>
        <v/>
      </c>
    </row>
    <row r="308" spans="26:36" ht="15" customHeight="1">
      <c r="Z308" s="76" t="e">
        <f t="shared" ca="1" si="32"/>
        <v>#N/A</v>
      </c>
      <c r="AA308" s="75" t="e">
        <f t="shared" ca="1" si="33"/>
        <v>#N/A</v>
      </c>
      <c r="AB308" s="76">
        <f t="shared" ca="1" si="34"/>
        <v>0</v>
      </c>
      <c r="AC308" s="75">
        <f t="shared" ca="1" si="35"/>
        <v>0</v>
      </c>
      <c r="AD308" s="76">
        <f t="shared" ca="1" si="36"/>
        <v>12388.425643402781</v>
      </c>
      <c r="AE308" s="76">
        <f t="shared" si="37"/>
        <v>0</v>
      </c>
      <c r="AF308" s="75">
        <f t="shared" si="38"/>
        <v>0</v>
      </c>
      <c r="AG308" s="76">
        <f t="shared" si="31"/>
        <v>0</v>
      </c>
      <c r="AH308" s="31" t="e" cm="1">
        <f t="array" aca="1" ref="AH308" ca="1">IF((AD308) &lt; (INDEX(ResponseSLA[#All],(MATCH((G308),ResponseSLA[Priority],0))+1,3)),"YES","No")</f>
        <v>#N/A</v>
      </c>
      <c r="AI308" s="31" t="str">
        <f>_xlfn.IFNA(IF(AE308 &lt; (INDEX(SLATable[Minimum SLA],MATCH(G308,SLATable[Priority],0))),"YES","NO"),"")</f>
        <v/>
      </c>
      <c r="AJ308" t="str">
        <f>_xlfn.IFNA(IF(AE308 &lt; (INDEX(SLATable[Maximum SLA],MATCH(G308,SLATable[Priority],0))),"YES","NO"),"")</f>
        <v/>
      </c>
    </row>
    <row r="309" spans="26:36" ht="15" customHeight="1">
      <c r="Z309" s="76" t="e">
        <f t="shared" ca="1" si="32"/>
        <v>#N/A</v>
      </c>
      <c r="AA309" s="75" t="e">
        <f t="shared" ca="1" si="33"/>
        <v>#N/A</v>
      </c>
      <c r="AB309" s="76">
        <f t="shared" ca="1" si="34"/>
        <v>0</v>
      </c>
      <c r="AC309" s="75">
        <f t="shared" ca="1" si="35"/>
        <v>0</v>
      </c>
      <c r="AD309" s="76">
        <f t="shared" ca="1" si="36"/>
        <v>12388.425643402781</v>
      </c>
      <c r="AE309" s="76">
        <f t="shared" si="37"/>
        <v>0</v>
      </c>
      <c r="AF309" s="75">
        <f t="shared" si="38"/>
        <v>0</v>
      </c>
      <c r="AG309" s="76">
        <f t="shared" si="31"/>
        <v>0</v>
      </c>
      <c r="AH309" s="31" t="e" cm="1">
        <f t="array" aca="1" ref="AH309" ca="1">IF((AD309) &lt; (INDEX(ResponseSLA[#All],(MATCH((G309),ResponseSLA[Priority],0))+1,3)),"YES","No")</f>
        <v>#N/A</v>
      </c>
      <c r="AI309" s="31" t="str">
        <f>_xlfn.IFNA(IF(AE309 &lt; (INDEX(SLATable[Minimum SLA],MATCH(G309,SLATable[Priority],0))),"YES","NO"),"")</f>
        <v/>
      </c>
      <c r="AJ309" t="str">
        <f>_xlfn.IFNA(IF(AE309 &lt; (INDEX(SLATable[Maximum SLA],MATCH(G309,SLATable[Priority],0))),"YES","NO"),"")</f>
        <v/>
      </c>
    </row>
    <row r="310" spans="26:36" ht="15" customHeight="1">
      <c r="Z310" s="76" t="e">
        <f t="shared" ca="1" si="32"/>
        <v>#N/A</v>
      </c>
      <c r="AA310" s="75" t="e">
        <f t="shared" ca="1" si="33"/>
        <v>#N/A</v>
      </c>
      <c r="AB310" s="76">
        <f t="shared" ca="1" si="34"/>
        <v>0</v>
      </c>
      <c r="AC310" s="75">
        <f t="shared" ca="1" si="35"/>
        <v>0</v>
      </c>
      <c r="AD310" s="76">
        <f t="shared" ca="1" si="36"/>
        <v>12388.425643402781</v>
      </c>
      <c r="AE310" s="76">
        <f t="shared" si="37"/>
        <v>0</v>
      </c>
      <c r="AF310" s="75">
        <f t="shared" si="38"/>
        <v>0</v>
      </c>
      <c r="AG310" s="76">
        <f t="shared" si="31"/>
        <v>0</v>
      </c>
      <c r="AH310" s="31" t="e" cm="1">
        <f t="array" aca="1" ref="AH310" ca="1">IF((AD310) &lt; (INDEX(ResponseSLA[#All],(MATCH((G310),ResponseSLA[Priority],0))+1,3)),"YES","No")</f>
        <v>#N/A</v>
      </c>
      <c r="AI310" s="31" t="str">
        <f>_xlfn.IFNA(IF(AE310 &lt; (INDEX(SLATable[Minimum SLA],MATCH(G310,SLATable[Priority],0))),"YES","NO"),"")</f>
        <v/>
      </c>
      <c r="AJ310" t="str">
        <f>_xlfn.IFNA(IF(AE310 &lt; (INDEX(SLATable[Maximum SLA],MATCH(G310,SLATable[Priority],0))),"YES","NO"),"")</f>
        <v/>
      </c>
    </row>
    <row r="311" spans="26:36" ht="15" customHeight="1">
      <c r="Z311" s="76" t="e">
        <f t="shared" ca="1" si="32"/>
        <v>#N/A</v>
      </c>
      <c r="AA311" s="75" t="e">
        <f t="shared" ca="1" si="33"/>
        <v>#N/A</v>
      </c>
      <c r="AB311" s="76">
        <f t="shared" ca="1" si="34"/>
        <v>0</v>
      </c>
      <c r="AC311" s="75">
        <f t="shared" ca="1" si="35"/>
        <v>0</v>
      </c>
      <c r="AD311" s="76">
        <f t="shared" ca="1" si="36"/>
        <v>12388.425643402781</v>
      </c>
      <c r="AE311" s="76">
        <f t="shared" si="37"/>
        <v>0</v>
      </c>
      <c r="AF311" s="75">
        <f t="shared" si="38"/>
        <v>0</v>
      </c>
      <c r="AG311" s="76">
        <f t="shared" si="31"/>
        <v>0</v>
      </c>
      <c r="AH311" s="31" t="e" cm="1">
        <f t="array" aca="1" ref="AH311" ca="1">IF((AD311) &lt; (INDEX(ResponseSLA[#All],(MATCH((G311),ResponseSLA[Priority],0))+1,3)),"YES","No")</f>
        <v>#N/A</v>
      </c>
      <c r="AI311" s="31" t="str">
        <f>_xlfn.IFNA(IF(AE311 &lt; (INDEX(SLATable[Minimum SLA],MATCH(G311,SLATable[Priority],0))),"YES","NO"),"")</f>
        <v/>
      </c>
      <c r="AJ311" t="str">
        <f>_xlfn.IFNA(IF(AE311 &lt; (INDEX(SLATable[Maximum SLA],MATCH(G311,SLATable[Priority],0))),"YES","NO"),"")</f>
        <v/>
      </c>
    </row>
    <row r="312" spans="26:36" ht="15" customHeight="1">
      <c r="Z312" s="76" t="e">
        <f t="shared" ca="1" si="32"/>
        <v>#N/A</v>
      </c>
      <c r="AA312" s="75" t="e">
        <f t="shared" ca="1" si="33"/>
        <v>#N/A</v>
      </c>
      <c r="AB312" s="76">
        <f t="shared" ca="1" si="34"/>
        <v>0</v>
      </c>
      <c r="AC312" s="75">
        <f t="shared" ca="1" si="35"/>
        <v>0</v>
      </c>
      <c r="AD312" s="76">
        <f t="shared" ca="1" si="36"/>
        <v>12388.425643402781</v>
      </c>
      <c r="AE312" s="76">
        <f t="shared" si="37"/>
        <v>0</v>
      </c>
      <c r="AF312" s="75">
        <f t="shared" si="38"/>
        <v>0</v>
      </c>
      <c r="AG312" s="76">
        <f t="shared" si="31"/>
        <v>0</v>
      </c>
      <c r="AH312" s="31" t="e" cm="1">
        <f t="array" aca="1" ref="AH312" ca="1">IF((AD312) &lt; (INDEX(ResponseSLA[#All],(MATCH((G312),ResponseSLA[Priority],0))+1,3)),"YES","No")</f>
        <v>#N/A</v>
      </c>
      <c r="AI312" s="31" t="str">
        <f>_xlfn.IFNA(IF(AE312 &lt; (INDEX(SLATable[Minimum SLA],MATCH(G312,SLATable[Priority],0))),"YES","NO"),"")</f>
        <v/>
      </c>
      <c r="AJ312" t="str">
        <f>_xlfn.IFNA(IF(AE312 &lt; (INDEX(SLATable[Maximum SLA],MATCH(G312,SLATable[Priority],0))),"YES","NO"),"")</f>
        <v/>
      </c>
    </row>
    <row r="313" spans="26:36" ht="15" customHeight="1">
      <c r="Z313" s="76" t="e">
        <f t="shared" ca="1" si="32"/>
        <v>#N/A</v>
      </c>
      <c r="AA313" s="75" t="e">
        <f t="shared" ca="1" si="33"/>
        <v>#N/A</v>
      </c>
      <c r="AB313" s="76">
        <f t="shared" ca="1" si="34"/>
        <v>0</v>
      </c>
      <c r="AC313" s="75">
        <f t="shared" ca="1" si="35"/>
        <v>0</v>
      </c>
      <c r="AD313" s="76">
        <f t="shared" ca="1" si="36"/>
        <v>12388.425643402781</v>
      </c>
      <c r="AE313" s="76">
        <f t="shared" si="37"/>
        <v>0</v>
      </c>
      <c r="AF313" s="75">
        <f t="shared" si="38"/>
        <v>0</v>
      </c>
      <c r="AG313" s="76">
        <f t="shared" si="31"/>
        <v>0</v>
      </c>
      <c r="AH313" s="31" t="e" cm="1">
        <f t="array" aca="1" ref="AH313" ca="1">IF((AD313) &lt; (INDEX(ResponseSLA[#All],(MATCH((G313),ResponseSLA[Priority],0))+1,3)),"YES","No")</f>
        <v>#N/A</v>
      </c>
      <c r="AI313" s="31" t="str">
        <f>_xlfn.IFNA(IF(AE313 &lt; (INDEX(SLATable[Minimum SLA],MATCH(G313,SLATable[Priority],0))),"YES","NO"),"")</f>
        <v/>
      </c>
      <c r="AJ313" t="str">
        <f>_xlfn.IFNA(IF(AE313 &lt; (INDEX(SLATable[Maximum SLA],MATCH(G313,SLATable[Priority],0))),"YES","NO"),"")</f>
        <v/>
      </c>
    </row>
    <row r="314" spans="26:36" ht="15" customHeight="1">
      <c r="Z314" s="76" t="e">
        <f t="shared" ca="1" si="32"/>
        <v>#N/A</v>
      </c>
      <c r="AA314" s="75" t="e">
        <f t="shared" ca="1" si="33"/>
        <v>#N/A</v>
      </c>
      <c r="AB314" s="76">
        <f t="shared" ca="1" si="34"/>
        <v>0</v>
      </c>
      <c r="AC314" s="75">
        <f t="shared" ca="1" si="35"/>
        <v>0</v>
      </c>
      <c r="AD314" s="76">
        <f t="shared" ca="1" si="36"/>
        <v>12388.425643402781</v>
      </c>
      <c r="AE314" s="76">
        <f t="shared" si="37"/>
        <v>0</v>
      </c>
      <c r="AF314" s="75">
        <f t="shared" si="38"/>
        <v>0</v>
      </c>
      <c r="AG314" s="76">
        <f t="shared" si="31"/>
        <v>0</v>
      </c>
      <c r="AH314" s="31" t="e" cm="1">
        <f t="array" aca="1" ref="AH314" ca="1">IF((AD314) &lt; (INDEX(ResponseSLA[#All],(MATCH((G314),ResponseSLA[Priority],0))+1,3)),"YES","No")</f>
        <v>#N/A</v>
      </c>
      <c r="AI314" s="31" t="str">
        <f>_xlfn.IFNA(IF(AE314 &lt; (INDEX(SLATable[Minimum SLA],MATCH(G314,SLATable[Priority],0))),"YES","NO"),"")</f>
        <v/>
      </c>
      <c r="AJ314" t="str">
        <f>_xlfn.IFNA(IF(AE314 &lt; (INDEX(SLATable[Maximum SLA],MATCH(G314,SLATable[Priority],0))),"YES","NO"),"")</f>
        <v/>
      </c>
    </row>
    <row r="315" spans="26:36" ht="15" customHeight="1">
      <c r="Z315" s="76" t="e">
        <f t="shared" ca="1" si="32"/>
        <v>#N/A</v>
      </c>
      <c r="AA315" s="75" t="e">
        <f t="shared" ca="1" si="33"/>
        <v>#N/A</v>
      </c>
      <c r="AB315" s="76">
        <f t="shared" ca="1" si="34"/>
        <v>0</v>
      </c>
      <c r="AC315" s="75">
        <f t="shared" ca="1" si="35"/>
        <v>0</v>
      </c>
      <c r="AD315" s="76">
        <f t="shared" ca="1" si="36"/>
        <v>12388.425643402781</v>
      </c>
      <c r="AE315" s="76">
        <f t="shared" si="37"/>
        <v>0</v>
      </c>
      <c r="AF315" s="75">
        <f t="shared" si="38"/>
        <v>0</v>
      </c>
      <c r="AG315" s="76">
        <f t="shared" si="31"/>
        <v>0</v>
      </c>
      <c r="AH315" s="31" t="e" cm="1">
        <f t="array" aca="1" ref="AH315" ca="1">IF((AD315) &lt; (INDEX(ResponseSLA[#All],(MATCH((G315),ResponseSLA[Priority],0))+1,3)),"YES","No")</f>
        <v>#N/A</v>
      </c>
      <c r="AI315" s="31" t="str">
        <f>_xlfn.IFNA(IF(AE315 &lt; (INDEX(SLATable[Minimum SLA],MATCH(G315,SLATable[Priority],0))),"YES","NO"),"")</f>
        <v/>
      </c>
      <c r="AJ315" t="str">
        <f>_xlfn.IFNA(IF(AE315 &lt; (INDEX(SLATable[Maximum SLA],MATCH(G315,SLATable[Priority],0))),"YES","NO"),"")</f>
        <v/>
      </c>
    </row>
    <row r="316" spans="26:36" ht="15" customHeight="1">
      <c r="Z316" s="76" t="e">
        <f t="shared" ca="1" si="32"/>
        <v>#N/A</v>
      </c>
      <c r="AA316" s="75" t="e">
        <f t="shared" ca="1" si="33"/>
        <v>#N/A</v>
      </c>
      <c r="AB316" s="76">
        <f t="shared" ca="1" si="34"/>
        <v>0</v>
      </c>
      <c r="AC316" s="75">
        <f t="shared" ca="1" si="35"/>
        <v>0</v>
      </c>
      <c r="AD316" s="76">
        <f t="shared" ca="1" si="36"/>
        <v>12388.425643402781</v>
      </c>
      <c r="AE316" s="76">
        <f t="shared" si="37"/>
        <v>0</v>
      </c>
      <c r="AF316" s="75">
        <f t="shared" si="38"/>
        <v>0</v>
      </c>
      <c r="AG316" s="76">
        <f t="shared" si="31"/>
        <v>0</v>
      </c>
      <c r="AH316" s="31" t="e" cm="1">
        <f t="array" aca="1" ref="AH316" ca="1">IF((AD316) &lt; (INDEX(ResponseSLA[#All],(MATCH((G316),ResponseSLA[Priority],0))+1,3)),"YES","No")</f>
        <v>#N/A</v>
      </c>
      <c r="AI316" s="31" t="str">
        <f>_xlfn.IFNA(IF(AE316 &lt; (INDEX(SLATable[Minimum SLA],MATCH(G316,SLATable[Priority],0))),"YES","NO"),"")</f>
        <v/>
      </c>
      <c r="AJ316" t="str">
        <f>_xlfn.IFNA(IF(AE316 &lt; (INDEX(SLATable[Maximum SLA],MATCH(G316,SLATable[Priority],0))),"YES","NO"),"")</f>
        <v/>
      </c>
    </row>
    <row r="317" spans="26:36" ht="15" customHeight="1">
      <c r="Z317" s="76" t="e">
        <f t="shared" ca="1" si="32"/>
        <v>#N/A</v>
      </c>
      <c r="AA317" s="75" t="e">
        <f t="shared" ca="1" si="33"/>
        <v>#N/A</v>
      </c>
      <c r="AB317" s="76">
        <f t="shared" ca="1" si="34"/>
        <v>0</v>
      </c>
      <c r="AC317" s="75">
        <f t="shared" ca="1" si="35"/>
        <v>0</v>
      </c>
      <c r="AD317" s="76">
        <f t="shared" ca="1" si="36"/>
        <v>12388.425643402781</v>
      </c>
      <c r="AE317" s="76">
        <f t="shared" si="37"/>
        <v>0</v>
      </c>
      <c r="AF317" s="75">
        <f t="shared" si="38"/>
        <v>0</v>
      </c>
      <c r="AG317" s="76">
        <f t="shared" si="31"/>
        <v>0</v>
      </c>
      <c r="AH317" s="31" t="e" cm="1">
        <f t="array" aca="1" ref="AH317" ca="1">IF((AD317) &lt; (INDEX(ResponseSLA[#All],(MATCH((G317),ResponseSLA[Priority],0))+1,3)),"YES","No")</f>
        <v>#N/A</v>
      </c>
      <c r="AI317" s="31" t="str">
        <f>_xlfn.IFNA(IF(AE317 &lt; (INDEX(SLATable[Minimum SLA],MATCH(G317,SLATable[Priority],0))),"YES","NO"),"")</f>
        <v/>
      </c>
      <c r="AJ317" t="str">
        <f>_xlfn.IFNA(IF(AE317 &lt; (INDEX(SLATable[Maximum SLA],MATCH(G317,SLATable[Priority],0))),"YES","NO"),"")</f>
        <v/>
      </c>
    </row>
    <row r="318" spans="26:36" ht="15" customHeight="1">
      <c r="Z318" s="76" t="e">
        <f t="shared" ca="1" si="32"/>
        <v>#N/A</v>
      </c>
      <c r="AA318" s="75" t="e">
        <f t="shared" ca="1" si="33"/>
        <v>#N/A</v>
      </c>
      <c r="AB318" s="76">
        <f t="shared" ca="1" si="34"/>
        <v>0</v>
      </c>
      <c r="AC318" s="75">
        <f t="shared" ca="1" si="35"/>
        <v>0</v>
      </c>
      <c r="AD318" s="76">
        <f t="shared" ca="1" si="36"/>
        <v>12388.425643402781</v>
      </c>
      <c r="AE318" s="76">
        <f t="shared" si="37"/>
        <v>0</v>
      </c>
      <c r="AF318" s="75">
        <f t="shared" si="38"/>
        <v>0</v>
      </c>
      <c r="AG318" s="76">
        <f t="shared" si="31"/>
        <v>0</v>
      </c>
      <c r="AH318" s="31" t="e" cm="1">
        <f t="array" aca="1" ref="AH318" ca="1">IF((AD318) &lt; (INDEX(ResponseSLA[#All],(MATCH((G318),ResponseSLA[Priority],0))+1,3)),"YES","No")</f>
        <v>#N/A</v>
      </c>
      <c r="AI318" s="31" t="str">
        <f>_xlfn.IFNA(IF(AE318 &lt; (INDEX(SLATable[Minimum SLA],MATCH(G318,SLATable[Priority],0))),"YES","NO"),"")</f>
        <v/>
      </c>
      <c r="AJ318" t="str">
        <f>_xlfn.IFNA(IF(AE318 &lt; (INDEX(SLATable[Maximum SLA],MATCH(G318,SLATable[Priority],0))),"YES","NO"),"")</f>
        <v/>
      </c>
    </row>
    <row r="319" spans="26:36" ht="15" customHeight="1">
      <c r="Z319" s="76" t="e">
        <f t="shared" ca="1" si="32"/>
        <v>#N/A</v>
      </c>
      <c r="AA319" s="75" t="e">
        <f t="shared" ca="1" si="33"/>
        <v>#N/A</v>
      </c>
      <c r="AB319" s="76">
        <f t="shared" ca="1" si="34"/>
        <v>0</v>
      </c>
      <c r="AC319" s="75">
        <f t="shared" ca="1" si="35"/>
        <v>0</v>
      </c>
      <c r="AD319" s="76">
        <f t="shared" ca="1" si="36"/>
        <v>12388.425643402781</v>
      </c>
      <c r="AE319" s="76">
        <f t="shared" si="37"/>
        <v>0</v>
      </c>
      <c r="AF319" s="75">
        <f t="shared" si="38"/>
        <v>0</v>
      </c>
      <c r="AG319" s="76">
        <f t="shared" si="31"/>
        <v>0</v>
      </c>
      <c r="AH319" s="31" t="e" cm="1">
        <f t="array" aca="1" ref="AH319" ca="1">IF((AD319) &lt; (INDEX(ResponseSLA[#All],(MATCH((G319),ResponseSLA[Priority],0))+1,3)),"YES","No")</f>
        <v>#N/A</v>
      </c>
      <c r="AI319" s="31" t="str">
        <f>_xlfn.IFNA(IF(AE319 &lt; (INDEX(SLATable[Minimum SLA],MATCH(G319,SLATable[Priority],0))),"YES","NO"),"")</f>
        <v/>
      </c>
      <c r="AJ319" t="str">
        <f>_xlfn.IFNA(IF(AE319 &lt; (INDEX(SLATable[Maximum SLA],MATCH(G319,SLATable[Priority],0))),"YES","NO"),"")</f>
        <v/>
      </c>
    </row>
    <row r="320" spans="26:36" ht="15" customHeight="1">
      <c r="Z320" s="76" t="e">
        <f t="shared" ca="1" si="32"/>
        <v>#N/A</v>
      </c>
      <c r="AA320" s="75" t="e">
        <f t="shared" ca="1" si="33"/>
        <v>#N/A</v>
      </c>
      <c r="AB320" s="76">
        <f t="shared" ca="1" si="34"/>
        <v>0</v>
      </c>
      <c r="AC320" s="75">
        <f t="shared" ca="1" si="35"/>
        <v>0</v>
      </c>
      <c r="AD320" s="76">
        <f t="shared" ca="1" si="36"/>
        <v>12388.425643402781</v>
      </c>
      <c r="AE320" s="76">
        <f t="shared" si="37"/>
        <v>0</v>
      </c>
      <c r="AF320" s="75">
        <f t="shared" si="38"/>
        <v>0</v>
      </c>
      <c r="AG320" s="76">
        <f t="shared" si="31"/>
        <v>0</v>
      </c>
      <c r="AH320" s="31" t="e" cm="1">
        <f t="array" aca="1" ref="AH320" ca="1">IF((AD320) &lt; (INDEX(ResponseSLA[#All],(MATCH((G320),ResponseSLA[Priority],0))+1,3)),"YES","No")</f>
        <v>#N/A</v>
      </c>
      <c r="AI320" s="31" t="str">
        <f>_xlfn.IFNA(IF(AE320 &lt; (INDEX(SLATable[Minimum SLA],MATCH(G320,SLATable[Priority],0))),"YES","NO"),"")</f>
        <v/>
      </c>
      <c r="AJ320" t="str">
        <f>_xlfn.IFNA(IF(AE320 &lt; (INDEX(SLATable[Maximum SLA],MATCH(G320,SLATable[Priority],0))),"YES","NO"),"")</f>
        <v/>
      </c>
    </row>
    <row r="321" spans="26:36" ht="15" customHeight="1">
      <c r="Z321" s="76" t="e">
        <f t="shared" ca="1" si="32"/>
        <v>#N/A</v>
      </c>
      <c r="AA321" s="75" t="e">
        <f t="shared" ca="1" si="33"/>
        <v>#N/A</v>
      </c>
      <c r="AB321" s="76">
        <f t="shared" ca="1" si="34"/>
        <v>0</v>
      </c>
      <c r="AC321" s="75">
        <f t="shared" ca="1" si="35"/>
        <v>0</v>
      </c>
      <c r="AD321" s="76">
        <f t="shared" ca="1" si="36"/>
        <v>12388.425643402781</v>
      </c>
      <c r="AE321" s="76">
        <f t="shared" si="37"/>
        <v>0</v>
      </c>
      <c r="AF321" s="75">
        <f t="shared" si="38"/>
        <v>0</v>
      </c>
      <c r="AG321" s="76">
        <f t="shared" ref="AG321:AG384" si="39">AF321</f>
        <v>0</v>
      </c>
      <c r="AH321" s="31" t="e" cm="1">
        <f t="array" aca="1" ref="AH321" ca="1">IF((AD321) &lt; (INDEX(ResponseSLA[#All],(MATCH((G321),ResponseSLA[Priority],0))+1,3)),"YES","No")</f>
        <v>#N/A</v>
      </c>
      <c r="AI321" s="31" t="str">
        <f>_xlfn.IFNA(IF(AE321 &lt; (INDEX(SLATable[Minimum SLA],MATCH(G321,SLATable[Priority],0))),"YES","NO"),"")</f>
        <v/>
      </c>
      <c r="AJ321" t="str">
        <f>_xlfn.IFNA(IF(AE321 &lt; (INDEX(SLATable[Maximum SLA],MATCH(G321,SLATable[Priority],0))),"YES","NO"),"")</f>
        <v/>
      </c>
    </row>
    <row r="322" spans="26:36" ht="15" customHeight="1">
      <c r="Z322" s="76" t="e">
        <f t="shared" ca="1" si="32"/>
        <v>#N/A</v>
      </c>
      <c r="AA322" s="75" t="e">
        <f t="shared" ca="1" si="33"/>
        <v>#N/A</v>
      </c>
      <c r="AB322" s="76">
        <f t="shared" ca="1" si="34"/>
        <v>0</v>
      </c>
      <c r="AC322" s="75">
        <f t="shared" ca="1" si="35"/>
        <v>0</v>
      </c>
      <c r="AD322" s="76">
        <f t="shared" ca="1" si="36"/>
        <v>12388.425643402781</v>
      </c>
      <c r="AE322" s="76">
        <f t="shared" si="37"/>
        <v>0</v>
      </c>
      <c r="AF322" s="75">
        <f t="shared" si="38"/>
        <v>0</v>
      </c>
      <c r="AG322" s="76">
        <f t="shared" si="39"/>
        <v>0</v>
      </c>
      <c r="AH322" s="31" t="e" cm="1">
        <f t="array" aca="1" ref="AH322" ca="1">IF((AD322) &lt; (INDEX(ResponseSLA[#All],(MATCH((G322),ResponseSLA[Priority],0))+1,3)),"YES","No")</f>
        <v>#N/A</v>
      </c>
      <c r="AI322" s="31" t="str">
        <f>_xlfn.IFNA(IF(AE322 &lt; (INDEX(SLATable[Minimum SLA],MATCH(G322,SLATable[Priority],0))),"YES","NO"),"")</f>
        <v/>
      </c>
      <c r="AJ322" t="str">
        <f>_xlfn.IFNA(IF(AE322 &lt; (INDEX(SLATable[Maximum SLA],MATCH(G322,SLATable[Priority],0))),"YES","NO"),"")</f>
        <v/>
      </c>
    </row>
    <row r="323" spans="26:36" ht="15" customHeight="1">
      <c r="Z323" s="76" t="e">
        <f t="shared" ref="Z323:Z386" ca="1" si="40">IF(NOT(OR(G323=1,G323=2)),MAX(0,_xlfn.IFS(AND(K323&lt;&gt;"",N323&lt;&gt;""),((MAX(NETWORKDAYS(K323,N323,UKBankHolidays)-1,0))*(TIME(17,0,0)-TIME(8,0,0))+IF(NETWORKDAYS(N323,N323,UKBankHolidays)&gt;0,MEDIAN(TIME(8,0,0),MOD(N323,1),TIME(17,0,0)),TIME(8,0,0))-IF(NETWORKDAYS(K323,K323,UKBankHolidays)&gt;0,MEDIAN(TIME(8,0,0),MOD(K323,1),TIME(17,0,0)),TIME(8,0,0)))-IF(AND(O323&lt;&gt;"",P323&lt;&gt;""),((MAX(NETWORKDAYS(O323,P323,UKBankHolidays)-1,0))*(TIME(17,0,0)-TIME(8,0,0))+IF(NETWORKDAYS(P323,P323,UKBankHolidays)&gt;0,MEDIAN(TIME(8,0,0),MOD(P323,1),TIME(17,0,0)),TIME(8,0,0))-IF(NETWORKDAYS(O323,O323,UKBankHolidays)&gt;0,MEDIAN(TIME(8,0,0),MOD(O323,1),TIME(17,0,0)),TIME(8,0,0))),0),AND(K323&lt;&gt;"",N323=""),((MAX(NETWORKDAYS(K323,NOW(),UKBankHolidays)-1,0))*(TIME(17,0,0)-TIME(8,0,0))+IF(NETWORKDAYS(NOW(),NOW(),UKBankHolidays)&gt;0,MEDIAN(TIME(8,0,0),MOD(NOW(),1),TIME(17,0,0)),TIME(8,0,0))-IF(NETWORKDAYS(K323,K323,UKBankHolidays)&gt;0,MEDIAN(TIME(8,0,0),MOD(K323,1),TIME(17,0,0)),TIME(8,0,0))))),IF(N323="",NOW()-K323,N323-K323))</f>
        <v>#N/A</v>
      </c>
      <c r="AA323" s="75" t="e">
        <f t="shared" ref="AA323:AA386" ca="1" si="41">(Z323*24)/9</f>
        <v>#N/A</v>
      </c>
      <c r="AB323" s="76">
        <f t="shared" ref="AB323:AB386" ca="1" si="42">IF(NOT(OR(G323=1,G323=2)),MAX(0,_xlfn.IFS(AND(K323&lt;&gt;"",N323&lt;&gt;""),(((MAX(NETWORKDAYS(L323,N323,UKBankHolidays)-1,0))*(TIME(17,0,0)-TIME(8,0,0)))+IF(NETWORKDAYS(N323,N323,UKBankHolidays)&gt;0,MEDIAN(TIME(8,0,0),MOD(N323,1),TIME(17,0,0)),TIME(8,0,0))-IF(NETWORKDAYS(L323,L323,UKBankHolidays)&gt;0,MEDIAN(TIME(8,0,0),MOD(L323,1),TIME(17,0,0)),TIME(8,0,0)))-IF(AND(O323&lt;&gt;"",P323&lt;&gt;""),(((MAX(NETWORKDAYS(O323,P323,UKBankHolidays)-1,0))*(TIME(17,0,0)-TIME(8,0,0)))+IF(NETWORKDAYS(P323,P323,UKBankHolidays)&gt;0,MEDIAN(TIME(8,0,0),MOD(P323,1),TIME(17,0,0)),TIME(8,0,0))-IF(NETWORKDAYS(O323,O323,UKBankHolidays)&gt;0,MEDIAN(TIME(8,0,0),MOD(O323,1),TIME(17,0,0)),TIME(8,0,0))),0),AND(L323&lt;&gt;"",N323="",O323=""),(((MAX(NETWORKDAYS(L323,NOW(),UKBankHolidays)-1,0))*(TIME(17,0,0)-TIME(8,0,0)))+IF(NETWORKDAYS(NOW(),NOW(),UKBankHolidays)&gt;0,MEDIAN(TIME(8,0,0),MOD(NOW(),1),TIME(17,0,0)),TIME(8,0,0))-IF(NETWORKDAYS(L323,L323,UKBankHolidays)&gt;0,MEDIAN(TIME(8,0,0),MOD(L323,1),TIME(17,0,0)),TIME(8,0,0)))-IF(AND(O323&lt;&gt;"",P323&lt;&gt;""),(((MAX(NETWORKDAYS(O323,P323,UKBankHolidays)-1,0))*(TIME(17,0,0)-TIME(8,0,0)))+IF(NETWORKDAYS(P323,P323,UKBankHolidays)&gt;0,MEDIAN(TIME(8,0,0),MOD(P323,1),TIME(17,0,0)),TIME(8,0,0))-IF(NETWORKDAYS(O323,O323,UKBankHolidays)&gt;0,MEDIAN(TIME(8,0,0),MOD(O323,1),TIME(17,0,0)),TIME(8,0,0))),0),AND(L323&lt;&gt;"",N323="",P323="",O323&lt;&gt;""),(((MAX(NETWORKDAYS(L323,O323,UKBankHolidays)-1,0))*(TIME(17,0,0)-TIME(8,0,0)))+IF(NETWORKDAYS(O323,O323,UKBankHolidays)&gt;0,MEDIAN(TIME(8,0,0),MOD(O323,1),TIME(17,0,0)),TIME(8,0,0))-IF(NETWORKDAYS(L323,L323,UKBankHolidays)&gt;0,MEDIAN(TIME(8,0,0),MOD(L323,1),TIME(17,0,0)),TIME(8,0,0))),ISBLANK(K323),"0")),IF(ISBLANK(N323),NOW()-L323,N323-L323))</f>
        <v>0</v>
      </c>
      <c r="AC323" s="75">
        <f t="shared" ref="AC323:AC386" ca="1" si="43">(AB323*24)/9</f>
        <v>0</v>
      </c>
      <c r="AD323" s="76">
        <f t="shared" ref="AD323:AD386" ca="1" si="44">MAX(0,IF(NOT(OR(G323=1,G323=2)),IF(M323&lt;&gt;"",((MAX(NETWORKDAYS(L323,M323,UKBankHolidays)-1,0))*(TIME(17,0,0)-TIME(8,0,0))+IF(NETWORKDAYS(M323,M323,UKBankHolidays)&gt;0,MEDIAN(TIME(8,0,0),MOD(M323,1),TIME(17,0,0)),TIME(8,0,0))-MEDIAN(TIME(8,0,0),MOD(L323,1),TIME(17,0,0))),((MAX(NETWORKDAYS(L323,NOW(),UKBankHolidays)-1,0))*(TIME(17,0,0)-TIME(8,0,0))+IF(NETWORKDAYS(NOW(),NOW(),UKBankHolidays)&gt;0,MEDIAN(TIME(8,0,0),MOD(NOW(),1),TIME(17,0,0)),TIME(8,0,0))-MEDIAN(TIME(8,0,0),MOD(L323,1),TIME(17,0,0)))),IF(M323&lt;&gt;"",M323-L323,NOW()-L323)))</f>
        <v>12388.425643402781</v>
      </c>
      <c r="AE323" s="76">
        <f t="shared" ref="AE323:AE386" si="45">SUMIFS(AB:AB,E:E,E323)</f>
        <v>0</v>
      </c>
      <c r="AF323" s="75">
        <f t="shared" ref="AF323:AF386" si="46">(AE323*24)/9</f>
        <v>0</v>
      </c>
      <c r="AG323" s="76">
        <f t="shared" si="39"/>
        <v>0</v>
      </c>
      <c r="AH323" s="31" t="e" cm="1">
        <f t="array" aca="1" ref="AH323" ca="1">IF((AD323) &lt; (INDEX(ResponseSLA[#All],(MATCH((G323),ResponseSLA[Priority],0))+1,3)),"YES","No")</f>
        <v>#N/A</v>
      </c>
      <c r="AI323" s="31" t="str">
        <f>_xlfn.IFNA(IF(AE323 &lt; (INDEX(SLATable[Minimum SLA],MATCH(G323,SLATable[Priority],0))),"YES","NO"),"")</f>
        <v/>
      </c>
      <c r="AJ323" t="str">
        <f>_xlfn.IFNA(IF(AE323 &lt; (INDEX(SLATable[Maximum SLA],MATCH(G323,SLATable[Priority],0))),"YES","NO"),"")</f>
        <v/>
      </c>
    </row>
    <row r="324" spans="26:36" ht="15" customHeight="1">
      <c r="Z324" s="76" t="e">
        <f t="shared" ca="1" si="40"/>
        <v>#N/A</v>
      </c>
      <c r="AA324" s="75" t="e">
        <f t="shared" ca="1" si="41"/>
        <v>#N/A</v>
      </c>
      <c r="AB324" s="76">
        <f t="shared" ca="1" si="42"/>
        <v>0</v>
      </c>
      <c r="AC324" s="75">
        <f t="shared" ca="1" si="43"/>
        <v>0</v>
      </c>
      <c r="AD324" s="76">
        <f t="shared" ca="1" si="44"/>
        <v>12388.425643402781</v>
      </c>
      <c r="AE324" s="76">
        <f t="shared" si="45"/>
        <v>0</v>
      </c>
      <c r="AF324" s="75">
        <f t="shared" si="46"/>
        <v>0</v>
      </c>
      <c r="AG324" s="76">
        <f t="shared" si="39"/>
        <v>0</v>
      </c>
      <c r="AH324" s="31" t="e" cm="1">
        <f t="array" aca="1" ref="AH324" ca="1">IF((AD324) &lt; (INDEX(ResponseSLA[#All],(MATCH((G324),ResponseSLA[Priority],0))+1,3)),"YES","No")</f>
        <v>#N/A</v>
      </c>
      <c r="AI324" s="31" t="str">
        <f>_xlfn.IFNA(IF(AE324 &lt; (INDEX(SLATable[Minimum SLA],MATCH(G324,SLATable[Priority],0))),"YES","NO"),"")</f>
        <v/>
      </c>
      <c r="AJ324" t="str">
        <f>_xlfn.IFNA(IF(AE324 &lt; (INDEX(SLATable[Maximum SLA],MATCH(G324,SLATable[Priority],0))),"YES","NO"),"")</f>
        <v/>
      </c>
    </row>
    <row r="325" spans="26:36" ht="15" customHeight="1">
      <c r="Z325" s="76" t="e">
        <f t="shared" ca="1" si="40"/>
        <v>#N/A</v>
      </c>
      <c r="AA325" s="75" t="e">
        <f t="shared" ca="1" si="41"/>
        <v>#N/A</v>
      </c>
      <c r="AB325" s="76">
        <f t="shared" ca="1" si="42"/>
        <v>0</v>
      </c>
      <c r="AC325" s="75">
        <f t="shared" ca="1" si="43"/>
        <v>0</v>
      </c>
      <c r="AD325" s="76">
        <f t="shared" ca="1" si="44"/>
        <v>12388.425643402781</v>
      </c>
      <c r="AE325" s="76">
        <f t="shared" si="45"/>
        <v>0</v>
      </c>
      <c r="AF325" s="75">
        <f t="shared" si="46"/>
        <v>0</v>
      </c>
      <c r="AG325" s="76">
        <f t="shared" si="39"/>
        <v>0</v>
      </c>
      <c r="AH325" s="31" t="e" cm="1">
        <f t="array" aca="1" ref="AH325" ca="1">IF((AD325) &lt; (INDEX(ResponseSLA[#All],(MATCH((G325),ResponseSLA[Priority],0))+1,3)),"YES","No")</f>
        <v>#N/A</v>
      </c>
      <c r="AI325" s="31" t="str">
        <f>_xlfn.IFNA(IF(AE325 &lt; (INDEX(SLATable[Minimum SLA],MATCH(G325,SLATable[Priority],0))),"YES","NO"),"")</f>
        <v/>
      </c>
      <c r="AJ325" t="str">
        <f>_xlfn.IFNA(IF(AE325 &lt; (INDEX(SLATable[Maximum SLA],MATCH(G325,SLATable[Priority],0))),"YES","NO"),"")</f>
        <v/>
      </c>
    </row>
    <row r="326" spans="26:36" ht="15" customHeight="1">
      <c r="Z326" s="76" t="e">
        <f t="shared" ca="1" si="40"/>
        <v>#N/A</v>
      </c>
      <c r="AA326" s="75" t="e">
        <f t="shared" ca="1" si="41"/>
        <v>#N/A</v>
      </c>
      <c r="AB326" s="76">
        <f t="shared" ca="1" si="42"/>
        <v>0</v>
      </c>
      <c r="AC326" s="75">
        <f t="shared" ca="1" si="43"/>
        <v>0</v>
      </c>
      <c r="AD326" s="76">
        <f t="shared" ca="1" si="44"/>
        <v>12388.425643402781</v>
      </c>
      <c r="AE326" s="76">
        <f t="shared" si="45"/>
        <v>0</v>
      </c>
      <c r="AF326" s="75">
        <f t="shared" si="46"/>
        <v>0</v>
      </c>
      <c r="AG326" s="76">
        <f t="shared" si="39"/>
        <v>0</v>
      </c>
      <c r="AH326" s="31" t="e" cm="1">
        <f t="array" aca="1" ref="AH326" ca="1">IF((AD326) &lt; (INDEX(ResponseSLA[#All],(MATCH((G326),ResponseSLA[Priority],0))+1,3)),"YES","No")</f>
        <v>#N/A</v>
      </c>
      <c r="AI326" s="31" t="str">
        <f>_xlfn.IFNA(IF(AE326 &lt; (INDEX(SLATable[Minimum SLA],MATCH(G326,SLATable[Priority],0))),"YES","NO"),"")</f>
        <v/>
      </c>
      <c r="AJ326" t="str">
        <f>_xlfn.IFNA(IF(AE326 &lt; (INDEX(SLATable[Maximum SLA],MATCH(G326,SLATable[Priority],0))),"YES","NO"),"")</f>
        <v/>
      </c>
    </row>
    <row r="327" spans="26:36" ht="15" customHeight="1">
      <c r="Z327" s="76" t="e">
        <f t="shared" ca="1" si="40"/>
        <v>#N/A</v>
      </c>
      <c r="AA327" s="75" t="e">
        <f t="shared" ca="1" si="41"/>
        <v>#N/A</v>
      </c>
      <c r="AB327" s="76">
        <f t="shared" ca="1" si="42"/>
        <v>0</v>
      </c>
      <c r="AC327" s="75">
        <f t="shared" ca="1" si="43"/>
        <v>0</v>
      </c>
      <c r="AD327" s="76">
        <f t="shared" ca="1" si="44"/>
        <v>12388.425643402781</v>
      </c>
      <c r="AE327" s="76">
        <f t="shared" si="45"/>
        <v>0</v>
      </c>
      <c r="AF327" s="75">
        <f t="shared" si="46"/>
        <v>0</v>
      </c>
      <c r="AG327" s="76">
        <f t="shared" si="39"/>
        <v>0</v>
      </c>
      <c r="AH327" s="31" t="e" cm="1">
        <f t="array" aca="1" ref="AH327" ca="1">IF((AD327) &lt; (INDEX(ResponseSLA[#All],(MATCH((G327),ResponseSLA[Priority],0))+1,3)),"YES","No")</f>
        <v>#N/A</v>
      </c>
      <c r="AI327" s="31" t="str">
        <f>_xlfn.IFNA(IF(AE327 &lt; (INDEX(SLATable[Minimum SLA],MATCH(G327,SLATable[Priority],0))),"YES","NO"),"")</f>
        <v/>
      </c>
      <c r="AJ327" t="str">
        <f>_xlfn.IFNA(IF(AE327 &lt; (INDEX(SLATable[Maximum SLA],MATCH(G327,SLATable[Priority],0))),"YES","NO"),"")</f>
        <v/>
      </c>
    </row>
    <row r="328" spans="26:36" ht="15" customHeight="1">
      <c r="Z328" s="76" t="e">
        <f t="shared" ca="1" si="40"/>
        <v>#N/A</v>
      </c>
      <c r="AA328" s="75" t="e">
        <f t="shared" ca="1" si="41"/>
        <v>#N/A</v>
      </c>
      <c r="AB328" s="76">
        <f t="shared" ca="1" si="42"/>
        <v>0</v>
      </c>
      <c r="AC328" s="75">
        <f t="shared" ca="1" si="43"/>
        <v>0</v>
      </c>
      <c r="AD328" s="76">
        <f t="shared" ca="1" si="44"/>
        <v>12388.425643402781</v>
      </c>
      <c r="AE328" s="76">
        <f t="shared" si="45"/>
        <v>0</v>
      </c>
      <c r="AF328" s="75">
        <f t="shared" si="46"/>
        <v>0</v>
      </c>
      <c r="AG328" s="76">
        <f t="shared" si="39"/>
        <v>0</v>
      </c>
      <c r="AH328" s="31" t="e" cm="1">
        <f t="array" aca="1" ref="AH328" ca="1">IF((AD328) &lt; (INDEX(ResponseSLA[#All],(MATCH((G328),ResponseSLA[Priority],0))+1,3)),"YES","No")</f>
        <v>#N/A</v>
      </c>
      <c r="AI328" s="31" t="str">
        <f>_xlfn.IFNA(IF(AE328 &lt; (INDEX(SLATable[Minimum SLA],MATCH(G328,SLATable[Priority],0))),"YES","NO"),"")</f>
        <v/>
      </c>
      <c r="AJ328" t="str">
        <f>_xlfn.IFNA(IF(AE328 &lt; (INDEX(SLATable[Maximum SLA],MATCH(G328,SLATable[Priority],0))),"YES","NO"),"")</f>
        <v/>
      </c>
    </row>
    <row r="329" spans="26:36" ht="15" customHeight="1">
      <c r="Z329" s="76" t="e">
        <f t="shared" ca="1" si="40"/>
        <v>#N/A</v>
      </c>
      <c r="AA329" s="75" t="e">
        <f t="shared" ca="1" si="41"/>
        <v>#N/A</v>
      </c>
      <c r="AB329" s="76">
        <f t="shared" ca="1" si="42"/>
        <v>0</v>
      </c>
      <c r="AC329" s="75">
        <f t="shared" ca="1" si="43"/>
        <v>0</v>
      </c>
      <c r="AD329" s="76">
        <f t="shared" ca="1" si="44"/>
        <v>12388.425643402781</v>
      </c>
      <c r="AE329" s="76">
        <f t="shared" si="45"/>
        <v>0</v>
      </c>
      <c r="AF329" s="75">
        <f t="shared" si="46"/>
        <v>0</v>
      </c>
      <c r="AG329" s="76">
        <f t="shared" si="39"/>
        <v>0</v>
      </c>
      <c r="AH329" s="31" t="e" cm="1">
        <f t="array" aca="1" ref="AH329" ca="1">IF((AD329) &lt; (INDEX(ResponseSLA[#All],(MATCH((G329),ResponseSLA[Priority],0))+1,3)),"YES","No")</f>
        <v>#N/A</v>
      </c>
      <c r="AI329" s="31" t="str">
        <f>_xlfn.IFNA(IF(AE329 &lt; (INDEX(SLATable[Minimum SLA],MATCH(G329,SLATable[Priority],0))),"YES","NO"),"")</f>
        <v/>
      </c>
      <c r="AJ329" t="str">
        <f>_xlfn.IFNA(IF(AE329 &lt; (INDEX(SLATable[Maximum SLA],MATCH(G329,SLATable[Priority],0))),"YES","NO"),"")</f>
        <v/>
      </c>
    </row>
    <row r="330" spans="26:36" ht="15" customHeight="1">
      <c r="Z330" s="76" t="e">
        <f t="shared" ca="1" si="40"/>
        <v>#N/A</v>
      </c>
      <c r="AA330" s="75" t="e">
        <f t="shared" ca="1" si="41"/>
        <v>#N/A</v>
      </c>
      <c r="AB330" s="76">
        <f t="shared" ca="1" si="42"/>
        <v>0</v>
      </c>
      <c r="AC330" s="75">
        <f t="shared" ca="1" si="43"/>
        <v>0</v>
      </c>
      <c r="AD330" s="76">
        <f t="shared" ca="1" si="44"/>
        <v>12388.425643402781</v>
      </c>
      <c r="AE330" s="76">
        <f t="shared" si="45"/>
        <v>0</v>
      </c>
      <c r="AF330" s="75">
        <f t="shared" si="46"/>
        <v>0</v>
      </c>
      <c r="AG330" s="76">
        <f t="shared" si="39"/>
        <v>0</v>
      </c>
      <c r="AH330" s="31" t="e" cm="1">
        <f t="array" aca="1" ref="AH330" ca="1">IF((AD330) &lt; (INDEX(ResponseSLA[#All],(MATCH((G330),ResponseSLA[Priority],0))+1,3)),"YES","No")</f>
        <v>#N/A</v>
      </c>
      <c r="AI330" s="31" t="str">
        <f>_xlfn.IFNA(IF(AE330 &lt; (INDEX(SLATable[Minimum SLA],MATCH(G330,SLATable[Priority],0))),"YES","NO"),"")</f>
        <v/>
      </c>
      <c r="AJ330" t="str">
        <f>_xlfn.IFNA(IF(AE330 &lt; (INDEX(SLATable[Maximum SLA],MATCH(G330,SLATable[Priority],0))),"YES","NO"),"")</f>
        <v/>
      </c>
    </row>
    <row r="331" spans="26:36" ht="15" customHeight="1">
      <c r="Z331" s="76" t="e">
        <f t="shared" ca="1" si="40"/>
        <v>#N/A</v>
      </c>
      <c r="AA331" s="75" t="e">
        <f t="shared" ca="1" si="41"/>
        <v>#N/A</v>
      </c>
      <c r="AB331" s="76">
        <f t="shared" ca="1" si="42"/>
        <v>0</v>
      </c>
      <c r="AC331" s="75">
        <f t="shared" ca="1" si="43"/>
        <v>0</v>
      </c>
      <c r="AD331" s="76">
        <f t="shared" ca="1" si="44"/>
        <v>12388.425643402781</v>
      </c>
      <c r="AE331" s="76">
        <f t="shared" si="45"/>
        <v>0</v>
      </c>
      <c r="AF331" s="75">
        <f t="shared" si="46"/>
        <v>0</v>
      </c>
      <c r="AG331" s="76">
        <f t="shared" si="39"/>
        <v>0</v>
      </c>
      <c r="AH331" s="31" t="e" cm="1">
        <f t="array" aca="1" ref="AH331" ca="1">IF((AD331) &lt; (INDEX(ResponseSLA[#All],(MATCH((G331),ResponseSLA[Priority],0))+1,3)),"YES","No")</f>
        <v>#N/A</v>
      </c>
      <c r="AI331" s="31" t="str">
        <f>_xlfn.IFNA(IF(AE331 &lt; (INDEX(SLATable[Minimum SLA],MATCH(G331,SLATable[Priority],0))),"YES","NO"),"")</f>
        <v/>
      </c>
      <c r="AJ331" t="str">
        <f>_xlfn.IFNA(IF(AE331 &lt; (INDEX(SLATable[Maximum SLA],MATCH(G331,SLATable[Priority],0))),"YES","NO"),"")</f>
        <v/>
      </c>
    </row>
    <row r="332" spans="26:36" ht="15" customHeight="1">
      <c r="Z332" s="76" t="e">
        <f t="shared" ca="1" si="40"/>
        <v>#N/A</v>
      </c>
      <c r="AA332" s="75" t="e">
        <f t="shared" ca="1" si="41"/>
        <v>#N/A</v>
      </c>
      <c r="AB332" s="76">
        <f t="shared" ca="1" si="42"/>
        <v>0</v>
      </c>
      <c r="AC332" s="75">
        <f t="shared" ca="1" si="43"/>
        <v>0</v>
      </c>
      <c r="AD332" s="76">
        <f t="shared" ca="1" si="44"/>
        <v>12388.425643402781</v>
      </c>
      <c r="AE332" s="76">
        <f t="shared" si="45"/>
        <v>0</v>
      </c>
      <c r="AF332" s="75">
        <f t="shared" si="46"/>
        <v>0</v>
      </c>
      <c r="AG332" s="76">
        <f t="shared" si="39"/>
        <v>0</v>
      </c>
      <c r="AH332" s="31" t="e" cm="1">
        <f t="array" aca="1" ref="AH332" ca="1">IF((AD332) &lt; (INDEX(ResponseSLA[#All],(MATCH((G332),ResponseSLA[Priority],0))+1,3)),"YES","No")</f>
        <v>#N/A</v>
      </c>
      <c r="AI332" s="31" t="str">
        <f>_xlfn.IFNA(IF(AE332 &lt; (INDEX(SLATable[Minimum SLA],MATCH(G332,SLATable[Priority],0))),"YES","NO"),"")</f>
        <v/>
      </c>
      <c r="AJ332" t="str">
        <f>_xlfn.IFNA(IF(AE332 &lt; (INDEX(SLATable[Maximum SLA],MATCH(G332,SLATable[Priority],0))),"YES","NO"),"")</f>
        <v/>
      </c>
    </row>
    <row r="333" spans="26:36" ht="15" customHeight="1">
      <c r="Z333" s="76" t="e">
        <f t="shared" ca="1" si="40"/>
        <v>#N/A</v>
      </c>
      <c r="AA333" s="75" t="e">
        <f t="shared" ca="1" si="41"/>
        <v>#N/A</v>
      </c>
      <c r="AB333" s="76">
        <f t="shared" ca="1" si="42"/>
        <v>0</v>
      </c>
      <c r="AC333" s="75">
        <f t="shared" ca="1" si="43"/>
        <v>0</v>
      </c>
      <c r="AD333" s="76">
        <f t="shared" ca="1" si="44"/>
        <v>12388.425643402781</v>
      </c>
      <c r="AE333" s="76">
        <f t="shared" si="45"/>
        <v>0</v>
      </c>
      <c r="AF333" s="75">
        <f t="shared" si="46"/>
        <v>0</v>
      </c>
      <c r="AG333" s="76">
        <f t="shared" si="39"/>
        <v>0</v>
      </c>
      <c r="AH333" s="31" t="e" cm="1">
        <f t="array" aca="1" ref="AH333" ca="1">IF((AD333) &lt; (INDEX(ResponseSLA[#All],(MATCH((G333),ResponseSLA[Priority],0))+1,3)),"YES","No")</f>
        <v>#N/A</v>
      </c>
      <c r="AI333" s="31" t="str">
        <f>_xlfn.IFNA(IF(AE333 &lt; (INDEX(SLATable[Minimum SLA],MATCH(G333,SLATable[Priority],0))),"YES","NO"),"")</f>
        <v/>
      </c>
      <c r="AJ333" t="str">
        <f>_xlfn.IFNA(IF(AE333 &lt; (INDEX(SLATable[Maximum SLA],MATCH(G333,SLATable[Priority],0))),"YES","NO"),"")</f>
        <v/>
      </c>
    </row>
    <row r="334" spans="26:36" ht="15" customHeight="1">
      <c r="Z334" s="76" t="e">
        <f t="shared" ca="1" si="40"/>
        <v>#N/A</v>
      </c>
      <c r="AA334" s="75" t="e">
        <f t="shared" ca="1" si="41"/>
        <v>#N/A</v>
      </c>
      <c r="AB334" s="76">
        <f t="shared" ca="1" si="42"/>
        <v>0</v>
      </c>
      <c r="AC334" s="75">
        <f t="shared" ca="1" si="43"/>
        <v>0</v>
      </c>
      <c r="AD334" s="76">
        <f t="shared" ca="1" si="44"/>
        <v>12388.425643402781</v>
      </c>
      <c r="AE334" s="76">
        <f t="shared" si="45"/>
        <v>0</v>
      </c>
      <c r="AF334" s="75">
        <f t="shared" si="46"/>
        <v>0</v>
      </c>
      <c r="AG334" s="76">
        <f t="shared" si="39"/>
        <v>0</v>
      </c>
      <c r="AH334" s="31" t="e" cm="1">
        <f t="array" aca="1" ref="AH334" ca="1">IF((AD334) &lt; (INDEX(ResponseSLA[#All],(MATCH((G334),ResponseSLA[Priority],0))+1,3)),"YES","No")</f>
        <v>#N/A</v>
      </c>
      <c r="AI334" s="31" t="str">
        <f>_xlfn.IFNA(IF(AE334 &lt; (INDEX(SLATable[Minimum SLA],MATCH(G334,SLATable[Priority],0))),"YES","NO"),"")</f>
        <v/>
      </c>
      <c r="AJ334" t="str">
        <f>_xlfn.IFNA(IF(AE334 &lt; (INDEX(SLATable[Maximum SLA],MATCH(G334,SLATable[Priority],0))),"YES","NO"),"")</f>
        <v/>
      </c>
    </row>
    <row r="335" spans="26:36" ht="15" customHeight="1">
      <c r="Z335" s="76" t="e">
        <f t="shared" ca="1" si="40"/>
        <v>#N/A</v>
      </c>
      <c r="AA335" s="75" t="e">
        <f t="shared" ca="1" si="41"/>
        <v>#N/A</v>
      </c>
      <c r="AB335" s="76">
        <f t="shared" ca="1" si="42"/>
        <v>0</v>
      </c>
      <c r="AC335" s="75">
        <f t="shared" ca="1" si="43"/>
        <v>0</v>
      </c>
      <c r="AD335" s="76">
        <f t="shared" ca="1" si="44"/>
        <v>12388.425643402781</v>
      </c>
      <c r="AE335" s="76">
        <f t="shared" si="45"/>
        <v>0</v>
      </c>
      <c r="AF335" s="75">
        <f t="shared" si="46"/>
        <v>0</v>
      </c>
      <c r="AG335" s="76">
        <f t="shared" si="39"/>
        <v>0</v>
      </c>
      <c r="AH335" s="31" t="e" cm="1">
        <f t="array" aca="1" ref="AH335" ca="1">IF((AD335) &lt; (INDEX(ResponseSLA[#All],(MATCH((G335),ResponseSLA[Priority],0))+1,3)),"YES","No")</f>
        <v>#N/A</v>
      </c>
      <c r="AI335" s="31" t="str">
        <f>_xlfn.IFNA(IF(AE335 &lt; (INDEX(SLATable[Minimum SLA],MATCH(G335,SLATable[Priority],0))),"YES","NO"),"")</f>
        <v/>
      </c>
      <c r="AJ335" t="str">
        <f>_xlfn.IFNA(IF(AE335 &lt; (INDEX(SLATable[Maximum SLA],MATCH(G335,SLATable[Priority],0))),"YES","NO"),"")</f>
        <v/>
      </c>
    </row>
    <row r="336" spans="26:36" ht="15" customHeight="1">
      <c r="Z336" s="76" t="e">
        <f t="shared" ca="1" si="40"/>
        <v>#N/A</v>
      </c>
      <c r="AA336" s="75" t="e">
        <f t="shared" ca="1" si="41"/>
        <v>#N/A</v>
      </c>
      <c r="AB336" s="76">
        <f t="shared" ca="1" si="42"/>
        <v>0</v>
      </c>
      <c r="AC336" s="75">
        <f t="shared" ca="1" si="43"/>
        <v>0</v>
      </c>
      <c r="AD336" s="76">
        <f t="shared" ca="1" si="44"/>
        <v>12388.425643402781</v>
      </c>
      <c r="AE336" s="76">
        <f t="shared" si="45"/>
        <v>0</v>
      </c>
      <c r="AF336" s="75">
        <f t="shared" si="46"/>
        <v>0</v>
      </c>
      <c r="AG336" s="76">
        <f t="shared" si="39"/>
        <v>0</v>
      </c>
      <c r="AH336" s="31" t="e" cm="1">
        <f t="array" aca="1" ref="AH336" ca="1">IF((AD336) &lt; (INDEX(ResponseSLA[#All],(MATCH((G336),ResponseSLA[Priority],0))+1,3)),"YES","No")</f>
        <v>#N/A</v>
      </c>
      <c r="AI336" s="31" t="str">
        <f>_xlfn.IFNA(IF(AE336 &lt; (INDEX(SLATable[Minimum SLA],MATCH(G336,SLATable[Priority],0))),"YES","NO"),"")</f>
        <v/>
      </c>
      <c r="AJ336" t="str">
        <f>_xlfn.IFNA(IF(AE336 &lt; (INDEX(SLATable[Maximum SLA],MATCH(G336,SLATable[Priority],0))),"YES","NO"),"")</f>
        <v/>
      </c>
    </row>
    <row r="337" spans="26:36" ht="15" customHeight="1">
      <c r="Z337" s="76" t="e">
        <f t="shared" ca="1" si="40"/>
        <v>#N/A</v>
      </c>
      <c r="AA337" s="75" t="e">
        <f t="shared" ca="1" si="41"/>
        <v>#N/A</v>
      </c>
      <c r="AB337" s="76">
        <f t="shared" ca="1" si="42"/>
        <v>0</v>
      </c>
      <c r="AC337" s="75">
        <f t="shared" ca="1" si="43"/>
        <v>0</v>
      </c>
      <c r="AD337" s="76">
        <f t="shared" ca="1" si="44"/>
        <v>12388.425643402781</v>
      </c>
      <c r="AE337" s="76">
        <f t="shared" si="45"/>
        <v>0</v>
      </c>
      <c r="AF337" s="75">
        <f t="shared" si="46"/>
        <v>0</v>
      </c>
      <c r="AG337" s="76">
        <f t="shared" si="39"/>
        <v>0</v>
      </c>
      <c r="AH337" s="31" t="e" cm="1">
        <f t="array" aca="1" ref="AH337" ca="1">IF((AD337) &lt; (INDEX(ResponseSLA[#All],(MATCH((G337),ResponseSLA[Priority],0))+1,3)),"YES","No")</f>
        <v>#N/A</v>
      </c>
      <c r="AI337" s="31" t="str">
        <f>_xlfn.IFNA(IF(AE337 &lt; (INDEX(SLATable[Minimum SLA],MATCH(G337,SLATable[Priority],0))),"YES","NO"),"")</f>
        <v/>
      </c>
      <c r="AJ337" t="str">
        <f>_xlfn.IFNA(IF(AE337 &lt; (INDEX(SLATable[Maximum SLA],MATCH(G337,SLATable[Priority],0))),"YES","NO"),"")</f>
        <v/>
      </c>
    </row>
    <row r="338" spans="26:36" ht="15" customHeight="1">
      <c r="Z338" s="76" t="e">
        <f t="shared" ca="1" si="40"/>
        <v>#N/A</v>
      </c>
      <c r="AA338" s="75" t="e">
        <f t="shared" ca="1" si="41"/>
        <v>#N/A</v>
      </c>
      <c r="AB338" s="76">
        <f t="shared" ca="1" si="42"/>
        <v>0</v>
      </c>
      <c r="AC338" s="75">
        <f t="shared" ca="1" si="43"/>
        <v>0</v>
      </c>
      <c r="AD338" s="76">
        <f t="shared" ca="1" si="44"/>
        <v>12388.425643402781</v>
      </c>
      <c r="AE338" s="76">
        <f t="shared" si="45"/>
        <v>0</v>
      </c>
      <c r="AF338" s="75">
        <f t="shared" si="46"/>
        <v>0</v>
      </c>
      <c r="AG338" s="76">
        <f t="shared" si="39"/>
        <v>0</v>
      </c>
      <c r="AH338" s="31" t="e" cm="1">
        <f t="array" aca="1" ref="AH338" ca="1">IF((AD338) &lt; (INDEX(ResponseSLA[#All],(MATCH((G338),ResponseSLA[Priority],0))+1,3)),"YES","No")</f>
        <v>#N/A</v>
      </c>
      <c r="AI338" s="31" t="str">
        <f>_xlfn.IFNA(IF(AE338 &lt; (INDEX(SLATable[Minimum SLA],MATCH(G338,SLATable[Priority],0))),"YES","NO"),"")</f>
        <v/>
      </c>
      <c r="AJ338" t="str">
        <f>_xlfn.IFNA(IF(AE338 &lt; (INDEX(SLATable[Maximum SLA],MATCH(G338,SLATable[Priority],0))),"YES","NO"),"")</f>
        <v/>
      </c>
    </row>
    <row r="339" spans="26:36" ht="15" customHeight="1">
      <c r="Z339" s="76" t="e">
        <f t="shared" ca="1" si="40"/>
        <v>#N/A</v>
      </c>
      <c r="AA339" s="75" t="e">
        <f t="shared" ca="1" si="41"/>
        <v>#N/A</v>
      </c>
      <c r="AB339" s="76">
        <f t="shared" ca="1" si="42"/>
        <v>0</v>
      </c>
      <c r="AC339" s="75">
        <f t="shared" ca="1" si="43"/>
        <v>0</v>
      </c>
      <c r="AD339" s="76">
        <f t="shared" ca="1" si="44"/>
        <v>12388.425643402781</v>
      </c>
      <c r="AE339" s="76">
        <f t="shared" si="45"/>
        <v>0</v>
      </c>
      <c r="AF339" s="75">
        <f t="shared" si="46"/>
        <v>0</v>
      </c>
      <c r="AG339" s="76">
        <f t="shared" si="39"/>
        <v>0</v>
      </c>
      <c r="AH339" s="31" t="e" cm="1">
        <f t="array" aca="1" ref="AH339" ca="1">IF((AD339) &lt; (INDEX(ResponseSLA[#All],(MATCH((G339),ResponseSLA[Priority],0))+1,3)),"YES","No")</f>
        <v>#N/A</v>
      </c>
      <c r="AI339" s="31" t="str">
        <f>_xlfn.IFNA(IF(AE339 &lt; (INDEX(SLATable[Minimum SLA],MATCH(G339,SLATable[Priority],0))),"YES","NO"),"")</f>
        <v/>
      </c>
      <c r="AJ339" t="str">
        <f>_xlfn.IFNA(IF(AE339 &lt; (INDEX(SLATable[Maximum SLA],MATCH(G339,SLATable[Priority],0))),"YES","NO"),"")</f>
        <v/>
      </c>
    </row>
    <row r="340" spans="26:36" ht="15" customHeight="1">
      <c r="Z340" s="76" t="e">
        <f t="shared" ca="1" si="40"/>
        <v>#N/A</v>
      </c>
      <c r="AA340" s="75" t="e">
        <f t="shared" ca="1" si="41"/>
        <v>#N/A</v>
      </c>
      <c r="AB340" s="76">
        <f t="shared" ca="1" si="42"/>
        <v>0</v>
      </c>
      <c r="AC340" s="75">
        <f t="shared" ca="1" si="43"/>
        <v>0</v>
      </c>
      <c r="AD340" s="76">
        <f t="shared" ca="1" si="44"/>
        <v>12388.425643402781</v>
      </c>
      <c r="AE340" s="76">
        <f t="shared" si="45"/>
        <v>0</v>
      </c>
      <c r="AF340" s="75">
        <f t="shared" si="46"/>
        <v>0</v>
      </c>
      <c r="AG340" s="76">
        <f t="shared" si="39"/>
        <v>0</v>
      </c>
      <c r="AH340" s="31" t="e" cm="1">
        <f t="array" aca="1" ref="AH340" ca="1">IF((AD340) &lt; (INDEX(ResponseSLA[#All],(MATCH((G340),ResponseSLA[Priority],0))+1,3)),"YES","No")</f>
        <v>#N/A</v>
      </c>
      <c r="AI340" s="31" t="str">
        <f>_xlfn.IFNA(IF(AE340 &lt; (INDEX(SLATable[Minimum SLA],MATCH(G340,SLATable[Priority],0))),"YES","NO"),"")</f>
        <v/>
      </c>
      <c r="AJ340" t="str">
        <f>_xlfn.IFNA(IF(AE340 &lt; (INDEX(SLATable[Maximum SLA],MATCH(G340,SLATable[Priority],0))),"YES","NO"),"")</f>
        <v/>
      </c>
    </row>
    <row r="341" spans="26:36" ht="15" customHeight="1">
      <c r="Z341" s="76" t="e">
        <f t="shared" ca="1" si="40"/>
        <v>#N/A</v>
      </c>
      <c r="AA341" s="75" t="e">
        <f t="shared" ca="1" si="41"/>
        <v>#N/A</v>
      </c>
      <c r="AB341" s="76">
        <f t="shared" ca="1" si="42"/>
        <v>0</v>
      </c>
      <c r="AC341" s="75">
        <f t="shared" ca="1" si="43"/>
        <v>0</v>
      </c>
      <c r="AD341" s="76">
        <f t="shared" ca="1" si="44"/>
        <v>12388.425643402781</v>
      </c>
      <c r="AE341" s="76">
        <f t="shared" si="45"/>
        <v>0</v>
      </c>
      <c r="AF341" s="75">
        <f t="shared" si="46"/>
        <v>0</v>
      </c>
      <c r="AG341" s="76">
        <f t="shared" si="39"/>
        <v>0</v>
      </c>
      <c r="AH341" s="31" t="e" cm="1">
        <f t="array" aca="1" ref="AH341" ca="1">IF((AD341) &lt; (INDEX(ResponseSLA[#All],(MATCH((G341),ResponseSLA[Priority],0))+1,3)),"YES","No")</f>
        <v>#N/A</v>
      </c>
      <c r="AI341" s="31" t="str">
        <f>_xlfn.IFNA(IF(AE341 &lt; (INDEX(SLATable[Minimum SLA],MATCH(G341,SLATable[Priority],0))),"YES","NO"),"")</f>
        <v/>
      </c>
      <c r="AJ341" t="str">
        <f>_xlfn.IFNA(IF(AE341 &lt; (INDEX(SLATable[Maximum SLA],MATCH(G341,SLATable[Priority],0))),"YES","NO"),"")</f>
        <v/>
      </c>
    </row>
    <row r="342" spans="26:36" ht="15" customHeight="1">
      <c r="Z342" s="76" t="e">
        <f t="shared" ca="1" si="40"/>
        <v>#N/A</v>
      </c>
      <c r="AA342" s="75" t="e">
        <f t="shared" ca="1" si="41"/>
        <v>#N/A</v>
      </c>
      <c r="AB342" s="76">
        <f t="shared" ca="1" si="42"/>
        <v>0</v>
      </c>
      <c r="AC342" s="75">
        <f t="shared" ca="1" si="43"/>
        <v>0</v>
      </c>
      <c r="AD342" s="76">
        <f t="shared" ca="1" si="44"/>
        <v>12388.425643402781</v>
      </c>
      <c r="AE342" s="76">
        <f t="shared" si="45"/>
        <v>0</v>
      </c>
      <c r="AF342" s="75">
        <f t="shared" si="46"/>
        <v>0</v>
      </c>
      <c r="AG342" s="76">
        <f t="shared" si="39"/>
        <v>0</v>
      </c>
      <c r="AH342" s="31" t="e" cm="1">
        <f t="array" aca="1" ref="AH342" ca="1">IF((AD342) &lt; (INDEX(ResponseSLA[#All],(MATCH((G342),ResponseSLA[Priority],0))+1,3)),"YES","No")</f>
        <v>#N/A</v>
      </c>
      <c r="AI342" s="31" t="str">
        <f>_xlfn.IFNA(IF(AE342 &lt; (INDEX(SLATable[Minimum SLA],MATCH(G342,SLATable[Priority],0))),"YES","NO"),"")</f>
        <v/>
      </c>
      <c r="AJ342" t="str">
        <f>_xlfn.IFNA(IF(AE342 &lt; (INDEX(SLATable[Maximum SLA],MATCH(G342,SLATable[Priority],0))),"YES","NO"),"")</f>
        <v/>
      </c>
    </row>
    <row r="343" spans="26:36" ht="15" customHeight="1">
      <c r="Z343" s="76" t="e">
        <f t="shared" ca="1" si="40"/>
        <v>#N/A</v>
      </c>
      <c r="AA343" s="75" t="e">
        <f t="shared" ca="1" si="41"/>
        <v>#N/A</v>
      </c>
      <c r="AB343" s="76">
        <f t="shared" ca="1" si="42"/>
        <v>0</v>
      </c>
      <c r="AC343" s="75">
        <f t="shared" ca="1" si="43"/>
        <v>0</v>
      </c>
      <c r="AD343" s="76">
        <f t="shared" ca="1" si="44"/>
        <v>12388.425643402781</v>
      </c>
      <c r="AE343" s="76">
        <f t="shared" si="45"/>
        <v>0</v>
      </c>
      <c r="AF343" s="75">
        <f t="shared" si="46"/>
        <v>0</v>
      </c>
      <c r="AG343" s="76">
        <f t="shared" si="39"/>
        <v>0</v>
      </c>
      <c r="AH343" s="31" t="e" cm="1">
        <f t="array" aca="1" ref="AH343" ca="1">IF((AD343) &lt; (INDEX(ResponseSLA[#All],(MATCH((G343),ResponseSLA[Priority],0))+1,3)),"YES","No")</f>
        <v>#N/A</v>
      </c>
      <c r="AI343" s="31" t="str">
        <f>_xlfn.IFNA(IF(AE343 &lt; (INDEX(SLATable[Minimum SLA],MATCH(G343,SLATable[Priority],0))),"YES","NO"),"")</f>
        <v/>
      </c>
      <c r="AJ343" t="str">
        <f>_xlfn.IFNA(IF(AE343 &lt; (INDEX(SLATable[Maximum SLA],MATCH(G343,SLATable[Priority],0))),"YES","NO"),"")</f>
        <v/>
      </c>
    </row>
    <row r="344" spans="26:36" ht="15" customHeight="1">
      <c r="Z344" s="76" t="e">
        <f t="shared" ca="1" si="40"/>
        <v>#N/A</v>
      </c>
      <c r="AA344" s="75" t="e">
        <f t="shared" ca="1" si="41"/>
        <v>#N/A</v>
      </c>
      <c r="AB344" s="76">
        <f t="shared" ca="1" si="42"/>
        <v>0</v>
      </c>
      <c r="AC344" s="75">
        <f t="shared" ca="1" si="43"/>
        <v>0</v>
      </c>
      <c r="AD344" s="76">
        <f t="shared" ca="1" si="44"/>
        <v>12388.425643402781</v>
      </c>
      <c r="AE344" s="76">
        <f t="shared" si="45"/>
        <v>0</v>
      </c>
      <c r="AF344" s="75">
        <f t="shared" si="46"/>
        <v>0</v>
      </c>
      <c r="AG344" s="76">
        <f t="shared" si="39"/>
        <v>0</v>
      </c>
      <c r="AH344" s="31" t="e" cm="1">
        <f t="array" aca="1" ref="AH344" ca="1">IF((AD344) &lt; (INDEX(ResponseSLA[#All],(MATCH((G344),ResponseSLA[Priority],0))+1,3)),"YES","No")</f>
        <v>#N/A</v>
      </c>
      <c r="AI344" s="31" t="str">
        <f>_xlfn.IFNA(IF(AE344 &lt; (INDEX(SLATable[Minimum SLA],MATCH(G344,SLATable[Priority],0))),"YES","NO"),"")</f>
        <v/>
      </c>
      <c r="AJ344" t="str">
        <f>_xlfn.IFNA(IF(AE344 &lt; (INDEX(SLATable[Maximum SLA],MATCH(G344,SLATable[Priority],0))),"YES","NO"),"")</f>
        <v/>
      </c>
    </row>
    <row r="345" spans="26:36" ht="15" customHeight="1">
      <c r="Z345" s="76" t="e">
        <f t="shared" ca="1" si="40"/>
        <v>#N/A</v>
      </c>
      <c r="AA345" s="75" t="e">
        <f t="shared" ca="1" si="41"/>
        <v>#N/A</v>
      </c>
      <c r="AB345" s="76">
        <f t="shared" ca="1" si="42"/>
        <v>0</v>
      </c>
      <c r="AC345" s="75">
        <f t="shared" ca="1" si="43"/>
        <v>0</v>
      </c>
      <c r="AD345" s="76">
        <f t="shared" ca="1" si="44"/>
        <v>12388.425643402781</v>
      </c>
      <c r="AE345" s="76">
        <f t="shared" si="45"/>
        <v>0</v>
      </c>
      <c r="AF345" s="75">
        <f t="shared" si="46"/>
        <v>0</v>
      </c>
      <c r="AG345" s="76">
        <f t="shared" si="39"/>
        <v>0</v>
      </c>
      <c r="AH345" s="31" t="e" cm="1">
        <f t="array" aca="1" ref="AH345" ca="1">IF((AD345) &lt; (INDEX(ResponseSLA[#All],(MATCH((G345),ResponseSLA[Priority],0))+1,3)),"YES","No")</f>
        <v>#N/A</v>
      </c>
      <c r="AI345" s="31" t="str">
        <f>_xlfn.IFNA(IF(AE345 &lt; (INDEX(SLATable[Minimum SLA],MATCH(G345,SLATable[Priority],0))),"YES","NO"),"")</f>
        <v/>
      </c>
      <c r="AJ345" t="str">
        <f>_xlfn.IFNA(IF(AE345 &lt; (INDEX(SLATable[Maximum SLA],MATCH(G345,SLATable[Priority],0))),"YES","NO"),"")</f>
        <v/>
      </c>
    </row>
    <row r="346" spans="26:36" ht="15" customHeight="1">
      <c r="Z346" s="76" t="e">
        <f t="shared" ca="1" si="40"/>
        <v>#N/A</v>
      </c>
      <c r="AA346" s="75" t="e">
        <f t="shared" ca="1" si="41"/>
        <v>#N/A</v>
      </c>
      <c r="AB346" s="76">
        <f t="shared" ca="1" si="42"/>
        <v>0</v>
      </c>
      <c r="AC346" s="75">
        <f t="shared" ca="1" si="43"/>
        <v>0</v>
      </c>
      <c r="AD346" s="76">
        <f t="shared" ca="1" si="44"/>
        <v>12388.425643402781</v>
      </c>
      <c r="AE346" s="76">
        <f t="shared" si="45"/>
        <v>0</v>
      </c>
      <c r="AF346" s="75">
        <f t="shared" si="46"/>
        <v>0</v>
      </c>
      <c r="AG346" s="76">
        <f t="shared" si="39"/>
        <v>0</v>
      </c>
      <c r="AH346" s="31" t="e" cm="1">
        <f t="array" aca="1" ref="AH346" ca="1">IF((AD346) &lt; (INDEX(ResponseSLA[#All],(MATCH((G346),ResponseSLA[Priority],0))+1,3)),"YES","No")</f>
        <v>#N/A</v>
      </c>
      <c r="AI346" s="31" t="str">
        <f>_xlfn.IFNA(IF(AE346 &lt; (INDEX(SLATable[Minimum SLA],MATCH(G346,SLATable[Priority],0))),"YES","NO"),"")</f>
        <v/>
      </c>
      <c r="AJ346" t="str">
        <f>_xlfn.IFNA(IF(AE346 &lt; (INDEX(SLATable[Maximum SLA],MATCH(G346,SLATable[Priority],0))),"YES","NO"),"")</f>
        <v/>
      </c>
    </row>
    <row r="347" spans="26:36" ht="15" customHeight="1">
      <c r="Z347" s="76" t="e">
        <f t="shared" ca="1" si="40"/>
        <v>#N/A</v>
      </c>
      <c r="AA347" s="75" t="e">
        <f t="shared" ca="1" si="41"/>
        <v>#N/A</v>
      </c>
      <c r="AB347" s="76">
        <f t="shared" ca="1" si="42"/>
        <v>0</v>
      </c>
      <c r="AC347" s="75">
        <f t="shared" ca="1" si="43"/>
        <v>0</v>
      </c>
      <c r="AD347" s="76">
        <f t="shared" ca="1" si="44"/>
        <v>12388.425643402781</v>
      </c>
      <c r="AE347" s="76">
        <f t="shared" si="45"/>
        <v>0</v>
      </c>
      <c r="AF347" s="75">
        <f t="shared" si="46"/>
        <v>0</v>
      </c>
      <c r="AG347" s="76">
        <f t="shared" si="39"/>
        <v>0</v>
      </c>
      <c r="AH347" s="31" t="e" cm="1">
        <f t="array" aca="1" ref="AH347" ca="1">IF((AD347) &lt; (INDEX(ResponseSLA[#All],(MATCH((G347),ResponseSLA[Priority],0))+1,3)),"YES","No")</f>
        <v>#N/A</v>
      </c>
      <c r="AI347" s="31" t="str">
        <f>_xlfn.IFNA(IF(AE347 &lt; (INDEX(SLATable[Minimum SLA],MATCH(G347,SLATable[Priority],0))),"YES","NO"),"")</f>
        <v/>
      </c>
      <c r="AJ347" t="str">
        <f>_xlfn.IFNA(IF(AE347 &lt; (INDEX(SLATable[Maximum SLA],MATCH(G347,SLATable[Priority],0))),"YES","NO"),"")</f>
        <v/>
      </c>
    </row>
    <row r="348" spans="26:36" ht="15" customHeight="1">
      <c r="Z348" s="76" t="e">
        <f t="shared" ca="1" si="40"/>
        <v>#N/A</v>
      </c>
      <c r="AA348" s="75" t="e">
        <f t="shared" ca="1" si="41"/>
        <v>#N/A</v>
      </c>
      <c r="AB348" s="76">
        <f t="shared" ca="1" si="42"/>
        <v>0</v>
      </c>
      <c r="AC348" s="75">
        <f t="shared" ca="1" si="43"/>
        <v>0</v>
      </c>
      <c r="AD348" s="76">
        <f t="shared" ca="1" si="44"/>
        <v>12388.425643402781</v>
      </c>
      <c r="AE348" s="76">
        <f t="shared" si="45"/>
        <v>0</v>
      </c>
      <c r="AF348" s="75">
        <f t="shared" si="46"/>
        <v>0</v>
      </c>
      <c r="AG348" s="76">
        <f t="shared" si="39"/>
        <v>0</v>
      </c>
      <c r="AH348" s="31" t="e" cm="1">
        <f t="array" aca="1" ref="AH348" ca="1">IF((AD348) &lt; (INDEX(ResponseSLA[#All],(MATCH((G348),ResponseSLA[Priority],0))+1,3)),"YES","No")</f>
        <v>#N/A</v>
      </c>
      <c r="AI348" s="31" t="str">
        <f>_xlfn.IFNA(IF(AE348 &lt; (INDEX(SLATable[Minimum SLA],MATCH(G348,SLATable[Priority],0))),"YES","NO"),"")</f>
        <v/>
      </c>
      <c r="AJ348" t="str">
        <f>_xlfn.IFNA(IF(AE348 &lt; (INDEX(SLATable[Maximum SLA],MATCH(G348,SLATable[Priority],0))),"YES","NO"),"")</f>
        <v/>
      </c>
    </row>
    <row r="349" spans="26:36" ht="15" customHeight="1">
      <c r="Z349" s="76" t="e">
        <f t="shared" ca="1" si="40"/>
        <v>#N/A</v>
      </c>
      <c r="AA349" s="75" t="e">
        <f t="shared" ca="1" si="41"/>
        <v>#N/A</v>
      </c>
      <c r="AB349" s="76">
        <f t="shared" ca="1" si="42"/>
        <v>0</v>
      </c>
      <c r="AC349" s="75">
        <f t="shared" ca="1" si="43"/>
        <v>0</v>
      </c>
      <c r="AD349" s="76">
        <f t="shared" ca="1" si="44"/>
        <v>12388.425643402781</v>
      </c>
      <c r="AE349" s="76">
        <f t="shared" si="45"/>
        <v>0</v>
      </c>
      <c r="AF349" s="75">
        <f t="shared" si="46"/>
        <v>0</v>
      </c>
      <c r="AG349" s="76">
        <f t="shared" si="39"/>
        <v>0</v>
      </c>
      <c r="AH349" s="31" t="e" cm="1">
        <f t="array" aca="1" ref="AH349" ca="1">IF((AD349) &lt; (INDEX(ResponseSLA[#All],(MATCH((G349),ResponseSLA[Priority],0))+1,3)),"YES","No")</f>
        <v>#N/A</v>
      </c>
      <c r="AI349" s="31" t="str">
        <f>_xlfn.IFNA(IF(AE349 &lt; (INDEX(SLATable[Minimum SLA],MATCH(G349,SLATable[Priority],0))),"YES","NO"),"")</f>
        <v/>
      </c>
      <c r="AJ349" t="str">
        <f>_xlfn.IFNA(IF(AE349 &lt; (INDEX(SLATable[Maximum SLA],MATCH(G349,SLATable[Priority],0))),"YES","NO"),"")</f>
        <v/>
      </c>
    </row>
    <row r="350" spans="26:36" ht="15" customHeight="1">
      <c r="Z350" s="76" t="e">
        <f t="shared" ca="1" si="40"/>
        <v>#N/A</v>
      </c>
      <c r="AA350" s="75" t="e">
        <f t="shared" ca="1" si="41"/>
        <v>#N/A</v>
      </c>
      <c r="AB350" s="76">
        <f t="shared" ca="1" si="42"/>
        <v>0</v>
      </c>
      <c r="AC350" s="75">
        <f t="shared" ca="1" si="43"/>
        <v>0</v>
      </c>
      <c r="AD350" s="76">
        <f t="shared" ca="1" si="44"/>
        <v>12388.425643402781</v>
      </c>
      <c r="AE350" s="76">
        <f t="shared" si="45"/>
        <v>0</v>
      </c>
      <c r="AF350" s="75">
        <f t="shared" si="46"/>
        <v>0</v>
      </c>
      <c r="AG350" s="76">
        <f t="shared" si="39"/>
        <v>0</v>
      </c>
      <c r="AH350" s="31" t="e" cm="1">
        <f t="array" aca="1" ref="AH350" ca="1">IF((AD350) &lt; (INDEX(ResponseSLA[#All],(MATCH((G350),ResponseSLA[Priority],0))+1,3)),"YES","No")</f>
        <v>#N/A</v>
      </c>
      <c r="AI350" s="31" t="str">
        <f>_xlfn.IFNA(IF(AE350 &lt; (INDEX(SLATable[Minimum SLA],MATCH(G350,SLATable[Priority],0))),"YES","NO"),"")</f>
        <v/>
      </c>
      <c r="AJ350" t="str">
        <f>_xlfn.IFNA(IF(AE350 &lt; (INDEX(SLATable[Maximum SLA],MATCH(G350,SLATable[Priority],0))),"YES","NO"),"")</f>
        <v/>
      </c>
    </row>
    <row r="351" spans="26:36" ht="15" customHeight="1">
      <c r="Z351" s="76" t="e">
        <f t="shared" ca="1" si="40"/>
        <v>#N/A</v>
      </c>
      <c r="AA351" s="75" t="e">
        <f t="shared" ca="1" si="41"/>
        <v>#N/A</v>
      </c>
      <c r="AB351" s="76">
        <f t="shared" ca="1" si="42"/>
        <v>0</v>
      </c>
      <c r="AC351" s="75">
        <f t="shared" ca="1" si="43"/>
        <v>0</v>
      </c>
      <c r="AD351" s="76">
        <f t="shared" ca="1" si="44"/>
        <v>12388.425643402781</v>
      </c>
      <c r="AE351" s="76">
        <f t="shared" si="45"/>
        <v>0</v>
      </c>
      <c r="AF351" s="75">
        <f t="shared" si="46"/>
        <v>0</v>
      </c>
      <c r="AG351" s="76">
        <f t="shared" si="39"/>
        <v>0</v>
      </c>
      <c r="AH351" s="31" t="e" cm="1">
        <f t="array" aca="1" ref="AH351" ca="1">IF((AD351) &lt; (INDEX(ResponseSLA[#All],(MATCH((G351),ResponseSLA[Priority],0))+1,3)),"YES","No")</f>
        <v>#N/A</v>
      </c>
      <c r="AI351" s="31" t="str">
        <f>_xlfn.IFNA(IF(AE351 &lt; (INDEX(SLATable[Minimum SLA],MATCH(G351,SLATable[Priority],0))),"YES","NO"),"")</f>
        <v/>
      </c>
      <c r="AJ351" t="str">
        <f>_xlfn.IFNA(IF(AE351 &lt; (INDEX(SLATable[Maximum SLA],MATCH(G351,SLATable[Priority],0))),"YES","NO"),"")</f>
        <v/>
      </c>
    </row>
    <row r="352" spans="26:36" ht="15" customHeight="1">
      <c r="Z352" s="76" t="e">
        <f t="shared" ca="1" si="40"/>
        <v>#N/A</v>
      </c>
      <c r="AA352" s="75" t="e">
        <f t="shared" ca="1" si="41"/>
        <v>#N/A</v>
      </c>
      <c r="AB352" s="76">
        <f t="shared" ca="1" si="42"/>
        <v>0</v>
      </c>
      <c r="AC352" s="75">
        <f t="shared" ca="1" si="43"/>
        <v>0</v>
      </c>
      <c r="AD352" s="76">
        <f t="shared" ca="1" si="44"/>
        <v>12388.425643402781</v>
      </c>
      <c r="AE352" s="76">
        <f t="shared" si="45"/>
        <v>0</v>
      </c>
      <c r="AF352" s="75">
        <f t="shared" si="46"/>
        <v>0</v>
      </c>
      <c r="AG352" s="76">
        <f t="shared" si="39"/>
        <v>0</v>
      </c>
      <c r="AH352" s="31" t="e" cm="1">
        <f t="array" aca="1" ref="AH352" ca="1">IF((AD352) &lt; (INDEX(ResponseSLA[#All],(MATCH((G352),ResponseSLA[Priority],0))+1,3)),"YES","No")</f>
        <v>#N/A</v>
      </c>
      <c r="AI352" s="31" t="str">
        <f>_xlfn.IFNA(IF(AE352 &lt; (INDEX(SLATable[Minimum SLA],MATCH(G352,SLATable[Priority],0))),"YES","NO"),"")</f>
        <v/>
      </c>
      <c r="AJ352" t="str">
        <f>_xlfn.IFNA(IF(AE352 &lt; (INDEX(SLATable[Maximum SLA],MATCH(G352,SLATable[Priority],0))),"YES","NO"),"")</f>
        <v/>
      </c>
    </row>
    <row r="353" spans="26:36" ht="15" customHeight="1">
      <c r="Z353" s="76" t="e">
        <f t="shared" ca="1" si="40"/>
        <v>#N/A</v>
      </c>
      <c r="AA353" s="75" t="e">
        <f t="shared" ca="1" si="41"/>
        <v>#N/A</v>
      </c>
      <c r="AB353" s="76">
        <f t="shared" ca="1" si="42"/>
        <v>0</v>
      </c>
      <c r="AC353" s="75">
        <f t="shared" ca="1" si="43"/>
        <v>0</v>
      </c>
      <c r="AD353" s="76">
        <f t="shared" ca="1" si="44"/>
        <v>12388.425643402781</v>
      </c>
      <c r="AE353" s="76">
        <f t="shared" si="45"/>
        <v>0</v>
      </c>
      <c r="AF353" s="75">
        <f t="shared" si="46"/>
        <v>0</v>
      </c>
      <c r="AG353" s="76">
        <f t="shared" si="39"/>
        <v>0</v>
      </c>
      <c r="AH353" s="31" t="e" cm="1">
        <f t="array" aca="1" ref="AH353" ca="1">IF((AD353) &lt; (INDEX(ResponseSLA[#All],(MATCH((G353),ResponseSLA[Priority],0))+1,3)),"YES","No")</f>
        <v>#N/A</v>
      </c>
      <c r="AI353" s="31" t="str">
        <f>_xlfn.IFNA(IF(AE353 &lt; (INDEX(SLATable[Minimum SLA],MATCH(G353,SLATable[Priority],0))),"YES","NO"),"")</f>
        <v/>
      </c>
      <c r="AJ353" t="str">
        <f>_xlfn.IFNA(IF(AE353 &lt; (INDEX(SLATable[Maximum SLA],MATCH(G353,SLATable[Priority],0))),"YES","NO"),"")</f>
        <v/>
      </c>
    </row>
    <row r="354" spans="26:36" ht="15" customHeight="1">
      <c r="Z354" s="76" t="e">
        <f t="shared" ca="1" si="40"/>
        <v>#N/A</v>
      </c>
      <c r="AA354" s="75" t="e">
        <f t="shared" ca="1" si="41"/>
        <v>#N/A</v>
      </c>
      <c r="AB354" s="76">
        <f t="shared" ca="1" si="42"/>
        <v>0</v>
      </c>
      <c r="AC354" s="75">
        <f t="shared" ca="1" si="43"/>
        <v>0</v>
      </c>
      <c r="AD354" s="76">
        <f t="shared" ca="1" si="44"/>
        <v>12388.425643402781</v>
      </c>
      <c r="AE354" s="76">
        <f t="shared" si="45"/>
        <v>0</v>
      </c>
      <c r="AF354" s="75">
        <f t="shared" si="46"/>
        <v>0</v>
      </c>
      <c r="AG354" s="76">
        <f t="shared" si="39"/>
        <v>0</v>
      </c>
      <c r="AH354" s="31" t="e" cm="1">
        <f t="array" aca="1" ref="AH354" ca="1">IF((AD354) &lt; (INDEX(ResponseSLA[#All],(MATCH((G354),ResponseSLA[Priority],0))+1,3)),"YES","No")</f>
        <v>#N/A</v>
      </c>
      <c r="AI354" s="31" t="str">
        <f>_xlfn.IFNA(IF(AE354 &lt; (INDEX(SLATable[Minimum SLA],MATCH(G354,SLATable[Priority],0))),"YES","NO"),"")</f>
        <v/>
      </c>
      <c r="AJ354" t="str">
        <f>_xlfn.IFNA(IF(AE354 &lt; (INDEX(SLATable[Maximum SLA],MATCH(G354,SLATable[Priority],0))),"YES","NO"),"")</f>
        <v/>
      </c>
    </row>
    <row r="355" spans="26:36" ht="15" customHeight="1">
      <c r="Z355" s="76" t="e">
        <f t="shared" ca="1" si="40"/>
        <v>#N/A</v>
      </c>
      <c r="AA355" s="75" t="e">
        <f t="shared" ca="1" si="41"/>
        <v>#N/A</v>
      </c>
      <c r="AB355" s="76">
        <f t="shared" ca="1" si="42"/>
        <v>0</v>
      </c>
      <c r="AC355" s="75">
        <f t="shared" ca="1" si="43"/>
        <v>0</v>
      </c>
      <c r="AD355" s="76">
        <f t="shared" ca="1" si="44"/>
        <v>12388.425643402781</v>
      </c>
      <c r="AE355" s="76">
        <f t="shared" si="45"/>
        <v>0</v>
      </c>
      <c r="AF355" s="75">
        <f t="shared" si="46"/>
        <v>0</v>
      </c>
      <c r="AG355" s="76">
        <f t="shared" si="39"/>
        <v>0</v>
      </c>
      <c r="AH355" s="31" t="e" cm="1">
        <f t="array" aca="1" ref="AH355" ca="1">IF((AD355) &lt; (INDEX(ResponseSLA[#All],(MATCH((G355),ResponseSLA[Priority],0))+1,3)),"YES","No")</f>
        <v>#N/A</v>
      </c>
      <c r="AI355" s="31" t="str">
        <f>_xlfn.IFNA(IF(AE355 &lt; (INDEX(SLATable[Minimum SLA],MATCH(G355,SLATable[Priority],0))),"YES","NO"),"")</f>
        <v/>
      </c>
      <c r="AJ355" t="str">
        <f>_xlfn.IFNA(IF(AE355 &lt; (INDEX(SLATable[Maximum SLA],MATCH(G355,SLATable[Priority],0))),"YES","NO"),"")</f>
        <v/>
      </c>
    </row>
    <row r="356" spans="26:36" ht="15" customHeight="1">
      <c r="Z356" s="76" t="e">
        <f t="shared" ca="1" si="40"/>
        <v>#N/A</v>
      </c>
      <c r="AA356" s="75" t="e">
        <f t="shared" ca="1" si="41"/>
        <v>#N/A</v>
      </c>
      <c r="AB356" s="76">
        <f t="shared" ca="1" si="42"/>
        <v>0</v>
      </c>
      <c r="AC356" s="75">
        <f t="shared" ca="1" si="43"/>
        <v>0</v>
      </c>
      <c r="AD356" s="76">
        <f t="shared" ca="1" si="44"/>
        <v>12388.425643402781</v>
      </c>
      <c r="AE356" s="76">
        <f t="shared" si="45"/>
        <v>0</v>
      </c>
      <c r="AF356" s="75">
        <f t="shared" si="46"/>
        <v>0</v>
      </c>
      <c r="AG356" s="76">
        <f t="shared" si="39"/>
        <v>0</v>
      </c>
      <c r="AH356" s="31" t="e" cm="1">
        <f t="array" aca="1" ref="AH356" ca="1">IF((AD356) &lt; (INDEX(ResponseSLA[#All],(MATCH((G356),ResponseSLA[Priority],0))+1,3)),"YES","No")</f>
        <v>#N/A</v>
      </c>
      <c r="AI356" s="31" t="str">
        <f>_xlfn.IFNA(IF(AE356 &lt; (INDEX(SLATable[Minimum SLA],MATCH(G356,SLATable[Priority],0))),"YES","NO"),"")</f>
        <v/>
      </c>
      <c r="AJ356" t="str">
        <f>_xlfn.IFNA(IF(AE356 &lt; (INDEX(SLATable[Maximum SLA],MATCH(G356,SLATable[Priority],0))),"YES","NO"),"")</f>
        <v/>
      </c>
    </row>
    <row r="357" spans="26:36" ht="15" customHeight="1">
      <c r="Z357" s="76" t="e">
        <f t="shared" ca="1" si="40"/>
        <v>#N/A</v>
      </c>
      <c r="AA357" s="75" t="e">
        <f t="shared" ca="1" si="41"/>
        <v>#N/A</v>
      </c>
      <c r="AB357" s="76">
        <f t="shared" ca="1" si="42"/>
        <v>0</v>
      </c>
      <c r="AC357" s="75">
        <f t="shared" ca="1" si="43"/>
        <v>0</v>
      </c>
      <c r="AD357" s="76">
        <f t="shared" ca="1" si="44"/>
        <v>12388.425643402781</v>
      </c>
      <c r="AE357" s="76">
        <f t="shared" si="45"/>
        <v>0</v>
      </c>
      <c r="AF357" s="75">
        <f t="shared" si="46"/>
        <v>0</v>
      </c>
      <c r="AG357" s="76">
        <f t="shared" si="39"/>
        <v>0</v>
      </c>
      <c r="AH357" s="31" t="e" cm="1">
        <f t="array" aca="1" ref="AH357" ca="1">IF((AD357) &lt; (INDEX(ResponseSLA[#All],(MATCH((G357),ResponseSLA[Priority],0))+1,3)),"YES","No")</f>
        <v>#N/A</v>
      </c>
      <c r="AI357" s="31" t="str">
        <f>_xlfn.IFNA(IF(AE357 &lt; (INDEX(SLATable[Minimum SLA],MATCH(G357,SLATable[Priority],0))),"YES","NO"),"")</f>
        <v/>
      </c>
      <c r="AJ357" t="str">
        <f>_xlfn.IFNA(IF(AE357 &lt; (INDEX(SLATable[Maximum SLA],MATCH(G357,SLATable[Priority],0))),"YES","NO"),"")</f>
        <v/>
      </c>
    </row>
    <row r="358" spans="26:36" ht="15" customHeight="1">
      <c r="Z358" s="76" t="e">
        <f t="shared" ca="1" si="40"/>
        <v>#N/A</v>
      </c>
      <c r="AA358" s="75" t="e">
        <f t="shared" ca="1" si="41"/>
        <v>#N/A</v>
      </c>
      <c r="AB358" s="76">
        <f t="shared" ca="1" si="42"/>
        <v>0</v>
      </c>
      <c r="AC358" s="75">
        <f t="shared" ca="1" si="43"/>
        <v>0</v>
      </c>
      <c r="AD358" s="76">
        <f t="shared" ca="1" si="44"/>
        <v>12388.425643402781</v>
      </c>
      <c r="AE358" s="76">
        <f t="shared" si="45"/>
        <v>0</v>
      </c>
      <c r="AF358" s="75">
        <f t="shared" si="46"/>
        <v>0</v>
      </c>
      <c r="AG358" s="76">
        <f t="shared" si="39"/>
        <v>0</v>
      </c>
      <c r="AH358" s="31" t="e" cm="1">
        <f t="array" aca="1" ref="AH358" ca="1">IF((AD358) &lt; (INDEX(ResponseSLA[#All],(MATCH((G358),ResponseSLA[Priority],0))+1,3)),"YES","No")</f>
        <v>#N/A</v>
      </c>
      <c r="AI358" s="31" t="str">
        <f>_xlfn.IFNA(IF(AE358 &lt; (INDEX(SLATable[Minimum SLA],MATCH(G358,SLATable[Priority],0))),"YES","NO"),"")</f>
        <v/>
      </c>
      <c r="AJ358" t="str">
        <f>_xlfn.IFNA(IF(AE358 &lt; (INDEX(SLATable[Maximum SLA],MATCH(G358,SLATable[Priority],0))),"YES","NO"),"")</f>
        <v/>
      </c>
    </row>
    <row r="359" spans="26:36" ht="15" customHeight="1">
      <c r="Z359" s="76" t="e">
        <f t="shared" ca="1" si="40"/>
        <v>#N/A</v>
      </c>
      <c r="AA359" s="75" t="e">
        <f t="shared" ca="1" si="41"/>
        <v>#N/A</v>
      </c>
      <c r="AB359" s="76">
        <f t="shared" ca="1" si="42"/>
        <v>0</v>
      </c>
      <c r="AC359" s="75">
        <f t="shared" ca="1" si="43"/>
        <v>0</v>
      </c>
      <c r="AD359" s="76">
        <f t="shared" ca="1" si="44"/>
        <v>12388.425643402781</v>
      </c>
      <c r="AE359" s="76">
        <f t="shared" si="45"/>
        <v>0</v>
      </c>
      <c r="AF359" s="75">
        <f t="shared" si="46"/>
        <v>0</v>
      </c>
      <c r="AG359" s="76">
        <f t="shared" si="39"/>
        <v>0</v>
      </c>
      <c r="AH359" s="31" t="e" cm="1">
        <f t="array" aca="1" ref="AH359" ca="1">IF((AD359) &lt; (INDEX(ResponseSLA[#All],(MATCH((G359),ResponseSLA[Priority],0))+1,3)),"YES","No")</f>
        <v>#N/A</v>
      </c>
      <c r="AI359" s="31" t="str">
        <f>_xlfn.IFNA(IF(AE359 &lt; (INDEX(SLATable[Minimum SLA],MATCH(G359,SLATable[Priority],0))),"YES","NO"),"")</f>
        <v/>
      </c>
      <c r="AJ359" t="str">
        <f>_xlfn.IFNA(IF(AE359 &lt; (INDEX(SLATable[Maximum SLA],MATCH(G359,SLATable[Priority],0))),"YES","NO"),"")</f>
        <v/>
      </c>
    </row>
    <row r="360" spans="26:36" ht="15" customHeight="1">
      <c r="Z360" s="76" t="e">
        <f t="shared" ca="1" si="40"/>
        <v>#N/A</v>
      </c>
      <c r="AA360" s="75" t="e">
        <f t="shared" ca="1" si="41"/>
        <v>#N/A</v>
      </c>
      <c r="AB360" s="76">
        <f t="shared" ca="1" si="42"/>
        <v>0</v>
      </c>
      <c r="AC360" s="75">
        <f t="shared" ca="1" si="43"/>
        <v>0</v>
      </c>
      <c r="AD360" s="76">
        <f t="shared" ca="1" si="44"/>
        <v>12388.425643402781</v>
      </c>
      <c r="AE360" s="76">
        <f t="shared" si="45"/>
        <v>0</v>
      </c>
      <c r="AF360" s="75">
        <f t="shared" si="46"/>
        <v>0</v>
      </c>
      <c r="AG360" s="76">
        <f t="shared" si="39"/>
        <v>0</v>
      </c>
      <c r="AH360" s="31" t="e" cm="1">
        <f t="array" aca="1" ref="AH360" ca="1">IF((AD360) &lt; (INDEX(ResponseSLA[#All],(MATCH((G360),ResponseSLA[Priority],0))+1,3)),"YES","No")</f>
        <v>#N/A</v>
      </c>
      <c r="AI360" s="31" t="str">
        <f>_xlfn.IFNA(IF(AE360 &lt; (INDEX(SLATable[Minimum SLA],MATCH(G360,SLATable[Priority],0))),"YES","NO"),"")</f>
        <v/>
      </c>
      <c r="AJ360" t="str">
        <f>_xlfn.IFNA(IF(AE360 &lt; (INDEX(SLATable[Maximum SLA],MATCH(G360,SLATable[Priority],0))),"YES","NO"),"")</f>
        <v/>
      </c>
    </row>
    <row r="361" spans="26:36" ht="15" customHeight="1">
      <c r="Z361" s="76" t="e">
        <f t="shared" ca="1" si="40"/>
        <v>#N/A</v>
      </c>
      <c r="AA361" s="75" t="e">
        <f t="shared" ca="1" si="41"/>
        <v>#N/A</v>
      </c>
      <c r="AB361" s="76">
        <f t="shared" ca="1" si="42"/>
        <v>0</v>
      </c>
      <c r="AC361" s="75">
        <f t="shared" ca="1" si="43"/>
        <v>0</v>
      </c>
      <c r="AD361" s="76">
        <f t="shared" ca="1" si="44"/>
        <v>12388.425643402781</v>
      </c>
      <c r="AE361" s="76">
        <f t="shared" si="45"/>
        <v>0</v>
      </c>
      <c r="AF361" s="75">
        <f t="shared" si="46"/>
        <v>0</v>
      </c>
      <c r="AG361" s="76">
        <f t="shared" si="39"/>
        <v>0</v>
      </c>
      <c r="AH361" s="31" t="e" cm="1">
        <f t="array" aca="1" ref="AH361" ca="1">IF((AD361) &lt; (INDEX(ResponseSLA[#All],(MATCH((G361),ResponseSLA[Priority],0))+1,3)),"YES","No")</f>
        <v>#N/A</v>
      </c>
      <c r="AI361" s="31" t="str">
        <f>_xlfn.IFNA(IF(AE361 &lt; (INDEX(SLATable[Minimum SLA],MATCH(G361,SLATable[Priority],0))),"YES","NO"),"")</f>
        <v/>
      </c>
      <c r="AJ361" t="str">
        <f>_xlfn.IFNA(IF(AE361 &lt; (INDEX(SLATable[Maximum SLA],MATCH(G361,SLATable[Priority],0))),"YES","NO"),"")</f>
        <v/>
      </c>
    </row>
    <row r="362" spans="26:36" ht="15" customHeight="1">
      <c r="Z362" s="76" t="e">
        <f t="shared" ca="1" si="40"/>
        <v>#N/A</v>
      </c>
      <c r="AA362" s="75" t="e">
        <f t="shared" ca="1" si="41"/>
        <v>#N/A</v>
      </c>
      <c r="AB362" s="76">
        <f t="shared" ca="1" si="42"/>
        <v>0</v>
      </c>
      <c r="AC362" s="75">
        <f t="shared" ca="1" si="43"/>
        <v>0</v>
      </c>
      <c r="AD362" s="76">
        <f t="shared" ca="1" si="44"/>
        <v>12388.425643402781</v>
      </c>
      <c r="AE362" s="76">
        <f t="shared" si="45"/>
        <v>0</v>
      </c>
      <c r="AF362" s="75">
        <f t="shared" si="46"/>
        <v>0</v>
      </c>
      <c r="AG362" s="76">
        <f t="shared" si="39"/>
        <v>0</v>
      </c>
      <c r="AH362" s="31" t="e" cm="1">
        <f t="array" aca="1" ref="AH362" ca="1">IF((AD362) &lt; (INDEX(ResponseSLA[#All],(MATCH((G362),ResponseSLA[Priority],0))+1,3)),"YES","No")</f>
        <v>#N/A</v>
      </c>
      <c r="AI362" s="31" t="str">
        <f>_xlfn.IFNA(IF(AE362 &lt; (INDEX(SLATable[Minimum SLA],MATCH(G362,SLATable[Priority],0))),"YES","NO"),"")</f>
        <v/>
      </c>
      <c r="AJ362" t="str">
        <f>_xlfn.IFNA(IF(AE362 &lt; (INDEX(SLATable[Maximum SLA],MATCH(G362,SLATable[Priority],0))),"YES","NO"),"")</f>
        <v/>
      </c>
    </row>
    <row r="363" spans="26:36" ht="15" customHeight="1">
      <c r="Z363" s="76" t="e">
        <f t="shared" ca="1" si="40"/>
        <v>#N/A</v>
      </c>
      <c r="AA363" s="75" t="e">
        <f t="shared" ca="1" si="41"/>
        <v>#N/A</v>
      </c>
      <c r="AB363" s="76">
        <f t="shared" ca="1" si="42"/>
        <v>0</v>
      </c>
      <c r="AC363" s="75">
        <f t="shared" ca="1" si="43"/>
        <v>0</v>
      </c>
      <c r="AD363" s="76">
        <f t="shared" ca="1" si="44"/>
        <v>12388.425643402781</v>
      </c>
      <c r="AE363" s="76">
        <f t="shared" si="45"/>
        <v>0</v>
      </c>
      <c r="AF363" s="75">
        <f t="shared" si="46"/>
        <v>0</v>
      </c>
      <c r="AG363" s="76">
        <f t="shared" si="39"/>
        <v>0</v>
      </c>
      <c r="AH363" s="31" t="e" cm="1">
        <f t="array" aca="1" ref="AH363" ca="1">IF((AD363) &lt; (INDEX(ResponseSLA[#All],(MATCH((G363),ResponseSLA[Priority],0))+1,3)),"YES","No")</f>
        <v>#N/A</v>
      </c>
      <c r="AI363" s="31" t="str">
        <f>_xlfn.IFNA(IF(AE363 &lt; (INDEX(SLATable[Minimum SLA],MATCH(G363,SLATable[Priority],0))),"YES","NO"),"")</f>
        <v/>
      </c>
      <c r="AJ363" t="str">
        <f>_xlfn.IFNA(IF(AE363 &lt; (INDEX(SLATable[Maximum SLA],MATCH(G363,SLATable[Priority],0))),"YES","NO"),"")</f>
        <v/>
      </c>
    </row>
    <row r="364" spans="26:36" ht="15" customHeight="1">
      <c r="Z364" s="76" t="e">
        <f t="shared" ca="1" si="40"/>
        <v>#N/A</v>
      </c>
      <c r="AA364" s="75" t="e">
        <f t="shared" ca="1" si="41"/>
        <v>#N/A</v>
      </c>
      <c r="AB364" s="76">
        <f t="shared" ca="1" si="42"/>
        <v>0</v>
      </c>
      <c r="AC364" s="75">
        <f t="shared" ca="1" si="43"/>
        <v>0</v>
      </c>
      <c r="AD364" s="76">
        <f t="shared" ca="1" si="44"/>
        <v>12388.425643402781</v>
      </c>
      <c r="AE364" s="76">
        <f t="shared" si="45"/>
        <v>0</v>
      </c>
      <c r="AF364" s="75">
        <f t="shared" si="46"/>
        <v>0</v>
      </c>
      <c r="AG364" s="76">
        <f t="shared" si="39"/>
        <v>0</v>
      </c>
      <c r="AH364" s="31" t="e" cm="1">
        <f t="array" aca="1" ref="AH364" ca="1">IF((AD364) &lt; (INDEX(ResponseSLA[#All],(MATCH((G364),ResponseSLA[Priority],0))+1,3)),"YES","No")</f>
        <v>#N/A</v>
      </c>
      <c r="AI364" s="31" t="str">
        <f>_xlfn.IFNA(IF(AE364 &lt; (INDEX(SLATable[Minimum SLA],MATCH(G364,SLATable[Priority],0))),"YES","NO"),"")</f>
        <v/>
      </c>
      <c r="AJ364" t="str">
        <f>_xlfn.IFNA(IF(AE364 &lt; (INDEX(SLATable[Maximum SLA],MATCH(G364,SLATable[Priority],0))),"YES","NO"),"")</f>
        <v/>
      </c>
    </row>
    <row r="365" spans="26:36" ht="15" customHeight="1">
      <c r="Z365" s="76" t="e">
        <f t="shared" ca="1" si="40"/>
        <v>#N/A</v>
      </c>
      <c r="AA365" s="75" t="e">
        <f t="shared" ca="1" si="41"/>
        <v>#N/A</v>
      </c>
      <c r="AB365" s="76">
        <f t="shared" ca="1" si="42"/>
        <v>0</v>
      </c>
      <c r="AC365" s="75">
        <f t="shared" ca="1" si="43"/>
        <v>0</v>
      </c>
      <c r="AD365" s="76">
        <f t="shared" ca="1" si="44"/>
        <v>12388.425643402781</v>
      </c>
      <c r="AE365" s="76">
        <f t="shared" si="45"/>
        <v>0</v>
      </c>
      <c r="AF365" s="75">
        <f t="shared" si="46"/>
        <v>0</v>
      </c>
      <c r="AG365" s="76">
        <f t="shared" si="39"/>
        <v>0</v>
      </c>
      <c r="AH365" s="31" t="e" cm="1">
        <f t="array" aca="1" ref="AH365" ca="1">IF((AD365) &lt; (INDEX(ResponseSLA[#All],(MATCH((G365),ResponseSLA[Priority],0))+1,3)),"YES","No")</f>
        <v>#N/A</v>
      </c>
      <c r="AI365" s="31" t="str">
        <f>_xlfn.IFNA(IF(AE365 &lt; (INDEX(SLATable[Minimum SLA],MATCH(G365,SLATable[Priority],0))),"YES","NO"),"")</f>
        <v/>
      </c>
      <c r="AJ365" t="str">
        <f>_xlfn.IFNA(IF(AE365 &lt; (INDEX(SLATable[Maximum SLA],MATCH(G365,SLATable[Priority],0))),"YES","NO"),"")</f>
        <v/>
      </c>
    </row>
    <row r="366" spans="26:36" ht="15" customHeight="1">
      <c r="Z366" s="76" t="e">
        <f t="shared" ca="1" si="40"/>
        <v>#N/A</v>
      </c>
      <c r="AA366" s="75" t="e">
        <f t="shared" ca="1" si="41"/>
        <v>#N/A</v>
      </c>
      <c r="AB366" s="76">
        <f t="shared" ca="1" si="42"/>
        <v>0</v>
      </c>
      <c r="AC366" s="75">
        <f t="shared" ca="1" si="43"/>
        <v>0</v>
      </c>
      <c r="AD366" s="76">
        <f t="shared" ca="1" si="44"/>
        <v>12388.425643402781</v>
      </c>
      <c r="AE366" s="76">
        <f t="shared" si="45"/>
        <v>0</v>
      </c>
      <c r="AF366" s="75">
        <f t="shared" si="46"/>
        <v>0</v>
      </c>
      <c r="AG366" s="76">
        <f t="shared" si="39"/>
        <v>0</v>
      </c>
      <c r="AH366" s="31" t="e" cm="1">
        <f t="array" aca="1" ref="AH366" ca="1">IF((AD366) &lt; (INDEX(ResponseSLA[#All],(MATCH((G366),ResponseSLA[Priority],0))+1,3)),"YES","No")</f>
        <v>#N/A</v>
      </c>
      <c r="AI366" s="31" t="str">
        <f>_xlfn.IFNA(IF(AE366 &lt; (INDEX(SLATable[Minimum SLA],MATCH(G366,SLATable[Priority],0))),"YES","NO"),"")</f>
        <v/>
      </c>
      <c r="AJ366" t="str">
        <f>_xlfn.IFNA(IF(AE366 &lt; (INDEX(SLATable[Maximum SLA],MATCH(G366,SLATable[Priority],0))),"YES","NO"),"")</f>
        <v/>
      </c>
    </row>
    <row r="367" spans="26:36" ht="15" customHeight="1">
      <c r="Z367" s="76" t="e">
        <f t="shared" ca="1" si="40"/>
        <v>#N/A</v>
      </c>
      <c r="AA367" s="75" t="e">
        <f t="shared" ca="1" si="41"/>
        <v>#N/A</v>
      </c>
      <c r="AB367" s="76">
        <f t="shared" ca="1" si="42"/>
        <v>0</v>
      </c>
      <c r="AC367" s="75">
        <f t="shared" ca="1" si="43"/>
        <v>0</v>
      </c>
      <c r="AD367" s="76">
        <f t="shared" ca="1" si="44"/>
        <v>12388.425643402781</v>
      </c>
      <c r="AE367" s="76">
        <f t="shared" si="45"/>
        <v>0</v>
      </c>
      <c r="AF367" s="75">
        <f t="shared" si="46"/>
        <v>0</v>
      </c>
      <c r="AG367" s="76">
        <f t="shared" si="39"/>
        <v>0</v>
      </c>
      <c r="AH367" s="31" t="e" cm="1">
        <f t="array" aca="1" ref="AH367" ca="1">IF((AD367) &lt; (INDEX(ResponseSLA[#All],(MATCH((G367),ResponseSLA[Priority],0))+1,3)),"YES","No")</f>
        <v>#N/A</v>
      </c>
      <c r="AI367" s="31" t="str">
        <f>_xlfn.IFNA(IF(AE367 &lt; (INDEX(SLATable[Minimum SLA],MATCH(G367,SLATable[Priority],0))),"YES","NO"),"")</f>
        <v/>
      </c>
      <c r="AJ367" t="str">
        <f>_xlfn.IFNA(IF(AE367 &lt; (INDEX(SLATable[Maximum SLA],MATCH(G367,SLATable[Priority],0))),"YES","NO"),"")</f>
        <v/>
      </c>
    </row>
    <row r="368" spans="26:36" ht="15" customHeight="1">
      <c r="Z368" s="76" t="e">
        <f t="shared" ca="1" si="40"/>
        <v>#N/A</v>
      </c>
      <c r="AA368" s="75" t="e">
        <f t="shared" ca="1" si="41"/>
        <v>#N/A</v>
      </c>
      <c r="AB368" s="76">
        <f t="shared" ca="1" si="42"/>
        <v>0</v>
      </c>
      <c r="AC368" s="75">
        <f t="shared" ca="1" si="43"/>
        <v>0</v>
      </c>
      <c r="AD368" s="76">
        <f t="shared" ca="1" si="44"/>
        <v>12388.425643402781</v>
      </c>
      <c r="AE368" s="76">
        <f t="shared" si="45"/>
        <v>0</v>
      </c>
      <c r="AF368" s="75">
        <f t="shared" si="46"/>
        <v>0</v>
      </c>
      <c r="AG368" s="76">
        <f t="shared" si="39"/>
        <v>0</v>
      </c>
      <c r="AH368" s="31" t="e" cm="1">
        <f t="array" aca="1" ref="AH368" ca="1">IF((AD368) &lt; (INDEX(ResponseSLA[#All],(MATCH((G368),ResponseSLA[Priority],0))+1,3)),"YES","No")</f>
        <v>#N/A</v>
      </c>
      <c r="AI368" s="31" t="str">
        <f>_xlfn.IFNA(IF(AE368 &lt; (INDEX(SLATable[Minimum SLA],MATCH(G368,SLATable[Priority],0))),"YES","NO"),"")</f>
        <v/>
      </c>
      <c r="AJ368" t="str">
        <f>_xlfn.IFNA(IF(AE368 &lt; (INDEX(SLATable[Maximum SLA],MATCH(G368,SLATable[Priority],0))),"YES","NO"),"")</f>
        <v/>
      </c>
    </row>
    <row r="369" spans="26:36" ht="15" customHeight="1">
      <c r="Z369" s="76" t="e">
        <f t="shared" ca="1" si="40"/>
        <v>#N/A</v>
      </c>
      <c r="AA369" s="75" t="e">
        <f t="shared" ca="1" si="41"/>
        <v>#N/A</v>
      </c>
      <c r="AB369" s="76">
        <f t="shared" ca="1" si="42"/>
        <v>0</v>
      </c>
      <c r="AC369" s="75">
        <f t="shared" ca="1" si="43"/>
        <v>0</v>
      </c>
      <c r="AD369" s="76">
        <f t="shared" ca="1" si="44"/>
        <v>12388.425643402781</v>
      </c>
      <c r="AE369" s="76">
        <f t="shared" si="45"/>
        <v>0</v>
      </c>
      <c r="AF369" s="75">
        <f t="shared" si="46"/>
        <v>0</v>
      </c>
      <c r="AG369" s="76">
        <f t="shared" si="39"/>
        <v>0</v>
      </c>
      <c r="AH369" s="31" t="e" cm="1">
        <f t="array" aca="1" ref="AH369" ca="1">IF((AD369) &lt; (INDEX(ResponseSLA[#All],(MATCH((G369),ResponseSLA[Priority],0))+1,3)),"YES","No")</f>
        <v>#N/A</v>
      </c>
      <c r="AI369" s="31" t="str">
        <f>_xlfn.IFNA(IF(AE369 &lt; (INDEX(SLATable[Minimum SLA],MATCH(G369,SLATable[Priority],0))),"YES","NO"),"")</f>
        <v/>
      </c>
      <c r="AJ369" t="str">
        <f>_xlfn.IFNA(IF(AE369 &lt; (INDEX(SLATable[Maximum SLA],MATCH(G369,SLATable[Priority],0))),"YES","NO"),"")</f>
        <v/>
      </c>
    </row>
    <row r="370" spans="26:36" ht="15" customHeight="1">
      <c r="Z370" s="76" t="e">
        <f t="shared" ca="1" si="40"/>
        <v>#N/A</v>
      </c>
      <c r="AA370" s="75" t="e">
        <f t="shared" ca="1" si="41"/>
        <v>#N/A</v>
      </c>
      <c r="AB370" s="76">
        <f t="shared" ca="1" si="42"/>
        <v>0</v>
      </c>
      <c r="AC370" s="75">
        <f t="shared" ca="1" si="43"/>
        <v>0</v>
      </c>
      <c r="AD370" s="76">
        <f t="shared" ca="1" si="44"/>
        <v>12388.425643402781</v>
      </c>
      <c r="AE370" s="76">
        <f t="shared" si="45"/>
        <v>0</v>
      </c>
      <c r="AF370" s="75">
        <f t="shared" si="46"/>
        <v>0</v>
      </c>
      <c r="AG370" s="76">
        <f t="shared" si="39"/>
        <v>0</v>
      </c>
      <c r="AH370" s="31" t="e" cm="1">
        <f t="array" aca="1" ref="AH370" ca="1">IF((AD370) &lt; (INDEX(ResponseSLA[#All],(MATCH((G370),ResponseSLA[Priority],0))+1,3)),"YES","No")</f>
        <v>#N/A</v>
      </c>
      <c r="AI370" s="31" t="str">
        <f>_xlfn.IFNA(IF(AE370 &lt; (INDEX(SLATable[Minimum SLA],MATCH(G370,SLATable[Priority],0))),"YES","NO"),"")</f>
        <v/>
      </c>
      <c r="AJ370" t="str">
        <f>_xlfn.IFNA(IF(AE370 &lt; (INDEX(SLATable[Maximum SLA],MATCH(G370,SLATable[Priority],0))),"YES","NO"),"")</f>
        <v/>
      </c>
    </row>
    <row r="371" spans="26:36" ht="15" customHeight="1">
      <c r="Z371" s="76" t="e">
        <f t="shared" ca="1" si="40"/>
        <v>#N/A</v>
      </c>
      <c r="AA371" s="75" t="e">
        <f t="shared" ca="1" si="41"/>
        <v>#N/A</v>
      </c>
      <c r="AB371" s="76">
        <f t="shared" ca="1" si="42"/>
        <v>0</v>
      </c>
      <c r="AC371" s="75">
        <f t="shared" ca="1" si="43"/>
        <v>0</v>
      </c>
      <c r="AD371" s="76">
        <f t="shared" ca="1" si="44"/>
        <v>12388.425643402781</v>
      </c>
      <c r="AE371" s="76">
        <f t="shared" si="45"/>
        <v>0</v>
      </c>
      <c r="AF371" s="75">
        <f t="shared" si="46"/>
        <v>0</v>
      </c>
      <c r="AG371" s="76">
        <f t="shared" si="39"/>
        <v>0</v>
      </c>
      <c r="AH371" s="31" t="e" cm="1">
        <f t="array" aca="1" ref="AH371" ca="1">IF((AD371) &lt; (INDEX(ResponseSLA[#All],(MATCH((G371),ResponseSLA[Priority],0))+1,3)),"YES","No")</f>
        <v>#N/A</v>
      </c>
      <c r="AI371" s="31" t="str">
        <f>_xlfn.IFNA(IF(AE371 &lt; (INDEX(SLATable[Minimum SLA],MATCH(G371,SLATable[Priority],0))),"YES","NO"),"")</f>
        <v/>
      </c>
      <c r="AJ371" t="str">
        <f>_xlfn.IFNA(IF(AE371 &lt; (INDEX(SLATable[Maximum SLA],MATCH(G371,SLATable[Priority],0))),"YES","NO"),"")</f>
        <v/>
      </c>
    </row>
    <row r="372" spans="26:36" ht="15" customHeight="1">
      <c r="Z372" s="76" t="e">
        <f t="shared" ca="1" si="40"/>
        <v>#N/A</v>
      </c>
      <c r="AA372" s="75" t="e">
        <f t="shared" ca="1" si="41"/>
        <v>#N/A</v>
      </c>
      <c r="AB372" s="76">
        <f t="shared" ca="1" si="42"/>
        <v>0</v>
      </c>
      <c r="AC372" s="75">
        <f t="shared" ca="1" si="43"/>
        <v>0</v>
      </c>
      <c r="AD372" s="76">
        <f t="shared" ca="1" si="44"/>
        <v>12388.425643402781</v>
      </c>
      <c r="AE372" s="76">
        <f t="shared" si="45"/>
        <v>0</v>
      </c>
      <c r="AF372" s="75">
        <f t="shared" si="46"/>
        <v>0</v>
      </c>
      <c r="AG372" s="76">
        <f t="shared" si="39"/>
        <v>0</v>
      </c>
      <c r="AH372" s="31" t="e" cm="1">
        <f t="array" aca="1" ref="AH372" ca="1">IF((AD372) &lt; (INDEX(ResponseSLA[#All],(MATCH((G372),ResponseSLA[Priority],0))+1,3)),"YES","No")</f>
        <v>#N/A</v>
      </c>
      <c r="AI372" s="31" t="str">
        <f>_xlfn.IFNA(IF(AE372 &lt; (INDEX(SLATable[Minimum SLA],MATCH(G372,SLATable[Priority],0))),"YES","NO"),"")</f>
        <v/>
      </c>
      <c r="AJ372" t="str">
        <f>_xlfn.IFNA(IF(AE372 &lt; (INDEX(SLATable[Maximum SLA],MATCH(G372,SLATable[Priority],0))),"YES","NO"),"")</f>
        <v/>
      </c>
    </row>
    <row r="373" spans="26:36" ht="15" customHeight="1">
      <c r="Z373" s="76" t="e">
        <f t="shared" ca="1" si="40"/>
        <v>#N/A</v>
      </c>
      <c r="AA373" s="75" t="e">
        <f t="shared" ca="1" si="41"/>
        <v>#N/A</v>
      </c>
      <c r="AB373" s="76">
        <f t="shared" ca="1" si="42"/>
        <v>0</v>
      </c>
      <c r="AC373" s="75">
        <f t="shared" ca="1" si="43"/>
        <v>0</v>
      </c>
      <c r="AD373" s="76">
        <f t="shared" ca="1" si="44"/>
        <v>12388.425643402781</v>
      </c>
      <c r="AE373" s="76">
        <f t="shared" si="45"/>
        <v>0</v>
      </c>
      <c r="AF373" s="75">
        <f t="shared" si="46"/>
        <v>0</v>
      </c>
      <c r="AG373" s="76">
        <f t="shared" si="39"/>
        <v>0</v>
      </c>
      <c r="AH373" s="31" t="e" cm="1">
        <f t="array" aca="1" ref="AH373" ca="1">IF((AD373) &lt; (INDEX(ResponseSLA[#All],(MATCH((G373),ResponseSLA[Priority],0))+1,3)),"YES","No")</f>
        <v>#N/A</v>
      </c>
      <c r="AI373" s="31" t="str">
        <f>_xlfn.IFNA(IF(AE373 &lt; (INDEX(SLATable[Minimum SLA],MATCH(G373,SLATable[Priority],0))),"YES","NO"),"")</f>
        <v/>
      </c>
      <c r="AJ373" t="str">
        <f>_xlfn.IFNA(IF(AE373 &lt; (INDEX(SLATable[Maximum SLA],MATCH(G373,SLATable[Priority],0))),"YES","NO"),"")</f>
        <v/>
      </c>
    </row>
    <row r="374" spans="26:36" ht="15" customHeight="1">
      <c r="Z374" s="76" t="e">
        <f t="shared" ca="1" si="40"/>
        <v>#N/A</v>
      </c>
      <c r="AA374" s="75" t="e">
        <f t="shared" ca="1" si="41"/>
        <v>#N/A</v>
      </c>
      <c r="AB374" s="76">
        <f t="shared" ca="1" si="42"/>
        <v>0</v>
      </c>
      <c r="AC374" s="75">
        <f t="shared" ca="1" si="43"/>
        <v>0</v>
      </c>
      <c r="AD374" s="76">
        <f t="shared" ca="1" si="44"/>
        <v>12388.425643402781</v>
      </c>
      <c r="AE374" s="76">
        <f t="shared" si="45"/>
        <v>0</v>
      </c>
      <c r="AF374" s="75">
        <f t="shared" si="46"/>
        <v>0</v>
      </c>
      <c r="AG374" s="76">
        <f t="shared" si="39"/>
        <v>0</v>
      </c>
      <c r="AH374" s="31" t="e" cm="1">
        <f t="array" aca="1" ref="AH374" ca="1">IF((AD374) &lt; (INDEX(ResponseSLA[#All],(MATCH((G374),ResponseSLA[Priority],0))+1,3)),"YES","No")</f>
        <v>#N/A</v>
      </c>
      <c r="AI374" s="31" t="str">
        <f>_xlfn.IFNA(IF(AE374 &lt; (INDEX(SLATable[Minimum SLA],MATCH(G374,SLATable[Priority],0))),"YES","NO"),"")</f>
        <v/>
      </c>
      <c r="AJ374" t="str">
        <f>_xlfn.IFNA(IF(AE374 &lt; (INDEX(SLATable[Maximum SLA],MATCH(G374,SLATable[Priority],0))),"YES","NO"),"")</f>
        <v/>
      </c>
    </row>
    <row r="375" spans="26:36" ht="15" customHeight="1">
      <c r="Z375" s="76" t="e">
        <f t="shared" ca="1" si="40"/>
        <v>#N/A</v>
      </c>
      <c r="AA375" s="75" t="e">
        <f t="shared" ca="1" si="41"/>
        <v>#N/A</v>
      </c>
      <c r="AB375" s="76">
        <f t="shared" ca="1" si="42"/>
        <v>0</v>
      </c>
      <c r="AC375" s="75">
        <f t="shared" ca="1" si="43"/>
        <v>0</v>
      </c>
      <c r="AD375" s="76">
        <f t="shared" ca="1" si="44"/>
        <v>12388.425643402781</v>
      </c>
      <c r="AE375" s="76">
        <f t="shared" si="45"/>
        <v>0</v>
      </c>
      <c r="AF375" s="75">
        <f t="shared" si="46"/>
        <v>0</v>
      </c>
      <c r="AG375" s="76">
        <f t="shared" si="39"/>
        <v>0</v>
      </c>
      <c r="AH375" s="31" t="e" cm="1">
        <f t="array" aca="1" ref="AH375" ca="1">IF((AD375) &lt; (INDEX(ResponseSLA[#All],(MATCH((G375),ResponseSLA[Priority],0))+1,3)),"YES","No")</f>
        <v>#N/A</v>
      </c>
      <c r="AI375" s="31" t="str">
        <f>_xlfn.IFNA(IF(AE375 &lt; (INDEX(SLATable[Minimum SLA],MATCH(G375,SLATable[Priority],0))),"YES","NO"),"")</f>
        <v/>
      </c>
      <c r="AJ375" t="str">
        <f>_xlfn.IFNA(IF(AE375 &lt; (INDEX(SLATable[Maximum SLA],MATCH(G375,SLATable[Priority],0))),"YES","NO"),"")</f>
        <v/>
      </c>
    </row>
    <row r="376" spans="26:36" ht="15" customHeight="1">
      <c r="Z376" s="76" t="e">
        <f t="shared" ca="1" si="40"/>
        <v>#N/A</v>
      </c>
      <c r="AA376" s="75" t="e">
        <f t="shared" ca="1" si="41"/>
        <v>#N/A</v>
      </c>
      <c r="AB376" s="76">
        <f t="shared" ca="1" si="42"/>
        <v>0</v>
      </c>
      <c r="AC376" s="75">
        <f t="shared" ca="1" si="43"/>
        <v>0</v>
      </c>
      <c r="AD376" s="76">
        <f t="shared" ca="1" si="44"/>
        <v>12388.425643402781</v>
      </c>
      <c r="AE376" s="76">
        <f t="shared" si="45"/>
        <v>0</v>
      </c>
      <c r="AF376" s="75">
        <f t="shared" si="46"/>
        <v>0</v>
      </c>
      <c r="AG376" s="76">
        <f t="shared" si="39"/>
        <v>0</v>
      </c>
      <c r="AH376" s="31" t="e" cm="1">
        <f t="array" aca="1" ref="AH376" ca="1">IF((AD376) &lt; (INDEX(ResponseSLA[#All],(MATCH((G376),ResponseSLA[Priority],0))+1,3)),"YES","No")</f>
        <v>#N/A</v>
      </c>
      <c r="AI376" s="31" t="str">
        <f>_xlfn.IFNA(IF(AE376 &lt; (INDEX(SLATable[Minimum SLA],MATCH(G376,SLATable[Priority],0))),"YES","NO"),"")</f>
        <v/>
      </c>
      <c r="AJ376" t="str">
        <f>_xlfn.IFNA(IF(AE376 &lt; (INDEX(SLATable[Maximum SLA],MATCH(G376,SLATable[Priority],0))),"YES","NO"),"")</f>
        <v/>
      </c>
    </row>
    <row r="377" spans="26:36" ht="15" customHeight="1">
      <c r="Z377" s="76" t="e">
        <f t="shared" ca="1" si="40"/>
        <v>#N/A</v>
      </c>
      <c r="AA377" s="75" t="e">
        <f t="shared" ca="1" si="41"/>
        <v>#N/A</v>
      </c>
      <c r="AB377" s="76">
        <f t="shared" ca="1" si="42"/>
        <v>0</v>
      </c>
      <c r="AC377" s="75">
        <f t="shared" ca="1" si="43"/>
        <v>0</v>
      </c>
      <c r="AD377" s="76">
        <f t="shared" ca="1" si="44"/>
        <v>12388.425643402781</v>
      </c>
      <c r="AE377" s="76">
        <f t="shared" si="45"/>
        <v>0</v>
      </c>
      <c r="AF377" s="75">
        <f t="shared" si="46"/>
        <v>0</v>
      </c>
      <c r="AG377" s="76">
        <f t="shared" si="39"/>
        <v>0</v>
      </c>
      <c r="AH377" s="31" t="e" cm="1">
        <f t="array" aca="1" ref="AH377" ca="1">IF((AD377) &lt; (INDEX(ResponseSLA[#All],(MATCH((G377),ResponseSLA[Priority],0))+1,3)),"YES","No")</f>
        <v>#N/A</v>
      </c>
      <c r="AI377" s="31" t="str">
        <f>_xlfn.IFNA(IF(AE377 &lt; (INDEX(SLATable[Minimum SLA],MATCH(G377,SLATable[Priority],0))),"YES","NO"),"")</f>
        <v/>
      </c>
      <c r="AJ377" t="str">
        <f>_xlfn.IFNA(IF(AE377 &lt; (INDEX(SLATable[Maximum SLA],MATCH(G377,SLATable[Priority],0))),"YES","NO"),"")</f>
        <v/>
      </c>
    </row>
    <row r="378" spans="26:36" ht="15" customHeight="1">
      <c r="Z378" s="76" t="e">
        <f t="shared" ca="1" si="40"/>
        <v>#N/A</v>
      </c>
      <c r="AA378" s="75" t="e">
        <f t="shared" ca="1" si="41"/>
        <v>#N/A</v>
      </c>
      <c r="AB378" s="76">
        <f t="shared" ca="1" si="42"/>
        <v>0</v>
      </c>
      <c r="AC378" s="75">
        <f t="shared" ca="1" si="43"/>
        <v>0</v>
      </c>
      <c r="AD378" s="76">
        <f t="shared" ca="1" si="44"/>
        <v>12388.425643402781</v>
      </c>
      <c r="AE378" s="76">
        <f t="shared" si="45"/>
        <v>0</v>
      </c>
      <c r="AF378" s="75">
        <f t="shared" si="46"/>
        <v>0</v>
      </c>
      <c r="AG378" s="76">
        <f t="shared" si="39"/>
        <v>0</v>
      </c>
      <c r="AH378" s="31" t="e" cm="1">
        <f t="array" aca="1" ref="AH378" ca="1">IF((AD378) &lt; (INDEX(ResponseSLA[#All],(MATCH((G378),ResponseSLA[Priority],0))+1,3)),"YES","No")</f>
        <v>#N/A</v>
      </c>
      <c r="AI378" s="31" t="str">
        <f>_xlfn.IFNA(IF(AE378 &lt; (INDEX(SLATable[Minimum SLA],MATCH(G378,SLATable[Priority],0))),"YES","NO"),"")</f>
        <v/>
      </c>
      <c r="AJ378" t="str">
        <f>_xlfn.IFNA(IF(AE378 &lt; (INDEX(SLATable[Maximum SLA],MATCH(G378,SLATable[Priority],0))),"YES","NO"),"")</f>
        <v/>
      </c>
    </row>
    <row r="379" spans="26:36" ht="15" customHeight="1">
      <c r="Z379" s="76" t="e">
        <f t="shared" ca="1" si="40"/>
        <v>#N/A</v>
      </c>
      <c r="AA379" s="75" t="e">
        <f t="shared" ca="1" si="41"/>
        <v>#N/A</v>
      </c>
      <c r="AB379" s="76">
        <f t="shared" ca="1" si="42"/>
        <v>0</v>
      </c>
      <c r="AC379" s="75">
        <f t="shared" ca="1" si="43"/>
        <v>0</v>
      </c>
      <c r="AD379" s="76">
        <f t="shared" ca="1" si="44"/>
        <v>12388.425643402781</v>
      </c>
      <c r="AE379" s="76">
        <f t="shared" si="45"/>
        <v>0</v>
      </c>
      <c r="AF379" s="75">
        <f t="shared" si="46"/>
        <v>0</v>
      </c>
      <c r="AG379" s="76">
        <f t="shared" si="39"/>
        <v>0</v>
      </c>
      <c r="AH379" s="31" t="e" cm="1">
        <f t="array" aca="1" ref="AH379" ca="1">IF((AD379) &lt; (INDEX(ResponseSLA[#All],(MATCH((G379),ResponseSLA[Priority],0))+1,3)),"YES","No")</f>
        <v>#N/A</v>
      </c>
      <c r="AI379" s="31" t="str">
        <f>_xlfn.IFNA(IF(AE379 &lt; (INDEX(SLATable[Minimum SLA],MATCH(G379,SLATable[Priority],0))),"YES","NO"),"")</f>
        <v/>
      </c>
      <c r="AJ379" t="str">
        <f>_xlfn.IFNA(IF(AE379 &lt; (INDEX(SLATable[Maximum SLA],MATCH(G379,SLATable[Priority],0))),"YES","NO"),"")</f>
        <v/>
      </c>
    </row>
    <row r="380" spans="26:36" ht="15" customHeight="1">
      <c r="Z380" s="76" t="e">
        <f t="shared" ca="1" si="40"/>
        <v>#N/A</v>
      </c>
      <c r="AA380" s="75" t="e">
        <f t="shared" ca="1" si="41"/>
        <v>#N/A</v>
      </c>
      <c r="AB380" s="76">
        <f t="shared" ca="1" si="42"/>
        <v>0</v>
      </c>
      <c r="AC380" s="75">
        <f t="shared" ca="1" si="43"/>
        <v>0</v>
      </c>
      <c r="AD380" s="76">
        <f t="shared" ca="1" si="44"/>
        <v>12388.425643402781</v>
      </c>
      <c r="AE380" s="76">
        <f t="shared" si="45"/>
        <v>0</v>
      </c>
      <c r="AF380" s="75">
        <f t="shared" si="46"/>
        <v>0</v>
      </c>
      <c r="AG380" s="76">
        <f t="shared" si="39"/>
        <v>0</v>
      </c>
      <c r="AH380" s="31" t="e" cm="1">
        <f t="array" aca="1" ref="AH380" ca="1">IF((AD380) &lt; (INDEX(ResponseSLA[#All],(MATCH((G380),ResponseSLA[Priority],0))+1,3)),"YES","No")</f>
        <v>#N/A</v>
      </c>
      <c r="AI380" s="31" t="str">
        <f>_xlfn.IFNA(IF(AE380 &lt; (INDEX(SLATable[Minimum SLA],MATCH(G380,SLATable[Priority],0))),"YES","NO"),"")</f>
        <v/>
      </c>
      <c r="AJ380" t="str">
        <f>_xlfn.IFNA(IF(AE380 &lt; (INDEX(SLATable[Maximum SLA],MATCH(G380,SLATable[Priority],0))),"YES","NO"),"")</f>
        <v/>
      </c>
    </row>
    <row r="381" spans="26:36" ht="15" customHeight="1">
      <c r="Z381" s="76" t="e">
        <f t="shared" ca="1" si="40"/>
        <v>#N/A</v>
      </c>
      <c r="AA381" s="75" t="e">
        <f t="shared" ca="1" si="41"/>
        <v>#N/A</v>
      </c>
      <c r="AB381" s="76">
        <f t="shared" ca="1" si="42"/>
        <v>0</v>
      </c>
      <c r="AC381" s="75">
        <f t="shared" ca="1" si="43"/>
        <v>0</v>
      </c>
      <c r="AD381" s="76">
        <f t="shared" ca="1" si="44"/>
        <v>12388.425643402781</v>
      </c>
      <c r="AE381" s="76">
        <f t="shared" si="45"/>
        <v>0</v>
      </c>
      <c r="AF381" s="75">
        <f t="shared" si="46"/>
        <v>0</v>
      </c>
      <c r="AG381" s="76">
        <f t="shared" si="39"/>
        <v>0</v>
      </c>
      <c r="AH381" s="31" t="e" cm="1">
        <f t="array" aca="1" ref="AH381" ca="1">IF((AD381) &lt; (INDEX(ResponseSLA[#All],(MATCH((G381),ResponseSLA[Priority],0))+1,3)),"YES","No")</f>
        <v>#N/A</v>
      </c>
      <c r="AI381" s="31" t="str">
        <f>_xlfn.IFNA(IF(AE381 &lt; (INDEX(SLATable[Minimum SLA],MATCH(G381,SLATable[Priority],0))),"YES","NO"),"")</f>
        <v/>
      </c>
      <c r="AJ381" t="str">
        <f>_xlfn.IFNA(IF(AE381 &lt; (INDEX(SLATable[Maximum SLA],MATCH(G381,SLATable[Priority],0))),"YES","NO"),"")</f>
        <v/>
      </c>
    </row>
    <row r="382" spans="26:36" ht="15" customHeight="1">
      <c r="Z382" s="76" t="e">
        <f t="shared" ca="1" si="40"/>
        <v>#N/A</v>
      </c>
      <c r="AA382" s="75" t="e">
        <f t="shared" ca="1" si="41"/>
        <v>#N/A</v>
      </c>
      <c r="AB382" s="76">
        <f t="shared" ca="1" si="42"/>
        <v>0</v>
      </c>
      <c r="AC382" s="75">
        <f t="shared" ca="1" si="43"/>
        <v>0</v>
      </c>
      <c r="AD382" s="76">
        <f t="shared" ca="1" si="44"/>
        <v>12388.425643402781</v>
      </c>
      <c r="AE382" s="76">
        <f t="shared" si="45"/>
        <v>0</v>
      </c>
      <c r="AF382" s="75">
        <f t="shared" si="46"/>
        <v>0</v>
      </c>
      <c r="AG382" s="76">
        <f t="shared" si="39"/>
        <v>0</v>
      </c>
      <c r="AH382" s="31" t="e" cm="1">
        <f t="array" aca="1" ref="AH382" ca="1">IF((AD382) &lt; (INDEX(ResponseSLA[#All],(MATCH((G382),ResponseSLA[Priority],0))+1,3)),"YES","No")</f>
        <v>#N/A</v>
      </c>
      <c r="AI382" s="31" t="str">
        <f>_xlfn.IFNA(IF(AE382 &lt; (INDEX(SLATable[Minimum SLA],MATCH(G382,SLATable[Priority],0))),"YES","NO"),"")</f>
        <v/>
      </c>
      <c r="AJ382" t="str">
        <f>_xlfn.IFNA(IF(AE382 &lt; (INDEX(SLATable[Maximum SLA],MATCH(G382,SLATable[Priority],0))),"YES","NO"),"")</f>
        <v/>
      </c>
    </row>
    <row r="383" spans="26:36" ht="15" customHeight="1">
      <c r="Z383" s="76" t="e">
        <f t="shared" ca="1" si="40"/>
        <v>#N/A</v>
      </c>
      <c r="AA383" s="75" t="e">
        <f t="shared" ca="1" si="41"/>
        <v>#N/A</v>
      </c>
      <c r="AB383" s="76">
        <f t="shared" ca="1" si="42"/>
        <v>0</v>
      </c>
      <c r="AC383" s="75">
        <f t="shared" ca="1" si="43"/>
        <v>0</v>
      </c>
      <c r="AD383" s="76">
        <f t="shared" ca="1" si="44"/>
        <v>12388.425643402781</v>
      </c>
      <c r="AE383" s="76">
        <f t="shared" si="45"/>
        <v>0</v>
      </c>
      <c r="AF383" s="75">
        <f t="shared" si="46"/>
        <v>0</v>
      </c>
      <c r="AG383" s="76">
        <f t="shared" si="39"/>
        <v>0</v>
      </c>
      <c r="AH383" s="31" t="e" cm="1">
        <f t="array" aca="1" ref="AH383" ca="1">IF((AD383) &lt; (INDEX(ResponseSLA[#All],(MATCH((G383),ResponseSLA[Priority],0))+1,3)),"YES","No")</f>
        <v>#N/A</v>
      </c>
      <c r="AI383" s="31" t="str">
        <f>_xlfn.IFNA(IF(AE383 &lt; (INDEX(SLATable[Minimum SLA],MATCH(G383,SLATable[Priority],0))),"YES","NO"),"")</f>
        <v/>
      </c>
      <c r="AJ383" t="str">
        <f>_xlfn.IFNA(IF(AE383 &lt; (INDEX(SLATable[Maximum SLA],MATCH(G383,SLATable[Priority],0))),"YES","NO"),"")</f>
        <v/>
      </c>
    </row>
    <row r="384" spans="26:36" ht="15" customHeight="1">
      <c r="Z384" s="76" t="e">
        <f t="shared" ca="1" si="40"/>
        <v>#N/A</v>
      </c>
      <c r="AA384" s="75" t="e">
        <f t="shared" ca="1" si="41"/>
        <v>#N/A</v>
      </c>
      <c r="AB384" s="76">
        <f t="shared" ca="1" si="42"/>
        <v>0</v>
      </c>
      <c r="AC384" s="75">
        <f t="shared" ca="1" si="43"/>
        <v>0</v>
      </c>
      <c r="AD384" s="76">
        <f t="shared" ca="1" si="44"/>
        <v>12388.425643402781</v>
      </c>
      <c r="AE384" s="76">
        <f t="shared" si="45"/>
        <v>0</v>
      </c>
      <c r="AF384" s="75">
        <f t="shared" si="46"/>
        <v>0</v>
      </c>
      <c r="AG384" s="76">
        <f t="shared" si="39"/>
        <v>0</v>
      </c>
      <c r="AH384" s="31" t="e" cm="1">
        <f t="array" aca="1" ref="AH384" ca="1">IF((AD384) &lt; (INDEX(ResponseSLA[#All],(MATCH((G384),ResponseSLA[Priority],0))+1,3)),"YES","No")</f>
        <v>#N/A</v>
      </c>
      <c r="AI384" s="31" t="str">
        <f>_xlfn.IFNA(IF(AE384 &lt; (INDEX(SLATable[Minimum SLA],MATCH(G384,SLATable[Priority],0))),"YES","NO"),"")</f>
        <v/>
      </c>
      <c r="AJ384" t="str">
        <f>_xlfn.IFNA(IF(AE384 &lt; (INDEX(SLATable[Maximum SLA],MATCH(G384,SLATable[Priority],0))),"YES","NO"),"")</f>
        <v/>
      </c>
    </row>
    <row r="385" spans="26:36" ht="15" customHeight="1">
      <c r="Z385" s="76" t="e">
        <f t="shared" ca="1" si="40"/>
        <v>#N/A</v>
      </c>
      <c r="AA385" s="75" t="e">
        <f t="shared" ca="1" si="41"/>
        <v>#N/A</v>
      </c>
      <c r="AB385" s="76">
        <f t="shared" ca="1" si="42"/>
        <v>0</v>
      </c>
      <c r="AC385" s="75">
        <f t="shared" ca="1" si="43"/>
        <v>0</v>
      </c>
      <c r="AD385" s="76">
        <f t="shared" ca="1" si="44"/>
        <v>12388.425643402781</v>
      </c>
      <c r="AE385" s="76">
        <f t="shared" si="45"/>
        <v>0</v>
      </c>
      <c r="AF385" s="75">
        <f t="shared" si="46"/>
        <v>0</v>
      </c>
      <c r="AG385" s="76">
        <f t="shared" ref="AG385:AG448" si="47">AF385</f>
        <v>0</v>
      </c>
      <c r="AH385" s="31" t="e" cm="1">
        <f t="array" aca="1" ref="AH385" ca="1">IF((AD385) &lt; (INDEX(ResponseSLA[#All],(MATCH((G385),ResponseSLA[Priority],0))+1,3)),"YES","No")</f>
        <v>#N/A</v>
      </c>
      <c r="AI385" s="31" t="str">
        <f>_xlfn.IFNA(IF(AE385 &lt; (INDEX(SLATable[Minimum SLA],MATCH(G385,SLATable[Priority],0))),"YES","NO"),"")</f>
        <v/>
      </c>
      <c r="AJ385" t="str">
        <f>_xlfn.IFNA(IF(AE385 &lt; (INDEX(SLATable[Maximum SLA],MATCH(G385,SLATable[Priority],0))),"YES","NO"),"")</f>
        <v/>
      </c>
    </row>
    <row r="386" spans="26:36" ht="15" customHeight="1">
      <c r="Z386" s="76" t="e">
        <f t="shared" ca="1" si="40"/>
        <v>#N/A</v>
      </c>
      <c r="AA386" s="75" t="e">
        <f t="shared" ca="1" si="41"/>
        <v>#N/A</v>
      </c>
      <c r="AB386" s="76">
        <f t="shared" ca="1" si="42"/>
        <v>0</v>
      </c>
      <c r="AC386" s="75">
        <f t="shared" ca="1" si="43"/>
        <v>0</v>
      </c>
      <c r="AD386" s="76">
        <f t="shared" ca="1" si="44"/>
        <v>12388.425643402781</v>
      </c>
      <c r="AE386" s="76">
        <f t="shared" si="45"/>
        <v>0</v>
      </c>
      <c r="AF386" s="75">
        <f t="shared" si="46"/>
        <v>0</v>
      </c>
      <c r="AG386" s="76">
        <f t="shared" si="47"/>
        <v>0</v>
      </c>
      <c r="AH386" s="31" t="e" cm="1">
        <f t="array" aca="1" ref="AH386" ca="1">IF((AD386) &lt; (INDEX(ResponseSLA[#All],(MATCH((G386),ResponseSLA[Priority],0))+1,3)),"YES","No")</f>
        <v>#N/A</v>
      </c>
      <c r="AI386" s="31" t="str">
        <f>_xlfn.IFNA(IF(AE386 &lt; (INDEX(SLATable[Minimum SLA],MATCH(G386,SLATable[Priority],0))),"YES","NO"),"")</f>
        <v/>
      </c>
      <c r="AJ386" t="str">
        <f>_xlfn.IFNA(IF(AE386 &lt; (INDEX(SLATable[Maximum SLA],MATCH(G386,SLATable[Priority],0))),"YES","NO"),"")</f>
        <v/>
      </c>
    </row>
    <row r="387" spans="26:36" ht="15" customHeight="1">
      <c r="Z387" s="76" t="e">
        <f t="shared" ref="Z387:Z450" ca="1" si="48">IF(NOT(OR(G387=1,G387=2)),MAX(0,_xlfn.IFS(AND(K387&lt;&gt;"",N387&lt;&gt;""),((MAX(NETWORKDAYS(K387,N387,UKBankHolidays)-1,0))*(TIME(17,0,0)-TIME(8,0,0))+IF(NETWORKDAYS(N387,N387,UKBankHolidays)&gt;0,MEDIAN(TIME(8,0,0),MOD(N387,1),TIME(17,0,0)),TIME(8,0,0))-IF(NETWORKDAYS(K387,K387,UKBankHolidays)&gt;0,MEDIAN(TIME(8,0,0),MOD(K387,1),TIME(17,0,0)),TIME(8,0,0)))-IF(AND(O387&lt;&gt;"",P387&lt;&gt;""),((MAX(NETWORKDAYS(O387,P387,UKBankHolidays)-1,0))*(TIME(17,0,0)-TIME(8,0,0))+IF(NETWORKDAYS(P387,P387,UKBankHolidays)&gt;0,MEDIAN(TIME(8,0,0),MOD(P387,1),TIME(17,0,0)),TIME(8,0,0))-IF(NETWORKDAYS(O387,O387,UKBankHolidays)&gt;0,MEDIAN(TIME(8,0,0),MOD(O387,1),TIME(17,0,0)),TIME(8,0,0))),0),AND(K387&lt;&gt;"",N387=""),((MAX(NETWORKDAYS(K387,NOW(),UKBankHolidays)-1,0))*(TIME(17,0,0)-TIME(8,0,0))+IF(NETWORKDAYS(NOW(),NOW(),UKBankHolidays)&gt;0,MEDIAN(TIME(8,0,0),MOD(NOW(),1),TIME(17,0,0)),TIME(8,0,0))-IF(NETWORKDAYS(K387,K387,UKBankHolidays)&gt;0,MEDIAN(TIME(8,0,0),MOD(K387,1),TIME(17,0,0)),TIME(8,0,0))))),IF(N387="",NOW()-K387,N387-K387))</f>
        <v>#N/A</v>
      </c>
      <c r="AA387" s="75" t="e">
        <f t="shared" ref="AA387:AA450" ca="1" si="49">(Z387*24)/9</f>
        <v>#N/A</v>
      </c>
      <c r="AB387" s="76">
        <f t="shared" ref="AB387:AB450" ca="1" si="50">IF(NOT(OR(G387=1,G387=2)),MAX(0,_xlfn.IFS(AND(K387&lt;&gt;"",N387&lt;&gt;""),(((MAX(NETWORKDAYS(L387,N387,UKBankHolidays)-1,0))*(TIME(17,0,0)-TIME(8,0,0)))+IF(NETWORKDAYS(N387,N387,UKBankHolidays)&gt;0,MEDIAN(TIME(8,0,0),MOD(N387,1),TIME(17,0,0)),TIME(8,0,0))-IF(NETWORKDAYS(L387,L387,UKBankHolidays)&gt;0,MEDIAN(TIME(8,0,0),MOD(L387,1),TIME(17,0,0)),TIME(8,0,0)))-IF(AND(O387&lt;&gt;"",P387&lt;&gt;""),(((MAX(NETWORKDAYS(O387,P387,UKBankHolidays)-1,0))*(TIME(17,0,0)-TIME(8,0,0)))+IF(NETWORKDAYS(P387,P387,UKBankHolidays)&gt;0,MEDIAN(TIME(8,0,0),MOD(P387,1),TIME(17,0,0)),TIME(8,0,0))-IF(NETWORKDAYS(O387,O387,UKBankHolidays)&gt;0,MEDIAN(TIME(8,0,0),MOD(O387,1),TIME(17,0,0)),TIME(8,0,0))),0),AND(L387&lt;&gt;"",N387="",O387=""),(((MAX(NETWORKDAYS(L387,NOW(),UKBankHolidays)-1,0))*(TIME(17,0,0)-TIME(8,0,0)))+IF(NETWORKDAYS(NOW(),NOW(),UKBankHolidays)&gt;0,MEDIAN(TIME(8,0,0),MOD(NOW(),1),TIME(17,0,0)),TIME(8,0,0))-IF(NETWORKDAYS(L387,L387,UKBankHolidays)&gt;0,MEDIAN(TIME(8,0,0),MOD(L387,1),TIME(17,0,0)),TIME(8,0,0)))-IF(AND(O387&lt;&gt;"",P387&lt;&gt;""),(((MAX(NETWORKDAYS(O387,P387,UKBankHolidays)-1,0))*(TIME(17,0,0)-TIME(8,0,0)))+IF(NETWORKDAYS(P387,P387,UKBankHolidays)&gt;0,MEDIAN(TIME(8,0,0),MOD(P387,1),TIME(17,0,0)),TIME(8,0,0))-IF(NETWORKDAYS(O387,O387,UKBankHolidays)&gt;0,MEDIAN(TIME(8,0,0),MOD(O387,1),TIME(17,0,0)),TIME(8,0,0))),0),AND(L387&lt;&gt;"",N387="",P387="",O387&lt;&gt;""),(((MAX(NETWORKDAYS(L387,O387,UKBankHolidays)-1,0))*(TIME(17,0,0)-TIME(8,0,0)))+IF(NETWORKDAYS(O387,O387,UKBankHolidays)&gt;0,MEDIAN(TIME(8,0,0),MOD(O387,1),TIME(17,0,0)),TIME(8,0,0))-IF(NETWORKDAYS(L387,L387,UKBankHolidays)&gt;0,MEDIAN(TIME(8,0,0),MOD(L387,1),TIME(17,0,0)),TIME(8,0,0))),ISBLANK(K387),"0")),IF(ISBLANK(N387),NOW()-L387,N387-L387))</f>
        <v>0</v>
      </c>
      <c r="AC387" s="75">
        <f t="shared" ref="AC387:AC450" ca="1" si="51">(AB387*24)/9</f>
        <v>0</v>
      </c>
      <c r="AD387" s="76">
        <f t="shared" ref="AD387:AD450" ca="1" si="52">MAX(0,IF(NOT(OR(G387=1,G387=2)),IF(M387&lt;&gt;"",((MAX(NETWORKDAYS(L387,M387,UKBankHolidays)-1,0))*(TIME(17,0,0)-TIME(8,0,0))+IF(NETWORKDAYS(M387,M387,UKBankHolidays)&gt;0,MEDIAN(TIME(8,0,0),MOD(M387,1),TIME(17,0,0)),TIME(8,0,0))-MEDIAN(TIME(8,0,0),MOD(L387,1),TIME(17,0,0))),((MAX(NETWORKDAYS(L387,NOW(),UKBankHolidays)-1,0))*(TIME(17,0,0)-TIME(8,0,0))+IF(NETWORKDAYS(NOW(),NOW(),UKBankHolidays)&gt;0,MEDIAN(TIME(8,0,0),MOD(NOW(),1),TIME(17,0,0)),TIME(8,0,0))-MEDIAN(TIME(8,0,0),MOD(L387,1),TIME(17,0,0)))),IF(M387&lt;&gt;"",M387-L387,NOW()-L387)))</f>
        <v>12388.425643402781</v>
      </c>
      <c r="AE387" s="76">
        <f t="shared" ref="AE387:AE450" si="53">SUMIFS(AB:AB,E:E,E387)</f>
        <v>0</v>
      </c>
      <c r="AF387" s="75">
        <f t="shared" ref="AF387:AF450" si="54">(AE387*24)/9</f>
        <v>0</v>
      </c>
      <c r="AG387" s="76">
        <f t="shared" si="47"/>
        <v>0</v>
      </c>
      <c r="AH387" s="31" t="e" cm="1">
        <f t="array" aca="1" ref="AH387" ca="1">IF((AD387) &lt; (INDEX(ResponseSLA[#All],(MATCH((G387),ResponseSLA[Priority],0))+1,3)),"YES","No")</f>
        <v>#N/A</v>
      </c>
      <c r="AI387" s="31" t="str">
        <f>_xlfn.IFNA(IF(AE387 &lt; (INDEX(SLATable[Minimum SLA],MATCH(G387,SLATable[Priority],0))),"YES","NO"),"")</f>
        <v/>
      </c>
      <c r="AJ387" t="str">
        <f>_xlfn.IFNA(IF(AE387 &lt; (INDEX(SLATable[Maximum SLA],MATCH(G387,SLATable[Priority],0))),"YES","NO"),"")</f>
        <v/>
      </c>
    </row>
    <row r="388" spans="26:36" ht="15" customHeight="1">
      <c r="Z388" s="76" t="e">
        <f t="shared" ca="1" si="48"/>
        <v>#N/A</v>
      </c>
      <c r="AA388" s="75" t="e">
        <f t="shared" ca="1" si="49"/>
        <v>#N/A</v>
      </c>
      <c r="AB388" s="76">
        <f t="shared" ca="1" si="50"/>
        <v>0</v>
      </c>
      <c r="AC388" s="75">
        <f t="shared" ca="1" si="51"/>
        <v>0</v>
      </c>
      <c r="AD388" s="76">
        <f t="shared" ca="1" si="52"/>
        <v>12388.425643402781</v>
      </c>
      <c r="AE388" s="76">
        <f t="shared" si="53"/>
        <v>0</v>
      </c>
      <c r="AF388" s="75">
        <f t="shared" si="54"/>
        <v>0</v>
      </c>
      <c r="AG388" s="76">
        <f t="shared" si="47"/>
        <v>0</v>
      </c>
      <c r="AH388" s="31" t="e" cm="1">
        <f t="array" aca="1" ref="AH388" ca="1">IF((AD388) &lt; (INDEX(ResponseSLA[#All],(MATCH((G388),ResponseSLA[Priority],0))+1,3)),"YES","No")</f>
        <v>#N/A</v>
      </c>
      <c r="AI388" s="31" t="str">
        <f>_xlfn.IFNA(IF(AE388 &lt; (INDEX(SLATable[Minimum SLA],MATCH(G388,SLATable[Priority],0))),"YES","NO"),"")</f>
        <v/>
      </c>
      <c r="AJ388" t="str">
        <f>_xlfn.IFNA(IF(AE388 &lt; (INDEX(SLATable[Maximum SLA],MATCH(G388,SLATable[Priority],0))),"YES","NO"),"")</f>
        <v/>
      </c>
    </row>
    <row r="389" spans="26:36" ht="15" customHeight="1">
      <c r="Z389" s="76" t="e">
        <f t="shared" ca="1" si="48"/>
        <v>#N/A</v>
      </c>
      <c r="AA389" s="75" t="e">
        <f t="shared" ca="1" si="49"/>
        <v>#N/A</v>
      </c>
      <c r="AB389" s="76">
        <f t="shared" ca="1" si="50"/>
        <v>0</v>
      </c>
      <c r="AC389" s="75">
        <f t="shared" ca="1" si="51"/>
        <v>0</v>
      </c>
      <c r="AD389" s="76">
        <f t="shared" ca="1" si="52"/>
        <v>12388.425643402781</v>
      </c>
      <c r="AE389" s="76">
        <f t="shared" si="53"/>
        <v>0</v>
      </c>
      <c r="AF389" s="75">
        <f t="shared" si="54"/>
        <v>0</v>
      </c>
      <c r="AG389" s="76">
        <f t="shared" si="47"/>
        <v>0</v>
      </c>
      <c r="AH389" s="31" t="e" cm="1">
        <f t="array" aca="1" ref="AH389" ca="1">IF((AD389) &lt; (INDEX(ResponseSLA[#All],(MATCH((G389),ResponseSLA[Priority],0))+1,3)),"YES","No")</f>
        <v>#N/A</v>
      </c>
      <c r="AI389" s="31" t="str">
        <f>_xlfn.IFNA(IF(AE389 &lt; (INDEX(SLATable[Minimum SLA],MATCH(G389,SLATable[Priority],0))),"YES","NO"),"")</f>
        <v/>
      </c>
      <c r="AJ389" t="str">
        <f>_xlfn.IFNA(IF(AE389 &lt; (INDEX(SLATable[Maximum SLA],MATCH(G389,SLATable[Priority],0))),"YES","NO"),"")</f>
        <v/>
      </c>
    </row>
    <row r="390" spans="26:36" ht="15" customHeight="1">
      <c r="Z390" s="76" t="e">
        <f t="shared" ca="1" si="48"/>
        <v>#N/A</v>
      </c>
      <c r="AA390" s="75" t="e">
        <f t="shared" ca="1" si="49"/>
        <v>#N/A</v>
      </c>
      <c r="AB390" s="76">
        <f t="shared" ca="1" si="50"/>
        <v>0</v>
      </c>
      <c r="AC390" s="75">
        <f t="shared" ca="1" si="51"/>
        <v>0</v>
      </c>
      <c r="AD390" s="76">
        <f t="shared" ca="1" si="52"/>
        <v>12388.425643402781</v>
      </c>
      <c r="AE390" s="76">
        <f t="shared" si="53"/>
        <v>0</v>
      </c>
      <c r="AF390" s="75">
        <f t="shared" si="54"/>
        <v>0</v>
      </c>
      <c r="AG390" s="76">
        <f t="shared" si="47"/>
        <v>0</v>
      </c>
      <c r="AH390" s="31" t="e" cm="1">
        <f t="array" aca="1" ref="AH390" ca="1">IF((AD390) &lt; (INDEX(ResponseSLA[#All],(MATCH((G390),ResponseSLA[Priority],0))+1,3)),"YES","No")</f>
        <v>#N/A</v>
      </c>
      <c r="AI390" s="31" t="str">
        <f>_xlfn.IFNA(IF(AE390 &lt; (INDEX(SLATable[Minimum SLA],MATCH(G390,SLATable[Priority],0))),"YES","NO"),"")</f>
        <v/>
      </c>
      <c r="AJ390" t="str">
        <f>_xlfn.IFNA(IF(AE390 &lt; (INDEX(SLATable[Maximum SLA],MATCH(G390,SLATable[Priority],0))),"YES","NO"),"")</f>
        <v/>
      </c>
    </row>
    <row r="391" spans="26:36" ht="15" customHeight="1">
      <c r="Z391" s="76" t="e">
        <f t="shared" ca="1" si="48"/>
        <v>#N/A</v>
      </c>
      <c r="AA391" s="75" t="e">
        <f t="shared" ca="1" si="49"/>
        <v>#N/A</v>
      </c>
      <c r="AB391" s="76">
        <f t="shared" ca="1" si="50"/>
        <v>0</v>
      </c>
      <c r="AC391" s="75">
        <f t="shared" ca="1" si="51"/>
        <v>0</v>
      </c>
      <c r="AD391" s="76">
        <f t="shared" ca="1" si="52"/>
        <v>12388.425643402781</v>
      </c>
      <c r="AE391" s="76">
        <f t="shared" si="53"/>
        <v>0</v>
      </c>
      <c r="AF391" s="75">
        <f t="shared" si="54"/>
        <v>0</v>
      </c>
      <c r="AG391" s="76">
        <f t="shared" si="47"/>
        <v>0</v>
      </c>
      <c r="AH391" s="31" t="e" cm="1">
        <f t="array" aca="1" ref="AH391" ca="1">IF((AD391) &lt; (INDEX(ResponseSLA[#All],(MATCH((G391),ResponseSLA[Priority],0))+1,3)),"YES","No")</f>
        <v>#N/A</v>
      </c>
      <c r="AI391" s="31" t="str">
        <f>_xlfn.IFNA(IF(AE391 &lt; (INDEX(SLATable[Minimum SLA],MATCH(G391,SLATable[Priority],0))),"YES","NO"),"")</f>
        <v/>
      </c>
      <c r="AJ391" t="str">
        <f>_xlfn.IFNA(IF(AE391 &lt; (INDEX(SLATable[Maximum SLA],MATCH(G391,SLATable[Priority],0))),"YES","NO"),"")</f>
        <v/>
      </c>
    </row>
    <row r="392" spans="26:36" ht="15" customHeight="1">
      <c r="Z392" s="76" t="e">
        <f t="shared" ca="1" si="48"/>
        <v>#N/A</v>
      </c>
      <c r="AA392" s="75" t="e">
        <f t="shared" ca="1" si="49"/>
        <v>#N/A</v>
      </c>
      <c r="AB392" s="76">
        <f t="shared" ca="1" si="50"/>
        <v>0</v>
      </c>
      <c r="AC392" s="75">
        <f t="shared" ca="1" si="51"/>
        <v>0</v>
      </c>
      <c r="AD392" s="76">
        <f t="shared" ca="1" si="52"/>
        <v>12388.425643402781</v>
      </c>
      <c r="AE392" s="76">
        <f t="shared" si="53"/>
        <v>0</v>
      </c>
      <c r="AF392" s="75">
        <f t="shared" si="54"/>
        <v>0</v>
      </c>
      <c r="AG392" s="76">
        <f t="shared" si="47"/>
        <v>0</v>
      </c>
      <c r="AH392" s="31" t="e" cm="1">
        <f t="array" aca="1" ref="AH392" ca="1">IF((AD392) &lt; (INDEX(ResponseSLA[#All],(MATCH((G392),ResponseSLA[Priority],0))+1,3)),"YES","No")</f>
        <v>#N/A</v>
      </c>
      <c r="AI392" s="31" t="str">
        <f>_xlfn.IFNA(IF(AE392 &lt; (INDEX(SLATable[Minimum SLA],MATCH(G392,SLATable[Priority],0))),"YES","NO"),"")</f>
        <v/>
      </c>
      <c r="AJ392" t="str">
        <f>_xlfn.IFNA(IF(AE392 &lt; (INDEX(SLATable[Maximum SLA],MATCH(G392,SLATable[Priority],0))),"YES","NO"),"")</f>
        <v/>
      </c>
    </row>
    <row r="393" spans="26:36" ht="15" customHeight="1">
      <c r="Z393" s="76" t="e">
        <f t="shared" ca="1" si="48"/>
        <v>#N/A</v>
      </c>
      <c r="AA393" s="75" t="e">
        <f t="shared" ca="1" si="49"/>
        <v>#N/A</v>
      </c>
      <c r="AB393" s="76">
        <f t="shared" ca="1" si="50"/>
        <v>0</v>
      </c>
      <c r="AC393" s="75">
        <f t="shared" ca="1" si="51"/>
        <v>0</v>
      </c>
      <c r="AD393" s="76">
        <f t="shared" ca="1" si="52"/>
        <v>12388.425643402781</v>
      </c>
      <c r="AE393" s="76">
        <f t="shared" si="53"/>
        <v>0</v>
      </c>
      <c r="AF393" s="75">
        <f t="shared" si="54"/>
        <v>0</v>
      </c>
      <c r="AG393" s="76">
        <f t="shared" si="47"/>
        <v>0</v>
      </c>
      <c r="AH393" s="31" t="e" cm="1">
        <f t="array" aca="1" ref="AH393" ca="1">IF((AD393) &lt; (INDEX(ResponseSLA[#All],(MATCH((G393),ResponseSLA[Priority],0))+1,3)),"YES","No")</f>
        <v>#N/A</v>
      </c>
      <c r="AI393" s="31" t="str">
        <f>_xlfn.IFNA(IF(AE393 &lt; (INDEX(SLATable[Minimum SLA],MATCH(G393,SLATable[Priority],0))),"YES","NO"),"")</f>
        <v/>
      </c>
      <c r="AJ393" t="str">
        <f>_xlfn.IFNA(IF(AE393 &lt; (INDEX(SLATable[Maximum SLA],MATCH(G393,SLATable[Priority],0))),"YES","NO"),"")</f>
        <v/>
      </c>
    </row>
    <row r="394" spans="26:36" ht="15" customHeight="1">
      <c r="Z394" s="76" t="e">
        <f t="shared" ca="1" si="48"/>
        <v>#N/A</v>
      </c>
      <c r="AA394" s="75" t="e">
        <f t="shared" ca="1" si="49"/>
        <v>#N/A</v>
      </c>
      <c r="AB394" s="76">
        <f t="shared" ca="1" si="50"/>
        <v>0</v>
      </c>
      <c r="AC394" s="75">
        <f t="shared" ca="1" si="51"/>
        <v>0</v>
      </c>
      <c r="AD394" s="76">
        <f t="shared" ca="1" si="52"/>
        <v>12388.425643402781</v>
      </c>
      <c r="AE394" s="76">
        <f t="shared" si="53"/>
        <v>0</v>
      </c>
      <c r="AF394" s="75">
        <f t="shared" si="54"/>
        <v>0</v>
      </c>
      <c r="AG394" s="76">
        <f t="shared" si="47"/>
        <v>0</v>
      </c>
      <c r="AH394" s="31" t="e" cm="1">
        <f t="array" aca="1" ref="AH394" ca="1">IF((AD394) &lt; (INDEX(ResponseSLA[#All],(MATCH((G394),ResponseSLA[Priority],0))+1,3)),"YES","No")</f>
        <v>#N/A</v>
      </c>
      <c r="AI394" s="31" t="str">
        <f>_xlfn.IFNA(IF(AE394 &lt; (INDEX(SLATable[Minimum SLA],MATCH(G394,SLATable[Priority],0))),"YES","NO"),"")</f>
        <v/>
      </c>
      <c r="AJ394" t="str">
        <f>_xlfn.IFNA(IF(AE394 &lt; (INDEX(SLATable[Maximum SLA],MATCH(G394,SLATable[Priority],0))),"YES","NO"),"")</f>
        <v/>
      </c>
    </row>
    <row r="395" spans="26:36" ht="15" customHeight="1">
      <c r="Z395" s="76" t="e">
        <f t="shared" ca="1" si="48"/>
        <v>#N/A</v>
      </c>
      <c r="AA395" s="75" t="e">
        <f t="shared" ca="1" si="49"/>
        <v>#N/A</v>
      </c>
      <c r="AB395" s="76">
        <f t="shared" ca="1" si="50"/>
        <v>0</v>
      </c>
      <c r="AC395" s="75">
        <f t="shared" ca="1" si="51"/>
        <v>0</v>
      </c>
      <c r="AD395" s="76">
        <f t="shared" ca="1" si="52"/>
        <v>12388.425643402781</v>
      </c>
      <c r="AE395" s="76">
        <f t="shared" si="53"/>
        <v>0</v>
      </c>
      <c r="AF395" s="75">
        <f t="shared" si="54"/>
        <v>0</v>
      </c>
      <c r="AG395" s="76">
        <f t="shared" si="47"/>
        <v>0</v>
      </c>
      <c r="AH395" s="31" t="e" cm="1">
        <f t="array" aca="1" ref="AH395" ca="1">IF((AD395) &lt; (INDEX(ResponseSLA[#All],(MATCH((G395),ResponseSLA[Priority],0))+1,3)),"YES","No")</f>
        <v>#N/A</v>
      </c>
      <c r="AI395" s="31" t="str">
        <f>_xlfn.IFNA(IF(AE395 &lt; (INDEX(SLATable[Minimum SLA],MATCH(G395,SLATable[Priority],0))),"YES","NO"),"")</f>
        <v/>
      </c>
      <c r="AJ395" t="str">
        <f>_xlfn.IFNA(IF(AE395 &lt; (INDEX(SLATable[Maximum SLA],MATCH(G395,SLATable[Priority],0))),"YES","NO"),"")</f>
        <v/>
      </c>
    </row>
    <row r="396" spans="26:36" ht="15" customHeight="1">
      <c r="Z396" s="76" t="e">
        <f t="shared" ca="1" si="48"/>
        <v>#N/A</v>
      </c>
      <c r="AA396" s="75" t="e">
        <f t="shared" ca="1" si="49"/>
        <v>#N/A</v>
      </c>
      <c r="AB396" s="76">
        <f t="shared" ca="1" si="50"/>
        <v>0</v>
      </c>
      <c r="AC396" s="75">
        <f t="shared" ca="1" si="51"/>
        <v>0</v>
      </c>
      <c r="AD396" s="76">
        <f t="shared" ca="1" si="52"/>
        <v>12388.425643402781</v>
      </c>
      <c r="AE396" s="76">
        <f t="shared" si="53"/>
        <v>0</v>
      </c>
      <c r="AF396" s="75">
        <f t="shared" si="54"/>
        <v>0</v>
      </c>
      <c r="AG396" s="76">
        <f t="shared" si="47"/>
        <v>0</v>
      </c>
      <c r="AH396" s="31" t="e" cm="1">
        <f t="array" aca="1" ref="AH396" ca="1">IF((AD396) &lt; (INDEX(ResponseSLA[#All],(MATCH((G396),ResponseSLA[Priority],0))+1,3)),"YES","No")</f>
        <v>#N/A</v>
      </c>
      <c r="AI396" s="31" t="str">
        <f>_xlfn.IFNA(IF(AE396 &lt; (INDEX(SLATable[Minimum SLA],MATCH(G396,SLATable[Priority],0))),"YES","NO"),"")</f>
        <v/>
      </c>
      <c r="AJ396" t="str">
        <f>_xlfn.IFNA(IF(AE396 &lt; (INDEX(SLATable[Maximum SLA],MATCH(G396,SLATable[Priority],0))),"YES","NO"),"")</f>
        <v/>
      </c>
    </row>
    <row r="397" spans="26:36" ht="15" customHeight="1">
      <c r="Z397" s="76" t="e">
        <f t="shared" ca="1" si="48"/>
        <v>#N/A</v>
      </c>
      <c r="AA397" s="75" t="e">
        <f t="shared" ca="1" si="49"/>
        <v>#N/A</v>
      </c>
      <c r="AB397" s="76">
        <f t="shared" ca="1" si="50"/>
        <v>0</v>
      </c>
      <c r="AC397" s="75">
        <f t="shared" ca="1" si="51"/>
        <v>0</v>
      </c>
      <c r="AD397" s="76">
        <f t="shared" ca="1" si="52"/>
        <v>12388.425643402781</v>
      </c>
      <c r="AE397" s="76">
        <f t="shared" si="53"/>
        <v>0</v>
      </c>
      <c r="AF397" s="75">
        <f t="shared" si="54"/>
        <v>0</v>
      </c>
      <c r="AG397" s="76">
        <f t="shared" si="47"/>
        <v>0</v>
      </c>
      <c r="AH397" s="31" t="e" cm="1">
        <f t="array" aca="1" ref="AH397" ca="1">IF((AD397) &lt; (INDEX(ResponseSLA[#All],(MATCH((G397),ResponseSLA[Priority],0))+1,3)),"YES","No")</f>
        <v>#N/A</v>
      </c>
      <c r="AI397" s="31" t="str">
        <f>_xlfn.IFNA(IF(AE397 &lt; (INDEX(SLATable[Minimum SLA],MATCH(G397,SLATable[Priority],0))),"YES","NO"),"")</f>
        <v/>
      </c>
      <c r="AJ397" t="str">
        <f>_xlfn.IFNA(IF(AE397 &lt; (INDEX(SLATable[Maximum SLA],MATCH(G397,SLATable[Priority],0))),"YES","NO"),"")</f>
        <v/>
      </c>
    </row>
    <row r="398" spans="26:36" ht="15" customHeight="1">
      <c r="Z398" s="76" t="e">
        <f t="shared" ca="1" si="48"/>
        <v>#N/A</v>
      </c>
      <c r="AA398" s="75" t="e">
        <f t="shared" ca="1" si="49"/>
        <v>#N/A</v>
      </c>
      <c r="AB398" s="76">
        <f t="shared" ca="1" si="50"/>
        <v>0</v>
      </c>
      <c r="AC398" s="75">
        <f t="shared" ca="1" si="51"/>
        <v>0</v>
      </c>
      <c r="AD398" s="76">
        <f t="shared" ca="1" si="52"/>
        <v>12388.425643402781</v>
      </c>
      <c r="AE398" s="76">
        <f t="shared" si="53"/>
        <v>0</v>
      </c>
      <c r="AF398" s="75">
        <f t="shared" si="54"/>
        <v>0</v>
      </c>
      <c r="AG398" s="76">
        <f t="shared" si="47"/>
        <v>0</v>
      </c>
      <c r="AH398" s="31" t="e" cm="1">
        <f t="array" aca="1" ref="AH398" ca="1">IF((AD398) &lt; (INDEX(ResponseSLA[#All],(MATCH((G398),ResponseSLA[Priority],0))+1,3)),"YES","No")</f>
        <v>#N/A</v>
      </c>
      <c r="AI398" s="31" t="str">
        <f>_xlfn.IFNA(IF(AE398 &lt; (INDEX(SLATable[Minimum SLA],MATCH(G398,SLATable[Priority],0))),"YES","NO"),"")</f>
        <v/>
      </c>
      <c r="AJ398" t="str">
        <f>_xlfn.IFNA(IF(AE398 &lt; (INDEX(SLATable[Maximum SLA],MATCH(G398,SLATable[Priority],0))),"YES","NO"),"")</f>
        <v/>
      </c>
    </row>
    <row r="399" spans="26:36" ht="15" customHeight="1">
      <c r="Z399" s="76" t="e">
        <f t="shared" ca="1" si="48"/>
        <v>#N/A</v>
      </c>
      <c r="AA399" s="75" t="e">
        <f t="shared" ca="1" si="49"/>
        <v>#N/A</v>
      </c>
      <c r="AB399" s="76">
        <f t="shared" ca="1" si="50"/>
        <v>0</v>
      </c>
      <c r="AC399" s="75">
        <f t="shared" ca="1" si="51"/>
        <v>0</v>
      </c>
      <c r="AD399" s="76">
        <f t="shared" ca="1" si="52"/>
        <v>12388.425643402781</v>
      </c>
      <c r="AE399" s="76">
        <f t="shared" si="53"/>
        <v>0</v>
      </c>
      <c r="AF399" s="75">
        <f t="shared" si="54"/>
        <v>0</v>
      </c>
      <c r="AG399" s="76">
        <f t="shared" si="47"/>
        <v>0</v>
      </c>
      <c r="AH399" s="31" t="e" cm="1">
        <f t="array" aca="1" ref="AH399" ca="1">IF((AD399) &lt; (INDEX(ResponseSLA[#All],(MATCH((G399),ResponseSLA[Priority],0))+1,3)),"YES","No")</f>
        <v>#N/A</v>
      </c>
      <c r="AI399" s="31" t="str">
        <f>_xlfn.IFNA(IF(AE399 &lt; (INDEX(SLATable[Minimum SLA],MATCH(G399,SLATable[Priority],0))),"YES","NO"),"")</f>
        <v/>
      </c>
      <c r="AJ399" t="str">
        <f>_xlfn.IFNA(IF(AE399 &lt; (INDEX(SLATable[Maximum SLA],MATCH(G399,SLATable[Priority],0))),"YES","NO"),"")</f>
        <v/>
      </c>
    </row>
    <row r="400" spans="26:36" ht="15" customHeight="1">
      <c r="Z400" s="76" t="e">
        <f t="shared" ca="1" si="48"/>
        <v>#N/A</v>
      </c>
      <c r="AA400" s="75" t="e">
        <f t="shared" ca="1" si="49"/>
        <v>#N/A</v>
      </c>
      <c r="AB400" s="76">
        <f t="shared" ca="1" si="50"/>
        <v>0</v>
      </c>
      <c r="AC400" s="75">
        <f t="shared" ca="1" si="51"/>
        <v>0</v>
      </c>
      <c r="AD400" s="76">
        <f t="shared" ca="1" si="52"/>
        <v>12388.425643402781</v>
      </c>
      <c r="AE400" s="76">
        <f t="shared" si="53"/>
        <v>0</v>
      </c>
      <c r="AF400" s="75">
        <f t="shared" si="54"/>
        <v>0</v>
      </c>
      <c r="AG400" s="76">
        <f t="shared" si="47"/>
        <v>0</v>
      </c>
      <c r="AH400" s="31" t="e" cm="1">
        <f t="array" aca="1" ref="AH400" ca="1">IF((AD400) &lt; (INDEX(ResponseSLA[#All],(MATCH((G400),ResponseSLA[Priority],0))+1,3)),"YES","No")</f>
        <v>#N/A</v>
      </c>
      <c r="AI400" s="31" t="str">
        <f>_xlfn.IFNA(IF(AE400 &lt; (INDEX(SLATable[Minimum SLA],MATCH(G400,SLATable[Priority],0))),"YES","NO"),"")</f>
        <v/>
      </c>
      <c r="AJ400" t="str">
        <f>_xlfn.IFNA(IF(AE400 &lt; (INDEX(SLATable[Maximum SLA],MATCH(G400,SLATable[Priority],0))),"YES","NO"),"")</f>
        <v/>
      </c>
    </row>
    <row r="401" spans="26:36" ht="15" customHeight="1">
      <c r="Z401" s="76" t="e">
        <f t="shared" ca="1" si="48"/>
        <v>#N/A</v>
      </c>
      <c r="AA401" s="75" t="e">
        <f t="shared" ca="1" si="49"/>
        <v>#N/A</v>
      </c>
      <c r="AB401" s="76">
        <f t="shared" ca="1" si="50"/>
        <v>0</v>
      </c>
      <c r="AC401" s="75">
        <f t="shared" ca="1" si="51"/>
        <v>0</v>
      </c>
      <c r="AD401" s="76">
        <f t="shared" ca="1" si="52"/>
        <v>12388.425643402781</v>
      </c>
      <c r="AE401" s="76">
        <f t="shared" si="53"/>
        <v>0</v>
      </c>
      <c r="AF401" s="75">
        <f t="shared" si="54"/>
        <v>0</v>
      </c>
      <c r="AG401" s="76">
        <f t="shared" si="47"/>
        <v>0</v>
      </c>
      <c r="AH401" s="31" t="e" cm="1">
        <f t="array" aca="1" ref="AH401" ca="1">IF((AD401) &lt; (INDEX(ResponseSLA[#All],(MATCH((G401),ResponseSLA[Priority],0))+1,3)),"YES","No")</f>
        <v>#N/A</v>
      </c>
      <c r="AI401" s="31" t="str">
        <f>_xlfn.IFNA(IF(AE401 &lt; (INDEX(SLATable[Minimum SLA],MATCH(G401,SLATable[Priority],0))),"YES","NO"),"")</f>
        <v/>
      </c>
      <c r="AJ401" t="str">
        <f>_xlfn.IFNA(IF(AE401 &lt; (INDEX(SLATable[Maximum SLA],MATCH(G401,SLATable[Priority],0))),"YES","NO"),"")</f>
        <v/>
      </c>
    </row>
    <row r="402" spans="26:36" ht="15" customHeight="1">
      <c r="Z402" s="76" t="e">
        <f t="shared" ca="1" si="48"/>
        <v>#N/A</v>
      </c>
      <c r="AA402" s="75" t="e">
        <f t="shared" ca="1" si="49"/>
        <v>#N/A</v>
      </c>
      <c r="AB402" s="76">
        <f t="shared" ca="1" si="50"/>
        <v>0</v>
      </c>
      <c r="AC402" s="75">
        <f t="shared" ca="1" si="51"/>
        <v>0</v>
      </c>
      <c r="AD402" s="76">
        <f t="shared" ca="1" si="52"/>
        <v>12388.425643402781</v>
      </c>
      <c r="AE402" s="76">
        <f t="shared" si="53"/>
        <v>0</v>
      </c>
      <c r="AF402" s="75">
        <f t="shared" si="54"/>
        <v>0</v>
      </c>
      <c r="AG402" s="76">
        <f t="shared" si="47"/>
        <v>0</v>
      </c>
      <c r="AH402" s="31" t="e" cm="1">
        <f t="array" aca="1" ref="AH402" ca="1">IF((AD402) &lt; (INDEX(ResponseSLA[#All],(MATCH((G402),ResponseSLA[Priority],0))+1,3)),"YES","No")</f>
        <v>#N/A</v>
      </c>
      <c r="AI402" s="31" t="str">
        <f>_xlfn.IFNA(IF(AE402 &lt; (INDEX(SLATable[Minimum SLA],MATCH(G402,SLATable[Priority],0))),"YES","NO"),"")</f>
        <v/>
      </c>
      <c r="AJ402" t="str">
        <f>_xlfn.IFNA(IF(AE402 &lt; (INDEX(SLATable[Maximum SLA],MATCH(G402,SLATable[Priority],0))),"YES","NO"),"")</f>
        <v/>
      </c>
    </row>
    <row r="403" spans="26:36" ht="15" customHeight="1">
      <c r="Z403" s="76" t="e">
        <f t="shared" ca="1" si="48"/>
        <v>#N/A</v>
      </c>
      <c r="AA403" s="75" t="e">
        <f t="shared" ca="1" si="49"/>
        <v>#N/A</v>
      </c>
      <c r="AB403" s="76">
        <f t="shared" ca="1" si="50"/>
        <v>0</v>
      </c>
      <c r="AC403" s="75">
        <f t="shared" ca="1" si="51"/>
        <v>0</v>
      </c>
      <c r="AD403" s="76">
        <f t="shared" ca="1" si="52"/>
        <v>12388.425643402781</v>
      </c>
      <c r="AE403" s="76">
        <f t="shared" si="53"/>
        <v>0</v>
      </c>
      <c r="AF403" s="75">
        <f t="shared" si="54"/>
        <v>0</v>
      </c>
      <c r="AG403" s="76">
        <f t="shared" si="47"/>
        <v>0</v>
      </c>
      <c r="AH403" s="31" t="e" cm="1">
        <f t="array" aca="1" ref="AH403" ca="1">IF((AD403) &lt; (INDEX(ResponseSLA[#All],(MATCH((G403),ResponseSLA[Priority],0))+1,3)),"YES","No")</f>
        <v>#N/A</v>
      </c>
      <c r="AI403" s="31" t="str">
        <f>_xlfn.IFNA(IF(AE403 &lt; (INDEX(SLATable[Minimum SLA],MATCH(G403,SLATable[Priority],0))),"YES","NO"),"")</f>
        <v/>
      </c>
      <c r="AJ403" t="str">
        <f>_xlfn.IFNA(IF(AE403 &lt; (INDEX(SLATable[Maximum SLA],MATCH(G403,SLATable[Priority],0))),"YES","NO"),"")</f>
        <v/>
      </c>
    </row>
    <row r="404" spans="26:36" ht="15" customHeight="1">
      <c r="Z404" s="76" t="e">
        <f t="shared" ca="1" si="48"/>
        <v>#N/A</v>
      </c>
      <c r="AA404" s="75" t="e">
        <f t="shared" ca="1" si="49"/>
        <v>#N/A</v>
      </c>
      <c r="AB404" s="76">
        <f t="shared" ca="1" si="50"/>
        <v>0</v>
      </c>
      <c r="AC404" s="75">
        <f t="shared" ca="1" si="51"/>
        <v>0</v>
      </c>
      <c r="AD404" s="76">
        <f t="shared" ca="1" si="52"/>
        <v>12388.425643402781</v>
      </c>
      <c r="AE404" s="76">
        <f t="shared" si="53"/>
        <v>0</v>
      </c>
      <c r="AF404" s="75">
        <f t="shared" si="54"/>
        <v>0</v>
      </c>
      <c r="AG404" s="76">
        <f t="shared" si="47"/>
        <v>0</v>
      </c>
      <c r="AH404" s="31" t="e" cm="1">
        <f t="array" aca="1" ref="AH404" ca="1">IF((AD404) &lt; (INDEX(ResponseSLA[#All],(MATCH((G404),ResponseSLA[Priority],0))+1,3)),"YES","No")</f>
        <v>#N/A</v>
      </c>
      <c r="AI404" s="31" t="str">
        <f>_xlfn.IFNA(IF(AE404 &lt; (INDEX(SLATable[Minimum SLA],MATCH(G404,SLATable[Priority],0))),"YES","NO"),"")</f>
        <v/>
      </c>
      <c r="AJ404" t="str">
        <f>_xlfn.IFNA(IF(AE404 &lt; (INDEX(SLATable[Maximum SLA],MATCH(G404,SLATable[Priority],0))),"YES","NO"),"")</f>
        <v/>
      </c>
    </row>
    <row r="405" spans="26:36" ht="15" customHeight="1">
      <c r="Z405" s="76" t="e">
        <f t="shared" ca="1" si="48"/>
        <v>#N/A</v>
      </c>
      <c r="AA405" s="75" t="e">
        <f t="shared" ca="1" si="49"/>
        <v>#N/A</v>
      </c>
      <c r="AB405" s="76">
        <f t="shared" ca="1" si="50"/>
        <v>0</v>
      </c>
      <c r="AC405" s="75">
        <f t="shared" ca="1" si="51"/>
        <v>0</v>
      </c>
      <c r="AD405" s="76">
        <f t="shared" ca="1" si="52"/>
        <v>12388.425643402781</v>
      </c>
      <c r="AE405" s="76">
        <f t="shared" si="53"/>
        <v>0</v>
      </c>
      <c r="AF405" s="75">
        <f t="shared" si="54"/>
        <v>0</v>
      </c>
      <c r="AG405" s="76">
        <f t="shared" si="47"/>
        <v>0</v>
      </c>
      <c r="AH405" s="31" t="e" cm="1">
        <f t="array" aca="1" ref="AH405" ca="1">IF((AD405) &lt; (INDEX(ResponseSLA[#All],(MATCH((G405),ResponseSLA[Priority],0))+1,3)),"YES","No")</f>
        <v>#N/A</v>
      </c>
      <c r="AI405" s="31" t="str">
        <f>_xlfn.IFNA(IF(AE405 &lt; (INDEX(SLATable[Minimum SLA],MATCH(G405,SLATable[Priority],0))),"YES","NO"),"")</f>
        <v/>
      </c>
      <c r="AJ405" t="str">
        <f>_xlfn.IFNA(IF(AE405 &lt; (INDEX(SLATable[Maximum SLA],MATCH(G405,SLATable[Priority],0))),"YES","NO"),"")</f>
        <v/>
      </c>
    </row>
    <row r="406" spans="26:36" ht="15" customHeight="1">
      <c r="Z406" s="76" t="e">
        <f t="shared" ca="1" si="48"/>
        <v>#N/A</v>
      </c>
      <c r="AA406" s="75" t="e">
        <f t="shared" ca="1" si="49"/>
        <v>#N/A</v>
      </c>
      <c r="AB406" s="76">
        <f t="shared" ca="1" si="50"/>
        <v>0</v>
      </c>
      <c r="AC406" s="75">
        <f t="shared" ca="1" si="51"/>
        <v>0</v>
      </c>
      <c r="AD406" s="76">
        <f t="shared" ca="1" si="52"/>
        <v>12388.425643402781</v>
      </c>
      <c r="AE406" s="76">
        <f t="shared" si="53"/>
        <v>0</v>
      </c>
      <c r="AF406" s="75">
        <f t="shared" si="54"/>
        <v>0</v>
      </c>
      <c r="AG406" s="76">
        <f t="shared" si="47"/>
        <v>0</v>
      </c>
      <c r="AH406" s="31" t="e" cm="1">
        <f t="array" aca="1" ref="AH406" ca="1">IF((AD406) &lt; (INDEX(ResponseSLA[#All],(MATCH((G406),ResponseSLA[Priority],0))+1,3)),"YES","No")</f>
        <v>#N/A</v>
      </c>
      <c r="AI406" s="31" t="str">
        <f>_xlfn.IFNA(IF(AE406 &lt; (INDEX(SLATable[Minimum SLA],MATCH(G406,SLATable[Priority],0))),"YES","NO"),"")</f>
        <v/>
      </c>
      <c r="AJ406" t="str">
        <f>_xlfn.IFNA(IF(AE406 &lt; (INDEX(SLATable[Maximum SLA],MATCH(G406,SLATable[Priority],0))),"YES","NO"),"")</f>
        <v/>
      </c>
    </row>
    <row r="407" spans="26:36" ht="15" customHeight="1">
      <c r="Z407" s="76" t="e">
        <f t="shared" ca="1" si="48"/>
        <v>#N/A</v>
      </c>
      <c r="AA407" s="75" t="e">
        <f t="shared" ca="1" si="49"/>
        <v>#N/A</v>
      </c>
      <c r="AB407" s="76">
        <f t="shared" ca="1" si="50"/>
        <v>0</v>
      </c>
      <c r="AC407" s="75">
        <f t="shared" ca="1" si="51"/>
        <v>0</v>
      </c>
      <c r="AD407" s="76">
        <f t="shared" ca="1" si="52"/>
        <v>12388.425643402781</v>
      </c>
      <c r="AE407" s="76">
        <f t="shared" si="53"/>
        <v>0</v>
      </c>
      <c r="AF407" s="75">
        <f t="shared" si="54"/>
        <v>0</v>
      </c>
      <c r="AG407" s="76">
        <f t="shared" si="47"/>
        <v>0</v>
      </c>
      <c r="AH407" s="31" t="e" cm="1">
        <f t="array" aca="1" ref="AH407" ca="1">IF((AD407) &lt; (INDEX(ResponseSLA[#All],(MATCH((G407),ResponseSLA[Priority],0))+1,3)),"YES","No")</f>
        <v>#N/A</v>
      </c>
      <c r="AI407" s="31" t="str">
        <f>_xlfn.IFNA(IF(AE407 &lt; (INDEX(SLATable[Minimum SLA],MATCH(G407,SLATable[Priority],0))),"YES","NO"),"")</f>
        <v/>
      </c>
      <c r="AJ407" t="str">
        <f>_xlfn.IFNA(IF(AE407 &lt; (INDEX(SLATable[Maximum SLA],MATCH(G407,SLATable[Priority],0))),"YES","NO"),"")</f>
        <v/>
      </c>
    </row>
    <row r="408" spans="26:36" ht="15" customHeight="1">
      <c r="Z408" s="76" t="e">
        <f t="shared" ca="1" si="48"/>
        <v>#N/A</v>
      </c>
      <c r="AA408" s="75" t="e">
        <f t="shared" ca="1" si="49"/>
        <v>#N/A</v>
      </c>
      <c r="AB408" s="76">
        <f t="shared" ca="1" si="50"/>
        <v>0</v>
      </c>
      <c r="AC408" s="75">
        <f t="shared" ca="1" si="51"/>
        <v>0</v>
      </c>
      <c r="AD408" s="76">
        <f t="shared" ca="1" si="52"/>
        <v>12388.425643402781</v>
      </c>
      <c r="AE408" s="76">
        <f t="shared" si="53"/>
        <v>0</v>
      </c>
      <c r="AF408" s="75">
        <f t="shared" si="54"/>
        <v>0</v>
      </c>
      <c r="AG408" s="76">
        <f t="shared" si="47"/>
        <v>0</v>
      </c>
      <c r="AH408" s="31" t="e" cm="1">
        <f t="array" aca="1" ref="AH408" ca="1">IF((AD408) &lt; (INDEX(ResponseSLA[#All],(MATCH((G408),ResponseSLA[Priority],0))+1,3)),"YES","No")</f>
        <v>#N/A</v>
      </c>
      <c r="AI408" s="31" t="str">
        <f>_xlfn.IFNA(IF(AE408 &lt; (INDEX(SLATable[Minimum SLA],MATCH(G408,SLATable[Priority],0))),"YES","NO"),"")</f>
        <v/>
      </c>
      <c r="AJ408" t="str">
        <f>_xlfn.IFNA(IF(AE408 &lt; (INDEX(SLATable[Maximum SLA],MATCH(G408,SLATable[Priority],0))),"YES","NO"),"")</f>
        <v/>
      </c>
    </row>
    <row r="409" spans="26:36" ht="15" customHeight="1">
      <c r="Z409" s="76" t="e">
        <f t="shared" ca="1" si="48"/>
        <v>#N/A</v>
      </c>
      <c r="AA409" s="75" t="e">
        <f t="shared" ca="1" si="49"/>
        <v>#N/A</v>
      </c>
      <c r="AB409" s="76">
        <f t="shared" ca="1" si="50"/>
        <v>0</v>
      </c>
      <c r="AC409" s="75">
        <f t="shared" ca="1" si="51"/>
        <v>0</v>
      </c>
      <c r="AD409" s="76">
        <f t="shared" ca="1" si="52"/>
        <v>12388.425643402781</v>
      </c>
      <c r="AE409" s="76">
        <f t="shared" si="53"/>
        <v>0</v>
      </c>
      <c r="AF409" s="75">
        <f t="shared" si="54"/>
        <v>0</v>
      </c>
      <c r="AG409" s="76">
        <f t="shared" si="47"/>
        <v>0</v>
      </c>
      <c r="AH409" s="31" t="e" cm="1">
        <f t="array" aca="1" ref="AH409" ca="1">IF((AD409) &lt; (INDEX(ResponseSLA[#All],(MATCH((G409),ResponseSLA[Priority],0))+1,3)),"YES","No")</f>
        <v>#N/A</v>
      </c>
      <c r="AI409" s="31" t="str">
        <f>_xlfn.IFNA(IF(AE409 &lt; (INDEX(SLATable[Minimum SLA],MATCH(G409,SLATable[Priority],0))),"YES","NO"),"")</f>
        <v/>
      </c>
      <c r="AJ409" t="str">
        <f>_xlfn.IFNA(IF(AE409 &lt; (INDEX(SLATable[Maximum SLA],MATCH(G409,SLATable[Priority],0))),"YES","NO"),"")</f>
        <v/>
      </c>
    </row>
    <row r="410" spans="26:36" ht="15" customHeight="1">
      <c r="Z410" s="76" t="e">
        <f t="shared" ca="1" si="48"/>
        <v>#N/A</v>
      </c>
      <c r="AA410" s="75" t="e">
        <f t="shared" ca="1" si="49"/>
        <v>#N/A</v>
      </c>
      <c r="AB410" s="76">
        <f t="shared" ca="1" si="50"/>
        <v>0</v>
      </c>
      <c r="AC410" s="75">
        <f t="shared" ca="1" si="51"/>
        <v>0</v>
      </c>
      <c r="AD410" s="76">
        <f t="shared" ca="1" si="52"/>
        <v>12388.425643402781</v>
      </c>
      <c r="AE410" s="76">
        <f t="shared" si="53"/>
        <v>0</v>
      </c>
      <c r="AF410" s="75">
        <f t="shared" si="54"/>
        <v>0</v>
      </c>
      <c r="AG410" s="76">
        <f t="shared" si="47"/>
        <v>0</v>
      </c>
      <c r="AH410" s="31" t="e" cm="1">
        <f t="array" aca="1" ref="AH410" ca="1">IF((AD410) &lt; (INDEX(ResponseSLA[#All],(MATCH((G410),ResponseSLA[Priority],0))+1,3)),"YES","No")</f>
        <v>#N/A</v>
      </c>
      <c r="AI410" s="31" t="str">
        <f>_xlfn.IFNA(IF(AE410 &lt; (INDEX(SLATable[Minimum SLA],MATCH(G410,SLATable[Priority],0))),"YES","NO"),"")</f>
        <v/>
      </c>
      <c r="AJ410" t="str">
        <f>_xlfn.IFNA(IF(AE410 &lt; (INDEX(SLATable[Maximum SLA],MATCH(G410,SLATable[Priority],0))),"YES","NO"),"")</f>
        <v/>
      </c>
    </row>
    <row r="411" spans="26:36" ht="15" customHeight="1">
      <c r="Z411" s="76" t="e">
        <f t="shared" ca="1" si="48"/>
        <v>#N/A</v>
      </c>
      <c r="AA411" s="75" t="e">
        <f t="shared" ca="1" si="49"/>
        <v>#N/A</v>
      </c>
      <c r="AB411" s="76">
        <f t="shared" ca="1" si="50"/>
        <v>0</v>
      </c>
      <c r="AC411" s="75">
        <f t="shared" ca="1" si="51"/>
        <v>0</v>
      </c>
      <c r="AD411" s="76">
        <f t="shared" ca="1" si="52"/>
        <v>12388.425643402781</v>
      </c>
      <c r="AE411" s="76">
        <f t="shared" si="53"/>
        <v>0</v>
      </c>
      <c r="AF411" s="75">
        <f t="shared" si="54"/>
        <v>0</v>
      </c>
      <c r="AG411" s="76">
        <f t="shared" si="47"/>
        <v>0</v>
      </c>
      <c r="AH411" s="31" t="e" cm="1">
        <f t="array" aca="1" ref="AH411" ca="1">IF((AD411) &lt; (INDEX(ResponseSLA[#All],(MATCH((G411),ResponseSLA[Priority],0))+1,3)),"YES","No")</f>
        <v>#N/A</v>
      </c>
      <c r="AI411" s="31" t="str">
        <f>_xlfn.IFNA(IF(AE411 &lt; (INDEX(SLATable[Minimum SLA],MATCH(G411,SLATable[Priority],0))),"YES","NO"),"")</f>
        <v/>
      </c>
      <c r="AJ411" t="str">
        <f>_xlfn.IFNA(IF(AE411 &lt; (INDEX(SLATable[Maximum SLA],MATCH(G411,SLATable[Priority],0))),"YES","NO"),"")</f>
        <v/>
      </c>
    </row>
    <row r="412" spans="26:36" ht="15" customHeight="1">
      <c r="Z412" s="76" t="e">
        <f t="shared" ca="1" si="48"/>
        <v>#N/A</v>
      </c>
      <c r="AA412" s="75" t="e">
        <f t="shared" ca="1" si="49"/>
        <v>#N/A</v>
      </c>
      <c r="AB412" s="76">
        <f t="shared" ca="1" si="50"/>
        <v>0</v>
      </c>
      <c r="AC412" s="75">
        <f t="shared" ca="1" si="51"/>
        <v>0</v>
      </c>
      <c r="AD412" s="76">
        <f t="shared" ca="1" si="52"/>
        <v>12388.425643402781</v>
      </c>
      <c r="AE412" s="76">
        <f t="shared" si="53"/>
        <v>0</v>
      </c>
      <c r="AF412" s="75">
        <f t="shared" si="54"/>
        <v>0</v>
      </c>
      <c r="AG412" s="76">
        <f t="shared" si="47"/>
        <v>0</v>
      </c>
      <c r="AH412" s="31" t="e" cm="1">
        <f t="array" aca="1" ref="AH412" ca="1">IF((AD412) &lt; (INDEX(ResponseSLA[#All],(MATCH((G412),ResponseSLA[Priority],0))+1,3)),"YES","No")</f>
        <v>#N/A</v>
      </c>
      <c r="AI412" s="31" t="str">
        <f>_xlfn.IFNA(IF(AE412 &lt; (INDEX(SLATable[Minimum SLA],MATCH(G412,SLATable[Priority],0))),"YES","NO"),"")</f>
        <v/>
      </c>
      <c r="AJ412" t="str">
        <f>_xlfn.IFNA(IF(AE412 &lt; (INDEX(SLATable[Maximum SLA],MATCH(G412,SLATable[Priority],0))),"YES","NO"),"")</f>
        <v/>
      </c>
    </row>
    <row r="413" spans="26:36" ht="15" customHeight="1">
      <c r="Z413" s="76" t="e">
        <f t="shared" ca="1" si="48"/>
        <v>#N/A</v>
      </c>
      <c r="AA413" s="75" t="e">
        <f t="shared" ca="1" si="49"/>
        <v>#N/A</v>
      </c>
      <c r="AB413" s="76">
        <f t="shared" ca="1" si="50"/>
        <v>0</v>
      </c>
      <c r="AC413" s="75">
        <f t="shared" ca="1" si="51"/>
        <v>0</v>
      </c>
      <c r="AD413" s="76">
        <f t="shared" ca="1" si="52"/>
        <v>12388.425643402781</v>
      </c>
      <c r="AE413" s="76">
        <f t="shared" si="53"/>
        <v>0</v>
      </c>
      <c r="AF413" s="75">
        <f t="shared" si="54"/>
        <v>0</v>
      </c>
      <c r="AG413" s="76">
        <f t="shared" si="47"/>
        <v>0</v>
      </c>
      <c r="AH413" s="31" t="e" cm="1">
        <f t="array" aca="1" ref="AH413" ca="1">IF((AD413) &lt; (INDEX(ResponseSLA[#All],(MATCH((G413),ResponseSLA[Priority],0))+1,3)),"YES","No")</f>
        <v>#N/A</v>
      </c>
      <c r="AI413" s="31" t="str">
        <f>_xlfn.IFNA(IF(AE413 &lt; (INDEX(SLATable[Minimum SLA],MATCH(G413,SLATable[Priority],0))),"YES","NO"),"")</f>
        <v/>
      </c>
      <c r="AJ413" t="str">
        <f>_xlfn.IFNA(IF(AE413 &lt; (INDEX(SLATable[Maximum SLA],MATCH(G413,SLATable[Priority],0))),"YES","NO"),"")</f>
        <v/>
      </c>
    </row>
    <row r="414" spans="26:36" ht="15" customHeight="1">
      <c r="Z414" s="76" t="e">
        <f t="shared" ca="1" si="48"/>
        <v>#N/A</v>
      </c>
      <c r="AA414" s="75" t="e">
        <f t="shared" ca="1" si="49"/>
        <v>#N/A</v>
      </c>
      <c r="AB414" s="76">
        <f t="shared" ca="1" si="50"/>
        <v>0</v>
      </c>
      <c r="AC414" s="75">
        <f t="shared" ca="1" si="51"/>
        <v>0</v>
      </c>
      <c r="AD414" s="76">
        <f t="shared" ca="1" si="52"/>
        <v>12388.425643402781</v>
      </c>
      <c r="AE414" s="76">
        <f t="shared" si="53"/>
        <v>0</v>
      </c>
      <c r="AF414" s="75">
        <f t="shared" si="54"/>
        <v>0</v>
      </c>
      <c r="AG414" s="76">
        <f t="shared" si="47"/>
        <v>0</v>
      </c>
      <c r="AH414" s="31" t="e" cm="1">
        <f t="array" aca="1" ref="AH414" ca="1">IF((AD414) &lt; (INDEX(ResponseSLA[#All],(MATCH((G414),ResponseSLA[Priority],0))+1,3)),"YES","No")</f>
        <v>#N/A</v>
      </c>
      <c r="AI414" s="31" t="str">
        <f>_xlfn.IFNA(IF(AE414 &lt; (INDEX(SLATable[Minimum SLA],MATCH(G414,SLATable[Priority],0))),"YES","NO"),"")</f>
        <v/>
      </c>
      <c r="AJ414" t="str">
        <f>_xlfn.IFNA(IF(AE414 &lt; (INDEX(SLATable[Maximum SLA],MATCH(G414,SLATable[Priority],0))),"YES","NO"),"")</f>
        <v/>
      </c>
    </row>
    <row r="415" spans="26:36" ht="15" customHeight="1">
      <c r="Z415" s="76" t="e">
        <f t="shared" ca="1" si="48"/>
        <v>#N/A</v>
      </c>
      <c r="AA415" s="75" t="e">
        <f t="shared" ca="1" si="49"/>
        <v>#N/A</v>
      </c>
      <c r="AB415" s="76">
        <f t="shared" ca="1" si="50"/>
        <v>0</v>
      </c>
      <c r="AC415" s="75">
        <f t="shared" ca="1" si="51"/>
        <v>0</v>
      </c>
      <c r="AD415" s="76">
        <f t="shared" ca="1" si="52"/>
        <v>12388.425643402781</v>
      </c>
      <c r="AE415" s="76">
        <f t="shared" si="53"/>
        <v>0</v>
      </c>
      <c r="AF415" s="75">
        <f t="shared" si="54"/>
        <v>0</v>
      </c>
      <c r="AG415" s="76">
        <f t="shared" si="47"/>
        <v>0</v>
      </c>
      <c r="AH415" s="31" t="e" cm="1">
        <f t="array" aca="1" ref="AH415" ca="1">IF((AD415) &lt; (INDEX(ResponseSLA[#All],(MATCH((G415),ResponseSLA[Priority],0))+1,3)),"YES","No")</f>
        <v>#N/A</v>
      </c>
      <c r="AI415" s="31" t="str">
        <f>_xlfn.IFNA(IF(AE415 &lt; (INDEX(SLATable[Minimum SLA],MATCH(G415,SLATable[Priority],0))),"YES","NO"),"")</f>
        <v/>
      </c>
      <c r="AJ415" t="str">
        <f>_xlfn.IFNA(IF(AE415 &lt; (INDEX(SLATable[Maximum SLA],MATCH(G415,SLATable[Priority],0))),"YES","NO"),"")</f>
        <v/>
      </c>
    </row>
    <row r="416" spans="26:36" ht="15" customHeight="1">
      <c r="Z416" s="76" t="e">
        <f t="shared" ca="1" si="48"/>
        <v>#N/A</v>
      </c>
      <c r="AA416" s="75" t="e">
        <f t="shared" ca="1" si="49"/>
        <v>#N/A</v>
      </c>
      <c r="AB416" s="76">
        <f t="shared" ca="1" si="50"/>
        <v>0</v>
      </c>
      <c r="AC416" s="75">
        <f t="shared" ca="1" si="51"/>
        <v>0</v>
      </c>
      <c r="AD416" s="76">
        <f t="shared" ca="1" si="52"/>
        <v>12388.425643402781</v>
      </c>
      <c r="AE416" s="76">
        <f t="shared" si="53"/>
        <v>0</v>
      </c>
      <c r="AF416" s="75">
        <f t="shared" si="54"/>
        <v>0</v>
      </c>
      <c r="AG416" s="76">
        <f t="shared" si="47"/>
        <v>0</v>
      </c>
      <c r="AH416" s="31" t="e" cm="1">
        <f t="array" aca="1" ref="AH416" ca="1">IF((AD416) &lt; (INDEX(ResponseSLA[#All],(MATCH((G416),ResponseSLA[Priority],0))+1,3)),"YES","No")</f>
        <v>#N/A</v>
      </c>
      <c r="AI416" s="31" t="str">
        <f>_xlfn.IFNA(IF(AE416 &lt; (INDEX(SLATable[Minimum SLA],MATCH(G416,SLATable[Priority],0))),"YES","NO"),"")</f>
        <v/>
      </c>
      <c r="AJ416" t="str">
        <f>_xlfn.IFNA(IF(AE416 &lt; (INDEX(SLATable[Maximum SLA],MATCH(G416,SLATable[Priority],0))),"YES","NO"),"")</f>
        <v/>
      </c>
    </row>
    <row r="417" spans="26:36" ht="15" customHeight="1">
      <c r="Z417" s="76" t="e">
        <f t="shared" ca="1" si="48"/>
        <v>#N/A</v>
      </c>
      <c r="AA417" s="75" t="e">
        <f t="shared" ca="1" si="49"/>
        <v>#N/A</v>
      </c>
      <c r="AB417" s="76">
        <f t="shared" ca="1" si="50"/>
        <v>0</v>
      </c>
      <c r="AC417" s="75">
        <f t="shared" ca="1" si="51"/>
        <v>0</v>
      </c>
      <c r="AD417" s="76">
        <f t="shared" ca="1" si="52"/>
        <v>12388.425643402781</v>
      </c>
      <c r="AE417" s="76">
        <f t="shared" si="53"/>
        <v>0</v>
      </c>
      <c r="AF417" s="75">
        <f t="shared" si="54"/>
        <v>0</v>
      </c>
      <c r="AG417" s="76">
        <f t="shared" si="47"/>
        <v>0</v>
      </c>
      <c r="AH417" s="31" t="e" cm="1">
        <f t="array" aca="1" ref="AH417" ca="1">IF((AD417) &lt; (INDEX(ResponseSLA[#All],(MATCH((G417),ResponseSLA[Priority],0))+1,3)),"YES","No")</f>
        <v>#N/A</v>
      </c>
      <c r="AI417" s="31" t="str">
        <f>_xlfn.IFNA(IF(AE417 &lt; (INDEX(SLATable[Minimum SLA],MATCH(G417,SLATable[Priority],0))),"YES","NO"),"")</f>
        <v/>
      </c>
      <c r="AJ417" t="str">
        <f>_xlfn.IFNA(IF(AE417 &lt; (INDEX(SLATable[Maximum SLA],MATCH(G417,SLATable[Priority],0))),"YES","NO"),"")</f>
        <v/>
      </c>
    </row>
    <row r="418" spans="26:36" ht="15" customHeight="1">
      <c r="Z418" s="76" t="e">
        <f t="shared" ca="1" si="48"/>
        <v>#N/A</v>
      </c>
      <c r="AA418" s="75" t="e">
        <f t="shared" ca="1" si="49"/>
        <v>#N/A</v>
      </c>
      <c r="AB418" s="76">
        <f t="shared" ca="1" si="50"/>
        <v>0</v>
      </c>
      <c r="AC418" s="75">
        <f t="shared" ca="1" si="51"/>
        <v>0</v>
      </c>
      <c r="AD418" s="76">
        <f t="shared" ca="1" si="52"/>
        <v>12388.425643402781</v>
      </c>
      <c r="AE418" s="76">
        <f t="shared" si="53"/>
        <v>0</v>
      </c>
      <c r="AF418" s="75">
        <f t="shared" si="54"/>
        <v>0</v>
      </c>
      <c r="AG418" s="76">
        <f t="shared" si="47"/>
        <v>0</v>
      </c>
      <c r="AH418" s="31" t="e" cm="1">
        <f t="array" aca="1" ref="AH418" ca="1">IF((AD418) &lt; (INDEX(ResponseSLA[#All],(MATCH((G418),ResponseSLA[Priority],0))+1,3)),"YES","No")</f>
        <v>#N/A</v>
      </c>
      <c r="AI418" s="31" t="str">
        <f>_xlfn.IFNA(IF(AE418 &lt; (INDEX(SLATable[Minimum SLA],MATCH(G418,SLATable[Priority],0))),"YES","NO"),"")</f>
        <v/>
      </c>
      <c r="AJ418" t="str">
        <f>_xlfn.IFNA(IF(AE418 &lt; (INDEX(SLATable[Maximum SLA],MATCH(G418,SLATable[Priority],0))),"YES","NO"),"")</f>
        <v/>
      </c>
    </row>
    <row r="419" spans="26:36" ht="15" customHeight="1">
      <c r="Z419" s="76" t="e">
        <f t="shared" ca="1" si="48"/>
        <v>#N/A</v>
      </c>
      <c r="AA419" s="75" t="e">
        <f t="shared" ca="1" si="49"/>
        <v>#N/A</v>
      </c>
      <c r="AB419" s="76">
        <f t="shared" ca="1" si="50"/>
        <v>0</v>
      </c>
      <c r="AC419" s="75">
        <f t="shared" ca="1" si="51"/>
        <v>0</v>
      </c>
      <c r="AD419" s="76">
        <f t="shared" ca="1" si="52"/>
        <v>12388.425643402781</v>
      </c>
      <c r="AE419" s="76">
        <f t="shared" si="53"/>
        <v>0</v>
      </c>
      <c r="AF419" s="75">
        <f t="shared" si="54"/>
        <v>0</v>
      </c>
      <c r="AG419" s="76">
        <f t="shared" si="47"/>
        <v>0</v>
      </c>
      <c r="AH419" s="31" t="e" cm="1">
        <f t="array" aca="1" ref="AH419" ca="1">IF((AD419) &lt; (INDEX(ResponseSLA[#All],(MATCH((G419),ResponseSLA[Priority],0))+1,3)),"YES","No")</f>
        <v>#N/A</v>
      </c>
      <c r="AI419" s="31" t="str">
        <f>_xlfn.IFNA(IF(AE419 &lt; (INDEX(SLATable[Minimum SLA],MATCH(G419,SLATable[Priority],0))),"YES","NO"),"")</f>
        <v/>
      </c>
      <c r="AJ419" t="str">
        <f>_xlfn.IFNA(IF(AE419 &lt; (INDEX(SLATable[Maximum SLA],MATCH(G419,SLATable[Priority],0))),"YES","NO"),"")</f>
        <v/>
      </c>
    </row>
    <row r="420" spans="26:36" ht="15" customHeight="1">
      <c r="Z420" s="76" t="e">
        <f t="shared" ca="1" si="48"/>
        <v>#N/A</v>
      </c>
      <c r="AA420" s="75" t="e">
        <f t="shared" ca="1" si="49"/>
        <v>#N/A</v>
      </c>
      <c r="AB420" s="76">
        <f t="shared" ca="1" si="50"/>
        <v>0</v>
      </c>
      <c r="AC420" s="75">
        <f t="shared" ca="1" si="51"/>
        <v>0</v>
      </c>
      <c r="AD420" s="76">
        <f t="shared" ca="1" si="52"/>
        <v>12388.425643402781</v>
      </c>
      <c r="AE420" s="76">
        <f t="shared" si="53"/>
        <v>0</v>
      </c>
      <c r="AF420" s="75">
        <f t="shared" si="54"/>
        <v>0</v>
      </c>
      <c r="AG420" s="76">
        <f t="shared" si="47"/>
        <v>0</v>
      </c>
      <c r="AH420" s="31" t="e" cm="1">
        <f t="array" aca="1" ref="AH420" ca="1">IF((AD420) &lt; (INDEX(ResponseSLA[#All],(MATCH((G420),ResponseSLA[Priority],0))+1,3)),"YES","No")</f>
        <v>#N/A</v>
      </c>
      <c r="AI420" s="31" t="str">
        <f>_xlfn.IFNA(IF(AE420 &lt; (INDEX(SLATable[Minimum SLA],MATCH(G420,SLATable[Priority],0))),"YES","NO"),"")</f>
        <v/>
      </c>
      <c r="AJ420" t="str">
        <f>_xlfn.IFNA(IF(AE420 &lt; (INDEX(SLATable[Maximum SLA],MATCH(G420,SLATable[Priority],0))),"YES","NO"),"")</f>
        <v/>
      </c>
    </row>
    <row r="421" spans="26:36" ht="15" customHeight="1">
      <c r="Z421" s="76" t="e">
        <f t="shared" ca="1" si="48"/>
        <v>#N/A</v>
      </c>
      <c r="AA421" s="75" t="e">
        <f t="shared" ca="1" si="49"/>
        <v>#N/A</v>
      </c>
      <c r="AB421" s="76">
        <f t="shared" ca="1" si="50"/>
        <v>0</v>
      </c>
      <c r="AC421" s="75">
        <f t="shared" ca="1" si="51"/>
        <v>0</v>
      </c>
      <c r="AD421" s="76">
        <f t="shared" ca="1" si="52"/>
        <v>12388.425643402781</v>
      </c>
      <c r="AE421" s="76">
        <f t="shared" si="53"/>
        <v>0</v>
      </c>
      <c r="AF421" s="75">
        <f t="shared" si="54"/>
        <v>0</v>
      </c>
      <c r="AG421" s="76">
        <f t="shared" si="47"/>
        <v>0</v>
      </c>
      <c r="AH421" s="31" t="e" cm="1">
        <f t="array" aca="1" ref="AH421" ca="1">IF((AD421) &lt; (INDEX(ResponseSLA[#All],(MATCH((G421),ResponseSLA[Priority],0))+1,3)),"YES","No")</f>
        <v>#N/A</v>
      </c>
      <c r="AI421" s="31" t="str">
        <f>_xlfn.IFNA(IF(AE421 &lt; (INDEX(SLATable[Minimum SLA],MATCH(G421,SLATable[Priority],0))),"YES","NO"),"")</f>
        <v/>
      </c>
      <c r="AJ421" t="str">
        <f>_xlfn.IFNA(IF(AE421 &lt; (INDEX(SLATable[Maximum SLA],MATCH(G421,SLATable[Priority],0))),"YES","NO"),"")</f>
        <v/>
      </c>
    </row>
    <row r="422" spans="26:36" ht="15" customHeight="1">
      <c r="Z422" s="76" t="e">
        <f t="shared" ca="1" si="48"/>
        <v>#N/A</v>
      </c>
      <c r="AA422" s="75" t="e">
        <f t="shared" ca="1" si="49"/>
        <v>#N/A</v>
      </c>
      <c r="AB422" s="76">
        <f t="shared" ca="1" si="50"/>
        <v>0</v>
      </c>
      <c r="AC422" s="75">
        <f t="shared" ca="1" si="51"/>
        <v>0</v>
      </c>
      <c r="AD422" s="76">
        <f t="shared" ca="1" si="52"/>
        <v>12388.425643402781</v>
      </c>
      <c r="AE422" s="76">
        <f t="shared" si="53"/>
        <v>0</v>
      </c>
      <c r="AF422" s="75">
        <f t="shared" si="54"/>
        <v>0</v>
      </c>
      <c r="AG422" s="76">
        <f t="shared" si="47"/>
        <v>0</v>
      </c>
      <c r="AH422" s="31" t="e" cm="1">
        <f t="array" aca="1" ref="AH422" ca="1">IF((AD422) &lt; (INDEX(ResponseSLA[#All],(MATCH((G422),ResponseSLA[Priority],0))+1,3)),"YES","No")</f>
        <v>#N/A</v>
      </c>
      <c r="AI422" s="31" t="str">
        <f>_xlfn.IFNA(IF(AE422 &lt; (INDEX(SLATable[Minimum SLA],MATCH(G422,SLATable[Priority],0))),"YES","NO"),"")</f>
        <v/>
      </c>
      <c r="AJ422" t="str">
        <f>_xlfn.IFNA(IF(AE422 &lt; (INDEX(SLATable[Maximum SLA],MATCH(G422,SLATable[Priority],0))),"YES","NO"),"")</f>
        <v/>
      </c>
    </row>
    <row r="423" spans="26:36" ht="15" customHeight="1">
      <c r="Z423" s="76" t="e">
        <f t="shared" ca="1" si="48"/>
        <v>#N/A</v>
      </c>
      <c r="AA423" s="75" t="e">
        <f t="shared" ca="1" si="49"/>
        <v>#N/A</v>
      </c>
      <c r="AB423" s="76">
        <f t="shared" ca="1" si="50"/>
        <v>0</v>
      </c>
      <c r="AC423" s="75">
        <f t="shared" ca="1" si="51"/>
        <v>0</v>
      </c>
      <c r="AD423" s="76">
        <f t="shared" ca="1" si="52"/>
        <v>12388.425643402781</v>
      </c>
      <c r="AE423" s="76">
        <f t="shared" si="53"/>
        <v>0</v>
      </c>
      <c r="AF423" s="75">
        <f t="shared" si="54"/>
        <v>0</v>
      </c>
      <c r="AG423" s="76">
        <f t="shared" si="47"/>
        <v>0</v>
      </c>
      <c r="AH423" s="31" t="e" cm="1">
        <f t="array" aca="1" ref="AH423" ca="1">IF((AD423) &lt; (INDEX(ResponseSLA[#All],(MATCH((G423),ResponseSLA[Priority],0))+1,3)),"YES","No")</f>
        <v>#N/A</v>
      </c>
      <c r="AI423" s="31" t="str">
        <f>_xlfn.IFNA(IF(AE423 &lt; (INDEX(SLATable[Minimum SLA],MATCH(G423,SLATable[Priority],0))),"YES","NO"),"")</f>
        <v/>
      </c>
      <c r="AJ423" t="str">
        <f>_xlfn.IFNA(IF(AE423 &lt; (INDEX(SLATable[Maximum SLA],MATCH(G423,SLATable[Priority],0))),"YES","NO"),"")</f>
        <v/>
      </c>
    </row>
    <row r="424" spans="26:36" ht="15" customHeight="1">
      <c r="Z424" s="76" t="e">
        <f t="shared" ca="1" si="48"/>
        <v>#N/A</v>
      </c>
      <c r="AA424" s="75" t="e">
        <f t="shared" ca="1" si="49"/>
        <v>#N/A</v>
      </c>
      <c r="AB424" s="76">
        <f t="shared" ca="1" si="50"/>
        <v>0</v>
      </c>
      <c r="AC424" s="75">
        <f t="shared" ca="1" si="51"/>
        <v>0</v>
      </c>
      <c r="AD424" s="76">
        <f t="shared" ca="1" si="52"/>
        <v>12388.425643402781</v>
      </c>
      <c r="AE424" s="76">
        <f t="shared" si="53"/>
        <v>0</v>
      </c>
      <c r="AF424" s="75">
        <f t="shared" si="54"/>
        <v>0</v>
      </c>
      <c r="AG424" s="76">
        <f t="shared" si="47"/>
        <v>0</v>
      </c>
      <c r="AH424" s="31" t="e" cm="1">
        <f t="array" aca="1" ref="AH424" ca="1">IF((AD424) &lt; (INDEX(ResponseSLA[#All],(MATCH((G424),ResponseSLA[Priority],0))+1,3)),"YES","No")</f>
        <v>#N/A</v>
      </c>
      <c r="AI424" s="31" t="str">
        <f>_xlfn.IFNA(IF(AE424 &lt; (INDEX(SLATable[Minimum SLA],MATCH(G424,SLATable[Priority],0))),"YES","NO"),"")</f>
        <v/>
      </c>
      <c r="AJ424" t="str">
        <f>_xlfn.IFNA(IF(AE424 &lt; (INDEX(SLATable[Maximum SLA],MATCH(G424,SLATable[Priority],0))),"YES","NO"),"")</f>
        <v/>
      </c>
    </row>
    <row r="425" spans="26:36" ht="15" customHeight="1">
      <c r="Z425" s="76" t="e">
        <f t="shared" ca="1" si="48"/>
        <v>#N/A</v>
      </c>
      <c r="AA425" s="75" t="e">
        <f t="shared" ca="1" si="49"/>
        <v>#N/A</v>
      </c>
      <c r="AB425" s="76">
        <f t="shared" ca="1" si="50"/>
        <v>0</v>
      </c>
      <c r="AC425" s="75">
        <f t="shared" ca="1" si="51"/>
        <v>0</v>
      </c>
      <c r="AD425" s="76">
        <f t="shared" ca="1" si="52"/>
        <v>12388.425643402781</v>
      </c>
      <c r="AE425" s="76">
        <f t="shared" si="53"/>
        <v>0</v>
      </c>
      <c r="AF425" s="75">
        <f t="shared" si="54"/>
        <v>0</v>
      </c>
      <c r="AG425" s="76">
        <f t="shared" si="47"/>
        <v>0</v>
      </c>
      <c r="AH425" s="31" t="e" cm="1">
        <f t="array" aca="1" ref="AH425" ca="1">IF((AD425) &lt; (INDEX(ResponseSLA[#All],(MATCH((G425),ResponseSLA[Priority],0))+1,3)),"YES","No")</f>
        <v>#N/A</v>
      </c>
      <c r="AI425" s="31" t="str">
        <f>_xlfn.IFNA(IF(AE425 &lt; (INDEX(SLATable[Minimum SLA],MATCH(G425,SLATable[Priority],0))),"YES","NO"),"")</f>
        <v/>
      </c>
      <c r="AJ425" t="str">
        <f>_xlfn.IFNA(IF(AE425 &lt; (INDEX(SLATable[Maximum SLA],MATCH(G425,SLATable[Priority],0))),"YES","NO"),"")</f>
        <v/>
      </c>
    </row>
    <row r="426" spans="26:36" ht="15" customHeight="1">
      <c r="Z426" s="76" t="e">
        <f t="shared" ca="1" si="48"/>
        <v>#N/A</v>
      </c>
      <c r="AA426" s="75" t="e">
        <f t="shared" ca="1" si="49"/>
        <v>#N/A</v>
      </c>
      <c r="AB426" s="76">
        <f t="shared" ca="1" si="50"/>
        <v>0</v>
      </c>
      <c r="AC426" s="75">
        <f t="shared" ca="1" si="51"/>
        <v>0</v>
      </c>
      <c r="AD426" s="76">
        <f t="shared" ca="1" si="52"/>
        <v>12388.425643402781</v>
      </c>
      <c r="AE426" s="76">
        <f t="shared" si="53"/>
        <v>0</v>
      </c>
      <c r="AF426" s="75">
        <f t="shared" si="54"/>
        <v>0</v>
      </c>
      <c r="AG426" s="76">
        <f t="shared" si="47"/>
        <v>0</v>
      </c>
      <c r="AH426" s="31" t="e" cm="1">
        <f t="array" aca="1" ref="AH426" ca="1">IF((AD426) &lt; (INDEX(ResponseSLA[#All],(MATCH((G426),ResponseSLA[Priority],0))+1,3)),"YES","No")</f>
        <v>#N/A</v>
      </c>
      <c r="AI426" s="31" t="str">
        <f>_xlfn.IFNA(IF(AE426 &lt; (INDEX(SLATable[Minimum SLA],MATCH(G426,SLATable[Priority],0))),"YES","NO"),"")</f>
        <v/>
      </c>
      <c r="AJ426" t="str">
        <f>_xlfn.IFNA(IF(AE426 &lt; (INDEX(SLATable[Maximum SLA],MATCH(G426,SLATable[Priority],0))),"YES","NO"),"")</f>
        <v/>
      </c>
    </row>
    <row r="427" spans="26:36" ht="15" customHeight="1">
      <c r="Z427" s="76" t="e">
        <f t="shared" ca="1" si="48"/>
        <v>#N/A</v>
      </c>
      <c r="AA427" s="75" t="e">
        <f t="shared" ca="1" si="49"/>
        <v>#N/A</v>
      </c>
      <c r="AB427" s="76">
        <f t="shared" ca="1" si="50"/>
        <v>0</v>
      </c>
      <c r="AC427" s="75">
        <f t="shared" ca="1" si="51"/>
        <v>0</v>
      </c>
      <c r="AD427" s="76">
        <f t="shared" ca="1" si="52"/>
        <v>12388.425643402781</v>
      </c>
      <c r="AE427" s="76">
        <f t="shared" si="53"/>
        <v>0</v>
      </c>
      <c r="AF427" s="75">
        <f t="shared" si="54"/>
        <v>0</v>
      </c>
      <c r="AG427" s="76">
        <f t="shared" si="47"/>
        <v>0</v>
      </c>
      <c r="AH427" s="31" t="e" cm="1">
        <f t="array" aca="1" ref="AH427" ca="1">IF((AD427) &lt; (INDEX(ResponseSLA[#All],(MATCH((G427),ResponseSLA[Priority],0))+1,3)),"YES","No")</f>
        <v>#N/A</v>
      </c>
      <c r="AI427" s="31" t="str">
        <f>_xlfn.IFNA(IF(AE427 &lt; (INDEX(SLATable[Minimum SLA],MATCH(G427,SLATable[Priority],0))),"YES","NO"),"")</f>
        <v/>
      </c>
      <c r="AJ427" t="str">
        <f>_xlfn.IFNA(IF(AE427 &lt; (INDEX(SLATable[Maximum SLA],MATCH(G427,SLATable[Priority],0))),"YES","NO"),"")</f>
        <v/>
      </c>
    </row>
    <row r="428" spans="26:36" ht="15" customHeight="1">
      <c r="Z428" s="76" t="e">
        <f t="shared" ca="1" si="48"/>
        <v>#N/A</v>
      </c>
      <c r="AA428" s="75" t="e">
        <f t="shared" ca="1" si="49"/>
        <v>#N/A</v>
      </c>
      <c r="AB428" s="76">
        <f t="shared" ca="1" si="50"/>
        <v>0</v>
      </c>
      <c r="AC428" s="75">
        <f t="shared" ca="1" si="51"/>
        <v>0</v>
      </c>
      <c r="AD428" s="76">
        <f t="shared" ca="1" si="52"/>
        <v>12388.425643402781</v>
      </c>
      <c r="AE428" s="76">
        <f t="shared" si="53"/>
        <v>0</v>
      </c>
      <c r="AF428" s="75">
        <f t="shared" si="54"/>
        <v>0</v>
      </c>
      <c r="AG428" s="76">
        <f t="shared" si="47"/>
        <v>0</v>
      </c>
      <c r="AH428" s="31" t="e" cm="1">
        <f t="array" aca="1" ref="AH428" ca="1">IF((AD428) &lt; (INDEX(ResponseSLA[#All],(MATCH((G428),ResponseSLA[Priority],0))+1,3)),"YES","No")</f>
        <v>#N/A</v>
      </c>
      <c r="AI428" s="31" t="str">
        <f>_xlfn.IFNA(IF(AE428 &lt; (INDEX(SLATable[Minimum SLA],MATCH(G428,SLATable[Priority],0))),"YES","NO"),"")</f>
        <v/>
      </c>
      <c r="AJ428" t="str">
        <f>_xlfn.IFNA(IF(AE428 &lt; (INDEX(SLATable[Maximum SLA],MATCH(G428,SLATable[Priority],0))),"YES","NO"),"")</f>
        <v/>
      </c>
    </row>
    <row r="429" spans="26:36" ht="15" customHeight="1">
      <c r="Z429" s="76" t="e">
        <f t="shared" ca="1" si="48"/>
        <v>#N/A</v>
      </c>
      <c r="AA429" s="75" t="e">
        <f t="shared" ca="1" si="49"/>
        <v>#N/A</v>
      </c>
      <c r="AB429" s="76">
        <f t="shared" ca="1" si="50"/>
        <v>0</v>
      </c>
      <c r="AC429" s="75">
        <f t="shared" ca="1" si="51"/>
        <v>0</v>
      </c>
      <c r="AD429" s="76">
        <f t="shared" ca="1" si="52"/>
        <v>12388.425643402781</v>
      </c>
      <c r="AE429" s="76">
        <f t="shared" si="53"/>
        <v>0</v>
      </c>
      <c r="AF429" s="75">
        <f t="shared" si="54"/>
        <v>0</v>
      </c>
      <c r="AG429" s="76">
        <f t="shared" si="47"/>
        <v>0</v>
      </c>
      <c r="AH429" s="31" t="e" cm="1">
        <f t="array" aca="1" ref="AH429" ca="1">IF((AD429) &lt; (INDEX(ResponseSLA[#All],(MATCH((G429),ResponseSLA[Priority],0))+1,3)),"YES","No")</f>
        <v>#N/A</v>
      </c>
      <c r="AI429" s="31" t="str">
        <f>_xlfn.IFNA(IF(AE429 &lt; (INDEX(SLATable[Minimum SLA],MATCH(G429,SLATable[Priority],0))),"YES","NO"),"")</f>
        <v/>
      </c>
      <c r="AJ429" t="str">
        <f>_xlfn.IFNA(IF(AE429 &lt; (INDEX(SLATable[Maximum SLA],MATCH(G429,SLATable[Priority],0))),"YES","NO"),"")</f>
        <v/>
      </c>
    </row>
    <row r="430" spans="26:36" ht="15" customHeight="1">
      <c r="Z430" s="76" t="e">
        <f t="shared" ca="1" si="48"/>
        <v>#N/A</v>
      </c>
      <c r="AA430" s="75" t="e">
        <f t="shared" ca="1" si="49"/>
        <v>#N/A</v>
      </c>
      <c r="AB430" s="76">
        <f t="shared" ca="1" si="50"/>
        <v>0</v>
      </c>
      <c r="AC430" s="75">
        <f t="shared" ca="1" si="51"/>
        <v>0</v>
      </c>
      <c r="AD430" s="76">
        <f t="shared" ca="1" si="52"/>
        <v>12388.425643402781</v>
      </c>
      <c r="AE430" s="76">
        <f t="shared" si="53"/>
        <v>0</v>
      </c>
      <c r="AF430" s="75">
        <f t="shared" si="54"/>
        <v>0</v>
      </c>
      <c r="AG430" s="76">
        <f t="shared" si="47"/>
        <v>0</v>
      </c>
      <c r="AH430" s="31" t="e" cm="1">
        <f t="array" aca="1" ref="AH430" ca="1">IF((AD430) &lt; (INDEX(ResponseSLA[#All],(MATCH((G430),ResponseSLA[Priority],0))+1,3)),"YES","No")</f>
        <v>#N/A</v>
      </c>
      <c r="AI430" s="31" t="str">
        <f>_xlfn.IFNA(IF(AE430 &lt; (INDEX(SLATable[Minimum SLA],MATCH(G430,SLATable[Priority],0))),"YES","NO"),"")</f>
        <v/>
      </c>
      <c r="AJ430" t="str">
        <f>_xlfn.IFNA(IF(AE430 &lt; (INDEX(SLATable[Maximum SLA],MATCH(G430,SLATable[Priority],0))),"YES","NO"),"")</f>
        <v/>
      </c>
    </row>
    <row r="431" spans="26:36" ht="15" customHeight="1">
      <c r="Z431" s="76" t="e">
        <f t="shared" ca="1" si="48"/>
        <v>#N/A</v>
      </c>
      <c r="AA431" s="75" t="e">
        <f t="shared" ca="1" si="49"/>
        <v>#N/A</v>
      </c>
      <c r="AB431" s="76">
        <f t="shared" ca="1" si="50"/>
        <v>0</v>
      </c>
      <c r="AC431" s="75">
        <f t="shared" ca="1" si="51"/>
        <v>0</v>
      </c>
      <c r="AD431" s="76">
        <f t="shared" ca="1" si="52"/>
        <v>12388.425643402781</v>
      </c>
      <c r="AE431" s="76">
        <f t="shared" si="53"/>
        <v>0</v>
      </c>
      <c r="AF431" s="75">
        <f t="shared" si="54"/>
        <v>0</v>
      </c>
      <c r="AG431" s="76">
        <f t="shared" si="47"/>
        <v>0</v>
      </c>
      <c r="AH431" s="31" t="e" cm="1">
        <f t="array" aca="1" ref="AH431" ca="1">IF((AD431) &lt; (INDEX(ResponseSLA[#All],(MATCH((G431),ResponseSLA[Priority],0))+1,3)),"YES","No")</f>
        <v>#N/A</v>
      </c>
      <c r="AI431" s="31" t="str">
        <f>_xlfn.IFNA(IF(AE431 &lt; (INDEX(SLATable[Minimum SLA],MATCH(G431,SLATable[Priority],0))),"YES","NO"),"")</f>
        <v/>
      </c>
      <c r="AJ431" t="str">
        <f>_xlfn.IFNA(IF(AE431 &lt; (INDEX(SLATable[Maximum SLA],MATCH(G431,SLATable[Priority],0))),"YES","NO"),"")</f>
        <v/>
      </c>
    </row>
    <row r="432" spans="26:36" ht="15" customHeight="1">
      <c r="Z432" s="76" t="e">
        <f t="shared" ca="1" si="48"/>
        <v>#N/A</v>
      </c>
      <c r="AA432" s="75" t="e">
        <f t="shared" ca="1" si="49"/>
        <v>#N/A</v>
      </c>
      <c r="AB432" s="76">
        <f t="shared" ca="1" si="50"/>
        <v>0</v>
      </c>
      <c r="AC432" s="75">
        <f t="shared" ca="1" si="51"/>
        <v>0</v>
      </c>
      <c r="AD432" s="76">
        <f t="shared" ca="1" si="52"/>
        <v>12388.425643402781</v>
      </c>
      <c r="AE432" s="76">
        <f t="shared" si="53"/>
        <v>0</v>
      </c>
      <c r="AF432" s="75">
        <f t="shared" si="54"/>
        <v>0</v>
      </c>
      <c r="AG432" s="76">
        <f t="shared" si="47"/>
        <v>0</v>
      </c>
      <c r="AH432" s="31" t="e" cm="1">
        <f t="array" aca="1" ref="AH432" ca="1">IF((AD432) &lt; (INDEX(ResponseSLA[#All],(MATCH((G432),ResponseSLA[Priority],0))+1,3)),"YES","No")</f>
        <v>#N/A</v>
      </c>
      <c r="AI432" s="31" t="str">
        <f>_xlfn.IFNA(IF(AE432 &lt; (INDEX(SLATable[Minimum SLA],MATCH(G432,SLATable[Priority],0))),"YES","NO"),"")</f>
        <v/>
      </c>
      <c r="AJ432" t="str">
        <f>_xlfn.IFNA(IF(AE432 &lt; (INDEX(SLATable[Maximum SLA],MATCH(G432,SLATable[Priority],0))),"YES","NO"),"")</f>
        <v/>
      </c>
    </row>
    <row r="433" spans="26:36" ht="15" customHeight="1">
      <c r="Z433" s="76" t="e">
        <f t="shared" ca="1" si="48"/>
        <v>#N/A</v>
      </c>
      <c r="AA433" s="75" t="e">
        <f t="shared" ca="1" si="49"/>
        <v>#N/A</v>
      </c>
      <c r="AB433" s="76">
        <f t="shared" ca="1" si="50"/>
        <v>0</v>
      </c>
      <c r="AC433" s="75">
        <f t="shared" ca="1" si="51"/>
        <v>0</v>
      </c>
      <c r="AD433" s="76">
        <f t="shared" ca="1" si="52"/>
        <v>12388.425643402781</v>
      </c>
      <c r="AE433" s="76">
        <f t="shared" si="53"/>
        <v>0</v>
      </c>
      <c r="AF433" s="75">
        <f t="shared" si="54"/>
        <v>0</v>
      </c>
      <c r="AG433" s="76">
        <f t="shared" si="47"/>
        <v>0</v>
      </c>
      <c r="AH433" s="31" t="e" cm="1">
        <f t="array" aca="1" ref="AH433" ca="1">IF((AD433) &lt; (INDEX(ResponseSLA[#All],(MATCH((G433),ResponseSLA[Priority],0))+1,3)),"YES","No")</f>
        <v>#N/A</v>
      </c>
      <c r="AI433" s="31" t="str">
        <f>_xlfn.IFNA(IF(AE433 &lt; (INDEX(SLATable[Minimum SLA],MATCH(G433,SLATable[Priority],0))),"YES","NO"),"")</f>
        <v/>
      </c>
      <c r="AJ433" t="str">
        <f>_xlfn.IFNA(IF(AE433 &lt; (INDEX(SLATable[Maximum SLA],MATCH(G433,SLATable[Priority],0))),"YES","NO"),"")</f>
        <v/>
      </c>
    </row>
    <row r="434" spans="26:36" ht="15" customHeight="1">
      <c r="Z434" s="76" t="e">
        <f t="shared" ca="1" si="48"/>
        <v>#N/A</v>
      </c>
      <c r="AA434" s="75" t="e">
        <f t="shared" ca="1" si="49"/>
        <v>#N/A</v>
      </c>
      <c r="AB434" s="76">
        <f t="shared" ca="1" si="50"/>
        <v>0</v>
      </c>
      <c r="AC434" s="75">
        <f t="shared" ca="1" si="51"/>
        <v>0</v>
      </c>
      <c r="AD434" s="76">
        <f t="shared" ca="1" si="52"/>
        <v>12388.425643402781</v>
      </c>
      <c r="AE434" s="76">
        <f t="shared" si="53"/>
        <v>0</v>
      </c>
      <c r="AF434" s="75">
        <f t="shared" si="54"/>
        <v>0</v>
      </c>
      <c r="AG434" s="76">
        <f t="shared" si="47"/>
        <v>0</v>
      </c>
      <c r="AH434" s="31" t="e" cm="1">
        <f t="array" aca="1" ref="AH434" ca="1">IF((AD434) &lt; (INDEX(ResponseSLA[#All],(MATCH((G434),ResponseSLA[Priority],0))+1,3)),"YES","No")</f>
        <v>#N/A</v>
      </c>
      <c r="AI434" s="31" t="str">
        <f>_xlfn.IFNA(IF(AE434 &lt; (INDEX(SLATable[Minimum SLA],MATCH(G434,SLATable[Priority],0))),"YES","NO"),"")</f>
        <v/>
      </c>
      <c r="AJ434" t="str">
        <f>_xlfn.IFNA(IF(AE434 &lt; (INDEX(SLATable[Maximum SLA],MATCH(G434,SLATable[Priority],0))),"YES","NO"),"")</f>
        <v/>
      </c>
    </row>
    <row r="435" spans="26:36" ht="15" customHeight="1">
      <c r="Z435" s="76" t="e">
        <f t="shared" ca="1" si="48"/>
        <v>#N/A</v>
      </c>
      <c r="AA435" s="75" t="e">
        <f t="shared" ca="1" si="49"/>
        <v>#N/A</v>
      </c>
      <c r="AB435" s="76">
        <f t="shared" ca="1" si="50"/>
        <v>0</v>
      </c>
      <c r="AC435" s="75">
        <f t="shared" ca="1" si="51"/>
        <v>0</v>
      </c>
      <c r="AD435" s="76">
        <f t="shared" ca="1" si="52"/>
        <v>12388.425643402781</v>
      </c>
      <c r="AE435" s="76">
        <f t="shared" si="53"/>
        <v>0</v>
      </c>
      <c r="AF435" s="75">
        <f t="shared" si="54"/>
        <v>0</v>
      </c>
      <c r="AG435" s="76">
        <f t="shared" si="47"/>
        <v>0</v>
      </c>
      <c r="AH435" s="31" t="e" cm="1">
        <f t="array" aca="1" ref="AH435" ca="1">IF((AD435) &lt; (INDEX(ResponseSLA[#All],(MATCH((G435),ResponseSLA[Priority],0))+1,3)),"YES","No")</f>
        <v>#N/A</v>
      </c>
      <c r="AI435" s="31" t="str">
        <f>_xlfn.IFNA(IF(AE435 &lt; (INDEX(SLATable[Minimum SLA],MATCH(G435,SLATable[Priority],0))),"YES","NO"),"")</f>
        <v/>
      </c>
      <c r="AJ435" t="str">
        <f>_xlfn.IFNA(IF(AE435 &lt; (INDEX(SLATable[Maximum SLA],MATCH(G435,SLATable[Priority],0))),"YES","NO"),"")</f>
        <v/>
      </c>
    </row>
    <row r="436" spans="26:36" ht="15" customHeight="1">
      <c r="Z436" s="76" t="e">
        <f t="shared" ca="1" si="48"/>
        <v>#N/A</v>
      </c>
      <c r="AA436" s="75" t="e">
        <f t="shared" ca="1" si="49"/>
        <v>#N/A</v>
      </c>
      <c r="AB436" s="76">
        <f t="shared" ca="1" si="50"/>
        <v>0</v>
      </c>
      <c r="AC436" s="75">
        <f t="shared" ca="1" si="51"/>
        <v>0</v>
      </c>
      <c r="AD436" s="76">
        <f t="shared" ca="1" si="52"/>
        <v>12388.425643402781</v>
      </c>
      <c r="AE436" s="76">
        <f t="shared" si="53"/>
        <v>0</v>
      </c>
      <c r="AF436" s="75">
        <f t="shared" si="54"/>
        <v>0</v>
      </c>
      <c r="AG436" s="76">
        <f t="shared" si="47"/>
        <v>0</v>
      </c>
      <c r="AH436" s="31" t="e" cm="1">
        <f t="array" aca="1" ref="AH436" ca="1">IF((AD436) &lt; (INDEX(ResponseSLA[#All],(MATCH((G436),ResponseSLA[Priority],0))+1,3)),"YES","No")</f>
        <v>#N/A</v>
      </c>
      <c r="AI436" s="31" t="str">
        <f>_xlfn.IFNA(IF(AE436 &lt; (INDEX(SLATable[Minimum SLA],MATCH(G436,SLATable[Priority],0))),"YES","NO"),"")</f>
        <v/>
      </c>
      <c r="AJ436" t="str">
        <f>_xlfn.IFNA(IF(AE436 &lt; (INDEX(SLATable[Maximum SLA],MATCH(G436,SLATable[Priority],0))),"YES","NO"),"")</f>
        <v/>
      </c>
    </row>
    <row r="437" spans="26:36" ht="15" customHeight="1">
      <c r="Z437" s="76" t="e">
        <f t="shared" ca="1" si="48"/>
        <v>#N/A</v>
      </c>
      <c r="AA437" s="75" t="e">
        <f t="shared" ca="1" si="49"/>
        <v>#N/A</v>
      </c>
      <c r="AB437" s="76">
        <f t="shared" ca="1" si="50"/>
        <v>0</v>
      </c>
      <c r="AC437" s="75">
        <f t="shared" ca="1" si="51"/>
        <v>0</v>
      </c>
      <c r="AD437" s="76">
        <f t="shared" ca="1" si="52"/>
        <v>12388.425643402781</v>
      </c>
      <c r="AE437" s="76">
        <f t="shared" si="53"/>
        <v>0</v>
      </c>
      <c r="AF437" s="75">
        <f t="shared" si="54"/>
        <v>0</v>
      </c>
      <c r="AG437" s="76">
        <f t="shared" si="47"/>
        <v>0</v>
      </c>
      <c r="AH437" s="31" t="e" cm="1">
        <f t="array" aca="1" ref="AH437" ca="1">IF((AD437) &lt; (INDEX(ResponseSLA[#All],(MATCH((G437),ResponseSLA[Priority],0))+1,3)),"YES","No")</f>
        <v>#N/A</v>
      </c>
      <c r="AI437" s="31" t="str">
        <f>_xlfn.IFNA(IF(AE437 &lt; (INDEX(SLATable[Minimum SLA],MATCH(G437,SLATable[Priority],0))),"YES","NO"),"")</f>
        <v/>
      </c>
      <c r="AJ437" t="str">
        <f>_xlfn.IFNA(IF(AE437 &lt; (INDEX(SLATable[Maximum SLA],MATCH(G437,SLATable[Priority],0))),"YES","NO"),"")</f>
        <v/>
      </c>
    </row>
    <row r="438" spans="26:36" ht="15" customHeight="1">
      <c r="Z438" s="76" t="e">
        <f t="shared" ca="1" si="48"/>
        <v>#N/A</v>
      </c>
      <c r="AA438" s="75" t="e">
        <f t="shared" ca="1" si="49"/>
        <v>#N/A</v>
      </c>
      <c r="AB438" s="76">
        <f t="shared" ca="1" si="50"/>
        <v>0</v>
      </c>
      <c r="AC438" s="75">
        <f t="shared" ca="1" si="51"/>
        <v>0</v>
      </c>
      <c r="AD438" s="76">
        <f t="shared" ca="1" si="52"/>
        <v>12388.425643402781</v>
      </c>
      <c r="AE438" s="76">
        <f t="shared" si="53"/>
        <v>0</v>
      </c>
      <c r="AF438" s="75">
        <f t="shared" si="54"/>
        <v>0</v>
      </c>
      <c r="AG438" s="76">
        <f t="shared" si="47"/>
        <v>0</v>
      </c>
      <c r="AH438" s="31" t="e" cm="1">
        <f t="array" aca="1" ref="AH438" ca="1">IF((AD438) &lt; (INDEX(ResponseSLA[#All],(MATCH((G438),ResponseSLA[Priority],0))+1,3)),"YES","No")</f>
        <v>#N/A</v>
      </c>
      <c r="AI438" s="31" t="str">
        <f>_xlfn.IFNA(IF(AE438 &lt; (INDEX(SLATable[Minimum SLA],MATCH(G438,SLATable[Priority],0))),"YES","NO"),"")</f>
        <v/>
      </c>
      <c r="AJ438" t="str">
        <f>_xlfn.IFNA(IF(AE438 &lt; (INDEX(SLATable[Maximum SLA],MATCH(G438,SLATable[Priority],0))),"YES","NO"),"")</f>
        <v/>
      </c>
    </row>
    <row r="439" spans="26:36" ht="15" customHeight="1">
      <c r="Z439" s="76" t="e">
        <f t="shared" ca="1" si="48"/>
        <v>#N/A</v>
      </c>
      <c r="AA439" s="75" t="e">
        <f t="shared" ca="1" si="49"/>
        <v>#N/A</v>
      </c>
      <c r="AB439" s="76">
        <f t="shared" ca="1" si="50"/>
        <v>0</v>
      </c>
      <c r="AC439" s="75">
        <f t="shared" ca="1" si="51"/>
        <v>0</v>
      </c>
      <c r="AD439" s="76">
        <f t="shared" ca="1" si="52"/>
        <v>12388.425643402781</v>
      </c>
      <c r="AE439" s="76">
        <f t="shared" si="53"/>
        <v>0</v>
      </c>
      <c r="AF439" s="75">
        <f t="shared" si="54"/>
        <v>0</v>
      </c>
      <c r="AG439" s="76">
        <f t="shared" si="47"/>
        <v>0</v>
      </c>
      <c r="AH439" s="31" t="e" cm="1">
        <f t="array" aca="1" ref="AH439" ca="1">IF((AD439) &lt; (INDEX(ResponseSLA[#All],(MATCH((G439),ResponseSLA[Priority],0))+1,3)),"YES","No")</f>
        <v>#N/A</v>
      </c>
      <c r="AI439" s="31" t="str">
        <f>_xlfn.IFNA(IF(AE439 &lt; (INDEX(SLATable[Minimum SLA],MATCH(G439,SLATable[Priority],0))),"YES","NO"),"")</f>
        <v/>
      </c>
      <c r="AJ439" t="str">
        <f>_xlfn.IFNA(IF(AE439 &lt; (INDEX(SLATable[Maximum SLA],MATCH(G439,SLATable[Priority],0))),"YES","NO"),"")</f>
        <v/>
      </c>
    </row>
    <row r="440" spans="26:36" ht="15" customHeight="1">
      <c r="Z440" s="76" t="e">
        <f t="shared" ca="1" si="48"/>
        <v>#N/A</v>
      </c>
      <c r="AA440" s="75" t="e">
        <f t="shared" ca="1" si="49"/>
        <v>#N/A</v>
      </c>
      <c r="AB440" s="76">
        <f t="shared" ca="1" si="50"/>
        <v>0</v>
      </c>
      <c r="AC440" s="75">
        <f t="shared" ca="1" si="51"/>
        <v>0</v>
      </c>
      <c r="AD440" s="76">
        <f t="shared" ca="1" si="52"/>
        <v>12388.425643402781</v>
      </c>
      <c r="AE440" s="76">
        <f t="shared" si="53"/>
        <v>0</v>
      </c>
      <c r="AF440" s="75">
        <f t="shared" si="54"/>
        <v>0</v>
      </c>
      <c r="AG440" s="76">
        <f t="shared" si="47"/>
        <v>0</v>
      </c>
      <c r="AH440" s="31" t="e" cm="1">
        <f t="array" aca="1" ref="AH440" ca="1">IF((AD440) &lt; (INDEX(ResponseSLA[#All],(MATCH((G440),ResponseSLA[Priority],0))+1,3)),"YES","No")</f>
        <v>#N/A</v>
      </c>
      <c r="AI440" s="31" t="str">
        <f>_xlfn.IFNA(IF(AE440 &lt; (INDEX(SLATable[Minimum SLA],MATCH(G440,SLATable[Priority],0))),"YES","NO"),"")</f>
        <v/>
      </c>
      <c r="AJ440" t="str">
        <f>_xlfn.IFNA(IF(AE440 &lt; (INDEX(SLATable[Maximum SLA],MATCH(G440,SLATable[Priority],0))),"YES","NO"),"")</f>
        <v/>
      </c>
    </row>
    <row r="441" spans="26:36" ht="15" customHeight="1">
      <c r="Z441" s="76" t="e">
        <f t="shared" ca="1" si="48"/>
        <v>#N/A</v>
      </c>
      <c r="AA441" s="75" t="e">
        <f t="shared" ca="1" si="49"/>
        <v>#N/A</v>
      </c>
      <c r="AB441" s="76">
        <f t="shared" ca="1" si="50"/>
        <v>0</v>
      </c>
      <c r="AC441" s="75">
        <f t="shared" ca="1" si="51"/>
        <v>0</v>
      </c>
      <c r="AD441" s="76">
        <f t="shared" ca="1" si="52"/>
        <v>12388.425643402781</v>
      </c>
      <c r="AE441" s="76">
        <f t="shared" si="53"/>
        <v>0</v>
      </c>
      <c r="AF441" s="75">
        <f t="shared" si="54"/>
        <v>0</v>
      </c>
      <c r="AG441" s="76">
        <f t="shared" si="47"/>
        <v>0</v>
      </c>
      <c r="AH441" s="31" t="e" cm="1">
        <f t="array" aca="1" ref="AH441" ca="1">IF((AD441) &lt; (INDEX(ResponseSLA[#All],(MATCH((G441),ResponseSLA[Priority],0))+1,3)),"YES","No")</f>
        <v>#N/A</v>
      </c>
      <c r="AI441" s="31" t="str">
        <f>_xlfn.IFNA(IF(AE441 &lt; (INDEX(SLATable[Minimum SLA],MATCH(G441,SLATable[Priority],0))),"YES","NO"),"")</f>
        <v/>
      </c>
      <c r="AJ441" t="str">
        <f>_xlfn.IFNA(IF(AE441 &lt; (INDEX(SLATable[Maximum SLA],MATCH(G441,SLATable[Priority],0))),"YES","NO"),"")</f>
        <v/>
      </c>
    </row>
    <row r="442" spans="26:36" ht="15" customHeight="1">
      <c r="Z442" s="76" t="e">
        <f t="shared" ca="1" si="48"/>
        <v>#N/A</v>
      </c>
      <c r="AA442" s="75" t="e">
        <f t="shared" ca="1" si="49"/>
        <v>#N/A</v>
      </c>
      <c r="AB442" s="76">
        <f t="shared" ca="1" si="50"/>
        <v>0</v>
      </c>
      <c r="AC442" s="75">
        <f t="shared" ca="1" si="51"/>
        <v>0</v>
      </c>
      <c r="AD442" s="76">
        <f t="shared" ca="1" si="52"/>
        <v>12388.425643402781</v>
      </c>
      <c r="AE442" s="76">
        <f t="shared" si="53"/>
        <v>0</v>
      </c>
      <c r="AF442" s="75">
        <f t="shared" si="54"/>
        <v>0</v>
      </c>
      <c r="AG442" s="76">
        <f t="shared" si="47"/>
        <v>0</v>
      </c>
      <c r="AH442" s="31" t="e" cm="1">
        <f t="array" aca="1" ref="AH442" ca="1">IF((AD442) &lt; (INDEX(ResponseSLA[#All],(MATCH((G442),ResponseSLA[Priority],0))+1,3)),"YES","No")</f>
        <v>#N/A</v>
      </c>
      <c r="AI442" s="31" t="str">
        <f>_xlfn.IFNA(IF(AE442 &lt; (INDEX(SLATable[Minimum SLA],MATCH(G442,SLATable[Priority],0))),"YES","NO"),"")</f>
        <v/>
      </c>
      <c r="AJ442" t="str">
        <f>_xlfn.IFNA(IF(AE442 &lt; (INDEX(SLATable[Maximum SLA],MATCH(G442,SLATable[Priority],0))),"YES","NO"),"")</f>
        <v/>
      </c>
    </row>
    <row r="443" spans="26:36" ht="15" customHeight="1">
      <c r="Z443" s="76" t="e">
        <f t="shared" ca="1" si="48"/>
        <v>#N/A</v>
      </c>
      <c r="AA443" s="75" t="e">
        <f t="shared" ca="1" si="49"/>
        <v>#N/A</v>
      </c>
      <c r="AB443" s="76">
        <f t="shared" ca="1" si="50"/>
        <v>0</v>
      </c>
      <c r="AC443" s="75">
        <f t="shared" ca="1" si="51"/>
        <v>0</v>
      </c>
      <c r="AD443" s="76">
        <f t="shared" ca="1" si="52"/>
        <v>12388.425643402781</v>
      </c>
      <c r="AE443" s="76">
        <f t="shared" si="53"/>
        <v>0</v>
      </c>
      <c r="AF443" s="75">
        <f t="shared" si="54"/>
        <v>0</v>
      </c>
      <c r="AG443" s="76">
        <f t="shared" si="47"/>
        <v>0</v>
      </c>
      <c r="AH443" s="31" t="e" cm="1">
        <f t="array" aca="1" ref="AH443" ca="1">IF((AD443) &lt; (INDEX(ResponseSLA[#All],(MATCH((G443),ResponseSLA[Priority],0))+1,3)),"YES","No")</f>
        <v>#N/A</v>
      </c>
      <c r="AI443" s="31" t="str">
        <f>_xlfn.IFNA(IF(AE443 &lt; (INDEX(SLATable[Minimum SLA],MATCH(G443,SLATable[Priority],0))),"YES","NO"),"")</f>
        <v/>
      </c>
      <c r="AJ443" t="str">
        <f>_xlfn.IFNA(IF(AE443 &lt; (INDEX(SLATable[Maximum SLA],MATCH(G443,SLATable[Priority],0))),"YES","NO"),"")</f>
        <v/>
      </c>
    </row>
    <row r="444" spans="26:36" ht="15" customHeight="1">
      <c r="Z444" s="76" t="e">
        <f t="shared" ca="1" si="48"/>
        <v>#N/A</v>
      </c>
      <c r="AA444" s="75" t="e">
        <f t="shared" ca="1" si="49"/>
        <v>#N/A</v>
      </c>
      <c r="AB444" s="76">
        <f t="shared" ca="1" si="50"/>
        <v>0</v>
      </c>
      <c r="AC444" s="75">
        <f t="shared" ca="1" si="51"/>
        <v>0</v>
      </c>
      <c r="AD444" s="76">
        <f t="shared" ca="1" si="52"/>
        <v>12388.425643402781</v>
      </c>
      <c r="AE444" s="76">
        <f t="shared" si="53"/>
        <v>0</v>
      </c>
      <c r="AF444" s="75">
        <f t="shared" si="54"/>
        <v>0</v>
      </c>
      <c r="AG444" s="76">
        <f t="shared" si="47"/>
        <v>0</v>
      </c>
      <c r="AH444" s="31" t="e" cm="1">
        <f t="array" aca="1" ref="AH444" ca="1">IF((AD444) &lt; (INDEX(ResponseSLA[#All],(MATCH((G444),ResponseSLA[Priority],0))+1,3)),"YES","No")</f>
        <v>#N/A</v>
      </c>
      <c r="AI444" s="31" t="str">
        <f>_xlfn.IFNA(IF(AE444 &lt; (INDEX(SLATable[Minimum SLA],MATCH(G444,SLATable[Priority],0))),"YES","NO"),"")</f>
        <v/>
      </c>
      <c r="AJ444" t="str">
        <f>_xlfn.IFNA(IF(AE444 &lt; (INDEX(SLATable[Maximum SLA],MATCH(G444,SLATable[Priority],0))),"YES","NO"),"")</f>
        <v/>
      </c>
    </row>
    <row r="445" spans="26:36" ht="15" customHeight="1">
      <c r="Z445" s="76" t="e">
        <f t="shared" ca="1" si="48"/>
        <v>#N/A</v>
      </c>
      <c r="AA445" s="75" t="e">
        <f t="shared" ca="1" si="49"/>
        <v>#N/A</v>
      </c>
      <c r="AB445" s="76">
        <f t="shared" ca="1" si="50"/>
        <v>0</v>
      </c>
      <c r="AC445" s="75">
        <f t="shared" ca="1" si="51"/>
        <v>0</v>
      </c>
      <c r="AD445" s="76">
        <f t="shared" ca="1" si="52"/>
        <v>12388.425643402781</v>
      </c>
      <c r="AE445" s="76">
        <f t="shared" si="53"/>
        <v>0</v>
      </c>
      <c r="AF445" s="75">
        <f t="shared" si="54"/>
        <v>0</v>
      </c>
      <c r="AG445" s="76">
        <f t="shared" si="47"/>
        <v>0</v>
      </c>
      <c r="AH445" s="31" t="e" cm="1">
        <f t="array" aca="1" ref="AH445" ca="1">IF((AD445) &lt; (INDEX(ResponseSLA[#All],(MATCH((G445),ResponseSLA[Priority],0))+1,3)),"YES","No")</f>
        <v>#N/A</v>
      </c>
      <c r="AI445" s="31" t="str">
        <f>_xlfn.IFNA(IF(AE445 &lt; (INDEX(SLATable[Minimum SLA],MATCH(G445,SLATable[Priority],0))),"YES","NO"),"")</f>
        <v/>
      </c>
      <c r="AJ445" t="str">
        <f>_xlfn.IFNA(IF(AE445 &lt; (INDEX(SLATable[Maximum SLA],MATCH(G445,SLATable[Priority],0))),"YES","NO"),"")</f>
        <v/>
      </c>
    </row>
    <row r="446" spans="26:36" ht="15" customHeight="1">
      <c r="Z446" s="76" t="e">
        <f t="shared" ca="1" si="48"/>
        <v>#N/A</v>
      </c>
      <c r="AA446" s="75" t="e">
        <f t="shared" ca="1" si="49"/>
        <v>#N/A</v>
      </c>
      <c r="AB446" s="76">
        <f t="shared" ca="1" si="50"/>
        <v>0</v>
      </c>
      <c r="AC446" s="75">
        <f t="shared" ca="1" si="51"/>
        <v>0</v>
      </c>
      <c r="AD446" s="76">
        <f t="shared" ca="1" si="52"/>
        <v>12388.425643402781</v>
      </c>
      <c r="AE446" s="76">
        <f t="shared" si="53"/>
        <v>0</v>
      </c>
      <c r="AF446" s="75">
        <f t="shared" si="54"/>
        <v>0</v>
      </c>
      <c r="AG446" s="76">
        <f t="shared" si="47"/>
        <v>0</v>
      </c>
      <c r="AH446" s="31" t="e" cm="1">
        <f t="array" aca="1" ref="AH446" ca="1">IF((AD446) &lt; (INDEX(ResponseSLA[#All],(MATCH((G446),ResponseSLA[Priority],0))+1,3)),"YES","No")</f>
        <v>#N/A</v>
      </c>
      <c r="AI446" s="31" t="str">
        <f>_xlfn.IFNA(IF(AE446 &lt; (INDEX(SLATable[Minimum SLA],MATCH(G446,SLATable[Priority],0))),"YES","NO"),"")</f>
        <v/>
      </c>
      <c r="AJ446" t="str">
        <f>_xlfn.IFNA(IF(AE446 &lt; (INDEX(SLATable[Maximum SLA],MATCH(G446,SLATable[Priority],0))),"YES","NO"),"")</f>
        <v/>
      </c>
    </row>
    <row r="447" spans="26:36" ht="15" customHeight="1">
      <c r="Z447" s="76" t="e">
        <f t="shared" ca="1" si="48"/>
        <v>#N/A</v>
      </c>
      <c r="AA447" s="75" t="e">
        <f t="shared" ca="1" si="49"/>
        <v>#N/A</v>
      </c>
      <c r="AB447" s="76">
        <f t="shared" ca="1" si="50"/>
        <v>0</v>
      </c>
      <c r="AC447" s="75">
        <f t="shared" ca="1" si="51"/>
        <v>0</v>
      </c>
      <c r="AD447" s="76">
        <f t="shared" ca="1" si="52"/>
        <v>12388.425643402781</v>
      </c>
      <c r="AE447" s="76">
        <f t="shared" si="53"/>
        <v>0</v>
      </c>
      <c r="AF447" s="75">
        <f t="shared" si="54"/>
        <v>0</v>
      </c>
      <c r="AG447" s="76">
        <f t="shared" si="47"/>
        <v>0</v>
      </c>
      <c r="AH447" s="31" t="e" cm="1">
        <f t="array" aca="1" ref="AH447" ca="1">IF((AD447) &lt; (INDEX(ResponseSLA[#All],(MATCH((G447),ResponseSLA[Priority],0))+1,3)),"YES","No")</f>
        <v>#N/A</v>
      </c>
      <c r="AI447" s="31" t="str">
        <f>_xlfn.IFNA(IF(AE447 &lt; (INDEX(SLATable[Minimum SLA],MATCH(G447,SLATable[Priority],0))),"YES","NO"),"")</f>
        <v/>
      </c>
      <c r="AJ447" t="str">
        <f>_xlfn.IFNA(IF(AE447 &lt; (INDEX(SLATable[Maximum SLA],MATCH(G447,SLATable[Priority],0))),"YES","NO"),"")</f>
        <v/>
      </c>
    </row>
    <row r="448" spans="26:36" ht="15" customHeight="1">
      <c r="Z448" s="76" t="e">
        <f t="shared" ca="1" si="48"/>
        <v>#N/A</v>
      </c>
      <c r="AA448" s="75" t="e">
        <f t="shared" ca="1" si="49"/>
        <v>#N/A</v>
      </c>
      <c r="AB448" s="76">
        <f t="shared" ca="1" si="50"/>
        <v>0</v>
      </c>
      <c r="AC448" s="75">
        <f t="shared" ca="1" si="51"/>
        <v>0</v>
      </c>
      <c r="AD448" s="76">
        <f t="shared" ca="1" si="52"/>
        <v>12388.425643402781</v>
      </c>
      <c r="AE448" s="76">
        <f t="shared" si="53"/>
        <v>0</v>
      </c>
      <c r="AF448" s="75">
        <f t="shared" si="54"/>
        <v>0</v>
      </c>
      <c r="AG448" s="76">
        <f t="shared" si="47"/>
        <v>0</v>
      </c>
      <c r="AH448" s="31" t="e" cm="1">
        <f t="array" aca="1" ref="AH448" ca="1">IF((AD448) &lt; (INDEX(ResponseSLA[#All],(MATCH((G448),ResponseSLA[Priority],0))+1,3)),"YES","No")</f>
        <v>#N/A</v>
      </c>
      <c r="AI448" s="31" t="str">
        <f>_xlfn.IFNA(IF(AE448 &lt; (INDEX(SLATable[Minimum SLA],MATCH(G448,SLATable[Priority],0))),"YES","NO"),"")</f>
        <v/>
      </c>
      <c r="AJ448" t="str">
        <f>_xlfn.IFNA(IF(AE448 &lt; (INDEX(SLATable[Maximum SLA],MATCH(G448,SLATable[Priority],0))),"YES","NO"),"")</f>
        <v/>
      </c>
    </row>
    <row r="449" spans="26:36" ht="15" customHeight="1">
      <c r="Z449" s="76" t="e">
        <f t="shared" ca="1" si="48"/>
        <v>#N/A</v>
      </c>
      <c r="AA449" s="75" t="e">
        <f t="shared" ca="1" si="49"/>
        <v>#N/A</v>
      </c>
      <c r="AB449" s="76">
        <f t="shared" ca="1" si="50"/>
        <v>0</v>
      </c>
      <c r="AC449" s="75">
        <f t="shared" ca="1" si="51"/>
        <v>0</v>
      </c>
      <c r="AD449" s="76">
        <f t="shared" ca="1" si="52"/>
        <v>12388.425643402781</v>
      </c>
      <c r="AE449" s="76">
        <f t="shared" si="53"/>
        <v>0</v>
      </c>
      <c r="AF449" s="75">
        <f t="shared" si="54"/>
        <v>0</v>
      </c>
      <c r="AG449" s="76">
        <f t="shared" ref="AG449:AG512" si="55">AF449</f>
        <v>0</v>
      </c>
      <c r="AH449" s="31" t="e" cm="1">
        <f t="array" aca="1" ref="AH449" ca="1">IF((AD449) &lt; (INDEX(ResponseSLA[#All],(MATCH((G449),ResponseSLA[Priority],0))+1,3)),"YES","No")</f>
        <v>#N/A</v>
      </c>
      <c r="AI449" s="31" t="str">
        <f>_xlfn.IFNA(IF(AE449 &lt; (INDEX(SLATable[Minimum SLA],MATCH(G449,SLATable[Priority],0))),"YES","NO"),"")</f>
        <v/>
      </c>
      <c r="AJ449" t="str">
        <f>_xlfn.IFNA(IF(AE449 &lt; (INDEX(SLATable[Maximum SLA],MATCH(G449,SLATable[Priority],0))),"YES","NO"),"")</f>
        <v/>
      </c>
    </row>
    <row r="450" spans="26:36" ht="15" customHeight="1">
      <c r="Z450" s="76" t="e">
        <f t="shared" ca="1" si="48"/>
        <v>#N/A</v>
      </c>
      <c r="AA450" s="75" t="e">
        <f t="shared" ca="1" si="49"/>
        <v>#N/A</v>
      </c>
      <c r="AB450" s="76">
        <f t="shared" ca="1" si="50"/>
        <v>0</v>
      </c>
      <c r="AC450" s="75">
        <f t="shared" ca="1" si="51"/>
        <v>0</v>
      </c>
      <c r="AD450" s="76">
        <f t="shared" ca="1" si="52"/>
        <v>12388.425643402781</v>
      </c>
      <c r="AE450" s="76">
        <f t="shared" si="53"/>
        <v>0</v>
      </c>
      <c r="AF450" s="75">
        <f t="shared" si="54"/>
        <v>0</v>
      </c>
      <c r="AG450" s="76">
        <f t="shared" si="55"/>
        <v>0</v>
      </c>
      <c r="AH450" s="31" t="e" cm="1">
        <f t="array" aca="1" ref="AH450" ca="1">IF((AD450) &lt; (INDEX(ResponseSLA[#All],(MATCH((G450),ResponseSLA[Priority],0))+1,3)),"YES","No")</f>
        <v>#N/A</v>
      </c>
      <c r="AI450" s="31" t="str">
        <f>_xlfn.IFNA(IF(AE450 &lt; (INDEX(SLATable[Minimum SLA],MATCH(G450,SLATable[Priority],0))),"YES","NO"),"")</f>
        <v/>
      </c>
      <c r="AJ450" t="str">
        <f>_xlfn.IFNA(IF(AE450 &lt; (INDEX(SLATable[Maximum SLA],MATCH(G450,SLATable[Priority],0))),"YES","NO"),"")</f>
        <v/>
      </c>
    </row>
    <row r="451" spans="26:36" ht="15" customHeight="1">
      <c r="Z451" s="76" t="e">
        <f t="shared" ref="Z451:Z514" ca="1" si="56">IF(NOT(OR(G451=1,G451=2)),MAX(0,_xlfn.IFS(AND(K451&lt;&gt;"",N451&lt;&gt;""),((MAX(NETWORKDAYS(K451,N451,UKBankHolidays)-1,0))*(TIME(17,0,0)-TIME(8,0,0))+IF(NETWORKDAYS(N451,N451,UKBankHolidays)&gt;0,MEDIAN(TIME(8,0,0),MOD(N451,1),TIME(17,0,0)),TIME(8,0,0))-IF(NETWORKDAYS(K451,K451,UKBankHolidays)&gt;0,MEDIAN(TIME(8,0,0),MOD(K451,1),TIME(17,0,0)),TIME(8,0,0)))-IF(AND(O451&lt;&gt;"",P451&lt;&gt;""),((MAX(NETWORKDAYS(O451,P451,UKBankHolidays)-1,0))*(TIME(17,0,0)-TIME(8,0,0))+IF(NETWORKDAYS(P451,P451,UKBankHolidays)&gt;0,MEDIAN(TIME(8,0,0),MOD(P451,1),TIME(17,0,0)),TIME(8,0,0))-IF(NETWORKDAYS(O451,O451,UKBankHolidays)&gt;0,MEDIAN(TIME(8,0,0),MOD(O451,1),TIME(17,0,0)),TIME(8,0,0))),0),AND(K451&lt;&gt;"",N451=""),((MAX(NETWORKDAYS(K451,NOW(),UKBankHolidays)-1,0))*(TIME(17,0,0)-TIME(8,0,0))+IF(NETWORKDAYS(NOW(),NOW(),UKBankHolidays)&gt;0,MEDIAN(TIME(8,0,0),MOD(NOW(),1),TIME(17,0,0)),TIME(8,0,0))-IF(NETWORKDAYS(K451,K451,UKBankHolidays)&gt;0,MEDIAN(TIME(8,0,0),MOD(K451,1),TIME(17,0,0)),TIME(8,0,0))))),IF(N451="",NOW()-K451,N451-K451))</f>
        <v>#N/A</v>
      </c>
      <c r="AA451" s="75" t="e">
        <f t="shared" ref="AA451:AA514" ca="1" si="57">(Z451*24)/9</f>
        <v>#N/A</v>
      </c>
      <c r="AB451" s="76">
        <f t="shared" ref="AB451:AB514" ca="1" si="58">IF(NOT(OR(G451=1,G451=2)),MAX(0,_xlfn.IFS(AND(K451&lt;&gt;"",N451&lt;&gt;""),(((MAX(NETWORKDAYS(L451,N451,UKBankHolidays)-1,0))*(TIME(17,0,0)-TIME(8,0,0)))+IF(NETWORKDAYS(N451,N451,UKBankHolidays)&gt;0,MEDIAN(TIME(8,0,0),MOD(N451,1),TIME(17,0,0)),TIME(8,0,0))-IF(NETWORKDAYS(L451,L451,UKBankHolidays)&gt;0,MEDIAN(TIME(8,0,0),MOD(L451,1),TIME(17,0,0)),TIME(8,0,0)))-IF(AND(O451&lt;&gt;"",P451&lt;&gt;""),(((MAX(NETWORKDAYS(O451,P451,UKBankHolidays)-1,0))*(TIME(17,0,0)-TIME(8,0,0)))+IF(NETWORKDAYS(P451,P451,UKBankHolidays)&gt;0,MEDIAN(TIME(8,0,0),MOD(P451,1),TIME(17,0,0)),TIME(8,0,0))-IF(NETWORKDAYS(O451,O451,UKBankHolidays)&gt;0,MEDIAN(TIME(8,0,0),MOD(O451,1),TIME(17,0,0)),TIME(8,0,0))),0),AND(L451&lt;&gt;"",N451="",O451=""),(((MAX(NETWORKDAYS(L451,NOW(),UKBankHolidays)-1,0))*(TIME(17,0,0)-TIME(8,0,0)))+IF(NETWORKDAYS(NOW(),NOW(),UKBankHolidays)&gt;0,MEDIAN(TIME(8,0,0),MOD(NOW(),1),TIME(17,0,0)),TIME(8,0,0))-IF(NETWORKDAYS(L451,L451,UKBankHolidays)&gt;0,MEDIAN(TIME(8,0,0),MOD(L451,1),TIME(17,0,0)),TIME(8,0,0)))-IF(AND(O451&lt;&gt;"",P451&lt;&gt;""),(((MAX(NETWORKDAYS(O451,P451,UKBankHolidays)-1,0))*(TIME(17,0,0)-TIME(8,0,0)))+IF(NETWORKDAYS(P451,P451,UKBankHolidays)&gt;0,MEDIAN(TIME(8,0,0),MOD(P451,1),TIME(17,0,0)),TIME(8,0,0))-IF(NETWORKDAYS(O451,O451,UKBankHolidays)&gt;0,MEDIAN(TIME(8,0,0),MOD(O451,1),TIME(17,0,0)),TIME(8,0,0))),0),AND(L451&lt;&gt;"",N451="",P451="",O451&lt;&gt;""),(((MAX(NETWORKDAYS(L451,O451,UKBankHolidays)-1,0))*(TIME(17,0,0)-TIME(8,0,0)))+IF(NETWORKDAYS(O451,O451,UKBankHolidays)&gt;0,MEDIAN(TIME(8,0,0),MOD(O451,1),TIME(17,0,0)),TIME(8,0,0))-IF(NETWORKDAYS(L451,L451,UKBankHolidays)&gt;0,MEDIAN(TIME(8,0,0),MOD(L451,1),TIME(17,0,0)),TIME(8,0,0))),ISBLANK(K451),"0")),IF(ISBLANK(N451),NOW()-L451,N451-L451))</f>
        <v>0</v>
      </c>
      <c r="AC451" s="75">
        <f t="shared" ref="AC451:AC514" ca="1" si="59">(AB451*24)/9</f>
        <v>0</v>
      </c>
      <c r="AD451" s="76">
        <f t="shared" ref="AD451:AD514" ca="1" si="60">MAX(0,IF(NOT(OR(G451=1,G451=2)),IF(M451&lt;&gt;"",((MAX(NETWORKDAYS(L451,M451,UKBankHolidays)-1,0))*(TIME(17,0,0)-TIME(8,0,0))+IF(NETWORKDAYS(M451,M451,UKBankHolidays)&gt;0,MEDIAN(TIME(8,0,0),MOD(M451,1),TIME(17,0,0)),TIME(8,0,0))-MEDIAN(TIME(8,0,0),MOD(L451,1),TIME(17,0,0))),((MAX(NETWORKDAYS(L451,NOW(),UKBankHolidays)-1,0))*(TIME(17,0,0)-TIME(8,0,0))+IF(NETWORKDAYS(NOW(),NOW(),UKBankHolidays)&gt;0,MEDIAN(TIME(8,0,0),MOD(NOW(),1),TIME(17,0,0)),TIME(8,0,0))-MEDIAN(TIME(8,0,0),MOD(L451,1),TIME(17,0,0)))),IF(M451&lt;&gt;"",M451-L451,NOW()-L451)))</f>
        <v>12388.425643402781</v>
      </c>
      <c r="AE451" s="76">
        <f t="shared" ref="AE451:AE514" si="61">SUMIFS(AB:AB,E:E,E451)</f>
        <v>0</v>
      </c>
      <c r="AF451" s="75">
        <f t="shared" ref="AF451:AF514" si="62">(AE451*24)/9</f>
        <v>0</v>
      </c>
      <c r="AG451" s="76">
        <f t="shared" si="55"/>
        <v>0</v>
      </c>
      <c r="AH451" s="31" t="e" cm="1">
        <f t="array" aca="1" ref="AH451" ca="1">IF((AD451) &lt; (INDEX(ResponseSLA[#All],(MATCH((G451),ResponseSLA[Priority],0))+1,3)),"YES","No")</f>
        <v>#N/A</v>
      </c>
      <c r="AI451" s="31" t="str">
        <f>_xlfn.IFNA(IF(AE451 &lt; (INDEX(SLATable[Minimum SLA],MATCH(G451,SLATable[Priority],0))),"YES","NO"),"")</f>
        <v/>
      </c>
      <c r="AJ451" t="str">
        <f>_xlfn.IFNA(IF(AE451 &lt; (INDEX(SLATable[Maximum SLA],MATCH(G451,SLATable[Priority],0))),"YES","NO"),"")</f>
        <v/>
      </c>
    </row>
    <row r="452" spans="26:36" ht="15" customHeight="1">
      <c r="Z452" s="76" t="e">
        <f t="shared" ca="1" si="56"/>
        <v>#N/A</v>
      </c>
      <c r="AA452" s="75" t="e">
        <f t="shared" ca="1" si="57"/>
        <v>#N/A</v>
      </c>
      <c r="AB452" s="76">
        <f t="shared" ca="1" si="58"/>
        <v>0</v>
      </c>
      <c r="AC452" s="75">
        <f t="shared" ca="1" si="59"/>
        <v>0</v>
      </c>
      <c r="AD452" s="76">
        <f t="shared" ca="1" si="60"/>
        <v>12388.425643402781</v>
      </c>
      <c r="AE452" s="76">
        <f t="shared" si="61"/>
        <v>0</v>
      </c>
      <c r="AF452" s="75">
        <f t="shared" si="62"/>
        <v>0</v>
      </c>
      <c r="AG452" s="76">
        <f t="shared" si="55"/>
        <v>0</v>
      </c>
      <c r="AH452" s="31" t="e" cm="1">
        <f t="array" aca="1" ref="AH452" ca="1">IF((AD452) &lt; (INDEX(ResponseSLA[#All],(MATCH((G452),ResponseSLA[Priority],0))+1,3)),"YES","No")</f>
        <v>#N/A</v>
      </c>
      <c r="AI452" s="31" t="str">
        <f>_xlfn.IFNA(IF(AE452 &lt; (INDEX(SLATable[Minimum SLA],MATCH(G452,SLATable[Priority],0))),"YES","NO"),"")</f>
        <v/>
      </c>
      <c r="AJ452" t="str">
        <f>_xlfn.IFNA(IF(AE452 &lt; (INDEX(SLATable[Maximum SLA],MATCH(G452,SLATable[Priority],0))),"YES","NO"),"")</f>
        <v/>
      </c>
    </row>
    <row r="453" spans="26:36" ht="15" customHeight="1">
      <c r="Z453" s="76" t="e">
        <f t="shared" ca="1" si="56"/>
        <v>#N/A</v>
      </c>
      <c r="AA453" s="75" t="e">
        <f t="shared" ca="1" si="57"/>
        <v>#N/A</v>
      </c>
      <c r="AB453" s="76">
        <f t="shared" ca="1" si="58"/>
        <v>0</v>
      </c>
      <c r="AC453" s="75">
        <f t="shared" ca="1" si="59"/>
        <v>0</v>
      </c>
      <c r="AD453" s="76">
        <f t="shared" ca="1" si="60"/>
        <v>12388.425643402781</v>
      </c>
      <c r="AE453" s="76">
        <f t="shared" si="61"/>
        <v>0</v>
      </c>
      <c r="AF453" s="75">
        <f t="shared" si="62"/>
        <v>0</v>
      </c>
      <c r="AG453" s="76">
        <f t="shared" si="55"/>
        <v>0</v>
      </c>
      <c r="AH453" s="31" t="e" cm="1">
        <f t="array" aca="1" ref="AH453" ca="1">IF((AD453) &lt; (INDEX(ResponseSLA[#All],(MATCH((G453),ResponseSLA[Priority],0))+1,3)),"YES","No")</f>
        <v>#N/A</v>
      </c>
      <c r="AI453" s="31" t="str">
        <f>_xlfn.IFNA(IF(AE453 &lt; (INDEX(SLATable[Minimum SLA],MATCH(G453,SLATable[Priority],0))),"YES","NO"),"")</f>
        <v/>
      </c>
      <c r="AJ453" t="str">
        <f>_xlfn.IFNA(IF(AE453 &lt; (INDEX(SLATable[Maximum SLA],MATCH(G453,SLATable[Priority],0))),"YES","NO"),"")</f>
        <v/>
      </c>
    </row>
    <row r="454" spans="26:36" ht="15" customHeight="1">
      <c r="Z454" s="76" t="e">
        <f t="shared" ca="1" si="56"/>
        <v>#N/A</v>
      </c>
      <c r="AA454" s="75" t="e">
        <f t="shared" ca="1" si="57"/>
        <v>#N/A</v>
      </c>
      <c r="AB454" s="76">
        <f t="shared" ca="1" si="58"/>
        <v>0</v>
      </c>
      <c r="AC454" s="75">
        <f t="shared" ca="1" si="59"/>
        <v>0</v>
      </c>
      <c r="AD454" s="76">
        <f t="shared" ca="1" si="60"/>
        <v>12388.425643402781</v>
      </c>
      <c r="AE454" s="76">
        <f t="shared" si="61"/>
        <v>0</v>
      </c>
      <c r="AF454" s="75">
        <f t="shared" si="62"/>
        <v>0</v>
      </c>
      <c r="AG454" s="76">
        <f t="shared" si="55"/>
        <v>0</v>
      </c>
      <c r="AH454" s="31" t="e" cm="1">
        <f t="array" aca="1" ref="AH454" ca="1">IF((AD454) &lt; (INDEX(ResponseSLA[#All],(MATCH((G454),ResponseSLA[Priority],0))+1,3)),"YES","No")</f>
        <v>#N/A</v>
      </c>
      <c r="AI454" s="31" t="str">
        <f>_xlfn.IFNA(IF(AE454 &lt; (INDEX(SLATable[Minimum SLA],MATCH(G454,SLATable[Priority],0))),"YES","NO"),"")</f>
        <v/>
      </c>
      <c r="AJ454" t="str">
        <f>_xlfn.IFNA(IF(AE454 &lt; (INDEX(SLATable[Maximum SLA],MATCH(G454,SLATable[Priority],0))),"YES","NO"),"")</f>
        <v/>
      </c>
    </row>
    <row r="455" spans="26:36" ht="15" customHeight="1">
      <c r="Z455" s="76" t="e">
        <f t="shared" ca="1" si="56"/>
        <v>#N/A</v>
      </c>
      <c r="AA455" s="75" t="e">
        <f t="shared" ca="1" si="57"/>
        <v>#N/A</v>
      </c>
      <c r="AB455" s="76">
        <f t="shared" ca="1" si="58"/>
        <v>0</v>
      </c>
      <c r="AC455" s="75">
        <f t="shared" ca="1" si="59"/>
        <v>0</v>
      </c>
      <c r="AD455" s="76">
        <f t="shared" ca="1" si="60"/>
        <v>12388.425643402781</v>
      </c>
      <c r="AE455" s="76">
        <f t="shared" si="61"/>
        <v>0</v>
      </c>
      <c r="AF455" s="75">
        <f t="shared" si="62"/>
        <v>0</v>
      </c>
      <c r="AG455" s="76">
        <f t="shared" si="55"/>
        <v>0</v>
      </c>
      <c r="AH455" s="31" t="e" cm="1">
        <f t="array" aca="1" ref="AH455" ca="1">IF((AD455) &lt; (INDEX(ResponseSLA[#All],(MATCH((G455),ResponseSLA[Priority],0))+1,3)),"YES","No")</f>
        <v>#N/A</v>
      </c>
      <c r="AI455" s="31" t="str">
        <f>_xlfn.IFNA(IF(AE455 &lt; (INDEX(SLATable[Minimum SLA],MATCH(G455,SLATable[Priority],0))),"YES","NO"),"")</f>
        <v/>
      </c>
      <c r="AJ455" t="str">
        <f>_xlfn.IFNA(IF(AE455 &lt; (INDEX(SLATable[Maximum SLA],MATCH(G455,SLATable[Priority],0))),"YES","NO"),"")</f>
        <v/>
      </c>
    </row>
    <row r="456" spans="26:36" ht="15" customHeight="1">
      <c r="Z456" s="76" t="e">
        <f t="shared" ca="1" si="56"/>
        <v>#N/A</v>
      </c>
      <c r="AA456" s="75" t="e">
        <f t="shared" ca="1" si="57"/>
        <v>#N/A</v>
      </c>
      <c r="AB456" s="76">
        <f t="shared" ca="1" si="58"/>
        <v>0</v>
      </c>
      <c r="AC456" s="75">
        <f t="shared" ca="1" si="59"/>
        <v>0</v>
      </c>
      <c r="AD456" s="76">
        <f t="shared" ca="1" si="60"/>
        <v>12388.425643402781</v>
      </c>
      <c r="AE456" s="76">
        <f t="shared" si="61"/>
        <v>0</v>
      </c>
      <c r="AF456" s="75">
        <f t="shared" si="62"/>
        <v>0</v>
      </c>
      <c r="AG456" s="76">
        <f t="shared" si="55"/>
        <v>0</v>
      </c>
      <c r="AH456" s="31" t="e" cm="1">
        <f t="array" aca="1" ref="AH456" ca="1">IF((AD456) &lt; (INDEX(ResponseSLA[#All],(MATCH((G456),ResponseSLA[Priority],0))+1,3)),"YES","No")</f>
        <v>#N/A</v>
      </c>
      <c r="AI456" s="31" t="str">
        <f>_xlfn.IFNA(IF(AE456 &lt; (INDEX(SLATable[Minimum SLA],MATCH(G456,SLATable[Priority],0))),"YES","NO"),"")</f>
        <v/>
      </c>
      <c r="AJ456" t="str">
        <f>_xlfn.IFNA(IF(AE456 &lt; (INDEX(SLATable[Maximum SLA],MATCH(G456,SLATable[Priority],0))),"YES","NO"),"")</f>
        <v/>
      </c>
    </row>
    <row r="457" spans="26:36" ht="15" customHeight="1">
      <c r="Z457" s="76" t="e">
        <f t="shared" ca="1" si="56"/>
        <v>#N/A</v>
      </c>
      <c r="AA457" s="75" t="e">
        <f t="shared" ca="1" si="57"/>
        <v>#N/A</v>
      </c>
      <c r="AB457" s="76">
        <f t="shared" ca="1" si="58"/>
        <v>0</v>
      </c>
      <c r="AC457" s="75">
        <f t="shared" ca="1" si="59"/>
        <v>0</v>
      </c>
      <c r="AD457" s="76">
        <f t="shared" ca="1" si="60"/>
        <v>12388.425643402781</v>
      </c>
      <c r="AE457" s="76">
        <f t="shared" si="61"/>
        <v>0</v>
      </c>
      <c r="AF457" s="75">
        <f t="shared" si="62"/>
        <v>0</v>
      </c>
      <c r="AG457" s="76">
        <f t="shared" si="55"/>
        <v>0</v>
      </c>
      <c r="AH457" s="31" t="e" cm="1">
        <f t="array" aca="1" ref="AH457" ca="1">IF((AD457) &lt; (INDEX(ResponseSLA[#All],(MATCH((G457),ResponseSLA[Priority],0))+1,3)),"YES","No")</f>
        <v>#N/A</v>
      </c>
      <c r="AI457" s="31" t="str">
        <f>_xlfn.IFNA(IF(AE457 &lt; (INDEX(SLATable[Minimum SLA],MATCH(G457,SLATable[Priority],0))),"YES","NO"),"")</f>
        <v/>
      </c>
      <c r="AJ457" t="str">
        <f>_xlfn.IFNA(IF(AE457 &lt; (INDEX(SLATable[Maximum SLA],MATCH(G457,SLATable[Priority],0))),"YES","NO"),"")</f>
        <v/>
      </c>
    </row>
    <row r="458" spans="26:36" ht="15" customHeight="1">
      <c r="Z458" s="76" t="e">
        <f t="shared" ca="1" si="56"/>
        <v>#N/A</v>
      </c>
      <c r="AA458" s="75" t="e">
        <f t="shared" ca="1" si="57"/>
        <v>#N/A</v>
      </c>
      <c r="AB458" s="76">
        <f t="shared" ca="1" si="58"/>
        <v>0</v>
      </c>
      <c r="AC458" s="75">
        <f t="shared" ca="1" si="59"/>
        <v>0</v>
      </c>
      <c r="AD458" s="76">
        <f t="shared" ca="1" si="60"/>
        <v>12388.425643402781</v>
      </c>
      <c r="AE458" s="76">
        <f t="shared" si="61"/>
        <v>0</v>
      </c>
      <c r="AF458" s="75">
        <f t="shared" si="62"/>
        <v>0</v>
      </c>
      <c r="AG458" s="76">
        <f t="shared" si="55"/>
        <v>0</v>
      </c>
      <c r="AH458" s="31" t="e" cm="1">
        <f t="array" aca="1" ref="AH458" ca="1">IF((AD458) &lt; (INDEX(ResponseSLA[#All],(MATCH((G458),ResponseSLA[Priority],0))+1,3)),"YES","No")</f>
        <v>#N/A</v>
      </c>
      <c r="AI458" s="31" t="str">
        <f>_xlfn.IFNA(IF(AE458 &lt; (INDEX(SLATable[Minimum SLA],MATCH(G458,SLATable[Priority],0))),"YES","NO"),"")</f>
        <v/>
      </c>
      <c r="AJ458" t="str">
        <f>_xlfn.IFNA(IF(AE458 &lt; (INDEX(SLATable[Maximum SLA],MATCH(G458,SLATable[Priority],0))),"YES","NO"),"")</f>
        <v/>
      </c>
    </row>
    <row r="459" spans="26:36" ht="15" customHeight="1">
      <c r="Z459" s="76" t="e">
        <f t="shared" ca="1" si="56"/>
        <v>#N/A</v>
      </c>
      <c r="AA459" s="75" t="e">
        <f t="shared" ca="1" si="57"/>
        <v>#N/A</v>
      </c>
      <c r="AB459" s="76">
        <f t="shared" ca="1" si="58"/>
        <v>0</v>
      </c>
      <c r="AC459" s="75">
        <f t="shared" ca="1" si="59"/>
        <v>0</v>
      </c>
      <c r="AD459" s="76">
        <f t="shared" ca="1" si="60"/>
        <v>12388.425643402781</v>
      </c>
      <c r="AE459" s="76">
        <f t="shared" si="61"/>
        <v>0</v>
      </c>
      <c r="AF459" s="75">
        <f t="shared" si="62"/>
        <v>0</v>
      </c>
      <c r="AG459" s="76">
        <f t="shared" si="55"/>
        <v>0</v>
      </c>
      <c r="AH459" s="31" t="e" cm="1">
        <f t="array" aca="1" ref="AH459" ca="1">IF((AD459) &lt; (INDEX(ResponseSLA[#All],(MATCH((G459),ResponseSLA[Priority],0))+1,3)),"YES","No")</f>
        <v>#N/A</v>
      </c>
      <c r="AI459" s="31" t="str">
        <f>_xlfn.IFNA(IF(AE459 &lt; (INDEX(SLATable[Minimum SLA],MATCH(G459,SLATable[Priority],0))),"YES","NO"),"")</f>
        <v/>
      </c>
      <c r="AJ459" t="str">
        <f>_xlfn.IFNA(IF(AE459 &lt; (INDEX(SLATable[Maximum SLA],MATCH(G459,SLATable[Priority],0))),"YES","NO"),"")</f>
        <v/>
      </c>
    </row>
    <row r="460" spans="26:36" ht="15" customHeight="1">
      <c r="Z460" s="76" t="e">
        <f t="shared" ca="1" si="56"/>
        <v>#N/A</v>
      </c>
      <c r="AA460" s="75" t="e">
        <f t="shared" ca="1" si="57"/>
        <v>#N/A</v>
      </c>
      <c r="AB460" s="76">
        <f t="shared" ca="1" si="58"/>
        <v>0</v>
      </c>
      <c r="AC460" s="75">
        <f t="shared" ca="1" si="59"/>
        <v>0</v>
      </c>
      <c r="AD460" s="76">
        <f t="shared" ca="1" si="60"/>
        <v>12388.425643402781</v>
      </c>
      <c r="AE460" s="76">
        <f t="shared" si="61"/>
        <v>0</v>
      </c>
      <c r="AF460" s="75">
        <f t="shared" si="62"/>
        <v>0</v>
      </c>
      <c r="AG460" s="76">
        <f t="shared" si="55"/>
        <v>0</v>
      </c>
      <c r="AH460" s="31" t="e" cm="1">
        <f t="array" aca="1" ref="AH460" ca="1">IF((AD460) &lt; (INDEX(ResponseSLA[#All],(MATCH((G460),ResponseSLA[Priority],0))+1,3)),"YES","No")</f>
        <v>#N/A</v>
      </c>
      <c r="AI460" s="31" t="str">
        <f>_xlfn.IFNA(IF(AE460 &lt; (INDEX(SLATable[Minimum SLA],MATCH(G460,SLATable[Priority],0))),"YES","NO"),"")</f>
        <v/>
      </c>
      <c r="AJ460" t="str">
        <f>_xlfn.IFNA(IF(AE460 &lt; (INDEX(SLATable[Maximum SLA],MATCH(G460,SLATable[Priority],0))),"YES","NO"),"")</f>
        <v/>
      </c>
    </row>
    <row r="461" spans="26:36" ht="15" customHeight="1">
      <c r="Z461" s="76" t="e">
        <f t="shared" ca="1" si="56"/>
        <v>#N/A</v>
      </c>
      <c r="AA461" s="75" t="e">
        <f t="shared" ca="1" si="57"/>
        <v>#N/A</v>
      </c>
      <c r="AB461" s="76">
        <f t="shared" ca="1" si="58"/>
        <v>0</v>
      </c>
      <c r="AC461" s="75">
        <f t="shared" ca="1" si="59"/>
        <v>0</v>
      </c>
      <c r="AD461" s="76">
        <f t="shared" ca="1" si="60"/>
        <v>12388.425643402781</v>
      </c>
      <c r="AE461" s="76">
        <f t="shared" si="61"/>
        <v>0</v>
      </c>
      <c r="AF461" s="75">
        <f t="shared" si="62"/>
        <v>0</v>
      </c>
      <c r="AG461" s="76">
        <f t="shared" si="55"/>
        <v>0</v>
      </c>
      <c r="AH461" s="31" t="e" cm="1">
        <f t="array" aca="1" ref="AH461" ca="1">IF((AD461) &lt; (INDEX(ResponseSLA[#All],(MATCH((G461),ResponseSLA[Priority],0))+1,3)),"YES","No")</f>
        <v>#N/A</v>
      </c>
      <c r="AI461" s="31" t="str">
        <f>_xlfn.IFNA(IF(AE461 &lt; (INDEX(SLATable[Minimum SLA],MATCH(G461,SLATable[Priority],0))),"YES","NO"),"")</f>
        <v/>
      </c>
      <c r="AJ461" t="str">
        <f>_xlfn.IFNA(IF(AE461 &lt; (INDEX(SLATable[Maximum SLA],MATCH(G461,SLATable[Priority],0))),"YES","NO"),"")</f>
        <v/>
      </c>
    </row>
    <row r="462" spans="26:36" ht="15" customHeight="1">
      <c r="Z462" s="76" t="e">
        <f t="shared" ca="1" si="56"/>
        <v>#N/A</v>
      </c>
      <c r="AA462" s="75" t="e">
        <f t="shared" ca="1" si="57"/>
        <v>#N/A</v>
      </c>
      <c r="AB462" s="76">
        <f t="shared" ca="1" si="58"/>
        <v>0</v>
      </c>
      <c r="AC462" s="75">
        <f t="shared" ca="1" si="59"/>
        <v>0</v>
      </c>
      <c r="AD462" s="76">
        <f t="shared" ca="1" si="60"/>
        <v>12388.425643402781</v>
      </c>
      <c r="AE462" s="76">
        <f t="shared" si="61"/>
        <v>0</v>
      </c>
      <c r="AF462" s="75">
        <f t="shared" si="62"/>
        <v>0</v>
      </c>
      <c r="AG462" s="76">
        <f t="shared" si="55"/>
        <v>0</v>
      </c>
      <c r="AH462" s="31" t="e" cm="1">
        <f t="array" aca="1" ref="AH462" ca="1">IF((AD462) &lt; (INDEX(ResponseSLA[#All],(MATCH((G462),ResponseSLA[Priority],0))+1,3)),"YES","No")</f>
        <v>#N/A</v>
      </c>
      <c r="AI462" s="31" t="str">
        <f>_xlfn.IFNA(IF(AE462 &lt; (INDEX(SLATable[Minimum SLA],MATCH(G462,SLATable[Priority],0))),"YES","NO"),"")</f>
        <v/>
      </c>
      <c r="AJ462" t="str">
        <f>_xlfn.IFNA(IF(AE462 &lt; (INDEX(SLATable[Maximum SLA],MATCH(G462,SLATable[Priority],0))),"YES","NO"),"")</f>
        <v/>
      </c>
    </row>
    <row r="463" spans="26:36" ht="15" customHeight="1">
      <c r="Z463" s="76" t="e">
        <f t="shared" ca="1" si="56"/>
        <v>#N/A</v>
      </c>
      <c r="AA463" s="75" t="e">
        <f t="shared" ca="1" si="57"/>
        <v>#N/A</v>
      </c>
      <c r="AB463" s="76">
        <f t="shared" ca="1" si="58"/>
        <v>0</v>
      </c>
      <c r="AC463" s="75">
        <f t="shared" ca="1" si="59"/>
        <v>0</v>
      </c>
      <c r="AD463" s="76">
        <f t="shared" ca="1" si="60"/>
        <v>12388.425643402781</v>
      </c>
      <c r="AE463" s="76">
        <f t="shared" si="61"/>
        <v>0</v>
      </c>
      <c r="AF463" s="75">
        <f t="shared" si="62"/>
        <v>0</v>
      </c>
      <c r="AG463" s="76">
        <f t="shared" si="55"/>
        <v>0</v>
      </c>
      <c r="AH463" s="31" t="e" cm="1">
        <f t="array" aca="1" ref="AH463" ca="1">IF((AD463) &lt; (INDEX(ResponseSLA[#All],(MATCH((G463),ResponseSLA[Priority],0))+1,3)),"YES","No")</f>
        <v>#N/A</v>
      </c>
      <c r="AI463" s="31" t="str">
        <f>_xlfn.IFNA(IF(AE463 &lt; (INDEX(SLATable[Minimum SLA],MATCH(G463,SLATable[Priority],0))),"YES","NO"),"")</f>
        <v/>
      </c>
      <c r="AJ463" t="str">
        <f>_xlfn.IFNA(IF(AE463 &lt; (INDEX(SLATable[Maximum SLA],MATCH(G463,SLATable[Priority],0))),"YES","NO"),"")</f>
        <v/>
      </c>
    </row>
    <row r="464" spans="26:36" ht="15" customHeight="1">
      <c r="Z464" s="76" t="e">
        <f t="shared" ca="1" si="56"/>
        <v>#N/A</v>
      </c>
      <c r="AA464" s="75" t="e">
        <f t="shared" ca="1" si="57"/>
        <v>#N/A</v>
      </c>
      <c r="AB464" s="76">
        <f t="shared" ca="1" si="58"/>
        <v>0</v>
      </c>
      <c r="AC464" s="75">
        <f t="shared" ca="1" si="59"/>
        <v>0</v>
      </c>
      <c r="AD464" s="76">
        <f t="shared" ca="1" si="60"/>
        <v>12388.425643402781</v>
      </c>
      <c r="AE464" s="76">
        <f t="shared" si="61"/>
        <v>0</v>
      </c>
      <c r="AF464" s="75">
        <f t="shared" si="62"/>
        <v>0</v>
      </c>
      <c r="AG464" s="76">
        <f t="shared" si="55"/>
        <v>0</v>
      </c>
      <c r="AH464" s="31" t="e" cm="1">
        <f t="array" aca="1" ref="AH464" ca="1">IF((AD464) &lt; (INDEX(ResponseSLA[#All],(MATCH((G464),ResponseSLA[Priority],0))+1,3)),"YES","No")</f>
        <v>#N/A</v>
      </c>
      <c r="AI464" s="31" t="str">
        <f>_xlfn.IFNA(IF(AE464 &lt; (INDEX(SLATable[Minimum SLA],MATCH(G464,SLATable[Priority],0))),"YES","NO"),"")</f>
        <v/>
      </c>
      <c r="AJ464" t="str">
        <f>_xlfn.IFNA(IF(AE464 &lt; (INDEX(SLATable[Maximum SLA],MATCH(G464,SLATable[Priority],0))),"YES","NO"),"")</f>
        <v/>
      </c>
    </row>
    <row r="465" spans="26:36" ht="15" customHeight="1">
      <c r="Z465" s="76" t="e">
        <f t="shared" ca="1" si="56"/>
        <v>#N/A</v>
      </c>
      <c r="AA465" s="75" t="e">
        <f t="shared" ca="1" si="57"/>
        <v>#N/A</v>
      </c>
      <c r="AB465" s="76">
        <f t="shared" ca="1" si="58"/>
        <v>0</v>
      </c>
      <c r="AC465" s="75">
        <f t="shared" ca="1" si="59"/>
        <v>0</v>
      </c>
      <c r="AD465" s="76">
        <f t="shared" ca="1" si="60"/>
        <v>12388.425643402781</v>
      </c>
      <c r="AE465" s="76">
        <f t="shared" si="61"/>
        <v>0</v>
      </c>
      <c r="AF465" s="75">
        <f t="shared" si="62"/>
        <v>0</v>
      </c>
      <c r="AG465" s="76">
        <f t="shared" si="55"/>
        <v>0</v>
      </c>
      <c r="AH465" s="31" t="e" cm="1">
        <f t="array" aca="1" ref="AH465" ca="1">IF((AD465) &lt; (INDEX(ResponseSLA[#All],(MATCH((G465),ResponseSLA[Priority],0))+1,3)),"YES","No")</f>
        <v>#N/A</v>
      </c>
      <c r="AI465" s="31" t="str">
        <f>_xlfn.IFNA(IF(AE465 &lt; (INDEX(SLATable[Minimum SLA],MATCH(G465,SLATable[Priority],0))),"YES","NO"),"")</f>
        <v/>
      </c>
      <c r="AJ465" t="str">
        <f>_xlfn.IFNA(IF(AE465 &lt; (INDEX(SLATable[Maximum SLA],MATCH(G465,SLATable[Priority],0))),"YES","NO"),"")</f>
        <v/>
      </c>
    </row>
    <row r="466" spans="26:36" ht="15" customHeight="1">
      <c r="Z466" s="76" t="e">
        <f t="shared" ca="1" si="56"/>
        <v>#N/A</v>
      </c>
      <c r="AA466" s="75" t="e">
        <f t="shared" ca="1" si="57"/>
        <v>#N/A</v>
      </c>
      <c r="AB466" s="76">
        <f t="shared" ca="1" si="58"/>
        <v>0</v>
      </c>
      <c r="AC466" s="75">
        <f t="shared" ca="1" si="59"/>
        <v>0</v>
      </c>
      <c r="AD466" s="76">
        <f t="shared" ca="1" si="60"/>
        <v>12388.425643402781</v>
      </c>
      <c r="AE466" s="76">
        <f t="shared" si="61"/>
        <v>0</v>
      </c>
      <c r="AF466" s="75">
        <f t="shared" si="62"/>
        <v>0</v>
      </c>
      <c r="AG466" s="76">
        <f t="shared" si="55"/>
        <v>0</v>
      </c>
      <c r="AH466" s="31" t="e" cm="1">
        <f t="array" aca="1" ref="AH466" ca="1">IF((AD466) &lt; (INDEX(ResponseSLA[#All],(MATCH((G466),ResponseSLA[Priority],0))+1,3)),"YES","No")</f>
        <v>#N/A</v>
      </c>
      <c r="AI466" s="31" t="str">
        <f>_xlfn.IFNA(IF(AE466 &lt; (INDEX(SLATable[Minimum SLA],MATCH(G466,SLATable[Priority],0))),"YES","NO"),"")</f>
        <v/>
      </c>
      <c r="AJ466" t="str">
        <f>_xlfn.IFNA(IF(AE466 &lt; (INDEX(SLATable[Maximum SLA],MATCH(G466,SLATable[Priority],0))),"YES","NO"),"")</f>
        <v/>
      </c>
    </row>
    <row r="467" spans="26:36" ht="15" customHeight="1">
      <c r="Z467" s="76" t="e">
        <f t="shared" ca="1" si="56"/>
        <v>#N/A</v>
      </c>
      <c r="AA467" s="75" t="e">
        <f t="shared" ca="1" si="57"/>
        <v>#N/A</v>
      </c>
      <c r="AB467" s="76">
        <f t="shared" ca="1" si="58"/>
        <v>0</v>
      </c>
      <c r="AC467" s="75">
        <f t="shared" ca="1" si="59"/>
        <v>0</v>
      </c>
      <c r="AD467" s="76">
        <f t="shared" ca="1" si="60"/>
        <v>12388.425643402781</v>
      </c>
      <c r="AE467" s="76">
        <f t="shared" si="61"/>
        <v>0</v>
      </c>
      <c r="AF467" s="75">
        <f t="shared" si="62"/>
        <v>0</v>
      </c>
      <c r="AG467" s="76">
        <f t="shared" si="55"/>
        <v>0</v>
      </c>
      <c r="AH467" s="31" t="e" cm="1">
        <f t="array" aca="1" ref="AH467" ca="1">IF((AD467) &lt; (INDEX(ResponseSLA[#All],(MATCH((G467),ResponseSLA[Priority],0))+1,3)),"YES","No")</f>
        <v>#N/A</v>
      </c>
      <c r="AI467" s="31" t="str">
        <f>_xlfn.IFNA(IF(AE467 &lt; (INDEX(SLATable[Minimum SLA],MATCH(G467,SLATable[Priority],0))),"YES","NO"),"")</f>
        <v/>
      </c>
      <c r="AJ467" t="str">
        <f>_xlfn.IFNA(IF(AE467 &lt; (INDEX(SLATable[Maximum SLA],MATCH(G467,SLATable[Priority],0))),"YES","NO"),"")</f>
        <v/>
      </c>
    </row>
    <row r="468" spans="26:36" ht="15" customHeight="1">
      <c r="Z468" s="76" t="e">
        <f t="shared" ca="1" si="56"/>
        <v>#N/A</v>
      </c>
      <c r="AA468" s="75" t="e">
        <f t="shared" ca="1" si="57"/>
        <v>#N/A</v>
      </c>
      <c r="AB468" s="76">
        <f t="shared" ca="1" si="58"/>
        <v>0</v>
      </c>
      <c r="AC468" s="75">
        <f t="shared" ca="1" si="59"/>
        <v>0</v>
      </c>
      <c r="AD468" s="76">
        <f t="shared" ca="1" si="60"/>
        <v>12388.425643402781</v>
      </c>
      <c r="AE468" s="76">
        <f t="shared" si="61"/>
        <v>0</v>
      </c>
      <c r="AF468" s="75">
        <f t="shared" si="62"/>
        <v>0</v>
      </c>
      <c r="AG468" s="76">
        <f t="shared" si="55"/>
        <v>0</v>
      </c>
      <c r="AH468" s="31" t="e" cm="1">
        <f t="array" aca="1" ref="AH468" ca="1">IF((AD468) &lt; (INDEX(ResponseSLA[#All],(MATCH((G468),ResponseSLA[Priority],0))+1,3)),"YES","No")</f>
        <v>#N/A</v>
      </c>
      <c r="AI468" s="31" t="str">
        <f>_xlfn.IFNA(IF(AE468 &lt; (INDEX(SLATable[Minimum SLA],MATCH(G468,SLATable[Priority],0))),"YES","NO"),"")</f>
        <v/>
      </c>
      <c r="AJ468" t="str">
        <f>_xlfn.IFNA(IF(AE468 &lt; (INDEX(SLATable[Maximum SLA],MATCH(G468,SLATable[Priority],0))),"YES","NO"),"")</f>
        <v/>
      </c>
    </row>
    <row r="469" spans="26:36" ht="15" customHeight="1">
      <c r="Z469" s="76" t="e">
        <f t="shared" ca="1" si="56"/>
        <v>#N/A</v>
      </c>
      <c r="AA469" s="75" t="e">
        <f t="shared" ca="1" si="57"/>
        <v>#N/A</v>
      </c>
      <c r="AB469" s="76">
        <f t="shared" ca="1" si="58"/>
        <v>0</v>
      </c>
      <c r="AC469" s="75">
        <f t="shared" ca="1" si="59"/>
        <v>0</v>
      </c>
      <c r="AD469" s="76">
        <f t="shared" ca="1" si="60"/>
        <v>12388.425643402781</v>
      </c>
      <c r="AE469" s="76">
        <f t="shared" si="61"/>
        <v>0</v>
      </c>
      <c r="AF469" s="75">
        <f t="shared" si="62"/>
        <v>0</v>
      </c>
      <c r="AG469" s="76">
        <f t="shared" si="55"/>
        <v>0</v>
      </c>
      <c r="AH469" s="31" t="e" cm="1">
        <f t="array" aca="1" ref="AH469" ca="1">IF((AD469) &lt; (INDEX(ResponseSLA[#All],(MATCH((G469),ResponseSLA[Priority],0))+1,3)),"YES","No")</f>
        <v>#N/A</v>
      </c>
      <c r="AI469" s="31" t="str">
        <f>_xlfn.IFNA(IF(AE469 &lt; (INDEX(SLATable[Minimum SLA],MATCH(G469,SLATable[Priority],0))),"YES","NO"),"")</f>
        <v/>
      </c>
      <c r="AJ469" t="str">
        <f>_xlfn.IFNA(IF(AE469 &lt; (INDEX(SLATable[Maximum SLA],MATCH(G469,SLATable[Priority],0))),"YES","NO"),"")</f>
        <v/>
      </c>
    </row>
    <row r="470" spans="26:36" ht="15" customHeight="1">
      <c r="Z470" s="76" t="e">
        <f t="shared" ca="1" si="56"/>
        <v>#N/A</v>
      </c>
      <c r="AA470" s="75" t="e">
        <f t="shared" ca="1" si="57"/>
        <v>#N/A</v>
      </c>
      <c r="AB470" s="76">
        <f t="shared" ca="1" si="58"/>
        <v>0</v>
      </c>
      <c r="AC470" s="75">
        <f t="shared" ca="1" si="59"/>
        <v>0</v>
      </c>
      <c r="AD470" s="76">
        <f t="shared" ca="1" si="60"/>
        <v>12388.425643402781</v>
      </c>
      <c r="AE470" s="76">
        <f t="shared" si="61"/>
        <v>0</v>
      </c>
      <c r="AF470" s="75">
        <f t="shared" si="62"/>
        <v>0</v>
      </c>
      <c r="AG470" s="76">
        <f t="shared" si="55"/>
        <v>0</v>
      </c>
      <c r="AH470" s="31" t="e" cm="1">
        <f t="array" aca="1" ref="AH470" ca="1">IF((AD470) &lt; (INDEX(ResponseSLA[#All],(MATCH((G470),ResponseSLA[Priority],0))+1,3)),"YES","No")</f>
        <v>#N/A</v>
      </c>
      <c r="AI470" s="31" t="str">
        <f>_xlfn.IFNA(IF(AE470 &lt; (INDEX(SLATable[Minimum SLA],MATCH(G470,SLATable[Priority],0))),"YES","NO"),"")</f>
        <v/>
      </c>
      <c r="AJ470" t="str">
        <f>_xlfn.IFNA(IF(AE470 &lt; (INDEX(SLATable[Maximum SLA],MATCH(G470,SLATable[Priority],0))),"YES","NO"),"")</f>
        <v/>
      </c>
    </row>
    <row r="471" spans="26:36" ht="15" customHeight="1">
      <c r="Z471" s="76" t="e">
        <f t="shared" ca="1" si="56"/>
        <v>#N/A</v>
      </c>
      <c r="AA471" s="75" t="e">
        <f t="shared" ca="1" si="57"/>
        <v>#N/A</v>
      </c>
      <c r="AB471" s="76">
        <f t="shared" ca="1" si="58"/>
        <v>0</v>
      </c>
      <c r="AC471" s="75">
        <f t="shared" ca="1" si="59"/>
        <v>0</v>
      </c>
      <c r="AD471" s="76">
        <f t="shared" ca="1" si="60"/>
        <v>12388.425643402781</v>
      </c>
      <c r="AE471" s="76">
        <f t="shared" si="61"/>
        <v>0</v>
      </c>
      <c r="AF471" s="75">
        <f t="shared" si="62"/>
        <v>0</v>
      </c>
      <c r="AG471" s="76">
        <f t="shared" si="55"/>
        <v>0</v>
      </c>
      <c r="AH471" s="31" t="e" cm="1">
        <f t="array" aca="1" ref="AH471" ca="1">IF((AD471) &lt; (INDEX(ResponseSLA[#All],(MATCH((G471),ResponseSLA[Priority],0))+1,3)),"YES","No")</f>
        <v>#N/A</v>
      </c>
      <c r="AI471" s="31" t="str">
        <f>_xlfn.IFNA(IF(AE471 &lt; (INDEX(SLATable[Minimum SLA],MATCH(G471,SLATable[Priority],0))),"YES","NO"),"")</f>
        <v/>
      </c>
      <c r="AJ471" t="str">
        <f>_xlfn.IFNA(IF(AE471 &lt; (INDEX(SLATable[Maximum SLA],MATCH(G471,SLATable[Priority],0))),"YES","NO"),"")</f>
        <v/>
      </c>
    </row>
    <row r="472" spans="26:36" ht="15" customHeight="1">
      <c r="Z472" s="76" t="e">
        <f t="shared" ca="1" si="56"/>
        <v>#N/A</v>
      </c>
      <c r="AA472" s="75" t="e">
        <f t="shared" ca="1" si="57"/>
        <v>#N/A</v>
      </c>
      <c r="AB472" s="76">
        <f t="shared" ca="1" si="58"/>
        <v>0</v>
      </c>
      <c r="AC472" s="75">
        <f t="shared" ca="1" si="59"/>
        <v>0</v>
      </c>
      <c r="AD472" s="76">
        <f t="shared" ca="1" si="60"/>
        <v>12388.425643402781</v>
      </c>
      <c r="AE472" s="76">
        <f t="shared" si="61"/>
        <v>0</v>
      </c>
      <c r="AF472" s="75">
        <f t="shared" si="62"/>
        <v>0</v>
      </c>
      <c r="AG472" s="76">
        <f t="shared" si="55"/>
        <v>0</v>
      </c>
      <c r="AH472" s="31" t="e" cm="1">
        <f t="array" aca="1" ref="AH472" ca="1">IF((AD472) &lt; (INDEX(ResponseSLA[#All],(MATCH((G472),ResponseSLA[Priority],0))+1,3)),"YES","No")</f>
        <v>#N/A</v>
      </c>
      <c r="AI472" s="31" t="str">
        <f>_xlfn.IFNA(IF(AE472 &lt; (INDEX(SLATable[Minimum SLA],MATCH(G472,SLATable[Priority],0))),"YES","NO"),"")</f>
        <v/>
      </c>
      <c r="AJ472" t="str">
        <f>_xlfn.IFNA(IF(AE472 &lt; (INDEX(SLATable[Maximum SLA],MATCH(G472,SLATable[Priority],0))),"YES","NO"),"")</f>
        <v/>
      </c>
    </row>
    <row r="473" spans="26:36" ht="15" customHeight="1">
      <c r="Z473" s="76" t="e">
        <f t="shared" ca="1" si="56"/>
        <v>#N/A</v>
      </c>
      <c r="AA473" s="75" t="e">
        <f t="shared" ca="1" si="57"/>
        <v>#N/A</v>
      </c>
      <c r="AB473" s="76">
        <f t="shared" ca="1" si="58"/>
        <v>0</v>
      </c>
      <c r="AC473" s="75">
        <f t="shared" ca="1" si="59"/>
        <v>0</v>
      </c>
      <c r="AD473" s="76">
        <f t="shared" ca="1" si="60"/>
        <v>12388.425643402781</v>
      </c>
      <c r="AE473" s="76">
        <f t="shared" si="61"/>
        <v>0</v>
      </c>
      <c r="AF473" s="75">
        <f t="shared" si="62"/>
        <v>0</v>
      </c>
      <c r="AG473" s="76">
        <f t="shared" si="55"/>
        <v>0</v>
      </c>
      <c r="AH473" s="31" t="e" cm="1">
        <f t="array" aca="1" ref="AH473" ca="1">IF((AD473) &lt; (INDEX(ResponseSLA[#All],(MATCH((G473),ResponseSLA[Priority],0))+1,3)),"YES","No")</f>
        <v>#N/A</v>
      </c>
      <c r="AI473" s="31" t="str">
        <f>_xlfn.IFNA(IF(AE473 &lt; (INDEX(SLATable[Minimum SLA],MATCH(G473,SLATable[Priority],0))),"YES","NO"),"")</f>
        <v/>
      </c>
      <c r="AJ473" t="str">
        <f>_xlfn.IFNA(IF(AE473 &lt; (INDEX(SLATable[Maximum SLA],MATCH(G473,SLATable[Priority],0))),"YES","NO"),"")</f>
        <v/>
      </c>
    </row>
    <row r="474" spans="26:36" ht="15" customHeight="1">
      <c r="Z474" s="76" t="e">
        <f t="shared" ca="1" si="56"/>
        <v>#N/A</v>
      </c>
      <c r="AA474" s="75" t="e">
        <f t="shared" ca="1" si="57"/>
        <v>#N/A</v>
      </c>
      <c r="AB474" s="76">
        <f t="shared" ca="1" si="58"/>
        <v>0</v>
      </c>
      <c r="AC474" s="75">
        <f t="shared" ca="1" si="59"/>
        <v>0</v>
      </c>
      <c r="AD474" s="76">
        <f t="shared" ca="1" si="60"/>
        <v>12388.425643402781</v>
      </c>
      <c r="AE474" s="76">
        <f t="shared" si="61"/>
        <v>0</v>
      </c>
      <c r="AF474" s="75">
        <f t="shared" si="62"/>
        <v>0</v>
      </c>
      <c r="AG474" s="76">
        <f t="shared" si="55"/>
        <v>0</v>
      </c>
      <c r="AH474" s="31" t="e" cm="1">
        <f t="array" aca="1" ref="AH474" ca="1">IF((AD474) &lt; (INDEX(ResponseSLA[#All],(MATCH((G474),ResponseSLA[Priority],0))+1,3)),"YES","No")</f>
        <v>#N/A</v>
      </c>
      <c r="AI474" s="31" t="str">
        <f>_xlfn.IFNA(IF(AE474 &lt; (INDEX(SLATable[Minimum SLA],MATCH(G474,SLATable[Priority],0))),"YES","NO"),"")</f>
        <v/>
      </c>
      <c r="AJ474" t="str">
        <f>_xlfn.IFNA(IF(AE474 &lt; (INDEX(SLATable[Maximum SLA],MATCH(G474,SLATable[Priority],0))),"YES","NO"),"")</f>
        <v/>
      </c>
    </row>
    <row r="475" spans="26:36" ht="15" customHeight="1">
      <c r="Z475" s="76" t="e">
        <f t="shared" ca="1" si="56"/>
        <v>#N/A</v>
      </c>
      <c r="AA475" s="75" t="e">
        <f t="shared" ca="1" si="57"/>
        <v>#N/A</v>
      </c>
      <c r="AB475" s="76">
        <f t="shared" ca="1" si="58"/>
        <v>0</v>
      </c>
      <c r="AC475" s="75">
        <f t="shared" ca="1" si="59"/>
        <v>0</v>
      </c>
      <c r="AD475" s="76">
        <f t="shared" ca="1" si="60"/>
        <v>12388.425643402781</v>
      </c>
      <c r="AE475" s="76">
        <f t="shared" si="61"/>
        <v>0</v>
      </c>
      <c r="AF475" s="75">
        <f t="shared" si="62"/>
        <v>0</v>
      </c>
      <c r="AG475" s="76">
        <f t="shared" si="55"/>
        <v>0</v>
      </c>
      <c r="AH475" s="31" t="e" cm="1">
        <f t="array" aca="1" ref="AH475" ca="1">IF((AD475) &lt; (INDEX(ResponseSLA[#All],(MATCH((G475),ResponseSLA[Priority],0))+1,3)),"YES","No")</f>
        <v>#N/A</v>
      </c>
      <c r="AI475" s="31" t="str">
        <f>_xlfn.IFNA(IF(AE475 &lt; (INDEX(SLATable[Minimum SLA],MATCH(G475,SLATable[Priority],0))),"YES","NO"),"")</f>
        <v/>
      </c>
      <c r="AJ475" t="str">
        <f>_xlfn.IFNA(IF(AE475 &lt; (INDEX(SLATable[Maximum SLA],MATCH(G475,SLATable[Priority],0))),"YES","NO"),"")</f>
        <v/>
      </c>
    </row>
    <row r="476" spans="26:36" ht="15" customHeight="1">
      <c r="Z476" s="76" t="e">
        <f t="shared" ca="1" si="56"/>
        <v>#N/A</v>
      </c>
      <c r="AA476" s="75" t="e">
        <f t="shared" ca="1" si="57"/>
        <v>#N/A</v>
      </c>
      <c r="AB476" s="76">
        <f t="shared" ca="1" si="58"/>
        <v>0</v>
      </c>
      <c r="AC476" s="75">
        <f t="shared" ca="1" si="59"/>
        <v>0</v>
      </c>
      <c r="AD476" s="76">
        <f t="shared" ca="1" si="60"/>
        <v>12388.425643402781</v>
      </c>
      <c r="AE476" s="76">
        <f t="shared" si="61"/>
        <v>0</v>
      </c>
      <c r="AF476" s="75">
        <f t="shared" si="62"/>
        <v>0</v>
      </c>
      <c r="AG476" s="76">
        <f t="shared" si="55"/>
        <v>0</v>
      </c>
      <c r="AH476" s="31" t="e" cm="1">
        <f t="array" aca="1" ref="AH476" ca="1">IF((AD476) &lt; (INDEX(ResponseSLA[#All],(MATCH((G476),ResponseSLA[Priority],0))+1,3)),"YES","No")</f>
        <v>#N/A</v>
      </c>
      <c r="AI476" s="31" t="str">
        <f>_xlfn.IFNA(IF(AE476 &lt; (INDEX(SLATable[Minimum SLA],MATCH(G476,SLATable[Priority],0))),"YES","NO"),"")</f>
        <v/>
      </c>
      <c r="AJ476" t="str">
        <f>_xlfn.IFNA(IF(AE476 &lt; (INDEX(SLATable[Maximum SLA],MATCH(G476,SLATable[Priority],0))),"YES","NO"),"")</f>
        <v/>
      </c>
    </row>
    <row r="477" spans="26:36" ht="15" customHeight="1">
      <c r="Z477" s="76" t="e">
        <f t="shared" ca="1" si="56"/>
        <v>#N/A</v>
      </c>
      <c r="AA477" s="75" t="e">
        <f t="shared" ca="1" si="57"/>
        <v>#N/A</v>
      </c>
      <c r="AB477" s="76">
        <f t="shared" ca="1" si="58"/>
        <v>0</v>
      </c>
      <c r="AC477" s="75">
        <f t="shared" ca="1" si="59"/>
        <v>0</v>
      </c>
      <c r="AD477" s="76">
        <f t="shared" ca="1" si="60"/>
        <v>12388.425643402781</v>
      </c>
      <c r="AE477" s="76">
        <f t="shared" si="61"/>
        <v>0</v>
      </c>
      <c r="AF477" s="75">
        <f t="shared" si="62"/>
        <v>0</v>
      </c>
      <c r="AG477" s="76">
        <f t="shared" si="55"/>
        <v>0</v>
      </c>
      <c r="AH477" s="31" t="e" cm="1">
        <f t="array" aca="1" ref="AH477" ca="1">IF((AD477) &lt; (INDEX(ResponseSLA[#All],(MATCH((G477),ResponseSLA[Priority],0))+1,3)),"YES","No")</f>
        <v>#N/A</v>
      </c>
      <c r="AI477" s="31" t="str">
        <f>_xlfn.IFNA(IF(AE477 &lt; (INDEX(SLATable[Minimum SLA],MATCH(G477,SLATable[Priority],0))),"YES","NO"),"")</f>
        <v/>
      </c>
      <c r="AJ477" t="str">
        <f>_xlfn.IFNA(IF(AE477 &lt; (INDEX(SLATable[Maximum SLA],MATCH(G477,SLATable[Priority],0))),"YES","NO"),"")</f>
        <v/>
      </c>
    </row>
    <row r="478" spans="26:36" ht="15" customHeight="1">
      <c r="Z478" s="76" t="e">
        <f t="shared" ca="1" si="56"/>
        <v>#N/A</v>
      </c>
      <c r="AA478" s="75" t="e">
        <f t="shared" ca="1" si="57"/>
        <v>#N/A</v>
      </c>
      <c r="AB478" s="76">
        <f t="shared" ca="1" si="58"/>
        <v>0</v>
      </c>
      <c r="AC478" s="75">
        <f t="shared" ca="1" si="59"/>
        <v>0</v>
      </c>
      <c r="AD478" s="76">
        <f t="shared" ca="1" si="60"/>
        <v>12388.425643402781</v>
      </c>
      <c r="AE478" s="76">
        <f t="shared" si="61"/>
        <v>0</v>
      </c>
      <c r="AF478" s="75">
        <f t="shared" si="62"/>
        <v>0</v>
      </c>
      <c r="AG478" s="76">
        <f t="shared" si="55"/>
        <v>0</v>
      </c>
      <c r="AH478" s="31" t="e" cm="1">
        <f t="array" aca="1" ref="AH478" ca="1">IF((AD478) &lt; (INDEX(ResponseSLA[#All],(MATCH((G478),ResponseSLA[Priority],0))+1,3)),"YES","No")</f>
        <v>#N/A</v>
      </c>
      <c r="AI478" s="31" t="str">
        <f>_xlfn.IFNA(IF(AE478 &lt; (INDEX(SLATable[Minimum SLA],MATCH(G478,SLATable[Priority],0))),"YES","NO"),"")</f>
        <v/>
      </c>
      <c r="AJ478" t="str">
        <f>_xlfn.IFNA(IF(AE478 &lt; (INDEX(SLATable[Maximum SLA],MATCH(G478,SLATable[Priority],0))),"YES","NO"),"")</f>
        <v/>
      </c>
    </row>
    <row r="479" spans="26:36" ht="15" customHeight="1">
      <c r="Z479" s="76" t="e">
        <f t="shared" ca="1" si="56"/>
        <v>#N/A</v>
      </c>
      <c r="AA479" s="75" t="e">
        <f t="shared" ca="1" si="57"/>
        <v>#N/A</v>
      </c>
      <c r="AB479" s="76">
        <f t="shared" ca="1" si="58"/>
        <v>0</v>
      </c>
      <c r="AC479" s="75">
        <f t="shared" ca="1" si="59"/>
        <v>0</v>
      </c>
      <c r="AD479" s="76">
        <f t="shared" ca="1" si="60"/>
        <v>12388.425643402781</v>
      </c>
      <c r="AE479" s="76">
        <f t="shared" si="61"/>
        <v>0</v>
      </c>
      <c r="AF479" s="75">
        <f t="shared" si="62"/>
        <v>0</v>
      </c>
      <c r="AG479" s="76">
        <f t="shared" si="55"/>
        <v>0</v>
      </c>
      <c r="AH479" s="31" t="e" cm="1">
        <f t="array" aca="1" ref="AH479" ca="1">IF((AD479) &lt; (INDEX(ResponseSLA[#All],(MATCH((G479),ResponseSLA[Priority],0))+1,3)),"YES","No")</f>
        <v>#N/A</v>
      </c>
      <c r="AI479" s="31" t="str">
        <f>_xlfn.IFNA(IF(AE479 &lt; (INDEX(SLATable[Minimum SLA],MATCH(G479,SLATable[Priority],0))),"YES","NO"),"")</f>
        <v/>
      </c>
      <c r="AJ479" t="str">
        <f>_xlfn.IFNA(IF(AE479 &lt; (INDEX(SLATable[Maximum SLA],MATCH(G479,SLATable[Priority],0))),"YES","NO"),"")</f>
        <v/>
      </c>
    </row>
    <row r="480" spans="26:36" ht="15" customHeight="1">
      <c r="Z480" s="76" t="e">
        <f t="shared" ca="1" si="56"/>
        <v>#N/A</v>
      </c>
      <c r="AA480" s="75" t="e">
        <f t="shared" ca="1" si="57"/>
        <v>#N/A</v>
      </c>
      <c r="AB480" s="76">
        <f t="shared" ca="1" si="58"/>
        <v>0</v>
      </c>
      <c r="AC480" s="75">
        <f t="shared" ca="1" si="59"/>
        <v>0</v>
      </c>
      <c r="AD480" s="76">
        <f t="shared" ca="1" si="60"/>
        <v>12388.425643402781</v>
      </c>
      <c r="AE480" s="76">
        <f t="shared" si="61"/>
        <v>0</v>
      </c>
      <c r="AF480" s="75">
        <f t="shared" si="62"/>
        <v>0</v>
      </c>
      <c r="AG480" s="76">
        <f t="shared" si="55"/>
        <v>0</v>
      </c>
      <c r="AH480" s="31" t="e" cm="1">
        <f t="array" aca="1" ref="AH480" ca="1">IF((AD480) &lt; (INDEX(ResponseSLA[#All],(MATCH((G480),ResponseSLA[Priority],0))+1,3)),"YES","No")</f>
        <v>#N/A</v>
      </c>
      <c r="AI480" s="31" t="str">
        <f>_xlfn.IFNA(IF(AE480 &lt; (INDEX(SLATable[Minimum SLA],MATCH(G480,SLATable[Priority],0))),"YES","NO"),"")</f>
        <v/>
      </c>
      <c r="AJ480" t="str">
        <f>_xlfn.IFNA(IF(AE480 &lt; (INDEX(SLATable[Maximum SLA],MATCH(G480,SLATable[Priority],0))),"YES","NO"),"")</f>
        <v/>
      </c>
    </row>
    <row r="481" spans="26:36" ht="15" customHeight="1">
      <c r="Z481" s="76" t="e">
        <f t="shared" ca="1" si="56"/>
        <v>#N/A</v>
      </c>
      <c r="AA481" s="75" t="e">
        <f t="shared" ca="1" si="57"/>
        <v>#N/A</v>
      </c>
      <c r="AB481" s="76">
        <f t="shared" ca="1" si="58"/>
        <v>0</v>
      </c>
      <c r="AC481" s="75">
        <f t="shared" ca="1" si="59"/>
        <v>0</v>
      </c>
      <c r="AD481" s="76">
        <f t="shared" ca="1" si="60"/>
        <v>12388.425643634258</v>
      </c>
      <c r="AE481" s="76">
        <f t="shared" si="61"/>
        <v>0</v>
      </c>
      <c r="AF481" s="75">
        <f t="shared" si="62"/>
        <v>0</v>
      </c>
      <c r="AG481" s="76">
        <f t="shared" si="55"/>
        <v>0</v>
      </c>
      <c r="AH481" s="31" t="e" cm="1">
        <f t="array" aca="1" ref="AH481" ca="1">IF((AD481) &lt; (INDEX(ResponseSLA[#All],(MATCH((G481),ResponseSLA[Priority],0))+1,3)),"YES","No")</f>
        <v>#N/A</v>
      </c>
      <c r="AI481" s="31" t="str">
        <f>_xlfn.IFNA(IF(AE481 &lt; (INDEX(SLATable[Minimum SLA],MATCH(G481,SLATable[Priority],0))),"YES","NO"),"")</f>
        <v/>
      </c>
      <c r="AJ481" t="str">
        <f>_xlfn.IFNA(IF(AE481 &lt; (INDEX(SLATable[Maximum SLA],MATCH(G481,SLATable[Priority],0))),"YES","NO"),"")</f>
        <v/>
      </c>
    </row>
    <row r="482" spans="26:36" ht="15" customHeight="1">
      <c r="Z482" s="76" t="e">
        <f t="shared" ca="1" si="56"/>
        <v>#N/A</v>
      </c>
      <c r="AA482" s="75" t="e">
        <f t="shared" ca="1" si="57"/>
        <v>#N/A</v>
      </c>
      <c r="AB482" s="76">
        <f t="shared" ca="1" si="58"/>
        <v>0</v>
      </c>
      <c r="AC482" s="75">
        <f t="shared" ca="1" si="59"/>
        <v>0</v>
      </c>
      <c r="AD482" s="76">
        <f t="shared" ca="1" si="60"/>
        <v>12388.425643402781</v>
      </c>
      <c r="AE482" s="76">
        <f t="shared" si="61"/>
        <v>0</v>
      </c>
      <c r="AF482" s="75">
        <f t="shared" si="62"/>
        <v>0</v>
      </c>
      <c r="AG482" s="76">
        <f t="shared" si="55"/>
        <v>0</v>
      </c>
      <c r="AH482" s="31" t="e" cm="1">
        <f t="array" aca="1" ref="AH482" ca="1">IF((AD482) &lt; (INDEX(ResponseSLA[#All],(MATCH((G482),ResponseSLA[Priority],0))+1,3)),"YES","No")</f>
        <v>#N/A</v>
      </c>
      <c r="AI482" s="31" t="str">
        <f>_xlfn.IFNA(IF(AE482 &lt; (INDEX(SLATable[Minimum SLA],MATCH(G482,SLATable[Priority],0))),"YES","NO"),"")</f>
        <v/>
      </c>
      <c r="AJ482" t="str">
        <f>_xlfn.IFNA(IF(AE482 &lt; (INDEX(SLATable[Maximum SLA],MATCH(G482,SLATable[Priority],0))),"YES","NO"),"")</f>
        <v/>
      </c>
    </row>
    <row r="483" spans="26:36" ht="15" customHeight="1">
      <c r="Z483" s="76" t="e">
        <f t="shared" ca="1" si="56"/>
        <v>#N/A</v>
      </c>
      <c r="AA483" s="75" t="e">
        <f t="shared" ca="1" si="57"/>
        <v>#N/A</v>
      </c>
      <c r="AB483" s="76">
        <f t="shared" ca="1" si="58"/>
        <v>0</v>
      </c>
      <c r="AC483" s="75">
        <f t="shared" ca="1" si="59"/>
        <v>0</v>
      </c>
      <c r="AD483" s="76">
        <f t="shared" ca="1" si="60"/>
        <v>12388.425643402781</v>
      </c>
      <c r="AE483" s="76">
        <f t="shared" si="61"/>
        <v>0</v>
      </c>
      <c r="AF483" s="75">
        <f t="shared" si="62"/>
        <v>0</v>
      </c>
      <c r="AG483" s="76">
        <f t="shared" si="55"/>
        <v>0</v>
      </c>
      <c r="AH483" s="31" t="e" cm="1">
        <f t="array" aca="1" ref="AH483" ca="1">IF((AD483) &lt; (INDEX(ResponseSLA[#All],(MATCH((G483),ResponseSLA[Priority],0))+1,3)),"YES","No")</f>
        <v>#N/A</v>
      </c>
      <c r="AI483" s="31" t="str">
        <f>_xlfn.IFNA(IF(AE483 &lt; (INDEX(SLATable[Minimum SLA],MATCH(G483,SLATable[Priority],0))),"YES","NO"),"")</f>
        <v/>
      </c>
      <c r="AJ483" t="str">
        <f>_xlfn.IFNA(IF(AE483 &lt; (INDEX(SLATable[Maximum SLA],MATCH(G483,SLATable[Priority],0))),"YES","NO"),"")</f>
        <v/>
      </c>
    </row>
    <row r="484" spans="26:36" ht="15" customHeight="1">
      <c r="Z484" s="76" t="e">
        <f t="shared" ca="1" si="56"/>
        <v>#N/A</v>
      </c>
      <c r="AA484" s="75" t="e">
        <f t="shared" ca="1" si="57"/>
        <v>#N/A</v>
      </c>
      <c r="AB484" s="76">
        <f t="shared" ca="1" si="58"/>
        <v>0</v>
      </c>
      <c r="AC484" s="75">
        <f t="shared" ca="1" si="59"/>
        <v>0</v>
      </c>
      <c r="AD484" s="76">
        <f t="shared" ca="1" si="60"/>
        <v>12388.425643634258</v>
      </c>
      <c r="AE484" s="76">
        <f t="shared" si="61"/>
        <v>0</v>
      </c>
      <c r="AF484" s="75">
        <f t="shared" si="62"/>
        <v>0</v>
      </c>
      <c r="AG484" s="76">
        <f t="shared" si="55"/>
        <v>0</v>
      </c>
      <c r="AH484" s="31" t="e" cm="1">
        <f t="array" aca="1" ref="AH484" ca="1">IF((AD484) &lt; (INDEX(ResponseSLA[#All],(MATCH((G484),ResponseSLA[Priority],0))+1,3)),"YES","No")</f>
        <v>#N/A</v>
      </c>
      <c r="AI484" s="31" t="str">
        <f>_xlfn.IFNA(IF(AE484 &lt; (INDEX(SLATable[Minimum SLA],MATCH(G484,SLATable[Priority],0))),"YES","NO"),"")</f>
        <v/>
      </c>
      <c r="AJ484" t="str">
        <f>_xlfn.IFNA(IF(AE484 &lt; (INDEX(SLATable[Maximum SLA],MATCH(G484,SLATable[Priority],0))),"YES","NO"),"")</f>
        <v/>
      </c>
    </row>
    <row r="485" spans="26:36" ht="15" customHeight="1">
      <c r="Z485" s="76" t="e">
        <f t="shared" ca="1" si="56"/>
        <v>#N/A</v>
      </c>
      <c r="AA485" s="75" t="e">
        <f t="shared" ca="1" si="57"/>
        <v>#N/A</v>
      </c>
      <c r="AB485" s="76">
        <f t="shared" ca="1" si="58"/>
        <v>0</v>
      </c>
      <c r="AC485" s="75">
        <f t="shared" ca="1" si="59"/>
        <v>0</v>
      </c>
      <c r="AD485" s="76">
        <f t="shared" ca="1" si="60"/>
        <v>12388.425643402781</v>
      </c>
      <c r="AE485" s="76">
        <f t="shared" si="61"/>
        <v>0</v>
      </c>
      <c r="AF485" s="75">
        <f t="shared" si="62"/>
        <v>0</v>
      </c>
      <c r="AG485" s="76">
        <f t="shared" si="55"/>
        <v>0</v>
      </c>
      <c r="AH485" s="31" t="e" cm="1">
        <f t="array" aca="1" ref="AH485" ca="1">IF((AD485) &lt; (INDEX(ResponseSLA[#All],(MATCH((G485),ResponseSLA[Priority],0))+1,3)),"YES","No")</f>
        <v>#N/A</v>
      </c>
      <c r="AI485" s="31" t="str">
        <f>_xlfn.IFNA(IF(AE485 &lt; (INDEX(SLATable[Minimum SLA],MATCH(G485,SLATable[Priority],0))),"YES","NO"),"")</f>
        <v/>
      </c>
      <c r="AJ485" t="str">
        <f>_xlfn.IFNA(IF(AE485 &lt; (INDEX(SLATable[Maximum SLA],MATCH(G485,SLATable[Priority],0))),"YES","NO"),"")</f>
        <v/>
      </c>
    </row>
    <row r="486" spans="26:36" ht="15" customHeight="1">
      <c r="Z486" s="76" t="e">
        <f t="shared" ca="1" si="56"/>
        <v>#N/A</v>
      </c>
      <c r="AA486" s="75" t="e">
        <f t="shared" ca="1" si="57"/>
        <v>#N/A</v>
      </c>
      <c r="AB486" s="76">
        <f t="shared" ca="1" si="58"/>
        <v>0</v>
      </c>
      <c r="AC486" s="75">
        <f t="shared" ca="1" si="59"/>
        <v>0</v>
      </c>
      <c r="AD486" s="76">
        <f t="shared" ca="1" si="60"/>
        <v>12388.425643402781</v>
      </c>
      <c r="AE486" s="76">
        <f t="shared" si="61"/>
        <v>0</v>
      </c>
      <c r="AF486" s="75">
        <f t="shared" si="62"/>
        <v>0</v>
      </c>
      <c r="AG486" s="76">
        <f t="shared" si="55"/>
        <v>0</v>
      </c>
      <c r="AH486" s="31" t="e" cm="1">
        <f t="array" aca="1" ref="AH486" ca="1">IF((AD486) &lt; (INDEX(ResponseSLA[#All],(MATCH((G486),ResponseSLA[Priority],0))+1,3)),"YES","No")</f>
        <v>#N/A</v>
      </c>
      <c r="AI486" s="31" t="str">
        <f>_xlfn.IFNA(IF(AE486 &lt; (INDEX(SLATable[Minimum SLA],MATCH(G486,SLATable[Priority],0))),"YES","NO"),"")</f>
        <v/>
      </c>
      <c r="AJ486" t="str">
        <f>_xlfn.IFNA(IF(AE486 &lt; (INDEX(SLATable[Maximum SLA],MATCH(G486,SLATable[Priority],0))),"YES","NO"),"")</f>
        <v/>
      </c>
    </row>
    <row r="487" spans="26:36" ht="15" customHeight="1">
      <c r="Z487" s="76" t="e">
        <f t="shared" ca="1" si="56"/>
        <v>#N/A</v>
      </c>
      <c r="AA487" s="75" t="e">
        <f t="shared" ca="1" si="57"/>
        <v>#N/A</v>
      </c>
      <c r="AB487" s="76">
        <f t="shared" ca="1" si="58"/>
        <v>0</v>
      </c>
      <c r="AC487" s="75">
        <f t="shared" ca="1" si="59"/>
        <v>0</v>
      </c>
      <c r="AD487" s="76">
        <f t="shared" ca="1" si="60"/>
        <v>12388.425643634258</v>
      </c>
      <c r="AE487" s="76">
        <f t="shared" si="61"/>
        <v>0</v>
      </c>
      <c r="AF487" s="75">
        <f t="shared" si="62"/>
        <v>0</v>
      </c>
      <c r="AG487" s="76">
        <f t="shared" si="55"/>
        <v>0</v>
      </c>
      <c r="AH487" s="31" t="e" cm="1">
        <f t="array" aca="1" ref="AH487" ca="1">IF((AD487) &lt; (INDEX(ResponseSLA[#All],(MATCH((G487),ResponseSLA[Priority],0))+1,3)),"YES","No")</f>
        <v>#N/A</v>
      </c>
      <c r="AI487" s="31" t="str">
        <f>_xlfn.IFNA(IF(AE487 &lt; (INDEX(SLATable[Minimum SLA],MATCH(G487,SLATable[Priority],0))),"YES","NO"),"")</f>
        <v/>
      </c>
      <c r="AJ487" t="str">
        <f>_xlfn.IFNA(IF(AE487 &lt; (INDEX(SLATable[Maximum SLA],MATCH(G487,SLATable[Priority],0))),"YES","NO"),"")</f>
        <v/>
      </c>
    </row>
    <row r="488" spans="26:36" ht="15" customHeight="1">
      <c r="Z488" s="76" t="e">
        <f t="shared" ca="1" si="56"/>
        <v>#N/A</v>
      </c>
      <c r="AA488" s="75" t="e">
        <f t="shared" ca="1" si="57"/>
        <v>#N/A</v>
      </c>
      <c r="AB488" s="76">
        <f t="shared" ca="1" si="58"/>
        <v>0</v>
      </c>
      <c r="AC488" s="75">
        <f t="shared" ca="1" si="59"/>
        <v>0</v>
      </c>
      <c r="AD488" s="76">
        <f t="shared" ca="1" si="60"/>
        <v>12388.425643402781</v>
      </c>
      <c r="AE488" s="76">
        <f t="shared" si="61"/>
        <v>0</v>
      </c>
      <c r="AF488" s="75">
        <f t="shared" si="62"/>
        <v>0</v>
      </c>
      <c r="AG488" s="76">
        <f t="shared" si="55"/>
        <v>0</v>
      </c>
      <c r="AH488" s="31" t="e" cm="1">
        <f t="array" aca="1" ref="AH488" ca="1">IF((AD488) &lt; (INDEX(ResponseSLA[#All],(MATCH((G488),ResponseSLA[Priority],0))+1,3)),"YES","No")</f>
        <v>#N/A</v>
      </c>
      <c r="AI488" s="31" t="str">
        <f>_xlfn.IFNA(IF(AE488 &lt; (INDEX(SLATable[Minimum SLA],MATCH(G488,SLATable[Priority],0))),"YES","NO"),"")</f>
        <v/>
      </c>
      <c r="AJ488" t="str">
        <f>_xlfn.IFNA(IF(AE488 &lt; (INDEX(SLATable[Maximum SLA],MATCH(G488,SLATable[Priority],0))),"YES","NO"),"")</f>
        <v/>
      </c>
    </row>
    <row r="489" spans="26:36" ht="15" customHeight="1">
      <c r="Z489" s="76" t="e">
        <f t="shared" ca="1" si="56"/>
        <v>#N/A</v>
      </c>
      <c r="AA489" s="75" t="e">
        <f t="shared" ca="1" si="57"/>
        <v>#N/A</v>
      </c>
      <c r="AB489" s="76">
        <f t="shared" ca="1" si="58"/>
        <v>0</v>
      </c>
      <c r="AC489" s="75">
        <f t="shared" ca="1" si="59"/>
        <v>0</v>
      </c>
      <c r="AD489" s="76">
        <f t="shared" ca="1" si="60"/>
        <v>12388.425643402781</v>
      </c>
      <c r="AE489" s="76">
        <f t="shared" si="61"/>
        <v>0</v>
      </c>
      <c r="AF489" s="75">
        <f t="shared" si="62"/>
        <v>0</v>
      </c>
      <c r="AG489" s="76">
        <f t="shared" si="55"/>
        <v>0</v>
      </c>
      <c r="AH489" s="31" t="e" cm="1">
        <f t="array" aca="1" ref="AH489" ca="1">IF((AD489) &lt; (INDEX(ResponseSLA[#All],(MATCH((G489),ResponseSLA[Priority],0))+1,3)),"YES","No")</f>
        <v>#N/A</v>
      </c>
      <c r="AI489" s="31" t="str">
        <f>_xlfn.IFNA(IF(AE489 &lt; (INDEX(SLATable[Minimum SLA],MATCH(G489,SLATable[Priority],0))),"YES","NO"),"")</f>
        <v/>
      </c>
      <c r="AJ489" t="str">
        <f>_xlfn.IFNA(IF(AE489 &lt; (INDEX(SLATable[Maximum SLA],MATCH(G489,SLATable[Priority],0))),"YES","NO"),"")</f>
        <v/>
      </c>
    </row>
    <row r="490" spans="26:36" ht="15" customHeight="1">
      <c r="Z490" s="76" t="e">
        <f t="shared" ca="1" si="56"/>
        <v>#N/A</v>
      </c>
      <c r="AA490" s="75" t="e">
        <f t="shared" ca="1" si="57"/>
        <v>#N/A</v>
      </c>
      <c r="AB490" s="76">
        <f t="shared" ca="1" si="58"/>
        <v>0</v>
      </c>
      <c r="AC490" s="75">
        <f t="shared" ca="1" si="59"/>
        <v>0</v>
      </c>
      <c r="AD490" s="76">
        <f t="shared" ca="1" si="60"/>
        <v>12388.425643634258</v>
      </c>
      <c r="AE490" s="76">
        <f t="shared" si="61"/>
        <v>0</v>
      </c>
      <c r="AF490" s="75">
        <f t="shared" si="62"/>
        <v>0</v>
      </c>
      <c r="AG490" s="76">
        <f t="shared" si="55"/>
        <v>0</v>
      </c>
      <c r="AH490" s="31" t="e" cm="1">
        <f t="array" aca="1" ref="AH490" ca="1">IF((AD490) &lt; (INDEX(ResponseSLA[#All],(MATCH((G490),ResponseSLA[Priority],0))+1,3)),"YES","No")</f>
        <v>#N/A</v>
      </c>
      <c r="AI490" s="31" t="str">
        <f>_xlfn.IFNA(IF(AE490 &lt; (INDEX(SLATable[Minimum SLA],MATCH(G490,SLATable[Priority],0))),"YES","NO"),"")</f>
        <v/>
      </c>
      <c r="AJ490" t="str">
        <f>_xlfn.IFNA(IF(AE490 &lt; (INDEX(SLATable[Maximum SLA],MATCH(G490,SLATable[Priority],0))),"YES","NO"),"")</f>
        <v/>
      </c>
    </row>
    <row r="491" spans="26:36" ht="15" customHeight="1">
      <c r="Z491" s="76" t="e">
        <f t="shared" ca="1" si="56"/>
        <v>#N/A</v>
      </c>
      <c r="AA491" s="75" t="e">
        <f t="shared" ca="1" si="57"/>
        <v>#N/A</v>
      </c>
      <c r="AB491" s="76">
        <f t="shared" ca="1" si="58"/>
        <v>0</v>
      </c>
      <c r="AC491" s="75">
        <f t="shared" ca="1" si="59"/>
        <v>0</v>
      </c>
      <c r="AD491" s="76">
        <f t="shared" ca="1" si="60"/>
        <v>12388.425643402781</v>
      </c>
      <c r="AE491" s="76">
        <f t="shared" si="61"/>
        <v>0</v>
      </c>
      <c r="AF491" s="75">
        <f t="shared" si="62"/>
        <v>0</v>
      </c>
      <c r="AG491" s="76">
        <f t="shared" si="55"/>
        <v>0</v>
      </c>
      <c r="AH491" s="31" t="e" cm="1">
        <f t="array" aca="1" ref="AH491" ca="1">IF((AD491) &lt; (INDEX(ResponseSLA[#All],(MATCH((G491),ResponseSLA[Priority],0))+1,3)),"YES","No")</f>
        <v>#N/A</v>
      </c>
      <c r="AI491" s="31" t="str">
        <f>_xlfn.IFNA(IF(AE491 &lt; (INDEX(SLATable[Minimum SLA],MATCH(G491,SLATable[Priority],0))),"YES","NO"),"")</f>
        <v/>
      </c>
      <c r="AJ491" t="str">
        <f>_xlfn.IFNA(IF(AE491 &lt; (INDEX(SLATable[Maximum SLA],MATCH(G491,SLATable[Priority],0))),"YES","NO"),"")</f>
        <v/>
      </c>
    </row>
    <row r="492" spans="26:36" ht="15" customHeight="1">
      <c r="Z492" s="76" t="e">
        <f t="shared" ca="1" si="56"/>
        <v>#N/A</v>
      </c>
      <c r="AA492" s="75" t="e">
        <f t="shared" ca="1" si="57"/>
        <v>#N/A</v>
      </c>
      <c r="AB492" s="76">
        <f t="shared" ca="1" si="58"/>
        <v>0</v>
      </c>
      <c r="AC492" s="75">
        <f t="shared" ca="1" si="59"/>
        <v>0</v>
      </c>
      <c r="AD492" s="76">
        <f t="shared" ca="1" si="60"/>
        <v>12388.425643402781</v>
      </c>
      <c r="AE492" s="76">
        <f t="shared" si="61"/>
        <v>0</v>
      </c>
      <c r="AF492" s="75">
        <f t="shared" si="62"/>
        <v>0</v>
      </c>
      <c r="AG492" s="76">
        <f t="shared" si="55"/>
        <v>0</v>
      </c>
      <c r="AH492" s="31" t="e" cm="1">
        <f t="array" aca="1" ref="AH492" ca="1">IF((AD492) &lt; (INDEX(ResponseSLA[#All],(MATCH((G492),ResponseSLA[Priority],0))+1,3)),"YES","No")</f>
        <v>#N/A</v>
      </c>
      <c r="AI492" s="31" t="str">
        <f>_xlfn.IFNA(IF(AE492 &lt; (INDEX(SLATable[Minimum SLA],MATCH(G492,SLATable[Priority],0))),"YES","NO"),"")</f>
        <v/>
      </c>
      <c r="AJ492" t="str">
        <f>_xlfn.IFNA(IF(AE492 &lt; (INDEX(SLATable[Maximum SLA],MATCH(G492,SLATable[Priority],0))),"YES","NO"),"")</f>
        <v/>
      </c>
    </row>
    <row r="493" spans="26:36" ht="15" customHeight="1">
      <c r="Z493" s="76" t="e">
        <f t="shared" ca="1" si="56"/>
        <v>#N/A</v>
      </c>
      <c r="AA493" s="75" t="e">
        <f t="shared" ca="1" si="57"/>
        <v>#N/A</v>
      </c>
      <c r="AB493" s="76">
        <f t="shared" ca="1" si="58"/>
        <v>0</v>
      </c>
      <c r="AC493" s="75">
        <f t="shared" ca="1" si="59"/>
        <v>0</v>
      </c>
      <c r="AD493" s="76">
        <f t="shared" ca="1" si="60"/>
        <v>12388.425643634258</v>
      </c>
      <c r="AE493" s="76">
        <f t="shared" si="61"/>
        <v>0</v>
      </c>
      <c r="AF493" s="75">
        <f t="shared" si="62"/>
        <v>0</v>
      </c>
      <c r="AG493" s="76">
        <f t="shared" si="55"/>
        <v>0</v>
      </c>
      <c r="AH493" s="31" t="e" cm="1">
        <f t="array" aca="1" ref="AH493" ca="1">IF((AD493) &lt; (INDEX(ResponseSLA[#All],(MATCH((G493),ResponseSLA[Priority],0))+1,3)),"YES","No")</f>
        <v>#N/A</v>
      </c>
      <c r="AI493" s="31" t="str">
        <f>_xlfn.IFNA(IF(AE493 &lt; (INDEX(SLATable[Minimum SLA],MATCH(G493,SLATable[Priority],0))),"YES","NO"),"")</f>
        <v/>
      </c>
      <c r="AJ493" t="str">
        <f>_xlfn.IFNA(IF(AE493 &lt; (INDEX(SLATable[Maximum SLA],MATCH(G493,SLATable[Priority],0))),"YES","NO"),"")</f>
        <v/>
      </c>
    </row>
    <row r="494" spans="26:36" ht="15" customHeight="1">
      <c r="Z494" s="76" t="e">
        <f t="shared" ca="1" si="56"/>
        <v>#N/A</v>
      </c>
      <c r="AA494" s="75" t="e">
        <f t="shared" ca="1" si="57"/>
        <v>#N/A</v>
      </c>
      <c r="AB494" s="76">
        <f t="shared" ca="1" si="58"/>
        <v>0</v>
      </c>
      <c r="AC494" s="75">
        <f t="shared" ca="1" si="59"/>
        <v>0</v>
      </c>
      <c r="AD494" s="76">
        <f t="shared" ca="1" si="60"/>
        <v>12388.425643402781</v>
      </c>
      <c r="AE494" s="76">
        <f t="shared" si="61"/>
        <v>0</v>
      </c>
      <c r="AF494" s="75">
        <f t="shared" si="62"/>
        <v>0</v>
      </c>
      <c r="AG494" s="76">
        <f t="shared" si="55"/>
        <v>0</v>
      </c>
      <c r="AH494" s="31" t="e" cm="1">
        <f t="array" aca="1" ref="AH494" ca="1">IF((AD494) &lt; (INDEX(ResponseSLA[#All],(MATCH((G494),ResponseSLA[Priority],0))+1,3)),"YES","No")</f>
        <v>#N/A</v>
      </c>
      <c r="AI494" s="31" t="str">
        <f>_xlfn.IFNA(IF(AE494 &lt; (INDEX(SLATable[Minimum SLA],MATCH(G494,SLATable[Priority],0))),"YES","NO"),"")</f>
        <v/>
      </c>
      <c r="AJ494" t="str">
        <f>_xlfn.IFNA(IF(AE494 &lt; (INDEX(SLATable[Maximum SLA],MATCH(G494,SLATable[Priority],0))),"YES","NO"),"")</f>
        <v/>
      </c>
    </row>
    <row r="495" spans="26:36" ht="15" customHeight="1">
      <c r="Z495" s="76" t="e">
        <f t="shared" ca="1" si="56"/>
        <v>#N/A</v>
      </c>
      <c r="AA495" s="75" t="e">
        <f t="shared" ca="1" si="57"/>
        <v>#N/A</v>
      </c>
      <c r="AB495" s="76">
        <f t="shared" ca="1" si="58"/>
        <v>0</v>
      </c>
      <c r="AC495" s="75">
        <f t="shared" ca="1" si="59"/>
        <v>0</v>
      </c>
      <c r="AD495" s="76">
        <f t="shared" ca="1" si="60"/>
        <v>12388.425643402781</v>
      </c>
      <c r="AE495" s="76">
        <f t="shared" si="61"/>
        <v>0</v>
      </c>
      <c r="AF495" s="75">
        <f t="shared" si="62"/>
        <v>0</v>
      </c>
      <c r="AG495" s="76">
        <f t="shared" si="55"/>
        <v>0</v>
      </c>
      <c r="AH495" s="31" t="e" cm="1">
        <f t="array" aca="1" ref="AH495" ca="1">IF((AD495) &lt; (INDEX(ResponseSLA[#All],(MATCH((G495),ResponseSLA[Priority],0))+1,3)),"YES","No")</f>
        <v>#N/A</v>
      </c>
      <c r="AI495" s="31" t="str">
        <f>_xlfn.IFNA(IF(AE495 &lt; (INDEX(SLATable[Minimum SLA],MATCH(G495,SLATable[Priority],0))),"YES","NO"),"")</f>
        <v/>
      </c>
      <c r="AJ495" t="str">
        <f>_xlfn.IFNA(IF(AE495 &lt; (INDEX(SLATable[Maximum SLA],MATCH(G495,SLATable[Priority],0))),"YES","NO"),"")</f>
        <v/>
      </c>
    </row>
    <row r="496" spans="26:36" ht="15" customHeight="1">
      <c r="Z496" s="76" t="e">
        <f t="shared" ca="1" si="56"/>
        <v>#N/A</v>
      </c>
      <c r="AA496" s="75" t="e">
        <f t="shared" ca="1" si="57"/>
        <v>#N/A</v>
      </c>
      <c r="AB496" s="76">
        <f t="shared" ca="1" si="58"/>
        <v>0</v>
      </c>
      <c r="AC496" s="75">
        <f t="shared" ca="1" si="59"/>
        <v>0</v>
      </c>
      <c r="AD496" s="76">
        <f t="shared" ca="1" si="60"/>
        <v>12388.425643634258</v>
      </c>
      <c r="AE496" s="76">
        <f t="shared" si="61"/>
        <v>0</v>
      </c>
      <c r="AF496" s="75">
        <f t="shared" si="62"/>
        <v>0</v>
      </c>
      <c r="AG496" s="76">
        <f t="shared" si="55"/>
        <v>0</v>
      </c>
      <c r="AH496" s="31" t="e" cm="1">
        <f t="array" aca="1" ref="AH496" ca="1">IF((AD496) &lt; (INDEX(ResponseSLA[#All],(MATCH((G496),ResponseSLA[Priority],0))+1,3)),"YES","No")</f>
        <v>#N/A</v>
      </c>
      <c r="AI496" s="31" t="str">
        <f>_xlfn.IFNA(IF(AE496 &lt; (INDEX(SLATable[Minimum SLA],MATCH(G496,SLATable[Priority],0))),"YES","NO"),"")</f>
        <v/>
      </c>
      <c r="AJ496" t="str">
        <f>_xlfn.IFNA(IF(AE496 &lt; (INDEX(SLATable[Maximum SLA],MATCH(G496,SLATable[Priority],0))),"YES","NO"),"")</f>
        <v/>
      </c>
    </row>
    <row r="497" spans="26:36" ht="15" customHeight="1">
      <c r="Z497" s="76" t="e">
        <f t="shared" ca="1" si="56"/>
        <v>#N/A</v>
      </c>
      <c r="AA497" s="75" t="e">
        <f t="shared" ca="1" si="57"/>
        <v>#N/A</v>
      </c>
      <c r="AB497" s="76">
        <f t="shared" ca="1" si="58"/>
        <v>0</v>
      </c>
      <c r="AC497" s="75">
        <f t="shared" ca="1" si="59"/>
        <v>0</v>
      </c>
      <c r="AD497" s="76">
        <f t="shared" ca="1" si="60"/>
        <v>12388.425643402781</v>
      </c>
      <c r="AE497" s="76">
        <f t="shared" si="61"/>
        <v>0</v>
      </c>
      <c r="AF497" s="75">
        <f t="shared" si="62"/>
        <v>0</v>
      </c>
      <c r="AG497" s="76">
        <f t="shared" si="55"/>
        <v>0</v>
      </c>
      <c r="AH497" s="31" t="e" cm="1">
        <f t="array" aca="1" ref="AH497" ca="1">IF((AD497) &lt; (INDEX(ResponseSLA[#All],(MATCH((G497),ResponseSLA[Priority],0))+1,3)),"YES","No")</f>
        <v>#N/A</v>
      </c>
      <c r="AI497" s="31" t="str">
        <f>_xlfn.IFNA(IF(AE497 &lt; (INDEX(SLATable[Minimum SLA],MATCH(G497,SLATable[Priority],0))),"YES","NO"),"")</f>
        <v/>
      </c>
      <c r="AJ497" t="str">
        <f>_xlfn.IFNA(IF(AE497 &lt; (INDEX(SLATable[Maximum SLA],MATCH(G497,SLATable[Priority],0))),"YES","NO"),"")</f>
        <v/>
      </c>
    </row>
    <row r="498" spans="26:36" ht="15" customHeight="1">
      <c r="Z498" s="76" t="e">
        <f t="shared" ca="1" si="56"/>
        <v>#N/A</v>
      </c>
      <c r="AA498" s="75" t="e">
        <f t="shared" ca="1" si="57"/>
        <v>#N/A</v>
      </c>
      <c r="AB498" s="76">
        <f t="shared" ca="1" si="58"/>
        <v>0</v>
      </c>
      <c r="AC498" s="75">
        <f t="shared" ca="1" si="59"/>
        <v>0</v>
      </c>
      <c r="AD498" s="76">
        <f t="shared" ca="1" si="60"/>
        <v>12388.425643402781</v>
      </c>
      <c r="AE498" s="76">
        <f t="shared" si="61"/>
        <v>0</v>
      </c>
      <c r="AF498" s="75">
        <f t="shared" si="62"/>
        <v>0</v>
      </c>
      <c r="AG498" s="76">
        <f t="shared" si="55"/>
        <v>0</v>
      </c>
      <c r="AH498" s="31" t="e" cm="1">
        <f t="array" aca="1" ref="AH498" ca="1">IF((AD498) &lt; (INDEX(ResponseSLA[#All],(MATCH((G498),ResponseSLA[Priority],0))+1,3)),"YES","No")</f>
        <v>#N/A</v>
      </c>
      <c r="AI498" s="31" t="str">
        <f>_xlfn.IFNA(IF(AE498 &lt; (INDEX(SLATable[Minimum SLA],MATCH(G498,SLATable[Priority],0))),"YES","NO"),"")</f>
        <v/>
      </c>
      <c r="AJ498" t="str">
        <f>_xlfn.IFNA(IF(AE498 &lt; (INDEX(SLATable[Maximum SLA],MATCH(G498,SLATable[Priority],0))),"YES","NO"),"")</f>
        <v/>
      </c>
    </row>
    <row r="499" spans="26:36" ht="15" customHeight="1">
      <c r="Z499" s="76" t="e">
        <f t="shared" ca="1" si="56"/>
        <v>#N/A</v>
      </c>
      <c r="AA499" s="75" t="e">
        <f t="shared" ca="1" si="57"/>
        <v>#N/A</v>
      </c>
      <c r="AB499" s="76">
        <f t="shared" ca="1" si="58"/>
        <v>0</v>
      </c>
      <c r="AC499" s="75">
        <f t="shared" ca="1" si="59"/>
        <v>0</v>
      </c>
      <c r="AD499" s="76">
        <f t="shared" ca="1" si="60"/>
        <v>12388.425643634258</v>
      </c>
      <c r="AE499" s="76">
        <f t="shared" si="61"/>
        <v>0</v>
      </c>
      <c r="AF499" s="75">
        <f t="shared" si="62"/>
        <v>0</v>
      </c>
      <c r="AG499" s="76">
        <f t="shared" si="55"/>
        <v>0</v>
      </c>
      <c r="AH499" s="31" t="e" cm="1">
        <f t="array" aca="1" ref="AH499" ca="1">IF((AD499) &lt; (INDEX(ResponseSLA[#All],(MATCH((G499),ResponseSLA[Priority],0))+1,3)),"YES","No")</f>
        <v>#N/A</v>
      </c>
      <c r="AI499" s="31" t="str">
        <f>_xlfn.IFNA(IF(AE499 &lt; (INDEX(SLATable[Minimum SLA],MATCH(G499,SLATable[Priority],0))),"YES","NO"),"")</f>
        <v/>
      </c>
      <c r="AJ499" t="str">
        <f>_xlfn.IFNA(IF(AE499 &lt; (INDEX(SLATable[Maximum SLA],MATCH(G499,SLATable[Priority],0))),"YES","NO"),"")</f>
        <v/>
      </c>
    </row>
    <row r="500" spans="26:36" ht="15" customHeight="1">
      <c r="Z500" s="76" t="e">
        <f t="shared" ca="1" si="56"/>
        <v>#N/A</v>
      </c>
      <c r="AA500" s="75" t="e">
        <f t="shared" ca="1" si="57"/>
        <v>#N/A</v>
      </c>
      <c r="AB500" s="76">
        <f t="shared" ca="1" si="58"/>
        <v>0</v>
      </c>
      <c r="AC500" s="75">
        <f t="shared" ca="1" si="59"/>
        <v>0</v>
      </c>
      <c r="AD500" s="76">
        <f t="shared" ca="1" si="60"/>
        <v>12388.425643402781</v>
      </c>
      <c r="AE500" s="76">
        <f t="shared" si="61"/>
        <v>0</v>
      </c>
      <c r="AF500" s="75">
        <f t="shared" si="62"/>
        <v>0</v>
      </c>
      <c r="AG500" s="76">
        <f t="shared" si="55"/>
        <v>0</v>
      </c>
      <c r="AH500" s="31" t="e" cm="1">
        <f t="array" aca="1" ref="AH500" ca="1">IF((AD500) &lt; (INDEX(ResponseSLA[#All],(MATCH((G500),ResponseSLA[Priority],0))+1,3)),"YES","No")</f>
        <v>#N/A</v>
      </c>
      <c r="AI500" s="31" t="str">
        <f>_xlfn.IFNA(IF(AE500 &lt; (INDEX(SLATable[Minimum SLA],MATCH(G500,SLATable[Priority],0))),"YES","NO"),"")</f>
        <v/>
      </c>
      <c r="AJ500" t="str">
        <f>_xlfn.IFNA(IF(AE500 &lt; (INDEX(SLATable[Maximum SLA],MATCH(G500,SLATable[Priority],0))),"YES","NO"),"")</f>
        <v/>
      </c>
    </row>
    <row r="501" spans="26:36" ht="15" customHeight="1">
      <c r="Z501" s="76" t="e">
        <f t="shared" ca="1" si="56"/>
        <v>#N/A</v>
      </c>
      <c r="AA501" s="75" t="e">
        <f t="shared" ca="1" si="57"/>
        <v>#N/A</v>
      </c>
      <c r="AB501" s="76">
        <f t="shared" ca="1" si="58"/>
        <v>0</v>
      </c>
      <c r="AC501" s="75">
        <f t="shared" ca="1" si="59"/>
        <v>0</v>
      </c>
      <c r="AD501" s="76">
        <f t="shared" ca="1" si="60"/>
        <v>12388.425643402781</v>
      </c>
      <c r="AE501" s="76">
        <f t="shared" si="61"/>
        <v>0</v>
      </c>
      <c r="AF501" s="75">
        <f t="shared" si="62"/>
        <v>0</v>
      </c>
      <c r="AG501" s="76">
        <f t="shared" si="55"/>
        <v>0</v>
      </c>
      <c r="AH501" s="31" t="e" cm="1">
        <f t="array" aca="1" ref="AH501" ca="1">IF((AD501) &lt; (INDEX(ResponseSLA[#All],(MATCH((G501),ResponseSLA[Priority],0))+1,3)),"YES","No")</f>
        <v>#N/A</v>
      </c>
      <c r="AI501" s="31" t="str">
        <f>_xlfn.IFNA(IF(AE501 &lt; (INDEX(SLATable[Minimum SLA],MATCH(G501,SLATable[Priority],0))),"YES","NO"),"")</f>
        <v/>
      </c>
      <c r="AJ501" t="str">
        <f>_xlfn.IFNA(IF(AE501 &lt; (INDEX(SLATable[Maximum SLA],MATCH(G501,SLATable[Priority],0))),"YES","NO"),"")</f>
        <v/>
      </c>
    </row>
    <row r="502" spans="26:36" ht="15" customHeight="1">
      <c r="Z502" s="76" t="e">
        <f t="shared" ca="1" si="56"/>
        <v>#N/A</v>
      </c>
      <c r="AA502" s="75" t="e">
        <f t="shared" ca="1" si="57"/>
        <v>#N/A</v>
      </c>
      <c r="AB502" s="76">
        <f t="shared" ca="1" si="58"/>
        <v>0</v>
      </c>
      <c r="AC502" s="75">
        <f t="shared" ca="1" si="59"/>
        <v>0</v>
      </c>
      <c r="AD502" s="76">
        <f t="shared" ca="1" si="60"/>
        <v>12388.425643634258</v>
      </c>
      <c r="AE502" s="76">
        <f t="shared" si="61"/>
        <v>0</v>
      </c>
      <c r="AF502" s="75">
        <f t="shared" si="62"/>
        <v>0</v>
      </c>
      <c r="AG502" s="76">
        <f t="shared" si="55"/>
        <v>0</v>
      </c>
      <c r="AH502" s="31" t="e" cm="1">
        <f t="array" aca="1" ref="AH502" ca="1">IF((AD502) &lt; (INDEX(ResponseSLA[#All],(MATCH((G502),ResponseSLA[Priority],0))+1,3)),"YES","No")</f>
        <v>#N/A</v>
      </c>
      <c r="AI502" s="31" t="str">
        <f>_xlfn.IFNA(IF(AE502 &lt; (INDEX(SLATable[Minimum SLA],MATCH(G502,SLATable[Priority],0))),"YES","NO"),"")</f>
        <v/>
      </c>
      <c r="AJ502" t="str">
        <f>_xlfn.IFNA(IF(AE502 &lt; (INDEX(SLATable[Maximum SLA],MATCH(G502,SLATable[Priority],0))),"YES","NO"),"")</f>
        <v/>
      </c>
    </row>
    <row r="503" spans="26:36" ht="15" customHeight="1">
      <c r="Z503" s="76" t="e">
        <f t="shared" ca="1" si="56"/>
        <v>#N/A</v>
      </c>
      <c r="AA503" s="75" t="e">
        <f t="shared" ca="1" si="57"/>
        <v>#N/A</v>
      </c>
      <c r="AB503" s="76">
        <f t="shared" ca="1" si="58"/>
        <v>0</v>
      </c>
      <c r="AC503" s="75">
        <f t="shared" ca="1" si="59"/>
        <v>0</v>
      </c>
      <c r="AD503" s="76">
        <f t="shared" ca="1" si="60"/>
        <v>12388.425643402781</v>
      </c>
      <c r="AE503" s="76">
        <f t="shared" si="61"/>
        <v>0</v>
      </c>
      <c r="AF503" s="75">
        <f t="shared" si="62"/>
        <v>0</v>
      </c>
      <c r="AG503" s="76">
        <f t="shared" si="55"/>
        <v>0</v>
      </c>
      <c r="AH503" s="31" t="e" cm="1">
        <f t="array" aca="1" ref="AH503" ca="1">IF((AD503) &lt; (INDEX(ResponseSLA[#All],(MATCH((G503),ResponseSLA[Priority],0))+1,3)),"YES","No")</f>
        <v>#N/A</v>
      </c>
      <c r="AI503" s="31" t="str">
        <f>_xlfn.IFNA(IF(AE503 &lt; (INDEX(SLATable[Minimum SLA],MATCH(G503,SLATable[Priority],0))),"YES","NO"),"")</f>
        <v/>
      </c>
      <c r="AJ503" t="str">
        <f>_xlfn.IFNA(IF(AE503 &lt; (INDEX(SLATable[Maximum SLA],MATCH(G503,SLATable[Priority],0))),"YES","NO"),"")</f>
        <v/>
      </c>
    </row>
    <row r="504" spans="26:36" ht="15" customHeight="1">
      <c r="Z504" s="76" t="e">
        <f t="shared" ca="1" si="56"/>
        <v>#N/A</v>
      </c>
      <c r="AA504" s="75" t="e">
        <f t="shared" ca="1" si="57"/>
        <v>#N/A</v>
      </c>
      <c r="AB504" s="76">
        <f t="shared" ca="1" si="58"/>
        <v>0</v>
      </c>
      <c r="AC504" s="75">
        <f t="shared" ca="1" si="59"/>
        <v>0</v>
      </c>
      <c r="AD504" s="76">
        <f t="shared" ca="1" si="60"/>
        <v>12388.425643402781</v>
      </c>
      <c r="AE504" s="76">
        <f t="shared" si="61"/>
        <v>0</v>
      </c>
      <c r="AF504" s="75">
        <f t="shared" si="62"/>
        <v>0</v>
      </c>
      <c r="AG504" s="76">
        <f t="shared" si="55"/>
        <v>0</v>
      </c>
      <c r="AH504" s="31" t="e" cm="1">
        <f t="array" aca="1" ref="AH504" ca="1">IF((AD504) &lt; (INDEX(ResponseSLA[#All],(MATCH((G504),ResponseSLA[Priority],0))+1,3)),"YES","No")</f>
        <v>#N/A</v>
      </c>
      <c r="AI504" s="31" t="str">
        <f>_xlfn.IFNA(IF(AE504 &lt; (INDEX(SLATable[Minimum SLA],MATCH(G504,SLATable[Priority],0))),"YES","NO"),"")</f>
        <v/>
      </c>
      <c r="AJ504" t="str">
        <f>_xlfn.IFNA(IF(AE504 &lt; (INDEX(SLATable[Maximum SLA],MATCH(G504,SLATable[Priority],0))),"YES","NO"),"")</f>
        <v/>
      </c>
    </row>
    <row r="505" spans="26:36" ht="15" customHeight="1">
      <c r="Z505" s="76" t="e">
        <f t="shared" ca="1" si="56"/>
        <v>#N/A</v>
      </c>
      <c r="AA505" s="75" t="e">
        <f t="shared" ca="1" si="57"/>
        <v>#N/A</v>
      </c>
      <c r="AB505" s="76">
        <f t="shared" ca="1" si="58"/>
        <v>0</v>
      </c>
      <c r="AC505" s="75">
        <f t="shared" ca="1" si="59"/>
        <v>0</v>
      </c>
      <c r="AD505" s="76">
        <f t="shared" ca="1" si="60"/>
        <v>12388.425643634258</v>
      </c>
      <c r="AE505" s="76">
        <f t="shared" si="61"/>
        <v>0</v>
      </c>
      <c r="AF505" s="75">
        <f t="shared" si="62"/>
        <v>0</v>
      </c>
      <c r="AG505" s="76">
        <f t="shared" si="55"/>
        <v>0</v>
      </c>
      <c r="AH505" s="31" t="e" cm="1">
        <f t="array" aca="1" ref="AH505" ca="1">IF((AD505) &lt; (INDEX(ResponseSLA[#All],(MATCH((G505),ResponseSLA[Priority],0))+1,3)),"YES","No")</f>
        <v>#N/A</v>
      </c>
      <c r="AI505" s="31" t="str">
        <f>_xlfn.IFNA(IF(AE505 &lt; (INDEX(SLATable[Minimum SLA],MATCH(G505,SLATable[Priority],0))),"YES","NO"),"")</f>
        <v/>
      </c>
      <c r="AJ505" t="str">
        <f>_xlfn.IFNA(IF(AE505 &lt; (INDEX(SLATable[Maximum SLA],MATCH(G505,SLATable[Priority],0))),"YES","NO"),"")</f>
        <v/>
      </c>
    </row>
    <row r="506" spans="26:36" ht="15" customHeight="1">
      <c r="Z506" s="76" t="e">
        <f t="shared" ca="1" si="56"/>
        <v>#N/A</v>
      </c>
      <c r="AA506" s="75" t="e">
        <f t="shared" ca="1" si="57"/>
        <v>#N/A</v>
      </c>
      <c r="AB506" s="76">
        <f t="shared" ca="1" si="58"/>
        <v>0</v>
      </c>
      <c r="AC506" s="75">
        <f t="shared" ca="1" si="59"/>
        <v>0</v>
      </c>
      <c r="AD506" s="76">
        <f t="shared" ca="1" si="60"/>
        <v>12388.425643402781</v>
      </c>
      <c r="AE506" s="76">
        <f t="shared" si="61"/>
        <v>0</v>
      </c>
      <c r="AF506" s="75">
        <f t="shared" si="62"/>
        <v>0</v>
      </c>
      <c r="AG506" s="76">
        <f t="shared" si="55"/>
        <v>0</v>
      </c>
      <c r="AH506" s="31" t="e" cm="1">
        <f t="array" aca="1" ref="AH506" ca="1">IF((AD506) &lt; (INDEX(ResponseSLA[#All],(MATCH((G506),ResponseSLA[Priority],0))+1,3)),"YES","No")</f>
        <v>#N/A</v>
      </c>
      <c r="AI506" s="31" t="str">
        <f>_xlfn.IFNA(IF(AE506 &lt; (INDEX(SLATable[Minimum SLA],MATCH(G506,SLATable[Priority],0))),"YES","NO"),"")</f>
        <v/>
      </c>
      <c r="AJ506" t="str">
        <f>_xlfn.IFNA(IF(AE506 &lt; (INDEX(SLATable[Maximum SLA],MATCH(G506,SLATable[Priority],0))),"YES","NO"),"")</f>
        <v/>
      </c>
    </row>
    <row r="507" spans="26:36" ht="15" customHeight="1">
      <c r="Z507" s="76" t="e">
        <f t="shared" ca="1" si="56"/>
        <v>#N/A</v>
      </c>
      <c r="AA507" s="75" t="e">
        <f t="shared" ca="1" si="57"/>
        <v>#N/A</v>
      </c>
      <c r="AB507" s="76">
        <f t="shared" ca="1" si="58"/>
        <v>0</v>
      </c>
      <c r="AC507" s="75">
        <f t="shared" ca="1" si="59"/>
        <v>0</v>
      </c>
      <c r="AD507" s="76">
        <f t="shared" ca="1" si="60"/>
        <v>12388.425643402781</v>
      </c>
      <c r="AE507" s="76">
        <f t="shared" si="61"/>
        <v>0</v>
      </c>
      <c r="AF507" s="75">
        <f t="shared" si="62"/>
        <v>0</v>
      </c>
      <c r="AG507" s="76">
        <f t="shared" si="55"/>
        <v>0</v>
      </c>
      <c r="AH507" s="31" t="e" cm="1">
        <f t="array" aca="1" ref="AH507" ca="1">IF((AD507) &lt; (INDEX(ResponseSLA[#All],(MATCH((G507),ResponseSLA[Priority],0))+1,3)),"YES","No")</f>
        <v>#N/A</v>
      </c>
      <c r="AI507" s="31" t="str">
        <f>_xlfn.IFNA(IF(AE507 &lt; (INDEX(SLATable[Minimum SLA],MATCH(G507,SLATable[Priority],0))),"YES","NO"),"")</f>
        <v/>
      </c>
      <c r="AJ507" t="str">
        <f>_xlfn.IFNA(IF(AE507 &lt; (INDEX(SLATable[Maximum SLA],MATCH(G507,SLATable[Priority],0))),"YES","NO"),"")</f>
        <v/>
      </c>
    </row>
    <row r="508" spans="26:36" ht="15" customHeight="1">
      <c r="Z508" s="76" t="e">
        <f t="shared" ca="1" si="56"/>
        <v>#N/A</v>
      </c>
      <c r="AA508" s="75" t="e">
        <f t="shared" ca="1" si="57"/>
        <v>#N/A</v>
      </c>
      <c r="AB508" s="76">
        <f t="shared" ca="1" si="58"/>
        <v>0</v>
      </c>
      <c r="AC508" s="75">
        <f t="shared" ca="1" si="59"/>
        <v>0</v>
      </c>
      <c r="AD508" s="76">
        <f t="shared" ca="1" si="60"/>
        <v>12388.425643634258</v>
      </c>
      <c r="AE508" s="76">
        <f t="shared" si="61"/>
        <v>0</v>
      </c>
      <c r="AF508" s="75">
        <f t="shared" si="62"/>
        <v>0</v>
      </c>
      <c r="AG508" s="76">
        <f t="shared" si="55"/>
        <v>0</v>
      </c>
      <c r="AH508" s="31" t="e" cm="1">
        <f t="array" aca="1" ref="AH508" ca="1">IF((AD508) &lt; (INDEX(ResponseSLA[#All],(MATCH((G508),ResponseSLA[Priority],0))+1,3)),"YES","No")</f>
        <v>#N/A</v>
      </c>
      <c r="AI508" s="31" t="str">
        <f>_xlfn.IFNA(IF(AE508 &lt; (INDEX(SLATable[Minimum SLA],MATCH(G508,SLATable[Priority],0))),"YES","NO"),"")</f>
        <v/>
      </c>
      <c r="AJ508" t="str">
        <f>_xlfn.IFNA(IF(AE508 &lt; (INDEX(SLATable[Maximum SLA],MATCH(G508,SLATable[Priority],0))),"YES","NO"),"")</f>
        <v/>
      </c>
    </row>
    <row r="509" spans="26:36" ht="15" customHeight="1">
      <c r="Z509" s="76" t="e">
        <f t="shared" ca="1" si="56"/>
        <v>#N/A</v>
      </c>
      <c r="AA509" s="75" t="e">
        <f t="shared" ca="1" si="57"/>
        <v>#N/A</v>
      </c>
      <c r="AB509" s="76">
        <f t="shared" ca="1" si="58"/>
        <v>0</v>
      </c>
      <c r="AC509" s="75">
        <f t="shared" ca="1" si="59"/>
        <v>0</v>
      </c>
      <c r="AD509" s="76">
        <f t="shared" ca="1" si="60"/>
        <v>12388.425643402781</v>
      </c>
      <c r="AE509" s="76">
        <f t="shared" si="61"/>
        <v>0</v>
      </c>
      <c r="AF509" s="75">
        <f t="shared" si="62"/>
        <v>0</v>
      </c>
      <c r="AG509" s="76">
        <f t="shared" si="55"/>
        <v>0</v>
      </c>
      <c r="AH509" s="31" t="e" cm="1">
        <f t="array" aca="1" ref="AH509" ca="1">IF((AD509) &lt; (INDEX(ResponseSLA[#All],(MATCH((G509),ResponseSLA[Priority],0))+1,3)),"YES","No")</f>
        <v>#N/A</v>
      </c>
      <c r="AI509" s="31" t="str">
        <f>_xlfn.IFNA(IF(AE509 &lt; (INDEX(SLATable[Minimum SLA],MATCH(G509,SLATable[Priority],0))),"YES","NO"),"")</f>
        <v/>
      </c>
      <c r="AJ509" t="str">
        <f>_xlfn.IFNA(IF(AE509 &lt; (INDEX(SLATable[Maximum SLA],MATCH(G509,SLATable[Priority],0))),"YES","NO"),"")</f>
        <v/>
      </c>
    </row>
    <row r="510" spans="26:36" ht="15" customHeight="1">
      <c r="Z510" s="76" t="e">
        <f t="shared" ca="1" si="56"/>
        <v>#N/A</v>
      </c>
      <c r="AA510" s="75" t="e">
        <f t="shared" ca="1" si="57"/>
        <v>#N/A</v>
      </c>
      <c r="AB510" s="76">
        <f t="shared" ca="1" si="58"/>
        <v>0</v>
      </c>
      <c r="AC510" s="75">
        <f t="shared" ca="1" si="59"/>
        <v>0</v>
      </c>
      <c r="AD510" s="76">
        <f t="shared" ca="1" si="60"/>
        <v>12388.425643402781</v>
      </c>
      <c r="AE510" s="76">
        <f t="shared" si="61"/>
        <v>0</v>
      </c>
      <c r="AF510" s="75">
        <f t="shared" si="62"/>
        <v>0</v>
      </c>
      <c r="AG510" s="76">
        <f t="shared" si="55"/>
        <v>0</v>
      </c>
      <c r="AH510" s="31" t="e" cm="1">
        <f t="array" aca="1" ref="AH510" ca="1">IF((AD510) &lt; (INDEX(ResponseSLA[#All],(MATCH((G510),ResponseSLA[Priority],0))+1,3)),"YES","No")</f>
        <v>#N/A</v>
      </c>
      <c r="AI510" s="31" t="str">
        <f>_xlfn.IFNA(IF(AE510 &lt; (INDEX(SLATable[Minimum SLA],MATCH(G510,SLATable[Priority],0))),"YES","NO"),"")</f>
        <v/>
      </c>
      <c r="AJ510" t="str">
        <f>_xlfn.IFNA(IF(AE510 &lt; (INDEX(SLATable[Maximum SLA],MATCH(G510,SLATable[Priority],0))),"YES","NO"),"")</f>
        <v/>
      </c>
    </row>
    <row r="511" spans="26:36" ht="15" customHeight="1">
      <c r="Z511" s="76" t="e">
        <f t="shared" ca="1" si="56"/>
        <v>#N/A</v>
      </c>
      <c r="AA511" s="75" t="e">
        <f t="shared" ca="1" si="57"/>
        <v>#N/A</v>
      </c>
      <c r="AB511" s="76">
        <f t="shared" ca="1" si="58"/>
        <v>0</v>
      </c>
      <c r="AC511" s="75">
        <f t="shared" ca="1" si="59"/>
        <v>0</v>
      </c>
      <c r="AD511" s="76">
        <f t="shared" ca="1" si="60"/>
        <v>12388.425643634258</v>
      </c>
      <c r="AE511" s="76">
        <f t="shared" si="61"/>
        <v>0</v>
      </c>
      <c r="AF511" s="75">
        <f t="shared" si="62"/>
        <v>0</v>
      </c>
      <c r="AG511" s="76">
        <f t="shared" si="55"/>
        <v>0</v>
      </c>
      <c r="AH511" s="31" t="e" cm="1">
        <f t="array" aca="1" ref="AH511" ca="1">IF((AD511) &lt; (INDEX(ResponseSLA[#All],(MATCH((G511),ResponseSLA[Priority],0))+1,3)),"YES","No")</f>
        <v>#N/A</v>
      </c>
      <c r="AI511" s="31" t="str">
        <f>_xlfn.IFNA(IF(AE511 &lt; (INDEX(SLATable[Minimum SLA],MATCH(G511,SLATable[Priority],0))),"YES","NO"),"")</f>
        <v/>
      </c>
      <c r="AJ511" t="str">
        <f>_xlfn.IFNA(IF(AE511 &lt; (INDEX(SLATable[Maximum SLA],MATCH(G511,SLATable[Priority],0))),"YES","NO"),"")</f>
        <v/>
      </c>
    </row>
    <row r="512" spans="26:36" ht="15" customHeight="1">
      <c r="Z512" s="76" t="e">
        <f t="shared" ca="1" si="56"/>
        <v>#N/A</v>
      </c>
      <c r="AA512" s="75" t="e">
        <f t="shared" ca="1" si="57"/>
        <v>#N/A</v>
      </c>
      <c r="AB512" s="76">
        <f t="shared" ca="1" si="58"/>
        <v>0</v>
      </c>
      <c r="AC512" s="75">
        <f t="shared" ca="1" si="59"/>
        <v>0</v>
      </c>
      <c r="AD512" s="76">
        <f t="shared" ca="1" si="60"/>
        <v>12388.425643402781</v>
      </c>
      <c r="AE512" s="76">
        <f t="shared" si="61"/>
        <v>0</v>
      </c>
      <c r="AF512" s="75">
        <f t="shared" si="62"/>
        <v>0</v>
      </c>
      <c r="AG512" s="76">
        <f t="shared" si="55"/>
        <v>0</v>
      </c>
      <c r="AH512" s="31" t="e" cm="1">
        <f t="array" aca="1" ref="AH512" ca="1">IF((AD512) &lt; (INDEX(ResponseSLA[#All],(MATCH((G512),ResponseSLA[Priority],0))+1,3)),"YES","No")</f>
        <v>#N/A</v>
      </c>
      <c r="AI512" s="31" t="str">
        <f>_xlfn.IFNA(IF(AE512 &lt; (INDEX(SLATable[Minimum SLA],MATCH(G512,SLATable[Priority],0))),"YES","NO"),"")</f>
        <v/>
      </c>
      <c r="AJ512" t="str">
        <f>_xlfn.IFNA(IF(AE512 &lt; (INDEX(SLATable[Maximum SLA],MATCH(G512,SLATable[Priority],0))),"YES","NO"),"")</f>
        <v/>
      </c>
    </row>
    <row r="513" spans="26:36" ht="15" customHeight="1">
      <c r="Z513" s="76" t="e">
        <f t="shared" ca="1" si="56"/>
        <v>#N/A</v>
      </c>
      <c r="AA513" s="75" t="e">
        <f t="shared" ca="1" si="57"/>
        <v>#N/A</v>
      </c>
      <c r="AB513" s="76">
        <f t="shared" ca="1" si="58"/>
        <v>0</v>
      </c>
      <c r="AC513" s="75">
        <f t="shared" ca="1" si="59"/>
        <v>0</v>
      </c>
      <c r="AD513" s="76">
        <f t="shared" ca="1" si="60"/>
        <v>12388.425643402781</v>
      </c>
      <c r="AE513" s="76">
        <f t="shared" si="61"/>
        <v>0</v>
      </c>
      <c r="AF513" s="75">
        <f t="shared" si="62"/>
        <v>0</v>
      </c>
      <c r="AG513" s="76">
        <f t="shared" ref="AG513:AG576" si="63">AF513</f>
        <v>0</v>
      </c>
      <c r="AH513" s="31" t="e" cm="1">
        <f t="array" aca="1" ref="AH513" ca="1">IF((AD513) &lt; (INDEX(ResponseSLA[#All],(MATCH((G513),ResponseSLA[Priority],0))+1,3)),"YES","No")</f>
        <v>#N/A</v>
      </c>
      <c r="AI513" s="31" t="str">
        <f>_xlfn.IFNA(IF(AE513 &lt; (INDEX(SLATable[Minimum SLA],MATCH(G513,SLATable[Priority],0))),"YES","NO"),"")</f>
        <v/>
      </c>
      <c r="AJ513" t="str">
        <f>_xlfn.IFNA(IF(AE513 &lt; (INDEX(SLATable[Maximum SLA],MATCH(G513,SLATable[Priority],0))),"YES","NO"),"")</f>
        <v/>
      </c>
    </row>
    <row r="514" spans="26:36" ht="15" customHeight="1">
      <c r="Z514" s="76" t="e">
        <f t="shared" ca="1" si="56"/>
        <v>#N/A</v>
      </c>
      <c r="AA514" s="75" t="e">
        <f t="shared" ca="1" si="57"/>
        <v>#N/A</v>
      </c>
      <c r="AB514" s="76">
        <f t="shared" ca="1" si="58"/>
        <v>0</v>
      </c>
      <c r="AC514" s="75">
        <f t="shared" ca="1" si="59"/>
        <v>0</v>
      </c>
      <c r="AD514" s="76">
        <f t="shared" ca="1" si="60"/>
        <v>12388.425643634258</v>
      </c>
      <c r="AE514" s="76">
        <f t="shared" si="61"/>
        <v>0</v>
      </c>
      <c r="AF514" s="75">
        <f t="shared" si="62"/>
        <v>0</v>
      </c>
      <c r="AG514" s="76">
        <f t="shared" si="63"/>
        <v>0</v>
      </c>
      <c r="AH514" s="31" t="e" cm="1">
        <f t="array" aca="1" ref="AH514" ca="1">IF((AD514) &lt; (INDEX(ResponseSLA[#All],(MATCH((G514),ResponseSLA[Priority],0))+1,3)),"YES","No")</f>
        <v>#N/A</v>
      </c>
      <c r="AI514" s="31" t="str">
        <f>_xlfn.IFNA(IF(AE514 &lt; (INDEX(SLATable[Minimum SLA],MATCH(G514,SLATable[Priority],0))),"YES","NO"),"")</f>
        <v/>
      </c>
      <c r="AJ514" t="str">
        <f>_xlfn.IFNA(IF(AE514 &lt; (INDEX(SLATable[Maximum SLA],MATCH(G514,SLATable[Priority],0))),"YES","NO"),"")</f>
        <v/>
      </c>
    </row>
    <row r="515" spans="26:36" ht="15" customHeight="1">
      <c r="Z515" s="76" t="e">
        <f t="shared" ref="Z515:Z578" ca="1" si="64">IF(NOT(OR(G515=1,G515=2)),MAX(0,_xlfn.IFS(AND(K515&lt;&gt;"",N515&lt;&gt;""),((MAX(NETWORKDAYS(K515,N515,UKBankHolidays)-1,0))*(TIME(17,0,0)-TIME(8,0,0))+IF(NETWORKDAYS(N515,N515,UKBankHolidays)&gt;0,MEDIAN(TIME(8,0,0),MOD(N515,1),TIME(17,0,0)),TIME(8,0,0))-IF(NETWORKDAYS(K515,K515,UKBankHolidays)&gt;0,MEDIAN(TIME(8,0,0),MOD(K515,1),TIME(17,0,0)),TIME(8,0,0)))-IF(AND(O515&lt;&gt;"",P515&lt;&gt;""),((MAX(NETWORKDAYS(O515,P515,UKBankHolidays)-1,0))*(TIME(17,0,0)-TIME(8,0,0))+IF(NETWORKDAYS(P515,P515,UKBankHolidays)&gt;0,MEDIAN(TIME(8,0,0),MOD(P515,1),TIME(17,0,0)),TIME(8,0,0))-IF(NETWORKDAYS(O515,O515,UKBankHolidays)&gt;0,MEDIAN(TIME(8,0,0),MOD(O515,1),TIME(17,0,0)),TIME(8,0,0))),0),AND(K515&lt;&gt;"",N515=""),((MAX(NETWORKDAYS(K515,NOW(),UKBankHolidays)-1,0))*(TIME(17,0,0)-TIME(8,0,0))+IF(NETWORKDAYS(NOW(),NOW(),UKBankHolidays)&gt;0,MEDIAN(TIME(8,0,0),MOD(NOW(),1),TIME(17,0,0)),TIME(8,0,0))-IF(NETWORKDAYS(K515,K515,UKBankHolidays)&gt;0,MEDIAN(TIME(8,0,0),MOD(K515,1),TIME(17,0,0)),TIME(8,0,0))))),IF(N515="",NOW()-K515,N515-K515))</f>
        <v>#N/A</v>
      </c>
      <c r="AA515" s="75" t="e">
        <f t="shared" ref="AA515:AA578" ca="1" si="65">(Z515*24)/9</f>
        <v>#N/A</v>
      </c>
      <c r="AB515" s="76">
        <f t="shared" ref="AB515:AB578" ca="1" si="66">IF(NOT(OR(G515=1,G515=2)),MAX(0,_xlfn.IFS(AND(K515&lt;&gt;"",N515&lt;&gt;""),(((MAX(NETWORKDAYS(L515,N515,UKBankHolidays)-1,0))*(TIME(17,0,0)-TIME(8,0,0)))+IF(NETWORKDAYS(N515,N515,UKBankHolidays)&gt;0,MEDIAN(TIME(8,0,0),MOD(N515,1),TIME(17,0,0)),TIME(8,0,0))-IF(NETWORKDAYS(L515,L515,UKBankHolidays)&gt;0,MEDIAN(TIME(8,0,0),MOD(L515,1),TIME(17,0,0)),TIME(8,0,0)))-IF(AND(O515&lt;&gt;"",P515&lt;&gt;""),(((MAX(NETWORKDAYS(O515,P515,UKBankHolidays)-1,0))*(TIME(17,0,0)-TIME(8,0,0)))+IF(NETWORKDAYS(P515,P515,UKBankHolidays)&gt;0,MEDIAN(TIME(8,0,0),MOD(P515,1),TIME(17,0,0)),TIME(8,0,0))-IF(NETWORKDAYS(O515,O515,UKBankHolidays)&gt;0,MEDIAN(TIME(8,0,0),MOD(O515,1),TIME(17,0,0)),TIME(8,0,0))),0),AND(L515&lt;&gt;"",N515="",O515=""),(((MAX(NETWORKDAYS(L515,NOW(),UKBankHolidays)-1,0))*(TIME(17,0,0)-TIME(8,0,0)))+IF(NETWORKDAYS(NOW(),NOW(),UKBankHolidays)&gt;0,MEDIAN(TIME(8,0,0),MOD(NOW(),1),TIME(17,0,0)),TIME(8,0,0))-IF(NETWORKDAYS(L515,L515,UKBankHolidays)&gt;0,MEDIAN(TIME(8,0,0),MOD(L515,1),TIME(17,0,0)),TIME(8,0,0)))-IF(AND(O515&lt;&gt;"",P515&lt;&gt;""),(((MAX(NETWORKDAYS(O515,P515,UKBankHolidays)-1,0))*(TIME(17,0,0)-TIME(8,0,0)))+IF(NETWORKDAYS(P515,P515,UKBankHolidays)&gt;0,MEDIAN(TIME(8,0,0),MOD(P515,1),TIME(17,0,0)),TIME(8,0,0))-IF(NETWORKDAYS(O515,O515,UKBankHolidays)&gt;0,MEDIAN(TIME(8,0,0),MOD(O515,1),TIME(17,0,0)),TIME(8,0,0))),0),AND(L515&lt;&gt;"",N515="",P515="",O515&lt;&gt;""),(((MAX(NETWORKDAYS(L515,O515,UKBankHolidays)-1,0))*(TIME(17,0,0)-TIME(8,0,0)))+IF(NETWORKDAYS(O515,O515,UKBankHolidays)&gt;0,MEDIAN(TIME(8,0,0),MOD(O515,1),TIME(17,0,0)),TIME(8,0,0))-IF(NETWORKDAYS(L515,L515,UKBankHolidays)&gt;0,MEDIAN(TIME(8,0,0),MOD(L515,1),TIME(17,0,0)),TIME(8,0,0))),ISBLANK(K515),"0")),IF(ISBLANK(N515),NOW()-L515,N515-L515))</f>
        <v>0</v>
      </c>
      <c r="AC515" s="75">
        <f t="shared" ref="AC515:AC578" ca="1" si="67">(AB515*24)/9</f>
        <v>0</v>
      </c>
      <c r="AD515" s="76">
        <f t="shared" ref="AD515:AD578" ca="1" si="68">MAX(0,IF(NOT(OR(G515=1,G515=2)),IF(M515&lt;&gt;"",((MAX(NETWORKDAYS(L515,M515,UKBankHolidays)-1,0))*(TIME(17,0,0)-TIME(8,0,0))+IF(NETWORKDAYS(M515,M515,UKBankHolidays)&gt;0,MEDIAN(TIME(8,0,0),MOD(M515,1),TIME(17,0,0)),TIME(8,0,0))-MEDIAN(TIME(8,0,0),MOD(L515,1),TIME(17,0,0))),((MAX(NETWORKDAYS(L515,NOW(),UKBankHolidays)-1,0))*(TIME(17,0,0)-TIME(8,0,0))+IF(NETWORKDAYS(NOW(),NOW(),UKBankHolidays)&gt;0,MEDIAN(TIME(8,0,0),MOD(NOW(),1),TIME(17,0,0)),TIME(8,0,0))-MEDIAN(TIME(8,0,0),MOD(L515,1),TIME(17,0,0)))),IF(M515&lt;&gt;"",M515-L515,NOW()-L515)))</f>
        <v>12388.425643402781</v>
      </c>
      <c r="AE515" s="76">
        <f t="shared" ref="AE515:AE578" si="69">SUMIFS(AB:AB,E:E,E515)</f>
        <v>0</v>
      </c>
      <c r="AF515" s="75">
        <f t="shared" ref="AF515:AF578" si="70">(AE515*24)/9</f>
        <v>0</v>
      </c>
      <c r="AG515" s="76">
        <f t="shared" si="63"/>
        <v>0</v>
      </c>
      <c r="AH515" s="31" t="e" cm="1">
        <f t="array" aca="1" ref="AH515" ca="1">IF((AD515) &lt; (INDEX(ResponseSLA[#All],(MATCH((G515),ResponseSLA[Priority],0))+1,3)),"YES","No")</f>
        <v>#N/A</v>
      </c>
      <c r="AI515" s="31" t="str">
        <f>_xlfn.IFNA(IF(AE515 &lt; (INDEX(SLATable[Minimum SLA],MATCH(G515,SLATable[Priority],0))),"YES","NO"),"")</f>
        <v/>
      </c>
      <c r="AJ515" t="str">
        <f>_xlfn.IFNA(IF(AE515 &lt; (INDEX(SLATable[Maximum SLA],MATCH(G515,SLATable[Priority],0))),"YES","NO"),"")</f>
        <v/>
      </c>
    </row>
    <row r="516" spans="26:36" ht="15" customHeight="1">
      <c r="Z516" s="76" t="e">
        <f t="shared" ca="1" si="64"/>
        <v>#N/A</v>
      </c>
      <c r="AA516" s="75" t="e">
        <f t="shared" ca="1" si="65"/>
        <v>#N/A</v>
      </c>
      <c r="AB516" s="76">
        <f t="shared" ca="1" si="66"/>
        <v>0</v>
      </c>
      <c r="AC516" s="75">
        <f t="shared" ca="1" si="67"/>
        <v>0</v>
      </c>
      <c r="AD516" s="76">
        <f t="shared" ca="1" si="68"/>
        <v>12388.425643402781</v>
      </c>
      <c r="AE516" s="76">
        <f t="shared" si="69"/>
        <v>0</v>
      </c>
      <c r="AF516" s="75">
        <f t="shared" si="70"/>
        <v>0</v>
      </c>
      <c r="AG516" s="76">
        <f t="shared" si="63"/>
        <v>0</v>
      </c>
      <c r="AH516" s="31" t="e" cm="1">
        <f t="array" aca="1" ref="AH516" ca="1">IF((AD516) &lt; (INDEX(ResponseSLA[#All],(MATCH((G516),ResponseSLA[Priority],0))+1,3)),"YES","No")</f>
        <v>#N/A</v>
      </c>
      <c r="AI516" s="31" t="str">
        <f>_xlfn.IFNA(IF(AE516 &lt; (INDEX(SLATable[Minimum SLA],MATCH(G516,SLATable[Priority],0))),"YES","NO"),"")</f>
        <v/>
      </c>
      <c r="AJ516" t="str">
        <f>_xlfn.IFNA(IF(AE516 &lt; (INDEX(SLATable[Maximum SLA],MATCH(G516,SLATable[Priority],0))),"YES","NO"),"")</f>
        <v/>
      </c>
    </row>
    <row r="517" spans="26:36" ht="15" customHeight="1">
      <c r="Z517" s="76" t="e">
        <f t="shared" ca="1" si="64"/>
        <v>#N/A</v>
      </c>
      <c r="AA517" s="75" t="e">
        <f t="shared" ca="1" si="65"/>
        <v>#N/A</v>
      </c>
      <c r="AB517" s="76">
        <f t="shared" ca="1" si="66"/>
        <v>0</v>
      </c>
      <c r="AC517" s="75">
        <f t="shared" ca="1" si="67"/>
        <v>0</v>
      </c>
      <c r="AD517" s="76">
        <f t="shared" ca="1" si="68"/>
        <v>12388.425643634258</v>
      </c>
      <c r="AE517" s="76">
        <f t="shared" si="69"/>
        <v>0</v>
      </c>
      <c r="AF517" s="75">
        <f t="shared" si="70"/>
        <v>0</v>
      </c>
      <c r="AG517" s="76">
        <f t="shared" si="63"/>
        <v>0</v>
      </c>
      <c r="AH517" s="31" t="e" cm="1">
        <f t="array" aca="1" ref="AH517" ca="1">IF((AD517) &lt; (INDEX(ResponseSLA[#All],(MATCH((G517),ResponseSLA[Priority],0))+1,3)),"YES","No")</f>
        <v>#N/A</v>
      </c>
      <c r="AI517" s="31" t="str">
        <f>_xlfn.IFNA(IF(AE517 &lt; (INDEX(SLATable[Minimum SLA],MATCH(G517,SLATable[Priority],0))),"YES","NO"),"")</f>
        <v/>
      </c>
      <c r="AJ517" t="str">
        <f>_xlfn.IFNA(IF(AE517 &lt; (INDEX(SLATable[Maximum SLA],MATCH(G517,SLATable[Priority],0))),"YES","NO"),"")</f>
        <v/>
      </c>
    </row>
    <row r="518" spans="26:36" ht="15" customHeight="1">
      <c r="Z518" s="76" t="e">
        <f t="shared" ca="1" si="64"/>
        <v>#N/A</v>
      </c>
      <c r="AA518" s="75" t="e">
        <f t="shared" ca="1" si="65"/>
        <v>#N/A</v>
      </c>
      <c r="AB518" s="76">
        <f t="shared" ca="1" si="66"/>
        <v>0</v>
      </c>
      <c r="AC518" s="75">
        <f t="shared" ca="1" si="67"/>
        <v>0</v>
      </c>
      <c r="AD518" s="76">
        <f t="shared" ca="1" si="68"/>
        <v>12388.425643402781</v>
      </c>
      <c r="AE518" s="76">
        <f t="shared" si="69"/>
        <v>0</v>
      </c>
      <c r="AF518" s="75">
        <f t="shared" si="70"/>
        <v>0</v>
      </c>
      <c r="AG518" s="76">
        <f t="shared" si="63"/>
        <v>0</v>
      </c>
      <c r="AH518" s="31" t="e" cm="1">
        <f t="array" aca="1" ref="AH518" ca="1">IF((AD518) &lt; (INDEX(ResponseSLA[#All],(MATCH((G518),ResponseSLA[Priority],0))+1,3)),"YES","No")</f>
        <v>#N/A</v>
      </c>
      <c r="AI518" s="31" t="str">
        <f>_xlfn.IFNA(IF(AE518 &lt; (INDEX(SLATable[Minimum SLA],MATCH(G518,SLATable[Priority],0))),"YES","NO"),"")</f>
        <v/>
      </c>
      <c r="AJ518" t="str">
        <f>_xlfn.IFNA(IF(AE518 &lt; (INDEX(SLATable[Maximum SLA],MATCH(G518,SLATable[Priority],0))),"YES","NO"),"")</f>
        <v/>
      </c>
    </row>
    <row r="519" spans="26:36" ht="15" customHeight="1">
      <c r="Z519" s="76" t="e">
        <f t="shared" ca="1" si="64"/>
        <v>#N/A</v>
      </c>
      <c r="AA519" s="75" t="e">
        <f t="shared" ca="1" si="65"/>
        <v>#N/A</v>
      </c>
      <c r="AB519" s="76">
        <f t="shared" ca="1" si="66"/>
        <v>0</v>
      </c>
      <c r="AC519" s="75">
        <f t="shared" ca="1" si="67"/>
        <v>0</v>
      </c>
      <c r="AD519" s="76">
        <f t="shared" ca="1" si="68"/>
        <v>12388.425643402781</v>
      </c>
      <c r="AE519" s="76">
        <f t="shared" si="69"/>
        <v>0</v>
      </c>
      <c r="AF519" s="75">
        <f t="shared" si="70"/>
        <v>0</v>
      </c>
      <c r="AG519" s="76">
        <f t="shared" si="63"/>
        <v>0</v>
      </c>
      <c r="AH519" s="31" t="e" cm="1">
        <f t="array" aca="1" ref="AH519" ca="1">IF((AD519) &lt; (INDEX(ResponseSLA[#All],(MATCH((G519),ResponseSLA[Priority],0))+1,3)),"YES","No")</f>
        <v>#N/A</v>
      </c>
      <c r="AI519" s="31" t="str">
        <f>_xlfn.IFNA(IF(AE519 &lt; (INDEX(SLATable[Minimum SLA],MATCH(G519,SLATable[Priority],0))),"YES","NO"),"")</f>
        <v/>
      </c>
      <c r="AJ519" t="str">
        <f>_xlfn.IFNA(IF(AE519 &lt; (INDEX(SLATable[Maximum SLA],MATCH(G519,SLATable[Priority],0))),"YES","NO"),"")</f>
        <v/>
      </c>
    </row>
    <row r="520" spans="26:36" ht="15" customHeight="1">
      <c r="Z520" s="76" t="e">
        <f t="shared" ca="1" si="64"/>
        <v>#N/A</v>
      </c>
      <c r="AA520" s="75" t="e">
        <f t="shared" ca="1" si="65"/>
        <v>#N/A</v>
      </c>
      <c r="AB520" s="76">
        <f t="shared" ca="1" si="66"/>
        <v>0</v>
      </c>
      <c r="AC520" s="75">
        <f t="shared" ca="1" si="67"/>
        <v>0</v>
      </c>
      <c r="AD520" s="76">
        <f t="shared" ca="1" si="68"/>
        <v>12388.425643634258</v>
      </c>
      <c r="AE520" s="76">
        <f t="shared" si="69"/>
        <v>0</v>
      </c>
      <c r="AF520" s="75">
        <f t="shared" si="70"/>
        <v>0</v>
      </c>
      <c r="AG520" s="76">
        <f t="shared" si="63"/>
        <v>0</v>
      </c>
      <c r="AH520" s="31" t="e" cm="1">
        <f t="array" aca="1" ref="AH520" ca="1">IF((AD520) &lt; (INDEX(ResponseSLA[#All],(MATCH((G520),ResponseSLA[Priority],0))+1,3)),"YES","No")</f>
        <v>#N/A</v>
      </c>
      <c r="AI520" s="31" t="str">
        <f>_xlfn.IFNA(IF(AE520 &lt; (INDEX(SLATable[Minimum SLA],MATCH(G520,SLATable[Priority],0))),"YES","NO"),"")</f>
        <v/>
      </c>
      <c r="AJ520" t="str">
        <f>_xlfn.IFNA(IF(AE520 &lt; (INDEX(SLATable[Maximum SLA],MATCH(G520,SLATable[Priority],0))),"YES","NO"),"")</f>
        <v/>
      </c>
    </row>
    <row r="521" spans="26:36" ht="15" customHeight="1">
      <c r="Z521" s="76" t="e">
        <f t="shared" ca="1" si="64"/>
        <v>#N/A</v>
      </c>
      <c r="AA521" s="75" t="e">
        <f t="shared" ca="1" si="65"/>
        <v>#N/A</v>
      </c>
      <c r="AB521" s="76">
        <f t="shared" ca="1" si="66"/>
        <v>0</v>
      </c>
      <c r="AC521" s="75">
        <f t="shared" ca="1" si="67"/>
        <v>0</v>
      </c>
      <c r="AD521" s="76">
        <f t="shared" ca="1" si="68"/>
        <v>12388.425643402781</v>
      </c>
      <c r="AE521" s="76">
        <f t="shared" si="69"/>
        <v>0</v>
      </c>
      <c r="AF521" s="75">
        <f t="shared" si="70"/>
        <v>0</v>
      </c>
      <c r="AG521" s="76">
        <f t="shared" si="63"/>
        <v>0</v>
      </c>
      <c r="AH521" s="31" t="e" cm="1">
        <f t="array" aca="1" ref="AH521" ca="1">IF((AD521) &lt; (INDEX(ResponseSLA[#All],(MATCH((G521),ResponseSLA[Priority],0))+1,3)),"YES","No")</f>
        <v>#N/A</v>
      </c>
      <c r="AI521" s="31" t="str">
        <f>_xlfn.IFNA(IF(AE521 &lt; (INDEX(SLATable[Minimum SLA],MATCH(G521,SLATable[Priority],0))),"YES","NO"),"")</f>
        <v/>
      </c>
      <c r="AJ521" t="str">
        <f>_xlfn.IFNA(IF(AE521 &lt; (INDEX(SLATable[Maximum SLA],MATCH(G521,SLATable[Priority],0))),"YES","NO"),"")</f>
        <v/>
      </c>
    </row>
    <row r="522" spans="26:36" ht="15" customHeight="1">
      <c r="Z522" s="76" t="e">
        <f t="shared" ca="1" si="64"/>
        <v>#N/A</v>
      </c>
      <c r="AA522" s="75" t="e">
        <f t="shared" ca="1" si="65"/>
        <v>#N/A</v>
      </c>
      <c r="AB522" s="76">
        <f t="shared" ca="1" si="66"/>
        <v>0</v>
      </c>
      <c r="AC522" s="75">
        <f t="shared" ca="1" si="67"/>
        <v>0</v>
      </c>
      <c r="AD522" s="76">
        <f t="shared" ca="1" si="68"/>
        <v>12388.425643402781</v>
      </c>
      <c r="AE522" s="76">
        <f t="shared" si="69"/>
        <v>0</v>
      </c>
      <c r="AF522" s="75">
        <f t="shared" si="70"/>
        <v>0</v>
      </c>
      <c r="AG522" s="76">
        <f t="shared" si="63"/>
        <v>0</v>
      </c>
      <c r="AH522" s="31" t="e" cm="1">
        <f t="array" aca="1" ref="AH522" ca="1">IF((AD522) &lt; (INDEX(ResponseSLA[#All],(MATCH((G522),ResponseSLA[Priority],0))+1,3)),"YES","No")</f>
        <v>#N/A</v>
      </c>
      <c r="AI522" s="31" t="str">
        <f>_xlfn.IFNA(IF(AE522 &lt; (INDEX(SLATable[Minimum SLA],MATCH(G522,SLATable[Priority],0))),"YES","NO"),"")</f>
        <v/>
      </c>
      <c r="AJ522" t="str">
        <f>_xlfn.IFNA(IF(AE522 &lt; (INDEX(SLATable[Maximum SLA],MATCH(G522,SLATable[Priority],0))),"YES","NO"),"")</f>
        <v/>
      </c>
    </row>
    <row r="523" spans="26:36" ht="15" customHeight="1">
      <c r="Z523" s="76" t="e">
        <f t="shared" ca="1" si="64"/>
        <v>#N/A</v>
      </c>
      <c r="AA523" s="75" t="e">
        <f t="shared" ca="1" si="65"/>
        <v>#N/A</v>
      </c>
      <c r="AB523" s="76">
        <f t="shared" ca="1" si="66"/>
        <v>0</v>
      </c>
      <c r="AC523" s="75">
        <f t="shared" ca="1" si="67"/>
        <v>0</v>
      </c>
      <c r="AD523" s="76">
        <f t="shared" ca="1" si="68"/>
        <v>12388.425643634258</v>
      </c>
      <c r="AE523" s="76">
        <f t="shared" si="69"/>
        <v>0</v>
      </c>
      <c r="AF523" s="75">
        <f t="shared" si="70"/>
        <v>0</v>
      </c>
      <c r="AG523" s="76">
        <f t="shared" si="63"/>
        <v>0</v>
      </c>
      <c r="AH523" s="31" t="e" cm="1">
        <f t="array" aca="1" ref="AH523" ca="1">IF((AD523) &lt; (INDEX(ResponseSLA[#All],(MATCH((G523),ResponseSLA[Priority],0))+1,3)),"YES","No")</f>
        <v>#N/A</v>
      </c>
      <c r="AI523" s="31" t="str">
        <f>_xlfn.IFNA(IF(AE523 &lt; (INDEX(SLATable[Minimum SLA],MATCH(G523,SLATable[Priority],0))),"YES","NO"),"")</f>
        <v/>
      </c>
      <c r="AJ523" t="str">
        <f>_xlfn.IFNA(IF(AE523 &lt; (INDEX(SLATable[Maximum SLA],MATCH(G523,SLATable[Priority],0))),"YES","NO"),"")</f>
        <v/>
      </c>
    </row>
    <row r="524" spans="26:36" ht="15" customHeight="1">
      <c r="Z524" s="76" t="e">
        <f t="shared" ca="1" si="64"/>
        <v>#N/A</v>
      </c>
      <c r="AA524" s="75" t="e">
        <f t="shared" ca="1" si="65"/>
        <v>#N/A</v>
      </c>
      <c r="AB524" s="76">
        <f t="shared" ca="1" si="66"/>
        <v>0</v>
      </c>
      <c r="AC524" s="75">
        <f t="shared" ca="1" si="67"/>
        <v>0</v>
      </c>
      <c r="AD524" s="76">
        <f t="shared" ca="1" si="68"/>
        <v>12388.425643402781</v>
      </c>
      <c r="AE524" s="76">
        <f t="shared" si="69"/>
        <v>0</v>
      </c>
      <c r="AF524" s="75">
        <f t="shared" si="70"/>
        <v>0</v>
      </c>
      <c r="AG524" s="76">
        <f t="shared" si="63"/>
        <v>0</v>
      </c>
      <c r="AH524" s="31" t="e" cm="1">
        <f t="array" aca="1" ref="AH524" ca="1">IF((AD524) &lt; (INDEX(ResponseSLA[#All],(MATCH((G524),ResponseSLA[Priority],0))+1,3)),"YES","No")</f>
        <v>#N/A</v>
      </c>
      <c r="AI524" s="31" t="str">
        <f>_xlfn.IFNA(IF(AE524 &lt; (INDEX(SLATable[Minimum SLA],MATCH(G524,SLATable[Priority],0))),"YES","NO"),"")</f>
        <v/>
      </c>
      <c r="AJ524" t="str">
        <f>_xlfn.IFNA(IF(AE524 &lt; (INDEX(SLATable[Maximum SLA],MATCH(G524,SLATable[Priority],0))),"YES","NO"),"")</f>
        <v/>
      </c>
    </row>
    <row r="525" spans="26:36" ht="15" customHeight="1">
      <c r="Z525" s="76" t="e">
        <f t="shared" ca="1" si="64"/>
        <v>#N/A</v>
      </c>
      <c r="AA525" s="75" t="e">
        <f t="shared" ca="1" si="65"/>
        <v>#N/A</v>
      </c>
      <c r="AB525" s="76">
        <f t="shared" ca="1" si="66"/>
        <v>0</v>
      </c>
      <c r="AC525" s="75">
        <f t="shared" ca="1" si="67"/>
        <v>0</v>
      </c>
      <c r="AD525" s="76">
        <f t="shared" ca="1" si="68"/>
        <v>12388.425643402781</v>
      </c>
      <c r="AE525" s="76">
        <f t="shared" si="69"/>
        <v>0</v>
      </c>
      <c r="AF525" s="75">
        <f t="shared" si="70"/>
        <v>0</v>
      </c>
      <c r="AG525" s="76">
        <f t="shared" si="63"/>
        <v>0</v>
      </c>
      <c r="AH525" s="31" t="e" cm="1">
        <f t="array" aca="1" ref="AH525" ca="1">IF((AD525) &lt; (INDEX(ResponseSLA[#All],(MATCH((G525),ResponseSLA[Priority],0))+1,3)),"YES","No")</f>
        <v>#N/A</v>
      </c>
      <c r="AI525" s="31" t="str">
        <f>_xlfn.IFNA(IF(AE525 &lt; (INDEX(SLATable[Minimum SLA],MATCH(G525,SLATable[Priority],0))),"YES","NO"),"")</f>
        <v/>
      </c>
      <c r="AJ525" t="str">
        <f>_xlfn.IFNA(IF(AE525 &lt; (INDEX(SLATable[Maximum SLA],MATCH(G525,SLATable[Priority],0))),"YES","NO"),"")</f>
        <v/>
      </c>
    </row>
    <row r="526" spans="26:36" ht="15" customHeight="1">
      <c r="Z526" s="76" t="e">
        <f t="shared" ca="1" si="64"/>
        <v>#N/A</v>
      </c>
      <c r="AA526" s="75" t="e">
        <f t="shared" ca="1" si="65"/>
        <v>#N/A</v>
      </c>
      <c r="AB526" s="76">
        <f t="shared" ca="1" si="66"/>
        <v>0</v>
      </c>
      <c r="AC526" s="75">
        <f t="shared" ca="1" si="67"/>
        <v>0</v>
      </c>
      <c r="AD526" s="76">
        <f t="shared" ca="1" si="68"/>
        <v>12388.425643634258</v>
      </c>
      <c r="AE526" s="76">
        <f t="shared" si="69"/>
        <v>0</v>
      </c>
      <c r="AF526" s="75">
        <f t="shared" si="70"/>
        <v>0</v>
      </c>
      <c r="AG526" s="76">
        <f t="shared" si="63"/>
        <v>0</v>
      </c>
      <c r="AH526" s="31" t="e" cm="1">
        <f t="array" aca="1" ref="AH526" ca="1">IF((AD526) &lt; (INDEX(ResponseSLA[#All],(MATCH((G526),ResponseSLA[Priority],0))+1,3)),"YES","No")</f>
        <v>#N/A</v>
      </c>
      <c r="AI526" s="31" t="str">
        <f>_xlfn.IFNA(IF(AE526 &lt; (INDEX(SLATable[Minimum SLA],MATCH(G526,SLATable[Priority],0))),"YES","NO"),"")</f>
        <v/>
      </c>
      <c r="AJ526" t="str">
        <f>_xlfn.IFNA(IF(AE526 &lt; (INDEX(SLATable[Maximum SLA],MATCH(G526,SLATable[Priority],0))),"YES","NO"),"")</f>
        <v/>
      </c>
    </row>
    <row r="527" spans="26:36" ht="15" customHeight="1">
      <c r="Z527" s="76" t="e">
        <f t="shared" ca="1" si="64"/>
        <v>#N/A</v>
      </c>
      <c r="AA527" s="75" t="e">
        <f t="shared" ca="1" si="65"/>
        <v>#N/A</v>
      </c>
      <c r="AB527" s="76">
        <f t="shared" ca="1" si="66"/>
        <v>0</v>
      </c>
      <c r="AC527" s="75">
        <f t="shared" ca="1" si="67"/>
        <v>0</v>
      </c>
      <c r="AD527" s="76">
        <f t="shared" ca="1" si="68"/>
        <v>12388.425643402781</v>
      </c>
      <c r="AE527" s="76">
        <f t="shared" si="69"/>
        <v>0</v>
      </c>
      <c r="AF527" s="75">
        <f t="shared" si="70"/>
        <v>0</v>
      </c>
      <c r="AG527" s="76">
        <f t="shared" si="63"/>
        <v>0</v>
      </c>
      <c r="AH527" s="31" t="e" cm="1">
        <f t="array" aca="1" ref="AH527" ca="1">IF((AD527) &lt; (INDEX(ResponseSLA[#All],(MATCH((G527),ResponseSLA[Priority],0))+1,3)),"YES","No")</f>
        <v>#N/A</v>
      </c>
      <c r="AI527" s="31" t="str">
        <f>_xlfn.IFNA(IF(AE527 &lt; (INDEX(SLATable[Minimum SLA],MATCH(G527,SLATable[Priority],0))),"YES","NO"),"")</f>
        <v/>
      </c>
      <c r="AJ527" t="str">
        <f>_xlfn.IFNA(IF(AE527 &lt; (INDEX(SLATable[Maximum SLA],MATCH(G527,SLATable[Priority],0))),"YES","NO"),"")</f>
        <v/>
      </c>
    </row>
    <row r="528" spans="26:36" ht="15" customHeight="1">
      <c r="Z528" s="76" t="e">
        <f t="shared" ca="1" si="64"/>
        <v>#N/A</v>
      </c>
      <c r="AA528" s="75" t="e">
        <f t="shared" ca="1" si="65"/>
        <v>#N/A</v>
      </c>
      <c r="AB528" s="76">
        <f t="shared" ca="1" si="66"/>
        <v>0</v>
      </c>
      <c r="AC528" s="75">
        <f t="shared" ca="1" si="67"/>
        <v>0</v>
      </c>
      <c r="AD528" s="76">
        <f t="shared" ca="1" si="68"/>
        <v>12388.425643402781</v>
      </c>
      <c r="AE528" s="76">
        <f t="shared" si="69"/>
        <v>0</v>
      </c>
      <c r="AF528" s="75">
        <f t="shared" si="70"/>
        <v>0</v>
      </c>
      <c r="AG528" s="76">
        <f t="shared" si="63"/>
        <v>0</v>
      </c>
      <c r="AH528" s="31" t="e" cm="1">
        <f t="array" aca="1" ref="AH528" ca="1">IF((AD528) &lt; (INDEX(ResponseSLA[#All],(MATCH((G528),ResponseSLA[Priority],0))+1,3)),"YES","No")</f>
        <v>#N/A</v>
      </c>
      <c r="AI528" s="31" t="str">
        <f>_xlfn.IFNA(IF(AE528 &lt; (INDEX(SLATable[Minimum SLA],MATCH(G528,SLATable[Priority],0))),"YES","NO"),"")</f>
        <v/>
      </c>
      <c r="AJ528" t="str">
        <f>_xlfn.IFNA(IF(AE528 &lt; (INDEX(SLATable[Maximum SLA],MATCH(G528,SLATable[Priority],0))),"YES","NO"),"")</f>
        <v/>
      </c>
    </row>
    <row r="529" spans="26:36" ht="15" customHeight="1">
      <c r="Z529" s="76" t="e">
        <f t="shared" ca="1" si="64"/>
        <v>#N/A</v>
      </c>
      <c r="AA529" s="75" t="e">
        <f t="shared" ca="1" si="65"/>
        <v>#N/A</v>
      </c>
      <c r="AB529" s="76">
        <f t="shared" ca="1" si="66"/>
        <v>0</v>
      </c>
      <c r="AC529" s="75">
        <f t="shared" ca="1" si="67"/>
        <v>0</v>
      </c>
      <c r="AD529" s="76">
        <f t="shared" ca="1" si="68"/>
        <v>12388.425643634258</v>
      </c>
      <c r="AE529" s="76">
        <f t="shared" si="69"/>
        <v>0</v>
      </c>
      <c r="AF529" s="75">
        <f t="shared" si="70"/>
        <v>0</v>
      </c>
      <c r="AG529" s="76">
        <f t="shared" si="63"/>
        <v>0</v>
      </c>
      <c r="AH529" s="31" t="e" cm="1">
        <f t="array" aca="1" ref="AH529" ca="1">IF((AD529) &lt; (INDEX(ResponseSLA[#All],(MATCH((G529),ResponseSLA[Priority],0))+1,3)),"YES","No")</f>
        <v>#N/A</v>
      </c>
      <c r="AI529" s="31" t="str">
        <f>_xlfn.IFNA(IF(AE529 &lt; (INDEX(SLATable[Minimum SLA],MATCH(G529,SLATable[Priority],0))),"YES","NO"),"")</f>
        <v/>
      </c>
      <c r="AJ529" t="str">
        <f>_xlfn.IFNA(IF(AE529 &lt; (INDEX(SLATable[Maximum SLA],MATCH(G529,SLATable[Priority],0))),"YES","NO"),"")</f>
        <v/>
      </c>
    </row>
    <row r="530" spans="26:36" ht="15" customHeight="1">
      <c r="Z530" s="76" t="e">
        <f t="shared" ca="1" si="64"/>
        <v>#N/A</v>
      </c>
      <c r="AA530" s="75" t="e">
        <f t="shared" ca="1" si="65"/>
        <v>#N/A</v>
      </c>
      <c r="AB530" s="76">
        <f t="shared" ca="1" si="66"/>
        <v>0</v>
      </c>
      <c r="AC530" s="75">
        <f t="shared" ca="1" si="67"/>
        <v>0</v>
      </c>
      <c r="AD530" s="76">
        <f t="shared" ca="1" si="68"/>
        <v>12388.425643402781</v>
      </c>
      <c r="AE530" s="76">
        <f t="shared" si="69"/>
        <v>0</v>
      </c>
      <c r="AF530" s="75">
        <f t="shared" si="70"/>
        <v>0</v>
      </c>
      <c r="AG530" s="76">
        <f t="shared" si="63"/>
        <v>0</v>
      </c>
      <c r="AH530" s="31" t="e" cm="1">
        <f t="array" aca="1" ref="AH530" ca="1">IF((AD530) &lt; (INDEX(ResponseSLA[#All],(MATCH((G530),ResponseSLA[Priority],0))+1,3)),"YES","No")</f>
        <v>#N/A</v>
      </c>
      <c r="AI530" s="31" t="str">
        <f>_xlfn.IFNA(IF(AE530 &lt; (INDEX(SLATable[Minimum SLA],MATCH(G530,SLATable[Priority],0))),"YES","NO"),"")</f>
        <v/>
      </c>
      <c r="AJ530" t="str">
        <f>_xlfn.IFNA(IF(AE530 &lt; (INDEX(SLATable[Maximum SLA],MATCH(G530,SLATable[Priority],0))),"YES","NO"),"")</f>
        <v/>
      </c>
    </row>
    <row r="531" spans="26:36" ht="15" customHeight="1">
      <c r="Z531" s="76" t="e">
        <f t="shared" ca="1" si="64"/>
        <v>#N/A</v>
      </c>
      <c r="AA531" s="75" t="e">
        <f t="shared" ca="1" si="65"/>
        <v>#N/A</v>
      </c>
      <c r="AB531" s="76">
        <f t="shared" ca="1" si="66"/>
        <v>0</v>
      </c>
      <c r="AC531" s="75">
        <f t="shared" ca="1" si="67"/>
        <v>0</v>
      </c>
      <c r="AD531" s="76">
        <f t="shared" ca="1" si="68"/>
        <v>12388.425643402781</v>
      </c>
      <c r="AE531" s="76">
        <f t="shared" si="69"/>
        <v>0</v>
      </c>
      <c r="AF531" s="75">
        <f t="shared" si="70"/>
        <v>0</v>
      </c>
      <c r="AG531" s="76">
        <f t="shared" si="63"/>
        <v>0</v>
      </c>
      <c r="AH531" s="31" t="e" cm="1">
        <f t="array" aca="1" ref="AH531" ca="1">IF((AD531) &lt; (INDEX(ResponseSLA[#All],(MATCH((G531),ResponseSLA[Priority],0))+1,3)),"YES","No")</f>
        <v>#N/A</v>
      </c>
      <c r="AI531" s="31" t="str">
        <f>_xlfn.IFNA(IF(AE531 &lt; (INDEX(SLATable[Minimum SLA],MATCH(G531,SLATable[Priority],0))),"YES","NO"),"")</f>
        <v/>
      </c>
      <c r="AJ531" t="str">
        <f>_xlfn.IFNA(IF(AE531 &lt; (INDEX(SLATable[Maximum SLA],MATCH(G531,SLATable[Priority],0))),"YES","NO"),"")</f>
        <v/>
      </c>
    </row>
    <row r="532" spans="26:36" ht="15" customHeight="1">
      <c r="Z532" s="76" t="e">
        <f t="shared" ca="1" si="64"/>
        <v>#N/A</v>
      </c>
      <c r="AA532" s="75" t="e">
        <f t="shared" ca="1" si="65"/>
        <v>#N/A</v>
      </c>
      <c r="AB532" s="76">
        <f t="shared" ca="1" si="66"/>
        <v>0</v>
      </c>
      <c r="AC532" s="75">
        <f t="shared" ca="1" si="67"/>
        <v>0</v>
      </c>
      <c r="AD532" s="76">
        <f t="shared" ca="1" si="68"/>
        <v>12388.425643634258</v>
      </c>
      <c r="AE532" s="76">
        <f t="shared" si="69"/>
        <v>0</v>
      </c>
      <c r="AF532" s="75">
        <f t="shared" si="70"/>
        <v>0</v>
      </c>
      <c r="AG532" s="76">
        <f t="shared" si="63"/>
        <v>0</v>
      </c>
      <c r="AH532" s="31" t="e" cm="1">
        <f t="array" aca="1" ref="AH532" ca="1">IF((AD532) &lt; (INDEX(ResponseSLA[#All],(MATCH((G532),ResponseSLA[Priority],0))+1,3)),"YES","No")</f>
        <v>#N/A</v>
      </c>
      <c r="AI532" s="31" t="str">
        <f>_xlfn.IFNA(IF(AE532 &lt; (INDEX(SLATable[Minimum SLA],MATCH(G532,SLATable[Priority],0))),"YES","NO"),"")</f>
        <v/>
      </c>
      <c r="AJ532" t="str">
        <f>_xlfn.IFNA(IF(AE532 &lt; (INDEX(SLATable[Maximum SLA],MATCH(G532,SLATable[Priority],0))),"YES","NO"),"")</f>
        <v/>
      </c>
    </row>
    <row r="533" spans="26:36" ht="15" customHeight="1">
      <c r="Z533" s="76" t="e">
        <f t="shared" ca="1" si="64"/>
        <v>#N/A</v>
      </c>
      <c r="AA533" s="75" t="e">
        <f t="shared" ca="1" si="65"/>
        <v>#N/A</v>
      </c>
      <c r="AB533" s="76">
        <f t="shared" ca="1" si="66"/>
        <v>0</v>
      </c>
      <c r="AC533" s="75">
        <f t="shared" ca="1" si="67"/>
        <v>0</v>
      </c>
      <c r="AD533" s="76">
        <f t="shared" ca="1" si="68"/>
        <v>12388.425643402781</v>
      </c>
      <c r="AE533" s="76">
        <f t="shared" si="69"/>
        <v>0</v>
      </c>
      <c r="AF533" s="75">
        <f t="shared" si="70"/>
        <v>0</v>
      </c>
      <c r="AG533" s="76">
        <f t="shared" si="63"/>
        <v>0</v>
      </c>
      <c r="AH533" s="31" t="e" cm="1">
        <f t="array" aca="1" ref="AH533" ca="1">IF((AD533) &lt; (INDEX(ResponseSLA[#All],(MATCH((G533),ResponseSLA[Priority],0))+1,3)),"YES","No")</f>
        <v>#N/A</v>
      </c>
      <c r="AI533" s="31" t="str">
        <f>_xlfn.IFNA(IF(AE533 &lt; (INDEX(SLATable[Minimum SLA],MATCH(G533,SLATable[Priority],0))),"YES","NO"),"")</f>
        <v/>
      </c>
      <c r="AJ533" t="str">
        <f>_xlfn.IFNA(IF(AE533 &lt; (INDEX(SLATable[Maximum SLA],MATCH(G533,SLATable[Priority],0))),"YES","NO"),"")</f>
        <v/>
      </c>
    </row>
    <row r="534" spans="26:36" ht="15" customHeight="1">
      <c r="Z534" s="76" t="e">
        <f t="shared" ca="1" si="64"/>
        <v>#N/A</v>
      </c>
      <c r="AA534" s="75" t="e">
        <f t="shared" ca="1" si="65"/>
        <v>#N/A</v>
      </c>
      <c r="AB534" s="76">
        <f t="shared" ca="1" si="66"/>
        <v>0</v>
      </c>
      <c r="AC534" s="75">
        <f t="shared" ca="1" si="67"/>
        <v>0</v>
      </c>
      <c r="AD534" s="76">
        <f t="shared" ca="1" si="68"/>
        <v>12388.425643402781</v>
      </c>
      <c r="AE534" s="76">
        <f t="shared" si="69"/>
        <v>0</v>
      </c>
      <c r="AF534" s="75">
        <f t="shared" si="70"/>
        <v>0</v>
      </c>
      <c r="AG534" s="76">
        <f t="shared" si="63"/>
        <v>0</v>
      </c>
      <c r="AH534" s="31" t="e" cm="1">
        <f t="array" aca="1" ref="AH534" ca="1">IF((AD534) &lt; (INDEX(ResponseSLA[#All],(MATCH((G534),ResponseSLA[Priority],0))+1,3)),"YES","No")</f>
        <v>#N/A</v>
      </c>
      <c r="AI534" s="31" t="str">
        <f>_xlfn.IFNA(IF(AE534 &lt; (INDEX(SLATable[Minimum SLA],MATCH(G534,SLATable[Priority],0))),"YES","NO"),"")</f>
        <v/>
      </c>
      <c r="AJ534" t="str">
        <f>_xlfn.IFNA(IF(AE534 &lt; (INDEX(SLATable[Maximum SLA],MATCH(G534,SLATable[Priority],0))),"YES","NO"),"")</f>
        <v/>
      </c>
    </row>
    <row r="535" spans="26:36" ht="15" customHeight="1">
      <c r="Z535" s="76" t="e">
        <f t="shared" ca="1" si="64"/>
        <v>#N/A</v>
      </c>
      <c r="AA535" s="75" t="e">
        <f t="shared" ca="1" si="65"/>
        <v>#N/A</v>
      </c>
      <c r="AB535" s="76">
        <f t="shared" ca="1" si="66"/>
        <v>0</v>
      </c>
      <c r="AC535" s="75">
        <f t="shared" ca="1" si="67"/>
        <v>0</v>
      </c>
      <c r="AD535" s="76">
        <f t="shared" ca="1" si="68"/>
        <v>12388.425643634258</v>
      </c>
      <c r="AE535" s="76">
        <f t="shared" si="69"/>
        <v>0</v>
      </c>
      <c r="AF535" s="75">
        <f t="shared" si="70"/>
        <v>0</v>
      </c>
      <c r="AG535" s="76">
        <f t="shared" si="63"/>
        <v>0</v>
      </c>
      <c r="AH535" s="31" t="e" cm="1">
        <f t="array" aca="1" ref="AH535" ca="1">IF((AD535) &lt; (INDEX(ResponseSLA[#All],(MATCH((G535),ResponseSLA[Priority],0))+1,3)),"YES","No")</f>
        <v>#N/A</v>
      </c>
      <c r="AI535" s="31" t="str">
        <f>_xlfn.IFNA(IF(AE535 &lt; (INDEX(SLATable[Minimum SLA],MATCH(G535,SLATable[Priority],0))),"YES","NO"),"")</f>
        <v/>
      </c>
      <c r="AJ535" t="str">
        <f>_xlfn.IFNA(IF(AE535 &lt; (INDEX(SLATable[Maximum SLA],MATCH(G535,SLATable[Priority],0))),"YES","NO"),"")</f>
        <v/>
      </c>
    </row>
    <row r="536" spans="26:36" ht="15" customHeight="1">
      <c r="Z536" s="76" t="e">
        <f t="shared" ca="1" si="64"/>
        <v>#N/A</v>
      </c>
      <c r="AA536" s="75" t="e">
        <f t="shared" ca="1" si="65"/>
        <v>#N/A</v>
      </c>
      <c r="AB536" s="76">
        <f t="shared" ca="1" si="66"/>
        <v>0</v>
      </c>
      <c r="AC536" s="75">
        <f t="shared" ca="1" si="67"/>
        <v>0</v>
      </c>
      <c r="AD536" s="76">
        <f t="shared" ca="1" si="68"/>
        <v>12388.425643402781</v>
      </c>
      <c r="AE536" s="76">
        <f t="shared" si="69"/>
        <v>0</v>
      </c>
      <c r="AF536" s="75">
        <f t="shared" si="70"/>
        <v>0</v>
      </c>
      <c r="AG536" s="76">
        <f t="shared" si="63"/>
        <v>0</v>
      </c>
      <c r="AH536" s="31" t="e" cm="1">
        <f t="array" aca="1" ref="AH536" ca="1">IF((AD536) &lt; (INDEX(ResponseSLA[#All],(MATCH((G536),ResponseSLA[Priority],0))+1,3)),"YES","No")</f>
        <v>#N/A</v>
      </c>
      <c r="AI536" s="31" t="str">
        <f>_xlfn.IFNA(IF(AE536 &lt; (INDEX(SLATable[Minimum SLA],MATCH(G536,SLATable[Priority],0))),"YES","NO"),"")</f>
        <v/>
      </c>
      <c r="AJ536" t="str">
        <f>_xlfn.IFNA(IF(AE536 &lt; (INDEX(SLATable[Maximum SLA],MATCH(G536,SLATable[Priority],0))),"YES","NO"),"")</f>
        <v/>
      </c>
    </row>
    <row r="537" spans="26:36" ht="15" customHeight="1">
      <c r="Z537" s="76" t="e">
        <f t="shared" ca="1" si="64"/>
        <v>#N/A</v>
      </c>
      <c r="AA537" s="75" t="e">
        <f t="shared" ca="1" si="65"/>
        <v>#N/A</v>
      </c>
      <c r="AB537" s="76">
        <f t="shared" ca="1" si="66"/>
        <v>0</v>
      </c>
      <c r="AC537" s="75">
        <f t="shared" ca="1" si="67"/>
        <v>0</v>
      </c>
      <c r="AD537" s="76">
        <f t="shared" ca="1" si="68"/>
        <v>12388.425643402781</v>
      </c>
      <c r="AE537" s="76">
        <f t="shared" si="69"/>
        <v>0</v>
      </c>
      <c r="AF537" s="75">
        <f t="shared" si="70"/>
        <v>0</v>
      </c>
      <c r="AG537" s="76">
        <f t="shared" si="63"/>
        <v>0</v>
      </c>
      <c r="AH537" s="31" t="e" cm="1">
        <f t="array" aca="1" ref="AH537" ca="1">IF((AD537) &lt; (INDEX(ResponseSLA[#All],(MATCH((G537),ResponseSLA[Priority],0))+1,3)),"YES","No")</f>
        <v>#N/A</v>
      </c>
      <c r="AI537" s="31" t="str">
        <f>_xlfn.IFNA(IF(AE537 &lt; (INDEX(SLATable[Minimum SLA],MATCH(G537,SLATable[Priority],0))),"YES","NO"),"")</f>
        <v/>
      </c>
      <c r="AJ537" t="str">
        <f>_xlfn.IFNA(IF(AE537 &lt; (INDEX(SLATable[Maximum SLA],MATCH(G537,SLATable[Priority],0))),"YES","NO"),"")</f>
        <v/>
      </c>
    </row>
    <row r="538" spans="26:36" ht="15" customHeight="1">
      <c r="Z538" s="76" t="e">
        <f t="shared" ca="1" si="64"/>
        <v>#N/A</v>
      </c>
      <c r="AA538" s="75" t="e">
        <f t="shared" ca="1" si="65"/>
        <v>#N/A</v>
      </c>
      <c r="AB538" s="76">
        <f t="shared" ca="1" si="66"/>
        <v>0</v>
      </c>
      <c r="AC538" s="75">
        <f t="shared" ca="1" si="67"/>
        <v>0</v>
      </c>
      <c r="AD538" s="76">
        <f t="shared" ca="1" si="68"/>
        <v>12388.425643634258</v>
      </c>
      <c r="AE538" s="76">
        <f t="shared" si="69"/>
        <v>0</v>
      </c>
      <c r="AF538" s="75">
        <f t="shared" si="70"/>
        <v>0</v>
      </c>
      <c r="AG538" s="76">
        <f t="shared" si="63"/>
        <v>0</v>
      </c>
      <c r="AH538" s="31" t="e" cm="1">
        <f t="array" aca="1" ref="AH538" ca="1">IF((AD538) &lt; (INDEX(ResponseSLA[#All],(MATCH((G538),ResponseSLA[Priority],0))+1,3)),"YES","No")</f>
        <v>#N/A</v>
      </c>
      <c r="AI538" s="31" t="str">
        <f>_xlfn.IFNA(IF(AE538 &lt; (INDEX(SLATable[Minimum SLA],MATCH(G538,SLATable[Priority],0))),"YES","NO"),"")</f>
        <v/>
      </c>
      <c r="AJ538" t="str">
        <f>_xlfn.IFNA(IF(AE538 &lt; (INDEX(SLATable[Maximum SLA],MATCH(G538,SLATable[Priority],0))),"YES","NO"),"")</f>
        <v/>
      </c>
    </row>
    <row r="539" spans="26:36" ht="15" customHeight="1">
      <c r="Z539" s="76" t="e">
        <f t="shared" ca="1" si="64"/>
        <v>#N/A</v>
      </c>
      <c r="AA539" s="75" t="e">
        <f t="shared" ca="1" si="65"/>
        <v>#N/A</v>
      </c>
      <c r="AB539" s="76">
        <f t="shared" ca="1" si="66"/>
        <v>0</v>
      </c>
      <c r="AC539" s="75">
        <f t="shared" ca="1" si="67"/>
        <v>0</v>
      </c>
      <c r="AD539" s="76">
        <f t="shared" ca="1" si="68"/>
        <v>12388.425643402781</v>
      </c>
      <c r="AE539" s="76">
        <f t="shared" si="69"/>
        <v>0</v>
      </c>
      <c r="AF539" s="75">
        <f t="shared" si="70"/>
        <v>0</v>
      </c>
      <c r="AG539" s="76">
        <f t="shared" si="63"/>
        <v>0</v>
      </c>
      <c r="AH539" s="31" t="e" cm="1">
        <f t="array" aca="1" ref="AH539" ca="1">IF((AD539) &lt; (INDEX(ResponseSLA[#All],(MATCH((G539),ResponseSLA[Priority],0))+1,3)),"YES","No")</f>
        <v>#N/A</v>
      </c>
      <c r="AI539" s="31" t="str">
        <f>_xlfn.IFNA(IF(AE539 &lt; (INDEX(SLATable[Minimum SLA],MATCH(G539,SLATable[Priority],0))),"YES","NO"),"")</f>
        <v/>
      </c>
      <c r="AJ539" t="str">
        <f>_xlfn.IFNA(IF(AE539 &lt; (INDEX(SLATable[Maximum SLA],MATCH(G539,SLATable[Priority],0))),"YES","NO"),"")</f>
        <v/>
      </c>
    </row>
    <row r="540" spans="26:36" ht="15" customHeight="1">
      <c r="Z540" s="76" t="e">
        <f t="shared" ca="1" si="64"/>
        <v>#N/A</v>
      </c>
      <c r="AA540" s="75" t="e">
        <f t="shared" ca="1" si="65"/>
        <v>#N/A</v>
      </c>
      <c r="AB540" s="76">
        <f t="shared" ca="1" si="66"/>
        <v>0</v>
      </c>
      <c r="AC540" s="75">
        <f t="shared" ca="1" si="67"/>
        <v>0</v>
      </c>
      <c r="AD540" s="76">
        <f t="shared" ca="1" si="68"/>
        <v>12388.425643402781</v>
      </c>
      <c r="AE540" s="76">
        <f t="shared" si="69"/>
        <v>0</v>
      </c>
      <c r="AF540" s="75">
        <f t="shared" si="70"/>
        <v>0</v>
      </c>
      <c r="AG540" s="76">
        <f t="shared" si="63"/>
        <v>0</v>
      </c>
      <c r="AH540" s="31" t="e" cm="1">
        <f t="array" aca="1" ref="AH540" ca="1">IF((AD540) &lt; (INDEX(ResponseSLA[#All],(MATCH((G540),ResponseSLA[Priority],0))+1,3)),"YES","No")</f>
        <v>#N/A</v>
      </c>
      <c r="AI540" s="31" t="str">
        <f>_xlfn.IFNA(IF(AE540 &lt; (INDEX(SLATable[Minimum SLA],MATCH(G540,SLATable[Priority],0))),"YES","NO"),"")</f>
        <v/>
      </c>
      <c r="AJ540" t="str">
        <f>_xlfn.IFNA(IF(AE540 &lt; (INDEX(SLATable[Maximum SLA],MATCH(G540,SLATable[Priority],0))),"YES","NO"),"")</f>
        <v/>
      </c>
    </row>
    <row r="541" spans="26:36" ht="15" customHeight="1">
      <c r="Z541" s="76" t="e">
        <f t="shared" ca="1" si="64"/>
        <v>#N/A</v>
      </c>
      <c r="AA541" s="75" t="e">
        <f t="shared" ca="1" si="65"/>
        <v>#N/A</v>
      </c>
      <c r="AB541" s="76">
        <f t="shared" ca="1" si="66"/>
        <v>0</v>
      </c>
      <c r="AC541" s="75">
        <f t="shared" ca="1" si="67"/>
        <v>0</v>
      </c>
      <c r="AD541" s="76">
        <f t="shared" ca="1" si="68"/>
        <v>12388.425643634258</v>
      </c>
      <c r="AE541" s="76">
        <f t="shared" si="69"/>
        <v>0</v>
      </c>
      <c r="AF541" s="75">
        <f t="shared" si="70"/>
        <v>0</v>
      </c>
      <c r="AG541" s="76">
        <f t="shared" si="63"/>
        <v>0</v>
      </c>
      <c r="AH541" s="31" t="e" cm="1">
        <f t="array" aca="1" ref="AH541" ca="1">IF((AD541) &lt; (INDEX(ResponseSLA[#All],(MATCH((G541),ResponseSLA[Priority],0))+1,3)),"YES","No")</f>
        <v>#N/A</v>
      </c>
      <c r="AI541" s="31" t="str">
        <f>_xlfn.IFNA(IF(AE541 &lt; (INDEX(SLATable[Minimum SLA],MATCH(G541,SLATable[Priority],0))),"YES","NO"),"")</f>
        <v/>
      </c>
      <c r="AJ541" t="str">
        <f>_xlfn.IFNA(IF(AE541 &lt; (INDEX(SLATable[Maximum SLA],MATCH(G541,SLATable[Priority],0))),"YES","NO"),"")</f>
        <v/>
      </c>
    </row>
    <row r="542" spans="26:36" ht="15" customHeight="1">
      <c r="Z542" s="76" t="e">
        <f t="shared" ca="1" si="64"/>
        <v>#N/A</v>
      </c>
      <c r="AA542" s="75" t="e">
        <f t="shared" ca="1" si="65"/>
        <v>#N/A</v>
      </c>
      <c r="AB542" s="76">
        <f t="shared" ca="1" si="66"/>
        <v>0</v>
      </c>
      <c r="AC542" s="75">
        <f t="shared" ca="1" si="67"/>
        <v>0</v>
      </c>
      <c r="AD542" s="76">
        <f t="shared" ca="1" si="68"/>
        <v>12388.425643402781</v>
      </c>
      <c r="AE542" s="76">
        <f t="shared" si="69"/>
        <v>0</v>
      </c>
      <c r="AF542" s="75">
        <f t="shared" si="70"/>
        <v>0</v>
      </c>
      <c r="AG542" s="76">
        <f t="shared" si="63"/>
        <v>0</v>
      </c>
      <c r="AH542" s="31" t="e" cm="1">
        <f t="array" aca="1" ref="AH542" ca="1">IF((AD542) &lt; (INDEX(ResponseSLA[#All],(MATCH((G542),ResponseSLA[Priority],0))+1,3)),"YES","No")</f>
        <v>#N/A</v>
      </c>
      <c r="AI542" s="31" t="str">
        <f>_xlfn.IFNA(IF(AE542 &lt; (INDEX(SLATable[Minimum SLA],MATCH(G542,SLATable[Priority],0))),"YES","NO"),"")</f>
        <v/>
      </c>
      <c r="AJ542" t="str">
        <f>_xlfn.IFNA(IF(AE542 &lt; (INDEX(SLATable[Maximum SLA],MATCH(G542,SLATable[Priority],0))),"YES","NO"),"")</f>
        <v/>
      </c>
    </row>
    <row r="543" spans="26:36" ht="15" customHeight="1">
      <c r="Z543" s="76" t="e">
        <f t="shared" ca="1" si="64"/>
        <v>#N/A</v>
      </c>
      <c r="AA543" s="75" t="e">
        <f t="shared" ca="1" si="65"/>
        <v>#N/A</v>
      </c>
      <c r="AB543" s="76">
        <f t="shared" ca="1" si="66"/>
        <v>0</v>
      </c>
      <c r="AC543" s="75">
        <f t="shared" ca="1" si="67"/>
        <v>0</v>
      </c>
      <c r="AD543" s="76">
        <f t="shared" ca="1" si="68"/>
        <v>12388.425643402781</v>
      </c>
      <c r="AE543" s="76">
        <f t="shared" si="69"/>
        <v>0</v>
      </c>
      <c r="AF543" s="75">
        <f t="shared" si="70"/>
        <v>0</v>
      </c>
      <c r="AG543" s="76">
        <f t="shared" si="63"/>
        <v>0</v>
      </c>
      <c r="AH543" s="31" t="e" cm="1">
        <f t="array" aca="1" ref="AH543" ca="1">IF((AD543) &lt; (INDEX(ResponseSLA[#All],(MATCH((G543),ResponseSLA[Priority],0))+1,3)),"YES","No")</f>
        <v>#N/A</v>
      </c>
      <c r="AI543" s="31" t="str">
        <f>_xlfn.IFNA(IF(AE543 &lt; (INDEX(SLATable[Minimum SLA],MATCH(G543,SLATable[Priority],0))),"YES","NO"),"")</f>
        <v/>
      </c>
      <c r="AJ543" t="str">
        <f>_xlfn.IFNA(IF(AE543 &lt; (INDEX(SLATable[Maximum SLA],MATCH(G543,SLATable[Priority],0))),"YES","NO"),"")</f>
        <v/>
      </c>
    </row>
    <row r="544" spans="26:36" ht="15" customHeight="1">
      <c r="Z544" s="76" t="e">
        <f t="shared" ca="1" si="64"/>
        <v>#N/A</v>
      </c>
      <c r="AA544" s="75" t="e">
        <f t="shared" ca="1" si="65"/>
        <v>#N/A</v>
      </c>
      <c r="AB544" s="76">
        <f t="shared" ca="1" si="66"/>
        <v>0</v>
      </c>
      <c r="AC544" s="75">
        <f t="shared" ca="1" si="67"/>
        <v>0</v>
      </c>
      <c r="AD544" s="76">
        <f t="shared" ca="1" si="68"/>
        <v>12388.425643634258</v>
      </c>
      <c r="AE544" s="76">
        <f t="shared" si="69"/>
        <v>0</v>
      </c>
      <c r="AF544" s="75">
        <f t="shared" si="70"/>
        <v>0</v>
      </c>
      <c r="AG544" s="76">
        <f t="shared" si="63"/>
        <v>0</v>
      </c>
      <c r="AH544" s="31" t="e" cm="1">
        <f t="array" aca="1" ref="AH544" ca="1">IF((AD544) &lt; (INDEX(ResponseSLA[#All],(MATCH((G544),ResponseSLA[Priority],0))+1,3)),"YES","No")</f>
        <v>#N/A</v>
      </c>
      <c r="AI544" s="31" t="str">
        <f>_xlfn.IFNA(IF(AE544 &lt; (INDEX(SLATable[Minimum SLA],MATCH(G544,SLATable[Priority],0))),"YES","NO"),"")</f>
        <v/>
      </c>
      <c r="AJ544" t="str">
        <f>_xlfn.IFNA(IF(AE544 &lt; (INDEX(SLATable[Maximum SLA],MATCH(G544,SLATable[Priority],0))),"YES","NO"),"")</f>
        <v/>
      </c>
    </row>
    <row r="545" spans="26:36" ht="15" customHeight="1">
      <c r="Z545" s="76" t="e">
        <f t="shared" ca="1" si="64"/>
        <v>#N/A</v>
      </c>
      <c r="AA545" s="75" t="e">
        <f t="shared" ca="1" si="65"/>
        <v>#N/A</v>
      </c>
      <c r="AB545" s="76">
        <f t="shared" ca="1" si="66"/>
        <v>0</v>
      </c>
      <c r="AC545" s="75">
        <f t="shared" ca="1" si="67"/>
        <v>0</v>
      </c>
      <c r="AD545" s="76">
        <f t="shared" ca="1" si="68"/>
        <v>12388.425643402781</v>
      </c>
      <c r="AE545" s="76">
        <f t="shared" si="69"/>
        <v>0</v>
      </c>
      <c r="AF545" s="75">
        <f t="shared" si="70"/>
        <v>0</v>
      </c>
      <c r="AG545" s="76">
        <f t="shared" si="63"/>
        <v>0</v>
      </c>
      <c r="AH545" s="31" t="e" cm="1">
        <f t="array" aca="1" ref="AH545" ca="1">IF((AD545) &lt; (INDEX(ResponseSLA[#All],(MATCH((G545),ResponseSLA[Priority],0))+1,3)),"YES","No")</f>
        <v>#N/A</v>
      </c>
      <c r="AI545" s="31" t="str">
        <f>_xlfn.IFNA(IF(AE545 &lt; (INDEX(SLATable[Minimum SLA],MATCH(G545,SLATable[Priority],0))),"YES","NO"),"")</f>
        <v/>
      </c>
      <c r="AJ545" t="str">
        <f>_xlfn.IFNA(IF(AE545 &lt; (INDEX(SLATable[Maximum SLA],MATCH(G545,SLATable[Priority],0))),"YES","NO"),"")</f>
        <v/>
      </c>
    </row>
    <row r="546" spans="26:36" ht="15" customHeight="1">
      <c r="Z546" s="76" t="e">
        <f t="shared" ca="1" si="64"/>
        <v>#N/A</v>
      </c>
      <c r="AA546" s="75" t="e">
        <f t="shared" ca="1" si="65"/>
        <v>#N/A</v>
      </c>
      <c r="AB546" s="76">
        <f t="shared" ca="1" si="66"/>
        <v>0</v>
      </c>
      <c r="AC546" s="75">
        <f t="shared" ca="1" si="67"/>
        <v>0</v>
      </c>
      <c r="AD546" s="76">
        <f t="shared" ca="1" si="68"/>
        <v>12388.425643402781</v>
      </c>
      <c r="AE546" s="76">
        <f t="shared" si="69"/>
        <v>0</v>
      </c>
      <c r="AF546" s="75">
        <f t="shared" si="70"/>
        <v>0</v>
      </c>
      <c r="AG546" s="76">
        <f t="shared" si="63"/>
        <v>0</v>
      </c>
      <c r="AH546" s="31" t="e" cm="1">
        <f t="array" aca="1" ref="AH546" ca="1">IF((AD546) &lt; (INDEX(ResponseSLA[#All],(MATCH((G546),ResponseSLA[Priority],0))+1,3)),"YES","No")</f>
        <v>#N/A</v>
      </c>
      <c r="AI546" s="31" t="str">
        <f>_xlfn.IFNA(IF(AE546 &lt; (INDEX(SLATable[Minimum SLA],MATCH(G546,SLATable[Priority],0))),"YES","NO"),"")</f>
        <v/>
      </c>
      <c r="AJ546" t="str">
        <f>_xlfn.IFNA(IF(AE546 &lt; (INDEX(SLATable[Maximum SLA],MATCH(G546,SLATable[Priority],0))),"YES","NO"),"")</f>
        <v/>
      </c>
    </row>
    <row r="547" spans="26:36" ht="15" customHeight="1">
      <c r="Z547" s="76" t="e">
        <f t="shared" ca="1" si="64"/>
        <v>#N/A</v>
      </c>
      <c r="AA547" s="75" t="e">
        <f t="shared" ca="1" si="65"/>
        <v>#N/A</v>
      </c>
      <c r="AB547" s="76">
        <f t="shared" ca="1" si="66"/>
        <v>0</v>
      </c>
      <c r="AC547" s="75">
        <f t="shared" ca="1" si="67"/>
        <v>0</v>
      </c>
      <c r="AD547" s="76">
        <f t="shared" ca="1" si="68"/>
        <v>12388.425643634258</v>
      </c>
      <c r="AE547" s="76">
        <f t="shared" si="69"/>
        <v>0</v>
      </c>
      <c r="AF547" s="75">
        <f t="shared" si="70"/>
        <v>0</v>
      </c>
      <c r="AG547" s="76">
        <f t="shared" si="63"/>
        <v>0</v>
      </c>
      <c r="AH547" s="31" t="e" cm="1">
        <f t="array" aca="1" ref="AH547" ca="1">IF((AD547) &lt; (INDEX(ResponseSLA[#All],(MATCH((G547),ResponseSLA[Priority],0))+1,3)),"YES","No")</f>
        <v>#N/A</v>
      </c>
      <c r="AI547" s="31" t="str">
        <f>_xlfn.IFNA(IF(AE547 &lt; (INDEX(SLATable[Minimum SLA],MATCH(G547,SLATable[Priority],0))),"YES","NO"),"")</f>
        <v/>
      </c>
      <c r="AJ547" t="str">
        <f>_xlfn.IFNA(IF(AE547 &lt; (INDEX(SLATable[Maximum SLA],MATCH(G547,SLATable[Priority],0))),"YES","NO"),"")</f>
        <v/>
      </c>
    </row>
    <row r="548" spans="26:36" ht="15" customHeight="1">
      <c r="Z548" s="76" t="e">
        <f t="shared" ca="1" si="64"/>
        <v>#N/A</v>
      </c>
      <c r="AA548" s="75" t="e">
        <f t="shared" ca="1" si="65"/>
        <v>#N/A</v>
      </c>
      <c r="AB548" s="76">
        <f t="shared" ca="1" si="66"/>
        <v>0</v>
      </c>
      <c r="AC548" s="75">
        <f t="shared" ca="1" si="67"/>
        <v>0</v>
      </c>
      <c r="AD548" s="76">
        <f t="shared" ca="1" si="68"/>
        <v>12388.425643402781</v>
      </c>
      <c r="AE548" s="76">
        <f t="shared" si="69"/>
        <v>0</v>
      </c>
      <c r="AF548" s="75">
        <f t="shared" si="70"/>
        <v>0</v>
      </c>
      <c r="AG548" s="76">
        <f t="shared" si="63"/>
        <v>0</v>
      </c>
      <c r="AH548" s="31" t="e" cm="1">
        <f t="array" aca="1" ref="AH548" ca="1">IF((AD548) &lt; (INDEX(ResponseSLA[#All],(MATCH((G548),ResponseSLA[Priority],0))+1,3)),"YES","No")</f>
        <v>#N/A</v>
      </c>
      <c r="AI548" s="31" t="str">
        <f>_xlfn.IFNA(IF(AE548 &lt; (INDEX(SLATable[Minimum SLA],MATCH(G548,SLATable[Priority],0))),"YES","NO"),"")</f>
        <v/>
      </c>
      <c r="AJ548" t="str">
        <f>_xlfn.IFNA(IF(AE548 &lt; (INDEX(SLATable[Maximum SLA],MATCH(G548,SLATable[Priority],0))),"YES","NO"),"")</f>
        <v/>
      </c>
    </row>
    <row r="549" spans="26:36" ht="15" customHeight="1">
      <c r="Z549" s="76" t="e">
        <f t="shared" ca="1" si="64"/>
        <v>#N/A</v>
      </c>
      <c r="AA549" s="75" t="e">
        <f t="shared" ca="1" si="65"/>
        <v>#N/A</v>
      </c>
      <c r="AB549" s="76">
        <f t="shared" ca="1" si="66"/>
        <v>0</v>
      </c>
      <c r="AC549" s="75">
        <f t="shared" ca="1" si="67"/>
        <v>0</v>
      </c>
      <c r="AD549" s="76">
        <f t="shared" ca="1" si="68"/>
        <v>12388.425643402781</v>
      </c>
      <c r="AE549" s="76">
        <f t="shared" si="69"/>
        <v>0</v>
      </c>
      <c r="AF549" s="75">
        <f t="shared" si="70"/>
        <v>0</v>
      </c>
      <c r="AG549" s="76">
        <f t="shared" si="63"/>
        <v>0</v>
      </c>
      <c r="AH549" s="31" t="e" cm="1">
        <f t="array" aca="1" ref="AH549" ca="1">IF((AD549) &lt; (INDEX(ResponseSLA[#All],(MATCH((G549),ResponseSLA[Priority],0))+1,3)),"YES","No")</f>
        <v>#N/A</v>
      </c>
      <c r="AI549" s="31" t="str">
        <f>_xlfn.IFNA(IF(AE549 &lt; (INDEX(SLATable[Minimum SLA],MATCH(G549,SLATable[Priority],0))),"YES","NO"),"")</f>
        <v/>
      </c>
      <c r="AJ549" t="str">
        <f>_xlfn.IFNA(IF(AE549 &lt; (INDEX(SLATable[Maximum SLA],MATCH(G549,SLATable[Priority],0))),"YES","NO"),"")</f>
        <v/>
      </c>
    </row>
    <row r="550" spans="26:36" ht="15" customHeight="1">
      <c r="Z550" s="76" t="e">
        <f t="shared" ca="1" si="64"/>
        <v>#N/A</v>
      </c>
      <c r="AA550" s="75" t="e">
        <f t="shared" ca="1" si="65"/>
        <v>#N/A</v>
      </c>
      <c r="AB550" s="76">
        <f t="shared" ca="1" si="66"/>
        <v>0</v>
      </c>
      <c r="AC550" s="75">
        <f t="shared" ca="1" si="67"/>
        <v>0</v>
      </c>
      <c r="AD550" s="76">
        <f t="shared" ca="1" si="68"/>
        <v>12388.425643634258</v>
      </c>
      <c r="AE550" s="76">
        <f t="shared" si="69"/>
        <v>0</v>
      </c>
      <c r="AF550" s="75">
        <f t="shared" si="70"/>
        <v>0</v>
      </c>
      <c r="AG550" s="76">
        <f t="shared" si="63"/>
        <v>0</v>
      </c>
      <c r="AH550" s="31" t="e" cm="1">
        <f t="array" aca="1" ref="AH550" ca="1">IF((AD550) &lt; (INDEX(ResponseSLA[#All],(MATCH((G550),ResponseSLA[Priority],0))+1,3)),"YES","No")</f>
        <v>#N/A</v>
      </c>
      <c r="AI550" s="31" t="str">
        <f>_xlfn.IFNA(IF(AE550 &lt; (INDEX(SLATable[Minimum SLA],MATCH(G550,SLATable[Priority],0))),"YES","NO"),"")</f>
        <v/>
      </c>
      <c r="AJ550" t="str">
        <f>_xlfn.IFNA(IF(AE550 &lt; (INDEX(SLATable[Maximum SLA],MATCH(G550,SLATable[Priority],0))),"YES","NO"),"")</f>
        <v/>
      </c>
    </row>
    <row r="551" spans="26:36" ht="15" customHeight="1">
      <c r="Z551" s="76" t="e">
        <f t="shared" ca="1" si="64"/>
        <v>#N/A</v>
      </c>
      <c r="AA551" s="75" t="e">
        <f t="shared" ca="1" si="65"/>
        <v>#N/A</v>
      </c>
      <c r="AB551" s="76">
        <f t="shared" ca="1" si="66"/>
        <v>0</v>
      </c>
      <c r="AC551" s="75">
        <f t="shared" ca="1" si="67"/>
        <v>0</v>
      </c>
      <c r="AD551" s="76">
        <f t="shared" ca="1" si="68"/>
        <v>12388.425643402781</v>
      </c>
      <c r="AE551" s="76">
        <f t="shared" si="69"/>
        <v>0</v>
      </c>
      <c r="AF551" s="75">
        <f t="shared" si="70"/>
        <v>0</v>
      </c>
      <c r="AG551" s="76">
        <f t="shared" si="63"/>
        <v>0</v>
      </c>
      <c r="AH551" s="31" t="e" cm="1">
        <f t="array" aca="1" ref="AH551" ca="1">IF((AD551) &lt; (INDEX(ResponseSLA[#All],(MATCH((G551),ResponseSLA[Priority],0))+1,3)),"YES","No")</f>
        <v>#N/A</v>
      </c>
      <c r="AI551" s="31" t="str">
        <f>_xlfn.IFNA(IF(AE551 &lt; (INDEX(SLATable[Minimum SLA],MATCH(G551,SLATable[Priority],0))),"YES","NO"),"")</f>
        <v/>
      </c>
      <c r="AJ551" t="str">
        <f>_xlfn.IFNA(IF(AE551 &lt; (INDEX(SLATable[Maximum SLA],MATCH(G551,SLATable[Priority],0))),"YES","NO"),"")</f>
        <v/>
      </c>
    </row>
    <row r="552" spans="26:36" ht="15" customHeight="1">
      <c r="Z552" s="76" t="e">
        <f t="shared" ca="1" si="64"/>
        <v>#N/A</v>
      </c>
      <c r="AA552" s="75" t="e">
        <f t="shared" ca="1" si="65"/>
        <v>#N/A</v>
      </c>
      <c r="AB552" s="76">
        <f t="shared" ca="1" si="66"/>
        <v>0</v>
      </c>
      <c r="AC552" s="75">
        <f t="shared" ca="1" si="67"/>
        <v>0</v>
      </c>
      <c r="AD552" s="76">
        <f t="shared" ca="1" si="68"/>
        <v>12388.425643402781</v>
      </c>
      <c r="AE552" s="76">
        <f t="shared" si="69"/>
        <v>0</v>
      </c>
      <c r="AF552" s="75">
        <f t="shared" si="70"/>
        <v>0</v>
      </c>
      <c r="AG552" s="76">
        <f t="shared" si="63"/>
        <v>0</v>
      </c>
      <c r="AH552" s="31" t="e" cm="1">
        <f t="array" aca="1" ref="AH552" ca="1">IF((AD552) &lt; (INDEX(ResponseSLA[#All],(MATCH((G552),ResponseSLA[Priority],0))+1,3)),"YES","No")</f>
        <v>#N/A</v>
      </c>
      <c r="AI552" s="31" t="str">
        <f>_xlfn.IFNA(IF(AE552 &lt; (INDEX(SLATable[Minimum SLA],MATCH(G552,SLATable[Priority],0))),"YES","NO"),"")</f>
        <v/>
      </c>
      <c r="AJ552" t="str">
        <f>_xlfn.IFNA(IF(AE552 &lt; (INDEX(SLATable[Maximum SLA],MATCH(G552,SLATable[Priority],0))),"YES","NO"),"")</f>
        <v/>
      </c>
    </row>
    <row r="553" spans="26:36" ht="15" customHeight="1">
      <c r="Z553" s="76" t="e">
        <f t="shared" ca="1" si="64"/>
        <v>#N/A</v>
      </c>
      <c r="AA553" s="75" t="e">
        <f t="shared" ca="1" si="65"/>
        <v>#N/A</v>
      </c>
      <c r="AB553" s="76">
        <f t="shared" ca="1" si="66"/>
        <v>0</v>
      </c>
      <c r="AC553" s="75">
        <f t="shared" ca="1" si="67"/>
        <v>0</v>
      </c>
      <c r="AD553" s="76">
        <f t="shared" ca="1" si="68"/>
        <v>12388.425643634258</v>
      </c>
      <c r="AE553" s="76">
        <f t="shared" si="69"/>
        <v>0</v>
      </c>
      <c r="AF553" s="75">
        <f t="shared" si="70"/>
        <v>0</v>
      </c>
      <c r="AG553" s="76">
        <f t="shared" si="63"/>
        <v>0</v>
      </c>
      <c r="AH553" s="31" t="e" cm="1">
        <f t="array" aca="1" ref="AH553" ca="1">IF((AD553) &lt; (INDEX(ResponseSLA[#All],(MATCH((G553),ResponseSLA[Priority],0))+1,3)),"YES","No")</f>
        <v>#N/A</v>
      </c>
      <c r="AI553" s="31" t="str">
        <f>_xlfn.IFNA(IF(AE553 &lt; (INDEX(SLATable[Minimum SLA],MATCH(G553,SLATable[Priority],0))),"YES","NO"),"")</f>
        <v/>
      </c>
      <c r="AJ553" t="str">
        <f>_xlfn.IFNA(IF(AE553 &lt; (INDEX(SLATable[Maximum SLA],MATCH(G553,SLATable[Priority],0))),"YES","NO"),"")</f>
        <v/>
      </c>
    </row>
    <row r="554" spans="26:36" ht="15" customHeight="1">
      <c r="Z554" s="76" t="e">
        <f t="shared" ca="1" si="64"/>
        <v>#N/A</v>
      </c>
      <c r="AA554" s="75" t="e">
        <f t="shared" ca="1" si="65"/>
        <v>#N/A</v>
      </c>
      <c r="AB554" s="76">
        <f t="shared" ca="1" si="66"/>
        <v>0</v>
      </c>
      <c r="AC554" s="75">
        <f t="shared" ca="1" si="67"/>
        <v>0</v>
      </c>
      <c r="AD554" s="76">
        <f t="shared" ca="1" si="68"/>
        <v>12388.425643402781</v>
      </c>
      <c r="AE554" s="76">
        <f t="shared" si="69"/>
        <v>0</v>
      </c>
      <c r="AF554" s="75">
        <f t="shared" si="70"/>
        <v>0</v>
      </c>
      <c r="AG554" s="76">
        <f t="shared" si="63"/>
        <v>0</v>
      </c>
      <c r="AH554" s="31" t="e" cm="1">
        <f t="array" aca="1" ref="AH554" ca="1">IF((AD554) &lt; (INDEX(ResponseSLA[#All],(MATCH((G554),ResponseSLA[Priority],0))+1,3)),"YES","No")</f>
        <v>#N/A</v>
      </c>
      <c r="AI554" s="31" t="str">
        <f>_xlfn.IFNA(IF(AE554 &lt; (INDEX(SLATable[Minimum SLA],MATCH(G554,SLATable[Priority],0))),"YES","NO"),"")</f>
        <v/>
      </c>
      <c r="AJ554" t="str">
        <f>_xlfn.IFNA(IF(AE554 &lt; (INDEX(SLATable[Maximum SLA],MATCH(G554,SLATable[Priority],0))),"YES","NO"),"")</f>
        <v/>
      </c>
    </row>
    <row r="555" spans="26:36" ht="15" customHeight="1">
      <c r="Z555" s="76" t="e">
        <f t="shared" ca="1" si="64"/>
        <v>#N/A</v>
      </c>
      <c r="AA555" s="75" t="e">
        <f t="shared" ca="1" si="65"/>
        <v>#N/A</v>
      </c>
      <c r="AB555" s="76">
        <f t="shared" ca="1" si="66"/>
        <v>0</v>
      </c>
      <c r="AC555" s="75">
        <f t="shared" ca="1" si="67"/>
        <v>0</v>
      </c>
      <c r="AD555" s="76">
        <f t="shared" ca="1" si="68"/>
        <v>12388.425643402781</v>
      </c>
      <c r="AE555" s="76">
        <f t="shared" si="69"/>
        <v>0</v>
      </c>
      <c r="AF555" s="75">
        <f t="shared" si="70"/>
        <v>0</v>
      </c>
      <c r="AG555" s="76">
        <f t="shared" si="63"/>
        <v>0</v>
      </c>
      <c r="AH555" s="31" t="e" cm="1">
        <f t="array" aca="1" ref="AH555" ca="1">IF((AD555) &lt; (INDEX(ResponseSLA[#All],(MATCH((G555),ResponseSLA[Priority],0))+1,3)),"YES","No")</f>
        <v>#N/A</v>
      </c>
      <c r="AI555" s="31" t="str">
        <f>_xlfn.IFNA(IF(AE555 &lt; (INDEX(SLATable[Minimum SLA],MATCH(G555,SLATable[Priority],0))),"YES","NO"),"")</f>
        <v/>
      </c>
      <c r="AJ555" t="str">
        <f>_xlfn.IFNA(IF(AE555 &lt; (INDEX(SLATable[Maximum SLA],MATCH(G555,SLATable[Priority],0))),"YES","NO"),"")</f>
        <v/>
      </c>
    </row>
    <row r="556" spans="26:36" ht="15" customHeight="1">
      <c r="Z556" s="76" t="e">
        <f t="shared" ca="1" si="64"/>
        <v>#N/A</v>
      </c>
      <c r="AA556" s="75" t="e">
        <f t="shared" ca="1" si="65"/>
        <v>#N/A</v>
      </c>
      <c r="AB556" s="76">
        <f t="shared" ca="1" si="66"/>
        <v>0</v>
      </c>
      <c r="AC556" s="75">
        <f t="shared" ca="1" si="67"/>
        <v>0</v>
      </c>
      <c r="AD556" s="76">
        <f t="shared" ca="1" si="68"/>
        <v>12388.425643634258</v>
      </c>
      <c r="AE556" s="76">
        <f t="shared" si="69"/>
        <v>0</v>
      </c>
      <c r="AF556" s="75">
        <f t="shared" si="70"/>
        <v>0</v>
      </c>
      <c r="AG556" s="76">
        <f t="shared" si="63"/>
        <v>0</v>
      </c>
      <c r="AH556" s="31" t="e" cm="1">
        <f t="array" aca="1" ref="AH556" ca="1">IF((AD556) &lt; (INDEX(ResponseSLA[#All],(MATCH((G556),ResponseSLA[Priority],0))+1,3)),"YES","No")</f>
        <v>#N/A</v>
      </c>
      <c r="AI556" s="31" t="str">
        <f>_xlfn.IFNA(IF(AE556 &lt; (INDEX(SLATable[Minimum SLA],MATCH(G556,SLATable[Priority],0))),"YES","NO"),"")</f>
        <v/>
      </c>
      <c r="AJ556" t="str">
        <f>_xlfn.IFNA(IF(AE556 &lt; (INDEX(SLATable[Maximum SLA],MATCH(G556,SLATable[Priority],0))),"YES","NO"),"")</f>
        <v/>
      </c>
    </row>
    <row r="557" spans="26:36" ht="15" customHeight="1">
      <c r="Z557" s="76" t="e">
        <f t="shared" ca="1" si="64"/>
        <v>#N/A</v>
      </c>
      <c r="AA557" s="75" t="e">
        <f t="shared" ca="1" si="65"/>
        <v>#N/A</v>
      </c>
      <c r="AB557" s="76">
        <f t="shared" ca="1" si="66"/>
        <v>0</v>
      </c>
      <c r="AC557" s="75">
        <f t="shared" ca="1" si="67"/>
        <v>0</v>
      </c>
      <c r="AD557" s="76">
        <f t="shared" ca="1" si="68"/>
        <v>12388.425643402781</v>
      </c>
      <c r="AE557" s="76">
        <f t="shared" si="69"/>
        <v>0</v>
      </c>
      <c r="AF557" s="75">
        <f t="shared" si="70"/>
        <v>0</v>
      </c>
      <c r="AG557" s="76">
        <f t="shared" si="63"/>
        <v>0</v>
      </c>
      <c r="AH557" s="31" t="e" cm="1">
        <f t="array" aca="1" ref="AH557" ca="1">IF((AD557) &lt; (INDEX(ResponseSLA[#All],(MATCH((G557),ResponseSLA[Priority],0))+1,3)),"YES","No")</f>
        <v>#N/A</v>
      </c>
      <c r="AI557" s="31" t="str">
        <f>_xlfn.IFNA(IF(AE557 &lt; (INDEX(SLATable[Minimum SLA],MATCH(G557,SLATable[Priority],0))),"YES","NO"),"")</f>
        <v/>
      </c>
      <c r="AJ557" t="str">
        <f>_xlfn.IFNA(IF(AE557 &lt; (INDEX(SLATable[Maximum SLA],MATCH(G557,SLATable[Priority],0))),"YES","NO"),"")</f>
        <v/>
      </c>
    </row>
    <row r="558" spans="26:36" ht="15" customHeight="1">
      <c r="Z558" s="76" t="e">
        <f t="shared" ca="1" si="64"/>
        <v>#N/A</v>
      </c>
      <c r="AA558" s="75" t="e">
        <f t="shared" ca="1" si="65"/>
        <v>#N/A</v>
      </c>
      <c r="AB558" s="76">
        <f t="shared" ca="1" si="66"/>
        <v>0</v>
      </c>
      <c r="AC558" s="75">
        <f t="shared" ca="1" si="67"/>
        <v>0</v>
      </c>
      <c r="AD558" s="76">
        <f t="shared" ca="1" si="68"/>
        <v>12388.425643402781</v>
      </c>
      <c r="AE558" s="76">
        <f t="shared" si="69"/>
        <v>0</v>
      </c>
      <c r="AF558" s="75">
        <f t="shared" si="70"/>
        <v>0</v>
      </c>
      <c r="AG558" s="76">
        <f t="shared" si="63"/>
        <v>0</v>
      </c>
      <c r="AH558" s="31" t="e" cm="1">
        <f t="array" aca="1" ref="AH558" ca="1">IF((AD558) &lt; (INDEX(ResponseSLA[#All],(MATCH((G558),ResponseSLA[Priority],0))+1,3)),"YES","No")</f>
        <v>#N/A</v>
      </c>
      <c r="AI558" s="31" t="str">
        <f>_xlfn.IFNA(IF(AE558 &lt; (INDEX(SLATable[Minimum SLA],MATCH(G558,SLATable[Priority],0))),"YES","NO"),"")</f>
        <v/>
      </c>
      <c r="AJ558" t="str">
        <f>_xlfn.IFNA(IF(AE558 &lt; (INDEX(SLATable[Maximum SLA],MATCH(G558,SLATable[Priority],0))),"YES","NO"),"")</f>
        <v/>
      </c>
    </row>
    <row r="559" spans="26:36" ht="15" customHeight="1">
      <c r="Z559" s="76" t="e">
        <f t="shared" ca="1" si="64"/>
        <v>#N/A</v>
      </c>
      <c r="AA559" s="75" t="e">
        <f t="shared" ca="1" si="65"/>
        <v>#N/A</v>
      </c>
      <c r="AB559" s="76">
        <f t="shared" ca="1" si="66"/>
        <v>0</v>
      </c>
      <c r="AC559" s="75">
        <f t="shared" ca="1" si="67"/>
        <v>0</v>
      </c>
      <c r="AD559" s="76">
        <f t="shared" ca="1" si="68"/>
        <v>12388.425643634258</v>
      </c>
      <c r="AE559" s="76">
        <f t="shared" si="69"/>
        <v>0</v>
      </c>
      <c r="AF559" s="75">
        <f t="shared" si="70"/>
        <v>0</v>
      </c>
      <c r="AG559" s="76">
        <f t="shared" si="63"/>
        <v>0</v>
      </c>
      <c r="AH559" s="31" t="e" cm="1">
        <f t="array" aca="1" ref="AH559" ca="1">IF((AD559) &lt; (INDEX(ResponseSLA[#All],(MATCH((G559),ResponseSLA[Priority],0))+1,3)),"YES","No")</f>
        <v>#N/A</v>
      </c>
      <c r="AI559" s="31" t="str">
        <f>_xlfn.IFNA(IF(AE559 &lt; (INDEX(SLATable[Minimum SLA],MATCH(G559,SLATable[Priority],0))),"YES","NO"),"")</f>
        <v/>
      </c>
      <c r="AJ559" t="str">
        <f>_xlfn.IFNA(IF(AE559 &lt; (INDEX(SLATable[Maximum SLA],MATCH(G559,SLATable[Priority],0))),"YES","NO"),"")</f>
        <v/>
      </c>
    </row>
    <row r="560" spans="26:36" ht="15" customHeight="1">
      <c r="Z560" s="76" t="e">
        <f t="shared" ca="1" si="64"/>
        <v>#N/A</v>
      </c>
      <c r="AA560" s="75" t="e">
        <f t="shared" ca="1" si="65"/>
        <v>#N/A</v>
      </c>
      <c r="AB560" s="76">
        <f t="shared" ca="1" si="66"/>
        <v>0</v>
      </c>
      <c r="AC560" s="75">
        <f t="shared" ca="1" si="67"/>
        <v>0</v>
      </c>
      <c r="AD560" s="76">
        <f t="shared" ca="1" si="68"/>
        <v>12388.425643402781</v>
      </c>
      <c r="AE560" s="76">
        <f t="shared" si="69"/>
        <v>0</v>
      </c>
      <c r="AF560" s="75">
        <f t="shared" si="70"/>
        <v>0</v>
      </c>
      <c r="AG560" s="76">
        <f t="shared" si="63"/>
        <v>0</v>
      </c>
      <c r="AH560" s="31" t="e" cm="1">
        <f t="array" aca="1" ref="AH560" ca="1">IF((AD560) &lt; (INDEX(ResponseSLA[#All],(MATCH((G560),ResponseSLA[Priority],0))+1,3)),"YES","No")</f>
        <v>#N/A</v>
      </c>
      <c r="AI560" s="31" t="str">
        <f>_xlfn.IFNA(IF(AE560 &lt; (INDEX(SLATable[Minimum SLA],MATCH(G560,SLATable[Priority],0))),"YES","NO"),"")</f>
        <v/>
      </c>
      <c r="AJ560" t="str">
        <f>_xlfn.IFNA(IF(AE560 &lt; (INDEX(SLATable[Maximum SLA],MATCH(G560,SLATable[Priority],0))),"YES","NO"),"")</f>
        <v/>
      </c>
    </row>
    <row r="561" spans="26:36" ht="15" customHeight="1">
      <c r="Z561" s="76" t="e">
        <f t="shared" ca="1" si="64"/>
        <v>#N/A</v>
      </c>
      <c r="AA561" s="75" t="e">
        <f t="shared" ca="1" si="65"/>
        <v>#N/A</v>
      </c>
      <c r="AB561" s="76">
        <f t="shared" ca="1" si="66"/>
        <v>0</v>
      </c>
      <c r="AC561" s="75">
        <f t="shared" ca="1" si="67"/>
        <v>0</v>
      </c>
      <c r="AD561" s="76">
        <f t="shared" ca="1" si="68"/>
        <v>12388.425643402781</v>
      </c>
      <c r="AE561" s="76">
        <f t="shared" si="69"/>
        <v>0</v>
      </c>
      <c r="AF561" s="75">
        <f t="shared" si="70"/>
        <v>0</v>
      </c>
      <c r="AG561" s="76">
        <f t="shared" si="63"/>
        <v>0</v>
      </c>
      <c r="AH561" s="31" t="e" cm="1">
        <f t="array" aca="1" ref="AH561" ca="1">IF((AD561) &lt; (INDEX(ResponseSLA[#All],(MATCH((G561),ResponseSLA[Priority],0))+1,3)),"YES","No")</f>
        <v>#N/A</v>
      </c>
      <c r="AI561" s="31" t="str">
        <f>_xlfn.IFNA(IF(AE561 &lt; (INDEX(SLATable[Minimum SLA],MATCH(G561,SLATable[Priority],0))),"YES","NO"),"")</f>
        <v/>
      </c>
      <c r="AJ561" t="str">
        <f>_xlfn.IFNA(IF(AE561 &lt; (INDEX(SLATable[Maximum SLA],MATCH(G561,SLATable[Priority],0))),"YES","NO"),"")</f>
        <v/>
      </c>
    </row>
    <row r="562" spans="26:36" ht="15" customHeight="1">
      <c r="Z562" s="76" t="e">
        <f t="shared" ca="1" si="64"/>
        <v>#N/A</v>
      </c>
      <c r="AA562" s="75" t="e">
        <f t="shared" ca="1" si="65"/>
        <v>#N/A</v>
      </c>
      <c r="AB562" s="76">
        <f t="shared" ca="1" si="66"/>
        <v>0</v>
      </c>
      <c r="AC562" s="75">
        <f t="shared" ca="1" si="67"/>
        <v>0</v>
      </c>
      <c r="AD562" s="76">
        <f t="shared" ca="1" si="68"/>
        <v>12388.425643634258</v>
      </c>
      <c r="AE562" s="76">
        <f t="shared" si="69"/>
        <v>0</v>
      </c>
      <c r="AF562" s="75">
        <f t="shared" si="70"/>
        <v>0</v>
      </c>
      <c r="AG562" s="76">
        <f t="shared" si="63"/>
        <v>0</v>
      </c>
      <c r="AH562" s="31" t="e" cm="1">
        <f t="array" aca="1" ref="AH562" ca="1">IF((AD562) &lt; (INDEX(ResponseSLA[#All],(MATCH((G562),ResponseSLA[Priority],0))+1,3)),"YES","No")</f>
        <v>#N/A</v>
      </c>
      <c r="AI562" s="31" t="str">
        <f>_xlfn.IFNA(IF(AE562 &lt; (INDEX(SLATable[Minimum SLA],MATCH(G562,SLATable[Priority],0))),"YES","NO"),"")</f>
        <v/>
      </c>
      <c r="AJ562" t="str">
        <f>_xlfn.IFNA(IF(AE562 &lt; (INDEX(SLATable[Maximum SLA],MATCH(G562,SLATable[Priority],0))),"YES","NO"),"")</f>
        <v/>
      </c>
    </row>
    <row r="563" spans="26:36" ht="15" customHeight="1">
      <c r="Z563" s="76" t="e">
        <f t="shared" ca="1" si="64"/>
        <v>#N/A</v>
      </c>
      <c r="AA563" s="75" t="e">
        <f t="shared" ca="1" si="65"/>
        <v>#N/A</v>
      </c>
      <c r="AB563" s="76">
        <f t="shared" ca="1" si="66"/>
        <v>0</v>
      </c>
      <c r="AC563" s="75">
        <f t="shared" ca="1" si="67"/>
        <v>0</v>
      </c>
      <c r="AD563" s="76">
        <f t="shared" ca="1" si="68"/>
        <v>12388.425643634258</v>
      </c>
      <c r="AE563" s="76">
        <f t="shared" si="69"/>
        <v>0</v>
      </c>
      <c r="AF563" s="75">
        <f t="shared" si="70"/>
        <v>0</v>
      </c>
      <c r="AG563" s="76">
        <f t="shared" si="63"/>
        <v>0</v>
      </c>
      <c r="AH563" s="31" t="e" cm="1">
        <f t="array" aca="1" ref="AH563" ca="1">IF((AD563) &lt; (INDEX(ResponseSLA[#All],(MATCH((G563),ResponseSLA[Priority],0))+1,3)),"YES","No")</f>
        <v>#N/A</v>
      </c>
      <c r="AI563" s="31" t="str">
        <f>_xlfn.IFNA(IF(AE563 &lt; (INDEX(SLATable[Minimum SLA],MATCH(G563,SLATable[Priority],0))),"YES","NO"),"")</f>
        <v/>
      </c>
      <c r="AJ563" t="str">
        <f>_xlfn.IFNA(IF(AE563 &lt; (INDEX(SLATable[Maximum SLA],MATCH(G563,SLATable[Priority],0))),"YES","NO"),"")</f>
        <v/>
      </c>
    </row>
    <row r="564" spans="26:36" ht="15" customHeight="1">
      <c r="Z564" s="76" t="e">
        <f t="shared" ca="1" si="64"/>
        <v>#N/A</v>
      </c>
      <c r="AA564" s="75" t="e">
        <f t="shared" ca="1" si="65"/>
        <v>#N/A</v>
      </c>
      <c r="AB564" s="76">
        <f t="shared" ca="1" si="66"/>
        <v>0</v>
      </c>
      <c r="AC564" s="75">
        <f t="shared" ca="1" si="67"/>
        <v>0</v>
      </c>
      <c r="AD564" s="76">
        <f t="shared" ca="1" si="68"/>
        <v>12388.425643402781</v>
      </c>
      <c r="AE564" s="76">
        <f t="shared" si="69"/>
        <v>0</v>
      </c>
      <c r="AF564" s="75">
        <f t="shared" si="70"/>
        <v>0</v>
      </c>
      <c r="AG564" s="76">
        <f t="shared" si="63"/>
        <v>0</v>
      </c>
      <c r="AH564" s="31" t="e" cm="1">
        <f t="array" aca="1" ref="AH564" ca="1">IF((AD564) &lt; (INDEX(ResponseSLA[#All],(MATCH((G564),ResponseSLA[Priority],0))+1,3)),"YES","No")</f>
        <v>#N/A</v>
      </c>
      <c r="AI564" s="31" t="str">
        <f>_xlfn.IFNA(IF(AE564 &lt; (INDEX(SLATable[Minimum SLA],MATCH(G564,SLATable[Priority],0))),"YES","NO"),"")</f>
        <v/>
      </c>
      <c r="AJ564" t="str">
        <f>_xlfn.IFNA(IF(AE564 &lt; (INDEX(SLATable[Maximum SLA],MATCH(G564,SLATable[Priority],0))),"YES","NO"),"")</f>
        <v/>
      </c>
    </row>
    <row r="565" spans="26:36" ht="15" customHeight="1">
      <c r="Z565" s="76" t="e">
        <f t="shared" ca="1" si="64"/>
        <v>#N/A</v>
      </c>
      <c r="AA565" s="75" t="e">
        <f t="shared" ca="1" si="65"/>
        <v>#N/A</v>
      </c>
      <c r="AB565" s="76">
        <f t="shared" ca="1" si="66"/>
        <v>0</v>
      </c>
      <c r="AC565" s="75">
        <f t="shared" ca="1" si="67"/>
        <v>0</v>
      </c>
      <c r="AD565" s="76">
        <f t="shared" ca="1" si="68"/>
        <v>12388.425643634258</v>
      </c>
      <c r="AE565" s="76">
        <f t="shared" si="69"/>
        <v>0</v>
      </c>
      <c r="AF565" s="75">
        <f t="shared" si="70"/>
        <v>0</v>
      </c>
      <c r="AG565" s="76">
        <f t="shared" si="63"/>
        <v>0</v>
      </c>
      <c r="AH565" s="31" t="e" cm="1">
        <f t="array" aca="1" ref="AH565" ca="1">IF((AD565) &lt; (INDEX(ResponseSLA[#All],(MATCH((G565),ResponseSLA[Priority],0))+1,3)),"YES","No")</f>
        <v>#N/A</v>
      </c>
      <c r="AI565" s="31" t="str">
        <f>_xlfn.IFNA(IF(AE565 &lt; (INDEX(SLATable[Minimum SLA],MATCH(G565,SLATable[Priority],0))),"YES","NO"),"")</f>
        <v/>
      </c>
      <c r="AJ565" t="str">
        <f>_xlfn.IFNA(IF(AE565 &lt; (INDEX(SLATable[Maximum SLA],MATCH(G565,SLATable[Priority],0))),"YES","NO"),"")</f>
        <v/>
      </c>
    </row>
    <row r="566" spans="26:36" ht="15" customHeight="1">
      <c r="Z566" s="76" t="e">
        <f t="shared" ca="1" si="64"/>
        <v>#N/A</v>
      </c>
      <c r="AA566" s="75" t="e">
        <f t="shared" ca="1" si="65"/>
        <v>#N/A</v>
      </c>
      <c r="AB566" s="76">
        <f t="shared" ca="1" si="66"/>
        <v>0</v>
      </c>
      <c r="AC566" s="75">
        <f t="shared" ca="1" si="67"/>
        <v>0</v>
      </c>
      <c r="AD566" s="76">
        <f t="shared" ca="1" si="68"/>
        <v>12388.425643634258</v>
      </c>
      <c r="AE566" s="76">
        <f t="shared" si="69"/>
        <v>0</v>
      </c>
      <c r="AF566" s="75">
        <f t="shared" si="70"/>
        <v>0</v>
      </c>
      <c r="AG566" s="76">
        <f t="shared" si="63"/>
        <v>0</v>
      </c>
      <c r="AH566" s="31" t="e" cm="1">
        <f t="array" aca="1" ref="AH566" ca="1">IF((AD566) &lt; (INDEX(ResponseSLA[#All],(MATCH((G566),ResponseSLA[Priority],0))+1,3)),"YES","No")</f>
        <v>#N/A</v>
      </c>
      <c r="AI566" s="31" t="str">
        <f>_xlfn.IFNA(IF(AE566 &lt; (INDEX(SLATable[Minimum SLA],MATCH(G566,SLATable[Priority],0))),"YES","NO"),"")</f>
        <v/>
      </c>
      <c r="AJ566" t="str">
        <f>_xlfn.IFNA(IF(AE566 &lt; (INDEX(SLATable[Maximum SLA],MATCH(G566,SLATable[Priority],0))),"YES","NO"),"")</f>
        <v/>
      </c>
    </row>
    <row r="567" spans="26:36" ht="15" customHeight="1">
      <c r="Z567" s="76" t="e">
        <f t="shared" ca="1" si="64"/>
        <v>#N/A</v>
      </c>
      <c r="AA567" s="75" t="e">
        <f t="shared" ca="1" si="65"/>
        <v>#N/A</v>
      </c>
      <c r="AB567" s="76">
        <f t="shared" ca="1" si="66"/>
        <v>0</v>
      </c>
      <c r="AC567" s="75">
        <f t="shared" ca="1" si="67"/>
        <v>0</v>
      </c>
      <c r="AD567" s="76">
        <f t="shared" ca="1" si="68"/>
        <v>12388.425643402781</v>
      </c>
      <c r="AE567" s="76">
        <f t="shared" si="69"/>
        <v>0</v>
      </c>
      <c r="AF567" s="75">
        <f t="shared" si="70"/>
        <v>0</v>
      </c>
      <c r="AG567" s="76">
        <f t="shared" si="63"/>
        <v>0</v>
      </c>
      <c r="AH567" s="31" t="e" cm="1">
        <f t="array" aca="1" ref="AH567" ca="1">IF((AD567) &lt; (INDEX(ResponseSLA[#All],(MATCH((G567),ResponseSLA[Priority],0))+1,3)),"YES","No")</f>
        <v>#N/A</v>
      </c>
      <c r="AI567" s="31" t="str">
        <f>_xlfn.IFNA(IF(AE567 &lt; (INDEX(SLATable[Minimum SLA],MATCH(G567,SLATable[Priority],0))),"YES","NO"),"")</f>
        <v/>
      </c>
      <c r="AJ567" t="str">
        <f>_xlfn.IFNA(IF(AE567 &lt; (INDEX(SLATable[Maximum SLA],MATCH(G567,SLATable[Priority],0))),"YES","NO"),"")</f>
        <v/>
      </c>
    </row>
    <row r="568" spans="26:36" ht="15" customHeight="1">
      <c r="Z568" s="76" t="e">
        <f t="shared" ca="1" si="64"/>
        <v>#N/A</v>
      </c>
      <c r="AA568" s="75" t="e">
        <f t="shared" ca="1" si="65"/>
        <v>#N/A</v>
      </c>
      <c r="AB568" s="76">
        <f t="shared" ca="1" si="66"/>
        <v>0</v>
      </c>
      <c r="AC568" s="75">
        <f t="shared" ca="1" si="67"/>
        <v>0</v>
      </c>
      <c r="AD568" s="76">
        <f t="shared" ca="1" si="68"/>
        <v>12388.425643634258</v>
      </c>
      <c r="AE568" s="76">
        <f t="shared" si="69"/>
        <v>0</v>
      </c>
      <c r="AF568" s="75">
        <f t="shared" si="70"/>
        <v>0</v>
      </c>
      <c r="AG568" s="76">
        <f t="shared" si="63"/>
        <v>0</v>
      </c>
      <c r="AH568" s="31" t="e" cm="1">
        <f t="array" aca="1" ref="AH568" ca="1">IF((AD568) &lt; (INDEX(ResponseSLA[#All],(MATCH((G568),ResponseSLA[Priority],0))+1,3)),"YES","No")</f>
        <v>#N/A</v>
      </c>
      <c r="AI568" s="31" t="str">
        <f>_xlfn.IFNA(IF(AE568 &lt; (INDEX(SLATable[Minimum SLA],MATCH(G568,SLATable[Priority],0))),"YES","NO"),"")</f>
        <v/>
      </c>
      <c r="AJ568" t="str">
        <f>_xlfn.IFNA(IF(AE568 &lt; (INDEX(SLATable[Maximum SLA],MATCH(G568,SLATable[Priority],0))),"YES","NO"),"")</f>
        <v/>
      </c>
    </row>
    <row r="569" spans="26:36" ht="15" customHeight="1">
      <c r="Z569" s="76" t="e">
        <f t="shared" ca="1" si="64"/>
        <v>#N/A</v>
      </c>
      <c r="AA569" s="75" t="e">
        <f t="shared" ca="1" si="65"/>
        <v>#N/A</v>
      </c>
      <c r="AB569" s="76">
        <f t="shared" ca="1" si="66"/>
        <v>0</v>
      </c>
      <c r="AC569" s="75">
        <f t="shared" ca="1" si="67"/>
        <v>0</v>
      </c>
      <c r="AD569" s="76">
        <f t="shared" ca="1" si="68"/>
        <v>12388.425643634258</v>
      </c>
      <c r="AE569" s="76">
        <f t="shared" si="69"/>
        <v>0</v>
      </c>
      <c r="AF569" s="75">
        <f t="shared" si="70"/>
        <v>0</v>
      </c>
      <c r="AG569" s="76">
        <f t="shared" si="63"/>
        <v>0</v>
      </c>
      <c r="AH569" s="31" t="e" cm="1">
        <f t="array" aca="1" ref="AH569" ca="1">IF((AD569) &lt; (INDEX(ResponseSLA[#All],(MATCH((G569),ResponseSLA[Priority],0))+1,3)),"YES","No")</f>
        <v>#N/A</v>
      </c>
      <c r="AI569" s="31" t="str">
        <f>_xlfn.IFNA(IF(AE569 &lt; (INDEX(SLATable[Minimum SLA],MATCH(G569,SLATable[Priority],0))),"YES","NO"),"")</f>
        <v/>
      </c>
      <c r="AJ569" t="str">
        <f>_xlfn.IFNA(IF(AE569 &lt; (INDEX(SLATable[Maximum SLA],MATCH(G569,SLATable[Priority],0))),"YES","NO"),"")</f>
        <v/>
      </c>
    </row>
    <row r="570" spans="26:36" ht="15" customHeight="1">
      <c r="Z570" s="76" t="e">
        <f t="shared" ca="1" si="64"/>
        <v>#N/A</v>
      </c>
      <c r="AA570" s="75" t="e">
        <f t="shared" ca="1" si="65"/>
        <v>#N/A</v>
      </c>
      <c r="AB570" s="76">
        <f t="shared" ca="1" si="66"/>
        <v>0</v>
      </c>
      <c r="AC570" s="75">
        <f t="shared" ca="1" si="67"/>
        <v>0</v>
      </c>
      <c r="AD570" s="76">
        <f t="shared" ca="1" si="68"/>
        <v>12388.425643402781</v>
      </c>
      <c r="AE570" s="76">
        <f t="shared" si="69"/>
        <v>0</v>
      </c>
      <c r="AF570" s="75">
        <f t="shared" si="70"/>
        <v>0</v>
      </c>
      <c r="AG570" s="76">
        <f t="shared" si="63"/>
        <v>0</v>
      </c>
      <c r="AH570" s="31" t="e" cm="1">
        <f t="array" aca="1" ref="AH570" ca="1">IF((AD570) &lt; (INDEX(ResponseSLA[#All],(MATCH((G570),ResponseSLA[Priority],0))+1,3)),"YES","No")</f>
        <v>#N/A</v>
      </c>
      <c r="AI570" s="31" t="str">
        <f>_xlfn.IFNA(IF(AE570 &lt; (INDEX(SLATable[Minimum SLA],MATCH(G570,SLATable[Priority],0))),"YES","NO"),"")</f>
        <v/>
      </c>
      <c r="AJ570" t="str">
        <f>_xlfn.IFNA(IF(AE570 &lt; (INDEX(SLATable[Maximum SLA],MATCH(G570,SLATable[Priority],0))),"YES","NO"),"")</f>
        <v/>
      </c>
    </row>
    <row r="571" spans="26:36" ht="15" customHeight="1">
      <c r="Z571" s="76" t="e">
        <f t="shared" ca="1" si="64"/>
        <v>#N/A</v>
      </c>
      <c r="AA571" s="75" t="e">
        <f t="shared" ca="1" si="65"/>
        <v>#N/A</v>
      </c>
      <c r="AB571" s="76">
        <f t="shared" ca="1" si="66"/>
        <v>0</v>
      </c>
      <c r="AC571" s="75">
        <f t="shared" ca="1" si="67"/>
        <v>0</v>
      </c>
      <c r="AD571" s="76">
        <f t="shared" ca="1" si="68"/>
        <v>12388.425643634258</v>
      </c>
      <c r="AE571" s="76">
        <f t="shared" si="69"/>
        <v>0</v>
      </c>
      <c r="AF571" s="75">
        <f t="shared" si="70"/>
        <v>0</v>
      </c>
      <c r="AG571" s="76">
        <f t="shared" si="63"/>
        <v>0</v>
      </c>
      <c r="AH571" s="31" t="e" cm="1">
        <f t="array" aca="1" ref="AH571" ca="1">IF((AD571) &lt; (INDEX(ResponseSLA[#All],(MATCH((G571),ResponseSLA[Priority],0))+1,3)),"YES","No")</f>
        <v>#N/A</v>
      </c>
      <c r="AI571" s="31" t="str">
        <f>_xlfn.IFNA(IF(AE571 &lt; (INDEX(SLATable[Minimum SLA],MATCH(G571,SLATable[Priority],0))),"YES","NO"),"")</f>
        <v/>
      </c>
      <c r="AJ571" t="str">
        <f>_xlfn.IFNA(IF(AE571 &lt; (INDEX(SLATable[Maximum SLA],MATCH(G571,SLATable[Priority],0))),"YES","NO"),"")</f>
        <v/>
      </c>
    </row>
    <row r="572" spans="26:36" ht="15" customHeight="1">
      <c r="Z572" s="76" t="e">
        <f t="shared" ca="1" si="64"/>
        <v>#N/A</v>
      </c>
      <c r="AA572" s="75" t="e">
        <f t="shared" ca="1" si="65"/>
        <v>#N/A</v>
      </c>
      <c r="AB572" s="76">
        <f t="shared" ca="1" si="66"/>
        <v>0</v>
      </c>
      <c r="AC572" s="75">
        <f t="shared" ca="1" si="67"/>
        <v>0</v>
      </c>
      <c r="AD572" s="76">
        <f t="shared" ca="1" si="68"/>
        <v>12388.425643634258</v>
      </c>
      <c r="AE572" s="76">
        <f t="shared" si="69"/>
        <v>0</v>
      </c>
      <c r="AF572" s="75">
        <f t="shared" si="70"/>
        <v>0</v>
      </c>
      <c r="AG572" s="76">
        <f t="shared" si="63"/>
        <v>0</v>
      </c>
      <c r="AH572" s="31" t="e" cm="1">
        <f t="array" aca="1" ref="AH572" ca="1">IF((AD572) &lt; (INDEX(ResponseSLA[#All],(MATCH((G572),ResponseSLA[Priority],0))+1,3)),"YES","No")</f>
        <v>#N/A</v>
      </c>
      <c r="AI572" s="31" t="str">
        <f>_xlfn.IFNA(IF(AE572 &lt; (INDEX(SLATable[Minimum SLA],MATCH(G572,SLATable[Priority],0))),"YES","NO"),"")</f>
        <v/>
      </c>
      <c r="AJ572" t="str">
        <f>_xlfn.IFNA(IF(AE572 &lt; (INDEX(SLATable[Maximum SLA],MATCH(G572,SLATable[Priority],0))),"YES","NO"),"")</f>
        <v/>
      </c>
    </row>
    <row r="573" spans="26:36" ht="15" customHeight="1">
      <c r="Z573" s="76" t="e">
        <f t="shared" ca="1" si="64"/>
        <v>#N/A</v>
      </c>
      <c r="AA573" s="75" t="e">
        <f t="shared" ca="1" si="65"/>
        <v>#N/A</v>
      </c>
      <c r="AB573" s="76">
        <f t="shared" ca="1" si="66"/>
        <v>0</v>
      </c>
      <c r="AC573" s="75">
        <f t="shared" ca="1" si="67"/>
        <v>0</v>
      </c>
      <c r="AD573" s="76">
        <f t="shared" ca="1" si="68"/>
        <v>12388.425643402781</v>
      </c>
      <c r="AE573" s="76">
        <f t="shared" si="69"/>
        <v>0</v>
      </c>
      <c r="AF573" s="75">
        <f t="shared" si="70"/>
        <v>0</v>
      </c>
      <c r="AG573" s="76">
        <f t="shared" si="63"/>
        <v>0</v>
      </c>
      <c r="AH573" s="31" t="e" cm="1">
        <f t="array" aca="1" ref="AH573" ca="1">IF((AD573) &lt; (INDEX(ResponseSLA[#All],(MATCH((G573),ResponseSLA[Priority],0))+1,3)),"YES","No")</f>
        <v>#N/A</v>
      </c>
      <c r="AI573" s="31" t="str">
        <f>_xlfn.IFNA(IF(AE573 &lt; (INDEX(SLATable[Minimum SLA],MATCH(G573,SLATable[Priority],0))),"YES","NO"),"")</f>
        <v/>
      </c>
      <c r="AJ573" t="str">
        <f>_xlfn.IFNA(IF(AE573 &lt; (INDEX(SLATable[Maximum SLA],MATCH(G573,SLATable[Priority],0))),"YES","NO"),"")</f>
        <v/>
      </c>
    </row>
    <row r="574" spans="26:36" ht="15" customHeight="1">
      <c r="Z574" s="76" t="e">
        <f t="shared" ca="1" si="64"/>
        <v>#N/A</v>
      </c>
      <c r="AA574" s="75" t="e">
        <f t="shared" ca="1" si="65"/>
        <v>#N/A</v>
      </c>
      <c r="AB574" s="76">
        <f t="shared" ca="1" si="66"/>
        <v>0</v>
      </c>
      <c r="AC574" s="75">
        <f t="shared" ca="1" si="67"/>
        <v>0</v>
      </c>
      <c r="AD574" s="76">
        <f t="shared" ca="1" si="68"/>
        <v>12388.425643634258</v>
      </c>
      <c r="AE574" s="76">
        <f t="shared" si="69"/>
        <v>0</v>
      </c>
      <c r="AF574" s="75">
        <f t="shared" si="70"/>
        <v>0</v>
      </c>
      <c r="AG574" s="76">
        <f t="shared" si="63"/>
        <v>0</v>
      </c>
      <c r="AH574" s="31" t="e" cm="1">
        <f t="array" aca="1" ref="AH574" ca="1">IF((AD574) &lt; (INDEX(ResponseSLA[#All],(MATCH((G574),ResponseSLA[Priority],0))+1,3)),"YES","No")</f>
        <v>#N/A</v>
      </c>
      <c r="AI574" s="31" t="str">
        <f>_xlfn.IFNA(IF(AE574 &lt; (INDEX(SLATable[Minimum SLA],MATCH(G574,SLATable[Priority],0))),"YES","NO"),"")</f>
        <v/>
      </c>
      <c r="AJ574" t="str">
        <f>_xlfn.IFNA(IF(AE574 &lt; (INDEX(SLATable[Maximum SLA],MATCH(G574,SLATable[Priority],0))),"YES","NO"),"")</f>
        <v/>
      </c>
    </row>
    <row r="575" spans="26:36" ht="15" customHeight="1">
      <c r="Z575" s="76" t="e">
        <f t="shared" ca="1" si="64"/>
        <v>#N/A</v>
      </c>
      <c r="AA575" s="75" t="e">
        <f t="shared" ca="1" si="65"/>
        <v>#N/A</v>
      </c>
      <c r="AB575" s="76">
        <f t="shared" ca="1" si="66"/>
        <v>0</v>
      </c>
      <c r="AC575" s="75">
        <f t="shared" ca="1" si="67"/>
        <v>0</v>
      </c>
      <c r="AD575" s="76">
        <f t="shared" ca="1" si="68"/>
        <v>12388.425643634258</v>
      </c>
      <c r="AE575" s="76">
        <f t="shared" si="69"/>
        <v>0</v>
      </c>
      <c r="AF575" s="75">
        <f t="shared" si="70"/>
        <v>0</v>
      </c>
      <c r="AG575" s="76">
        <f t="shared" si="63"/>
        <v>0</v>
      </c>
      <c r="AH575" s="31" t="e" cm="1">
        <f t="array" aca="1" ref="AH575" ca="1">IF((AD575) &lt; (INDEX(ResponseSLA[#All],(MATCH((G575),ResponseSLA[Priority],0))+1,3)),"YES","No")</f>
        <v>#N/A</v>
      </c>
      <c r="AI575" s="31" t="str">
        <f>_xlfn.IFNA(IF(AE575 &lt; (INDEX(SLATable[Minimum SLA],MATCH(G575,SLATable[Priority],0))),"YES","NO"),"")</f>
        <v/>
      </c>
      <c r="AJ575" t="str">
        <f>_xlfn.IFNA(IF(AE575 &lt; (INDEX(SLATable[Maximum SLA],MATCH(G575,SLATable[Priority],0))),"YES","NO"),"")</f>
        <v/>
      </c>
    </row>
    <row r="576" spans="26:36" ht="15" customHeight="1">
      <c r="Z576" s="76" t="e">
        <f t="shared" ca="1" si="64"/>
        <v>#N/A</v>
      </c>
      <c r="AA576" s="75" t="e">
        <f t="shared" ca="1" si="65"/>
        <v>#N/A</v>
      </c>
      <c r="AB576" s="76">
        <f t="shared" ca="1" si="66"/>
        <v>0</v>
      </c>
      <c r="AC576" s="75">
        <f t="shared" ca="1" si="67"/>
        <v>0</v>
      </c>
      <c r="AD576" s="76">
        <f t="shared" ca="1" si="68"/>
        <v>12388.425643402781</v>
      </c>
      <c r="AE576" s="76">
        <f t="shared" si="69"/>
        <v>0</v>
      </c>
      <c r="AF576" s="75">
        <f t="shared" si="70"/>
        <v>0</v>
      </c>
      <c r="AG576" s="76">
        <f t="shared" si="63"/>
        <v>0</v>
      </c>
      <c r="AH576" s="31" t="e" cm="1">
        <f t="array" aca="1" ref="AH576" ca="1">IF((AD576) &lt; (INDEX(ResponseSLA[#All],(MATCH((G576),ResponseSLA[Priority],0))+1,3)),"YES","No")</f>
        <v>#N/A</v>
      </c>
      <c r="AI576" s="31" t="str">
        <f>_xlfn.IFNA(IF(AE576 &lt; (INDEX(SLATable[Minimum SLA],MATCH(G576,SLATable[Priority],0))),"YES","NO"),"")</f>
        <v/>
      </c>
      <c r="AJ576" t="str">
        <f>_xlfn.IFNA(IF(AE576 &lt; (INDEX(SLATable[Maximum SLA],MATCH(G576,SLATable[Priority],0))),"YES","NO"),"")</f>
        <v/>
      </c>
    </row>
    <row r="577" spans="26:36" ht="15" customHeight="1">
      <c r="Z577" s="76" t="e">
        <f t="shared" ca="1" si="64"/>
        <v>#N/A</v>
      </c>
      <c r="AA577" s="75" t="e">
        <f t="shared" ca="1" si="65"/>
        <v>#N/A</v>
      </c>
      <c r="AB577" s="76">
        <f t="shared" ca="1" si="66"/>
        <v>0</v>
      </c>
      <c r="AC577" s="75">
        <f t="shared" ca="1" si="67"/>
        <v>0</v>
      </c>
      <c r="AD577" s="76">
        <f t="shared" ca="1" si="68"/>
        <v>12388.425643634258</v>
      </c>
      <c r="AE577" s="76">
        <f t="shared" si="69"/>
        <v>0</v>
      </c>
      <c r="AF577" s="75">
        <f t="shared" si="70"/>
        <v>0</v>
      </c>
      <c r="AG577" s="76">
        <f t="shared" ref="AG577:AG600" si="71">AF577</f>
        <v>0</v>
      </c>
      <c r="AH577" s="31" t="e" cm="1">
        <f t="array" aca="1" ref="AH577" ca="1">IF((AD577) &lt; (INDEX(ResponseSLA[#All],(MATCH((G577),ResponseSLA[Priority],0))+1,3)),"YES","No")</f>
        <v>#N/A</v>
      </c>
      <c r="AI577" s="31" t="str">
        <f>_xlfn.IFNA(IF(AE577 &lt; (INDEX(SLATable[Minimum SLA],MATCH(G577,SLATable[Priority],0))),"YES","NO"),"")</f>
        <v/>
      </c>
      <c r="AJ577" t="str">
        <f>_xlfn.IFNA(IF(AE577 &lt; (INDEX(SLATable[Maximum SLA],MATCH(G577,SLATable[Priority],0))),"YES","NO"),"")</f>
        <v/>
      </c>
    </row>
    <row r="578" spans="26:36" ht="15" customHeight="1">
      <c r="Z578" s="76" t="e">
        <f t="shared" ca="1" si="64"/>
        <v>#N/A</v>
      </c>
      <c r="AA578" s="75" t="e">
        <f t="shared" ca="1" si="65"/>
        <v>#N/A</v>
      </c>
      <c r="AB578" s="76">
        <f t="shared" ca="1" si="66"/>
        <v>0</v>
      </c>
      <c r="AC578" s="75">
        <f t="shared" ca="1" si="67"/>
        <v>0</v>
      </c>
      <c r="AD578" s="76">
        <f t="shared" ca="1" si="68"/>
        <v>12388.425643634258</v>
      </c>
      <c r="AE578" s="76">
        <f t="shared" si="69"/>
        <v>0</v>
      </c>
      <c r="AF578" s="75">
        <f t="shared" si="70"/>
        <v>0</v>
      </c>
      <c r="AG578" s="76">
        <f t="shared" si="71"/>
        <v>0</v>
      </c>
      <c r="AH578" s="31" t="e" cm="1">
        <f t="array" aca="1" ref="AH578" ca="1">IF((AD578) &lt; (INDEX(ResponseSLA[#All],(MATCH((G578),ResponseSLA[Priority],0))+1,3)),"YES","No")</f>
        <v>#N/A</v>
      </c>
      <c r="AI578" s="31" t="str">
        <f>_xlfn.IFNA(IF(AE578 &lt; (INDEX(SLATable[Minimum SLA],MATCH(G578,SLATable[Priority],0))),"YES","NO"),"")</f>
        <v/>
      </c>
      <c r="AJ578" t="str">
        <f>_xlfn.IFNA(IF(AE578 &lt; (INDEX(SLATable[Maximum SLA],MATCH(G578,SLATable[Priority],0))),"YES","NO"),"")</f>
        <v/>
      </c>
    </row>
    <row r="579" spans="26:36" ht="15" customHeight="1">
      <c r="Z579" s="76" t="e">
        <f t="shared" ref="Z579:Z600" ca="1" si="72">IF(NOT(OR(G579=1,G579=2)),MAX(0,_xlfn.IFS(AND(K579&lt;&gt;"",N579&lt;&gt;""),((MAX(NETWORKDAYS(K579,N579,UKBankHolidays)-1,0))*(TIME(17,0,0)-TIME(8,0,0))+IF(NETWORKDAYS(N579,N579,UKBankHolidays)&gt;0,MEDIAN(TIME(8,0,0),MOD(N579,1),TIME(17,0,0)),TIME(8,0,0))-IF(NETWORKDAYS(K579,K579,UKBankHolidays)&gt;0,MEDIAN(TIME(8,0,0),MOD(K579,1),TIME(17,0,0)),TIME(8,0,0)))-IF(AND(O579&lt;&gt;"",P579&lt;&gt;""),((MAX(NETWORKDAYS(O579,P579,UKBankHolidays)-1,0))*(TIME(17,0,0)-TIME(8,0,0))+IF(NETWORKDAYS(P579,P579,UKBankHolidays)&gt;0,MEDIAN(TIME(8,0,0),MOD(P579,1),TIME(17,0,0)),TIME(8,0,0))-IF(NETWORKDAYS(O579,O579,UKBankHolidays)&gt;0,MEDIAN(TIME(8,0,0),MOD(O579,1),TIME(17,0,0)),TIME(8,0,0))),0),AND(K579&lt;&gt;"",N579=""),((MAX(NETWORKDAYS(K579,NOW(),UKBankHolidays)-1,0))*(TIME(17,0,0)-TIME(8,0,0))+IF(NETWORKDAYS(NOW(),NOW(),UKBankHolidays)&gt;0,MEDIAN(TIME(8,0,0),MOD(NOW(),1),TIME(17,0,0)),TIME(8,0,0))-IF(NETWORKDAYS(K579,K579,UKBankHolidays)&gt;0,MEDIAN(TIME(8,0,0),MOD(K579,1),TIME(17,0,0)),TIME(8,0,0))))),IF(N579="",NOW()-K579,N579-K579))</f>
        <v>#N/A</v>
      </c>
      <c r="AA579" s="75" t="e">
        <f t="shared" ref="AA579:AA600" ca="1" si="73">(Z579*24)/9</f>
        <v>#N/A</v>
      </c>
      <c r="AB579" s="76">
        <f t="shared" ref="AB579:AB600" ca="1" si="74">IF(NOT(OR(G579=1,G579=2)),MAX(0,_xlfn.IFS(AND(K579&lt;&gt;"",N579&lt;&gt;""),(((MAX(NETWORKDAYS(L579,N579,UKBankHolidays)-1,0))*(TIME(17,0,0)-TIME(8,0,0)))+IF(NETWORKDAYS(N579,N579,UKBankHolidays)&gt;0,MEDIAN(TIME(8,0,0),MOD(N579,1),TIME(17,0,0)),TIME(8,0,0))-IF(NETWORKDAYS(L579,L579,UKBankHolidays)&gt;0,MEDIAN(TIME(8,0,0),MOD(L579,1),TIME(17,0,0)),TIME(8,0,0)))-IF(AND(O579&lt;&gt;"",P579&lt;&gt;""),(((MAX(NETWORKDAYS(O579,P579,UKBankHolidays)-1,0))*(TIME(17,0,0)-TIME(8,0,0)))+IF(NETWORKDAYS(P579,P579,UKBankHolidays)&gt;0,MEDIAN(TIME(8,0,0),MOD(P579,1),TIME(17,0,0)),TIME(8,0,0))-IF(NETWORKDAYS(O579,O579,UKBankHolidays)&gt;0,MEDIAN(TIME(8,0,0),MOD(O579,1),TIME(17,0,0)),TIME(8,0,0))),0),AND(L579&lt;&gt;"",N579="",O579=""),(((MAX(NETWORKDAYS(L579,NOW(),UKBankHolidays)-1,0))*(TIME(17,0,0)-TIME(8,0,0)))+IF(NETWORKDAYS(NOW(),NOW(),UKBankHolidays)&gt;0,MEDIAN(TIME(8,0,0),MOD(NOW(),1),TIME(17,0,0)),TIME(8,0,0))-IF(NETWORKDAYS(L579,L579,UKBankHolidays)&gt;0,MEDIAN(TIME(8,0,0),MOD(L579,1),TIME(17,0,0)),TIME(8,0,0)))-IF(AND(O579&lt;&gt;"",P579&lt;&gt;""),(((MAX(NETWORKDAYS(O579,P579,UKBankHolidays)-1,0))*(TIME(17,0,0)-TIME(8,0,0)))+IF(NETWORKDAYS(P579,P579,UKBankHolidays)&gt;0,MEDIAN(TIME(8,0,0),MOD(P579,1),TIME(17,0,0)),TIME(8,0,0))-IF(NETWORKDAYS(O579,O579,UKBankHolidays)&gt;0,MEDIAN(TIME(8,0,0),MOD(O579,1),TIME(17,0,0)),TIME(8,0,0))),0),AND(L579&lt;&gt;"",N579="",P579="",O579&lt;&gt;""),(((MAX(NETWORKDAYS(L579,O579,UKBankHolidays)-1,0))*(TIME(17,0,0)-TIME(8,0,0)))+IF(NETWORKDAYS(O579,O579,UKBankHolidays)&gt;0,MEDIAN(TIME(8,0,0),MOD(O579,1),TIME(17,0,0)),TIME(8,0,0))-IF(NETWORKDAYS(L579,L579,UKBankHolidays)&gt;0,MEDIAN(TIME(8,0,0),MOD(L579,1),TIME(17,0,0)),TIME(8,0,0))),ISBLANK(K579),"0")),IF(ISBLANK(N579),NOW()-L579,N579-L579))</f>
        <v>0</v>
      </c>
      <c r="AC579" s="75">
        <f t="shared" ref="AC579:AC600" ca="1" si="75">(AB579*24)/9</f>
        <v>0</v>
      </c>
      <c r="AD579" s="76">
        <f t="shared" ref="AD579:AD600" ca="1" si="76">MAX(0,IF(NOT(OR(G579=1,G579=2)),IF(M579&lt;&gt;"",((MAX(NETWORKDAYS(L579,M579,UKBankHolidays)-1,0))*(TIME(17,0,0)-TIME(8,0,0))+IF(NETWORKDAYS(M579,M579,UKBankHolidays)&gt;0,MEDIAN(TIME(8,0,0),MOD(M579,1),TIME(17,0,0)),TIME(8,0,0))-MEDIAN(TIME(8,0,0),MOD(L579,1),TIME(17,0,0))),((MAX(NETWORKDAYS(L579,NOW(),UKBankHolidays)-1,0))*(TIME(17,0,0)-TIME(8,0,0))+IF(NETWORKDAYS(NOW(),NOW(),UKBankHolidays)&gt;0,MEDIAN(TIME(8,0,0),MOD(NOW(),1),TIME(17,0,0)),TIME(8,0,0))-MEDIAN(TIME(8,0,0),MOD(L579,1),TIME(17,0,0)))),IF(M579&lt;&gt;"",M579-L579,NOW()-L579)))</f>
        <v>12388.425643402781</v>
      </c>
      <c r="AE579" s="76">
        <f t="shared" ref="AE579:AE600" si="77">SUMIFS(AB:AB,E:E,E579)</f>
        <v>0</v>
      </c>
      <c r="AF579" s="75">
        <f t="shared" ref="AF579:AF600" si="78">(AE579*24)/9</f>
        <v>0</v>
      </c>
      <c r="AG579" s="76">
        <f t="shared" si="71"/>
        <v>0</v>
      </c>
      <c r="AH579" s="31" t="e" cm="1">
        <f t="array" aca="1" ref="AH579" ca="1">IF((AD579) &lt; (INDEX(ResponseSLA[#All],(MATCH((G579),ResponseSLA[Priority],0))+1,3)),"YES","No")</f>
        <v>#N/A</v>
      </c>
      <c r="AI579" s="31" t="str">
        <f>_xlfn.IFNA(IF(AE579 &lt; (INDEX(SLATable[Minimum SLA],MATCH(G579,SLATable[Priority],0))),"YES","NO"),"")</f>
        <v/>
      </c>
      <c r="AJ579" t="str">
        <f>_xlfn.IFNA(IF(AE579 &lt; (INDEX(SLATable[Maximum SLA],MATCH(G579,SLATable[Priority],0))),"YES","NO"),"")</f>
        <v/>
      </c>
    </row>
    <row r="580" spans="26:36" ht="15" customHeight="1">
      <c r="Z580" s="76" t="e">
        <f t="shared" ca="1" si="72"/>
        <v>#N/A</v>
      </c>
      <c r="AA580" s="75" t="e">
        <f t="shared" ca="1" si="73"/>
        <v>#N/A</v>
      </c>
      <c r="AB580" s="76">
        <f t="shared" ca="1" si="74"/>
        <v>0</v>
      </c>
      <c r="AC580" s="75">
        <f t="shared" ca="1" si="75"/>
        <v>0</v>
      </c>
      <c r="AD580" s="76">
        <f t="shared" ca="1" si="76"/>
        <v>12388.425643634258</v>
      </c>
      <c r="AE580" s="76">
        <f t="shared" si="77"/>
        <v>0</v>
      </c>
      <c r="AF580" s="75">
        <f t="shared" si="78"/>
        <v>0</v>
      </c>
      <c r="AG580" s="76">
        <f t="shared" si="71"/>
        <v>0</v>
      </c>
      <c r="AH580" s="31" t="e" cm="1">
        <f t="array" aca="1" ref="AH580" ca="1">IF((AD580) &lt; (INDEX(ResponseSLA[#All],(MATCH((G580),ResponseSLA[Priority],0))+1,3)),"YES","No")</f>
        <v>#N/A</v>
      </c>
      <c r="AI580" s="31" t="str">
        <f>_xlfn.IFNA(IF(AE580 &lt; (INDEX(SLATable[Minimum SLA],MATCH(G580,SLATable[Priority],0))),"YES","NO"),"")</f>
        <v/>
      </c>
      <c r="AJ580" t="str">
        <f>_xlfn.IFNA(IF(AE580 &lt; (INDEX(SLATable[Maximum SLA],MATCH(G580,SLATable[Priority],0))),"YES","NO"),"")</f>
        <v/>
      </c>
    </row>
    <row r="581" spans="26:36" ht="15" customHeight="1">
      <c r="Z581" s="76" t="e">
        <f t="shared" ca="1" si="72"/>
        <v>#N/A</v>
      </c>
      <c r="AA581" s="75" t="e">
        <f t="shared" ca="1" si="73"/>
        <v>#N/A</v>
      </c>
      <c r="AB581" s="76">
        <f t="shared" ca="1" si="74"/>
        <v>0</v>
      </c>
      <c r="AC581" s="75">
        <f t="shared" ca="1" si="75"/>
        <v>0</v>
      </c>
      <c r="AD581" s="76">
        <f t="shared" ca="1" si="76"/>
        <v>12388.425643634258</v>
      </c>
      <c r="AE581" s="76">
        <f t="shared" si="77"/>
        <v>0</v>
      </c>
      <c r="AF581" s="75">
        <f t="shared" si="78"/>
        <v>0</v>
      </c>
      <c r="AG581" s="76">
        <f t="shared" si="71"/>
        <v>0</v>
      </c>
      <c r="AH581" s="31" t="e" cm="1">
        <f t="array" aca="1" ref="AH581" ca="1">IF((AD581) &lt; (INDEX(ResponseSLA[#All],(MATCH((G581),ResponseSLA[Priority],0))+1,3)),"YES","No")</f>
        <v>#N/A</v>
      </c>
      <c r="AI581" s="31" t="str">
        <f>_xlfn.IFNA(IF(AE581 &lt; (INDEX(SLATable[Minimum SLA],MATCH(G581,SLATable[Priority],0))),"YES","NO"),"")</f>
        <v/>
      </c>
      <c r="AJ581" t="str">
        <f>_xlfn.IFNA(IF(AE581 &lt; (INDEX(SLATable[Maximum SLA],MATCH(G581,SLATable[Priority],0))),"YES","NO"),"")</f>
        <v/>
      </c>
    </row>
    <row r="582" spans="26:36" ht="15" customHeight="1">
      <c r="Z582" s="76" t="e">
        <f t="shared" ca="1" si="72"/>
        <v>#N/A</v>
      </c>
      <c r="AA582" s="75" t="e">
        <f t="shared" ca="1" si="73"/>
        <v>#N/A</v>
      </c>
      <c r="AB582" s="76">
        <f t="shared" ca="1" si="74"/>
        <v>0</v>
      </c>
      <c r="AC582" s="75">
        <f t="shared" ca="1" si="75"/>
        <v>0</v>
      </c>
      <c r="AD582" s="76">
        <f t="shared" ca="1" si="76"/>
        <v>12388.425643402781</v>
      </c>
      <c r="AE582" s="76">
        <f t="shared" si="77"/>
        <v>0</v>
      </c>
      <c r="AF582" s="75">
        <f t="shared" si="78"/>
        <v>0</v>
      </c>
      <c r="AG582" s="76">
        <f t="shared" si="71"/>
        <v>0</v>
      </c>
      <c r="AH582" s="31" t="e" cm="1">
        <f t="array" aca="1" ref="AH582" ca="1">IF((AD582) &lt; (INDEX(ResponseSLA[#All],(MATCH((G582),ResponseSLA[Priority],0))+1,3)),"YES","No")</f>
        <v>#N/A</v>
      </c>
      <c r="AI582" s="31" t="str">
        <f>_xlfn.IFNA(IF(AE582 &lt; (INDEX(SLATable[Minimum SLA],MATCH(G582,SLATable[Priority],0))),"YES","NO"),"")</f>
        <v/>
      </c>
      <c r="AJ582" t="str">
        <f>_xlfn.IFNA(IF(AE582 &lt; (INDEX(SLATable[Maximum SLA],MATCH(G582,SLATable[Priority],0))),"YES","NO"),"")</f>
        <v/>
      </c>
    </row>
    <row r="583" spans="26:36" ht="15" customHeight="1">
      <c r="Z583" s="76" t="e">
        <f t="shared" ca="1" si="72"/>
        <v>#N/A</v>
      </c>
      <c r="AA583" s="75" t="e">
        <f t="shared" ca="1" si="73"/>
        <v>#N/A</v>
      </c>
      <c r="AB583" s="76">
        <f t="shared" ca="1" si="74"/>
        <v>0</v>
      </c>
      <c r="AC583" s="75">
        <f t="shared" ca="1" si="75"/>
        <v>0</v>
      </c>
      <c r="AD583" s="76">
        <f t="shared" ca="1" si="76"/>
        <v>12388.425643634258</v>
      </c>
      <c r="AE583" s="76">
        <f t="shared" si="77"/>
        <v>0</v>
      </c>
      <c r="AF583" s="75">
        <f t="shared" si="78"/>
        <v>0</v>
      </c>
      <c r="AG583" s="76">
        <f t="shared" si="71"/>
        <v>0</v>
      </c>
      <c r="AH583" s="31" t="e" cm="1">
        <f t="array" aca="1" ref="AH583" ca="1">IF((AD583) &lt; (INDEX(ResponseSLA[#All],(MATCH((G583),ResponseSLA[Priority],0))+1,3)),"YES","No")</f>
        <v>#N/A</v>
      </c>
      <c r="AI583" s="31" t="str">
        <f>_xlfn.IFNA(IF(AE583 &lt; (INDEX(SLATable[Minimum SLA],MATCH(G583,SLATable[Priority],0))),"YES","NO"),"")</f>
        <v/>
      </c>
      <c r="AJ583" t="str">
        <f>_xlfn.IFNA(IF(AE583 &lt; (INDEX(SLATable[Maximum SLA],MATCH(G583,SLATable[Priority],0))),"YES","NO"),"")</f>
        <v/>
      </c>
    </row>
    <row r="584" spans="26:36" ht="15" customHeight="1">
      <c r="Z584" s="76" t="e">
        <f t="shared" ca="1" si="72"/>
        <v>#N/A</v>
      </c>
      <c r="AA584" s="75" t="e">
        <f t="shared" ca="1" si="73"/>
        <v>#N/A</v>
      </c>
      <c r="AB584" s="76">
        <f t="shared" ca="1" si="74"/>
        <v>0</v>
      </c>
      <c r="AC584" s="75">
        <f t="shared" ca="1" si="75"/>
        <v>0</v>
      </c>
      <c r="AD584" s="76">
        <f t="shared" ca="1" si="76"/>
        <v>12388.425643634258</v>
      </c>
      <c r="AE584" s="76">
        <f t="shared" si="77"/>
        <v>0</v>
      </c>
      <c r="AF584" s="75">
        <f t="shared" si="78"/>
        <v>0</v>
      </c>
      <c r="AG584" s="76">
        <f t="shared" si="71"/>
        <v>0</v>
      </c>
      <c r="AH584" s="31" t="e" cm="1">
        <f t="array" aca="1" ref="AH584" ca="1">IF((AD584) &lt; (INDEX(ResponseSLA[#All],(MATCH((G584),ResponseSLA[Priority],0))+1,3)),"YES","No")</f>
        <v>#N/A</v>
      </c>
      <c r="AI584" s="31" t="str">
        <f>_xlfn.IFNA(IF(AE584 &lt; (INDEX(SLATable[Minimum SLA],MATCH(G584,SLATable[Priority],0))),"YES","NO"),"")</f>
        <v/>
      </c>
      <c r="AJ584" t="str">
        <f>_xlfn.IFNA(IF(AE584 &lt; (INDEX(SLATable[Maximum SLA],MATCH(G584,SLATable[Priority],0))),"YES","NO"),"")</f>
        <v/>
      </c>
    </row>
    <row r="585" spans="26:36" ht="15" customHeight="1">
      <c r="Z585" s="76" t="e">
        <f t="shared" ca="1" si="72"/>
        <v>#N/A</v>
      </c>
      <c r="AA585" s="75" t="e">
        <f t="shared" ca="1" si="73"/>
        <v>#N/A</v>
      </c>
      <c r="AB585" s="76">
        <f t="shared" ca="1" si="74"/>
        <v>0</v>
      </c>
      <c r="AC585" s="75">
        <f t="shared" ca="1" si="75"/>
        <v>0</v>
      </c>
      <c r="AD585" s="76">
        <f t="shared" ca="1" si="76"/>
        <v>12388.425643402781</v>
      </c>
      <c r="AE585" s="76">
        <f t="shared" si="77"/>
        <v>0</v>
      </c>
      <c r="AF585" s="75">
        <f t="shared" si="78"/>
        <v>0</v>
      </c>
      <c r="AG585" s="76">
        <f t="shared" si="71"/>
        <v>0</v>
      </c>
      <c r="AH585" s="31" t="e" cm="1">
        <f t="array" aca="1" ref="AH585" ca="1">IF((AD585) &lt; (INDEX(ResponseSLA[#All],(MATCH((G585),ResponseSLA[Priority],0))+1,3)),"YES","No")</f>
        <v>#N/A</v>
      </c>
      <c r="AI585" s="31" t="str">
        <f>_xlfn.IFNA(IF(AE585 &lt; (INDEX(SLATable[Minimum SLA],MATCH(G585,SLATable[Priority],0))),"YES","NO"),"")</f>
        <v/>
      </c>
      <c r="AJ585" t="str">
        <f>_xlfn.IFNA(IF(AE585 &lt; (INDEX(SLATable[Maximum SLA],MATCH(G585,SLATable[Priority],0))),"YES","NO"),"")</f>
        <v/>
      </c>
    </row>
    <row r="586" spans="26:36" ht="15" customHeight="1">
      <c r="Z586" s="76" t="e">
        <f t="shared" ca="1" si="72"/>
        <v>#N/A</v>
      </c>
      <c r="AA586" s="75" t="e">
        <f t="shared" ca="1" si="73"/>
        <v>#N/A</v>
      </c>
      <c r="AB586" s="76">
        <f t="shared" ca="1" si="74"/>
        <v>0</v>
      </c>
      <c r="AC586" s="75">
        <f t="shared" ca="1" si="75"/>
        <v>0</v>
      </c>
      <c r="AD586" s="76">
        <f t="shared" ca="1" si="76"/>
        <v>12388.425643634258</v>
      </c>
      <c r="AE586" s="76">
        <f t="shared" si="77"/>
        <v>0</v>
      </c>
      <c r="AF586" s="75">
        <f t="shared" si="78"/>
        <v>0</v>
      </c>
      <c r="AG586" s="76">
        <f t="shared" si="71"/>
        <v>0</v>
      </c>
      <c r="AH586" s="31" t="e" cm="1">
        <f t="array" aca="1" ref="AH586" ca="1">IF((AD586) &lt; (INDEX(ResponseSLA[#All],(MATCH((G586),ResponseSLA[Priority],0))+1,3)),"YES","No")</f>
        <v>#N/A</v>
      </c>
      <c r="AI586" s="31" t="str">
        <f>_xlfn.IFNA(IF(AE586 &lt; (INDEX(SLATable[Minimum SLA],MATCH(G586,SLATable[Priority],0))),"YES","NO"),"")</f>
        <v/>
      </c>
      <c r="AJ586" t="str">
        <f>_xlfn.IFNA(IF(AE586 &lt; (INDEX(SLATable[Maximum SLA],MATCH(G586,SLATable[Priority],0))),"YES","NO"),"")</f>
        <v/>
      </c>
    </row>
    <row r="587" spans="26:36" ht="15" customHeight="1">
      <c r="Z587" s="76" t="e">
        <f t="shared" ca="1" si="72"/>
        <v>#N/A</v>
      </c>
      <c r="AA587" s="75" t="e">
        <f t="shared" ca="1" si="73"/>
        <v>#N/A</v>
      </c>
      <c r="AB587" s="76">
        <f t="shared" ca="1" si="74"/>
        <v>0</v>
      </c>
      <c r="AC587" s="75">
        <f t="shared" ca="1" si="75"/>
        <v>0</v>
      </c>
      <c r="AD587" s="76">
        <f t="shared" ca="1" si="76"/>
        <v>12388.425643634258</v>
      </c>
      <c r="AE587" s="76">
        <f t="shared" si="77"/>
        <v>0</v>
      </c>
      <c r="AF587" s="75">
        <f t="shared" si="78"/>
        <v>0</v>
      </c>
      <c r="AG587" s="76">
        <f t="shared" si="71"/>
        <v>0</v>
      </c>
      <c r="AH587" s="31" t="e" cm="1">
        <f t="array" aca="1" ref="AH587" ca="1">IF((AD587) &lt; (INDEX(ResponseSLA[#All],(MATCH((G587),ResponseSLA[Priority],0))+1,3)),"YES","No")</f>
        <v>#N/A</v>
      </c>
      <c r="AI587" s="31" t="str">
        <f>_xlfn.IFNA(IF(AE587 &lt; (INDEX(SLATable[Minimum SLA],MATCH(G587,SLATable[Priority],0))),"YES","NO"),"")</f>
        <v/>
      </c>
      <c r="AJ587" t="str">
        <f>_xlfn.IFNA(IF(AE587 &lt; (INDEX(SLATable[Maximum SLA],MATCH(G587,SLATable[Priority],0))),"YES","NO"),"")</f>
        <v/>
      </c>
    </row>
    <row r="588" spans="26:36" ht="15" customHeight="1">
      <c r="Z588" s="76" t="e">
        <f t="shared" ca="1" si="72"/>
        <v>#N/A</v>
      </c>
      <c r="AA588" s="75" t="e">
        <f t="shared" ca="1" si="73"/>
        <v>#N/A</v>
      </c>
      <c r="AB588" s="76">
        <f t="shared" ca="1" si="74"/>
        <v>0</v>
      </c>
      <c r="AC588" s="75">
        <f t="shared" ca="1" si="75"/>
        <v>0</v>
      </c>
      <c r="AD588" s="76">
        <f t="shared" ca="1" si="76"/>
        <v>12388.425643402781</v>
      </c>
      <c r="AE588" s="76">
        <f t="shared" si="77"/>
        <v>0</v>
      </c>
      <c r="AF588" s="75">
        <f t="shared" si="78"/>
        <v>0</v>
      </c>
      <c r="AG588" s="76">
        <f t="shared" si="71"/>
        <v>0</v>
      </c>
      <c r="AH588" s="31" t="e" cm="1">
        <f t="array" aca="1" ref="AH588" ca="1">IF((AD588) &lt; (INDEX(ResponseSLA[#All],(MATCH((G588),ResponseSLA[Priority],0))+1,3)),"YES","No")</f>
        <v>#N/A</v>
      </c>
      <c r="AI588" s="31" t="str">
        <f>_xlfn.IFNA(IF(AE588 &lt; (INDEX(SLATable[Minimum SLA],MATCH(G588,SLATable[Priority],0))),"YES","NO"),"")</f>
        <v/>
      </c>
      <c r="AJ588" t="str">
        <f>_xlfn.IFNA(IF(AE588 &lt; (INDEX(SLATable[Maximum SLA],MATCH(G588,SLATable[Priority],0))),"YES","NO"),"")</f>
        <v/>
      </c>
    </row>
    <row r="589" spans="26:36" ht="15" customHeight="1">
      <c r="Z589" s="76" t="e">
        <f t="shared" ca="1" si="72"/>
        <v>#N/A</v>
      </c>
      <c r="AA589" s="75" t="e">
        <f t="shared" ca="1" si="73"/>
        <v>#N/A</v>
      </c>
      <c r="AB589" s="76">
        <f t="shared" ca="1" si="74"/>
        <v>0</v>
      </c>
      <c r="AC589" s="75">
        <f t="shared" ca="1" si="75"/>
        <v>0</v>
      </c>
      <c r="AD589" s="76">
        <f t="shared" ca="1" si="76"/>
        <v>12388.425643634258</v>
      </c>
      <c r="AE589" s="76">
        <f t="shared" si="77"/>
        <v>0</v>
      </c>
      <c r="AF589" s="75">
        <f t="shared" si="78"/>
        <v>0</v>
      </c>
      <c r="AG589" s="76">
        <f t="shared" si="71"/>
        <v>0</v>
      </c>
      <c r="AH589" s="31" t="e" cm="1">
        <f t="array" aca="1" ref="AH589" ca="1">IF((AD589) &lt; (INDEX(ResponseSLA[#All],(MATCH((G589),ResponseSLA[Priority],0))+1,3)),"YES","No")</f>
        <v>#N/A</v>
      </c>
      <c r="AI589" s="31" t="str">
        <f>_xlfn.IFNA(IF(AE589 &lt; (INDEX(SLATable[Minimum SLA],MATCH(G589,SLATable[Priority],0))),"YES","NO"),"")</f>
        <v/>
      </c>
      <c r="AJ589" t="str">
        <f>_xlfn.IFNA(IF(AE589 &lt; (INDEX(SLATable[Maximum SLA],MATCH(G589,SLATable[Priority],0))),"YES","NO"),"")</f>
        <v/>
      </c>
    </row>
    <row r="590" spans="26:36" ht="15" customHeight="1">
      <c r="Z590" s="76" t="e">
        <f t="shared" ca="1" si="72"/>
        <v>#N/A</v>
      </c>
      <c r="AA590" s="75" t="e">
        <f t="shared" ca="1" si="73"/>
        <v>#N/A</v>
      </c>
      <c r="AB590" s="76">
        <f t="shared" ca="1" si="74"/>
        <v>0</v>
      </c>
      <c r="AC590" s="75">
        <f t="shared" ca="1" si="75"/>
        <v>0</v>
      </c>
      <c r="AD590" s="76">
        <f t="shared" ca="1" si="76"/>
        <v>12388.425643634258</v>
      </c>
      <c r="AE590" s="76">
        <f t="shared" si="77"/>
        <v>0</v>
      </c>
      <c r="AF590" s="75">
        <f t="shared" si="78"/>
        <v>0</v>
      </c>
      <c r="AG590" s="76">
        <f t="shared" si="71"/>
        <v>0</v>
      </c>
      <c r="AH590" s="31" t="e" cm="1">
        <f t="array" aca="1" ref="AH590" ca="1">IF((AD590) &lt; (INDEX(ResponseSLA[#All],(MATCH((G590),ResponseSLA[Priority],0))+1,3)),"YES","No")</f>
        <v>#N/A</v>
      </c>
      <c r="AI590" s="31" t="str">
        <f>_xlfn.IFNA(IF(AE590 &lt; (INDEX(SLATable[Minimum SLA],MATCH(G590,SLATable[Priority],0))),"YES","NO"),"")</f>
        <v/>
      </c>
      <c r="AJ590" t="str">
        <f>_xlfn.IFNA(IF(AE590 &lt; (INDEX(SLATable[Maximum SLA],MATCH(G590,SLATable[Priority],0))),"YES","NO"),"")</f>
        <v/>
      </c>
    </row>
    <row r="591" spans="26:36" ht="15" customHeight="1">
      <c r="Z591" s="76" t="e">
        <f t="shared" ca="1" si="72"/>
        <v>#N/A</v>
      </c>
      <c r="AA591" s="75" t="e">
        <f t="shared" ca="1" si="73"/>
        <v>#N/A</v>
      </c>
      <c r="AB591" s="76">
        <f t="shared" ca="1" si="74"/>
        <v>0</v>
      </c>
      <c r="AC591" s="75">
        <f t="shared" ca="1" si="75"/>
        <v>0</v>
      </c>
      <c r="AD591" s="76">
        <f t="shared" ca="1" si="76"/>
        <v>12388.425643402781</v>
      </c>
      <c r="AE591" s="76">
        <f t="shared" si="77"/>
        <v>0</v>
      </c>
      <c r="AF591" s="75">
        <f t="shared" si="78"/>
        <v>0</v>
      </c>
      <c r="AG591" s="76">
        <f t="shared" si="71"/>
        <v>0</v>
      </c>
      <c r="AH591" s="31" t="e" cm="1">
        <f t="array" aca="1" ref="AH591" ca="1">IF((AD591) &lt; (INDEX(ResponseSLA[#All],(MATCH((G591),ResponseSLA[Priority],0))+1,3)),"YES","No")</f>
        <v>#N/A</v>
      </c>
      <c r="AI591" s="31" t="str">
        <f>_xlfn.IFNA(IF(AE591 &lt; (INDEX(SLATable[Minimum SLA],MATCH(G591,SLATable[Priority],0))),"YES","NO"),"")</f>
        <v/>
      </c>
      <c r="AJ591" t="str">
        <f>_xlfn.IFNA(IF(AE591 &lt; (INDEX(SLATable[Maximum SLA],MATCH(G591,SLATable[Priority],0))),"YES","NO"),"")</f>
        <v/>
      </c>
    </row>
    <row r="592" spans="26:36" ht="15" customHeight="1">
      <c r="Z592" s="76" t="e">
        <f t="shared" ca="1" si="72"/>
        <v>#N/A</v>
      </c>
      <c r="AA592" s="75" t="e">
        <f t="shared" ca="1" si="73"/>
        <v>#N/A</v>
      </c>
      <c r="AB592" s="76">
        <f t="shared" ca="1" si="74"/>
        <v>0</v>
      </c>
      <c r="AC592" s="75">
        <f t="shared" ca="1" si="75"/>
        <v>0</v>
      </c>
      <c r="AD592" s="76">
        <f t="shared" ca="1" si="76"/>
        <v>12388.425643634258</v>
      </c>
      <c r="AE592" s="76">
        <f t="shared" si="77"/>
        <v>0</v>
      </c>
      <c r="AF592" s="75">
        <f t="shared" si="78"/>
        <v>0</v>
      </c>
      <c r="AG592" s="76">
        <f t="shared" si="71"/>
        <v>0</v>
      </c>
      <c r="AH592" s="31" t="e" cm="1">
        <f t="array" aca="1" ref="AH592" ca="1">IF((AD592) &lt; (INDEX(ResponseSLA[#All],(MATCH((G592),ResponseSLA[Priority],0))+1,3)),"YES","No")</f>
        <v>#N/A</v>
      </c>
      <c r="AI592" s="31" t="str">
        <f>_xlfn.IFNA(IF(AE592 &lt; (INDEX(SLATable[Minimum SLA],MATCH(G592,SLATable[Priority],0))),"YES","NO"),"")</f>
        <v/>
      </c>
      <c r="AJ592" t="str">
        <f>_xlfn.IFNA(IF(AE592 &lt; (INDEX(SLATable[Maximum SLA],MATCH(G592,SLATable[Priority],0))),"YES","NO"),"")</f>
        <v/>
      </c>
    </row>
    <row r="593" spans="26:36" ht="15" customHeight="1">
      <c r="Z593" s="76" t="e">
        <f t="shared" ca="1" si="72"/>
        <v>#N/A</v>
      </c>
      <c r="AA593" s="75" t="e">
        <f t="shared" ca="1" si="73"/>
        <v>#N/A</v>
      </c>
      <c r="AB593" s="76">
        <f t="shared" ca="1" si="74"/>
        <v>0</v>
      </c>
      <c r="AC593" s="75">
        <f t="shared" ca="1" si="75"/>
        <v>0</v>
      </c>
      <c r="AD593" s="76">
        <f t="shared" ca="1" si="76"/>
        <v>12388.425643634258</v>
      </c>
      <c r="AE593" s="76">
        <f t="shared" si="77"/>
        <v>0</v>
      </c>
      <c r="AF593" s="75">
        <f t="shared" si="78"/>
        <v>0</v>
      </c>
      <c r="AG593" s="76">
        <f t="shared" si="71"/>
        <v>0</v>
      </c>
      <c r="AH593" s="31" t="e" cm="1">
        <f t="array" aca="1" ref="AH593" ca="1">IF((AD593) &lt; (INDEX(ResponseSLA[#All],(MATCH((G593),ResponseSLA[Priority],0))+1,3)),"YES","No")</f>
        <v>#N/A</v>
      </c>
      <c r="AI593" s="31" t="str">
        <f>_xlfn.IFNA(IF(AE593 &lt; (INDEX(SLATable[Minimum SLA],MATCH(G593,SLATable[Priority],0))),"YES","NO"),"")</f>
        <v/>
      </c>
      <c r="AJ593" t="str">
        <f>_xlfn.IFNA(IF(AE593 &lt; (INDEX(SLATable[Maximum SLA],MATCH(G593,SLATable[Priority],0))),"YES","NO"),"")</f>
        <v/>
      </c>
    </row>
    <row r="594" spans="26:36" ht="15" customHeight="1">
      <c r="Z594" s="76" t="e">
        <f t="shared" ca="1" si="72"/>
        <v>#N/A</v>
      </c>
      <c r="AA594" s="75" t="e">
        <f t="shared" ca="1" si="73"/>
        <v>#N/A</v>
      </c>
      <c r="AB594" s="76">
        <f t="shared" ca="1" si="74"/>
        <v>0</v>
      </c>
      <c r="AC594" s="75">
        <f t="shared" ca="1" si="75"/>
        <v>0</v>
      </c>
      <c r="AD594" s="76">
        <f t="shared" ca="1" si="76"/>
        <v>12388.425643402781</v>
      </c>
      <c r="AE594" s="76">
        <f t="shared" si="77"/>
        <v>0</v>
      </c>
      <c r="AF594" s="75">
        <f t="shared" si="78"/>
        <v>0</v>
      </c>
      <c r="AG594" s="76">
        <f t="shared" si="71"/>
        <v>0</v>
      </c>
      <c r="AH594" s="31" t="e" cm="1">
        <f t="array" aca="1" ref="AH594" ca="1">IF((AD594) &lt; (INDEX(ResponseSLA[#All],(MATCH((G594),ResponseSLA[Priority],0))+1,3)),"YES","No")</f>
        <v>#N/A</v>
      </c>
      <c r="AI594" s="31" t="str">
        <f>_xlfn.IFNA(IF(AE594 &lt; (INDEX(SLATable[Minimum SLA],MATCH(G594,SLATable[Priority],0))),"YES","NO"),"")</f>
        <v/>
      </c>
      <c r="AJ594" t="str">
        <f>_xlfn.IFNA(IF(AE594 &lt; (INDEX(SLATable[Maximum SLA],MATCH(G594,SLATable[Priority],0))),"YES","NO"),"")</f>
        <v/>
      </c>
    </row>
    <row r="595" spans="26:36" ht="15" customHeight="1">
      <c r="Z595" s="76" t="e">
        <f t="shared" ca="1" si="72"/>
        <v>#N/A</v>
      </c>
      <c r="AA595" s="75" t="e">
        <f t="shared" ca="1" si="73"/>
        <v>#N/A</v>
      </c>
      <c r="AB595" s="76">
        <f t="shared" ca="1" si="74"/>
        <v>0</v>
      </c>
      <c r="AC595" s="75">
        <f t="shared" ca="1" si="75"/>
        <v>0</v>
      </c>
      <c r="AD595" s="76">
        <f t="shared" ca="1" si="76"/>
        <v>12388.425643634258</v>
      </c>
      <c r="AE595" s="76">
        <f t="shared" si="77"/>
        <v>0</v>
      </c>
      <c r="AF595" s="75">
        <f t="shared" si="78"/>
        <v>0</v>
      </c>
      <c r="AG595" s="76">
        <f t="shared" si="71"/>
        <v>0</v>
      </c>
      <c r="AH595" s="31" t="e" cm="1">
        <f t="array" aca="1" ref="AH595" ca="1">IF((AD595) &lt; (INDEX(ResponseSLA[#All],(MATCH((G595),ResponseSLA[Priority],0))+1,3)),"YES","No")</f>
        <v>#N/A</v>
      </c>
      <c r="AI595" s="31" t="str">
        <f>_xlfn.IFNA(IF(AE595 &lt; (INDEX(SLATable[Minimum SLA],MATCH(G595,SLATable[Priority],0))),"YES","NO"),"")</f>
        <v/>
      </c>
      <c r="AJ595" t="str">
        <f>_xlfn.IFNA(IF(AE595 &lt; (INDEX(SLATable[Maximum SLA],MATCH(G595,SLATable[Priority],0))),"YES","NO"),"")</f>
        <v/>
      </c>
    </row>
    <row r="596" spans="26:36" ht="15" customHeight="1">
      <c r="Z596" s="76" t="e">
        <f t="shared" ca="1" si="72"/>
        <v>#N/A</v>
      </c>
      <c r="AA596" s="75" t="e">
        <f t="shared" ca="1" si="73"/>
        <v>#N/A</v>
      </c>
      <c r="AB596" s="76">
        <f t="shared" ca="1" si="74"/>
        <v>0</v>
      </c>
      <c r="AC596" s="75">
        <f t="shared" ca="1" si="75"/>
        <v>0</v>
      </c>
      <c r="AD596" s="76">
        <f t="shared" ca="1" si="76"/>
        <v>12388.425643634258</v>
      </c>
      <c r="AE596" s="76">
        <f t="shared" si="77"/>
        <v>0</v>
      </c>
      <c r="AF596" s="75">
        <f t="shared" si="78"/>
        <v>0</v>
      </c>
      <c r="AG596" s="76">
        <f t="shared" si="71"/>
        <v>0</v>
      </c>
      <c r="AH596" s="31" t="e" cm="1">
        <f t="array" aca="1" ref="AH596" ca="1">IF((AD596) &lt; (INDEX(ResponseSLA[#All],(MATCH((G596),ResponseSLA[Priority],0))+1,3)),"YES","No")</f>
        <v>#N/A</v>
      </c>
      <c r="AI596" s="31" t="str">
        <f>_xlfn.IFNA(IF(AE596 &lt; (INDEX(SLATable[Minimum SLA],MATCH(G596,SLATable[Priority],0))),"YES","NO"),"")</f>
        <v/>
      </c>
      <c r="AJ596" t="str">
        <f>_xlfn.IFNA(IF(AE596 &lt; (INDEX(SLATable[Maximum SLA],MATCH(G596,SLATable[Priority],0))),"YES","NO"),"")</f>
        <v/>
      </c>
    </row>
    <row r="597" spans="26:36" ht="15" customHeight="1">
      <c r="Z597" s="76" t="e">
        <f t="shared" ca="1" si="72"/>
        <v>#N/A</v>
      </c>
      <c r="AA597" s="75" t="e">
        <f t="shared" ca="1" si="73"/>
        <v>#N/A</v>
      </c>
      <c r="AB597" s="76">
        <f t="shared" ca="1" si="74"/>
        <v>0</v>
      </c>
      <c r="AC597" s="75">
        <f t="shared" ca="1" si="75"/>
        <v>0</v>
      </c>
      <c r="AD597" s="76">
        <f t="shared" ca="1" si="76"/>
        <v>12388.425643402781</v>
      </c>
      <c r="AE597" s="76">
        <f t="shared" si="77"/>
        <v>0</v>
      </c>
      <c r="AF597" s="75">
        <f t="shared" si="78"/>
        <v>0</v>
      </c>
      <c r="AG597" s="76">
        <f t="shared" si="71"/>
        <v>0</v>
      </c>
      <c r="AH597" s="31" t="e" cm="1">
        <f t="array" aca="1" ref="AH597" ca="1">IF((AD597) &lt; (INDEX(ResponseSLA[#All],(MATCH((G597),ResponseSLA[Priority],0))+1,3)),"YES","No")</f>
        <v>#N/A</v>
      </c>
      <c r="AI597" s="31" t="str">
        <f>_xlfn.IFNA(IF(AE597 &lt; (INDEX(SLATable[Minimum SLA],MATCH(G597,SLATable[Priority],0))),"YES","NO"),"")</f>
        <v/>
      </c>
      <c r="AJ597" t="str">
        <f>_xlfn.IFNA(IF(AE597 &lt; (INDEX(SLATable[Maximum SLA],MATCH(G597,SLATable[Priority],0))),"YES","NO"),"")</f>
        <v/>
      </c>
    </row>
    <row r="598" spans="26:36" ht="15" customHeight="1">
      <c r="Z598" s="76" t="e">
        <f t="shared" ca="1" si="72"/>
        <v>#N/A</v>
      </c>
      <c r="AA598" s="75" t="e">
        <f t="shared" ca="1" si="73"/>
        <v>#N/A</v>
      </c>
      <c r="AB598" s="76">
        <f t="shared" ca="1" si="74"/>
        <v>0</v>
      </c>
      <c r="AC598" s="75">
        <f t="shared" ca="1" si="75"/>
        <v>0</v>
      </c>
      <c r="AD598" s="76">
        <f t="shared" ca="1" si="76"/>
        <v>12388.425643634258</v>
      </c>
      <c r="AE598" s="76">
        <f t="shared" si="77"/>
        <v>0</v>
      </c>
      <c r="AF598" s="75">
        <f t="shared" si="78"/>
        <v>0</v>
      </c>
      <c r="AG598" s="76">
        <f t="shared" si="71"/>
        <v>0</v>
      </c>
      <c r="AH598" s="31" t="e" cm="1">
        <f t="array" aca="1" ref="AH598" ca="1">IF((AD598) &lt; (INDEX(ResponseSLA[#All],(MATCH((G598),ResponseSLA[Priority],0))+1,3)),"YES","No")</f>
        <v>#N/A</v>
      </c>
      <c r="AI598" s="31" t="str">
        <f>_xlfn.IFNA(IF(AE598 &lt; (INDEX(SLATable[Minimum SLA],MATCH(G598,SLATable[Priority],0))),"YES","NO"),"")</f>
        <v/>
      </c>
      <c r="AJ598" t="str">
        <f>_xlfn.IFNA(IF(AE598 &lt; (INDEX(SLATable[Maximum SLA],MATCH(G598,SLATable[Priority],0))),"YES","NO"),"")</f>
        <v/>
      </c>
    </row>
    <row r="599" spans="26:36" ht="15" customHeight="1">
      <c r="Z599" s="76" t="e">
        <f t="shared" ca="1" si="72"/>
        <v>#N/A</v>
      </c>
      <c r="AA599" s="75" t="e">
        <f t="shared" ca="1" si="73"/>
        <v>#N/A</v>
      </c>
      <c r="AB599" s="76">
        <f t="shared" ca="1" si="74"/>
        <v>0</v>
      </c>
      <c r="AC599" s="75">
        <f t="shared" ca="1" si="75"/>
        <v>0</v>
      </c>
      <c r="AD599" s="76">
        <f t="shared" ca="1" si="76"/>
        <v>12388.425643634258</v>
      </c>
      <c r="AE599" s="76">
        <f t="shared" si="77"/>
        <v>0</v>
      </c>
      <c r="AF599" s="75">
        <f t="shared" si="78"/>
        <v>0</v>
      </c>
      <c r="AG599" s="76">
        <f t="shared" si="71"/>
        <v>0</v>
      </c>
      <c r="AH599" s="31" t="e" cm="1">
        <f t="array" aca="1" ref="AH599" ca="1">IF((AD599) &lt; (INDEX(ResponseSLA[#All],(MATCH((G599),ResponseSLA[Priority],0))+1,3)),"YES","No")</f>
        <v>#N/A</v>
      </c>
      <c r="AI599" s="31" t="str">
        <f>_xlfn.IFNA(IF(AE599 &lt; (INDEX(SLATable[Minimum SLA],MATCH(G599,SLATable[Priority],0))),"YES","NO"),"")</f>
        <v/>
      </c>
      <c r="AJ599" t="str">
        <f>_xlfn.IFNA(IF(AE599 &lt; (INDEX(SLATable[Maximum SLA],MATCH(G599,SLATable[Priority],0))),"YES","NO"),"")</f>
        <v/>
      </c>
    </row>
    <row r="600" spans="26:36" ht="15" customHeight="1">
      <c r="Z600" s="76" t="e">
        <f t="shared" ca="1" si="72"/>
        <v>#N/A</v>
      </c>
      <c r="AA600" s="75" t="e">
        <f t="shared" ca="1" si="73"/>
        <v>#N/A</v>
      </c>
      <c r="AB600" s="76">
        <f t="shared" ca="1" si="74"/>
        <v>0</v>
      </c>
      <c r="AC600" s="75">
        <f t="shared" ca="1" si="75"/>
        <v>0</v>
      </c>
      <c r="AD600" s="76">
        <f t="shared" ca="1" si="76"/>
        <v>12388.425643402781</v>
      </c>
      <c r="AE600" s="76">
        <f t="shared" si="77"/>
        <v>0</v>
      </c>
      <c r="AF600" s="75">
        <f t="shared" si="78"/>
        <v>0</v>
      </c>
      <c r="AG600" s="76">
        <f t="shared" si="71"/>
        <v>0</v>
      </c>
      <c r="AH600" s="31" t="e" cm="1">
        <f t="array" aca="1" ref="AH600" ca="1">IF((AD600) &lt; (INDEX(ResponseSLA[#All],(MATCH((G600),ResponseSLA[Priority],0))+1,3)),"YES","No")</f>
        <v>#N/A</v>
      </c>
      <c r="AI600" s="31" t="str">
        <f>_xlfn.IFNA(IF(AE600 &lt; (INDEX(SLATable[Minimum SLA],MATCH(G600,SLATable[Priority],0))),"YES","NO"),"")</f>
        <v/>
      </c>
      <c r="AJ600" t="str">
        <f>_xlfn.IFNA(IF(AE600 &lt; (INDEX(SLATable[Maximum SLA],MATCH(G600,SLATable[Priority],0))),"YES","NO"),"")</f>
        <v/>
      </c>
    </row>
  </sheetData>
  <sheetProtection sheet="1" objects="1" scenarios="1" autoFilter="0"/>
  <protectedRanges>
    <protectedRange algorithmName="SHA-512" hashValue="99OQ+VOyYeTgkyp5V2h7IJuhOY+ByGUUH4Kc0xKuZgn2w66Z/zb6NCagB6+bjIBmhadenmL7/H2PSKzd599e6Q==" saltValue="s8mGfn7WVHJZXEYeB6j8Yw==" spinCount="100000" sqref="U1 AB1:AJ1" name="Formula Cells"/>
  </protectedRanges>
  <autoFilter ref="A1:AJ600" xr:uid="{E26E76A5-DA68-4626-BDD0-C7A0176AC995}"/>
  <conditionalFormatting sqref="E1">
    <cfRule type="duplicateValues" dxfId="22" priority="2"/>
  </conditionalFormatting>
  <conditionalFormatting sqref="E1:E1048576">
    <cfRule type="duplicateValues" dxfId="21" priority="1"/>
  </conditionalFormatting>
  <dataValidations count="13">
    <dataValidation type="list" allowBlank="1" showInputMessage="1" showErrorMessage="1" sqref="I1:I1048576" xr:uid="{10CDE93E-7D81-4A50-B2A0-0E0FD0F8FC47}">
      <formula1>Status_List</formula1>
    </dataValidation>
    <dataValidation type="list" allowBlank="1" showInputMessage="1" showErrorMessage="1" sqref="B1:B1048576" xr:uid="{251054E0-66F7-4B86-85F7-33E6F76DD30E}">
      <formula1>OpCo_List</formula1>
    </dataValidation>
    <dataValidation type="list" showInputMessage="1" showErrorMessage="1" errorTitle="Invalid Domain" error="Please select value only from dropdown" sqref="C1:C1048576" xr:uid="{CD326900-4DF7-46CD-B744-4A5E6A13EE43}">
      <formula1>Domain_List</formula1>
    </dataValidation>
    <dataValidation type="list" allowBlank="1" showInputMessage="1" showErrorMessage="1" sqref="D1:D1048576" xr:uid="{A89488BD-D355-4BFB-90B9-307A2A9A91D5}">
      <formula1>Type_List</formula1>
    </dataValidation>
    <dataValidation type="list" allowBlank="1" showInputMessage="1" showErrorMessage="1" sqref="F1:F1048576" xr:uid="{D7D52B2D-9C2E-4355-9ED7-30432349F167}">
      <formula1>Queue_List</formula1>
    </dataValidation>
    <dataValidation type="list" allowBlank="1" showInputMessage="1" showErrorMessage="1" sqref="R1:R1048576" xr:uid="{ACF1DE84-A5BB-4EC6-9B0F-3BBE198345A8}">
      <formula1>Resolution_List</formula1>
    </dataValidation>
    <dataValidation type="list" allowBlank="1" showInputMessage="1" showErrorMessage="1" sqref="U1:U1048576" xr:uid="{E124C334-79E5-4208-B31D-FFABB15869B6}">
      <formula1>"Yes,No"</formula1>
    </dataValidation>
    <dataValidation allowBlank="1" showInputMessage="1" showErrorMessage="1" errorTitle="Assigned to" error="dont type idiot" sqref="J1" xr:uid="{462C1ACA-C3B0-4C5C-A067-67EFE9BF7F39}"/>
    <dataValidation type="list" allowBlank="1" showInputMessage="1" showErrorMessage="1" sqref="S2:S1048576" xr:uid="{A1AC8621-CD05-4CDA-9D3F-545A19B8415C}">
      <formula1>IF(D2="","",INDIRECT(D2))</formula1>
    </dataValidation>
    <dataValidation allowBlank="1" showInputMessage="1" showErrorMessage="1" sqref="S1" xr:uid="{8FADD471-856F-45A4-9B53-C6C31530187F}"/>
    <dataValidation type="date" allowBlank="1" showInputMessage="1" showErrorMessage="1" sqref="K1:P1 W32 P31 K19:N31 L32:N32 N35:P35 N46:P46 N33:N34 N43:P43 N56:P56 N47 N48:P51 N44:N45 N36:N42 K33:M494 N52:N55 N57:N494" xr:uid="{70822203-8A77-43C4-B585-570D03CA4FBB}">
      <formula1>36526</formula1>
      <formula2>73050</formula2>
    </dataValidation>
    <dataValidation type="list" allowBlank="1" showInputMessage="1" showErrorMessage="1" sqref="U1 T1:T1048576" xr:uid="{0F2864D5-62FA-4FAE-98AE-CD29249BA809}">
      <formula1>SubCategory</formula1>
    </dataValidation>
    <dataValidation type="list" showInputMessage="1" showErrorMessage="1" errorTitle="Invalid Entry" error="Please select a value in TYPE before entering Priority" sqref="G1:G1048576" xr:uid="{98AEB165-DEA0-49F8-B4F6-5D98A9DC7DA5}">
      <formula1>IF(D1="","",INDIRECT(D1&amp;"_PR"))</formula1>
    </dataValidation>
  </dataValidations>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3A4DE-ED59-4E2A-891C-2DA1C5EDB754}">
  <sheetPr codeName="Sheet11"/>
  <dimension ref="A1:AJ1085"/>
  <sheetViews>
    <sheetView topLeftCell="B1" zoomScaleNormal="100" workbookViewId="0">
      <pane ySplit="1" topLeftCell="A1073" activePane="bottomLeft" state="frozen"/>
      <selection pane="bottomLeft" activeCell="A1086" sqref="A1086"/>
    </sheetView>
  </sheetViews>
  <sheetFormatPr defaultColWidth="9.140625" defaultRowHeight="15" customHeight="1"/>
  <cols>
    <col min="1" max="1" width="6.42578125" style="45" customWidth="1"/>
    <col min="2" max="2" width="7.85546875" style="45" customWidth="1"/>
    <col min="3" max="3" width="9.42578125" style="45" customWidth="1"/>
    <col min="4" max="4" width="8.28515625" style="45" customWidth="1"/>
    <col min="5" max="5" width="11.140625" style="45" customWidth="1"/>
    <col min="6" max="6" width="13.7109375" style="45" customWidth="1"/>
    <col min="7" max="7" width="9" style="45" customWidth="1"/>
    <col min="8" max="8" width="16.85546875" style="45" customWidth="1"/>
    <col min="9" max="9" width="8.140625" style="45" customWidth="1"/>
    <col min="10" max="10" width="12.42578125" style="45" customWidth="1"/>
    <col min="11" max="11" width="20.140625" style="47" customWidth="1"/>
    <col min="12" max="12" width="16.42578125" style="47" customWidth="1"/>
    <col min="13" max="13" width="24.7109375" style="47" customWidth="1"/>
    <col min="14" max="14" width="23.42578125" style="47" customWidth="1"/>
    <col min="15" max="15" width="21.42578125" style="47" customWidth="1"/>
    <col min="16" max="16" width="18.42578125" style="47" customWidth="1"/>
    <col min="17" max="17" width="20.42578125" style="45" customWidth="1"/>
    <col min="18" max="18" width="16.140625" style="45" customWidth="1"/>
    <col min="19" max="19" width="19.42578125" style="45" customWidth="1"/>
    <col min="20" max="20" width="13.85546875" style="45" customWidth="1"/>
    <col min="21" max="21" width="18" style="45" customWidth="1"/>
    <col min="22" max="22" width="17.85546875" style="45" customWidth="1"/>
    <col min="23" max="23" width="15.42578125" style="45" customWidth="1"/>
    <col min="24" max="24" width="25" style="45" customWidth="1"/>
    <col min="25" max="25" width="10.42578125" style="45" customWidth="1"/>
    <col min="26" max="26" width="19.28515625" customWidth="1"/>
    <col min="27" max="27" width="16.42578125" customWidth="1"/>
    <col min="28" max="28" width="21.85546875" customWidth="1"/>
    <col min="29" max="29" width="19.85546875" customWidth="1"/>
    <col min="30" max="30" width="13.42578125" style="25" customWidth="1"/>
    <col min="31" max="31" width="14" customWidth="1"/>
    <col min="32" max="32" width="18.85546875" customWidth="1"/>
    <col min="33" max="33" width="21" customWidth="1"/>
    <col min="34" max="34" width="17.85546875" bestFit="1" customWidth="1"/>
    <col min="35" max="35" width="28.28515625" bestFit="1" customWidth="1"/>
    <col min="36" max="36" width="28.7109375" bestFit="1" customWidth="1"/>
    <col min="37" max="16384" width="9.140625" style="45"/>
  </cols>
  <sheetData>
    <row r="1" spans="1:36" s="44" customFormat="1" ht="15" customHeight="1">
      <c r="A1" s="43" t="s">
        <v>347</v>
      </c>
      <c r="B1" s="43" t="s">
        <v>2</v>
      </c>
      <c r="C1" s="43" t="s">
        <v>3</v>
      </c>
      <c r="D1" s="43" t="s">
        <v>253</v>
      </c>
      <c r="E1" s="43" t="s">
        <v>348</v>
      </c>
      <c r="F1" s="43" t="s">
        <v>1</v>
      </c>
      <c r="G1" s="43" t="s">
        <v>324</v>
      </c>
      <c r="H1" s="43" t="s">
        <v>349</v>
      </c>
      <c r="I1" s="43" t="s">
        <v>254</v>
      </c>
      <c r="J1" s="43" t="s">
        <v>350</v>
      </c>
      <c r="K1" s="43" t="s">
        <v>351</v>
      </c>
      <c r="L1" s="43" t="s">
        <v>352</v>
      </c>
      <c r="M1" s="43" t="s">
        <v>353</v>
      </c>
      <c r="N1" s="43" t="s">
        <v>354</v>
      </c>
      <c r="O1" s="43" t="s">
        <v>355</v>
      </c>
      <c r="P1" s="43" t="s">
        <v>356</v>
      </c>
      <c r="Q1" s="43" t="s">
        <v>357</v>
      </c>
      <c r="R1" s="43" t="s">
        <v>358</v>
      </c>
      <c r="S1" s="43" t="s">
        <v>359</v>
      </c>
      <c r="T1" s="43" t="s">
        <v>258</v>
      </c>
      <c r="U1" s="43" t="s">
        <v>360</v>
      </c>
      <c r="V1" s="43" t="s">
        <v>361</v>
      </c>
      <c r="W1" s="43" t="s">
        <v>362</v>
      </c>
      <c r="X1" s="43" t="s">
        <v>363</v>
      </c>
      <c r="Y1" s="43" t="s">
        <v>364</v>
      </c>
      <c r="Z1" s="32" t="s">
        <v>82</v>
      </c>
      <c r="AA1" s="32" t="s">
        <v>90</v>
      </c>
      <c r="AB1" s="32" t="s">
        <v>84</v>
      </c>
      <c r="AC1" s="32" t="s">
        <v>92</v>
      </c>
      <c r="AD1" s="57" t="s">
        <v>86</v>
      </c>
      <c r="AE1" s="32" t="s">
        <v>88</v>
      </c>
      <c r="AF1" s="32" t="s">
        <v>365</v>
      </c>
      <c r="AG1" s="32" t="s">
        <v>366</v>
      </c>
      <c r="AH1" s="32" t="s">
        <v>94</v>
      </c>
      <c r="AI1" s="32" t="s">
        <v>96</v>
      </c>
      <c r="AJ1" s="33" t="s">
        <v>98</v>
      </c>
    </row>
    <row r="2" spans="1:36" ht="15" customHeight="1">
      <c r="A2" s="45">
        <v>1</v>
      </c>
      <c r="B2" s="45" t="s">
        <v>26</v>
      </c>
      <c r="C2" s="45" t="s">
        <v>44</v>
      </c>
      <c r="D2" s="45" t="s">
        <v>207</v>
      </c>
      <c r="E2" s="45" t="s">
        <v>5528</v>
      </c>
      <c r="F2" s="45" t="s">
        <v>312</v>
      </c>
      <c r="G2" s="45">
        <v>4</v>
      </c>
      <c r="H2" s="46" t="s">
        <v>5529</v>
      </c>
      <c r="I2" s="45" t="s">
        <v>275</v>
      </c>
      <c r="J2" s="45" t="s">
        <v>5530</v>
      </c>
      <c r="K2" s="47">
        <v>46134.618750000001</v>
      </c>
      <c r="L2" s="47">
        <v>46143.387499999997</v>
      </c>
      <c r="M2" s="47">
        <v>46146.28125</v>
      </c>
      <c r="N2" s="47">
        <v>46146.290277777778</v>
      </c>
      <c r="Q2" s="45" t="s">
        <v>44</v>
      </c>
      <c r="R2" s="45" t="s">
        <v>272</v>
      </c>
      <c r="S2" s="45" t="s">
        <v>175</v>
      </c>
      <c r="T2" s="45" t="s">
        <v>268</v>
      </c>
      <c r="U2" s="45" t="s">
        <v>371</v>
      </c>
      <c r="X2" s="45" t="s">
        <v>5531</v>
      </c>
      <c r="Z2" s="76">
        <f t="shared" ref="Z2" ca="1" si="0">IF(NOT(OR(G2=1,G2=2)),MAX(0,_xlfn.IFS(AND(K2&lt;&gt;"",N2&lt;&gt;""),((MAX(NETWORKDAYS(K2,N2,UKBankHolidays)-1,0))*(TIME(17,0,0)-TIME(8,0,0))+IF(NETWORKDAYS(N2,N2,UKBankHolidays)&gt;0,MEDIAN(TIME(8,0,0),MOD(N2,1),TIME(17,0,0)),TIME(8,0,0))-IF(NETWORKDAYS(K2,K2,UKBankHolidays)&gt;0,MEDIAN(TIME(8,0,0),MOD(K2,1),TIME(17,0,0)),TIME(8,0,0)))-IF(AND(O2&lt;&gt;"",P2&lt;&gt;""),((MAX(NETWORKDAYS(O2,P2,UKBankHolidays)-1,0))*(TIME(17,0,0)-TIME(8,0,0))+IF(NETWORKDAYS(P2,P2,UKBankHolidays)&gt;0,MEDIAN(TIME(8,0,0),MOD(P2,1),TIME(17,0,0)),TIME(8,0,0))-IF(NETWORKDAYS(O2,O2,UKBankHolidays)&gt;0,MEDIAN(TIME(8,0,0),MOD(O2,1),TIME(17,0,0)),TIME(8,0,0))),0),AND(K2&lt;&gt;"",N2=""),((MAX(NETWORKDAYS(K2,NOW(),UKBankHolidays)-1,0))*(TIME(17,0,0)-TIME(8,0,0))+IF(NETWORKDAYS(NOW(),NOW(),UKBankHolidays)&gt;0,MEDIAN(TIME(8,0,0),MOD(NOW(),1),TIME(17,0,0)),TIME(8,0,0))-IF(NETWORKDAYS(K2,K2,UKBankHolidays)&gt;0,MEDIAN(TIME(8,0,0),MOD(K2,1),TIME(17,0,0)),TIME(8,0,0))))),IF(N2="",NOW()-K2,N2-K2))</f>
        <v>1.9645833333318787</v>
      </c>
      <c r="AA2" s="75">
        <f t="shared" ref="AA2" ca="1" si="1">(Z2*24)/9</f>
        <v>5.2388888888850103</v>
      </c>
      <c r="AB2" s="76">
        <f t="shared" ref="AB2" ca="1" si="2">IF(NOT(OR(G2=1,G2=2)),MAX(0,_xlfn.IFS(AND(K2&lt;&gt;"",N2&lt;&gt;""),(((MAX(NETWORKDAYS(L2,N2,UKBankHolidays)-1,0))*(TIME(17,0,0)-TIME(8,0,0)))+IF(NETWORKDAYS(N2,N2,UKBankHolidays)&gt;0,MEDIAN(TIME(8,0,0),MOD(N2,1),TIME(17,0,0)),TIME(8,0,0))-IF(NETWORKDAYS(L2,L2,UKBankHolidays)&gt;0,MEDIAN(TIME(8,0,0),MOD(L2,1),TIME(17,0,0)),TIME(8,0,0)))-IF(AND(O2&lt;&gt;"",P2&lt;&gt;""),(((MAX(NETWORKDAYS(O2,P2,UKBankHolidays)-1,0))*(TIME(17,0,0)-TIME(8,0,0)))+IF(NETWORKDAYS(P2,P2,UKBankHolidays)&gt;0,MEDIAN(TIME(8,0,0),MOD(P2,1),TIME(17,0,0)),TIME(8,0,0))-IF(NETWORKDAYS(O2,O2,UKBankHolidays)&gt;0,MEDIAN(TIME(8,0,0),MOD(O2,1),TIME(17,0,0)),TIME(8,0,0))),0),AND(L2&lt;&gt;"",N2="",O2=""),(((MAX(NETWORKDAYS(L2,NOW(),UKBankHolidays)-1,0))*(TIME(17,0,0)-TIME(8,0,0)))+IF(NETWORKDAYS(NOW(),NOW(),UKBankHolidays)&gt;0,MEDIAN(TIME(8,0,0),MOD(NOW(),1),TIME(17,0,0)),TIME(8,0,0))-IF(NETWORKDAYS(L2,L2,UKBankHolidays)&gt;0,MEDIAN(TIME(8,0,0),MOD(L2,1),TIME(17,0,0)),TIME(8,0,0)))-IF(AND(O2&lt;&gt;"",P2&lt;&gt;""),(((MAX(NETWORKDAYS(O2,P2,UKBankHolidays)-1,0))*(TIME(17,0,0)-TIME(8,0,0)))+IF(NETWORKDAYS(P2,P2,UKBankHolidays)&gt;0,MEDIAN(TIME(8,0,0),MOD(P2,1),TIME(17,0,0)),TIME(8,0,0))-IF(NETWORKDAYS(O2,O2,UKBankHolidays)&gt;0,MEDIAN(TIME(8,0,0),MOD(O2,1),TIME(17,0,0)),TIME(8,0,0))),0),AND(L2&lt;&gt;"",N2="",P2="",O2&lt;&gt;""),(((MAX(NETWORKDAYS(L2,O2,UKBankHolidays)-1,0))*(TIME(17,0,0)-TIME(8,0,0)))+IF(NETWORKDAYS(O2,O2,UKBankHolidays)&gt;0,MEDIAN(TIME(8,0,0),MOD(O2,1),TIME(17,0,0)),TIME(8,0,0))-IF(NETWORKDAYS(L2,L2,UKBankHolidays)&gt;0,MEDIAN(TIME(8,0,0),MOD(L2,1),TIME(17,0,0)),TIME(8,0,0))),ISBLANK(K2),"0")),IF(ISBLANK(N2),NOW()-L2,N2-L2))</f>
        <v>0</v>
      </c>
      <c r="AC2" s="75">
        <f t="shared" ref="AC2" ca="1" si="3">(AB2*24)/9</f>
        <v>0</v>
      </c>
      <c r="AD2" s="76">
        <f t="shared" ref="AD2" ca="1" si="4">MAX(0,IF(NOT(OR(G2=1,G2=2)),IF(M2&lt;&gt;"",((MAX(NETWORKDAYS(L2,M2,UKBankHolidays)-1,0))*(TIME(17,0,0)-TIME(8,0,0))+IF(NETWORKDAYS(M2,M2,UKBankHolidays)&gt;0,MEDIAN(TIME(8,0,0),MOD(M2,1),TIME(17,0,0)),TIME(8,0,0))-MEDIAN(TIME(8,0,0),MOD(L2,1),TIME(17,0,0))),((MAX(NETWORKDAYS(L2,NOW(),UKBankHolidays)-1,0))*(TIME(17,0,0)-TIME(8,0,0))+IF(NETWORKDAYS(NOW(),NOW(),UKBankHolidays)&gt;0,MEDIAN(TIME(8,0,0),MOD(NOW(),1),TIME(17,0,0)),TIME(8,0,0))-MEDIAN(TIME(8,0,0),MOD(L2,1),TIME(17,0,0)))),IF(M2&lt;&gt;"",M2-L2,NOW()-L2)))</f>
        <v>0</v>
      </c>
      <c r="AE2" s="76">
        <f t="shared" ref="AE2" ca="1" si="5">SUMIFS(AB:AB,E:E,E2)</f>
        <v>0</v>
      </c>
      <c r="AF2" s="75">
        <f t="shared" ref="AF2" ca="1" si="6">(AE2*24)/9</f>
        <v>0</v>
      </c>
      <c r="AG2" s="75">
        <f t="shared" ref="AG2" ca="1" si="7">AF2</f>
        <v>0</v>
      </c>
      <c r="AH2" s="31" t="str" cm="1">
        <f t="array" aca="1" ref="AH2" ca="1">IF((AD2) &lt; (INDEX(ResponseSLA[#All],(MATCH((G2),ResponseSLA[Priority],0))+1,3)),"YES","No")</f>
        <v>YES</v>
      </c>
      <c r="AI2" s="31" t="str">
        <f ca="1">_xlfn.IFNA(IF(AE2 &lt; (INDEX(SLATable[Minimum SLA],MATCH(G2,SLATable[Priority],0))),"YES","NO"),"")</f>
        <v>YES</v>
      </c>
      <c r="AJ2" t="str">
        <f ca="1">_xlfn.IFNA(IF(AE2 &lt; (INDEX(SLATable[Maximum SLA],MATCH(G2,SLATable[Priority],0))),"YES","NO"),"")</f>
        <v>YES</v>
      </c>
    </row>
    <row r="3" spans="1:36" ht="15" customHeight="1">
      <c r="A3" s="45">
        <v>2</v>
      </c>
      <c r="B3" s="45" t="s">
        <v>26</v>
      </c>
      <c r="C3" s="45" t="s">
        <v>44</v>
      </c>
      <c r="D3" s="45" t="s">
        <v>207</v>
      </c>
      <c r="E3" s="45" t="s">
        <v>5532</v>
      </c>
      <c r="F3" s="45" t="s">
        <v>312</v>
      </c>
      <c r="G3" s="45">
        <v>4</v>
      </c>
      <c r="H3" s="45" t="s">
        <v>5533</v>
      </c>
      <c r="I3" s="45" t="s">
        <v>275</v>
      </c>
      <c r="J3" s="45" t="s">
        <v>5530</v>
      </c>
      <c r="K3" s="47">
        <v>46142.581944444442</v>
      </c>
      <c r="L3" s="47">
        <v>46142.677777777775</v>
      </c>
      <c r="M3" s="47">
        <v>46146.275694444441</v>
      </c>
      <c r="N3" s="47">
        <v>46146.292361111111</v>
      </c>
      <c r="Q3" s="45" t="s">
        <v>5534</v>
      </c>
      <c r="R3" s="45" t="s">
        <v>261</v>
      </c>
      <c r="S3" s="45" t="s">
        <v>175</v>
      </c>
      <c r="T3" s="45" t="s">
        <v>268</v>
      </c>
      <c r="U3" s="45" t="s">
        <v>371</v>
      </c>
      <c r="X3" s="45" t="s">
        <v>5531</v>
      </c>
      <c r="Y3" s="45" t="s">
        <v>5535</v>
      </c>
      <c r="Z3" s="76">
        <f t="shared" ref="Z3:Z66" ca="1" si="8">IF(NOT(OR(G3=1,G3=2)),MAX(0,_xlfn.IFS(AND(K3&lt;&gt;"",N3&lt;&gt;""),((MAX(NETWORKDAYS(K3,N3,UKBankHolidays)-1,0))*(TIME(17,0,0)-TIME(8,0,0))+IF(NETWORKDAYS(N3,N3,UKBankHolidays)&gt;0,MEDIAN(TIME(8,0,0),MOD(N3,1),TIME(17,0,0)),TIME(8,0,0))-IF(NETWORKDAYS(K3,K3,UKBankHolidays)&gt;0,MEDIAN(TIME(8,0,0),MOD(K3,1),TIME(17,0,0)),TIME(8,0,0)))-IF(AND(O3&lt;&gt;"",P3&lt;&gt;""),((MAX(NETWORKDAYS(O3,P3,UKBankHolidays)-1,0))*(TIME(17,0,0)-TIME(8,0,0))+IF(NETWORKDAYS(P3,P3,UKBankHolidays)&gt;0,MEDIAN(TIME(8,0,0),MOD(P3,1),TIME(17,0,0)),TIME(8,0,0))-IF(NETWORKDAYS(O3,O3,UKBankHolidays)&gt;0,MEDIAN(TIME(8,0,0),MOD(O3,1),TIME(17,0,0)),TIME(8,0,0))),0),AND(K3&lt;&gt;"",N3=""),((MAX(NETWORKDAYS(K3,NOW(),UKBankHolidays)-1,0))*(TIME(17,0,0)-TIME(8,0,0))+IF(NETWORKDAYS(NOW(),NOW(),UKBankHolidays)&gt;0,MEDIAN(TIME(8,0,0),MOD(NOW(),1),TIME(17,0,0)),TIME(8,0,0))-IF(NETWORKDAYS(K3,K3,UKBankHolidays)&gt;0,MEDIAN(TIME(8,0,0),MOD(K3,1),TIME(17,0,0)),TIME(8,0,0))))),IF(N3="",NOW()-K3,N3-K3))</f>
        <v>0</v>
      </c>
      <c r="AA3" s="75">
        <f t="shared" ref="AA3:AA66" ca="1" si="9">(Z3*24)/9</f>
        <v>0</v>
      </c>
      <c r="AB3" s="76">
        <f t="shared" ref="AB3:AB66" ca="1" si="10">IF(NOT(OR(G3=1,G3=2)),MAX(0,_xlfn.IFS(AND(K3&lt;&gt;"",N3&lt;&gt;""),(((MAX(NETWORKDAYS(L3,N3,UKBankHolidays)-1,0))*(TIME(17,0,0)-TIME(8,0,0)))+IF(NETWORKDAYS(N3,N3,UKBankHolidays)&gt;0,MEDIAN(TIME(8,0,0),MOD(N3,1),TIME(17,0,0)),TIME(8,0,0))-IF(NETWORKDAYS(L3,L3,UKBankHolidays)&gt;0,MEDIAN(TIME(8,0,0),MOD(L3,1),TIME(17,0,0)),TIME(8,0,0)))-IF(AND(O3&lt;&gt;"",P3&lt;&gt;""),(((MAX(NETWORKDAYS(O3,P3,UKBankHolidays)-1,0))*(TIME(17,0,0)-TIME(8,0,0)))+IF(NETWORKDAYS(P3,P3,UKBankHolidays)&gt;0,MEDIAN(TIME(8,0,0),MOD(P3,1),TIME(17,0,0)),TIME(8,0,0))-IF(NETWORKDAYS(O3,O3,UKBankHolidays)&gt;0,MEDIAN(TIME(8,0,0),MOD(O3,1),TIME(17,0,0)),TIME(8,0,0))),0),AND(L3&lt;&gt;"",N3="",O3=""),(((MAX(NETWORKDAYS(L3,NOW(),UKBankHolidays)-1,0))*(TIME(17,0,0)-TIME(8,0,0)))+IF(NETWORKDAYS(NOW(),NOW(),UKBankHolidays)&gt;0,MEDIAN(TIME(8,0,0),MOD(NOW(),1),TIME(17,0,0)),TIME(8,0,0))-IF(NETWORKDAYS(L3,L3,UKBankHolidays)&gt;0,MEDIAN(TIME(8,0,0),MOD(L3,1),TIME(17,0,0)),TIME(8,0,0)))-IF(AND(O3&lt;&gt;"",P3&lt;&gt;""),(((MAX(NETWORKDAYS(O3,P3,UKBankHolidays)-1,0))*(TIME(17,0,0)-TIME(8,0,0)))+IF(NETWORKDAYS(P3,P3,UKBankHolidays)&gt;0,MEDIAN(TIME(8,0,0),MOD(P3,1),TIME(17,0,0)),TIME(8,0,0))-IF(NETWORKDAYS(O3,O3,UKBankHolidays)&gt;0,MEDIAN(TIME(8,0,0),MOD(O3,1),TIME(17,0,0)),TIME(8,0,0))),0),AND(L3&lt;&gt;"",N3="",P3="",O3&lt;&gt;""),(((MAX(NETWORKDAYS(L3,O3,UKBankHolidays)-1,0))*(TIME(17,0,0)-TIME(8,0,0)))+IF(NETWORKDAYS(O3,O3,UKBankHolidays)&gt;0,MEDIAN(TIME(8,0,0),MOD(O3,1),TIME(17,0,0)),TIME(8,0,0))-IF(NETWORKDAYS(L3,L3,UKBankHolidays)&gt;0,MEDIAN(TIME(8,0,0),MOD(L3,1),TIME(17,0,0)),TIME(8,0,0))),ISBLANK(K3),"0")),IF(ISBLANK(N3),NOW()-L3,N3-L3))</f>
        <v>0</v>
      </c>
      <c r="AC3" s="75">
        <f t="shared" ref="AC3:AC66" ca="1" si="11">(AB3*24)/9</f>
        <v>0</v>
      </c>
      <c r="AD3" s="76">
        <f t="shared" ref="AD3:AD66" ca="1" si="12">MAX(0,IF(NOT(OR(G3=1,G3=2)),IF(M3&lt;&gt;"",((MAX(NETWORKDAYS(L3,M3,UKBankHolidays)-1,0))*(TIME(17,0,0)-TIME(8,0,0))+IF(NETWORKDAYS(M3,M3,UKBankHolidays)&gt;0,MEDIAN(TIME(8,0,0),MOD(M3,1),TIME(17,0,0)),TIME(8,0,0))-MEDIAN(TIME(8,0,0),MOD(L3,1),TIME(17,0,0))),((MAX(NETWORKDAYS(L3,NOW(),UKBankHolidays)-1,0))*(TIME(17,0,0)-TIME(8,0,0))+IF(NETWORKDAYS(NOW(),NOW(),UKBankHolidays)&gt;0,MEDIAN(TIME(8,0,0),MOD(NOW(),1),TIME(17,0,0)),TIME(8,0,0))-MEDIAN(TIME(8,0,0),MOD(L3,1),TIME(17,0,0)))),IF(M3&lt;&gt;"",M3-L3,NOW()-L3)))</f>
        <v>0</v>
      </c>
      <c r="AE3" s="76">
        <f t="shared" ref="AE3:AE66" ca="1" si="13">SUMIFS(AB:AB,E:E,E3)</f>
        <v>0</v>
      </c>
      <c r="AF3" s="75">
        <f t="shared" ref="AF3:AF66" ca="1" si="14">(AE3*24)/9</f>
        <v>0</v>
      </c>
      <c r="AG3" s="75">
        <f t="shared" ref="AG3:AG66" ca="1" si="15">AF3</f>
        <v>0</v>
      </c>
      <c r="AH3" s="31" t="str" cm="1">
        <f t="array" aca="1" ref="AH3" ca="1">IF((AD3) &lt; (INDEX(ResponseSLA[#All],(MATCH((G3),ResponseSLA[Priority],0))+1,3)),"YES","No")</f>
        <v>YES</v>
      </c>
      <c r="AI3" s="31" t="str">
        <f ca="1">_xlfn.IFNA(IF(AE3 &lt; (INDEX(SLATable[Minimum SLA],MATCH(G3,SLATable[Priority],0))),"YES","NO"),"")</f>
        <v>YES</v>
      </c>
      <c r="AJ3" t="str">
        <f ca="1">_xlfn.IFNA(IF(AE3 &lt; (INDEX(SLATable[Maximum SLA],MATCH(G3,SLATable[Priority],0))),"YES","NO"),"")</f>
        <v>YES</v>
      </c>
    </row>
    <row r="4" spans="1:36" ht="15" customHeight="1">
      <c r="A4" s="45">
        <v>3</v>
      </c>
      <c r="B4" s="45" t="s">
        <v>26</v>
      </c>
      <c r="C4" s="45" t="s">
        <v>44</v>
      </c>
      <c r="D4" s="45" t="s">
        <v>207</v>
      </c>
      <c r="E4" s="45" t="s">
        <v>5536</v>
      </c>
      <c r="F4" s="45" t="s">
        <v>312</v>
      </c>
      <c r="G4" s="45">
        <v>3</v>
      </c>
      <c r="H4" s="45" t="s">
        <v>5537</v>
      </c>
      <c r="I4" s="45" t="s">
        <v>275</v>
      </c>
      <c r="J4" s="45" t="s">
        <v>5530</v>
      </c>
      <c r="K4" s="47">
        <v>46134.474305555559</v>
      </c>
      <c r="L4" s="47">
        <v>46143.587500000001</v>
      </c>
      <c r="M4" s="47">
        <v>46146.282638888886</v>
      </c>
      <c r="N4" s="47">
        <v>46146.294444444444</v>
      </c>
      <c r="Q4" s="45" t="s">
        <v>5534</v>
      </c>
      <c r="R4" s="45" t="s">
        <v>261</v>
      </c>
      <c r="S4" s="45" t="s">
        <v>175</v>
      </c>
      <c r="T4" s="45" t="s">
        <v>268</v>
      </c>
      <c r="U4" s="45" t="s">
        <v>371</v>
      </c>
      <c r="X4" s="45" t="s">
        <v>5531</v>
      </c>
      <c r="Y4" s="45" t="s">
        <v>5538</v>
      </c>
      <c r="Z4" s="76">
        <f t="shared" ca="1" si="8"/>
        <v>2.1090277777742212</v>
      </c>
      <c r="AA4" s="75">
        <f t="shared" ca="1" si="9"/>
        <v>5.6240740740645903</v>
      </c>
      <c r="AB4" s="76">
        <f t="shared" ca="1" si="10"/>
        <v>0</v>
      </c>
      <c r="AC4" s="75">
        <f t="shared" ca="1" si="11"/>
        <v>0</v>
      </c>
      <c r="AD4" s="76">
        <f t="shared" ca="1" si="12"/>
        <v>0</v>
      </c>
      <c r="AE4" s="76">
        <f t="shared" ca="1" si="13"/>
        <v>0</v>
      </c>
      <c r="AF4" s="75">
        <f t="shared" ca="1" si="14"/>
        <v>0</v>
      </c>
      <c r="AG4" s="75">
        <f t="shared" ca="1" si="15"/>
        <v>0</v>
      </c>
      <c r="AH4" s="31" t="str" cm="1">
        <f t="array" aca="1" ref="AH4" ca="1">IF((AD4) &lt; (INDEX(ResponseSLA[#All],(MATCH((G4),ResponseSLA[Priority],0))+1,3)),"YES","No")</f>
        <v>YES</v>
      </c>
      <c r="AI4" s="31" t="str">
        <f ca="1">_xlfn.IFNA(IF(AE4 &lt; (INDEX(SLATable[Minimum SLA],MATCH(G4,SLATable[Priority],0))),"YES","NO"),"")</f>
        <v>YES</v>
      </c>
      <c r="AJ4" t="str">
        <f ca="1">_xlfn.IFNA(IF(AE4 &lt; (INDEX(SLATable[Maximum SLA],MATCH(G4,SLATable[Priority],0))),"YES","NO"),"")</f>
        <v>YES</v>
      </c>
    </row>
    <row r="5" spans="1:36" ht="15" customHeight="1">
      <c r="A5" s="45">
        <v>4</v>
      </c>
      <c r="B5" s="45" t="s">
        <v>26</v>
      </c>
      <c r="C5" s="45" t="s">
        <v>44</v>
      </c>
      <c r="D5" s="45" t="s">
        <v>207</v>
      </c>
      <c r="E5" s="45" t="s">
        <v>5539</v>
      </c>
      <c r="F5" s="45" t="s">
        <v>312</v>
      </c>
      <c r="G5" s="45">
        <v>4</v>
      </c>
      <c r="H5" s="45" t="s">
        <v>5540</v>
      </c>
      <c r="I5" s="45" t="s">
        <v>271</v>
      </c>
      <c r="J5" s="45" t="s">
        <v>5530</v>
      </c>
      <c r="K5" s="47">
        <v>46142.634027777778</v>
      </c>
      <c r="L5" s="47">
        <v>46142.643055555556</v>
      </c>
      <c r="M5" s="47">
        <v>46146.269444444442</v>
      </c>
      <c r="N5" s="47">
        <v>46153.586759259262</v>
      </c>
      <c r="O5" s="47">
        <v>46146.297222222223</v>
      </c>
      <c r="P5" s="47">
        <v>46153.586759259262</v>
      </c>
      <c r="Q5" s="45" t="s">
        <v>5541</v>
      </c>
      <c r="R5" s="45" t="s">
        <v>272</v>
      </c>
      <c r="S5" s="45" t="s">
        <v>175</v>
      </c>
      <c r="T5" s="45" t="s">
        <v>268</v>
      </c>
      <c r="U5" s="45" t="s">
        <v>371</v>
      </c>
      <c r="X5" s="45" t="s">
        <v>5531</v>
      </c>
      <c r="Y5" s="45" t="s">
        <v>5535</v>
      </c>
      <c r="Z5" s="76">
        <f t="shared" ca="1" si="8"/>
        <v>7.4305555555232106E-2</v>
      </c>
      <c r="AA5" s="75">
        <f t="shared" ca="1" si="9"/>
        <v>0.19814814814728562</v>
      </c>
      <c r="AB5" s="76">
        <f t="shared" ca="1" si="10"/>
        <v>6.5277777777130952E-2</v>
      </c>
      <c r="AC5" s="75">
        <f t="shared" ca="1" si="11"/>
        <v>0.17407407407234921</v>
      </c>
      <c r="AD5" s="76">
        <f t="shared" ca="1" si="12"/>
        <v>0</v>
      </c>
      <c r="AE5" s="76">
        <f t="shared" ca="1" si="13"/>
        <v>6.5277777777130952E-2</v>
      </c>
      <c r="AF5" s="75">
        <f t="shared" ca="1" si="14"/>
        <v>0.17407407407234921</v>
      </c>
      <c r="AG5" s="75">
        <f t="shared" ca="1" si="15"/>
        <v>0.17407407407234921</v>
      </c>
      <c r="AH5" s="31" t="str" cm="1">
        <f t="array" aca="1" ref="AH5" ca="1">IF((AD5) &lt; (INDEX(ResponseSLA[#All],(MATCH((G5),ResponseSLA[Priority],0))+1,3)),"YES","No")</f>
        <v>YES</v>
      </c>
      <c r="AI5" s="31" t="str">
        <f ca="1">_xlfn.IFNA(IF(AE5 &lt; (INDEX(SLATable[Minimum SLA],MATCH(G5,SLATable[Priority],0))),"YES","NO"),"")</f>
        <v>YES</v>
      </c>
      <c r="AJ5" t="str">
        <f ca="1">_xlfn.IFNA(IF(AE5 &lt; (INDEX(SLATable[Maximum SLA],MATCH(G5,SLATable[Priority],0))),"YES","NO"),"")</f>
        <v>YES</v>
      </c>
    </row>
    <row r="6" spans="1:36" ht="15" customHeight="1">
      <c r="A6" s="45">
        <v>5</v>
      </c>
      <c r="B6" s="45" t="s">
        <v>26</v>
      </c>
      <c r="C6" s="45" t="s">
        <v>44</v>
      </c>
      <c r="D6" s="45" t="s">
        <v>208</v>
      </c>
      <c r="E6" s="45" t="s">
        <v>5542</v>
      </c>
      <c r="F6" s="45" t="s">
        <v>312</v>
      </c>
      <c r="G6" s="45" t="s">
        <v>208</v>
      </c>
      <c r="H6" s="45" t="s">
        <v>5543</v>
      </c>
      <c r="I6" s="45" t="s">
        <v>275</v>
      </c>
      <c r="J6" s="45" t="s">
        <v>5530</v>
      </c>
      <c r="K6" s="47">
        <v>46143.339583333334</v>
      </c>
      <c r="L6" s="47">
        <v>46143.826388888891</v>
      </c>
      <c r="M6" s="47">
        <v>46146.309027777781</v>
      </c>
      <c r="N6" s="47">
        <v>46148.634722222225</v>
      </c>
      <c r="O6" s="47">
        <v>46147.304166666669</v>
      </c>
      <c r="P6" s="47">
        <v>46148.634722222225</v>
      </c>
      <c r="Q6" s="45" t="s">
        <v>5544</v>
      </c>
      <c r="R6" s="45" t="s">
        <v>272</v>
      </c>
      <c r="S6" s="45" t="s">
        <v>175</v>
      </c>
      <c r="T6" s="45" t="s">
        <v>268</v>
      </c>
      <c r="U6" s="45" t="s">
        <v>371</v>
      </c>
      <c r="X6" s="45" t="s">
        <v>5531</v>
      </c>
      <c r="Y6" s="45" t="s">
        <v>5545</v>
      </c>
      <c r="Z6" s="76">
        <f t="shared" ca="1" si="8"/>
        <v>0</v>
      </c>
      <c r="AA6" s="75">
        <f t="shared" ca="1" si="9"/>
        <v>0</v>
      </c>
      <c r="AB6" s="76">
        <f t="shared" ca="1" si="10"/>
        <v>0</v>
      </c>
      <c r="AC6" s="75">
        <f t="shared" ca="1" si="11"/>
        <v>0</v>
      </c>
      <c r="AD6" s="76">
        <f t="shared" ca="1" si="12"/>
        <v>0</v>
      </c>
      <c r="AE6" s="76">
        <f t="shared" ca="1" si="13"/>
        <v>0</v>
      </c>
      <c r="AF6" s="75">
        <f t="shared" ca="1" si="14"/>
        <v>0</v>
      </c>
      <c r="AG6" s="75">
        <f t="shared" ca="1" si="15"/>
        <v>0</v>
      </c>
      <c r="AH6" s="31" t="str" cm="1">
        <f t="array" aca="1" ref="AH6" ca="1">IF((AD6) &lt; (INDEX(ResponseSLA[#All],(MATCH((G6),ResponseSLA[Priority],0))+1,3)),"YES","No")</f>
        <v>YES</v>
      </c>
      <c r="AI6" s="31" t="str">
        <f ca="1">_xlfn.IFNA(IF(AE6 &lt; (INDEX(SLATable[Minimum SLA],MATCH(G6,SLATable[Priority],0))),"YES","NO"),"")</f>
        <v>YES</v>
      </c>
      <c r="AJ6" t="str">
        <f ca="1">_xlfn.IFNA(IF(AE6 &lt; (INDEX(SLATable[Maximum SLA],MATCH(G6,SLATable[Priority],0))),"YES","NO"),"")</f>
        <v>YES</v>
      </c>
    </row>
    <row r="7" spans="1:36" ht="15" customHeight="1">
      <c r="A7" s="45">
        <v>6</v>
      </c>
      <c r="B7" s="45" t="s">
        <v>26</v>
      </c>
      <c r="C7" s="45" t="s">
        <v>44</v>
      </c>
      <c r="D7" s="45" t="s">
        <v>208</v>
      </c>
      <c r="E7" s="45" t="s">
        <v>5546</v>
      </c>
      <c r="F7" s="45" t="s">
        <v>312</v>
      </c>
      <c r="G7" s="45" t="s">
        <v>208</v>
      </c>
      <c r="H7" s="45" t="s">
        <v>5547</v>
      </c>
      <c r="I7" s="45" t="s">
        <v>271</v>
      </c>
      <c r="J7" s="45" t="s">
        <v>5530</v>
      </c>
      <c r="K7" s="47">
        <v>46143.574305555558</v>
      </c>
      <c r="L7" s="47">
        <v>46143.660416666666</v>
      </c>
      <c r="M7" s="47">
        <v>46146.307638888888</v>
      </c>
      <c r="N7" s="47">
        <v>46150.339583333334</v>
      </c>
      <c r="O7" s="47">
        <v>46147.461111111108</v>
      </c>
      <c r="P7" s="47">
        <v>46150.339583333334</v>
      </c>
      <c r="Q7" s="45" t="s">
        <v>44</v>
      </c>
      <c r="R7" s="45" t="s">
        <v>261</v>
      </c>
      <c r="S7" s="45" t="s">
        <v>175</v>
      </c>
      <c r="T7" s="45" t="s">
        <v>268</v>
      </c>
      <c r="U7" s="45" t="s">
        <v>371</v>
      </c>
      <c r="X7" s="45" t="s">
        <v>5531</v>
      </c>
      <c r="Y7" s="45" t="s">
        <v>5548</v>
      </c>
      <c r="Z7" s="76">
        <f t="shared" ca="1" si="8"/>
        <v>0.12777777777470578</v>
      </c>
      <c r="AA7" s="75">
        <f t="shared" ca="1" si="9"/>
        <v>0.34074074073254873</v>
      </c>
      <c r="AB7" s="76">
        <f t="shared" ca="1" si="10"/>
        <v>0.12777777777470578</v>
      </c>
      <c r="AC7" s="75">
        <f t="shared" ca="1" si="11"/>
        <v>0.34074074073254873</v>
      </c>
      <c r="AD7" s="76">
        <f t="shared" ca="1" si="12"/>
        <v>0</v>
      </c>
      <c r="AE7" s="76">
        <f t="shared" ca="1" si="13"/>
        <v>0.12777777777470578</v>
      </c>
      <c r="AF7" s="75">
        <f t="shared" ca="1" si="14"/>
        <v>0.34074074073254873</v>
      </c>
      <c r="AG7" s="75">
        <f t="shared" ca="1" si="15"/>
        <v>0.34074074073254873</v>
      </c>
      <c r="AH7" s="31" t="str" cm="1">
        <f t="array" aca="1" ref="AH7" ca="1">IF((AD7) &lt; (INDEX(ResponseSLA[#All],(MATCH((G7),ResponseSLA[Priority],0))+1,3)),"YES","No")</f>
        <v>YES</v>
      </c>
      <c r="AI7" s="31" t="str">
        <f ca="1">_xlfn.IFNA(IF(AE7 &lt; (INDEX(SLATable[Minimum SLA],MATCH(G7,SLATable[Priority],0))),"YES","NO"),"")</f>
        <v>YES</v>
      </c>
      <c r="AJ7" t="str">
        <f ca="1">_xlfn.IFNA(IF(AE7 &lt; (INDEX(SLATable[Maximum SLA],MATCH(G7,SLATable[Priority],0))),"YES","NO"),"")</f>
        <v>YES</v>
      </c>
    </row>
    <row r="8" spans="1:36" ht="15" customHeight="1">
      <c r="A8" s="45">
        <v>7</v>
      </c>
      <c r="B8" s="45" t="s">
        <v>26</v>
      </c>
      <c r="C8" s="45" t="s">
        <v>44</v>
      </c>
      <c r="D8" s="45" t="s">
        <v>207</v>
      </c>
      <c r="E8" s="45" t="s">
        <v>5549</v>
      </c>
      <c r="F8" s="45" t="s">
        <v>312</v>
      </c>
      <c r="G8" s="45">
        <v>4</v>
      </c>
      <c r="H8" s="45" t="s">
        <v>5550</v>
      </c>
      <c r="I8" s="45" t="s">
        <v>275</v>
      </c>
      <c r="J8" s="45" t="s">
        <v>5530</v>
      </c>
      <c r="K8" s="47">
        <v>46147.383333333331</v>
      </c>
      <c r="L8" s="47">
        <v>46147.414583333331</v>
      </c>
      <c r="M8" s="47">
        <v>46147.461111111108</v>
      </c>
      <c r="N8" s="47">
        <v>46147.501388888886</v>
      </c>
      <c r="Q8" s="45" t="s">
        <v>5534</v>
      </c>
      <c r="R8" s="45" t="s">
        <v>261</v>
      </c>
      <c r="S8" s="45" t="s">
        <v>175</v>
      </c>
      <c r="T8" s="45" t="s">
        <v>268</v>
      </c>
      <c r="U8" s="45" t="s">
        <v>371</v>
      </c>
      <c r="X8" s="45" t="s">
        <v>5531</v>
      </c>
      <c r="Y8" s="45" t="s">
        <v>5551</v>
      </c>
      <c r="Z8" s="76">
        <f t="shared" ca="1" si="8"/>
        <v>0.11805555555474712</v>
      </c>
      <c r="AA8" s="75">
        <f t="shared" ca="1" si="9"/>
        <v>0.31481481481265899</v>
      </c>
      <c r="AB8" s="76">
        <f t="shared" ca="1" si="10"/>
        <v>8.6805555554747116E-2</v>
      </c>
      <c r="AC8" s="75">
        <f t="shared" ca="1" si="11"/>
        <v>0.23148148147932565</v>
      </c>
      <c r="AD8" s="76">
        <f t="shared" ca="1" si="12"/>
        <v>4.6527777776645962E-2</v>
      </c>
      <c r="AE8" s="76">
        <f t="shared" ca="1" si="13"/>
        <v>8.6805555554747116E-2</v>
      </c>
      <c r="AF8" s="75">
        <f t="shared" ca="1" si="14"/>
        <v>0.23148148147932565</v>
      </c>
      <c r="AG8" s="75">
        <f t="shared" ca="1" si="15"/>
        <v>0.23148148147932565</v>
      </c>
      <c r="AH8" s="31" t="str" cm="1">
        <f t="array" aca="1" ref="AH8" ca="1">IF((AD8) &lt; (INDEX(ResponseSLA[#All],(MATCH((G8),ResponseSLA[Priority],0))+1,3)),"YES","No")</f>
        <v>YES</v>
      </c>
      <c r="AI8" s="31" t="str">
        <f ca="1">_xlfn.IFNA(IF(AE8 &lt; (INDEX(SLATable[Minimum SLA],MATCH(G8,SLATable[Priority],0))),"YES","NO"),"")</f>
        <v>YES</v>
      </c>
      <c r="AJ8" t="str">
        <f ca="1">_xlfn.IFNA(IF(AE8 &lt; (INDEX(SLATable[Maximum SLA],MATCH(G8,SLATable[Priority],0))),"YES","NO"),"")</f>
        <v>YES</v>
      </c>
    </row>
    <row r="9" spans="1:36" ht="15" customHeight="1">
      <c r="A9" s="45">
        <v>8</v>
      </c>
      <c r="B9" s="45" t="s">
        <v>26</v>
      </c>
      <c r="C9" s="45" t="s">
        <v>44</v>
      </c>
      <c r="D9" s="45" t="s">
        <v>208</v>
      </c>
      <c r="E9" s="45" t="s">
        <v>5552</v>
      </c>
      <c r="F9" s="45" t="s">
        <v>312</v>
      </c>
      <c r="G9" s="45" t="s">
        <v>208</v>
      </c>
      <c r="H9" s="45" t="s">
        <v>5553</v>
      </c>
      <c r="I9" s="45" t="s">
        <v>275</v>
      </c>
      <c r="J9" s="45" t="s">
        <v>5530</v>
      </c>
      <c r="K9" s="47">
        <v>46142.352777777778</v>
      </c>
      <c r="L9" s="47">
        <v>46147.424305555556</v>
      </c>
      <c r="M9" s="47">
        <v>46147.524305555555</v>
      </c>
      <c r="N9" s="47">
        <v>46149.298611111109</v>
      </c>
      <c r="O9" s="47">
        <v>46148.324305555558</v>
      </c>
      <c r="P9" s="47">
        <v>46149.298611111109</v>
      </c>
      <c r="Q9" s="45" t="s">
        <v>5534</v>
      </c>
      <c r="R9" s="45" t="s">
        <v>261</v>
      </c>
      <c r="S9" s="45" t="s">
        <v>175</v>
      </c>
      <c r="T9" s="45" t="s">
        <v>268</v>
      </c>
      <c r="U9" s="45" t="s">
        <v>371</v>
      </c>
      <c r="X9" s="45" t="s">
        <v>5531</v>
      </c>
      <c r="Y9" s="45" t="s">
        <v>5535</v>
      </c>
      <c r="Z9" s="76">
        <f t="shared" ca="1" si="8"/>
        <v>0.73055555555523233</v>
      </c>
      <c r="AA9" s="75">
        <f t="shared" ca="1" si="9"/>
        <v>1.9481481481472862</v>
      </c>
      <c r="AB9" s="76">
        <f t="shared" ca="1" si="10"/>
        <v>0.28402777777713112</v>
      </c>
      <c r="AC9" s="75">
        <f t="shared" ca="1" si="11"/>
        <v>0.75740740740568291</v>
      </c>
      <c r="AD9" s="76">
        <f t="shared" ca="1" si="12"/>
        <v>9.9999999998544808E-2</v>
      </c>
      <c r="AE9" s="76">
        <f t="shared" ca="1" si="13"/>
        <v>0.28402777777713112</v>
      </c>
      <c r="AF9" s="75">
        <f t="shared" ca="1" si="14"/>
        <v>0.75740740740568291</v>
      </c>
      <c r="AG9" s="75">
        <f t="shared" ca="1" si="15"/>
        <v>0.75740740740568291</v>
      </c>
      <c r="AH9" s="31" t="str" cm="1">
        <f t="array" aca="1" ref="AH9" ca="1">IF((AD9) &lt; (INDEX(ResponseSLA[#All],(MATCH((G9),ResponseSLA[Priority],0))+1,3)),"YES","No")</f>
        <v>YES</v>
      </c>
      <c r="AI9" s="31" t="str">
        <f ca="1">_xlfn.IFNA(IF(AE9 &lt; (INDEX(SLATable[Minimum SLA],MATCH(G9,SLATable[Priority],0))),"YES","NO"),"")</f>
        <v>YES</v>
      </c>
      <c r="AJ9" t="str">
        <f ca="1">_xlfn.IFNA(IF(AE9 &lt; (INDEX(SLATable[Maximum SLA],MATCH(G9,SLATable[Priority],0))),"YES","NO"),"")</f>
        <v>YES</v>
      </c>
    </row>
    <row r="10" spans="1:36" ht="15" customHeight="1">
      <c r="A10" s="45">
        <v>9</v>
      </c>
      <c r="B10" s="45" t="s">
        <v>26</v>
      </c>
      <c r="C10" s="45" t="s">
        <v>44</v>
      </c>
      <c r="D10" s="45" t="s">
        <v>207</v>
      </c>
      <c r="E10" s="45" t="s">
        <v>5554</v>
      </c>
      <c r="F10" s="45" t="s">
        <v>312</v>
      </c>
      <c r="G10" s="45">
        <v>4</v>
      </c>
      <c r="H10" s="45" t="s">
        <v>5555</v>
      </c>
      <c r="I10" s="45" t="s">
        <v>275</v>
      </c>
      <c r="J10" s="45" t="s">
        <v>5530</v>
      </c>
      <c r="K10" s="47">
        <v>46118.456944444442</v>
      </c>
      <c r="L10" s="47">
        <v>46147.470138888886</v>
      </c>
      <c r="M10" s="47">
        <v>46148.292361111111</v>
      </c>
      <c r="N10" s="47">
        <v>46148.627083333333</v>
      </c>
      <c r="Q10" s="45" t="s">
        <v>5534</v>
      </c>
      <c r="R10" s="45" t="s">
        <v>261</v>
      </c>
      <c r="S10" s="45" t="s">
        <v>175</v>
      </c>
      <c r="T10" s="45" t="s">
        <v>268</v>
      </c>
      <c r="U10" s="45" t="s">
        <v>371</v>
      </c>
      <c r="X10" s="45" t="s">
        <v>5531</v>
      </c>
      <c r="Y10" s="45" t="s">
        <v>5535</v>
      </c>
      <c r="Z10" s="76">
        <f t="shared" ca="1" si="8"/>
        <v>7.4187499999995161</v>
      </c>
      <c r="AA10" s="75">
        <f t="shared" ca="1" si="9"/>
        <v>19.783333333332042</v>
      </c>
      <c r="AB10" s="76">
        <f t="shared" ca="1" si="10"/>
        <v>0.53194444444670808</v>
      </c>
      <c r="AC10" s="75">
        <f t="shared" ca="1" si="11"/>
        <v>1.4185185185245548</v>
      </c>
      <c r="AD10" s="76">
        <f t="shared" ca="1" si="12"/>
        <v>0.23819444444719318</v>
      </c>
      <c r="AE10" s="76">
        <f t="shared" ca="1" si="13"/>
        <v>0.53194444444670808</v>
      </c>
      <c r="AF10" s="75">
        <f t="shared" ca="1" si="14"/>
        <v>1.4185185185245548</v>
      </c>
      <c r="AG10" s="75">
        <f t="shared" ca="1" si="15"/>
        <v>1.4185185185245548</v>
      </c>
      <c r="AH10" s="31" t="str" cm="1">
        <f t="array" aca="1" ref="AH10" ca="1">IF((AD10) &lt; (INDEX(ResponseSLA[#All],(MATCH((G10),ResponseSLA[Priority],0))+1,3)),"YES","No")</f>
        <v>No</v>
      </c>
      <c r="AI10" s="31" t="str">
        <f ca="1">_xlfn.IFNA(IF(AE10 &lt; (INDEX(SLATable[Minimum SLA],MATCH(G10,SLATable[Priority],0))),"YES","NO"),"")</f>
        <v>YES</v>
      </c>
      <c r="AJ10" t="str">
        <f ca="1">_xlfn.IFNA(IF(AE10 &lt; (INDEX(SLATable[Maximum SLA],MATCH(G10,SLATable[Priority],0))),"YES","NO"),"")</f>
        <v>YES</v>
      </c>
    </row>
    <row r="11" spans="1:36" ht="15" customHeight="1">
      <c r="A11" s="45">
        <v>10</v>
      </c>
      <c r="B11" s="45" t="s">
        <v>26</v>
      </c>
      <c r="C11" s="45" t="s">
        <v>44</v>
      </c>
      <c r="D11" s="45" t="s">
        <v>207</v>
      </c>
      <c r="E11" s="45" t="s">
        <v>5556</v>
      </c>
      <c r="F11" s="45" t="s">
        <v>312</v>
      </c>
      <c r="G11" s="45">
        <v>4</v>
      </c>
      <c r="H11" s="45" t="s">
        <v>5557</v>
      </c>
      <c r="I11" s="45" t="s">
        <v>275</v>
      </c>
      <c r="J11" s="45" t="s">
        <v>5530</v>
      </c>
      <c r="K11" s="47">
        <v>46142.618750000001</v>
      </c>
      <c r="L11" s="47">
        <v>46147.513194444444</v>
      </c>
      <c r="M11" s="47">
        <v>46148.286111111112</v>
      </c>
      <c r="N11" s="47">
        <v>46148.629861111112</v>
      </c>
      <c r="Q11" s="45" t="s">
        <v>5534</v>
      </c>
      <c r="R11" s="45" t="s">
        <v>261</v>
      </c>
      <c r="S11" s="45" t="s">
        <v>175</v>
      </c>
      <c r="T11" s="45" t="s">
        <v>268</v>
      </c>
      <c r="U11" s="45" t="s">
        <v>371</v>
      </c>
      <c r="X11" s="45" t="s">
        <v>5531</v>
      </c>
      <c r="Y11" s="45" t="s">
        <v>5558</v>
      </c>
      <c r="Z11" s="76">
        <f t="shared" ca="1" si="8"/>
        <v>0.76111111111094942</v>
      </c>
      <c r="AA11" s="75">
        <f t="shared" ca="1" si="9"/>
        <v>2.0296296296291985</v>
      </c>
      <c r="AB11" s="76">
        <f t="shared" ca="1" si="10"/>
        <v>0.49166666666860692</v>
      </c>
      <c r="AC11" s="75">
        <f t="shared" ca="1" si="11"/>
        <v>1.3111111111162852</v>
      </c>
      <c r="AD11" s="76">
        <f t="shared" ca="1" si="12"/>
        <v>0.19513888888953568</v>
      </c>
      <c r="AE11" s="76">
        <f t="shared" ca="1" si="13"/>
        <v>0.49166666666860692</v>
      </c>
      <c r="AF11" s="75">
        <f t="shared" ca="1" si="14"/>
        <v>1.3111111111162852</v>
      </c>
      <c r="AG11" s="75">
        <f t="shared" ca="1" si="15"/>
        <v>1.3111111111162852</v>
      </c>
      <c r="AH11" s="31" t="str" cm="1">
        <f t="array" aca="1" ref="AH11" ca="1">IF((AD11) &lt; (INDEX(ResponseSLA[#All],(MATCH((G11),ResponseSLA[Priority],0))+1,3)),"YES","No")</f>
        <v>No</v>
      </c>
      <c r="AI11" s="31" t="str">
        <f ca="1">_xlfn.IFNA(IF(AE11 &lt; (INDEX(SLATable[Minimum SLA],MATCH(G11,SLATable[Priority],0))),"YES","NO"),"")</f>
        <v>YES</v>
      </c>
      <c r="AJ11" t="str">
        <f ca="1">_xlfn.IFNA(IF(AE11 &lt; (INDEX(SLATable[Maximum SLA],MATCH(G11,SLATable[Priority],0))),"YES","NO"),"")</f>
        <v>YES</v>
      </c>
    </row>
    <row r="12" spans="1:36" ht="15" customHeight="1">
      <c r="A12" s="45">
        <v>11</v>
      </c>
      <c r="B12" s="45" t="s">
        <v>26</v>
      </c>
      <c r="C12" s="45" t="s">
        <v>44</v>
      </c>
      <c r="D12" s="45" t="s">
        <v>207</v>
      </c>
      <c r="E12" s="45" t="s">
        <v>5559</v>
      </c>
      <c r="F12" s="45" t="s">
        <v>312</v>
      </c>
      <c r="G12" s="45">
        <v>4</v>
      </c>
      <c r="H12" s="45" t="s">
        <v>5560</v>
      </c>
      <c r="I12" s="45" t="s">
        <v>275</v>
      </c>
      <c r="J12" s="45" t="s">
        <v>5530</v>
      </c>
      <c r="K12" s="47">
        <v>46148.515277777777</v>
      </c>
      <c r="L12" s="47">
        <v>46148.53402777778</v>
      </c>
      <c r="M12" s="47">
        <v>46148.539583333331</v>
      </c>
      <c r="N12" s="47">
        <v>46148.631249999999</v>
      </c>
      <c r="Q12" s="45" t="s">
        <v>5561</v>
      </c>
      <c r="R12" s="45" t="s">
        <v>272</v>
      </c>
      <c r="S12" s="45" t="s">
        <v>175</v>
      </c>
      <c r="T12" s="45" t="s">
        <v>268</v>
      </c>
      <c r="U12" s="45" t="s">
        <v>371</v>
      </c>
      <c r="X12" s="45" t="s">
        <v>5531</v>
      </c>
      <c r="Y12" s="45" t="s">
        <v>5558</v>
      </c>
      <c r="Z12" s="76">
        <f t="shared" ca="1" si="8"/>
        <v>0.11597222222189885</v>
      </c>
      <c r="AA12" s="75">
        <f t="shared" ca="1" si="9"/>
        <v>0.30925925925839692</v>
      </c>
      <c r="AB12" s="76">
        <f t="shared" ca="1" si="10"/>
        <v>9.7222222218988463E-2</v>
      </c>
      <c r="AC12" s="75">
        <f t="shared" ca="1" si="11"/>
        <v>0.25925925925063592</v>
      </c>
      <c r="AD12" s="76">
        <f t="shared" ca="1" si="12"/>
        <v>5.5555555518367328E-3</v>
      </c>
      <c r="AE12" s="76">
        <f t="shared" ca="1" si="13"/>
        <v>9.7222222218988463E-2</v>
      </c>
      <c r="AF12" s="75">
        <f t="shared" ca="1" si="14"/>
        <v>0.25925925925063592</v>
      </c>
      <c r="AG12" s="75">
        <f t="shared" ca="1" si="15"/>
        <v>0.25925925925063592</v>
      </c>
      <c r="AH12" s="31" t="str" cm="1">
        <f t="array" aca="1" ref="AH12" ca="1">IF((AD12) &lt; (INDEX(ResponseSLA[#All],(MATCH((G12),ResponseSLA[Priority],0))+1,3)),"YES","No")</f>
        <v>YES</v>
      </c>
      <c r="AI12" s="31" t="str">
        <f ca="1">_xlfn.IFNA(IF(AE12 &lt; (INDEX(SLATable[Minimum SLA],MATCH(G12,SLATable[Priority],0))),"YES","NO"),"")</f>
        <v>YES</v>
      </c>
      <c r="AJ12" t="str">
        <f ca="1">_xlfn.IFNA(IF(AE12 &lt; (INDEX(SLATable[Maximum SLA],MATCH(G12,SLATable[Priority],0))),"YES","NO"),"")</f>
        <v>YES</v>
      </c>
    </row>
    <row r="13" spans="1:36" ht="15" customHeight="1">
      <c r="A13" s="45">
        <v>12</v>
      </c>
      <c r="B13" s="45" t="s">
        <v>26</v>
      </c>
      <c r="C13" s="45" t="s">
        <v>44</v>
      </c>
      <c r="D13" s="45" t="s">
        <v>208</v>
      </c>
      <c r="E13" s="45" t="s">
        <v>5562</v>
      </c>
      <c r="F13" s="45" t="s">
        <v>312</v>
      </c>
      <c r="G13" s="45" t="s">
        <v>208</v>
      </c>
      <c r="H13" s="45" t="s">
        <v>5563</v>
      </c>
      <c r="I13" s="45" t="s">
        <v>275</v>
      </c>
      <c r="J13" s="45" t="s">
        <v>5530</v>
      </c>
      <c r="K13" s="47">
        <v>46148.395138888889</v>
      </c>
      <c r="L13" s="47">
        <v>46148.490972222222</v>
      </c>
      <c r="M13" s="47">
        <v>46148.541666666664</v>
      </c>
      <c r="N13" s="47">
        <v>46149.300694444442</v>
      </c>
      <c r="Q13" s="45" t="s">
        <v>5534</v>
      </c>
      <c r="R13" s="45" t="s">
        <v>272</v>
      </c>
      <c r="S13" s="45" t="s">
        <v>175</v>
      </c>
      <c r="T13" s="45" t="s">
        <v>268</v>
      </c>
      <c r="U13" s="45" t="s">
        <v>371</v>
      </c>
      <c r="X13" s="45" t="s">
        <v>5531</v>
      </c>
      <c r="Y13" s="45" t="s">
        <v>5564</v>
      </c>
      <c r="Z13" s="76">
        <f t="shared" ca="1" si="8"/>
        <v>0.31319444444428279</v>
      </c>
      <c r="AA13" s="75">
        <f t="shared" ca="1" si="9"/>
        <v>0.83518518518475415</v>
      </c>
      <c r="AB13" s="76">
        <f t="shared" ca="1" si="10"/>
        <v>0.21736111111143452</v>
      </c>
      <c r="AC13" s="75">
        <f t="shared" ca="1" si="11"/>
        <v>0.57962962963049203</v>
      </c>
      <c r="AD13" s="76">
        <f t="shared" ca="1" si="12"/>
        <v>5.0694444442342501E-2</v>
      </c>
      <c r="AE13" s="76">
        <f t="shared" ca="1" si="13"/>
        <v>0.21736111111143452</v>
      </c>
      <c r="AF13" s="75">
        <f t="shared" ca="1" si="14"/>
        <v>0.57962962963049203</v>
      </c>
      <c r="AG13" s="75">
        <f t="shared" ca="1" si="15"/>
        <v>0.57962962963049203</v>
      </c>
      <c r="AH13" s="31" t="str" cm="1">
        <f t="array" aca="1" ref="AH13" ca="1">IF((AD13) &lt; (INDEX(ResponseSLA[#All],(MATCH((G13),ResponseSLA[Priority],0))+1,3)),"YES","No")</f>
        <v>YES</v>
      </c>
      <c r="AI13" s="31" t="str">
        <f ca="1">_xlfn.IFNA(IF(AE13 &lt; (INDEX(SLATable[Minimum SLA],MATCH(G13,SLATable[Priority],0))),"YES","NO"),"")</f>
        <v>YES</v>
      </c>
      <c r="AJ13" t="str">
        <f ca="1">_xlfn.IFNA(IF(AE13 &lt; (INDEX(SLATable[Maximum SLA],MATCH(G13,SLATable[Priority],0))),"YES","NO"),"")</f>
        <v>YES</v>
      </c>
    </row>
    <row r="14" spans="1:36" ht="15" customHeight="1">
      <c r="A14" s="45">
        <v>13</v>
      </c>
      <c r="B14" s="45" t="s">
        <v>26</v>
      </c>
      <c r="C14" s="45" t="s">
        <v>44</v>
      </c>
      <c r="D14" s="45" t="s">
        <v>207</v>
      </c>
      <c r="E14" s="45" t="s">
        <v>5565</v>
      </c>
      <c r="F14" s="45" t="s">
        <v>312</v>
      </c>
      <c r="G14" s="45">
        <v>4</v>
      </c>
      <c r="H14" s="45" t="s">
        <v>5566</v>
      </c>
      <c r="I14" s="45" t="s">
        <v>275</v>
      </c>
      <c r="J14" s="45" t="s">
        <v>5530</v>
      </c>
      <c r="K14" s="47">
        <v>46147.603472222225</v>
      </c>
      <c r="L14" s="47">
        <v>46148.509027777778</v>
      </c>
      <c r="M14" s="47">
        <v>46148.509027777778</v>
      </c>
      <c r="N14" s="47">
        <v>46149.288888888892</v>
      </c>
      <c r="Q14" s="45" t="s">
        <v>5567</v>
      </c>
      <c r="R14" s="45" t="s">
        <v>272</v>
      </c>
      <c r="S14" s="45" t="s">
        <v>175</v>
      </c>
      <c r="T14" s="45" t="s">
        <v>268</v>
      </c>
      <c r="U14" s="45" t="s">
        <v>371</v>
      </c>
      <c r="X14" s="45" t="s">
        <v>5531</v>
      </c>
      <c r="Y14" s="45" t="s">
        <v>5568</v>
      </c>
      <c r="Z14" s="76">
        <f t="shared" ca="1" si="8"/>
        <v>0.47986111110852425</v>
      </c>
      <c r="AA14" s="75">
        <f t="shared" ca="1" si="9"/>
        <v>1.2796296296227314</v>
      </c>
      <c r="AB14" s="76">
        <f t="shared" ca="1" si="10"/>
        <v>0.19930555555523222</v>
      </c>
      <c r="AC14" s="75">
        <f t="shared" ca="1" si="11"/>
        <v>0.53148148148061924</v>
      </c>
      <c r="AD14" s="76">
        <f t="shared" ca="1" si="12"/>
        <v>0</v>
      </c>
      <c r="AE14" s="76">
        <f t="shared" ca="1" si="13"/>
        <v>0.19930555555523222</v>
      </c>
      <c r="AF14" s="75">
        <f t="shared" ca="1" si="14"/>
        <v>0.53148148148061924</v>
      </c>
      <c r="AG14" s="75">
        <f t="shared" ca="1" si="15"/>
        <v>0.53148148148061924</v>
      </c>
      <c r="AH14" s="31" t="str" cm="1">
        <f t="array" aca="1" ref="AH14" ca="1">IF((AD14) &lt; (INDEX(ResponseSLA[#All],(MATCH((G14),ResponseSLA[Priority],0))+1,3)),"YES","No")</f>
        <v>YES</v>
      </c>
      <c r="AI14" s="31" t="str">
        <f ca="1">_xlfn.IFNA(IF(AE14 &lt; (INDEX(SLATable[Minimum SLA],MATCH(G14,SLATable[Priority],0))),"YES","NO"),"")</f>
        <v>YES</v>
      </c>
      <c r="AJ14" t="str">
        <f ca="1">_xlfn.IFNA(IF(AE14 &lt; (INDEX(SLATable[Maximum SLA],MATCH(G14,SLATable[Priority],0))),"YES","NO"),"")</f>
        <v>YES</v>
      </c>
    </row>
    <row r="15" spans="1:36" ht="15" customHeight="1">
      <c r="A15" s="45">
        <v>14</v>
      </c>
      <c r="B15" s="45" t="s">
        <v>26</v>
      </c>
      <c r="C15" s="45" t="s">
        <v>44</v>
      </c>
      <c r="D15" s="45" t="s">
        <v>208</v>
      </c>
      <c r="E15" s="45" t="s">
        <v>5569</v>
      </c>
      <c r="F15" s="45" t="s">
        <v>312</v>
      </c>
      <c r="G15" s="45" t="s">
        <v>208</v>
      </c>
      <c r="H15" s="45" t="s">
        <v>5570</v>
      </c>
      <c r="I15" s="45" t="s">
        <v>271</v>
      </c>
      <c r="J15" s="45" t="s">
        <v>5530</v>
      </c>
      <c r="K15" s="47">
        <v>46148.570138888892</v>
      </c>
      <c r="L15" s="47">
        <v>46148.570138888892</v>
      </c>
      <c r="M15" s="47">
        <v>46148.706250000003</v>
      </c>
      <c r="N15" s="47">
        <v>46155.484236111108</v>
      </c>
      <c r="O15" s="47">
        <v>46153.545868055553</v>
      </c>
      <c r="P15" s="47">
        <v>46155.484236111108</v>
      </c>
      <c r="Q15" s="45" t="s">
        <v>5571</v>
      </c>
      <c r="R15" s="45" t="s">
        <v>272</v>
      </c>
      <c r="S15" s="45" t="s">
        <v>175</v>
      </c>
      <c r="T15" s="45" t="s">
        <v>268</v>
      </c>
      <c r="U15" s="45" t="s">
        <v>371</v>
      </c>
      <c r="X15" s="45" t="s">
        <v>5531</v>
      </c>
      <c r="Y15" s="45" t="s">
        <v>5548</v>
      </c>
      <c r="Z15" s="76">
        <f t="shared" ca="1" si="8"/>
        <v>1.1007291666610399</v>
      </c>
      <c r="AA15" s="75">
        <f t="shared" ca="1" si="9"/>
        <v>2.935277777762773</v>
      </c>
      <c r="AB15" s="76">
        <f t="shared" ca="1" si="10"/>
        <v>1.1007291666610399</v>
      </c>
      <c r="AC15" s="75">
        <f t="shared" ca="1" si="11"/>
        <v>2.935277777762773</v>
      </c>
      <c r="AD15" s="76">
        <f t="shared" ca="1" si="12"/>
        <v>0.13611111111094942</v>
      </c>
      <c r="AE15" s="76">
        <f t="shared" ca="1" si="13"/>
        <v>1.1007291666610399</v>
      </c>
      <c r="AF15" s="75">
        <f t="shared" ca="1" si="14"/>
        <v>2.935277777762773</v>
      </c>
      <c r="AG15" s="75">
        <f t="shared" ca="1" si="15"/>
        <v>2.935277777762773</v>
      </c>
      <c r="AH15" s="31" t="str" cm="1">
        <f t="array" aca="1" ref="AH15" ca="1">IF((AD15) &lt; (INDEX(ResponseSLA[#All],(MATCH((G15),ResponseSLA[Priority],0))+1,3)),"YES","No")</f>
        <v>YES</v>
      </c>
      <c r="AI15" s="31" t="str">
        <f ca="1">_xlfn.IFNA(IF(AE15 &lt; (INDEX(SLATable[Minimum SLA],MATCH(G15,SLATable[Priority],0))),"YES","NO"),"")</f>
        <v>NO</v>
      </c>
      <c r="AJ15" t="str">
        <f ca="1">_xlfn.IFNA(IF(AE15 &lt; (INDEX(SLATable[Maximum SLA],MATCH(G15,SLATable[Priority],0))),"YES","NO"),"")</f>
        <v>NO</v>
      </c>
    </row>
    <row r="16" spans="1:36" ht="15" customHeight="1">
      <c r="A16" s="45">
        <v>15</v>
      </c>
      <c r="B16" s="45" t="s">
        <v>26</v>
      </c>
      <c r="C16" s="45" t="s">
        <v>44</v>
      </c>
      <c r="D16" s="45" t="s">
        <v>207</v>
      </c>
      <c r="E16" s="45" t="s">
        <v>5572</v>
      </c>
      <c r="F16" s="45" t="s">
        <v>312</v>
      </c>
      <c r="G16" s="45">
        <v>4</v>
      </c>
      <c r="H16" s="45" t="s">
        <v>5573</v>
      </c>
      <c r="I16" s="45" t="s">
        <v>275</v>
      </c>
      <c r="J16" s="45" t="s">
        <v>5530</v>
      </c>
      <c r="K16" s="47">
        <v>46140.711111111108</v>
      </c>
      <c r="L16" s="47">
        <v>46149.768055555556</v>
      </c>
      <c r="M16" s="47">
        <v>46150.231249999997</v>
      </c>
      <c r="N16" s="47">
        <v>46150.32916666667</v>
      </c>
      <c r="Q16" s="45" t="s">
        <v>5534</v>
      </c>
      <c r="R16" s="45" t="s">
        <v>272</v>
      </c>
      <c r="S16" s="45" t="s">
        <v>175</v>
      </c>
      <c r="T16" s="45" t="s">
        <v>268</v>
      </c>
      <c r="U16" s="45" t="s">
        <v>371</v>
      </c>
      <c r="X16" s="45" t="s">
        <v>5531</v>
      </c>
      <c r="Y16" s="45" t="s">
        <v>5574</v>
      </c>
      <c r="Z16" s="76">
        <f t="shared" ca="1" si="8"/>
        <v>1.8750000000000004</v>
      </c>
      <c r="AA16" s="75">
        <f t="shared" ca="1" si="9"/>
        <v>5.0000000000000018</v>
      </c>
      <c r="AB16" s="76">
        <f t="shared" ca="1" si="10"/>
        <v>0</v>
      </c>
      <c r="AC16" s="75">
        <f t="shared" ca="1" si="11"/>
        <v>0</v>
      </c>
      <c r="AD16" s="76">
        <f t="shared" ca="1" si="12"/>
        <v>0</v>
      </c>
      <c r="AE16" s="76">
        <f t="shared" ca="1" si="13"/>
        <v>0</v>
      </c>
      <c r="AF16" s="75">
        <f t="shared" ca="1" si="14"/>
        <v>0</v>
      </c>
      <c r="AG16" s="75">
        <f t="shared" ca="1" si="15"/>
        <v>0</v>
      </c>
      <c r="AH16" s="31" t="str" cm="1">
        <f t="array" aca="1" ref="AH16" ca="1">IF((AD16) &lt; (INDEX(ResponseSLA[#All],(MATCH((G16),ResponseSLA[Priority],0))+1,3)),"YES","No")</f>
        <v>YES</v>
      </c>
      <c r="AI16" s="31" t="str">
        <f ca="1">_xlfn.IFNA(IF(AE16 &lt; (INDEX(SLATable[Minimum SLA],MATCH(G16,SLATable[Priority],0))),"YES","NO"),"")</f>
        <v>YES</v>
      </c>
      <c r="AJ16" t="str">
        <f ca="1">_xlfn.IFNA(IF(AE16 &lt; (INDEX(SLATable[Maximum SLA],MATCH(G16,SLATable[Priority],0))),"YES","NO"),"")</f>
        <v>YES</v>
      </c>
    </row>
    <row r="17" spans="1:36" ht="15" customHeight="1">
      <c r="A17" s="45">
        <v>16</v>
      </c>
      <c r="B17" s="45" t="s">
        <v>26</v>
      </c>
      <c r="C17" s="45" t="s">
        <v>44</v>
      </c>
      <c r="D17" s="45" t="s">
        <v>207</v>
      </c>
      <c r="E17" s="45" t="s">
        <v>5575</v>
      </c>
      <c r="F17" s="45" t="s">
        <v>312</v>
      </c>
      <c r="G17" s="45">
        <v>3</v>
      </c>
      <c r="H17" s="45" t="s">
        <v>5576</v>
      </c>
      <c r="I17" s="45" t="s">
        <v>271</v>
      </c>
      <c r="J17" s="45" t="s">
        <v>5530</v>
      </c>
      <c r="K17" s="47">
        <v>46135.49722222222</v>
      </c>
      <c r="L17" s="47">
        <v>46149.490972222222</v>
      </c>
      <c r="M17" s="47">
        <v>46149.506944444445</v>
      </c>
      <c r="N17" s="47">
        <v>46154.292280092595</v>
      </c>
      <c r="O17" s="47">
        <v>46150.331944444442</v>
      </c>
      <c r="P17" s="47">
        <v>46154.292280092595</v>
      </c>
      <c r="Q17" s="45" t="s">
        <v>5534</v>
      </c>
      <c r="R17" s="45" t="s">
        <v>272</v>
      </c>
      <c r="S17" s="45" t="s">
        <v>175</v>
      </c>
      <c r="T17" s="45" t="s">
        <v>268</v>
      </c>
      <c r="U17" s="45" t="s">
        <v>371</v>
      </c>
      <c r="X17" s="45" t="s">
        <v>5531</v>
      </c>
      <c r="Y17" s="45" t="s">
        <v>5535</v>
      </c>
      <c r="Z17" s="76">
        <f t="shared" ca="1" si="8"/>
        <v>3.2111111111128903</v>
      </c>
      <c r="AA17" s="75">
        <f t="shared" ca="1" si="9"/>
        <v>8.562962962967708</v>
      </c>
      <c r="AB17" s="76">
        <f t="shared" ca="1" si="10"/>
        <v>0.21736111111143441</v>
      </c>
      <c r="AC17" s="75">
        <f t="shared" ca="1" si="11"/>
        <v>0.5796296296304918</v>
      </c>
      <c r="AD17" s="76">
        <f t="shared" ca="1" si="12"/>
        <v>1.5972222223354038E-2</v>
      </c>
      <c r="AE17" s="76">
        <f t="shared" ca="1" si="13"/>
        <v>0.21736111111143441</v>
      </c>
      <c r="AF17" s="75">
        <f t="shared" ca="1" si="14"/>
        <v>0.5796296296304918</v>
      </c>
      <c r="AG17" s="75">
        <f t="shared" ca="1" si="15"/>
        <v>0.5796296296304918</v>
      </c>
      <c r="AH17" s="31" t="str" cm="1">
        <f t="array" aca="1" ref="AH17" ca="1">IF((AD17) &lt; (INDEX(ResponseSLA[#All],(MATCH((G17),ResponseSLA[Priority],0))+1,3)),"YES","No")</f>
        <v>YES</v>
      </c>
      <c r="AI17" s="31" t="str">
        <f ca="1">_xlfn.IFNA(IF(AE17 &lt; (INDEX(SLATable[Minimum SLA],MATCH(G17,SLATable[Priority],0))),"YES","NO"),"")</f>
        <v>YES</v>
      </c>
      <c r="AJ17" t="str">
        <f ca="1">_xlfn.IFNA(IF(AE17 &lt; (INDEX(SLATable[Maximum SLA],MATCH(G17,SLATable[Priority],0))),"YES","NO"),"")</f>
        <v>YES</v>
      </c>
    </row>
    <row r="18" spans="1:36" ht="15" customHeight="1">
      <c r="A18" s="45">
        <v>17</v>
      </c>
      <c r="B18" s="45" t="s">
        <v>26</v>
      </c>
      <c r="C18" s="45" t="s">
        <v>44</v>
      </c>
      <c r="D18" s="45" t="s">
        <v>208</v>
      </c>
      <c r="E18" s="45" t="s">
        <v>5577</v>
      </c>
      <c r="F18" s="45" t="s">
        <v>312</v>
      </c>
      <c r="G18" s="45" t="s">
        <v>208</v>
      </c>
      <c r="H18" s="45" t="s">
        <v>5578</v>
      </c>
      <c r="I18" s="45" t="s">
        <v>275</v>
      </c>
      <c r="J18" s="45" t="s">
        <v>5530</v>
      </c>
      <c r="K18" s="47">
        <v>46147.830555555556</v>
      </c>
      <c r="L18" s="47">
        <v>46150.314583333333</v>
      </c>
      <c r="M18" s="47">
        <v>46150.32708333333</v>
      </c>
      <c r="N18" s="47">
        <v>46150.337500000001</v>
      </c>
      <c r="Q18" s="45" t="s">
        <v>44</v>
      </c>
      <c r="R18" s="45" t="s">
        <v>272</v>
      </c>
      <c r="S18" s="45" t="s">
        <v>175</v>
      </c>
      <c r="T18" s="45" t="s">
        <v>268</v>
      </c>
      <c r="U18" s="45" t="s">
        <v>371</v>
      </c>
      <c r="X18" s="45" t="s">
        <v>5531</v>
      </c>
      <c r="Y18" s="45" t="s">
        <v>5579</v>
      </c>
      <c r="Z18" s="76">
        <f t="shared" ca="1" si="8"/>
        <v>0.75416666666812204</v>
      </c>
      <c r="AA18" s="75">
        <f t="shared" ca="1" si="9"/>
        <v>2.011111111114992</v>
      </c>
      <c r="AB18" s="76">
        <f t="shared" ca="1" si="10"/>
        <v>4.1666666681218767E-3</v>
      </c>
      <c r="AC18" s="75">
        <f t="shared" ca="1" si="11"/>
        <v>1.1111111114991671E-2</v>
      </c>
      <c r="AD18" s="76">
        <f t="shared" ca="1" si="12"/>
        <v>0</v>
      </c>
      <c r="AE18" s="76">
        <f t="shared" ca="1" si="13"/>
        <v>4.1666666681218767E-3</v>
      </c>
      <c r="AF18" s="75">
        <f t="shared" ca="1" si="14"/>
        <v>1.1111111114991671E-2</v>
      </c>
      <c r="AG18" s="75">
        <f t="shared" ca="1" si="15"/>
        <v>1.1111111114991671E-2</v>
      </c>
      <c r="AH18" s="31" t="str" cm="1">
        <f t="array" aca="1" ref="AH18" ca="1">IF((AD18) &lt; (INDEX(ResponseSLA[#All],(MATCH((G18),ResponseSLA[Priority],0))+1,3)),"YES","No")</f>
        <v>YES</v>
      </c>
      <c r="AI18" s="31" t="str">
        <f ca="1">_xlfn.IFNA(IF(AE18 &lt; (INDEX(SLATable[Minimum SLA],MATCH(G18,SLATable[Priority],0))),"YES","NO"),"")</f>
        <v>YES</v>
      </c>
      <c r="AJ18" t="str">
        <f ca="1">_xlfn.IFNA(IF(AE18 &lt; (INDEX(SLATable[Maximum SLA],MATCH(G18,SLATable[Priority],0))),"YES","NO"),"")</f>
        <v>YES</v>
      </c>
    </row>
    <row r="19" spans="1:36" ht="15" customHeight="1">
      <c r="A19" s="45">
        <v>18</v>
      </c>
      <c r="B19" s="45" t="s">
        <v>26</v>
      </c>
      <c r="C19" s="45" t="s">
        <v>44</v>
      </c>
      <c r="D19" s="45" t="s">
        <v>208</v>
      </c>
      <c r="E19" s="45" t="s">
        <v>5580</v>
      </c>
      <c r="F19" s="45" t="s">
        <v>312</v>
      </c>
      <c r="G19" s="45" t="s">
        <v>208</v>
      </c>
      <c r="H19" s="45" t="s">
        <v>5581</v>
      </c>
      <c r="I19" s="45" t="s">
        <v>271</v>
      </c>
      <c r="J19" s="45" t="s">
        <v>5530</v>
      </c>
      <c r="K19" s="47">
        <v>46149.474305555559</v>
      </c>
      <c r="L19" s="47">
        <v>46149.572916666664</v>
      </c>
      <c r="M19" s="47">
        <v>46149.57708333333</v>
      </c>
      <c r="N19" s="47">
        <v>46154.302488425928</v>
      </c>
      <c r="O19" s="47">
        <v>46150.338888888888</v>
      </c>
      <c r="P19" s="52">
        <v>46154.302488425928</v>
      </c>
      <c r="Q19" s="45" t="s">
        <v>5534</v>
      </c>
      <c r="R19" s="45" t="s">
        <v>272</v>
      </c>
      <c r="S19" s="45" t="s">
        <v>175</v>
      </c>
      <c r="T19" s="45" t="s">
        <v>268</v>
      </c>
      <c r="U19" s="45" t="s">
        <v>371</v>
      </c>
      <c r="X19" s="45" t="s">
        <v>5531</v>
      </c>
      <c r="Y19" s="45" t="s">
        <v>5535</v>
      </c>
      <c r="Z19" s="76">
        <f t="shared" ca="1" si="8"/>
        <v>0.23958333332848269</v>
      </c>
      <c r="AA19" s="75">
        <f t="shared" ca="1" si="9"/>
        <v>0.63888888887595385</v>
      </c>
      <c r="AB19" s="76">
        <f t="shared" ca="1" si="10"/>
        <v>0.14097222222335404</v>
      </c>
      <c r="AC19" s="75">
        <f t="shared" ca="1" si="11"/>
        <v>0.37592592592894408</v>
      </c>
      <c r="AD19" s="76">
        <f t="shared" ca="1" si="12"/>
        <v>4.166666665696539E-3</v>
      </c>
      <c r="AE19" s="76">
        <f t="shared" ca="1" si="13"/>
        <v>0.14097222222335404</v>
      </c>
      <c r="AF19" s="75">
        <f t="shared" ca="1" si="14"/>
        <v>0.37592592592894408</v>
      </c>
      <c r="AG19" s="75">
        <f t="shared" ca="1" si="15"/>
        <v>0.37592592592894408</v>
      </c>
      <c r="AH19" s="31" t="str" cm="1">
        <f t="array" aca="1" ref="AH19" ca="1">IF((AD19) &lt; (INDEX(ResponseSLA[#All],(MATCH((G19),ResponseSLA[Priority],0))+1,3)),"YES","No")</f>
        <v>YES</v>
      </c>
      <c r="AI19" s="31" t="str">
        <f ca="1">_xlfn.IFNA(IF(AE19 &lt; (INDEX(SLATable[Minimum SLA],MATCH(G19,SLATable[Priority],0))),"YES","NO"),"")</f>
        <v>YES</v>
      </c>
      <c r="AJ19" t="str">
        <f ca="1">_xlfn.IFNA(IF(AE19 &lt; (INDEX(SLATable[Maximum SLA],MATCH(G19,SLATable[Priority],0))),"YES","NO"),"")</f>
        <v>YES</v>
      </c>
    </row>
    <row r="20" spans="1:36" ht="15" customHeight="1">
      <c r="A20" s="45">
        <v>19</v>
      </c>
      <c r="B20" s="45" t="s">
        <v>26</v>
      </c>
      <c r="C20" s="45" t="s">
        <v>44</v>
      </c>
      <c r="D20" s="53" t="s">
        <v>207</v>
      </c>
      <c r="E20" s="53" t="s">
        <v>5582</v>
      </c>
      <c r="F20" s="45" t="s">
        <v>312</v>
      </c>
      <c r="G20" s="53">
        <v>4</v>
      </c>
      <c r="H20" s="53" t="s">
        <v>5583</v>
      </c>
      <c r="I20" s="53" t="s">
        <v>275</v>
      </c>
      <c r="J20" s="45" t="s">
        <v>5530</v>
      </c>
      <c r="K20" s="71">
        <v>46146.540972222225</v>
      </c>
      <c r="L20" s="71">
        <v>46150.552777777775</v>
      </c>
      <c r="M20" s="71">
        <v>46150.5625</v>
      </c>
      <c r="N20" s="71">
        <v>46153.311111111114</v>
      </c>
      <c r="O20" s="71"/>
      <c r="P20" s="71"/>
      <c r="Q20" s="53" t="s">
        <v>5584</v>
      </c>
      <c r="R20" s="53" t="s">
        <v>272</v>
      </c>
      <c r="S20" s="53" t="s">
        <v>175</v>
      </c>
      <c r="T20" s="53" t="s">
        <v>277</v>
      </c>
      <c r="U20" s="53" t="s">
        <v>5531</v>
      </c>
      <c r="X20" s="45" t="s">
        <v>5531</v>
      </c>
      <c r="Y20" s="53" t="s">
        <v>5585</v>
      </c>
      <c r="Z20" s="76">
        <f t="shared" ca="1" si="8"/>
        <v>1.5000000000000002</v>
      </c>
      <c r="AA20" s="75">
        <f t="shared" ca="1" si="9"/>
        <v>4.0000000000000009</v>
      </c>
      <c r="AB20" s="76">
        <f t="shared" ca="1" si="10"/>
        <v>0.1555555555581426</v>
      </c>
      <c r="AC20" s="75">
        <f t="shared" ca="1" si="11"/>
        <v>0.41481481482171362</v>
      </c>
      <c r="AD20" s="76">
        <f t="shared" ca="1" si="12"/>
        <v>9.7222222248092294E-3</v>
      </c>
      <c r="AE20" s="76">
        <f t="shared" ca="1" si="13"/>
        <v>0.1555555555581426</v>
      </c>
      <c r="AF20" s="75">
        <f t="shared" ca="1" si="14"/>
        <v>0.41481481482171362</v>
      </c>
      <c r="AG20" s="75">
        <f t="shared" ca="1" si="15"/>
        <v>0.41481481482171362</v>
      </c>
      <c r="AH20" s="31" t="str" cm="1">
        <f t="array" aca="1" ref="AH20" ca="1">IF((AD20) &lt; (INDEX(ResponseSLA[#All],(MATCH((G20),ResponseSLA[Priority],0))+1,3)),"YES","No")</f>
        <v>YES</v>
      </c>
      <c r="AI20" s="31" t="str">
        <f ca="1">_xlfn.IFNA(IF(AE20 &lt; (INDEX(SLATable[Minimum SLA],MATCH(G20,SLATable[Priority],0))),"YES","NO"),"")</f>
        <v>YES</v>
      </c>
      <c r="AJ20" t="str">
        <f ca="1">_xlfn.IFNA(IF(AE20 &lt; (INDEX(SLATable[Maximum SLA],MATCH(G20,SLATable[Priority],0))),"YES","NO"),"")</f>
        <v>YES</v>
      </c>
    </row>
    <row r="21" spans="1:36" ht="15" customHeight="1">
      <c r="A21" s="45">
        <v>20</v>
      </c>
      <c r="B21" s="45" t="s">
        <v>26</v>
      </c>
      <c r="C21" s="45" t="s">
        <v>44</v>
      </c>
      <c r="D21" s="53" t="s">
        <v>207</v>
      </c>
      <c r="E21" s="53" t="s">
        <v>5586</v>
      </c>
      <c r="F21" s="45" t="s">
        <v>312</v>
      </c>
      <c r="G21" s="53">
        <v>3</v>
      </c>
      <c r="H21" s="53" t="s">
        <v>5587</v>
      </c>
      <c r="I21" s="53" t="s">
        <v>275</v>
      </c>
      <c r="J21" s="45" t="s">
        <v>5530</v>
      </c>
      <c r="K21" s="71">
        <v>46150.506249999999</v>
      </c>
      <c r="L21" s="71">
        <v>46150.624305555553</v>
      </c>
      <c r="M21" s="71">
        <v>46153.265972222223</v>
      </c>
      <c r="N21" s="71">
        <v>46153.311805555553</v>
      </c>
      <c r="O21" s="71"/>
      <c r="P21" s="71"/>
      <c r="Q21" s="53" t="s">
        <v>5584</v>
      </c>
      <c r="R21" s="53" t="s">
        <v>272</v>
      </c>
      <c r="S21" s="53" t="s">
        <v>175</v>
      </c>
      <c r="T21" s="53" t="s">
        <v>277</v>
      </c>
      <c r="U21" s="53" t="s">
        <v>5531</v>
      </c>
      <c r="X21" s="45" t="s">
        <v>5531</v>
      </c>
      <c r="Y21" s="53" t="s">
        <v>5585</v>
      </c>
      <c r="Z21" s="76">
        <f t="shared" ca="1" si="8"/>
        <v>0.20208333333478856</v>
      </c>
      <c r="AA21" s="75">
        <f t="shared" ca="1" si="9"/>
        <v>0.53888888889276954</v>
      </c>
      <c r="AB21" s="76">
        <f t="shared" ca="1" si="10"/>
        <v>8.4027777780041446E-2</v>
      </c>
      <c r="AC21" s="75">
        <f t="shared" ca="1" si="11"/>
        <v>0.22407407408011051</v>
      </c>
      <c r="AD21" s="76">
        <f t="shared" ca="1" si="12"/>
        <v>8.4027777780041446E-2</v>
      </c>
      <c r="AE21" s="76">
        <f t="shared" ca="1" si="13"/>
        <v>8.4027777780041446E-2</v>
      </c>
      <c r="AF21" s="75">
        <f t="shared" ca="1" si="14"/>
        <v>0.22407407408011051</v>
      </c>
      <c r="AG21" s="75">
        <f t="shared" ca="1" si="15"/>
        <v>0.22407407408011051</v>
      </c>
      <c r="AH21" s="31" t="str" cm="1">
        <f t="array" aca="1" ref="AH21" ca="1">IF((AD21) &lt; (INDEX(ResponseSLA[#All],(MATCH((G21),ResponseSLA[Priority],0))+1,3)),"YES","No")</f>
        <v>No</v>
      </c>
      <c r="AI21" s="31" t="str">
        <f ca="1">_xlfn.IFNA(IF(AE21 &lt; (INDEX(SLATable[Minimum SLA],MATCH(G21,SLATable[Priority],0))),"YES","NO"),"")</f>
        <v>YES</v>
      </c>
      <c r="AJ21" t="str">
        <f ca="1">_xlfn.IFNA(IF(AE21 &lt; (INDEX(SLATable[Maximum SLA],MATCH(G21,SLATable[Priority],0))),"YES","NO"),"")</f>
        <v>YES</v>
      </c>
    </row>
    <row r="22" spans="1:36" ht="15" customHeight="1">
      <c r="A22" s="45">
        <v>21</v>
      </c>
      <c r="B22" s="45" t="s">
        <v>26</v>
      </c>
      <c r="C22" s="45" t="s">
        <v>44</v>
      </c>
      <c r="D22" s="53" t="s">
        <v>207</v>
      </c>
      <c r="E22" s="53" t="s">
        <v>5588</v>
      </c>
      <c r="F22" s="45" t="s">
        <v>312</v>
      </c>
      <c r="G22" s="53">
        <v>4</v>
      </c>
      <c r="H22" s="53" t="s">
        <v>5589</v>
      </c>
      <c r="I22" s="53" t="s">
        <v>275</v>
      </c>
      <c r="J22" s="45" t="s">
        <v>5530</v>
      </c>
      <c r="K22" s="71">
        <v>46152.668055555558</v>
      </c>
      <c r="L22" s="71">
        <v>46153.397916666669</v>
      </c>
      <c r="M22" s="71">
        <v>46153.402777777781</v>
      </c>
      <c r="N22" s="71">
        <v>46154.295138888891</v>
      </c>
      <c r="O22" s="71"/>
      <c r="P22" s="71"/>
      <c r="Q22" s="53" t="s">
        <v>5534</v>
      </c>
      <c r="R22" s="53" t="s">
        <v>261</v>
      </c>
      <c r="S22" s="53" t="s">
        <v>179</v>
      </c>
      <c r="T22" s="53" t="s">
        <v>268</v>
      </c>
      <c r="U22" s="53" t="s">
        <v>5531</v>
      </c>
      <c r="X22" s="45" t="s">
        <v>5531</v>
      </c>
      <c r="Y22" s="53" t="s">
        <v>5590</v>
      </c>
      <c r="Z22" s="76">
        <f t="shared" ca="1" si="8"/>
        <v>0.37500000000000006</v>
      </c>
      <c r="AA22" s="75">
        <f t="shared" ca="1" si="9"/>
        <v>1.0000000000000002</v>
      </c>
      <c r="AB22" s="76">
        <f t="shared" ca="1" si="10"/>
        <v>0.31041666666472645</v>
      </c>
      <c r="AC22" s="75">
        <f t="shared" ca="1" si="11"/>
        <v>0.82777777777260386</v>
      </c>
      <c r="AD22" s="76">
        <f t="shared" ca="1" si="12"/>
        <v>4.8611111124046147E-3</v>
      </c>
      <c r="AE22" s="76">
        <f t="shared" ca="1" si="13"/>
        <v>0.31041666666472645</v>
      </c>
      <c r="AF22" s="75">
        <f t="shared" ca="1" si="14"/>
        <v>0.82777777777260386</v>
      </c>
      <c r="AG22" s="75">
        <f t="shared" ca="1" si="15"/>
        <v>0.82777777777260386</v>
      </c>
      <c r="AH22" s="31" t="str" cm="1">
        <f t="array" aca="1" ref="AH22" ca="1">IF((AD22) &lt; (INDEX(ResponseSLA[#All],(MATCH((G22),ResponseSLA[Priority],0))+1,3)),"YES","No")</f>
        <v>YES</v>
      </c>
      <c r="AI22" s="31" t="str">
        <f ca="1">_xlfn.IFNA(IF(AE22 &lt; (INDEX(SLATable[Minimum SLA],MATCH(G22,SLATable[Priority],0))),"YES","NO"),"")</f>
        <v>YES</v>
      </c>
      <c r="AJ22" t="str">
        <f ca="1">_xlfn.IFNA(IF(AE22 &lt; (INDEX(SLATable[Maximum SLA],MATCH(G22,SLATable[Priority],0))),"YES","NO"),"")</f>
        <v>YES</v>
      </c>
    </row>
    <row r="23" spans="1:36" ht="15" customHeight="1">
      <c r="A23" s="45">
        <v>22</v>
      </c>
      <c r="B23" s="45" t="s">
        <v>26</v>
      </c>
      <c r="C23" s="45" t="s">
        <v>44</v>
      </c>
      <c r="D23" s="53" t="s">
        <v>207</v>
      </c>
      <c r="E23" s="53" t="s">
        <v>5591</v>
      </c>
      <c r="F23" s="45" t="s">
        <v>312</v>
      </c>
      <c r="G23" s="53">
        <v>4</v>
      </c>
      <c r="H23" s="53" t="s">
        <v>5592</v>
      </c>
      <c r="I23" s="53" t="s">
        <v>275</v>
      </c>
      <c r="J23" s="45" t="s">
        <v>5530</v>
      </c>
      <c r="K23" s="71">
        <v>46150.570833333331</v>
      </c>
      <c r="L23" s="71">
        <v>46153.540277777778</v>
      </c>
      <c r="M23" s="71">
        <v>46153.570833333331</v>
      </c>
      <c r="N23" s="71">
        <v>46154.296527777777</v>
      </c>
      <c r="O23" s="71"/>
      <c r="P23" s="71"/>
      <c r="Q23" s="53" t="s">
        <v>5534</v>
      </c>
      <c r="R23" s="53" t="s">
        <v>261</v>
      </c>
      <c r="S23" s="53" t="s">
        <v>179</v>
      </c>
      <c r="T23" s="53" t="s">
        <v>268</v>
      </c>
      <c r="U23" s="53" t="s">
        <v>5531</v>
      </c>
      <c r="X23" s="45" t="s">
        <v>5531</v>
      </c>
      <c r="Y23" s="53" t="s">
        <v>5593</v>
      </c>
      <c r="Z23" s="76">
        <f t="shared" ca="1" si="8"/>
        <v>0.5125000000019404</v>
      </c>
      <c r="AA23" s="75">
        <f t="shared" ca="1" si="9"/>
        <v>1.366666666671841</v>
      </c>
      <c r="AB23" s="76">
        <f t="shared" ca="1" si="10"/>
        <v>0.16805555555523222</v>
      </c>
      <c r="AC23" s="75">
        <f t="shared" ca="1" si="11"/>
        <v>0.44814814814728593</v>
      </c>
      <c r="AD23" s="76">
        <f t="shared" ca="1" si="12"/>
        <v>3.0555555553291924E-2</v>
      </c>
      <c r="AE23" s="76">
        <f t="shared" ca="1" si="13"/>
        <v>0.16805555555523222</v>
      </c>
      <c r="AF23" s="75">
        <f t="shared" ca="1" si="14"/>
        <v>0.44814814814728593</v>
      </c>
      <c r="AG23" s="75">
        <f t="shared" ca="1" si="15"/>
        <v>0.44814814814728593</v>
      </c>
      <c r="AH23" s="31" t="str" cm="1">
        <f t="array" aca="1" ref="AH23" ca="1">IF((AD23) &lt; (INDEX(ResponseSLA[#All],(MATCH((G23),ResponseSLA[Priority],0))+1,3)),"YES","No")</f>
        <v>YES</v>
      </c>
      <c r="AI23" s="31" t="str">
        <f ca="1">_xlfn.IFNA(IF(AE23 &lt; (INDEX(SLATable[Minimum SLA],MATCH(G23,SLATable[Priority],0))),"YES","NO"),"")</f>
        <v>YES</v>
      </c>
      <c r="AJ23" t="str">
        <f ca="1">_xlfn.IFNA(IF(AE23 &lt; (INDEX(SLATable[Maximum SLA],MATCH(G23,SLATable[Priority],0))),"YES","NO"),"")</f>
        <v>YES</v>
      </c>
    </row>
    <row r="24" spans="1:36" ht="15" customHeight="1">
      <c r="A24" s="45">
        <v>23</v>
      </c>
      <c r="B24" s="45" t="s">
        <v>26</v>
      </c>
      <c r="C24" s="45" t="s">
        <v>44</v>
      </c>
      <c r="D24" s="53" t="s">
        <v>207</v>
      </c>
      <c r="E24" s="53" t="s">
        <v>5594</v>
      </c>
      <c r="F24" s="45" t="s">
        <v>312</v>
      </c>
      <c r="G24" s="53">
        <v>4</v>
      </c>
      <c r="H24" s="53" t="s">
        <v>5595</v>
      </c>
      <c r="I24" s="53" t="s">
        <v>275</v>
      </c>
      <c r="J24" s="45" t="s">
        <v>5530</v>
      </c>
      <c r="K24" s="71">
        <v>46150.51458333333</v>
      </c>
      <c r="L24" s="71">
        <v>46153.638194444444</v>
      </c>
      <c r="M24" s="71">
        <v>46154.271527777775</v>
      </c>
      <c r="N24" s="71">
        <v>46154.29791666667</v>
      </c>
      <c r="O24" s="71"/>
      <c r="P24" s="71"/>
      <c r="Q24" s="53" t="s">
        <v>5534</v>
      </c>
      <c r="R24" s="53" t="s">
        <v>272</v>
      </c>
      <c r="S24" s="53" t="s">
        <v>175</v>
      </c>
      <c r="T24" s="53" t="s">
        <v>268</v>
      </c>
      <c r="U24" s="53" t="s">
        <v>5531</v>
      </c>
      <c r="X24" s="45" t="s">
        <v>5531</v>
      </c>
      <c r="Y24" s="53" t="s">
        <v>5596</v>
      </c>
      <c r="Z24" s="76">
        <f t="shared" ca="1" si="8"/>
        <v>0.56875000000339559</v>
      </c>
      <c r="AA24" s="75">
        <f t="shared" ca="1" si="9"/>
        <v>1.5166666666757216</v>
      </c>
      <c r="AB24" s="76">
        <f t="shared" ca="1" si="10"/>
        <v>7.0138888889535678E-2</v>
      </c>
      <c r="AC24" s="75">
        <f t="shared" ca="1" si="11"/>
        <v>0.18703703703876182</v>
      </c>
      <c r="AD24" s="76">
        <f t="shared" ca="1" si="12"/>
        <v>7.0138888889535678E-2</v>
      </c>
      <c r="AE24" s="76">
        <f t="shared" ca="1" si="13"/>
        <v>7.0138888889535678E-2</v>
      </c>
      <c r="AF24" s="75">
        <f t="shared" ca="1" si="14"/>
        <v>0.18703703703876182</v>
      </c>
      <c r="AG24" s="75">
        <f t="shared" ca="1" si="15"/>
        <v>0.18703703703876182</v>
      </c>
      <c r="AH24" s="31" t="str" cm="1">
        <f t="array" aca="1" ref="AH24" ca="1">IF((AD24) &lt; (INDEX(ResponseSLA[#All],(MATCH((G24),ResponseSLA[Priority],0))+1,3)),"YES","No")</f>
        <v>YES</v>
      </c>
      <c r="AI24" s="31" t="str">
        <f ca="1">_xlfn.IFNA(IF(AE24 &lt; (INDEX(SLATable[Minimum SLA],MATCH(G24,SLATable[Priority],0))),"YES","NO"),"")</f>
        <v>YES</v>
      </c>
      <c r="AJ24" t="str">
        <f ca="1">_xlfn.IFNA(IF(AE24 &lt; (INDEX(SLATable[Maximum SLA],MATCH(G24,SLATable[Priority],0))),"YES","NO"),"")</f>
        <v>YES</v>
      </c>
    </row>
    <row r="25" spans="1:36" ht="15" customHeight="1">
      <c r="A25" s="45">
        <v>24</v>
      </c>
      <c r="B25" s="45" t="s">
        <v>26</v>
      </c>
      <c r="C25" s="45" t="s">
        <v>44</v>
      </c>
      <c r="D25" s="53" t="s">
        <v>207</v>
      </c>
      <c r="E25" s="53" t="s">
        <v>5597</v>
      </c>
      <c r="F25" s="45" t="s">
        <v>312</v>
      </c>
      <c r="G25" s="53">
        <v>3</v>
      </c>
      <c r="H25" s="53" t="s">
        <v>5598</v>
      </c>
      <c r="I25" s="53" t="s">
        <v>271</v>
      </c>
      <c r="J25" s="45" t="s">
        <v>5530</v>
      </c>
      <c r="K25" s="71">
        <v>46150.416666666664</v>
      </c>
      <c r="L25" s="71">
        <v>46153.645138888889</v>
      </c>
      <c r="M25" s="71">
        <v>46154.274305555555</v>
      </c>
      <c r="N25" s="71">
        <v>46161.75</v>
      </c>
      <c r="O25" s="71">
        <v>46154.300694444442</v>
      </c>
      <c r="P25" s="71">
        <v>46161.75</v>
      </c>
      <c r="Q25" s="53" t="s">
        <v>44</v>
      </c>
      <c r="R25" s="53" t="s">
        <v>272</v>
      </c>
      <c r="S25" s="53" t="s">
        <v>175</v>
      </c>
      <c r="T25" s="53" t="s">
        <v>277</v>
      </c>
      <c r="U25" s="53" t="s">
        <v>371</v>
      </c>
      <c r="X25" s="45" t="s">
        <v>5531</v>
      </c>
      <c r="Y25" s="53" t="s">
        <v>5564</v>
      </c>
      <c r="Z25" s="76">
        <f t="shared" ca="1" si="8"/>
        <v>0.66666666666909258</v>
      </c>
      <c r="AA25" s="75">
        <f t="shared" ca="1" si="9"/>
        <v>1.7777777777842469</v>
      </c>
      <c r="AB25" s="76">
        <f t="shared" ca="1" si="10"/>
        <v>6.3194444444283349E-2</v>
      </c>
      <c r="AC25" s="75">
        <f t="shared" ca="1" si="11"/>
        <v>0.16851851851808894</v>
      </c>
      <c r="AD25" s="76">
        <f t="shared" ca="1" si="12"/>
        <v>6.3194444444282794E-2</v>
      </c>
      <c r="AE25" s="76">
        <f t="shared" ca="1" si="13"/>
        <v>6.3194444444283349E-2</v>
      </c>
      <c r="AF25" s="75">
        <f t="shared" ca="1" si="14"/>
        <v>0.16851851851808894</v>
      </c>
      <c r="AG25" s="75">
        <f t="shared" ca="1" si="15"/>
        <v>0.16851851851808894</v>
      </c>
      <c r="AH25" s="31" t="str" cm="1">
        <f t="array" aca="1" ref="AH25" ca="1">IF((AD25) &lt; (INDEX(ResponseSLA[#All],(MATCH((G25),ResponseSLA[Priority],0))+1,3)),"YES","No")</f>
        <v>YES</v>
      </c>
      <c r="AI25" s="31" t="str">
        <f ca="1">_xlfn.IFNA(IF(AE25 &lt; (INDEX(SLATable[Minimum SLA],MATCH(G25,SLATable[Priority],0))),"YES","NO"),"")</f>
        <v>YES</v>
      </c>
      <c r="AJ25" t="str">
        <f ca="1">_xlfn.IFNA(IF(AE25 &lt; (INDEX(SLATable[Maximum SLA],MATCH(G25,SLATable[Priority],0))),"YES","NO"),"")</f>
        <v>YES</v>
      </c>
    </row>
    <row r="26" spans="1:36" ht="15" customHeight="1">
      <c r="A26" s="45">
        <v>25</v>
      </c>
      <c r="B26" s="45" t="s">
        <v>26</v>
      </c>
      <c r="C26" s="45" t="s">
        <v>44</v>
      </c>
      <c r="D26" s="53" t="s">
        <v>208</v>
      </c>
      <c r="E26" s="53" t="s">
        <v>5599</v>
      </c>
      <c r="F26" s="45" t="s">
        <v>312</v>
      </c>
      <c r="G26" s="53" t="s">
        <v>208</v>
      </c>
      <c r="H26" s="53" t="s">
        <v>5600</v>
      </c>
      <c r="I26" s="53" t="s">
        <v>271</v>
      </c>
      <c r="J26" s="45" t="s">
        <v>5530</v>
      </c>
      <c r="K26" s="71">
        <v>46153.552777777775</v>
      </c>
      <c r="L26" s="71">
        <v>46153.552777777775</v>
      </c>
      <c r="M26" s="71">
        <v>46153.588888888888</v>
      </c>
      <c r="N26" s="71">
        <v>46156.306944444441</v>
      </c>
      <c r="O26" s="71">
        <v>46154.305555555555</v>
      </c>
      <c r="P26" s="71">
        <v>46156.306944444441</v>
      </c>
      <c r="Q26" s="53" t="s">
        <v>5534</v>
      </c>
      <c r="R26" s="53" t="s">
        <v>272</v>
      </c>
      <c r="S26" s="53" t="s">
        <v>175</v>
      </c>
      <c r="T26" s="53" t="s">
        <v>268</v>
      </c>
      <c r="U26" s="53" t="s">
        <v>5531</v>
      </c>
      <c r="X26" s="45" t="s">
        <v>5531</v>
      </c>
      <c r="Y26" s="53" t="s">
        <v>5590</v>
      </c>
      <c r="Z26" s="76">
        <f t="shared" ca="1" si="8"/>
        <v>0.15555555555814249</v>
      </c>
      <c r="AA26" s="75">
        <f t="shared" ca="1" si="9"/>
        <v>0.41481481482171328</v>
      </c>
      <c r="AB26" s="76">
        <f t="shared" ca="1" si="10"/>
        <v>0.15555555555814249</v>
      </c>
      <c r="AC26" s="75">
        <f t="shared" ca="1" si="11"/>
        <v>0.41481481482171328</v>
      </c>
      <c r="AD26" s="76">
        <f t="shared" ca="1" si="12"/>
        <v>3.6111111112404615E-2</v>
      </c>
      <c r="AE26" s="76">
        <f t="shared" ca="1" si="13"/>
        <v>0.15555555555814249</v>
      </c>
      <c r="AF26" s="75">
        <f t="shared" ca="1" si="14"/>
        <v>0.41481481482171328</v>
      </c>
      <c r="AG26" s="75">
        <f t="shared" ca="1" si="15"/>
        <v>0.41481481482171328</v>
      </c>
      <c r="AH26" s="31" t="str" cm="1">
        <f t="array" aca="1" ref="AH26" ca="1">IF((AD26) &lt; (INDEX(ResponseSLA[#All],(MATCH((G26),ResponseSLA[Priority],0))+1,3)),"YES","No")</f>
        <v>YES</v>
      </c>
      <c r="AI26" s="31" t="str">
        <f ca="1">_xlfn.IFNA(IF(AE26 &lt; (INDEX(SLATable[Minimum SLA],MATCH(G26,SLATable[Priority],0))),"YES","NO"),"")</f>
        <v>YES</v>
      </c>
      <c r="AJ26" t="str">
        <f ca="1">_xlfn.IFNA(IF(AE26 &lt; (INDEX(SLATable[Maximum SLA],MATCH(G26,SLATable[Priority],0))),"YES","NO"),"")</f>
        <v>YES</v>
      </c>
    </row>
    <row r="27" spans="1:36" ht="15" customHeight="1">
      <c r="A27" s="45">
        <v>26</v>
      </c>
      <c r="B27" s="45" t="s">
        <v>26</v>
      </c>
      <c r="C27" s="45" t="s">
        <v>44</v>
      </c>
      <c r="D27" s="53" t="s">
        <v>207</v>
      </c>
      <c r="E27" s="53" t="s">
        <v>5601</v>
      </c>
      <c r="F27" s="45" t="s">
        <v>312</v>
      </c>
      <c r="G27" s="53">
        <v>4</v>
      </c>
      <c r="H27" s="53" t="s">
        <v>5602</v>
      </c>
      <c r="I27" s="53" t="s">
        <v>275</v>
      </c>
      <c r="J27" s="45" t="s">
        <v>5530</v>
      </c>
      <c r="K27" s="71">
        <v>46154.425000000003</v>
      </c>
      <c r="L27" s="71">
        <v>46154.431944444441</v>
      </c>
      <c r="M27" s="71">
        <v>46154.477777777778</v>
      </c>
      <c r="N27" s="71">
        <v>46155.481944444444</v>
      </c>
      <c r="O27" s="71"/>
      <c r="P27" s="71"/>
      <c r="Q27" s="53" t="s">
        <v>5534</v>
      </c>
      <c r="R27" s="53" t="s">
        <v>261</v>
      </c>
      <c r="S27" s="53" t="s">
        <v>179</v>
      </c>
      <c r="T27" s="53" t="s">
        <v>268</v>
      </c>
      <c r="U27" s="53" t="s">
        <v>5531</v>
      </c>
      <c r="X27" s="45" t="s">
        <v>5531</v>
      </c>
      <c r="Y27" s="53" t="s">
        <v>5603</v>
      </c>
      <c r="Z27" s="76">
        <f t="shared" ca="1" si="8"/>
        <v>0.43194444444088731</v>
      </c>
      <c r="AA27" s="75">
        <f t="shared" ca="1" si="9"/>
        <v>1.1518518518423662</v>
      </c>
      <c r="AB27" s="76">
        <f t="shared" ca="1" si="10"/>
        <v>0.42500000000291038</v>
      </c>
      <c r="AC27" s="75">
        <f t="shared" ca="1" si="11"/>
        <v>1.1333333333410944</v>
      </c>
      <c r="AD27" s="76">
        <f t="shared" ca="1" si="12"/>
        <v>4.5833333337213844E-2</v>
      </c>
      <c r="AE27" s="76">
        <f t="shared" ca="1" si="13"/>
        <v>0.42500000000291038</v>
      </c>
      <c r="AF27" s="75">
        <f t="shared" ca="1" si="14"/>
        <v>1.1333333333410944</v>
      </c>
      <c r="AG27" s="75">
        <f t="shared" ca="1" si="15"/>
        <v>1.1333333333410944</v>
      </c>
      <c r="AH27" s="31" t="str" cm="1">
        <f t="array" aca="1" ref="AH27" ca="1">IF((AD27) &lt; (INDEX(ResponseSLA[#All],(MATCH((G27),ResponseSLA[Priority],0))+1,3)),"YES","No")</f>
        <v>YES</v>
      </c>
      <c r="AI27" s="31" t="str">
        <f ca="1">_xlfn.IFNA(IF(AE27 &lt; (INDEX(SLATable[Minimum SLA],MATCH(G27,SLATable[Priority],0))),"YES","NO"),"")</f>
        <v>YES</v>
      </c>
      <c r="AJ27" t="str">
        <f ca="1">_xlfn.IFNA(IF(AE27 &lt; (INDEX(SLATable[Maximum SLA],MATCH(G27,SLATable[Priority],0))),"YES","NO"),"")</f>
        <v>YES</v>
      </c>
    </row>
    <row r="28" spans="1:36" ht="15" customHeight="1">
      <c r="A28" s="45">
        <v>27</v>
      </c>
      <c r="B28" s="45" t="s">
        <v>26</v>
      </c>
      <c r="C28" s="45" t="s">
        <v>44</v>
      </c>
      <c r="D28" s="53" t="s">
        <v>207</v>
      </c>
      <c r="E28" s="53" t="s">
        <v>5604</v>
      </c>
      <c r="F28" s="45" t="s">
        <v>312</v>
      </c>
      <c r="G28" s="53">
        <v>4</v>
      </c>
      <c r="H28" s="53" t="s">
        <v>5605</v>
      </c>
      <c r="I28" s="53" t="s">
        <v>275</v>
      </c>
      <c r="J28" s="45" t="s">
        <v>5530</v>
      </c>
      <c r="K28" s="71">
        <v>46149.654861111114</v>
      </c>
      <c r="L28" s="71">
        <v>46155.64166666667</v>
      </c>
      <c r="M28" s="71">
        <v>46155.654861111114</v>
      </c>
      <c r="N28" s="71">
        <v>46156.304166666669</v>
      </c>
      <c r="O28" s="71"/>
      <c r="P28" s="71"/>
      <c r="Q28" s="53" t="s">
        <v>5534</v>
      </c>
      <c r="R28" s="53" t="s">
        <v>261</v>
      </c>
      <c r="S28" s="53" t="s">
        <v>179</v>
      </c>
      <c r="T28" s="53" t="s">
        <v>268</v>
      </c>
      <c r="U28" s="53" t="s">
        <v>5531</v>
      </c>
      <c r="X28" s="45" t="s">
        <v>5531</v>
      </c>
      <c r="Y28" s="53" t="s">
        <v>5593</v>
      </c>
      <c r="Z28" s="76">
        <f t="shared" ca="1" si="8"/>
        <v>1.5534722222194737</v>
      </c>
      <c r="AA28" s="75">
        <f t="shared" ca="1" si="9"/>
        <v>4.1425925925852631</v>
      </c>
      <c r="AB28" s="76">
        <f t="shared" ca="1" si="10"/>
        <v>6.6666666663271257E-2</v>
      </c>
      <c r="AC28" s="75">
        <f t="shared" ca="1" si="11"/>
        <v>0.17777777776872336</v>
      </c>
      <c r="AD28" s="76">
        <f t="shared" ca="1" si="12"/>
        <v>1.3194444443797693E-2</v>
      </c>
      <c r="AE28" s="76">
        <f t="shared" ca="1" si="13"/>
        <v>6.6666666663271257E-2</v>
      </c>
      <c r="AF28" s="75">
        <f t="shared" ca="1" si="14"/>
        <v>0.17777777776872336</v>
      </c>
      <c r="AG28" s="75">
        <f t="shared" ca="1" si="15"/>
        <v>0.17777777776872336</v>
      </c>
      <c r="AH28" s="31" t="str" cm="1">
        <f t="array" aca="1" ref="AH28" ca="1">IF((AD28) &lt; (INDEX(ResponseSLA[#All],(MATCH((G28),ResponseSLA[Priority],0))+1,3)),"YES","No")</f>
        <v>YES</v>
      </c>
      <c r="AI28" s="31" t="str">
        <f ca="1">_xlfn.IFNA(IF(AE28 &lt; (INDEX(SLATable[Minimum SLA],MATCH(G28,SLATable[Priority],0))),"YES","NO"),"")</f>
        <v>YES</v>
      </c>
      <c r="AJ28" t="str">
        <f ca="1">_xlfn.IFNA(IF(AE28 &lt; (INDEX(SLATable[Maximum SLA],MATCH(G28,SLATable[Priority],0))),"YES","NO"),"")</f>
        <v>YES</v>
      </c>
    </row>
    <row r="29" spans="1:36" ht="15" customHeight="1">
      <c r="A29" s="45">
        <v>28</v>
      </c>
      <c r="B29" s="45" t="s">
        <v>26</v>
      </c>
      <c r="C29" s="45" t="s">
        <v>44</v>
      </c>
      <c r="D29" s="53" t="s">
        <v>207</v>
      </c>
      <c r="E29" s="53" t="s">
        <v>5606</v>
      </c>
      <c r="F29" s="45" t="s">
        <v>312</v>
      </c>
      <c r="G29" s="53">
        <v>4</v>
      </c>
      <c r="H29" s="53" t="s">
        <v>5607</v>
      </c>
      <c r="I29" s="53" t="s">
        <v>275</v>
      </c>
      <c r="J29" s="45" t="s">
        <v>5530</v>
      </c>
      <c r="K29" s="71">
        <v>46155.630555555559</v>
      </c>
      <c r="L29" s="71">
        <v>46156.15625</v>
      </c>
      <c r="M29" s="71">
        <v>46156.279861111114</v>
      </c>
      <c r="N29" s="71">
        <v>46156.304861111108</v>
      </c>
      <c r="O29" s="71"/>
      <c r="P29" s="71"/>
      <c r="Q29" s="53" t="s">
        <v>5534</v>
      </c>
      <c r="R29" s="53" t="s">
        <v>272</v>
      </c>
      <c r="S29" s="53" t="s">
        <v>175</v>
      </c>
      <c r="T29" s="53" t="s">
        <v>277</v>
      </c>
      <c r="U29" s="53" t="s">
        <v>5531</v>
      </c>
      <c r="X29" s="45" t="s">
        <v>5531</v>
      </c>
      <c r="Y29" s="53" t="s">
        <v>5585</v>
      </c>
      <c r="Z29" s="76">
        <f t="shared" ca="1" si="8"/>
        <v>7.777777777422068E-2</v>
      </c>
      <c r="AA29" s="75">
        <f t="shared" ca="1" si="9"/>
        <v>0.20740740739792182</v>
      </c>
      <c r="AB29" s="76">
        <f t="shared" ca="1" si="10"/>
        <v>0</v>
      </c>
      <c r="AC29" s="75">
        <f t="shared" ca="1" si="11"/>
        <v>0</v>
      </c>
      <c r="AD29" s="76">
        <f t="shared" ca="1" si="12"/>
        <v>0</v>
      </c>
      <c r="AE29" s="76">
        <f t="shared" ca="1" si="13"/>
        <v>0</v>
      </c>
      <c r="AF29" s="75">
        <f t="shared" ca="1" si="14"/>
        <v>0</v>
      </c>
      <c r="AG29" s="75">
        <f t="shared" ca="1" si="15"/>
        <v>0</v>
      </c>
      <c r="AH29" s="31" t="str" cm="1">
        <f t="array" aca="1" ref="AH29" ca="1">IF((AD29) &lt; (INDEX(ResponseSLA[#All],(MATCH((G29),ResponseSLA[Priority],0))+1,3)),"YES","No")</f>
        <v>YES</v>
      </c>
      <c r="AI29" s="31" t="str">
        <f ca="1">_xlfn.IFNA(IF(AE29 &lt; (INDEX(SLATable[Minimum SLA],MATCH(G29,SLATable[Priority],0))),"YES","NO"),"")</f>
        <v>YES</v>
      </c>
      <c r="AJ29" t="str">
        <f ca="1">_xlfn.IFNA(IF(AE29 &lt; (INDEX(SLATable[Maximum SLA],MATCH(G29,SLATable[Priority],0))),"YES","NO"),"")</f>
        <v>YES</v>
      </c>
    </row>
    <row r="30" spans="1:36" ht="15" customHeight="1">
      <c r="A30" s="45">
        <v>29</v>
      </c>
      <c r="B30" s="45" t="s">
        <v>26</v>
      </c>
      <c r="C30" s="45" t="s">
        <v>44</v>
      </c>
      <c r="D30" s="53" t="s">
        <v>208</v>
      </c>
      <c r="E30" s="53" t="s">
        <v>5608</v>
      </c>
      <c r="F30" s="45" t="s">
        <v>312</v>
      </c>
      <c r="G30" s="53" t="s">
        <v>208</v>
      </c>
      <c r="H30" s="53" t="s">
        <v>5609</v>
      </c>
      <c r="I30" s="53" t="s">
        <v>275</v>
      </c>
      <c r="J30" s="45" t="s">
        <v>5530</v>
      </c>
      <c r="K30" s="71">
        <v>46154.55972222222</v>
      </c>
      <c r="L30" s="71">
        <v>46155.642361111109</v>
      </c>
      <c r="M30" s="71">
        <v>46156.293749999997</v>
      </c>
      <c r="N30" s="71">
        <v>46162.282638888886</v>
      </c>
      <c r="O30" s="71">
        <v>46156.308333333334</v>
      </c>
      <c r="P30" s="71">
        <v>46162.282638888886</v>
      </c>
      <c r="Q30" s="53" t="s">
        <v>5610</v>
      </c>
      <c r="R30" s="53" t="s">
        <v>261</v>
      </c>
      <c r="S30" s="53" t="s">
        <v>179</v>
      </c>
      <c r="T30" s="53" t="s">
        <v>277</v>
      </c>
      <c r="U30" s="53" t="s">
        <v>5531</v>
      </c>
      <c r="X30" s="45" t="s">
        <v>5531</v>
      </c>
      <c r="Y30" s="53" t="s">
        <v>5611</v>
      </c>
      <c r="Z30" s="76">
        <f t="shared" ca="1" si="8"/>
        <v>0.52361111111289005</v>
      </c>
      <c r="AA30" s="75">
        <f t="shared" ca="1" si="9"/>
        <v>1.3962962963010401</v>
      </c>
      <c r="AB30" s="76">
        <f t="shared" ca="1" si="10"/>
        <v>6.5972222223839028E-2</v>
      </c>
      <c r="AC30" s="75">
        <f t="shared" ca="1" si="11"/>
        <v>0.1759259259302374</v>
      </c>
      <c r="AD30" s="76">
        <f t="shared" ca="1" si="12"/>
        <v>6.5972222223839139E-2</v>
      </c>
      <c r="AE30" s="76">
        <f t="shared" ca="1" si="13"/>
        <v>6.5972222223839028E-2</v>
      </c>
      <c r="AF30" s="75">
        <f t="shared" ca="1" si="14"/>
        <v>0.1759259259302374</v>
      </c>
      <c r="AG30" s="75">
        <f t="shared" ca="1" si="15"/>
        <v>0.1759259259302374</v>
      </c>
      <c r="AH30" s="31" t="str" cm="1">
        <f t="array" aca="1" ref="AH30" ca="1">IF((AD30) &lt; (INDEX(ResponseSLA[#All],(MATCH((G30),ResponseSLA[Priority],0))+1,3)),"YES","No")</f>
        <v>YES</v>
      </c>
      <c r="AI30" s="31" t="str">
        <f ca="1">_xlfn.IFNA(IF(AE30 &lt; (INDEX(SLATable[Minimum SLA],MATCH(G30,SLATable[Priority],0))),"YES","NO"),"")</f>
        <v>YES</v>
      </c>
      <c r="AJ30" t="str">
        <f ca="1">_xlfn.IFNA(IF(AE30 &lt; (INDEX(SLATable[Maximum SLA],MATCH(G30,SLATable[Priority],0))),"YES","NO"),"")</f>
        <v>YES</v>
      </c>
    </row>
    <row r="31" spans="1:36" ht="15" customHeight="1">
      <c r="A31" s="45">
        <v>30</v>
      </c>
      <c r="B31" s="45" t="s">
        <v>26</v>
      </c>
      <c r="C31" s="45" t="s">
        <v>44</v>
      </c>
      <c r="D31" s="53" t="s">
        <v>207</v>
      </c>
      <c r="E31" s="53" t="s">
        <v>5612</v>
      </c>
      <c r="F31" s="45" t="s">
        <v>312</v>
      </c>
      <c r="G31" s="53">
        <v>3</v>
      </c>
      <c r="H31" s="53" t="s">
        <v>5613</v>
      </c>
      <c r="I31" s="53" t="s">
        <v>275</v>
      </c>
      <c r="J31" s="45" t="s">
        <v>5530</v>
      </c>
      <c r="K31" s="71">
        <v>46155.682638888888</v>
      </c>
      <c r="L31" s="71">
        <v>46156.465277777781</v>
      </c>
      <c r="M31" s="71">
        <v>46156.504861111112</v>
      </c>
      <c r="N31" s="71">
        <v>46156.595833333333</v>
      </c>
      <c r="O31" s="71"/>
      <c r="P31" s="71"/>
      <c r="Q31" s="53" t="s">
        <v>5534</v>
      </c>
      <c r="R31" s="53" t="s">
        <v>272</v>
      </c>
      <c r="S31" s="53" t="s">
        <v>175</v>
      </c>
      <c r="T31" s="53" t="s">
        <v>277</v>
      </c>
      <c r="U31" s="53" t="s">
        <v>5531</v>
      </c>
      <c r="X31" s="45" t="s">
        <v>5531</v>
      </c>
      <c r="Y31" s="53" t="s">
        <v>5585</v>
      </c>
      <c r="Z31" s="76">
        <f t="shared" ca="1" si="8"/>
        <v>0.28819444444525288</v>
      </c>
      <c r="AA31" s="75">
        <f t="shared" ca="1" si="9"/>
        <v>0.76851851852067432</v>
      </c>
      <c r="AB31" s="76">
        <f t="shared" ca="1" si="10"/>
        <v>0.13055555555183673</v>
      </c>
      <c r="AC31" s="75">
        <f t="shared" ca="1" si="11"/>
        <v>0.34814814813823131</v>
      </c>
      <c r="AD31" s="76">
        <f t="shared" ca="1" si="12"/>
        <v>3.9583333331393078E-2</v>
      </c>
      <c r="AE31" s="76">
        <f t="shared" ca="1" si="13"/>
        <v>0.13055555555183673</v>
      </c>
      <c r="AF31" s="75">
        <f t="shared" ca="1" si="14"/>
        <v>0.34814814813823131</v>
      </c>
      <c r="AG31" s="75">
        <f t="shared" ca="1" si="15"/>
        <v>0.34814814813823131</v>
      </c>
      <c r="AH31" s="31" t="str" cm="1">
        <f t="array" aca="1" ref="AH31" ca="1">IF((AD31) &lt; (INDEX(ResponseSLA[#All],(MATCH((G31),ResponseSLA[Priority],0))+1,3)),"YES","No")</f>
        <v>YES</v>
      </c>
      <c r="AI31" s="31" t="str">
        <f ca="1">_xlfn.IFNA(IF(AE31 &lt; (INDEX(SLATable[Minimum SLA],MATCH(G31,SLATable[Priority],0))),"YES","NO"),"")</f>
        <v>YES</v>
      </c>
      <c r="AJ31" t="str">
        <f ca="1">_xlfn.IFNA(IF(AE31 &lt; (INDEX(SLATable[Maximum SLA],MATCH(G31,SLATable[Priority],0))),"YES","NO"),"")</f>
        <v>YES</v>
      </c>
    </row>
    <row r="32" spans="1:36" ht="15" customHeight="1">
      <c r="A32" s="45">
        <v>31</v>
      </c>
      <c r="B32" s="45" t="s">
        <v>26</v>
      </c>
      <c r="C32" s="45" t="s">
        <v>44</v>
      </c>
      <c r="D32" s="53" t="s">
        <v>207</v>
      </c>
      <c r="E32" s="53" t="s">
        <v>5614</v>
      </c>
      <c r="F32" s="45" t="s">
        <v>312</v>
      </c>
      <c r="G32" s="53">
        <v>4</v>
      </c>
      <c r="H32" s="53" t="s">
        <v>5615</v>
      </c>
      <c r="I32" s="53" t="s">
        <v>275</v>
      </c>
      <c r="J32" s="45" t="s">
        <v>5530</v>
      </c>
      <c r="K32" s="71">
        <v>46147.589583333334</v>
      </c>
      <c r="L32" s="71">
        <v>46156.459027777775</v>
      </c>
      <c r="M32" s="71">
        <v>46156.50277777778</v>
      </c>
      <c r="N32" s="71">
        <v>46156.597222222219</v>
      </c>
      <c r="O32" s="71"/>
      <c r="P32" s="71"/>
      <c r="Q32" s="53" t="s">
        <v>5534</v>
      </c>
      <c r="R32" s="53" t="s">
        <v>272</v>
      </c>
      <c r="S32" s="53" t="s">
        <v>175</v>
      </c>
      <c r="T32" s="53" t="s">
        <v>277</v>
      </c>
      <c r="U32" s="53" t="s">
        <v>5531</v>
      </c>
      <c r="X32" s="45" t="s">
        <v>5531</v>
      </c>
      <c r="Y32" s="53" t="s">
        <v>5585</v>
      </c>
      <c r="Z32" s="76">
        <f t="shared" ca="1" si="8"/>
        <v>2.6326388888846854</v>
      </c>
      <c r="AA32" s="75">
        <f t="shared" ca="1" si="9"/>
        <v>7.0203703703591618</v>
      </c>
      <c r="AB32" s="76">
        <f t="shared" ca="1" si="10"/>
        <v>0.13819444444379769</v>
      </c>
      <c r="AC32" s="75">
        <f t="shared" ca="1" si="11"/>
        <v>0.36851851851679385</v>
      </c>
      <c r="AD32" s="76">
        <f t="shared" ca="1" si="12"/>
        <v>4.3750000004365575E-2</v>
      </c>
      <c r="AE32" s="76">
        <f t="shared" ca="1" si="13"/>
        <v>0.13819444444379769</v>
      </c>
      <c r="AF32" s="75">
        <f t="shared" ca="1" si="14"/>
        <v>0.36851851851679385</v>
      </c>
      <c r="AG32" s="75">
        <f t="shared" ca="1" si="15"/>
        <v>0.36851851851679385</v>
      </c>
      <c r="AH32" s="31" t="str" cm="1">
        <f t="array" aca="1" ref="AH32" ca="1">IF((AD32) &lt; (INDEX(ResponseSLA[#All],(MATCH((G32),ResponseSLA[Priority],0))+1,3)),"YES","No")</f>
        <v>YES</v>
      </c>
      <c r="AI32" s="31" t="str">
        <f ca="1">_xlfn.IFNA(IF(AE32 &lt; (INDEX(SLATable[Minimum SLA],MATCH(G32,SLATable[Priority],0))),"YES","NO"),"")</f>
        <v>YES</v>
      </c>
      <c r="AJ32" t="str">
        <f ca="1">_xlfn.IFNA(IF(AE32 &lt; (INDEX(SLATable[Maximum SLA],MATCH(G32,SLATable[Priority],0))),"YES","NO"),"")</f>
        <v>YES</v>
      </c>
    </row>
    <row r="33" spans="1:36" ht="15" customHeight="1">
      <c r="A33" s="45">
        <v>32</v>
      </c>
      <c r="B33" s="45" t="s">
        <v>26</v>
      </c>
      <c r="C33" s="45" t="s">
        <v>44</v>
      </c>
      <c r="D33" s="53" t="s">
        <v>207</v>
      </c>
      <c r="E33" s="53" t="s">
        <v>5616</v>
      </c>
      <c r="F33" s="45" t="s">
        <v>312</v>
      </c>
      <c r="G33" s="53">
        <v>3</v>
      </c>
      <c r="H33" s="53" t="s">
        <v>5617</v>
      </c>
      <c r="I33" s="53" t="s">
        <v>275</v>
      </c>
      <c r="J33" s="45" t="s">
        <v>5530</v>
      </c>
      <c r="K33" s="71">
        <v>46149.501388888886</v>
      </c>
      <c r="L33" s="71">
        <v>46156.458333333336</v>
      </c>
      <c r="M33" s="71">
        <v>46156.50277777778</v>
      </c>
      <c r="N33" s="71">
        <v>46156.609027777777</v>
      </c>
      <c r="O33" s="71"/>
      <c r="P33" s="71"/>
      <c r="Q33" s="53" t="s">
        <v>5534</v>
      </c>
      <c r="R33" s="53" t="s">
        <v>261</v>
      </c>
      <c r="S33" s="53" t="s">
        <v>179</v>
      </c>
      <c r="T33" s="53" t="s">
        <v>268</v>
      </c>
      <c r="U33" s="53" t="s">
        <v>5531</v>
      </c>
      <c r="X33" s="45" t="s">
        <v>5531</v>
      </c>
      <c r="Y33" s="53" t="s">
        <v>5618</v>
      </c>
      <c r="Z33" s="76">
        <f t="shared" ca="1" si="8"/>
        <v>1.9826388888905058</v>
      </c>
      <c r="AA33" s="75">
        <f t="shared" ca="1" si="9"/>
        <v>5.2870370370413484</v>
      </c>
      <c r="AB33" s="76">
        <f t="shared" ca="1" si="10"/>
        <v>0.15069444444088731</v>
      </c>
      <c r="AC33" s="75">
        <f t="shared" ca="1" si="11"/>
        <v>0.40185185184236616</v>
      </c>
      <c r="AD33" s="76">
        <f t="shared" ca="1" si="12"/>
        <v>4.4444444443797693E-2</v>
      </c>
      <c r="AE33" s="76">
        <f t="shared" ca="1" si="13"/>
        <v>0.15069444444088731</v>
      </c>
      <c r="AF33" s="75">
        <f t="shared" ca="1" si="14"/>
        <v>0.40185185184236616</v>
      </c>
      <c r="AG33" s="75">
        <f t="shared" ca="1" si="15"/>
        <v>0.40185185184236616</v>
      </c>
      <c r="AH33" s="31" t="str" cm="1">
        <f t="array" aca="1" ref="AH33" ca="1">IF((AD33) &lt; (INDEX(ResponseSLA[#All],(MATCH((G33),ResponseSLA[Priority],0))+1,3)),"YES","No")</f>
        <v>YES</v>
      </c>
      <c r="AI33" s="31" t="str">
        <f ca="1">_xlfn.IFNA(IF(AE33 &lt; (INDEX(SLATable[Minimum SLA],MATCH(G33,SLATable[Priority],0))),"YES","NO"),"")</f>
        <v>YES</v>
      </c>
      <c r="AJ33" t="str">
        <f ca="1">_xlfn.IFNA(IF(AE33 &lt; (INDEX(SLATable[Maximum SLA],MATCH(G33,SLATable[Priority],0))),"YES","NO"),"")</f>
        <v>YES</v>
      </c>
    </row>
    <row r="34" spans="1:36" ht="15" customHeight="1">
      <c r="A34" s="45">
        <v>33</v>
      </c>
      <c r="B34" s="45" t="s">
        <v>26</v>
      </c>
      <c r="C34" s="45" t="s">
        <v>44</v>
      </c>
      <c r="D34" s="53" t="s">
        <v>207</v>
      </c>
      <c r="E34" s="53" t="s">
        <v>5619</v>
      </c>
      <c r="F34" s="45" t="s">
        <v>312</v>
      </c>
      <c r="G34" s="53">
        <v>3</v>
      </c>
      <c r="H34" s="53" t="s">
        <v>5620</v>
      </c>
      <c r="I34" s="53" t="s">
        <v>271</v>
      </c>
      <c r="J34" s="45" t="s">
        <v>5530</v>
      </c>
      <c r="K34" s="71">
        <v>46157.031944444447</v>
      </c>
      <c r="L34" s="71">
        <v>46157.038888888892</v>
      </c>
      <c r="M34" s="71">
        <v>46157.286111111112</v>
      </c>
      <c r="N34" s="71">
        <v>46161.286111111112</v>
      </c>
      <c r="O34" s="71">
        <v>46157.373611111114</v>
      </c>
      <c r="P34" s="71">
        <v>46161.286111111112</v>
      </c>
      <c r="Q34" s="53" t="s">
        <v>44</v>
      </c>
      <c r="R34" s="53" t="s">
        <v>261</v>
      </c>
      <c r="S34" s="53" t="s">
        <v>179</v>
      </c>
      <c r="T34" s="53" t="s">
        <v>268</v>
      </c>
      <c r="U34" s="53" t="s">
        <v>5531</v>
      </c>
      <c r="X34" s="45" t="s">
        <v>5531</v>
      </c>
      <c r="Y34" s="53" t="s">
        <v>5621</v>
      </c>
      <c r="Z34" s="76">
        <f t="shared" ca="1" si="8"/>
        <v>4.0277777780526547E-2</v>
      </c>
      <c r="AA34" s="75">
        <f t="shared" ca="1" si="9"/>
        <v>0.10740740741473746</v>
      </c>
      <c r="AB34" s="76">
        <f t="shared" ca="1" si="10"/>
        <v>4.0277777780526547E-2</v>
      </c>
      <c r="AC34" s="75">
        <f t="shared" ca="1" si="11"/>
        <v>0.10740740741473746</v>
      </c>
      <c r="AD34" s="76">
        <f t="shared" ca="1" si="12"/>
        <v>0</v>
      </c>
      <c r="AE34" s="76">
        <f t="shared" ca="1" si="13"/>
        <v>4.0277777780526547E-2</v>
      </c>
      <c r="AF34" s="75">
        <f t="shared" ca="1" si="14"/>
        <v>0.10740740741473746</v>
      </c>
      <c r="AG34" s="75">
        <f t="shared" ca="1" si="15"/>
        <v>0.10740740741473746</v>
      </c>
      <c r="AH34" s="31" t="str" cm="1">
        <f t="array" aca="1" ref="AH34" ca="1">IF((AD34) &lt; (INDEX(ResponseSLA[#All],(MATCH((G34),ResponseSLA[Priority],0))+1,3)),"YES","No")</f>
        <v>YES</v>
      </c>
      <c r="AI34" s="31" t="str">
        <f ca="1">_xlfn.IFNA(IF(AE34 &lt; (INDEX(SLATable[Minimum SLA],MATCH(G34,SLATable[Priority],0))),"YES","NO"),"")</f>
        <v>YES</v>
      </c>
      <c r="AJ34" t="str">
        <f ca="1">_xlfn.IFNA(IF(AE34 &lt; (INDEX(SLATable[Maximum SLA],MATCH(G34,SLATable[Priority],0))),"YES","NO"),"")</f>
        <v>YES</v>
      </c>
    </row>
    <row r="35" spans="1:36" ht="15" customHeight="1">
      <c r="A35" s="45">
        <v>34</v>
      </c>
      <c r="B35" s="45" t="s">
        <v>26</v>
      </c>
      <c r="C35" s="45" t="s">
        <v>44</v>
      </c>
      <c r="D35" s="53" t="s">
        <v>208</v>
      </c>
      <c r="E35" s="53" t="s">
        <v>5622</v>
      </c>
      <c r="F35" s="45" t="s">
        <v>312</v>
      </c>
      <c r="G35" s="53" t="s">
        <v>208</v>
      </c>
      <c r="H35" s="53" t="s">
        <v>5623</v>
      </c>
      <c r="I35" s="53" t="s">
        <v>275</v>
      </c>
      <c r="J35" s="45" t="s">
        <v>5530</v>
      </c>
      <c r="K35" s="71">
        <v>46156.359027777777</v>
      </c>
      <c r="L35" s="71">
        <v>46156.633333333331</v>
      </c>
      <c r="M35" s="71">
        <v>46156.663888888892</v>
      </c>
      <c r="N35" s="71">
        <v>46162.294444444444</v>
      </c>
      <c r="O35" s="71">
        <v>46157.375694444447</v>
      </c>
      <c r="P35" s="71">
        <v>46162.294444444444</v>
      </c>
      <c r="Q35" s="53" t="s">
        <v>5534</v>
      </c>
      <c r="R35" s="53" t="s">
        <v>272</v>
      </c>
      <c r="S35" s="53" t="s">
        <v>175</v>
      </c>
      <c r="T35" s="53" t="s">
        <v>277</v>
      </c>
      <c r="U35" s="53" t="s">
        <v>5531</v>
      </c>
      <c r="X35" s="45" t="s">
        <v>5531</v>
      </c>
      <c r="Y35" s="53" t="s">
        <v>5624</v>
      </c>
      <c r="Z35" s="76">
        <f t="shared" ca="1" si="8"/>
        <v>0.39166666667006211</v>
      </c>
      <c r="AA35" s="75">
        <f t="shared" ca="1" si="9"/>
        <v>1.044444444453499</v>
      </c>
      <c r="AB35" s="76">
        <f t="shared" ca="1" si="10"/>
        <v>0.117361111115315</v>
      </c>
      <c r="AC35" s="75">
        <f t="shared" ca="1" si="11"/>
        <v>0.31296296297417331</v>
      </c>
      <c r="AD35" s="76">
        <f t="shared" ca="1" si="12"/>
        <v>3.0555555560567882E-2</v>
      </c>
      <c r="AE35" s="76">
        <f t="shared" ca="1" si="13"/>
        <v>0.117361111115315</v>
      </c>
      <c r="AF35" s="75">
        <f t="shared" ca="1" si="14"/>
        <v>0.31296296297417331</v>
      </c>
      <c r="AG35" s="75">
        <f t="shared" ca="1" si="15"/>
        <v>0.31296296297417331</v>
      </c>
      <c r="AH35" s="31" t="str" cm="1">
        <f t="array" aca="1" ref="AH35" ca="1">IF((AD35) &lt; (INDEX(ResponseSLA[#All],(MATCH((G35),ResponseSLA[Priority],0))+1,3)),"YES","No")</f>
        <v>YES</v>
      </c>
      <c r="AI35" s="31" t="str">
        <f ca="1">_xlfn.IFNA(IF(AE35 &lt; (INDEX(SLATable[Minimum SLA],MATCH(G35,SLATable[Priority],0))),"YES","NO"),"")</f>
        <v>YES</v>
      </c>
      <c r="AJ35" t="str">
        <f ca="1">_xlfn.IFNA(IF(AE35 &lt; (INDEX(SLATable[Maximum SLA],MATCH(G35,SLATable[Priority],0))),"YES","NO"),"")</f>
        <v>YES</v>
      </c>
    </row>
    <row r="36" spans="1:36" ht="15" customHeight="1">
      <c r="A36" s="45">
        <v>35</v>
      </c>
      <c r="B36" s="45" t="s">
        <v>26</v>
      </c>
      <c r="C36" s="45" t="s">
        <v>44</v>
      </c>
      <c r="D36" s="53" t="s">
        <v>207</v>
      </c>
      <c r="E36" s="53" t="s">
        <v>5625</v>
      </c>
      <c r="F36" s="45" t="s">
        <v>312</v>
      </c>
      <c r="G36" s="53">
        <v>4</v>
      </c>
      <c r="H36" s="53" t="s">
        <v>5626</v>
      </c>
      <c r="I36" s="53" t="s">
        <v>275</v>
      </c>
      <c r="J36" s="45" t="s">
        <v>5530</v>
      </c>
      <c r="K36" s="71">
        <v>46157.072916666664</v>
      </c>
      <c r="L36" s="71">
        <v>46157.685416666667</v>
      </c>
      <c r="M36" s="71">
        <v>46160.302083333336</v>
      </c>
      <c r="N36" s="71">
        <v>46160.325694444444</v>
      </c>
      <c r="O36" s="71"/>
      <c r="P36" s="71"/>
      <c r="Q36" s="53" t="s">
        <v>5534</v>
      </c>
      <c r="R36" s="53" t="s">
        <v>272</v>
      </c>
      <c r="S36" s="53" t="s">
        <v>175</v>
      </c>
      <c r="T36" s="53" t="s">
        <v>277</v>
      </c>
      <c r="U36" s="53" t="s">
        <v>5531</v>
      </c>
      <c r="X36" s="45" t="s">
        <v>5531</v>
      </c>
      <c r="Y36" s="53" t="s">
        <v>5585</v>
      </c>
      <c r="Z36" s="76">
        <f t="shared" ca="1" si="8"/>
        <v>0.37500000000000006</v>
      </c>
      <c r="AA36" s="75">
        <f t="shared" ca="1" si="9"/>
        <v>1.0000000000000002</v>
      </c>
      <c r="AB36" s="76">
        <f t="shared" ca="1" si="10"/>
        <v>2.291666666618164E-2</v>
      </c>
      <c r="AC36" s="75">
        <f t="shared" ca="1" si="11"/>
        <v>6.1111111109817706E-2</v>
      </c>
      <c r="AD36" s="76">
        <f t="shared" ca="1" si="12"/>
        <v>2.291666666618164E-2</v>
      </c>
      <c r="AE36" s="76">
        <f t="shared" ca="1" si="13"/>
        <v>2.291666666618164E-2</v>
      </c>
      <c r="AF36" s="75">
        <f t="shared" ca="1" si="14"/>
        <v>6.1111111109817706E-2</v>
      </c>
      <c r="AG36" s="75">
        <f t="shared" ca="1" si="15"/>
        <v>6.1111111109817706E-2</v>
      </c>
      <c r="AH36" s="31" t="str" cm="1">
        <f t="array" aca="1" ref="AH36" ca="1">IF((AD36) &lt; (INDEX(ResponseSLA[#All],(MATCH((G36),ResponseSLA[Priority],0))+1,3)),"YES","No")</f>
        <v>YES</v>
      </c>
      <c r="AI36" s="31" t="str">
        <f ca="1">_xlfn.IFNA(IF(AE36 &lt; (INDEX(SLATable[Minimum SLA],MATCH(G36,SLATable[Priority],0))),"YES","NO"),"")</f>
        <v>YES</v>
      </c>
      <c r="AJ36" t="str">
        <f ca="1">_xlfn.IFNA(IF(AE36 &lt; (INDEX(SLATable[Maximum SLA],MATCH(G36,SLATable[Priority],0))),"YES","NO"),"")</f>
        <v>YES</v>
      </c>
    </row>
    <row r="37" spans="1:36" ht="15" customHeight="1">
      <c r="A37" s="45">
        <v>36</v>
      </c>
      <c r="B37" s="45" t="s">
        <v>26</v>
      </c>
      <c r="C37" s="45" t="s">
        <v>44</v>
      </c>
      <c r="D37" s="53" t="s">
        <v>207</v>
      </c>
      <c r="E37" s="53" t="s">
        <v>1109</v>
      </c>
      <c r="F37" s="45" t="s">
        <v>312</v>
      </c>
      <c r="G37" s="53">
        <v>3</v>
      </c>
      <c r="H37" s="53" t="s">
        <v>1110</v>
      </c>
      <c r="I37" s="53" t="s">
        <v>275</v>
      </c>
      <c r="J37" s="45" t="s">
        <v>5530</v>
      </c>
      <c r="K37" s="71">
        <v>46157.382638888892</v>
      </c>
      <c r="L37" s="71">
        <v>46157.385416666664</v>
      </c>
      <c r="M37" s="71">
        <v>46157.426388888889</v>
      </c>
      <c r="N37" s="71">
        <v>46157.538888888892</v>
      </c>
      <c r="O37" s="71"/>
      <c r="P37" s="71"/>
      <c r="Q37" s="53" t="s">
        <v>5534</v>
      </c>
      <c r="R37" s="53" t="s">
        <v>272</v>
      </c>
      <c r="S37" s="53" t="s">
        <v>175</v>
      </c>
      <c r="T37" s="53" t="s">
        <v>277</v>
      </c>
      <c r="U37" s="53" t="s">
        <v>5531</v>
      </c>
      <c r="X37" s="45" t="s">
        <v>5531</v>
      </c>
      <c r="Y37" s="53" t="s">
        <v>5585</v>
      </c>
      <c r="Z37" s="76">
        <f t="shared" ca="1" si="8"/>
        <v>0.15625</v>
      </c>
      <c r="AA37" s="75">
        <f t="shared" ca="1" si="9"/>
        <v>0.41666666666666669</v>
      </c>
      <c r="AB37" s="76">
        <f t="shared" ca="1" si="10"/>
        <v>0.15347222222771961</v>
      </c>
      <c r="AC37" s="75">
        <f t="shared" ca="1" si="11"/>
        <v>0.40925925927391898</v>
      </c>
      <c r="AD37" s="76">
        <f t="shared" ca="1" si="12"/>
        <v>4.0972222224809229E-2</v>
      </c>
      <c r="AE37" s="76">
        <f t="shared" ca="1" si="13"/>
        <v>0.15347222222771961</v>
      </c>
      <c r="AF37" s="75">
        <f t="shared" ca="1" si="14"/>
        <v>0.40925925927391898</v>
      </c>
      <c r="AG37" s="75">
        <f t="shared" ca="1" si="15"/>
        <v>0.40925925927391898</v>
      </c>
      <c r="AH37" s="31" t="str" cm="1">
        <f t="array" aca="1" ref="AH37" ca="1">IF((AD37) &lt; (INDEX(ResponseSLA[#All],(MATCH((G37),ResponseSLA[Priority],0))+1,3)),"YES","No")</f>
        <v>YES</v>
      </c>
      <c r="AI37" s="31" t="str">
        <f ca="1">_xlfn.IFNA(IF(AE37 &lt; (INDEX(SLATable[Minimum SLA],MATCH(G37,SLATable[Priority],0))),"YES","NO"),"")</f>
        <v>YES</v>
      </c>
      <c r="AJ37" t="str">
        <f ca="1">_xlfn.IFNA(IF(AE37 &lt; (INDEX(SLATable[Maximum SLA],MATCH(G37,SLATable[Priority],0))),"YES","NO"),"")</f>
        <v>YES</v>
      </c>
    </row>
    <row r="38" spans="1:36" ht="15" customHeight="1">
      <c r="A38" s="45">
        <v>37</v>
      </c>
      <c r="B38" s="45" t="s">
        <v>26</v>
      </c>
      <c r="C38" s="45" t="s">
        <v>44</v>
      </c>
      <c r="D38" s="53" t="s">
        <v>207</v>
      </c>
      <c r="E38" s="53" t="s">
        <v>5627</v>
      </c>
      <c r="F38" s="45" t="s">
        <v>312</v>
      </c>
      <c r="G38" s="53">
        <v>4</v>
      </c>
      <c r="H38" s="53" t="s">
        <v>5628</v>
      </c>
      <c r="I38" s="53" t="s">
        <v>275</v>
      </c>
      <c r="J38" s="45" t="s">
        <v>5530</v>
      </c>
      <c r="K38" s="71">
        <v>46149.495833333334</v>
      </c>
      <c r="L38" s="71">
        <v>46157.769444444442</v>
      </c>
      <c r="M38" s="71">
        <v>46160.302083333336</v>
      </c>
      <c r="N38" s="71">
        <v>46160.328472222223</v>
      </c>
      <c r="O38" s="71"/>
      <c r="P38" s="71"/>
      <c r="Q38" s="53" t="s">
        <v>5534</v>
      </c>
      <c r="R38" s="53" t="s">
        <v>261</v>
      </c>
      <c r="S38" s="53" t="s">
        <v>179</v>
      </c>
      <c r="T38" s="53" t="s">
        <v>268</v>
      </c>
      <c r="U38" s="53" t="s">
        <v>5531</v>
      </c>
      <c r="X38" s="45" t="s">
        <v>5531</v>
      </c>
      <c r="Y38" s="53" t="s">
        <v>5618</v>
      </c>
      <c r="Z38" s="76">
        <f t="shared" ca="1" si="8"/>
        <v>2.4624999999990305</v>
      </c>
      <c r="AA38" s="75">
        <f t="shared" ca="1" si="9"/>
        <v>6.5666666666640809</v>
      </c>
      <c r="AB38" s="76">
        <f t="shared" ca="1" si="10"/>
        <v>0</v>
      </c>
      <c r="AC38" s="75">
        <f t="shared" ca="1" si="11"/>
        <v>0</v>
      </c>
      <c r="AD38" s="76">
        <f t="shared" ca="1" si="12"/>
        <v>0</v>
      </c>
      <c r="AE38" s="76">
        <f t="shared" ca="1" si="13"/>
        <v>0</v>
      </c>
      <c r="AF38" s="75">
        <f t="shared" ca="1" si="14"/>
        <v>0</v>
      </c>
      <c r="AG38" s="75">
        <f t="shared" ca="1" si="15"/>
        <v>0</v>
      </c>
      <c r="AH38" s="31" t="str" cm="1">
        <f t="array" aca="1" ref="AH38" ca="1">IF((AD38) &lt; (INDEX(ResponseSLA[#All],(MATCH((G38),ResponseSLA[Priority],0))+1,3)),"YES","No")</f>
        <v>YES</v>
      </c>
      <c r="AI38" s="31" t="str">
        <f ca="1">_xlfn.IFNA(IF(AE38 &lt; (INDEX(SLATable[Minimum SLA],MATCH(G38,SLATable[Priority],0))),"YES","NO"),"")</f>
        <v>YES</v>
      </c>
      <c r="AJ38" t="str">
        <f ca="1">_xlfn.IFNA(IF(AE38 &lt; (INDEX(SLATable[Maximum SLA],MATCH(G38,SLATable[Priority],0))),"YES","NO"),"")</f>
        <v>YES</v>
      </c>
    </row>
    <row r="39" spans="1:36" ht="15" customHeight="1">
      <c r="A39" s="45">
        <v>38</v>
      </c>
      <c r="B39" s="45" t="s">
        <v>26</v>
      </c>
      <c r="C39" s="45" t="s">
        <v>44</v>
      </c>
      <c r="D39" s="53" t="s">
        <v>207</v>
      </c>
      <c r="E39" s="53" t="s">
        <v>5629</v>
      </c>
      <c r="F39" s="45" t="s">
        <v>312</v>
      </c>
      <c r="G39" s="53">
        <v>3</v>
      </c>
      <c r="H39" s="53" t="s">
        <v>5630</v>
      </c>
      <c r="I39" s="53" t="s">
        <v>275</v>
      </c>
      <c r="J39" s="45" t="s">
        <v>5530</v>
      </c>
      <c r="K39" s="71">
        <v>46135.453472222223</v>
      </c>
      <c r="L39" s="71">
        <v>46160.410416666666</v>
      </c>
      <c r="M39" s="71">
        <v>46160.47152777778</v>
      </c>
      <c r="N39" s="71">
        <v>46161.288194444445</v>
      </c>
      <c r="O39" s="71"/>
      <c r="P39" s="71"/>
      <c r="Q39" s="53" t="s">
        <v>5534</v>
      </c>
      <c r="R39" s="53" t="s">
        <v>272</v>
      </c>
      <c r="S39" s="53" t="s">
        <v>175</v>
      </c>
      <c r="T39" s="53" t="s">
        <v>277</v>
      </c>
      <c r="U39" s="53" t="s">
        <v>5531</v>
      </c>
      <c r="X39" s="45" t="s">
        <v>5531</v>
      </c>
      <c r="Y39" s="53" t="s">
        <v>5596</v>
      </c>
      <c r="Z39" s="76">
        <f t="shared" ca="1" si="8"/>
        <v>5.8798611111099799</v>
      </c>
      <c r="AA39" s="75">
        <f t="shared" ca="1" si="9"/>
        <v>15.679629629626611</v>
      </c>
      <c r="AB39" s="76">
        <f t="shared" ca="1" si="10"/>
        <v>0.29791666666763683</v>
      </c>
      <c r="AC39" s="75">
        <f t="shared" ca="1" si="11"/>
        <v>0.79444444444703155</v>
      </c>
      <c r="AD39" s="76">
        <f t="shared" ca="1" si="12"/>
        <v>6.1111111113859806E-2</v>
      </c>
      <c r="AE39" s="76">
        <f t="shared" ca="1" si="13"/>
        <v>0.29791666666763683</v>
      </c>
      <c r="AF39" s="75">
        <f t="shared" ca="1" si="14"/>
        <v>0.79444444444703155</v>
      </c>
      <c r="AG39" s="75">
        <f t="shared" ca="1" si="15"/>
        <v>0.79444444444703155</v>
      </c>
      <c r="AH39" s="31" t="str" cm="1">
        <f t="array" aca="1" ref="AH39" ca="1">IF((AD39) &lt; (INDEX(ResponseSLA[#All],(MATCH((G39),ResponseSLA[Priority],0))+1,3)),"YES","No")</f>
        <v>YES</v>
      </c>
      <c r="AI39" s="31" t="str">
        <f ca="1">_xlfn.IFNA(IF(AE39 &lt; (INDEX(SLATable[Minimum SLA],MATCH(G39,SLATable[Priority],0))),"YES","NO"),"")</f>
        <v>YES</v>
      </c>
      <c r="AJ39" t="str">
        <f ca="1">_xlfn.IFNA(IF(AE39 &lt; (INDEX(SLATable[Maximum SLA],MATCH(G39,SLATable[Priority],0))),"YES","NO"),"")</f>
        <v>YES</v>
      </c>
    </row>
    <row r="40" spans="1:36" ht="15" customHeight="1">
      <c r="A40" s="45">
        <v>39</v>
      </c>
      <c r="B40" s="45" t="s">
        <v>26</v>
      </c>
      <c r="C40" s="45" t="s">
        <v>44</v>
      </c>
      <c r="D40" s="53" t="s">
        <v>208</v>
      </c>
      <c r="E40" s="53" t="s">
        <v>5631</v>
      </c>
      <c r="F40" s="45" t="s">
        <v>312</v>
      </c>
      <c r="G40" s="53" t="s">
        <v>208</v>
      </c>
      <c r="H40" s="53" t="s">
        <v>5632</v>
      </c>
      <c r="I40" s="53" t="s">
        <v>271</v>
      </c>
      <c r="J40" s="45" t="s">
        <v>5530</v>
      </c>
      <c r="K40" s="71">
        <v>46153.463194444441</v>
      </c>
      <c r="L40" s="71">
        <v>46160.378472222219</v>
      </c>
      <c r="M40" s="71">
        <v>46160.38958333333</v>
      </c>
      <c r="N40" s="147">
        <v>46162.35527777778</v>
      </c>
      <c r="O40" s="71">
        <v>46161.28125</v>
      </c>
      <c r="P40" s="71">
        <v>46162.35527777778</v>
      </c>
      <c r="Q40" s="53" t="s">
        <v>5633</v>
      </c>
      <c r="R40" s="53" t="s">
        <v>272</v>
      </c>
      <c r="S40" s="53" t="s">
        <v>175</v>
      </c>
      <c r="T40" s="53" t="s">
        <v>268</v>
      </c>
      <c r="U40" s="53" t="s">
        <v>5531</v>
      </c>
      <c r="X40" s="45" t="s">
        <v>5531</v>
      </c>
      <c r="Y40" s="53" t="s">
        <v>5634</v>
      </c>
      <c r="Z40" s="76">
        <f t="shared" ca="1" si="8"/>
        <v>2.1201388888924466</v>
      </c>
      <c r="AA40" s="75">
        <f t="shared" ca="1" si="9"/>
        <v>5.653703703713191</v>
      </c>
      <c r="AB40" s="76">
        <f t="shared" ca="1" si="10"/>
        <v>0.32986111111434485</v>
      </c>
      <c r="AC40" s="75">
        <f t="shared" ca="1" si="11"/>
        <v>0.87962962963825297</v>
      </c>
      <c r="AD40" s="76">
        <f t="shared" ca="1" si="12"/>
        <v>1.1111111110949423E-2</v>
      </c>
      <c r="AE40" s="76">
        <f t="shared" ca="1" si="13"/>
        <v>0.32986111111434485</v>
      </c>
      <c r="AF40" s="75">
        <f t="shared" ca="1" si="14"/>
        <v>0.87962962963825297</v>
      </c>
      <c r="AG40" s="75">
        <f t="shared" ca="1" si="15"/>
        <v>0.87962962963825297</v>
      </c>
      <c r="AH40" s="31" t="str" cm="1">
        <f t="array" aca="1" ref="AH40" ca="1">IF((AD40) &lt; (INDEX(ResponseSLA[#All],(MATCH((G40),ResponseSLA[Priority],0))+1,3)),"YES","No")</f>
        <v>YES</v>
      </c>
      <c r="AI40" s="31" t="str">
        <f ca="1">_xlfn.IFNA(IF(AE40 &lt; (INDEX(SLATable[Minimum SLA],MATCH(G40,SLATable[Priority],0))),"YES","NO"),"")</f>
        <v>YES</v>
      </c>
      <c r="AJ40" t="str">
        <f ca="1">_xlfn.IFNA(IF(AE40 &lt; (INDEX(SLATable[Maximum SLA],MATCH(G40,SLATable[Priority],0))),"YES","NO"),"")</f>
        <v>YES</v>
      </c>
    </row>
    <row r="41" spans="1:36" ht="15" customHeight="1">
      <c r="A41" s="45">
        <v>40</v>
      </c>
      <c r="B41" s="45" t="s">
        <v>26</v>
      </c>
      <c r="C41" s="45" t="s">
        <v>44</v>
      </c>
      <c r="D41" s="53" t="s">
        <v>207</v>
      </c>
      <c r="E41" s="53" t="s">
        <v>5635</v>
      </c>
      <c r="F41" s="45" t="s">
        <v>312</v>
      </c>
      <c r="G41" s="53">
        <v>3</v>
      </c>
      <c r="H41" s="53" t="s">
        <v>5636</v>
      </c>
      <c r="I41" s="53" t="s">
        <v>275</v>
      </c>
      <c r="J41" s="45" t="s">
        <v>5530</v>
      </c>
      <c r="K41" s="71">
        <v>46160.443749999999</v>
      </c>
      <c r="L41" s="71">
        <v>46160.495833333334</v>
      </c>
      <c r="M41" s="71">
        <v>46160.568749999999</v>
      </c>
      <c r="N41" s="71">
        <v>46161.290277777778</v>
      </c>
      <c r="O41" s="71"/>
      <c r="P41" s="71"/>
      <c r="Q41" s="53" t="s">
        <v>5534</v>
      </c>
      <c r="R41" s="53" t="s">
        <v>272</v>
      </c>
      <c r="S41" s="53" t="s">
        <v>175</v>
      </c>
      <c r="T41" s="53" t="s">
        <v>277</v>
      </c>
      <c r="U41" s="53" t="s">
        <v>5531</v>
      </c>
      <c r="X41" s="45" t="s">
        <v>5531</v>
      </c>
      <c r="Y41" s="53" t="s">
        <v>5637</v>
      </c>
      <c r="Z41" s="76">
        <f t="shared" ca="1" si="8"/>
        <v>0.26458333333478856</v>
      </c>
      <c r="AA41" s="75">
        <f t="shared" ca="1" si="9"/>
        <v>0.70555555555943616</v>
      </c>
      <c r="AB41" s="76">
        <f t="shared" ca="1" si="10"/>
        <v>0.21249999999902991</v>
      </c>
      <c r="AC41" s="75">
        <f t="shared" ca="1" si="11"/>
        <v>0.56666666666407972</v>
      </c>
      <c r="AD41" s="76">
        <f t="shared" ca="1" si="12"/>
        <v>7.2916666664241347E-2</v>
      </c>
      <c r="AE41" s="76">
        <f t="shared" ca="1" si="13"/>
        <v>0.21249999999902991</v>
      </c>
      <c r="AF41" s="75">
        <f t="shared" ca="1" si="14"/>
        <v>0.56666666666407972</v>
      </c>
      <c r="AG41" s="75">
        <f t="shared" ca="1" si="15"/>
        <v>0.56666666666407972</v>
      </c>
      <c r="AH41" s="31" t="str" cm="1">
        <f t="array" aca="1" ref="AH41" ca="1">IF((AD41) &lt; (INDEX(ResponseSLA[#All],(MATCH((G41),ResponseSLA[Priority],0))+1,3)),"YES","No")</f>
        <v>YES</v>
      </c>
      <c r="AI41" s="31" t="str">
        <f ca="1">_xlfn.IFNA(IF(AE41 &lt; (INDEX(SLATable[Minimum SLA],MATCH(G41,SLATable[Priority],0))),"YES","NO"),"")</f>
        <v>YES</v>
      </c>
      <c r="AJ41" t="str">
        <f ca="1">_xlfn.IFNA(IF(AE41 &lt; (INDEX(SLATable[Maximum SLA],MATCH(G41,SLATable[Priority],0))),"YES","NO"),"")</f>
        <v>YES</v>
      </c>
    </row>
    <row r="42" spans="1:36" ht="15" customHeight="1">
      <c r="A42" s="45">
        <v>41</v>
      </c>
      <c r="B42" s="45" t="s">
        <v>26</v>
      </c>
      <c r="C42" s="45" t="s">
        <v>44</v>
      </c>
      <c r="D42" s="53" t="s">
        <v>207</v>
      </c>
      <c r="E42" s="53" t="s">
        <v>5638</v>
      </c>
      <c r="F42" s="45" t="s">
        <v>312</v>
      </c>
      <c r="G42" s="53">
        <v>3</v>
      </c>
      <c r="H42" s="53" t="s">
        <v>5639</v>
      </c>
      <c r="I42" s="53" t="s">
        <v>275</v>
      </c>
      <c r="J42" s="45" t="s">
        <v>5530</v>
      </c>
      <c r="K42" s="71">
        <v>46160.445833333331</v>
      </c>
      <c r="L42" s="71">
        <v>46161.775694444441</v>
      </c>
      <c r="M42" s="71">
        <v>46162.270138888889</v>
      </c>
      <c r="N42" s="71">
        <v>46162.275000000001</v>
      </c>
      <c r="O42" s="71"/>
      <c r="P42" s="71"/>
      <c r="Q42" s="53" t="s">
        <v>5640</v>
      </c>
      <c r="R42" s="53" t="s">
        <v>272</v>
      </c>
      <c r="S42" s="53" t="s">
        <v>175</v>
      </c>
      <c r="T42" s="53" t="s">
        <v>268</v>
      </c>
      <c r="U42" s="53" t="s">
        <v>5531</v>
      </c>
      <c r="X42" s="45" t="s">
        <v>5531</v>
      </c>
      <c r="Y42" s="53" t="s">
        <v>5641</v>
      </c>
      <c r="Z42" s="76">
        <f t="shared" ca="1" si="8"/>
        <v>0.6375000000019404</v>
      </c>
      <c r="AA42" s="75">
        <f t="shared" ca="1" si="9"/>
        <v>1.7000000000051745</v>
      </c>
      <c r="AB42" s="76">
        <f t="shared" ca="1" si="10"/>
        <v>0</v>
      </c>
      <c r="AC42" s="75">
        <f t="shared" ca="1" si="11"/>
        <v>0</v>
      </c>
      <c r="AD42" s="76">
        <f t="shared" ca="1" si="12"/>
        <v>0</v>
      </c>
      <c r="AE42" s="76">
        <f t="shared" ca="1" si="13"/>
        <v>0</v>
      </c>
      <c r="AF42" s="75">
        <f t="shared" ca="1" si="14"/>
        <v>0</v>
      </c>
      <c r="AG42" s="75">
        <f t="shared" ca="1" si="15"/>
        <v>0</v>
      </c>
      <c r="AH42" s="31" t="str" cm="1">
        <f t="array" aca="1" ref="AH42" ca="1">IF((AD42) &lt; (INDEX(ResponseSLA[#All],(MATCH((G42),ResponseSLA[Priority],0))+1,3)),"YES","No")</f>
        <v>YES</v>
      </c>
      <c r="AI42" s="31" t="str">
        <f ca="1">_xlfn.IFNA(IF(AE42 &lt; (INDEX(SLATable[Minimum SLA],MATCH(G42,SLATable[Priority],0))),"YES","NO"),"")</f>
        <v>YES</v>
      </c>
      <c r="AJ42" t="str">
        <f ca="1">_xlfn.IFNA(IF(AE42 &lt; (INDEX(SLATable[Maximum SLA],MATCH(G42,SLATable[Priority],0))),"YES","NO"),"")</f>
        <v>YES</v>
      </c>
    </row>
    <row r="43" spans="1:36" ht="15" customHeight="1">
      <c r="A43" s="45">
        <v>42</v>
      </c>
      <c r="B43" s="45" t="s">
        <v>26</v>
      </c>
      <c r="C43" s="45" t="s">
        <v>44</v>
      </c>
      <c r="D43" s="53" t="s">
        <v>207</v>
      </c>
      <c r="E43" s="53" t="s">
        <v>5642</v>
      </c>
      <c r="F43" s="45" t="s">
        <v>312</v>
      </c>
      <c r="G43" s="53">
        <v>3</v>
      </c>
      <c r="H43" s="53" t="s">
        <v>5643</v>
      </c>
      <c r="I43" s="53" t="s">
        <v>271</v>
      </c>
      <c r="J43" s="45" t="s">
        <v>5530</v>
      </c>
      <c r="K43" s="71">
        <v>46161.457638888889</v>
      </c>
      <c r="L43" s="71">
        <v>46161.603472222225</v>
      </c>
      <c r="M43" s="71">
        <v>46161.611111111109</v>
      </c>
      <c r="N43" s="71">
        <v>46167.30159722222</v>
      </c>
      <c r="O43" s="71">
        <v>46162.277777777781</v>
      </c>
      <c r="P43" s="147">
        <v>46167.30159722222</v>
      </c>
      <c r="Q43" s="53" t="s">
        <v>5644</v>
      </c>
      <c r="R43" s="53" t="s">
        <v>272</v>
      </c>
      <c r="S43" s="53" t="s">
        <v>175</v>
      </c>
      <c r="T43" s="53" t="s">
        <v>268</v>
      </c>
      <c r="U43" s="53" t="s">
        <v>5531</v>
      </c>
      <c r="X43" s="45" t="s">
        <v>5531</v>
      </c>
      <c r="Y43" s="53" t="s">
        <v>5641</v>
      </c>
      <c r="Z43" s="76">
        <f t="shared" ca="1" si="8"/>
        <v>0.25069444444428268</v>
      </c>
      <c r="AA43" s="75">
        <f t="shared" ca="1" si="9"/>
        <v>0.66851851851808719</v>
      </c>
      <c r="AB43" s="76">
        <f t="shared" ca="1" si="10"/>
        <v>0.10486111110852403</v>
      </c>
      <c r="AC43" s="75">
        <f t="shared" ca="1" si="11"/>
        <v>0.27962962962273075</v>
      </c>
      <c r="AD43" s="76">
        <f t="shared" ca="1" si="12"/>
        <v>7.6388888846850023E-3</v>
      </c>
      <c r="AE43" s="76">
        <f t="shared" ca="1" si="13"/>
        <v>0.10486111110852403</v>
      </c>
      <c r="AF43" s="75">
        <f t="shared" ca="1" si="14"/>
        <v>0.27962962962273075</v>
      </c>
      <c r="AG43" s="75">
        <f t="shared" ca="1" si="15"/>
        <v>0.27962962962273075</v>
      </c>
      <c r="AH43" s="31" t="str" cm="1">
        <f t="array" aca="1" ref="AH43" ca="1">IF((AD43) &lt; (INDEX(ResponseSLA[#All],(MATCH((G43),ResponseSLA[Priority],0))+1,3)),"YES","No")</f>
        <v>YES</v>
      </c>
      <c r="AI43" s="31" t="str">
        <f ca="1">_xlfn.IFNA(IF(AE43 &lt; (INDEX(SLATable[Minimum SLA],MATCH(G43,SLATable[Priority],0))),"YES","NO"),"")</f>
        <v>YES</v>
      </c>
      <c r="AJ43" t="str">
        <f ca="1">_xlfn.IFNA(IF(AE43 &lt; (INDEX(SLATable[Maximum SLA],MATCH(G43,SLATable[Priority],0))),"YES","NO"),"")</f>
        <v>YES</v>
      </c>
    </row>
    <row r="44" spans="1:36" ht="15" customHeight="1">
      <c r="A44" s="45">
        <v>43</v>
      </c>
      <c r="B44" s="45" t="s">
        <v>26</v>
      </c>
      <c r="C44" s="45" t="s">
        <v>44</v>
      </c>
      <c r="D44" s="53" t="s">
        <v>207</v>
      </c>
      <c r="E44" s="53" t="s">
        <v>5645</v>
      </c>
      <c r="F44" s="45" t="s">
        <v>312</v>
      </c>
      <c r="G44" s="53">
        <v>3</v>
      </c>
      <c r="H44" s="53" t="s">
        <v>5646</v>
      </c>
      <c r="I44" s="53" t="s">
        <v>275</v>
      </c>
      <c r="J44" s="45" t="s">
        <v>5530</v>
      </c>
      <c r="K44" s="71">
        <v>46160.474999999999</v>
      </c>
      <c r="L44" s="71">
        <v>46161.491666666669</v>
      </c>
      <c r="M44" s="71">
        <v>46161.523611111108</v>
      </c>
      <c r="N44" s="71">
        <v>46162.279861111114</v>
      </c>
      <c r="O44" s="71"/>
      <c r="P44" s="71"/>
      <c r="Q44" s="53" t="s">
        <v>5647</v>
      </c>
      <c r="R44" s="53" t="s">
        <v>272</v>
      </c>
      <c r="S44" s="53" t="s">
        <v>175</v>
      </c>
      <c r="T44" s="53" t="s">
        <v>268</v>
      </c>
      <c r="U44" s="53" t="s">
        <v>5531</v>
      </c>
      <c r="X44" s="45" t="s">
        <v>5531</v>
      </c>
      <c r="Y44" s="53" t="s">
        <v>5641</v>
      </c>
      <c r="Z44" s="76">
        <f t="shared" ca="1" si="8"/>
        <v>0.60833333333478867</v>
      </c>
      <c r="AA44" s="75">
        <f t="shared" ca="1" si="9"/>
        <v>1.6222222222261031</v>
      </c>
      <c r="AB44" s="76">
        <f t="shared" ca="1" si="10"/>
        <v>0.21666666666472645</v>
      </c>
      <c r="AC44" s="75">
        <f t="shared" ca="1" si="11"/>
        <v>0.57777777777260386</v>
      </c>
      <c r="AD44" s="76">
        <f t="shared" ca="1" si="12"/>
        <v>3.1944444439432118E-2</v>
      </c>
      <c r="AE44" s="76">
        <f t="shared" ca="1" si="13"/>
        <v>0.21666666666472645</v>
      </c>
      <c r="AF44" s="75">
        <f t="shared" ca="1" si="14"/>
        <v>0.57777777777260386</v>
      </c>
      <c r="AG44" s="75">
        <f t="shared" ca="1" si="15"/>
        <v>0.57777777777260386</v>
      </c>
      <c r="AH44" s="31" t="str" cm="1">
        <f t="array" aca="1" ref="AH44" ca="1">IF((AD44) &lt; (INDEX(ResponseSLA[#All],(MATCH((G44),ResponseSLA[Priority],0))+1,3)),"YES","No")</f>
        <v>YES</v>
      </c>
      <c r="AI44" s="31" t="str">
        <f ca="1">_xlfn.IFNA(IF(AE44 &lt; (INDEX(SLATable[Minimum SLA],MATCH(G44,SLATable[Priority],0))),"YES","NO"),"")</f>
        <v>YES</v>
      </c>
      <c r="AJ44" t="str">
        <f ca="1">_xlfn.IFNA(IF(AE44 &lt; (INDEX(SLATable[Maximum SLA],MATCH(G44,SLATable[Priority],0))),"YES","NO"),"")</f>
        <v>YES</v>
      </c>
    </row>
    <row r="45" spans="1:36" ht="15" customHeight="1">
      <c r="A45" s="45">
        <v>44</v>
      </c>
      <c r="B45" s="45" t="s">
        <v>26</v>
      </c>
      <c r="C45" s="45" t="s">
        <v>44</v>
      </c>
      <c r="D45" s="53" t="s">
        <v>207</v>
      </c>
      <c r="E45" s="53" t="s">
        <v>5648</v>
      </c>
      <c r="F45" s="45" t="s">
        <v>312</v>
      </c>
      <c r="G45" s="53">
        <v>3</v>
      </c>
      <c r="H45" s="53" t="s">
        <v>5649</v>
      </c>
      <c r="I45" s="53" t="s">
        <v>275</v>
      </c>
      <c r="J45" s="45" t="s">
        <v>5530</v>
      </c>
      <c r="K45" s="71">
        <v>46157.591666666667</v>
      </c>
      <c r="L45" s="71">
        <v>46161.394444444442</v>
      </c>
      <c r="M45" s="71">
        <v>46161.524305555555</v>
      </c>
      <c r="N45" s="71">
        <v>46162.279166666667</v>
      </c>
      <c r="O45" s="71"/>
      <c r="P45" s="71"/>
      <c r="Q45" s="53" t="s">
        <v>5647</v>
      </c>
      <c r="R45" s="53" t="s">
        <v>272</v>
      </c>
      <c r="S45" s="53" t="s">
        <v>175</v>
      </c>
      <c r="T45" s="53" t="s">
        <v>268</v>
      </c>
      <c r="U45" s="53" t="s">
        <v>5531</v>
      </c>
      <c r="X45" s="45" t="s">
        <v>5531</v>
      </c>
      <c r="Y45" s="53" t="s">
        <v>5641</v>
      </c>
      <c r="Z45" s="76">
        <f t="shared" ca="1" si="8"/>
        <v>0.86666666666618175</v>
      </c>
      <c r="AA45" s="75">
        <f t="shared" ca="1" si="9"/>
        <v>2.3111111111098182</v>
      </c>
      <c r="AB45" s="76">
        <f t="shared" ca="1" si="10"/>
        <v>0.31388888889099087</v>
      </c>
      <c r="AC45" s="75">
        <f t="shared" ca="1" si="11"/>
        <v>0.83703703704264232</v>
      </c>
      <c r="AD45" s="76">
        <f t="shared" ca="1" si="12"/>
        <v>0.12986111111240461</v>
      </c>
      <c r="AE45" s="76">
        <f t="shared" ca="1" si="13"/>
        <v>0.31388888889099087</v>
      </c>
      <c r="AF45" s="75">
        <f t="shared" ca="1" si="14"/>
        <v>0.83703703704264232</v>
      </c>
      <c r="AG45" s="75">
        <f t="shared" ca="1" si="15"/>
        <v>0.83703703704264232</v>
      </c>
      <c r="AH45" s="31" t="str" cm="1">
        <f t="array" aca="1" ref="AH45" ca="1">IF((AD45) &lt; (INDEX(ResponseSLA[#All],(MATCH((G45),ResponseSLA[Priority],0))+1,3)),"YES","No")</f>
        <v>No</v>
      </c>
      <c r="AI45" s="31" t="str">
        <f ca="1">_xlfn.IFNA(IF(AE45 &lt; (INDEX(SLATable[Minimum SLA],MATCH(G45,SLATable[Priority],0))),"YES","NO"),"")</f>
        <v>YES</v>
      </c>
      <c r="AJ45" t="str">
        <f ca="1">_xlfn.IFNA(IF(AE45 &lt; (INDEX(SLATable[Maximum SLA],MATCH(G45,SLATable[Priority],0))),"YES","NO"),"")</f>
        <v>YES</v>
      </c>
    </row>
    <row r="46" spans="1:36" ht="15" customHeight="1">
      <c r="A46" s="45">
        <v>45</v>
      </c>
      <c r="B46" s="45" t="s">
        <v>26</v>
      </c>
      <c r="C46" s="45" t="s">
        <v>44</v>
      </c>
      <c r="D46" s="53" t="s">
        <v>208</v>
      </c>
      <c r="E46" s="53" t="s">
        <v>5650</v>
      </c>
      <c r="F46" s="45" t="s">
        <v>312</v>
      </c>
      <c r="G46" s="53" t="s">
        <v>208</v>
      </c>
      <c r="H46" s="53" t="s">
        <v>5651</v>
      </c>
      <c r="I46" s="53" t="s">
        <v>271</v>
      </c>
      <c r="J46" s="45" t="s">
        <v>5530</v>
      </c>
      <c r="K46" s="71">
        <v>46161.59097222222</v>
      </c>
      <c r="L46" s="71">
        <v>46161.59652777778</v>
      </c>
      <c r="M46" s="71">
        <v>46161.609722222223</v>
      </c>
      <c r="N46" s="71">
        <v>46164.282731481479</v>
      </c>
      <c r="O46" s="71">
        <v>46162.293749999997</v>
      </c>
      <c r="P46" s="71">
        <v>46164.282731481479</v>
      </c>
      <c r="Q46" s="53" t="s">
        <v>5534</v>
      </c>
      <c r="R46" s="53" t="s">
        <v>261</v>
      </c>
      <c r="S46" s="53" t="s">
        <v>179</v>
      </c>
      <c r="T46" s="53" t="s">
        <v>268</v>
      </c>
      <c r="U46" s="53" t="s">
        <v>5531</v>
      </c>
      <c r="X46" s="45" t="s">
        <v>5531</v>
      </c>
      <c r="Y46" s="53" t="s">
        <v>5652</v>
      </c>
      <c r="Z46" s="76">
        <f t="shared" ca="1" si="8"/>
        <v>0.1173611111128896</v>
      </c>
      <c r="AA46" s="75">
        <f t="shared" ca="1" si="9"/>
        <v>0.31296296296770559</v>
      </c>
      <c r="AB46" s="76">
        <f t="shared" ca="1" si="10"/>
        <v>0.11180555555377691</v>
      </c>
      <c r="AC46" s="75">
        <f t="shared" ca="1" si="11"/>
        <v>0.29814814814340512</v>
      </c>
      <c r="AD46" s="76">
        <f t="shared" ca="1" si="12"/>
        <v>1.3194444443797693E-2</v>
      </c>
      <c r="AE46" s="76">
        <f t="shared" ca="1" si="13"/>
        <v>0.11180555555377691</v>
      </c>
      <c r="AF46" s="75">
        <f t="shared" ca="1" si="14"/>
        <v>0.29814814814340512</v>
      </c>
      <c r="AG46" s="75">
        <f t="shared" ca="1" si="15"/>
        <v>0.29814814814340512</v>
      </c>
      <c r="AH46" s="31" t="str" cm="1">
        <f t="array" aca="1" ref="AH46" ca="1">IF((AD46) &lt; (INDEX(ResponseSLA[#All],(MATCH((G46),ResponseSLA[Priority],0))+1,3)),"YES","No")</f>
        <v>YES</v>
      </c>
      <c r="AI46" s="31" t="str">
        <f ca="1">_xlfn.IFNA(IF(AE46 &lt; (INDEX(SLATable[Minimum SLA],MATCH(G46,SLATable[Priority],0))),"YES","NO"),"")</f>
        <v>YES</v>
      </c>
      <c r="AJ46" t="str">
        <f ca="1">_xlfn.IFNA(IF(AE46 &lt; (INDEX(SLATable[Maximum SLA],MATCH(G46,SLATable[Priority],0))),"YES","NO"),"")</f>
        <v>YES</v>
      </c>
    </row>
    <row r="47" spans="1:36" ht="15" customHeight="1">
      <c r="A47" s="45">
        <v>46</v>
      </c>
      <c r="B47" s="45" t="s">
        <v>26</v>
      </c>
      <c r="C47" s="45" t="s">
        <v>44</v>
      </c>
      <c r="D47" s="53" t="s">
        <v>208</v>
      </c>
      <c r="E47" s="53" t="s">
        <v>5653</v>
      </c>
      <c r="F47" s="45" t="s">
        <v>312</v>
      </c>
      <c r="G47" s="53" t="s">
        <v>208</v>
      </c>
      <c r="H47" s="53" t="s">
        <v>5654</v>
      </c>
      <c r="I47" s="53" t="s">
        <v>275</v>
      </c>
      <c r="J47" s="45" t="s">
        <v>5530</v>
      </c>
      <c r="K47" s="71">
        <v>46156.738888888889</v>
      </c>
      <c r="L47" s="71">
        <v>46161.592361111114</v>
      </c>
      <c r="M47" s="71">
        <v>46161.601388888892</v>
      </c>
      <c r="N47" s="71">
        <v>46162.280555555553</v>
      </c>
      <c r="O47" s="71"/>
      <c r="P47" s="71"/>
      <c r="Q47" s="53" t="s">
        <v>5534</v>
      </c>
      <c r="R47" s="53" t="s">
        <v>272</v>
      </c>
      <c r="S47" s="53" t="s">
        <v>175</v>
      </c>
      <c r="T47" s="53" t="s">
        <v>268</v>
      </c>
      <c r="U47" s="53" t="s">
        <v>5132</v>
      </c>
      <c r="X47" s="45" t="s">
        <v>5531</v>
      </c>
      <c r="Y47" s="53" t="s">
        <v>5564</v>
      </c>
      <c r="Z47" s="76">
        <f t="shared" ca="1" si="8"/>
        <v>1.125</v>
      </c>
      <c r="AA47" s="75">
        <f t="shared" ca="1" si="9"/>
        <v>3</v>
      </c>
      <c r="AB47" s="76">
        <f t="shared" ca="1" si="10"/>
        <v>0.11597222221947356</v>
      </c>
      <c r="AC47" s="75">
        <f t="shared" ca="1" si="11"/>
        <v>0.30925925925192949</v>
      </c>
      <c r="AD47" s="76">
        <f t="shared" ca="1" si="12"/>
        <v>9.0277777781011537E-3</v>
      </c>
      <c r="AE47" s="76">
        <f t="shared" ca="1" si="13"/>
        <v>0.11597222221947356</v>
      </c>
      <c r="AF47" s="75">
        <f t="shared" ca="1" si="14"/>
        <v>0.30925925925192949</v>
      </c>
      <c r="AG47" s="75">
        <f t="shared" ca="1" si="15"/>
        <v>0.30925925925192949</v>
      </c>
      <c r="AH47" s="31" t="str" cm="1">
        <f t="array" aca="1" ref="AH47" ca="1">IF((AD47) &lt; (INDEX(ResponseSLA[#All],(MATCH((G47),ResponseSLA[Priority],0))+1,3)),"YES","No")</f>
        <v>YES</v>
      </c>
      <c r="AI47" s="31" t="str">
        <f ca="1">_xlfn.IFNA(IF(AE47 &lt; (INDEX(SLATable[Minimum SLA],MATCH(G47,SLATable[Priority],0))),"YES","NO"),"")</f>
        <v>YES</v>
      </c>
      <c r="AJ47" t="str">
        <f ca="1">_xlfn.IFNA(IF(AE47 &lt; (INDEX(SLATable[Maximum SLA],MATCH(G47,SLATable[Priority],0))),"YES","NO"),"")</f>
        <v>YES</v>
      </c>
    </row>
    <row r="48" spans="1:36" ht="15" customHeight="1">
      <c r="A48" s="45">
        <v>47</v>
      </c>
      <c r="B48" s="45" t="s">
        <v>26</v>
      </c>
      <c r="C48" s="45" t="s">
        <v>44</v>
      </c>
      <c r="D48" s="53" t="s">
        <v>207</v>
      </c>
      <c r="E48" s="53" t="s">
        <v>2959</v>
      </c>
      <c r="F48" s="45" t="s">
        <v>312</v>
      </c>
      <c r="G48" s="45">
        <v>3</v>
      </c>
      <c r="H48" s="45" t="s">
        <v>2960</v>
      </c>
      <c r="I48" s="45" t="s">
        <v>275</v>
      </c>
      <c r="J48" s="45" t="s">
        <v>5655</v>
      </c>
      <c r="K48" s="47">
        <v>46106.193078703705</v>
      </c>
      <c r="L48" s="52">
        <v>46150.426435185182</v>
      </c>
      <c r="M48" s="52">
        <v>46150.426435185182</v>
      </c>
      <c r="N48" s="52">
        <v>46153.342013888891</v>
      </c>
      <c r="P48" s="47">
        <v>46153.342013888891</v>
      </c>
      <c r="Q48" s="45" t="s">
        <v>5656</v>
      </c>
      <c r="R48" s="45" t="s">
        <v>272</v>
      </c>
      <c r="S48" s="45" t="s">
        <v>175</v>
      </c>
      <c r="T48" s="45" t="s">
        <v>268</v>
      </c>
      <c r="U48" s="45" t="s">
        <v>5531</v>
      </c>
      <c r="X48" s="45" t="s">
        <v>5531</v>
      </c>
      <c r="Y48" s="45" t="s">
        <v>5657</v>
      </c>
      <c r="Z48" s="76">
        <f t="shared" ca="1" si="8"/>
        <v>10.883680555557174</v>
      </c>
      <c r="AA48" s="75">
        <f t="shared" ca="1" si="9"/>
        <v>29.023148148152458</v>
      </c>
      <c r="AB48" s="76">
        <f t="shared" ca="1" si="10"/>
        <v>0.2905787037088885</v>
      </c>
      <c r="AC48" s="75">
        <f t="shared" ca="1" si="11"/>
        <v>0.7748765432237027</v>
      </c>
      <c r="AD48" s="76">
        <f t="shared" ca="1" si="12"/>
        <v>0</v>
      </c>
      <c r="AE48" s="76">
        <f t="shared" ca="1" si="13"/>
        <v>0.2905787037088885</v>
      </c>
      <c r="AF48" s="75">
        <f t="shared" ca="1" si="14"/>
        <v>0.7748765432237027</v>
      </c>
      <c r="AG48" s="75">
        <f t="shared" ca="1" si="15"/>
        <v>0.7748765432237027</v>
      </c>
      <c r="AH48" s="31" t="str" cm="1">
        <f t="array" aca="1" ref="AH48" ca="1">IF((AD48) &lt; (INDEX(ResponseSLA[#All],(MATCH((G48),ResponseSLA[Priority],0))+1,3)),"YES","No")</f>
        <v>YES</v>
      </c>
      <c r="AI48" s="31" t="str">
        <f ca="1">_xlfn.IFNA(IF(AE48 &lt; (INDEX(SLATable[Minimum SLA],MATCH(G48,SLATable[Priority],0))),"YES","NO"),"")</f>
        <v>YES</v>
      </c>
      <c r="AJ48" t="str">
        <f ca="1">_xlfn.IFNA(IF(AE48 &lt; (INDEX(SLATable[Maximum SLA],MATCH(G48,SLATable[Priority],0))),"YES","NO"),"")</f>
        <v>YES</v>
      </c>
    </row>
    <row r="49" spans="1:36" ht="15" customHeight="1">
      <c r="A49" s="45">
        <v>48</v>
      </c>
      <c r="B49" s="45" t="s">
        <v>26</v>
      </c>
      <c r="C49" s="45" t="s">
        <v>44</v>
      </c>
      <c r="D49" s="53" t="s">
        <v>207</v>
      </c>
      <c r="E49" s="53" t="s">
        <v>5658</v>
      </c>
      <c r="F49" s="45" t="s">
        <v>312</v>
      </c>
      <c r="G49" s="45">
        <v>3</v>
      </c>
      <c r="H49" s="45" t="s">
        <v>5659</v>
      </c>
      <c r="I49" s="45" t="s">
        <v>275</v>
      </c>
      <c r="J49" s="45" t="s">
        <v>5655</v>
      </c>
      <c r="K49" s="47">
        <v>46146.376215277778</v>
      </c>
      <c r="L49" s="47">
        <v>46147.297175925924</v>
      </c>
      <c r="M49" s="47">
        <v>46147.297175925924</v>
      </c>
      <c r="N49" s="47">
        <v>46147.33320601852</v>
      </c>
      <c r="P49" s="47">
        <v>46147.33320601852</v>
      </c>
      <c r="Q49" s="45" t="s">
        <v>5656</v>
      </c>
      <c r="R49" s="45" t="s">
        <v>272</v>
      </c>
      <c r="S49" s="45" t="s">
        <v>175</v>
      </c>
      <c r="T49" s="45" t="s">
        <v>268</v>
      </c>
      <c r="U49" s="45" t="s">
        <v>5531</v>
      </c>
      <c r="X49" s="45" t="s">
        <v>5531</v>
      </c>
      <c r="Y49" s="45" t="s">
        <v>5660</v>
      </c>
      <c r="Z49" s="76">
        <f t="shared" ca="1" si="8"/>
        <v>0</v>
      </c>
      <c r="AA49" s="75">
        <f t="shared" ca="1" si="9"/>
        <v>0</v>
      </c>
      <c r="AB49" s="76">
        <f t="shared" ca="1" si="10"/>
        <v>0</v>
      </c>
      <c r="AC49" s="75">
        <f t="shared" ca="1" si="11"/>
        <v>0</v>
      </c>
      <c r="AD49" s="76">
        <f t="shared" ca="1" si="12"/>
        <v>0</v>
      </c>
      <c r="AE49" s="76">
        <f t="shared" ca="1" si="13"/>
        <v>0</v>
      </c>
      <c r="AF49" s="75">
        <f t="shared" ca="1" si="14"/>
        <v>0</v>
      </c>
      <c r="AG49" s="75">
        <f t="shared" ca="1" si="15"/>
        <v>0</v>
      </c>
      <c r="AH49" s="31" t="str" cm="1">
        <f t="array" aca="1" ref="AH49" ca="1">IF((AD49) &lt; (INDEX(ResponseSLA[#All],(MATCH((G49),ResponseSLA[Priority],0))+1,3)),"YES","No")</f>
        <v>YES</v>
      </c>
      <c r="AI49" s="31" t="str">
        <f ca="1">_xlfn.IFNA(IF(AE49 &lt; (INDEX(SLATable[Minimum SLA],MATCH(G49,SLATable[Priority],0))),"YES","NO"),"")</f>
        <v>YES</v>
      </c>
      <c r="AJ49" t="str">
        <f ca="1">_xlfn.IFNA(IF(AE49 &lt; (INDEX(SLATable[Maximum SLA],MATCH(G49,SLATable[Priority],0))),"YES","NO"),"")</f>
        <v>YES</v>
      </c>
    </row>
    <row r="50" spans="1:36" ht="15" customHeight="1">
      <c r="A50" s="45">
        <v>49</v>
      </c>
      <c r="B50" s="45" t="s">
        <v>26</v>
      </c>
      <c r="C50" s="45" t="s">
        <v>44</v>
      </c>
      <c r="D50" s="45" t="s">
        <v>207</v>
      </c>
      <c r="E50" s="45" t="s">
        <v>5661</v>
      </c>
      <c r="F50" s="45" t="s">
        <v>312</v>
      </c>
      <c r="G50" s="45">
        <v>3</v>
      </c>
      <c r="H50" s="46"/>
      <c r="I50" s="45" t="s">
        <v>275</v>
      </c>
      <c r="J50" s="45" t="s">
        <v>5655</v>
      </c>
      <c r="K50" s="47">
        <v>46146.665601851855</v>
      </c>
      <c r="L50" s="52">
        <v>46147.462060185186</v>
      </c>
      <c r="M50" s="52">
        <v>46147.462060185186</v>
      </c>
      <c r="N50" s="52">
        <v>46148.324629629627</v>
      </c>
      <c r="P50" s="52">
        <v>46148.324629629627</v>
      </c>
      <c r="Q50" s="45" t="s">
        <v>5656</v>
      </c>
      <c r="R50" s="45" t="s">
        <v>272</v>
      </c>
      <c r="S50" s="45" t="s">
        <v>175</v>
      </c>
      <c r="T50" s="45" t="s">
        <v>268</v>
      </c>
      <c r="U50" s="45" t="s">
        <v>5531</v>
      </c>
      <c r="X50" s="45" t="s">
        <v>5531</v>
      </c>
      <c r="Y50" s="45" t="s">
        <v>5662</v>
      </c>
      <c r="Z50" s="76">
        <f t="shared" ca="1" si="8"/>
        <v>0.37500000000000006</v>
      </c>
      <c r="AA50" s="75">
        <f t="shared" ca="1" si="9"/>
        <v>1.0000000000000002</v>
      </c>
      <c r="AB50" s="76">
        <f t="shared" ca="1" si="10"/>
        <v>0.24627314814764156</v>
      </c>
      <c r="AC50" s="75">
        <f t="shared" ca="1" si="11"/>
        <v>0.6567283950603775</v>
      </c>
      <c r="AD50" s="76">
        <f t="shared" ca="1" si="12"/>
        <v>0</v>
      </c>
      <c r="AE50" s="76">
        <f t="shared" ca="1" si="13"/>
        <v>0.24627314814764156</v>
      </c>
      <c r="AF50" s="75">
        <f t="shared" ca="1" si="14"/>
        <v>0.6567283950603775</v>
      </c>
      <c r="AG50" s="75">
        <f t="shared" ca="1" si="15"/>
        <v>0.6567283950603775</v>
      </c>
      <c r="AH50" s="31" t="str" cm="1">
        <f t="array" aca="1" ref="AH50" ca="1">IF((AD50) &lt; (INDEX(ResponseSLA[#All],(MATCH((G50),ResponseSLA[Priority],0))+1,3)),"YES","No")</f>
        <v>YES</v>
      </c>
      <c r="AI50" s="31" t="str">
        <f ca="1">_xlfn.IFNA(IF(AE50 &lt; (INDEX(SLATable[Minimum SLA],MATCH(G50,SLATable[Priority],0))),"YES","NO"),"")</f>
        <v>YES</v>
      </c>
      <c r="AJ50" t="str">
        <f ca="1">_xlfn.IFNA(IF(AE50 &lt; (INDEX(SLATable[Maximum SLA],MATCH(G50,SLATable[Priority],0))),"YES","NO"),"")</f>
        <v>YES</v>
      </c>
    </row>
    <row r="51" spans="1:36" ht="15" customHeight="1">
      <c r="A51" s="45">
        <v>50</v>
      </c>
      <c r="B51" s="45" t="s">
        <v>26</v>
      </c>
      <c r="C51" s="45" t="s">
        <v>44</v>
      </c>
      <c r="D51" s="45" t="s">
        <v>207</v>
      </c>
      <c r="E51" s="45" t="s">
        <v>5663</v>
      </c>
      <c r="F51" s="45" t="s">
        <v>312</v>
      </c>
      <c r="G51" s="45">
        <v>3</v>
      </c>
      <c r="H51" s="45" t="s">
        <v>5664</v>
      </c>
      <c r="I51" s="45" t="s">
        <v>275</v>
      </c>
      <c r="J51" s="45" t="s">
        <v>5655</v>
      </c>
      <c r="K51" s="47">
        <v>46146.382337962961</v>
      </c>
      <c r="L51" s="52">
        <v>46147.295636574076</v>
      </c>
      <c r="M51" s="52">
        <v>46147.295636574076</v>
      </c>
      <c r="N51" s="52">
        <v>46147.337002314816</v>
      </c>
      <c r="P51" s="52">
        <v>46147.337002314816</v>
      </c>
      <c r="Q51" s="45" t="s">
        <v>5656</v>
      </c>
      <c r="R51" s="45" t="s">
        <v>272</v>
      </c>
      <c r="S51" s="45" t="s">
        <v>175</v>
      </c>
      <c r="T51" s="45" t="s">
        <v>268</v>
      </c>
      <c r="U51" s="45" t="s">
        <v>5531</v>
      </c>
      <c r="X51" s="45" t="s">
        <v>5531</v>
      </c>
      <c r="Y51" s="45" t="s">
        <v>5665</v>
      </c>
      <c r="Z51" s="76">
        <f t="shared" ca="1" si="8"/>
        <v>3.6689814830121459E-3</v>
      </c>
      <c r="AA51" s="75">
        <f t="shared" ca="1" si="9"/>
        <v>9.7839506213657224E-3</v>
      </c>
      <c r="AB51" s="76">
        <f t="shared" ca="1" si="10"/>
        <v>3.6689814830121459E-3</v>
      </c>
      <c r="AC51" s="75">
        <f t="shared" ca="1" si="11"/>
        <v>9.7839506213657224E-3</v>
      </c>
      <c r="AD51" s="76">
        <f t="shared" ca="1" si="12"/>
        <v>0</v>
      </c>
      <c r="AE51" s="76">
        <f t="shared" ca="1" si="13"/>
        <v>3.6689814830121459E-3</v>
      </c>
      <c r="AF51" s="75">
        <f t="shared" ca="1" si="14"/>
        <v>9.7839506213657224E-3</v>
      </c>
      <c r="AG51" s="75">
        <f t="shared" ca="1" si="15"/>
        <v>9.7839506213657224E-3</v>
      </c>
      <c r="AH51" s="31" t="str" cm="1">
        <f t="array" aca="1" ref="AH51" ca="1">IF((AD51) &lt; (INDEX(ResponseSLA[#All],(MATCH((G51),ResponseSLA[Priority],0))+1,3)),"YES","No")</f>
        <v>YES</v>
      </c>
      <c r="AI51" s="31" t="str">
        <f ca="1">_xlfn.IFNA(IF(AE51 &lt; (INDEX(SLATable[Minimum SLA],MATCH(G51,SLATable[Priority],0))),"YES","NO"),"")</f>
        <v>YES</v>
      </c>
      <c r="AJ51" t="str">
        <f ca="1">_xlfn.IFNA(IF(AE51 &lt; (INDEX(SLATable[Maximum SLA],MATCH(G51,SLATable[Priority],0))),"YES","NO"),"")</f>
        <v>YES</v>
      </c>
    </row>
    <row r="52" spans="1:36" ht="15" customHeight="1">
      <c r="A52" s="45">
        <v>51</v>
      </c>
      <c r="B52" s="45" t="s">
        <v>26</v>
      </c>
      <c r="C52" s="45" t="s">
        <v>44</v>
      </c>
      <c r="D52" s="45" t="s">
        <v>207</v>
      </c>
      <c r="E52" s="45" t="s">
        <v>5666</v>
      </c>
      <c r="F52" s="45" t="s">
        <v>312</v>
      </c>
      <c r="G52" s="45">
        <v>3</v>
      </c>
      <c r="H52" s="45" t="s">
        <v>5667</v>
      </c>
      <c r="I52" s="45" t="s">
        <v>275</v>
      </c>
      <c r="J52" s="45" t="s">
        <v>5655</v>
      </c>
      <c r="K52" s="47">
        <v>46148.522766203707</v>
      </c>
      <c r="L52" s="52">
        <v>46149.507893518516</v>
      </c>
      <c r="M52" s="52">
        <v>46149.507893518516</v>
      </c>
      <c r="N52" s="52">
        <v>46149.716504629629</v>
      </c>
      <c r="P52" s="52">
        <v>46149.716504629629</v>
      </c>
      <c r="Q52" s="45" t="s">
        <v>5668</v>
      </c>
      <c r="R52" s="45" t="s">
        <v>261</v>
      </c>
      <c r="S52" s="45" t="s">
        <v>175</v>
      </c>
      <c r="T52" s="45" t="s">
        <v>268</v>
      </c>
      <c r="U52" s="45" t="s">
        <v>5531</v>
      </c>
      <c r="X52" s="45" t="s">
        <v>5531</v>
      </c>
      <c r="Y52" s="45" t="s">
        <v>5669</v>
      </c>
      <c r="Z52" s="76">
        <f t="shared" ca="1" si="8"/>
        <v>0.56056712962648225</v>
      </c>
      <c r="AA52" s="75">
        <f t="shared" ca="1" si="9"/>
        <v>1.4948456790039526</v>
      </c>
      <c r="AB52" s="76">
        <f t="shared" ca="1" si="10"/>
        <v>0.20043981481770368</v>
      </c>
      <c r="AC52" s="75">
        <f t="shared" ca="1" si="11"/>
        <v>0.5345061728472098</v>
      </c>
      <c r="AD52" s="76">
        <f t="shared" ca="1" si="12"/>
        <v>0</v>
      </c>
      <c r="AE52" s="76">
        <f t="shared" ca="1" si="13"/>
        <v>0.20043981481770368</v>
      </c>
      <c r="AF52" s="75">
        <f t="shared" ca="1" si="14"/>
        <v>0.5345061728472098</v>
      </c>
      <c r="AG52" s="75">
        <f t="shared" ca="1" si="15"/>
        <v>0.5345061728472098</v>
      </c>
      <c r="AH52" s="31" t="str" cm="1">
        <f t="array" aca="1" ref="AH52" ca="1">IF((AD52) &lt; (INDEX(ResponseSLA[#All],(MATCH((G52),ResponseSLA[Priority],0))+1,3)),"YES","No")</f>
        <v>YES</v>
      </c>
      <c r="AI52" s="31" t="str">
        <f ca="1">_xlfn.IFNA(IF(AE52 &lt; (INDEX(SLATable[Minimum SLA],MATCH(G52,SLATable[Priority],0))),"YES","NO"),"")</f>
        <v>YES</v>
      </c>
      <c r="AJ52" t="str">
        <f ca="1">_xlfn.IFNA(IF(AE52 &lt; (INDEX(SLATable[Maximum SLA],MATCH(G52,SLATable[Priority],0))),"YES","NO"),"")</f>
        <v>YES</v>
      </c>
    </row>
    <row r="53" spans="1:36" ht="15" customHeight="1">
      <c r="A53" s="45">
        <v>52</v>
      </c>
      <c r="B53" s="45" t="s">
        <v>26</v>
      </c>
      <c r="C53" s="45" t="s">
        <v>44</v>
      </c>
      <c r="D53" s="45" t="s">
        <v>207</v>
      </c>
      <c r="E53" s="45" t="s">
        <v>5670</v>
      </c>
      <c r="F53" s="45" t="s">
        <v>312</v>
      </c>
      <c r="G53" s="45">
        <v>3</v>
      </c>
      <c r="H53" s="45" t="s">
        <v>5671</v>
      </c>
      <c r="I53" s="45" t="s">
        <v>275</v>
      </c>
      <c r="J53" s="45" t="s">
        <v>5655</v>
      </c>
      <c r="K53" s="47">
        <v>46147.679305555554</v>
      </c>
      <c r="L53" s="52">
        <v>46148.53738425926</v>
      </c>
      <c r="M53" s="52">
        <v>46148.53738425926</v>
      </c>
      <c r="N53" s="52">
        <v>46149.489606481482</v>
      </c>
      <c r="P53" s="52">
        <v>46149.489606481482</v>
      </c>
      <c r="Q53" s="45" t="s">
        <v>5672</v>
      </c>
      <c r="R53" s="45" t="s">
        <v>272</v>
      </c>
      <c r="S53" s="45" t="s">
        <v>175</v>
      </c>
      <c r="T53" s="45" t="s">
        <v>268</v>
      </c>
      <c r="U53" s="45" t="s">
        <v>5531</v>
      </c>
      <c r="X53" s="45" t="s">
        <v>5531</v>
      </c>
      <c r="Y53" s="46" t="s">
        <v>5673</v>
      </c>
      <c r="Z53" s="76">
        <f t="shared" ca="1" si="8"/>
        <v>0.56030092592845904</v>
      </c>
      <c r="AA53" s="75">
        <f t="shared" ca="1" si="9"/>
        <v>1.4941358024758908</v>
      </c>
      <c r="AB53" s="76">
        <f t="shared" ca="1" si="10"/>
        <v>0.32722222222218988</v>
      </c>
      <c r="AC53" s="75">
        <f t="shared" ca="1" si="11"/>
        <v>0.87259259259250632</v>
      </c>
      <c r="AD53" s="76">
        <f t="shared" ca="1" si="12"/>
        <v>0</v>
      </c>
      <c r="AE53" s="76">
        <f t="shared" ca="1" si="13"/>
        <v>0.32722222222218988</v>
      </c>
      <c r="AF53" s="75">
        <f t="shared" ca="1" si="14"/>
        <v>0.87259259259250632</v>
      </c>
      <c r="AG53" s="75">
        <f t="shared" ca="1" si="15"/>
        <v>0.87259259259250632</v>
      </c>
      <c r="AH53" s="31" t="str" cm="1">
        <f t="array" aca="1" ref="AH53" ca="1">IF((AD53) &lt; (INDEX(ResponseSLA[#All],(MATCH((G53),ResponseSLA[Priority],0))+1,3)),"YES","No")</f>
        <v>YES</v>
      </c>
      <c r="AI53" s="31" t="str">
        <f ca="1">_xlfn.IFNA(IF(AE53 &lt; (INDEX(SLATable[Minimum SLA],MATCH(G53,SLATable[Priority],0))),"YES","NO"),"")</f>
        <v>YES</v>
      </c>
      <c r="AJ53" t="str">
        <f ca="1">_xlfn.IFNA(IF(AE53 &lt; (INDEX(SLATable[Maximum SLA],MATCH(G53,SLATable[Priority],0))),"YES","NO"),"")</f>
        <v>YES</v>
      </c>
    </row>
    <row r="54" spans="1:36" ht="15" customHeight="1">
      <c r="A54" s="45">
        <v>53</v>
      </c>
      <c r="B54" s="45" t="s">
        <v>26</v>
      </c>
      <c r="C54" s="45" t="s">
        <v>44</v>
      </c>
      <c r="D54" s="45" t="s">
        <v>207</v>
      </c>
      <c r="E54" s="45" t="s">
        <v>5674</v>
      </c>
      <c r="F54" s="45" t="s">
        <v>312</v>
      </c>
      <c r="G54" s="45">
        <v>3</v>
      </c>
      <c r="H54" s="45" t="s">
        <v>5675</v>
      </c>
      <c r="I54" s="45" t="s">
        <v>275</v>
      </c>
      <c r="J54" s="45" t="s">
        <v>5655</v>
      </c>
      <c r="K54" s="47">
        <v>46147.410601851851</v>
      </c>
      <c r="L54" s="52">
        <v>46149.50818287037</v>
      </c>
      <c r="M54" s="47">
        <v>46149.50818287037</v>
      </c>
      <c r="N54" s="47">
        <v>46149.708344907405</v>
      </c>
      <c r="P54" s="52">
        <v>46149.708344907405</v>
      </c>
      <c r="Q54" s="45" t="s">
        <v>5672</v>
      </c>
      <c r="R54" s="45" t="s">
        <v>272</v>
      </c>
      <c r="S54" s="45" t="s">
        <v>175</v>
      </c>
      <c r="T54" s="45" t="s">
        <v>268</v>
      </c>
      <c r="U54" s="45" t="s">
        <v>5531</v>
      </c>
      <c r="X54" s="45" t="s">
        <v>5531</v>
      </c>
      <c r="Y54" s="45" t="s">
        <v>5676</v>
      </c>
      <c r="Z54" s="76">
        <f t="shared" ca="1" si="8"/>
        <v>1.0477314814828182</v>
      </c>
      <c r="AA54" s="75">
        <f t="shared" ca="1" si="9"/>
        <v>2.7939506172875155</v>
      </c>
      <c r="AB54" s="76">
        <f t="shared" ca="1" si="10"/>
        <v>0.20015046296369599</v>
      </c>
      <c r="AC54" s="75">
        <f t="shared" ca="1" si="11"/>
        <v>0.53373456790318929</v>
      </c>
      <c r="AD54" s="76">
        <f t="shared" ca="1" si="12"/>
        <v>0</v>
      </c>
      <c r="AE54" s="76">
        <f t="shared" ca="1" si="13"/>
        <v>0.20015046296369599</v>
      </c>
      <c r="AF54" s="75">
        <f t="shared" ca="1" si="14"/>
        <v>0.53373456790318929</v>
      </c>
      <c r="AG54" s="75">
        <f t="shared" ca="1" si="15"/>
        <v>0.53373456790318929</v>
      </c>
      <c r="AH54" s="31" t="str" cm="1">
        <f t="array" aca="1" ref="AH54" ca="1">IF((AD54) &lt; (INDEX(ResponseSLA[#All],(MATCH((G54),ResponseSLA[Priority],0))+1,3)),"YES","No")</f>
        <v>YES</v>
      </c>
      <c r="AI54" s="31" t="str">
        <f ca="1">_xlfn.IFNA(IF(AE54 &lt; (INDEX(SLATable[Minimum SLA],MATCH(G54,SLATable[Priority],0))),"YES","NO"),"")</f>
        <v>YES</v>
      </c>
      <c r="AJ54" t="str">
        <f ca="1">_xlfn.IFNA(IF(AE54 &lt; (INDEX(SLATable[Maximum SLA],MATCH(G54,SLATable[Priority],0))),"YES","NO"),"")</f>
        <v>YES</v>
      </c>
    </row>
    <row r="55" spans="1:36" ht="15" customHeight="1">
      <c r="A55" s="45">
        <v>54</v>
      </c>
      <c r="B55" s="45" t="s">
        <v>26</v>
      </c>
      <c r="C55" s="45" t="s">
        <v>44</v>
      </c>
      <c r="D55" s="45" t="s">
        <v>207</v>
      </c>
      <c r="E55" s="45" t="s">
        <v>5677</v>
      </c>
      <c r="F55" s="45" t="s">
        <v>312</v>
      </c>
      <c r="G55" s="45">
        <v>3</v>
      </c>
      <c r="H55" s="45" t="s">
        <v>5678</v>
      </c>
      <c r="I55" s="45" t="s">
        <v>275</v>
      </c>
      <c r="J55" s="45" t="s">
        <v>5655</v>
      </c>
      <c r="K55" s="47">
        <v>46153.435474537036</v>
      </c>
      <c r="L55" s="47">
        <v>46153.516504629632</v>
      </c>
      <c r="M55" s="47">
        <v>46153.516504629632</v>
      </c>
      <c r="N55" s="47">
        <v>46154.305462962962</v>
      </c>
      <c r="P55" s="47">
        <v>46154.305462962962</v>
      </c>
      <c r="Q55" s="45" t="s">
        <v>5672</v>
      </c>
      <c r="R55" s="45" t="s">
        <v>272</v>
      </c>
      <c r="S55" s="45" t="s">
        <v>175</v>
      </c>
      <c r="T55" s="45" t="s">
        <v>268</v>
      </c>
      <c r="U55" s="45" t="s">
        <v>5531</v>
      </c>
      <c r="X55" s="45" t="s">
        <v>5531</v>
      </c>
      <c r="Y55" s="45" t="s">
        <v>5673</v>
      </c>
      <c r="Z55" s="76">
        <f t="shared" ca="1" si="8"/>
        <v>0.27285879629683529</v>
      </c>
      <c r="AA55" s="75">
        <f t="shared" ca="1" si="9"/>
        <v>0.72762345679156082</v>
      </c>
      <c r="AB55" s="76">
        <f t="shared" ca="1" si="10"/>
        <v>0.1918287037018066</v>
      </c>
      <c r="AC55" s="75">
        <f t="shared" ca="1" si="11"/>
        <v>0.51154320987148427</v>
      </c>
      <c r="AD55" s="76">
        <f t="shared" ca="1" si="12"/>
        <v>0</v>
      </c>
      <c r="AE55" s="76">
        <f t="shared" ca="1" si="13"/>
        <v>0.1918287037018066</v>
      </c>
      <c r="AF55" s="75">
        <f t="shared" ca="1" si="14"/>
        <v>0.51154320987148427</v>
      </c>
      <c r="AG55" s="75">
        <f t="shared" ca="1" si="15"/>
        <v>0.51154320987148427</v>
      </c>
      <c r="AH55" s="31" t="str" cm="1">
        <f t="array" aca="1" ref="AH55" ca="1">IF((AD55) &lt; (INDEX(ResponseSLA[#All],(MATCH((G55),ResponseSLA[Priority],0))+1,3)),"YES","No")</f>
        <v>YES</v>
      </c>
      <c r="AI55" s="31" t="str">
        <f ca="1">_xlfn.IFNA(IF(AE55 &lt; (INDEX(SLATable[Minimum SLA],MATCH(G55,SLATable[Priority],0))),"YES","NO"),"")</f>
        <v>YES</v>
      </c>
      <c r="AJ55" t="str">
        <f ca="1">_xlfn.IFNA(IF(AE55 &lt; (INDEX(SLATable[Maximum SLA],MATCH(G55,SLATable[Priority],0))),"YES","NO"),"")</f>
        <v>YES</v>
      </c>
    </row>
    <row r="56" spans="1:36" ht="15" customHeight="1">
      <c r="A56" s="45">
        <v>55</v>
      </c>
      <c r="B56" s="45" t="s">
        <v>26</v>
      </c>
      <c r="C56" s="45" t="s">
        <v>44</v>
      </c>
      <c r="D56" s="45" t="s">
        <v>207</v>
      </c>
      <c r="E56" s="45" t="s">
        <v>5679</v>
      </c>
      <c r="F56" s="45" t="s">
        <v>312</v>
      </c>
      <c r="G56" s="45">
        <v>3</v>
      </c>
      <c r="H56" s="45" t="s">
        <v>5680</v>
      </c>
      <c r="I56" s="45" t="s">
        <v>275</v>
      </c>
      <c r="J56" s="45" t="s">
        <v>5655</v>
      </c>
      <c r="K56" s="47">
        <v>46152.430995370371</v>
      </c>
      <c r="L56" s="47">
        <v>46153.518449074072</v>
      </c>
      <c r="M56" s="52">
        <v>46153.518449074072</v>
      </c>
      <c r="N56" s="47">
        <v>46154.308206018519</v>
      </c>
      <c r="P56" s="47">
        <v>46154.308206018519</v>
      </c>
      <c r="Q56" s="45" t="s">
        <v>5672</v>
      </c>
      <c r="R56" s="45" t="s">
        <v>272</v>
      </c>
      <c r="S56" s="45" t="s">
        <v>175</v>
      </c>
      <c r="T56" s="45" t="s">
        <v>268</v>
      </c>
      <c r="U56" s="45" t="s">
        <v>5531</v>
      </c>
      <c r="X56" s="45" t="s">
        <v>5531</v>
      </c>
      <c r="Y56" s="45" t="s">
        <v>5676</v>
      </c>
      <c r="Z56" s="76">
        <f t="shared" ca="1" si="8"/>
        <v>0.37500000000000006</v>
      </c>
      <c r="AA56" s="75">
        <f t="shared" ca="1" si="9"/>
        <v>1.0000000000000002</v>
      </c>
      <c r="AB56" s="76">
        <f t="shared" ca="1" si="10"/>
        <v>0.18988425926121033</v>
      </c>
      <c r="AC56" s="75">
        <f t="shared" ca="1" si="11"/>
        <v>0.50635802469656088</v>
      </c>
      <c r="AD56" s="76">
        <f t="shared" ca="1" si="12"/>
        <v>0</v>
      </c>
      <c r="AE56" s="76">
        <f t="shared" ca="1" si="13"/>
        <v>0.18988425926121033</v>
      </c>
      <c r="AF56" s="75">
        <f t="shared" ca="1" si="14"/>
        <v>0.50635802469656088</v>
      </c>
      <c r="AG56" s="75">
        <f t="shared" ca="1" si="15"/>
        <v>0.50635802469656088</v>
      </c>
      <c r="AH56" s="31" t="str" cm="1">
        <f t="array" aca="1" ref="AH56" ca="1">IF((AD56) &lt; (INDEX(ResponseSLA[#All],(MATCH((G56),ResponseSLA[Priority],0))+1,3)),"YES","No")</f>
        <v>YES</v>
      </c>
      <c r="AI56" s="31" t="str">
        <f ca="1">_xlfn.IFNA(IF(AE56 &lt; (INDEX(SLATable[Minimum SLA],MATCH(G56,SLATable[Priority],0))),"YES","NO"),"")</f>
        <v>YES</v>
      </c>
      <c r="AJ56" t="str">
        <f ca="1">_xlfn.IFNA(IF(AE56 &lt; (INDEX(SLATable[Maximum SLA],MATCH(G56,SLATable[Priority],0))),"YES","NO"),"")</f>
        <v>YES</v>
      </c>
    </row>
    <row r="57" spans="1:36" ht="15" customHeight="1">
      <c r="A57" s="45">
        <v>56</v>
      </c>
      <c r="B57" s="45" t="s">
        <v>26</v>
      </c>
      <c r="C57" s="45" t="s">
        <v>44</v>
      </c>
      <c r="D57" s="45" t="s">
        <v>207</v>
      </c>
      <c r="E57" s="45" t="s">
        <v>5681</v>
      </c>
      <c r="F57" s="45" t="s">
        <v>312</v>
      </c>
      <c r="G57" s="45">
        <v>3</v>
      </c>
      <c r="H57" s="45" t="s">
        <v>5682</v>
      </c>
      <c r="I57" s="45" t="s">
        <v>275</v>
      </c>
      <c r="J57" s="45" t="s">
        <v>5655</v>
      </c>
      <c r="K57" s="47">
        <v>46154.655763888892</v>
      </c>
      <c r="L57" s="47">
        <v>46155.655127314814</v>
      </c>
      <c r="M57" s="47">
        <v>46155.655127314814</v>
      </c>
      <c r="N57" s="47">
        <v>46156.310497685183</v>
      </c>
      <c r="P57" s="47">
        <v>46156.310497685183</v>
      </c>
      <c r="Q57" s="45" t="s">
        <v>5672</v>
      </c>
      <c r="R57" s="45" t="s">
        <v>272</v>
      </c>
      <c r="S57" s="45" t="s">
        <v>175</v>
      </c>
      <c r="T57" s="45" t="s">
        <v>268</v>
      </c>
      <c r="U57" s="45" t="s">
        <v>5531</v>
      </c>
      <c r="X57" s="45" t="s">
        <v>5531</v>
      </c>
      <c r="Y57" s="45" t="s">
        <v>5683</v>
      </c>
      <c r="Z57" s="76">
        <f t="shared" ca="1" si="8"/>
        <v>0.42756944444166356</v>
      </c>
      <c r="AA57" s="75">
        <f t="shared" ca="1" si="9"/>
        <v>1.1401851851777696</v>
      </c>
      <c r="AB57" s="76">
        <f t="shared" ca="1" si="10"/>
        <v>5.3206018519025178E-2</v>
      </c>
      <c r="AC57" s="75">
        <f t="shared" ca="1" si="11"/>
        <v>0.1418827160507338</v>
      </c>
      <c r="AD57" s="76">
        <f t="shared" ca="1" si="12"/>
        <v>0</v>
      </c>
      <c r="AE57" s="76">
        <f t="shared" ca="1" si="13"/>
        <v>5.3206018519025178E-2</v>
      </c>
      <c r="AF57" s="75">
        <f t="shared" ca="1" si="14"/>
        <v>0.1418827160507338</v>
      </c>
      <c r="AG57" s="75">
        <f t="shared" ca="1" si="15"/>
        <v>0.1418827160507338</v>
      </c>
      <c r="AH57" s="31" t="str" cm="1">
        <f t="array" aca="1" ref="AH57" ca="1">IF((AD57) &lt; (INDEX(ResponseSLA[#All],(MATCH((G57),ResponseSLA[Priority],0))+1,3)),"YES","No")</f>
        <v>YES</v>
      </c>
      <c r="AI57" s="31" t="str">
        <f ca="1">_xlfn.IFNA(IF(AE57 &lt; (INDEX(SLATable[Minimum SLA],MATCH(G57,SLATable[Priority],0))),"YES","NO"),"")</f>
        <v>YES</v>
      </c>
      <c r="AJ57" t="str">
        <f ca="1">_xlfn.IFNA(IF(AE57 &lt; (INDEX(SLATable[Maximum SLA],MATCH(G57,SLATable[Priority],0))),"YES","NO"),"")</f>
        <v>YES</v>
      </c>
    </row>
    <row r="58" spans="1:36" ht="15" customHeight="1">
      <c r="A58" s="45">
        <v>57</v>
      </c>
      <c r="B58" s="45" t="s">
        <v>26</v>
      </c>
      <c r="C58" s="45" t="s">
        <v>44</v>
      </c>
      <c r="D58" s="45" t="s">
        <v>207</v>
      </c>
      <c r="E58" s="45" t="s">
        <v>5684</v>
      </c>
      <c r="F58" s="45" t="s">
        <v>312</v>
      </c>
      <c r="G58" s="45">
        <v>4</v>
      </c>
      <c r="H58" s="45" t="s">
        <v>5685</v>
      </c>
      <c r="I58" s="45" t="s">
        <v>271</v>
      </c>
      <c r="J58" s="45" t="s">
        <v>5655</v>
      </c>
      <c r="K58" s="47">
        <v>46155.393333333333</v>
      </c>
      <c r="L58" s="47">
        <v>46155.451944444445</v>
      </c>
      <c r="M58" s="47">
        <v>46155.451944444445</v>
      </c>
      <c r="N58" s="47">
        <v>46155.470648148148</v>
      </c>
      <c r="P58" s="47">
        <v>46155.470648148148</v>
      </c>
      <c r="Q58" s="45" t="s">
        <v>5686</v>
      </c>
      <c r="R58" s="45" t="s">
        <v>272</v>
      </c>
      <c r="S58" s="45" t="s">
        <v>175</v>
      </c>
      <c r="T58" s="45" t="s">
        <v>268</v>
      </c>
      <c r="U58" s="45" t="s">
        <v>371</v>
      </c>
      <c r="X58" s="45" t="s">
        <v>5531</v>
      </c>
      <c r="Y58" s="45" t="s">
        <v>5687</v>
      </c>
      <c r="Z58" s="76">
        <f t="shared" ca="1" si="8"/>
        <v>7.7314814814599231E-2</v>
      </c>
      <c r="AA58" s="75">
        <f t="shared" ca="1" si="9"/>
        <v>0.20617283950559795</v>
      </c>
      <c r="AB58" s="76">
        <f t="shared" ca="1" si="10"/>
        <v>1.8703703703067731E-2</v>
      </c>
      <c r="AC58" s="75">
        <f t="shared" ca="1" si="11"/>
        <v>4.9876543208180614E-2</v>
      </c>
      <c r="AD58" s="76">
        <f t="shared" ca="1" si="12"/>
        <v>0</v>
      </c>
      <c r="AE58" s="76">
        <f t="shared" ca="1" si="13"/>
        <v>1.8703703703067731E-2</v>
      </c>
      <c r="AF58" s="75">
        <f t="shared" ca="1" si="14"/>
        <v>4.9876543208180614E-2</v>
      </c>
      <c r="AG58" s="75">
        <f t="shared" ca="1" si="15"/>
        <v>4.9876543208180614E-2</v>
      </c>
      <c r="AH58" s="31" t="str" cm="1">
        <f t="array" aca="1" ref="AH58" ca="1">IF((AD58) &lt; (INDEX(ResponseSLA[#All],(MATCH((G58),ResponseSLA[Priority],0))+1,3)),"YES","No")</f>
        <v>YES</v>
      </c>
      <c r="AI58" s="31" t="str">
        <f ca="1">_xlfn.IFNA(IF(AE58 &lt; (INDEX(SLATable[Minimum SLA],MATCH(G58,SLATable[Priority],0))),"YES","NO"),"")</f>
        <v>YES</v>
      </c>
      <c r="AJ58" t="str">
        <f ca="1">_xlfn.IFNA(IF(AE58 &lt; (INDEX(SLATable[Maximum SLA],MATCH(G58,SLATable[Priority],0))),"YES","NO"),"")</f>
        <v>YES</v>
      </c>
    </row>
    <row r="59" spans="1:36" ht="15" customHeight="1">
      <c r="A59" s="45">
        <v>58</v>
      </c>
      <c r="B59" s="45" t="s">
        <v>26</v>
      </c>
      <c r="C59" s="45" t="s">
        <v>44</v>
      </c>
      <c r="D59" s="45" t="s">
        <v>207</v>
      </c>
      <c r="E59" s="53" t="s">
        <v>5688</v>
      </c>
      <c r="F59" s="45" t="s">
        <v>312</v>
      </c>
      <c r="G59" s="45">
        <v>3</v>
      </c>
      <c r="H59" s="45" t="s">
        <v>5689</v>
      </c>
      <c r="I59" s="45" t="s">
        <v>275</v>
      </c>
      <c r="J59" s="45" t="s">
        <v>5655</v>
      </c>
      <c r="K59" s="47">
        <v>46158.513692129629</v>
      </c>
      <c r="L59" s="56">
        <v>46160.736909722225</v>
      </c>
      <c r="M59" s="56">
        <v>46161.298506944448</v>
      </c>
      <c r="N59" s="56">
        <v>46161.548935185187</v>
      </c>
      <c r="P59" s="47">
        <v>46161.548935185187</v>
      </c>
      <c r="Q59" s="45" t="s">
        <v>5672</v>
      </c>
      <c r="R59" s="45" t="s">
        <v>272</v>
      </c>
      <c r="S59" s="45" t="s">
        <v>175</v>
      </c>
      <c r="T59" s="45" t="s">
        <v>268</v>
      </c>
      <c r="U59" s="45" t="s">
        <v>371</v>
      </c>
      <c r="X59" s="45" t="s">
        <v>5531</v>
      </c>
      <c r="Y59" s="45" t="s">
        <v>5673</v>
      </c>
      <c r="Z59" s="76">
        <f t="shared" ca="1" si="8"/>
        <v>0.59060185185323166</v>
      </c>
      <c r="AA59" s="75">
        <f t="shared" ca="1" si="9"/>
        <v>1.5749382716086178</v>
      </c>
      <c r="AB59" s="76">
        <f t="shared" ca="1" si="10"/>
        <v>0.21560185185323155</v>
      </c>
      <c r="AC59" s="75">
        <f t="shared" ca="1" si="11"/>
        <v>0.57493827160861743</v>
      </c>
      <c r="AD59" s="76">
        <f t="shared" ca="1" si="12"/>
        <v>0</v>
      </c>
      <c r="AE59" s="76">
        <f t="shared" ca="1" si="13"/>
        <v>0.21560185185323155</v>
      </c>
      <c r="AF59" s="75">
        <f t="shared" ca="1" si="14"/>
        <v>0.57493827160861743</v>
      </c>
      <c r="AG59" s="75">
        <f t="shared" ca="1" si="15"/>
        <v>0.57493827160861743</v>
      </c>
      <c r="AH59" s="31" t="str" cm="1">
        <f t="array" aca="1" ref="AH59" ca="1">IF((AD59) &lt; (INDEX(ResponseSLA[#All],(MATCH((G59),ResponseSLA[Priority],0))+1,3)),"YES","No")</f>
        <v>YES</v>
      </c>
      <c r="AI59" s="31" t="str">
        <f ca="1">_xlfn.IFNA(IF(AE59 &lt; (INDEX(SLATable[Minimum SLA],MATCH(G59,SLATable[Priority],0))),"YES","NO"),"")</f>
        <v>YES</v>
      </c>
      <c r="AJ59" t="str">
        <f ca="1">_xlfn.IFNA(IF(AE59 &lt; (INDEX(SLATable[Maximum SLA],MATCH(G59,SLATable[Priority],0))),"YES","NO"),"")</f>
        <v>YES</v>
      </c>
    </row>
    <row r="60" spans="1:36" ht="15" customHeight="1">
      <c r="A60" s="45">
        <v>59</v>
      </c>
      <c r="B60" s="45" t="s">
        <v>26</v>
      </c>
      <c r="C60" s="45" t="s">
        <v>44</v>
      </c>
      <c r="D60" s="45" t="s">
        <v>207</v>
      </c>
      <c r="E60" s="53" t="s">
        <v>5690</v>
      </c>
      <c r="F60" s="18" t="s">
        <v>312</v>
      </c>
      <c r="G60" s="67">
        <v>4</v>
      </c>
      <c r="H60" s="67" t="s">
        <v>5691</v>
      </c>
      <c r="I60" s="67" t="s">
        <v>271</v>
      </c>
      <c r="J60" s="67" t="s">
        <v>5391</v>
      </c>
      <c r="K60" s="68">
        <v>46146.706944444442</v>
      </c>
      <c r="L60" s="68">
        <v>46148.29583333333</v>
      </c>
      <c r="M60" s="68">
        <v>46148.29791666667</v>
      </c>
      <c r="N60" s="68">
        <v>46149.466666666667</v>
      </c>
      <c r="O60" s="68">
        <v>46148.724999999999</v>
      </c>
      <c r="P60" s="68">
        <v>46149.466666666667</v>
      </c>
      <c r="Q60" s="67" t="s">
        <v>5692</v>
      </c>
      <c r="R60" s="67" t="s">
        <v>5693</v>
      </c>
      <c r="S60" s="67" t="s">
        <v>175</v>
      </c>
      <c r="T60" s="45" t="s">
        <v>268</v>
      </c>
      <c r="U60" s="67" t="s">
        <v>5531</v>
      </c>
      <c r="W60" s="67"/>
      <c r="X60" s="67" t="s">
        <v>5531</v>
      </c>
      <c r="Y60" s="67" t="s">
        <v>5694</v>
      </c>
      <c r="Z60" s="76">
        <f t="shared" ca="1" si="8"/>
        <v>0.75000000000000011</v>
      </c>
      <c r="AA60" s="75">
        <f t="shared" ca="1" si="9"/>
        <v>2.0000000000000004</v>
      </c>
      <c r="AB60" s="76">
        <f t="shared" ca="1" si="10"/>
        <v>0.37500000000000011</v>
      </c>
      <c r="AC60" s="75">
        <f t="shared" ca="1" si="11"/>
        <v>1.0000000000000004</v>
      </c>
      <c r="AD60" s="76">
        <f t="shared" ca="1" si="12"/>
        <v>0</v>
      </c>
      <c r="AE60" s="76">
        <f t="shared" ca="1" si="13"/>
        <v>0.37500000000000011</v>
      </c>
      <c r="AF60" s="75">
        <f t="shared" ca="1" si="14"/>
        <v>1.0000000000000004</v>
      </c>
      <c r="AG60" s="75">
        <f t="shared" ca="1" si="15"/>
        <v>1.0000000000000004</v>
      </c>
      <c r="AH60" s="31" t="str" cm="1">
        <f t="array" aca="1" ref="AH60" ca="1">IF((AD60) &lt; (INDEX(ResponseSLA[#All],(MATCH((G60),ResponseSLA[Priority],0))+1,3)),"YES","No")</f>
        <v>YES</v>
      </c>
      <c r="AI60" s="31" t="str">
        <f ca="1">_xlfn.IFNA(IF(AE60 &lt; (INDEX(SLATable[Minimum SLA],MATCH(G60,SLATable[Priority],0))),"YES","NO"),"")</f>
        <v>YES</v>
      </c>
      <c r="AJ60" t="str">
        <f ca="1">_xlfn.IFNA(IF(AE60 &lt; (INDEX(SLATable[Maximum SLA],MATCH(G60,SLATable[Priority],0))),"YES","NO"),"")</f>
        <v>YES</v>
      </c>
    </row>
    <row r="61" spans="1:36" ht="15" customHeight="1">
      <c r="A61" s="45">
        <v>60</v>
      </c>
      <c r="B61" s="45" t="s">
        <v>26</v>
      </c>
      <c r="C61" s="45" t="s">
        <v>44</v>
      </c>
      <c r="D61" s="45" t="s">
        <v>207</v>
      </c>
      <c r="E61" s="53" t="s">
        <v>5695</v>
      </c>
      <c r="F61" s="18" t="s">
        <v>312</v>
      </c>
      <c r="G61" s="45">
        <v>3</v>
      </c>
      <c r="H61" s="67" t="s">
        <v>5696</v>
      </c>
      <c r="I61" s="45" t="s">
        <v>275</v>
      </c>
      <c r="J61" s="67" t="s">
        <v>5391</v>
      </c>
      <c r="K61" s="68">
        <v>46146.695138888892</v>
      </c>
      <c r="L61" s="68">
        <v>46146.741666666669</v>
      </c>
      <c r="M61" s="68">
        <v>46147.29791666667</v>
      </c>
      <c r="N61" s="68">
        <v>46147.518750000003</v>
      </c>
      <c r="O61" s="67" t="s">
        <v>5697</v>
      </c>
      <c r="P61" s="68"/>
      <c r="Q61" s="67" t="s">
        <v>5698</v>
      </c>
      <c r="R61" s="67" t="s">
        <v>272</v>
      </c>
      <c r="S61" s="67" t="s">
        <v>5699</v>
      </c>
      <c r="T61" s="45" t="s">
        <v>268</v>
      </c>
      <c r="U61" s="67" t="s">
        <v>5531</v>
      </c>
      <c r="W61" s="67"/>
      <c r="X61" s="67" t="s">
        <v>5531</v>
      </c>
      <c r="Y61" s="67" t="s">
        <v>5700</v>
      </c>
      <c r="Z61" s="76">
        <f t="shared" ca="1" si="8"/>
        <v>0.18541666666957707</v>
      </c>
      <c r="AA61" s="75">
        <f t="shared" ca="1" si="9"/>
        <v>0.49444444445220548</v>
      </c>
      <c r="AB61" s="76">
        <f t="shared" ca="1" si="10"/>
        <v>0.18541666666957707</v>
      </c>
      <c r="AC61" s="75">
        <f t="shared" ca="1" si="11"/>
        <v>0.49444444445220548</v>
      </c>
      <c r="AD61" s="76">
        <f t="shared" ca="1" si="12"/>
        <v>0</v>
      </c>
      <c r="AE61" s="76">
        <f t="shared" ca="1" si="13"/>
        <v>0.18541666666957707</v>
      </c>
      <c r="AF61" s="75">
        <f t="shared" ca="1" si="14"/>
        <v>0.49444444445220548</v>
      </c>
      <c r="AG61" s="75">
        <f t="shared" ca="1" si="15"/>
        <v>0.49444444445220548</v>
      </c>
      <c r="AH61" s="31" t="str" cm="1">
        <f t="array" aca="1" ref="AH61" ca="1">IF((AD61) &lt; (INDEX(ResponseSLA[#All],(MATCH((G61),ResponseSLA[Priority],0))+1,3)),"YES","No")</f>
        <v>YES</v>
      </c>
      <c r="AI61" s="31" t="str">
        <f ca="1">_xlfn.IFNA(IF(AE61 &lt; (INDEX(SLATable[Minimum SLA],MATCH(G61,SLATable[Priority],0))),"YES","NO"),"")</f>
        <v>YES</v>
      </c>
      <c r="AJ61" t="str">
        <f ca="1">_xlfn.IFNA(IF(AE61 &lt; (INDEX(SLATable[Maximum SLA],MATCH(G61,SLATable[Priority],0))),"YES","NO"),"")</f>
        <v>YES</v>
      </c>
    </row>
    <row r="62" spans="1:36" ht="15" customHeight="1">
      <c r="A62" s="45">
        <v>61</v>
      </c>
      <c r="B62" s="45" t="s">
        <v>26</v>
      </c>
      <c r="C62" s="45" t="s">
        <v>44</v>
      </c>
      <c r="D62" s="45" t="s">
        <v>207</v>
      </c>
      <c r="E62" s="53" t="s">
        <v>5701</v>
      </c>
      <c r="F62" s="18" t="s">
        <v>312</v>
      </c>
      <c r="G62" s="67">
        <v>4</v>
      </c>
      <c r="H62" s="67" t="s">
        <v>5702</v>
      </c>
      <c r="I62" s="67" t="s">
        <v>271</v>
      </c>
      <c r="J62" s="67" t="s">
        <v>5391</v>
      </c>
      <c r="K62" s="68">
        <v>46147.384027777778</v>
      </c>
      <c r="L62" s="68">
        <v>46147.826388888891</v>
      </c>
      <c r="M62" s="68">
        <v>46148.297222222223</v>
      </c>
      <c r="N62" s="68">
        <v>46149.46597222222</v>
      </c>
      <c r="O62" s="68">
        <v>46148.716666666667</v>
      </c>
      <c r="P62" s="68">
        <v>46149.46597222222</v>
      </c>
      <c r="Q62" s="67" t="s">
        <v>5692</v>
      </c>
      <c r="R62" s="67" t="s">
        <v>5693</v>
      </c>
      <c r="S62" s="67" t="s">
        <v>175</v>
      </c>
      <c r="T62" s="45" t="s">
        <v>268</v>
      </c>
      <c r="U62" s="67" t="s">
        <v>5531</v>
      </c>
      <c r="W62" s="67"/>
      <c r="X62" s="67" t="s">
        <v>5531</v>
      </c>
      <c r="Y62" s="67" t="s">
        <v>5694</v>
      </c>
      <c r="Z62" s="76">
        <f t="shared" ca="1" si="8"/>
        <v>0.69930555555523222</v>
      </c>
      <c r="AA62" s="75">
        <f t="shared" ca="1" si="9"/>
        <v>1.8648148148139525</v>
      </c>
      <c r="AB62" s="76">
        <f t="shared" ca="1" si="10"/>
        <v>0.375</v>
      </c>
      <c r="AC62" s="75">
        <f t="shared" ca="1" si="11"/>
        <v>1</v>
      </c>
      <c r="AD62" s="76">
        <f t="shared" ca="1" si="12"/>
        <v>0</v>
      </c>
      <c r="AE62" s="76">
        <f t="shared" ca="1" si="13"/>
        <v>0.375</v>
      </c>
      <c r="AF62" s="75">
        <f t="shared" ca="1" si="14"/>
        <v>1</v>
      </c>
      <c r="AG62" s="75">
        <f t="shared" ca="1" si="15"/>
        <v>1</v>
      </c>
      <c r="AH62" s="31" t="str" cm="1">
        <f t="array" aca="1" ref="AH62" ca="1">IF((AD62) &lt; (INDEX(ResponseSLA[#All],(MATCH((G62),ResponseSLA[Priority],0))+1,3)),"YES","No")</f>
        <v>YES</v>
      </c>
      <c r="AI62" s="31" t="str">
        <f ca="1">_xlfn.IFNA(IF(AE62 &lt; (INDEX(SLATable[Minimum SLA],MATCH(G62,SLATable[Priority],0))),"YES","NO"),"")</f>
        <v>YES</v>
      </c>
      <c r="AJ62" t="str">
        <f ca="1">_xlfn.IFNA(IF(AE62 &lt; (INDEX(SLATable[Maximum SLA],MATCH(G62,SLATable[Priority],0))),"YES","NO"),"")</f>
        <v>YES</v>
      </c>
    </row>
    <row r="63" spans="1:36" ht="15" customHeight="1">
      <c r="A63" s="45">
        <v>62</v>
      </c>
      <c r="B63" s="45" t="s">
        <v>26</v>
      </c>
      <c r="C63" s="45" t="s">
        <v>44</v>
      </c>
      <c r="D63" s="45" t="s">
        <v>207</v>
      </c>
      <c r="E63" t="s">
        <v>5703</v>
      </c>
      <c r="F63" s="18" t="s">
        <v>312</v>
      </c>
      <c r="G63" s="45">
        <v>3</v>
      </c>
      <c r="H63" s="67" t="s">
        <v>5704</v>
      </c>
      <c r="I63" s="45" t="s">
        <v>275</v>
      </c>
      <c r="J63" s="67" t="s">
        <v>5391</v>
      </c>
      <c r="K63" s="68">
        <v>46143.397222222222</v>
      </c>
      <c r="L63" s="68">
        <v>46147.589583333334</v>
      </c>
      <c r="M63" s="68">
        <v>46148.290972222225</v>
      </c>
      <c r="N63" s="68">
        <v>46148.722222222219</v>
      </c>
      <c r="O63" s="67" t="s">
        <v>5697</v>
      </c>
      <c r="P63" s="68"/>
      <c r="Q63" s="67" t="s">
        <v>5705</v>
      </c>
      <c r="R63" s="67" t="s">
        <v>272</v>
      </c>
      <c r="S63" s="67" t="s">
        <v>5699</v>
      </c>
      <c r="T63" s="45" t="s">
        <v>268</v>
      </c>
      <c r="U63" s="67" t="s">
        <v>5531</v>
      </c>
      <c r="W63" s="18"/>
      <c r="X63" s="67" t="s">
        <v>5531</v>
      </c>
      <c r="Y63" s="67" t="s">
        <v>5706</v>
      </c>
      <c r="Z63" s="76">
        <f t="shared" ca="1" si="8"/>
        <v>0.75000000000000022</v>
      </c>
      <c r="AA63" s="75">
        <f t="shared" ca="1" si="9"/>
        <v>2.0000000000000009</v>
      </c>
      <c r="AB63" s="76">
        <f t="shared" ca="1" si="10"/>
        <v>0.49374999999903002</v>
      </c>
      <c r="AC63" s="75">
        <f t="shared" ca="1" si="11"/>
        <v>1.3166666666640801</v>
      </c>
      <c r="AD63" s="76">
        <f t="shared" ca="1" si="12"/>
        <v>0.11874999999902991</v>
      </c>
      <c r="AE63" s="76">
        <f t="shared" ca="1" si="13"/>
        <v>0.49374999999903002</v>
      </c>
      <c r="AF63" s="75">
        <f t="shared" ca="1" si="14"/>
        <v>1.3166666666640801</v>
      </c>
      <c r="AG63" s="75">
        <f t="shared" ca="1" si="15"/>
        <v>1.3166666666640801</v>
      </c>
      <c r="AH63" s="31" t="str" cm="1">
        <f t="array" aca="1" ref="AH63" ca="1">IF((AD63) &lt; (INDEX(ResponseSLA[#All],(MATCH((G63),ResponseSLA[Priority],0))+1,3)),"YES","No")</f>
        <v>No</v>
      </c>
      <c r="AI63" s="31" t="str">
        <f ca="1">_xlfn.IFNA(IF(AE63 &lt; (INDEX(SLATable[Minimum SLA],MATCH(G63,SLATable[Priority],0))),"YES","NO"),"")</f>
        <v>NO</v>
      </c>
      <c r="AJ63" t="str">
        <f ca="1">_xlfn.IFNA(IF(AE63 &lt; (INDEX(SLATable[Maximum SLA],MATCH(G63,SLATable[Priority],0))),"YES","NO"),"")</f>
        <v>YES</v>
      </c>
    </row>
    <row r="64" spans="1:36" ht="15" customHeight="1">
      <c r="A64" s="45">
        <v>63</v>
      </c>
      <c r="B64" s="45" t="s">
        <v>26</v>
      </c>
      <c r="C64" s="45" t="s">
        <v>44</v>
      </c>
      <c r="D64" s="45" t="s">
        <v>207</v>
      </c>
      <c r="E64" s="53" t="s">
        <v>5707</v>
      </c>
      <c r="F64" s="18" t="s">
        <v>312</v>
      </c>
      <c r="G64" s="67">
        <v>4</v>
      </c>
      <c r="H64" s="67" t="s">
        <v>5708</v>
      </c>
      <c r="I64" s="67" t="s">
        <v>271</v>
      </c>
      <c r="J64" s="67" t="s">
        <v>5391</v>
      </c>
      <c r="K64" s="68">
        <v>46147.414583333331</v>
      </c>
      <c r="L64" s="68">
        <v>46147.419444444444</v>
      </c>
      <c r="M64" s="68">
        <v>46147.461111111108</v>
      </c>
      <c r="N64" s="68">
        <v>46149.465277777781</v>
      </c>
      <c r="O64" s="68">
        <v>46148.71875</v>
      </c>
      <c r="P64" s="68">
        <v>46149.465277777781</v>
      </c>
      <c r="Q64" s="67" t="s">
        <v>5692</v>
      </c>
      <c r="R64" s="67" t="s">
        <v>5693</v>
      </c>
      <c r="S64" s="67" t="s">
        <v>175</v>
      </c>
      <c r="T64" s="45" t="s">
        <v>268</v>
      </c>
      <c r="U64" s="67" t="s">
        <v>5531</v>
      </c>
      <c r="W64" s="67"/>
      <c r="X64" s="67" t="s">
        <v>5531</v>
      </c>
      <c r="Y64" s="67" t="s">
        <v>5694</v>
      </c>
      <c r="Z64" s="76">
        <f t="shared" ca="1" si="8"/>
        <v>0.66875000000194029</v>
      </c>
      <c r="AA64" s="75">
        <f t="shared" ca="1" si="9"/>
        <v>1.7833333333385073</v>
      </c>
      <c r="AB64" s="76">
        <f t="shared" ca="1" si="10"/>
        <v>0.66388888888953568</v>
      </c>
      <c r="AC64" s="75">
        <f t="shared" ca="1" si="11"/>
        <v>1.770370370372095</v>
      </c>
      <c r="AD64" s="76">
        <f t="shared" ca="1" si="12"/>
        <v>4.1666666664241347E-2</v>
      </c>
      <c r="AE64" s="76">
        <f t="shared" ca="1" si="13"/>
        <v>0.66388888888953568</v>
      </c>
      <c r="AF64" s="75">
        <f t="shared" ca="1" si="14"/>
        <v>1.770370370372095</v>
      </c>
      <c r="AG64" s="75">
        <f t="shared" ca="1" si="15"/>
        <v>1.770370370372095</v>
      </c>
      <c r="AH64" s="31" t="str" cm="1">
        <f t="array" aca="1" ref="AH64" ca="1">IF((AD64) &lt; (INDEX(ResponseSLA[#All],(MATCH((G64),ResponseSLA[Priority],0))+1,3)),"YES","No")</f>
        <v>YES</v>
      </c>
      <c r="AI64" s="31" t="str">
        <f ca="1">_xlfn.IFNA(IF(AE64 &lt; (INDEX(SLATable[Minimum SLA],MATCH(G64,SLATable[Priority],0))),"YES","NO"),"")</f>
        <v>YES</v>
      </c>
      <c r="AJ64" t="str">
        <f ca="1">_xlfn.IFNA(IF(AE64 &lt; (INDEX(SLATable[Maximum SLA],MATCH(G64,SLATable[Priority],0))),"YES","NO"),"")</f>
        <v>YES</v>
      </c>
    </row>
    <row r="65" spans="1:36" ht="15" customHeight="1">
      <c r="A65" s="45">
        <v>64</v>
      </c>
      <c r="B65" s="45" t="s">
        <v>26</v>
      </c>
      <c r="C65" s="45" t="s">
        <v>44</v>
      </c>
      <c r="D65" s="45" t="s">
        <v>207</v>
      </c>
      <c r="E65" t="s">
        <v>5709</v>
      </c>
      <c r="F65" s="18" t="s">
        <v>312</v>
      </c>
      <c r="G65" s="45">
        <v>3</v>
      </c>
      <c r="H65" s="67" t="s">
        <v>5710</v>
      </c>
      <c r="I65" s="45" t="s">
        <v>275</v>
      </c>
      <c r="J65" s="67" t="s">
        <v>5391</v>
      </c>
      <c r="K65" s="68">
        <v>46139.439583333333</v>
      </c>
      <c r="L65" s="68">
        <v>46147.604861111111</v>
      </c>
      <c r="M65" s="68">
        <v>46148.29583333333</v>
      </c>
      <c r="N65" s="68">
        <v>46148.729861111111</v>
      </c>
      <c r="O65" s="67" t="s">
        <v>5697</v>
      </c>
      <c r="P65" s="68"/>
      <c r="Q65" s="67" t="s">
        <v>5705</v>
      </c>
      <c r="R65" s="67" t="s">
        <v>272</v>
      </c>
      <c r="S65" s="67" t="s">
        <v>5699</v>
      </c>
      <c r="T65" s="45" t="s">
        <v>268</v>
      </c>
      <c r="U65" s="67" t="s">
        <v>5531</v>
      </c>
      <c r="W65" s="18"/>
      <c r="X65" s="67" t="s">
        <v>5531</v>
      </c>
      <c r="Y65" s="67" t="s">
        <v>5706</v>
      </c>
      <c r="Z65" s="76">
        <f t="shared" ca="1" si="8"/>
        <v>2.1437500000004852</v>
      </c>
      <c r="AA65" s="75">
        <f t="shared" ca="1" si="9"/>
        <v>5.71666666666796</v>
      </c>
      <c r="AB65" s="76">
        <f t="shared" ca="1" si="10"/>
        <v>0.47847222222238406</v>
      </c>
      <c r="AC65" s="75">
        <f t="shared" ca="1" si="11"/>
        <v>1.2759259259263576</v>
      </c>
      <c r="AD65" s="76">
        <f t="shared" ca="1" si="12"/>
        <v>0.10347222222238395</v>
      </c>
      <c r="AE65" s="76">
        <f t="shared" ca="1" si="13"/>
        <v>0.47847222222238406</v>
      </c>
      <c r="AF65" s="75">
        <f t="shared" ca="1" si="14"/>
        <v>1.2759259259263576</v>
      </c>
      <c r="AG65" s="75">
        <f t="shared" ca="1" si="15"/>
        <v>1.2759259259263576</v>
      </c>
      <c r="AH65" s="31" t="str" cm="1">
        <f t="array" aca="1" ref="AH65" ca="1">IF((AD65) &lt; (INDEX(ResponseSLA[#All],(MATCH((G65),ResponseSLA[Priority],0))+1,3)),"YES","No")</f>
        <v>No</v>
      </c>
      <c r="AI65" s="31" t="str">
        <f ca="1">_xlfn.IFNA(IF(AE65 &lt; (INDEX(SLATable[Minimum SLA],MATCH(G65,SLATable[Priority],0))),"YES","NO"),"")</f>
        <v>NO</v>
      </c>
      <c r="AJ65" t="str">
        <f ca="1">_xlfn.IFNA(IF(AE65 &lt; (INDEX(SLATable[Maximum SLA],MATCH(G65,SLATable[Priority],0))),"YES","NO"),"")</f>
        <v>YES</v>
      </c>
    </row>
    <row r="66" spans="1:36" ht="15" customHeight="1">
      <c r="A66" s="45">
        <v>65</v>
      </c>
      <c r="B66" s="45" t="s">
        <v>26</v>
      </c>
      <c r="C66" s="45" t="s">
        <v>44</v>
      </c>
      <c r="D66" s="45" t="s">
        <v>207</v>
      </c>
      <c r="E66" s="53" t="s">
        <v>5711</v>
      </c>
      <c r="F66" s="18" t="s">
        <v>312</v>
      </c>
      <c r="G66" s="67">
        <v>4</v>
      </c>
      <c r="H66" s="67" t="s">
        <v>5712</v>
      </c>
      <c r="I66" s="67" t="s">
        <v>271</v>
      </c>
      <c r="J66" s="67" t="s">
        <v>5391</v>
      </c>
      <c r="K66" s="68">
        <v>46147.466666666667</v>
      </c>
      <c r="L66" s="68">
        <v>46147.466666666667</v>
      </c>
      <c r="M66" s="68">
        <v>46148.304861111108</v>
      </c>
      <c r="N66" s="68">
        <v>46150.245833333334</v>
      </c>
      <c r="O66" s="68">
        <v>46149.479166666664</v>
      </c>
      <c r="P66" s="68">
        <v>46150.245833333334</v>
      </c>
      <c r="Q66" s="67" t="s">
        <v>2789</v>
      </c>
      <c r="R66" s="67" t="s">
        <v>272</v>
      </c>
      <c r="S66" s="67" t="s">
        <v>5699</v>
      </c>
      <c r="T66" s="45" t="s">
        <v>268</v>
      </c>
      <c r="U66" s="67" t="s">
        <v>5531</v>
      </c>
      <c r="W66" s="67"/>
      <c r="X66" s="67" t="s">
        <v>5531</v>
      </c>
      <c r="Y66" s="67" t="s">
        <v>5713</v>
      </c>
      <c r="Z66" s="76">
        <f t="shared" ca="1" si="8"/>
        <v>0.76249999999708973</v>
      </c>
      <c r="AA66" s="75">
        <f t="shared" ca="1" si="9"/>
        <v>2.0333333333255728</v>
      </c>
      <c r="AB66" s="76">
        <f t="shared" ca="1" si="10"/>
        <v>0.76249999999708973</v>
      </c>
      <c r="AC66" s="75">
        <f t="shared" ca="1" si="11"/>
        <v>2.0333333333255728</v>
      </c>
      <c r="AD66" s="76">
        <f t="shared" ca="1" si="12"/>
        <v>0.24166666666618164</v>
      </c>
      <c r="AE66" s="76">
        <f t="shared" ca="1" si="13"/>
        <v>0.76249999999708973</v>
      </c>
      <c r="AF66" s="75">
        <f t="shared" ca="1" si="14"/>
        <v>2.0333333333255728</v>
      </c>
      <c r="AG66" s="75">
        <f t="shared" ca="1" si="15"/>
        <v>2.0333333333255728</v>
      </c>
      <c r="AH66" s="31" t="str" cm="1">
        <f t="array" aca="1" ref="AH66" ca="1">IF((AD66) &lt; (INDEX(ResponseSLA[#All],(MATCH((G66),ResponseSLA[Priority],0))+1,3)),"YES","No")</f>
        <v>No</v>
      </c>
      <c r="AI66" s="31" t="str">
        <f ca="1">_xlfn.IFNA(IF(AE66 &lt; (INDEX(SLATable[Minimum SLA],MATCH(G66,SLATable[Priority],0))),"YES","NO"),"")</f>
        <v>YES</v>
      </c>
      <c r="AJ66" t="str">
        <f ca="1">_xlfn.IFNA(IF(AE66 &lt; (INDEX(SLATable[Maximum SLA],MATCH(G66,SLATable[Priority],0))),"YES","NO"),"")</f>
        <v>YES</v>
      </c>
    </row>
    <row r="67" spans="1:36" ht="15" customHeight="1">
      <c r="A67" s="45">
        <v>66</v>
      </c>
      <c r="B67" s="45" t="s">
        <v>26</v>
      </c>
      <c r="C67" s="45" t="s">
        <v>44</v>
      </c>
      <c r="D67" s="45" t="s">
        <v>207</v>
      </c>
      <c r="E67" s="53" t="s">
        <v>5714</v>
      </c>
      <c r="F67" s="18" t="s">
        <v>312</v>
      </c>
      <c r="G67" s="67">
        <v>3</v>
      </c>
      <c r="H67" s="67" t="s">
        <v>5715</v>
      </c>
      <c r="I67" s="67" t="s">
        <v>271</v>
      </c>
      <c r="J67" s="67" t="s">
        <v>5391</v>
      </c>
      <c r="K67" s="68">
        <v>46149.42291666667</v>
      </c>
      <c r="L67" s="68">
        <v>46149.425694444442</v>
      </c>
      <c r="M67" s="68">
        <v>46149.458333333336</v>
      </c>
      <c r="N67" s="68">
        <v>46150.246527777781</v>
      </c>
      <c r="O67" s="68">
        <v>46149.492361111108</v>
      </c>
      <c r="P67" s="68">
        <v>46150.246527777781</v>
      </c>
      <c r="Q67" s="67" t="s">
        <v>5692</v>
      </c>
      <c r="R67" s="67" t="s">
        <v>5693</v>
      </c>
      <c r="S67" s="67" t="s">
        <v>175</v>
      </c>
      <c r="T67" s="45" t="s">
        <v>268</v>
      </c>
      <c r="U67" s="67" t="s">
        <v>5531</v>
      </c>
      <c r="W67" s="67"/>
      <c r="X67" s="67" t="s">
        <v>5531</v>
      </c>
      <c r="Y67" s="67" t="s">
        <v>5694</v>
      </c>
      <c r="Z67" s="76">
        <f t="shared" ref="Z67:Z130" ca="1" si="16">IF(NOT(OR(G67=1,G67=2)),MAX(0,_xlfn.IFS(AND(K67&lt;&gt;"",N67&lt;&gt;""),((MAX(NETWORKDAYS(K67,N67,UKBankHolidays)-1,0))*(TIME(17,0,0)-TIME(8,0,0))+IF(NETWORKDAYS(N67,N67,UKBankHolidays)&gt;0,MEDIAN(TIME(8,0,0),MOD(N67,1),TIME(17,0,0)),TIME(8,0,0))-IF(NETWORKDAYS(K67,K67,UKBankHolidays)&gt;0,MEDIAN(TIME(8,0,0),MOD(K67,1),TIME(17,0,0)),TIME(8,0,0)))-IF(AND(O67&lt;&gt;"",P67&lt;&gt;""),((MAX(NETWORKDAYS(O67,P67,UKBankHolidays)-1,0))*(TIME(17,0,0)-TIME(8,0,0))+IF(NETWORKDAYS(P67,P67,UKBankHolidays)&gt;0,MEDIAN(TIME(8,0,0),MOD(P67,1),TIME(17,0,0)),TIME(8,0,0))-IF(NETWORKDAYS(O67,O67,UKBankHolidays)&gt;0,MEDIAN(TIME(8,0,0),MOD(O67,1),TIME(17,0,0)),TIME(8,0,0))),0),AND(K67&lt;&gt;"",N67=""),((MAX(NETWORKDAYS(K67,NOW(),UKBankHolidays)-1,0))*(TIME(17,0,0)-TIME(8,0,0))+IF(NETWORKDAYS(NOW(),NOW(),UKBankHolidays)&gt;0,MEDIAN(TIME(8,0,0),MOD(NOW(),1),TIME(17,0,0)),TIME(8,0,0))-IF(NETWORKDAYS(K67,K67,UKBankHolidays)&gt;0,MEDIAN(TIME(8,0,0),MOD(K67,1),TIME(17,0,0)),TIME(8,0,0))))),IF(N67="",NOW()-K67,N67-K67))</f>
        <v>6.9444444437976927E-2</v>
      </c>
      <c r="AA67" s="75">
        <f t="shared" ref="AA67:AA130" ca="1" si="17">(Z67*24)/9</f>
        <v>0.18518518516793847</v>
      </c>
      <c r="AB67" s="76">
        <f t="shared" ref="AB67:AB130" ca="1" si="18">IF(NOT(OR(G67=1,G67=2)),MAX(0,_xlfn.IFS(AND(K67&lt;&gt;"",N67&lt;&gt;""),(((MAX(NETWORKDAYS(L67,N67,UKBankHolidays)-1,0))*(TIME(17,0,0)-TIME(8,0,0)))+IF(NETWORKDAYS(N67,N67,UKBankHolidays)&gt;0,MEDIAN(TIME(8,0,0),MOD(N67,1),TIME(17,0,0)),TIME(8,0,0))-IF(NETWORKDAYS(L67,L67,UKBankHolidays)&gt;0,MEDIAN(TIME(8,0,0),MOD(L67,1),TIME(17,0,0)),TIME(8,0,0)))-IF(AND(O67&lt;&gt;"",P67&lt;&gt;""),(((MAX(NETWORKDAYS(O67,P67,UKBankHolidays)-1,0))*(TIME(17,0,0)-TIME(8,0,0)))+IF(NETWORKDAYS(P67,P67,UKBankHolidays)&gt;0,MEDIAN(TIME(8,0,0),MOD(P67,1),TIME(17,0,0)),TIME(8,0,0))-IF(NETWORKDAYS(O67,O67,UKBankHolidays)&gt;0,MEDIAN(TIME(8,0,0),MOD(O67,1),TIME(17,0,0)),TIME(8,0,0))),0),AND(L67&lt;&gt;"",N67="",O67=""),(((MAX(NETWORKDAYS(L67,NOW(),UKBankHolidays)-1,0))*(TIME(17,0,0)-TIME(8,0,0)))+IF(NETWORKDAYS(NOW(),NOW(),UKBankHolidays)&gt;0,MEDIAN(TIME(8,0,0),MOD(NOW(),1),TIME(17,0,0)),TIME(8,0,0))-IF(NETWORKDAYS(L67,L67,UKBankHolidays)&gt;0,MEDIAN(TIME(8,0,0),MOD(L67,1),TIME(17,0,0)),TIME(8,0,0)))-IF(AND(O67&lt;&gt;"",P67&lt;&gt;""),(((MAX(NETWORKDAYS(O67,P67,UKBankHolidays)-1,0))*(TIME(17,0,0)-TIME(8,0,0)))+IF(NETWORKDAYS(P67,P67,UKBankHolidays)&gt;0,MEDIAN(TIME(8,0,0),MOD(P67,1),TIME(17,0,0)),TIME(8,0,0))-IF(NETWORKDAYS(O67,O67,UKBankHolidays)&gt;0,MEDIAN(TIME(8,0,0),MOD(O67,1),TIME(17,0,0)),TIME(8,0,0))),0),AND(L67&lt;&gt;"",N67="",P67="",O67&lt;&gt;""),(((MAX(NETWORKDAYS(L67,O67,UKBankHolidays)-1,0))*(TIME(17,0,0)-TIME(8,0,0)))+IF(NETWORKDAYS(O67,O67,UKBankHolidays)&gt;0,MEDIAN(TIME(8,0,0),MOD(O67,1),TIME(17,0,0)),TIME(8,0,0))-IF(NETWORKDAYS(L67,L67,UKBankHolidays)&gt;0,MEDIAN(TIME(8,0,0),MOD(L67,1),TIME(17,0,0)),TIME(8,0,0))),ISBLANK(K67),"0")),IF(ISBLANK(N67),NOW()-L67,N67-L67))</f>
        <v>6.6666666665696539E-2</v>
      </c>
      <c r="AC67" s="75">
        <f t="shared" ref="AC67:AC130" ca="1" si="19">(AB67*24)/9</f>
        <v>0.17777777777519077</v>
      </c>
      <c r="AD67" s="76">
        <f t="shared" ref="AD67:AD130" ca="1" si="20">MAX(0,IF(NOT(OR(G67=1,G67=2)),IF(M67&lt;&gt;"",((MAX(NETWORKDAYS(L67,M67,UKBankHolidays)-1,0))*(TIME(17,0,0)-TIME(8,0,0))+IF(NETWORKDAYS(M67,M67,UKBankHolidays)&gt;0,MEDIAN(TIME(8,0,0),MOD(M67,1),TIME(17,0,0)),TIME(8,0,0))-MEDIAN(TIME(8,0,0),MOD(L67,1),TIME(17,0,0))),((MAX(NETWORKDAYS(L67,NOW(),UKBankHolidays)-1,0))*(TIME(17,0,0)-TIME(8,0,0))+IF(NETWORKDAYS(NOW(),NOW(),UKBankHolidays)&gt;0,MEDIAN(TIME(8,0,0),MOD(NOW(),1),TIME(17,0,0)),TIME(8,0,0))-MEDIAN(TIME(8,0,0),MOD(L67,1),TIME(17,0,0)))),IF(M67&lt;&gt;"",M67-L67,NOW()-L67)))</f>
        <v>3.2638888893416151E-2</v>
      </c>
      <c r="AE67" s="76">
        <f t="shared" ref="AE67:AE130" ca="1" si="21">SUMIFS(AB:AB,E:E,E67)</f>
        <v>6.6666666665696539E-2</v>
      </c>
      <c r="AF67" s="75">
        <f t="shared" ref="AF67:AF130" ca="1" si="22">(AE67*24)/9</f>
        <v>0.17777777777519077</v>
      </c>
      <c r="AG67" s="75">
        <f t="shared" ref="AG67:AG130" ca="1" si="23">AF67</f>
        <v>0.17777777777519077</v>
      </c>
      <c r="AH67" s="31" t="str" cm="1">
        <f t="array" aca="1" ref="AH67" ca="1">IF((AD67) &lt; (INDEX(ResponseSLA[#All],(MATCH((G67),ResponseSLA[Priority],0))+1,3)),"YES","No")</f>
        <v>YES</v>
      </c>
      <c r="AI67" s="31" t="str">
        <f ca="1">_xlfn.IFNA(IF(AE67 &lt; (INDEX(SLATable[Minimum SLA],MATCH(G67,SLATable[Priority],0))),"YES","NO"),"")</f>
        <v>YES</v>
      </c>
      <c r="AJ67" t="str">
        <f ca="1">_xlfn.IFNA(IF(AE67 &lt; (INDEX(SLATable[Maximum SLA],MATCH(G67,SLATable[Priority],0))),"YES","NO"),"")</f>
        <v>YES</v>
      </c>
    </row>
    <row r="68" spans="1:36" ht="15" customHeight="1">
      <c r="A68" s="45">
        <v>67</v>
      </c>
      <c r="B68" s="45" t="s">
        <v>26</v>
      </c>
      <c r="C68" s="45" t="s">
        <v>44</v>
      </c>
      <c r="D68" s="45" t="s">
        <v>208</v>
      </c>
      <c r="E68" s="53" t="s">
        <v>5716</v>
      </c>
      <c r="F68" s="18" t="s">
        <v>312</v>
      </c>
      <c r="G68" s="67" t="s">
        <v>208</v>
      </c>
      <c r="H68" s="67" t="s">
        <v>5717</v>
      </c>
      <c r="I68" s="67" t="s">
        <v>271</v>
      </c>
      <c r="J68" s="67" t="s">
        <v>5391</v>
      </c>
      <c r="K68" s="68">
        <v>46140.6</v>
      </c>
      <c r="L68" s="68">
        <v>46140.602777777778</v>
      </c>
      <c r="M68" s="68">
        <v>46140.609027777777</v>
      </c>
      <c r="N68" s="68">
        <v>46154.25277777778</v>
      </c>
      <c r="O68" s="68">
        <v>46148.339583333334</v>
      </c>
      <c r="P68" s="68">
        <v>46154.25277777778</v>
      </c>
      <c r="Q68" s="67" t="s">
        <v>5718</v>
      </c>
      <c r="R68" s="67" t="s">
        <v>5693</v>
      </c>
      <c r="S68" s="67" t="s">
        <v>175</v>
      </c>
      <c r="T68" s="45" t="s">
        <v>268</v>
      </c>
      <c r="U68" s="67" t="s">
        <v>5531</v>
      </c>
      <c r="W68" s="67"/>
      <c r="X68" s="67" t="s">
        <v>5531</v>
      </c>
      <c r="Y68" s="67" t="s">
        <v>5719</v>
      </c>
      <c r="Z68" s="76">
        <f t="shared" ca="1" si="16"/>
        <v>1.2395833333357591</v>
      </c>
      <c r="AA68" s="75">
        <f t="shared" ca="1" si="17"/>
        <v>3.3055555555620244</v>
      </c>
      <c r="AB68" s="76">
        <f t="shared" ca="1" si="18"/>
        <v>1.2368055555562028</v>
      </c>
      <c r="AC68" s="75">
        <f t="shared" ca="1" si="19"/>
        <v>3.298148148149874</v>
      </c>
      <c r="AD68" s="76">
        <f t="shared" ca="1" si="20"/>
        <v>6.2499999985448085E-3</v>
      </c>
      <c r="AE68" s="76">
        <f t="shared" ca="1" si="21"/>
        <v>1.2368055555562028</v>
      </c>
      <c r="AF68" s="75">
        <f t="shared" ca="1" si="22"/>
        <v>3.298148148149874</v>
      </c>
      <c r="AG68" s="75">
        <f t="shared" ca="1" si="23"/>
        <v>3.298148148149874</v>
      </c>
      <c r="AH68" s="31" t="str" cm="1">
        <f t="array" aca="1" ref="AH68" ca="1">IF((AD68) &lt; (INDEX(ResponseSLA[#All],(MATCH((G68),ResponseSLA[Priority],0))+1,3)),"YES","No")</f>
        <v>YES</v>
      </c>
      <c r="AI68" s="31" t="str">
        <f ca="1">_xlfn.IFNA(IF(AE68 &lt; (INDEX(SLATable[Minimum SLA],MATCH(G68,SLATable[Priority],0))),"YES","NO"),"")</f>
        <v>NO</v>
      </c>
      <c r="AJ68" t="str">
        <f ca="1">_xlfn.IFNA(IF(AE68 &lt; (INDEX(SLATable[Maximum SLA],MATCH(G68,SLATable[Priority],0))),"YES","NO"),"")</f>
        <v>NO</v>
      </c>
    </row>
    <row r="69" spans="1:36" ht="15" customHeight="1">
      <c r="A69" s="45">
        <v>68</v>
      </c>
      <c r="B69" s="45" t="s">
        <v>26</v>
      </c>
      <c r="C69" s="45" t="s">
        <v>44</v>
      </c>
      <c r="D69" s="45" t="s">
        <v>208</v>
      </c>
      <c r="E69" s="53" t="s">
        <v>5720</v>
      </c>
      <c r="F69" s="18" t="s">
        <v>312</v>
      </c>
      <c r="G69" s="67" t="s">
        <v>208</v>
      </c>
      <c r="H69" s="67" t="s">
        <v>5721</v>
      </c>
      <c r="I69" s="67" t="s">
        <v>271</v>
      </c>
      <c r="J69" s="67" t="s">
        <v>5391</v>
      </c>
      <c r="K69" s="68">
        <v>46147.585416666669</v>
      </c>
      <c r="L69" s="68">
        <v>46147.585416666669</v>
      </c>
      <c r="M69" s="68">
        <v>46148.341666666667</v>
      </c>
      <c r="N69" s="68">
        <v>46154.253472222219</v>
      </c>
      <c r="O69" s="68">
        <v>46149.494444444441</v>
      </c>
      <c r="P69" s="68">
        <v>46154.253472222219</v>
      </c>
      <c r="Q69" s="67" t="s">
        <v>5534</v>
      </c>
      <c r="R69" s="67" t="s">
        <v>272</v>
      </c>
      <c r="S69" s="67" t="s">
        <v>175</v>
      </c>
      <c r="T69" s="45" t="s">
        <v>268</v>
      </c>
      <c r="U69" s="67" t="s">
        <v>5531</v>
      </c>
      <c r="W69" s="67"/>
      <c r="X69" s="67" t="s">
        <v>5531</v>
      </c>
      <c r="Y69" s="67" t="s">
        <v>5722</v>
      </c>
      <c r="Z69" s="76">
        <f t="shared" ca="1" si="16"/>
        <v>0.65902777777228039</v>
      </c>
      <c r="AA69" s="75">
        <f t="shared" ca="1" si="17"/>
        <v>1.7574074073927477</v>
      </c>
      <c r="AB69" s="76">
        <f t="shared" ca="1" si="18"/>
        <v>0.65902777777228039</v>
      </c>
      <c r="AC69" s="75">
        <f t="shared" ca="1" si="19"/>
        <v>1.7574074073927477</v>
      </c>
      <c r="AD69" s="76">
        <f t="shared" ca="1" si="20"/>
        <v>0.13124999999854481</v>
      </c>
      <c r="AE69" s="76">
        <f t="shared" ca="1" si="21"/>
        <v>0.65902777777228039</v>
      </c>
      <c r="AF69" s="75">
        <f t="shared" ca="1" si="22"/>
        <v>1.7574074073927477</v>
      </c>
      <c r="AG69" s="75">
        <f t="shared" ca="1" si="23"/>
        <v>1.7574074073927477</v>
      </c>
      <c r="AH69" s="31" t="str" cm="1">
        <f t="array" aca="1" ref="AH69" ca="1">IF((AD69) &lt; (INDEX(ResponseSLA[#All],(MATCH((G69),ResponseSLA[Priority],0))+1,3)),"YES","No")</f>
        <v>YES</v>
      </c>
      <c r="AI69" s="31" t="str">
        <f ca="1">_xlfn.IFNA(IF(AE69 &lt; (INDEX(SLATable[Minimum SLA],MATCH(G69,SLATable[Priority],0))),"YES","NO"),"")</f>
        <v>YES</v>
      </c>
      <c r="AJ69" t="str">
        <f ca="1">_xlfn.IFNA(IF(AE69 &lt; (INDEX(SLATable[Maximum SLA],MATCH(G69,SLATable[Priority],0))),"YES","NO"),"")</f>
        <v>YES</v>
      </c>
    </row>
    <row r="70" spans="1:36" ht="15" customHeight="1">
      <c r="A70" s="45">
        <v>69</v>
      </c>
      <c r="B70" s="45" t="s">
        <v>26</v>
      </c>
      <c r="C70" s="45" t="s">
        <v>44</v>
      </c>
      <c r="D70" s="45" t="s">
        <v>208</v>
      </c>
      <c r="E70" t="s">
        <v>5723</v>
      </c>
      <c r="F70" s="18" t="s">
        <v>312</v>
      </c>
      <c r="G70" s="45" t="s">
        <v>208</v>
      </c>
      <c r="H70" s="67" t="s">
        <v>5724</v>
      </c>
      <c r="I70" s="45" t="s">
        <v>275</v>
      </c>
      <c r="J70" s="67" t="s">
        <v>5391</v>
      </c>
      <c r="K70" s="68">
        <v>46143.615277777775</v>
      </c>
      <c r="L70" s="68">
        <v>46147.679166666669</v>
      </c>
      <c r="M70" s="68">
        <v>46148.34375</v>
      </c>
      <c r="N70" s="68">
        <v>46150.440972222219</v>
      </c>
      <c r="O70" s="67" t="s">
        <v>5697</v>
      </c>
      <c r="P70" s="68"/>
      <c r="Q70" s="67" t="s">
        <v>5725</v>
      </c>
      <c r="R70" s="67" t="s">
        <v>5693</v>
      </c>
      <c r="S70" s="67" t="s">
        <v>175</v>
      </c>
      <c r="T70" s="45" t="s">
        <v>268</v>
      </c>
      <c r="U70" s="67" t="s">
        <v>5531</v>
      </c>
      <c r="W70" s="67"/>
      <c r="X70" s="67" t="s">
        <v>5531</v>
      </c>
      <c r="Y70" s="67" t="s">
        <v>5726</v>
      </c>
      <c r="Z70" s="76">
        <f t="shared" ca="1" si="16"/>
        <v>1.2326388888856554</v>
      </c>
      <c r="AA70" s="75">
        <f t="shared" ca="1" si="17"/>
        <v>3.2870370370284143</v>
      </c>
      <c r="AB70" s="76">
        <f t="shared" ca="1" si="18"/>
        <v>0.88680555555038176</v>
      </c>
      <c r="AC70" s="75">
        <f t="shared" ca="1" si="19"/>
        <v>2.3648148148010182</v>
      </c>
      <c r="AD70" s="76">
        <f t="shared" ca="1" si="20"/>
        <v>3.9583333331393078E-2</v>
      </c>
      <c r="AE70" s="76">
        <f t="shared" ca="1" si="21"/>
        <v>0.88680555555038176</v>
      </c>
      <c r="AF70" s="75">
        <f t="shared" ca="1" si="22"/>
        <v>2.3648148148010182</v>
      </c>
      <c r="AG70" s="75">
        <f t="shared" ca="1" si="23"/>
        <v>2.3648148148010182</v>
      </c>
      <c r="AH70" s="31" t="str" cm="1">
        <f t="array" aca="1" ref="AH70" ca="1">IF((AD70) &lt; (INDEX(ResponseSLA[#All],(MATCH((G70),ResponseSLA[Priority],0))+1,3)),"YES","No")</f>
        <v>YES</v>
      </c>
      <c r="AI70" s="31" t="str">
        <f ca="1">_xlfn.IFNA(IF(AE70 &lt; (INDEX(SLATable[Minimum SLA],MATCH(G70,SLATable[Priority],0))),"YES","NO"),"")</f>
        <v>NO</v>
      </c>
      <c r="AJ70" t="str">
        <f ca="1">_xlfn.IFNA(IF(AE70 &lt; (INDEX(SLATable[Maximum SLA],MATCH(G70,SLATable[Priority],0))),"YES","NO"),"")</f>
        <v>NO</v>
      </c>
    </row>
    <row r="71" spans="1:36" ht="15" customHeight="1">
      <c r="A71" s="45">
        <v>70</v>
      </c>
      <c r="B71" s="45" t="s">
        <v>26</v>
      </c>
      <c r="C71" s="45" t="s">
        <v>44</v>
      </c>
      <c r="D71" s="45" t="s">
        <v>208</v>
      </c>
      <c r="E71" s="45" t="s">
        <v>5727</v>
      </c>
      <c r="F71" s="45" t="s">
        <v>312</v>
      </c>
      <c r="G71" s="45" t="s">
        <v>208</v>
      </c>
      <c r="H71" s="45" t="s">
        <v>5728</v>
      </c>
      <c r="I71" s="45" t="s">
        <v>275</v>
      </c>
      <c r="J71" s="45" t="s">
        <v>5391</v>
      </c>
      <c r="K71" s="47">
        <v>46143.595891203702</v>
      </c>
      <c r="L71" s="47">
        <v>46146.411817129629</v>
      </c>
      <c r="M71" s="47">
        <v>46147.521018518521</v>
      </c>
      <c r="N71" s="47">
        <v>46157.460011574076</v>
      </c>
      <c r="P71" s="47">
        <v>46157.460011574076</v>
      </c>
      <c r="Q71" s="45" t="s">
        <v>5725</v>
      </c>
      <c r="R71" s="45" t="s">
        <v>5693</v>
      </c>
      <c r="S71" s="45" t="s">
        <v>175</v>
      </c>
      <c r="T71" s="45" t="s">
        <v>268</v>
      </c>
      <c r="U71" s="45" t="s">
        <v>5531</v>
      </c>
      <c r="X71" s="45" t="s">
        <v>5531</v>
      </c>
      <c r="Y71" s="45" t="s">
        <v>5726</v>
      </c>
      <c r="Z71" s="76">
        <f t="shared" ca="1" si="16"/>
        <v>3.1266782407425735</v>
      </c>
      <c r="AA71" s="75">
        <f t="shared" ca="1" si="17"/>
        <v>8.337808641980196</v>
      </c>
      <c r="AB71" s="76">
        <f t="shared" ca="1" si="18"/>
        <v>3.1266782407425735</v>
      </c>
      <c r="AC71" s="75">
        <f t="shared" ca="1" si="19"/>
        <v>8.337808641980196</v>
      </c>
      <c r="AD71" s="76">
        <f t="shared" ca="1" si="20"/>
        <v>0.10920138889196096</v>
      </c>
      <c r="AE71" s="76">
        <f t="shared" ca="1" si="21"/>
        <v>3.1266782407425735</v>
      </c>
      <c r="AF71" s="75">
        <f t="shared" ca="1" si="22"/>
        <v>8.337808641980196</v>
      </c>
      <c r="AG71" s="75">
        <f t="shared" ca="1" si="23"/>
        <v>8.337808641980196</v>
      </c>
      <c r="AH71" s="31" t="str" cm="1">
        <f t="array" aca="1" ref="AH71" ca="1">IF((AD71) &lt; (INDEX(ResponseSLA[#All],(MATCH((G71),ResponseSLA[Priority],0))+1,3)),"YES","No")</f>
        <v>YES</v>
      </c>
      <c r="AI71" s="31" t="str">
        <f ca="1">_xlfn.IFNA(IF(AE71 &lt; (INDEX(SLATable[Minimum SLA],MATCH(G71,SLATable[Priority],0))),"YES","NO"),"")</f>
        <v>NO</v>
      </c>
      <c r="AJ71" t="str">
        <f ca="1">_xlfn.IFNA(IF(AE71 &lt; (INDEX(SLATable[Maximum SLA],MATCH(G71,SLATable[Priority],0))),"YES","NO"),"")</f>
        <v>NO</v>
      </c>
    </row>
    <row r="72" spans="1:36" ht="15" customHeight="1">
      <c r="A72" s="45">
        <v>71</v>
      </c>
      <c r="B72" s="45" t="s">
        <v>26</v>
      </c>
      <c r="C72" s="45" t="s">
        <v>44</v>
      </c>
      <c r="D72" s="45" t="s">
        <v>207</v>
      </c>
      <c r="E72" s="45" t="s">
        <v>5729</v>
      </c>
      <c r="F72" s="45" t="s">
        <v>312</v>
      </c>
      <c r="G72" s="45">
        <v>4</v>
      </c>
      <c r="H72" s="45" t="s">
        <v>5730</v>
      </c>
      <c r="I72" s="45" t="s">
        <v>275</v>
      </c>
      <c r="J72" s="45" t="s">
        <v>5391</v>
      </c>
      <c r="K72" s="47">
        <v>46149.351793981485</v>
      </c>
      <c r="L72" s="47">
        <v>46149.49454861111</v>
      </c>
      <c r="M72" s="47">
        <v>46149.507152777776</v>
      </c>
      <c r="N72" s="47">
        <v>46149.575462962966</v>
      </c>
      <c r="P72" s="47">
        <v>46149.575462962966</v>
      </c>
      <c r="Q72" s="45" t="s">
        <v>5705</v>
      </c>
      <c r="R72" s="45" t="s">
        <v>272</v>
      </c>
      <c r="S72" s="45" t="s">
        <v>5699</v>
      </c>
      <c r="T72" s="45" t="s">
        <v>268</v>
      </c>
      <c r="U72" s="45" t="s">
        <v>5531</v>
      </c>
      <c r="X72" s="45" t="s">
        <v>5531</v>
      </c>
      <c r="Y72" s="45" t="s">
        <v>5706</v>
      </c>
      <c r="Z72" s="76">
        <f t="shared" ca="1" si="16"/>
        <v>0.22366898148175096</v>
      </c>
      <c r="AA72" s="75">
        <f t="shared" ca="1" si="17"/>
        <v>0.59645061728466919</v>
      </c>
      <c r="AB72" s="76">
        <f t="shared" ca="1" si="18"/>
        <v>8.0914351856335998E-2</v>
      </c>
      <c r="AC72" s="75">
        <f t="shared" ca="1" si="19"/>
        <v>0.21577160495022932</v>
      </c>
      <c r="AD72" s="76">
        <f t="shared" ca="1" si="20"/>
        <v>1.2604166666278616E-2</v>
      </c>
      <c r="AE72" s="76">
        <f t="shared" ca="1" si="21"/>
        <v>8.0914351856335998E-2</v>
      </c>
      <c r="AF72" s="75">
        <f t="shared" ca="1" si="22"/>
        <v>0.21577160495022932</v>
      </c>
      <c r="AG72" s="75">
        <f t="shared" ca="1" si="23"/>
        <v>0.21577160495022932</v>
      </c>
      <c r="AH72" s="31" t="str" cm="1">
        <f t="array" aca="1" ref="AH72" ca="1">IF((AD72) &lt; (INDEX(ResponseSLA[#All],(MATCH((G72),ResponseSLA[Priority],0))+1,3)),"YES","No")</f>
        <v>YES</v>
      </c>
      <c r="AI72" s="31" t="str">
        <f ca="1">_xlfn.IFNA(IF(AE72 &lt; (INDEX(SLATable[Minimum SLA],MATCH(G72,SLATable[Priority],0))),"YES","NO"),"")</f>
        <v>YES</v>
      </c>
      <c r="AJ72" t="str">
        <f ca="1">_xlfn.IFNA(IF(AE72 &lt; (INDEX(SLATable[Maximum SLA],MATCH(G72,SLATable[Priority],0))),"YES","NO"),"")</f>
        <v>YES</v>
      </c>
    </row>
    <row r="73" spans="1:36" ht="15" customHeight="1">
      <c r="A73" s="45">
        <v>72</v>
      </c>
      <c r="B73" s="45" t="s">
        <v>26</v>
      </c>
      <c r="C73" s="45" t="s">
        <v>44</v>
      </c>
      <c r="D73" s="45" t="s">
        <v>208</v>
      </c>
      <c r="E73" s="45" t="s">
        <v>5731</v>
      </c>
      <c r="F73" s="45" t="s">
        <v>312</v>
      </c>
      <c r="G73" s="45" t="s">
        <v>208</v>
      </c>
      <c r="H73" s="45" t="s">
        <v>5732</v>
      </c>
      <c r="I73" s="45" t="s">
        <v>271</v>
      </c>
      <c r="J73" s="45" t="s">
        <v>5391</v>
      </c>
      <c r="K73" s="47">
        <v>46150.415416666663</v>
      </c>
      <c r="L73" s="47">
        <v>46150.415416666663</v>
      </c>
      <c r="M73" s="47">
        <v>46150.429074074076</v>
      </c>
      <c r="N73" s="47">
        <v>46155.325833333336</v>
      </c>
      <c r="O73" s="47">
        <v>46150.434444444443</v>
      </c>
      <c r="P73" s="47">
        <v>46155.325833333336</v>
      </c>
      <c r="Q73" s="45" t="s">
        <v>5733</v>
      </c>
      <c r="R73" s="45" t="s">
        <v>272</v>
      </c>
      <c r="S73" s="45" t="s">
        <v>5699</v>
      </c>
      <c r="T73" s="45" t="s">
        <v>268</v>
      </c>
      <c r="U73" s="45" t="s">
        <v>5531</v>
      </c>
      <c r="X73" s="45" t="s">
        <v>5531</v>
      </c>
      <c r="Y73" s="45" t="s">
        <v>5734</v>
      </c>
      <c r="Z73" s="76">
        <f t="shared" ca="1" si="16"/>
        <v>1.9027777780138422E-2</v>
      </c>
      <c r="AA73" s="75">
        <f t="shared" ca="1" si="17"/>
        <v>5.0740740747035794E-2</v>
      </c>
      <c r="AB73" s="76">
        <f t="shared" ca="1" si="18"/>
        <v>1.9027777780138422E-2</v>
      </c>
      <c r="AC73" s="75">
        <f t="shared" ca="1" si="19"/>
        <v>5.0740740747035794E-2</v>
      </c>
      <c r="AD73" s="76">
        <f t="shared" ca="1" si="20"/>
        <v>1.3657407413120382E-2</v>
      </c>
      <c r="AE73" s="76">
        <f t="shared" ca="1" si="21"/>
        <v>1.9027777780138422E-2</v>
      </c>
      <c r="AF73" s="75">
        <f t="shared" ca="1" si="22"/>
        <v>5.0740740747035794E-2</v>
      </c>
      <c r="AG73" s="75">
        <f t="shared" ca="1" si="23"/>
        <v>5.0740740747035794E-2</v>
      </c>
      <c r="AH73" s="31" t="str" cm="1">
        <f t="array" aca="1" ref="AH73" ca="1">IF((AD73) &lt; (INDEX(ResponseSLA[#All],(MATCH((G73),ResponseSLA[Priority],0))+1,3)),"YES","No")</f>
        <v>YES</v>
      </c>
      <c r="AI73" s="31" t="str">
        <f ca="1">_xlfn.IFNA(IF(AE73 &lt; (INDEX(SLATable[Minimum SLA],MATCH(G73,SLATable[Priority],0))),"YES","NO"),"")</f>
        <v>YES</v>
      </c>
      <c r="AJ73" t="str">
        <f ca="1">_xlfn.IFNA(IF(AE73 &lt; (INDEX(SLATable[Maximum SLA],MATCH(G73,SLATable[Priority],0))),"YES","NO"),"")</f>
        <v>YES</v>
      </c>
    </row>
    <row r="74" spans="1:36" ht="15" customHeight="1">
      <c r="A74" s="45">
        <v>73</v>
      </c>
      <c r="B74" s="45" t="s">
        <v>26</v>
      </c>
      <c r="C74" s="45" t="s">
        <v>44</v>
      </c>
      <c r="D74" s="45" t="s">
        <v>208</v>
      </c>
      <c r="E74" s="45" t="s">
        <v>5735</v>
      </c>
      <c r="F74" s="45" t="s">
        <v>312</v>
      </c>
      <c r="G74" s="45" t="s">
        <v>208</v>
      </c>
      <c r="H74" s="45" t="s">
        <v>5736</v>
      </c>
      <c r="I74" s="45" t="s">
        <v>271</v>
      </c>
      <c r="J74" s="45" t="s">
        <v>5391</v>
      </c>
      <c r="K74" s="47">
        <v>46150.383564814816</v>
      </c>
      <c r="L74" s="47">
        <v>46150.383564814816</v>
      </c>
      <c r="M74" s="47">
        <v>46150.429502314815</v>
      </c>
      <c r="N74" s="47">
        <v>46154.255601851852</v>
      </c>
      <c r="O74" s="47">
        <v>46150.440601851849</v>
      </c>
      <c r="P74" s="47">
        <v>46154.255601851852</v>
      </c>
      <c r="Q74" s="45" t="s">
        <v>3452</v>
      </c>
      <c r="R74" s="45" t="s">
        <v>272</v>
      </c>
      <c r="S74" s="45" t="s">
        <v>5699</v>
      </c>
      <c r="T74" s="45" t="s">
        <v>268</v>
      </c>
      <c r="U74" s="45" t="s">
        <v>5531</v>
      </c>
      <c r="X74" s="45" t="s">
        <v>5531</v>
      </c>
      <c r="Y74" s="45" t="s">
        <v>5737</v>
      </c>
      <c r="Z74" s="76">
        <f t="shared" ca="1" si="16"/>
        <v>5.7037037033296656E-2</v>
      </c>
      <c r="AA74" s="75">
        <f t="shared" ca="1" si="17"/>
        <v>0.15209876542212442</v>
      </c>
      <c r="AB74" s="76">
        <f t="shared" ca="1" si="18"/>
        <v>5.7037037033296656E-2</v>
      </c>
      <c r="AC74" s="75">
        <f t="shared" ca="1" si="19"/>
        <v>0.15209876542212442</v>
      </c>
      <c r="AD74" s="76">
        <f t="shared" ca="1" si="20"/>
        <v>4.5937499999126885E-2</v>
      </c>
      <c r="AE74" s="76">
        <f t="shared" ca="1" si="21"/>
        <v>5.7037037033296656E-2</v>
      </c>
      <c r="AF74" s="75">
        <f t="shared" ca="1" si="22"/>
        <v>0.15209876542212442</v>
      </c>
      <c r="AG74" s="75">
        <f t="shared" ca="1" si="23"/>
        <v>0.15209876542212442</v>
      </c>
      <c r="AH74" s="31" t="str" cm="1">
        <f t="array" aca="1" ref="AH74" ca="1">IF((AD74) &lt; (INDEX(ResponseSLA[#All],(MATCH((G74),ResponseSLA[Priority],0))+1,3)),"YES","No")</f>
        <v>YES</v>
      </c>
      <c r="AI74" s="31" t="str">
        <f ca="1">_xlfn.IFNA(IF(AE74 &lt; (INDEX(SLATable[Minimum SLA],MATCH(G74,SLATable[Priority],0))),"YES","NO"),"")</f>
        <v>YES</v>
      </c>
      <c r="AJ74" t="str">
        <f ca="1">_xlfn.IFNA(IF(AE74 &lt; (INDEX(SLATable[Maximum SLA],MATCH(G74,SLATable[Priority],0))),"YES","NO"),"")</f>
        <v>YES</v>
      </c>
    </row>
    <row r="75" spans="1:36" ht="15" customHeight="1">
      <c r="A75" s="45">
        <v>74</v>
      </c>
      <c r="B75" s="45" t="s">
        <v>26</v>
      </c>
      <c r="C75" s="45" t="s">
        <v>44</v>
      </c>
      <c r="D75" s="45" t="s">
        <v>207</v>
      </c>
      <c r="E75" s="45" t="s">
        <v>5738</v>
      </c>
      <c r="F75" s="45" t="s">
        <v>312</v>
      </c>
      <c r="G75" s="45">
        <v>4</v>
      </c>
      <c r="H75" s="45" t="s">
        <v>5739</v>
      </c>
      <c r="I75" s="45" t="s">
        <v>271</v>
      </c>
      <c r="J75" s="45" t="s">
        <v>5391</v>
      </c>
      <c r="K75" s="47">
        <v>46150.372256944444</v>
      </c>
      <c r="L75" s="47">
        <v>46150.37605324074</v>
      </c>
      <c r="M75" s="47">
        <v>46150.426076388889</v>
      </c>
      <c r="N75" s="47">
        <v>46155.298020833332</v>
      </c>
      <c r="O75" s="47">
        <v>46150.430428240739</v>
      </c>
      <c r="P75" s="47">
        <v>46155.298020833332</v>
      </c>
      <c r="Q75" s="45" t="s">
        <v>5692</v>
      </c>
      <c r="R75" s="45" t="s">
        <v>5693</v>
      </c>
      <c r="S75" s="45" t="s">
        <v>5699</v>
      </c>
      <c r="T75" s="45" t="s">
        <v>268</v>
      </c>
      <c r="U75" s="45" t="s">
        <v>5531</v>
      </c>
      <c r="X75" s="45" t="s">
        <v>5531</v>
      </c>
      <c r="Y75" s="45" t="s">
        <v>5694</v>
      </c>
      <c r="Z75" s="76">
        <f t="shared" ca="1" si="16"/>
        <v>5.8171296295768116E-2</v>
      </c>
      <c r="AA75" s="75">
        <f t="shared" ca="1" si="17"/>
        <v>0.15512345678871498</v>
      </c>
      <c r="AB75" s="76">
        <f t="shared" ca="1" si="18"/>
        <v>5.4374999999708962E-2</v>
      </c>
      <c r="AC75" s="75">
        <f t="shared" ca="1" si="19"/>
        <v>0.14499999999922389</v>
      </c>
      <c r="AD75" s="76">
        <f t="shared" ca="1" si="20"/>
        <v>5.002314814919373E-2</v>
      </c>
      <c r="AE75" s="76">
        <f t="shared" ca="1" si="21"/>
        <v>5.4374999999708962E-2</v>
      </c>
      <c r="AF75" s="75">
        <f t="shared" ca="1" si="22"/>
        <v>0.14499999999922389</v>
      </c>
      <c r="AG75" s="75">
        <f t="shared" ca="1" si="23"/>
        <v>0.14499999999922389</v>
      </c>
      <c r="AH75" s="31" t="str" cm="1">
        <f t="array" aca="1" ref="AH75" ca="1">IF((AD75) &lt; (INDEX(ResponseSLA[#All],(MATCH((G75),ResponseSLA[Priority],0))+1,3)),"YES","No")</f>
        <v>YES</v>
      </c>
      <c r="AI75" s="31" t="str">
        <f ca="1">_xlfn.IFNA(IF(AE75 &lt; (INDEX(SLATable[Minimum SLA],MATCH(G75,SLATable[Priority],0))),"YES","NO"),"")</f>
        <v>YES</v>
      </c>
      <c r="AJ75" t="str">
        <f ca="1">_xlfn.IFNA(IF(AE75 &lt; (INDEX(SLATable[Maximum SLA],MATCH(G75,SLATable[Priority],0))),"YES","NO"),"")</f>
        <v>YES</v>
      </c>
    </row>
    <row r="76" spans="1:36" ht="15" customHeight="1">
      <c r="A76" s="45">
        <v>75</v>
      </c>
      <c r="B76" s="45" t="s">
        <v>26</v>
      </c>
      <c r="C76" s="45" t="s">
        <v>44</v>
      </c>
      <c r="D76" s="45" t="s">
        <v>207</v>
      </c>
      <c r="E76" s="45" t="s">
        <v>5740</v>
      </c>
      <c r="F76" s="45" t="s">
        <v>312</v>
      </c>
      <c r="G76" s="45">
        <v>4</v>
      </c>
      <c r="H76" s="45" t="s">
        <v>5741</v>
      </c>
      <c r="I76" s="45" t="s">
        <v>275</v>
      </c>
      <c r="J76" s="45" t="s">
        <v>5391</v>
      </c>
      <c r="K76" s="47">
        <v>46153.498171296298</v>
      </c>
      <c r="L76" s="47">
        <v>46153.68650462963</v>
      </c>
      <c r="M76" s="47">
        <v>46154.310671296298</v>
      </c>
      <c r="N76" s="47">
        <v>46155.497835648152</v>
      </c>
      <c r="O76" s="47">
        <v>46154.313750000001</v>
      </c>
      <c r="P76" s="47">
        <v>46155.497835648152</v>
      </c>
      <c r="Q76" s="45" t="s">
        <v>5534</v>
      </c>
      <c r="R76" s="45" t="s">
        <v>272</v>
      </c>
      <c r="S76" s="45" t="s">
        <v>5699</v>
      </c>
      <c r="T76" s="45" t="s">
        <v>268</v>
      </c>
      <c r="U76" s="45" t="s">
        <v>5531</v>
      </c>
      <c r="X76" s="45" t="s">
        <v>5531</v>
      </c>
      <c r="Y76" s="45" t="s">
        <v>5742</v>
      </c>
      <c r="Z76" s="76">
        <f t="shared" ca="1" si="16"/>
        <v>0.21016203703523684</v>
      </c>
      <c r="AA76" s="75">
        <f t="shared" ca="1" si="17"/>
        <v>0.5604320987606316</v>
      </c>
      <c r="AB76" s="76">
        <f t="shared" ca="1" si="18"/>
        <v>2.1828703703552721E-2</v>
      </c>
      <c r="AC76" s="75">
        <f t="shared" ca="1" si="19"/>
        <v>5.8209876542807258E-2</v>
      </c>
      <c r="AD76" s="76">
        <f t="shared" ca="1" si="20"/>
        <v>2.1828703703552832E-2</v>
      </c>
      <c r="AE76" s="76">
        <f t="shared" ca="1" si="21"/>
        <v>2.1828703703552721E-2</v>
      </c>
      <c r="AF76" s="75">
        <f t="shared" ca="1" si="22"/>
        <v>5.8209876542807258E-2</v>
      </c>
      <c r="AG76" s="75">
        <f t="shared" ca="1" si="23"/>
        <v>5.8209876542807258E-2</v>
      </c>
      <c r="AH76" s="31" t="str" cm="1">
        <f t="array" aca="1" ref="AH76" ca="1">IF((AD76) &lt; (INDEX(ResponseSLA[#All],(MATCH((G76),ResponseSLA[Priority],0))+1,3)),"YES","No")</f>
        <v>YES</v>
      </c>
      <c r="AI76" s="31" t="str">
        <f ca="1">_xlfn.IFNA(IF(AE76 &lt; (INDEX(SLATable[Minimum SLA],MATCH(G76,SLATable[Priority],0))),"YES","NO"),"")</f>
        <v>YES</v>
      </c>
      <c r="AJ76" t="str">
        <f ca="1">_xlfn.IFNA(IF(AE76 &lt; (INDEX(SLATable[Maximum SLA],MATCH(G76,SLATable[Priority],0))),"YES","NO"),"")</f>
        <v>YES</v>
      </c>
    </row>
    <row r="77" spans="1:36" ht="15" customHeight="1">
      <c r="A77" s="45">
        <v>76</v>
      </c>
      <c r="B77" s="45" t="s">
        <v>26</v>
      </c>
      <c r="C77" s="45" t="s">
        <v>44</v>
      </c>
      <c r="D77" s="45" t="s">
        <v>207</v>
      </c>
      <c r="E77" s="45" t="s">
        <v>5743</v>
      </c>
      <c r="F77" s="45" t="s">
        <v>312</v>
      </c>
      <c r="G77" s="45">
        <v>3</v>
      </c>
      <c r="H77" s="45" t="s">
        <v>5744</v>
      </c>
      <c r="I77" s="45" t="s">
        <v>271</v>
      </c>
      <c r="J77" s="45" t="s">
        <v>5391</v>
      </c>
      <c r="K77" s="47">
        <v>46154.217835648145</v>
      </c>
      <c r="L77" s="47">
        <v>46154.220833333333</v>
      </c>
      <c r="M77" s="47">
        <v>46154.275231481479</v>
      </c>
      <c r="N77" s="47">
        <v>46156.275393518517</v>
      </c>
      <c r="O77" s="47">
        <v>46154.327372685184</v>
      </c>
      <c r="P77" s="47">
        <v>46156.275393518517</v>
      </c>
      <c r="Q77" s="45" t="s">
        <v>2789</v>
      </c>
      <c r="R77" s="45" t="s">
        <v>272</v>
      </c>
      <c r="S77" s="45" t="s">
        <v>5699</v>
      </c>
      <c r="T77" s="45" t="s">
        <v>268</v>
      </c>
      <c r="U77" s="45" t="s">
        <v>5531</v>
      </c>
      <c r="X77" s="45" t="s">
        <v>5531</v>
      </c>
      <c r="Y77" s="45" t="s">
        <v>5713</v>
      </c>
      <c r="Z77" s="76">
        <f t="shared" ca="1" si="16"/>
        <v>0</v>
      </c>
      <c r="AA77" s="75">
        <f t="shared" ca="1" si="17"/>
        <v>0</v>
      </c>
      <c r="AB77" s="76">
        <f t="shared" ca="1" si="18"/>
        <v>0</v>
      </c>
      <c r="AC77" s="75">
        <f t="shared" ca="1" si="19"/>
        <v>0</v>
      </c>
      <c r="AD77" s="76">
        <f t="shared" ca="1" si="20"/>
        <v>0</v>
      </c>
      <c r="AE77" s="76">
        <f t="shared" ca="1" si="21"/>
        <v>0</v>
      </c>
      <c r="AF77" s="75">
        <f t="shared" ca="1" si="22"/>
        <v>0</v>
      </c>
      <c r="AG77" s="75">
        <f t="shared" ca="1" si="23"/>
        <v>0</v>
      </c>
      <c r="AH77" s="31" t="str" cm="1">
        <f t="array" aca="1" ref="AH77" ca="1">IF((AD77) &lt; (INDEX(ResponseSLA[#All],(MATCH((G77),ResponseSLA[Priority],0))+1,3)),"YES","No")</f>
        <v>YES</v>
      </c>
      <c r="AI77" s="31" t="str">
        <f ca="1">_xlfn.IFNA(IF(AE77 &lt; (INDEX(SLATable[Minimum SLA],MATCH(G77,SLATable[Priority],0))),"YES","NO"),"")</f>
        <v>YES</v>
      </c>
      <c r="AJ77" t="str">
        <f ca="1">_xlfn.IFNA(IF(AE77 &lt; (INDEX(SLATable[Maximum SLA],MATCH(G77,SLATable[Priority],0))),"YES","NO"),"")</f>
        <v>YES</v>
      </c>
    </row>
    <row r="78" spans="1:36" ht="15" customHeight="1">
      <c r="A78" s="45">
        <v>77</v>
      </c>
      <c r="B78" s="45" t="s">
        <v>26</v>
      </c>
      <c r="C78" s="45" t="s">
        <v>44</v>
      </c>
      <c r="D78" s="45" t="s">
        <v>207</v>
      </c>
      <c r="E78" s="45" t="s">
        <v>5745</v>
      </c>
      <c r="F78" s="45" t="s">
        <v>312</v>
      </c>
      <c r="G78" s="45">
        <v>4</v>
      </c>
      <c r="H78" s="45" t="s">
        <v>5746</v>
      </c>
      <c r="I78" s="45" t="s">
        <v>271</v>
      </c>
      <c r="J78" s="45" t="s">
        <v>5391</v>
      </c>
      <c r="K78" s="47">
        <v>46150.551724537036</v>
      </c>
      <c r="L78" s="47">
        <v>46150.56763888889</v>
      </c>
      <c r="M78" s="47">
        <v>46150.589189814818</v>
      </c>
      <c r="N78" s="47">
        <v>46156.276192129626</v>
      </c>
      <c r="O78" s="47">
        <v>46154.321608796294</v>
      </c>
      <c r="P78" s="47">
        <v>46156.276192129626</v>
      </c>
      <c r="Q78" s="45" t="s">
        <v>5534</v>
      </c>
      <c r="R78" s="45" t="s">
        <v>272</v>
      </c>
      <c r="S78" s="45" t="s">
        <v>5699</v>
      </c>
      <c r="T78" s="45" t="s">
        <v>268</v>
      </c>
      <c r="U78" s="45" t="s">
        <v>5531</v>
      </c>
      <c r="X78" s="45" t="s">
        <v>5531</v>
      </c>
      <c r="Y78" s="45" t="s">
        <v>5747</v>
      </c>
      <c r="Z78" s="76">
        <f t="shared" ca="1" si="16"/>
        <v>0.5316087962977083</v>
      </c>
      <c r="AA78" s="75">
        <f t="shared" ca="1" si="17"/>
        <v>1.4176234567938888</v>
      </c>
      <c r="AB78" s="76">
        <f t="shared" ca="1" si="18"/>
        <v>0.51569444444370061</v>
      </c>
      <c r="AC78" s="75">
        <f t="shared" ca="1" si="19"/>
        <v>1.3751851851832015</v>
      </c>
      <c r="AD78" s="76">
        <f t="shared" ca="1" si="20"/>
        <v>2.1550925928750075E-2</v>
      </c>
      <c r="AE78" s="76">
        <f t="shared" ca="1" si="21"/>
        <v>0.51569444444370061</v>
      </c>
      <c r="AF78" s="75">
        <f t="shared" ca="1" si="22"/>
        <v>1.3751851851832015</v>
      </c>
      <c r="AG78" s="75">
        <f t="shared" ca="1" si="23"/>
        <v>1.3751851851832015</v>
      </c>
      <c r="AH78" s="31" t="str" cm="1">
        <f t="array" aca="1" ref="AH78" ca="1">IF((AD78) &lt; (INDEX(ResponseSLA[#All],(MATCH((G78),ResponseSLA[Priority],0))+1,3)),"YES","No")</f>
        <v>YES</v>
      </c>
      <c r="AI78" s="31" t="str">
        <f ca="1">_xlfn.IFNA(IF(AE78 &lt; (INDEX(SLATable[Minimum SLA],MATCH(G78,SLATable[Priority],0))),"YES","NO"),"")</f>
        <v>YES</v>
      </c>
      <c r="AJ78" t="str">
        <f ca="1">_xlfn.IFNA(IF(AE78 &lt; (INDEX(SLATable[Maximum SLA],MATCH(G78,SLATable[Priority],0))),"YES","NO"),"")</f>
        <v>YES</v>
      </c>
    </row>
    <row r="79" spans="1:36" ht="15" customHeight="1">
      <c r="A79" s="45">
        <v>78</v>
      </c>
      <c r="B79" s="45" t="s">
        <v>26</v>
      </c>
      <c r="C79" s="45" t="s">
        <v>44</v>
      </c>
      <c r="D79" s="45" t="s">
        <v>207</v>
      </c>
      <c r="E79" s="45" t="s">
        <v>5748</v>
      </c>
      <c r="F79" s="45" t="s">
        <v>312</v>
      </c>
      <c r="G79" s="45">
        <v>3</v>
      </c>
      <c r="H79" s="45" t="s">
        <v>5749</v>
      </c>
      <c r="I79" s="45" t="s">
        <v>271</v>
      </c>
      <c r="J79" s="45" t="s">
        <v>5391</v>
      </c>
      <c r="K79" s="47">
        <v>46149.257997685185</v>
      </c>
      <c r="L79" s="47">
        <v>46149.326331018521</v>
      </c>
      <c r="M79" s="47">
        <v>46149.327905092592</v>
      </c>
      <c r="N79" s="47">
        <v>46155.300613425927</v>
      </c>
      <c r="O79" s="47">
        <v>46149.461446759262</v>
      </c>
      <c r="P79" s="47">
        <v>46155.300613425927</v>
      </c>
      <c r="Q79" s="45" t="s">
        <v>5750</v>
      </c>
      <c r="R79" s="45" t="s">
        <v>272</v>
      </c>
      <c r="S79" s="45" t="s">
        <v>5699</v>
      </c>
      <c r="T79" s="45" t="s">
        <v>268</v>
      </c>
      <c r="U79" s="45" t="s">
        <v>5531</v>
      </c>
      <c r="X79" s="45" t="s">
        <v>5531</v>
      </c>
      <c r="Y79" s="45" t="s">
        <v>5751</v>
      </c>
      <c r="Z79" s="76">
        <f t="shared" ca="1" si="16"/>
        <v>0.12811342592855612</v>
      </c>
      <c r="AA79" s="75">
        <f t="shared" ca="1" si="17"/>
        <v>0.34163580247614966</v>
      </c>
      <c r="AB79" s="76">
        <f t="shared" ca="1" si="18"/>
        <v>0.12811342592855612</v>
      </c>
      <c r="AC79" s="75">
        <f t="shared" ca="1" si="19"/>
        <v>0.34163580247614966</v>
      </c>
      <c r="AD79" s="76">
        <f t="shared" ca="1" si="20"/>
        <v>0</v>
      </c>
      <c r="AE79" s="76">
        <f t="shared" ca="1" si="21"/>
        <v>0.12811342592855612</v>
      </c>
      <c r="AF79" s="75">
        <f t="shared" ca="1" si="22"/>
        <v>0.34163580247614966</v>
      </c>
      <c r="AG79" s="75">
        <f t="shared" ca="1" si="23"/>
        <v>0.34163580247614966</v>
      </c>
      <c r="AH79" s="31" t="str" cm="1">
        <f t="array" aca="1" ref="AH79" ca="1">IF((AD79) &lt; (INDEX(ResponseSLA[#All],(MATCH((G79),ResponseSLA[Priority],0))+1,3)),"YES","No")</f>
        <v>YES</v>
      </c>
      <c r="AI79" s="31" t="str">
        <f ca="1">_xlfn.IFNA(IF(AE79 &lt; (INDEX(SLATable[Minimum SLA],MATCH(G79,SLATable[Priority],0))),"YES","NO"),"")</f>
        <v>YES</v>
      </c>
      <c r="AJ79" t="str">
        <f ca="1">_xlfn.IFNA(IF(AE79 &lt; (INDEX(SLATable[Maximum SLA],MATCH(G79,SLATable[Priority],0))),"YES","NO"),"")</f>
        <v>YES</v>
      </c>
    </row>
    <row r="80" spans="1:36" ht="15" customHeight="1">
      <c r="A80" s="45">
        <v>79</v>
      </c>
      <c r="B80" s="45" t="s">
        <v>26</v>
      </c>
      <c r="C80" s="45" t="s">
        <v>44</v>
      </c>
      <c r="D80" s="45" t="s">
        <v>208</v>
      </c>
      <c r="E80" s="45" t="s">
        <v>5752</v>
      </c>
      <c r="F80" s="45" t="s">
        <v>312</v>
      </c>
      <c r="G80" s="45" t="s">
        <v>208</v>
      </c>
      <c r="H80" s="45" t="s">
        <v>5753</v>
      </c>
      <c r="I80" s="45" t="s">
        <v>275</v>
      </c>
      <c r="J80" s="45" t="s">
        <v>5391</v>
      </c>
      <c r="K80" s="47">
        <v>46153.705428240741</v>
      </c>
      <c r="L80" s="47">
        <v>46153.705428240741</v>
      </c>
      <c r="M80" s="47">
        <v>46154.300567129627</v>
      </c>
      <c r="N80" s="47">
        <v>46159.519444444442</v>
      </c>
      <c r="P80" s="47">
        <v>46159.519444444442</v>
      </c>
      <c r="Q80" s="45" t="s">
        <v>5725</v>
      </c>
      <c r="R80" s="45" t="s">
        <v>5693</v>
      </c>
      <c r="S80" s="45" t="s">
        <v>175</v>
      </c>
      <c r="T80" s="45" t="s">
        <v>268</v>
      </c>
      <c r="U80" s="45" t="s">
        <v>5531</v>
      </c>
      <c r="X80" s="45" t="s">
        <v>5531</v>
      </c>
      <c r="Y80" s="45" t="s">
        <v>5726</v>
      </c>
      <c r="Z80" s="76">
        <f t="shared" ca="1" si="16"/>
        <v>1.1279050925926035</v>
      </c>
      <c r="AA80" s="75">
        <f t="shared" ca="1" si="17"/>
        <v>3.0077469135802759</v>
      </c>
      <c r="AB80" s="76">
        <f t="shared" ca="1" si="18"/>
        <v>1.1279050925926035</v>
      </c>
      <c r="AC80" s="75">
        <f t="shared" ca="1" si="19"/>
        <v>3.0077469135802759</v>
      </c>
      <c r="AD80" s="76">
        <f t="shared" ca="1" si="20"/>
        <v>2.9050925926034088E-3</v>
      </c>
      <c r="AE80" s="76">
        <f t="shared" ca="1" si="21"/>
        <v>1.1279050925926035</v>
      </c>
      <c r="AF80" s="75">
        <f t="shared" ca="1" si="22"/>
        <v>3.0077469135802759</v>
      </c>
      <c r="AG80" s="75">
        <f t="shared" ca="1" si="23"/>
        <v>3.0077469135802759</v>
      </c>
      <c r="AH80" s="31" t="str" cm="1">
        <f t="array" aca="1" ref="AH80" ca="1">IF((AD80) &lt; (INDEX(ResponseSLA[#All],(MATCH((G80),ResponseSLA[Priority],0))+1,3)),"YES","No")</f>
        <v>YES</v>
      </c>
      <c r="AI80" s="31" t="str">
        <f ca="1">_xlfn.IFNA(IF(AE80 &lt; (INDEX(SLATable[Minimum SLA],MATCH(G80,SLATable[Priority],0))),"YES","NO"),"")</f>
        <v>NO</v>
      </c>
      <c r="AJ80" t="str">
        <f ca="1">_xlfn.IFNA(IF(AE80 &lt; (INDEX(SLATable[Maximum SLA],MATCH(G80,SLATable[Priority],0))),"YES","NO"),"")</f>
        <v>NO</v>
      </c>
    </row>
    <row r="81" spans="1:36" ht="15" customHeight="1">
      <c r="A81" s="45">
        <v>80</v>
      </c>
      <c r="B81" s="45" t="s">
        <v>26</v>
      </c>
      <c r="C81" s="45" t="s">
        <v>44</v>
      </c>
      <c r="D81" s="45" t="s">
        <v>208</v>
      </c>
      <c r="E81" s="45" t="s">
        <v>5754</v>
      </c>
      <c r="F81" s="45" t="s">
        <v>312</v>
      </c>
      <c r="G81" s="45" t="s">
        <v>208</v>
      </c>
      <c r="H81" s="45" t="s">
        <v>5755</v>
      </c>
      <c r="I81" s="45" t="s">
        <v>275</v>
      </c>
      <c r="J81" s="45" t="s">
        <v>5391</v>
      </c>
      <c r="K81" s="47">
        <v>46150.599143518521</v>
      </c>
      <c r="L81" s="47">
        <v>46150.599143518521</v>
      </c>
      <c r="M81" s="47">
        <v>46150.620208333334</v>
      </c>
      <c r="N81" s="47">
        <v>46157.658055555556</v>
      </c>
      <c r="P81" s="47">
        <v>46157.658055555556</v>
      </c>
      <c r="Q81" s="45" t="s">
        <v>5725</v>
      </c>
      <c r="R81" s="45" t="s">
        <v>5693</v>
      </c>
      <c r="S81" s="45" t="s">
        <v>175</v>
      </c>
      <c r="T81" s="45" t="s">
        <v>268</v>
      </c>
      <c r="U81" s="45" t="s">
        <v>5531</v>
      </c>
      <c r="X81" s="45" t="s">
        <v>5531</v>
      </c>
      <c r="Y81" s="45" t="s">
        <v>5726</v>
      </c>
      <c r="Z81" s="76">
        <f t="shared" ca="1" si="16"/>
        <v>1.9339120370350429</v>
      </c>
      <c r="AA81" s="75">
        <f t="shared" ca="1" si="17"/>
        <v>5.157098765426781</v>
      </c>
      <c r="AB81" s="76">
        <f t="shared" ca="1" si="18"/>
        <v>1.9339120370350429</v>
      </c>
      <c r="AC81" s="75">
        <f t="shared" ca="1" si="19"/>
        <v>5.157098765426781</v>
      </c>
      <c r="AD81" s="76">
        <f t="shared" ca="1" si="20"/>
        <v>2.1064814813144039E-2</v>
      </c>
      <c r="AE81" s="76">
        <f t="shared" ca="1" si="21"/>
        <v>1.9339120370350429</v>
      </c>
      <c r="AF81" s="75">
        <f t="shared" ca="1" si="22"/>
        <v>5.157098765426781</v>
      </c>
      <c r="AG81" s="75">
        <f t="shared" ca="1" si="23"/>
        <v>5.157098765426781</v>
      </c>
      <c r="AH81" s="31" t="str" cm="1">
        <f t="array" aca="1" ref="AH81" ca="1">IF((AD81) &lt; (INDEX(ResponseSLA[#All],(MATCH((G81),ResponseSLA[Priority],0))+1,3)),"YES","No")</f>
        <v>YES</v>
      </c>
      <c r="AI81" s="31" t="str">
        <f ca="1">_xlfn.IFNA(IF(AE81 &lt; (INDEX(SLATable[Minimum SLA],MATCH(G81,SLATable[Priority],0))),"YES","NO"),"")</f>
        <v>NO</v>
      </c>
      <c r="AJ81" t="str">
        <f ca="1">_xlfn.IFNA(IF(AE81 &lt; (INDEX(SLATable[Maximum SLA],MATCH(G81,SLATable[Priority],0))),"YES","NO"),"")</f>
        <v>NO</v>
      </c>
    </row>
    <row r="82" spans="1:36" ht="15" customHeight="1">
      <c r="A82" s="45">
        <v>81</v>
      </c>
      <c r="B82" s="45" t="s">
        <v>26</v>
      </c>
      <c r="C82" s="45" t="s">
        <v>44</v>
      </c>
      <c r="D82" s="45" t="s">
        <v>207</v>
      </c>
      <c r="E82" s="45" t="s">
        <v>5756</v>
      </c>
      <c r="F82" s="45" t="s">
        <v>312</v>
      </c>
      <c r="G82" s="45">
        <v>3</v>
      </c>
      <c r="H82" s="45" t="s">
        <v>5757</v>
      </c>
      <c r="I82" s="45" t="s">
        <v>275</v>
      </c>
      <c r="J82" s="45" t="s">
        <v>5391</v>
      </c>
      <c r="K82" s="47">
        <v>46147.484780092593</v>
      </c>
      <c r="L82" s="47">
        <v>46154.529340277775</v>
      </c>
      <c r="M82" s="47">
        <v>46154.548981481479</v>
      </c>
      <c r="N82" s="47">
        <v>46155.310381944444</v>
      </c>
      <c r="P82" s="47">
        <v>46155.310381944444</v>
      </c>
      <c r="Q82" s="45" t="s">
        <v>5758</v>
      </c>
      <c r="R82" s="45" t="s">
        <v>272</v>
      </c>
      <c r="S82" s="45" t="s">
        <v>5699</v>
      </c>
      <c r="T82" s="45" t="s">
        <v>268</v>
      </c>
      <c r="U82" s="45" t="s">
        <v>5531</v>
      </c>
      <c r="X82" s="45" t="s">
        <v>5531</v>
      </c>
      <c r="Y82" s="45" t="s">
        <v>5706</v>
      </c>
      <c r="Z82" s="76">
        <f t="shared" ca="1" si="16"/>
        <v>2.0985532407406335</v>
      </c>
      <c r="AA82" s="75">
        <f t="shared" ca="1" si="17"/>
        <v>5.5961419753083561</v>
      </c>
      <c r="AB82" s="76">
        <f t="shared" ca="1" si="18"/>
        <v>0.1789930555581426</v>
      </c>
      <c r="AC82" s="75">
        <f t="shared" ca="1" si="19"/>
        <v>0.47731481482171362</v>
      </c>
      <c r="AD82" s="76">
        <f t="shared" ca="1" si="20"/>
        <v>1.9641203703940846E-2</v>
      </c>
      <c r="AE82" s="76">
        <f t="shared" ca="1" si="21"/>
        <v>0.1789930555581426</v>
      </c>
      <c r="AF82" s="75">
        <f t="shared" ca="1" si="22"/>
        <v>0.47731481482171362</v>
      </c>
      <c r="AG82" s="75">
        <f t="shared" ca="1" si="23"/>
        <v>0.47731481482171362</v>
      </c>
      <c r="AH82" s="31" t="str" cm="1">
        <f t="array" aca="1" ref="AH82" ca="1">IF((AD82) &lt; (INDEX(ResponseSLA[#All],(MATCH((G82),ResponseSLA[Priority],0))+1,3)),"YES","No")</f>
        <v>YES</v>
      </c>
      <c r="AI82" s="31" t="str">
        <f ca="1">_xlfn.IFNA(IF(AE82 &lt; (INDEX(SLATable[Minimum SLA],MATCH(G82,SLATable[Priority],0))),"YES","NO"),"")</f>
        <v>YES</v>
      </c>
      <c r="AJ82" t="str">
        <f ca="1">_xlfn.IFNA(IF(AE82 &lt; (INDEX(SLATable[Maximum SLA],MATCH(G82,SLATable[Priority],0))),"YES","NO"),"")</f>
        <v>YES</v>
      </c>
    </row>
    <row r="83" spans="1:36" ht="15" customHeight="1">
      <c r="A83" s="45">
        <v>82</v>
      </c>
      <c r="B83" s="45" t="s">
        <v>26</v>
      </c>
      <c r="C83" s="45" t="s">
        <v>44</v>
      </c>
      <c r="D83" s="45" t="s">
        <v>207</v>
      </c>
      <c r="E83" s="45" t="s">
        <v>5759</v>
      </c>
      <c r="F83" s="45" t="s">
        <v>312</v>
      </c>
      <c r="G83" s="45">
        <v>4</v>
      </c>
      <c r="H83" s="45" t="s">
        <v>5760</v>
      </c>
      <c r="I83" s="45" t="s">
        <v>271</v>
      </c>
      <c r="J83" s="45" t="s">
        <v>5391</v>
      </c>
      <c r="K83" s="47">
        <v>46154.311736111114</v>
      </c>
      <c r="L83" s="47">
        <v>46154.32607638889</v>
      </c>
      <c r="M83" s="47">
        <v>46154.406747685185</v>
      </c>
      <c r="N83" s="47">
        <v>46157.397164351853</v>
      </c>
      <c r="O83" s="47">
        <v>46155.30537037037</v>
      </c>
      <c r="P83" s="47">
        <v>46157.397164351853</v>
      </c>
      <c r="Q83" s="45" t="s">
        <v>2789</v>
      </c>
      <c r="R83" s="45" t="s">
        <v>272</v>
      </c>
      <c r="S83" s="45" t="s">
        <v>5699</v>
      </c>
      <c r="T83" s="45" t="s">
        <v>268</v>
      </c>
      <c r="U83" s="45" t="s">
        <v>5531</v>
      </c>
      <c r="X83" s="45" t="s">
        <v>5531</v>
      </c>
      <c r="Y83" s="45" t="s">
        <v>5713</v>
      </c>
      <c r="Z83" s="76">
        <f t="shared" ca="1" si="16"/>
        <v>0.37500000000000022</v>
      </c>
      <c r="AA83" s="75">
        <f t="shared" ca="1" si="17"/>
        <v>1.0000000000000007</v>
      </c>
      <c r="AB83" s="76">
        <f t="shared" ca="1" si="18"/>
        <v>0.37500000000000022</v>
      </c>
      <c r="AC83" s="75">
        <f t="shared" ca="1" si="19"/>
        <v>1.0000000000000007</v>
      </c>
      <c r="AD83" s="76">
        <f t="shared" ca="1" si="20"/>
        <v>7.3414351851776416E-2</v>
      </c>
      <c r="AE83" s="76">
        <f t="shared" ca="1" si="21"/>
        <v>0.37500000000000022</v>
      </c>
      <c r="AF83" s="75">
        <f t="shared" ca="1" si="22"/>
        <v>1.0000000000000007</v>
      </c>
      <c r="AG83" s="75">
        <f t="shared" ca="1" si="23"/>
        <v>1.0000000000000007</v>
      </c>
      <c r="AH83" s="31" t="str" cm="1">
        <f t="array" aca="1" ref="AH83" ca="1">IF((AD83) &lt; (INDEX(ResponseSLA[#All],(MATCH((G83),ResponseSLA[Priority],0))+1,3)),"YES","No")</f>
        <v>YES</v>
      </c>
      <c r="AI83" s="31" t="str">
        <f ca="1">_xlfn.IFNA(IF(AE83 &lt; (INDEX(SLATable[Minimum SLA],MATCH(G83,SLATable[Priority],0))),"YES","NO"),"")</f>
        <v>YES</v>
      </c>
      <c r="AJ83" t="str">
        <f ca="1">_xlfn.IFNA(IF(AE83 &lt; (INDEX(SLATable[Maximum SLA],MATCH(G83,SLATable[Priority],0))),"YES","NO"),"")</f>
        <v>YES</v>
      </c>
    </row>
    <row r="84" spans="1:36" ht="15" customHeight="1">
      <c r="A84" s="45">
        <v>83</v>
      </c>
      <c r="B84" s="45" t="s">
        <v>26</v>
      </c>
      <c r="C84" s="45" t="s">
        <v>44</v>
      </c>
      <c r="D84" s="45" t="s">
        <v>207</v>
      </c>
      <c r="E84" s="45" t="s">
        <v>1418</v>
      </c>
      <c r="F84" s="45" t="s">
        <v>312</v>
      </c>
      <c r="G84" s="45">
        <v>3</v>
      </c>
      <c r="H84" s="45" t="s">
        <v>1189</v>
      </c>
      <c r="I84" s="45" t="s">
        <v>275</v>
      </c>
      <c r="J84" s="45" t="s">
        <v>5391</v>
      </c>
      <c r="K84" s="47">
        <v>46142.402719907404</v>
      </c>
      <c r="L84" s="47">
        <v>46154.464155092595</v>
      </c>
      <c r="M84" s="47">
        <v>46154.479791666665</v>
      </c>
      <c r="N84" s="47">
        <v>46155.312037037038</v>
      </c>
      <c r="P84" s="47">
        <v>46155.312037037038</v>
      </c>
      <c r="Q84" s="45" t="s">
        <v>5705</v>
      </c>
      <c r="R84" s="45" t="s">
        <v>272</v>
      </c>
      <c r="S84" s="45" t="s">
        <v>5699</v>
      </c>
      <c r="T84" s="45" t="s">
        <v>268</v>
      </c>
      <c r="U84" s="45" t="s">
        <v>5531</v>
      </c>
      <c r="X84" s="45" t="s">
        <v>5531</v>
      </c>
      <c r="Y84" s="45" t="s">
        <v>5706</v>
      </c>
      <c r="Z84" s="76">
        <f t="shared" ca="1" si="16"/>
        <v>2.5556134259289447</v>
      </c>
      <c r="AA84" s="75">
        <f t="shared" ca="1" si="17"/>
        <v>6.8149691358105189</v>
      </c>
      <c r="AB84" s="76">
        <f t="shared" ca="1" si="18"/>
        <v>0.24417824073801364</v>
      </c>
      <c r="AC84" s="75">
        <f t="shared" ca="1" si="19"/>
        <v>0.65114197530136975</v>
      </c>
      <c r="AD84" s="76">
        <f t="shared" ca="1" si="20"/>
        <v>1.5636574069503695E-2</v>
      </c>
      <c r="AE84" s="76">
        <f t="shared" ca="1" si="21"/>
        <v>0.24417824073801364</v>
      </c>
      <c r="AF84" s="75">
        <f t="shared" ca="1" si="22"/>
        <v>0.65114197530136975</v>
      </c>
      <c r="AG84" s="75">
        <f t="shared" ca="1" si="23"/>
        <v>0.65114197530136975</v>
      </c>
      <c r="AH84" s="31" t="str" cm="1">
        <f t="array" aca="1" ref="AH84" ca="1">IF((AD84) &lt; (INDEX(ResponseSLA[#All],(MATCH((G84),ResponseSLA[Priority],0))+1,3)),"YES","No")</f>
        <v>YES</v>
      </c>
      <c r="AI84" s="31" t="str">
        <f ca="1">_xlfn.IFNA(IF(AE84 &lt; (INDEX(SLATable[Minimum SLA],MATCH(G84,SLATable[Priority],0))),"YES","NO"),"")</f>
        <v>YES</v>
      </c>
      <c r="AJ84" t="str">
        <f ca="1">_xlfn.IFNA(IF(AE84 &lt; (INDEX(SLATable[Maximum SLA],MATCH(G84,SLATable[Priority],0))),"YES","NO"),"")</f>
        <v>YES</v>
      </c>
    </row>
    <row r="85" spans="1:36" ht="15" customHeight="1">
      <c r="A85" s="45">
        <v>84</v>
      </c>
      <c r="B85" s="45" t="s">
        <v>26</v>
      </c>
      <c r="C85" s="45" t="s">
        <v>44</v>
      </c>
      <c r="D85" s="45" t="s">
        <v>207</v>
      </c>
      <c r="E85" s="45" t="s">
        <v>5761</v>
      </c>
      <c r="F85" s="45" t="s">
        <v>312</v>
      </c>
      <c r="G85" s="45">
        <v>4</v>
      </c>
      <c r="H85" s="45" t="s">
        <v>5762</v>
      </c>
      <c r="I85" s="45" t="s">
        <v>271</v>
      </c>
      <c r="J85" s="45" t="s">
        <v>5391</v>
      </c>
      <c r="K85" s="47">
        <v>46154.743275462963</v>
      </c>
      <c r="L85" s="47">
        <v>46154.745891203704</v>
      </c>
      <c r="M85" s="47">
        <v>46155.277731481481</v>
      </c>
      <c r="N85" s="47">
        <v>46156.247615740744</v>
      </c>
      <c r="O85" s="47">
        <v>46155.307708333334</v>
      </c>
      <c r="P85" s="47">
        <v>46156.247615740744</v>
      </c>
      <c r="Q85" s="45" t="s">
        <v>2789</v>
      </c>
      <c r="R85" s="45" t="s">
        <v>272</v>
      </c>
      <c r="S85" s="45" t="s">
        <v>5699</v>
      </c>
      <c r="T85" s="45" t="s">
        <v>268</v>
      </c>
      <c r="U85" s="45" t="s">
        <v>5531</v>
      </c>
      <c r="X85" s="45" t="s">
        <v>5531</v>
      </c>
      <c r="Y85" s="45" t="s">
        <v>5713</v>
      </c>
      <c r="Z85" s="76">
        <f t="shared" ca="1" si="16"/>
        <v>5.5511151231257827E-17</v>
      </c>
      <c r="AA85" s="75">
        <f t="shared" ca="1" si="17"/>
        <v>1.4802973661668753E-16</v>
      </c>
      <c r="AB85" s="76">
        <f t="shared" ca="1" si="18"/>
        <v>5.5511151231257827E-17</v>
      </c>
      <c r="AC85" s="75">
        <f t="shared" ca="1" si="19"/>
        <v>1.4802973661668753E-16</v>
      </c>
      <c r="AD85" s="76">
        <f t="shared" ca="1" si="20"/>
        <v>0</v>
      </c>
      <c r="AE85" s="76">
        <f t="shared" ca="1" si="21"/>
        <v>5.5511151231257827E-17</v>
      </c>
      <c r="AF85" s="75">
        <f t="shared" ca="1" si="22"/>
        <v>1.4802973661668753E-16</v>
      </c>
      <c r="AG85" s="75">
        <f t="shared" ca="1" si="23"/>
        <v>1.4802973661668753E-16</v>
      </c>
      <c r="AH85" s="31" t="str" cm="1">
        <f t="array" aca="1" ref="AH85" ca="1">IF((AD85) &lt; (INDEX(ResponseSLA[#All],(MATCH((G85),ResponseSLA[Priority],0))+1,3)),"YES","No")</f>
        <v>YES</v>
      </c>
      <c r="AI85" s="31" t="str">
        <f ca="1">_xlfn.IFNA(IF(AE85 &lt; (INDEX(SLATable[Minimum SLA],MATCH(G85,SLATable[Priority],0))),"YES","NO"),"")</f>
        <v>YES</v>
      </c>
      <c r="AJ85" t="str">
        <f ca="1">_xlfn.IFNA(IF(AE85 &lt; (INDEX(SLATable[Maximum SLA],MATCH(G85,SLATable[Priority],0))),"YES","NO"),"")</f>
        <v>YES</v>
      </c>
    </row>
    <row r="86" spans="1:36" ht="15" customHeight="1">
      <c r="A86" s="45">
        <v>85</v>
      </c>
      <c r="B86" s="45" t="s">
        <v>26</v>
      </c>
      <c r="C86" s="45" t="s">
        <v>44</v>
      </c>
      <c r="D86" s="45" t="s">
        <v>208</v>
      </c>
      <c r="E86" s="45" t="s">
        <v>5763</v>
      </c>
      <c r="F86" s="45" t="s">
        <v>312</v>
      </c>
      <c r="G86" s="45" t="s">
        <v>208</v>
      </c>
      <c r="H86" s="45" t="s">
        <v>5764</v>
      </c>
      <c r="I86" s="45" t="s">
        <v>271</v>
      </c>
      <c r="J86" s="45" t="s">
        <v>5391</v>
      </c>
      <c r="K86" s="47">
        <v>46154.451423611114</v>
      </c>
      <c r="L86" s="47">
        <v>46154.486539351848</v>
      </c>
      <c r="M86" s="47">
        <v>46154.600231481483</v>
      </c>
      <c r="N86" s="47">
        <v>46157.641921296294</v>
      </c>
      <c r="O86" s="47">
        <v>46155.325312499997</v>
      </c>
      <c r="P86" s="47">
        <v>46157.641921296294</v>
      </c>
      <c r="Q86" s="45" t="s">
        <v>2789</v>
      </c>
      <c r="R86" s="45" t="s">
        <v>272</v>
      </c>
      <c r="S86" s="45" t="s">
        <v>5699</v>
      </c>
      <c r="T86" s="45" t="s">
        <v>268</v>
      </c>
      <c r="U86" s="45" t="s">
        <v>5531</v>
      </c>
      <c r="X86" s="45" t="s">
        <v>5531</v>
      </c>
      <c r="Y86" s="45" t="s">
        <v>5765</v>
      </c>
      <c r="Z86" s="76">
        <f t="shared" ca="1" si="16"/>
        <v>0.25690972221976471</v>
      </c>
      <c r="AA86" s="75">
        <f t="shared" ca="1" si="17"/>
        <v>0.68509259258603927</v>
      </c>
      <c r="AB86" s="76">
        <f t="shared" ca="1" si="18"/>
        <v>0.22179398148485552</v>
      </c>
      <c r="AC86" s="75">
        <f t="shared" ca="1" si="19"/>
        <v>0.59145061729294801</v>
      </c>
      <c r="AD86" s="76">
        <f t="shared" ca="1" si="20"/>
        <v>0.11369212963472819</v>
      </c>
      <c r="AE86" s="76">
        <f t="shared" ca="1" si="21"/>
        <v>0.22179398148485552</v>
      </c>
      <c r="AF86" s="75">
        <f t="shared" ca="1" si="22"/>
        <v>0.59145061729294801</v>
      </c>
      <c r="AG86" s="75">
        <f t="shared" ca="1" si="23"/>
        <v>0.59145061729294801</v>
      </c>
      <c r="AH86" s="31" t="str" cm="1">
        <f t="array" aca="1" ref="AH86" ca="1">IF((AD86) &lt; (INDEX(ResponseSLA[#All],(MATCH((G86),ResponseSLA[Priority],0))+1,3)),"YES","No")</f>
        <v>YES</v>
      </c>
      <c r="AI86" s="31" t="str">
        <f ca="1">_xlfn.IFNA(IF(AE86 &lt; (INDEX(SLATable[Minimum SLA],MATCH(G86,SLATable[Priority],0))),"YES","NO"),"")</f>
        <v>YES</v>
      </c>
      <c r="AJ86" t="str">
        <f ca="1">_xlfn.IFNA(IF(AE86 &lt; (INDEX(SLATable[Maximum SLA],MATCH(G86,SLATable[Priority],0))),"YES","NO"),"")</f>
        <v>YES</v>
      </c>
    </row>
    <row r="87" spans="1:36" ht="15" customHeight="1">
      <c r="A87" s="45">
        <v>86</v>
      </c>
      <c r="B87" s="45" t="s">
        <v>26</v>
      </c>
      <c r="C87" s="45" t="s">
        <v>44</v>
      </c>
      <c r="D87" s="45" t="s">
        <v>207</v>
      </c>
      <c r="E87" s="45" t="s">
        <v>5766</v>
      </c>
      <c r="F87" s="45" t="s">
        <v>312</v>
      </c>
      <c r="G87" s="45">
        <v>3</v>
      </c>
      <c r="H87" s="45" t="s">
        <v>5767</v>
      </c>
      <c r="I87" s="45" t="s">
        <v>271</v>
      </c>
      <c r="J87" s="45" t="s">
        <v>5391</v>
      </c>
      <c r="K87" s="47">
        <v>46155.349814814814</v>
      </c>
      <c r="L87" s="47">
        <v>46155.352731481478</v>
      </c>
      <c r="M87" s="47">
        <v>46155.375706018516</v>
      </c>
      <c r="N87" s="47">
        <v>46160.399583333332</v>
      </c>
      <c r="O87" s="47">
        <v>46156.291979166665</v>
      </c>
      <c r="P87" s="47">
        <v>46160.399583333332</v>
      </c>
      <c r="Q87" s="45" t="s">
        <v>2789</v>
      </c>
      <c r="R87" s="45" t="s">
        <v>272</v>
      </c>
      <c r="S87" s="45" t="s">
        <v>5699</v>
      </c>
      <c r="T87" s="45" t="s">
        <v>268</v>
      </c>
      <c r="U87" s="45" t="s">
        <v>5531</v>
      </c>
      <c r="X87" s="45" t="s">
        <v>5531</v>
      </c>
      <c r="Y87" s="45" t="s">
        <v>5765</v>
      </c>
      <c r="Z87" s="76">
        <f t="shared" ca="1" si="16"/>
        <v>0.35851851851960737</v>
      </c>
      <c r="AA87" s="75">
        <f t="shared" ca="1" si="17"/>
        <v>0.95604938271895301</v>
      </c>
      <c r="AB87" s="76">
        <f t="shared" ca="1" si="18"/>
        <v>0.35560185185507498</v>
      </c>
      <c r="AC87" s="75">
        <f t="shared" ca="1" si="19"/>
        <v>0.94827160494686658</v>
      </c>
      <c r="AD87" s="76">
        <f t="shared" ca="1" si="20"/>
        <v>2.2974537037953269E-2</v>
      </c>
      <c r="AE87" s="76">
        <f t="shared" ca="1" si="21"/>
        <v>0.35560185185507498</v>
      </c>
      <c r="AF87" s="75">
        <f t="shared" ca="1" si="22"/>
        <v>0.94827160494686658</v>
      </c>
      <c r="AG87" s="75">
        <f t="shared" ca="1" si="23"/>
        <v>0.94827160494686658</v>
      </c>
      <c r="AH87" s="31" t="str" cm="1">
        <f t="array" aca="1" ref="AH87" ca="1">IF((AD87) &lt; (INDEX(ResponseSLA[#All],(MATCH((G87),ResponseSLA[Priority],0))+1,3)),"YES","No")</f>
        <v>YES</v>
      </c>
      <c r="AI87" s="31" t="str">
        <f ca="1">_xlfn.IFNA(IF(AE87 &lt; (INDEX(SLATable[Minimum SLA],MATCH(G87,SLATable[Priority],0))),"YES","NO"),"")</f>
        <v>YES</v>
      </c>
      <c r="AJ87" t="str">
        <f ca="1">_xlfn.IFNA(IF(AE87 &lt; (INDEX(SLATable[Maximum SLA],MATCH(G87,SLATable[Priority],0))),"YES","NO"),"")</f>
        <v>YES</v>
      </c>
    </row>
    <row r="88" spans="1:36" ht="15" customHeight="1">
      <c r="A88" s="45">
        <v>87</v>
      </c>
      <c r="B88" s="45" t="s">
        <v>26</v>
      </c>
      <c r="C88" s="45" t="s">
        <v>44</v>
      </c>
      <c r="D88" s="45" t="s">
        <v>207</v>
      </c>
      <c r="E88" s="45" t="s">
        <v>5768</v>
      </c>
      <c r="F88" s="45" t="s">
        <v>312</v>
      </c>
      <c r="G88" s="45">
        <v>3</v>
      </c>
      <c r="H88" s="45" t="s">
        <v>5769</v>
      </c>
      <c r="I88" s="45" t="s">
        <v>275</v>
      </c>
      <c r="J88" s="45" t="s">
        <v>5391</v>
      </c>
      <c r="K88" s="47">
        <v>46126.44054398148</v>
      </c>
      <c r="L88" s="47">
        <v>46155.584652777776</v>
      </c>
      <c r="M88" s="47">
        <v>46155.626006944447</v>
      </c>
      <c r="N88" s="47">
        <v>46156.301192129627</v>
      </c>
      <c r="P88" s="47">
        <v>46156.301192129627</v>
      </c>
      <c r="Q88" s="45" t="s">
        <v>5770</v>
      </c>
      <c r="R88" s="45" t="s">
        <v>272</v>
      </c>
      <c r="S88" s="45" t="s">
        <v>5699</v>
      </c>
      <c r="T88" s="45" t="s">
        <v>268</v>
      </c>
      <c r="U88" s="45" t="s">
        <v>5531</v>
      </c>
      <c r="X88" s="45" t="s">
        <v>5531</v>
      </c>
      <c r="Y88" s="45" t="s">
        <v>5706</v>
      </c>
      <c r="Z88" s="76">
        <f t="shared" ca="1" si="16"/>
        <v>7.3927893518533292</v>
      </c>
      <c r="AA88" s="75">
        <f t="shared" ca="1" si="17"/>
        <v>19.714104938275543</v>
      </c>
      <c r="AB88" s="76">
        <f t="shared" ca="1" si="18"/>
        <v>0.12368055555756052</v>
      </c>
      <c r="AC88" s="75">
        <f t="shared" ca="1" si="19"/>
        <v>0.32981481482016139</v>
      </c>
      <c r="AD88" s="76">
        <f t="shared" ca="1" si="20"/>
        <v>4.1354166671226267E-2</v>
      </c>
      <c r="AE88" s="76">
        <f t="shared" ca="1" si="21"/>
        <v>0.12368055555756052</v>
      </c>
      <c r="AF88" s="75">
        <f t="shared" ca="1" si="22"/>
        <v>0.32981481482016139</v>
      </c>
      <c r="AG88" s="75">
        <f t="shared" ca="1" si="23"/>
        <v>0.32981481482016139</v>
      </c>
      <c r="AH88" s="31" t="str" cm="1">
        <f t="array" aca="1" ref="AH88" ca="1">IF((AD88) &lt; (INDEX(ResponseSLA[#All],(MATCH((G88),ResponseSLA[Priority],0))+1,3)),"YES","No")</f>
        <v>YES</v>
      </c>
      <c r="AI88" s="31" t="str">
        <f ca="1">_xlfn.IFNA(IF(AE88 &lt; (INDEX(SLATable[Minimum SLA],MATCH(G88,SLATable[Priority],0))),"YES","NO"),"")</f>
        <v>YES</v>
      </c>
      <c r="AJ88" t="str">
        <f ca="1">_xlfn.IFNA(IF(AE88 &lt; (INDEX(SLATable[Maximum SLA],MATCH(G88,SLATable[Priority],0))),"YES","NO"),"")</f>
        <v>YES</v>
      </c>
    </row>
    <row r="89" spans="1:36" ht="15" customHeight="1">
      <c r="A89" s="45">
        <v>88</v>
      </c>
      <c r="B89" s="45" t="s">
        <v>26</v>
      </c>
      <c r="C89" s="45" t="s">
        <v>44</v>
      </c>
      <c r="D89" s="45" t="s">
        <v>207</v>
      </c>
      <c r="E89" s="45" t="s">
        <v>5771</v>
      </c>
      <c r="F89" s="45" t="s">
        <v>312</v>
      </c>
      <c r="G89" s="45">
        <v>4</v>
      </c>
      <c r="H89" s="45" t="s">
        <v>5772</v>
      </c>
      <c r="I89" s="45" t="s">
        <v>271</v>
      </c>
      <c r="J89" s="45" t="s">
        <v>5391</v>
      </c>
      <c r="K89" s="47">
        <v>46129.454108796293</v>
      </c>
      <c r="L89" s="47">
        <v>46160.415717592594</v>
      </c>
      <c r="M89" s="47">
        <v>46160.4528125</v>
      </c>
      <c r="N89" s="47">
        <v>46162.290682870371</v>
      </c>
      <c r="O89" s="47">
        <v>46160.607592592591</v>
      </c>
      <c r="P89" s="47">
        <v>46162.290682870371</v>
      </c>
      <c r="Q89" s="45" t="s">
        <v>2789</v>
      </c>
      <c r="R89" s="45" t="s">
        <v>272</v>
      </c>
      <c r="S89" s="45" t="s">
        <v>5699</v>
      </c>
      <c r="T89" s="45" t="s">
        <v>268</v>
      </c>
      <c r="U89" s="45" t="s">
        <v>5531</v>
      </c>
      <c r="X89" s="45" t="s">
        <v>5531</v>
      </c>
      <c r="Y89" s="45" t="s">
        <v>5773</v>
      </c>
      <c r="Z89" s="76">
        <f t="shared" ca="1" si="16"/>
        <v>7.2784837962972233</v>
      </c>
      <c r="AA89" s="75">
        <f t="shared" ca="1" si="17"/>
        <v>19.409290123459261</v>
      </c>
      <c r="AB89" s="76">
        <f t="shared" ca="1" si="18"/>
        <v>0.19187499999679858</v>
      </c>
      <c r="AC89" s="75">
        <f t="shared" ca="1" si="19"/>
        <v>0.51166666665812954</v>
      </c>
      <c r="AD89" s="76">
        <f t="shared" ca="1" si="20"/>
        <v>3.7094907405844424E-2</v>
      </c>
      <c r="AE89" s="76">
        <f t="shared" ca="1" si="21"/>
        <v>0.19187499999679858</v>
      </c>
      <c r="AF89" s="75">
        <f t="shared" ca="1" si="22"/>
        <v>0.51166666665812954</v>
      </c>
      <c r="AG89" s="75">
        <f t="shared" ca="1" si="23"/>
        <v>0.51166666665812954</v>
      </c>
      <c r="AH89" s="31" t="str" cm="1">
        <f t="array" aca="1" ref="AH89" ca="1">IF((AD89) &lt; (INDEX(ResponseSLA[#All],(MATCH((G89),ResponseSLA[Priority],0))+1,3)),"YES","No")</f>
        <v>YES</v>
      </c>
      <c r="AI89" s="31" t="str">
        <f ca="1">_xlfn.IFNA(IF(AE89 &lt; (INDEX(SLATable[Minimum SLA],MATCH(G89,SLATable[Priority],0))),"YES","NO"),"")</f>
        <v>YES</v>
      </c>
      <c r="AJ89" t="str">
        <f ca="1">_xlfn.IFNA(IF(AE89 &lt; (INDEX(SLATable[Maximum SLA],MATCH(G89,SLATable[Priority],0))),"YES","NO"),"")</f>
        <v>YES</v>
      </c>
    </row>
    <row r="90" spans="1:36" ht="15" customHeight="1">
      <c r="A90" s="45">
        <v>89</v>
      </c>
      <c r="B90" s="45" t="s">
        <v>26</v>
      </c>
      <c r="C90" s="45" t="s">
        <v>44</v>
      </c>
      <c r="D90" s="45" t="s">
        <v>207</v>
      </c>
      <c r="E90" s="45" t="s">
        <v>5774</v>
      </c>
      <c r="F90" s="45" t="s">
        <v>312</v>
      </c>
      <c r="G90" s="45">
        <v>4</v>
      </c>
      <c r="H90" s="45" t="s">
        <v>5775</v>
      </c>
      <c r="I90" s="45" t="s">
        <v>275</v>
      </c>
      <c r="J90" s="45" t="s">
        <v>5391</v>
      </c>
      <c r="K90" s="47">
        <v>46156.064525462964</v>
      </c>
      <c r="L90" s="47">
        <v>46156.830312500002</v>
      </c>
      <c r="M90" s="47">
        <v>46157.286354166667</v>
      </c>
      <c r="N90" s="47">
        <v>46157.399918981479</v>
      </c>
      <c r="P90" s="47">
        <v>46157.399918981479</v>
      </c>
      <c r="Q90" s="45" t="s">
        <v>5776</v>
      </c>
      <c r="R90" s="45" t="s">
        <v>272</v>
      </c>
      <c r="S90" s="45" t="s">
        <v>5699</v>
      </c>
      <c r="T90" s="45" t="s">
        <v>268</v>
      </c>
      <c r="U90" s="45" t="s">
        <v>5531</v>
      </c>
      <c r="X90" s="45" t="s">
        <v>5531</v>
      </c>
      <c r="Y90" s="45" t="s">
        <v>5706</v>
      </c>
      <c r="Z90" s="76">
        <f t="shared" ca="1" si="16"/>
        <v>0.44158564814521623</v>
      </c>
      <c r="AA90" s="75">
        <f t="shared" ca="1" si="17"/>
        <v>1.1775617283872433</v>
      </c>
      <c r="AB90" s="76">
        <f t="shared" ca="1" si="18"/>
        <v>6.658564814521617E-2</v>
      </c>
      <c r="AC90" s="75">
        <f t="shared" ca="1" si="19"/>
        <v>0.17756172838724313</v>
      </c>
      <c r="AD90" s="76">
        <f t="shared" ca="1" si="20"/>
        <v>0</v>
      </c>
      <c r="AE90" s="76">
        <f t="shared" ca="1" si="21"/>
        <v>6.658564814521617E-2</v>
      </c>
      <c r="AF90" s="75">
        <f t="shared" ca="1" si="22"/>
        <v>0.17756172838724313</v>
      </c>
      <c r="AG90" s="75">
        <f t="shared" ca="1" si="23"/>
        <v>0.17756172838724313</v>
      </c>
      <c r="AH90" s="31" t="str" cm="1">
        <f t="array" aca="1" ref="AH90" ca="1">IF((AD90) &lt; (INDEX(ResponseSLA[#All],(MATCH((G90),ResponseSLA[Priority],0))+1,3)),"YES","No")</f>
        <v>YES</v>
      </c>
      <c r="AI90" s="31" t="str">
        <f ca="1">_xlfn.IFNA(IF(AE90 &lt; (INDEX(SLATable[Minimum SLA],MATCH(G90,SLATable[Priority],0))),"YES","NO"),"")</f>
        <v>YES</v>
      </c>
      <c r="AJ90" t="str">
        <f ca="1">_xlfn.IFNA(IF(AE90 &lt; (INDEX(SLATable[Maximum SLA],MATCH(G90,SLATable[Priority],0))),"YES","NO"),"")</f>
        <v>YES</v>
      </c>
    </row>
    <row r="91" spans="1:36" ht="15" customHeight="1">
      <c r="A91" s="45">
        <v>90</v>
      </c>
      <c r="B91" s="45" t="s">
        <v>26</v>
      </c>
      <c r="C91" s="45" t="s">
        <v>44</v>
      </c>
      <c r="D91" s="45" t="s">
        <v>207</v>
      </c>
      <c r="E91" s="45" t="s">
        <v>5777</v>
      </c>
      <c r="F91" s="45" t="s">
        <v>312</v>
      </c>
      <c r="G91" s="45">
        <v>4</v>
      </c>
      <c r="H91" s="45" t="s">
        <v>5778</v>
      </c>
      <c r="I91" s="45" t="s">
        <v>275</v>
      </c>
      <c r="J91" s="45" t="s">
        <v>5391</v>
      </c>
      <c r="K91" s="47">
        <v>46099.470613425925</v>
      </c>
      <c r="L91" s="47">
        <v>46155.693333333336</v>
      </c>
      <c r="M91" s="47">
        <v>46156.273784722223</v>
      </c>
      <c r="N91" s="47">
        <v>46156.309490740743</v>
      </c>
      <c r="P91" s="47">
        <v>46156.309490740743</v>
      </c>
      <c r="Q91" s="45" t="s">
        <v>5698</v>
      </c>
      <c r="R91" s="45" t="s">
        <v>272</v>
      </c>
      <c r="S91" s="45" t="s">
        <v>5699</v>
      </c>
      <c r="T91" s="45" t="s">
        <v>268</v>
      </c>
      <c r="U91" s="45" t="s">
        <v>5531</v>
      </c>
      <c r="X91" s="45" t="s">
        <v>5531</v>
      </c>
      <c r="Y91" s="45" t="s">
        <v>5779</v>
      </c>
      <c r="Z91" s="76">
        <f t="shared" ca="1" si="16"/>
        <v>13.737719907408369</v>
      </c>
      <c r="AA91" s="75">
        <f t="shared" ca="1" si="17"/>
        <v>36.633919753088982</v>
      </c>
      <c r="AB91" s="76">
        <f t="shared" ca="1" si="18"/>
        <v>1.4999999996992641E-2</v>
      </c>
      <c r="AC91" s="75">
        <f t="shared" ca="1" si="19"/>
        <v>3.9999999991980374E-2</v>
      </c>
      <c r="AD91" s="76">
        <f t="shared" ca="1" si="20"/>
        <v>1.4999999996992641E-2</v>
      </c>
      <c r="AE91" s="76">
        <f t="shared" ca="1" si="21"/>
        <v>1.4999999996992641E-2</v>
      </c>
      <c r="AF91" s="75">
        <f t="shared" ca="1" si="22"/>
        <v>3.9999999991980374E-2</v>
      </c>
      <c r="AG91" s="75">
        <f t="shared" ca="1" si="23"/>
        <v>3.9999999991980374E-2</v>
      </c>
      <c r="AH91" s="31" t="str" cm="1">
        <f t="array" aca="1" ref="AH91" ca="1">IF((AD91) &lt; (INDEX(ResponseSLA[#All],(MATCH((G91),ResponseSLA[Priority],0))+1,3)),"YES","No")</f>
        <v>YES</v>
      </c>
      <c r="AI91" s="31" t="str">
        <f ca="1">_xlfn.IFNA(IF(AE91 &lt; (INDEX(SLATable[Minimum SLA],MATCH(G91,SLATable[Priority],0))),"YES","NO"),"")</f>
        <v>YES</v>
      </c>
      <c r="AJ91" t="str">
        <f ca="1">_xlfn.IFNA(IF(AE91 &lt; (INDEX(SLATable[Maximum SLA],MATCH(G91,SLATable[Priority],0))),"YES","NO"),"")</f>
        <v>YES</v>
      </c>
    </row>
    <row r="92" spans="1:36" ht="15" customHeight="1">
      <c r="A92" s="45">
        <v>91</v>
      </c>
      <c r="B92" s="45" t="s">
        <v>26</v>
      </c>
      <c r="C92" s="45" t="s">
        <v>44</v>
      </c>
      <c r="D92" s="45" t="s">
        <v>207</v>
      </c>
      <c r="E92" s="45" t="s">
        <v>5780</v>
      </c>
      <c r="F92" s="45" t="s">
        <v>312</v>
      </c>
      <c r="G92" s="45">
        <v>4</v>
      </c>
      <c r="H92" s="45" t="s">
        <v>5781</v>
      </c>
      <c r="I92" s="45" t="s">
        <v>271</v>
      </c>
      <c r="J92" s="45" t="s">
        <v>5391</v>
      </c>
      <c r="K92" s="47">
        <v>46155.495891203704</v>
      </c>
      <c r="L92" s="47">
        <v>46155.495891203704</v>
      </c>
      <c r="M92" s="47">
        <v>46155.510474537034</v>
      </c>
      <c r="N92" s="47">
        <v>46160.336886574078</v>
      </c>
      <c r="O92" s="47">
        <v>46156.316724537035</v>
      </c>
      <c r="P92" s="47">
        <v>46160.336886574078</v>
      </c>
      <c r="Q92" s="45" t="s">
        <v>2789</v>
      </c>
      <c r="R92" s="45" t="s">
        <v>272</v>
      </c>
      <c r="S92" s="45" t="s">
        <v>5699</v>
      </c>
      <c r="T92" s="45" t="s">
        <v>268</v>
      </c>
      <c r="U92" s="45" t="s">
        <v>5531</v>
      </c>
      <c r="X92" s="45" t="s">
        <v>5531</v>
      </c>
      <c r="Y92" s="45" t="s">
        <v>5713</v>
      </c>
      <c r="Z92" s="76">
        <f t="shared" ca="1" si="16"/>
        <v>0.21244212962968367</v>
      </c>
      <c r="AA92" s="75">
        <f t="shared" ca="1" si="17"/>
        <v>0.56651234567915643</v>
      </c>
      <c r="AB92" s="76">
        <f t="shared" ca="1" si="18"/>
        <v>0.21244212962968367</v>
      </c>
      <c r="AC92" s="75">
        <f t="shared" ca="1" si="19"/>
        <v>0.56651234567915643</v>
      </c>
      <c r="AD92" s="76">
        <f t="shared" ca="1" si="20"/>
        <v>1.4583333329937886E-2</v>
      </c>
      <c r="AE92" s="76">
        <f t="shared" ca="1" si="21"/>
        <v>0.21244212962968367</v>
      </c>
      <c r="AF92" s="75">
        <f t="shared" ca="1" si="22"/>
        <v>0.56651234567915643</v>
      </c>
      <c r="AG92" s="75">
        <f t="shared" ca="1" si="23"/>
        <v>0.56651234567915643</v>
      </c>
      <c r="AH92" s="31" t="str" cm="1">
        <f t="array" aca="1" ref="AH92" ca="1">IF((AD92) &lt; (INDEX(ResponseSLA[#All],(MATCH((G92),ResponseSLA[Priority],0))+1,3)),"YES","No")</f>
        <v>YES</v>
      </c>
      <c r="AI92" s="31" t="str">
        <f ca="1">_xlfn.IFNA(IF(AE92 &lt; (INDEX(SLATable[Minimum SLA],MATCH(G92,SLATable[Priority],0))),"YES","NO"),"")</f>
        <v>YES</v>
      </c>
      <c r="AJ92" t="str">
        <f ca="1">_xlfn.IFNA(IF(AE92 &lt; (INDEX(SLATable[Maximum SLA],MATCH(G92,SLATable[Priority],0))),"YES","NO"),"")</f>
        <v>YES</v>
      </c>
    </row>
    <row r="93" spans="1:36" ht="15" customHeight="1">
      <c r="A93" s="45">
        <v>92</v>
      </c>
      <c r="B93" s="45" t="s">
        <v>26</v>
      </c>
      <c r="C93" s="45" t="s">
        <v>44</v>
      </c>
      <c r="D93" s="45" t="s">
        <v>208</v>
      </c>
      <c r="E93" s="45" t="s">
        <v>5782</v>
      </c>
      <c r="F93" s="45" t="s">
        <v>312</v>
      </c>
      <c r="G93" s="45" t="s">
        <v>208</v>
      </c>
      <c r="H93" s="45" t="s">
        <v>5783</v>
      </c>
      <c r="I93" s="45" t="s">
        <v>275</v>
      </c>
      <c r="J93" s="45" t="s">
        <v>5391</v>
      </c>
      <c r="K93" s="47">
        <v>46157.437025462961</v>
      </c>
      <c r="L93" s="47">
        <v>46160.426469907405</v>
      </c>
      <c r="M93" s="47">
        <v>46160.478206018517</v>
      </c>
      <c r="N93" s="47">
        <v>46160.633472222224</v>
      </c>
      <c r="P93" s="47">
        <v>46160.633472222224</v>
      </c>
      <c r="Q93" s="45" t="s">
        <v>5784</v>
      </c>
      <c r="R93" s="45" t="s">
        <v>272</v>
      </c>
      <c r="S93" s="45" t="s">
        <v>5699</v>
      </c>
      <c r="T93" s="45" t="s">
        <v>268</v>
      </c>
      <c r="U93" s="45" t="s">
        <v>5531</v>
      </c>
      <c r="X93" s="45" t="s">
        <v>5531</v>
      </c>
      <c r="Y93" s="45" t="s">
        <v>5706</v>
      </c>
      <c r="Z93" s="76">
        <f t="shared" ca="1" si="16"/>
        <v>0.57144675926247146</v>
      </c>
      <c r="AA93" s="75">
        <f t="shared" ca="1" si="17"/>
        <v>1.5238580246999238</v>
      </c>
      <c r="AB93" s="76">
        <f t="shared" ca="1" si="18"/>
        <v>0.20700231481896481</v>
      </c>
      <c r="AC93" s="75">
        <f t="shared" ca="1" si="19"/>
        <v>0.55200617285057285</v>
      </c>
      <c r="AD93" s="76">
        <f t="shared" ca="1" si="20"/>
        <v>5.1736111112404615E-2</v>
      </c>
      <c r="AE93" s="76">
        <f t="shared" ca="1" si="21"/>
        <v>0.20700231481896481</v>
      </c>
      <c r="AF93" s="75">
        <f t="shared" ca="1" si="22"/>
        <v>0.55200617285057285</v>
      </c>
      <c r="AG93" s="75">
        <f t="shared" ca="1" si="23"/>
        <v>0.55200617285057285</v>
      </c>
      <c r="AH93" s="31" t="str" cm="1">
        <f t="array" aca="1" ref="AH93" ca="1">IF((AD93) &lt; (INDEX(ResponseSLA[#All],(MATCH((G93),ResponseSLA[Priority],0))+1,3)),"YES","No")</f>
        <v>YES</v>
      </c>
      <c r="AI93" s="31" t="str">
        <f ca="1">_xlfn.IFNA(IF(AE93 &lt; (INDEX(SLATable[Minimum SLA],MATCH(G93,SLATable[Priority],0))),"YES","NO"),"")</f>
        <v>YES</v>
      </c>
      <c r="AJ93" t="str">
        <f ca="1">_xlfn.IFNA(IF(AE93 &lt; (INDEX(SLATable[Maximum SLA],MATCH(G93,SLATable[Priority],0))),"YES","NO"),"")</f>
        <v>YES</v>
      </c>
    </row>
    <row r="94" spans="1:36" ht="15" customHeight="1">
      <c r="A94" s="45">
        <v>93</v>
      </c>
      <c r="B94" s="45" t="s">
        <v>26</v>
      </c>
      <c r="C94" s="45" t="s">
        <v>44</v>
      </c>
      <c r="D94" s="45" t="s">
        <v>208</v>
      </c>
      <c r="E94" s="45" t="s">
        <v>5785</v>
      </c>
      <c r="F94" s="45" t="s">
        <v>312</v>
      </c>
      <c r="G94" s="45" t="s">
        <v>208</v>
      </c>
      <c r="H94" s="45" t="s">
        <v>5786</v>
      </c>
      <c r="I94" s="45" t="s">
        <v>275</v>
      </c>
      <c r="J94" s="45" t="s">
        <v>5391</v>
      </c>
      <c r="K94" s="47">
        <v>46157.617847222224</v>
      </c>
      <c r="L94" s="47">
        <v>46157.617847222224</v>
      </c>
      <c r="M94" s="47">
        <v>46160.339398148149</v>
      </c>
      <c r="N94" s="47">
        <v>46163.341574074075</v>
      </c>
      <c r="P94" s="47">
        <v>46163.341574074075</v>
      </c>
      <c r="Q94" s="45" t="s">
        <v>5725</v>
      </c>
      <c r="R94" s="45" t="s">
        <v>5693</v>
      </c>
      <c r="S94" s="45" t="s">
        <v>175</v>
      </c>
      <c r="T94" s="45" t="s">
        <v>268</v>
      </c>
      <c r="U94" s="45" t="s">
        <v>5531</v>
      </c>
      <c r="X94" s="45" t="s">
        <v>5531</v>
      </c>
      <c r="Y94" s="45" t="s">
        <v>5726</v>
      </c>
      <c r="Z94" s="76">
        <f t="shared" ca="1" si="16"/>
        <v>1.2237268518510975</v>
      </c>
      <c r="AA94" s="75">
        <f t="shared" ca="1" si="17"/>
        <v>3.2632716049362602</v>
      </c>
      <c r="AB94" s="76">
        <f t="shared" ca="1" si="18"/>
        <v>1.2237268518510975</v>
      </c>
      <c r="AC94" s="75">
        <f t="shared" ca="1" si="19"/>
        <v>3.2632716049362602</v>
      </c>
      <c r="AD94" s="76">
        <f t="shared" ca="1" si="20"/>
        <v>9.6550925925839692E-2</v>
      </c>
      <c r="AE94" s="76">
        <f t="shared" ca="1" si="21"/>
        <v>1.2237268518510975</v>
      </c>
      <c r="AF94" s="75">
        <f t="shared" ca="1" si="22"/>
        <v>3.2632716049362602</v>
      </c>
      <c r="AG94" s="75">
        <f t="shared" ca="1" si="23"/>
        <v>3.2632716049362602</v>
      </c>
      <c r="AH94" s="31" t="str" cm="1">
        <f t="array" aca="1" ref="AH94" ca="1">IF((AD94) &lt; (INDEX(ResponseSLA[#All],(MATCH((G94),ResponseSLA[Priority],0))+1,3)),"YES","No")</f>
        <v>YES</v>
      </c>
      <c r="AI94" s="31" t="str">
        <f ca="1">_xlfn.IFNA(IF(AE94 &lt; (INDEX(SLATable[Minimum SLA],MATCH(G94,SLATable[Priority],0))),"YES","NO"),"")</f>
        <v>NO</v>
      </c>
      <c r="AJ94" t="str">
        <f ca="1">_xlfn.IFNA(IF(AE94 &lt; (INDEX(SLATable[Maximum SLA],MATCH(G94,SLATable[Priority],0))),"YES","NO"),"")</f>
        <v>NO</v>
      </c>
    </row>
    <row r="95" spans="1:36" ht="15" customHeight="1">
      <c r="A95" s="45">
        <v>94</v>
      </c>
      <c r="B95" s="45" t="s">
        <v>26</v>
      </c>
      <c r="C95" s="45" t="s">
        <v>44</v>
      </c>
      <c r="D95" s="45" t="s">
        <v>208</v>
      </c>
      <c r="E95" s="45" t="s">
        <v>5787</v>
      </c>
      <c r="F95" s="45" t="s">
        <v>312</v>
      </c>
      <c r="G95" s="45" t="s">
        <v>208</v>
      </c>
      <c r="H95" s="45" t="s">
        <v>5788</v>
      </c>
      <c r="I95" s="45" t="s">
        <v>271</v>
      </c>
      <c r="J95" s="45" t="s">
        <v>5391</v>
      </c>
      <c r="K95" s="47">
        <v>46157.724062499998</v>
      </c>
      <c r="L95" s="47">
        <v>46158.393796296295</v>
      </c>
      <c r="M95" s="47">
        <v>46160.342627314814</v>
      </c>
      <c r="N95" s="47">
        <v>46161.594814814816</v>
      </c>
      <c r="O95" s="47">
        <v>46160.615300925929</v>
      </c>
      <c r="P95" s="47">
        <v>46161.594814814816</v>
      </c>
      <c r="Q95" s="45" t="s">
        <v>3452</v>
      </c>
      <c r="R95" s="45" t="s">
        <v>272</v>
      </c>
      <c r="S95" s="45" t="s">
        <v>5699</v>
      </c>
      <c r="T95" s="45" t="s">
        <v>268</v>
      </c>
      <c r="U95" s="45" t="s">
        <v>5531</v>
      </c>
      <c r="X95" s="45" t="s">
        <v>5531</v>
      </c>
      <c r="Y95" s="45" t="s">
        <v>5789</v>
      </c>
      <c r="Z95" s="76">
        <f t="shared" ca="1" si="16"/>
        <v>0.28196759259541671</v>
      </c>
      <c r="AA95" s="75">
        <f t="shared" ca="1" si="17"/>
        <v>0.75191358025444455</v>
      </c>
      <c r="AB95" s="76">
        <f t="shared" ca="1" si="18"/>
        <v>0.28196759259541682</v>
      </c>
      <c r="AC95" s="75">
        <f t="shared" ca="1" si="19"/>
        <v>0.75191358025444488</v>
      </c>
      <c r="AD95" s="76">
        <f t="shared" ca="1" si="20"/>
        <v>0</v>
      </c>
      <c r="AE95" s="76">
        <f t="shared" ca="1" si="21"/>
        <v>0.28196759259541682</v>
      </c>
      <c r="AF95" s="75">
        <f t="shared" ca="1" si="22"/>
        <v>0.75191358025444488</v>
      </c>
      <c r="AG95" s="75">
        <f t="shared" ca="1" si="23"/>
        <v>0.75191358025444488</v>
      </c>
      <c r="AH95" s="31" t="str" cm="1">
        <f t="array" aca="1" ref="AH95" ca="1">IF((AD95) &lt; (INDEX(ResponseSLA[#All],(MATCH((G95),ResponseSLA[Priority],0))+1,3)),"YES","No")</f>
        <v>YES</v>
      </c>
      <c r="AI95" s="31" t="str">
        <f ca="1">_xlfn.IFNA(IF(AE95 &lt; (INDEX(SLATable[Minimum SLA],MATCH(G95,SLATable[Priority],0))),"YES","NO"),"")</f>
        <v>YES</v>
      </c>
      <c r="AJ95" t="str">
        <f ca="1">_xlfn.IFNA(IF(AE95 &lt; (INDEX(SLATable[Maximum SLA],MATCH(G95,SLATable[Priority],0))),"YES","NO"),"")</f>
        <v>YES</v>
      </c>
    </row>
    <row r="96" spans="1:36" ht="15" customHeight="1">
      <c r="A96" s="45">
        <v>95</v>
      </c>
      <c r="B96" s="45" t="s">
        <v>26</v>
      </c>
      <c r="C96" s="45" t="s">
        <v>44</v>
      </c>
      <c r="D96" s="45" t="s">
        <v>208</v>
      </c>
      <c r="E96" s="45" t="s">
        <v>5790</v>
      </c>
      <c r="F96" s="45" t="s">
        <v>312</v>
      </c>
      <c r="G96" s="45" t="s">
        <v>208</v>
      </c>
      <c r="H96" s="45" t="s">
        <v>5791</v>
      </c>
      <c r="I96" s="45" t="s">
        <v>271</v>
      </c>
      <c r="J96" s="45" t="s">
        <v>5391</v>
      </c>
      <c r="K96" s="47">
        <v>46160.547939814816</v>
      </c>
      <c r="L96" s="47">
        <v>46160.547939814816</v>
      </c>
      <c r="M96" s="47">
        <v>46160.552939814814</v>
      </c>
      <c r="N96" s="47">
        <v>46163.427476851852</v>
      </c>
      <c r="O96" s="47">
        <v>46160.619363425925</v>
      </c>
      <c r="P96" s="47">
        <v>46163.427476851852</v>
      </c>
      <c r="Q96" s="45" t="s">
        <v>3452</v>
      </c>
      <c r="R96" s="45" t="s">
        <v>272</v>
      </c>
      <c r="S96" s="45" t="s">
        <v>5699</v>
      </c>
      <c r="T96" s="45" t="s">
        <v>268</v>
      </c>
      <c r="U96" s="45" t="s">
        <v>5531</v>
      </c>
      <c r="X96" s="45" t="s">
        <v>5531</v>
      </c>
      <c r="Y96" s="45" t="s">
        <v>5792</v>
      </c>
      <c r="Z96" s="76">
        <f t="shared" ca="1" si="16"/>
        <v>7.1423611108912155E-2</v>
      </c>
      <c r="AA96" s="75">
        <f t="shared" ca="1" si="17"/>
        <v>0.19046296295709908</v>
      </c>
      <c r="AB96" s="76">
        <f t="shared" ca="1" si="18"/>
        <v>7.1423611108912155E-2</v>
      </c>
      <c r="AC96" s="75">
        <f t="shared" ca="1" si="19"/>
        <v>0.19046296295709908</v>
      </c>
      <c r="AD96" s="76">
        <f t="shared" ca="1" si="20"/>
        <v>4.9999999973806553E-3</v>
      </c>
      <c r="AE96" s="76">
        <f t="shared" ca="1" si="21"/>
        <v>7.1423611108912155E-2</v>
      </c>
      <c r="AF96" s="75">
        <f t="shared" ca="1" si="22"/>
        <v>0.19046296295709908</v>
      </c>
      <c r="AG96" s="75">
        <f t="shared" ca="1" si="23"/>
        <v>0.19046296295709908</v>
      </c>
      <c r="AH96" s="31" t="str" cm="1">
        <f t="array" aca="1" ref="AH96" ca="1">IF((AD96) &lt; (INDEX(ResponseSLA[#All],(MATCH((G96),ResponseSLA[Priority],0))+1,3)),"YES","No")</f>
        <v>YES</v>
      </c>
      <c r="AI96" s="31" t="str">
        <f ca="1">_xlfn.IFNA(IF(AE96 &lt; (INDEX(SLATable[Minimum SLA],MATCH(G96,SLATable[Priority],0))),"YES","NO"),"")</f>
        <v>YES</v>
      </c>
      <c r="AJ96" t="str">
        <f ca="1">_xlfn.IFNA(IF(AE96 &lt; (INDEX(SLATable[Maximum SLA],MATCH(G96,SLATable[Priority],0))),"YES","NO"),"")</f>
        <v>YES</v>
      </c>
    </row>
    <row r="97" spans="1:36" ht="15" customHeight="1">
      <c r="A97" s="45">
        <v>96</v>
      </c>
      <c r="B97" s="45" t="s">
        <v>26</v>
      </c>
      <c r="C97" s="45" t="s">
        <v>44</v>
      </c>
      <c r="D97" s="45" t="s">
        <v>207</v>
      </c>
      <c r="E97" s="45" t="s">
        <v>5793</v>
      </c>
      <c r="F97" s="45" t="s">
        <v>312</v>
      </c>
      <c r="G97" s="45">
        <v>3</v>
      </c>
      <c r="H97" s="45" t="s">
        <v>5794</v>
      </c>
      <c r="I97" s="45" t="s">
        <v>275</v>
      </c>
      <c r="J97" s="45" t="s">
        <v>5391</v>
      </c>
      <c r="K97" s="47">
        <v>46160.547858796293</v>
      </c>
      <c r="L97" s="47">
        <v>46160.561215277776</v>
      </c>
      <c r="M97" s="47">
        <v>46160.568923611114</v>
      </c>
      <c r="N97" s="47">
        <v>46161.586562500001</v>
      </c>
      <c r="O97" s="47">
        <v>46160.584039351852</v>
      </c>
      <c r="P97" s="47">
        <v>46161.586562500001</v>
      </c>
      <c r="Q97" s="45" t="s">
        <v>3452</v>
      </c>
      <c r="R97" s="45" t="s">
        <v>272</v>
      </c>
      <c r="S97" s="45" t="s">
        <v>5699</v>
      </c>
      <c r="T97" s="45" t="s">
        <v>268</v>
      </c>
      <c r="U97" s="45" t="s">
        <v>5531</v>
      </c>
      <c r="X97" s="45" t="s">
        <v>5531</v>
      </c>
      <c r="Y97" s="45" t="s">
        <v>5795</v>
      </c>
      <c r="Z97" s="76">
        <f t="shared" ca="1" si="16"/>
        <v>3.6180555558530614E-2</v>
      </c>
      <c r="AA97" s="75">
        <f t="shared" ca="1" si="17"/>
        <v>9.6481481489414975E-2</v>
      </c>
      <c r="AB97" s="76">
        <f t="shared" ca="1" si="18"/>
        <v>2.2824074076197576E-2</v>
      </c>
      <c r="AC97" s="75">
        <f t="shared" ca="1" si="19"/>
        <v>6.0864197536526866E-2</v>
      </c>
      <c r="AD97" s="76">
        <f t="shared" ca="1" si="20"/>
        <v>7.708333338086959E-3</v>
      </c>
      <c r="AE97" s="76">
        <f t="shared" ca="1" si="21"/>
        <v>2.2824074076197576E-2</v>
      </c>
      <c r="AF97" s="75">
        <f t="shared" ca="1" si="22"/>
        <v>6.0864197536526866E-2</v>
      </c>
      <c r="AG97" s="75">
        <f t="shared" ca="1" si="23"/>
        <v>6.0864197536526866E-2</v>
      </c>
      <c r="AH97" s="31" t="str" cm="1">
        <f t="array" aca="1" ref="AH97" ca="1">IF((AD97) &lt; (INDEX(ResponseSLA[#All],(MATCH((G97),ResponseSLA[Priority],0))+1,3)),"YES","No")</f>
        <v>YES</v>
      </c>
      <c r="AI97" s="31" t="str">
        <f ca="1">_xlfn.IFNA(IF(AE97 &lt; (INDEX(SLATable[Minimum SLA],MATCH(G97,SLATable[Priority],0))),"YES","NO"),"")</f>
        <v>YES</v>
      </c>
      <c r="AJ97" t="str">
        <f ca="1">_xlfn.IFNA(IF(AE97 &lt; (INDEX(SLATable[Maximum SLA],MATCH(G97,SLATable[Priority],0))),"YES","NO"),"")</f>
        <v>YES</v>
      </c>
    </row>
    <row r="98" spans="1:36" ht="15" customHeight="1">
      <c r="A98" s="45">
        <v>97</v>
      </c>
      <c r="B98" s="45" t="s">
        <v>26</v>
      </c>
      <c r="C98" s="45" t="s">
        <v>44</v>
      </c>
      <c r="D98" s="45" t="s">
        <v>207</v>
      </c>
      <c r="E98" s="45" t="s">
        <v>5796</v>
      </c>
      <c r="F98" s="45" t="s">
        <v>312</v>
      </c>
      <c r="G98" s="45">
        <v>4</v>
      </c>
      <c r="H98" s="45" t="s">
        <v>5797</v>
      </c>
      <c r="I98" s="45" t="s">
        <v>271</v>
      </c>
      <c r="J98" s="45" t="s">
        <v>5391</v>
      </c>
      <c r="K98" s="47">
        <v>46157.48946759259</v>
      </c>
      <c r="L98" s="47">
        <v>46157.491388888891</v>
      </c>
      <c r="M98" s="47">
        <v>46157.50136574074</v>
      </c>
      <c r="N98" s="47">
        <v>46162.602465277778</v>
      </c>
      <c r="O98" s="47">
        <v>46160.369201388887</v>
      </c>
      <c r="P98" s="47">
        <v>46162.602465277778</v>
      </c>
      <c r="Q98" s="45" t="s">
        <v>2789</v>
      </c>
      <c r="R98" s="45" t="s">
        <v>272</v>
      </c>
      <c r="S98" s="45" t="s">
        <v>5699</v>
      </c>
      <c r="T98" s="45" t="s">
        <v>268</v>
      </c>
      <c r="U98" s="45" t="s">
        <v>5531</v>
      </c>
      <c r="X98" s="45" t="s">
        <v>5531</v>
      </c>
      <c r="Y98" s="45" t="s">
        <v>5713</v>
      </c>
      <c r="Z98" s="76">
        <f t="shared" ca="1" si="16"/>
        <v>0.25473379629693249</v>
      </c>
      <c r="AA98" s="75">
        <f t="shared" ca="1" si="17"/>
        <v>0.67929012345848661</v>
      </c>
      <c r="AB98" s="76">
        <f t="shared" ca="1" si="18"/>
        <v>0.25281249999534361</v>
      </c>
      <c r="AC98" s="75">
        <f t="shared" ca="1" si="19"/>
        <v>0.67416666665424962</v>
      </c>
      <c r="AD98" s="76">
        <f t="shared" ca="1" si="20"/>
        <v>9.9768518484779634E-3</v>
      </c>
      <c r="AE98" s="76">
        <f t="shared" ca="1" si="21"/>
        <v>0.25281249999534361</v>
      </c>
      <c r="AF98" s="75">
        <f t="shared" ca="1" si="22"/>
        <v>0.67416666665424962</v>
      </c>
      <c r="AG98" s="75">
        <f t="shared" ca="1" si="23"/>
        <v>0.67416666665424962</v>
      </c>
      <c r="AH98" s="31" t="str" cm="1">
        <f t="array" aca="1" ref="AH98" ca="1">IF((AD98) &lt; (INDEX(ResponseSLA[#All],(MATCH((G98),ResponseSLA[Priority],0))+1,3)),"YES","No")</f>
        <v>YES</v>
      </c>
      <c r="AI98" s="31" t="str">
        <f ca="1">_xlfn.IFNA(IF(AE98 &lt; (INDEX(SLATable[Minimum SLA],MATCH(G98,SLATable[Priority],0))),"YES","NO"),"")</f>
        <v>YES</v>
      </c>
      <c r="AJ98" t="str">
        <f ca="1">_xlfn.IFNA(IF(AE98 &lt; (INDEX(SLATable[Maximum SLA],MATCH(G98,SLATable[Priority],0))),"YES","NO"),"")</f>
        <v>YES</v>
      </c>
    </row>
    <row r="99" spans="1:36" ht="15" customHeight="1">
      <c r="A99" s="45">
        <v>98</v>
      </c>
      <c r="B99" s="45" t="s">
        <v>26</v>
      </c>
      <c r="C99" s="45" t="s">
        <v>44</v>
      </c>
      <c r="D99" s="45" t="s">
        <v>207</v>
      </c>
      <c r="E99" s="45" t="s">
        <v>5798</v>
      </c>
      <c r="F99" s="45" t="s">
        <v>312</v>
      </c>
      <c r="G99" s="45">
        <v>4</v>
      </c>
      <c r="H99" s="45" t="s">
        <v>5799</v>
      </c>
      <c r="I99" s="45" t="s">
        <v>271</v>
      </c>
      <c r="J99" s="45" t="s">
        <v>5391</v>
      </c>
      <c r="K99" s="47">
        <v>46160.35361111111</v>
      </c>
      <c r="L99" s="47">
        <v>46160.35361111111</v>
      </c>
      <c r="M99" s="47">
        <v>46160.385023148148</v>
      </c>
      <c r="N99" s="47">
        <v>46162.289502314816</v>
      </c>
      <c r="O99" s="47">
        <v>46160.581261574072</v>
      </c>
      <c r="P99" s="47">
        <v>46162.289502314816</v>
      </c>
      <c r="Q99" s="45" t="s">
        <v>2789</v>
      </c>
      <c r="R99" s="45" t="s">
        <v>272</v>
      </c>
      <c r="S99" s="45" t="s">
        <v>5699</v>
      </c>
      <c r="T99" s="45" t="s">
        <v>268</v>
      </c>
      <c r="U99" s="45" t="s">
        <v>5531</v>
      </c>
      <c r="X99" s="45" t="s">
        <v>5531</v>
      </c>
      <c r="Y99" s="45" t="s">
        <v>5713</v>
      </c>
      <c r="Z99" s="76">
        <f t="shared" ca="1" si="16"/>
        <v>0.22765046296262881</v>
      </c>
      <c r="AA99" s="75">
        <f t="shared" ca="1" si="17"/>
        <v>0.60706790123367682</v>
      </c>
      <c r="AB99" s="76">
        <f t="shared" ca="1" si="18"/>
        <v>0.22765046296262881</v>
      </c>
      <c r="AC99" s="75">
        <f t="shared" ca="1" si="19"/>
        <v>0.60706790123367682</v>
      </c>
      <c r="AD99" s="76">
        <f t="shared" ca="1" si="20"/>
        <v>3.1412037038535345E-2</v>
      </c>
      <c r="AE99" s="76">
        <f t="shared" ca="1" si="21"/>
        <v>0.22765046296262881</v>
      </c>
      <c r="AF99" s="75">
        <f t="shared" ca="1" si="22"/>
        <v>0.60706790123367682</v>
      </c>
      <c r="AG99" s="75">
        <f t="shared" ca="1" si="23"/>
        <v>0.60706790123367682</v>
      </c>
      <c r="AH99" s="31" t="str" cm="1">
        <f t="array" aca="1" ref="AH99" ca="1">IF((AD99) &lt; (INDEX(ResponseSLA[#All],(MATCH((G99),ResponseSLA[Priority],0))+1,3)),"YES","No")</f>
        <v>YES</v>
      </c>
      <c r="AI99" s="31" t="str">
        <f ca="1">_xlfn.IFNA(IF(AE99 &lt; (INDEX(SLATable[Minimum SLA],MATCH(G99,SLATable[Priority],0))),"YES","NO"),"")</f>
        <v>YES</v>
      </c>
      <c r="AJ99" t="str">
        <f ca="1">_xlfn.IFNA(IF(AE99 &lt; (INDEX(SLATable[Maximum SLA],MATCH(G99,SLATable[Priority],0))),"YES","NO"),"")</f>
        <v>YES</v>
      </c>
    </row>
    <row r="100" spans="1:36" ht="15" customHeight="1">
      <c r="A100" s="45">
        <v>99</v>
      </c>
      <c r="B100" s="45" t="s">
        <v>26</v>
      </c>
      <c r="C100" s="45" t="s">
        <v>44</v>
      </c>
      <c r="D100" s="45" t="s">
        <v>207</v>
      </c>
      <c r="E100" s="45" t="s">
        <v>5800</v>
      </c>
      <c r="F100" s="45" t="s">
        <v>312</v>
      </c>
      <c r="G100" s="45">
        <v>3</v>
      </c>
      <c r="H100" s="45" t="s">
        <v>5801</v>
      </c>
      <c r="I100" s="45" t="s">
        <v>271</v>
      </c>
      <c r="J100" s="45" t="s">
        <v>5391</v>
      </c>
      <c r="K100" s="47">
        <v>46150.453321759262</v>
      </c>
      <c r="L100" s="47">
        <v>46157.513715277775</v>
      </c>
      <c r="M100" s="47">
        <v>46157.538900462961</v>
      </c>
      <c r="N100" s="47">
        <v>46165.301006944443</v>
      </c>
      <c r="O100" s="47">
        <v>46160.357766203706</v>
      </c>
      <c r="P100" s="47">
        <v>46165.301006944443</v>
      </c>
      <c r="Q100" s="45" t="s">
        <v>5534</v>
      </c>
      <c r="R100" s="45" t="s">
        <v>272</v>
      </c>
      <c r="S100" s="45" t="s">
        <v>5699</v>
      </c>
      <c r="T100" s="45" t="s">
        <v>268</v>
      </c>
      <c r="U100" s="45" t="s">
        <v>5531</v>
      </c>
      <c r="X100" s="45" t="s">
        <v>5531</v>
      </c>
      <c r="Y100" s="45" t="s">
        <v>5802</v>
      </c>
      <c r="Z100" s="76">
        <f t="shared" ca="1" si="16"/>
        <v>2.1544444444443802</v>
      </c>
      <c r="AA100" s="75">
        <f t="shared" ca="1" si="17"/>
        <v>5.7451851851850142</v>
      </c>
      <c r="AB100" s="76">
        <f t="shared" ca="1" si="18"/>
        <v>0.21905092593078734</v>
      </c>
      <c r="AC100" s="75">
        <f t="shared" ca="1" si="19"/>
        <v>0.58413580248209962</v>
      </c>
      <c r="AD100" s="76">
        <f t="shared" ca="1" si="20"/>
        <v>2.5185185186273884E-2</v>
      </c>
      <c r="AE100" s="76">
        <f t="shared" ca="1" si="21"/>
        <v>0.21905092593078734</v>
      </c>
      <c r="AF100" s="75">
        <f t="shared" ca="1" si="22"/>
        <v>0.58413580248209962</v>
      </c>
      <c r="AG100" s="75">
        <f t="shared" ca="1" si="23"/>
        <v>0.58413580248209962</v>
      </c>
      <c r="AH100" s="31" t="str" cm="1">
        <f t="array" aca="1" ref="AH100" ca="1">IF((AD100) &lt; (INDEX(ResponseSLA[#All],(MATCH((G100),ResponseSLA[Priority],0))+1,3)),"YES","No")</f>
        <v>YES</v>
      </c>
      <c r="AI100" s="31" t="str">
        <f ca="1">_xlfn.IFNA(IF(AE100 &lt; (INDEX(SLATable[Minimum SLA],MATCH(G100,SLATable[Priority],0))),"YES","NO"),"")</f>
        <v>YES</v>
      </c>
      <c r="AJ100" t="str">
        <f ca="1">_xlfn.IFNA(IF(AE100 &lt; (INDEX(SLATable[Maximum SLA],MATCH(G100,SLATable[Priority],0))),"YES","NO"),"")</f>
        <v>YES</v>
      </c>
    </row>
    <row r="101" spans="1:36" ht="15" customHeight="1">
      <c r="A101" s="45">
        <v>100</v>
      </c>
      <c r="B101" s="45" t="s">
        <v>26</v>
      </c>
      <c r="C101" s="45" t="s">
        <v>44</v>
      </c>
      <c r="D101" s="45" t="s">
        <v>208</v>
      </c>
      <c r="E101" s="45" t="s">
        <v>5803</v>
      </c>
      <c r="F101" s="45" t="s">
        <v>312</v>
      </c>
      <c r="G101" s="45" t="s">
        <v>208</v>
      </c>
      <c r="H101" s="45" t="s">
        <v>5804</v>
      </c>
      <c r="I101" s="45" t="s">
        <v>275</v>
      </c>
      <c r="J101" s="45" t="s">
        <v>5391</v>
      </c>
      <c r="K101" s="47">
        <v>46159.744571759256</v>
      </c>
      <c r="L101" s="47">
        <v>46163.564652777779</v>
      </c>
      <c r="M101" s="47">
        <v>46163.651076388887</v>
      </c>
      <c r="N101" s="47">
        <v>46168.575856481482</v>
      </c>
      <c r="P101" s="47">
        <v>46168.575856481482</v>
      </c>
      <c r="Q101" s="45" t="s">
        <v>5534</v>
      </c>
      <c r="R101" s="45" t="s">
        <v>272</v>
      </c>
      <c r="S101" s="45" t="s">
        <v>5699</v>
      </c>
      <c r="T101" s="45" t="s">
        <v>268</v>
      </c>
      <c r="U101" s="45" t="s">
        <v>5531</v>
      </c>
      <c r="X101" s="45" t="s">
        <v>5531</v>
      </c>
      <c r="Y101" s="45" t="s">
        <v>5805</v>
      </c>
      <c r="Z101" s="76">
        <f t="shared" ca="1" si="16"/>
        <v>2.1175231481489996</v>
      </c>
      <c r="AA101" s="75">
        <f t="shared" ca="1" si="17"/>
        <v>5.6467283950639988</v>
      </c>
      <c r="AB101" s="76">
        <f t="shared" ca="1" si="18"/>
        <v>0.76120370370335877</v>
      </c>
      <c r="AC101" s="75">
        <f t="shared" ca="1" si="19"/>
        <v>2.0298765432089567</v>
      </c>
      <c r="AD101" s="76">
        <f t="shared" ca="1" si="20"/>
        <v>8.6423611108330078E-2</v>
      </c>
      <c r="AE101" s="76">
        <f t="shared" ca="1" si="21"/>
        <v>0.76120370370335877</v>
      </c>
      <c r="AF101" s="75">
        <f t="shared" ca="1" si="22"/>
        <v>2.0298765432089567</v>
      </c>
      <c r="AG101" s="75">
        <f t="shared" ca="1" si="23"/>
        <v>2.0298765432089567</v>
      </c>
      <c r="AH101" s="31" t="str" cm="1">
        <f t="array" aca="1" ref="AH101" ca="1">IF((AD101) &lt; (INDEX(ResponseSLA[#All],(MATCH((G101),ResponseSLA[Priority],0))+1,3)),"YES","No")</f>
        <v>YES</v>
      </c>
      <c r="AI101" s="31" t="str">
        <f ca="1">_xlfn.IFNA(IF(AE101 &lt; (INDEX(SLATable[Minimum SLA],MATCH(G101,SLATable[Priority],0))),"YES","NO"),"")</f>
        <v>NO</v>
      </c>
      <c r="AJ101" t="str">
        <f ca="1">_xlfn.IFNA(IF(AE101 &lt; (INDEX(SLATable[Maximum SLA],MATCH(G101,SLATable[Priority],0))),"YES","NO"),"")</f>
        <v>NO</v>
      </c>
    </row>
    <row r="102" spans="1:36" ht="15" customHeight="1">
      <c r="A102" s="45">
        <v>101</v>
      </c>
      <c r="B102" s="45" t="s">
        <v>26</v>
      </c>
      <c r="C102" s="45" t="s">
        <v>44</v>
      </c>
      <c r="D102" s="45" t="s">
        <v>208</v>
      </c>
      <c r="E102" s="45" t="s">
        <v>5806</v>
      </c>
      <c r="F102" s="45" t="s">
        <v>312</v>
      </c>
      <c r="G102" s="45" t="s">
        <v>208</v>
      </c>
      <c r="H102" s="45" t="s">
        <v>5807</v>
      </c>
      <c r="I102" s="45" t="s">
        <v>271</v>
      </c>
      <c r="J102" s="45" t="s">
        <v>5391</v>
      </c>
      <c r="K102" s="47">
        <v>46160.388726851852</v>
      </c>
      <c r="L102" s="47">
        <v>46160.641793981478</v>
      </c>
      <c r="M102" s="47">
        <v>46161.332326388889</v>
      </c>
      <c r="N102" s="47">
        <v>46167.358981481484</v>
      </c>
      <c r="O102" s="47">
        <v>46161.597384259258</v>
      </c>
      <c r="P102" s="47">
        <v>46167.358981481484</v>
      </c>
      <c r="Q102" s="45" t="s">
        <v>2789</v>
      </c>
      <c r="R102" s="45" t="s">
        <v>272</v>
      </c>
      <c r="S102" s="45" t="s">
        <v>5699</v>
      </c>
      <c r="T102" s="45" t="s">
        <v>268</v>
      </c>
      <c r="U102" s="45" t="s">
        <v>5531</v>
      </c>
      <c r="X102" s="45" t="s">
        <v>5531</v>
      </c>
      <c r="Y102" s="45" t="s">
        <v>5713</v>
      </c>
      <c r="Z102" s="76">
        <f t="shared" ca="1" si="16"/>
        <v>0.58365740740555339</v>
      </c>
      <c r="AA102" s="75">
        <f t="shared" ca="1" si="17"/>
        <v>1.5564197530814756</v>
      </c>
      <c r="AB102" s="76">
        <f t="shared" ca="1" si="18"/>
        <v>0.33059027777926531</v>
      </c>
      <c r="AC102" s="75">
        <f t="shared" ca="1" si="19"/>
        <v>0.88157407407804078</v>
      </c>
      <c r="AD102" s="76">
        <f t="shared" ca="1" si="20"/>
        <v>6.6539351855074869E-2</v>
      </c>
      <c r="AE102" s="76">
        <f t="shared" ca="1" si="21"/>
        <v>0.33059027777926531</v>
      </c>
      <c r="AF102" s="75">
        <f t="shared" ca="1" si="22"/>
        <v>0.88157407407804078</v>
      </c>
      <c r="AG102" s="75">
        <f t="shared" ca="1" si="23"/>
        <v>0.88157407407804078</v>
      </c>
      <c r="AH102" s="31" t="str" cm="1">
        <f t="array" aca="1" ref="AH102" ca="1">IF((AD102) &lt; (INDEX(ResponseSLA[#All],(MATCH((G102),ResponseSLA[Priority],0))+1,3)),"YES","No")</f>
        <v>YES</v>
      </c>
      <c r="AI102" s="31" t="str">
        <f ca="1">_xlfn.IFNA(IF(AE102 &lt; (INDEX(SLATable[Minimum SLA],MATCH(G102,SLATable[Priority],0))),"YES","NO"),"")</f>
        <v>YES</v>
      </c>
      <c r="AJ102" t="str">
        <f ca="1">_xlfn.IFNA(IF(AE102 &lt; (INDEX(SLATable[Maximum SLA],MATCH(G102,SLATable[Priority],0))),"YES","NO"),"")</f>
        <v>YES</v>
      </c>
    </row>
    <row r="103" spans="1:36" ht="15" customHeight="1">
      <c r="A103" s="45">
        <v>102</v>
      </c>
      <c r="B103" s="45" t="s">
        <v>26</v>
      </c>
      <c r="C103" s="45" t="s">
        <v>44</v>
      </c>
      <c r="D103" s="45" t="s">
        <v>207</v>
      </c>
      <c r="E103" s="45" t="s">
        <v>5808</v>
      </c>
      <c r="F103" s="45" t="s">
        <v>312</v>
      </c>
      <c r="G103" s="45">
        <v>4</v>
      </c>
      <c r="H103" s="45" t="s">
        <v>5809</v>
      </c>
      <c r="I103" s="45" t="s">
        <v>271</v>
      </c>
      <c r="J103" s="45" t="s">
        <v>5391</v>
      </c>
      <c r="K103" s="47">
        <v>46161.485277777778</v>
      </c>
      <c r="L103" s="47">
        <v>46161.489317129628</v>
      </c>
      <c r="M103" s="47">
        <v>46161.523969907408</v>
      </c>
      <c r="N103" s="47">
        <v>46163.371064814812</v>
      </c>
      <c r="O103" s="47">
        <v>46161.593842592592</v>
      </c>
      <c r="P103" s="47">
        <v>46163.371064814812</v>
      </c>
      <c r="Q103" s="45" t="s">
        <v>2789</v>
      </c>
      <c r="R103" s="45" t="s">
        <v>272</v>
      </c>
      <c r="S103" s="45" t="s">
        <v>5699</v>
      </c>
      <c r="T103" s="45" t="s">
        <v>268</v>
      </c>
      <c r="U103" s="45" t="s">
        <v>5531</v>
      </c>
      <c r="X103" s="45" t="s">
        <v>5531</v>
      </c>
      <c r="Y103" s="45" t="s">
        <v>5713</v>
      </c>
      <c r="Z103" s="76">
        <f t="shared" ca="1" si="16"/>
        <v>0.10856481481459923</v>
      </c>
      <c r="AA103" s="75">
        <f t="shared" ca="1" si="17"/>
        <v>0.28950617283893126</v>
      </c>
      <c r="AB103" s="76">
        <f t="shared" ca="1" si="18"/>
        <v>0.10452546296437504</v>
      </c>
      <c r="AC103" s="75">
        <f t="shared" ca="1" si="19"/>
        <v>0.27873456790500012</v>
      </c>
      <c r="AD103" s="76">
        <f t="shared" ca="1" si="20"/>
        <v>3.4652777780138422E-2</v>
      </c>
      <c r="AE103" s="76">
        <f t="shared" ca="1" si="21"/>
        <v>0.10452546296437504</v>
      </c>
      <c r="AF103" s="75">
        <f t="shared" ca="1" si="22"/>
        <v>0.27873456790500012</v>
      </c>
      <c r="AG103" s="75">
        <f t="shared" ca="1" si="23"/>
        <v>0.27873456790500012</v>
      </c>
      <c r="AH103" s="31" t="str" cm="1">
        <f t="array" aca="1" ref="AH103" ca="1">IF((AD103) &lt; (INDEX(ResponseSLA[#All],(MATCH((G103),ResponseSLA[Priority],0))+1,3)),"YES","No")</f>
        <v>YES</v>
      </c>
      <c r="AI103" s="31" t="str">
        <f ca="1">_xlfn.IFNA(IF(AE103 &lt; (INDEX(SLATable[Minimum SLA],MATCH(G103,SLATable[Priority],0))),"YES","NO"),"")</f>
        <v>YES</v>
      </c>
      <c r="AJ103" t="str">
        <f ca="1">_xlfn.IFNA(IF(AE103 &lt; (INDEX(SLATable[Maximum SLA],MATCH(G103,SLATable[Priority],0))),"YES","NO"),"")</f>
        <v>YES</v>
      </c>
    </row>
    <row r="104" spans="1:36" ht="15" customHeight="1">
      <c r="A104" s="45">
        <v>103</v>
      </c>
      <c r="B104" s="45" t="s">
        <v>26</v>
      </c>
      <c r="C104" s="45" t="s">
        <v>44</v>
      </c>
      <c r="D104" s="45" t="s">
        <v>208</v>
      </c>
      <c r="E104" s="45" t="s">
        <v>5810</v>
      </c>
      <c r="F104" s="45" t="s">
        <v>312</v>
      </c>
      <c r="G104" s="45" t="s">
        <v>208</v>
      </c>
      <c r="H104" s="45" t="s">
        <v>5811</v>
      </c>
      <c r="I104" s="45" t="s">
        <v>275</v>
      </c>
      <c r="J104" s="45" t="s">
        <v>5391</v>
      </c>
      <c r="K104" s="47">
        <v>46161.388599537036</v>
      </c>
      <c r="L104" s="47">
        <v>46161.418240740742</v>
      </c>
      <c r="M104" s="47">
        <v>46161.546643518515</v>
      </c>
      <c r="N104" s="47">
        <v>46162.416273148148</v>
      </c>
      <c r="P104" s="47">
        <v>46162.416273148148</v>
      </c>
      <c r="Q104" s="45" t="s">
        <v>5725</v>
      </c>
      <c r="R104" s="45" t="s">
        <v>5693</v>
      </c>
      <c r="S104" s="45" t="s">
        <v>175</v>
      </c>
      <c r="T104" s="45" t="s">
        <v>268</v>
      </c>
      <c r="U104" s="45" t="s">
        <v>5531</v>
      </c>
      <c r="X104" s="45" t="s">
        <v>5531</v>
      </c>
      <c r="Y104" s="45" t="s">
        <v>5726</v>
      </c>
      <c r="Z104" s="76">
        <f t="shared" ca="1" si="16"/>
        <v>0.40267361111182254</v>
      </c>
      <c r="AA104" s="75">
        <f t="shared" ca="1" si="17"/>
        <v>1.0737962962981935</v>
      </c>
      <c r="AB104" s="76">
        <f t="shared" ca="1" si="18"/>
        <v>0.37303240740584442</v>
      </c>
      <c r="AC104" s="75">
        <f t="shared" ca="1" si="19"/>
        <v>0.99475308641558513</v>
      </c>
      <c r="AD104" s="76">
        <f t="shared" ca="1" si="20"/>
        <v>0.12840277777286246</v>
      </c>
      <c r="AE104" s="76">
        <f t="shared" ca="1" si="21"/>
        <v>0.37303240740584442</v>
      </c>
      <c r="AF104" s="75">
        <f t="shared" ca="1" si="22"/>
        <v>0.99475308641558513</v>
      </c>
      <c r="AG104" s="75">
        <f t="shared" ca="1" si="23"/>
        <v>0.99475308641558513</v>
      </c>
      <c r="AH104" s="31" t="str" cm="1">
        <f t="array" aca="1" ref="AH104" ca="1">IF((AD104) &lt; (INDEX(ResponseSLA[#All],(MATCH((G104),ResponseSLA[Priority],0))+1,3)),"YES","No")</f>
        <v>YES</v>
      </c>
      <c r="AI104" s="31" t="str">
        <f ca="1">_xlfn.IFNA(IF(AE104 &lt; (INDEX(SLATable[Minimum SLA],MATCH(G104,SLATable[Priority],0))),"YES","NO"),"")</f>
        <v>YES</v>
      </c>
      <c r="AJ104" t="str">
        <f ca="1">_xlfn.IFNA(IF(AE104 &lt; (INDEX(SLATable[Maximum SLA],MATCH(G104,SLATable[Priority],0))),"YES","NO"),"")</f>
        <v>YES</v>
      </c>
    </row>
    <row r="105" spans="1:36" ht="15" customHeight="1">
      <c r="A105" s="45">
        <v>104</v>
      </c>
      <c r="B105" s="45" t="s">
        <v>26</v>
      </c>
      <c r="C105" s="45" t="s">
        <v>44</v>
      </c>
      <c r="D105" s="45" t="s">
        <v>207</v>
      </c>
      <c r="E105" s="45" t="s">
        <v>5812</v>
      </c>
      <c r="F105" s="45" t="s">
        <v>312</v>
      </c>
      <c r="G105" s="45">
        <v>4</v>
      </c>
      <c r="H105" s="45" t="s">
        <v>5813</v>
      </c>
      <c r="I105" s="45" t="s">
        <v>275</v>
      </c>
      <c r="J105" s="45" t="s">
        <v>5391</v>
      </c>
      <c r="K105" s="47">
        <v>46161.470416666663</v>
      </c>
      <c r="L105" s="47">
        <v>46162.702106481483</v>
      </c>
      <c r="M105" s="47">
        <v>46163.294733796298</v>
      </c>
      <c r="N105" s="47">
        <v>46163.294733796298</v>
      </c>
      <c r="P105" s="47">
        <v>46163.294733796298</v>
      </c>
      <c r="Q105" s="45" t="s">
        <v>2789</v>
      </c>
      <c r="R105" s="45" t="s">
        <v>272</v>
      </c>
      <c r="S105" s="45" t="s">
        <v>5699</v>
      </c>
      <c r="T105" s="45" t="s">
        <v>268</v>
      </c>
      <c r="U105" s="45" t="s">
        <v>5531</v>
      </c>
      <c r="X105" s="45" t="s">
        <v>5531</v>
      </c>
      <c r="Y105" s="45" t="s">
        <v>5765</v>
      </c>
      <c r="Z105" s="76">
        <f t="shared" ca="1" si="16"/>
        <v>0.61291666666996525</v>
      </c>
      <c r="AA105" s="75">
        <f t="shared" ca="1" si="17"/>
        <v>1.6344444444532407</v>
      </c>
      <c r="AB105" s="76">
        <f t="shared" ca="1" si="18"/>
        <v>6.2268518498361791E-3</v>
      </c>
      <c r="AC105" s="75">
        <f t="shared" ca="1" si="19"/>
        <v>1.6604938266229812E-2</v>
      </c>
      <c r="AD105" s="76">
        <f t="shared" ca="1" si="20"/>
        <v>6.2268518498361791E-3</v>
      </c>
      <c r="AE105" s="76">
        <f t="shared" ca="1" si="21"/>
        <v>6.2268518498361791E-3</v>
      </c>
      <c r="AF105" s="75">
        <f t="shared" ca="1" si="22"/>
        <v>1.6604938266229812E-2</v>
      </c>
      <c r="AG105" s="75">
        <f t="shared" ca="1" si="23"/>
        <v>1.6604938266229812E-2</v>
      </c>
      <c r="AH105" s="31" t="str" cm="1">
        <f t="array" aca="1" ref="AH105" ca="1">IF((AD105) &lt; (INDEX(ResponseSLA[#All],(MATCH((G105),ResponseSLA[Priority],0))+1,3)),"YES","No")</f>
        <v>YES</v>
      </c>
      <c r="AI105" s="31" t="str">
        <f ca="1">_xlfn.IFNA(IF(AE105 &lt; (INDEX(SLATable[Minimum SLA],MATCH(G105,SLATable[Priority],0))),"YES","NO"),"")</f>
        <v>YES</v>
      </c>
      <c r="AJ105" t="str">
        <f ca="1">_xlfn.IFNA(IF(AE105 &lt; (INDEX(SLATable[Maximum SLA],MATCH(G105,SLATable[Priority],0))),"YES","NO"),"")</f>
        <v>YES</v>
      </c>
    </row>
    <row r="106" spans="1:36" ht="15" customHeight="1">
      <c r="A106" s="45">
        <v>105</v>
      </c>
      <c r="B106" s="45" t="s">
        <v>26</v>
      </c>
      <c r="C106" s="45" t="s">
        <v>44</v>
      </c>
      <c r="D106" s="45" t="s">
        <v>208</v>
      </c>
      <c r="E106" s="45" t="s">
        <v>5814</v>
      </c>
      <c r="F106" s="45" t="s">
        <v>312</v>
      </c>
      <c r="G106" s="45" t="s">
        <v>208</v>
      </c>
      <c r="H106" s="45" t="s">
        <v>5815</v>
      </c>
      <c r="I106" s="45" t="s">
        <v>275</v>
      </c>
      <c r="J106" s="45" t="s">
        <v>5391</v>
      </c>
      <c r="K106" s="47">
        <v>46163.628587962965</v>
      </c>
      <c r="L106" s="47">
        <v>46163.632743055554</v>
      </c>
      <c r="M106" s="47">
        <v>46163.641006944446</v>
      </c>
      <c r="N106" s="47">
        <v>46163.641342592593</v>
      </c>
      <c r="P106" s="47">
        <v>46163.641342592593</v>
      </c>
      <c r="Q106" s="45" t="s">
        <v>5725</v>
      </c>
      <c r="R106" s="45" t="s">
        <v>5693</v>
      </c>
      <c r="S106" s="45" t="s">
        <v>175</v>
      </c>
      <c r="T106" s="45" t="s">
        <v>268</v>
      </c>
      <c r="U106" s="45" t="s">
        <v>5531</v>
      </c>
      <c r="X106" s="45" t="s">
        <v>5531</v>
      </c>
      <c r="Y106" s="45" t="s">
        <v>5726</v>
      </c>
      <c r="Z106" s="76">
        <f t="shared" ca="1" si="16"/>
        <v>1.2754629628034309E-2</v>
      </c>
      <c r="AA106" s="75">
        <f t="shared" ca="1" si="17"/>
        <v>3.4012345674758158E-2</v>
      </c>
      <c r="AB106" s="76">
        <f t="shared" ca="1" si="18"/>
        <v>8.599537039117422E-3</v>
      </c>
      <c r="AC106" s="75">
        <f t="shared" ca="1" si="19"/>
        <v>2.2932098770979792E-2</v>
      </c>
      <c r="AD106" s="76">
        <f t="shared" ca="1" si="20"/>
        <v>8.2638888925430365E-3</v>
      </c>
      <c r="AE106" s="76">
        <f t="shared" ca="1" si="21"/>
        <v>8.599537039117422E-3</v>
      </c>
      <c r="AF106" s="75">
        <f t="shared" ca="1" si="22"/>
        <v>2.2932098770979792E-2</v>
      </c>
      <c r="AG106" s="75">
        <f t="shared" ca="1" si="23"/>
        <v>2.2932098770979792E-2</v>
      </c>
      <c r="AH106" s="31" t="str" cm="1">
        <f t="array" aca="1" ref="AH106" ca="1">IF((AD106) &lt; (INDEX(ResponseSLA[#All],(MATCH((G106),ResponseSLA[Priority],0))+1,3)),"YES","No")</f>
        <v>YES</v>
      </c>
      <c r="AI106" s="31" t="str">
        <f ca="1">_xlfn.IFNA(IF(AE106 &lt; (INDEX(SLATable[Minimum SLA],MATCH(G106,SLATable[Priority],0))),"YES","NO"),"")</f>
        <v>YES</v>
      </c>
      <c r="AJ106" t="str">
        <f ca="1">_xlfn.IFNA(IF(AE106 &lt; (INDEX(SLATable[Maximum SLA],MATCH(G106,SLATable[Priority],0))),"YES","NO"),"")</f>
        <v>YES</v>
      </c>
    </row>
    <row r="107" spans="1:36" ht="15" customHeight="1">
      <c r="A107" s="45">
        <v>106</v>
      </c>
      <c r="B107" s="45" t="s">
        <v>26</v>
      </c>
      <c r="C107" s="45" t="s">
        <v>44</v>
      </c>
      <c r="D107" s="45" t="s">
        <v>207</v>
      </c>
      <c r="E107" s="45" t="s">
        <v>5816</v>
      </c>
      <c r="F107" s="45" t="s">
        <v>312</v>
      </c>
      <c r="G107" s="45">
        <v>3</v>
      </c>
      <c r="H107" s="45" t="s">
        <v>5817</v>
      </c>
      <c r="I107" s="45" t="s">
        <v>275</v>
      </c>
      <c r="J107" s="45" t="s">
        <v>5391</v>
      </c>
      <c r="K107" s="47">
        <v>46165.400902777779</v>
      </c>
      <c r="L107" s="47">
        <v>46168.33384259259</v>
      </c>
      <c r="M107" s="47">
        <v>46168.33829861111</v>
      </c>
      <c r="N107" s="47">
        <v>46168.551527777781</v>
      </c>
      <c r="P107" s="47">
        <v>46168.551527777781</v>
      </c>
      <c r="Q107" s="45" t="s">
        <v>5818</v>
      </c>
      <c r="R107" s="45" t="s">
        <v>272</v>
      </c>
      <c r="S107" s="45" t="s">
        <v>5699</v>
      </c>
      <c r="T107" s="45" t="s">
        <v>268</v>
      </c>
      <c r="U107" s="45" t="s">
        <v>5531</v>
      </c>
      <c r="X107" s="45" t="s">
        <v>5531</v>
      </c>
      <c r="Y107" s="45" t="s">
        <v>5706</v>
      </c>
      <c r="Z107" s="76">
        <f t="shared" ca="1" si="16"/>
        <v>0.21819444444796926</v>
      </c>
      <c r="AA107" s="75">
        <f t="shared" ca="1" si="17"/>
        <v>0.58185185186125132</v>
      </c>
      <c r="AB107" s="76">
        <f t="shared" ca="1" si="18"/>
        <v>0.2176851851909305</v>
      </c>
      <c r="AC107" s="75">
        <f t="shared" ca="1" si="19"/>
        <v>0.58049382717581466</v>
      </c>
      <c r="AD107" s="76">
        <f t="shared" ca="1" si="20"/>
        <v>4.4560185197042301E-3</v>
      </c>
      <c r="AE107" s="76">
        <f t="shared" ca="1" si="21"/>
        <v>0.2176851851909305</v>
      </c>
      <c r="AF107" s="75">
        <f t="shared" ca="1" si="22"/>
        <v>0.58049382717581466</v>
      </c>
      <c r="AG107" s="75">
        <f t="shared" ca="1" si="23"/>
        <v>0.58049382717581466</v>
      </c>
      <c r="AH107" s="31" t="str" cm="1">
        <f t="array" aca="1" ref="AH107" ca="1">IF((AD107) &lt; (INDEX(ResponseSLA[#All],(MATCH((G107),ResponseSLA[Priority],0))+1,3)),"YES","No")</f>
        <v>YES</v>
      </c>
      <c r="AI107" s="31" t="str">
        <f ca="1">_xlfn.IFNA(IF(AE107 &lt; (INDEX(SLATable[Minimum SLA],MATCH(G107,SLATable[Priority],0))),"YES","NO"),"")</f>
        <v>YES</v>
      </c>
      <c r="AJ107" t="str">
        <f ca="1">_xlfn.IFNA(IF(AE107 &lt; (INDEX(SLATable[Maximum SLA],MATCH(G107,SLATable[Priority],0))),"YES","NO"),"")</f>
        <v>YES</v>
      </c>
    </row>
    <row r="108" spans="1:36" ht="15" customHeight="1">
      <c r="A108" s="45">
        <v>107</v>
      </c>
      <c r="B108" s="45" t="s">
        <v>26</v>
      </c>
      <c r="C108" s="45" t="s">
        <v>44</v>
      </c>
      <c r="D108" s="45" t="s">
        <v>207</v>
      </c>
      <c r="E108" s="45" t="s">
        <v>5819</v>
      </c>
      <c r="F108" s="45" t="s">
        <v>312</v>
      </c>
      <c r="G108" s="45">
        <v>4</v>
      </c>
      <c r="H108" s="45" t="s">
        <v>5820</v>
      </c>
      <c r="I108" s="45" t="s">
        <v>271</v>
      </c>
      <c r="J108" s="45" t="s">
        <v>5391</v>
      </c>
      <c r="K108" s="47">
        <v>46164.463703703703</v>
      </c>
      <c r="L108" s="47">
        <v>46168.497800925928</v>
      </c>
      <c r="M108" s="47">
        <v>46168.524537037039</v>
      </c>
      <c r="N108" s="47">
        <v>46170.285474537035</v>
      </c>
      <c r="O108" s="47">
        <v>46168.548611111109</v>
      </c>
      <c r="P108" s="47">
        <v>46170.285474537035</v>
      </c>
      <c r="Q108" s="45" t="s">
        <v>5534</v>
      </c>
      <c r="R108" s="45" t="s">
        <v>272</v>
      </c>
      <c r="S108" s="45" t="s">
        <v>5699</v>
      </c>
      <c r="T108" s="45" t="s">
        <v>268</v>
      </c>
      <c r="U108" s="45" t="s">
        <v>5531</v>
      </c>
      <c r="X108" s="45" t="s">
        <v>5531</v>
      </c>
      <c r="Y108" s="45" t="s">
        <v>5821</v>
      </c>
      <c r="Z108" s="76">
        <f t="shared" ca="1" si="16"/>
        <v>0.45990740740671754</v>
      </c>
      <c r="AA108" s="75">
        <f t="shared" ca="1" si="17"/>
        <v>1.2264197530845802</v>
      </c>
      <c r="AB108" s="76">
        <f t="shared" ca="1" si="18"/>
        <v>5.0810185181035195E-2</v>
      </c>
      <c r="AC108" s="75">
        <f t="shared" ca="1" si="19"/>
        <v>0.13549382714942718</v>
      </c>
      <c r="AD108" s="76">
        <f t="shared" ca="1" si="20"/>
        <v>2.6736111110949423E-2</v>
      </c>
      <c r="AE108" s="76">
        <f t="shared" ca="1" si="21"/>
        <v>5.0810185181035195E-2</v>
      </c>
      <c r="AF108" s="75">
        <f t="shared" ca="1" si="22"/>
        <v>0.13549382714942718</v>
      </c>
      <c r="AG108" s="75">
        <f t="shared" ca="1" si="23"/>
        <v>0.13549382714942718</v>
      </c>
      <c r="AH108" s="31" t="str" cm="1">
        <f t="array" aca="1" ref="AH108" ca="1">IF((AD108) &lt; (INDEX(ResponseSLA[#All],(MATCH((G108),ResponseSLA[Priority],0))+1,3)),"YES","No")</f>
        <v>YES</v>
      </c>
      <c r="AI108" s="31" t="str">
        <f ca="1">_xlfn.IFNA(IF(AE108 &lt; (INDEX(SLATable[Minimum SLA],MATCH(G108,SLATable[Priority],0))),"YES","NO"),"")</f>
        <v>YES</v>
      </c>
      <c r="AJ108" t="str">
        <f ca="1">_xlfn.IFNA(IF(AE108 &lt; (INDEX(SLATable[Maximum SLA],MATCH(G108,SLATable[Priority],0))),"YES","NO"),"")</f>
        <v>YES</v>
      </c>
    </row>
    <row r="109" spans="1:36" ht="15" customHeight="1">
      <c r="A109" s="45">
        <v>108</v>
      </c>
      <c r="B109" s="45" t="s">
        <v>26</v>
      </c>
      <c r="C109" s="45" t="s">
        <v>44</v>
      </c>
      <c r="D109" s="45" t="s">
        <v>207</v>
      </c>
      <c r="E109" s="45" t="s">
        <v>5822</v>
      </c>
      <c r="F109" s="45" t="s">
        <v>312</v>
      </c>
      <c r="G109" s="45">
        <v>4</v>
      </c>
      <c r="H109" s="45" t="s">
        <v>5823</v>
      </c>
      <c r="I109" s="45" t="s">
        <v>271</v>
      </c>
      <c r="J109" s="45" t="s">
        <v>5391</v>
      </c>
      <c r="K109" s="47">
        <v>46164.482708333337</v>
      </c>
      <c r="L109" s="47">
        <v>46164.486550925925</v>
      </c>
      <c r="M109" s="47">
        <v>46164.564699074072</v>
      </c>
      <c r="N109" s="47">
        <v>46170.284745370373</v>
      </c>
      <c r="O109" s="47">
        <v>46168.549826388888</v>
      </c>
      <c r="P109" s="47">
        <v>46170.284745370373</v>
      </c>
      <c r="Q109" s="45" t="s">
        <v>2789</v>
      </c>
      <c r="R109" s="45" t="s">
        <v>272</v>
      </c>
      <c r="S109" s="45" t="s">
        <v>5699</v>
      </c>
      <c r="T109" s="45" t="s">
        <v>268</v>
      </c>
      <c r="U109" s="45" t="s">
        <v>5531</v>
      </c>
      <c r="X109" s="45" t="s">
        <v>5531</v>
      </c>
      <c r="Y109" s="45" t="s">
        <v>5713</v>
      </c>
      <c r="Z109" s="76">
        <f t="shared" ca="1" si="16"/>
        <v>0.44211805555096362</v>
      </c>
      <c r="AA109" s="75">
        <f t="shared" ca="1" si="17"/>
        <v>1.1789814814692363</v>
      </c>
      <c r="AB109" s="76">
        <f t="shared" ca="1" si="18"/>
        <v>0.43827546296233777</v>
      </c>
      <c r="AC109" s="75">
        <f t="shared" ca="1" si="19"/>
        <v>1.1687345678995673</v>
      </c>
      <c r="AD109" s="76">
        <f t="shared" ca="1" si="20"/>
        <v>7.8148148146283347E-2</v>
      </c>
      <c r="AE109" s="76">
        <f t="shared" ca="1" si="21"/>
        <v>0.43827546296233777</v>
      </c>
      <c r="AF109" s="75">
        <f t="shared" ca="1" si="22"/>
        <v>1.1687345678995673</v>
      </c>
      <c r="AG109" s="75">
        <f t="shared" ca="1" si="23"/>
        <v>1.1687345678995673</v>
      </c>
      <c r="AH109" s="31" t="str" cm="1">
        <f t="array" aca="1" ref="AH109" ca="1">IF((AD109) &lt; (INDEX(ResponseSLA[#All],(MATCH((G109),ResponseSLA[Priority],0))+1,3)),"YES","No")</f>
        <v>YES</v>
      </c>
      <c r="AI109" s="31" t="str">
        <f ca="1">_xlfn.IFNA(IF(AE109 &lt; (INDEX(SLATable[Minimum SLA],MATCH(G109,SLATable[Priority],0))),"YES","NO"),"")</f>
        <v>YES</v>
      </c>
      <c r="AJ109" t="str">
        <f ca="1">_xlfn.IFNA(IF(AE109 &lt; (INDEX(SLATable[Maximum SLA],MATCH(G109,SLATable[Priority],0))),"YES","NO"),"")</f>
        <v>YES</v>
      </c>
    </row>
    <row r="110" spans="1:36" ht="15" customHeight="1">
      <c r="A110" s="45">
        <v>109</v>
      </c>
      <c r="B110" s="45" t="s">
        <v>26</v>
      </c>
      <c r="C110" s="45" t="s">
        <v>44</v>
      </c>
      <c r="D110" s="45" t="s">
        <v>207</v>
      </c>
      <c r="E110" s="45" t="s">
        <v>5824</v>
      </c>
      <c r="F110" s="45" t="s">
        <v>312</v>
      </c>
      <c r="G110" s="45">
        <v>4</v>
      </c>
      <c r="H110" s="45" t="s">
        <v>5825</v>
      </c>
      <c r="I110" s="45" t="s">
        <v>271</v>
      </c>
      <c r="J110" s="45" t="s">
        <v>5391</v>
      </c>
      <c r="K110" s="47">
        <v>46164.300706018519</v>
      </c>
      <c r="L110" s="47">
        <v>46164.304814814815</v>
      </c>
      <c r="M110" s="47">
        <v>46164.325833333336</v>
      </c>
      <c r="N110" s="47">
        <v>46169.330590277779</v>
      </c>
      <c r="O110" s="47">
        <v>46167.34684027778</v>
      </c>
      <c r="P110" s="47">
        <v>46169.330590277779</v>
      </c>
      <c r="Q110" s="45" t="s">
        <v>2789</v>
      </c>
      <c r="R110" s="45" t="s">
        <v>272</v>
      </c>
      <c r="S110" s="45" t="s">
        <v>5699</v>
      </c>
      <c r="T110" s="45" t="s">
        <v>268</v>
      </c>
      <c r="U110" s="45" t="s">
        <v>5531</v>
      </c>
      <c r="X110" s="45" t="s">
        <v>5531</v>
      </c>
      <c r="Y110" s="45" t="s">
        <v>5713</v>
      </c>
      <c r="Z110" s="76">
        <f t="shared" ca="1" si="16"/>
        <v>0.37500000000000017</v>
      </c>
      <c r="AA110" s="75">
        <f t="shared" ca="1" si="17"/>
        <v>1.0000000000000004</v>
      </c>
      <c r="AB110" s="76">
        <f t="shared" ca="1" si="18"/>
        <v>0.37500000000000017</v>
      </c>
      <c r="AC110" s="75">
        <f t="shared" ca="1" si="19"/>
        <v>1.0000000000000004</v>
      </c>
      <c r="AD110" s="76">
        <f t="shared" ca="1" si="20"/>
        <v>0</v>
      </c>
      <c r="AE110" s="76">
        <f t="shared" ca="1" si="21"/>
        <v>0.37500000000000017</v>
      </c>
      <c r="AF110" s="75">
        <f t="shared" ca="1" si="22"/>
        <v>1.0000000000000004</v>
      </c>
      <c r="AG110" s="75">
        <f t="shared" ca="1" si="23"/>
        <v>1.0000000000000004</v>
      </c>
      <c r="AH110" s="31" t="str" cm="1">
        <f t="array" aca="1" ref="AH110" ca="1">IF((AD110) &lt; (INDEX(ResponseSLA[#All],(MATCH((G110),ResponseSLA[Priority],0))+1,3)),"YES","No")</f>
        <v>YES</v>
      </c>
      <c r="AI110" s="31" t="str">
        <f ca="1">_xlfn.IFNA(IF(AE110 &lt; (INDEX(SLATable[Minimum SLA],MATCH(G110,SLATable[Priority],0))),"YES","NO"),"")</f>
        <v>YES</v>
      </c>
      <c r="AJ110" t="str">
        <f ca="1">_xlfn.IFNA(IF(AE110 &lt; (INDEX(SLATable[Maximum SLA],MATCH(G110,SLATable[Priority],0))),"YES","NO"),"")</f>
        <v>YES</v>
      </c>
    </row>
    <row r="111" spans="1:36" ht="15" customHeight="1">
      <c r="A111" s="45">
        <v>110</v>
      </c>
      <c r="B111" s="45" t="s">
        <v>26</v>
      </c>
      <c r="C111" s="45" t="s">
        <v>44</v>
      </c>
      <c r="D111" s="45" t="s">
        <v>208</v>
      </c>
      <c r="E111" s="45" t="s">
        <v>5826</v>
      </c>
      <c r="F111" s="45" t="s">
        <v>312</v>
      </c>
      <c r="G111" s="45" t="s">
        <v>208</v>
      </c>
      <c r="H111" s="45" t="s">
        <v>5827</v>
      </c>
      <c r="I111" s="45" t="s">
        <v>271</v>
      </c>
      <c r="J111" s="45" t="s">
        <v>5391</v>
      </c>
      <c r="K111" s="47">
        <v>46168.47965277778</v>
      </c>
      <c r="L111" s="47">
        <v>46168.48196759259</v>
      </c>
      <c r="M111" s="47">
        <v>46168.525208333333</v>
      </c>
      <c r="N111" s="47">
        <v>46171.367523148147</v>
      </c>
      <c r="O111" s="47">
        <v>46168.568240740744</v>
      </c>
      <c r="P111" s="47">
        <v>46171.367523148147</v>
      </c>
      <c r="Q111" s="45" t="s">
        <v>2789</v>
      </c>
      <c r="R111" s="45" t="s">
        <v>272</v>
      </c>
      <c r="S111" s="45" t="s">
        <v>5699</v>
      </c>
      <c r="T111" s="45" t="s">
        <v>268</v>
      </c>
      <c r="U111" s="45" t="s">
        <v>5531</v>
      </c>
      <c r="X111" s="45" t="s">
        <v>5531</v>
      </c>
      <c r="Y111" s="45" t="s">
        <v>5713</v>
      </c>
      <c r="Z111" s="76">
        <f t="shared" ca="1" si="16"/>
        <v>8.8587962964083999E-2</v>
      </c>
      <c r="AA111" s="75">
        <f t="shared" ca="1" si="17"/>
        <v>0.23623456790422401</v>
      </c>
      <c r="AB111" s="76">
        <f t="shared" ca="1" si="18"/>
        <v>8.6273148153850343E-2</v>
      </c>
      <c r="AC111" s="75">
        <f t="shared" ca="1" si="19"/>
        <v>0.23006172841026759</v>
      </c>
      <c r="AD111" s="76">
        <f t="shared" ca="1" si="20"/>
        <v>4.3240740742476191E-2</v>
      </c>
      <c r="AE111" s="76">
        <f t="shared" ca="1" si="21"/>
        <v>8.6273148153850343E-2</v>
      </c>
      <c r="AF111" s="75">
        <f t="shared" ca="1" si="22"/>
        <v>0.23006172841026759</v>
      </c>
      <c r="AG111" s="75">
        <f t="shared" ca="1" si="23"/>
        <v>0.23006172841026759</v>
      </c>
      <c r="AH111" s="31" t="str" cm="1">
        <f t="array" aca="1" ref="AH111" ca="1">IF((AD111) &lt; (INDEX(ResponseSLA[#All],(MATCH((G111),ResponseSLA[Priority],0))+1,3)),"YES","No")</f>
        <v>YES</v>
      </c>
      <c r="AI111" s="31" t="str">
        <f ca="1">_xlfn.IFNA(IF(AE111 &lt; (INDEX(SLATable[Minimum SLA],MATCH(G111,SLATable[Priority],0))),"YES","NO"),"")</f>
        <v>YES</v>
      </c>
      <c r="AJ111" t="str">
        <f ca="1">_xlfn.IFNA(IF(AE111 &lt; (INDEX(SLATable[Maximum SLA],MATCH(G111,SLATable[Priority],0))),"YES","NO"),"")</f>
        <v>YES</v>
      </c>
    </row>
    <row r="112" spans="1:36" ht="15" customHeight="1">
      <c r="A112" s="45">
        <v>111</v>
      </c>
      <c r="B112" s="45" t="s">
        <v>26</v>
      </c>
      <c r="C112" s="45" t="s">
        <v>44</v>
      </c>
      <c r="D112" s="45" t="s">
        <v>208</v>
      </c>
      <c r="E112" s="45" t="s">
        <v>5828</v>
      </c>
      <c r="F112" s="45" t="s">
        <v>312</v>
      </c>
      <c r="G112" s="45" t="s">
        <v>208</v>
      </c>
      <c r="H112" s="45" t="s">
        <v>5829</v>
      </c>
      <c r="I112" s="45" t="s">
        <v>271</v>
      </c>
      <c r="J112" s="45" t="s">
        <v>5391</v>
      </c>
      <c r="K112" s="47">
        <v>46163.461238425924</v>
      </c>
      <c r="L112" s="47">
        <v>46163.471516203703</v>
      </c>
      <c r="M112" s="47">
        <v>46163.475381944445</v>
      </c>
      <c r="N112" s="47">
        <v>46171.370671296296</v>
      </c>
      <c r="O112" s="47">
        <v>46168.561076388891</v>
      </c>
      <c r="P112" s="47">
        <v>46171.370671296296</v>
      </c>
      <c r="Q112" s="45" t="s">
        <v>2789</v>
      </c>
      <c r="R112" s="45" t="s">
        <v>272</v>
      </c>
      <c r="S112" s="45" t="s">
        <v>5699</v>
      </c>
      <c r="T112" s="45" t="s">
        <v>268</v>
      </c>
      <c r="U112" s="45" t="s">
        <v>5531</v>
      </c>
      <c r="X112" s="45" t="s">
        <v>5531</v>
      </c>
      <c r="Y112" s="45" t="s">
        <v>5713</v>
      </c>
      <c r="Z112" s="76">
        <f t="shared" ca="1" si="16"/>
        <v>0.8498379629672852</v>
      </c>
      <c r="AA112" s="75">
        <f t="shared" ca="1" si="17"/>
        <v>2.2662345679127602</v>
      </c>
      <c r="AB112" s="76">
        <f t="shared" ca="1" si="18"/>
        <v>0.83956018518801989</v>
      </c>
      <c r="AC112" s="75">
        <f t="shared" ca="1" si="19"/>
        <v>2.2388271605013861</v>
      </c>
      <c r="AD112" s="76">
        <f t="shared" ca="1" si="20"/>
        <v>3.8657407421851531E-3</v>
      </c>
      <c r="AE112" s="76">
        <f t="shared" ca="1" si="21"/>
        <v>0.83956018518801989</v>
      </c>
      <c r="AF112" s="75">
        <f t="shared" ca="1" si="22"/>
        <v>2.2388271605013861</v>
      </c>
      <c r="AG112" s="75">
        <f t="shared" ca="1" si="23"/>
        <v>2.2388271605013861</v>
      </c>
      <c r="AH112" s="31" t="str" cm="1">
        <f t="array" aca="1" ref="AH112" ca="1">IF((AD112) &lt; (INDEX(ResponseSLA[#All],(MATCH((G112),ResponseSLA[Priority],0))+1,3)),"YES","No")</f>
        <v>YES</v>
      </c>
      <c r="AI112" s="31" t="str">
        <f ca="1">_xlfn.IFNA(IF(AE112 &lt; (INDEX(SLATable[Minimum SLA],MATCH(G112,SLATable[Priority],0))),"YES","NO"),"")</f>
        <v>NO</v>
      </c>
      <c r="AJ112" t="str">
        <f ca="1">_xlfn.IFNA(IF(AE112 &lt; (INDEX(SLATable[Maximum SLA],MATCH(G112,SLATable[Priority],0))),"YES","NO"),"")</f>
        <v>NO</v>
      </c>
    </row>
    <row r="113" spans="1:36" ht="15" customHeight="1">
      <c r="A113" s="45">
        <v>112</v>
      </c>
      <c r="B113" s="45" t="s">
        <v>26</v>
      </c>
      <c r="C113" s="45" t="s">
        <v>44</v>
      </c>
      <c r="D113" s="45" t="s">
        <v>208</v>
      </c>
      <c r="E113" s="45" t="s">
        <v>5830</v>
      </c>
      <c r="F113" s="45" t="s">
        <v>312</v>
      </c>
      <c r="G113" s="45" t="s">
        <v>208</v>
      </c>
      <c r="H113" s="45" t="s">
        <v>5831</v>
      </c>
      <c r="I113" s="45" t="s">
        <v>275</v>
      </c>
      <c r="J113" s="45" t="s">
        <v>5391</v>
      </c>
      <c r="K113" s="47">
        <v>46160.813773148147</v>
      </c>
      <c r="L113" s="47">
        <v>46162.365555555552</v>
      </c>
      <c r="M113" s="47">
        <v>46162.650405092594</v>
      </c>
      <c r="N113" s="47">
        <v>46168.598958333336</v>
      </c>
      <c r="P113" s="47">
        <v>46168.598958333336</v>
      </c>
      <c r="Q113" s="45" t="s">
        <v>5725</v>
      </c>
      <c r="R113" s="45" t="s">
        <v>5693</v>
      </c>
      <c r="S113" s="45" t="s">
        <v>175</v>
      </c>
      <c r="T113" s="45" t="s">
        <v>268</v>
      </c>
      <c r="U113" s="45" t="s">
        <v>5531</v>
      </c>
      <c r="X113" s="45" t="s">
        <v>5531</v>
      </c>
      <c r="Y113" s="45" t="s">
        <v>5726</v>
      </c>
      <c r="Z113" s="76">
        <f t="shared" ca="1" si="16"/>
        <v>1.7656250000024252</v>
      </c>
      <c r="AA113" s="75">
        <f t="shared" ca="1" si="17"/>
        <v>4.7083333333398008</v>
      </c>
      <c r="AB113" s="76">
        <f t="shared" ca="1" si="18"/>
        <v>1.3584027777833401</v>
      </c>
      <c r="AC113" s="75">
        <f t="shared" ca="1" si="19"/>
        <v>3.6224074074222403</v>
      </c>
      <c r="AD113" s="76">
        <f t="shared" ca="1" si="20"/>
        <v>0.28484953704173677</v>
      </c>
      <c r="AE113" s="76">
        <f t="shared" ca="1" si="21"/>
        <v>1.3584027777833401</v>
      </c>
      <c r="AF113" s="75">
        <f t="shared" ca="1" si="22"/>
        <v>3.6224074074222403</v>
      </c>
      <c r="AG113" s="75">
        <f t="shared" ca="1" si="23"/>
        <v>3.6224074074222403</v>
      </c>
      <c r="AH113" s="31" t="str" cm="1">
        <f t="array" aca="1" ref="AH113" ca="1">IF((AD113) &lt; (INDEX(ResponseSLA[#All],(MATCH((G113),ResponseSLA[Priority],0))+1,3)),"YES","No")</f>
        <v>YES</v>
      </c>
      <c r="AI113" s="31" t="str">
        <f ca="1">_xlfn.IFNA(IF(AE113 &lt; (INDEX(SLATable[Minimum SLA],MATCH(G113,SLATable[Priority],0))),"YES","NO"),"")</f>
        <v>NO</v>
      </c>
      <c r="AJ113" t="str">
        <f ca="1">_xlfn.IFNA(IF(AE113 &lt; (INDEX(SLATable[Maximum SLA],MATCH(G113,SLATable[Priority],0))),"YES","NO"),"")</f>
        <v>NO</v>
      </c>
    </row>
    <row r="114" spans="1:36" ht="15" customHeight="1">
      <c r="A114" s="45">
        <v>113</v>
      </c>
      <c r="B114" s="45" t="s">
        <v>26</v>
      </c>
      <c r="C114" s="45" t="s">
        <v>44</v>
      </c>
      <c r="D114" s="45" t="s">
        <v>208</v>
      </c>
      <c r="E114" s="45" t="s">
        <v>5832</v>
      </c>
      <c r="F114" s="45" t="s">
        <v>312</v>
      </c>
      <c r="G114" s="45" t="s">
        <v>208</v>
      </c>
      <c r="H114" s="45" t="s">
        <v>5833</v>
      </c>
      <c r="I114" s="45" t="s">
        <v>271</v>
      </c>
      <c r="J114" s="45" t="s">
        <v>5391</v>
      </c>
      <c r="K114" s="47">
        <v>46164.432488425926</v>
      </c>
      <c r="L114" s="47">
        <v>46164.638333333336</v>
      </c>
      <c r="M114" s="47">
        <v>46167.280173611114</v>
      </c>
      <c r="N114" s="47">
        <v>46169.337777777779</v>
      </c>
      <c r="O114" s="47">
        <v>46167.368750000001</v>
      </c>
      <c r="P114" s="47">
        <v>46169.337777777779</v>
      </c>
      <c r="Q114" s="45" t="s">
        <v>5534</v>
      </c>
      <c r="R114" s="45" t="s">
        <v>272</v>
      </c>
      <c r="S114" s="45" t="s">
        <v>5699</v>
      </c>
      <c r="T114" s="45" t="s">
        <v>268</v>
      </c>
      <c r="U114" s="45" t="s">
        <v>5531</v>
      </c>
      <c r="X114" s="45" t="s">
        <v>5531</v>
      </c>
      <c r="Y114" s="45" t="s">
        <v>5834</v>
      </c>
      <c r="Z114" s="76">
        <f t="shared" ca="1" si="16"/>
        <v>0.27584490740749362</v>
      </c>
      <c r="AA114" s="75">
        <f t="shared" ca="1" si="17"/>
        <v>0.7355864197533164</v>
      </c>
      <c r="AB114" s="76">
        <f t="shared" ca="1" si="18"/>
        <v>6.9999999997283624E-2</v>
      </c>
      <c r="AC114" s="75">
        <f t="shared" ca="1" si="19"/>
        <v>0.186666666659423</v>
      </c>
      <c r="AD114" s="76">
        <f t="shared" ca="1" si="20"/>
        <v>0</v>
      </c>
      <c r="AE114" s="76">
        <f t="shared" ca="1" si="21"/>
        <v>6.9999999997283624E-2</v>
      </c>
      <c r="AF114" s="75">
        <f t="shared" ca="1" si="22"/>
        <v>0.186666666659423</v>
      </c>
      <c r="AG114" s="75">
        <f t="shared" ca="1" si="23"/>
        <v>0.186666666659423</v>
      </c>
      <c r="AH114" s="31" t="str" cm="1">
        <f t="array" aca="1" ref="AH114" ca="1">IF((AD114) &lt; (INDEX(ResponseSLA[#All],(MATCH((G114),ResponseSLA[Priority],0))+1,3)),"YES","No")</f>
        <v>YES</v>
      </c>
      <c r="AI114" s="31" t="str">
        <f ca="1">_xlfn.IFNA(IF(AE114 &lt; (INDEX(SLATable[Minimum SLA],MATCH(G114,SLATable[Priority],0))),"YES","NO"),"")</f>
        <v>YES</v>
      </c>
      <c r="AJ114" t="str">
        <f ca="1">_xlfn.IFNA(IF(AE114 &lt; (INDEX(SLATable[Maximum SLA],MATCH(G114,SLATable[Priority],0))),"YES","NO"),"")</f>
        <v>YES</v>
      </c>
    </row>
    <row r="115" spans="1:36" ht="15" customHeight="1">
      <c r="A115" s="45">
        <v>114</v>
      </c>
      <c r="B115" s="45" t="s">
        <v>26</v>
      </c>
      <c r="C115" s="45" t="s">
        <v>44</v>
      </c>
      <c r="D115" s="45" t="s">
        <v>207</v>
      </c>
      <c r="E115" s="45" t="s">
        <v>5835</v>
      </c>
      <c r="F115" s="45" t="s">
        <v>312</v>
      </c>
      <c r="G115" s="45">
        <v>4</v>
      </c>
      <c r="H115" s="45" t="s">
        <v>5836</v>
      </c>
      <c r="I115" s="45" t="s">
        <v>275</v>
      </c>
      <c r="J115" s="45" t="s">
        <v>5391</v>
      </c>
      <c r="K115" s="47">
        <v>46162.39261574074</v>
      </c>
      <c r="L115" s="47">
        <v>46169.601018518515</v>
      </c>
      <c r="M115" s="47">
        <v>46169.659768518519</v>
      </c>
      <c r="N115" s="47">
        <v>46170.289560185185</v>
      </c>
      <c r="P115" s="47">
        <v>46170.289560185185</v>
      </c>
      <c r="Q115" s="45" t="s">
        <v>5837</v>
      </c>
      <c r="R115" s="45" t="s">
        <v>272</v>
      </c>
      <c r="S115" s="45" t="s">
        <v>5699</v>
      </c>
      <c r="T115" s="45" t="s">
        <v>268</v>
      </c>
      <c r="U115" s="45" t="s">
        <v>5531</v>
      </c>
      <c r="X115" s="45" t="s">
        <v>5531</v>
      </c>
      <c r="Y115" s="45" t="s">
        <v>5838</v>
      </c>
      <c r="Z115" s="76">
        <f t="shared" ca="1" si="16"/>
        <v>1.8157175925928946</v>
      </c>
      <c r="AA115" s="75">
        <f t="shared" ca="1" si="17"/>
        <v>4.8419135802477182</v>
      </c>
      <c r="AB115" s="76">
        <f t="shared" ca="1" si="18"/>
        <v>0.10731481481828575</v>
      </c>
      <c r="AC115" s="75">
        <f t="shared" ca="1" si="19"/>
        <v>0.28617283951542866</v>
      </c>
      <c r="AD115" s="76">
        <f t="shared" ca="1" si="20"/>
        <v>5.8750000003783498E-2</v>
      </c>
      <c r="AE115" s="76">
        <f t="shared" ca="1" si="21"/>
        <v>0.10731481481828575</v>
      </c>
      <c r="AF115" s="75">
        <f t="shared" ca="1" si="22"/>
        <v>0.28617283951542866</v>
      </c>
      <c r="AG115" s="75">
        <f t="shared" ca="1" si="23"/>
        <v>0.28617283951542866</v>
      </c>
      <c r="AH115" s="31" t="str" cm="1">
        <f t="array" aca="1" ref="AH115" ca="1">IF((AD115) &lt; (INDEX(ResponseSLA[#All],(MATCH((G115),ResponseSLA[Priority],0))+1,3)),"YES","No")</f>
        <v>YES</v>
      </c>
      <c r="AI115" s="31" t="str">
        <f ca="1">_xlfn.IFNA(IF(AE115 &lt; (INDEX(SLATable[Minimum SLA],MATCH(G115,SLATable[Priority],0))),"YES","NO"),"")</f>
        <v>YES</v>
      </c>
      <c r="AJ115" t="str">
        <f ca="1">_xlfn.IFNA(IF(AE115 &lt; (INDEX(SLATable[Maximum SLA],MATCH(G115,SLATable[Priority],0))),"YES","NO"),"")</f>
        <v>YES</v>
      </c>
    </row>
    <row r="116" spans="1:36" ht="15" customHeight="1">
      <c r="A116" s="45">
        <v>115</v>
      </c>
      <c r="B116" s="45" t="s">
        <v>26</v>
      </c>
      <c r="C116" s="45" t="s">
        <v>44</v>
      </c>
      <c r="D116" s="45" t="s">
        <v>207</v>
      </c>
      <c r="E116" s="45" t="s">
        <v>5839</v>
      </c>
      <c r="F116" s="45" t="s">
        <v>312</v>
      </c>
      <c r="G116" s="45">
        <v>4</v>
      </c>
      <c r="H116" s="45" t="s">
        <v>5840</v>
      </c>
      <c r="I116" s="45" t="s">
        <v>271</v>
      </c>
      <c r="J116" s="45" t="s">
        <v>5391</v>
      </c>
      <c r="K116" s="47">
        <v>46163.698391203703</v>
      </c>
      <c r="L116" s="47">
        <v>46168.781898148147</v>
      </c>
      <c r="M116" s="47">
        <v>46169.2659375</v>
      </c>
      <c r="N116" s="47">
        <v>46171.324166666665</v>
      </c>
      <c r="P116" s="47">
        <v>46171.324166666665</v>
      </c>
      <c r="Q116" s="45" t="s">
        <v>5692</v>
      </c>
      <c r="R116" s="45" t="s">
        <v>5693</v>
      </c>
      <c r="S116" s="45" t="s">
        <v>175</v>
      </c>
      <c r="T116" s="45" t="s">
        <v>268</v>
      </c>
      <c r="U116" s="45" t="s">
        <v>5531</v>
      </c>
      <c r="X116" s="45" t="s">
        <v>5531</v>
      </c>
      <c r="Y116" s="45" t="s">
        <v>5694</v>
      </c>
      <c r="Z116" s="76">
        <f t="shared" ca="1" si="16"/>
        <v>1.5099421296302658</v>
      </c>
      <c r="AA116" s="75">
        <f t="shared" ca="1" si="17"/>
        <v>4.0265123456807084</v>
      </c>
      <c r="AB116" s="76">
        <f t="shared" ca="1" si="18"/>
        <v>0.75000000000000011</v>
      </c>
      <c r="AC116" s="75">
        <f t="shared" ca="1" si="19"/>
        <v>2.0000000000000004</v>
      </c>
      <c r="AD116" s="76">
        <f t="shared" ca="1" si="20"/>
        <v>0</v>
      </c>
      <c r="AE116" s="76">
        <f t="shared" ca="1" si="21"/>
        <v>0.75000000000000011</v>
      </c>
      <c r="AF116" s="75">
        <f t="shared" ca="1" si="22"/>
        <v>2.0000000000000004</v>
      </c>
      <c r="AG116" s="75">
        <f t="shared" ca="1" si="23"/>
        <v>2.0000000000000004</v>
      </c>
      <c r="AH116" s="31" t="str" cm="1">
        <f t="array" aca="1" ref="AH116" ca="1">IF((AD116) &lt; (INDEX(ResponseSLA[#All],(MATCH((G116),ResponseSLA[Priority],0))+1,3)),"YES","No")</f>
        <v>YES</v>
      </c>
      <c r="AI116" s="31" t="str">
        <f ca="1">_xlfn.IFNA(IF(AE116 &lt; (INDEX(SLATable[Minimum SLA],MATCH(G116,SLATable[Priority],0))),"YES","NO"),"")</f>
        <v>YES</v>
      </c>
      <c r="AJ116" t="str">
        <f ca="1">_xlfn.IFNA(IF(AE116 &lt; (INDEX(SLATable[Maximum SLA],MATCH(G116,SLATable[Priority],0))),"YES","NO"),"")</f>
        <v>YES</v>
      </c>
    </row>
    <row r="117" spans="1:36" ht="15" customHeight="1">
      <c r="A117" s="45">
        <v>116</v>
      </c>
      <c r="B117" s="45" t="s">
        <v>26</v>
      </c>
      <c r="C117" s="45" t="s">
        <v>44</v>
      </c>
      <c r="D117" s="45" t="s">
        <v>207</v>
      </c>
      <c r="E117" s="45" t="s">
        <v>5841</v>
      </c>
      <c r="F117" s="45" t="s">
        <v>312</v>
      </c>
      <c r="G117" s="45">
        <v>3</v>
      </c>
      <c r="H117" s="45" t="s">
        <v>5842</v>
      </c>
      <c r="I117" s="45" t="s">
        <v>271</v>
      </c>
      <c r="J117" s="45" t="s">
        <v>5391</v>
      </c>
      <c r="K117" s="47">
        <v>46169.497245370374</v>
      </c>
      <c r="L117" s="47">
        <v>46169.793981481482</v>
      </c>
      <c r="M117" s="47">
        <v>46170.277106481481</v>
      </c>
      <c r="N117" s="47">
        <v>46171.325011574074</v>
      </c>
      <c r="P117" s="47">
        <v>46171.325011574074</v>
      </c>
      <c r="Q117" s="45" t="s">
        <v>5692</v>
      </c>
      <c r="R117" s="45" t="s">
        <v>5693</v>
      </c>
      <c r="S117" s="45" t="s">
        <v>175</v>
      </c>
      <c r="T117" s="45" t="s">
        <v>268</v>
      </c>
      <c r="U117" s="45" t="s">
        <v>5531</v>
      </c>
      <c r="X117" s="45" t="s">
        <v>5531</v>
      </c>
      <c r="Y117" s="45" t="s">
        <v>5694</v>
      </c>
      <c r="Z117" s="76">
        <f t="shared" ca="1" si="16"/>
        <v>0.58608796295933052</v>
      </c>
      <c r="AA117" s="75">
        <f t="shared" ca="1" si="17"/>
        <v>1.5629012345582147</v>
      </c>
      <c r="AB117" s="76">
        <f t="shared" ca="1" si="18"/>
        <v>0.37500000000000011</v>
      </c>
      <c r="AC117" s="75">
        <f t="shared" ca="1" si="19"/>
        <v>1.0000000000000004</v>
      </c>
      <c r="AD117" s="76">
        <f t="shared" ca="1" si="20"/>
        <v>0</v>
      </c>
      <c r="AE117" s="76">
        <f t="shared" ca="1" si="21"/>
        <v>0.37500000000000011</v>
      </c>
      <c r="AF117" s="75">
        <f t="shared" ca="1" si="22"/>
        <v>1.0000000000000004</v>
      </c>
      <c r="AG117" s="75">
        <f t="shared" ca="1" si="23"/>
        <v>1.0000000000000004</v>
      </c>
      <c r="AH117" s="31" t="str" cm="1">
        <f t="array" aca="1" ref="AH117" ca="1">IF((AD117) &lt; (INDEX(ResponseSLA[#All],(MATCH((G117),ResponseSLA[Priority],0))+1,3)),"YES","No")</f>
        <v>YES</v>
      </c>
      <c r="AI117" s="31" t="str">
        <f ca="1">_xlfn.IFNA(IF(AE117 &lt; (INDEX(SLATable[Minimum SLA],MATCH(G117,SLATable[Priority],0))),"YES","NO"),"")</f>
        <v>NO</v>
      </c>
      <c r="AJ117" t="str">
        <f ca="1">_xlfn.IFNA(IF(AE117 &lt; (INDEX(SLATable[Maximum SLA],MATCH(G117,SLATable[Priority],0))),"YES","NO"),"")</f>
        <v>YES</v>
      </c>
    </row>
    <row r="118" spans="1:36" ht="15" customHeight="1">
      <c r="A118" s="45">
        <v>117</v>
      </c>
      <c r="B118" s="45" t="s">
        <v>26</v>
      </c>
      <c r="C118" s="45" t="s">
        <v>44</v>
      </c>
      <c r="D118" s="45" t="s">
        <v>207</v>
      </c>
      <c r="E118" s="45" t="s">
        <v>5843</v>
      </c>
      <c r="F118" s="45" t="s">
        <v>312</v>
      </c>
      <c r="G118" s="45">
        <v>3</v>
      </c>
      <c r="H118" s="45" t="s">
        <v>5844</v>
      </c>
      <c r="I118" s="45" t="s">
        <v>275</v>
      </c>
      <c r="J118" s="45" t="s">
        <v>5391</v>
      </c>
      <c r="K118" s="47">
        <v>46169.544976851852</v>
      </c>
      <c r="L118" s="47">
        <v>46169.548935185187</v>
      </c>
      <c r="M118" s="47">
        <v>46169.595185185186</v>
      </c>
      <c r="N118" s="47">
        <v>46170.308819444443</v>
      </c>
      <c r="P118" s="47">
        <v>46170.308819444443</v>
      </c>
      <c r="Q118" s="45" t="s">
        <v>5692</v>
      </c>
      <c r="R118" s="45" t="s">
        <v>272</v>
      </c>
      <c r="S118" s="45" t="s">
        <v>5699</v>
      </c>
      <c r="T118" s="45" t="s">
        <v>268</v>
      </c>
      <c r="U118" s="45" t="s">
        <v>5531</v>
      </c>
      <c r="X118" s="45" t="s">
        <v>5531</v>
      </c>
      <c r="Y118" s="45" t="s">
        <v>5845</v>
      </c>
      <c r="Z118" s="76">
        <f t="shared" ca="1" si="16"/>
        <v>0.16335648148136295</v>
      </c>
      <c r="AA118" s="75">
        <f t="shared" ca="1" si="17"/>
        <v>0.43561728395030119</v>
      </c>
      <c r="AB118" s="76">
        <f t="shared" ca="1" si="18"/>
        <v>0.15939814814676845</v>
      </c>
      <c r="AC118" s="75">
        <f t="shared" ca="1" si="19"/>
        <v>0.42506172839138251</v>
      </c>
      <c r="AD118" s="76">
        <f t="shared" ca="1" si="20"/>
        <v>4.6249999999417923E-2</v>
      </c>
      <c r="AE118" s="76">
        <f t="shared" ca="1" si="21"/>
        <v>0.15939814814676845</v>
      </c>
      <c r="AF118" s="75">
        <f t="shared" ca="1" si="22"/>
        <v>0.42506172839138251</v>
      </c>
      <c r="AG118" s="75">
        <f t="shared" ca="1" si="23"/>
        <v>0.42506172839138251</v>
      </c>
      <c r="AH118" s="31" t="str" cm="1">
        <f t="array" aca="1" ref="AH118" ca="1">IF((AD118) &lt; (INDEX(ResponseSLA[#All],(MATCH((G118),ResponseSLA[Priority],0))+1,3)),"YES","No")</f>
        <v>YES</v>
      </c>
      <c r="AI118" s="31" t="str">
        <f ca="1">_xlfn.IFNA(IF(AE118 &lt; (INDEX(SLATable[Minimum SLA],MATCH(G118,SLATable[Priority],0))),"YES","NO"),"")</f>
        <v>YES</v>
      </c>
      <c r="AJ118" t="str">
        <f ca="1">_xlfn.IFNA(IF(AE118 &lt; (INDEX(SLATable[Maximum SLA],MATCH(G118,SLATable[Priority],0))),"YES","NO"),"")</f>
        <v>YES</v>
      </c>
    </row>
    <row r="119" spans="1:36" ht="15" customHeight="1">
      <c r="A119" s="45">
        <v>118</v>
      </c>
      <c r="B119" s="45" t="s">
        <v>26</v>
      </c>
      <c r="C119" s="45" t="s">
        <v>44</v>
      </c>
      <c r="D119" s="45" t="s">
        <v>207</v>
      </c>
      <c r="E119" s="45" t="s">
        <v>5846</v>
      </c>
      <c r="F119" s="45" t="s">
        <v>312</v>
      </c>
      <c r="G119" s="45">
        <v>3</v>
      </c>
      <c r="H119" s="45" t="s">
        <v>5847</v>
      </c>
      <c r="I119" s="45" t="s">
        <v>275</v>
      </c>
      <c r="J119" s="45" t="s">
        <v>5391</v>
      </c>
      <c r="K119" s="47">
        <v>46170.396215277775</v>
      </c>
      <c r="L119" s="47">
        <v>46170.453090277777</v>
      </c>
      <c r="M119" s="47">
        <v>46170.535879629628</v>
      </c>
      <c r="N119" s="47">
        <v>46170.555578703701</v>
      </c>
      <c r="P119" s="47">
        <v>46170.555578703701</v>
      </c>
      <c r="Q119" s="45" t="s">
        <v>5534</v>
      </c>
      <c r="R119" s="45" t="s">
        <v>272</v>
      </c>
      <c r="S119" s="45" t="s">
        <v>5699</v>
      </c>
      <c r="T119" s="45" t="s">
        <v>268</v>
      </c>
      <c r="U119" s="45" t="s">
        <v>5531</v>
      </c>
      <c r="X119" s="45" t="s">
        <v>5531</v>
      </c>
      <c r="Y119" s="45" t="s">
        <v>5805</v>
      </c>
      <c r="Z119" s="76">
        <f t="shared" ca="1" si="16"/>
        <v>0.15936342592613073</v>
      </c>
      <c r="AA119" s="75">
        <f t="shared" ca="1" si="17"/>
        <v>0.42496913580301526</v>
      </c>
      <c r="AB119" s="76">
        <f t="shared" ca="1" si="18"/>
        <v>0.10248842592409346</v>
      </c>
      <c r="AC119" s="75">
        <f t="shared" ca="1" si="19"/>
        <v>0.27330246913091588</v>
      </c>
      <c r="AD119" s="76">
        <f t="shared" ca="1" si="20"/>
        <v>8.278935185080627E-2</v>
      </c>
      <c r="AE119" s="76">
        <f t="shared" ca="1" si="21"/>
        <v>0.10248842592409346</v>
      </c>
      <c r="AF119" s="75">
        <f t="shared" ca="1" si="22"/>
        <v>0.27330246913091588</v>
      </c>
      <c r="AG119" s="75">
        <f t="shared" ca="1" si="23"/>
        <v>0.27330246913091588</v>
      </c>
      <c r="AH119" s="31" t="str" cm="1">
        <f t="array" aca="1" ref="AH119" ca="1">IF((AD119) &lt; (INDEX(ResponseSLA[#All],(MATCH((G119),ResponseSLA[Priority],0))+1,3)),"YES","No")</f>
        <v>YES</v>
      </c>
      <c r="AI119" s="31" t="str">
        <f ca="1">_xlfn.IFNA(IF(AE119 &lt; (INDEX(SLATable[Minimum SLA],MATCH(G119,SLATable[Priority],0))),"YES","NO"),"")</f>
        <v>YES</v>
      </c>
      <c r="AJ119" t="str">
        <f ca="1">_xlfn.IFNA(IF(AE119 &lt; (INDEX(SLATable[Maximum SLA],MATCH(G119,SLATable[Priority],0))),"YES","NO"),"")</f>
        <v>YES</v>
      </c>
    </row>
    <row r="120" spans="1:36" ht="15" customHeight="1">
      <c r="A120" s="45">
        <v>119</v>
      </c>
      <c r="B120" s="45" t="s">
        <v>26</v>
      </c>
      <c r="C120" s="45" t="s">
        <v>44</v>
      </c>
      <c r="D120" s="45" t="s">
        <v>207</v>
      </c>
      <c r="E120" s="45" t="s">
        <v>5848</v>
      </c>
      <c r="F120" s="45" t="s">
        <v>312</v>
      </c>
      <c r="G120" s="45">
        <v>4</v>
      </c>
      <c r="H120" s="45" t="s">
        <v>5849</v>
      </c>
      <c r="I120" s="45" t="s">
        <v>275</v>
      </c>
      <c r="J120" s="45" t="s">
        <v>5391</v>
      </c>
      <c r="K120" s="47">
        <v>46127.396956018521</v>
      </c>
      <c r="L120" s="47">
        <v>46170.379548611112</v>
      </c>
      <c r="M120" s="47">
        <v>46170.412037037036</v>
      </c>
      <c r="N120" s="47">
        <v>46170.592465277776</v>
      </c>
      <c r="P120" s="47">
        <v>46170.592465277776</v>
      </c>
      <c r="Q120" s="45" t="s">
        <v>2789</v>
      </c>
      <c r="R120" s="45" t="s">
        <v>272</v>
      </c>
      <c r="S120" s="45" t="s">
        <v>5699</v>
      </c>
      <c r="T120" s="45" t="s">
        <v>268</v>
      </c>
      <c r="U120" s="45" t="s">
        <v>5531</v>
      </c>
      <c r="X120" s="45" t="s">
        <v>5531</v>
      </c>
      <c r="Y120" s="45" t="s">
        <v>5700</v>
      </c>
      <c r="Z120" s="76">
        <f t="shared" ca="1" si="16"/>
        <v>10.695509259254324</v>
      </c>
      <c r="AA120" s="75">
        <f t="shared" ca="1" si="17"/>
        <v>28.5213580246782</v>
      </c>
      <c r="AB120" s="76">
        <f t="shared" ca="1" si="18"/>
        <v>0.21291666666365927</v>
      </c>
      <c r="AC120" s="75">
        <f t="shared" ca="1" si="19"/>
        <v>0.56777777776975802</v>
      </c>
      <c r="AD120" s="76">
        <f t="shared" ca="1" si="20"/>
        <v>3.2488425924384501E-2</v>
      </c>
      <c r="AE120" s="76">
        <f t="shared" ca="1" si="21"/>
        <v>0.21291666666365927</v>
      </c>
      <c r="AF120" s="75">
        <f t="shared" ca="1" si="22"/>
        <v>0.56777777776975802</v>
      </c>
      <c r="AG120" s="75">
        <f t="shared" ca="1" si="23"/>
        <v>0.56777777776975802</v>
      </c>
      <c r="AH120" s="31" t="str" cm="1">
        <f t="array" aca="1" ref="AH120" ca="1">IF((AD120) &lt; (INDEX(ResponseSLA[#All],(MATCH((G120),ResponseSLA[Priority],0))+1,3)),"YES","No")</f>
        <v>YES</v>
      </c>
      <c r="AI120" s="31" t="str">
        <f ca="1">_xlfn.IFNA(IF(AE120 &lt; (INDEX(SLATable[Minimum SLA],MATCH(G120,SLATable[Priority],0))),"YES","NO"),"")</f>
        <v>YES</v>
      </c>
      <c r="AJ120" t="str">
        <f ca="1">_xlfn.IFNA(IF(AE120 &lt; (INDEX(SLATable[Maximum SLA],MATCH(G120,SLATable[Priority],0))),"YES","NO"),"")</f>
        <v>YES</v>
      </c>
    </row>
    <row r="121" spans="1:36" ht="15" customHeight="1">
      <c r="B121" s="45" t="s">
        <v>26</v>
      </c>
      <c r="C121" s="45" t="s">
        <v>44</v>
      </c>
      <c r="D121" s="45" t="s">
        <v>207</v>
      </c>
      <c r="E121" s="45" t="s">
        <v>5850</v>
      </c>
      <c r="F121" s="45" t="s">
        <v>312</v>
      </c>
      <c r="G121" s="45">
        <v>3</v>
      </c>
      <c r="H121" s="45" t="s">
        <v>5851</v>
      </c>
      <c r="I121" s="45" t="s">
        <v>275</v>
      </c>
      <c r="J121" s="45" t="s">
        <v>5852</v>
      </c>
      <c r="K121" s="47">
        <v>46133.709027777775</v>
      </c>
      <c r="L121" s="47">
        <v>46148.668055555558</v>
      </c>
      <c r="M121" s="47">
        <v>46148.724999999999</v>
      </c>
      <c r="N121" s="47">
        <v>46150.543749999997</v>
      </c>
      <c r="Q121" s="45" t="s">
        <v>5853</v>
      </c>
      <c r="R121" s="45" t="s">
        <v>272</v>
      </c>
      <c r="S121" s="45" t="s">
        <v>5699</v>
      </c>
      <c r="T121" s="45" t="s">
        <v>268</v>
      </c>
      <c r="U121" s="45" t="s">
        <v>5531</v>
      </c>
      <c r="X121" s="45" t="s">
        <v>5531</v>
      </c>
      <c r="Z121" s="76">
        <f t="shared" ca="1" si="16"/>
        <v>3.960416666663757</v>
      </c>
      <c r="AA121" s="75">
        <f t="shared" ca="1" si="17"/>
        <v>10.561111111103351</v>
      </c>
      <c r="AB121" s="76">
        <f t="shared" ca="1" si="18"/>
        <v>0.62569444443943212</v>
      </c>
      <c r="AC121" s="75">
        <f t="shared" ca="1" si="19"/>
        <v>1.6685185185051523</v>
      </c>
      <c r="AD121" s="76">
        <f t="shared" ca="1" si="20"/>
        <v>4.0277777775675871E-2</v>
      </c>
      <c r="AE121" s="76">
        <f t="shared" ca="1" si="21"/>
        <v>0.62569444443943212</v>
      </c>
      <c r="AF121" s="75">
        <f t="shared" ca="1" si="22"/>
        <v>1.6685185185051523</v>
      </c>
      <c r="AG121" s="75">
        <f t="shared" ca="1" si="23"/>
        <v>1.6685185185051523</v>
      </c>
      <c r="AH121" s="31" t="str" cm="1">
        <f t="array" aca="1" ref="AH121" ca="1">IF((AD121) &lt; (INDEX(ResponseSLA[#All],(MATCH((G121),ResponseSLA[Priority],0))+1,3)),"YES","No")</f>
        <v>YES</v>
      </c>
      <c r="AI121" s="31" t="str">
        <f ca="1">_xlfn.IFNA(IF(AE121 &lt; (INDEX(SLATable[Minimum SLA],MATCH(G121,SLATable[Priority],0))),"YES","NO"),"")</f>
        <v>NO</v>
      </c>
      <c r="AJ121" t="str">
        <f ca="1">_xlfn.IFNA(IF(AE121 &lt; (INDEX(SLATable[Maximum SLA],MATCH(G121,SLATable[Priority],0))),"YES","NO"),"")</f>
        <v>YES</v>
      </c>
    </row>
    <row r="122" spans="1:36" ht="15" customHeight="1">
      <c r="B122" s="45" t="s">
        <v>26</v>
      </c>
      <c r="C122" s="45" t="s">
        <v>44</v>
      </c>
      <c r="D122" s="45" t="s">
        <v>207</v>
      </c>
      <c r="E122" s="45" t="s">
        <v>5854</v>
      </c>
      <c r="F122" s="45" t="s">
        <v>312</v>
      </c>
      <c r="G122" s="45">
        <v>4</v>
      </c>
      <c r="H122" s="45" t="s">
        <v>5855</v>
      </c>
      <c r="I122" s="45" t="s">
        <v>275</v>
      </c>
      <c r="J122" s="45" t="s">
        <v>5852</v>
      </c>
      <c r="K122" s="47">
        <v>46149.941666666666</v>
      </c>
      <c r="L122" s="47">
        <v>46150.603472222225</v>
      </c>
      <c r="M122" s="47">
        <v>46150.792361111111</v>
      </c>
      <c r="N122" s="47">
        <v>46153.574305555558</v>
      </c>
      <c r="Q122" s="45" t="s">
        <v>5856</v>
      </c>
      <c r="R122" s="45" t="s">
        <v>272</v>
      </c>
      <c r="S122" s="45" t="s">
        <v>5699</v>
      </c>
      <c r="T122" s="45" t="s">
        <v>268</v>
      </c>
      <c r="U122" s="45" t="s">
        <v>5531</v>
      </c>
      <c r="X122" s="45" t="s">
        <v>5531</v>
      </c>
      <c r="Z122" s="76">
        <f t="shared" ca="1" si="16"/>
        <v>0.61597222222432413</v>
      </c>
      <c r="AA122" s="75">
        <f t="shared" ca="1" si="17"/>
        <v>1.6425925925981977</v>
      </c>
      <c r="AB122" s="76">
        <f t="shared" ca="1" si="18"/>
        <v>0.34583333333284827</v>
      </c>
      <c r="AC122" s="75">
        <f t="shared" ca="1" si="19"/>
        <v>0.92222222222092876</v>
      </c>
      <c r="AD122" s="76">
        <f t="shared" ca="1" si="20"/>
        <v>0.10486111110852414</v>
      </c>
      <c r="AE122" s="76">
        <f t="shared" ca="1" si="21"/>
        <v>0.34583333333284827</v>
      </c>
      <c r="AF122" s="75">
        <f t="shared" ca="1" si="22"/>
        <v>0.92222222222092876</v>
      </c>
      <c r="AG122" s="75">
        <f t="shared" ca="1" si="23"/>
        <v>0.92222222222092876</v>
      </c>
      <c r="AH122" s="31" t="str" cm="1">
        <f t="array" aca="1" ref="AH122" ca="1">IF((AD122) &lt; (INDEX(ResponseSLA[#All],(MATCH((G122),ResponseSLA[Priority],0))+1,3)),"YES","No")</f>
        <v>YES</v>
      </c>
      <c r="AI122" s="31" t="str">
        <f ca="1">_xlfn.IFNA(IF(AE122 &lt; (INDEX(SLATable[Minimum SLA],MATCH(G122,SLATable[Priority],0))),"YES","NO"),"")</f>
        <v>YES</v>
      </c>
      <c r="AJ122" t="str">
        <f ca="1">_xlfn.IFNA(IF(AE122 &lt; (INDEX(SLATable[Maximum SLA],MATCH(G122,SLATable[Priority],0))),"YES","NO"),"")</f>
        <v>YES</v>
      </c>
    </row>
    <row r="123" spans="1:36" ht="15" customHeight="1">
      <c r="B123" s="45" t="s">
        <v>26</v>
      </c>
      <c r="C123" s="45" t="s">
        <v>44</v>
      </c>
      <c r="D123" s="45" t="s">
        <v>207</v>
      </c>
      <c r="E123" s="45" t="s">
        <v>5857</v>
      </c>
      <c r="F123" s="45" t="s">
        <v>312</v>
      </c>
      <c r="G123" s="45">
        <v>4</v>
      </c>
      <c r="H123" s="45" t="s">
        <v>5858</v>
      </c>
      <c r="I123" s="45" t="s">
        <v>275</v>
      </c>
      <c r="J123" s="45" t="s">
        <v>5852</v>
      </c>
      <c r="K123" s="47">
        <v>46134.703472222223</v>
      </c>
      <c r="L123" s="47">
        <v>46155.673611111109</v>
      </c>
      <c r="M123" s="47">
        <v>46155.725694444445</v>
      </c>
      <c r="N123" s="47">
        <v>46157.509722222225</v>
      </c>
      <c r="Q123" s="45" t="s">
        <v>54</v>
      </c>
      <c r="R123" s="45" t="s">
        <v>272</v>
      </c>
      <c r="S123" s="45" t="s">
        <v>5699</v>
      </c>
      <c r="T123" s="45" t="s">
        <v>268</v>
      </c>
      <c r="U123" s="45" t="s">
        <v>5531</v>
      </c>
      <c r="X123" s="45" t="s">
        <v>5531</v>
      </c>
      <c r="Z123" s="76">
        <f t="shared" ca="1" si="16"/>
        <v>5.4312500000014561</v>
      </c>
      <c r="AA123" s="75">
        <f t="shared" ca="1" si="17"/>
        <v>14.483333333337217</v>
      </c>
      <c r="AB123" s="76">
        <f t="shared" ca="1" si="18"/>
        <v>0.586111111115315</v>
      </c>
      <c r="AC123" s="75">
        <f t="shared" ca="1" si="19"/>
        <v>1.5629629629741733</v>
      </c>
      <c r="AD123" s="76">
        <f t="shared" ca="1" si="20"/>
        <v>3.4722222223839139E-2</v>
      </c>
      <c r="AE123" s="76">
        <f t="shared" ca="1" si="21"/>
        <v>0.586111111115315</v>
      </c>
      <c r="AF123" s="75">
        <f t="shared" ca="1" si="22"/>
        <v>1.5629629629741733</v>
      </c>
      <c r="AG123" s="75">
        <f t="shared" ca="1" si="23"/>
        <v>1.5629629629741733</v>
      </c>
      <c r="AH123" s="31" t="str" cm="1">
        <f t="array" aca="1" ref="AH123" ca="1">IF((AD123) &lt; (INDEX(ResponseSLA[#All],(MATCH((G123),ResponseSLA[Priority],0))+1,3)),"YES","No")</f>
        <v>YES</v>
      </c>
      <c r="AI123" s="31" t="str">
        <f ca="1">_xlfn.IFNA(IF(AE123 &lt; (INDEX(SLATable[Minimum SLA],MATCH(G123,SLATable[Priority],0))),"YES","NO"),"")</f>
        <v>YES</v>
      </c>
      <c r="AJ123" t="str">
        <f ca="1">_xlfn.IFNA(IF(AE123 &lt; (INDEX(SLATable[Maximum SLA],MATCH(G123,SLATable[Priority],0))),"YES","NO"),"")</f>
        <v>YES</v>
      </c>
    </row>
    <row r="124" spans="1:36" ht="15" customHeight="1">
      <c r="B124" s="45" t="s">
        <v>26</v>
      </c>
      <c r="C124" s="45" t="s">
        <v>44</v>
      </c>
      <c r="D124" s="45" t="s">
        <v>207</v>
      </c>
      <c r="E124" s="45" t="s">
        <v>5859</v>
      </c>
      <c r="F124" s="45" t="s">
        <v>312</v>
      </c>
      <c r="G124" s="45">
        <v>4</v>
      </c>
      <c r="H124" s="45" t="s">
        <v>5860</v>
      </c>
      <c r="I124" s="45" t="s">
        <v>275</v>
      </c>
      <c r="J124" s="45" t="s">
        <v>5852</v>
      </c>
      <c r="K124" s="47">
        <v>46153.65</v>
      </c>
      <c r="L124" s="47">
        <v>46153.806944444441</v>
      </c>
      <c r="M124" s="47">
        <v>46153.820833333331</v>
      </c>
      <c r="N124" s="47">
        <v>46155.456944444442</v>
      </c>
      <c r="Q124" s="45" t="s">
        <v>5861</v>
      </c>
      <c r="R124" s="45" t="s">
        <v>272</v>
      </c>
      <c r="S124" s="45" t="s">
        <v>5699</v>
      </c>
      <c r="T124" s="45" t="s">
        <v>268</v>
      </c>
      <c r="U124" s="45" t="s">
        <v>5531</v>
      </c>
      <c r="X124" s="45" t="s">
        <v>5531</v>
      </c>
      <c r="Z124" s="76">
        <f t="shared" ca="1" si="16"/>
        <v>0.55694444444088731</v>
      </c>
      <c r="AA124" s="75">
        <f t="shared" ca="1" si="17"/>
        <v>1.4851851851756994</v>
      </c>
      <c r="AB124" s="76">
        <f t="shared" ca="1" si="18"/>
        <v>0.49861111110900913</v>
      </c>
      <c r="AC124" s="75">
        <f t="shared" ca="1" si="19"/>
        <v>1.3296296296240244</v>
      </c>
      <c r="AD124" s="76">
        <f t="shared" ca="1" si="20"/>
        <v>0</v>
      </c>
      <c r="AE124" s="76">
        <f t="shared" ca="1" si="21"/>
        <v>0.49861111110900913</v>
      </c>
      <c r="AF124" s="75">
        <f t="shared" ca="1" si="22"/>
        <v>1.3296296296240244</v>
      </c>
      <c r="AG124" s="75">
        <f t="shared" ca="1" si="23"/>
        <v>1.3296296296240244</v>
      </c>
      <c r="AH124" s="31" t="str" cm="1">
        <f t="array" aca="1" ref="AH124" ca="1">IF((AD124) &lt; (INDEX(ResponseSLA[#All],(MATCH((G124),ResponseSLA[Priority],0))+1,3)),"YES","No")</f>
        <v>YES</v>
      </c>
      <c r="AI124" s="31" t="str">
        <f ca="1">_xlfn.IFNA(IF(AE124 &lt; (INDEX(SLATable[Minimum SLA],MATCH(G124,SLATable[Priority],0))),"YES","NO"),"")</f>
        <v>YES</v>
      </c>
      <c r="AJ124" t="str">
        <f ca="1">_xlfn.IFNA(IF(AE124 &lt; (INDEX(SLATable[Maximum SLA],MATCH(G124,SLATable[Priority],0))),"YES","NO"),"")</f>
        <v>YES</v>
      </c>
    </row>
    <row r="125" spans="1:36" ht="15" customHeight="1">
      <c r="B125" s="45" t="s">
        <v>26</v>
      </c>
      <c r="C125" s="45" t="s">
        <v>44</v>
      </c>
      <c r="D125" s="45" t="s">
        <v>207</v>
      </c>
      <c r="E125" s="45" t="s">
        <v>5862</v>
      </c>
      <c r="F125" s="45" t="s">
        <v>312</v>
      </c>
      <c r="G125" s="45">
        <v>4</v>
      </c>
      <c r="H125" s="45" t="s">
        <v>5863</v>
      </c>
      <c r="I125" s="45" t="s">
        <v>275</v>
      </c>
      <c r="J125" s="45" t="s">
        <v>5852</v>
      </c>
      <c r="K125" s="47">
        <v>46152.708333333336</v>
      </c>
      <c r="L125" s="47">
        <v>46153.626388888886</v>
      </c>
      <c r="M125" s="47">
        <v>46153.70416666667</v>
      </c>
      <c r="N125" s="47">
        <v>46155.458333333336</v>
      </c>
      <c r="Q125" s="45" t="s">
        <v>5856</v>
      </c>
      <c r="R125" s="45" t="s">
        <v>272</v>
      </c>
      <c r="S125" s="45" t="s">
        <v>5699</v>
      </c>
      <c r="T125" s="45" t="s">
        <v>268</v>
      </c>
      <c r="U125" s="45" t="s">
        <v>5531</v>
      </c>
      <c r="X125" s="45" t="s">
        <v>5531</v>
      </c>
      <c r="Z125" s="76">
        <f t="shared" ca="1" si="16"/>
        <v>0.87500000000242539</v>
      </c>
      <c r="AA125" s="75">
        <f t="shared" ca="1" si="17"/>
        <v>2.3333333333398008</v>
      </c>
      <c r="AB125" s="76">
        <f t="shared" ca="1" si="18"/>
        <v>0.58194444444961846</v>
      </c>
      <c r="AC125" s="75">
        <f t="shared" ca="1" si="19"/>
        <v>1.5518518518656492</v>
      </c>
      <c r="AD125" s="76">
        <f t="shared" ca="1" si="20"/>
        <v>7.777777778392192E-2</v>
      </c>
      <c r="AE125" s="76">
        <f t="shared" ca="1" si="21"/>
        <v>0.58194444444961846</v>
      </c>
      <c r="AF125" s="75">
        <f t="shared" ca="1" si="22"/>
        <v>1.5518518518656492</v>
      </c>
      <c r="AG125" s="75">
        <f t="shared" ca="1" si="23"/>
        <v>1.5518518518656492</v>
      </c>
      <c r="AH125" s="31" t="str" cm="1">
        <f t="array" aca="1" ref="AH125" ca="1">IF((AD125) &lt; (INDEX(ResponseSLA[#All],(MATCH((G125),ResponseSLA[Priority],0))+1,3)),"YES","No")</f>
        <v>YES</v>
      </c>
      <c r="AI125" s="31" t="str">
        <f ca="1">_xlfn.IFNA(IF(AE125 &lt; (INDEX(SLATable[Minimum SLA],MATCH(G125,SLATable[Priority],0))),"YES","NO"),"")</f>
        <v>YES</v>
      </c>
      <c r="AJ125" t="str">
        <f ca="1">_xlfn.IFNA(IF(AE125 &lt; (INDEX(SLATable[Maximum SLA],MATCH(G125,SLATable[Priority],0))),"YES","NO"),"")</f>
        <v>YES</v>
      </c>
    </row>
    <row r="126" spans="1:36" ht="15" customHeight="1">
      <c r="B126" s="45" t="s">
        <v>26</v>
      </c>
      <c r="C126" s="45" t="s">
        <v>44</v>
      </c>
      <c r="D126" s="45" t="s">
        <v>208</v>
      </c>
      <c r="E126" s="45" t="s">
        <v>5864</v>
      </c>
      <c r="F126" s="45" t="s">
        <v>312</v>
      </c>
      <c r="G126" s="45" t="s">
        <v>208</v>
      </c>
      <c r="H126" s="45" t="s">
        <v>5865</v>
      </c>
      <c r="I126" s="45" t="s">
        <v>275</v>
      </c>
      <c r="J126" s="45" t="s">
        <v>5852</v>
      </c>
      <c r="K126" s="47">
        <v>46148.616666666669</v>
      </c>
      <c r="L126" s="47">
        <v>46150.459722222222</v>
      </c>
      <c r="M126" s="47">
        <v>46150.584722222222</v>
      </c>
      <c r="N126" s="47">
        <v>46155.459722222222</v>
      </c>
      <c r="Q126" s="45" t="s">
        <v>5866</v>
      </c>
      <c r="R126" s="45" t="s">
        <v>272</v>
      </c>
      <c r="S126" s="45" t="s">
        <v>5699</v>
      </c>
      <c r="T126" s="45" t="s">
        <v>268</v>
      </c>
      <c r="U126" s="45" t="s">
        <v>5531</v>
      </c>
      <c r="X126" s="45" t="s">
        <v>5531</v>
      </c>
      <c r="Z126" s="76">
        <f t="shared" ca="1" si="16"/>
        <v>1.7180555555532919</v>
      </c>
      <c r="AA126" s="75">
        <f t="shared" ca="1" si="17"/>
        <v>4.5814814814754454</v>
      </c>
      <c r="AB126" s="76">
        <f t="shared" ca="1" si="18"/>
        <v>1.1250000000000002</v>
      </c>
      <c r="AC126" s="75">
        <f t="shared" ca="1" si="19"/>
        <v>3.0000000000000009</v>
      </c>
      <c r="AD126" s="76">
        <f t="shared" ca="1" si="20"/>
        <v>0.125</v>
      </c>
      <c r="AE126" s="76">
        <f t="shared" ca="1" si="21"/>
        <v>1.1250000000000002</v>
      </c>
      <c r="AF126" s="75">
        <f t="shared" ca="1" si="22"/>
        <v>3.0000000000000009</v>
      </c>
      <c r="AG126" s="75">
        <f t="shared" ca="1" si="23"/>
        <v>3.0000000000000009</v>
      </c>
      <c r="AH126" s="31" t="str" cm="1">
        <f t="array" aca="1" ref="AH126" ca="1">IF((AD126) &lt; (INDEX(ResponseSLA[#All],(MATCH((G126),ResponseSLA[Priority],0))+1,3)),"YES","No")</f>
        <v>YES</v>
      </c>
      <c r="AI126" s="31" t="str">
        <f ca="1">_xlfn.IFNA(IF(AE126 &lt; (INDEX(SLATable[Minimum SLA],MATCH(G126,SLATable[Priority],0))),"YES","NO"),"")</f>
        <v>NO</v>
      </c>
      <c r="AJ126" t="str">
        <f ca="1">_xlfn.IFNA(IF(AE126 &lt; (INDEX(SLATable[Maximum SLA],MATCH(G126,SLATable[Priority],0))),"YES","NO"),"")</f>
        <v>NO</v>
      </c>
    </row>
    <row r="127" spans="1:36" ht="15" customHeight="1">
      <c r="B127" s="45" t="s">
        <v>26</v>
      </c>
      <c r="C127" s="45" t="s">
        <v>44</v>
      </c>
      <c r="D127" s="45" t="s">
        <v>208</v>
      </c>
      <c r="E127" s="45" t="s">
        <v>5867</v>
      </c>
      <c r="F127" s="45" t="s">
        <v>312</v>
      </c>
      <c r="G127" s="45" t="s">
        <v>208</v>
      </c>
      <c r="H127" s="45" t="s">
        <v>5868</v>
      </c>
      <c r="I127" s="45" t="s">
        <v>275</v>
      </c>
      <c r="J127" s="45" t="s">
        <v>5852</v>
      </c>
      <c r="K127" s="47">
        <v>46135.794444444444</v>
      </c>
      <c r="L127" s="47">
        <v>46150.438888888886</v>
      </c>
      <c r="M127" s="47">
        <v>46150.438888888886</v>
      </c>
      <c r="N127" s="47">
        <v>46160.584722222222</v>
      </c>
      <c r="Q127" s="45" t="s">
        <v>5869</v>
      </c>
      <c r="R127" s="45" t="s">
        <v>272</v>
      </c>
      <c r="S127" s="45" t="s">
        <v>5699</v>
      </c>
      <c r="T127" s="45" t="s">
        <v>268</v>
      </c>
      <c r="U127" s="45" t="s">
        <v>5531</v>
      </c>
      <c r="X127" s="45" t="s">
        <v>5531</v>
      </c>
      <c r="Z127" s="76">
        <f t="shared" ca="1" si="16"/>
        <v>5.5013888888885667</v>
      </c>
      <c r="AA127" s="75">
        <f t="shared" ca="1" si="17"/>
        <v>14.670370370369511</v>
      </c>
      <c r="AB127" s="76">
        <f t="shared" ca="1" si="18"/>
        <v>2.3958333333357591</v>
      </c>
      <c r="AC127" s="75">
        <f t="shared" ca="1" si="19"/>
        <v>6.3888888888953579</v>
      </c>
      <c r="AD127" s="76">
        <f t="shared" ca="1" si="20"/>
        <v>0</v>
      </c>
      <c r="AE127" s="76">
        <f t="shared" ca="1" si="21"/>
        <v>2.3958333333357591</v>
      </c>
      <c r="AF127" s="75">
        <f t="shared" ca="1" si="22"/>
        <v>6.3888888888953579</v>
      </c>
      <c r="AG127" s="75">
        <f t="shared" ca="1" si="23"/>
        <v>6.3888888888953579</v>
      </c>
      <c r="AH127" s="31" t="str" cm="1">
        <f t="array" aca="1" ref="AH127" ca="1">IF((AD127) &lt; (INDEX(ResponseSLA[#All],(MATCH((G127),ResponseSLA[Priority],0))+1,3)),"YES","No")</f>
        <v>YES</v>
      </c>
      <c r="AI127" s="31" t="str">
        <f ca="1">_xlfn.IFNA(IF(AE127 &lt; (INDEX(SLATable[Minimum SLA],MATCH(G127,SLATable[Priority],0))),"YES","NO"),"")</f>
        <v>NO</v>
      </c>
      <c r="AJ127" t="str">
        <f ca="1">_xlfn.IFNA(IF(AE127 &lt; (INDEX(SLATable[Maximum SLA],MATCH(G127,SLATable[Priority],0))),"YES","NO"),"")</f>
        <v>NO</v>
      </c>
    </row>
    <row r="128" spans="1:36" ht="15" customHeight="1">
      <c r="B128" s="45" t="s">
        <v>26</v>
      </c>
      <c r="C128" s="45" t="s">
        <v>44</v>
      </c>
      <c r="D128" s="45" t="s">
        <v>207</v>
      </c>
      <c r="E128" s="45" t="s">
        <v>5870</v>
      </c>
      <c r="F128" s="45" t="s">
        <v>312</v>
      </c>
      <c r="G128" s="45">
        <v>3</v>
      </c>
      <c r="H128" s="45" t="s">
        <v>5871</v>
      </c>
      <c r="I128" s="45" t="s">
        <v>275</v>
      </c>
      <c r="J128" s="45" t="s">
        <v>5852</v>
      </c>
      <c r="K128" s="47">
        <v>46154.585416666669</v>
      </c>
      <c r="L128" s="47">
        <v>46160.725694444445</v>
      </c>
      <c r="M128" s="47">
        <v>46160.755555555559</v>
      </c>
      <c r="N128" s="47">
        <v>46161.457638888889</v>
      </c>
      <c r="Q128" s="45" t="s">
        <v>5872</v>
      </c>
      <c r="R128" s="45" t="s">
        <v>272</v>
      </c>
      <c r="S128" s="45" t="s">
        <v>5699</v>
      </c>
      <c r="T128" s="45" t="s">
        <v>268</v>
      </c>
      <c r="U128" s="45" t="s">
        <v>5531</v>
      </c>
      <c r="X128" s="45" t="s">
        <v>5531</v>
      </c>
      <c r="Z128" s="76">
        <f t="shared" ca="1" si="16"/>
        <v>1.7472222222204437</v>
      </c>
      <c r="AA128" s="75">
        <f t="shared" ca="1" si="17"/>
        <v>4.6592592592545161</v>
      </c>
      <c r="AB128" s="76">
        <f t="shared" ca="1" si="18"/>
        <v>0.12430555555571721</v>
      </c>
      <c r="AC128" s="75">
        <f t="shared" ca="1" si="19"/>
        <v>0.33148148148191253</v>
      </c>
      <c r="AD128" s="76">
        <f t="shared" ca="1" si="20"/>
        <v>0</v>
      </c>
      <c r="AE128" s="76">
        <f t="shared" ca="1" si="21"/>
        <v>0.12430555555571721</v>
      </c>
      <c r="AF128" s="75">
        <f t="shared" ca="1" si="22"/>
        <v>0.33148148148191253</v>
      </c>
      <c r="AG128" s="75">
        <f t="shared" ca="1" si="23"/>
        <v>0.33148148148191253</v>
      </c>
      <c r="AH128" s="31" t="str" cm="1">
        <f t="array" aca="1" ref="AH128" ca="1">IF((AD128) &lt; (INDEX(ResponseSLA[#All],(MATCH((G128),ResponseSLA[Priority],0))+1,3)),"YES","No")</f>
        <v>YES</v>
      </c>
      <c r="AI128" s="31" t="str">
        <f ca="1">_xlfn.IFNA(IF(AE128 &lt; (INDEX(SLATable[Minimum SLA],MATCH(G128,SLATable[Priority],0))),"YES","NO"),"")</f>
        <v>YES</v>
      </c>
      <c r="AJ128" t="str">
        <f ca="1">_xlfn.IFNA(IF(AE128 &lt; (INDEX(SLATable[Maximum SLA],MATCH(G128,SLATable[Priority],0))),"YES","NO"),"")</f>
        <v>YES</v>
      </c>
    </row>
    <row r="129" spans="2:36" ht="15" customHeight="1">
      <c r="B129" s="45" t="s">
        <v>26</v>
      </c>
      <c r="C129" s="45" t="s">
        <v>44</v>
      </c>
      <c r="D129" s="45" t="s">
        <v>207</v>
      </c>
      <c r="E129" s="45" t="s">
        <v>2790</v>
      </c>
      <c r="F129" s="45" t="s">
        <v>312</v>
      </c>
      <c r="G129" s="45">
        <v>3</v>
      </c>
      <c r="H129" s="45" t="s">
        <v>2791</v>
      </c>
      <c r="I129" s="45" t="s">
        <v>275</v>
      </c>
      <c r="J129" s="45" t="s">
        <v>5852</v>
      </c>
      <c r="K129" s="47">
        <v>46153.503472222219</v>
      </c>
      <c r="L129" s="47">
        <v>46167.418749999997</v>
      </c>
      <c r="M129" s="47">
        <v>46167.463194444441</v>
      </c>
      <c r="N129" s="47">
        <v>46167.493750000001</v>
      </c>
      <c r="Q129" s="45" t="s">
        <v>5853</v>
      </c>
      <c r="R129" s="45" t="s">
        <v>272</v>
      </c>
      <c r="S129" s="45" t="s">
        <v>5699</v>
      </c>
      <c r="T129" s="45" t="s">
        <v>268</v>
      </c>
      <c r="U129" s="45" t="s">
        <v>5531</v>
      </c>
      <c r="X129" s="45" t="s">
        <v>5531</v>
      </c>
      <c r="Z129" s="76">
        <f t="shared" ca="1" si="16"/>
        <v>3.2048611111143455</v>
      </c>
      <c r="AA129" s="75">
        <f t="shared" ca="1" si="17"/>
        <v>8.5462962963049218</v>
      </c>
      <c r="AB129" s="76">
        <f t="shared" ca="1" si="18"/>
        <v>0</v>
      </c>
      <c r="AC129" s="75">
        <f t="shared" ca="1" si="19"/>
        <v>0</v>
      </c>
      <c r="AD129" s="76">
        <f t="shared" ca="1" si="20"/>
        <v>0</v>
      </c>
      <c r="AE129" s="76">
        <f t="shared" ca="1" si="21"/>
        <v>0</v>
      </c>
      <c r="AF129" s="75">
        <f t="shared" ca="1" si="22"/>
        <v>0</v>
      </c>
      <c r="AG129" s="75">
        <f t="shared" ca="1" si="23"/>
        <v>0</v>
      </c>
      <c r="AH129" s="31" t="str" cm="1">
        <f t="array" aca="1" ref="AH129" ca="1">IF((AD129) &lt; (INDEX(ResponseSLA[#All],(MATCH((G129),ResponseSLA[Priority],0))+1,3)),"YES","No")</f>
        <v>YES</v>
      </c>
      <c r="AI129" s="31" t="str">
        <f ca="1">_xlfn.IFNA(IF(AE129 &lt; (INDEX(SLATable[Minimum SLA],MATCH(G129,SLATable[Priority],0))),"YES","NO"),"")</f>
        <v>YES</v>
      </c>
      <c r="AJ129" t="str">
        <f ca="1">_xlfn.IFNA(IF(AE129 &lt; (INDEX(SLATable[Maximum SLA],MATCH(G129,SLATable[Priority],0))),"YES","NO"),"")</f>
        <v>YES</v>
      </c>
    </row>
    <row r="130" spans="2:36" ht="15" customHeight="1">
      <c r="B130" s="45" t="s">
        <v>26</v>
      </c>
      <c r="C130" s="45" t="s">
        <v>44</v>
      </c>
      <c r="D130" s="45" t="s">
        <v>207</v>
      </c>
      <c r="E130" s="45" t="s">
        <v>2695</v>
      </c>
      <c r="F130" s="45" t="s">
        <v>312</v>
      </c>
      <c r="G130" s="45">
        <v>4</v>
      </c>
      <c r="H130" s="45" t="s">
        <v>2696</v>
      </c>
      <c r="I130" s="45" t="s">
        <v>275</v>
      </c>
      <c r="J130" s="45" t="s">
        <v>5852</v>
      </c>
      <c r="K130" s="47">
        <v>46161.861111111109</v>
      </c>
      <c r="L130" s="47">
        <v>46163.477083333331</v>
      </c>
      <c r="M130" s="47">
        <v>46163.477083333331</v>
      </c>
      <c r="N130" s="47">
        <v>46167.504166666666</v>
      </c>
      <c r="Q130" s="45" t="s">
        <v>5873</v>
      </c>
      <c r="R130" s="45" t="s">
        <v>272</v>
      </c>
      <c r="S130" s="45" t="s">
        <v>5699</v>
      </c>
      <c r="T130" s="45" t="s">
        <v>268</v>
      </c>
      <c r="U130" s="45" t="s">
        <v>5531</v>
      </c>
      <c r="X130" s="45" t="s">
        <v>5531</v>
      </c>
      <c r="Z130" s="76">
        <f t="shared" ca="1" si="16"/>
        <v>0.75000000000000011</v>
      </c>
      <c r="AA130" s="75">
        <f t="shared" ca="1" si="17"/>
        <v>2.0000000000000004</v>
      </c>
      <c r="AB130" s="76">
        <f t="shared" ca="1" si="18"/>
        <v>0.23125000000194029</v>
      </c>
      <c r="AC130" s="75">
        <f t="shared" ca="1" si="19"/>
        <v>0.61666666667184078</v>
      </c>
      <c r="AD130" s="76">
        <f t="shared" ca="1" si="20"/>
        <v>0</v>
      </c>
      <c r="AE130" s="76">
        <f t="shared" ca="1" si="21"/>
        <v>0.23125000000194029</v>
      </c>
      <c r="AF130" s="75">
        <f t="shared" ca="1" si="22"/>
        <v>0.61666666667184078</v>
      </c>
      <c r="AG130" s="75">
        <f t="shared" ca="1" si="23"/>
        <v>0.61666666667184078</v>
      </c>
      <c r="AH130" s="31" t="str" cm="1">
        <f t="array" aca="1" ref="AH130" ca="1">IF((AD130) &lt; (INDEX(ResponseSLA[#All],(MATCH((G130),ResponseSLA[Priority],0))+1,3)),"YES","No")</f>
        <v>YES</v>
      </c>
      <c r="AI130" s="31" t="str">
        <f ca="1">_xlfn.IFNA(IF(AE130 &lt; (INDEX(SLATable[Minimum SLA],MATCH(G130,SLATable[Priority],0))),"YES","NO"),"")</f>
        <v>YES</v>
      </c>
      <c r="AJ130" t="str">
        <f ca="1">_xlfn.IFNA(IF(AE130 &lt; (INDEX(SLATable[Maximum SLA],MATCH(G130,SLATable[Priority],0))),"YES","NO"),"")</f>
        <v>YES</v>
      </c>
    </row>
    <row r="131" spans="2:36" ht="15" customHeight="1">
      <c r="B131" s="45" t="s">
        <v>26</v>
      </c>
      <c r="C131" s="45" t="s">
        <v>44</v>
      </c>
      <c r="D131" s="45" t="s">
        <v>207</v>
      </c>
      <c r="E131" s="45" t="s">
        <v>2787</v>
      </c>
      <c r="F131" s="45" t="s">
        <v>312</v>
      </c>
      <c r="G131" s="45">
        <v>4</v>
      </c>
      <c r="H131" s="45" t="s">
        <v>2788</v>
      </c>
      <c r="I131" s="45" t="s">
        <v>275</v>
      </c>
      <c r="J131" s="45" t="s">
        <v>5852</v>
      </c>
      <c r="K131" s="47">
        <v>46161.050694444442</v>
      </c>
      <c r="L131" s="47">
        <v>46161.054166666669</v>
      </c>
      <c r="M131" s="47">
        <v>46161.472916666666</v>
      </c>
      <c r="N131" s="47">
        <v>46167.504861111112</v>
      </c>
      <c r="Q131" s="45" t="s">
        <v>54</v>
      </c>
      <c r="R131" s="45" t="s">
        <v>272</v>
      </c>
      <c r="S131" s="45" t="s">
        <v>5699</v>
      </c>
      <c r="T131" s="45" t="s">
        <v>268</v>
      </c>
      <c r="U131" s="45" t="s">
        <v>5531</v>
      </c>
      <c r="X131" s="45" t="s">
        <v>5531</v>
      </c>
      <c r="Z131" s="76">
        <f t="shared" ref="Z131:Z194" ca="1" si="24">IF(NOT(OR(G131=1,G131=2)),MAX(0,_xlfn.IFS(AND(K131&lt;&gt;"",N131&lt;&gt;""),((MAX(NETWORKDAYS(K131,N131,UKBankHolidays)-1,0))*(TIME(17,0,0)-TIME(8,0,0))+IF(NETWORKDAYS(N131,N131,UKBankHolidays)&gt;0,MEDIAN(TIME(8,0,0),MOD(N131,1),TIME(17,0,0)),TIME(8,0,0))-IF(NETWORKDAYS(K131,K131,UKBankHolidays)&gt;0,MEDIAN(TIME(8,0,0),MOD(K131,1),TIME(17,0,0)),TIME(8,0,0)))-IF(AND(O131&lt;&gt;"",P131&lt;&gt;""),((MAX(NETWORKDAYS(O131,P131,UKBankHolidays)-1,0))*(TIME(17,0,0)-TIME(8,0,0))+IF(NETWORKDAYS(P131,P131,UKBankHolidays)&gt;0,MEDIAN(TIME(8,0,0),MOD(P131,1),TIME(17,0,0)),TIME(8,0,0))-IF(NETWORKDAYS(O131,O131,UKBankHolidays)&gt;0,MEDIAN(TIME(8,0,0),MOD(O131,1),TIME(17,0,0)),TIME(8,0,0))),0),AND(K131&lt;&gt;"",N131=""),((MAX(NETWORKDAYS(K131,NOW(),UKBankHolidays)-1,0))*(TIME(17,0,0)-TIME(8,0,0))+IF(NETWORKDAYS(NOW(),NOW(),UKBankHolidays)&gt;0,MEDIAN(TIME(8,0,0),MOD(NOW(),1),TIME(17,0,0)),TIME(8,0,0))-IF(NETWORKDAYS(K131,K131,UKBankHolidays)&gt;0,MEDIAN(TIME(8,0,0),MOD(K131,1),TIME(17,0,0)),TIME(8,0,0))))),IF(N131="",NOW()-K131,N131-K131))</f>
        <v>1.1250000000000002</v>
      </c>
      <c r="AA131" s="75">
        <f t="shared" ref="AA131:AA194" ca="1" si="25">(Z131*24)/9</f>
        <v>3.0000000000000009</v>
      </c>
      <c r="AB131" s="76">
        <f t="shared" ref="AB131:AB194" ca="1" si="26">IF(NOT(OR(G131=1,G131=2)),MAX(0,_xlfn.IFS(AND(K131&lt;&gt;"",N131&lt;&gt;""),(((MAX(NETWORKDAYS(L131,N131,UKBankHolidays)-1,0))*(TIME(17,0,0)-TIME(8,0,0)))+IF(NETWORKDAYS(N131,N131,UKBankHolidays)&gt;0,MEDIAN(TIME(8,0,0),MOD(N131,1),TIME(17,0,0)),TIME(8,0,0))-IF(NETWORKDAYS(L131,L131,UKBankHolidays)&gt;0,MEDIAN(TIME(8,0,0),MOD(L131,1),TIME(17,0,0)),TIME(8,0,0)))-IF(AND(O131&lt;&gt;"",P131&lt;&gt;""),(((MAX(NETWORKDAYS(O131,P131,UKBankHolidays)-1,0))*(TIME(17,0,0)-TIME(8,0,0)))+IF(NETWORKDAYS(P131,P131,UKBankHolidays)&gt;0,MEDIAN(TIME(8,0,0),MOD(P131,1),TIME(17,0,0)),TIME(8,0,0))-IF(NETWORKDAYS(O131,O131,UKBankHolidays)&gt;0,MEDIAN(TIME(8,0,0),MOD(O131,1),TIME(17,0,0)),TIME(8,0,0))),0),AND(L131&lt;&gt;"",N131="",O131=""),(((MAX(NETWORKDAYS(L131,NOW(),UKBankHolidays)-1,0))*(TIME(17,0,0)-TIME(8,0,0)))+IF(NETWORKDAYS(NOW(),NOW(),UKBankHolidays)&gt;0,MEDIAN(TIME(8,0,0),MOD(NOW(),1),TIME(17,0,0)),TIME(8,0,0))-IF(NETWORKDAYS(L131,L131,UKBankHolidays)&gt;0,MEDIAN(TIME(8,0,0),MOD(L131,1),TIME(17,0,0)),TIME(8,0,0)))-IF(AND(O131&lt;&gt;"",P131&lt;&gt;""),(((MAX(NETWORKDAYS(O131,P131,UKBankHolidays)-1,0))*(TIME(17,0,0)-TIME(8,0,0)))+IF(NETWORKDAYS(P131,P131,UKBankHolidays)&gt;0,MEDIAN(TIME(8,0,0),MOD(P131,1),TIME(17,0,0)),TIME(8,0,0))-IF(NETWORKDAYS(O131,O131,UKBankHolidays)&gt;0,MEDIAN(TIME(8,0,0),MOD(O131,1),TIME(17,0,0)),TIME(8,0,0))),0),AND(L131&lt;&gt;"",N131="",P131="",O131&lt;&gt;""),(((MAX(NETWORKDAYS(L131,O131,UKBankHolidays)-1,0))*(TIME(17,0,0)-TIME(8,0,0)))+IF(NETWORKDAYS(O131,O131,UKBankHolidays)&gt;0,MEDIAN(TIME(8,0,0),MOD(O131,1),TIME(17,0,0)),TIME(8,0,0))-IF(NETWORKDAYS(L131,L131,UKBankHolidays)&gt;0,MEDIAN(TIME(8,0,0),MOD(L131,1),TIME(17,0,0)),TIME(8,0,0))),ISBLANK(K131),"0")),IF(ISBLANK(N131),NOW()-L131,N131-L131))</f>
        <v>1.1250000000000002</v>
      </c>
      <c r="AC131" s="75">
        <f t="shared" ref="AC131:AC194" ca="1" si="27">(AB131*24)/9</f>
        <v>3.0000000000000009</v>
      </c>
      <c r="AD131" s="76">
        <f t="shared" ref="AD131:AD194" ca="1" si="28">MAX(0,IF(NOT(OR(G131=1,G131=2)),IF(M131&lt;&gt;"",((MAX(NETWORKDAYS(L131,M131,UKBankHolidays)-1,0))*(TIME(17,0,0)-TIME(8,0,0))+IF(NETWORKDAYS(M131,M131,UKBankHolidays)&gt;0,MEDIAN(TIME(8,0,0),MOD(M131,1),TIME(17,0,0)),TIME(8,0,0))-MEDIAN(TIME(8,0,0),MOD(L131,1),TIME(17,0,0))),((MAX(NETWORKDAYS(L131,NOW(),UKBankHolidays)-1,0))*(TIME(17,0,0)-TIME(8,0,0))+IF(NETWORKDAYS(NOW(),NOW(),UKBankHolidays)&gt;0,MEDIAN(TIME(8,0,0),MOD(NOW(),1),TIME(17,0,0)),TIME(8,0,0))-MEDIAN(TIME(8,0,0),MOD(L131,1),TIME(17,0,0)))),IF(M131&lt;&gt;"",M131-L131,NOW()-L131)))</f>
        <v>0.13958333333236322</v>
      </c>
      <c r="AE131" s="76">
        <f t="shared" ref="AE131:AE194" ca="1" si="29">SUMIFS(AB:AB,E:E,E131)</f>
        <v>1.1250000000000002</v>
      </c>
      <c r="AF131" s="75">
        <f t="shared" ref="AF131:AF194" ca="1" si="30">(AE131*24)/9</f>
        <v>3.0000000000000009</v>
      </c>
      <c r="AG131" s="75">
        <f t="shared" ref="AG131:AG194" ca="1" si="31">AF131</f>
        <v>3.0000000000000009</v>
      </c>
      <c r="AH131" s="31" t="str" cm="1">
        <f t="array" aca="1" ref="AH131" ca="1">IF((AD131) &lt; (INDEX(ResponseSLA[#All],(MATCH((G131),ResponseSLA[Priority],0))+1,3)),"YES","No")</f>
        <v>No</v>
      </c>
      <c r="AI131" s="31" t="str">
        <f ca="1">_xlfn.IFNA(IF(AE131 &lt; (INDEX(SLATable[Minimum SLA],MATCH(G131,SLATable[Priority],0))),"YES","NO"),"")</f>
        <v>YES</v>
      </c>
      <c r="AJ131" t="str">
        <f ca="1">_xlfn.IFNA(IF(AE131 &lt; (INDEX(SLATable[Maximum SLA],MATCH(G131,SLATable[Priority],0))),"YES","NO"),"")</f>
        <v>YES</v>
      </c>
    </row>
    <row r="132" spans="2:36" ht="15" customHeight="1">
      <c r="B132" s="45" t="s">
        <v>26</v>
      </c>
      <c r="C132" s="45" t="s">
        <v>44</v>
      </c>
      <c r="D132" s="45" t="s">
        <v>207</v>
      </c>
      <c r="E132" s="45" t="s">
        <v>5874</v>
      </c>
      <c r="F132" s="45" t="s">
        <v>312</v>
      </c>
      <c r="G132" s="45">
        <v>4</v>
      </c>
      <c r="H132" s="45" t="s">
        <v>5875</v>
      </c>
      <c r="I132" s="45" t="s">
        <v>275</v>
      </c>
      <c r="J132" s="45" t="s">
        <v>5852</v>
      </c>
      <c r="K132" s="47">
        <v>46160.619444444441</v>
      </c>
      <c r="L132" s="47">
        <v>46160.662499999999</v>
      </c>
      <c r="M132" s="47">
        <v>46160.662499999999</v>
      </c>
      <c r="N132" s="47">
        <v>46165.506249999999</v>
      </c>
      <c r="Q132" s="45" t="s">
        <v>5866</v>
      </c>
      <c r="R132" s="45" t="s">
        <v>272</v>
      </c>
      <c r="S132" s="45" t="s">
        <v>5699</v>
      </c>
      <c r="T132" s="45" t="s">
        <v>268</v>
      </c>
      <c r="U132" s="45" t="s">
        <v>5531</v>
      </c>
      <c r="X132" s="45" t="s">
        <v>5531</v>
      </c>
      <c r="Z132" s="76">
        <f t="shared" ca="1" si="24"/>
        <v>1.2138888888924462</v>
      </c>
      <c r="AA132" s="75">
        <f t="shared" ca="1" si="25"/>
        <v>3.2370370370465231</v>
      </c>
      <c r="AB132" s="76">
        <f t="shared" ca="1" si="26"/>
        <v>1.1708333333347887</v>
      </c>
      <c r="AC132" s="75">
        <f t="shared" ca="1" si="27"/>
        <v>3.1222222222261031</v>
      </c>
      <c r="AD132" s="76">
        <f t="shared" ca="1" si="28"/>
        <v>0</v>
      </c>
      <c r="AE132" s="76">
        <f t="shared" ca="1" si="29"/>
        <v>1.1708333333347887</v>
      </c>
      <c r="AF132" s="75">
        <f t="shared" ca="1" si="30"/>
        <v>3.1222222222261031</v>
      </c>
      <c r="AG132" s="75">
        <f t="shared" ca="1" si="31"/>
        <v>3.1222222222261031</v>
      </c>
      <c r="AH132" s="31" t="str" cm="1">
        <f t="array" aca="1" ref="AH132" ca="1">IF((AD132) &lt; (INDEX(ResponseSLA[#All],(MATCH((G132),ResponseSLA[Priority],0))+1,3)),"YES","No")</f>
        <v>YES</v>
      </c>
      <c r="AI132" s="31" t="str">
        <f ca="1">_xlfn.IFNA(IF(AE132 &lt; (INDEX(SLATable[Minimum SLA],MATCH(G132,SLATable[Priority],0))),"YES","NO"),"")</f>
        <v>YES</v>
      </c>
      <c r="AJ132" t="str">
        <f ca="1">_xlfn.IFNA(IF(AE132 &lt; (INDEX(SLATable[Maximum SLA],MATCH(G132,SLATable[Priority],0))),"YES","NO"),"")</f>
        <v>YES</v>
      </c>
    </row>
    <row r="133" spans="2:36" ht="15" customHeight="1">
      <c r="B133" s="45" t="s">
        <v>26</v>
      </c>
      <c r="C133" s="45" t="s">
        <v>44</v>
      </c>
      <c r="D133" s="45" t="s">
        <v>207</v>
      </c>
      <c r="E133" s="45" t="s">
        <v>5876</v>
      </c>
      <c r="F133" s="45" t="s">
        <v>312</v>
      </c>
      <c r="G133" s="45">
        <v>4</v>
      </c>
      <c r="H133" s="45" t="s">
        <v>5877</v>
      </c>
      <c r="I133" s="45" t="s">
        <v>271</v>
      </c>
      <c r="J133" s="45" t="s">
        <v>5852</v>
      </c>
      <c r="K133" s="47">
        <v>46156.675000000003</v>
      </c>
      <c r="L133" s="47">
        <v>46162.636111111111</v>
      </c>
      <c r="M133" s="47">
        <v>46162.739583333336</v>
      </c>
      <c r="N133" s="47">
        <v>46167.511111111111</v>
      </c>
      <c r="Q133" s="45" t="s">
        <v>5873</v>
      </c>
      <c r="R133" s="45" t="s">
        <v>272</v>
      </c>
      <c r="S133" s="45" t="s">
        <v>5699</v>
      </c>
      <c r="T133" s="45" t="s">
        <v>268</v>
      </c>
      <c r="U133" s="45" t="s">
        <v>5531</v>
      </c>
      <c r="X133" s="45" t="s">
        <v>5531</v>
      </c>
      <c r="Z133" s="76">
        <f t="shared" ca="1" si="24"/>
        <v>1.9083333333304235</v>
      </c>
      <c r="AA133" s="75">
        <f t="shared" ca="1" si="25"/>
        <v>5.0888888888811294</v>
      </c>
      <c r="AB133" s="76">
        <f t="shared" ca="1" si="26"/>
        <v>0.44722222222238406</v>
      </c>
      <c r="AC133" s="75">
        <f t="shared" ca="1" si="27"/>
        <v>1.1925925925930241</v>
      </c>
      <c r="AD133" s="76">
        <f t="shared" ca="1" si="28"/>
        <v>7.2222222222383947E-2</v>
      </c>
      <c r="AE133" s="76">
        <f t="shared" ca="1" si="29"/>
        <v>0.44722222222238406</v>
      </c>
      <c r="AF133" s="75">
        <f t="shared" ca="1" si="30"/>
        <v>1.1925925925930241</v>
      </c>
      <c r="AG133" s="75">
        <f t="shared" ca="1" si="31"/>
        <v>1.1925925925930241</v>
      </c>
      <c r="AH133" s="31" t="str" cm="1">
        <f t="array" aca="1" ref="AH133" ca="1">IF((AD133) &lt; (INDEX(ResponseSLA[#All],(MATCH((G133),ResponseSLA[Priority],0))+1,3)),"YES","No")</f>
        <v>YES</v>
      </c>
      <c r="AI133" s="31" t="str">
        <f ca="1">_xlfn.IFNA(IF(AE133 &lt; (INDEX(SLATable[Minimum SLA],MATCH(G133,SLATable[Priority],0))),"YES","NO"),"")</f>
        <v>YES</v>
      </c>
      <c r="AJ133" t="str">
        <f ca="1">_xlfn.IFNA(IF(AE133 &lt; (INDEX(SLATable[Maximum SLA],MATCH(G133,SLATable[Priority],0))),"YES","NO"),"")</f>
        <v>YES</v>
      </c>
    </row>
    <row r="134" spans="2:36" ht="15" customHeight="1">
      <c r="B134" s="45" t="s">
        <v>26</v>
      </c>
      <c r="C134" s="45" t="s">
        <v>44</v>
      </c>
      <c r="D134" s="45" t="s">
        <v>208</v>
      </c>
      <c r="E134" s="45" t="s">
        <v>5878</v>
      </c>
      <c r="F134" s="45" t="s">
        <v>312</v>
      </c>
      <c r="G134" s="45" t="s">
        <v>208</v>
      </c>
      <c r="H134" s="45" t="s">
        <v>5879</v>
      </c>
      <c r="I134" s="45" t="s">
        <v>271</v>
      </c>
      <c r="J134" s="45" t="s">
        <v>5852</v>
      </c>
      <c r="K134" s="47">
        <v>46154.679166666669</v>
      </c>
      <c r="L134" s="47">
        <v>46155.663888888892</v>
      </c>
      <c r="M134" s="47">
        <v>46155.665277777778</v>
      </c>
      <c r="N134" s="47">
        <v>46168.651388888888</v>
      </c>
      <c r="Q134" s="45" t="s">
        <v>5880</v>
      </c>
      <c r="R134" s="45" t="s">
        <v>272</v>
      </c>
      <c r="S134" s="45" t="s">
        <v>5699</v>
      </c>
      <c r="T134" s="45" t="s">
        <v>268</v>
      </c>
      <c r="U134" s="45" t="s">
        <v>5531</v>
      </c>
      <c r="X134" s="45" t="s">
        <v>5531</v>
      </c>
      <c r="Z134" s="76">
        <f t="shared" ca="1" si="24"/>
        <v>3.3472222222189885</v>
      </c>
      <c r="AA134" s="75">
        <f t="shared" ca="1" si="25"/>
        <v>8.9259259259173032</v>
      </c>
      <c r="AB134" s="76">
        <f t="shared" ca="1" si="26"/>
        <v>2.9874999999956349</v>
      </c>
      <c r="AC134" s="75">
        <f t="shared" ca="1" si="27"/>
        <v>7.9666666666550263</v>
      </c>
      <c r="AD134" s="76">
        <f t="shared" ca="1" si="28"/>
        <v>1.3888888861401938E-3</v>
      </c>
      <c r="AE134" s="76">
        <f t="shared" ca="1" si="29"/>
        <v>2.9874999999956349</v>
      </c>
      <c r="AF134" s="75">
        <f t="shared" ca="1" si="30"/>
        <v>7.9666666666550263</v>
      </c>
      <c r="AG134" s="75">
        <f t="shared" ca="1" si="31"/>
        <v>7.9666666666550263</v>
      </c>
      <c r="AH134" s="31" t="str" cm="1">
        <f t="array" aca="1" ref="AH134" ca="1">IF((AD134) &lt; (INDEX(ResponseSLA[#All],(MATCH((G134),ResponseSLA[Priority],0))+1,3)),"YES","No")</f>
        <v>YES</v>
      </c>
      <c r="AI134" s="31" t="str">
        <f ca="1">_xlfn.IFNA(IF(AE134 &lt; (INDEX(SLATable[Minimum SLA],MATCH(G134,SLATable[Priority],0))),"YES","NO"),"")</f>
        <v>NO</v>
      </c>
      <c r="AJ134" t="str">
        <f ca="1">_xlfn.IFNA(IF(AE134 &lt; (INDEX(SLATable[Maximum SLA],MATCH(G134,SLATable[Priority],0))),"YES","NO"),"")</f>
        <v>NO</v>
      </c>
    </row>
    <row r="135" spans="2:36" ht="15" customHeight="1">
      <c r="B135" s="45" t="s">
        <v>26</v>
      </c>
      <c r="C135" s="45" t="s">
        <v>44</v>
      </c>
      <c r="D135" s="45" t="s">
        <v>208</v>
      </c>
      <c r="E135" s="45" t="s">
        <v>5881</v>
      </c>
      <c r="F135" s="45" t="s">
        <v>312</v>
      </c>
      <c r="G135" s="45" t="s">
        <v>208</v>
      </c>
      <c r="H135" s="45" t="s">
        <v>5882</v>
      </c>
      <c r="I135" s="45" t="s">
        <v>271</v>
      </c>
      <c r="J135" s="45" t="s">
        <v>5852</v>
      </c>
      <c r="K135" s="47">
        <v>46161.717361111114</v>
      </c>
      <c r="L135" s="47">
        <v>46161.73333333333</v>
      </c>
      <c r="M135" s="47">
        <v>46161.73333333333</v>
      </c>
      <c r="N135" s="47">
        <v>46168.652083333334</v>
      </c>
      <c r="Q135" s="45" t="s">
        <v>5869</v>
      </c>
      <c r="R135" s="45" t="s">
        <v>272</v>
      </c>
      <c r="S135" s="45" t="s">
        <v>5699</v>
      </c>
      <c r="T135" s="45" t="s">
        <v>268</v>
      </c>
      <c r="U135" s="45" t="s">
        <v>5531</v>
      </c>
      <c r="X135" s="45" t="s">
        <v>5531</v>
      </c>
      <c r="Z135" s="76">
        <f t="shared" ca="1" si="24"/>
        <v>1.44375000000097</v>
      </c>
      <c r="AA135" s="75">
        <f t="shared" ca="1" si="25"/>
        <v>3.8500000000025869</v>
      </c>
      <c r="AB135" s="76">
        <f t="shared" ca="1" si="26"/>
        <v>1.44375000000097</v>
      </c>
      <c r="AC135" s="75">
        <f t="shared" ca="1" si="27"/>
        <v>3.8500000000025869</v>
      </c>
      <c r="AD135" s="76">
        <f t="shared" ca="1" si="28"/>
        <v>0</v>
      </c>
      <c r="AE135" s="76">
        <f t="shared" ca="1" si="29"/>
        <v>1.44375000000097</v>
      </c>
      <c r="AF135" s="75">
        <f t="shared" ca="1" si="30"/>
        <v>3.8500000000025869</v>
      </c>
      <c r="AG135" s="75">
        <f t="shared" ca="1" si="31"/>
        <v>3.8500000000025869</v>
      </c>
      <c r="AH135" s="31" t="str" cm="1">
        <f t="array" aca="1" ref="AH135" ca="1">IF((AD135) &lt; (INDEX(ResponseSLA[#All],(MATCH((G135),ResponseSLA[Priority],0))+1,3)),"YES","No")</f>
        <v>YES</v>
      </c>
      <c r="AI135" s="31" t="str">
        <f ca="1">_xlfn.IFNA(IF(AE135 &lt; (INDEX(SLATable[Minimum SLA],MATCH(G135,SLATable[Priority],0))),"YES","NO"),"")</f>
        <v>NO</v>
      </c>
      <c r="AJ135" t="str">
        <f ca="1">_xlfn.IFNA(IF(AE135 &lt; (INDEX(SLATable[Maximum SLA],MATCH(G135,SLATable[Priority],0))),"YES","NO"),"")</f>
        <v>NO</v>
      </c>
    </row>
    <row r="136" spans="2:36" ht="15" customHeight="1">
      <c r="B136" s="45" t="s">
        <v>26</v>
      </c>
      <c r="C136" s="45" t="s">
        <v>44</v>
      </c>
      <c r="D136" s="45" t="s">
        <v>208</v>
      </c>
      <c r="E136" s="45" t="s">
        <v>2868</v>
      </c>
      <c r="F136" s="45" t="s">
        <v>312</v>
      </c>
      <c r="G136" s="45" t="s">
        <v>208</v>
      </c>
      <c r="H136" s="45" t="s">
        <v>2869</v>
      </c>
      <c r="I136" s="45" t="s">
        <v>275</v>
      </c>
      <c r="J136" s="45" t="s">
        <v>5852</v>
      </c>
      <c r="K136" s="47">
        <v>46136.656944444447</v>
      </c>
      <c r="L136" s="47">
        <v>46164.864583333336</v>
      </c>
      <c r="M136" s="47">
        <v>46167.468055555553</v>
      </c>
      <c r="N136" s="47">
        <v>46168.65347222222</v>
      </c>
      <c r="Q136" s="45" t="s">
        <v>54</v>
      </c>
      <c r="R136" s="45" t="s">
        <v>272</v>
      </c>
      <c r="S136" s="45" t="s">
        <v>5699</v>
      </c>
      <c r="T136" s="45" t="s">
        <v>268</v>
      </c>
      <c r="U136" s="45" t="s">
        <v>5531</v>
      </c>
      <c r="X136" s="45" t="s">
        <v>5531</v>
      </c>
      <c r="Z136" s="76">
        <f t="shared" ca="1" si="24"/>
        <v>7.1215277777737365</v>
      </c>
      <c r="AA136" s="75">
        <f t="shared" ca="1" si="25"/>
        <v>18.990740740729965</v>
      </c>
      <c r="AB136" s="76">
        <f t="shared" ca="1" si="26"/>
        <v>0.32013888888711028</v>
      </c>
      <c r="AC136" s="75">
        <f t="shared" ca="1" si="27"/>
        <v>0.85370370369896076</v>
      </c>
      <c r="AD136" s="76">
        <f t="shared" ca="1" si="28"/>
        <v>0</v>
      </c>
      <c r="AE136" s="76">
        <f t="shared" ca="1" si="29"/>
        <v>0.32013888888711028</v>
      </c>
      <c r="AF136" s="75">
        <f t="shared" ca="1" si="30"/>
        <v>0.85370370369896076</v>
      </c>
      <c r="AG136" s="75">
        <f t="shared" ca="1" si="31"/>
        <v>0.85370370369896076</v>
      </c>
      <c r="AH136" s="31" t="str" cm="1">
        <f t="array" aca="1" ref="AH136" ca="1">IF((AD136) &lt; (INDEX(ResponseSLA[#All],(MATCH((G136),ResponseSLA[Priority],0))+1,3)),"YES","No")</f>
        <v>YES</v>
      </c>
      <c r="AI136" s="31" t="str">
        <f ca="1">_xlfn.IFNA(IF(AE136 &lt; (INDEX(SLATable[Minimum SLA],MATCH(G136,SLATable[Priority],0))),"YES","NO"),"")</f>
        <v>YES</v>
      </c>
      <c r="AJ136" t="str">
        <f ca="1">_xlfn.IFNA(IF(AE136 &lt; (INDEX(SLATable[Maximum SLA],MATCH(G136,SLATable[Priority],0))),"YES","NO"),"")</f>
        <v>YES</v>
      </c>
    </row>
    <row r="137" spans="2:36" ht="15" customHeight="1">
      <c r="B137" s="45" t="s">
        <v>26</v>
      </c>
      <c r="C137" s="45" t="s">
        <v>44</v>
      </c>
      <c r="D137" s="45" t="s">
        <v>207</v>
      </c>
      <c r="E137" s="45" t="s">
        <v>5883</v>
      </c>
      <c r="F137" s="45" t="s">
        <v>312</v>
      </c>
      <c r="G137" s="45">
        <v>4</v>
      </c>
      <c r="H137" s="45" t="s">
        <v>5884</v>
      </c>
      <c r="I137" s="45" t="s">
        <v>275</v>
      </c>
      <c r="J137" s="45" t="s">
        <v>5852</v>
      </c>
      <c r="K137" s="47">
        <v>46168.974305555559</v>
      </c>
      <c r="L137" s="47">
        <v>46168.977083333331</v>
      </c>
      <c r="M137" s="47">
        <v>46169.453472222223</v>
      </c>
      <c r="N137" s="47">
        <v>46169.472916666666</v>
      </c>
      <c r="Q137" s="45" t="s">
        <v>54</v>
      </c>
      <c r="R137" s="45" t="s">
        <v>272</v>
      </c>
      <c r="S137" s="45" t="s">
        <v>5699</v>
      </c>
      <c r="T137" s="45" t="s">
        <v>268</v>
      </c>
      <c r="U137" s="45" t="s">
        <v>5531</v>
      </c>
      <c r="X137" s="45" t="s">
        <v>5531</v>
      </c>
      <c r="Z137" s="76">
        <f t="shared" ca="1" si="24"/>
        <v>0.13958333333236317</v>
      </c>
      <c r="AA137" s="75">
        <f t="shared" ca="1" si="25"/>
        <v>0.37222222221963513</v>
      </c>
      <c r="AB137" s="76">
        <f t="shared" ca="1" si="26"/>
        <v>0.13958333333236317</v>
      </c>
      <c r="AC137" s="75">
        <f t="shared" ca="1" si="27"/>
        <v>0.37222222221963513</v>
      </c>
      <c r="AD137" s="76">
        <f t="shared" ca="1" si="28"/>
        <v>0.12013888889002067</v>
      </c>
      <c r="AE137" s="76">
        <f t="shared" ca="1" si="29"/>
        <v>0.13958333333236317</v>
      </c>
      <c r="AF137" s="75">
        <f t="shared" ca="1" si="30"/>
        <v>0.37222222221963513</v>
      </c>
      <c r="AG137" s="75">
        <f t="shared" ca="1" si="31"/>
        <v>0.37222222221963513</v>
      </c>
      <c r="AH137" s="31" t="str" cm="1">
        <f t="array" aca="1" ref="AH137" ca="1">IF((AD137) &lt; (INDEX(ResponseSLA[#All],(MATCH((G137),ResponseSLA[Priority],0))+1,3)),"YES","No")</f>
        <v>YES</v>
      </c>
      <c r="AI137" s="31" t="str">
        <f ca="1">_xlfn.IFNA(IF(AE137 &lt; (INDEX(SLATable[Minimum SLA],MATCH(G137,SLATable[Priority],0))),"YES","NO"),"")</f>
        <v>YES</v>
      </c>
      <c r="AJ137" t="str">
        <f ca="1">_xlfn.IFNA(IF(AE137 &lt; (INDEX(SLATable[Maximum SLA],MATCH(G137,SLATable[Priority],0))),"YES","NO"),"")</f>
        <v>YES</v>
      </c>
    </row>
    <row r="138" spans="2:36" ht="15" customHeight="1">
      <c r="B138" s="45" t="s">
        <v>26</v>
      </c>
      <c r="C138" s="45" t="s">
        <v>44</v>
      </c>
      <c r="D138" s="45" t="s">
        <v>207</v>
      </c>
      <c r="E138" s="45" t="s">
        <v>5885</v>
      </c>
      <c r="F138" s="45" t="s">
        <v>312</v>
      </c>
      <c r="G138" s="45">
        <v>4</v>
      </c>
      <c r="H138" s="45" t="s">
        <v>5886</v>
      </c>
      <c r="I138" s="45" t="s">
        <v>275</v>
      </c>
      <c r="J138" s="45" t="s">
        <v>5852</v>
      </c>
      <c r="K138" s="47">
        <v>46167.324305555558</v>
      </c>
      <c r="L138" s="47">
        <v>46170.395138888889</v>
      </c>
      <c r="M138" s="47">
        <v>46170.465277777781</v>
      </c>
      <c r="N138" s="47">
        <v>46174.445138888892</v>
      </c>
      <c r="Q138" s="45" t="s">
        <v>5856</v>
      </c>
      <c r="R138" s="45" t="s">
        <v>272</v>
      </c>
      <c r="S138" s="45" t="s">
        <v>5699</v>
      </c>
      <c r="T138" s="45" t="s">
        <v>268</v>
      </c>
      <c r="U138" s="45" t="s">
        <v>5531</v>
      </c>
      <c r="X138" s="45" t="s">
        <v>5531</v>
      </c>
      <c r="Z138" s="76">
        <f t="shared" ca="1" si="24"/>
        <v>1.6118055555586279</v>
      </c>
      <c r="AA138" s="75">
        <f t="shared" ca="1" si="25"/>
        <v>4.2981481481563408</v>
      </c>
      <c r="AB138" s="76">
        <f t="shared" ca="1" si="26"/>
        <v>0.80000000000291038</v>
      </c>
      <c r="AC138" s="75">
        <f t="shared" ca="1" si="27"/>
        <v>2.1333333333410942</v>
      </c>
      <c r="AD138" s="76">
        <f t="shared" ca="1" si="28"/>
        <v>7.013888889196096E-2</v>
      </c>
      <c r="AE138" s="76">
        <f t="shared" ca="1" si="29"/>
        <v>0.80000000000291038</v>
      </c>
      <c r="AF138" s="75">
        <f t="shared" ca="1" si="30"/>
        <v>2.1333333333410942</v>
      </c>
      <c r="AG138" s="75">
        <f t="shared" ca="1" si="31"/>
        <v>2.1333333333410942</v>
      </c>
      <c r="AH138" s="31" t="str" cm="1">
        <f t="array" aca="1" ref="AH138" ca="1">IF((AD138) &lt; (INDEX(ResponseSLA[#All],(MATCH((G138),ResponseSLA[Priority],0))+1,3)),"YES","No")</f>
        <v>YES</v>
      </c>
      <c r="AI138" s="31" t="str">
        <f ca="1">_xlfn.IFNA(IF(AE138 &lt; (INDEX(SLATable[Minimum SLA],MATCH(G138,SLATable[Priority],0))),"YES","NO"),"")</f>
        <v>YES</v>
      </c>
      <c r="AJ138" t="str">
        <f ca="1">_xlfn.IFNA(IF(AE138 &lt; (INDEX(SLATable[Maximum SLA],MATCH(G138,SLATable[Priority],0))),"YES","NO"),"")</f>
        <v>YES</v>
      </c>
    </row>
    <row r="139" spans="2:36" ht="15" customHeight="1">
      <c r="B139" s="45" t="s">
        <v>26</v>
      </c>
      <c r="C139" s="45" t="s">
        <v>44</v>
      </c>
      <c r="D139" s="45" t="s">
        <v>207</v>
      </c>
      <c r="E139" s="45" t="s">
        <v>5887</v>
      </c>
      <c r="F139" s="45" t="s">
        <v>312</v>
      </c>
      <c r="G139" s="45">
        <v>4</v>
      </c>
      <c r="H139" s="45" t="s">
        <v>5877</v>
      </c>
      <c r="I139" s="45" t="s">
        <v>275</v>
      </c>
      <c r="J139" s="45" t="s">
        <v>5852</v>
      </c>
      <c r="K139" s="47">
        <v>46157.411805555559</v>
      </c>
      <c r="L139" s="47">
        <v>46162.637499999997</v>
      </c>
      <c r="M139" s="47">
        <v>46162.739583333336</v>
      </c>
      <c r="N139" s="47">
        <v>46169.486111111109</v>
      </c>
      <c r="Q139" s="45" t="s">
        <v>5873</v>
      </c>
      <c r="R139" s="45" t="s">
        <v>272</v>
      </c>
      <c r="S139" s="45" t="s">
        <v>5699</v>
      </c>
      <c r="T139" s="45" t="s">
        <v>268</v>
      </c>
      <c r="U139" s="45" t="s">
        <v>5531</v>
      </c>
      <c r="X139" s="45" t="s">
        <v>5531</v>
      </c>
      <c r="Z139" s="76">
        <f t="shared" ca="1" si="24"/>
        <v>2.699305555550382</v>
      </c>
      <c r="AA139" s="75">
        <f t="shared" ca="1" si="25"/>
        <v>7.1981481481343526</v>
      </c>
      <c r="AB139" s="76">
        <f t="shared" ca="1" si="26"/>
        <v>1.3486111111124048</v>
      </c>
      <c r="AC139" s="75">
        <f t="shared" ca="1" si="27"/>
        <v>3.5962962962997462</v>
      </c>
      <c r="AD139" s="76">
        <f t="shared" ca="1" si="28"/>
        <v>7.0833333336243753E-2</v>
      </c>
      <c r="AE139" s="76">
        <f t="shared" ca="1" si="29"/>
        <v>1.3486111111124048</v>
      </c>
      <c r="AF139" s="75">
        <f t="shared" ca="1" si="30"/>
        <v>3.5962962962997462</v>
      </c>
      <c r="AG139" s="75">
        <f t="shared" ca="1" si="31"/>
        <v>3.5962962962997462</v>
      </c>
      <c r="AH139" s="31" t="str" cm="1">
        <f t="array" aca="1" ref="AH139" ca="1">IF((AD139) &lt; (INDEX(ResponseSLA[#All],(MATCH((G139),ResponseSLA[Priority],0))+1,3)),"YES","No")</f>
        <v>YES</v>
      </c>
      <c r="AI139" s="31" t="str">
        <f ca="1">_xlfn.IFNA(IF(AE139 &lt; (INDEX(SLATable[Minimum SLA],MATCH(G139,SLATable[Priority],0))),"YES","NO"),"")</f>
        <v>YES</v>
      </c>
      <c r="AJ139" t="str">
        <f ca="1">_xlfn.IFNA(IF(AE139 &lt; (INDEX(SLATable[Maximum SLA],MATCH(G139,SLATable[Priority],0))),"YES","NO"),"")</f>
        <v>YES</v>
      </c>
    </row>
    <row r="140" spans="2:36" ht="15" customHeight="1">
      <c r="B140" s="45" t="s">
        <v>26</v>
      </c>
      <c r="C140" s="45" t="s">
        <v>44</v>
      </c>
      <c r="D140" s="45" t="s">
        <v>207</v>
      </c>
      <c r="E140" s="45" t="s">
        <v>5888</v>
      </c>
      <c r="F140" s="45" t="s">
        <v>312</v>
      </c>
      <c r="G140" s="45">
        <v>4</v>
      </c>
      <c r="H140" s="45" t="s">
        <v>5889</v>
      </c>
      <c r="I140" s="45" t="s">
        <v>275</v>
      </c>
      <c r="J140" s="45" t="s">
        <v>5852</v>
      </c>
      <c r="K140" s="47">
        <v>46170.050694444442</v>
      </c>
      <c r="L140" s="47">
        <v>46170.743055555555</v>
      </c>
      <c r="M140" s="47">
        <v>46170.79583333333</v>
      </c>
      <c r="N140" s="47">
        <v>46171.603472222225</v>
      </c>
      <c r="Q140" s="45" t="s">
        <v>44</v>
      </c>
      <c r="R140" s="45" t="s">
        <v>272</v>
      </c>
      <c r="S140" s="45" t="s">
        <v>5699</v>
      </c>
      <c r="T140" s="45" t="s">
        <v>268</v>
      </c>
      <c r="U140" s="45" t="s">
        <v>5531</v>
      </c>
      <c r="X140" s="45" t="s">
        <v>5531</v>
      </c>
      <c r="Z140" s="76">
        <f t="shared" ca="1" si="24"/>
        <v>0.64513888889147597</v>
      </c>
      <c r="AA140" s="75">
        <f t="shared" ca="1" si="25"/>
        <v>1.7203703703772693</v>
      </c>
      <c r="AB140" s="76">
        <f t="shared" ca="1" si="26"/>
        <v>0.27013888889147586</v>
      </c>
      <c r="AC140" s="75">
        <f t="shared" ca="1" si="27"/>
        <v>0.72037037037726892</v>
      </c>
      <c r="AD140" s="76">
        <f t="shared" ca="1" si="28"/>
        <v>0</v>
      </c>
      <c r="AE140" s="76">
        <f t="shared" ca="1" si="29"/>
        <v>0.27013888889147586</v>
      </c>
      <c r="AF140" s="75">
        <f t="shared" ca="1" si="30"/>
        <v>0.72037037037726892</v>
      </c>
      <c r="AG140" s="75">
        <f t="shared" ca="1" si="31"/>
        <v>0.72037037037726892</v>
      </c>
      <c r="AH140" s="31" t="str" cm="1">
        <f t="array" aca="1" ref="AH140" ca="1">IF((AD140) &lt; (INDEX(ResponseSLA[#All],(MATCH((G140),ResponseSLA[Priority],0))+1,3)),"YES","No")</f>
        <v>YES</v>
      </c>
      <c r="AI140" s="31" t="str">
        <f ca="1">_xlfn.IFNA(IF(AE140 &lt; (INDEX(SLATable[Minimum SLA],MATCH(G140,SLATable[Priority],0))),"YES","NO"),"")</f>
        <v>YES</v>
      </c>
      <c r="AJ140" t="str">
        <f ca="1">_xlfn.IFNA(IF(AE140 &lt; (INDEX(SLATable[Maximum SLA],MATCH(G140,SLATable[Priority],0))),"YES","NO"),"")</f>
        <v>YES</v>
      </c>
    </row>
    <row r="141" spans="2:36" ht="15" customHeight="1">
      <c r="B141" s="45" t="s">
        <v>26</v>
      </c>
      <c r="C141" s="45" t="s">
        <v>44</v>
      </c>
      <c r="D141" s="45" t="s">
        <v>208</v>
      </c>
      <c r="E141" s="45" t="s">
        <v>5890</v>
      </c>
      <c r="F141" s="45" t="s">
        <v>312</v>
      </c>
      <c r="G141" s="45" t="s">
        <v>208</v>
      </c>
      <c r="H141" s="45" t="s">
        <v>5891</v>
      </c>
      <c r="I141" s="45" t="s">
        <v>271</v>
      </c>
      <c r="J141" s="45" t="s">
        <v>5852</v>
      </c>
      <c r="K141" s="47">
        <v>46147.081250000003</v>
      </c>
      <c r="L141" s="47">
        <v>46147.530555555553</v>
      </c>
      <c r="M141" s="47">
        <v>46147.711111111108</v>
      </c>
      <c r="N141" s="47">
        <v>46169.491666666669</v>
      </c>
      <c r="Q141" s="45" t="s">
        <v>44</v>
      </c>
      <c r="R141" s="45" t="s">
        <v>272</v>
      </c>
      <c r="S141" s="45" t="s">
        <v>5699</v>
      </c>
      <c r="T141" s="45" t="s">
        <v>268</v>
      </c>
      <c r="U141" s="45" t="s">
        <v>5531</v>
      </c>
      <c r="X141" s="45" t="s">
        <v>5531</v>
      </c>
      <c r="Z141" s="76">
        <f t="shared" ca="1" si="24"/>
        <v>5.7833333333352748</v>
      </c>
      <c r="AA141" s="75">
        <f t="shared" ca="1" si="25"/>
        <v>15.422222222227399</v>
      </c>
      <c r="AB141" s="76">
        <f t="shared" ca="1" si="26"/>
        <v>5.5861111111153159</v>
      </c>
      <c r="AC141" s="75">
        <f t="shared" ca="1" si="27"/>
        <v>14.89629629630751</v>
      </c>
      <c r="AD141" s="76">
        <f t="shared" ca="1" si="28"/>
        <v>0.17777777778004145</v>
      </c>
      <c r="AE141" s="76">
        <f t="shared" ca="1" si="29"/>
        <v>5.5861111111153159</v>
      </c>
      <c r="AF141" s="75">
        <f t="shared" ca="1" si="30"/>
        <v>14.89629629630751</v>
      </c>
      <c r="AG141" s="75">
        <f t="shared" ca="1" si="31"/>
        <v>14.89629629630751</v>
      </c>
      <c r="AH141" s="31" t="str" cm="1">
        <f t="array" aca="1" ref="AH141" ca="1">IF((AD141) &lt; (INDEX(ResponseSLA[#All],(MATCH((G141),ResponseSLA[Priority],0))+1,3)),"YES","No")</f>
        <v>YES</v>
      </c>
      <c r="AI141" s="31" t="str">
        <f ca="1">_xlfn.IFNA(IF(AE141 &lt; (INDEX(SLATable[Minimum SLA],MATCH(G141,SLATable[Priority],0))),"YES","NO"),"")</f>
        <v>NO</v>
      </c>
      <c r="AJ141" t="str">
        <f ca="1">_xlfn.IFNA(IF(AE141 &lt; (INDEX(SLATable[Maximum SLA],MATCH(G141,SLATable[Priority],0))),"YES","NO"),"")</f>
        <v>NO</v>
      </c>
    </row>
    <row r="142" spans="2:36" ht="15" customHeight="1">
      <c r="B142" s="45" t="s">
        <v>26</v>
      </c>
      <c r="C142" s="45" t="s">
        <v>44</v>
      </c>
      <c r="D142" s="45" t="s">
        <v>208</v>
      </c>
      <c r="E142" s="45" t="s">
        <v>5892</v>
      </c>
      <c r="F142" s="45" t="s">
        <v>312</v>
      </c>
      <c r="G142" s="45" t="s">
        <v>208</v>
      </c>
      <c r="H142" s="45" t="s">
        <v>1177</v>
      </c>
      <c r="I142" s="45" t="s">
        <v>275</v>
      </c>
      <c r="J142" s="45" t="s">
        <v>5852</v>
      </c>
      <c r="K142" s="47">
        <v>46167.688194444447</v>
      </c>
      <c r="L142" s="47">
        <v>46167.688194444447</v>
      </c>
      <c r="M142" s="47">
        <v>46167.896527777775</v>
      </c>
      <c r="N142" s="47">
        <v>46169.493750000001</v>
      </c>
      <c r="Q142" s="45" t="s">
        <v>5866</v>
      </c>
      <c r="R142" s="45" t="s">
        <v>272</v>
      </c>
      <c r="S142" s="45" t="s">
        <v>5699</v>
      </c>
      <c r="T142" s="45" t="s">
        <v>268</v>
      </c>
      <c r="U142" s="45" t="s">
        <v>5531</v>
      </c>
      <c r="X142" s="45" t="s">
        <v>5531</v>
      </c>
      <c r="Z142" s="76">
        <f t="shared" ca="1" si="24"/>
        <v>0.53541666666812193</v>
      </c>
      <c r="AA142" s="75">
        <f t="shared" ca="1" si="25"/>
        <v>1.4277777777816585</v>
      </c>
      <c r="AB142" s="76">
        <f t="shared" ca="1" si="26"/>
        <v>0.53541666666812193</v>
      </c>
      <c r="AC142" s="75">
        <f t="shared" ca="1" si="27"/>
        <v>1.4277777777816585</v>
      </c>
      <c r="AD142" s="76">
        <f t="shared" ca="1" si="28"/>
        <v>0</v>
      </c>
      <c r="AE142" s="76">
        <f t="shared" ca="1" si="29"/>
        <v>0.53541666666812193</v>
      </c>
      <c r="AF142" s="75">
        <f t="shared" ca="1" si="30"/>
        <v>1.4277777777816585</v>
      </c>
      <c r="AG142" s="75">
        <f t="shared" ca="1" si="31"/>
        <v>1.4277777777816585</v>
      </c>
      <c r="AH142" s="31" t="str" cm="1">
        <f t="array" aca="1" ref="AH142" ca="1">IF((AD142) &lt; (INDEX(ResponseSLA[#All],(MATCH((G142),ResponseSLA[Priority],0))+1,3)),"YES","No")</f>
        <v>YES</v>
      </c>
      <c r="AI142" s="31" t="str">
        <f ca="1">_xlfn.IFNA(IF(AE142 &lt; (INDEX(SLATable[Minimum SLA],MATCH(G142,SLATable[Priority],0))),"YES","NO"),"")</f>
        <v>YES</v>
      </c>
      <c r="AJ142" t="str">
        <f ca="1">_xlfn.IFNA(IF(AE142 &lt; (INDEX(SLATable[Maximum SLA],MATCH(G142,SLATable[Priority],0))),"YES","NO"),"")</f>
        <v>YES</v>
      </c>
    </row>
    <row r="143" spans="2:36" ht="15" customHeight="1">
      <c r="B143" s="45" t="s">
        <v>26</v>
      </c>
      <c r="C143" s="45" t="s">
        <v>44</v>
      </c>
      <c r="D143" s="53" t="s">
        <v>208</v>
      </c>
      <c r="E143" s="53" t="s">
        <v>5893</v>
      </c>
      <c r="F143" s="45" t="s">
        <v>312</v>
      </c>
      <c r="G143" s="53" t="s">
        <v>208</v>
      </c>
      <c r="H143" s="53" t="s">
        <v>5894</v>
      </c>
      <c r="I143" s="53" t="s">
        <v>275</v>
      </c>
      <c r="J143" s="53" t="s">
        <v>5530</v>
      </c>
      <c r="K143" s="71">
        <v>46148.524305555555</v>
      </c>
      <c r="L143" s="71">
        <v>46162.62777777778</v>
      </c>
      <c r="M143" s="71">
        <v>46162.650694444441</v>
      </c>
      <c r="N143" s="71">
        <v>46163.237500000003</v>
      </c>
      <c r="O143" s="71"/>
      <c r="P143" s="71"/>
      <c r="Q143" s="53" t="s">
        <v>5534</v>
      </c>
      <c r="R143" s="53" t="s">
        <v>272</v>
      </c>
      <c r="S143" s="53" t="s">
        <v>5895</v>
      </c>
      <c r="T143" s="53" t="s">
        <v>5896</v>
      </c>
      <c r="U143" s="53" t="s">
        <v>5531</v>
      </c>
      <c r="V143" s="53"/>
      <c r="X143" s="45" t="s">
        <v>5531</v>
      </c>
      <c r="Y143" s="53" t="s">
        <v>5897</v>
      </c>
      <c r="Z143" s="76">
        <f t="shared" ca="1" si="24"/>
        <v>3.9340277777785868</v>
      </c>
      <c r="AA143" s="75">
        <f t="shared" ca="1" si="25"/>
        <v>10.490740740742899</v>
      </c>
      <c r="AB143" s="76">
        <f t="shared" ca="1" si="26"/>
        <v>8.0555555553777025E-2</v>
      </c>
      <c r="AC143" s="75">
        <f t="shared" ca="1" si="27"/>
        <v>0.21481481481007206</v>
      </c>
      <c r="AD143" s="76">
        <f t="shared" ca="1" si="28"/>
        <v>2.2916666661330964E-2</v>
      </c>
      <c r="AE143" s="76">
        <f t="shared" ca="1" si="29"/>
        <v>8.0555555553777025E-2</v>
      </c>
      <c r="AF143" s="75">
        <f t="shared" ca="1" si="30"/>
        <v>0.21481481481007206</v>
      </c>
      <c r="AG143" s="75">
        <f t="shared" ca="1" si="31"/>
        <v>0.21481481481007206</v>
      </c>
      <c r="AH143" s="31" t="str" cm="1">
        <f t="array" aca="1" ref="AH143" ca="1">IF((AD143) &lt; (INDEX(ResponseSLA[#All],(MATCH((G143),ResponseSLA[Priority],0))+1,3)),"YES","No")</f>
        <v>YES</v>
      </c>
      <c r="AI143" s="31" t="str">
        <f ca="1">_xlfn.IFNA(IF(AE143 &lt; (INDEX(SLATable[Minimum SLA],MATCH(G143,SLATable[Priority],0))),"YES","NO"),"")</f>
        <v>YES</v>
      </c>
      <c r="AJ143" t="str">
        <f ca="1">_xlfn.IFNA(IF(AE143 &lt; (INDEX(SLATable[Maximum SLA],MATCH(G143,SLATable[Priority],0))),"YES","NO"),"")</f>
        <v>YES</v>
      </c>
    </row>
    <row r="144" spans="2:36" ht="15" customHeight="1">
      <c r="B144" s="45" t="s">
        <v>26</v>
      </c>
      <c r="C144" s="45" t="s">
        <v>44</v>
      </c>
      <c r="D144" s="53" t="s">
        <v>207</v>
      </c>
      <c r="E144" s="53" t="s">
        <v>5898</v>
      </c>
      <c r="F144" s="45" t="s">
        <v>312</v>
      </c>
      <c r="G144" s="53">
        <v>4</v>
      </c>
      <c r="H144" s="53" t="s">
        <v>5899</v>
      </c>
      <c r="I144" s="53" t="s">
        <v>271</v>
      </c>
      <c r="J144" s="53" t="s">
        <v>5530</v>
      </c>
      <c r="K144" s="71">
        <v>46162.377083333333</v>
      </c>
      <c r="L144" s="71">
        <v>46162.386805555558</v>
      </c>
      <c r="M144" s="71">
        <v>46162.554166666669</v>
      </c>
      <c r="N144" s="71">
        <v>46170.27957175926</v>
      </c>
      <c r="O144" s="71">
        <v>46163.268750000003</v>
      </c>
      <c r="P144" s="71">
        <v>46170.27957175926</v>
      </c>
      <c r="Q144" s="53" t="s">
        <v>5900</v>
      </c>
      <c r="R144" s="53" t="s">
        <v>261</v>
      </c>
      <c r="S144" s="53" t="s">
        <v>5895</v>
      </c>
      <c r="T144" s="53" t="s">
        <v>5896</v>
      </c>
      <c r="U144" s="53" t="s">
        <v>5531</v>
      </c>
      <c r="V144" s="53"/>
      <c r="X144" s="53" t="s">
        <v>5531</v>
      </c>
      <c r="Y144" s="53" t="s">
        <v>5901</v>
      </c>
      <c r="Z144" s="76">
        <f t="shared" ca="1" si="24"/>
        <v>0.33125000000048499</v>
      </c>
      <c r="AA144" s="75">
        <f t="shared" ca="1" si="25"/>
        <v>0.8833333333346266</v>
      </c>
      <c r="AB144" s="76">
        <f t="shared" ca="1" si="26"/>
        <v>0.32152777777567576</v>
      </c>
      <c r="AC144" s="75">
        <f t="shared" ca="1" si="27"/>
        <v>0.85740740740180199</v>
      </c>
      <c r="AD144" s="76">
        <f t="shared" ca="1" si="28"/>
        <v>0.16736111111094942</v>
      </c>
      <c r="AE144" s="76">
        <f t="shared" ca="1" si="29"/>
        <v>0.32152777777567576</v>
      </c>
      <c r="AF144" s="75">
        <f t="shared" ca="1" si="30"/>
        <v>0.85740740740180199</v>
      </c>
      <c r="AG144" s="75">
        <f t="shared" ca="1" si="31"/>
        <v>0.85740740740180199</v>
      </c>
      <c r="AH144" s="31" t="str" cm="1">
        <f t="array" aca="1" ref="AH144" ca="1">IF((AD144) &lt; (INDEX(ResponseSLA[#All],(MATCH((G144),ResponseSLA[Priority],0))+1,3)),"YES","No")</f>
        <v>No</v>
      </c>
      <c r="AI144" s="31" t="str">
        <f ca="1">_xlfn.IFNA(IF(AE144 &lt; (INDEX(SLATable[Minimum SLA],MATCH(G144,SLATable[Priority],0))),"YES","NO"),"")</f>
        <v>YES</v>
      </c>
      <c r="AJ144" t="str">
        <f ca="1">_xlfn.IFNA(IF(AE144 &lt; (INDEX(SLATable[Maximum SLA],MATCH(G144,SLATable[Priority],0))),"YES","NO"),"")</f>
        <v>YES</v>
      </c>
    </row>
    <row r="145" spans="2:36" ht="15" customHeight="1">
      <c r="B145" s="45" t="s">
        <v>26</v>
      </c>
      <c r="C145" s="45" t="s">
        <v>44</v>
      </c>
      <c r="D145" s="53" t="s">
        <v>207</v>
      </c>
      <c r="E145" s="53" t="s">
        <v>5902</v>
      </c>
      <c r="F145" s="45" t="s">
        <v>312</v>
      </c>
      <c r="G145" s="53">
        <v>4</v>
      </c>
      <c r="H145" s="53" t="s">
        <v>5903</v>
      </c>
      <c r="I145" s="53" t="s">
        <v>275</v>
      </c>
      <c r="J145" s="53" t="s">
        <v>5530</v>
      </c>
      <c r="K145" s="71">
        <v>46162.738194444442</v>
      </c>
      <c r="L145" s="71">
        <v>46163.554861111108</v>
      </c>
      <c r="M145" s="71">
        <v>46163.647222222222</v>
      </c>
      <c r="N145" s="71">
        <v>46164.281944444447</v>
      </c>
      <c r="O145" s="71"/>
      <c r="P145" s="71"/>
      <c r="Q145" s="53" t="s">
        <v>5534</v>
      </c>
      <c r="R145" s="53" t="s">
        <v>261</v>
      </c>
      <c r="S145" s="53" t="s">
        <v>5895</v>
      </c>
      <c r="T145" s="53" t="s">
        <v>5896</v>
      </c>
      <c r="U145" s="53" t="s">
        <v>5531</v>
      </c>
      <c r="V145" s="53"/>
      <c r="X145" s="53" t="s">
        <v>5531</v>
      </c>
      <c r="Y145" s="53" t="s">
        <v>5897</v>
      </c>
      <c r="Z145" s="76">
        <f t="shared" ca="1" si="24"/>
        <v>0.37500000000000011</v>
      </c>
      <c r="AA145" s="75">
        <f t="shared" ca="1" si="25"/>
        <v>1.0000000000000004</v>
      </c>
      <c r="AB145" s="76">
        <f t="shared" ca="1" si="26"/>
        <v>0.15347222222529433</v>
      </c>
      <c r="AC145" s="75">
        <f t="shared" ca="1" si="27"/>
        <v>0.40925925926745155</v>
      </c>
      <c r="AD145" s="76">
        <f t="shared" ca="1" si="28"/>
        <v>9.2361111113859806E-2</v>
      </c>
      <c r="AE145" s="76">
        <f t="shared" ca="1" si="29"/>
        <v>0.15347222222529433</v>
      </c>
      <c r="AF145" s="75">
        <f t="shared" ca="1" si="30"/>
        <v>0.40925925926745155</v>
      </c>
      <c r="AG145" s="75">
        <f t="shared" ca="1" si="31"/>
        <v>0.40925925926745155</v>
      </c>
      <c r="AH145" s="31" t="str" cm="1">
        <f t="array" aca="1" ref="AH145" ca="1">IF((AD145) &lt; (INDEX(ResponseSLA[#All],(MATCH((G145),ResponseSLA[Priority],0))+1,3)),"YES","No")</f>
        <v>YES</v>
      </c>
      <c r="AI145" s="31" t="str">
        <f ca="1">_xlfn.IFNA(IF(AE145 &lt; (INDEX(SLATable[Minimum SLA],MATCH(G145,SLATable[Priority],0))),"YES","NO"),"")</f>
        <v>YES</v>
      </c>
      <c r="AJ145" t="str">
        <f ca="1">_xlfn.IFNA(IF(AE145 &lt; (INDEX(SLATable[Maximum SLA],MATCH(G145,SLATable[Priority],0))),"YES","NO"),"")</f>
        <v>YES</v>
      </c>
    </row>
    <row r="146" spans="2:36" ht="15" customHeight="1">
      <c r="B146" s="45" t="s">
        <v>26</v>
      </c>
      <c r="C146" s="45" t="s">
        <v>44</v>
      </c>
      <c r="D146" s="53" t="s">
        <v>208</v>
      </c>
      <c r="E146" s="53" t="s">
        <v>5904</v>
      </c>
      <c r="F146" s="45" t="s">
        <v>312</v>
      </c>
      <c r="G146" s="53" t="s">
        <v>208</v>
      </c>
      <c r="H146" s="53" t="s">
        <v>5623</v>
      </c>
      <c r="I146" s="53" t="s">
        <v>275</v>
      </c>
      <c r="J146" s="53" t="s">
        <v>5530</v>
      </c>
      <c r="K146" s="71">
        <v>46156.359722222223</v>
      </c>
      <c r="L146" s="71">
        <v>46163.726388888892</v>
      </c>
      <c r="M146" s="71">
        <v>46164.279166666667</v>
      </c>
      <c r="N146" s="71">
        <v>46164.298611111109</v>
      </c>
      <c r="O146" s="71"/>
      <c r="P146" s="71"/>
      <c r="Q146" s="53" t="s">
        <v>5534</v>
      </c>
      <c r="R146" s="53" t="s">
        <v>272</v>
      </c>
      <c r="S146" s="53" t="s">
        <v>5895</v>
      </c>
      <c r="T146" s="53" t="s">
        <v>277</v>
      </c>
      <c r="U146" s="53" t="s">
        <v>5531</v>
      </c>
      <c r="V146" s="53"/>
      <c r="X146" s="53" t="s">
        <v>5531</v>
      </c>
      <c r="Y146" s="53" t="s">
        <v>5897</v>
      </c>
      <c r="Z146" s="76">
        <f t="shared" ca="1" si="24"/>
        <v>2.2236111111099799</v>
      </c>
      <c r="AA146" s="75">
        <f t="shared" ca="1" si="25"/>
        <v>5.9296296296266133</v>
      </c>
      <c r="AB146" s="76">
        <f t="shared" ca="1" si="26"/>
        <v>0</v>
      </c>
      <c r="AC146" s="75">
        <f t="shared" ca="1" si="27"/>
        <v>0</v>
      </c>
      <c r="AD146" s="76">
        <f t="shared" ca="1" si="28"/>
        <v>0</v>
      </c>
      <c r="AE146" s="76">
        <f t="shared" ca="1" si="29"/>
        <v>0</v>
      </c>
      <c r="AF146" s="75">
        <f t="shared" ca="1" si="30"/>
        <v>0</v>
      </c>
      <c r="AG146" s="75">
        <f t="shared" ca="1" si="31"/>
        <v>0</v>
      </c>
      <c r="AH146" s="31" t="str" cm="1">
        <f t="array" aca="1" ref="AH146" ca="1">IF((AD146) &lt; (INDEX(ResponseSLA[#All],(MATCH((G146),ResponseSLA[Priority],0))+1,3)),"YES","No")</f>
        <v>YES</v>
      </c>
      <c r="AI146" s="31" t="str">
        <f ca="1">_xlfn.IFNA(IF(AE146 &lt; (INDEX(SLATable[Minimum SLA],MATCH(G146,SLATable[Priority],0))),"YES","NO"),"")</f>
        <v>YES</v>
      </c>
      <c r="AJ146" t="str">
        <f ca="1">_xlfn.IFNA(IF(AE146 &lt; (INDEX(SLATable[Maximum SLA],MATCH(G146,SLATable[Priority],0))),"YES","NO"),"")</f>
        <v>YES</v>
      </c>
    </row>
    <row r="147" spans="2:36" ht="15" customHeight="1">
      <c r="B147" s="45" t="s">
        <v>26</v>
      </c>
      <c r="C147" s="45" t="s">
        <v>44</v>
      </c>
      <c r="D147" s="53" t="s">
        <v>208</v>
      </c>
      <c r="E147" s="53" t="s">
        <v>5905</v>
      </c>
      <c r="F147" s="45" t="s">
        <v>312</v>
      </c>
      <c r="G147" s="53" t="s">
        <v>208</v>
      </c>
      <c r="H147" s="53" t="s">
        <v>5906</v>
      </c>
      <c r="I147" s="53" t="s">
        <v>271</v>
      </c>
      <c r="J147" s="53" t="s">
        <v>5530</v>
      </c>
      <c r="K147" s="71">
        <v>46160.631249999999</v>
      </c>
      <c r="L147" s="71">
        <v>46163.615972222222</v>
      </c>
      <c r="M147" s="71">
        <v>46163.650694444441</v>
      </c>
      <c r="N147" s="71">
        <v>46169.46597222222</v>
      </c>
      <c r="O147" s="71"/>
      <c r="P147" s="71"/>
      <c r="Q147" s="53" t="s">
        <v>5907</v>
      </c>
      <c r="R147" s="53" t="s">
        <v>272</v>
      </c>
      <c r="S147" s="53" t="s">
        <v>5895</v>
      </c>
      <c r="T147" s="53" t="s">
        <v>277</v>
      </c>
      <c r="U147" s="53" t="s">
        <v>5132</v>
      </c>
      <c r="V147" s="53"/>
      <c r="X147" s="53" t="s">
        <v>5531</v>
      </c>
      <c r="Y147" s="53" t="s">
        <v>5564</v>
      </c>
      <c r="Z147" s="76">
        <f t="shared" ca="1" si="24"/>
        <v>2.0847222222218993</v>
      </c>
      <c r="AA147" s="75">
        <f t="shared" ca="1" si="25"/>
        <v>5.5592592592583987</v>
      </c>
      <c r="AB147" s="76">
        <f t="shared" ca="1" si="26"/>
        <v>0.97499999999854503</v>
      </c>
      <c r="AC147" s="75">
        <f t="shared" ca="1" si="27"/>
        <v>2.5999999999961201</v>
      </c>
      <c r="AD147" s="76">
        <f t="shared" ca="1" si="28"/>
        <v>3.4722222218988463E-2</v>
      </c>
      <c r="AE147" s="76">
        <f t="shared" ca="1" si="29"/>
        <v>0.97499999999854503</v>
      </c>
      <c r="AF147" s="75">
        <f t="shared" ca="1" si="30"/>
        <v>2.5999999999961201</v>
      </c>
      <c r="AG147" s="75">
        <f t="shared" ca="1" si="31"/>
        <v>2.5999999999961201</v>
      </c>
      <c r="AH147" s="31" t="str" cm="1">
        <f t="array" aca="1" ref="AH147" ca="1">IF((AD147) &lt; (INDEX(ResponseSLA[#All],(MATCH((G147),ResponseSLA[Priority],0))+1,3)),"YES","No")</f>
        <v>YES</v>
      </c>
      <c r="AI147" s="31" t="str">
        <f ca="1">_xlfn.IFNA(IF(AE147 &lt; (INDEX(SLATable[Minimum SLA],MATCH(G147,SLATable[Priority],0))),"YES","NO"),"")</f>
        <v>NO</v>
      </c>
      <c r="AJ147" t="str">
        <f ca="1">_xlfn.IFNA(IF(AE147 &lt; (INDEX(SLATable[Maximum SLA],MATCH(G147,SLATable[Priority],0))),"YES","NO"),"")</f>
        <v>NO</v>
      </c>
    </row>
    <row r="148" spans="2:36" ht="15" customHeight="1">
      <c r="B148" s="45" t="s">
        <v>26</v>
      </c>
      <c r="C148" s="45" t="s">
        <v>44</v>
      </c>
      <c r="D148" s="53" t="s">
        <v>208</v>
      </c>
      <c r="E148" s="53" t="s">
        <v>5908</v>
      </c>
      <c r="F148" s="45" t="s">
        <v>312</v>
      </c>
      <c r="G148" s="53" t="s">
        <v>208</v>
      </c>
      <c r="H148" s="53" t="s">
        <v>5906</v>
      </c>
      <c r="I148" s="53" t="s">
        <v>271</v>
      </c>
      <c r="J148" s="53" t="s">
        <v>5530</v>
      </c>
      <c r="K148" s="71">
        <v>46160.629861111112</v>
      </c>
      <c r="L148" s="71">
        <v>46163.615277777775</v>
      </c>
      <c r="M148" s="71">
        <v>46163.65</v>
      </c>
      <c r="N148" s="71">
        <v>46169.46597222222</v>
      </c>
      <c r="O148" s="71"/>
      <c r="P148" s="71"/>
      <c r="Q148" s="53" t="s">
        <v>5907</v>
      </c>
      <c r="R148" s="53" t="s">
        <v>272</v>
      </c>
      <c r="S148" s="53" t="s">
        <v>5895</v>
      </c>
      <c r="T148" s="53" t="s">
        <v>277</v>
      </c>
      <c r="U148" s="53" t="s">
        <v>5132</v>
      </c>
      <c r="V148" s="53"/>
      <c r="X148" s="53" t="s">
        <v>5531</v>
      </c>
      <c r="Y148" s="53" t="s">
        <v>5564</v>
      </c>
      <c r="Z148" s="76">
        <f t="shared" ca="1" si="24"/>
        <v>2.0861111111080395</v>
      </c>
      <c r="AA148" s="75">
        <f t="shared" ca="1" si="25"/>
        <v>5.5629629629547726</v>
      </c>
      <c r="AB148" s="76">
        <f t="shared" ca="1" si="26"/>
        <v>0.97569444444525311</v>
      </c>
      <c r="AC148" s="75">
        <f t="shared" ca="1" si="27"/>
        <v>2.6018518518540086</v>
      </c>
      <c r="AD148" s="76">
        <f t="shared" ca="1" si="28"/>
        <v>3.4722222226264421E-2</v>
      </c>
      <c r="AE148" s="76">
        <f t="shared" ca="1" si="29"/>
        <v>0.97569444444525311</v>
      </c>
      <c r="AF148" s="75">
        <f t="shared" ca="1" si="30"/>
        <v>2.6018518518540086</v>
      </c>
      <c r="AG148" s="75">
        <f t="shared" ca="1" si="31"/>
        <v>2.6018518518540086</v>
      </c>
      <c r="AH148" s="31" t="str" cm="1">
        <f t="array" aca="1" ref="AH148" ca="1">IF((AD148) &lt; (INDEX(ResponseSLA[#All],(MATCH((G148),ResponseSLA[Priority],0))+1,3)),"YES","No")</f>
        <v>YES</v>
      </c>
      <c r="AI148" s="31" t="str">
        <f ca="1">_xlfn.IFNA(IF(AE148 &lt; (INDEX(SLATable[Minimum SLA],MATCH(G148,SLATable[Priority],0))),"YES","NO"),"")</f>
        <v>NO</v>
      </c>
      <c r="AJ148" t="str">
        <f ca="1">_xlfn.IFNA(IF(AE148 &lt; (INDEX(SLATable[Maximum SLA],MATCH(G148,SLATable[Priority],0))),"YES","NO"),"")</f>
        <v>NO</v>
      </c>
    </row>
    <row r="149" spans="2:36" ht="15" customHeight="1">
      <c r="B149" s="45" t="s">
        <v>26</v>
      </c>
      <c r="C149" s="45" t="s">
        <v>44</v>
      </c>
      <c r="D149" s="53" t="s">
        <v>208</v>
      </c>
      <c r="E149" s="53" t="s">
        <v>5909</v>
      </c>
      <c r="F149" s="45" t="s">
        <v>312</v>
      </c>
      <c r="G149" s="45" t="s">
        <v>208</v>
      </c>
      <c r="H149" s="53" t="s">
        <v>5910</v>
      </c>
      <c r="I149" s="53" t="s">
        <v>271</v>
      </c>
      <c r="J149" s="53" t="s">
        <v>5530</v>
      </c>
      <c r="K149" s="71">
        <v>46163.686805555553</v>
      </c>
      <c r="L149" s="71">
        <v>46163.686805555553</v>
      </c>
      <c r="M149" s="71">
        <v>46164.279861111114</v>
      </c>
      <c r="N149" s="71"/>
      <c r="O149" s="71">
        <v>46164.408333333333</v>
      </c>
      <c r="P149" s="71">
        <v>46171.261111111111</v>
      </c>
      <c r="Q149" s="53" t="s">
        <v>5534</v>
      </c>
      <c r="R149" s="53" t="s">
        <v>272</v>
      </c>
      <c r="S149" s="53" t="s">
        <v>5895</v>
      </c>
      <c r="T149" s="53" t="s">
        <v>277</v>
      </c>
      <c r="U149" s="53" t="s">
        <v>5531</v>
      </c>
      <c r="V149" s="53"/>
      <c r="X149" s="53" t="s">
        <v>5531</v>
      </c>
      <c r="Y149" s="53" t="s">
        <v>5911</v>
      </c>
      <c r="Z149" s="76">
        <f t="shared" ca="1" si="24"/>
        <v>25.072170949075375</v>
      </c>
      <c r="AA149" s="75">
        <f t="shared" ca="1" si="25"/>
        <v>66.859122530867666</v>
      </c>
      <c r="AB149" s="76" t="e">
        <f t="shared" ca="1" si="26"/>
        <v>#N/A</v>
      </c>
      <c r="AC149" s="75" t="e">
        <f t="shared" ca="1" si="27"/>
        <v>#N/A</v>
      </c>
      <c r="AD149" s="76">
        <f t="shared" ca="1" si="28"/>
        <v>2.1527777780041446E-2</v>
      </c>
      <c r="AE149" s="76" t="e">
        <f t="shared" ca="1" si="29"/>
        <v>#N/A</v>
      </c>
      <c r="AF149" s="75" t="e">
        <f t="shared" ca="1" si="30"/>
        <v>#N/A</v>
      </c>
      <c r="AG149" s="75" t="e">
        <f t="shared" ca="1" si="31"/>
        <v>#N/A</v>
      </c>
      <c r="AH149" s="31" t="str" cm="1">
        <f t="array" aca="1" ref="AH149" ca="1">IF((AD149) &lt; (INDEX(ResponseSLA[#All],(MATCH((G149),ResponseSLA[Priority],0))+1,3)),"YES","No")</f>
        <v>YES</v>
      </c>
      <c r="AI149" s="31" t="str">
        <f ca="1">_xlfn.IFNA(IF(AE149 &lt; (INDEX(SLATable[Minimum SLA],MATCH(G149,SLATable[Priority],0))),"YES","NO"),"")</f>
        <v/>
      </c>
      <c r="AJ149" t="str">
        <f ca="1">_xlfn.IFNA(IF(AE149 &lt; (INDEX(SLATable[Maximum SLA],MATCH(G149,SLATable[Priority],0))),"YES","NO"),"")</f>
        <v/>
      </c>
    </row>
    <row r="150" spans="2:36" ht="15" customHeight="1">
      <c r="B150" s="45" t="s">
        <v>26</v>
      </c>
      <c r="C150" s="45" t="s">
        <v>44</v>
      </c>
      <c r="D150" s="53" t="s">
        <v>208</v>
      </c>
      <c r="E150" s="53" t="s">
        <v>5912</v>
      </c>
      <c r="F150" s="45" t="s">
        <v>312</v>
      </c>
      <c r="G150" s="53" t="s">
        <v>208</v>
      </c>
      <c r="H150" s="53" t="s">
        <v>5913</v>
      </c>
      <c r="I150" s="53" t="s">
        <v>275</v>
      </c>
      <c r="J150" s="53" t="s">
        <v>5530</v>
      </c>
      <c r="K150" s="71">
        <v>46154.450694444444</v>
      </c>
      <c r="L150" s="71">
        <v>46164.411111111112</v>
      </c>
      <c r="M150" s="71">
        <v>46164.569444444445</v>
      </c>
      <c r="N150" s="71">
        <v>46174.307638888888</v>
      </c>
      <c r="O150" s="71">
        <v>46167.277777777781</v>
      </c>
      <c r="P150" s="71">
        <v>46174.307638888888</v>
      </c>
      <c r="Q150" s="53" t="s">
        <v>5534</v>
      </c>
      <c r="R150" s="53" t="s">
        <v>272</v>
      </c>
      <c r="S150" s="53" t="s">
        <v>5895</v>
      </c>
      <c r="T150" s="53" t="s">
        <v>5896</v>
      </c>
      <c r="U150" s="53" t="s">
        <v>5531</v>
      </c>
      <c r="V150" s="53"/>
      <c r="X150" s="53" t="s">
        <v>5531</v>
      </c>
      <c r="Y150" s="53" t="s">
        <v>5914</v>
      </c>
      <c r="Z150" s="76">
        <f t="shared" ca="1" si="24"/>
        <v>3.2576388888895362</v>
      </c>
      <c r="AA150" s="75">
        <f t="shared" ca="1" si="25"/>
        <v>8.6870370370387633</v>
      </c>
      <c r="AB150" s="76">
        <f t="shared" ca="1" si="26"/>
        <v>0.29722222222092864</v>
      </c>
      <c r="AC150" s="75">
        <f t="shared" ca="1" si="27"/>
        <v>0.79259259258914305</v>
      </c>
      <c r="AD150" s="76">
        <f t="shared" ca="1" si="28"/>
        <v>0.15833333333284827</v>
      </c>
      <c r="AE150" s="76">
        <f t="shared" ca="1" si="29"/>
        <v>0.29722222222092864</v>
      </c>
      <c r="AF150" s="75">
        <f t="shared" ca="1" si="30"/>
        <v>0.79259259258914305</v>
      </c>
      <c r="AG150" s="75">
        <f t="shared" ca="1" si="31"/>
        <v>0.79259259258914305</v>
      </c>
      <c r="AH150" s="31" t="str" cm="1">
        <f t="array" aca="1" ref="AH150" ca="1">IF((AD150) &lt; (INDEX(ResponseSLA[#All],(MATCH((G150),ResponseSLA[Priority],0))+1,3)),"YES","No")</f>
        <v>YES</v>
      </c>
      <c r="AI150" s="31" t="str">
        <f ca="1">_xlfn.IFNA(IF(AE150 &lt; (INDEX(SLATable[Minimum SLA],MATCH(G150,SLATable[Priority],0))),"YES","NO"),"")</f>
        <v>YES</v>
      </c>
      <c r="AJ150" t="str">
        <f ca="1">_xlfn.IFNA(IF(AE150 &lt; (INDEX(SLATable[Maximum SLA],MATCH(G150,SLATable[Priority],0))),"YES","NO"),"")</f>
        <v>YES</v>
      </c>
    </row>
    <row r="151" spans="2:36" ht="15" customHeight="1">
      <c r="B151" s="45" t="s">
        <v>26</v>
      </c>
      <c r="C151" s="45" t="s">
        <v>44</v>
      </c>
      <c r="D151" s="53" t="s">
        <v>207</v>
      </c>
      <c r="E151" s="53" t="s">
        <v>5915</v>
      </c>
      <c r="F151" s="45" t="s">
        <v>312</v>
      </c>
      <c r="G151" s="53">
        <v>4</v>
      </c>
      <c r="H151" s="53" t="s">
        <v>5916</v>
      </c>
      <c r="I151" s="53" t="s">
        <v>275</v>
      </c>
      <c r="J151" s="53" t="s">
        <v>5530</v>
      </c>
      <c r="K151" s="71">
        <v>46163.729166666664</v>
      </c>
      <c r="L151" s="71">
        <v>46167.620138888888</v>
      </c>
      <c r="M151" s="71">
        <v>46167.706250000003</v>
      </c>
      <c r="N151" s="71">
        <v>46168.25277777778</v>
      </c>
      <c r="O151" s="71"/>
      <c r="P151" s="71"/>
      <c r="Q151" s="53" t="s">
        <v>5917</v>
      </c>
      <c r="R151" s="53" t="s">
        <v>272</v>
      </c>
      <c r="S151" s="53" t="s">
        <v>5895</v>
      </c>
      <c r="T151" s="53" t="s">
        <v>5896</v>
      </c>
      <c r="U151" s="53" t="s">
        <v>5531</v>
      </c>
      <c r="V151" s="53"/>
      <c r="X151" s="53" t="s">
        <v>5531</v>
      </c>
      <c r="Y151" s="53" t="s">
        <v>5918</v>
      </c>
      <c r="Z151" s="76">
        <f t="shared" ca="1" si="24"/>
        <v>0.37500000000000011</v>
      </c>
      <c r="AA151" s="75">
        <f t="shared" ca="1" si="25"/>
        <v>1.0000000000000004</v>
      </c>
      <c r="AB151" s="76">
        <f t="shared" ca="1" si="26"/>
        <v>0</v>
      </c>
      <c r="AC151" s="75">
        <f t="shared" ca="1" si="27"/>
        <v>0</v>
      </c>
      <c r="AD151" s="76">
        <f t="shared" ca="1" si="28"/>
        <v>0</v>
      </c>
      <c r="AE151" s="76">
        <f t="shared" ca="1" si="29"/>
        <v>0</v>
      </c>
      <c r="AF151" s="75">
        <f t="shared" ca="1" si="30"/>
        <v>0</v>
      </c>
      <c r="AG151" s="75">
        <f t="shared" ca="1" si="31"/>
        <v>0</v>
      </c>
      <c r="AH151" s="31" t="str" cm="1">
        <f t="array" aca="1" ref="AH151" ca="1">IF((AD151) &lt; (INDEX(ResponseSLA[#All],(MATCH((G151),ResponseSLA[Priority],0))+1,3)),"YES","No")</f>
        <v>YES</v>
      </c>
      <c r="AI151" s="31" t="str">
        <f ca="1">_xlfn.IFNA(IF(AE151 &lt; (INDEX(SLATable[Minimum SLA],MATCH(G151,SLATable[Priority],0))),"YES","NO"),"")</f>
        <v>YES</v>
      </c>
      <c r="AJ151" t="str">
        <f ca="1">_xlfn.IFNA(IF(AE151 &lt; (INDEX(SLATable[Maximum SLA],MATCH(G151,SLATable[Priority],0))),"YES","NO"),"")</f>
        <v>YES</v>
      </c>
    </row>
    <row r="152" spans="2:36" ht="15" customHeight="1">
      <c r="B152" s="45" t="s">
        <v>26</v>
      </c>
      <c r="C152" s="45" t="s">
        <v>44</v>
      </c>
      <c r="D152" s="53" t="s">
        <v>207</v>
      </c>
      <c r="E152" s="53" t="s">
        <v>5919</v>
      </c>
      <c r="F152" s="45" t="s">
        <v>312</v>
      </c>
      <c r="G152" s="53">
        <v>4</v>
      </c>
      <c r="H152" s="53" t="s">
        <v>5920</v>
      </c>
      <c r="I152" s="53" t="s">
        <v>275</v>
      </c>
      <c r="J152" s="53" t="s">
        <v>5530</v>
      </c>
      <c r="K152" s="71">
        <v>46160.46875</v>
      </c>
      <c r="L152" s="71">
        <v>46167.398611111108</v>
      </c>
      <c r="M152" s="71">
        <v>46167.406944444447</v>
      </c>
      <c r="N152" s="71">
        <v>46168.256944444445</v>
      </c>
      <c r="O152" s="71"/>
      <c r="P152" s="71"/>
      <c r="Q152" s="53" t="s">
        <v>5534</v>
      </c>
      <c r="R152" s="53" t="s">
        <v>272</v>
      </c>
      <c r="S152" s="53" t="s">
        <v>5895</v>
      </c>
      <c r="T152" s="53" t="s">
        <v>277</v>
      </c>
      <c r="U152" s="53" t="s">
        <v>5531</v>
      </c>
      <c r="V152" s="53"/>
      <c r="X152" s="53" t="s">
        <v>5531</v>
      </c>
      <c r="Y152" s="53" t="s">
        <v>5897</v>
      </c>
      <c r="Z152" s="76">
        <f t="shared" ca="1" si="24"/>
        <v>1.7395833333333335</v>
      </c>
      <c r="AA152" s="75">
        <f t="shared" ca="1" si="25"/>
        <v>4.6388888888888893</v>
      </c>
      <c r="AB152" s="76">
        <f t="shared" ca="1" si="26"/>
        <v>0</v>
      </c>
      <c r="AC152" s="75">
        <f t="shared" ca="1" si="27"/>
        <v>0</v>
      </c>
      <c r="AD152" s="76">
        <f t="shared" ca="1" si="28"/>
        <v>0</v>
      </c>
      <c r="AE152" s="76">
        <f t="shared" ca="1" si="29"/>
        <v>0</v>
      </c>
      <c r="AF152" s="75">
        <f t="shared" ca="1" si="30"/>
        <v>0</v>
      </c>
      <c r="AG152" s="75">
        <f t="shared" ca="1" si="31"/>
        <v>0</v>
      </c>
      <c r="AH152" s="31" t="str" cm="1">
        <f t="array" aca="1" ref="AH152" ca="1">IF((AD152) &lt; (INDEX(ResponseSLA[#All],(MATCH((G152),ResponseSLA[Priority],0))+1,3)),"YES","No")</f>
        <v>YES</v>
      </c>
      <c r="AI152" s="31" t="str">
        <f ca="1">_xlfn.IFNA(IF(AE152 &lt; (INDEX(SLATable[Minimum SLA],MATCH(G152,SLATable[Priority],0))),"YES","NO"),"")</f>
        <v>YES</v>
      </c>
      <c r="AJ152" t="str">
        <f ca="1">_xlfn.IFNA(IF(AE152 &lt; (INDEX(SLATable[Maximum SLA],MATCH(G152,SLATable[Priority],0))),"YES","NO"),"")</f>
        <v>YES</v>
      </c>
    </row>
    <row r="153" spans="2:36" ht="15" customHeight="1">
      <c r="B153" s="45" t="s">
        <v>26</v>
      </c>
      <c r="C153" s="45" t="s">
        <v>44</v>
      </c>
      <c r="D153" s="53" t="s">
        <v>207</v>
      </c>
      <c r="E153" s="53" t="s">
        <v>5921</v>
      </c>
      <c r="F153" s="45" t="s">
        <v>312</v>
      </c>
      <c r="G153" s="53">
        <v>3</v>
      </c>
      <c r="H153" s="53" t="s">
        <v>5922</v>
      </c>
      <c r="I153" s="53" t="s">
        <v>275</v>
      </c>
      <c r="J153" s="53" t="s">
        <v>5530</v>
      </c>
      <c r="K153" s="71">
        <v>46163.395138888889</v>
      </c>
      <c r="L153" s="71">
        <v>46163.676388888889</v>
      </c>
      <c r="M153" s="71">
        <v>46164.254861111112</v>
      </c>
      <c r="N153" s="71">
        <v>46168.258333333331</v>
      </c>
      <c r="O153" s="71"/>
      <c r="P153" s="71"/>
      <c r="Q153" s="53" t="s">
        <v>5923</v>
      </c>
      <c r="R153" s="53" t="s">
        <v>272</v>
      </c>
      <c r="S153" s="53" t="s">
        <v>5895</v>
      </c>
      <c r="T153" s="53" t="s">
        <v>5896</v>
      </c>
      <c r="U153" s="53" t="s">
        <v>5531</v>
      </c>
      <c r="V153" s="53"/>
      <c r="X153" s="53" t="s">
        <v>5531</v>
      </c>
      <c r="Y153" s="53" t="s">
        <v>5634</v>
      </c>
      <c r="Z153" s="76">
        <f t="shared" ca="1" si="24"/>
        <v>0.6881944444442829</v>
      </c>
      <c r="AA153" s="75">
        <f t="shared" ca="1" si="25"/>
        <v>1.8351851851847545</v>
      </c>
      <c r="AB153" s="76">
        <f t="shared" ca="1" si="26"/>
        <v>0.4069444444442829</v>
      </c>
      <c r="AC153" s="75">
        <f t="shared" ca="1" si="27"/>
        <v>1.0851851851847545</v>
      </c>
      <c r="AD153" s="76">
        <f t="shared" ca="1" si="28"/>
        <v>3.1944444444282794E-2</v>
      </c>
      <c r="AE153" s="76">
        <f t="shared" ca="1" si="29"/>
        <v>0.4069444444442829</v>
      </c>
      <c r="AF153" s="75">
        <f t="shared" ca="1" si="30"/>
        <v>1.0851851851847545</v>
      </c>
      <c r="AG153" s="75">
        <f t="shared" ca="1" si="31"/>
        <v>1.0851851851847545</v>
      </c>
      <c r="AH153" s="31" t="str" cm="1">
        <f t="array" aca="1" ref="AH153" ca="1">IF((AD153) &lt; (INDEX(ResponseSLA[#All],(MATCH((G153),ResponseSLA[Priority],0))+1,3)),"YES","No")</f>
        <v>YES</v>
      </c>
      <c r="AI153" s="31" t="str">
        <f ca="1">_xlfn.IFNA(IF(AE153 &lt; (INDEX(SLATable[Minimum SLA],MATCH(G153,SLATable[Priority],0))),"YES","NO"),"")</f>
        <v>NO</v>
      </c>
      <c r="AJ153" t="str">
        <f ca="1">_xlfn.IFNA(IF(AE153 &lt; (INDEX(SLATable[Maximum SLA],MATCH(G153,SLATable[Priority],0))),"YES","NO"),"")</f>
        <v>YES</v>
      </c>
    </row>
    <row r="154" spans="2:36" ht="15" customHeight="1">
      <c r="B154" s="45" t="s">
        <v>26</v>
      </c>
      <c r="C154" s="45" t="s">
        <v>44</v>
      </c>
      <c r="D154" s="53" t="s">
        <v>207</v>
      </c>
      <c r="E154" s="53" t="s">
        <v>5924</v>
      </c>
      <c r="F154" s="45" t="s">
        <v>312</v>
      </c>
      <c r="G154" s="53">
        <v>3</v>
      </c>
      <c r="H154" s="53" t="s">
        <v>5925</v>
      </c>
      <c r="I154" s="53" t="s">
        <v>275</v>
      </c>
      <c r="J154" s="53" t="s">
        <v>5530</v>
      </c>
      <c r="K154" s="71">
        <v>46167.35</v>
      </c>
      <c r="L154" s="71">
        <v>46167.359722222223</v>
      </c>
      <c r="M154" s="71">
        <v>46167.366666666669</v>
      </c>
      <c r="N154" s="71">
        <v>46168.260416666664</v>
      </c>
      <c r="O154" s="71"/>
      <c r="P154" s="71"/>
      <c r="Q154" s="53" t="s">
        <v>5534</v>
      </c>
      <c r="R154" s="53" t="s">
        <v>272</v>
      </c>
      <c r="S154" s="53" t="s">
        <v>5895</v>
      </c>
      <c r="T154" s="53" t="s">
        <v>5896</v>
      </c>
      <c r="U154" s="53" t="s">
        <v>5531</v>
      </c>
      <c r="V154" s="53"/>
      <c r="X154" s="53" t="s">
        <v>5531</v>
      </c>
      <c r="Y154" s="53" t="s">
        <v>5926</v>
      </c>
      <c r="Z154" s="76">
        <f t="shared" ca="1" si="24"/>
        <v>0</v>
      </c>
      <c r="AA154" s="75">
        <f t="shared" ca="1" si="25"/>
        <v>0</v>
      </c>
      <c r="AB154" s="76">
        <f t="shared" ca="1" si="26"/>
        <v>0</v>
      </c>
      <c r="AC154" s="75">
        <f t="shared" ca="1" si="27"/>
        <v>0</v>
      </c>
      <c r="AD154" s="76">
        <f t="shared" ca="1" si="28"/>
        <v>0</v>
      </c>
      <c r="AE154" s="76">
        <f t="shared" ca="1" si="29"/>
        <v>0</v>
      </c>
      <c r="AF154" s="75">
        <f t="shared" ca="1" si="30"/>
        <v>0</v>
      </c>
      <c r="AG154" s="75">
        <f t="shared" ca="1" si="31"/>
        <v>0</v>
      </c>
      <c r="AH154" s="31" t="str" cm="1">
        <f t="array" aca="1" ref="AH154" ca="1">IF((AD154) &lt; (INDEX(ResponseSLA[#All],(MATCH((G154),ResponseSLA[Priority],0))+1,3)),"YES","No")</f>
        <v>YES</v>
      </c>
      <c r="AI154" s="31" t="str">
        <f ca="1">_xlfn.IFNA(IF(AE154 &lt; (INDEX(SLATable[Minimum SLA],MATCH(G154,SLATable[Priority],0))),"YES","NO"),"")</f>
        <v>YES</v>
      </c>
      <c r="AJ154" t="str">
        <f ca="1">_xlfn.IFNA(IF(AE154 &lt; (INDEX(SLATable[Maximum SLA],MATCH(G154,SLATable[Priority],0))),"YES","NO"),"")</f>
        <v>YES</v>
      </c>
    </row>
    <row r="155" spans="2:36" ht="15" customHeight="1">
      <c r="B155" s="45" t="s">
        <v>26</v>
      </c>
      <c r="C155" s="45" t="s">
        <v>44</v>
      </c>
      <c r="D155" s="53" t="s">
        <v>208</v>
      </c>
      <c r="E155" s="53" t="s">
        <v>5927</v>
      </c>
      <c r="F155" s="45" t="s">
        <v>312</v>
      </c>
      <c r="G155" s="53" t="s">
        <v>208</v>
      </c>
      <c r="H155" s="53" t="s">
        <v>5928</v>
      </c>
      <c r="I155" s="53" t="s">
        <v>271</v>
      </c>
      <c r="J155" s="53" t="s">
        <v>5530</v>
      </c>
      <c r="K155" s="71">
        <v>46161.408333333333</v>
      </c>
      <c r="L155" s="71">
        <v>46168.589583333334</v>
      </c>
      <c r="M155" s="71">
        <v>46168.599305555559</v>
      </c>
      <c r="N155" s="71">
        <v>46174.313888888886</v>
      </c>
      <c r="O155" s="71">
        <v>46169.316666666666</v>
      </c>
      <c r="P155" s="71">
        <v>46174.313888888886</v>
      </c>
      <c r="Q155" s="53" t="s">
        <v>5534</v>
      </c>
      <c r="R155" s="53" t="s">
        <v>272</v>
      </c>
      <c r="S155" s="53" t="s">
        <v>5895</v>
      </c>
      <c r="T155" s="53" t="s">
        <v>5896</v>
      </c>
      <c r="U155" s="53" t="s">
        <v>5531</v>
      </c>
      <c r="V155" s="53"/>
      <c r="X155" s="53" t="s">
        <v>5531</v>
      </c>
      <c r="Y155" s="53" t="s">
        <v>5929</v>
      </c>
      <c r="Z155" s="76">
        <f t="shared" ca="1" si="24"/>
        <v>1.8000000000004854</v>
      </c>
      <c r="AA155" s="75">
        <f t="shared" ca="1" si="25"/>
        <v>4.8000000000012939</v>
      </c>
      <c r="AB155" s="76">
        <f t="shared" ca="1" si="26"/>
        <v>0.1187499999990298</v>
      </c>
      <c r="AC155" s="75">
        <f t="shared" ca="1" si="27"/>
        <v>0.31666666666407944</v>
      </c>
      <c r="AD155" s="76">
        <f t="shared" ca="1" si="28"/>
        <v>9.7222222248092294E-3</v>
      </c>
      <c r="AE155" s="76">
        <f t="shared" ca="1" si="29"/>
        <v>0.1187499999990298</v>
      </c>
      <c r="AF155" s="75">
        <f t="shared" ca="1" si="30"/>
        <v>0.31666666666407944</v>
      </c>
      <c r="AG155" s="75">
        <f t="shared" ca="1" si="31"/>
        <v>0.31666666666407944</v>
      </c>
      <c r="AH155" s="31" t="str" cm="1">
        <f t="array" aca="1" ref="AH155" ca="1">IF((AD155) &lt; (INDEX(ResponseSLA[#All],(MATCH((G155),ResponseSLA[Priority],0))+1,3)),"YES","No")</f>
        <v>YES</v>
      </c>
      <c r="AI155" s="31" t="str">
        <f ca="1">_xlfn.IFNA(IF(AE155 &lt; (INDEX(SLATable[Minimum SLA],MATCH(G155,SLATable[Priority],0))),"YES","NO"),"")</f>
        <v>YES</v>
      </c>
      <c r="AJ155" t="str">
        <f ca="1">_xlfn.IFNA(IF(AE155 &lt; (INDEX(SLATable[Maximum SLA],MATCH(G155,SLATable[Priority],0))),"YES","NO"),"")</f>
        <v>YES</v>
      </c>
    </row>
    <row r="156" spans="2:36" ht="15" customHeight="1">
      <c r="B156" s="45" t="s">
        <v>26</v>
      </c>
      <c r="C156" s="45" t="s">
        <v>44</v>
      </c>
      <c r="D156" s="53" t="s">
        <v>207</v>
      </c>
      <c r="E156" s="53" t="s">
        <v>5930</v>
      </c>
      <c r="F156" s="45" t="s">
        <v>312</v>
      </c>
      <c r="G156" s="53">
        <v>4</v>
      </c>
      <c r="H156" s="53" t="s">
        <v>5931</v>
      </c>
      <c r="I156" s="53" t="s">
        <v>271</v>
      </c>
      <c r="J156" s="53" t="s">
        <v>5530</v>
      </c>
      <c r="K156" s="71">
        <v>46168.051388888889</v>
      </c>
      <c r="L156" s="71">
        <v>46168.44027777778</v>
      </c>
      <c r="M156" s="71">
        <v>46168.474305555559</v>
      </c>
      <c r="N156" s="71">
        <v>46171.327777777777</v>
      </c>
      <c r="O156" s="71">
        <v>46169.306250000001</v>
      </c>
      <c r="P156" s="71">
        <v>46171.327777777777</v>
      </c>
      <c r="Q156" s="53" t="s">
        <v>5534</v>
      </c>
      <c r="R156" s="53" t="s">
        <v>261</v>
      </c>
      <c r="S156" s="53" t="s">
        <v>5895</v>
      </c>
      <c r="T156" s="53" t="s">
        <v>277</v>
      </c>
      <c r="U156" s="53" t="s">
        <v>5531</v>
      </c>
      <c r="V156" s="53"/>
      <c r="X156" s="53" t="s">
        <v>5531</v>
      </c>
      <c r="Y156" s="53" t="s">
        <v>5932</v>
      </c>
      <c r="Z156" s="76">
        <f t="shared" ca="1" si="24"/>
        <v>0.375</v>
      </c>
      <c r="AA156" s="75">
        <f t="shared" ca="1" si="25"/>
        <v>1</v>
      </c>
      <c r="AB156" s="76">
        <f t="shared" ca="1" si="26"/>
        <v>0.26805555555377691</v>
      </c>
      <c r="AC156" s="75">
        <f t="shared" ca="1" si="27"/>
        <v>0.71481481481007181</v>
      </c>
      <c r="AD156" s="76">
        <f t="shared" ca="1" si="28"/>
        <v>3.4027777779556345E-2</v>
      </c>
      <c r="AE156" s="76">
        <f t="shared" ca="1" si="29"/>
        <v>0.26805555555377691</v>
      </c>
      <c r="AF156" s="75">
        <f t="shared" ca="1" si="30"/>
        <v>0.71481481481007181</v>
      </c>
      <c r="AG156" s="75">
        <f t="shared" ca="1" si="31"/>
        <v>0.71481481481007181</v>
      </c>
      <c r="AH156" s="31" t="str" cm="1">
        <f t="array" aca="1" ref="AH156" ca="1">IF((AD156) &lt; (INDEX(ResponseSLA[#All],(MATCH((G156),ResponseSLA[Priority],0))+1,3)),"YES","No")</f>
        <v>YES</v>
      </c>
      <c r="AI156" s="31" t="str">
        <f ca="1">_xlfn.IFNA(IF(AE156 &lt; (INDEX(SLATable[Minimum SLA],MATCH(G156,SLATable[Priority],0))),"YES","NO"),"")</f>
        <v>YES</v>
      </c>
      <c r="AJ156" t="str">
        <f ca="1">_xlfn.IFNA(IF(AE156 &lt; (INDEX(SLATable[Maximum SLA],MATCH(G156,SLATable[Priority],0))),"YES","NO"),"")</f>
        <v>YES</v>
      </c>
    </row>
    <row r="157" spans="2:36" ht="15" customHeight="1">
      <c r="B157" s="45" t="s">
        <v>26</v>
      </c>
      <c r="C157" s="45" t="s">
        <v>44</v>
      </c>
      <c r="D157" s="53" t="s">
        <v>207</v>
      </c>
      <c r="E157" s="53" t="s">
        <v>5933</v>
      </c>
      <c r="F157" s="45" t="s">
        <v>312</v>
      </c>
      <c r="G157" s="53">
        <v>4</v>
      </c>
      <c r="H157" s="53" t="s">
        <v>5934</v>
      </c>
      <c r="I157" s="53" t="s">
        <v>271</v>
      </c>
      <c r="J157" s="53" t="s">
        <v>5530</v>
      </c>
      <c r="K157" s="71">
        <v>46168.580555555556</v>
      </c>
      <c r="L157" s="71">
        <v>46168.590277777781</v>
      </c>
      <c r="M157" s="71">
        <v>46168.59375</v>
      </c>
      <c r="N157" s="71">
        <v>46174.315972222219</v>
      </c>
      <c r="O157" s="71">
        <v>46169.308333333334</v>
      </c>
      <c r="P157" s="71">
        <v>46174.315972222219</v>
      </c>
      <c r="Q157" s="53" t="s">
        <v>5534</v>
      </c>
      <c r="R157" s="53" t="s">
        <v>261</v>
      </c>
      <c r="S157" s="53" t="s">
        <v>5895</v>
      </c>
      <c r="T157" s="53" t="s">
        <v>5896</v>
      </c>
      <c r="U157" s="53" t="s">
        <v>5531</v>
      </c>
      <c r="V157" s="53"/>
      <c r="X157" s="53" t="s">
        <v>5531</v>
      </c>
      <c r="Y157" s="53" t="s">
        <v>5935</v>
      </c>
      <c r="Z157" s="76">
        <f t="shared" ca="1" si="24"/>
        <v>0.12777777777713095</v>
      </c>
      <c r="AA157" s="75">
        <f t="shared" ca="1" si="25"/>
        <v>0.34074074073901589</v>
      </c>
      <c r="AB157" s="76">
        <f t="shared" ca="1" si="26"/>
        <v>0.11805555555232172</v>
      </c>
      <c r="AC157" s="75">
        <f t="shared" ca="1" si="27"/>
        <v>0.31481481480619128</v>
      </c>
      <c r="AD157" s="76">
        <f t="shared" ca="1" si="28"/>
        <v>3.4722222189884633E-3</v>
      </c>
      <c r="AE157" s="76">
        <f t="shared" ca="1" si="29"/>
        <v>0.11805555555232172</v>
      </c>
      <c r="AF157" s="75">
        <f t="shared" ca="1" si="30"/>
        <v>0.31481481480619128</v>
      </c>
      <c r="AG157" s="75">
        <f t="shared" ca="1" si="31"/>
        <v>0.31481481480619128</v>
      </c>
      <c r="AH157" s="31" t="str" cm="1">
        <f t="array" aca="1" ref="AH157" ca="1">IF((AD157) &lt; (INDEX(ResponseSLA[#All],(MATCH((G157),ResponseSLA[Priority],0))+1,3)),"YES","No")</f>
        <v>YES</v>
      </c>
      <c r="AI157" s="31" t="str">
        <f ca="1">_xlfn.IFNA(IF(AE157 &lt; (INDEX(SLATable[Minimum SLA],MATCH(G157,SLATable[Priority],0))),"YES","NO"),"")</f>
        <v>YES</v>
      </c>
      <c r="AJ157" t="str">
        <f ca="1">_xlfn.IFNA(IF(AE157 &lt; (INDEX(SLATable[Maximum SLA],MATCH(G157,SLATable[Priority],0))),"YES","NO"),"")</f>
        <v>YES</v>
      </c>
    </row>
    <row r="158" spans="2:36" ht="15" customHeight="1">
      <c r="B158" s="45" t="s">
        <v>26</v>
      </c>
      <c r="C158" s="45" t="s">
        <v>44</v>
      </c>
      <c r="D158" s="53" t="s">
        <v>207</v>
      </c>
      <c r="E158" s="53" t="s">
        <v>5936</v>
      </c>
      <c r="F158" s="45" t="s">
        <v>312</v>
      </c>
      <c r="G158" s="53">
        <v>4</v>
      </c>
      <c r="H158" s="53" t="s">
        <v>5937</v>
      </c>
      <c r="I158" s="53" t="s">
        <v>271</v>
      </c>
      <c r="J158" s="53" t="s">
        <v>5530</v>
      </c>
      <c r="K158" s="71">
        <v>46167.447916666664</v>
      </c>
      <c r="L158" s="71">
        <v>46168.515972222223</v>
      </c>
      <c r="M158" s="71">
        <v>46168.523611111108</v>
      </c>
      <c r="N158" s="71">
        <v>46170.27847222222</v>
      </c>
      <c r="O158" s="71">
        <v>46169.3125</v>
      </c>
      <c r="P158" s="71">
        <v>46170.27847222222</v>
      </c>
      <c r="Q158" s="53" t="s">
        <v>5534</v>
      </c>
      <c r="R158" s="53" t="s">
        <v>261</v>
      </c>
      <c r="S158" s="53" t="s">
        <v>5895</v>
      </c>
      <c r="T158" s="53" t="s">
        <v>5896</v>
      </c>
      <c r="U158" s="53" t="s">
        <v>5531</v>
      </c>
      <c r="V158" s="53"/>
      <c r="X158" s="53" t="s">
        <v>5531</v>
      </c>
      <c r="Y158" s="53" t="s">
        <v>5938</v>
      </c>
      <c r="Z158" s="76">
        <f t="shared" ca="1" si="24"/>
        <v>0.37500000000000017</v>
      </c>
      <c r="AA158" s="75">
        <f t="shared" ca="1" si="25"/>
        <v>1.0000000000000004</v>
      </c>
      <c r="AB158" s="76">
        <f t="shared" ca="1" si="26"/>
        <v>0.19236111110997939</v>
      </c>
      <c r="AC158" s="75">
        <f t="shared" ca="1" si="27"/>
        <v>0.51296296295994503</v>
      </c>
      <c r="AD158" s="76">
        <f t="shared" ca="1" si="28"/>
        <v>7.6388888846850023E-3</v>
      </c>
      <c r="AE158" s="76">
        <f t="shared" ca="1" si="29"/>
        <v>0.19236111110997939</v>
      </c>
      <c r="AF158" s="75">
        <f t="shared" ca="1" si="30"/>
        <v>0.51296296295994503</v>
      </c>
      <c r="AG158" s="75">
        <f t="shared" ca="1" si="31"/>
        <v>0.51296296295994503</v>
      </c>
      <c r="AH158" s="31" t="str" cm="1">
        <f t="array" aca="1" ref="AH158" ca="1">IF((AD158) &lt; (INDEX(ResponseSLA[#All],(MATCH((G158),ResponseSLA[Priority],0))+1,3)),"YES","No")</f>
        <v>YES</v>
      </c>
      <c r="AI158" s="31" t="str">
        <f ca="1">_xlfn.IFNA(IF(AE158 &lt; (INDEX(SLATable[Minimum SLA],MATCH(G158,SLATable[Priority],0))),"YES","NO"),"")</f>
        <v>YES</v>
      </c>
      <c r="AJ158" t="str">
        <f ca="1">_xlfn.IFNA(IF(AE158 &lt; (INDEX(SLATable[Maximum SLA],MATCH(G158,SLATable[Priority],0))),"YES","NO"),"")</f>
        <v>YES</v>
      </c>
    </row>
    <row r="159" spans="2:36" ht="15" customHeight="1">
      <c r="B159" s="45" t="s">
        <v>26</v>
      </c>
      <c r="C159" s="45" t="s">
        <v>44</v>
      </c>
      <c r="D159" s="53" t="s">
        <v>207</v>
      </c>
      <c r="E159" s="53" t="s">
        <v>5939</v>
      </c>
      <c r="F159" s="45" t="s">
        <v>312</v>
      </c>
      <c r="G159" s="53">
        <v>4</v>
      </c>
      <c r="H159" s="123" t="s">
        <v>5940</v>
      </c>
      <c r="I159" s="53" t="s">
        <v>271</v>
      </c>
      <c r="J159" s="53" t="s">
        <v>5530</v>
      </c>
      <c r="K159" s="71">
        <v>46169.495138888888</v>
      </c>
      <c r="L159" s="71">
        <v>46169.551388888889</v>
      </c>
      <c r="M159" s="71">
        <v>46169.593055555553</v>
      </c>
      <c r="N159" s="71">
        <v>46170.279861111114</v>
      </c>
      <c r="O159" s="71"/>
      <c r="P159" s="71"/>
      <c r="Q159" s="53" t="s">
        <v>5534</v>
      </c>
      <c r="R159" s="53" t="s">
        <v>261</v>
      </c>
      <c r="S159" s="53" t="s">
        <v>5895</v>
      </c>
      <c r="T159" s="53" t="s">
        <v>5896</v>
      </c>
      <c r="U159" s="53" t="s">
        <v>5531</v>
      </c>
      <c r="V159" s="53"/>
      <c r="X159" s="53" t="s">
        <v>5531</v>
      </c>
      <c r="Y159" s="53" t="s">
        <v>5941</v>
      </c>
      <c r="Z159" s="76">
        <f t="shared" ca="1" si="24"/>
        <v>0.21319444444573799</v>
      </c>
      <c r="AA159" s="75">
        <f t="shared" ca="1" si="25"/>
        <v>0.568518518521968</v>
      </c>
      <c r="AB159" s="76">
        <f t="shared" ca="1" si="26"/>
        <v>0.15694444444428279</v>
      </c>
      <c r="AC159" s="75">
        <f t="shared" ca="1" si="27"/>
        <v>0.41851851851808747</v>
      </c>
      <c r="AD159" s="76">
        <f t="shared" ca="1" si="28"/>
        <v>4.1666666664241347E-2</v>
      </c>
      <c r="AE159" s="76">
        <f t="shared" ca="1" si="29"/>
        <v>0.15694444444428279</v>
      </c>
      <c r="AF159" s="75">
        <f t="shared" ca="1" si="30"/>
        <v>0.41851851851808747</v>
      </c>
      <c r="AG159" s="75">
        <f t="shared" ca="1" si="31"/>
        <v>0.41851851851808747</v>
      </c>
      <c r="AH159" s="31" t="str" cm="1">
        <f t="array" aca="1" ref="AH159" ca="1">IF((AD159) &lt; (INDEX(ResponseSLA[#All],(MATCH((G159),ResponseSLA[Priority],0))+1,3)),"YES","No")</f>
        <v>YES</v>
      </c>
      <c r="AI159" s="31" t="str">
        <f ca="1">_xlfn.IFNA(IF(AE159 &lt; (INDEX(SLATable[Minimum SLA],MATCH(G159,SLATable[Priority],0))),"YES","NO"),"")</f>
        <v>YES</v>
      </c>
      <c r="AJ159" t="str">
        <f ca="1">_xlfn.IFNA(IF(AE159 &lt; (INDEX(SLATable[Maximum SLA],MATCH(G159,SLATable[Priority],0))),"YES","NO"),"")</f>
        <v>YES</v>
      </c>
    </row>
    <row r="160" spans="2:36" ht="15" customHeight="1">
      <c r="B160" s="45" t="s">
        <v>26</v>
      </c>
      <c r="C160" s="45" t="s">
        <v>44</v>
      </c>
      <c r="D160" s="53" t="s">
        <v>207</v>
      </c>
      <c r="E160" s="53" t="s">
        <v>5942</v>
      </c>
      <c r="F160" s="45" t="s">
        <v>312</v>
      </c>
      <c r="G160" s="53">
        <v>3</v>
      </c>
      <c r="H160" s="53" t="s">
        <v>5943</v>
      </c>
      <c r="I160" s="53" t="s">
        <v>275</v>
      </c>
      <c r="J160" s="53" t="s">
        <v>5530</v>
      </c>
      <c r="K160" s="71">
        <v>46169.015277777777</v>
      </c>
      <c r="L160" s="71">
        <v>46169.662499999999</v>
      </c>
      <c r="M160" s="71">
        <v>46170.276388888888</v>
      </c>
      <c r="N160" s="71">
        <v>46170.28402777778</v>
      </c>
      <c r="O160" s="71"/>
      <c r="P160" s="71"/>
      <c r="Q160" s="53" t="s">
        <v>5534</v>
      </c>
      <c r="R160" s="53" t="s">
        <v>272</v>
      </c>
      <c r="S160" s="53" t="s">
        <v>5895</v>
      </c>
      <c r="T160" s="53" t="s">
        <v>277</v>
      </c>
      <c r="U160" s="53" t="s">
        <v>5531</v>
      </c>
      <c r="V160" s="53"/>
      <c r="X160" s="53" t="s">
        <v>5531</v>
      </c>
      <c r="Y160" s="53" t="s">
        <v>5944</v>
      </c>
      <c r="Z160" s="76">
        <f t="shared" ca="1" si="24"/>
        <v>0.37500000000000006</v>
      </c>
      <c r="AA160" s="75">
        <f t="shared" ca="1" si="25"/>
        <v>1.0000000000000002</v>
      </c>
      <c r="AB160" s="76">
        <f t="shared" ca="1" si="26"/>
        <v>4.5833333334788562E-2</v>
      </c>
      <c r="AC160" s="75">
        <f t="shared" ca="1" si="27"/>
        <v>0.12222222222610284</v>
      </c>
      <c r="AD160" s="76">
        <f t="shared" ca="1" si="28"/>
        <v>4.5833333334788562E-2</v>
      </c>
      <c r="AE160" s="76">
        <f t="shared" ca="1" si="29"/>
        <v>4.5833333334788562E-2</v>
      </c>
      <c r="AF160" s="75">
        <f t="shared" ca="1" si="30"/>
        <v>0.12222222222610284</v>
      </c>
      <c r="AG160" s="75">
        <f t="shared" ca="1" si="31"/>
        <v>0.12222222222610284</v>
      </c>
      <c r="AH160" s="31" t="str" cm="1">
        <f t="array" aca="1" ref="AH160" ca="1">IF((AD160) &lt; (INDEX(ResponseSLA[#All],(MATCH((G160),ResponseSLA[Priority],0))+1,3)),"YES","No")</f>
        <v>YES</v>
      </c>
      <c r="AI160" s="31" t="str">
        <f ca="1">_xlfn.IFNA(IF(AE160 &lt; (INDEX(SLATable[Minimum SLA],MATCH(G160,SLATable[Priority],0))),"YES","NO"),"")</f>
        <v>YES</v>
      </c>
      <c r="AJ160" t="str">
        <f ca="1">_xlfn.IFNA(IF(AE160 &lt; (INDEX(SLATable[Maximum SLA],MATCH(G160,SLATable[Priority],0))),"YES","NO"),"")</f>
        <v>YES</v>
      </c>
    </row>
    <row r="161" spans="2:36" ht="15" customHeight="1">
      <c r="B161" s="45" t="s">
        <v>26</v>
      </c>
      <c r="C161" s="45" t="s">
        <v>44</v>
      </c>
      <c r="D161" s="53" t="s">
        <v>207</v>
      </c>
      <c r="E161" s="53" t="s">
        <v>5945</v>
      </c>
      <c r="F161" s="45" t="s">
        <v>312</v>
      </c>
      <c r="G161" s="53">
        <v>3</v>
      </c>
      <c r="H161" s="53" t="s">
        <v>5946</v>
      </c>
      <c r="I161" s="53" t="s">
        <v>275</v>
      </c>
      <c r="J161" s="53" t="s">
        <v>5530</v>
      </c>
      <c r="K161" s="71">
        <v>46156.551388888889</v>
      </c>
      <c r="L161" s="71">
        <v>46169.804861111108</v>
      </c>
      <c r="M161" s="71">
        <v>46170.277777777781</v>
      </c>
      <c r="N161" s="71">
        <v>46170.286111111112</v>
      </c>
      <c r="O161" s="71"/>
      <c r="P161" s="71"/>
      <c r="Q161" s="53" t="s">
        <v>5534</v>
      </c>
      <c r="R161" s="53" t="s">
        <v>272</v>
      </c>
      <c r="S161" s="53" t="s">
        <v>5895</v>
      </c>
      <c r="T161" s="53" t="s">
        <v>277</v>
      </c>
      <c r="U161" s="53" t="s">
        <v>5531</v>
      </c>
      <c r="V161" s="53"/>
      <c r="X161" s="53" t="s">
        <v>5531</v>
      </c>
      <c r="Y161" s="53" t="s">
        <v>5944</v>
      </c>
      <c r="Z161" s="76">
        <f t="shared" ca="1" si="24"/>
        <v>3.1569444444442833</v>
      </c>
      <c r="AA161" s="75">
        <f t="shared" ca="1" si="25"/>
        <v>8.4185185185180895</v>
      </c>
      <c r="AB161" s="76">
        <f t="shared" ca="1" si="26"/>
        <v>0</v>
      </c>
      <c r="AC161" s="75">
        <f t="shared" ca="1" si="27"/>
        <v>0</v>
      </c>
      <c r="AD161" s="76">
        <f t="shared" ca="1" si="28"/>
        <v>0</v>
      </c>
      <c r="AE161" s="76">
        <f t="shared" ca="1" si="29"/>
        <v>0</v>
      </c>
      <c r="AF161" s="75">
        <f t="shared" ca="1" si="30"/>
        <v>0</v>
      </c>
      <c r="AG161" s="75">
        <f t="shared" ca="1" si="31"/>
        <v>0</v>
      </c>
      <c r="AH161" s="31" t="str" cm="1">
        <f t="array" aca="1" ref="AH161" ca="1">IF((AD161) &lt; (INDEX(ResponseSLA[#All],(MATCH((G161),ResponseSLA[Priority],0))+1,3)),"YES","No")</f>
        <v>YES</v>
      </c>
      <c r="AI161" s="31" t="str">
        <f ca="1">_xlfn.IFNA(IF(AE161 &lt; (INDEX(SLATable[Minimum SLA],MATCH(G161,SLATable[Priority],0))),"YES","NO"),"")</f>
        <v>YES</v>
      </c>
      <c r="AJ161" t="str">
        <f ca="1">_xlfn.IFNA(IF(AE161 &lt; (INDEX(SLATable[Maximum SLA],MATCH(G161,SLATable[Priority],0))),"YES","NO"),"")</f>
        <v>YES</v>
      </c>
    </row>
    <row r="162" spans="2:36" ht="15" customHeight="1">
      <c r="B162" s="45" t="s">
        <v>26</v>
      </c>
      <c r="C162" s="45" t="s">
        <v>44</v>
      </c>
      <c r="D162" s="53" t="s">
        <v>207</v>
      </c>
      <c r="E162" s="53" t="s">
        <v>5947</v>
      </c>
      <c r="F162" s="45" t="s">
        <v>312</v>
      </c>
      <c r="G162" s="53">
        <v>3</v>
      </c>
      <c r="H162" s="53" t="s">
        <v>5948</v>
      </c>
      <c r="I162" s="53" t="s">
        <v>275</v>
      </c>
      <c r="J162" s="53" t="s">
        <v>5530</v>
      </c>
      <c r="K162" s="71">
        <v>46170.385416666664</v>
      </c>
      <c r="L162" s="71">
        <v>46171.447222222225</v>
      </c>
      <c r="M162" s="71">
        <v>46171.476388888892</v>
      </c>
      <c r="N162" s="71">
        <v>46171.537499999999</v>
      </c>
      <c r="O162" s="71"/>
      <c r="P162" s="71"/>
      <c r="Q162" s="53" t="s">
        <v>5534</v>
      </c>
      <c r="R162" s="53" t="s">
        <v>261</v>
      </c>
      <c r="S162" s="53" t="s">
        <v>5895</v>
      </c>
      <c r="T162" s="53" t="s">
        <v>5896</v>
      </c>
      <c r="U162" s="53" t="s">
        <v>5531</v>
      </c>
      <c r="V162" s="53"/>
      <c r="X162" s="53" t="s">
        <v>5531</v>
      </c>
      <c r="Y162" s="53" t="s">
        <v>5932</v>
      </c>
      <c r="Z162" s="76">
        <f t="shared" ca="1" si="24"/>
        <v>0.52708333333430346</v>
      </c>
      <c r="AA162" s="75">
        <f t="shared" ca="1" si="25"/>
        <v>1.4055555555581425</v>
      </c>
      <c r="AB162" s="76">
        <f t="shared" ca="1" si="26"/>
        <v>9.0277777773735579E-2</v>
      </c>
      <c r="AC162" s="75">
        <f t="shared" ca="1" si="27"/>
        <v>0.24074074072996154</v>
      </c>
      <c r="AD162" s="76">
        <f t="shared" ca="1" si="28"/>
        <v>2.9166666667151731E-2</v>
      </c>
      <c r="AE162" s="76">
        <f t="shared" ca="1" si="29"/>
        <v>9.0277777773735579E-2</v>
      </c>
      <c r="AF162" s="75">
        <f t="shared" ca="1" si="30"/>
        <v>0.24074074072996154</v>
      </c>
      <c r="AG162" s="75">
        <f t="shared" ca="1" si="31"/>
        <v>0.24074074072996154</v>
      </c>
      <c r="AH162" s="31" t="str" cm="1">
        <f t="array" aca="1" ref="AH162" ca="1">IF((AD162) &lt; (INDEX(ResponseSLA[#All],(MATCH((G162),ResponseSLA[Priority],0))+1,3)),"YES","No")</f>
        <v>YES</v>
      </c>
      <c r="AI162" s="31" t="str">
        <f ca="1">_xlfn.IFNA(IF(AE162 &lt; (INDEX(SLATable[Minimum SLA],MATCH(G162,SLATable[Priority],0))),"YES","NO"),"")</f>
        <v>YES</v>
      </c>
      <c r="AJ162" t="str">
        <f ca="1">_xlfn.IFNA(IF(AE162 &lt; (INDEX(SLATable[Maximum SLA],MATCH(G162,SLATable[Priority],0))),"YES","NO"),"")</f>
        <v>YES</v>
      </c>
    </row>
    <row r="163" spans="2:36" ht="15" customHeight="1">
      <c r="B163" s="45" t="s">
        <v>26</v>
      </c>
      <c r="C163" s="45" t="s">
        <v>44</v>
      </c>
      <c r="D163" s="53" t="s">
        <v>207</v>
      </c>
      <c r="E163" s="53" t="s">
        <v>5949</v>
      </c>
      <c r="F163" s="45" t="s">
        <v>312</v>
      </c>
      <c r="G163" s="53">
        <v>4</v>
      </c>
      <c r="H163" s="53" t="s">
        <v>5950</v>
      </c>
      <c r="I163" s="53" t="s">
        <v>271</v>
      </c>
      <c r="J163" s="53" t="s">
        <v>5530</v>
      </c>
      <c r="K163" s="71">
        <v>46170.373611111114</v>
      </c>
      <c r="L163" s="71">
        <v>46171.451388888891</v>
      </c>
      <c r="M163" s="71">
        <v>46171.476388888892</v>
      </c>
      <c r="N163" s="71">
        <v>46177.359525462962</v>
      </c>
      <c r="O163" s="71">
        <v>46171.529166666667</v>
      </c>
      <c r="P163" s="71">
        <v>46177.359525462962</v>
      </c>
      <c r="Q163" s="53" t="s">
        <v>5534</v>
      </c>
      <c r="R163" s="53" t="s">
        <v>272</v>
      </c>
      <c r="S163" s="53" t="s">
        <v>5895</v>
      </c>
      <c r="T163" s="53" t="s">
        <v>5896</v>
      </c>
      <c r="U163" s="53" t="s">
        <v>5531</v>
      </c>
      <c r="V163" s="53"/>
      <c r="X163" s="53" t="s">
        <v>5531</v>
      </c>
      <c r="Y163" s="53" t="s">
        <v>5951</v>
      </c>
      <c r="Z163" s="76">
        <f t="shared" ca="1" si="24"/>
        <v>0.5305555555532917</v>
      </c>
      <c r="AA163" s="75">
        <f t="shared" ca="1" si="25"/>
        <v>1.4148148148087778</v>
      </c>
      <c r="AB163" s="76">
        <f t="shared" ca="1" si="26"/>
        <v>7.7777777776645962E-2</v>
      </c>
      <c r="AC163" s="75">
        <f t="shared" ca="1" si="27"/>
        <v>0.20740740740438923</v>
      </c>
      <c r="AD163" s="76">
        <f t="shared" ca="1" si="28"/>
        <v>2.5000000001455192E-2</v>
      </c>
      <c r="AE163" s="76">
        <f t="shared" ca="1" si="29"/>
        <v>7.7777777776645962E-2</v>
      </c>
      <c r="AF163" s="75">
        <f t="shared" ca="1" si="30"/>
        <v>0.20740740740438923</v>
      </c>
      <c r="AG163" s="75">
        <f t="shared" ca="1" si="31"/>
        <v>0.20740740740438923</v>
      </c>
      <c r="AH163" s="31" t="str" cm="1">
        <f t="array" aca="1" ref="AH163" ca="1">IF((AD163) &lt; (INDEX(ResponseSLA[#All],(MATCH((G163),ResponseSLA[Priority],0))+1,3)),"YES","No")</f>
        <v>YES</v>
      </c>
      <c r="AI163" s="31" t="str">
        <f ca="1">_xlfn.IFNA(IF(AE163 &lt; (INDEX(SLATable[Minimum SLA],MATCH(G163,SLATable[Priority],0))),"YES","NO"),"")</f>
        <v>YES</v>
      </c>
      <c r="AJ163" t="str">
        <f ca="1">_xlfn.IFNA(IF(AE163 &lt; (INDEX(SLATable[Maximum SLA],MATCH(G163,SLATable[Priority],0))),"YES","NO"),"")</f>
        <v>YES</v>
      </c>
    </row>
    <row r="164" spans="2:36" ht="15" customHeight="1">
      <c r="B164" s="45" t="s">
        <v>26</v>
      </c>
      <c r="C164" s="45" t="s">
        <v>44</v>
      </c>
      <c r="D164" s="53" t="s">
        <v>207</v>
      </c>
      <c r="E164" s="53" t="s">
        <v>5952</v>
      </c>
      <c r="F164" s="45" t="s">
        <v>312</v>
      </c>
      <c r="G164" s="53">
        <v>4</v>
      </c>
      <c r="H164" s="53" t="s">
        <v>5953</v>
      </c>
      <c r="I164" s="53" t="s">
        <v>271</v>
      </c>
      <c r="J164" s="53" t="s">
        <v>5530</v>
      </c>
      <c r="K164" s="71">
        <v>46170.900694444441</v>
      </c>
      <c r="L164" s="71">
        <v>46170.904861111114</v>
      </c>
      <c r="M164" s="71">
        <v>46171.3</v>
      </c>
      <c r="N164" s="71">
        <v>46183.300266203703</v>
      </c>
      <c r="O164" s="71">
        <v>46171.331250000003</v>
      </c>
      <c r="P164" s="71">
        <v>46183.300266203703</v>
      </c>
      <c r="Q164" s="53" t="s">
        <v>5534</v>
      </c>
      <c r="R164" s="53" t="s">
        <v>272</v>
      </c>
      <c r="S164" s="53" t="s">
        <v>5895</v>
      </c>
      <c r="T164" s="53" t="s">
        <v>5896</v>
      </c>
      <c r="U164" s="53" t="s">
        <v>5531</v>
      </c>
      <c r="V164" s="53"/>
      <c r="X164" s="53" t="s">
        <v>5531</v>
      </c>
      <c r="Y164" s="53" t="s">
        <v>5954</v>
      </c>
      <c r="Z164" s="76">
        <f t="shared" ca="1" si="24"/>
        <v>0</v>
      </c>
      <c r="AA164" s="75">
        <f t="shared" ca="1" si="25"/>
        <v>0</v>
      </c>
      <c r="AB164" s="76">
        <f t="shared" ca="1" si="26"/>
        <v>0</v>
      </c>
      <c r="AC164" s="75">
        <f t="shared" ca="1" si="27"/>
        <v>0</v>
      </c>
      <c r="AD164" s="76">
        <f t="shared" ca="1" si="28"/>
        <v>0</v>
      </c>
      <c r="AE164" s="76">
        <f t="shared" ca="1" si="29"/>
        <v>0</v>
      </c>
      <c r="AF164" s="75">
        <f t="shared" ca="1" si="30"/>
        <v>0</v>
      </c>
      <c r="AG164" s="75">
        <f t="shared" ca="1" si="31"/>
        <v>0</v>
      </c>
      <c r="AH164" s="31" t="str" cm="1">
        <f t="array" aca="1" ref="AH164" ca="1">IF((AD164) &lt; (INDEX(ResponseSLA[#All],(MATCH((G164),ResponseSLA[Priority],0))+1,3)),"YES","No")</f>
        <v>YES</v>
      </c>
      <c r="AI164" s="31" t="str">
        <f ca="1">_xlfn.IFNA(IF(AE164 &lt; (INDEX(SLATable[Minimum SLA],MATCH(G164,SLATable[Priority],0))),"YES","NO"),"")</f>
        <v>YES</v>
      </c>
      <c r="AJ164" t="str">
        <f ca="1">_xlfn.IFNA(IF(AE164 &lt; (INDEX(SLATable[Maximum SLA],MATCH(G164,SLATable[Priority],0))),"YES","NO"),"")</f>
        <v>YES</v>
      </c>
    </row>
    <row r="165" spans="2:36" ht="15" customHeight="1">
      <c r="B165" s="45" t="s">
        <v>26</v>
      </c>
      <c r="C165" s="45" t="s">
        <v>44</v>
      </c>
      <c r="D165" s="53" t="s">
        <v>208</v>
      </c>
      <c r="E165" s="53" t="s">
        <v>5955</v>
      </c>
      <c r="F165" s="45" t="s">
        <v>312</v>
      </c>
      <c r="G165" s="53" t="s">
        <v>208</v>
      </c>
      <c r="H165" s="53" t="s">
        <v>5956</v>
      </c>
      <c r="I165" s="53" t="s">
        <v>271</v>
      </c>
      <c r="J165" s="53" t="s">
        <v>5530</v>
      </c>
      <c r="K165" s="71">
        <v>46170.658333333333</v>
      </c>
      <c r="L165" s="71">
        <v>46170.658333333333</v>
      </c>
      <c r="M165" s="71">
        <v>46170.659722222219</v>
      </c>
      <c r="N165" s="71">
        <v>46178.354375000003</v>
      </c>
      <c r="O165" s="71">
        <v>46175.416562500002</v>
      </c>
      <c r="P165" s="71">
        <v>46178.354375000003</v>
      </c>
      <c r="Q165" s="53" t="s">
        <v>44</v>
      </c>
      <c r="R165" s="53" t="s">
        <v>261</v>
      </c>
      <c r="S165" s="53" t="s">
        <v>5895</v>
      </c>
      <c r="T165" s="53" t="s">
        <v>277</v>
      </c>
      <c r="U165" s="53" t="s">
        <v>5531</v>
      </c>
      <c r="V165" s="53"/>
      <c r="X165" s="53" t="s">
        <v>5531</v>
      </c>
      <c r="Y165" s="53" t="s">
        <v>5957</v>
      </c>
      <c r="Z165" s="76">
        <f t="shared" ca="1" si="24"/>
        <v>0.88322916666948026</v>
      </c>
      <c r="AA165" s="75">
        <f t="shared" ca="1" si="25"/>
        <v>2.3552777777852807</v>
      </c>
      <c r="AB165" s="76">
        <f t="shared" ca="1" si="26"/>
        <v>0.88322916666948026</v>
      </c>
      <c r="AC165" s="75">
        <f t="shared" ca="1" si="27"/>
        <v>2.3552777777852807</v>
      </c>
      <c r="AD165" s="76">
        <f t="shared" ca="1" si="28"/>
        <v>1.3888888861401938E-3</v>
      </c>
      <c r="AE165" s="76">
        <f t="shared" ca="1" si="29"/>
        <v>0.88322916666948026</v>
      </c>
      <c r="AF165" s="75">
        <f t="shared" ca="1" si="30"/>
        <v>2.3552777777852807</v>
      </c>
      <c r="AG165" s="75">
        <f t="shared" ca="1" si="31"/>
        <v>2.3552777777852807</v>
      </c>
      <c r="AH165" s="31" t="str" cm="1">
        <f t="array" aca="1" ref="AH165" ca="1">IF((AD165) &lt; (INDEX(ResponseSLA[#All],(MATCH((G165),ResponseSLA[Priority],0))+1,3)),"YES","No")</f>
        <v>YES</v>
      </c>
      <c r="AI165" s="31" t="str">
        <f ca="1">_xlfn.IFNA(IF(AE165 &lt; (INDEX(SLATable[Minimum SLA],MATCH(G165,SLATable[Priority],0))),"YES","NO"),"")</f>
        <v>NO</v>
      </c>
      <c r="AJ165" t="str">
        <f ca="1">_xlfn.IFNA(IF(AE165 &lt; (INDEX(SLATable[Maximum SLA],MATCH(G165,SLATable[Priority],0))),"YES","NO"),"")</f>
        <v>NO</v>
      </c>
    </row>
    <row r="166" spans="2:36" ht="15" customHeight="1">
      <c r="B166" s="45" t="s">
        <v>26</v>
      </c>
      <c r="C166" s="45" t="s">
        <v>44</v>
      </c>
      <c r="D166" s="53" t="s">
        <v>207</v>
      </c>
      <c r="E166" s="53" t="s">
        <v>5958</v>
      </c>
      <c r="F166" s="45" t="s">
        <v>312</v>
      </c>
      <c r="G166" s="53">
        <v>3</v>
      </c>
      <c r="H166" s="53" t="s">
        <v>5959</v>
      </c>
      <c r="I166" s="53" t="s">
        <v>275</v>
      </c>
      <c r="J166" s="53" t="s">
        <v>5530</v>
      </c>
      <c r="K166" s="71">
        <v>46171.365972222222</v>
      </c>
      <c r="L166" s="71">
        <v>46171.414583333331</v>
      </c>
      <c r="M166" s="71">
        <v>46171.436111111114</v>
      </c>
      <c r="N166" s="71">
        <v>46171.527777777781</v>
      </c>
      <c r="O166" s="71"/>
      <c r="P166" s="71"/>
      <c r="Q166" s="53" t="s">
        <v>5534</v>
      </c>
      <c r="R166" s="53" t="s">
        <v>272</v>
      </c>
      <c r="S166" s="53" t="s">
        <v>5895</v>
      </c>
      <c r="T166" s="53" t="s">
        <v>5896</v>
      </c>
      <c r="U166" s="53" t="s">
        <v>5531</v>
      </c>
      <c r="V166" s="53"/>
      <c r="X166" s="53" t="s">
        <v>5531</v>
      </c>
      <c r="Y166" s="53" t="s">
        <v>5960</v>
      </c>
      <c r="Z166" s="76">
        <f t="shared" ca="1" si="24"/>
        <v>0.16180555555911269</v>
      </c>
      <c r="AA166" s="75">
        <f t="shared" ca="1" si="25"/>
        <v>0.43148148149096716</v>
      </c>
      <c r="AB166" s="76">
        <f t="shared" ca="1" si="26"/>
        <v>0.11319444444961846</v>
      </c>
      <c r="AC166" s="75">
        <f t="shared" ca="1" si="27"/>
        <v>0.30185185186564922</v>
      </c>
      <c r="AD166" s="76">
        <f t="shared" ca="1" si="28"/>
        <v>2.1527777782466728E-2</v>
      </c>
      <c r="AE166" s="76">
        <f t="shared" ca="1" si="29"/>
        <v>0.11319444444961846</v>
      </c>
      <c r="AF166" s="75">
        <f t="shared" ca="1" si="30"/>
        <v>0.30185185186564922</v>
      </c>
      <c r="AG166" s="75">
        <f t="shared" ca="1" si="31"/>
        <v>0.30185185186564922</v>
      </c>
      <c r="AH166" s="31" t="str" cm="1">
        <f t="array" aca="1" ref="AH166" ca="1">IF((AD166) &lt; (INDEX(ResponseSLA[#All],(MATCH((G166),ResponseSLA[Priority],0))+1,3)),"YES","No")</f>
        <v>YES</v>
      </c>
      <c r="AI166" s="31" t="str">
        <f ca="1">_xlfn.IFNA(IF(AE166 &lt; (INDEX(SLATable[Minimum SLA],MATCH(G166,SLATable[Priority],0))),"YES","NO"),"")</f>
        <v>YES</v>
      </c>
      <c r="AJ166" t="str">
        <f ca="1">_xlfn.IFNA(IF(AE166 &lt; (INDEX(SLATable[Maximum SLA],MATCH(G166,SLATable[Priority],0))),"YES","NO"),"")</f>
        <v>YES</v>
      </c>
    </row>
    <row r="167" spans="2:36" ht="15" customHeight="1">
      <c r="B167" s="45" t="s">
        <v>26</v>
      </c>
      <c r="C167" s="45" t="s">
        <v>44</v>
      </c>
      <c r="D167" s="45" t="s">
        <v>207</v>
      </c>
      <c r="E167" s="45" t="s">
        <v>5961</v>
      </c>
      <c r="F167" s="45" t="s">
        <v>312</v>
      </c>
      <c r="G167" s="45">
        <v>3</v>
      </c>
      <c r="H167" s="45" t="s">
        <v>5962</v>
      </c>
      <c r="I167" s="45" t="s">
        <v>271</v>
      </c>
      <c r="J167" s="45" t="s">
        <v>5963</v>
      </c>
      <c r="K167" s="47">
        <v>46143.388194444444</v>
      </c>
      <c r="L167" s="47">
        <v>46146.28125</v>
      </c>
      <c r="M167" s="47">
        <v>46146.28125</v>
      </c>
      <c r="N167" s="47">
        <v>46148.522222222222</v>
      </c>
      <c r="P167" s="47">
        <v>46148.522222222222</v>
      </c>
      <c r="Q167" s="45" t="s">
        <v>5692</v>
      </c>
      <c r="R167" s="45" t="s">
        <v>5693</v>
      </c>
      <c r="S167" s="45" t="s">
        <v>5699</v>
      </c>
      <c r="T167" s="45" t="s">
        <v>268</v>
      </c>
      <c r="U167" s="45" t="s">
        <v>5531</v>
      </c>
      <c r="X167" s="53" t="s">
        <v>5531</v>
      </c>
      <c r="Y167" s="45" t="s">
        <v>5694</v>
      </c>
      <c r="Z167" s="76">
        <f t="shared" ca="1" si="24"/>
        <v>0.56388888888856559</v>
      </c>
      <c r="AA167" s="75">
        <f t="shared" ca="1" si="25"/>
        <v>1.5037037037028416</v>
      </c>
      <c r="AB167" s="76">
        <f t="shared" ca="1" si="26"/>
        <v>0.56388888888856559</v>
      </c>
      <c r="AC167" s="75">
        <f t="shared" ca="1" si="27"/>
        <v>1.5037037037028416</v>
      </c>
      <c r="AD167" s="76">
        <f t="shared" ca="1" si="28"/>
        <v>0</v>
      </c>
      <c r="AE167" s="76">
        <f t="shared" ca="1" si="29"/>
        <v>0.56388888888856559</v>
      </c>
      <c r="AF167" s="75">
        <f t="shared" ca="1" si="30"/>
        <v>1.5037037037028416</v>
      </c>
      <c r="AG167" s="75">
        <f t="shared" ca="1" si="31"/>
        <v>1.5037037037028416</v>
      </c>
      <c r="AH167" s="31" t="str" cm="1">
        <f t="array" aca="1" ref="AH167" ca="1">IF((AD167) &lt; (INDEX(ResponseSLA[#All],(MATCH((G167),ResponseSLA[Priority],0))+1,3)),"YES","No")</f>
        <v>YES</v>
      </c>
      <c r="AI167" s="31" t="str">
        <f ca="1">_xlfn.IFNA(IF(AE167 &lt; (INDEX(SLATable[Minimum SLA],MATCH(G167,SLATable[Priority],0))),"YES","NO"),"")</f>
        <v>NO</v>
      </c>
      <c r="AJ167" t="str">
        <f ca="1">_xlfn.IFNA(IF(AE167 &lt; (INDEX(SLATable[Maximum SLA],MATCH(G167,SLATable[Priority],0))),"YES","NO"),"")</f>
        <v>YES</v>
      </c>
    </row>
    <row r="168" spans="2:36" ht="15" customHeight="1">
      <c r="B168" s="45" t="s">
        <v>26</v>
      </c>
      <c r="C168" s="45" t="s">
        <v>44</v>
      </c>
      <c r="D168" s="45" t="s">
        <v>208</v>
      </c>
      <c r="E168" s="45" t="s">
        <v>5964</v>
      </c>
      <c r="F168" s="45" t="s">
        <v>312</v>
      </c>
      <c r="G168" s="45" t="s">
        <v>208</v>
      </c>
      <c r="H168" s="45" t="s">
        <v>5965</v>
      </c>
      <c r="I168" s="45" t="s">
        <v>275</v>
      </c>
      <c r="J168" s="45" t="s">
        <v>5963</v>
      </c>
      <c r="K168" s="47">
        <v>46147.434027777781</v>
      </c>
      <c r="L168" s="47">
        <v>46148.540972222225</v>
      </c>
      <c r="M168" s="47">
        <v>46148.540972222225</v>
      </c>
      <c r="N168" s="47">
        <v>46149.607638888891</v>
      </c>
      <c r="P168" s="47">
        <v>46149.607638888891</v>
      </c>
      <c r="Q168" s="45" t="s">
        <v>5692</v>
      </c>
      <c r="R168" s="45" t="s">
        <v>5693</v>
      </c>
      <c r="S168" s="45" t="s">
        <v>5699</v>
      </c>
      <c r="T168" s="45" t="s">
        <v>268</v>
      </c>
      <c r="U168" s="45" t="s">
        <v>5531</v>
      </c>
      <c r="X168" s="45" t="s">
        <v>5531</v>
      </c>
      <c r="Z168" s="76">
        <f t="shared" ca="1" si="24"/>
        <v>0.92361111110949423</v>
      </c>
      <c r="AA168" s="75">
        <f t="shared" ca="1" si="25"/>
        <v>2.4629629629586511</v>
      </c>
      <c r="AB168" s="76">
        <f t="shared" ca="1" si="26"/>
        <v>0.44166666666569654</v>
      </c>
      <c r="AC168" s="75">
        <f t="shared" ca="1" si="27"/>
        <v>1.1777777777751908</v>
      </c>
      <c r="AD168" s="76">
        <f t="shared" ca="1" si="28"/>
        <v>0</v>
      </c>
      <c r="AE168" s="76">
        <f t="shared" ca="1" si="29"/>
        <v>0.44166666666569654</v>
      </c>
      <c r="AF168" s="75">
        <f t="shared" ca="1" si="30"/>
        <v>1.1777777777751908</v>
      </c>
      <c r="AG168" s="75">
        <f t="shared" ca="1" si="31"/>
        <v>1.1777777777751908</v>
      </c>
      <c r="AH168" s="31" t="str" cm="1">
        <f t="array" aca="1" ref="AH168" ca="1">IF((AD168) &lt; (INDEX(ResponseSLA[#All],(MATCH((G168),ResponseSLA[Priority],0))+1,3)),"YES","No")</f>
        <v>YES</v>
      </c>
      <c r="AI168" s="31" t="str">
        <f ca="1">_xlfn.IFNA(IF(AE168 &lt; (INDEX(SLATable[Minimum SLA],MATCH(G168,SLATable[Priority],0))),"YES","NO"),"")</f>
        <v>YES</v>
      </c>
      <c r="AJ168" t="str">
        <f ca="1">_xlfn.IFNA(IF(AE168 &lt; (INDEX(SLATable[Maximum SLA],MATCH(G168,SLATable[Priority],0))),"YES","NO"),"")</f>
        <v>YES</v>
      </c>
    </row>
    <row r="169" spans="2:36" ht="15" customHeight="1">
      <c r="B169" s="45" t="s">
        <v>26</v>
      </c>
      <c r="C169" s="45" t="s">
        <v>44</v>
      </c>
      <c r="D169" s="45" t="s">
        <v>207</v>
      </c>
      <c r="E169" s="45" t="s">
        <v>5966</v>
      </c>
      <c r="F169" s="45" t="s">
        <v>312</v>
      </c>
      <c r="G169" s="45">
        <v>4</v>
      </c>
      <c r="H169" s="45" t="s">
        <v>5967</v>
      </c>
      <c r="I169" s="45" t="s">
        <v>271</v>
      </c>
      <c r="J169" s="45" t="s">
        <v>5963</v>
      </c>
      <c r="K169" s="47">
        <v>46149.373611111114</v>
      </c>
      <c r="L169" s="47">
        <v>46150.624305555553</v>
      </c>
      <c r="M169" s="47">
        <v>46150.624305555553</v>
      </c>
      <c r="N169" s="47">
        <v>46154.32916666667</v>
      </c>
      <c r="P169" s="47">
        <v>46154.32916666667</v>
      </c>
      <c r="Q169" s="45" t="s">
        <v>5692</v>
      </c>
      <c r="R169" s="45" t="s">
        <v>5693</v>
      </c>
      <c r="S169" s="45" t="s">
        <v>5699</v>
      </c>
      <c r="T169" s="45" t="s">
        <v>268</v>
      </c>
      <c r="U169" s="45" t="s">
        <v>5531</v>
      </c>
      <c r="X169" s="45" t="s">
        <v>5531</v>
      </c>
      <c r="Y169" s="45" t="s">
        <v>5694</v>
      </c>
      <c r="Z169" s="76">
        <f t="shared" ca="1" si="24"/>
        <v>1.0847222222194737</v>
      </c>
      <c r="AA169" s="75">
        <f t="shared" ca="1" si="25"/>
        <v>2.8925925925852631</v>
      </c>
      <c r="AB169" s="76">
        <f t="shared" ca="1" si="26"/>
        <v>0.45902777778004156</v>
      </c>
      <c r="AC169" s="75">
        <f t="shared" ca="1" si="27"/>
        <v>1.2240740740801108</v>
      </c>
      <c r="AD169" s="76">
        <f t="shared" ca="1" si="28"/>
        <v>0</v>
      </c>
      <c r="AE169" s="76">
        <f t="shared" ca="1" si="29"/>
        <v>0.45902777778004156</v>
      </c>
      <c r="AF169" s="75">
        <f t="shared" ca="1" si="30"/>
        <v>1.2240740740801108</v>
      </c>
      <c r="AG169" s="75">
        <f t="shared" ca="1" si="31"/>
        <v>1.2240740740801108</v>
      </c>
      <c r="AH169" s="31" t="str" cm="1">
        <f t="array" aca="1" ref="AH169" ca="1">IF((AD169) &lt; (INDEX(ResponseSLA[#All],(MATCH((G169),ResponseSLA[Priority],0))+1,3)),"YES","No")</f>
        <v>YES</v>
      </c>
      <c r="AI169" s="31" t="str">
        <f ca="1">_xlfn.IFNA(IF(AE169 &lt; (INDEX(SLATable[Minimum SLA],MATCH(G169,SLATable[Priority],0))),"YES","NO"),"")</f>
        <v>YES</v>
      </c>
      <c r="AJ169" t="str">
        <f ca="1">_xlfn.IFNA(IF(AE169 &lt; (INDEX(SLATable[Maximum SLA],MATCH(G169,SLATable[Priority],0))),"YES","NO"),"")</f>
        <v>YES</v>
      </c>
    </row>
    <row r="170" spans="2:36" ht="15" customHeight="1">
      <c r="B170" s="45" t="s">
        <v>26</v>
      </c>
      <c r="C170" s="45" t="s">
        <v>44</v>
      </c>
      <c r="D170" s="45" t="s">
        <v>207</v>
      </c>
      <c r="E170" s="45" t="s">
        <v>5968</v>
      </c>
      <c r="F170" s="45" t="s">
        <v>312</v>
      </c>
      <c r="G170" s="45">
        <v>3</v>
      </c>
      <c r="H170" s="45" t="s">
        <v>5969</v>
      </c>
      <c r="I170" s="45" t="s">
        <v>271</v>
      </c>
      <c r="J170" s="45" t="s">
        <v>5963</v>
      </c>
      <c r="K170" s="47">
        <v>46148.702777777777</v>
      </c>
      <c r="L170" s="47">
        <v>46149.288194444445</v>
      </c>
      <c r="M170" s="47">
        <v>46149.288194444445</v>
      </c>
      <c r="N170" s="47">
        <v>46150.306250000001</v>
      </c>
      <c r="P170" s="47">
        <v>46150.306250000001</v>
      </c>
      <c r="Q170" s="45" t="s">
        <v>5692</v>
      </c>
      <c r="R170" s="45" t="s">
        <v>272</v>
      </c>
      <c r="S170" s="45" t="s">
        <v>175</v>
      </c>
      <c r="T170" s="45" t="s">
        <v>268</v>
      </c>
      <c r="U170" s="45" t="s">
        <v>5531</v>
      </c>
      <c r="X170" s="45" t="s">
        <v>5531</v>
      </c>
      <c r="Y170" s="45" t="s">
        <v>5970</v>
      </c>
      <c r="Z170" s="76">
        <f t="shared" ca="1" si="24"/>
        <v>0.38055555555668752</v>
      </c>
      <c r="AA170" s="75">
        <f t="shared" ca="1" si="25"/>
        <v>1.0148148148178333</v>
      </c>
      <c r="AB170" s="76">
        <f t="shared" ca="1" si="26"/>
        <v>0.37500000000000006</v>
      </c>
      <c r="AC170" s="75">
        <f t="shared" ca="1" si="27"/>
        <v>1.0000000000000002</v>
      </c>
      <c r="AD170" s="76">
        <f t="shared" ca="1" si="28"/>
        <v>0</v>
      </c>
      <c r="AE170" s="76">
        <f t="shared" ca="1" si="29"/>
        <v>0.37500000000000006</v>
      </c>
      <c r="AF170" s="75">
        <f t="shared" ca="1" si="30"/>
        <v>1.0000000000000002</v>
      </c>
      <c r="AG170" s="75">
        <f t="shared" ca="1" si="31"/>
        <v>1.0000000000000002</v>
      </c>
      <c r="AH170" s="31" t="str" cm="1">
        <f t="array" aca="1" ref="AH170" ca="1">IF((AD170) &lt; (INDEX(ResponseSLA[#All],(MATCH((G170),ResponseSLA[Priority],0))+1,3)),"YES","No")</f>
        <v>YES</v>
      </c>
      <c r="AI170" s="31" t="str">
        <f ca="1">_xlfn.IFNA(IF(AE170 &lt; (INDEX(SLATable[Minimum SLA],MATCH(G170,SLATable[Priority],0))),"YES","NO"),"")</f>
        <v>NO</v>
      </c>
      <c r="AJ170" t="str">
        <f ca="1">_xlfn.IFNA(IF(AE170 &lt; (INDEX(SLATable[Maximum SLA],MATCH(G170,SLATable[Priority],0))),"YES","NO"),"")</f>
        <v>YES</v>
      </c>
    </row>
    <row r="171" spans="2:36" ht="15" customHeight="1">
      <c r="B171" s="45" t="s">
        <v>26</v>
      </c>
      <c r="C171" s="45" t="s">
        <v>44</v>
      </c>
      <c r="D171" s="45" t="s">
        <v>207</v>
      </c>
      <c r="E171" s="45" t="s">
        <v>5971</v>
      </c>
      <c r="F171" s="45" t="s">
        <v>312</v>
      </c>
      <c r="G171" s="45">
        <v>4</v>
      </c>
      <c r="H171" s="45" t="s">
        <v>5972</v>
      </c>
      <c r="I171" s="45" t="s">
        <v>271</v>
      </c>
      <c r="J171" s="45" t="s">
        <v>5963</v>
      </c>
      <c r="K171" s="47">
        <v>46148.53402777778</v>
      </c>
      <c r="L171" s="47">
        <v>46148.543055555558</v>
      </c>
      <c r="M171" s="47">
        <v>46148.543055555558</v>
      </c>
      <c r="N171" s="47">
        <v>46150.318749999999</v>
      </c>
      <c r="P171" s="47">
        <v>46150.318749999999</v>
      </c>
      <c r="R171" s="45" t="s">
        <v>5693</v>
      </c>
      <c r="S171" s="45" t="s">
        <v>175</v>
      </c>
      <c r="T171" s="45" t="s">
        <v>268</v>
      </c>
      <c r="U171" s="45" t="s">
        <v>5531</v>
      </c>
      <c r="X171" s="45" t="s">
        <v>5531</v>
      </c>
      <c r="Y171" s="45" t="s">
        <v>5694</v>
      </c>
      <c r="Z171" s="76">
        <f t="shared" ca="1" si="24"/>
        <v>0.54930555555377714</v>
      </c>
      <c r="AA171" s="75">
        <f t="shared" ca="1" si="25"/>
        <v>1.4648148148100724</v>
      </c>
      <c r="AB171" s="76">
        <f t="shared" ca="1" si="26"/>
        <v>0.54027777777567598</v>
      </c>
      <c r="AC171" s="75">
        <f t="shared" ca="1" si="27"/>
        <v>1.440740740735136</v>
      </c>
      <c r="AD171" s="76">
        <f t="shared" ca="1" si="28"/>
        <v>0</v>
      </c>
      <c r="AE171" s="76">
        <f t="shared" ca="1" si="29"/>
        <v>0.54027777777567598</v>
      </c>
      <c r="AF171" s="75">
        <f t="shared" ca="1" si="30"/>
        <v>1.440740740735136</v>
      </c>
      <c r="AG171" s="75">
        <f t="shared" ca="1" si="31"/>
        <v>1.440740740735136</v>
      </c>
      <c r="AH171" s="31" t="str" cm="1">
        <f t="array" aca="1" ref="AH171" ca="1">IF((AD171) &lt; (INDEX(ResponseSLA[#All],(MATCH((G171),ResponseSLA[Priority],0))+1,3)),"YES","No")</f>
        <v>YES</v>
      </c>
      <c r="AI171" s="31" t="str">
        <f ca="1">_xlfn.IFNA(IF(AE171 &lt; (INDEX(SLATable[Minimum SLA],MATCH(G171,SLATable[Priority],0))),"YES","NO"),"")</f>
        <v>YES</v>
      </c>
      <c r="AJ171" t="str">
        <f ca="1">_xlfn.IFNA(IF(AE171 &lt; (INDEX(SLATable[Maximum SLA],MATCH(G171,SLATable[Priority],0))),"YES","NO"),"")</f>
        <v>YES</v>
      </c>
    </row>
    <row r="172" spans="2:36" ht="15" customHeight="1">
      <c r="B172" s="45" t="s">
        <v>26</v>
      </c>
      <c r="C172" s="45" t="s">
        <v>44</v>
      </c>
      <c r="D172" s="45" t="s">
        <v>208</v>
      </c>
      <c r="E172" s="45" t="s">
        <v>5973</v>
      </c>
      <c r="F172" s="45" t="s">
        <v>312</v>
      </c>
      <c r="G172" s="45" t="s">
        <v>208</v>
      </c>
      <c r="H172" s="45" t="s">
        <v>2750</v>
      </c>
      <c r="I172" s="45" t="s">
        <v>271</v>
      </c>
      <c r="J172" s="45" t="s">
        <v>5963</v>
      </c>
      <c r="K172" s="47">
        <v>46136.740972222222</v>
      </c>
      <c r="L172" s="47">
        <v>46139.381249999999</v>
      </c>
      <c r="M172" s="47">
        <v>46139.381249999999</v>
      </c>
      <c r="N172" s="47">
        <v>46150.319444444445</v>
      </c>
      <c r="P172" s="47">
        <v>46150.319444444445</v>
      </c>
      <c r="Q172" s="45" t="s">
        <v>44</v>
      </c>
      <c r="R172" s="45" t="s">
        <v>5693</v>
      </c>
      <c r="S172" s="45" t="s">
        <v>175</v>
      </c>
      <c r="T172" s="45" t="s">
        <v>268</v>
      </c>
      <c r="U172" s="45" t="s">
        <v>5531</v>
      </c>
      <c r="X172" s="45" t="s">
        <v>5531</v>
      </c>
      <c r="Y172" s="45" t="s">
        <v>5974</v>
      </c>
      <c r="Z172" s="76">
        <f t="shared" ca="1" si="24"/>
        <v>2.6250000000000004</v>
      </c>
      <c r="AA172" s="75">
        <f t="shared" ca="1" si="25"/>
        <v>7.0000000000000018</v>
      </c>
      <c r="AB172" s="76">
        <f t="shared" ca="1" si="26"/>
        <v>2.5770833333347891</v>
      </c>
      <c r="AC172" s="75">
        <f t="shared" ca="1" si="27"/>
        <v>6.872222222226104</v>
      </c>
      <c r="AD172" s="76">
        <f t="shared" ca="1" si="28"/>
        <v>0</v>
      </c>
      <c r="AE172" s="76">
        <f t="shared" ca="1" si="29"/>
        <v>2.5770833333347891</v>
      </c>
      <c r="AF172" s="75">
        <f t="shared" ca="1" si="30"/>
        <v>6.872222222226104</v>
      </c>
      <c r="AG172" s="75">
        <f t="shared" ca="1" si="31"/>
        <v>6.872222222226104</v>
      </c>
      <c r="AH172" s="31" t="str" cm="1">
        <f t="array" aca="1" ref="AH172" ca="1">IF((AD172) &lt; (INDEX(ResponseSLA[#All],(MATCH((G172),ResponseSLA[Priority],0))+1,3)),"YES","No")</f>
        <v>YES</v>
      </c>
      <c r="AI172" s="31" t="str">
        <f ca="1">_xlfn.IFNA(IF(AE172 &lt; (INDEX(SLATable[Minimum SLA],MATCH(G172,SLATable[Priority],0))),"YES","NO"),"")</f>
        <v>NO</v>
      </c>
      <c r="AJ172" t="str">
        <f ca="1">_xlfn.IFNA(IF(AE172 &lt; (INDEX(SLATable[Maximum SLA],MATCH(G172,SLATable[Priority],0))),"YES","NO"),"")</f>
        <v>NO</v>
      </c>
    </row>
    <row r="173" spans="2:36" ht="15" customHeight="1">
      <c r="B173" s="45" t="s">
        <v>26</v>
      </c>
      <c r="C173" s="45" t="s">
        <v>44</v>
      </c>
      <c r="D173" s="45" t="s">
        <v>208</v>
      </c>
      <c r="E173" s="45" t="s">
        <v>5975</v>
      </c>
      <c r="F173" s="45" t="s">
        <v>312</v>
      </c>
      <c r="G173" s="45" t="s">
        <v>208</v>
      </c>
      <c r="H173" s="45" t="s">
        <v>5976</v>
      </c>
      <c r="I173" s="45" t="s">
        <v>275</v>
      </c>
      <c r="J173" s="45" t="s">
        <v>5963</v>
      </c>
      <c r="K173" s="47">
        <v>46148.886111111111</v>
      </c>
      <c r="L173" s="47">
        <v>46149.576388888891</v>
      </c>
      <c r="M173" s="47">
        <v>46149.576388888891</v>
      </c>
      <c r="N173" s="47">
        <v>46150.494444444441</v>
      </c>
      <c r="P173" s="47">
        <v>46150.494444444441</v>
      </c>
      <c r="Q173" s="45" t="s">
        <v>44</v>
      </c>
      <c r="R173" s="45" t="s">
        <v>5693</v>
      </c>
      <c r="S173" s="45" t="s">
        <v>175</v>
      </c>
      <c r="T173" s="45" t="s">
        <v>268</v>
      </c>
      <c r="U173" s="45" t="s">
        <v>5531</v>
      </c>
      <c r="X173" s="45" t="s">
        <v>5531</v>
      </c>
      <c r="Y173" s="45" t="s">
        <v>5977</v>
      </c>
      <c r="Z173" s="76">
        <f t="shared" ca="1" si="24"/>
        <v>0.53611111110755394</v>
      </c>
      <c r="AA173" s="75">
        <f t="shared" ca="1" si="25"/>
        <v>1.4296296296201438</v>
      </c>
      <c r="AB173" s="76">
        <f t="shared" ca="1" si="26"/>
        <v>0.29305555555038154</v>
      </c>
      <c r="AC173" s="75">
        <f t="shared" ca="1" si="27"/>
        <v>0.78148148146768415</v>
      </c>
      <c r="AD173" s="76">
        <f t="shared" ca="1" si="28"/>
        <v>0</v>
      </c>
      <c r="AE173" s="76">
        <f t="shared" ca="1" si="29"/>
        <v>0.29305555555038154</v>
      </c>
      <c r="AF173" s="75">
        <f t="shared" ca="1" si="30"/>
        <v>0.78148148146768415</v>
      </c>
      <c r="AG173" s="75">
        <f t="shared" ca="1" si="31"/>
        <v>0.78148148146768415</v>
      </c>
      <c r="AH173" s="31" t="str" cm="1">
        <f t="array" aca="1" ref="AH173" ca="1">IF((AD173) &lt; (INDEX(ResponseSLA[#All],(MATCH((G173),ResponseSLA[Priority],0))+1,3)),"YES","No")</f>
        <v>YES</v>
      </c>
      <c r="AI173" s="31" t="str">
        <f ca="1">_xlfn.IFNA(IF(AE173 &lt; (INDEX(SLATable[Minimum SLA],MATCH(G173,SLATable[Priority],0))),"YES","NO"),"")</f>
        <v>YES</v>
      </c>
      <c r="AJ173" t="str">
        <f ca="1">_xlfn.IFNA(IF(AE173 &lt; (INDEX(SLATable[Maximum SLA],MATCH(G173,SLATable[Priority],0))),"YES","NO"),"")</f>
        <v>YES</v>
      </c>
    </row>
    <row r="174" spans="2:36" ht="15" customHeight="1">
      <c r="B174" s="45" t="s">
        <v>26</v>
      </c>
      <c r="C174" s="45" t="s">
        <v>44</v>
      </c>
      <c r="D174" s="45" t="s">
        <v>207</v>
      </c>
      <c r="E174" s="45" t="s">
        <v>5978</v>
      </c>
      <c r="F174" s="45" t="s">
        <v>312</v>
      </c>
      <c r="G174" s="45">
        <v>3</v>
      </c>
      <c r="H174" s="45" t="s">
        <v>5979</v>
      </c>
      <c r="I174" s="45" t="s">
        <v>275</v>
      </c>
      <c r="J174" s="45" t="s">
        <v>5963</v>
      </c>
      <c r="K174" s="47">
        <v>46149.740972222222</v>
      </c>
      <c r="L174" s="47">
        <v>46150.563194444447</v>
      </c>
      <c r="M174" s="47">
        <v>46150.563194444447</v>
      </c>
      <c r="N174" s="47">
        <v>46150.602777777778</v>
      </c>
      <c r="P174" s="47">
        <v>46150.602777777778</v>
      </c>
      <c r="Q174" s="45" t="s">
        <v>5980</v>
      </c>
      <c r="R174" s="45" t="s">
        <v>272</v>
      </c>
      <c r="S174" s="45" t="s">
        <v>5699</v>
      </c>
      <c r="T174" s="45" t="s">
        <v>268</v>
      </c>
      <c r="U174" s="45" t="s">
        <v>5531</v>
      </c>
      <c r="X174" s="45" t="s">
        <v>5531</v>
      </c>
      <c r="Y174" s="45" t="s">
        <v>5974</v>
      </c>
      <c r="Z174" s="76">
        <f t="shared" ca="1" si="24"/>
        <v>0.26944444444476778</v>
      </c>
      <c r="AA174" s="75">
        <f t="shared" ca="1" si="25"/>
        <v>0.71851851851938076</v>
      </c>
      <c r="AB174" s="76">
        <f t="shared" ca="1" si="26"/>
        <v>3.9583333331393078E-2</v>
      </c>
      <c r="AC174" s="75">
        <f t="shared" ca="1" si="27"/>
        <v>0.10555555555038154</v>
      </c>
      <c r="AD174" s="76">
        <f t="shared" ca="1" si="28"/>
        <v>0</v>
      </c>
      <c r="AE174" s="76">
        <f t="shared" ca="1" si="29"/>
        <v>3.9583333331393078E-2</v>
      </c>
      <c r="AF174" s="75">
        <f t="shared" ca="1" si="30"/>
        <v>0.10555555555038154</v>
      </c>
      <c r="AG174" s="75">
        <f t="shared" ca="1" si="31"/>
        <v>0.10555555555038154</v>
      </c>
      <c r="AH174" s="31" t="str" cm="1">
        <f t="array" aca="1" ref="AH174" ca="1">IF((AD174) &lt; (INDEX(ResponseSLA[#All],(MATCH((G174),ResponseSLA[Priority],0))+1,3)),"YES","No")</f>
        <v>YES</v>
      </c>
      <c r="AI174" s="31" t="str">
        <f ca="1">_xlfn.IFNA(IF(AE174 &lt; (INDEX(SLATable[Minimum SLA],MATCH(G174,SLATable[Priority],0))),"YES","NO"),"")</f>
        <v>YES</v>
      </c>
      <c r="AJ174" t="str">
        <f ca="1">_xlfn.IFNA(IF(AE174 &lt; (INDEX(SLATable[Maximum SLA],MATCH(G174,SLATable[Priority],0))),"YES","NO"),"")</f>
        <v>YES</v>
      </c>
    </row>
    <row r="175" spans="2:36" ht="15" customHeight="1">
      <c r="B175" s="45" t="s">
        <v>26</v>
      </c>
      <c r="C175" s="45" t="s">
        <v>44</v>
      </c>
      <c r="D175" s="45" t="s">
        <v>207</v>
      </c>
      <c r="E175" s="45" t="s">
        <v>5981</v>
      </c>
      <c r="F175" s="45" t="s">
        <v>312</v>
      </c>
      <c r="G175" s="45">
        <v>3</v>
      </c>
      <c r="H175" s="45" t="s">
        <v>5982</v>
      </c>
      <c r="I175" s="45" t="s">
        <v>271</v>
      </c>
      <c r="J175" s="45" t="s">
        <v>5963</v>
      </c>
      <c r="K175" s="47">
        <v>46150.713888888888</v>
      </c>
      <c r="L175" s="47">
        <v>46153.268055555556</v>
      </c>
      <c r="M175" s="47">
        <v>46153.268055555556</v>
      </c>
      <c r="N175" s="47">
        <v>46156.288888888892</v>
      </c>
      <c r="P175" s="47">
        <v>46156.288888888892</v>
      </c>
      <c r="Q175" s="45" t="s">
        <v>44</v>
      </c>
      <c r="R175" s="45" t="s">
        <v>5693</v>
      </c>
      <c r="S175" s="45" t="s">
        <v>175</v>
      </c>
      <c r="T175" s="45" t="s">
        <v>268</v>
      </c>
      <c r="U175" s="45" t="s">
        <v>5531</v>
      </c>
      <c r="X175" s="45" t="s">
        <v>5531</v>
      </c>
      <c r="Y175" s="45" t="s">
        <v>5983</v>
      </c>
      <c r="Z175" s="76">
        <f t="shared" ca="1" si="24"/>
        <v>1.125</v>
      </c>
      <c r="AA175" s="75">
        <f t="shared" ca="1" si="25"/>
        <v>3</v>
      </c>
      <c r="AB175" s="76">
        <f t="shared" ca="1" si="26"/>
        <v>1.1250000000000002</v>
      </c>
      <c r="AC175" s="75">
        <f t="shared" ca="1" si="27"/>
        <v>3.0000000000000009</v>
      </c>
      <c r="AD175" s="76">
        <f t="shared" ca="1" si="28"/>
        <v>0</v>
      </c>
      <c r="AE175" s="76">
        <f t="shared" ca="1" si="29"/>
        <v>1.1250000000000002</v>
      </c>
      <c r="AF175" s="75">
        <f t="shared" ca="1" si="30"/>
        <v>3.0000000000000009</v>
      </c>
      <c r="AG175" s="75">
        <f t="shared" ca="1" si="31"/>
        <v>3.0000000000000009</v>
      </c>
      <c r="AH175" s="31" t="str" cm="1">
        <f t="array" aca="1" ref="AH175" ca="1">IF((AD175) &lt; (INDEX(ResponseSLA[#All],(MATCH((G175),ResponseSLA[Priority],0))+1,3)),"YES","No")</f>
        <v>YES</v>
      </c>
      <c r="AI175" s="31" t="str">
        <f ca="1">_xlfn.IFNA(IF(AE175 &lt; (INDEX(SLATable[Minimum SLA],MATCH(G175,SLATable[Priority],0))),"YES","NO"),"")</f>
        <v>NO</v>
      </c>
      <c r="AJ175" t="str">
        <f ca="1">_xlfn.IFNA(IF(AE175 &lt; (INDEX(SLATable[Maximum SLA],MATCH(G175,SLATable[Priority],0))),"YES","NO"),"")</f>
        <v>YES</v>
      </c>
    </row>
    <row r="176" spans="2:36" ht="15" customHeight="1">
      <c r="B176" s="45" t="s">
        <v>26</v>
      </c>
      <c r="C176" s="45" t="s">
        <v>44</v>
      </c>
      <c r="D176" s="45" t="s">
        <v>207</v>
      </c>
      <c r="E176" s="45" t="s">
        <v>5984</v>
      </c>
      <c r="F176" s="45" t="s">
        <v>312</v>
      </c>
      <c r="G176" s="45">
        <v>3</v>
      </c>
      <c r="H176" s="45" t="s">
        <v>5985</v>
      </c>
      <c r="I176" s="45" t="s">
        <v>271</v>
      </c>
      <c r="J176" s="45" t="s">
        <v>5963</v>
      </c>
      <c r="K176" s="47">
        <v>46150.727083333331</v>
      </c>
      <c r="L176" s="47">
        <v>46153.268750000003</v>
      </c>
      <c r="M176" s="47">
        <v>46153.268750000003</v>
      </c>
      <c r="N176" s="47">
        <v>46154.328472222223</v>
      </c>
      <c r="P176" s="47">
        <v>46154.328472222223</v>
      </c>
      <c r="Q176" s="45" t="s">
        <v>44</v>
      </c>
      <c r="R176" s="45" t="s">
        <v>5693</v>
      </c>
      <c r="S176" s="45" t="s">
        <v>175</v>
      </c>
      <c r="T176" s="45" t="s">
        <v>268</v>
      </c>
      <c r="U176" s="45" t="s">
        <v>5531</v>
      </c>
      <c r="X176" s="45" t="s">
        <v>5531</v>
      </c>
      <c r="Y176" s="45" t="s">
        <v>5983</v>
      </c>
      <c r="Z176" s="76">
        <f t="shared" ca="1" si="24"/>
        <v>0.37500000000000011</v>
      </c>
      <c r="AA176" s="75">
        <f t="shared" ca="1" si="25"/>
        <v>1.0000000000000004</v>
      </c>
      <c r="AB176" s="76">
        <f t="shared" ca="1" si="26"/>
        <v>0.37500000000000006</v>
      </c>
      <c r="AC176" s="75">
        <f t="shared" ca="1" si="27"/>
        <v>1.0000000000000002</v>
      </c>
      <c r="AD176" s="76">
        <f t="shared" ca="1" si="28"/>
        <v>0</v>
      </c>
      <c r="AE176" s="76">
        <f t="shared" ca="1" si="29"/>
        <v>0.37500000000000006</v>
      </c>
      <c r="AF176" s="75">
        <f t="shared" ca="1" si="30"/>
        <v>1.0000000000000002</v>
      </c>
      <c r="AG176" s="75">
        <f t="shared" ca="1" si="31"/>
        <v>1.0000000000000002</v>
      </c>
      <c r="AH176" s="31" t="str" cm="1">
        <f t="array" aca="1" ref="AH176" ca="1">IF((AD176) &lt; (INDEX(ResponseSLA[#All],(MATCH((G176),ResponseSLA[Priority],0))+1,3)),"YES","No")</f>
        <v>YES</v>
      </c>
      <c r="AI176" s="31" t="str">
        <f ca="1">_xlfn.IFNA(IF(AE176 &lt; (INDEX(SLATable[Minimum SLA],MATCH(G176,SLATable[Priority],0))),"YES","NO"),"")</f>
        <v>NO</v>
      </c>
      <c r="AJ176" t="str">
        <f ca="1">_xlfn.IFNA(IF(AE176 &lt; (INDEX(SLATable[Maximum SLA],MATCH(G176,SLATable[Priority],0))),"YES","NO"),"")</f>
        <v>YES</v>
      </c>
    </row>
    <row r="177" spans="2:36" ht="15" customHeight="1">
      <c r="B177" s="45" t="s">
        <v>26</v>
      </c>
      <c r="C177" s="45" t="s">
        <v>44</v>
      </c>
      <c r="D177" s="45" t="s">
        <v>207</v>
      </c>
      <c r="E177" s="45" t="s">
        <v>5986</v>
      </c>
      <c r="F177" s="45" t="s">
        <v>312</v>
      </c>
      <c r="G177" s="45">
        <v>4</v>
      </c>
      <c r="H177" s="45" t="s">
        <v>5987</v>
      </c>
      <c r="I177" s="45" t="s">
        <v>271</v>
      </c>
      <c r="J177" s="45" t="s">
        <v>5963</v>
      </c>
      <c r="K177" s="47">
        <v>46149.633333333331</v>
      </c>
      <c r="L177" s="47">
        <v>46150.229166666664</v>
      </c>
      <c r="M177" s="47">
        <v>46150.229166666664</v>
      </c>
      <c r="N177" s="47">
        <v>46153.34097222222</v>
      </c>
      <c r="P177" s="47">
        <v>46153.34097222222</v>
      </c>
      <c r="Q177" s="45" t="s">
        <v>5692</v>
      </c>
      <c r="R177" s="45" t="s">
        <v>5693</v>
      </c>
      <c r="S177" s="45" t="s">
        <v>175</v>
      </c>
      <c r="T177" s="45" t="s">
        <v>268</v>
      </c>
      <c r="U177" s="45" t="s">
        <v>5531</v>
      </c>
      <c r="X177" s="45" t="s">
        <v>5531</v>
      </c>
      <c r="Y177" s="45" t="s">
        <v>5694</v>
      </c>
      <c r="Z177" s="76">
        <f t="shared" ca="1" si="24"/>
        <v>0.45763888888905058</v>
      </c>
      <c r="AA177" s="75">
        <f t="shared" ca="1" si="25"/>
        <v>1.2203703703708015</v>
      </c>
      <c r="AB177" s="76">
        <f t="shared" ca="1" si="26"/>
        <v>0.38263888888711034</v>
      </c>
      <c r="AC177" s="75">
        <f t="shared" ca="1" si="27"/>
        <v>1.0203703703656275</v>
      </c>
      <c r="AD177" s="76">
        <f t="shared" ca="1" si="28"/>
        <v>0</v>
      </c>
      <c r="AE177" s="76">
        <f t="shared" ca="1" si="29"/>
        <v>0.38263888888711034</v>
      </c>
      <c r="AF177" s="75">
        <f t="shared" ca="1" si="30"/>
        <v>1.0203703703656275</v>
      </c>
      <c r="AG177" s="75">
        <f t="shared" ca="1" si="31"/>
        <v>1.0203703703656275</v>
      </c>
      <c r="AH177" s="31" t="str" cm="1">
        <f t="array" aca="1" ref="AH177" ca="1">IF((AD177) &lt; (INDEX(ResponseSLA[#All],(MATCH((G177),ResponseSLA[Priority],0))+1,3)),"YES","No")</f>
        <v>YES</v>
      </c>
      <c r="AI177" s="31" t="str">
        <f ca="1">_xlfn.IFNA(IF(AE177 &lt; (INDEX(SLATable[Minimum SLA],MATCH(G177,SLATable[Priority],0))),"YES","NO"),"")</f>
        <v>YES</v>
      </c>
      <c r="AJ177" t="str">
        <f ca="1">_xlfn.IFNA(IF(AE177 &lt; (INDEX(SLATable[Maximum SLA],MATCH(G177,SLATable[Priority],0))),"YES","NO"),"")</f>
        <v>YES</v>
      </c>
    </row>
    <row r="178" spans="2:36" ht="15" customHeight="1">
      <c r="B178" s="45" t="s">
        <v>26</v>
      </c>
      <c r="C178" s="45" t="s">
        <v>44</v>
      </c>
      <c r="D178" s="45" t="s">
        <v>207</v>
      </c>
      <c r="E178" s="45" t="s">
        <v>5988</v>
      </c>
      <c r="F178" s="45" t="s">
        <v>312</v>
      </c>
      <c r="G178" s="45">
        <v>4</v>
      </c>
      <c r="H178" s="45" t="s">
        <v>5989</v>
      </c>
      <c r="I178" s="45" t="s">
        <v>275</v>
      </c>
      <c r="J178" s="45" t="s">
        <v>5963</v>
      </c>
      <c r="K178" s="47">
        <v>46153.522222222222</v>
      </c>
      <c r="L178" s="47">
        <v>46155.552083333336</v>
      </c>
      <c r="M178" s="47">
        <v>46155.552083333336</v>
      </c>
      <c r="N178" s="47">
        <v>46156.515972222223</v>
      </c>
      <c r="P178" s="47">
        <v>46156.515972222223</v>
      </c>
      <c r="Q178" s="45" t="s">
        <v>44</v>
      </c>
      <c r="R178" s="45" t="s">
        <v>272</v>
      </c>
      <c r="S178" s="45" t="s">
        <v>175</v>
      </c>
      <c r="T178" s="45" t="s">
        <v>268</v>
      </c>
      <c r="U178" s="45" t="s">
        <v>5531</v>
      </c>
      <c r="X178" s="45" t="s">
        <v>5531</v>
      </c>
      <c r="Y178" s="45" t="s">
        <v>5990</v>
      </c>
      <c r="Z178" s="76">
        <f t="shared" ca="1" si="24"/>
        <v>1.1187500000014554</v>
      </c>
      <c r="AA178" s="75">
        <f t="shared" ca="1" si="25"/>
        <v>2.9833333333372147</v>
      </c>
      <c r="AB178" s="76">
        <f t="shared" ca="1" si="26"/>
        <v>0.33888888888759539</v>
      </c>
      <c r="AC178" s="75">
        <f t="shared" ca="1" si="27"/>
        <v>0.90370370370025432</v>
      </c>
      <c r="AD178" s="76">
        <f t="shared" ca="1" si="28"/>
        <v>0</v>
      </c>
      <c r="AE178" s="76">
        <f t="shared" ca="1" si="29"/>
        <v>0.33888888888759539</v>
      </c>
      <c r="AF178" s="75">
        <f t="shared" ca="1" si="30"/>
        <v>0.90370370370025432</v>
      </c>
      <c r="AG178" s="75">
        <f t="shared" ca="1" si="31"/>
        <v>0.90370370370025432</v>
      </c>
      <c r="AH178" s="31" t="str" cm="1">
        <f t="array" aca="1" ref="AH178" ca="1">IF((AD178) &lt; (INDEX(ResponseSLA[#All],(MATCH((G178),ResponseSLA[Priority],0))+1,3)),"YES","No")</f>
        <v>YES</v>
      </c>
      <c r="AI178" s="31" t="str">
        <f ca="1">_xlfn.IFNA(IF(AE178 &lt; (INDEX(SLATable[Minimum SLA],MATCH(G178,SLATable[Priority],0))),"YES","NO"),"")</f>
        <v>YES</v>
      </c>
      <c r="AJ178" t="str">
        <f ca="1">_xlfn.IFNA(IF(AE178 &lt; (INDEX(SLATable[Maximum SLA],MATCH(G178,SLATable[Priority],0))),"YES","NO"),"")</f>
        <v>YES</v>
      </c>
    </row>
    <row r="179" spans="2:36" ht="15" customHeight="1">
      <c r="B179" s="45" t="s">
        <v>26</v>
      </c>
      <c r="C179" s="45" t="s">
        <v>44</v>
      </c>
      <c r="D179" s="45" t="s">
        <v>207</v>
      </c>
      <c r="E179" s="45" t="s">
        <v>5991</v>
      </c>
      <c r="F179" s="45" t="s">
        <v>312</v>
      </c>
      <c r="G179" s="45">
        <v>4</v>
      </c>
      <c r="H179" s="45" t="s">
        <v>5992</v>
      </c>
      <c r="I179" s="45" t="s">
        <v>266</v>
      </c>
      <c r="J179" s="45" t="s">
        <v>5963</v>
      </c>
      <c r="K179" s="47">
        <v>46150.62777777778</v>
      </c>
      <c r="L179" s="47">
        <v>46169.379861111112</v>
      </c>
      <c r="M179" s="47">
        <v>46169.379861111112</v>
      </c>
      <c r="O179" s="47">
        <v>46170.417361111111</v>
      </c>
      <c r="Q179" s="45" t="s">
        <v>5993</v>
      </c>
      <c r="R179" s="45" t="s">
        <v>272</v>
      </c>
      <c r="S179" s="45" t="s">
        <v>5699</v>
      </c>
      <c r="T179" s="45" t="s">
        <v>268</v>
      </c>
      <c r="U179" s="45" t="s">
        <v>5531</v>
      </c>
      <c r="X179" s="45" t="s">
        <v>5531</v>
      </c>
      <c r="Y179" s="45" t="s">
        <v>5994</v>
      </c>
      <c r="Z179" s="76">
        <f t="shared" ca="1" si="24"/>
        <v>28.50619872684911</v>
      </c>
      <c r="AA179" s="75">
        <f t="shared" ca="1" si="25"/>
        <v>76.016529938264298</v>
      </c>
      <c r="AB179" s="76">
        <f t="shared" ca="1" si="26"/>
        <v>0.41249999999854481</v>
      </c>
      <c r="AC179" s="75">
        <f t="shared" ca="1" si="27"/>
        <v>1.0999999999961194</v>
      </c>
      <c r="AD179" s="76">
        <f t="shared" ca="1" si="28"/>
        <v>0</v>
      </c>
      <c r="AE179" s="76">
        <f t="shared" ca="1" si="29"/>
        <v>0.41249999999854481</v>
      </c>
      <c r="AF179" s="75">
        <f t="shared" ca="1" si="30"/>
        <v>1.0999999999961194</v>
      </c>
      <c r="AG179" s="75">
        <f t="shared" ca="1" si="31"/>
        <v>1.0999999999961194</v>
      </c>
      <c r="AH179" s="31" t="str" cm="1">
        <f t="array" aca="1" ref="AH179" ca="1">IF((AD179) &lt; (INDEX(ResponseSLA[#All],(MATCH((G179),ResponseSLA[Priority],0))+1,3)),"YES","No")</f>
        <v>YES</v>
      </c>
      <c r="AI179" s="31" t="str">
        <f ca="1">_xlfn.IFNA(IF(AE179 &lt; (INDEX(SLATable[Minimum SLA],MATCH(G179,SLATable[Priority],0))),"YES","NO"),"")</f>
        <v>YES</v>
      </c>
      <c r="AJ179" t="str">
        <f ca="1">_xlfn.IFNA(IF(AE179 &lt; (INDEX(SLATable[Maximum SLA],MATCH(G179,SLATable[Priority],0))),"YES","NO"),"")</f>
        <v>YES</v>
      </c>
    </row>
    <row r="180" spans="2:36" ht="15" customHeight="1">
      <c r="B180" s="45" t="s">
        <v>26</v>
      </c>
      <c r="C180" s="45" t="s">
        <v>44</v>
      </c>
      <c r="D180" s="45" t="s">
        <v>207</v>
      </c>
      <c r="E180" s="45" t="s">
        <v>5995</v>
      </c>
      <c r="F180" s="45" t="s">
        <v>312</v>
      </c>
      <c r="G180" s="45">
        <v>4</v>
      </c>
      <c r="H180" s="45" t="s">
        <v>5996</v>
      </c>
      <c r="I180" s="45" t="s">
        <v>275</v>
      </c>
      <c r="J180" s="45" t="s">
        <v>5963</v>
      </c>
      <c r="K180" s="47">
        <v>46153.552083333336</v>
      </c>
      <c r="L180" s="47">
        <v>46167.705555555556</v>
      </c>
      <c r="M180" s="47">
        <v>46167.705555555556</v>
      </c>
      <c r="N180" s="47">
        <v>46168.301388888889</v>
      </c>
      <c r="P180" s="47">
        <v>46168.301388888889</v>
      </c>
      <c r="Q180" s="45" t="s">
        <v>44</v>
      </c>
      <c r="R180" s="45" t="s">
        <v>272</v>
      </c>
      <c r="S180" s="45" t="s">
        <v>5699</v>
      </c>
      <c r="T180" s="45" t="s">
        <v>268</v>
      </c>
      <c r="U180" s="45" t="s">
        <v>5531</v>
      </c>
      <c r="X180" s="45" t="s">
        <v>5531</v>
      </c>
      <c r="Y180" s="45" t="s">
        <v>5990</v>
      </c>
      <c r="Z180" s="76">
        <f t="shared" ca="1" si="24"/>
        <v>3.5312499999975753</v>
      </c>
      <c r="AA180" s="75">
        <f t="shared" ca="1" si="25"/>
        <v>9.4166666666602001</v>
      </c>
      <c r="AB180" s="76">
        <f t="shared" ca="1" si="26"/>
        <v>0</v>
      </c>
      <c r="AC180" s="75">
        <f t="shared" ca="1" si="27"/>
        <v>0</v>
      </c>
      <c r="AD180" s="76">
        <f t="shared" ca="1" si="28"/>
        <v>0</v>
      </c>
      <c r="AE180" s="76">
        <f t="shared" ca="1" si="29"/>
        <v>0</v>
      </c>
      <c r="AF180" s="75">
        <f t="shared" ca="1" si="30"/>
        <v>0</v>
      </c>
      <c r="AG180" s="75">
        <f t="shared" ca="1" si="31"/>
        <v>0</v>
      </c>
      <c r="AH180" s="31" t="str" cm="1">
        <f t="array" aca="1" ref="AH180" ca="1">IF((AD180) &lt; (INDEX(ResponseSLA[#All],(MATCH((G180),ResponseSLA[Priority],0))+1,3)),"YES","No")</f>
        <v>YES</v>
      </c>
      <c r="AI180" s="31" t="str">
        <f ca="1">_xlfn.IFNA(IF(AE180 &lt; (INDEX(SLATable[Minimum SLA],MATCH(G180,SLATable[Priority],0))),"YES","NO"),"")</f>
        <v>YES</v>
      </c>
      <c r="AJ180" t="str">
        <f ca="1">_xlfn.IFNA(IF(AE180 &lt; (INDEX(SLATable[Maximum SLA],MATCH(G180,SLATable[Priority],0))),"YES","NO"),"")</f>
        <v>YES</v>
      </c>
    </row>
    <row r="181" spans="2:36" ht="15" customHeight="1">
      <c r="B181" s="45" t="s">
        <v>26</v>
      </c>
      <c r="C181" s="45" t="s">
        <v>44</v>
      </c>
      <c r="D181" s="45" t="s">
        <v>207</v>
      </c>
      <c r="E181" s="45" t="s">
        <v>5997</v>
      </c>
      <c r="F181" s="45" t="s">
        <v>312</v>
      </c>
      <c r="G181" s="45">
        <v>4</v>
      </c>
      <c r="H181" s="45" t="s">
        <v>5998</v>
      </c>
      <c r="I181" s="45" t="s">
        <v>275</v>
      </c>
      <c r="J181" s="45" t="s">
        <v>5963</v>
      </c>
      <c r="K181" s="47">
        <v>46153.462500000001</v>
      </c>
      <c r="L181" s="47">
        <v>46154.479861111111</v>
      </c>
      <c r="M181" s="47">
        <v>46154.479861111111</v>
      </c>
      <c r="N181" s="47">
        <v>46154.580555555556</v>
      </c>
      <c r="P181" s="47">
        <v>46154.580555555556</v>
      </c>
      <c r="Q181" s="45" t="s">
        <v>5999</v>
      </c>
      <c r="R181" s="45" t="s">
        <v>272</v>
      </c>
      <c r="S181" s="45" t="s">
        <v>5699</v>
      </c>
      <c r="T181" s="45" t="s">
        <v>268</v>
      </c>
      <c r="U181" s="45" t="s">
        <v>5531</v>
      </c>
      <c r="X181" s="45" t="s">
        <v>5531</v>
      </c>
      <c r="Y181" s="45" t="s">
        <v>6000</v>
      </c>
      <c r="Z181" s="76">
        <f t="shared" ca="1" si="24"/>
        <v>0.49305555555474712</v>
      </c>
      <c r="AA181" s="75">
        <f t="shared" ca="1" si="25"/>
        <v>1.314814814812659</v>
      </c>
      <c r="AB181" s="76">
        <f t="shared" ca="1" si="26"/>
        <v>0.10069444444525288</v>
      </c>
      <c r="AC181" s="75">
        <f t="shared" ca="1" si="27"/>
        <v>0.26851851852067438</v>
      </c>
      <c r="AD181" s="76">
        <f t="shared" ca="1" si="28"/>
        <v>0</v>
      </c>
      <c r="AE181" s="76">
        <f t="shared" ca="1" si="29"/>
        <v>0.10069444444525288</v>
      </c>
      <c r="AF181" s="75">
        <f t="shared" ca="1" si="30"/>
        <v>0.26851851852067438</v>
      </c>
      <c r="AG181" s="75">
        <f t="shared" ca="1" si="31"/>
        <v>0.26851851852067438</v>
      </c>
      <c r="AH181" s="31" t="str" cm="1">
        <f t="array" aca="1" ref="AH181" ca="1">IF((AD181) &lt; (INDEX(ResponseSLA[#All],(MATCH((G181),ResponseSLA[Priority],0))+1,3)),"YES","No")</f>
        <v>YES</v>
      </c>
      <c r="AI181" s="31" t="str">
        <f ca="1">_xlfn.IFNA(IF(AE181 &lt; (INDEX(SLATable[Minimum SLA],MATCH(G181,SLATable[Priority],0))),"YES","NO"),"")</f>
        <v>YES</v>
      </c>
      <c r="AJ181" t="str">
        <f ca="1">_xlfn.IFNA(IF(AE181 &lt; (INDEX(SLATable[Maximum SLA],MATCH(G181,SLATable[Priority],0))),"YES","NO"),"")</f>
        <v>YES</v>
      </c>
    </row>
    <row r="182" spans="2:36" ht="15" customHeight="1">
      <c r="B182" s="45" t="s">
        <v>26</v>
      </c>
      <c r="C182" s="45" t="s">
        <v>44</v>
      </c>
      <c r="D182" s="45" t="s">
        <v>207</v>
      </c>
      <c r="E182" s="45" t="s">
        <v>6001</v>
      </c>
      <c r="F182" s="45" t="s">
        <v>312</v>
      </c>
      <c r="G182" s="45">
        <v>3</v>
      </c>
      <c r="H182" s="45" t="s">
        <v>6002</v>
      </c>
      <c r="I182" s="45" t="s">
        <v>275</v>
      </c>
      <c r="J182" s="45" t="s">
        <v>5963</v>
      </c>
      <c r="K182" s="47">
        <v>46150.522222222222</v>
      </c>
      <c r="L182" s="47">
        <v>46154.478472222225</v>
      </c>
      <c r="M182" s="47">
        <v>46154.478472222225</v>
      </c>
      <c r="N182" s="47">
        <v>46154.586111111108</v>
      </c>
      <c r="P182" s="47">
        <v>46154.586111111108</v>
      </c>
      <c r="Q182" s="45" t="s">
        <v>6003</v>
      </c>
      <c r="R182" s="45" t="s">
        <v>272</v>
      </c>
      <c r="S182" s="45" t="s">
        <v>5699</v>
      </c>
      <c r="T182" s="45" t="s">
        <v>268</v>
      </c>
      <c r="U182" s="45" t="s">
        <v>5531</v>
      </c>
      <c r="X182" s="45" t="s">
        <v>5531</v>
      </c>
      <c r="Y182" s="45" t="s">
        <v>5990</v>
      </c>
      <c r="Z182" s="76">
        <f t="shared" ca="1" si="24"/>
        <v>0.81388888888614019</v>
      </c>
      <c r="AA182" s="75">
        <f t="shared" ca="1" si="25"/>
        <v>2.1703703703630404</v>
      </c>
      <c r="AB182" s="76">
        <f t="shared" ca="1" si="26"/>
        <v>0.10763888888322981</v>
      </c>
      <c r="AC182" s="75">
        <f t="shared" ca="1" si="27"/>
        <v>0.28703703702194616</v>
      </c>
      <c r="AD182" s="76">
        <f t="shared" ca="1" si="28"/>
        <v>0</v>
      </c>
      <c r="AE182" s="76">
        <f t="shared" ca="1" si="29"/>
        <v>0.10763888888322981</v>
      </c>
      <c r="AF182" s="75">
        <f t="shared" ca="1" si="30"/>
        <v>0.28703703702194616</v>
      </c>
      <c r="AG182" s="75">
        <f t="shared" ca="1" si="31"/>
        <v>0.28703703702194616</v>
      </c>
      <c r="AH182" s="31" t="str" cm="1">
        <f t="array" aca="1" ref="AH182" ca="1">IF((AD182) &lt; (INDEX(ResponseSLA[#All],(MATCH((G182),ResponseSLA[Priority],0))+1,3)),"YES","No")</f>
        <v>YES</v>
      </c>
      <c r="AI182" s="31" t="str">
        <f ca="1">_xlfn.IFNA(IF(AE182 &lt; (INDEX(SLATable[Minimum SLA],MATCH(G182,SLATable[Priority],0))),"YES","NO"),"")</f>
        <v>YES</v>
      </c>
      <c r="AJ182" t="str">
        <f ca="1">_xlfn.IFNA(IF(AE182 &lt; (INDEX(SLATable[Maximum SLA],MATCH(G182,SLATable[Priority],0))),"YES","NO"),"")</f>
        <v>YES</v>
      </c>
    </row>
    <row r="183" spans="2:36" ht="15" customHeight="1">
      <c r="B183" s="45" t="s">
        <v>26</v>
      </c>
      <c r="C183" s="45" t="s">
        <v>44</v>
      </c>
      <c r="D183" s="45" t="s">
        <v>207</v>
      </c>
      <c r="E183" s="45" t="s">
        <v>6004</v>
      </c>
      <c r="F183" s="45" t="s">
        <v>312</v>
      </c>
      <c r="G183" s="45">
        <v>4</v>
      </c>
      <c r="H183" s="45" t="s">
        <v>6005</v>
      </c>
      <c r="I183" s="45" t="s">
        <v>271</v>
      </c>
      <c r="J183" s="45" t="s">
        <v>5963</v>
      </c>
      <c r="K183" s="47">
        <v>46153.595833333333</v>
      </c>
      <c r="L183" s="47">
        <v>46153.611805555556</v>
      </c>
      <c r="M183" s="47">
        <v>46153.611805555556</v>
      </c>
      <c r="N183" s="47">
        <v>46156.629166666666</v>
      </c>
      <c r="P183" s="47">
        <v>46156.629166666666</v>
      </c>
      <c r="Q183" s="45" t="s">
        <v>44</v>
      </c>
      <c r="R183" s="45" t="s">
        <v>5693</v>
      </c>
      <c r="S183" s="45" t="s">
        <v>175</v>
      </c>
      <c r="T183" s="45" t="s">
        <v>268</v>
      </c>
      <c r="U183" s="45" t="s">
        <v>5531</v>
      </c>
      <c r="X183" s="45" t="s">
        <v>5531</v>
      </c>
      <c r="Y183" s="45" t="s">
        <v>5983</v>
      </c>
      <c r="Z183" s="76">
        <f t="shared" ca="1" si="24"/>
        <v>1.1583333333328485</v>
      </c>
      <c r="AA183" s="75">
        <f t="shared" ca="1" si="25"/>
        <v>3.0888888888875963</v>
      </c>
      <c r="AB183" s="76">
        <f t="shared" ca="1" si="26"/>
        <v>1.1423611111094945</v>
      </c>
      <c r="AC183" s="75">
        <f t="shared" ca="1" si="27"/>
        <v>3.0462962962919855</v>
      </c>
      <c r="AD183" s="76">
        <f t="shared" ca="1" si="28"/>
        <v>0</v>
      </c>
      <c r="AE183" s="76">
        <f t="shared" ca="1" si="29"/>
        <v>1.1423611111094945</v>
      </c>
      <c r="AF183" s="75">
        <f t="shared" ca="1" si="30"/>
        <v>3.0462962962919855</v>
      </c>
      <c r="AG183" s="75">
        <f t="shared" ca="1" si="31"/>
        <v>3.0462962962919855</v>
      </c>
      <c r="AH183" s="31" t="str" cm="1">
        <f t="array" aca="1" ref="AH183" ca="1">IF((AD183) &lt; (INDEX(ResponseSLA[#All],(MATCH((G183),ResponseSLA[Priority],0))+1,3)),"YES","No")</f>
        <v>YES</v>
      </c>
      <c r="AI183" s="31" t="str">
        <f ca="1">_xlfn.IFNA(IF(AE183 &lt; (INDEX(SLATable[Minimum SLA],MATCH(G183,SLATable[Priority],0))),"YES","NO"),"")</f>
        <v>YES</v>
      </c>
      <c r="AJ183" t="str">
        <f ca="1">_xlfn.IFNA(IF(AE183 &lt; (INDEX(SLATable[Maximum SLA],MATCH(G183,SLATable[Priority],0))),"YES","NO"),"")</f>
        <v>YES</v>
      </c>
    </row>
    <row r="184" spans="2:36" ht="15" customHeight="1">
      <c r="B184" s="45" t="s">
        <v>26</v>
      </c>
      <c r="C184" s="45" t="s">
        <v>44</v>
      </c>
      <c r="D184" s="45" t="s">
        <v>208</v>
      </c>
      <c r="E184" s="45" t="s">
        <v>6006</v>
      </c>
      <c r="F184" s="45" t="s">
        <v>312</v>
      </c>
      <c r="G184" s="45" t="s">
        <v>208</v>
      </c>
      <c r="H184" s="45" t="s">
        <v>6007</v>
      </c>
      <c r="I184" s="45" t="s">
        <v>275</v>
      </c>
      <c r="J184" s="45" t="s">
        <v>5963</v>
      </c>
      <c r="K184" s="47">
        <v>46153.395138888889</v>
      </c>
      <c r="L184" s="47">
        <v>46156.359027777777</v>
      </c>
      <c r="M184" s="47">
        <v>46156.359027777777</v>
      </c>
      <c r="N184" s="47">
        <v>46156.634027777778</v>
      </c>
      <c r="P184" s="47">
        <v>46156.634027777778</v>
      </c>
      <c r="Q184" s="45" t="s">
        <v>44</v>
      </c>
      <c r="R184" s="45" t="s">
        <v>5693</v>
      </c>
      <c r="S184" s="45" t="s">
        <v>175</v>
      </c>
      <c r="T184" s="45" t="s">
        <v>268</v>
      </c>
      <c r="U184" s="45" t="s">
        <v>5531</v>
      </c>
      <c r="X184" s="45" t="s">
        <v>5531</v>
      </c>
      <c r="Y184" s="45" t="s">
        <v>5977</v>
      </c>
      <c r="Z184" s="76">
        <f t="shared" ca="1" si="24"/>
        <v>1.3638888888890508</v>
      </c>
      <c r="AA184" s="75">
        <f t="shared" ca="1" si="25"/>
        <v>3.6370370370374689</v>
      </c>
      <c r="AB184" s="76">
        <f t="shared" ca="1" si="26"/>
        <v>0.27500000000145519</v>
      </c>
      <c r="AC184" s="75">
        <f t="shared" ca="1" si="27"/>
        <v>0.73333333333721384</v>
      </c>
      <c r="AD184" s="76">
        <f t="shared" ca="1" si="28"/>
        <v>0</v>
      </c>
      <c r="AE184" s="76">
        <f t="shared" ca="1" si="29"/>
        <v>0.27500000000145519</v>
      </c>
      <c r="AF184" s="75">
        <f t="shared" ca="1" si="30"/>
        <v>0.73333333333721384</v>
      </c>
      <c r="AG184" s="75">
        <f t="shared" ca="1" si="31"/>
        <v>0.73333333333721384</v>
      </c>
      <c r="AH184" s="31" t="str" cm="1">
        <f t="array" aca="1" ref="AH184" ca="1">IF((AD184) &lt; (INDEX(ResponseSLA[#All],(MATCH((G184),ResponseSLA[Priority],0))+1,3)),"YES","No")</f>
        <v>YES</v>
      </c>
      <c r="AI184" s="31" t="str">
        <f ca="1">_xlfn.IFNA(IF(AE184 &lt; (INDEX(SLATable[Minimum SLA],MATCH(G184,SLATable[Priority],0))),"YES","NO"),"")</f>
        <v>YES</v>
      </c>
      <c r="AJ184" t="str">
        <f ca="1">_xlfn.IFNA(IF(AE184 &lt; (INDEX(SLATable[Maximum SLA],MATCH(G184,SLATable[Priority],0))),"YES","NO"),"")</f>
        <v>YES</v>
      </c>
    </row>
    <row r="185" spans="2:36" ht="15" customHeight="1">
      <c r="B185" s="45" t="s">
        <v>26</v>
      </c>
      <c r="C185" s="45" t="s">
        <v>44</v>
      </c>
      <c r="D185" s="45" t="s">
        <v>207</v>
      </c>
      <c r="E185" s="45" t="s">
        <v>6008</v>
      </c>
      <c r="F185" s="45" t="s">
        <v>312</v>
      </c>
      <c r="G185" s="45">
        <v>4</v>
      </c>
      <c r="H185" s="45" t="s">
        <v>6009</v>
      </c>
      <c r="I185" s="45" t="s">
        <v>275</v>
      </c>
      <c r="J185" s="45" t="s">
        <v>5963</v>
      </c>
      <c r="K185" s="47">
        <v>46132.414583333331</v>
      </c>
      <c r="L185" s="47">
        <v>46161.298611111109</v>
      </c>
      <c r="M185" s="47">
        <v>46161.298611111109</v>
      </c>
      <c r="N185" s="47">
        <v>46162.321527777778</v>
      </c>
      <c r="P185" s="47">
        <v>46162.321527777778</v>
      </c>
      <c r="Q185" s="45" t="s">
        <v>6010</v>
      </c>
      <c r="R185" s="45" t="s">
        <v>272</v>
      </c>
      <c r="S185" s="45" t="s">
        <v>175</v>
      </c>
      <c r="T185" s="45" t="s">
        <v>268</v>
      </c>
      <c r="U185" s="45" t="s">
        <v>5531</v>
      </c>
      <c r="X185" s="45" t="s">
        <v>5531</v>
      </c>
      <c r="Y185" s="45" t="s">
        <v>6000</v>
      </c>
      <c r="Z185" s="76">
        <f t="shared" ca="1" si="24"/>
        <v>7.4187500000019408</v>
      </c>
      <c r="AA185" s="75">
        <f t="shared" ca="1" si="25"/>
        <v>19.783333333338508</v>
      </c>
      <c r="AB185" s="76">
        <f t="shared" ca="1" si="26"/>
        <v>0.37500000000000006</v>
      </c>
      <c r="AC185" s="75">
        <f t="shared" ca="1" si="27"/>
        <v>1.0000000000000002</v>
      </c>
      <c r="AD185" s="76">
        <f t="shared" ca="1" si="28"/>
        <v>0</v>
      </c>
      <c r="AE185" s="76">
        <f t="shared" ca="1" si="29"/>
        <v>0.37500000000000006</v>
      </c>
      <c r="AF185" s="75">
        <f t="shared" ca="1" si="30"/>
        <v>1.0000000000000002</v>
      </c>
      <c r="AG185" s="75">
        <f t="shared" ca="1" si="31"/>
        <v>1.0000000000000002</v>
      </c>
      <c r="AH185" s="31" t="str" cm="1">
        <f t="array" aca="1" ref="AH185" ca="1">IF((AD185) &lt; (INDEX(ResponseSLA[#All],(MATCH((G185),ResponseSLA[Priority],0))+1,3)),"YES","No")</f>
        <v>YES</v>
      </c>
      <c r="AI185" s="31" t="str">
        <f ca="1">_xlfn.IFNA(IF(AE185 &lt; (INDEX(SLATable[Minimum SLA],MATCH(G185,SLATable[Priority],0))),"YES","NO"),"")</f>
        <v>YES</v>
      </c>
      <c r="AJ185" t="str">
        <f ca="1">_xlfn.IFNA(IF(AE185 &lt; (INDEX(SLATable[Maximum SLA],MATCH(G185,SLATable[Priority],0))),"YES","NO"),"")</f>
        <v>YES</v>
      </c>
    </row>
    <row r="186" spans="2:36" ht="15" customHeight="1">
      <c r="B186" s="45" t="s">
        <v>26</v>
      </c>
      <c r="C186" s="45" t="s">
        <v>44</v>
      </c>
      <c r="D186" s="45" t="s">
        <v>208</v>
      </c>
      <c r="E186" s="45" t="s">
        <v>6011</v>
      </c>
      <c r="F186" s="45" t="s">
        <v>312</v>
      </c>
      <c r="G186" s="45" t="s">
        <v>208</v>
      </c>
      <c r="H186" s="45" t="s">
        <v>6012</v>
      </c>
      <c r="I186" s="45" t="s">
        <v>275</v>
      </c>
      <c r="J186" s="45" t="s">
        <v>5963</v>
      </c>
      <c r="K186" s="47">
        <v>46148.577777777777</v>
      </c>
      <c r="L186" s="47">
        <v>46157.503472222219</v>
      </c>
      <c r="M186" s="47">
        <v>46157.503472222219</v>
      </c>
      <c r="N186" s="47">
        <v>46157.604861111111</v>
      </c>
      <c r="P186" s="47">
        <v>46157.604861111111</v>
      </c>
      <c r="Q186" s="45" t="s">
        <v>44</v>
      </c>
      <c r="R186" s="45" t="s">
        <v>5693</v>
      </c>
      <c r="S186" s="45" t="s">
        <v>5699</v>
      </c>
      <c r="T186" s="45" t="s">
        <v>268</v>
      </c>
      <c r="U186" s="45" t="s">
        <v>5531</v>
      </c>
      <c r="X186" s="45" t="s">
        <v>5531</v>
      </c>
      <c r="Y186" s="45" t="s">
        <v>5977</v>
      </c>
      <c r="Z186" s="76">
        <f t="shared" ca="1" si="24"/>
        <v>2.6520833333343039</v>
      </c>
      <c r="AA186" s="75">
        <f t="shared" ca="1" si="25"/>
        <v>7.072222222224811</v>
      </c>
      <c r="AB186" s="76">
        <f t="shared" ca="1" si="26"/>
        <v>0.10138888889196096</v>
      </c>
      <c r="AC186" s="75">
        <f t="shared" ca="1" si="27"/>
        <v>0.27037037037856254</v>
      </c>
      <c r="AD186" s="76">
        <f t="shared" ca="1" si="28"/>
        <v>0</v>
      </c>
      <c r="AE186" s="76">
        <f t="shared" ca="1" si="29"/>
        <v>0.10138888889196096</v>
      </c>
      <c r="AF186" s="75">
        <f t="shared" ca="1" si="30"/>
        <v>0.27037037037856254</v>
      </c>
      <c r="AG186" s="75">
        <f t="shared" ca="1" si="31"/>
        <v>0.27037037037856254</v>
      </c>
      <c r="AH186" s="31" t="str" cm="1">
        <f t="array" aca="1" ref="AH186" ca="1">IF((AD186) &lt; (INDEX(ResponseSLA[#All],(MATCH((G186),ResponseSLA[Priority],0))+1,3)),"YES","No")</f>
        <v>YES</v>
      </c>
      <c r="AI186" s="31" t="str">
        <f ca="1">_xlfn.IFNA(IF(AE186 &lt; (INDEX(SLATable[Minimum SLA],MATCH(G186,SLATable[Priority],0))),"YES","NO"),"")</f>
        <v>YES</v>
      </c>
      <c r="AJ186" t="str">
        <f ca="1">_xlfn.IFNA(IF(AE186 &lt; (INDEX(SLATable[Maximum SLA],MATCH(G186,SLATable[Priority],0))),"YES","NO"),"")</f>
        <v>YES</v>
      </c>
    </row>
    <row r="187" spans="2:36" ht="15" customHeight="1">
      <c r="B187" s="45" t="s">
        <v>26</v>
      </c>
      <c r="C187" s="45" t="s">
        <v>44</v>
      </c>
      <c r="D187" s="45" t="s">
        <v>208</v>
      </c>
      <c r="E187" s="45" t="s">
        <v>6013</v>
      </c>
      <c r="F187" s="45" t="s">
        <v>312</v>
      </c>
      <c r="G187" s="45" t="s">
        <v>208</v>
      </c>
      <c r="H187" s="45" t="s">
        <v>6014</v>
      </c>
      <c r="I187" s="45" t="s">
        <v>275</v>
      </c>
      <c r="J187" s="45" t="s">
        <v>5963</v>
      </c>
      <c r="K187" s="47">
        <v>46157.552083333336</v>
      </c>
      <c r="L187" s="47">
        <v>46157.555555555555</v>
      </c>
      <c r="M187" s="47">
        <v>46157.555555555555</v>
      </c>
      <c r="N187" s="47">
        <v>46157.606944444444</v>
      </c>
      <c r="P187" s="47">
        <v>46157.606944444444</v>
      </c>
      <c r="Q187" s="45" t="s">
        <v>44</v>
      </c>
      <c r="R187" s="45" t="s">
        <v>5693</v>
      </c>
      <c r="S187" s="45" t="s">
        <v>5699</v>
      </c>
      <c r="T187" s="45" t="s">
        <v>268</v>
      </c>
      <c r="U187" s="45" t="s">
        <v>5531</v>
      </c>
      <c r="X187" s="45" t="s">
        <v>5531</v>
      </c>
      <c r="Y187" s="45" t="s">
        <v>5977</v>
      </c>
      <c r="Z187" s="76">
        <f t="shared" ca="1" si="24"/>
        <v>5.486111110803904E-2</v>
      </c>
      <c r="AA187" s="75">
        <f t="shared" ca="1" si="25"/>
        <v>0.14629629628810412</v>
      </c>
      <c r="AB187" s="76">
        <f t="shared" ca="1" si="26"/>
        <v>5.1388888889050577E-2</v>
      </c>
      <c r="AC187" s="75">
        <f t="shared" ca="1" si="27"/>
        <v>0.1370370370374682</v>
      </c>
      <c r="AD187" s="76">
        <f t="shared" ca="1" si="28"/>
        <v>0</v>
      </c>
      <c r="AE187" s="76">
        <f t="shared" ca="1" si="29"/>
        <v>5.1388888889050577E-2</v>
      </c>
      <c r="AF187" s="75">
        <f t="shared" ca="1" si="30"/>
        <v>0.1370370370374682</v>
      </c>
      <c r="AG187" s="75">
        <f t="shared" ca="1" si="31"/>
        <v>0.1370370370374682</v>
      </c>
      <c r="AH187" s="31" t="str" cm="1">
        <f t="array" aca="1" ref="AH187" ca="1">IF((AD187) &lt; (INDEX(ResponseSLA[#All],(MATCH((G187),ResponseSLA[Priority],0))+1,3)),"YES","No")</f>
        <v>YES</v>
      </c>
      <c r="AI187" s="31" t="str">
        <f ca="1">_xlfn.IFNA(IF(AE187 &lt; (INDEX(SLATable[Minimum SLA],MATCH(G187,SLATable[Priority],0))),"YES","NO"),"")</f>
        <v>YES</v>
      </c>
      <c r="AJ187" t="str">
        <f ca="1">_xlfn.IFNA(IF(AE187 &lt; (INDEX(SLATable[Maximum SLA],MATCH(G187,SLATable[Priority],0))),"YES","NO"),"")</f>
        <v>YES</v>
      </c>
    </row>
    <row r="188" spans="2:36" ht="15" customHeight="1">
      <c r="B188" s="45" t="s">
        <v>26</v>
      </c>
      <c r="C188" s="45" t="s">
        <v>44</v>
      </c>
      <c r="D188" s="45" t="s">
        <v>207</v>
      </c>
      <c r="E188" s="45" t="s">
        <v>6015</v>
      </c>
      <c r="F188" s="45" t="s">
        <v>312</v>
      </c>
      <c r="G188" s="45">
        <v>4</v>
      </c>
      <c r="H188" s="45" t="s">
        <v>6016</v>
      </c>
      <c r="I188" s="45" t="s">
        <v>271</v>
      </c>
      <c r="J188" s="45" t="s">
        <v>5963</v>
      </c>
      <c r="K188" s="47">
        <v>46156.426388888889</v>
      </c>
      <c r="L188" s="47">
        <v>46160.35833333333</v>
      </c>
      <c r="M188" s="47">
        <v>46160.35833333333</v>
      </c>
      <c r="N188" s="47">
        <v>46160.404166666667</v>
      </c>
      <c r="P188" s="47">
        <v>46160.404166666667</v>
      </c>
      <c r="Q188" s="45" t="s">
        <v>44</v>
      </c>
      <c r="R188" s="45" t="s">
        <v>272</v>
      </c>
      <c r="S188" s="45" t="s">
        <v>5699</v>
      </c>
      <c r="T188" s="45" t="s">
        <v>268</v>
      </c>
      <c r="U188" s="45" t="s">
        <v>5531</v>
      </c>
      <c r="X188" s="45" t="s">
        <v>5531</v>
      </c>
      <c r="Y188" s="45" t="s">
        <v>5983</v>
      </c>
      <c r="Z188" s="76">
        <f t="shared" ca="1" si="24"/>
        <v>0.72777777777810115</v>
      </c>
      <c r="AA188" s="75">
        <f t="shared" ca="1" si="25"/>
        <v>1.9407407407416031</v>
      </c>
      <c r="AB188" s="76">
        <f t="shared" ca="1" si="26"/>
        <v>4.5833333337213844E-2</v>
      </c>
      <c r="AC188" s="75">
        <f t="shared" ca="1" si="27"/>
        <v>0.12222222223257025</v>
      </c>
      <c r="AD188" s="76">
        <f t="shared" ca="1" si="28"/>
        <v>0</v>
      </c>
      <c r="AE188" s="76">
        <f t="shared" ca="1" si="29"/>
        <v>4.5833333337213844E-2</v>
      </c>
      <c r="AF188" s="75">
        <f t="shared" ca="1" si="30"/>
        <v>0.12222222223257025</v>
      </c>
      <c r="AG188" s="75">
        <f t="shared" ca="1" si="31"/>
        <v>0.12222222223257025</v>
      </c>
      <c r="AH188" s="31" t="str" cm="1">
        <f t="array" aca="1" ref="AH188" ca="1">IF((AD188) &lt; (INDEX(ResponseSLA[#All],(MATCH((G188),ResponseSLA[Priority],0))+1,3)),"YES","No")</f>
        <v>YES</v>
      </c>
      <c r="AI188" s="31" t="str">
        <f ca="1">_xlfn.IFNA(IF(AE188 &lt; (INDEX(SLATable[Minimum SLA],MATCH(G188,SLATable[Priority],0))),"YES","NO"),"")</f>
        <v>YES</v>
      </c>
      <c r="AJ188" t="str">
        <f ca="1">_xlfn.IFNA(IF(AE188 &lt; (INDEX(SLATable[Maximum SLA],MATCH(G188,SLATable[Priority],0))),"YES","NO"),"")</f>
        <v>YES</v>
      </c>
    </row>
    <row r="189" spans="2:36" ht="15" customHeight="1">
      <c r="B189" s="45" t="s">
        <v>26</v>
      </c>
      <c r="C189" s="45" t="s">
        <v>44</v>
      </c>
      <c r="D189" s="45" t="s">
        <v>208</v>
      </c>
      <c r="E189" s="45" t="s">
        <v>6017</v>
      </c>
      <c r="F189" s="45" t="s">
        <v>312</v>
      </c>
      <c r="G189" s="45" t="s">
        <v>208</v>
      </c>
      <c r="H189" s="45" t="s">
        <v>6018</v>
      </c>
      <c r="I189" s="45" t="s">
        <v>275</v>
      </c>
      <c r="J189" s="45" t="s">
        <v>5963</v>
      </c>
      <c r="K189" s="47">
        <v>46150.54791666667</v>
      </c>
      <c r="L189" s="47">
        <v>46157.657638888886</v>
      </c>
      <c r="M189" s="47">
        <v>46157.657638888886</v>
      </c>
      <c r="N189" s="47">
        <v>46161.548611111109</v>
      </c>
      <c r="P189" s="47">
        <v>46161.548611111109</v>
      </c>
      <c r="Q189" s="45" t="s">
        <v>44</v>
      </c>
      <c r="R189" s="45" t="s">
        <v>5693</v>
      </c>
      <c r="S189" s="45" t="s">
        <v>5699</v>
      </c>
      <c r="T189" s="45" t="s">
        <v>268</v>
      </c>
      <c r="U189" s="45" t="s">
        <v>5531</v>
      </c>
      <c r="X189" s="45" t="s">
        <v>5531</v>
      </c>
      <c r="Y189" s="45" t="s">
        <v>5977</v>
      </c>
      <c r="Z189" s="76">
        <f t="shared" ca="1" si="24"/>
        <v>2.6256944444394326</v>
      </c>
      <c r="AA189" s="75">
        <f t="shared" ca="1" si="25"/>
        <v>7.0018518518384871</v>
      </c>
      <c r="AB189" s="76">
        <f t="shared" ca="1" si="26"/>
        <v>0.64097222222335404</v>
      </c>
      <c r="AC189" s="75">
        <f t="shared" ca="1" si="27"/>
        <v>1.7092592592622775</v>
      </c>
      <c r="AD189" s="76">
        <f t="shared" ca="1" si="28"/>
        <v>0</v>
      </c>
      <c r="AE189" s="76">
        <f t="shared" ca="1" si="29"/>
        <v>0.64097222222335404</v>
      </c>
      <c r="AF189" s="75">
        <f t="shared" ca="1" si="30"/>
        <v>1.7092592592622775</v>
      </c>
      <c r="AG189" s="75">
        <f t="shared" ca="1" si="31"/>
        <v>1.7092592592622775</v>
      </c>
      <c r="AH189" s="31" t="str" cm="1">
        <f t="array" aca="1" ref="AH189" ca="1">IF((AD189) &lt; (INDEX(ResponseSLA[#All],(MATCH((G189),ResponseSLA[Priority],0))+1,3)),"YES","No")</f>
        <v>YES</v>
      </c>
      <c r="AI189" s="31" t="str">
        <f ca="1">_xlfn.IFNA(IF(AE189 &lt; (INDEX(SLATable[Minimum SLA],MATCH(G189,SLATable[Priority],0))),"YES","NO"),"")</f>
        <v>YES</v>
      </c>
      <c r="AJ189" t="str">
        <f ca="1">_xlfn.IFNA(IF(AE189 &lt; (INDEX(SLATable[Maximum SLA],MATCH(G189,SLATable[Priority],0))),"YES","NO"),"")</f>
        <v>YES</v>
      </c>
    </row>
    <row r="190" spans="2:36" ht="15" customHeight="1">
      <c r="B190" s="45" t="s">
        <v>26</v>
      </c>
      <c r="C190" s="45" t="s">
        <v>44</v>
      </c>
      <c r="D190" s="45" t="s">
        <v>207</v>
      </c>
      <c r="E190" s="45" t="s">
        <v>6019</v>
      </c>
      <c r="F190" s="45" t="s">
        <v>312</v>
      </c>
      <c r="G190" s="45">
        <v>4</v>
      </c>
      <c r="H190" s="45" t="s">
        <v>6020</v>
      </c>
      <c r="I190" s="45" t="s">
        <v>275</v>
      </c>
      <c r="J190" s="45" t="s">
        <v>5378</v>
      </c>
      <c r="K190" s="47">
        <v>46156.842893518522</v>
      </c>
      <c r="L190" s="47">
        <v>46156.876655092594</v>
      </c>
      <c r="M190" s="47">
        <v>46157.473564814813</v>
      </c>
      <c r="N190" s="47">
        <v>46158.477673611109</v>
      </c>
      <c r="Q190" s="45" t="s">
        <v>6021</v>
      </c>
      <c r="R190" s="45" t="s">
        <v>272</v>
      </c>
      <c r="S190" s="45" t="s">
        <v>5699</v>
      </c>
      <c r="T190" s="45" t="s">
        <v>268</v>
      </c>
      <c r="U190" s="45" t="s">
        <v>371</v>
      </c>
      <c r="X190" s="45" t="s">
        <v>5531</v>
      </c>
      <c r="Y190" s="45" t="s">
        <v>6022</v>
      </c>
      <c r="Z190" s="76">
        <f t="shared" ca="1" si="24"/>
        <v>0</v>
      </c>
      <c r="AA190" s="75">
        <f t="shared" ca="1" si="25"/>
        <v>0</v>
      </c>
      <c r="AB190" s="76">
        <f t="shared" ca="1" si="26"/>
        <v>0</v>
      </c>
      <c r="AC190" s="75">
        <f t="shared" ca="1" si="27"/>
        <v>0</v>
      </c>
      <c r="AD190" s="76">
        <f t="shared" ca="1" si="28"/>
        <v>0.14023148147922859</v>
      </c>
      <c r="AE190" s="76">
        <f t="shared" ca="1" si="29"/>
        <v>0</v>
      </c>
      <c r="AF190" s="75">
        <f t="shared" ca="1" si="30"/>
        <v>0</v>
      </c>
      <c r="AG190" s="75">
        <f t="shared" ca="1" si="31"/>
        <v>0</v>
      </c>
      <c r="AH190" s="31" t="str" cm="1">
        <f t="array" aca="1" ref="AH190" ca="1">IF((AD190) &lt; (INDEX(ResponseSLA[#All],(MATCH((G190),ResponseSLA[Priority],0))+1,3)),"YES","No")</f>
        <v>No</v>
      </c>
      <c r="AI190" s="31" t="str">
        <f ca="1">_xlfn.IFNA(IF(AE190 &lt; (INDEX(SLATable[Minimum SLA],MATCH(G190,SLATable[Priority],0))),"YES","NO"),"")</f>
        <v>YES</v>
      </c>
      <c r="AJ190" t="str">
        <f ca="1">_xlfn.IFNA(IF(AE190 &lt; (INDEX(SLATable[Maximum SLA],MATCH(G190,SLATable[Priority],0))),"YES","NO"),"")</f>
        <v>YES</v>
      </c>
    </row>
    <row r="191" spans="2:36" ht="15" customHeight="1">
      <c r="B191" s="45" t="s">
        <v>26</v>
      </c>
      <c r="C191" s="45" t="s">
        <v>44</v>
      </c>
      <c r="D191" s="45" t="s">
        <v>207</v>
      </c>
      <c r="E191" s="45" t="s">
        <v>6023</v>
      </c>
      <c r="F191" s="45" t="s">
        <v>312</v>
      </c>
      <c r="G191" s="45">
        <v>4</v>
      </c>
      <c r="H191" s="45" t="s">
        <v>6024</v>
      </c>
      <c r="I191" s="45" t="s">
        <v>275</v>
      </c>
      <c r="J191" s="45" t="s">
        <v>5378</v>
      </c>
      <c r="K191" s="47">
        <v>46157.846250000002</v>
      </c>
      <c r="L191" s="47">
        <v>46162.511307870373</v>
      </c>
      <c r="M191" s="47">
        <v>46162.552719907406</v>
      </c>
      <c r="N191" s="47">
        <v>46162.948611111111</v>
      </c>
      <c r="Q191" s="45" t="s">
        <v>6025</v>
      </c>
      <c r="R191" s="45" t="s">
        <v>272</v>
      </c>
      <c r="S191" s="45" t="s">
        <v>5699</v>
      </c>
      <c r="T191" s="45" t="s">
        <v>268</v>
      </c>
      <c r="U191" s="45" t="s">
        <v>371</v>
      </c>
      <c r="X191" s="45" t="s">
        <v>5531</v>
      </c>
      <c r="Y191" s="45" t="s">
        <v>6026</v>
      </c>
      <c r="Z191" s="76">
        <f t="shared" ca="1" si="24"/>
        <v>1.125</v>
      </c>
      <c r="AA191" s="75">
        <f t="shared" ca="1" si="25"/>
        <v>3</v>
      </c>
      <c r="AB191" s="76">
        <f t="shared" ca="1" si="26"/>
        <v>0.1970254629607856</v>
      </c>
      <c r="AC191" s="75">
        <f t="shared" ca="1" si="27"/>
        <v>0.52540123456209498</v>
      </c>
      <c r="AD191" s="76">
        <f t="shared" ca="1" si="28"/>
        <v>4.1412037033296656E-2</v>
      </c>
      <c r="AE191" s="76">
        <f t="shared" ca="1" si="29"/>
        <v>0.1970254629607856</v>
      </c>
      <c r="AF191" s="75">
        <f t="shared" ca="1" si="30"/>
        <v>0.52540123456209498</v>
      </c>
      <c r="AG191" s="75">
        <f t="shared" ca="1" si="31"/>
        <v>0.52540123456209498</v>
      </c>
      <c r="AH191" s="31" t="str" cm="1">
        <f t="array" aca="1" ref="AH191" ca="1">IF((AD191) &lt; (INDEX(ResponseSLA[#All],(MATCH((G191),ResponseSLA[Priority],0))+1,3)),"YES","No")</f>
        <v>YES</v>
      </c>
      <c r="AI191" s="31" t="str">
        <f ca="1">_xlfn.IFNA(IF(AE191 &lt; (INDEX(SLATable[Minimum SLA],MATCH(G191,SLATable[Priority],0))),"YES","NO"),"")</f>
        <v>YES</v>
      </c>
      <c r="AJ191" t="str">
        <f ca="1">_xlfn.IFNA(IF(AE191 &lt; (INDEX(SLATable[Maximum SLA],MATCH(G191,SLATable[Priority],0))),"YES","NO"),"")</f>
        <v>YES</v>
      </c>
    </row>
    <row r="192" spans="2:36" ht="15" customHeight="1">
      <c r="B192" s="45" t="s">
        <v>26</v>
      </c>
      <c r="C192" s="45" t="s">
        <v>44</v>
      </c>
      <c r="D192" s="45" t="s">
        <v>207</v>
      </c>
      <c r="E192" s="45" t="s">
        <v>6027</v>
      </c>
      <c r="F192" s="45" t="s">
        <v>312</v>
      </c>
      <c r="G192" s="45">
        <v>4</v>
      </c>
      <c r="H192" s="45" t="s">
        <v>6028</v>
      </c>
      <c r="I192" s="45" t="s">
        <v>271</v>
      </c>
      <c r="J192" s="45" t="s">
        <v>5378</v>
      </c>
      <c r="K192" s="47">
        <v>46161.853634259256</v>
      </c>
      <c r="L192" s="47">
        <v>46161.860034722224</v>
      </c>
      <c r="M192" s="47">
        <v>46162.465231481481</v>
      </c>
      <c r="N192" s="47">
        <v>46162.506608796299</v>
      </c>
      <c r="Q192" s="45" t="s">
        <v>44</v>
      </c>
      <c r="R192" s="45" t="s">
        <v>272</v>
      </c>
      <c r="S192" s="45" t="s">
        <v>175</v>
      </c>
      <c r="T192" s="45" t="s">
        <v>277</v>
      </c>
      <c r="U192" s="45" t="s">
        <v>371</v>
      </c>
      <c r="X192" s="45" t="s">
        <v>5531</v>
      </c>
      <c r="Y192" s="45" t="s">
        <v>6029</v>
      </c>
      <c r="Z192" s="76">
        <f t="shared" ca="1" si="24"/>
        <v>0.17327546296534513</v>
      </c>
      <c r="AA192" s="75">
        <f t="shared" ca="1" si="25"/>
        <v>0.46206790124092034</v>
      </c>
      <c r="AB192" s="76">
        <f t="shared" ca="1" si="26"/>
        <v>0.17327546296534513</v>
      </c>
      <c r="AC192" s="75">
        <f t="shared" ca="1" si="27"/>
        <v>0.46206790124092034</v>
      </c>
      <c r="AD192" s="76">
        <f t="shared" ca="1" si="28"/>
        <v>0.13189814814783551</v>
      </c>
      <c r="AE192" s="76">
        <f t="shared" ca="1" si="29"/>
        <v>0.17327546296534513</v>
      </c>
      <c r="AF192" s="75">
        <f t="shared" ca="1" si="30"/>
        <v>0.46206790124092034</v>
      </c>
      <c r="AG192" s="75">
        <f t="shared" ca="1" si="31"/>
        <v>0.46206790124092034</v>
      </c>
      <c r="AH192" s="31" t="str" cm="1">
        <f t="array" aca="1" ref="AH192" ca="1">IF((AD192) &lt; (INDEX(ResponseSLA[#All],(MATCH((G192),ResponseSLA[Priority],0))+1,3)),"YES","No")</f>
        <v>No</v>
      </c>
      <c r="AI192" s="31" t="str">
        <f ca="1">_xlfn.IFNA(IF(AE192 &lt; (INDEX(SLATable[Minimum SLA],MATCH(G192,SLATable[Priority],0))),"YES","NO"),"")</f>
        <v>YES</v>
      </c>
      <c r="AJ192" t="str">
        <f ca="1">_xlfn.IFNA(IF(AE192 &lt; (INDEX(SLATable[Maximum SLA],MATCH(G192,SLATable[Priority],0))),"YES","NO"),"")</f>
        <v>YES</v>
      </c>
    </row>
    <row r="193" spans="2:36" ht="15" customHeight="1">
      <c r="B193" s="45" t="s">
        <v>26</v>
      </c>
      <c r="C193" s="45" t="s">
        <v>44</v>
      </c>
      <c r="D193" s="45" t="s">
        <v>208</v>
      </c>
      <c r="E193" s="45" t="s">
        <v>6030</v>
      </c>
      <c r="F193" s="45" t="s">
        <v>312</v>
      </c>
      <c r="G193" s="45" t="s">
        <v>208</v>
      </c>
      <c r="H193" s="45" t="s">
        <v>6031</v>
      </c>
      <c r="I193" s="45" t="s">
        <v>271</v>
      </c>
      <c r="J193" s="45" t="s">
        <v>5378</v>
      </c>
      <c r="K193" s="47">
        <v>46161.801053240742</v>
      </c>
      <c r="L193" s="52">
        <v>46162.600752314815</v>
      </c>
      <c r="M193" s="47">
        <v>46162.836631944447</v>
      </c>
      <c r="N193" s="47">
        <v>46163.528819444444</v>
      </c>
      <c r="Q193" s="45" t="s">
        <v>6032</v>
      </c>
      <c r="R193" s="45" t="s">
        <v>272</v>
      </c>
      <c r="S193" s="45" t="s">
        <v>175</v>
      </c>
      <c r="T193" s="45" t="s">
        <v>268</v>
      </c>
      <c r="U193" s="45" t="s">
        <v>371</v>
      </c>
      <c r="X193" s="45" t="s">
        <v>5531</v>
      </c>
      <c r="Y193" s="45" t="s">
        <v>6033</v>
      </c>
      <c r="Z193" s="76">
        <f t="shared" ca="1" si="24"/>
        <v>0.57048611111046432</v>
      </c>
      <c r="AA193" s="75">
        <f t="shared" ca="1" si="25"/>
        <v>1.5212962962945715</v>
      </c>
      <c r="AB193" s="76">
        <f t="shared" ca="1" si="26"/>
        <v>0.30306712962919846</v>
      </c>
      <c r="AC193" s="75">
        <f t="shared" ca="1" si="27"/>
        <v>0.80817901234452927</v>
      </c>
      <c r="AD193" s="76">
        <f t="shared" ca="1" si="28"/>
        <v>0.10758101851873414</v>
      </c>
      <c r="AE193" s="76">
        <f t="shared" ca="1" si="29"/>
        <v>0.30306712962919846</v>
      </c>
      <c r="AF193" s="75">
        <f t="shared" ca="1" si="30"/>
        <v>0.80817901234452927</v>
      </c>
      <c r="AG193" s="75">
        <f t="shared" ca="1" si="31"/>
        <v>0.80817901234452927</v>
      </c>
      <c r="AH193" s="31" t="str" cm="1">
        <f t="array" aca="1" ref="AH193" ca="1">IF((AD193) &lt; (INDEX(ResponseSLA[#All],(MATCH((G193),ResponseSLA[Priority],0))+1,3)),"YES","No")</f>
        <v>YES</v>
      </c>
      <c r="AI193" s="31" t="str">
        <f ca="1">_xlfn.IFNA(IF(AE193 &lt; (INDEX(SLATable[Minimum SLA],MATCH(G193,SLATable[Priority],0))),"YES","NO"),"")</f>
        <v>YES</v>
      </c>
      <c r="AJ193" t="str">
        <f ca="1">_xlfn.IFNA(IF(AE193 &lt; (INDEX(SLATable[Maximum SLA],MATCH(G193,SLATable[Priority],0))),"YES","NO"),"")</f>
        <v>YES</v>
      </c>
    </row>
    <row r="194" spans="2:36" ht="15" customHeight="1">
      <c r="B194" s="45" t="s">
        <v>26</v>
      </c>
      <c r="C194" s="45" t="s">
        <v>44</v>
      </c>
      <c r="D194" s="45" t="s">
        <v>208</v>
      </c>
      <c r="E194" s="45" t="s">
        <v>6034</v>
      </c>
      <c r="F194" s="45" t="s">
        <v>312</v>
      </c>
      <c r="G194" s="45" t="s">
        <v>208</v>
      </c>
      <c r="H194" s="45" t="s">
        <v>6035</v>
      </c>
      <c r="I194" s="45" t="s">
        <v>275</v>
      </c>
      <c r="J194" s="45" t="s">
        <v>5378</v>
      </c>
      <c r="K194" s="47">
        <v>46162.637407407405</v>
      </c>
      <c r="L194" s="47">
        <v>46162.637430555558</v>
      </c>
      <c r="M194" s="47">
        <v>46162.772349537037</v>
      </c>
      <c r="N194" s="47">
        <v>46163.650405092594</v>
      </c>
      <c r="Q194" s="45" t="s">
        <v>6032</v>
      </c>
      <c r="R194" s="45" t="s">
        <v>272</v>
      </c>
      <c r="S194" s="45" t="s">
        <v>175</v>
      </c>
      <c r="T194" s="45" t="s">
        <v>268</v>
      </c>
      <c r="U194" s="45" t="s">
        <v>371</v>
      </c>
      <c r="X194" s="45" t="s">
        <v>5531</v>
      </c>
      <c r="Y194" s="45" t="s">
        <v>6033</v>
      </c>
      <c r="Z194" s="76">
        <f t="shared" ca="1" si="24"/>
        <v>0.38799768518947531</v>
      </c>
      <c r="AA194" s="75">
        <f t="shared" ca="1" si="25"/>
        <v>1.0346604938386008</v>
      </c>
      <c r="AB194" s="76">
        <f t="shared" ca="1" si="26"/>
        <v>0.387974537035916</v>
      </c>
      <c r="AC194" s="75">
        <f t="shared" ca="1" si="27"/>
        <v>1.0345987654291093</v>
      </c>
      <c r="AD194" s="76">
        <f t="shared" ca="1" si="28"/>
        <v>7.0902777775093795E-2</v>
      </c>
      <c r="AE194" s="76">
        <f t="shared" ca="1" si="29"/>
        <v>0.387974537035916</v>
      </c>
      <c r="AF194" s="75">
        <f t="shared" ca="1" si="30"/>
        <v>1.0345987654291093</v>
      </c>
      <c r="AG194" s="75">
        <f t="shared" ca="1" si="31"/>
        <v>1.0345987654291093</v>
      </c>
      <c r="AH194" s="31" t="str" cm="1">
        <f t="array" aca="1" ref="AH194" ca="1">IF((AD194) &lt; (INDEX(ResponseSLA[#All],(MATCH((G194),ResponseSLA[Priority],0))+1,3)),"YES","No")</f>
        <v>YES</v>
      </c>
      <c r="AI194" s="31" t="str">
        <f ca="1">_xlfn.IFNA(IF(AE194 &lt; (INDEX(SLATable[Minimum SLA],MATCH(G194,SLATable[Priority],0))),"YES","NO"),"")</f>
        <v>YES</v>
      </c>
      <c r="AJ194" t="str">
        <f ca="1">_xlfn.IFNA(IF(AE194 &lt; (INDEX(SLATable[Maximum SLA],MATCH(G194,SLATable[Priority],0))),"YES","NO"),"")</f>
        <v>YES</v>
      </c>
    </row>
    <row r="195" spans="2:36" ht="15" customHeight="1">
      <c r="B195" s="45" t="s">
        <v>26</v>
      </c>
      <c r="C195" s="45" t="s">
        <v>44</v>
      </c>
      <c r="D195" s="45" t="s">
        <v>208</v>
      </c>
      <c r="E195" s="45" t="s">
        <v>6036</v>
      </c>
      <c r="F195" s="45" t="s">
        <v>312</v>
      </c>
      <c r="G195" s="45" t="s">
        <v>208</v>
      </c>
      <c r="H195" s="45" t="s">
        <v>6037</v>
      </c>
      <c r="I195" s="45" t="s">
        <v>271</v>
      </c>
      <c r="J195" s="45" t="s">
        <v>5378</v>
      </c>
      <c r="K195" s="47">
        <v>46150.743263888886</v>
      </c>
      <c r="L195" s="47">
        <v>46150.743333333332</v>
      </c>
      <c r="M195" s="47">
        <v>46150.755196759259</v>
      </c>
      <c r="N195" s="47">
        <v>46152.612754629627</v>
      </c>
      <c r="Q195" s="45" t="s">
        <v>6038</v>
      </c>
      <c r="R195" s="45" t="s">
        <v>272</v>
      </c>
      <c r="S195" s="45" t="s">
        <v>5699</v>
      </c>
      <c r="T195" s="45" t="s">
        <v>268</v>
      </c>
      <c r="U195" s="45" t="s">
        <v>371</v>
      </c>
      <c r="X195" s="45" t="s">
        <v>5531</v>
      </c>
      <c r="Y195" s="45" t="s">
        <v>6039</v>
      </c>
      <c r="Z195" s="76">
        <f t="shared" ref="Z195:Z258" ca="1" si="32">IF(NOT(OR(G195=1,G195=2)),MAX(0,_xlfn.IFS(AND(K195&lt;&gt;"",N195&lt;&gt;""),((MAX(NETWORKDAYS(K195,N195,UKBankHolidays)-1,0))*(TIME(17,0,0)-TIME(8,0,0))+IF(NETWORKDAYS(N195,N195,UKBankHolidays)&gt;0,MEDIAN(TIME(8,0,0),MOD(N195,1),TIME(17,0,0)),TIME(8,0,0))-IF(NETWORKDAYS(K195,K195,UKBankHolidays)&gt;0,MEDIAN(TIME(8,0,0),MOD(K195,1),TIME(17,0,0)),TIME(8,0,0)))-IF(AND(O195&lt;&gt;"",P195&lt;&gt;""),((MAX(NETWORKDAYS(O195,P195,UKBankHolidays)-1,0))*(TIME(17,0,0)-TIME(8,0,0))+IF(NETWORKDAYS(P195,P195,UKBankHolidays)&gt;0,MEDIAN(TIME(8,0,0),MOD(P195,1),TIME(17,0,0)),TIME(8,0,0))-IF(NETWORKDAYS(O195,O195,UKBankHolidays)&gt;0,MEDIAN(TIME(8,0,0),MOD(O195,1),TIME(17,0,0)),TIME(8,0,0))),0),AND(K195&lt;&gt;"",N195=""),((MAX(NETWORKDAYS(K195,NOW(),UKBankHolidays)-1,0))*(TIME(17,0,0)-TIME(8,0,0))+IF(NETWORKDAYS(NOW(),NOW(),UKBankHolidays)&gt;0,MEDIAN(TIME(8,0,0),MOD(NOW(),1),TIME(17,0,0)),TIME(8,0,0))-IF(NETWORKDAYS(K195,K195,UKBankHolidays)&gt;0,MEDIAN(TIME(8,0,0),MOD(K195,1),TIME(17,0,0)),TIME(8,0,0))))),IF(N195="",NOW()-K195,N195-K195))</f>
        <v>0</v>
      </c>
      <c r="AA195" s="75">
        <f t="shared" ref="AA195:AA258" ca="1" si="33">(Z195*24)/9</f>
        <v>0</v>
      </c>
      <c r="AB195" s="76">
        <f t="shared" ref="AB195:AB258" ca="1" si="34">IF(NOT(OR(G195=1,G195=2)),MAX(0,_xlfn.IFS(AND(K195&lt;&gt;"",N195&lt;&gt;""),(((MAX(NETWORKDAYS(L195,N195,UKBankHolidays)-1,0))*(TIME(17,0,0)-TIME(8,0,0)))+IF(NETWORKDAYS(N195,N195,UKBankHolidays)&gt;0,MEDIAN(TIME(8,0,0),MOD(N195,1),TIME(17,0,0)),TIME(8,0,0))-IF(NETWORKDAYS(L195,L195,UKBankHolidays)&gt;0,MEDIAN(TIME(8,0,0),MOD(L195,1),TIME(17,0,0)),TIME(8,0,0)))-IF(AND(O195&lt;&gt;"",P195&lt;&gt;""),(((MAX(NETWORKDAYS(O195,P195,UKBankHolidays)-1,0))*(TIME(17,0,0)-TIME(8,0,0)))+IF(NETWORKDAYS(P195,P195,UKBankHolidays)&gt;0,MEDIAN(TIME(8,0,0),MOD(P195,1),TIME(17,0,0)),TIME(8,0,0))-IF(NETWORKDAYS(O195,O195,UKBankHolidays)&gt;0,MEDIAN(TIME(8,0,0),MOD(O195,1),TIME(17,0,0)),TIME(8,0,0))),0),AND(L195&lt;&gt;"",N195="",O195=""),(((MAX(NETWORKDAYS(L195,NOW(),UKBankHolidays)-1,0))*(TIME(17,0,0)-TIME(8,0,0)))+IF(NETWORKDAYS(NOW(),NOW(),UKBankHolidays)&gt;0,MEDIAN(TIME(8,0,0),MOD(NOW(),1),TIME(17,0,0)),TIME(8,0,0))-IF(NETWORKDAYS(L195,L195,UKBankHolidays)&gt;0,MEDIAN(TIME(8,0,0),MOD(L195,1),TIME(17,0,0)),TIME(8,0,0)))-IF(AND(O195&lt;&gt;"",P195&lt;&gt;""),(((MAX(NETWORKDAYS(O195,P195,UKBankHolidays)-1,0))*(TIME(17,0,0)-TIME(8,0,0)))+IF(NETWORKDAYS(P195,P195,UKBankHolidays)&gt;0,MEDIAN(TIME(8,0,0),MOD(P195,1),TIME(17,0,0)),TIME(8,0,0))-IF(NETWORKDAYS(O195,O195,UKBankHolidays)&gt;0,MEDIAN(TIME(8,0,0),MOD(O195,1),TIME(17,0,0)),TIME(8,0,0))),0),AND(L195&lt;&gt;"",N195="",P195="",O195&lt;&gt;""),(((MAX(NETWORKDAYS(L195,O195,UKBankHolidays)-1,0))*(TIME(17,0,0)-TIME(8,0,0)))+IF(NETWORKDAYS(O195,O195,UKBankHolidays)&gt;0,MEDIAN(TIME(8,0,0),MOD(O195,1),TIME(17,0,0)),TIME(8,0,0))-IF(NETWORKDAYS(L195,L195,UKBankHolidays)&gt;0,MEDIAN(TIME(8,0,0),MOD(L195,1),TIME(17,0,0)),TIME(8,0,0))),ISBLANK(K195),"0")),IF(ISBLANK(N195),NOW()-L195,N195-L195))</f>
        <v>0</v>
      </c>
      <c r="AC195" s="75">
        <f t="shared" ref="AC195:AC258" ca="1" si="35">(AB195*24)/9</f>
        <v>0</v>
      </c>
      <c r="AD195" s="76">
        <f t="shared" ref="AD195:AD258" ca="1" si="36">MAX(0,IF(NOT(OR(G195=1,G195=2)),IF(M195&lt;&gt;"",((MAX(NETWORKDAYS(L195,M195,UKBankHolidays)-1,0))*(TIME(17,0,0)-TIME(8,0,0))+IF(NETWORKDAYS(M195,M195,UKBankHolidays)&gt;0,MEDIAN(TIME(8,0,0),MOD(M195,1),TIME(17,0,0)),TIME(8,0,0))-MEDIAN(TIME(8,0,0),MOD(L195,1),TIME(17,0,0))),((MAX(NETWORKDAYS(L195,NOW(),UKBankHolidays)-1,0))*(TIME(17,0,0)-TIME(8,0,0))+IF(NETWORKDAYS(NOW(),NOW(),UKBankHolidays)&gt;0,MEDIAN(TIME(8,0,0),MOD(NOW(),1),TIME(17,0,0)),TIME(8,0,0))-MEDIAN(TIME(8,0,0),MOD(L195,1),TIME(17,0,0)))),IF(M195&lt;&gt;"",M195-L195,NOW()-L195)))</f>
        <v>0</v>
      </c>
      <c r="AE195" s="76">
        <f t="shared" ref="AE195:AE258" ca="1" si="37">SUMIFS(AB:AB,E:E,E195)</f>
        <v>0</v>
      </c>
      <c r="AF195" s="75">
        <f t="shared" ref="AF195:AF258" ca="1" si="38">(AE195*24)/9</f>
        <v>0</v>
      </c>
      <c r="AG195" s="75">
        <f t="shared" ref="AG195:AG258" ca="1" si="39">AF195</f>
        <v>0</v>
      </c>
      <c r="AH195" s="31" t="str" cm="1">
        <f t="array" aca="1" ref="AH195" ca="1">IF((AD195) &lt; (INDEX(ResponseSLA[#All],(MATCH((G195),ResponseSLA[Priority],0))+1,3)),"YES","No")</f>
        <v>YES</v>
      </c>
      <c r="AI195" s="31" t="str">
        <f ca="1">_xlfn.IFNA(IF(AE195 &lt; (INDEX(SLATable[Minimum SLA],MATCH(G195,SLATable[Priority],0))),"YES","NO"),"")</f>
        <v>YES</v>
      </c>
      <c r="AJ195" t="str">
        <f ca="1">_xlfn.IFNA(IF(AE195 &lt; (INDEX(SLATable[Maximum SLA],MATCH(G195,SLATable[Priority],0))),"YES","NO"),"")</f>
        <v>YES</v>
      </c>
    </row>
    <row r="196" spans="2:36" ht="15" customHeight="1">
      <c r="B196" s="45" t="s">
        <v>26</v>
      </c>
      <c r="C196" s="45" t="s">
        <v>44</v>
      </c>
      <c r="D196" s="45" t="s">
        <v>208</v>
      </c>
      <c r="E196" s="45" t="s">
        <v>6040</v>
      </c>
      <c r="F196" s="45" t="s">
        <v>312</v>
      </c>
      <c r="G196" s="45" t="s">
        <v>208</v>
      </c>
      <c r="H196" s="45" t="s">
        <v>6041</v>
      </c>
      <c r="I196" s="45" t="s">
        <v>271</v>
      </c>
      <c r="J196" s="45" t="s">
        <v>5378</v>
      </c>
      <c r="K196" s="47">
        <v>46160.553680555553</v>
      </c>
      <c r="L196" s="47">
        <v>46160.553749999999</v>
      </c>
      <c r="M196" s="47">
        <v>46160.576967592591</v>
      </c>
      <c r="N196" s="47">
        <v>46164.6325462963</v>
      </c>
      <c r="Q196" s="45" t="s">
        <v>5866</v>
      </c>
      <c r="R196" s="45" t="s">
        <v>272</v>
      </c>
      <c r="S196" s="45" t="s">
        <v>175</v>
      </c>
      <c r="T196" s="45" t="s">
        <v>268</v>
      </c>
      <c r="U196" s="45" t="s">
        <v>371</v>
      </c>
      <c r="X196" s="45" t="s">
        <v>5531</v>
      </c>
      <c r="Y196" s="45" t="s">
        <v>6042</v>
      </c>
      <c r="Z196" s="76">
        <f t="shared" ca="1" si="32"/>
        <v>1.5788657407465507</v>
      </c>
      <c r="AA196" s="75">
        <f t="shared" ca="1" si="33"/>
        <v>4.2103086419908022</v>
      </c>
      <c r="AB196" s="76">
        <f t="shared" ca="1" si="34"/>
        <v>1.5787962963004247</v>
      </c>
      <c r="AC196" s="75">
        <f t="shared" ca="1" si="35"/>
        <v>4.2101234568011323</v>
      </c>
      <c r="AD196" s="76">
        <f t="shared" ca="1" si="36"/>
        <v>2.3217592592118308E-2</v>
      </c>
      <c r="AE196" s="76">
        <f t="shared" ca="1" si="37"/>
        <v>1.5787962963004247</v>
      </c>
      <c r="AF196" s="75">
        <f t="shared" ca="1" si="38"/>
        <v>4.2101234568011323</v>
      </c>
      <c r="AG196" s="75">
        <f t="shared" ca="1" si="39"/>
        <v>4.2101234568011323</v>
      </c>
      <c r="AH196" s="31" t="str" cm="1">
        <f t="array" aca="1" ref="AH196" ca="1">IF((AD196) &lt; (INDEX(ResponseSLA[#All],(MATCH((G196),ResponseSLA[Priority],0))+1,3)),"YES","No")</f>
        <v>YES</v>
      </c>
      <c r="AI196" s="31" t="str">
        <f ca="1">_xlfn.IFNA(IF(AE196 &lt; (INDEX(SLATable[Minimum SLA],MATCH(G196,SLATable[Priority],0))),"YES","NO"),"")</f>
        <v>NO</v>
      </c>
      <c r="AJ196" t="str">
        <f ca="1">_xlfn.IFNA(IF(AE196 &lt; (INDEX(SLATable[Maximum SLA],MATCH(G196,SLATable[Priority],0))),"YES","NO"),"")</f>
        <v>NO</v>
      </c>
    </row>
    <row r="197" spans="2:36" ht="15" customHeight="1">
      <c r="B197" s="45" t="s">
        <v>26</v>
      </c>
      <c r="C197" s="45" t="s">
        <v>44</v>
      </c>
      <c r="D197" s="45" t="s">
        <v>208</v>
      </c>
      <c r="E197" s="45" t="s">
        <v>6043</v>
      </c>
      <c r="F197" s="45" t="s">
        <v>312</v>
      </c>
      <c r="G197" s="45" t="s">
        <v>208</v>
      </c>
      <c r="H197" s="45" t="s">
        <v>6044</v>
      </c>
      <c r="I197" s="45" t="s">
        <v>271</v>
      </c>
      <c r="J197" s="45" t="s">
        <v>5378</v>
      </c>
      <c r="K197" s="47">
        <v>46156.713229166664</v>
      </c>
      <c r="L197" s="47">
        <v>46156.713275462964</v>
      </c>
      <c r="M197" s="47">
        <v>46156.793136574073</v>
      </c>
      <c r="N197" s="47">
        <v>46158.634756944448</v>
      </c>
      <c r="Q197" s="45" t="s">
        <v>6045</v>
      </c>
      <c r="R197" s="45" t="s">
        <v>272</v>
      </c>
      <c r="S197" s="45" t="s">
        <v>175</v>
      </c>
      <c r="T197" s="45" t="s">
        <v>268</v>
      </c>
      <c r="U197" s="45" t="s">
        <v>371</v>
      </c>
      <c r="X197" s="45" t="s">
        <v>5531</v>
      </c>
      <c r="Y197" s="45" t="s">
        <v>6046</v>
      </c>
      <c r="Z197" s="76">
        <f t="shared" ca="1" si="32"/>
        <v>0</v>
      </c>
      <c r="AA197" s="75">
        <f t="shared" ca="1" si="33"/>
        <v>0</v>
      </c>
      <c r="AB197" s="76">
        <f t="shared" ca="1" si="34"/>
        <v>0</v>
      </c>
      <c r="AC197" s="75">
        <f t="shared" ca="1" si="35"/>
        <v>0</v>
      </c>
      <c r="AD197" s="76">
        <f t="shared" ca="1" si="36"/>
        <v>0</v>
      </c>
      <c r="AE197" s="76">
        <f t="shared" ca="1" si="37"/>
        <v>0</v>
      </c>
      <c r="AF197" s="75">
        <f t="shared" ca="1" si="38"/>
        <v>0</v>
      </c>
      <c r="AG197" s="75">
        <f t="shared" ca="1" si="39"/>
        <v>0</v>
      </c>
      <c r="AH197" s="31" t="str" cm="1">
        <f t="array" aca="1" ref="AH197" ca="1">IF((AD197) &lt; (INDEX(ResponseSLA[#All],(MATCH((G197),ResponseSLA[Priority],0))+1,3)),"YES","No")</f>
        <v>YES</v>
      </c>
      <c r="AI197" s="31" t="str">
        <f ca="1">_xlfn.IFNA(IF(AE197 &lt; (INDEX(SLATable[Minimum SLA],MATCH(G197,SLATable[Priority],0))),"YES","NO"),"")</f>
        <v>YES</v>
      </c>
      <c r="AJ197" t="str">
        <f ca="1">_xlfn.IFNA(IF(AE197 &lt; (INDEX(SLATable[Maximum SLA],MATCH(G197,SLATable[Priority],0))),"YES","NO"),"")</f>
        <v>YES</v>
      </c>
    </row>
    <row r="198" spans="2:36" ht="15" customHeight="1">
      <c r="B198" s="45" t="s">
        <v>26</v>
      </c>
      <c r="C198" s="45" t="s">
        <v>44</v>
      </c>
      <c r="D198" s="45" t="s">
        <v>207</v>
      </c>
      <c r="E198" s="45" t="s">
        <v>6047</v>
      </c>
      <c r="F198" s="45" t="s">
        <v>312</v>
      </c>
      <c r="G198" s="45">
        <v>4</v>
      </c>
      <c r="H198" s="45" t="s">
        <v>6048</v>
      </c>
      <c r="I198" s="45" t="s">
        <v>271</v>
      </c>
      <c r="J198" s="45" t="s">
        <v>5378</v>
      </c>
      <c r="K198" s="47">
        <v>46155.778958333336</v>
      </c>
      <c r="L198" s="47">
        <v>46156.634502314817</v>
      </c>
      <c r="M198" s="47">
        <v>46156.692615740743</v>
      </c>
      <c r="N198" s="47">
        <v>46164.767916666664</v>
      </c>
      <c r="O198" s="47">
        <v>46164.767916666664</v>
      </c>
      <c r="P198" s="47">
        <v>46157.639930555553</v>
      </c>
      <c r="Q198" s="45" t="s">
        <v>44</v>
      </c>
      <c r="R198" s="45" t="s">
        <v>272</v>
      </c>
      <c r="S198" s="45" t="s">
        <v>175</v>
      </c>
      <c r="T198" s="45" t="s">
        <v>268</v>
      </c>
      <c r="U198" s="45" t="s">
        <v>371</v>
      </c>
      <c r="X198" s="45" t="s">
        <v>5531</v>
      </c>
      <c r="Y198" s="45" t="s">
        <v>5983</v>
      </c>
      <c r="Z198" s="76">
        <f t="shared" ca="1" si="32"/>
        <v>2.693402777780042</v>
      </c>
      <c r="AA198" s="75">
        <f t="shared" ca="1" si="33"/>
        <v>7.1824074074134456</v>
      </c>
      <c r="AB198" s="76">
        <f t="shared" ca="1" si="34"/>
        <v>2.3922337962964479</v>
      </c>
      <c r="AC198" s="75">
        <f t="shared" ca="1" si="35"/>
        <v>6.3792901234571939</v>
      </c>
      <c r="AD198" s="76">
        <f t="shared" ca="1" si="36"/>
        <v>5.8113425926421769E-2</v>
      </c>
      <c r="AE198" s="76">
        <f t="shared" ca="1" si="37"/>
        <v>2.3922337962964479</v>
      </c>
      <c r="AF198" s="75">
        <f t="shared" ca="1" si="38"/>
        <v>6.3792901234571939</v>
      </c>
      <c r="AG198" s="75">
        <f t="shared" ca="1" si="39"/>
        <v>6.3792901234571939</v>
      </c>
      <c r="AH198" s="31" t="str" cm="1">
        <f t="array" aca="1" ref="AH198" ca="1">IF((AD198) &lt; (INDEX(ResponseSLA[#All],(MATCH((G198),ResponseSLA[Priority],0))+1,3)),"YES","No")</f>
        <v>YES</v>
      </c>
      <c r="AI198" s="31" t="str">
        <f ca="1">_xlfn.IFNA(IF(AE198 &lt; (INDEX(SLATable[Minimum SLA],MATCH(G198,SLATable[Priority],0))),"YES","NO"),"")</f>
        <v>YES</v>
      </c>
      <c r="AJ198" t="str">
        <f ca="1">_xlfn.IFNA(IF(AE198 &lt; (INDEX(SLATable[Maximum SLA],MATCH(G198,SLATable[Priority],0))),"YES","NO"),"")</f>
        <v>YES</v>
      </c>
    </row>
    <row r="199" spans="2:36" ht="15" customHeight="1">
      <c r="B199" s="45" t="s">
        <v>26</v>
      </c>
      <c r="C199" s="45" t="s">
        <v>44</v>
      </c>
      <c r="D199" s="45" t="s">
        <v>207</v>
      </c>
      <c r="E199" s="45" t="s">
        <v>6049</v>
      </c>
      <c r="F199" s="45" t="s">
        <v>312</v>
      </c>
      <c r="G199" s="45">
        <v>4</v>
      </c>
      <c r="H199" s="45" t="s">
        <v>6050</v>
      </c>
      <c r="I199" s="45" t="s">
        <v>275</v>
      </c>
      <c r="J199" s="45" t="s">
        <v>5378</v>
      </c>
      <c r="K199" s="47">
        <v>46157.749131944445</v>
      </c>
      <c r="L199" s="47">
        <v>46164.793564814812</v>
      </c>
      <c r="M199" s="47">
        <v>46167.4609837963</v>
      </c>
      <c r="N199" s="47">
        <v>46167.526354166665</v>
      </c>
      <c r="Q199" s="45" t="s">
        <v>6051</v>
      </c>
      <c r="R199" s="45" t="s">
        <v>272</v>
      </c>
      <c r="S199" s="45" t="s">
        <v>175</v>
      </c>
      <c r="T199" s="45" t="s">
        <v>268</v>
      </c>
      <c r="U199" s="45" t="s">
        <v>371</v>
      </c>
      <c r="X199" s="45" t="s">
        <v>5531</v>
      </c>
      <c r="Y199" s="45" t="s">
        <v>6052</v>
      </c>
      <c r="Z199" s="76">
        <f t="shared" ca="1" si="32"/>
        <v>1.5</v>
      </c>
      <c r="AA199" s="75">
        <f t="shared" ca="1" si="33"/>
        <v>4</v>
      </c>
      <c r="AB199" s="76">
        <f t="shared" ca="1" si="34"/>
        <v>0</v>
      </c>
      <c r="AC199" s="75">
        <f t="shared" ca="1" si="35"/>
        <v>0</v>
      </c>
      <c r="AD199" s="76">
        <f t="shared" ca="1" si="36"/>
        <v>0</v>
      </c>
      <c r="AE199" s="76">
        <f t="shared" ca="1" si="37"/>
        <v>0</v>
      </c>
      <c r="AF199" s="75">
        <f t="shared" ca="1" si="38"/>
        <v>0</v>
      </c>
      <c r="AG199" s="75">
        <f t="shared" ca="1" si="39"/>
        <v>0</v>
      </c>
      <c r="AH199" s="31" t="str" cm="1">
        <f t="array" aca="1" ref="AH199" ca="1">IF((AD199) &lt; (INDEX(ResponseSLA[#All],(MATCH((G199),ResponseSLA[Priority],0))+1,3)),"YES","No")</f>
        <v>YES</v>
      </c>
      <c r="AI199" s="31" t="str">
        <f ca="1">_xlfn.IFNA(IF(AE199 &lt; (INDEX(SLATable[Minimum SLA],MATCH(G199,SLATable[Priority],0))),"YES","NO"),"")</f>
        <v>YES</v>
      </c>
      <c r="AJ199" t="str">
        <f ca="1">_xlfn.IFNA(IF(AE199 &lt; (INDEX(SLATable[Maximum SLA],MATCH(G199,SLATable[Priority],0))),"YES","NO"),"")</f>
        <v>YES</v>
      </c>
    </row>
    <row r="200" spans="2:36" ht="15" customHeight="1">
      <c r="B200" s="45" t="s">
        <v>26</v>
      </c>
      <c r="C200" s="45" t="s">
        <v>44</v>
      </c>
      <c r="D200" s="45" t="s">
        <v>207</v>
      </c>
      <c r="E200" s="45" t="s">
        <v>6053</v>
      </c>
      <c r="F200" s="45" t="s">
        <v>312</v>
      </c>
      <c r="G200" s="45">
        <v>4</v>
      </c>
      <c r="H200" s="45" t="s">
        <v>6054</v>
      </c>
      <c r="I200" s="45" t="s">
        <v>271</v>
      </c>
      <c r="J200" s="45" t="s">
        <v>5378</v>
      </c>
      <c r="K200" s="47">
        <v>46159.8830787037</v>
      </c>
      <c r="L200" s="47">
        <v>46160.786215277774</v>
      </c>
      <c r="M200" s="47">
        <v>46160.823750000003</v>
      </c>
      <c r="N200" s="47">
        <v>46162.777604166666</v>
      </c>
      <c r="Q200" s="45" t="s">
        <v>44</v>
      </c>
      <c r="R200" s="45" t="s">
        <v>272</v>
      </c>
      <c r="S200" s="45" t="s">
        <v>175</v>
      </c>
      <c r="T200" s="45" t="s">
        <v>268</v>
      </c>
      <c r="U200" s="45" t="s">
        <v>371</v>
      </c>
      <c r="X200" s="45" t="s">
        <v>5531</v>
      </c>
      <c r="Y200" s="45" t="s">
        <v>6055</v>
      </c>
      <c r="Z200" s="76">
        <f t="shared" ca="1" si="32"/>
        <v>1.1250000000000002</v>
      </c>
      <c r="AA200" s="75">
        <f t="shared" ca="1" si="33"/>
        <v>3.0000000000000009</v>
      </c>
      <c r="AB200" s="76">
        <f t="shared" ca="1" si="34"/>
        <v>0.75000000000000011</v>
      </c>
      <c r="AC200" s="75">
        <f t="shared" ca="1" si="35"/>
        <v>2.0000000000000004</v>
      </c>
      <c r="AD200" s="76">
        <f t="shared" ca="1" si="36"/>
        <v>0</v>
      </c>
      <c r="AE200" s="76">
        <f t="shared" ca="1" si="37"/>
        <v>0.75000000000000011</v>
      </c>
      <c r="AF200" s="75">
        <f t="shared" ca="1" si="38"/>
        <v>2.0000000000000004</v>
      </c>
      <c r="AG200" s="75">
        <f t="shared" ca="1" si="39"/>
        <v>2.0000000000000004</v>
      </c>
      <c r="AH200" s="31" t="str" cm="1">
        <f t="array" aca="1" ref="AH200" ca="1">IF((AD200) &lt; (INDEX(ResponseSLA[#All],(MATCH((G200),ResponseSLA[Priority],0))+1,3)),"YES","No")</f>
        <v>YES</v>
      </c>
      <c r="AI200" s="31" t="str">
        <f ca="1">_xlfn.IFNA(IF(AE200 &lt; (INDEX(SLATable[Minimum SLA],MATCH(G200,SLATable[Priority],0))),"YES","NO"),"")</f>
        <v>YES</v>
      </c>
      <c r="AJ200" t="str">
        <f ca="1">_xlfn.IFNA(IF(AE200 &lt; (INDEX(SLATable[Maximum SLA],MATCH(G200,SLATable[Priority],0))),"YES","NO"),"")</f>
        <v>YES</v>
      </c>
    </row>
    <row r="201" spans="2:36" ht="15" customHeight="1">
      <c r="B201" s="45" t="s">
        <v>26</v>
      </c>
      <c r="C201" s="45" t="s">
        <v>44</v>
      </c>
      <c r="D201" s="45" t="s">
        <v>208</v>
      </c>
      <c r="E201" s="45" t="s">
        <v>6056</v>
      </c>
      <c r="F201" s="45" t="s">
        <v>312</v>
      </c>
      <c r="G201" s="45" t="s">
        <v>208</v>
      </c>
      <c r="H201" s="45" t="s">
        <v>5906</v>
      </c>
      <c r="I201" s="45" t="s">
        <v>275</v>
      </c>
      <c r="J201" s="45" t="s">
        <v>5378</v>
      </c>
      <c r="K201" s="47">
        <v>46164.573449074072</v>
      </c>
      <c r="L201" s="47">
        <v>46164.757337962961</v>
      </c>
      <c r="M201" s="47">
        <v>46164.757337962961</v>
      </c>
      <c r="N201" s="47">
        <v>46165.592974537038</v>
      </c>
      <c r="Q201" s="45" t="s">
        <v>44</v>
      </c>
      <c r="R201" s="45" t="s">
        <v>272</v>
      </c>
      <c r="S201" s="45" t="s">
        <v>175</v>
      </c>
      <c r="T201" s="45" t="s">
        <v>268</v>
      </c>
      <c r="U201" s="45" t="s">
        <v>371</v>
      </c>
      <c r="X201" s="45" t="s">
        <v>5531</v>
      </c>
      <c r="Y201" s="45" t="s">
        <v>6057</v>
      </c>
      <c r="Z201" s="76">
        <f t="shared" ca="1" si="32"/>
        <v>0</v>
      </c>
      <c r="AA201" s="75">
        <f t="shared" ca="1" si="33"/>
        <v>0</v>
      </c>
      <c r="AB201" s="76">
        <f t="shared" ca="1" si="34"/>
        <v>0</v>
      </c>
      <c r="AC201" s="75">
        <f t="shared" ca="1" si="35"/>
        <v>0</v>
      </c>
      <c r="AD201" s="76">
        <f t="shared" ca="1" si="36"/>
        <v>0</v>
      </c>
      <c r="AE201" s="76">
        <f t="shared" ca="1" si="37"/>
        <v>0</v>
      </c>
      <c r="AF201" s="75">
        <f t="shared" ca="1" si="38"/>
        <v>0</v>
      </c>
      <c r="AG201" s="75">
        <f t="shared" ca="1" si="39"/>
        <v>0</v>
      </c>
      <c r="AH201" s="31" t="str" cm="1">
        <f t="array" aca="1" ref="AH201" ca="1">IF((AD201) &lt; (INDEX(ResponseSLA[#All],(MATCH((G201),ResponseSLA[Priority],0))+1,3)),"YES","No")</f>
        <v>YES</v>
      </c>
      <c r="AI201" s="31" t="str">
        <f ca="1">_xlfn.IFNA(IF(AE201 &lt; (INDEX(SLATable[Minimum SLA],MATCH(G201,SLATable[Priority],0))),"YES","NO"),"")</f>
        <v>YES</v>
      </c>
      <c r="AJ201" t="str">
        <f ca="1">_xlfn.IFNA(IF(AE201 &lt; (INDEX(SLATable[Maximum SLA],MATCH(G201,SLATable[Priority],0))),"YES","NO"),"")</f>
        <v>YES</v>
      </c>
    </row>
    <row r="202" spans="2:36" ht="15" customHeight="1">
      <c r="B202" s="45" t="s">
        <v>26</v>
      </c>
      <c r="C202" s="45" t="s">
        <v>44</v>
      </c>
      <c r="D202" s="45" t="s">
        <v>208</v>
      </c>
      <c r="E202" s="45" t="s">
        <v>6058</v>
      </c>
      <c r="F202" s="45" t="s">
        <v>312</v>
      </c>
      <c r="G202" s="45" t="s">
        <v>208</v>
      </c>
      <c r="H202" s="45" t="s">
        <v>5815</v>
      </c>
      <c r="I202" s="45" t="s">
        <v>275</v>
      </c>
      <c r="J202" s="45" t="s">
        <v>5378</v>
      </c>
      <c r="K202" s="47">
        <v>46153.82240740741</v>
      </c>
      <c r="L202" s="47">
        <v>46162.556875000002</v>
      </c>
      <c r="M202" s="47">
        <v>46162.837129629632</v>
      </c>
      <c r="N202" s="47">
        <v>46164.614120370374</v>
      </c>
      <c r="Q202" s="45" t="s">
        <v>6032</v>
      </c>
      <c r="R202" s="45" t="s">
        <v>272</v>
      </c>
      <c r="S202" s="45" t="s">
        <v>175</v>
      </c>
      <c r="T202" s="45" t="s">
        <v>268</v>
      </c>
      <c r="U202" s="45" t="s">
        <v>371</v>
      </c>
      <c r="X202" s="45" t="s">
        <v>5531</v>
      </c>
      <c r="Y202" s="45" t="s">
        <v>6033</v>
      </c>
      <c r="Z202" s="76">
        <f t="shared" ca="1" si="32"/>
        <v>3.2807870370403789</v>
      </c>
      <c r="AA202" s="75">
        <f t="shared" ca="1" si="33"/>
        <v>8.7487654321076764</v>
      </c>
      <c r="AB202" s="76">
        <f t="shared" ca="1" si="34"/>
        <v>0.80724537037167465</v>
      </c>
      <c r="AC202" s="75">
        <f t="shared" ca="1" si="35"/>
        <v>2.1526543209911324</v>
      </c>
      <c r="AD202" s="76">
        <f t="shared" ca="1" si="36"/>
        <v>0.1514583333312961</v>
      </c>
      <c r="AE202" s="76">
        <f t="shared" ca="1" si="37"/>
        <v>0.80724537037167465</v>
      </c>
      <c r="AF202" s="75">
        <f t="shared" ca="1" si="38"/>
        <v>2.1526543209911324</v>
      </c>
      <c r="AG202" s="75">
        <f t="shared" ca="1" si="39"/>
        <v>2.1526543209911324</v>
      </c>
      <c r="AH202" s="31" t="str" cm="1">
        <f t="array" aca="1" ref="AH202" ca="1">IF((AD202) &lt; (INDEX(ResponseSLA[#All],(MATCH((G202),ResponseSLA[Priority],0))+1,3)),"YES","No")</f>
        <v>YES</v>
      </c>
      <c r="AI202" s="31" t="str">
        <f ca="1">_xlfn.IFNA(IF(AE202 &lt; (INDEX(SLATable[Minimum SLA],MATCH(G202,SLATable[Priority],0))),"YES","NO"),"")</f>
        <v>NO</v>
      </c>
      <c r="AJ202" t="str">
        <f ca="1">_xlfn.IFNA(IF(AE202 &lt; (INDEX(SLATable[Maximum SLA],MATCH(G202,SLATable[Priority],0))),"YES","NO"),"")</f>
        <v>NO</v>
      </c>
    </row>
    <row r="203" spans="2:36" ht="15" customHeight="1">
      <c r="B203" s="45" t="s">
        <v>26</v>
      </c>
      <c r="C203" s="45" t="s">
        <v>44</v>
      </c>
      <c r="D203" s="45" t="s">
        <v>208</v>
      </c>
      <c r="E203" s="45" t="s">
        <v>6059</v>
      </c>
      <c r="F203" s="45" t="s">
        <v>312</v>
      </c>
      <c r="G203" s="45" t="s">
        <v>208</v>
      </c>
      <c r="H203" s="45" t="s">
        <v>6060</v>
      </c>
      <c r="I203" s="45" t="s">
        <v>271</v>
      </c>
      <c r="J203" s="45" t="s">
        <v>5378</v>
      </c>
      <c r="K203" s="47">
        <v>46161.674861111111</v>
      </c>
      <c r="L203" s="47">
        <v>46161.675092592595</v>
      </c>
      <c r="M203" s="47">
        <v>46161.710046296299</v>
      </c>
      <c r="N203" s="47">
        <v>46163.610914351855</v>
      </c>
      <c r="Q203" s="45" t="s">
        <v>44</v>
      </c>
      <c r="R203" s="45" t="s">
        <v>261</v>
      </c>
      <c r="S203" s="45" t="s">
        <v>175</v>
      </c>
      <c r="T203" s="45" t="s">
        <v>268</v>
      </c>
      <c r="U203" s="45" t="s">
        <v>371</v>
      </c>
      <c r="X203" s="45" t="s">
        <v>5531</v>
      </c>
      <c r="Y203" s="45" t="s">
        <v>6061</v>
      </c>
      <c r="Z203" s="76">
        <f t="shared" ca="1" si="32"/>
        <v>0.68605324074451346</v>
      </c>
      <c r="AA203" s="75">
        <f t="shared" ca="1" si="33"/>
        <v>1.8294753086520359</v>
      </c>
      <c r="AB203" s="76">
        <f t="shared" ca="1" si="34"/>
        <v>0.68582175925985212</v>
      </c>
      <c r="AC203" s="75">
        <f t="shared" ca="1" si="35"/>
        <v>1.8288580246929389</v>
      </c>
      <c r="AD203" s="76">
        <f t="shared" ca="1" si="36"/>
        <v>3.3240740738013641E-2</v>
      </c>
      <c r="AE203" s="76">
        <f t="shared" ca="1" si="37"/>
        <v>0.68582175925985212</v>
      </c>
      <c r="AF203" s="75">
        <f t="shared" ca="1" si="38"/>
        <v>1.8288580246929389</v>
      </c>
      <c r="AG203" s="75">
        <f t="shared" ca="1" si="39"/>
        <v>1.8288580246929389</v>
      </c>
      <c r="AH203" s="31" t="str" cm="1">
        <f t="array" aca="1" ref="AH203" ca="1">IF((AD203) &lt; (INDEX(ResponseSLA[#All],(MATCH((G203),ResponseSLA[Priority],0))+1,3)),"YES","No")</f>
        <v>YES</v>
      </c>
      <c r="AI203" s="31" t="str">
        <f ca="1">_xlfn.IFNA(IF(AE203 &lt; (INDEX(SLATable[Minimum SLA],MATCH(G203,SLATable[Priority],0))),"YES","NO"),"")</f>
        <v>YES</v>
      </c>
      <c r="AJ203" t="str">
        <f ca="1">_xlfn.IFNA(IF(AE203 &lt; (INDEX(SLATable[Maximum SLA],MATCH(G203,SLATable[Priority],0))),"YES","NO"),"")</f>
        <v>YES</v>
      </c>
    </row>
    <row r="204" spans="2:36" ht="15" customHeight="1">
      <c r="B204" s="45" t="s">
        <v>26</v>
      </c>
      <c r="C204" s="45" t="s">
        <v>44</v>
      </c>
      <c r="D204" s="45" t="s">
        <v>208</v>
      </c>
      <c r="E204" s="45" t="s">
        <v>6062</v>
      </c>
      <c r="F204" s="45" t="s">
        <v>312</v>
      </c>
      <c r="G204" s="45" t="s">
        <v>208</v>
      </c>
      <c r="H204" s="45" t="s">
        <v>1560</v>
      </c>
      <c r="I204" s="45" t="s">
        <v>271</v>
      </c>
      <c r="J204" s="45" t="s">
        <v>5378</v>
      </c>
      <c r="K204" s="47">
        <v>46160.722372685188</v>
      </c>
      <c r="L204" s="47">
        <v>46168.523194444446</v>
      </c>
      <c r="M204" s="47">
        <v>46168.713854166665</v>
      </c>
      <c r="N204" s="47">
        <v>46168.740497685183</v>
      </c>
      <c r="Q204" s="45" t="s">
        <v>44</v>
      </c>
      <c r="R204" s="45" t="s">
        <v>272</v>
      </c>
      <c r="S204" s="45" t="s">
        <v>175</v>
      </c>
      <c r="T204" s="45" t="s">
        <v>268</v>
      </c>
      <c r="U204" s="45" t="s">
        <v>371</v>
      </c>
      <c r="X204" s="45" t="s">
        <v>5531</v>
      </c>
      <c r="Y204" s="45" t="s">
        <v>6063</v>
      </c>
      <c r="Z204" s="76">
        <f t="shared" ca="1" si="32"/>
        <v>1.875</v>
      </c>
      <c r="AA204" s="75">
        <f t="shared" ca="1" si="33"/>
        <v>5</v>
      </c>
      <c r="AB204" s="76">
        <f t="shared" ca="1" si="34"/>
        <v>0.18513888888749841</v>
      </c>
      <c r="AC204" s="75">
        <f t="shared" ca="1" si="35"/>
        <v>0.49370370369999578</v>
      </c>
      <c r="AD204" s="76">
        <f t="shared" ca="1" si="36"/>
        <v>0.18513888888749841</v>
      </c>
      <c r="AE204" s="76">
        <f t="shared" ca="1" si="37"/>
        <v>0.18513888888749841</v>
      </c>
      <c r="AF204" s="75">
        <f t="shared" ca="1" si="38"/>
        <v>0.49370370369999578</v>
      </c>
      <c r="AG204" s="75">
        <f t="shared" ca="1" si="39"/>
        <v>0.49370370369999578</v>
      </c>
      <c r="AH204" s="31" t="str" cm="1">
        <f t="array" aca="1" ref="AH204" ca="1">IF((AD204) &lt; (INDEX(ResponseSLA[#All],(MATCH((G204),ResponseSLA[Priority],0))+1,3)),"YES","No")</f>
        <v>YES</v>
      </c>
      <c r="AI204" s="31" t="str">
        <f ca="1">_xlfn.IFNA(IF(AE204 &lt; (INDEX(SLATable[Minimum SLA],MATCH(G204,SLATable[Priority],0))),"YES","NO"),"")</f>
        <v>YES</v>
      </c>
      <c r="AJ204" t="str">
        <f ca="1">_xlfn.IFNA(IF(AE204 &lt; (INDEX(SLATable[Maximum SLA],MATCH(G204,SLATable[Priority],0))),"YES","NO"),"")</f>
        <v>YES</v>
      </c>
    </row>
    <row r="205" spans="2:36" ht="15" customHeight="1">
      <c r="B205" s="45" t="s">
        <v>26</v>
      </c>
      <c r="C205" s="45" t="s">
        <v>44</v>
      </c>
      <c r="D205" s="45" t="s">
        <v>207</v>
      </c>
      <c r="E205" s="45" t="s">
        <v>6064</v>
      </c>
      <c r="F205" s="45" t="s">
        <v>312</v>
      </c>
      <c r="G205" s="45">
        <v>3</v>
      </c>
      <c r="H205" s="45" t="s">
        <v>6065</v>
      </c>
      <c r="I205" s="45" t="s">
        <v>271</v>
      </c>
      <c r="J205" s="45" t="s">
        <v>5378</v>
      </c>
      <c r="K205" s="47">
        <v>46162.717083333337</v>
      </c>
      <c r="L205" s="47">
        <v>46163.498449074075</v>
      </c>
      <c r="M205" s="47">
        <v>46163.531817129631</v>
      </c>
      <c r="N205" s="47">
        <v>46164.783275462964</v>
      </c>
      <c r="Q205" s="45" t="s">
        <v>6066</v>
      </c>
      <c r="R205" s="45" t="s">
        <v>272</v>
      </c>
      <c r="S205" s="45" t="s">
        <v>175</v>
      </c>
      <c r="T205" s="45" t="s">
        <v>268</v>
      </c>
      <c r="U205" s="45" t="s">
        <v>371</v>
      </c>
      <c r="X205" s="45" t="s">
        <v>5531</v>
      </c>
      <c r="Y205" s="45" t="s">
        <v>6067</v>
      </c>
      <c r="Z205" s="76">
        <f t="shared" ca="1" si="32"/>
        <v>0.75000000000000011</v>
      </c>
      <c r="AA205" s="75">
        <f t="shared" ca="1" si="33"/>
        <v>2.0000000000000004</v>
      </c>
      <c r="AB205" s="76">
        <f t="shared" ca="1" si="34"/>
        <v>0.58488425925800902</v>
      </c>
      <c r="AC205" s="75">
        <f t="shared" ca="1" si="35"/>
        <v>1.5596913580213574</v>
      </c>
      <c r="AD205" s="76">
        <f t="shared" ca="1" si="36"/>
        <v>3.3368055555911269E-2</v>
      </c>
      <c r="AE205" s="76">
        <f t="shared" ca="1" si="37"/>
        <v>0.58488425925800902</v>
      </c>
      <c r="AF205" s="75">
        <f t="shared" ca="1" si="38"/>
        <v>1.5596913580213574</v>
      </c>
      <c r="AG205" s="75">
        <f t="shared" ca="1" si="39"/>
        <v>1.5596913580213574</v>
      </c>
      <c r="AH205" s="31" t="str" cm="1">
        <f t="array" aca="1" ref="AH205" ca="1">IF((AD205) &lt; (INDEX(ResponseSLA[#All],(MATCH((G205),ResponseSLA[Priority],0))+1,3)),"YES","No")</f>
        <v>YES</v>
      </c>
      <c r="AI205" s="31" t="str">
        <f ca="1">_xlfn.IFNA(IF(AE205 &lt; (INDEX(SLATable[Minimum SLA],MATCH(G205,SLATable[Priority],0))),"YES","NO"),"")</f>
        <v>NO</v>
      </c>
      <c r="AJ205" t="str">
        <f ca="1">_xlfn.IFNA(IF(AE205 &lt; (INDEX(SLATable[Maximum SLA],MATCH(G205,SLATable[Priority],0))),"YES","NO"),"")</f>
        <v>YES</v>
      </c>
    </row>
    <row r="206" spans="2:36" ht="15" customHeight="1">
      <c r="B206" s="45" t="s">
        <v>26</v>
      </c>
      <c r="C206" s="45" t="s">
        <v>44</v>
      </c>
      <c r="D206" s="45" t="s">
        <v>208</v>
      </c>
      <c r="E206" s="45" t="s">
        <v>6068</v>
      </c>
      <c r="F206" s="45" t="s">
        <v>312</v>
      </c>
      <c r="G206" s="45" t="s">
        <v>208</v>
      </c>
      <c r="H206" s="45" t="s">
        <v>6069</v>
      </c>
      <c r="I206" s="45" t="s">
        <v>275</v>
      </c>
      <c r="J206" s="45" t="s">
        <v>5378</v>
      </c>
      <c r="K206" s="47">
        <v>46164.714675925927</v>
      </c>
      <c r="L206" s="47">
        <v>46164.714733796296</v>
      </c>
      <c r="M206" s="47">
        <v>46164.731296296297</v>
      </c>
      <c r="N206" s="47">
        <v>46169.73097222222</v>
      </c>
      <c r="Q206" s="52" t="s">
        <v>6032</v>
      </c>
      <c r="R206" s="45" t="s">
        <v>272</v>
      </c>
      <c r="S206" s="45" t="s">
        <v>175</v>
      </c>
      <c r="T206" s="45" t="s">
        <v>268</v>
      </c>
      <c r="U206" s="45" t="s">
        <v>371</v>
      </c>
      <c r="X206" s="45" t="s">
        <v>5531</v>
      </c>
      <c r="Y206" s="45" t="s">
        <v>6033</v>
      </c>
      <c r="Z206" s="76">
        <f t="shared" ca="1" si="32"/>
        <v>0.75000000000000011</v>
      </c>
      <c r="AA206" s="75">
        <f t="shared" ca="1" si="33"/>
        <v>2.0000000000000004</v>
      </c>
      <c r="AB206" s="76">
        <f t="shared" ca="1" si="34"/>
        <v>0.75000000000000011</v>
      </c>
      <c r="AC206" s="75">
        <f t="shared" ca="1" si="35"/>
        <v>2.0000000000000004</v>
      </c>
      <c r="AD206" s="76">
        <f t="shared" ca="1" si="36"/>
        <v>0</v>
      </c>
      <c r="AE206" s="76">
        <f t="shared" ca="1" si="37"/>
        <v>0.75000000000000011</v>
      </c>
      <c r="AF206" s="75">
        <f t="shared" ca="1" si="38"/>
        <v>2.0000000000000004</v>
      </c>
      <c r="AG206" s="75">
        <f t="shared" ca="1" si="39"/>
        <v>2.0000000000000004</v>
      </c>
      <c r="AH206" s="31" t="str" cm="1">
        <f t="array" aca="1" ref="AH206" ca="1">IF((AD206) &lt; (INDEX(ResponseSLA[#All],(MATCH((G206),ResponseSLA[Priority],0))+1,3)),"YES","No")</f>
        <v>YES</v>
      </c>
      <c r="AI206" s="31" t="str">
        <f ca="1">_xlfn.IFNA(IF(AE206 &lt; (INDEX(SLATable[Minimum SLA],MATCH(G206,SLATable[Priority],0))),"YES","NO"),"")</f>
        <v>NO</v>
      </c>
      <c r="AJ206" t="str">
        <f ca="1">_xlfn.IFNA(IF(AE206 &lt; (INDEX(SLATable[Maximum SLA],MATCH(G206,SLATable[Priority],0))),"YES","NO"),"")</f>
        <v>NO</v>
      </c>
    </row>
    <row r="207" spans="2:36" ht="15" customHeight="1">
      <c r="B207" s="45" t="s">
        <v>26</v>
      </c>
      <c r="C207" s="45" t="s">
        <v>44</v>
      </c>
      <c r="D207" s="45" t="s">
        <v>208</v>
      </c>
      <c r="E207" s="45" t="s">
        <v>6070</v>
      </c>
      <c r="F207" s="45" t="s">
        <v>312</v>
      </c>
      <c r="G207" s="45" t="s">
        <v>208</v>
      </c>
      <c r="H207" s="45" t="s">
        <v>6071</v>
      </c>
      <c r="I207" s="45" t="s">
        <v>271</v>
      </c>
      <c r="J207" s="45" t="s">
        <v>5378</v>
      </c>
      <c r="K207" s="47">
        <v>46167.719814814816</v>
      </c>
      <c r="L207" s="47">
        <v>46167.719953703701</v>
      </c>
      <c r="M207" s="47">
        <v>46167.897604166668</v>
      </c>
      <c r="N207" s="47">
        <v>46168.742106481484</v>
      </c>
      <c r="Q207" s="45" t="s">
        <v>44</v>
      </c>
      <c r="R207" s="45" t="s">
        <v>272</v>
      </c>
      <c r="S207" s="45" t="s">
        <v>175</v>
      </c>
      <c r="T207" s="45" t="s">
        <v>268</v>
      </c>
      <c r="U207" s="45" t="s">
        <v>371</v>
      </c>
      <c r="X207" s="45" t="s">
        <v>5531</v>
      </c>
      <c r="Y207" s="45" t="s">
        <v>6072</v>
      </c>
      <c r="Z207" s="76">
        <f t="shared" ca="1" si="32"/>
        <v>0.37500000000000006</v>
      </c>
      <c r="AA207" s="75">
        <f t="shared" ca="1" si="33"/>
        <v>1.0000000000000002</v>
      </c>
      <c r="AB207" s="76">
        <f t="shared" ca="1" si="34"/>
        <v>0.37500000000000006</v>
      </c>
      <c r="AC207" s="75">
        <f t="shared" ca="1" si="35"/>
        <v>1.0000000000000002</v>
      </c>
      <c r="AD207" s="76">
        <f t="shared" ca="1" si="36"/>
        <v>0</v>
      </c>
      <c r="AE207" s="76">
        <f t="shared" ca="1" si="37"/>
        <v>0.37500000000000006</v>
      </c>
      <c r="AF207" s="75">
        <f t="shared" ca="1" si="38"/>
        <v>1.0000000000000002</v>
      </c>
      <c r="AG207" s="75">
        <f t="shared" ca="1" si="39"/>
        <v>1.0000000000000002</v>
      </c>
      <c r="AH207" s="31" t="str" cm="1">
        <f t="array" aca="1" ref="AH207" ca="1">IF((AD207) &lt; (INDEX(ResponseSLA[#All],(MATCH((G207),ResponseSLA[Priority],0))+1,3)),"YES","No")</f>
        <v>YES</v>
      </c>
      <c r="AI207" s="31" t="str">
        <f ca="1">_xlfn.IFNA(IF(AE207 &lt; (INDEX(SLATable[Minimum SLA],MATCH(G207,SLATable[Priority],0))),"YES","NO"),"")</f>
        <v>YES</v>
      </c>
      <c r="AJ207" t="str">
        <f ca="1">_xlfn.IFNA(IF(AE207 &lt; (INDEX(SLATable[Maximum SLA],MATCH(G207,SLATable[Priority],0))),"YES","NO"),"")</f>
        <v>YES</v>
      </c>
    </row>
    <row r="208" spans="2:36" ht="15" customHeight="1">
      <c r="B208" s="45" t="s">
        <v>26</v>
      </c>
      <c r="C208" s="45" t="s">
        <v>44</v>
      </c>
      <c r="D208" s="45" t="s">
        <v>208</v>
      </c>
      <c r="E208" s="45" t="s">
        <v>6073</v>
      </c>
      <c r="F208" s="45" t="s">
        <v>312</v>
      </c>
      <c r="G208" s="45" t="s">
        <v>208</v>
      </c>
      <c r="H208" s="45" t="s">
        <v>6074</v>
      </c>
      <c r="I208" s="45" t="s">
        <v>275</v>
      </c>
      <c r="J208" s="45" t="s">
        <v>5378</v>
      </c>
      <c r="K208" s="47">
        <v>46164.709282407406</v>
      </c>
      <c r="L208" s="47">
        <v>46168.772152777776</v>
      </c>
      <c r="M208" s="47">
        <v>46169.458564814813</v>
      </c>
      <c r="N208" s="47">
        <v>46169.738067129627</v>
      </c>
      <c r="Q208" s="45" t="s">
        <v>44</v>
      </c>
      <c r="R208" s="45" t="s">
        <v>272</v>
      </c>
      <c r="S208" s="45" t="s">
        <v>175</v>
      </c>
      <c r="T208" s="45" t="s">
        <v>268</v>
      </c>
      <c r="U208" s="45" t="s">
        <v>371</v>
      </c>
      <c r="X208" s="45" t="s">
        <v>5531</v>
      </c>
      <c r="Y208" s="45" t="s">
        <v>6075</v>
      </c>
      <c r="Z208" s="76">
        <f t="shared" ca="1" si="32"/>
        <v>0.75000000000000011</v>
      </c>
      <c r="AA208" s="75">
        <f t="shared" ca="1" si="33"/>
        <v>2.0000000000000004</v>
      </c>
      <c r="AB208" s="76">
        <f t="shared" ca="1" si="34"/>
        <v>0.37500000000000011</v>
      </c>
      <c r="AC208" s="75">
        <f t="shared" ca="1" si="35"/>
        <v>1.0000000000000004</v>
      </c>
      <c r="AD208" s="76">
        <f t="shared" ca="1" si="36"/>
        <v>0.12523148147981067</v>
      </c>
      <c r="AE208" s="76">
        <f t="shared" ca="1" si="37"/>
        <v>0.37500000000000011</v>
      </c>
      <c r="AF208" s="75">
        <f t="shared" ca="1" si="38"/>
        <v>1.0000000000000004</v>
      </c>
      <c r="AG208" s="75">
        <f t="shared" ca="1" si="39"/>
        <v>1.0000000000000004</v>
      </c>
      <c r="AH208" s="31" t="str" cm="1">
        <f t="array" aca="1" ref="AH208" ca="1">IF((AD208) &lt; (INDEX(ResponseSLA[#All],(MATCH((G208),ResponseSLA[Priority],0))+1,3)),"YES","No")</f>
        <v>YES</v>
      </c>
      <c r="AI208" s="31" t="str">
        <f ca="1">_xlfn.IFNA(IF(AE208 &lt; (INDEX(SLATable[Minimum SLA],MATCH(G208,SLATable[Priority],0))),"YES","NO"),"")</f>
        <v>YES</v>
      </c>
      <c r="AJ208" t="str">
        <f ca="1">_xlfn.IFNA(IF(AE208 &lt; (INDEX(SLATable[Maximum SLA],MATCH(G208,SLATable[Priority],0))),"YES","NO"),"")</f>
        <v>YES</v>
      </c>
    </row>
    <row r="209" spans="2:36" ht="15" customHeight="1">
      <c r="B209" s="45" t="s">
        <v>26</v>
      </c>
      <c r="C209" s="45" t="s">
        <v>44</v>
      </c>
      <c r="D209" s="45" t="s">
        <v>207</v>
      </c>
      <c r="E209" s="45" t="s">
        <v>6076</v>
      </c>
      <c r="F209" s="45" t="s">
        <v>312</v>
      </c>
      <c r="G209" s="45">
        <v>3</v>
      </c>
      <c r="H209" s="45" t="s">
        <v>6077</v>
      </c>
      <c r="I209" s="45" t="s">
        <v>275</v>
      </c>
      <c r="J209" s="45" t="s">
        <v>5378</v>
      </c>
      <c r="K209" s="47">
        <v>46169.339953703704</v>
      </c>
      <c r="L209" s="47">
        <v>46169.423159722224</v>
      </c>
      <c r="M209" s="47">
        <v>46169.457013888888</v>
      </c>
      <c r="N209" s="47">
        <v>46169.771620370368</v>
      </c>
      <c r="Q209" s="45" t="s">
        <v>44</v>
      </c>
      <c r="R209" s="45" t="s">
        <v>272</v>
      </c>
      <c r="S209" s="45" t="s">
        <v>175</v>
      </c>
      <c r="T209" s="45" t="s">
        <v>268</v>
      </c>
      <c r="U209" s="45" t="s">
        <v>371</v>
      </c>
      <c r="X209" s="45" t="s">
        <v>5531</v>
      </c>
      <c r="Y209" s="45" t="s">
        <v>6078</v>
      </c>
      <c r="Z209" s="76">
        <f t="shared" ca="1" si="32"/>
        <v>0.36837962962939252</v>
      </c>
      <c r="AA209" s="75">
        <f t="shared" ca="1" si="33"/>
        <v>0.98234567901171332</v>
      </c>
      <c r="AB209" s="76">
        <f t="shared" ca="1" si="34"/>
        <v>0.28517361110910622</v>
      </c>
      <c r="AC209" s="75">
        <f t="shared" ca="1" si="35"/>
        <v>0.76046296295761662</v>
      </c>
      <c r="AD209" s="76">
        <f t="shared" ca="1" si="36"/>
        <v>3.3854166664241347E-2</v>
      </c>
      <c r="AE209" s="76">
        <f t="shared" ca="1" si="37"/>
        <v>0.28517361110910622</v>
      </c>
      <c r="AF209" s="75">
        <f t="shared" ca="1" si="38"/>
        <v>0.76046296295761662</v>
      </c>
      <c r="AG209" s="75">
        <f t="shared" ca="1" si="39"/>
        <v>0.76046296295761662</v>
      </c>
      <c r="AH209" s="31" t="str" cm="1">
        <f t="array" aca="1" ref="AH209" ca="1">IF((AD209) &lt; (INDEX(ResponseSLA[#All],(MATCH((G209),ResponseSLA[Priority],0))+1,3)),"YES","No")</f>
        <v>YES</v>
      </c>
      <c r="AI209" s="31" t="str">
        <f ca="1">_xlfn.IFNA(IF(AE209 &lt; (INDEX(SLATable[Minimum SLA],MATCH(G209,SLATable[Priority],0))),"YES","NO"),"")</f>
        <v>YES</v>
      </c>
      <c r="AJ209" t="str">
        <f ca="1">_xlfn.IFNA(IF(AE209 &lt; (INDEX(SLATable[Maximum SLA],MATCH(G209,SLATable[Priority],0))),"YES","NO"),"")</f>
        <v>YES</v>
      </c>
    </row>
    <row r="210" spans="2:36" ht="15" customHeight="1">
      <c r="B210" s="45" t="s">
        <v>26</v>
      </c>
      <c r="C210" s="45" t="s">
        <v>44</v>
      </c>
      <c r="D210" s="45" t="s">
        <v>207</v>
      </c>
      <c r="E210" s="45" t="s">
        <v>6079</v>
      </c>
      <c r="F210" s="45" t="s">
        <v>312</v>
      </c>
      <c r="G210" s="45">
        <v>3</v>
      </c>
      <c r="H210" s="45" t="s">
        <v>6080</v>
      </c>
      <c r="I210" s="45" t="s">
        <v>275</v>
      </c>
      <c r="J210" s="45" t="s">
        <v>5378</v>
      </c>
      <c r="K210" s="47">
        <v>46169.740868055553</v>
      </c>
      <c r="L210" s="47">
        <v>46169.780590277776</v>
      </c>
      <c r="M210" s="47">
        <v>46169.847361111111</v>
      </c>
      <c r="N210" s="47">
        <v>46170.470682870371</v>
      </c>
      <c r="Q210" s="45" t="s">
        <v>44</v>
      </c>
      <c r="R210" s="45" t="s">
        <v>272</v>
      </c>
      <c r="S210" s="45" t="s">
        <v>175</v>
      </c>
      <c r="T210" s="45" t="s">
        <v>268</v>
      </c>
      <c r="U210" s="45" t="s">
        <v>371</v>
      </c>
      <c r="X210" s="45" t="s">
        <v>5531</v>
      </c>
      <c r="Y210" s="45" t="s">
        <v>6078</v>
      </c>
      <c r="Z210" s="76">
        <f t="shared" ca="1" si="32"/>
        <v>0.13734953703775921</v>
      </c>
      <c r="AA210" s="75">
        <f t="shared" ca="1" si="33"/>
        <v>0.36626543210069124</v>
      </c>
      <c r="AB210" s="76">
        <f t="shared" ca="1" si="34"/>
        <v>0.13734953703775921</v>
      </c>
      <c r="AC210" s="75">
        <f t="shared" ca="1" si="35"/>
        <v>0.36626543210069124</v>
      </c>
      <c r="AD210" s="76">
        <f t="shared" ca="1" si="36"/>
        <v>0</v>
      </c>
      <c r="AE210" s="76">
        <f t="shared" ca="1" si="37"/>
        <v>0.13734953703775921</v>
      </c>
      <c r="AF210" s="75">
        <f t="shared" ca="1" si="38"/>
        <v>0.36626543210069124</v>
      </c>
      <c r="AG210" s="75">
        <f t="shared" ca="1" si="39"/>
        <v>0.36626543210069124</v>
      </c>
      <c r="AH210" s="31" t="str" cm="1">
        <f t="array" aca="1" ref="AH210" ca="1">IF((AD210) &lt; (INDEX(ResponseSLA[#All],(MATCH((G210),ResponseSLA[Priority],0))+1,3)),"YES","No")</f>
        <v>YES</v>
      </c>
      <c r="AI210" s="31" t="str">
        <f ca="1">_xlfn.IFNA(IF(AE210 &lt; (INDEX(SLATable[Minimum SLA],MATCH(G210,SLATable[Priority],0))),"YES","NO"),"")</f>
        <v>YES</v>
      </c>
      <c r="AJ210" t="str">
        <f ca="1">_xlfn.IFNA(IF(AE210 &lt; (INDEX(SLATable[Maximum SLA],MATCH(G210,SLATable[Priority],0))),"YES","NO"),"")</f>
        <v>YES</v>
      </c>
    </row>
    <row r="211" spans="2:36" ht="15" customHeight="1">
      <c r="B211" s="45" t="s">
        <v>26</v>
      </c>
      <c r="C211" s="45" t="s">
        <v>44</v>
      </c>
      <c r="D211" s="45" t="s">
        <v>207</v>
      </c>
      <c r="E211" s="45" t="s">
        <v>6081</v>
      </c>
      <c r="F211" s="45" t="s">
        <v>312</v>
      </c>
      <c r="G211" s="45">
        <v>3</v>
      </c>
      <c r="H211" s="45" t="s">
        <v>6082</v>
      </c>
      <c r="I211" s="45" t="s">
        <v>271</v>
      </c>
      <c r="J211" s="45" t="s">
        <v>5378</v>
      </c>
      <c r="K211" s="47">
        <v>46169.636874999997</v>
      </c>
      <c r="L211" s="47">
        <v>46170.632349537038</v>
      </c>
      <c r="M211" s="47">
        <v>46170.632349537038</v>
      </c>
      <c r="N211" s="47">
        <v>46171.632349537038</v>
      </c>
      <c r="Q211" s="45" t="s">
        <v>6083</v>
      </c>
      <c r="R211" s="45" t="s">
        <v>272</v>
      </c>
      <c r="S211" s="45" t="s">
        <v>175</v>
      </c>
      <c r="T211" s="45" t="s">
        <v>268</v>
      </c>
      <c r="U211" s="45" t="s">
        <v>371</v>
      </c>
      <c r="X211" s="45" t="s">
        <v>5531</v>
      </c>
      <c r="Y211" s="45" t="s">
        <v>6084</v>
      </c>
      <c r="Z211" s="76">
        <f t="shared" ca="1" si="32"/>
        <v>0.74547453704144573</v>
      </c>
      <c r="AA211" s="75">
        <f t="shared" ca="1" si="33"/>
        <v>1.9879320987771887</v>
      </c>
      <c r="AB211" s="76">
        <f t="shared" ca="1" si="34"/>
        <v>0.375</v>
      </c>
      <c r="AC211" s="75">
        <f t="shared" ca="1" si="35"/>
        <v>1</v>
      </c>
      <c r="AD211" s="76">
        <f t="shared" ca="1" si="36"/>
        <v>0</v>
      </c>
      <c r="AE211" s="76">
        <f t="shared" ca="1" si="37"/>
        <v>0.375</v>
      </c>
      <c r="AF211" s="75">
        <f t="shared" ca="1" si="38"/>
        <v>1</v>
      </c>
      <c r="AG211" s="75">
        <f t="shared" ca="1" si="39"/>
        <v>1</v>
      </c>
      <c r="AH211" s="31" t="str" cm="1">
        <f t="array" aca="1" ref="AH211" ca="1">IF((AD211) &lt; (INDEX(ResponseSLA[#All],(MATCH((G211),ResponseSLA[Priority],0))+1,3)),"YES","No")</f>
        <v>YES</v>
      </c>
      <c r="AI211" s="31" t="str">
        <f ca="1">_xlfn.IFNA(IF(AE211 &lt; (INDEX(SLATable[Minimum SLA],MATCH(G211,SLATable[Priority],0))),"YES","NO"),"")</f>
        <v>NO</v>
      </c>
      <c r="AJ211" t="str">
        <f ca="1">_xlfn.IFNA(IF(AE211 &lt; (INDEX(SLATable[Maximum SLA],MATCH(G211,SLATable[Priority],0))),"YES","NO"),"")</f>
        <v>YES</v>
      </c>
    </row>
    <row r="212" spans="2:36" ht="15" customHeight="1">
      <c r="B212" s="45" t="s">
        <v>26</v>
      </c>
      <c r="C212" s="45" t="s">
        <v>44</v>
      </c>
      <c r="D212" s="45" t="s">
        <v>207</v>
      </c>
      <c r="E212" s="45" t="s">
        <v>6085</v>
      </c>
      <c r="F212" s="45" t="s">
        <v>312</v>
      </c>
      <c r="G212" s="45">
        <v>3</v>
      </c>
      <c r="H212" s="45" t="s">
        <v>6086</v>
      </c>
      <c r="I212" s="45" t="s">
        <v>271</v>
      </c>
      <c r="J212" s="45" t="s">
        <v>5378</v>
      </c>
      <c r="K212" s="47">
        <v>46161.576273148145</v>
      </c>
      <c r="L212" s="47">
        <v>46168.611446759256</v>
      </c>
      <c r="M212" s="47">
        <v>46168.611446759256</v>
      </c>
      <c r="N212" s="47">
        <v>46168.739548611113</v>
      </c>
      <c r="Q212" s="45" t="s">
        <v>6087</v>
      </c>
      <c r="R212" s="45" t="s">
        <v>272</v>
      </c>
      <c r="S212" s="45" t="s">
        <v>190</v>
      </c>
      <c r="T212" s="45" t="s">
        <v>268</v>
      </c>
      <c r="U212" s="45" t="s">
        <v>371</v>
      </c>
      <c r="X212" s="45" t="s">
        <v>5531</v>
      </c>
      <c r="Y212" s="45" t="s">
        <v>6088</v>
      </c>
      <c r="Z212" s="76">
        <f t="shared" ca="1" si="32"/>
        <v>1.6320601851887964</v>
      </c>
      <c r="AA212" s="75">
        <f t="shared" ca="1" si="33"/>
        <v>4.3521604938367897</v>
      </c>
      <c r="AB212" s="76">
        <f t="shared" ca="1" si="34"/>
        <v>9.6886574077264753E-2</v>
      </c>
      <c r="AC212" s="75">
        <f t="shared" ca="1" si="35"/>
        <v>0.25836419753937268</v>
      </c>
      <c r="AD212" s="76">
        <f t="shared" ca="1" si="36"/>
        <v>0</v>
      </c>
      <c r="AE212" s="76">
        <f t="shared" ca="1" si="37"/>
        <v>9.6886574077264753E-2</v>
      </c>
      <c r="AF212" s="75">
        <f t="shared" ca="1" si="38"/>
        <v>0.25836419753937268</v>
      </c>
      <c r="AG212" s="75">
        <f t="shared" ca="1" si="39"/>
        <v>0.25836419753937268</v>
      </c>
      <c r="AH212" s="31" t="str" cm="1">
        <f t="array" aca="1" ref="AH212" ca="1">IF((AD212) &lt; (INDEX(ResponseSLA[#All],(MATCH((G212),ResponseSLA[Priority],0))+1,3)),"YES","No")</f>
        <v>YES</v>
      </c>
      <c r="AI212" s="31" t="str">
        <f ca="1">_xlfn.IFNA(IF(AE212 &lt; (INDEX(SLATable[Minimum SLA],MATCH(G212,SLATable[Priority],0))),"YES","NO"),"")</f>
        <v>YES</v>
      </c>
      <c r="AJ212" t="str">
        <f ca="1">_xlfn.IFNA(IF(AE212 &lt; (INDEX(SLATable[Maximum SLA],MATCH(G212,SLATable[Priority],0))),"YES","NO"),"")</f>
        <v>YES</v>
      </c>
    </row>
    <row r="213" spans="2:36" ht="15" customHeight="1">
      <c r="B213" s="45" t="s">
        <v>26</v>
      </c>
      <c r="C213" s="45" t="s">
        <v>44</v>
      </c>
      <c r="D213" s="45" t="s">
        <v>207</v>
      </c>
      <c r="E213" s="45" t="s">
        <v>6089</v>
      </c>
      <c r="F213" s="45" t="s">
        <v>312</v>
      </c>
      <c r="G213" s="45">
        <v>4</v>
      </c>
      <c r="H213" s="45" t="s">
        <v>6090</v>
      </c>
      <c r="I213" s="45" t="s">
        <v>271</v>
      </c>
      <c r="J213" s="45" t="s">
        <v>5378</v>
      </c>
      <c r="K213" s="47">
        <v>46170.781469907408</v>
      </c>
      <c r="L213" s="47">
        <v>46170.787141203706</v>
      </c>
      <c r="M213" s="47">
        <v>46170.796643518515</v>
      </c>
      <c r="N213" s="47">
        <v>46174.508125</v>
      </c>
      <c r="Q213" s="45" t="s">
        <v>6083</v>
      </c>
      <c r="R213" s="45" t="s">
        <v>272</v>
      </c>
      <c r="S213" s="45" t="s">
        <v>190</v>
      </c>
      <c r="T213" s="45" t="s">
        <v>268</v>
      </c>
      <c r="U213" s="45" t="s">
        <v>371</v>
      </c>
      <c r="X213" s="45" t="s">
        <v>5531</v>
      </c>
      <c r="Y213" s="45" t="s">
        <v>6084</v>
      </c>
      <c r="Z213" s="76">
        <f t="shared" ca="1" si="32"/>
        <v>0.54979166666695767</v>
      </c>
      <c r="AA213" s="75">
        <f t="shared" ca="1" si="33"/>
        <v>1.4661111111118872</v>
      </c>
      <c r="AB213" s="76">
        <f t="shared" ca="1" si="34"/>
        <v>0.54979166666695767</v>
      </c>
      <c r="AC213" s="75">
        <f t="shared" ca="1" si="35"/>
        <v>1.4661111111118872</v>
      </c>
      <c r="AD213" s="76">
        <f t="shared" ca="1" si="36"/>
        <v>0</v>
      </c>
      <c r="AE213" s="76">
        <f t="shared" ca="1" si="37"/>
        <v>0.54979166666695767</v>
      </c>
      <c r="AF213" s="75">
        <f t="shared" ca="1" si="38"/>
        <v>1.4661111111118872</v>
      </c>
      <c r="AG213" s="75">
        <f t="shared" ca="1" si="39"/>
        <v>1.4661111111118872</v>
      </c>
      <c r="AH213" s="31" t="str" cm="1">
        <f t="array" aca="1" ref="AH213" ca="1">IF((AD213) &lt; (INDEX(ResponseSLA[#All],(MATCH((G213),ResponseSLA[Priority],0))+1,3)),"YES","No")</f>
        <v>YES</v>
      </c>
      <c r="AI213" s="31" t="str">
        <f ca="1">_xlfn.IFNA(IF(AE213 &lt; (INDEX(SLATable[Minimum SLA],MATCH(G213,SLATable[Priority],0))),"YES","NO"),"")</f>
        <v>YES</v>
      </c>
      <c r="AJ213" t="str">
        <f ca="1">_xlfn.IFNA(IF(AE213 &lt; (INDEX(SLATable[Maximum SLA],MATCH(G213,SLATable[Priority],0))),"YES","NO"),"")</f>
        <v>YES</v>
      </c>
    </row>
    <row r="214" spans="2:36" ht="15" customHeight="1">
      <c r="B214" s="45" t="s">
        <v>26</v>
      </c>
      <c r="C214" s="45" t="s">
        <v>44</v>
      </c>
      <c r="D214" s="45" t="s">
        <v>207</v>
      </c>
      <c r="E214" s="45" t="s">
        <v>6091</v>
      </c>
      <c r="F214" s="45" t="s">
        <v>312</v>
      </c>
      <c r="G214" s="45">
        <v>4</v>
      </c>
      <c r="H214" s="45" t="s">
        <v>6092</v>
      </c>
      <c r="I214" s="45" t="s">
        <v>271</v>
      </c>
      <c r="J214" s="45" t="s">
        <v>5378</v>
      </c>
      <c r="K214" s="47">
        <v>46170.406365740739</v>
      </c>
      <c r="L214" s="47">
        <v>46170.412511574075</v>
      </c>
      <c r="M214" s="47">
        <v>46170.412511574075</v>
      </c>
      <c r="N214" s="47">
        <v>46174.329837962963</v>
      </c>
      <c r="P214" s="47">
        <v>46174.329837962963</v>
      </c>
      <c r="Q214" s="45" t="s">
        <v>44</v>
      </c>
      <c r="R214" s="45" t="s">
        <v>272</v>
      </c>
      <c r="S214" s="45" t="s">
        <v>175</v>
      </c>
      <c r="T214" s="45" t="s">
        <v>268</v>
      </c>
      <c r="U214" s="45" t="s">
        <v>371</v>
      </c>
      <c r="X214" s="45" t="s">
        <v>5531</v>
      </c>
      <c r="Y214" s="45" t="s">
        <v>6093</v>
      </c>
      <c r="Z214" s="76">
        <f t="shared" ca="1" si="32"/>
        <v>0.67696759259464079</v>
      </c>
      <c r="AA214" s="75">
        <f t="shared" ca="1" si="33"/>
        <v>1.8052469135857088</v>
      </c>
      <c r="AB214" s="76">
        <f t="shared" ca="1" si="34"/>
        <v>0.67082175925800902</v>
      </c>
      <c r="AC214" s="75">
        <f t="shared" ca="1" si="35"/>
        <v>1.7888580246880241</v>
      </c>
      <c r="AD214" s="76">
        <f t="shared" ca="1" si="36"/>
        <v>0</v>
      </c>
      <c r="AE214" s="76">
        <f t="shared" ca="1" si="37"/>
        <v>0.67082175925800902</v>
      </c>
      <c r="AF214" s="75">
        <f t="shared" ca="1" si="38"/>
        <v>1.7888580246880241</v>
      </c>
      <c r="AG214" s="75">
        <f t="shared" ca="1" si="39"/>
        <v>1.7888580246880241</v>
      </c>
      <c r="AH214" s="31" t="str" cm="1">
        <f t="array" aca="1" ref="AH214" ca="1">IF((AD214) &lt; (INDEX(ResponseSLA[#All],(MATCH((G214),ResponseSLA[Priority],0))+1,3)),"YES","No")</f>
        <v>YES</v>
      </c>
      <c r="AI214" s="31" t="str">
        <f ca="1">_xlfn.IFNA(IF(AE214 &lt; (INDEX(SLATable[Minimum SLA],MATCH(G214,SLATable[Priority],0))),"YES","NO"),"")</f>
        <v>YES</v>
      </c>
      <c r="AJ214" t="str">
        <f ca="1">_xlfn.IFNA(IF(AE214 &lt; (INDEX(SLATable[Maximum SLA],MATCH(G214,SLATable[Priority],0))),"YES","NO"),"")</f>
        <v>YES</v>
      </c>
    </row>
    <row r="215" spans="2:36" ht="15" customHeight="1">
      <c r="B215" s="45" t="s">
        <v>26</v>
      </c>
      <c r="C215" s="45" t="s">
        <v>44</v>
      </c>
      <c r="D215" s="45" t="s">
        <v>207</v>
      </c>
      <c r="E215" s="45" t="s">
        <v>6094</v>
      </c>
      <c r="F215" s="45" t="s">
        <v>312</v>
      </c>
      <c r="G215" s="45">
        <v>4</v>
      </c>
      <c r="H215" s="45" t="s">
        <v>6095</v>
      </c>
      <c r="I215" s="45" t="s">
        <v>260</v>
      </c>
      <c r="J215" s="45" t="s">
        <v>5378</v>
      </c>
      <c r="K215" s="47">
        <v>46169.962476851855</v>
      </c>
      <c r="L215" s="47">
        <v>46171.635717592595</v>
      </c>
      <c r="M215" s="47">
        <v>46171.635717592595</v>
      </c>
      <c r="O215" s="52">
        <v>46171.635717592595</v>
      </c>
      <c r="Q215" s="45" t="s">
        <v>6096</v>
      </c>
      <c r="R215" s="45" t="s">
        <v>272</v>
      </c>
      <c r="S215" s="45" t="s">
        <v>175</v>
      </c>
      <c r="T215" s="45" t="s">
        <v>268</v>
      </c>
      <c r="U215" s="45" t="s">
        <v>371</v>
      </c>
      <c r="X215" s="45" t="s">
        <v>5531</v>
      </c>
      <c r="Y215" s="45" t="s">
        <v>6097</v>
      </c>
      <c r="Z215" s="76">
        <f t="shared" ca="1" si="32"/>
        <v>23.925643171295334</v>
      </c>
      <c r="AA215" s="75">
        <f t="shared" ca="1" si="33"/>
        <v>63.801715123454223</v>
      </c>
      <c r="AB215" s="76">
        <f t="shared" ca="1" si="34"/>
        <v>0</v>
      </c>
      <c r="AC215" s="75">
        <f t="shared" ca="1" si="35"/>
        <v>0</v>
      </c>
      <c r="AD215" s="76">
        <f t="shared" ca="1" si="36"/>
        <v>0</v>
      </c>
      <c r="AE215" s="76">
        <f t="shared" ca="1" si="37"/>
        <v>0</v>
      </c>
      <c r="AF215" s="75">
        <f t="shared" ca="1" si="38"/>
        <v>0</v>
      </c>
      <c r="AG215" s="75">
        <f t="shared" ca="1" si="39"/>
        <v>0</v>
      </c>
      <c r="AH215" s="31" t="str" cm="1">
        <f t="array" aca="1" ref="AH215" ca="1">IF((AD215) &lt; (INDEX(ResponseSLA[#All],(MATCH((G215),ResponseSLA[Priority],0))+1,3)),"YES","No")</f>
        <v>YES</v>
      </c>
      <c r="AI215" s="31" t="str">
        <f ca="1">_xlfn.IFNA(IF(AE215 &lt; (INDEX(SLATable[Minimum SLA],MATCH(G215,SLATable[Priority],0))),"YES","NO"),"")</f>
        <v>YES</v>
      </c>
      <c r="AJ215" t="str">
        <f ca="1">_xlfn.IFNA(IF(AE215 &lt; (INDEX(SLATable[Maximum SLA],MATCH(G215,SLATable[Priority],0))),"YES","NO"),"")</f>
        <v>YES</v>
      </c>
    </row>
    <row r="216" spans="2:36" ht="15" customHeight="1">
      <c r="B216" s="45" t="s">
        <v>26</v>
      </c>
      <c r="C216" s="45" t="s">
        <v>44</v>
      </c>
      <c r="D216" s="45" t="s">
        <v>207</v>
      </c>
      <c r="E216" s="45" t="s">
        <v>6098</v>
      </c>
      <c r="F216" s="45" t="s">
        <v>312</v>
      </c>
      <c r="G216" s="45">
        <v>3</v>
      </c>
      <c r="H216" s="45" t="s">
        <v>6099</v>
      </c>
      <c r="I216" s="45" t="s">
        <v>275</v>
      </c>
      <c r="J216" s="45" t="s">
        <v>5655</v>
      </c>
      <c r="K216" s="47">
        <v>46163.436157407406</v>
      </c>
      <c r="L216" s="47">
        <v>46170.279293981483</v>
      </c>
      <c r="M216" s="47">
        <v>46170.279293981483</v>
      </c>
      <c r="N216" s="47">
        <v>46171.292569444442</v>
      </c>
      <c r="P216" s="47">
        <v>46171.292569444442</v>
      </c>
      <c r="Q216" s="45" t="s">
        <v>6100</v>
      </c>
      <c r="R216" s="45" t="s">
        <v>272</v>
      </c>
      <c r="S216" s="45" t="s">
        <v>190</v>
      </c>
      <c r="T216" s="45" t="s">
        <v>268</v>
      </c>
      <c r="U216" s="45" t="s">
        <v>371</v>
      </c>
      <c r="X216" s="45" t="s">
        <v>5531</v>
      </c>
      <c r="Y216" s="45" t="s">
        <v>6101</v>
      </c>
      <c r="Z216" s="76">
        <f t="shared" ca="1" si="32"/>
        <v>1.772175925926907</v>
      </c>
      <c r="AA216" s="75">
        <f t="shared" ca="1" si="33"/>
        <v>4.7258024691384186</v>
      </c>
      <c r="AB216" s="76">
        <f t="shared" ca="1" si="34"/>
        <v>0.37500000000000006</v>
      </c>
      <c r="AC216" s="75">
        <f t="shared" ca="1" si="35"/>
        <v>1.0000000000000002</v>
      </c>
      <c r="AD216" s="76">
        <f t="shared" ca="1" si="36"/>
        <v>0</v>
      </c>
      <c r="AE216" s="76">
        <f t="shared" ca="1" si="37"/>
        <v>0.37500000000000006</v>
      </c>
      <c r="AF216" s="75">
        <f t="shared" ca="1" si="38"/>
        <v>1.0000000000000002</v>
      </c>
      <c r="AG216" s="75">
        <f t="shared" ca="1" si="39"/>
        <v>1.0000000000000002</v>
      </c>
      <c r="AH216" s="31" t="str" cm="1">
        <f t="array" aca="1" ref="AH216" ca="1">IF((AD216) &lt; (INDEX(ResponseSLA[#All],(MATCH((G216),ResponseSLA[Priority],0))+1,3)),"YES","No")</f>
        <v>YES</v>
      </c>
      <c r="AI216" s="31" t="str">
        <f ca="1">_xlfn.IFNA(IF(AE216 &lt; (INDEX(SLATable[Minimum SLA],MATCH(G216,SLATable[Priority],0))),"YES","NO"),"")</f>
        <v>NO</v>
      </c>
      <c r="AJ216" t="str">
        <f ca="1">_xlfn.IFNA(IF(AE216 &lt; (INDEX(SLATable[Maximum SLA],MATCH(G216,SLATable[Priority],0))),"YES","NO"),"")</f>
        <v>YES</v>
      </c>
    </row>
    <row r="217" spans="2:36" ht="15" customHeight="1">
      <c r="B217" s="45" t="s">
        <v>26</v>
      </c>
      <c r="C217" s="45" t="s">
        <v>44</v>
      </c>
      <c r="D217" s="45" t="s">
        <v>207</v>
      </c>
      <c r="E217" s="45" t="s">
        <v>6102</v>
      </c>
      <c r="F217" s="45" t="s">
        <v>312</v>
      </c>
      <c r="G217" s="45">
        <v>4</v>
      </c>
      <c r="H217" s="45" t="s">
        <v>6103</v>
      </c>
      <c r="I217" s="45" t="s">
        <v>275</v>
      </c>
      <c r="J217" s="45" t="s">
        <v>5655</v>
      </c>
      <c r="K217" s="47">
        <v>46158.51866898148</v>
      </c>
      <c r="L217" s="47">
        <v>46167.307210648149</v>
      </c>
      <c r="M217" s="47">
        <v>46167.307210648149</v>
      </c>
      <c r="N217" s="47">
        <v>46167.307210648149</v>
      </c>
      <c r="P217" s="47">
        <v>46167.307210648149</v>
      </c>
      <c r="Q217" s="45" t="s">
        <v>5856</v>
      </c>
      <c r="R217" s="45" t="s">
        <v>272</v>
      </c>
      <c r="S217" s="45" t="s">
        <v>190</v>
      </c>
      <c r="T217" s="45" t="s">
        <v>268</v>
      </c>
      <c r="U217" s="45" t="s">
        <v>371</v>
      </c>
      <c r="X217" s="45" t="s">
        <v>5531</v>
      </c>
      <c r="Y217" s="45" t="s">
        <v>6101</v>
      </c>
      <c r="Z217" s="76">
        <f t="shared" ca="1" si="32"/>
        <v>1.5000000000000002</v>
      </c>
      <c r="AA217" s="75">
        <f t="shared" ca="1" si="33"/>
        <v>4.0000000000000009</v>
      </c>
      <c r="AB217" s="76">
        <f t="shared" ca="1" si="34"/>
        <v>0</v>
      </c>
      <c r="AC217" s="75">
        <f t="shared" ca="1" si="35"/>
        <v>0</v>
      </c>
      <c r="AD217" s="76">
        <f t="shared" ca="1" si="36"/>
        <v>0</v>
      </c>
      <c r="AE217" s="76">
        <f t="shared" ca="1" si="37"/>
        <v>0</v>
      </c>
      <c r="AF217" s="75">
        <f t="shared" ca="1" si="38"/>
        <v>0</v>
      </c>
      <c r="AG217" s="75">
        <f t="shared" ca="1" si="39"/>
        <v>0</v>
      </c>
      <c r="AH217" s="31" t="str" cm="1">
        <f t="array" aca="1" ref="AH217" ca="1">IF((AD217) &lt; (INDEX(ResponseSLA[#All],(MATCH((G217),ResponseSLA[Priority],0))+1,3)),"YES","No")</f>
        <v>YES</v>
      </c>
      <c r="AI217" s="31" t="str">
        <f ca="1">_xlfn.IFNA(IF(AE217 &lt; (INDEX(SLATable[Minimum SLA],MATCH(G217,SLATable[Priority],0))),"YES","NO"),"")</f>
        <v>YES</v>
      </c>
      <c r="AJ217" t="str">
        <f ca="1">_xlfn.IFNA(IF(AE217 &lt; (INDEX(SLATable[Maximum SLA],MATCH(G217,SLATable[Priority],0))),"YES","NO"),"")</f>
        <v>YES</v>
      </c>
    </row>
    <row r="218" spans="2:36" ht="15" customHeight="1">
      <c r="B218" s="45" t="s">
        <v>26</v>
      </c>
      <c r="C218" s="45" t="s">
        <v>44</v>
      </c>
      <c r="D218" s="45" t="s">
        <v>207</v>
      </c>
      <c r="E218" s="45" t="s">
        <v>3352</v>
      </c>
      <c r="F218" s="45" t="s">
        <v>312</v>
      </c>
      <c r="G218" s="45">
        <v>3</v>
      </c>
      <c r="H218" s="45" t="s">
        <v>3353</v>
      </c>
      <c r="I218" s="45" t="s">
        <v>275</v>
      </c>
      <c r="J218" s="45" t="s">
        <v>5655</v>
      </c>
      <c r="K218" s="47">
        <v>46164.443657407406</v>
      </c>
      <c r="L218" s="47">
        <v>46164.477812500001</v>
      </c>
      <c r="M218" s="47">
        <v>46167.310428240744</v>
      </c>
      <c r="N218" s="47">
        <v>46167.310428240744</v>
      </c>
      <c r="P218" s="47">
        <v>46167.310428240744</v>
      </c>
      <c r="Q218" s="45" t="s">
        <v>5856</v>
      </c>
      <c r="R218" s="45" t="s">
        <v>272</v>
      </c>
      <c r="S218" s="45" t="s">
        <v>190</v>
      </c>
      <c r="T218" s="45" t="s">
        <v>268</v>
      </c>
      <c r="U218" s="45" t="s">
        <v>371</v>
      </c>
      <c r="X218" s="45" t="s">
        <v>5531</v>
      </c>
      <c r="Y218" s="45" t="s">
        <v>6101</v>
      </c>
      <c r="Z218" s="76">
        <f t="shared" ca="1" si="32"/>
        <v>0</v>
      </c>
      <c r="AA218" s="75">
        <f t="shared" ca="1" si="33"/>
        <v>0</v>
      </c>
      <c r="AB218" s="76">
        <f t="shared" ca="1" si="34"/>
        <v>0</v>
      </c>
      <c r="AC218" s="75">
        <f t="shared" ca="1" si="35"/>
        <v>0</v>
      </c>
      <c r="AD218" s="76">
        <f t="shared" ca="1" si="36"/>
        <v>0</v>
      </c>
      <c r="AE218" s="76">
        <f t="shared" ca="1" si="37"/>
        <v>0</v>
      </c>
      <c r="AF218" s="75">
        <f t="shared" ca="1" si="38"/>
        <v>0</v>
      </c>
      <c r="AG218" s="75">
        <f t="shared" ca="1" si="39"/>
        <v>0</v>
      </c>
      <c r="AH218" s="31" t="str" cm="1">
        <f t="array" aca="1" ref="AH218" ca="1">IF((AD218) &lt; (INDEX(ResponseSLA[#All],(MATCH((G218),ResponseSLA[Priority],0))+1,3)),"YES","No")</f>
        <v>YES</v>
      </c>
      <c r="AI218" s="31" t="str">
        <f ca="1">_xlfn.IFNA(IF(AE218 &lt; (INDEX(SLATable[Minimum SLA],MATCH(G218,SLATable[Priority],0))),"YES","NO"),"")</f>
        <v>YES</v>
      </c>
      <c r="AJ218" t="str">
        <f ca="1">_xlfn.IFNA(IF(AE218 &lt; (INDEX(SLATable[Maximum SLA],MATCH(G218,SLATable[Priority],0))),"YES","NO"),"")</f>
        <v>YES</v>
      </c>
    </row>
    <row r="219" spans="2:36" ht="15" customHeight="1">
      <c r="B219" s="45" t="s">
        <v>26</v>
      </c>
      <c r="C219" s="45" t="s">
        <v>44</v>
      </c>
      <c r="D219" s="45" t="s">
        <v>207</v>
      </c>
      <c r="E219" s="45" t="s">
        <v>6104</v>
      </c>
      <c r="F219" s="45" t="s">
        <v>312</v>
      </c>
      <c r="G219" s="45">
        <v>4</v>
      </c>
      <c r="H219" s="45" t="s">
        <v>6105</v>
      </c>
      <c r="I219" s="45" t="s">
        <v>275</v>
      </c>
      <c r="J219" s="45" t="s">
        <v>5655</v>
      </c>
      <c r="K219" s="47">
        <v>46151.314398148148</v>
      </c>
      <c r="L219" s="47">
        <v>46167.274398148147</v>
      </c>
      <c r="M219" s="47">
        <v>46167.274398148147</v>
      </c>
      <c r="N219" s="47">
        <v>46167.317812499998</v>
      </c>
      <c r="P219" s="47">
        <v>46167.317812499998</v>
      </c>
      <c r="Q219" s="45" t="s">
        <v>5856</v>
      </c>
      <c r="R219" s="45" t="s">
        <v>272</v>
      </c>
      <c r="S219" s="45" t="s">
        <v>190</v>
      </c>
      <c r="T219" s="45" t="s">
        <v>268</v>
      </c>
      <c r="U219" s="45" t="s">
        <v>371</v>
      </c>
      <c r="X219" s="45" t="s">
        <v>5531</v>
      </c>
      <c r="Y219" s="45" t="s">
        <v>6106</v>
      </c>
      <c r="Z219" s="76">
        <f t="shared" ca="1" si="32"/>
        <v>3.3750000000000004</v>
      </c>
      <c r="AA219" s="75">
        <f t="shared" ca="1" si="33"/>
        <v>9.0000000000000018</v>
      </c>
      <c r="AB219" s="76">
        <f t="shared" ca="1" si="34"/>
        <v>0</v>
      </c>
      <c r="AC219" s="75">
        <f t="shared" ca="1" si="35"/>
        <v>0</v>
      </c>
      <c r="AD219" s="76">
        <f t="shared" ca="1" si="36"/>
        <v>0</v>
      </c>
      <c r="AE219" s="76">
        <f t="shared" ca="1" si="37"/>
        <v>0</v>
      </c>
      <c r="AF219" s="75">
        <f t="shared" ca="1" si="38"/>
        <v>0</v>
      </c>
      <c r="AG219" s="75">
        <f t="shared" ca="1" si="39"/>
        <v>0</v>
      </c>
      <c r="AH219" s="31" t="str" cm="1">
        <f t="array" aca="1" ref="AH219" ca="1">IF((AD219) &lt; (INDEX(ResponseSLA[#All],(MATCH((G219),ResponseSLA[Priority],0))+1,3)),"YES","No")</f>
        <v>YES</v>
      </c>
      <c r="AI219" s="31" t="str">
        <f ca="1">_xlfn.IFNA(IF(AE219 &lt; (INDEX(SLATable[Minimum SLA],MATCH(G219,SLATable[Priority],0))),"YES","NO"),"")</f>
        <v>YES</v>
      </c>
      <c r="AJ219" t="str">
        <f ca="1">_xlfn.IFNA(IF(AE219 &lt; (INDEX(SLATable[Maximum SLA],MATCH(G219,SLATable[Priority],0))),"YES","NO"),"")</f>
        <v>YES</v>
      </c>
    </row>
    <row r="220" spans="2:36" ht="15" customHeight="1">
      <c r="B220" s="45" t="s">
        <v>26</v>
      </c>
      <c r="C220" s="45" t="s">
        <v>44</v>
      </c>
      <c r="D220" s="45" t="s">
        <v>207</v>
      </c>
      <c r="E220" s="45" t="s">
        <v>6107</v>
      </c>
      <c r="F220" s="45" t="s">
        <v>312</v>
      </c>
      <c r="G220" s="45">
        <v>3</v>
      </c>
      <c r="H220" s="45" t="s">
        <v>6108</v>
      </c>
      <c r="I220" s="45" t="s">
        <v>271</v>
      </c>
      <c r="J220" s="45" t="s">
        <v>5655</v>
      </c>
      <c r="K220" s="47">
        <v>46162.388055555559</v>
      </c>
      <c r="L220" s="47">
        <v>46163.492604166669</v>
      </c>
      <c r="M220" s="47">
        <v>46163.492604166669</v>
      </c>
      <c r="N220" s="47">
        <v>46171.287280092591</v>
      </c>
      <c r="P220" s="47">
        <v>46171.287280092591</v>
      </c>
      <c r="Q220" s="45" t="s">
        <v>5856</v>
      </c>
      <c r="R220" s="45" t="s">
        <v>272</v>
      </c>
      <c r="S220" s="45" t="s">
        <v>190</v>
      </c>
      <c r="T220" s="45" t="s">
        <v>268</v>
      </c>
      <c r="U220" s="45" t="s">
        <v>371</v>
      </c>
      <c r="X220" s="45" t="s">
        <v>5531</v>
      </c>
      <c r="Y220" s="45" t="s">
        <v>6109</v>
      </c>
      <c r="Z220" s="76">
        <f t="shared" ca="1" si="32"/>
        <v>2.1952777777745123</v>
      </c>
      <c r="AA220" s="75">
        <f t="shared" ca="1" si="33"/>
        <v>5.8540740740653661</v>
      </c>
      <c r="AB220" s="76">
        <f t="shared" ca="1" si="34"/>
        <v>1.7157291666638534</v>
      </c>
      <c r="AC220" s="75">
        <f t="shared" ca="1" si="35"/>
        <v>4.5752777777702756</v>
      </c>
      <c r="AD220" s="76">
        <f t="shared" ca="1" si="36"/>
        <v>0</v>
      </c>
      <c r="AE220" s="76">
        <f t="shared" ca="1" si="37"/>
        <v>1.7157291666638534</v>
      </c>
      <c r="AF220" s="75">
        <f t="shared" ca="1" si="38"/>
        <v>4.5752777777702756</v>
      </c>
      <c r="AG220" s="75">
        <f t="shared" ca="1" si="39"/>
        <v>4.5752777777702756</v>
      </c>
      <c r="AH220" s="31" t="str" cm="1">
        <f t="array" aca="1" ref="AH220" ca="1">IF((AD220) &lt; (INDEX(ResponseSLA[#All],(MATCH((G220),ResponseSLA[Priority],0))+1,3)),"YES","No")</f>
        <v>YES</v>
      </c>
      <c r="AI220" s="31" t="str">
        <f ca="1">_xlfn.IFNA(IF(AE220 &lt; (INDEX(SLATable[Minimum SLA],MATCH(G220,SLATable[Priority],0))),"YES","NO"),"")</f>
        <v>NO</v>
      </c>
      <c r="AJ220" t="str">
        <f ca="1">_xlfn.IFNA(IF(AE220 &lt; (INDEX(SLATable[Maximum SLA],MATCH(G220,SLATable[Priority],0))),"YES","NO"),"")</f>
        <v>YES</v>
      </c>
    </row>
    <row r="221" spans="2:36" ht="15" customHeight="1">
      <c r="B221" s="45" t="s">
        <v>26</v>
      </c>
      <c r="C221" s="45" t="s">
        <v>44</v>
      </c>
      <c r="D221" s="45" t="s">
        <v>207</v>
      </c>
      <c r="E221" s="45" t="s">
        <v>6110</v>
      </c>
      <c r="F221" s="45" t="s">
        <v>312</v>
      </c>
      <c r="G221" s="45">
        <v>4</v>
      </c>
      <c r="H221" s="45" t="s">
        <v>6111</v>
      </c>
      <c r="I221" s="45" t="s">
        <v>275</v>
      </c>
      <c r="J221" s="45" t="s">
        <v>5655</v>
      </c>
      <c r="K221" s="47">
        <v>46157.440810185188</v>
      </c>
      <c r="L221" s="47">
        <v>46167.704340277778</v>
      </c>
      <c r="M221" s="47">
        <v>46167.704340277778</v>
      </c>
      <c r="N221" s="47">
        <v>46168.324571759258</v>
      </c>
      <c r="P221" s="47">
        <v>46168.324571759258</v>
      </c>
      <c r="Q221" s="45" t="s">
        <v>5856</v>
      </c>
      <c r="R221" s="45" t="s">
        <v>272</v>
      </c>
      <c r="S221" s="45" t="s">
        <v>190</v>
      </c>
      <c r="T221" s="45" t="s">
        <v>268</v>
      </c>
      <c r="U221" s="45" t="s">
        <v>371</v>
      </c>
      <c r="X221" s="45" t="s">
        <v>5531</v>
      </c>
      <c r="Y221" s="45" t="s">
        <v>6112</v>
      </c>
      <c r="Z221" s="76">
        <f t="shared" ca="1" si="32"/>
        <v>2.1425231481456048</v>
      </c>
      <c r="AA221" s="75">
        <f t="shared" ca="1" si="33"/>
        <v>5.7133950617216129</v>
      </c>
      <c r="AB221" s="76">
        <f t="shared" ca="1" si="34"/>
        <v>0</v>
      </c>
      <c r="AC221" s="75">
        <f t="shared" ca="1" si="35"/>
        <v>0</v>
      </c>
      <c r="AD221" s="76">
        <f t="shared" ca="1" si="36"/>
        <v>0</v>
      </c>
      <c r="AE221" s="76">
        <f t="shared" ca="1" si="37"/>
        <v>0</v>
      </c>
      <c r="AF221" s="75">
        <f t="shared" ca="1" si="38"/>
        <v>0</v>
      </c>
      <c r="AG221" s="75">
        <f t="shared" ca="1" si="39"/>
        <v>0</v>
      </c>
      <c r="AH221" s="31" t="str" cm="1">
        <f t="array" aca="1" ref="AH221" ca="1">IF((AD221) &lt; (INDEX(ResponseSLA[#All],(MATCH((G221),ResponseSLA[Priority],0))+1,3)),"YES","No")</f>
        <v>YES</v>
      </c>
      <c r="AI221" s="31" t="str">
        <f ca="1">_xlfn.IFNA(IF(AE221 &lt; (INDEX(SLATable[Minimum SLA],MATCH(G221,SLATable[Priority],0))),"YES","NO"),"")</f>
        <v>YES</v>
      </c>
      <c r="AJ221" t="str">
        <f ca="1">_xlfn.IFNA(IF(AE221 &lt; (INDEX(SLATable[Maximum SLA],MATCH(G221,SLATable[Priority],0))),"YES","NO"),"")</f>
        <v>YES</v>
      </c>
    </row>
    <row r="222" spans="2:36" ht="15" customHeight="1">
      <c r="B222" s="45" t="s">
        <v>26</v>
      </c>
      <c r="C222" s="45" t="s">
        <v>44</v>
      </c>
      <c r="D222" s="45" t="s">
        <v>207</v>
      </c>
      <c r="E222" s="45" t="s">
        <v>3121</v>
      </c>
      <c r="F222" s="45" t="s">
        <v>312</v>
      </c>
      <c r="G222" s="45">
        <v>3</v>
      </c>
      <c r="H222" s="45" t="s">
        <v>3122</v>
      </c>
      <c r="I222" s="45" t="s">
        <v>275</v>
      </c>
      <c r="J222" s="45" t="s">
        <v>5655</v>
      </c>
      <c r="K222" s="47">
        <v>46160.478993055556</v>
      </c>
      <c r="L222" s="47">
        <v>46160.569756944446</v>
      </c>
      <c r="M222" s="47">
        <v>46160.569756944446</v>
      </c>
      <c r="N222" s="47">
        <v>46167.322453703702</v>
      </c>
      <c r="P222" s="47">
        <v>46167.322222222225</v>
      </c>
      <c r="Q222" s="45" t="s">
        <v>5856</v>
      </c>
      <c r="R222" s="45" t="s">
        <v>272</v>
      </c>
      <c r="S222" s="45" t="s">
        <v>190</v>
      </c>
      <c r="T222" s="45" t="s">
        <v>268</v>
      </c>
      <c r="U222" s="45" t="s">
        <v>371</v>
      </c>
      <c r="X222" s="45" t="s">
        <v>5531</v>
      </c>
      <c r="Y222" s="45" t="s">
        <v>5660</v>
      </c>
      <c r="Z222" s="76">
        <f t="shared" ca="1" si="32"/>
        <v>1.3543402777771312</v>
      </c>
      <c r="AA222" s="75">
        <f t="shared" ca="1" si="33"/>
        <v>3.6115740740723492</v>
      </c>
      <c r="AB222" s="76">
        <f t="shared" ca="1" si="34"/>
        <v>1.2635763888877896</v>
      </c>
      <c r="AC222" s="75">
        <f t="shared" ca="1" si="35"/>
        <v>3.3695370370341053</v>
      </c>
      <c r="AD222" s="76">
        <f t="shared" ca="1" si="36"/>
        <v>0</v>
      </c>
      <c r="AE222" s="76">
        <f t="shared" ca="1" si="37"/>
        <v>1.2635763888877896</v>
      </c>
      <c r="AF222" s="75">
        <f t="shared" ca="1" si="38"/>
        <v>3.3695370370341053</v>
      </c>
      <c r="AG222" s="75">
        <f t="shared" ca="1" si="39"/>
        <v>3.3695370370341053</v>
      </c>
      <c r="AH222" s="31" t="str" cm="1">
        <f t="array" aca="1" ref="AH222" ca="1">IF((AD222) &lt; (INDEX(ResponseSLA[#All],(MATCH((G222),ResponseSLA[Priority],0))+1,3)),"YES","No")</f>
        <v>YES</v>
      </c>
      <c r="AI222" s="31" t="str">
        <f ca="1">_xlfn.IFNA(IF(AE222 &lt; (INDEX(SLATable[Minimum SLA],MATCH(G222,SLATable[Priority],0))),"YES","NO"),"")</f>
        <v>NO</v>
      </c>
      <c r="AJ222" t="str">
        <f ca="1">_xlfn.IFNA(IF(AE222 &lt; (INDEX(SLATable[Maximum SLA],MATCH(G222,SLATable[Priority],0))),"YES","NO"),"")</f>
        <v>YES</v>
      </c>
    </row>
    <row r="223" spans="2:36" ht="15" customHeight="1">
      <c r="B223" s="45" t="s">
        <v>26</v>
      </c>
      <c r="C223" s="45" t="s">
        <v>44</v>
      </c>
      <c r="D223" s="45" t="s">
        <v>207</v>
      </c>
      <c r="E223" s="45" t="s">
        <v>2796</v>
      </c>
      <c r="F223" s="45" t="s">
        <v>312</v>
      </c>
      <c r="G223" s="45">
        <v>3</v>
      </c>
      <c r="H223" s="45" t="s">
        <v>2797</v>
      </c>
      <c r="J223" s="45" t="s">
        <v>5655</v>
      </c>
      <c r="K223" s="47">
        <v>46164.511388888888</v>
      </c>
      <c r="L223" s="47">
        <v>46167.276018518518</v>
      </c>
      <c r="M223" s="47">
        <v>46167.276018518518</v>
      </c>
      <c r="N223" s="47">
        <v>46167.325868055559</v>
      </c>
      <c r="P223" s="47">
        <v>46167.325868055559</v>
      </c>
      <c r="Q223" s="45" t="s">
        <v>5856</v>
      </c>
      <c r="R223" s="45" t="s">
        <v>272</v>
      </c>
      <c r="S223" s="45" t="s">
        <v>190</v>
      </c>
      <c r="T223" s="45" t="s">
        <v>268</v>
      </c>
      <c r="U223" s="45" t="s">
        <v>371</v>
      </c>
      <c r="X223" s="45" t="s">
        <v>5531</v>
      </c>
      <c r="Y223" s="45" t="s">
        <v>6113</v>
      </c>
      <c r="Z223" s="76">
        <f t="shared" ca="1" si="32"/>
        <v>0</v>
      </c>
      <c r="AA223" s="75">
        <f t="shared" ca="1" si="33"/>
        <v>0</v>
      </c>
      <c r="AB223" s="76">
        <f t="shared" ca="1" si="34"/>
        <v>0</v>
      </c>
      <c r="AC223" s="75">
        <f t="shared" ca="1" si="35"/>
        <v>0</v>
      </c>
      <c r="AD223" s="76">
        <f t="shared" ca="1" si="36"/>
        <v>0</v>
      </c>
      <c r="AE223" s="76">
        <f t="shared" ca="1" si="37"/>
        <v>0</v>
      </c>
      <c r="AF223" s="75">
        <f t="shared" ca="1" si="38"/>
        <v>0</v>
      </c>
      <c r="AG223" s="75">
        <f t="shared" ca="1" si="39"/>
        <v>0</v>
      </c>
      <c r="AH223" s="31" t="str" cm="1">
        <f t="array" aca="1" ref="AH223" ca="1">IF((AD223) &lt; (INDEX(ResponseSLA[#All],(MATCH((G223),ResponseSLA[Priority],0))+1,3)),"YES","No")</f>
        <v>YES</v>
      </c>
      <c r="AI223" s="31" t="str">
        <f ca="1">_xlfn.IFNA(IF(AE223 &lt; (INDEX(SLATable[Minimum SLA],MATCH(G223,SLATable[Priority],0))),"YES","NO"),"")</f>
        <v>YES</v>
      </c>
      <c r="AJ223" t="str">
        <f ca="1">_xlfn.IFNA(IF(AE223 &lt; (INDEX(SLATable[Maximum SLA],MATCH(G223,SLATable[Priority],0))),"YES","NO"),"")</f>
        <v>YES</v>
      </c>
    </row>
    <row r="224" spans="2:36" ht="15" customHeight="1">
      <c r="B224" s="45" t="s">
        <v>26</v>
      </c>
      <c r="C224" s="45" t="s">
        <v>44</v>
      </c>
      <c r="D224" s="45" t="s">
        <v>207</v>
      </c>
      <c r="E224" s="45" t="s">
        <v>6114</v>
      </c>
      <c r="F224" s="45" t="s">
        <v>312</v>
      </c>
      <c r="G224" s="45">
        <v>4</v>
      </c>
      <c r="H224" s="45" t="s">
        <v>6115</v>
      </c>
      <c r="I224" s="45" t="s">
        <v>275</v>
      </c>
      <c r="J224" s="45" t="s">
        <v>5655</v>
      </c>
      <c r="K224" s="47">
        <v>46160.84746527778</v>
      </c>
      <c r="L224" s="47">
        <v>46161.297384259262</v>
      </c>
      <c r="M224" s="47">
        <v>46161.297384259262</v>
      </c>
      <c r="N224" s="47">
        <v>46167.328692129631</v>
      </c>
      <c r="P224" s="47">
        <v>46167.328692129631</v>
      </c>
      <c r="Q224" s="45" t="s">
        <v>44</v>
      </c>
      <c r="R224" s="45" t="s">
        <v>272</v>
      </c>
      <c r="S224" s="45" t="s">
        <v>190</v>
      </c>
      <c r="T224" s="45" t="s">
        <v>268</v>
      </c>
      <c r="U224" s="45" t="s">
        <v>371</v>
      </c>
      <c r="X224" s="45" t="s">
        <v>5531</v>
      </c>
      <c r="Y224" s="45" t="s">
        <v>5660</v>
      </c>
      <c r="Z224" s="76">
        <f t="shared" ca="1" si="32"/>
        <v>1.125</v>
      </c>
      <c r="AA224" s="75">
        <f t="shared" ca="1" si="33"/>
        <v>3</v>
      </c>
      <c r="AB224" s="76">
        <f t="shared" ca="1" si="34"/>
        <v>1.1250000000000002</v>
      </c>
      <c r="AC224" s="75">
        <f t="shared" ca="1" si="35"/>
        <v>3.0000000000000009</v>
      </c>
      <c r="AD224" s="76">
        <f t="shared" ca="1" si="36"/>
        <v>0</v>
      </c>
      <c r="AE224" s="76">
        <f t="shared" ca="1" si="37"/>
        <v>1.1250000000000002</v>
      </c>
      <c r="AF224" s="75">
        <f t="shared" ca="1" si="38"/>
        <v>3.0000000000000009</v>
      </c>
      <c r="AG224" s="75">
        <f t="shared" ca="1" si="39"/>
        <v>3.0000000000000009</v>
      </c>
      <c r="AH224" s="31" t="str" cm="1">
        <f t="array" aca="1" ref="AH224" ca="1">IF((AD224) &lt; (INDEX(ResponseSLA[#All],(MATCH((G224),ResponseSLA[Priority],0))+1,3)),"YES","No")</f>
        <v>YES</v>
      </c>
      <c r="AI224" s="31" t="str">
        <f ca="1">_xlfn.IFNA(IF(AE224 &lt; (INDEX(SLATable[Minimum SLA],MATCH(G224,SLATable[Priority],0))),"YES","NO"),"")</f>
        <v>YES</v>
      </c>
      <c r="AJ224" t="str">
        <f ca="1">_xlfn.IFNA(IF(AE224 &lt; (INDEX(SLATable[Maximum SLA],MATCH(G224,SLATable[Priority],0))),"YES","NO"),"")</f>
        <v>YES</v>
      </c>
    </row>
    <row r="225" spans="2:36" ht="15" customHeight="1">
      <c r="B225" s="132" t="s">
        <v>26</v>
      </c>
      <c r="C225" s="133" t="s">
        <v>44</v>
      </c>
      <c r="D225" s="53" t="s">
        <v>207</v>
      </c>
      <c r="E225" s="69" t="s">
        <v>6116</v>
      </c>
      <c r="F225" s="69" t="s">
        <v>312</v>
      </c>
      <c r="G225" s="69">
        <v>4</v>
      </c>
      <c r="H225" s="69" t="s">
        <v>6117</v>
      </c>
      <c r="I225" s="69" t="s">
        <v>271</v>
      </c>
      <c r="J225" s="69" t="s">
        <v>6118</v>
      </c>
      <c r="K225" s="72">
        <v>46154.295138888891</v>
      </c>
      <c r="L225" s="72">
        <v>46154.295138888891</v>
      </c>
      <c r="M225" s="72">
        <v>46154.472222222219</v>
      </c>
      <c r="N225" s="72">
        <v>46160.591666666667</v>
      </c>
      <c r="O225" s="72"/>
      <c r="P225" s="72"/>
      <c r="Q225" s="69" t="s">
        <v>6119</v>
      </c>
      <c r="R225" s="69" t="s">
        <v>6120</v>
      </c>
      <c r="S225" s="69" t="s">
        <v>6121</v>
      </c>
      <c r="T225" s="53" t="s">
        <v>268</v>
      </c>
      <c r="U225" s="69" t="s">
        <v>371</v>
      </c>
      <c r="W225" s="53"/>
      <c r="X225" s="45" t="s">
        <v>5531</v>
      </c>
      <c r="Y225" s="69" t="s">
        <v>6122</v>
      </c>
      <c r="Z225" s="76">
        <f t="shared" ca="1" si="32"/>
        <v>1.7583333333338185</v>
      </c>
      <c r="AA225" s="75">
        <f t="shared" ca="1" si="33"/>
        <v>4.6888888888901823</v>
      </c>
      <c r="AB225" s="76">
        <f t="shared" ca="1" si="34"/>
        <v>1.7583333333338185</v>
      </c>
      <c r="AC225" s="75">
        <f t="shared" ca="1" si="35"/>
        <v>4.6888888888901823</v>
      </c>
      <c r="AD225" s="76">
        <f t="shared" ca="1" si="36"/>
        <v>0.13888888888565515</v>
      </c>
      <c r="AE225" s="76">
        <f t="shared" ca="1" si="37"/>
        <v>1.7583333333338185</v>
      </c>
      <c r="AF225" s="75">
        <f t="shared" ca="1" si="38"/>
        <v>4.6888888888901823</v>
      </c>
      <c r="AG225" s="75">
        <f t="shared" ca="1" si="39"/>
        <v>4.6888888888901823</v>
      </c>
      <c r="AH225" s="31" t="str" cm="1">
        <f t="array" aca="1" ref="AH225" ca="1">IF((AD225) &lt; (INDEX(ResponseSLA[#All],(MATCH((G225),ResponseSLA[Priority],0))+1,3)),"YES","No")</f>
        <v>No</v>
      </c>
      <c r="AI225" s="31" t="str">
        <f ca="1">_xlfn.IFNA(IF(AE225 &lt; (INDEX(SLATable[Minimum SLA],MATCH(G225,SLATable[Priority],0))),"YES","NO"),"")</f>
        <v>YES</v>
      </c>
      <c r="AJ225" t="str">
        <f ca="1">_xlfn.IFNA(IF(AE225 &lt; (INDEX(SLATable[Maximum SLA],MATCH(G225,SLATable[Priority],0))),"YES","NO"),"")</f>
        <v>YES</v>
      </c>
    </row>
    <row r="226" spans="2:36" ht="15" customHeight="1">
      <c r="B226" s="134" t="s">
        <v>26</v>
      </c>
      <c r="C226" s="135" t="s">
        <v>44</v>
      </c>
      <c r="D226" s="53" t="s">
        <v>207</v>
      </c>
      <c r="E226" s="69" t="s">
        <v>6123</v>
      </c>
      <c r="F226" s="69" t="s">
        <v>312</v>
      </c>
      <c r="G226" s="69">
        <v>4</v>
      </c>
      <c r="H226" s="69" t="s">
        <v>6124</v>
      </c>
      <c r="I226" s="69" t="s">
        <v>271</v>
      </c>
      <c r="J226" s="69" t="s">
        <v>6118</v>
      </c>
      <c r="K226" s="72">
        <v>46154.127083333333</v>
      </c>
      <c r="L226" s="72">
        <v>46154.127083333333</v>
      </c>
      <c r="M226" s="72">
        <v>46154.472222222219</v>
      </c>
      <c r="N226" s="72">
        <v>46160.600694444445</v>
      </c>
      <c r="O226" s="72"/>
      <c r="P226" s="72"/>
      <c r="Q226" s="69" t="s">
        <v>6119</v>
      </c>
      <c r="R226" s="69" t="s">
        <v>6120</v>
      </c>
      <c r="S226" s="69" t="s">
        <v>6121</v>
      </c>
      <c r="T226" s="53" t="s">
        <v>268</v>
      </c>
      <c r="U226" s="69" t="s">
        <v>371</v>
      </c>
      <c r="W226" s="53"/>
      <c r="X226" s="45" t="s">
        <v>5531</v>
      </c>
      <c r="Y226" s="69" t="s">
        <v>6122</v>
      </c>
      <c r="Z226" s="76">
        <f t="shared" ca="1" si="32"/>
        <v>1.7673611111119196</v>
      </c>
      <c r="AA226" s="75">
        <f t="shared" ca="1" si="33"/>
        <v>4.7129629629651184</v>
      </c>
      <c r="AB226" s="76">
        <f t="shared" ca="1" si="34"/>
        <v>1.7673611111119196</v>
      </c>
      <c r="AC226" s="75">
        <f t="shared" ca="1" si="35"/>
        <v>4.7129629629651184</v>
      </c>
      <c r="AD226" s="76">
        <f t="shared" ca="1" si="36"/>
        <v>0.13888888888565515</v>
      </c>
      <c r="AE226" s="76">
        <f t="shared" ca="1" si="37"/>
        <v>1.7673611111119196</v>
      </c>
      <c r="AF226" s="75">
        <f t="shared" ca="1" si="38"/>
        <v>4.7129629629651184</v>
      </c>
      <c r="AG226" s="75">
        <f t="shared" ca="1" si="39"/>
        <v>4.7129629629651184</v>
      </c>
      <c r="AH226" s="31" t="str" cm="1">
        <f t="array" aca="1" ref="AH226" ca="1">IF((AD226) &lt; (INDEX(ResponseSLA[#All],(MATCH((G226),ResponseSLA[Priority],0))+1,3)),"YES","No")</f>
        <v>No</v>
      </c>
      <c r="AI226" s="31" t="str">
        <f ca="1">_xlfn.IFNA(IF(AE226 &lt; (INDEX(SLATable[Minimum SLA],MATCH(G226,SLATable[Priority],0))),"YES","NO"),"")</f>
        <v>YES</v>
      </c>
      <c r="AJ226" t="str">
        <f ca="1">_xlfn.IFNA(IF(AE226 &lt; (INDEX(SLATable[Maximum SLA],MATCH(G226,SLATable[Priority],0))),"YES","NO"),"")</f>
        <v>YES</v>
      </c>
    </row>
    <row r="227" spans="2:36" ht="15" customHeight="1">
      <c r="B227" s="53" t="s">
        <v>26</v>
      </c>
      <c r="C227" s="53" t="s">
        <v>44</v>
      </c>
      <c r="D227" s="53" t="s">
        <v>207</v>
      </c>
      <c r="E227" s="69" t="s">
        <v>6125</v>
      </c>
      <c r="F227" s="69" t="s">
        <v>312</v>
      </c>
      <c r="G227" s="69">
        <v>3</v>
      </c>
      <c r="H227" s="69" t="s">
        <v>6126</v>
      </c>
      <c r="I227" s="69" t="s">
        <v>266</v>
      </c>
      <c r="J227" s="69" t="s">
        <v>6118</v>
      </c>
      <c r="K227" s="72">
        <v>46155.659722222219</v>
      </c>
      <c r="L227" s="72">
        <v>46163.835416666669</v>
      </c>
      <c r="M227" s="124">
        <v>46164.443055555559</v>
      </c>
      <c r="N227" s="72"/>
      <c r="O227" s="72">
        <v>46174.554861111108</v>
      </c>
      <c r="P227" s="72"/>
      <c r="Q227" s="69" t="s">
        <v>5534</v>
      </c>
      <c r="R227" s="69" t="s">
        <v>6120</v>
      </c>
      <c r="S227" s="69" t="s">
        <v>6121</v>
      </c>
      <c r="T227" s="136" t="s">
        <v>268</v>
      </c>
      <c r="U227" s="69" t="s">
        <v>371</v>
      </c>
      <c r="V227" s="136"/>
      <c r="W227" s="136"/>
      <c r="X227" s="69" t="s">
        <v>371</v>
      </c>
      <c r="Y227" s="69" t="s">
        <v>6127</v>
      </c>
      <c r="Z227" s="76">
        <f t="shared" ca="1" si="32"/>
        <v>27.349254282409678</v>
      </c>
      <c r="AA227" s="75">
        <f t="shared" ca="1" si="33"/>
        <v>72.931344753092475</v>
      </c>
      <c r="AB227" s="76">
        <f t="shared" ca="1" si="34"/>
        <v>2.096527777774706</v>
      </c>
      <c r="AC227" s="75">
        <f t="shared" ca="1" si="35"/>
        <v>5.5907407407325493</v>
      </c>
      <c r="AD227" s="76">
        <f t="shared" ca="1" si="36"/>
        <v>0.10972222222577932</v>
      </c>
      <c r="AE227" s="76">
        <f t="shared" ca="1" si="37"/>
        <v>2.096527777774706</v>
      </c>
      <c r="AF227" s="75">
        <f t="shared" ca="1" si="38"/>
        <v>5.5907407407325493</v>
      </c>
      <c r="AG227" s="75">
        <f t="shared" ca="1" si="39"/>
        <v>5.5907407407325493</v>
      </c>
      <c r="AH227" s="31" t="str" cm="1">
        <f t="array" aca="1" ref="AH227" ca="1">IF((AD227) &lt; (INDEX(ResponseSLA[#All],(MATCH((G227),ResponseSLA[Priority],0))+1,3)),"YES","No")</f>
        <v>No</v>
      </c>
      <c r="AI227" s="31" t="str">
        <f ca="1">_xlfn.IFNA(IF(AE227 &lt; (INDEX(SLATable[Minimum SLA],MATCH(G227,SLATable[Priority],0))),"YES","NO"),"")</f>
        <v>NO</v>
      </c>
      <c r="AJ227" t="str">
        <f ca="1">_xlfn.IFNA(IF(AE227 &lt; (INDEX(SLATable[Maximum SLA],MATCH(G227,SLATable[Priority],0))),"YES","NO"),"")</f>
        <v>NO</v>
      </c>
    </row>
    <row r="228" spans="2:36" ht="15" customHeight="1">
      <c r="B228" s="53" t="s">
        <v>26</v>
      </c>
      <c r="C228" s="53" t="s">
        <v>44</v>
      </c>
      <c r="D228" s="53" t="s">
        <v>207</v>
      </c>
      <c r="E228" s="69" t="s">
        <v>6128</v>
      </c>
      <c r="F228" s="69" t="s">
        <v>312</v>
      </c>
      <c r="G228" s="69">
        <v>4</v>
      </c>
      <c r="H228" s="69" t="s">
        <v>6129</v>
      </c>
      <c r="I228" s="69" t="s">
        <v>275</v>
      </c>
      <c r="J228" s="69" t="s">
        <v>6118</v>
      </c>
      <c r="K228" s="72">
        <v>46143.862500000003</v>
      </c>
      <c r="L228" s="72">
        <v>46157.854166666664</v>
      </c>
      <c r="M228" s="72">
        <v>46160.490277777775</v>
      </c>
      <c r="N228" s="72">
        <v>46163.545138888891</v>
      </c>
      <c r="O228" s="72"/>
      <c r="P228" s="72"/>
      <c r="Q228" s="69" t="s">
        <v>5534</v>
      </c>
      <c r="R228" s="69" t="s">
        <v>6120</v>
      </c>
      <c r="S228" s="69" t="s">
        <v>6121</v>
      </c>
      <c r="T228" s="136" t="s">
        <v>268</v>
      </c>
      <c r="U228" s="69" t="s">
        <v>371</v>
      </c>
      <c r="V228" s="136"/>
      <c r="W228" s="136"/>
      <c r="X228" s="69" t="s">
        <v>371</v>
      </c>
      <c r="Y228" s="69" t="s">
        <v>6130</v>
      </c>
      <c r="Z228" s="76">
        <f t="shared" ca="1" si="32"/>
        <v>4.7118055555571736</v>
      </c>
      <c r="AA228" s="75">
        <f t="shared" ca="1" si="33"/>
        <v>12.56481481481913</v>
      </c>
      <c r="AB228" s="76">
        <f t="shared" ca="1" si="34"/>
        <v>1.3368055555571723</v>
      </c>
      <c r="AC228" s="75">
        <f t="shared" ca="1" si="35"/>
        <v>3.5648148148191265</v>
      </c>
      <c r="AD228" s="76">
        <f t="shared" ca="1" si="36"/>
        <v>0.1569444444418574</v>
      </c>
      <c r="AE228" s="76">
        <f t="shared" ca="1" si="37"/>
        <v>1.3368055555571723</v>
      </c>
      <c r="AF228" s="75">
        <f t="shared" ca="1" si="38"/>
        <v>3.5648148148191265</v>
      </c>
      <c r="AG228" s="75">
        <f t="shared" ca="1" si="39"/>
        <v>3.5648148148191265</v>
      </c>
      <c r="AH228" s="31" t="str" cm="1">
        <f t="array" aca="1" ref="AH228" ca="1">IF((AD228) &lt; (INDEX(ResponseSLA[#All],(MATCH((G228),ResponseSLA[Priority],0))+1,3)),"YES","No")</f>
        <v>No</v>
      </c>
      <c r="AI228" s="31" t="str">
        <f ca="1">_xlfn.IFNA(IF(AE228 &lt; (INDEX(SLATable[Minimum SLA],MATCH(G228,SLATable[Priority],0))),"YES","NO"),"")</f>
        <v>YES</v>
      </c>
      <c r="AJ228" t="str">
        <f ca="1">_xlfn.IFNA(IF(AE228 &lt; (INDEX(SLATable[Maximum SLA],MATCH(G228,SLATable[Priority],0))),"YES","NO"),"")</f>
        <v>YES</v>
      </c>
    </row>
    <row r="229" spans="2:36" ht="15" customHeight="1">
      <c r="B229" s="53" t="s">
        <v>26</v>
      </c>
      <c r="C229" s="53" t="s">
        <v>44</v>
      </c>
      <c r="D229" s="53" t="s">
        <v>207</v>
      </c>
      <c r="E229" s="69" t="s">
        <v>6131</v>
      </c>
      <c r="F229" s="69" t="s">
        <v>312</v>
      </c>
      <c r="G229" s="69">
        <v>4</v>
      </c>
      <c r="H229" s="69" t="s">
        <v>6132</v>
      </c>
      <c r="I229" s="69" t="s">
        <v>271</v>
      </c>
      <c r="J229" s="69" t="s">
        <v>6118</v>
      </c>
      <c r="K229" s="72">
        <v>46164.305555555555</v>
      </c>
      <c r="L229" s="72">
        <v>46164.305555555555</v>
      </c>
      <c r="M229" s="72">
        <v>46164.522916666669</v>
      </c>
      <c r="N229" s="72">
        <v>46168.46597222222</v>
      </c>
      <c r="O229" s="72"/>
      <c r="P229" s="72"/>
      <c r="Q229" s="69" t="s">
        <v>6119</v>
      </c>
      <c r="R229" s="69" t="s">
        <v>6120</v>
      </c>
      <c r="S229" s="53" t="s">
        <v>6121</v>
      </c>
      <c r="T229" s="53" t="s">
        <v>268</v>
      </c>
      <c r="U229" s="69" t="s">
        <v>371</v>
      </c>
      <c r="V229" s="136"/>
      <c r="W229" s="136"/>
      <c r="X229" s="69" t="s">
        <v>371</v>
      </c>
      <c r="Y229" s="69" t="s">
        <v>6122</v>
      </c>
      <c r="Z229" s="76">
        <f t="shared" ca="1" si="32"/>
        <v>0.5076388888871104</v>
      </c>
      <c r="AA229" s="75">
        <f t="shared" ca="1" si="33"/>
        <v>1.353703703698961</v>
      </c>
      <c r="AB229" s="76">
        <f t="shared" ca="1" si="34"/>
        <v>0.5076388888871104</v>
      </c>
      <c r="AC229" s="75">
        <f t="shared" ca="1" si="35"/>
        <v>1.353703703698961</v>
      </c>
      <c r="AD229" s="76">
        <f t="shared" ca="1" si="36"/>
        <v>0.18958333333527361</v>
      </c>
      <c r="AE229" s="76">
        <f t="shared" ca="1" si="37"/>
        <v>0.5076388888871104</v>
      </c>
      <c r="AF229" s="75">
        <f t="shared" ca="1" si="38"/>
        <v>1.353703703698961</v>
      </c>
      <c r="AG229" s="75">
        <f t="shared" ca="1" si="39"/>
        <v>1.353703703698961</v>
      </c>
      <c r="AH229" s="31" t="str" cm="1">
        <f t="array" aca="1" ref="AH229" ca="1">IF((AD229) &lt; (INDEX(ResponseSLA[#All],(MATCH((G229),ResponseSLA[Priority],0))+1,3)),"YES","No")</f>
        <v>No</v>
      </c>
      <c r="AI229" s="31" t="str">
        <f ca="1">_xlfn.IFNA(IF(AE229 &lt; (INDEX(SLATable[Minimum SLA],MATCH(G229,SLATable[Priority],0))),"YES","NO"),"")</f>
        <v>YES</v>
      </c>
      <c r="AJ229" t="str">
        <f ca="1">_xlfn.IFNA(IF(AE229 &lt; (INDEX(SLATable[Maximum SLA],MATCH(G229,SLATable[Priority],0))),"YES","NO"),"")</f>
        <v>YES</v>
      </c>
    </row>
    <row r="230" spans="2:36" ht="15" customHeight="1">
      <c r="B230" s="53" t="s">
        <v>26</v>
      </c>
      <c r="C230" s="53" t="s">
        <v>44</v>
      </c>
      <c r="D230" s="69" t="s">
        <v>208</v>
      </c>
      <c r="E230" s="69" t="s">
        <v>6133</v>
      </c>
      <c r="F230" s="69" t="s">
        <v>312</v>
      </c>
      <c r="G230" s="69" t="s">
        <v>208</v>
      </c>
      <c r="H230" s="69" t="s">
        <v>6134</v>
      </c>
      <c r="I230" s="69" t="s">
        <v>271</v>
      </c>
      <c r="J230" s="69" t="s">
        <v>6118</v>
      </c>
      <c r="K230" s="72">
        <v>46146.662499999999</v>
      </c>
      <c r="L230" s="72">
        <v>46161.780555555553</v>
      </c>
      <c r="M230" s="72">
        <v>46161.788194444445</v>
      </c>
      <c r="N230" s="72">
        <v>46174.559027777781</v>
      </c>
      <c r="O230" s="72"/>
      <c r="P230" s="72"/>
      <c r="Q230" s="69" t="s">
        <v>44</v>
      </c>
      <c r="R230" s="69" t="s">
        <v>6120</v>
      </c>
      <c r="S230" s="53" t="s">
        <v>6135</v>
      </c>
      <c r="T230" s="53" t="s">
        <v>268</v>
      </c>
      <c r="U230" s="69" t="s">
        <v>371</v>
      </c>
      <c r="V230" s="136"/>
      <c r="W230" s="136"/>
      <c r="X230" s="69" t="s">
        <v>371</v>
      </c>
      <c r="Y230" s="69" t="s">
        <v>6136</v>
      </c>
      <c r="Z230" s="76">
        <f t="shared" ca="1" si="32"/>
        <v>6.9756944444476794</v>
      </c>
      <c r="AA230" s="75">
        <f t="shared" ca="1" si="33"/>
        <v>18.601851851860477</v>
      </c>
      <c r="AB230" s="76">
        <f t="shared" ca="1" si="34"/>
        <v>2.8506944444476785</v>
      </c>
      <c r="AC230" s="75">
        <f t="shared" ca="1" si="35"/>
        <v>7.6018518518604754</v>
      </c>
      <c r="AD230" s="76">
        <f t="shared" ca="1" si="36"/>
        <v>0</v>
      </c>
      <c r="AE230" s="76">
        <f t="shared" ca="1" si="37"/>
        <v>2.8506944444476785</v>
      </c>
      <c r="AF230" s="75">
        <f t="shared" ca="1" si="38"/>
        <v>7.6018518518604754</v>
      </c>
      <c r="AG230" s="75">
        <f t="shared" ca="1" si="39"/>
        <v>7.6018518518604754</v>
      </c>
      <c r="AH230" s="31" t="str" cm="1">
        <f t="array" aca="1" ref="AH230" ca="1">IF((AD230) &lt; (INDEX(ResponseSLA[#All],(MATCH((G230),ResponseSLA[Priority],0))+1,3)),"YES","No")</f>
        <v>YES</v>
      </c>
      <c r="AI230" s="31" t="str">
        <f ca="1">_xlfn.IFNA(IF(AE230 &lt; (INDEX(SLATable[Minimum SLA],MATCH(G230,SLATable[Priority],0))),"YES","NO"),"")</f>
        <v>NO</v>
      </c>
      <c r="AJ230" t="str">
        <f ca="1">_xlfn.IFNA(IF(AE230 &lt; (INDEX(SLATable[Maximum SLA],MATCH(G230,SLATable[Priority],0))),"YES","NO"),"")</f>
        <v>NO</v>
      </c>
    </row>
    <row r="231" spans="2:36" ht="15" customHeight="1">
      <c r="B231" s="53" t="s">
        <v>26</v>
      </c>
      <c r="C231" s="53" t="s">
        <v>44</v>
      </c>
      <c r="D231" s="53" t="s">
        <v>208</v>
      </c>
      <c r="E231" s="69" t="s">
        <v>6137</v>
      </c>
      <c r="F231" s="69" t="s">
        <v>312</v>
      </c>
      <c r="G231" s="69" t="s">
        <v>208</v>
      </c>
      <c r="H231" s="69" t="s">
        <v>6138</v>
      </c>
      <c r="I231" s="69" t="s">
        <v>271</v>
      </c>
      <c r="J231" s="69" t="s">
        <v>6118</v>
      </c>
      <c r="K231" s="72">
        <v>46154.666666666664</v>
      </c>
      <c r="L231" s="72">
        <v>46163.748611111114</v>
      </c>
      <c r="M231" s="72">
        <v>46163.838194444441</v>
      </c>
      <c r="N231" s="72">
        <v>46168.486805555556</v>
      </c>
      <c r="O231" s="72"/>
      <c r="P231" s="72"/>
      <c r="Q231" s="125" t="s">
        <v>6139</v>
      </c>
      <c r="R231" s="69" t="s">
        <v>6120</v>
      </c>
      <c r="S231" s="53" t="s">
        <v>5699</v>
      </c>
      <c r="T231" s="53" t="s">
        <v>268</v>
      </c>
      <c r="U231" s="69" t="s">
        <v>371</v>
      </c>
      <c r="V231" s="136"/>
      <c r="W231" s="136"/>
      <c r="X231" s="69" t="s">
        <v>371</v>
      </c>
      <c r="Y231" s="69" t="s">
        <v>6136</v>
      </c>
      <c r="Z231" s="76">
        <f t="shared" ca="1" si="32"/>
        <v>3.1951388888919614</v>
      </c>
      <c r="AA231" s="75">
        <f t="shared" ca="1" si="33"/>
        <v>8.5203703703785649</v>
      </c>
      <c r="AB231" s="76">
        <f t="shared" ca="1" si="34"/>
        <v>0.52847222222286894</v>
      </c>
      <c r="AC231" s="75">
        <f t="shared" ca="1" si="35"/>
        <v>1.4092592592609838</v>
      </c>
      <c r="AD231" s="76">
        <f t="shared" ca="1" si="36"/>
        <v>0</v>
      </c>
      <c r="AE231" s="76">
        <f t="shared" ca="1" si="37"/>
        <v>1.3625000000053358</v>
      </c>
      <c r="AF231" s="75">
        <f t="shared" ca="1" si="38"/>
        <v>3.6333333333475619</v>
      </c>
      <c r="AG231" s="75">
        <f t="shared" ca="1" si="39"/>
        <v>3.6333333333475619</v>
      </c>
      <c r="AH231" s="31" t="str" cm="1">
        <f t="array" aca="1" ref="AH231" ca="1">IF((AD231) &lt; (INDEX(ResponseSLA[#All],(MATCH((G231),ResponseSLA[Priority],0))+1,3)),"YES","No")</f>
        <v>YES</v>
      </c>
      <c r="AI231" s="31" t="str">
        <f ca="1">_xlfn.IFNA(IF(AE231 &lt; (INDEX(SLATable[Minimum SLA],MATCH(G231,SLATable[Priority],0))),"YES","NO"),"")</f>
        <v>NO</v>
      </c>
      <c r="AJ231" t="str">
        <f ca="1">_xlfn.IFNA(IF(AE231 &lt; (INDEX(SLATable[Maximum SLA],MATCH(G231,SLATable[Priority],0))),"YES","NO"),"")</f>
        <v>NO</v>
      </c>
    </row>
    <row r="232" spans="2:36" ht="15" customHeight="1">
      <c r="B232" s="53" t="s">
        <v>26</v>
      </c>
      <c r="C232" s="53" t="s">
        <v>44</v>
      </c>
      <c r="D232" s="53" t="s">
        <v>208</v>
      </c>
      <c r="E232" s="69" t="s">
        <v>6140</v>
      </c>
      <c r="F232" s="69" t="s">
        <v>312</v>
      </c>
      <c r="G232" s="69" t="s">
        <v>208</v>
      </c>
      <c r="H232" s="69" t="s">
        <v>6141</v>
      </c>
      <c r="I232" s="69" t="s">
        <v>271</v>
      </c>
      <c r="J232" s="69" t="s">
        <v>6118</v>
      </c>
      <c r="K232" s="72">
        <v>46157.680555555555</v>
      </c>
      <c r="L232" s="72">
        <v>46157.680555555555</v>
      </c>
      <c r="M232" s="72">
        <v>46157.744444444441</v>
      </c>
      <c r="N232" s="72">
        <v>46174.559027777781</v>
      </c>
      <c r="O232" s="72"/>
      <c r="P232" s="72"/>
      <c r="Q232" s="69" t="s">
        <v>6142</v>
      </c>
      <c r="R232" s="69" t="s">
        <v>6120</v>
      </c>
      <c r="S232" s="53" t="s">
        <v>5699</v>
      </c>
      <c r="T232" s="53" t="s">
        <v>268</v>
      </c>
      <c r="U232" s="69" t="s">
        <v>371</v>
      </c>
      <c r="V232" s="136"/>
      <c r="W232" s="136"/>
      <c r="X232" s="69" t="s">
        <v>371</v>
      </c>
      <c r="Y232" s="69" t="s">
        <v>6136</v>
      </c>
      <c r="Z232" s="76">
        <f t="shared" ca="1" si="32"/>
        <v>3.6284722222262644</v>
      </c>
      <c r="AA232" s="75">
        <f t="shared" ca="1" si="33"/>
        <v>9.6759259259367045</v>
      </c>
      <c r="AB232" s="76">
        <f t="shared" ca="1" si="34"/>
        <v>3.6284722222262644</v>
      </c>
      <c r="AC232" s="75">
        <f t="shared" ca="1" si="35"/>
        <v>9.6759259259367045</v>
      </c>
      <c r="AD232" s="76">
        <f t="shared" ca="1" si="36"/>
        <v>2.7777777778586255E-2</v>
      </c>
      <c r="AE232" s="76">
        <f t="shared" ca="1" si="37"/>
        <v>3.6284722222262644</v>
      </c>
      <c r="AF232" s="75">
        <f t="shared" ca="1" si="38"/>
        <v>9.6759259259367045</v>
      </c>
      <c r="AG232" s="75">
        <f t="shared" ca="1" si="39"/>
        <v>9.6759259259367045</v>
      </c>
      <c r="AH232" s="31" t="str" cm="1">
        <f t="array" aca="1" ref="AH232" ca="1">IF((AD232) &lt; (INDEX(ResponseSLA[#All],(MATCH((G232),ResponseSLA[Priority],0))+1,3)),"YES","No")</f>
        <v>YES</v>
      </c>
      <c r="AI232" s="31" t="str">
        <f ca="1">_xlfn.IFNA(IF(AE232 &lt; (INDEX(SLATable[Minimum SLA],MATCH(G232,SLATable[Priority],0))),"YES","NO"),"")</f>
        <v>NO</v>
      </c>
      <c r="AJ232" t="str">
        <f ca="1">_xlfn.IFNA(IF(AE232 &lt; (INDEX(SLATable[Maximum SLA],MATCH(G232,SLATable[Priority],0))),"YES","NO"),"")</f>
        <v>NO</v>
      </c>
    </row>
    <row r="233" spans="2:36" ht="15" customHeight="1">
      <c r="B233" s="53" t="s">
        <v>26</v>
      </c>
      <c r="C233" s="53" t="s">
        <v>44</v>
      </c>
      <c r="D233" s="53" t="s">
        <v>208</v>
      </c>
      <c r="E233" s="69" t="s">
        <v>6143</v>
      </c>
      <c r="F233" s="69" t="s">
        <v>312</v>
      </c>
      <c r="G233" s="69" t="s">
        <v>208</v>
      </c>
      <c r="H233" s="69" t="s">
        <v>6144</v>
      </c>
      <c r="I233" s="69" t="s">
        <v>266</v>
      </c>
      <c r="J233" s="69" t="s">
        <v>6118</v>
      </c>
      <c r="K233" s="72">
        <v>46162.825694444444</v>
      </c>
      <c r="L233" s="72">
        <v>46162.825694444444</v>
      </c>
      <c r="M233" s="72">
        <v>46163.837500000001</v>
      </c>
      <c r="N233" s="72">
        <v>46174.559027777781</v>
      </c>
      <c r="O233" s="72"/>
      <c r="P233" s="72"/>
      <c r="Q233" s="69" t="s">
        <v>6145</v>
      </c>
      <c r="R233" s="69" t="s">
        <v>6120</v>
      </c>
      <c r="S233" s="53" t="s">
        <v>6146</v>
      </c>
      <c r="T233" s="53" t="s">
        <v>268</v>
      </c>
      <c r="U233" s="69" t="s">
        <v>371</v>
      </c>
      <c r="V233" s="136"/>
      <c r="W233" s="136"/>
      <c r="X233" s="69" t="s">
        <v>371</v>
      </c>
      <c r="Y233" s="69" t="s">
        <v>6147</v>
      </c>
      <c r="Z233" s="76">
        <f t="shared" ca="1" si="32"/>
        <v>2.4756944444476785</v>
      </c>
      <c r="AA233" s="75">
        <f t="shared" ca="1" si="33"/>
        <v>6.6018518518604763</v>
      </c>
      <c r="AB233" s="76">
        <f t="shared" ca="1" si="34"/>
        <v>2.4756944444476785</v>
      </c>
      <c r="AC233" s="75">
        <f t="shared" ca="1" si="35"/>
        <v>6.6018518518604763</v>
      </c>
      <c r="AD233" s="76">
        <f t="shared" ca="1" si="36"/>
        <v>0.37500000000000011</v>
      </c>
      <c r="AE233" s="76">
        <f t="shared" ca="1" si="37"/>
        <v>2.4756944444476785</v>
      </c>
      <c r="AF233" s="75">
        <f t="shared" ca="1" si="38"/>
        <v>6.6018518518604763</v>
      </c>
      <c r="AG233" s="75">
        <f t="shared" ca="1" si="39"/>
        <v>6.6018518518604763</v>
      </c>
      <c r="AH233" s="31" t="str" cm="1">
        <f t="array" aca="1" ref="AH233" ca="1">IF((AD233) &lt; (INDEX(ResponseSLA[#All],(MATCH((G233),ResponseSLA[Priority],0))+1,3)),"YES","No")</f>
        <v>No</v>
      </c>
      <c r="AI233" s="31" t="str">
        <f ca="1">_xlfn.IFNA(IF(AE233 &lt; (INDEX(SLATable[Minimum SLA],MATCH(G233,SLATable[Priority],0))),"YES","NO"),"")</f>
        <v>NO</v>
      </c>
      <c r="AJ233" t="str">
        <f ca="1">_xlfn.IFNA(IF(AE233 &lt; (INDEX(SLATable[Maximum SLA],MATCH(G233,SLATable[Priority],0))),"YES","NO"),"")</f>
        <v>NO</v>
      </c>
    </row>
    <row r="234" spans="2:36" ht="15" customHeight="1">
      <c r="B234" s="53" t="s">
        <v>26</v>
      </c>
      <c r="C234" s="53" t="s">
        <v>44</v>
      </c>
      <c r="D234" s="53" t="s">
        <v>208</v>
      </c>
      <c r="E234" s="69" t="s">
        <v>6148</v>
      </c>
      <c r="F234" s="69" t="s">
        <v>312</v>
      </c>
      <c r="G234" s="69" t="s">
        <v>208</v>
      </c>
      <c r="H234" s="69" t="s">
        <v>6149</v>
      </c>
      <c r="I234" s="69" t="s">
        <v>271</v>
      </c>
      <c r="J234" s="69" t="s">
        <v>6118</v>
      </c>
      <c r="K234" s="72">
        <v>46141.614583333336</v>
      </c>
      <c r="L234" s="72">
        <v>46141.614583333336</v>
      </c>
      <c r="M234" s="72">
        <v>46141.683333333334</v>
      </c>
      <c r="N234" s="72">
        <v>46153.60833333333</v>
      </c>
      <c r="O234" s="72"/>
      <c r="P234" s="72"/>
      <c r="Q234" s="69" t="s">
        <v>6150</v>
      </c>
      <c r="R234" s="69" t="s">
        <v>6120</v>
      </c>
      <c r="S234" s="53" t="s">
        <v>6146</v>
      </c>
      <c r="T234" s="53" t="s">
        <v>268</v>
      </c>
      <c r="U234" s="69" t="s">
        <v>371</v>
      </c>
      <c r="V234" s="136"/>
      <c r="W234" s="136"/>
      <c r="X234" s="69" t="s">
        <v>371</v>
      </c>
      <c r="Y234" s="69" t="s">
        <v>6151</v>
      </c>
      <c r="Z234" s="76">
        <f t="shared" ca="1" si="32"/>
        <v>2.2437499999941797</v>
      </c>
      <c r="AA234" s="75">
        <f t="shared" ca="1" si="33"/>
        <v>5.9833333333178125</v>
      </c>
      <c r="AB234" s="76">
        <f t="shared" ca="1" si="34"/>
        <v>2.2437499999941797</v>
      </c>
      <c r="AC234" s="75">
        <f t="shared" ca="1" si="35"/>
        <v>5.9833333333178125</v>
      </c>
      <c r="AD234" s="76">
        <f t="shared" ca="1" si="36"/>
        <v>6.8749999998544808E-2</v>
      </c>
      <c r="AE234" s="76">
        <f t="shared" ca="1" si="37"/>
        <v>4.4868055555489272</v>
      </c>
      <c r="AF234" s="75">
        <f t="shared" ca="1" si="38"/>
        <v>11.96481481479714</v>
      </c>
      <c r="AG234" s="75">
        <f t="shared" ca="1" si="39"/>
        <v>11.96481481479714</v>
      </c>
      <c r="AH234" s="31" t="str" cm="1">
        <f t="array" aca="1" ref="AH234" ca="1">IF((AD234) &lt; (INDEX(ResponseSLA[#All],(MATCH((G234),ResponseSLA[Priority],0))+1,3)),"YES","No")</f>
        <v>YES</v>
      </c>
      <c r="AI234" s="31" t="str">
        <f ca="1">_xlfn.IFNA(IF(AE234 &lt; (INDEX(SLATable[Minimum SLA],MATCH(G234,SLATable[Priority],0))),"YES","NO"),"")</f>
        <v>NO</v>
      </c>
      <c r="AJ234" t="str">
        <f ca="1">_xlfn.IFNA(IF(AE234 &lt; (INDEX(SLATable[Maximum SLA],MATCH(G234,SLATable[Priority],0))),"YES","NO"),"")</f>
        <v>NO</v>
      </c>
    </row>
    <row r="235" spans="2:36" ht="15" customHeight="1">
      <c r="B235" s="53" t="s">
        <v>26</v>
      </c>
      <c r="C235" s="53" t="s">
        <v>44</v>
      </c>
      <c r="D235" s="53" t="s">
        <v>208</v>
      </c>
      <c r="E235" s="63" t="s">
        <v>6152</v>
      </c>
      <c r="F235" s="53" t="s">
        <v>312</v>
      </c>
      <c r="G235" s="69" t="s">
        <v>208</v>
      </c>
      <c r="H235" s="69" t="s">
        <v>6153</v>
      </c>
      <c r="I235" s="69" t="s">
        <v>271</v>
      </c>
      <c r="J235" s="53" t="s">
        <v>6118</v>
      </c>
      <c r="K235" s="72">
        <v>46147.561111111114</v>
      </c>
      <c r="L235" s="72">
        <v>46147.619444444441</v>
      </c>
      <c r="M235" s="72">
        <v>46148.34375</v>
      </c>
      <c r="N235" s="72">
        <v>46153.418749999997</v>
      </c>
      <c r="O235" s="72"/>
      <c r="P235" s="72">
        <v>46153.418749999997</v>
      </c>
      <c r="Q235" s="69" t="s">
        <v>5534</v>
      </c>
      <c r="R235" s="69" t="s">
        <v>261</v>
      </c>
      <c r="S235" s="69" t="s">
        <v>5699</v>
      </c>
      <c r="T235" s="53" t="s">
        <v>268</v>
      </c>
      <c r="U235" s="69" t="s">
        <v>5531</v>
      </c>
      <c r="V235" s="136"/>
      <c r="W235" s="136"/>
      <c r="X235" s="69" t="s">
        <v>5531</v>
      </c>
      <c r="Y235" s="69" t="s">
        <v>6154</v>
      </c>
      <c r="Z235" s="76">
        <f t="shared" ca="1" si="32"/>
        <v>1.35763888888323</v>
      </c>
      <c r="AA235" s="75">
        <f t="shared" ca="1" si="33"/>
        <v>3.6203703703552801</v>
      </c>
      <c r="AB235" s="76">
        <f t="shared" ca="1" si="34"/>
        <v>1.2993055555562025</v>
      </c>
      <c r="AC235" s="75">
        <f t="shared" ca="1" si="35"/>
        <v>3.4648148148165401</v>
      </c>
      <c r="AD235" s="76">
        <f t="shared" ca="1" si="36"/>
        <v>9.930555555911269E-2</v>
      </c>
      <c r="AE235" s="76">
        <f t="shared" ca="1" si="37"/>
        <v>1.2993055555562025</v>
      </c>
      <c r="AF235" s="75">
        <f t="shared" ca="1" si="38"/>
        <v>3.4648148148165401</v>
      </c>
      <c r="AG235" s="75">
        <f t="shared" ca="1" si="39"/>
        <v>3.4648148148165401</v>
      </c>
      <c r="AH235" s="31" t="str" cm="1">
        <f t="array" aca="1" ref="AH235" ca="1">IF((AD235) &lt; (INDEX(ResponseSLA[#All],(MATCH((G235),ResponseSLA[Priority],0))+1,3)),"YES","No")</f>
        <v>YES</v>
      </c>
      <c r="AI235" s="31" t="str">
        <f ca="1">_xlfn.IFNA(IF(AE235 &lt; (INDEX(SLATable[Minimum SLA],MATCH(G235,SLATable[Priority],0))),"YES","NO"),"")</f>
        <v>NO</v>
      </c>
      <c r="AJ235" t="str">
        <f ca="1">_xlfn.IFNA(IF(AE235 &lt; (INDEX(SLATable[Maximum SLA],MATCH(G235,SLATable[Priority],0))),"YES","NO"),"")</f>
        <v>NO</v>
      </c>
    </row>
    <row r="236" spans="2:36" ht="15" customHeight="1">
      <c r="B236" s="53" t="s">
        <v>26</v>
      </c>
      <c r="C236" s="53" t="s">
        <v>44</v>
      </c>
      <c r="D236" s="53" t="s">
        <v>208</v>
      </c>
      <c r="E236" s="63" t="s">
        <v>6148</v>
      </c>
      <c r="F236" s="53" t="s">
        <v>312</v>
      </c>
      <c r="G236" s="69" t="s">
        <v>208</v>
      </c>
      <c r="H236" s="69" t="s">
        <v>6149</v>
      </c>
      <c r="I236" s="69" t="s">
        <v>271</v>
      </c>
      <c r="J236" s="53" t="s">
        <v>6118</v>
      </c>
      <c r="K236" s="72">
        <v>46141.427083333336</v>
      </c>
      <c r="L236" s="72">
        <v>46141.427083333336</v>
      </c>
      <c r="M236" s="72">
        <v>46141.495833333334</v>
      </c>
      <c r="N236" s="72">
        <v>46153.42083333333</v>
      </c>
      <c r="O236" s="72">
        <v>46153.420138888891</v>
      </c>
      <c r="P236" s="72">
        <v>46153.42083333333</v>
      </c>
      <c r="Q236" s="69" t="s">
        <v>6155</v>
      </c>
      <c r="R236" s="69" t="s">
        <v>261</v>
      </c>
      <c r="S236" s="69" t="s">
        <v>5699</v>
      </c>
      <c r="T236" s="53" t="s">
        <v>268</v>
      </c>
      <c r="U236" s="69" t="s">
        <v>5132</v>
      </c>
      <c r="V236" s="136"/>
      <c r="W236" s="136"/>
      <c r="X236" s="69" t="s">
        <v>5531</v>
      </c>
      <c r="Y236" s="69" t="s">
        <v>6156</v>
      </c>
      <c r="Z236" s="76">
        <f t="shared" ca="1" si="32"/>
        <v>2.2430555555547476</v>
      </c>
      <c r="AA236" s="75">
        <f t="shared" ca="1" si="33"/>
        <v>5.9814814814793271</v>
      </c>
      <c r="AB236" s="76">
        <f t="shared" ca="1" si="34"/>
        <v>2.2430555555547476</v>
      </c>
      <c r="AC236" s="75">
        <f t="shared" ca="1" si="35"/>
        <v>5.9814814814793271</v>
      </c>
      <c r="AD236" s="76">
        <f t="shared" ca="1" si="36"/>
        <v>6.8749999998544808E-2</v>
      </c>
      <c r="AE236" s="76">
        <f t="shared" ca="1" si="37"/>
        <v>4.4868055555489272</v>
      </c>
      <c r="AF236" s="75">
        <f t="shared" ca="1" si="38"/>
        <v>11.96481481479714</v>
      </c>
      <c r="AG236" s="75">
        <f t="shared" ca="1" si="39"/>
        <v>11.96481481479714</v>
      </c>
      <c r="AH236" s="31" t="str" cm="1">
        <f t="array" aca="1" ref="AH236" ca="1">IF((AD236) &lt; (INDEX(ResponseSLA[#All],(MATCH((G236),ResponseSLA[Priority],0))+1,3)),"YES","No")</f>
        <v>YES</v>
      </c>
      <c r="AI236" s="31" t="str">
        <f ca="1">_xlfn.IFNA(IF(AE236 &lt; (INDEX(SLATable[Minimum SLA],MATCH(G236,SLATable[Priority],0))),"YES","NO"),"")</f>
        <v>NO</v>
      </c>
      <c r="AJ236" t="str">
        <f ca="1">_xlfn.IFNA(IF(AE236 &lt; (INDEX(SLATable[Maximum SLA],MATCH(G236,SLATable[Priority],0))),"YES","NO"),"")</f>
        <v>NO</v>
      </c>
    </row>
    <row r="237" spans="2:36" ht="15" customHeight="1">
      <c r="B237" s="53" t="s">
        <v>26</v>
      </c>
      <c r="C237" s="53" t="s">
        <v>44</v>
      </c>
      <c r="D237" s="53" t="s">
        <v>208</v>
      </c>
      <c r="E237" s="63" t="s">
        <v>6157</v>
      </c>
      <c r="F237" s="53" t="s">
        <v>312</v>
      </c>
      <c r="G237" s="69" t="s">
        <v>208</v>
      </c>
      <c r="H237" s="69" t="s">
        <v>6158</v>
      </c>
      <c r="I237" s="69" t="s">
        <v>275</v>
      </c>
      <c r="J237" s="53" t="s">
        <v>6118</v>
      </c>
      <c r="K237" s="72">
        <v>46141.619444444441</v>
      </c>
      <c r="L237" s="72">
        <v>46143.44027777778</v>
      </c>
      <c r="M237" s="72">
        <v>46146.311111111114</v>
      </c>
      <c r="N237" s="72">
        <v>46153.427777777775</v>
      </c>
      <c r="O237" s="72">
        <v>46153.427777777775</v>
      </c>
      <c r="P237" s="72">
        <v>46153.427777777775</v>
      </c>
      <c r="Q237" s="69" t="s">
        <v>6159</v>
      </c>
      <c r="R237" s="69" t="s">
        <v>272</v>
      </c>
      <c r="S237" s="69" t="s">
        <v>5699</v>
      </c>
      <c r="T237" s="53" t="s">
        <v>268</v>
      </c>
      <c r="U237" s="69" t="s">
        <v>5531</v>
      </c>
      <c r="V237" s="136"/>
      <c r="W237" s="136"/>
      <c r="X237" s="69" t="s">
        <v>5531</v>
      </c>
      <c r="Y237" s="69" t="s">
        <v>6160</v>
      </c>
      <c r="Z237" s="76">
        <f t="shared" ca="1" si="32"/>
        <v>2.0583333333343039</v>
      </c>
      <c r="AA237" s="75">
        <f t="shared" ca="1" si="33"/>
        <v>5.4888888888914771</v>
      </c>
      <c r="AB237" s="76">
        <f t="shared" ca="1" si="34"/>
        <v>1.5944444444418577</v>
      </c>
      <c r="AC237" s="75">
        <f t="shared" ca="1" si="35"/>
        <v>4.251851851844954</v>
      </c>
      <c r="AD237" s="76">
        <f t="shared" ca="1" si="36"/>
        <v>0</v>
      </c>
      <c r="AE237" s="76">
        <f t="shared" ca="1" si="37"/>
        <v>1.5944444444418577</v>
      </c>
      <c r="AF237" s="75">
        <f t="shared" ca="1" si="38"/>
        <v>4.251851851844954</v>
      </c>
      <c r="AG237" s="75">
        <f t="shared" ca="1" si="39"/>
        <v>4.251851851844954</v>
      </c>
      <c r="AH237" s="31" t="str" cm="1">
        <f t="array" aca="1" ref="AH237" ca="1">IF((AD237) &lt; (INDEX(ResponseSLA[#All],(MATCH((G237),ResponseSLA[Priority],0))+1,3)),"YES","No")</f>
        <v>YES</v>
      </c>
      <c r="AI237" s="31" t="str">
        <f ca="1">_xlfn.IFNA(IF(AE237 &lt; (INDEX(SLATable[Minimum SLA],MATCH(G237,SLATable[Priority],0))),"YES","NO"),"")</f>
        <v>NO</v>
      </c>
      <c r="AJ237" t="str">
        <f ca="1">_xlfn.IFNA(IF(AE237 &lt; (INDEX(SLATable[Maximum SLA],MATCH(G237,SLATable[Priority],0))),"YES","NO"),"")</f>
        <v>NO</v>
      </c>
    </row>
    <row r="238" spans="2:36" ht="15" customHeight="1">
      <c r="B238" s="53" t="s">
        <v>26</v>
      </c>
      <c r="C238" s="53" t="s">
        <v>44</v>
      </c>
      <c r="D238" s="53" t="s">
        <v>207</v>
      </c>
      <c r="E238" s="63" t="s">
        <v>6161</v>
      </c>
      <c r="F238" s="53" t="s">
        <v>312</v>
      </c>
      <c r="G238" s="69">
        <v>4</v>
      </c>
      <c r="H238" s="69" t="s">
        <v>6162</v>
      </c>
      <c r="I238" s="69" t="s">
        <v>275</v>
      </c>
      <c r="J238" s="53" t="s">
        <v>6118</v>
      </c>
      <c r="K238" s="72">
        <v>46139.429166666669</v>
      </c>
      <c r="L238" s="72">
        <v>46153.61041666667</v>
      </c>
      <c r="M238" s="72">
        <v>46153.611111111109</v>
      </c>
      <c r="N238" s="72">
        <v>46160.38958333333</v>
      </c>
      <c r="O238" s="72">
        <v>46156.883333333331</v>
      </c>
      <c r="P238" s="72">
        <v>46160.38958333333</v>
      </c>
      <c r="Q238" s="69" t="s">
        <v>6163</v>
      </c>
      <c r="R238" s="69" t="s">
        <v>272</v>
      </c>
      <c r="S238" s="69" t="s">
        <v>5699</v>
      </c>
      <c r="T238" s="53" t="s">
        <v>268</v>
      </c>
      <c r="U238" s="69" t="s">
        <v>5531</v>
      </c>
      <c r="V238" s="136"/>
      <c r="W238" s="136"/>
      <c r="X238" s="69" t="s">
        <v>5531</v>
      </c>
      <c r="Y238" s="69" t="s">
        <v>6164</v>
      </c>
      <c r="Z238" s="76">
        <f t="shared" ca="1" si="32"/>
        <v>4.404166666664727</v>
      </c>
      <c r="AA238" s="75">
        <f t="shared" ca="1" si="33"/>
        <v>11.744444444439273</v>
      </c>
      <c r="AB238" s="76">
        <f t="shared" ca="1" si="34"/>
        <v>1.2229166666632714</v>
      </c>
      <c r="AC238" s="75">
        <f t="shared" ca="1" si="35"/>
        <v>3.261111111102057</v>
      </c>
      <c r="AD238" s="76">
        <f t="shared" ca="1" si="36"/>
        <v>6.9444443943211809E-4</v>
      </c>
      <c r="AE238" s="76">
        <f t="shared" ca="1" si="37"/>
        <v>1.2229166666632714</v>
      </c>
      <c r="AF238" s="75">
        <f t="shared" ca="1" si="38"/>
        <v>3.261111111102057</v>
      </c>
      <c r="AG238" s="75">
        <f t="shared" ca="1" si="39"/>
        <v>3.261111111102057</v>
      </c>
      <c r="AH238" s="31" t="str" cm="1">
        <f t="array" aca="1" ref="AH238" ca="1">IF((AD238) &lt; (INDEX(ResponseSLA[#All],(MATCH((G238),ResponseSLA[Priority],0))+1,3)),"YES","No")</f>
        <v>YES</v>
      </c>
      <c r="AI238" s="31" t="str">
        <f ca="1">_xlfn.IFNA(IF(AE238 &lt; (INDEX(SLATable[Minimum SLA],MATCH(G238,SLATable[Priority],0))),"YES","NO"),"")</f>
        <v>YES</v>
      </c>
      <c r="AJ238" t="str">
        <f ca="1">_xlfn.IFNA(IF(AE238 &lt; (INDEX(SLATable[Maximum SLA],MATCH(G238,SLATable[Priority],0))),"YES","NO"),"")</f>
        <v>YES</v>
      </c>
    </row>
    <row r="239" spans="2:36" ht="15" customHeight="1">
      <c r="B239" s="53" t="s">
        <v>26</v>
      </c>
      <c r="C239" s="53" t="s">
        <v>44</v>
      </c>
      <c r="D239" s="53" t="s">
        <v>207</v>
      </c>
      <c r="E239" s="63" t="s">
        <v>6165</v>
      </c>
      <c r="F239" s="53" t="s">
        <v>312</v>
      </c>
      <c r="G239" s="69">
        <v>4</v>
      </c>
      <c r="H239" s="69" t="s">
        <v>6166</v>
      </c>
      <c r="I239" s="69" t="s">
        <v>275</v>
      </c>
      <c r="J239" s="53" t="s">
        <v>6118</v>
      </c>
      <c r="K239" s="72">
        <v>46139.481249999997</v>
      </c>
      <c r="L239" s="72">
        <v>46150.632638888892</v>
      </c>
      <c r="M239" s="72">
        <v>46153.267361111109</v>
      </c>
      <c r="N239" s="72">
        <v>46153.460416666669</v>
      </c>
      <c r="O239" s="72"/>
      <c r="P239" s="72">
        <v>46153.460416666669</v>
      </c>
      <c r="Q239" s="69" t="s">
        <v>44</v>
      </c>
      <c r="R239" s="69" t="s">
        <v>272</v>
      </c>
      <c r="S239" s="69" t="s">
        <v>5699</v>
      </c>
      <c r="T239" s="53" t="s">
        <v>268</v>
      </c>
      <c r="U239" s="69" t="s">
        <v>5531</v>
      </c>
      <c r="X239" s="69" t="s">
        <v>5531</v>
      </c>
      <c r="Y239" s="69" t="s">
        <v>6167</v>
      </c>
      <c r="Z239" s="76">
        <f t="shared" ca="1" si="32"/>
        <v>2.9791666666715177</v>
      </c>
      <c r="AA239" s="75">
        <f t="shared" ca="1" si="33"/>
        <v>7.944444444457381</v>
      </c>
      <c r="AB239" s="76">
        <f t="shared" ca="1" si="34"/>
        <v>0.20277777777664596</v>
      </c>
      <c r="AC239" s="75">
        <f t="shared" ca="1" si="35"/>
        <v>0.5407407407377226</v>
      </c>
      <c r="AD239" s="76">
        <f t="shared" ca="1" si="36"/>
        <v>7.569444444137241E-2</v>
      </c>
      <c r="AE239" s="76">
        <f t="shared" ca="1" si="37"/>
        <v>0.20277777777664596</v>
      </c>
      <c r="AF239" s="75">
        <f t="shared" ca="1" si="38"/>
        <v>0.5407407407377226</v>
      </c>
      <c r="AG239" s="75">
        <f t="shared" ca="1" si="39"/>
        <v>0.5407407407377226</v>
      </c>
      <c r="AH239" s="31" t="str" cm="1">
        <f t="array" aca="1" ref="AH239" ca="1">IF((AD239) &lt; (INDEX(ResponseSLA[#All],(MATCH((G239),ResponseSLA[Priority],0))+1,3)),"YES","No")</f>
        <v>YES</v>
      </c>
      <c r="AI239" s="31" t="str">
        <f ca="1">_xlfn.IFNA(IF(AE239 &lt; (INDEX(SLATable[Minimum SLA],MATCH(G239,SLATable[Priority],0))),"YES","NO"),"")</f>
        <v>YES</v>
      </c>
      <c r="AJ239" t="str">
        <f ca="1">_xlfn.IFNA(IF(AE239 &lt; (INDEX(SLATable[Maximum SLA],MATCH(G239,SLATable[Priority],0))),"YES","NO"),"")</f>
        <v>YES</v>
      </c>
    </row>
    <row r="240" spans="2:36" ht="15" customHeight="1">
      <c r="B240" s="53" t="s">
        <v>26</v>
      </c>
      <c r="C240" s="53" t="s">
        <v>44</v>
      </c>
      <c r="D240" s="53" t="s">
        <v>207</v>
      </c>
      <c r="E240" s="63" t="s">
        <v>6168</v>
      </c>
      <c r="F240" s="53" t="s">
        <v>312</v>
      </c>
      <c r="G240" s="69">
        <v>4</v>
      </c>
      <c r="H240" s="69" t="s">
        <v>6169</v>
      </c>
      <c r="I240" s="69" t="s">
        <v>275</v>
      </c>
      <c r="J240" s="53" t="s">
        <v>6118</v>
      </c>
      <c r="K240" s="72">
        <v>46142.249305555553</v>
      </c>
      <c r="L240" s="72">
        <v>46153.240972222222</v>
      </c>
      <c r="M240" s="72">
        <v>46153.270138888889</v>
      </c>
      <c r="N240" s="72">
        <v>46153.461805555555</v>
      </c>
      <c r="O240" s="72"/>
      <c r="P240" s="72">
        <v>46153.461805555555</v>
      </c>
      <c r="Q240" s="69" t="s">
        <v>44</v>
      </c>
      <c r="R240" s="69" t="s">
        <v>272</v>
      </c>
      <c r="S240" s="69" t="s">
        <v>5699</v>
      </c>
      <c r="T240" s="53" t="s">
        <v>268</v>
      </c>
      <c r="U240" s="69" t="s">
        <v>5531</v>
      </c>
      <c r="X240" s="69" t="s">
        <v>5531</v>
      </c>
      <c r="Y240" s="69" t="s">
        <v>6167</v>
      </c>
      <c r="Z240" s="76">
        <f t="shared" ca="1" si="32"/>
        <v>2.0034722222214136</v>
      </c>
      <c r="AA240" s="75">
        <f t="shared" ca="1" si="33"/>
        <v>5.342592592590437</v>
      </c>
      <c r="AB240" s="76">
        <f t="shared" ca="1" si="34"/>
        <v>0.1284722222214138</v>
      </c>
      <c r="AC240" s="75">
        <f t="shared" ca="1" si="35"/>
        <v>0.34259259259043678</v>
      </c>
      <c r="AD240" s="76">
        <f t="shared" ca="1" si="36"/>
        <v>0</v>
      </c>
      <c r="AE240" s="76">
        <f t="shared" ca="1" si="37"/>
        <v>0.1284722222214138</v>
      </c>
      <c r="AF240" s="75">
        <f t="shared" ca="1" si="38"/>
        <v>0.34259259259043678</v>
      </c>
      <c r="AG240" s="75">
        <f t="shared" ca="1" si="39"/>
        <v>0.34259259259043678</v>
      </c>
      <c r="AH240" s="31" t="str" cm="1">
        <f t="array" aca="1" ref="AH240" ca="1">IF((AD240) &lt; (INDEX(ResponseSLA[#All],(MATCH((G240),ResponseSLA[Priority],0))+1,3)),"YES","No")</f>
        <v>YES</v>
      </c>
      <c r="AI240" s="31" t="str">
        <f ca="1">_xlfn.IFNA(IF(AE240 &lt; (INDEX(SLATable[Minimum SLA],MATCH(G240,SLATable[Priority],0))),"YES","NO"),"")</f>
        <v>YES</v>
      </c>
      <c r="AJ240" t="str">
        <f ca="1">_xlfn.IFNA(IF(AE240 &lt; (INDEX(SLATable[Maximum SLA],MATCH(G240,SLATable[Priority],0))),"YES","NO"),"")</f>
        <v>YES</v>
      </c>
    </row>
    <row r="241" spans="2:36" ht="15" customHeight="1">
      <c r="B241" s="53" t="s">
        <v>26</v>
      </c>
      <c r="C241" s="53" t="s">
        <v>44</v>
      </c>
      <c r="D241" s="53" t="s">
        <v>208</v>
      </c>
      <c r="E241" s="63" t="s">
        <v>6170</v>
      </c>
      <c r="F241" s="53" t="s">
        <v>312</v>
      </c>
      <c r="G241" s="69" t="s">
        <v>208</v>
      </c>
      <c r="H241" s="69" t="s">
        <v>6171</v>
      </c>
      <c r="I241" s="69" t="s">
        <v>271</v>
      </c>
      <c r="J241" s="53" t="s">
        <v>6118</v>
      </c>
      <c r="K241" s="72">
        <v>46149.509722222225</v>
      </c>
      <c r="L241" s="72">
        <v>46149.509722222225</v>
      </c>
      <c r="M241" s="72">
        <v>46149.577777777777</v>
      </c>
      <c r="N241" s="72">
        <v>46160.418749999997</v>
      </c>
      <c r="O241" s="72">
        <v>46155.55972222222</v>
      </c>
      <c r="P241" s="72">
        <v>46160.418749999997</v>
      </c>
      <c r="Q241" s="69" t="s">
        <v>44</v>
      </c>
      <c r="R241" s="69" t="s">
        <v>272</v>
      </c>
      <c r="S241" s="69" t="s">
        <v>5699</v>
      </c>
      <c r="T241" s="53" t="s">
        <v>268</v>
      </c>
      <c r="U241" s="69" t="s">
        <v>5531</v>
      </c>
      <c r="X241" s="69" t="s">
        <v>5531</v>
      </c>
      <c r="Y241" s="69" t="s">
        <v>6172</v>
      </c>
      <c r="Z241" s="76">
        <f t="shared" ca="1" si="32"/>
        <v>1.5499999999956346</v>
      </c>
      <c r="AA241" s="75">
        <f t="shared" ca="1" si="33"/>
        <v>4.1333333333216924</v>
      </c>
      <c r="AB241" s="76">
        <f t="shared" ca="1" si="34"/>
        <v>1.5499999999956346</v>
      </c>
      <c r="AC241" s="75">
        <f t="shared" ca="1" si="35"/>
        <v>4.1333333333216924</v>
      </c>
      <c r="AD241" s="76">
        <f t="shared" ca="1" si="36"/>
        <v>6.8055555551836733E-2</v>
      </c>
      <c r="AE241" s="76">
        <f t="shared" ca="1" si="37"/>
        <v>1.5499999999956346</v>
      </c>
      <c r="AF241" s="75">
        <f t="shared" ca="1" si="38"/>
        <v>4.1333333333216924</v>
      </c>
      <c r="AG241" s="75">
        <f t="shared" ca="1" si="39"/>
        <v>4.1333333333216924</v>
      </c>
      <c r="AH241" s="31" t="str" cm="1">
        <f t="array" aca="1" ref="AH241" ca="1">IF((AD241) &lt; (INDEX(ResponseSLA[#All],(MATCH((G241),ResponseSLA[Priority],0))+1,3)),"YES","No")</f>
        <v>YES</v>
      </c>
      <c r="AI241" s="31" t="str">
        <f ca="1">_xlfn.IFNA(IF(AE241 &lt; (INDEX(SLATable[Minimum SLA],MATCH(G241,SLATable[Priority],0))),"YES","NO"),"")</f>
        <v>NO</v>
      </c>
      <c r="AJ241" t="str">
        <f ca="1">_xlfn.IFNA(IF(AE241 &lt; (INDEX(SLATable[Maximum SLA],MATCH(G241,SLATable[Priority],0))),"YES","NO"),"")</f>
        <v>NO</v>
      </c>
    </row>
    <row r="242" spans="2:36" ht="15" customHeight="1">
      <c r="B242" s="53" t="s">
        <v>26</v>
      </c>
      <c r="C242" s="53" t="s">
        <v>44</v>
      </c>
      <c r="D242" s="53" t="s">
        <v>208</v>
      </c>
      <c r="E242" s="63" t="s">
        <v>515</v>
      </c>
      <c r="F242" s="53" t="s">
        <v>312</v>
      </c>
      <c r="G242" s="69" t="s">
        <v>208</v>
      </c>
      <c r="H242" s="69" t="s">
        <v>516</v>
      </c>
      <c r="I242" s="69" t="s">
        <v>275</v>
      </c>
      <c r="J242" s="53" t="s">
        <v>6118</v>
      </c>
      <c r="K242" s="72">
        <v>46149.511805555558</v>
      </c>
      <c r="L242" s="72">
        <v>46150.635416666664</v>
      </c>
      <c r="M242" s="72">
        <v>46153.287499999999</v>
      </c>
      <c r="N242" s="72">
        <v>46155.569444444445</v>
      </c>
      <c r="O242" s="72"/>
      <c r="P242" s="72">
        <v>46155.569444444445</v>
      </c>
      <c r="Q242" s="69" t="s">
        <v>44</v>
      </c>
      <c r="R242" s="69" t="s">
        <v>272</v>
      </c>
      <c r="S242" s="69" t="s">
        <v>5699</v>
      </c>
      <c r="T242" s="53" t="s">
        <v>268</v>
      </c>
      <c r="U242" s="69" t="s">
        <v>5531</v>
      </c>
      <c r="X242" s="69" t="s">
        <v>5531</v>
      </c>
      <c r="Y242" s="69" t="s">
        <v>6173</v>
      </c>
      <c r="Z242" s="76">
        <f t="shared" ca="1" si="32"/>
        <v>1.5576388888875954</v>
      </c>
      <c r="AA242" s="75">
        <f t="shared" ca="1" si="33"/>
        <v>4.1537037037002547</v>
      </c>
      <c r="AB242" s="76">
        <f t="shared" ca="1" si="34"/>
        <v>1.0590277777810118</v>
      </c>
      <c r="AC242" s="75">
        <f t="shared" ca="1" si="35"/>
        <v>2.8240740740826982</v>
      </c>
      <c r="AD242" s="76">
        <f t="shared" ca="1" si="36"/>
        <v>7.2916666669092023E-2</v>
      </c>
      <c r="AE242" s="76">
        <f t="shared" ca="1" si="37"/>
        <v>1.0590277777810118</v>
      </c>
      <c r="AF242" s="75">
        <f t="shared" ca="1" si="38"/>
        <v>2.8240740740826982</v>
      </c>
      <c r="AG242" s="75">
        <f t="shared" ca="1" si="39"/>
        <v>2.8240740740826982</v>
      </c>
      <c r="AH242" s="31" t="str" cm="1">
        <f t="array" aca="1" ref="AH242" ca="1">IF((AD242) &lt; (INDEX(ResponseSLA[#All],(MATCH((G242),ResponseSLA[Priority],0))+1,3)),"YES","No")</f>
        <v>YES</v>
      </c>
      <c r="AI242" s="31" t="str">
        <f ca="1">_xlfn.IFNA(IF(AE242 &lt; (INDEX(SLATable[Minimum SLA],MATCH(G242,SLATable[Priority],0))),"YES","NO"),"")</f>
        <v>NO</v>
      </c>
      <c r="AJ242" t="str">
        <f ca="1">_xlfn.IFNA(IF(AE242 &lt; (INDEX(SLATable[Maximum SLA],MATCH(G242,SLATable[Priority],0))),"YES","NO"),"")</f>
        <v>NO</v>
      </c>
    </row>
    <row r="243" spans="2:36" ht="15" customHeight="1">
      <c r="B243" s="53" t="s">
        <v>26</v>
      </c>
      <c r="C243" s="53" t="s">
        <v>44</v>
      </c>
      <c r="D243" s="53" t="s">
        <v>208</v>
      </c>
      <c r="E243" s="63" t="s">
        <v>6174</v>
      </c>
      <c r="F243" s="53" t="s">
        <v>312</v>
      </c>
      <c r="G243" s="69" t="s">
        <v>208</v>
      </c>
      <c r="H243" s="69" t="s">
        <v>6175</v>
      </c>
      <c r="I243" s="69" t="s">
        <v>271</v>
      </c>
      <c r="J243" s="53" t="s">
        <v>6118</v>
      </c>
      <c r="K243" s="72">
        <v>46149.67291666667</v>
      </c>
      <c r="L243" s="72">
        <v>46153.384722222225</v>
      </c>
      <c r="M243" s="72">
        <v>46153.583333333336</v>
      </c>
      <c r="N243" s="72">
        <v>46156.564583333333</v>
      </c>
      <c r="O243" s="72">
        <v>46155.591666666667</v>
      </c>
      <c r="P243" s="72">
        <v>46156.564583333333</v>
      </c>
      <c r="Q243" s="69" t="s">
        <v>6176</v>
      </c>
      <c r="R243" s="69" t="s">
        <v>261</v>
      </c>
      <c r="S243" s="69" t="s">
        <v>5699</v>
      </c>
      <c r="T243" s="53" t="s">
        <v>268</v>
      </c>
      <c r="U243" s="69" t="s">
        <v>5531</v>
      </c>
      <c r="X243" s="69" t="s">
        <v>5531</v>
      </c>
      <c r="Y243" s="69" t="s">
        <v>6177</v>
      </c>
      <c r="Z243" s="76">
        <f t="shared" ca="1" si="32"/>
        <v>1.4187499999970896</v>
      </c>
      <c r="AA243" s="75">
        <f t="shared" ca="1" si="33"/>
        <v>3.7833333333255723</v>
      </c>
      <c r="AB243" s="76">
        <f t="shared" ca="1" si="34"/>
        <v>0.95694444444234272</v>
      </c>
      <c r="AC243" s="75">
        <f t="shared" ca="1" si="35"/>
        <v>2.5518518518462474</v>
      </c>
      <c r="AD243" s="76">
        <f t="shared" ca="1" si="36"/>
        <v>0.19861111111094942</v>
      </c>
      <c r="AE243" s="76">
        <f t="shared" ca="1" si="37"/>
        <v>0.95694444444234272</v>
      </c>
      <c r="AF243" s="75">
        <f t="shared" ca="1" si="38"/>
        <v>2.5518518518462474</v>
      </c>
      <c r="AG243" s="75">
        <f t="shared" ca="1" si="39"/>
        <v>2.5518518518462474</v>
      </c>
      <c r="AH243" s="31" t="str" cm="1">
        <f t="array" aca="1" ref="AH243" ca="1">IF((AD243) &lt; (INDEX(ResponseSLA[#All],(MATCH((G243),ResponseSLA[Priority],0))+1,3)),"YES","No")</f>
        <v>YES</v>
      </c>
      <c r="AI243" s="31" t="str">
        <f ca="1">_xlfn.IFNA(IF(AE243 &lt; (INDEX(SLATable[Minimum SLA],MATCH(G243,SLATable[Priority],0))),"YES","NO"),"")</f>
        <v>NO</v>
      </c>
      <c r="AJ243" t="str">
        <f ca="1">_xlfn.IFNA(IF(AE243 &lt; (INDEX(SLATable[Maximum SLA],MATCH(G243,SLATable[Priority],0))),"YES","NO"),"")</f>
        <v>NO</v>
      </c>
    </row>
    <row r="244" spans="2:36" ht="15" customHeight="1">
      <c r="B244" s="53" t="s">
        <v>26</v>
      </c>
      <c r="C244" s="53" t="s">
        <v>44</v>
      </c>
      <c r="D244" s="53" t="s">
        <v>208</v>
      </c>
      <c r="E244" s="63" t="s">
        <v>6178</v>
      </c>
      <c r="F244" s="53" t="s">
        <v>312</v>
      </c>
      <c r="G244" s="69" t="s">
        <v>208</v>
      </c>
      <c r="H244" s="69" t="s">
        <v>6179</v>
      </c>
      <c r="I244" s="69" t="s">
        <v>266</v>
      </c>
      <c r="J244" s="53" t="s">
        <v>6118</v>
      </c>
      <c r="K244" s="72">
        <v>46153.652777777781</v>
      </c>
      <c r="L244" s="72">
        <v>46154.351388888892</v>
      </c>
      <c r="M244" s="72">
        <v>46154.408333333333</v>
      </c>
      <c r="N244" s="72"/>
      <c r="O244" s="72">
        <v>46156.571527777778</v>
      </c>
      <c r="P244" s="72"/>
      <c r="Q244" s="69" t="s">
        <v>6180</v>
      </c>
      <c r="R244" s="69" t="s">
        <v>272</v>
      </c>
      <c r="S244" s="69" t="s">
        <v>5699</v>
      </c>
      <c r="T244" s="53" t="s">
        <v>268</v>
      </c>
      <c r="U244" s="69" t="s">
        <v>5531</v>
      </c>
      <c r="X244" s="69" t="s">
        <v>5531</v>
      </c>
      <c r="Y244" s="69" t="s">
        <v>6136</v>
      </c>
      <c r="Z244" s="76">
        <f t="shared" ca="1" si="32"/>
        <v>28.106198726847655</v>
      </c>
      <c r="AA244" s="75">
        <f t="shared" ca="1" si="33"/>
        <v>74.949863271593756</v>
      </c>
      <c r="AB244" s="76">
        <f t="shared" ca="1" si="34"/>
        <v>0.97013888888614019</v>
      </c>
      <c r="AC244" s="75">
        <f t="shared" ca="1" si="35"/>
        <v>2.5870370370297073</v>
      </c>
      <c r="AD244" s="76">
        <f t="shared" ca="1" si="36"/>
        <v>5.694444444088731E-2</v>
      </c>
      <c r="AE244" s="76">
        <f t="shared" ca="1" si="37"/>
        <v>0.97013888888614019</v>
      </c>
      <c r="AF244" s="75">
        <f t="shared" ca="1" si="38"/>
        <v>2.5870370370297073</v>
      </c>
      <c r="AG244" s="75">
        <f t="shared" ca="1" si="39"/>
        <v>2.5870370370297073</v>
      </c>
      <c r="AH244" s="31" t="str" cm="1">
        <f t="array" aca="1" ref="AH244" ca="1">IF((AD244) &lt; (INDEX(ResponseSLA[#All],(MATCH((G244),ResponseSLA[Priority],0))+1,3)),"YES","No")</f>
        <v>YES</v>
      </c>
      <c r="AI244" s="31" t="str">
        <f ca="1">_xlfn.IFNA(IF(AE244 &lt; (INDEX(SLATable[Minimum SLA],MATCH(G244,SLATable[Priority],0))),"YES","NO"),"")</f>
        <v>NO</v>
      </c>
      <c r="AJ244" t="str">
        <f ca="1">_xlfn.IFNA(IF(AE244 &lt; (INDEX(SLATable[Maximum SLA],MATCH(G244,SLATable[Priority],0))),"YES","NO"),"")</f>
        <v>NO</v>
      </c>
    </row>
    <row r="245" spans="2:36" ht="15" customHeight="1">
      <c r="B245" s="53" t="s">
        <v>26</v>
      </c>
      <c r="C245" s="53" t="s">
        <v>44</v>
      </c>
      <c r="D245" s="53" t="s">
        <v>207</v>
      </c>
      <c r="E245" s="63" t="s">
        <v>6181</v>
      </c>
      <c r="F245" s="53" t="s">
        <v>312</v>
      </c>
      <c r="G245" s="69">
        <v>4</v>
      </c>
      <c r="H245" s="69" t="s">
        <v>6182</v>
      </c>
      <c r="I245" s="69" t="s">
        <v>271</v>
      </c>
      <c r="J245" s="53" t="s">
        <v>6118</v>
      </c>
      <c r="K245" s="72">
        <v>46155.457638888889</v>
      </c>
      <c r="L245" s="72">
        <v>46155.461805555555</v>
      </c>
      <c r="M245" s="72">
        <v>46155.536805555559</v>
      </c>
      <c r="N245" s="72">
        <v>46160.392361111109</v>
      </c>
      <c r="O245" s="72">
        <v>46156.383333333331</v>
      </c>
      <c r="P245" s="72">
        <v>46160.392361111109</v>
      </c>
      <c r="Q245" s="69" t="s">
        <v>5534</v>
      </c>
      <c r="R245" s="69" t="s">
        <v>272</v>
      </c>
      <c r="S245" s="69" t="s">
        <v>5699</v>
      </c>
      <c r="T245" s="53" t="s">
        <v>268</v>
      </c>
      <c r="U245" s="69" t="s">
        <v>5531</v>
      </c>
      <c r="X245" s="69" t="s">
        <v>5531</v>
      </c>
      <c r="Y245" s="69" t="s">
        <v>6183</v>
      </c>
      <c r="Z245" s="76">
        <f t="shared" ca="1" si="32"/>
        <v>0.30069444444234272</v>
      </c>
      <c r="AA245" s="75">
        <f t="shared" ca="1" si="33"/>
        <v>0.8018518518462473</v>
      </c>
      <c r="AB245" s="76">
        <f t="shared" ca="1" si="34"/>
        <v>0.29652777777664618</v>
      </c>
      <c r="AC245" s="75">
        <f t="shared" ca="1" si="35"/>
        <v>0.79074074073772316</v>
      </c>
      <c r="AD245" s="76">
        <f t="shared" ca="1" si="36"/>
        <v>7.5000000004365575E-2</v>
      </c>
      <c r="AE245" s="76">
        <f t="shared" ca="1" si="37"/>
        <v>0.29652777777664618</v>
      </c>
      <c r="AF245" s="75">
        <f t="shared" ca="1" si="38"/>
        <v>0.79074074073772316</v>
      </c>
      <c r="AG245" s="75">
        <f t="shared" ca="1" si="39"/>
        <v>0.79074074073772316</v>
      </c>
      <c r="AH245" s="31" t="str" cm="1">
        <f t="array" aca="1" ref="AH245" ca="1">IF((AD245) &lt; (INDEX(ResponseSLA[#All],(MATCH((G245),ResponseSLA[Priority],0))+1,3)),"YES","No")</f>
        <v>YES</v>
      </c>
      <c r="AI245" s="31" t="str">
        <f ca="1">_xlfn.IFNA(IF(AE245 &lt; (INDEX(SLATable[Minimum SLA],MATCH(G245,SLATable[Priority],0))),"YES","NO"),"")</f>
        <v>YES</v>
      </c>
      <c r="AJ245" t="str">
        <f ca="1">_xlfn.IFNA(IF(AE245 &lt; (INDEX(SLATable[Maximum SLA],MATCH(G245,SLATable[Priority],0))),"YES","NO"),"")</f>
        <v>YES</v>
      </c>
    </row>
    <row r="246" spans="2:36" ht="15" customHeight="1">
      <c r="B246" s="53" t="s">
        <v>26</v>
      </c>
      <c r="C246" s="53" t="s">
        <v>44</v>
      </c>
      <c r="D246" s="53" t="s">
        <v>208</v>
      </c>
      <c r="E246" s="63" t="s">
        <v>6137</v>
      </c>
      <c r="F246" s="53" t="s">
        <v>312</v>
      </c>
      <c r="G246" s="69" t="s">
        <v>208</v>
      </c>
      <c r="H246" s="69" t="s">
        <v>6184</v>
      </c>
      <c r="I246" s="69" t="s">
        <v>275</v>
      </c>
      <c r="J246" s="53" t="s">
        <v>6118</v>
      </c>
      <c r="K246" s="72">
        <v>46154.479166666664</v>
      </c>
      <c r="L246" s="72">
        <v>46154.479166666664</v>
      </c>
      <c r="M246" s="72">
        <v>46154.484027777777</v>
      </c>
      <c r="N246" s="72">
        <v>46156.882638888892</v>
      </c>
      <c r="O246" s="72">
        <v>46156.563194444447</v>
      </c>
      <c r="P246" s="72">
        <v>46156.882638888892</v>
      </c>
      <c r="Q246" s="69" t="s">
        <v>5718</v>
      </c>
      <c r="R246" s="69" t="s">
        <v>261</v>
      </c>
      <c r="S246" s="69" t="s">
        <v>5699</v>
      </c>
      <c r="T246" s="53" t="s">
        <v>268</v>
      </c>
      <c r="U246" s="69" t="s">
        <v>5132</v>
      </c>
      <c r="X246" s="69" t="s">
        <v>5531</v>
      </c>
      <c r="Y246" s="69" t="s">
        <v>6185</v>
      </c>
      <c r="Z246" s="76">
        <f t="shared" ca="1" si="32"/>
        <v>0.83402777778246684</v>
      </c>
      <c r="AA246" s="75">
        <f t="shared" ca="1" si="33"/>
        <v>2.2240740740865785</v>
      </c>
      <c r="AB246" s="76">
        <f t="shared" ca="1" si="34"/>
        <v>0.83402777778246684</v>
      </c>
      <c r="AC246" s="75">
        <f t="shared" ca="1" si="35"/>
        <v>2.2240740740865785</v>
      </c>
      <c r="AD246" s="76">
        <f t="shared" ca="1" si="36"/>
        <v>4.8611111124046147E-3</v>
      </c>
      <c r="AE246" s="76">
        <f t="shared" ca="1" si="37"/>
        <v>1.3625000000053358</v>
      </c>
      <c r="AF246" s="75">
        <f t="shared" ca="1" si="38"/>
        <v>3.6333333333475619</v>
      </c>
      <c r="AG246" s="75">
        <f t="shared" ca="1" si="39"/>
        <v>3.6333333333475619</v>
      </c>
      <c r="AH246" s="31" t="str" cm="1">
        <f t="array" aca="1" ref="AH246" ca="1">IF((AD246) &lt; (INDEX(ResponseSLA[#All],(MATCH((G246),ResponseSLA[Priority],0))+1,3)),"YES","No")</f>
        <v>YES</v>
      </c>
      <c r="AI246" s="31" t="str">
        <f ca="1">_xlfn.IFNA(IF(AE246 &lt; (INDEX(SLATable[Minimum SLA],MATCH(G246,SLATable[Priority],0))),"YES","NO"),"")</f>
        <v>NO</v>
      </c>
      <c r="AJ246" t="str">
        <f ca="1">_xlfn.IFNA(IF(AE246 &lt; (INDEX(SLATable[Maximum SLA],MATCH(G246,SLATable[Priority],0))),"YES","NO"),"")</f>
        <v>NO</v>
      </c>
    </row>
    <row r="247" spans="2:36" ht="15" customHeight="1">
      <c r="B247" s="53" t="s">
        <v>26</v>
      </c>
      <c r="C247" s="53" t="s">
        <v>44</v>
      </c>
      <c r="D247" s="53" t="s">
        <v>208</v>
      </c>
      <c r="E247" s="63" t="s">
        <v>6186</v>
      </c>
      <c r="F247" s="53" t="s">
        <v>312</v>
      </c>
      <c r="G247" s="69" t="s">
        <v>208</v>
      </c>
      <c r="H247" s="69" t="s">
        <v>6187</v>
      </c>
      <c r="I247" s="69" t="s">
        <v>271</v>
      </c>
      <c r="J247" s="53" t="s">
        <v>6118</v>
      </c>
      <c r="K247" s="72">
        <v>46153.46875</v>
      </c>
      <c r="L247" s="72">
        <v>46153.532638888886</v>
      </c>
      <c r="M247" s="72">
        <v>46153.588194444441</v>
      </c>
      <c r="N247" s="72">
        <v>46160.419444444444</v>
      </c>
      <c r="O247" s="72">
        <v>46156.877083333333</v>
      </c>
      <c r="P247" s="72">
        <v>46160.419444444444</v>
      </c>
      <c r="Q247" s="69" t="s">
        <v>6155</v>
      </c>
      <c r="R247" s="69" t="s">
        <v>261</v>
      </c>
      <c r="S247" s="69" t="s">
        <v>5699</v>
      </c>
      <c r="T247" s="53" t="s">
        <v>268</v>
      </c>
      <c r="U247" s="69" t="s">
        <v>5531</v>
      </c>
      <c r="X247" s="69" t="s">
        <v>5531</v>
      </c>
      <c r="Y247" s="69" t="s">
        <v>6188</v>
      </c>
      <c r="Z247" s="76">
        <f t="shared" ca="1" si="32"/>
        <v>1.3645833333333335</v>
      </c>
      <c r="AA247" s="75">
        <f t="shared" ca="1" si="33"/>
        <v>3.6388888888888888</v>
      </c>
      <c r="AB247" s="76">
        <f t="shared" ca="1" si="34"/>
        <v>1.3006944444471933</v>
      </c>
      <c r="AC247" s="75">
        <f t="shared" ca="1" si="35"/>
        <v>3.4685185185258489</v>
      </c>
      <c r="AD247" s="76">
        <f t="shared" ca="1" si="36"/>
        <v>5.5555555554747116E-2</v>
      </c>
      <c r="AE247" s="76">
        <f t="shared" ca="1" si="37"/>
        <v>1.3006944444471933</v>
      </c>
      <c r="AF247" s="75">
        <f t="shared" ca="1" si="38"/>
        <v>3.4685185185258489</v>
      </c>
      <c r="AG247" s="75">
        <f t="shared" ca="1" si="39"/>
        <v>3.4685185185258489</v>
      </c>
      <c r="AH247" s="31" t="str" cm="1">
        <f t="array" aca="1" ref="AH247" ca="1">IF((AD247) &lt; (INDEX(ResponseSLA[#All],(MATCH((G247),ResponseSLA[Priority],0))+1,3)),"YES","No")</f>
        <v>YES</v>
      </c>
      <c r="AI247" s="31" t="str">
        <f ca="1">_xlfn.IFNA(IF(AE247 &lt; (INDEX(SLATable[Minimum SLA],MATCH(G247,SLATable[Priority],0))),"YES","NO"),"")</f>
        <v>NO</v>
      </c>
      <c r="AJ247" t="str">
        <f ca="1">_xlfn.IFNA(IF(AE247 &lt; (INDEX(SLATable[Maximum SLA],MATCH(G247,SLATable[Priority],0))),"YES","NO"),"")</f>
        <v>NO</v>
      </c>
    </row>
    <row r="248" spans="2:36" ht="15" customHeight="1">
      <c r="B248" s="53" t="s">
        <v>26</v>
      </c>
      <c r="C248" s="53" t="s">
        <v>44</v>
      </c>
      <c r="D248" s="53" t="s">
        <v>207</v>
      </c>
      <c r="E248" s="63" t="s">
        <v>6189</v>
      </c>
      <c r="F248" s="53" t="s">
        <v>312</v>
      </c>
      <c r="G248" s="69">
        <v>4</v>
      </c>
      <c r="H248" s="69" t="s">
        <v>6132</v>
      </c>
      <c r="I248" s="69" t="s">
        <v>271</v>
      </c>
      <c r="J248" s="53" t="s">
        <v>6118</v>
      </c>
      <c r="K248" s="72">
        <v>46154.118055555555</v>
      </c>
      <c r="L248" s="72">
        <v>46154.118055555555</v>
      </c>
      <c r="M248" s="72">
        <v>46154.288888888892</v>
      </c>
      <c r="N248" s="72">
        <v>46160.402777777781</v>
      </c>
      <c r="O248" s="72"/>
      <c r="P248" s="72">
        <v>46160.402777777781</v>
      </c>
      <c r="Q248" s="69" t="s">
        <v>6119</v>
      </c>
      <c r="R248" s="69" t="s">
        <v>261</v>
      </c>
      <c r="S248" s="69" t="s">
        <v>6121</v>
      </c>
      <c r="T248" s="53" t="s">
        <v>268</v>
      </c>
      <c r="U248" s="69" t="s">
        <v>5531</v>
      </c>
      <c r="X248" s="69" t="s">
        <v>5531</v>
      </c>
      <c r="Y248" s="69" t="s">
        <v>6190</v>
      </c>
      <c r="Z248" s="76">
        <f t="shared" ca="1" si="32"/>
        <v>1.5694444444476785</v>
      </c>
      <c r="AA248" s="75">
        <f t="shared" ca="1" si="33"/>
        <v>4.1851851851938093</v>
      </c>
      <c r="AB248" s="76">
        <f t="shared" ca="1" si="34"/>
        <v>1.5694444444476785</v>
      </c>
      <c r="AC248" s="75">
        <f t="shared" ca="1" si="35"/>
        <v>4.1851851851938093</v>
      </c>
      <c r="AD248" s="76">
        <f t="shared" ca="1" si="36"/>
        <v>0</v>
      </c>
      <c r="AE248" s="76">
        <f t="shared" ca="1" si="37"/>
        <v>1.5694444444476785</v>
      </c>
      <c r="AF248" s="75">
        <f t="shared" ca="1" si="38"/>
        <v>4.1851851851938093</v>
      </c>
      <c r="AG248" s="75">
        <f t="shared" ca="1" si="39"/>
        <v>4.1851851851938093</v>
      </c>
      <c r="AH248" s="31" t="str" cm="1">
        <f t="array" aca="1" ref="AH248" ca="1">IF((AD248) &lt; (INDEX(ResponseSLA[#All],(MATCH((G248),ResponseSLA[Priority],0))+1,3)),"YES","No")</f>
        <v>YES</v>
      </c>
      <c r="AI248" s="31" t="str">
        <f ca="1">_xlfn.IFNA(IF(AE248 &lt; (INDEX(SLATable[Minimum SLA],MATCH(G248,SLATable[Priority],0))),"YES","NO"),"")</f>
        <v>YES</v>
      </c>
      <c r="AJ248" t="str">
        <f ca="1">_xlfn.IFNA(IF(AE248 &lt; (INDEX(SLATable[Maximum SLA],MATCH(G248,SLATable[Priority],0))),"YES","NO"),"")</f>
        <v>YES</v>
      </c>
    </row>
    <row r="249" spans="2:36" ht="15" customHeight="1">
      <c r="B249" s="45" t="s">
        <v>26</v>
      </c>
      <c r="C249" s="45" t="s">
        <v>44</v>
      </c>
      <c r="D249" s="45" t="s">
        <v>207</v>
      </c>
      <c r="E249" s="45" t="s">
        <v>6191</v>
      </c>
      <c r="F249" s="45" t="s">
        <v>312</v>
      </c>
      <c r="G249" s="45">
        <v>4</v>
      </c>
      <c r="H249" s="45" t="s">
        <v>6192</v>
      </c>
      <c r="I249" s="45" t="s">
        <v>271</v>
      </c>
      <c r="J249" s="45" t="s">
        <v>6118</v>
      </c>
      <c r="K249" s="47">
        <v>46126.293622685182</v>
      </c>
      <c r="L249" s="47">
        <v>46141.462465277778</v>
      </c>
      <c r="M249" s="47">
        <v>46141.462465277778</v>
      </c>
      <c r="N249" s="47">
        <v>46146.613206018519</v>
      </c>
      <c r="P249" s="47">
        <v>46146.613206018519</v>
      </c>
      <c r="Q249" s="45" t="s">
        <v>44</v>
      </c>
      <c r="R249" s="45" t="s">
        <v>272</v>
      </c>
      <c r="S249" s="45" t="s">
        <v>6121</v>
      </c>
      <c r="T249" s="45" t="s">
        <v>268</v>
      </c>
      <c r="U249" s="45" t="s">
        <v>5531</v>
      </c>
      <c r="X249" s="45" t="s">
        <v>5531</v>
      </c>
      <c r="Y249" s="69" t="s">
        <v>6193</v>
      </c>
      <c r="Z249" s="76">
        <f t="shared" ca="1" si="32"/>
        <v>4.5000000000000009</v>
      </c>
      <c r="AA249" s="75">
        <f t="shared" ca="1" si="33"/>
        <v>12.000000000000004</v>
      </c>
      <c r="AB249" s="76">
        <f t="shared" ca="1" si="34"/>
        <v>0.24586805555494118</v>
      </c>
      <c r="AC249" s="75">
        <f t="shared" ca="1" si="35"/>
        <v>0.65564814814650985</v>
      </c>
      <c r="AD249" s="76">
        <f t="shared" ca="1" si="36"/>
        <v>0</v>
      </c>
      <c r="AE249" s="76">
        <f t="shared" ca="1" si="37"/>
        <v>0.24586805555494118</v>
      </c>
      <c r="AF249" s="75">
        <f t="shared" ca="1" si="38"/>
        <v>0.65564814814650985</v>
      </c>
      <c r="AG249" s="75">
        <f t="shared" ca="1" si="39"/>
        <v>0.65564814814650985</v>
      </c>
      <c r="AH249" s="31" t="str" cm="1">
        <f t="array" aca="1" ref="AH249" ca="1">IF((AD249) &lt; (INDEX(ResponseSLA[#All],(MATCH((G249),ResponseSLA[Priority],0))+1,3)),"YES","No")</f>
        <v>YES</v>
      </c>
      <c r="AI249" s="31" t="str">
        <f ca="1">_xlfn.IFNA(IF(AE249 &lt; (INDEX(SLATable[Minimum SLA],MATCH(G249,SLATable[Priority],0))),"YES","NO"),"")</f>
        <v>YES</v>
      </c>
      <c r="AJ249" t="str">
        <f ca="1">_xlfn.IFNA(IF(AE249 &lt; (INDEX(SLATable[Maximum SLA],MATCH(G249,SLATable[Priority],0))),"YES","NO"),"")</f>
        <v>YES</v>
      </c>
    </row>
    <row r="250" spans="2:36" ht="15" customHeight="1">
      <c r="B250" s="45" t="s">
        <v>26</v>
      </c>
      <c r="C250" s="45" t="s">
        <v>44</v>
      </c>
      <c r="D250" s="45" t="s">
        <v>207</v>
      </c>
      <c r="E250" s="45" t="s">
        <v>6194</v>
      </c>
      <c r="F250" s="45" t="s">
        <v>312</v>
      </c>
      <c r="G250" s="45">
        <v>3</v>
      </c>
      <c r="H250" s="45" t="s">
        <v>6195</v>
      </c>
      <c r="I250" s="45" t="s">
        <v>271</v>
      </c>
      <c r="J250" s="45" t="s">
        <v>6118</v>
      </c>
      <c r="K250" s="47">
        <v>46120.67015046296</v>
      </c>
      <c r="L250" s="47">
        <v>46139.566296296296</v>
      </c>
      <c r="M250" s="47">
        <v>46139.566296296296</v>
      </c>
      <c r="N250" s="47">
        <v>46149.354004629633</v>
      </c>
      <c r="P250" s="47">
        <v>46149.354004629633</v>
      </c>
      <c r="Q250" s="45" t="s">
        <v>5534</v>
      </c>
      <c r="R250" s="45" t="s">
        <v>272</v>
      </c>
      <c r="S250" s="45" t="s">
        <v>6121</v>
      </c>
      <c r="T250" s="45" t="s">
        <v>268</v>
      </c>
      <c r="U250" s="45" t="s">
        <v>5531</v>
      </c>
      <c r="X250" s="45" t="s">
        <v>5531</v>
      </c>
      <c r="Y250" s="63" t="s">
        <v>6196</v>
      </c>
      <c r="Z250" s="76">
        <f t="shared" ca="1" si="32"/>
        <v>6.8088541666729734</v>
      </c>
      <c r="AA250" s="75">
        <f t="shared" ca="1" si="33"/>
        <v>18.156944444461264</v>
      </c>
      <c r="AB250" s="76">
        <f t="shared" ca="1" si="34"/>
        <v>2.0377083333369232</v>
      </c>
      <c r="AC250" s="75">
        <f t="shared" ca="1" si="35"/>
        <v>5.433888888898462</v>
      </c>
      <c r="AD250" s="76">
        <f t="shared" ca="1" si="36"/>
        <v>0</v>
      </c>
      <c r="AE250" s="76">
        <f t="shared" ca="1" si="37"/>
        <v>2.0377083333369232</v>
      </c>
      <c r="AF250" s="75">
        <f t="shared" ca="1" si="38"/>
        <v>5.433888888898462</v>
      </c>
      <c r="AG250" s="75">
        <f t="shared" ca="1" si="39"/>
        <v>5.433888888898462</v>
      </c>
      <c r="AH250" s="31" t="str" cm="1">
        <f t="array" aca="1" ref="AH250" ca="1">IF((AD250) &lt; (INDEX(ResponseSLA[#All],(MATCH((G250),ResponseSLA[Priority],0))+1,3)),"YES","No")</f>
        <v>YES</v>
      </c>
      <c r="AI250" s="31" t="str">
        <f ca="1">_xlfn.IFNA(IF(AE250 &lt; (INDEX(SLATable[Minimum SLA],MATCH(G250,SLATable[Priority],0))),"YES","NO"),"")</f>
        <v>NO</v>
      </c>
      <c r="AJ250" t="str">
        <f ca="1">_xlfn.IFNA(IF(AE250 &lt; (INDEX(SLATable[Maximum SLA],MATCH(G250,SLATable[Priority],0))),"YES","NO"),"")</f>
        <v>NO</v>
      </c>
    </row>
    <row r="251" spans="2:36" ht="15" customHeight="1">
      <c r="B251" s="45" t="s">
        <v>26</v>
      </c>
      <c r="C251" s="45" t="s">
        <v>44</v>
      </c>
      <c r="D251" s="45" t="s">
        <v>207</v>
      </c>
      <c r="E251" s="45" t="s">
        <v>6197</v>
      </c>
      <c r="F251" s="45" t="s">
        <v>312</v>
      </c>
      <c r="G251" s="45">
        <v>3</v>
      </c>
      <c r="H251" s="45" t="s">
        <v>6198</v>
      </c>
      <c r="I251" s="45" t="s">
        <v>271</v>
      </c>
      <c r="J251" s="45" t="s">
        <v>6118</v>
      </c>
      <c r="K251" s="47">
        <v>46132.5387962963</v>
      </c>
      <c r="L251" s="47">
        <v>46153.405624999999</v>
      </c>
      <c r="M251" s="47">
        <v>46153.405624999999</v>
      </c>
      <c r="N251" s="47">
        <v>46153.442187499997</v>
      </c>
      <c r="P251" s="47">
        <v>46153.442187499997</v>
      </c>
      <c r="Q251" s="45" t="s">
        <v>5534</v>
      </c>
      <c r="R251" s="45" t="s">
        <v>272</v>
      </c>
      <c r="S251" s="45" t="s">
        <v>6121</v>
      </c>
      <c r="T251" s="45" t="s">
        <v>268</v>
      </c>
      <c r="U251" s="45" t="s">
        <v>5531</v>
      </c>
      <c r="X251" s="45" t="s">
        <v>5531</v>
      </c>
      <c r="Y251" s="45" t="s">
        <v>6199</v>
      </c>
      <c r="Z251" s="76">
        <f t="shared" ca="1" si="32"/>
        <v>4.7783912036975389</v>
      </c>
      <c r="AA251" s="75">
        <f t="shared" ca="1" si="33"/>
        <v>12.742376543193437</v>
      </c>
      <c r="AB251" s="76">
        <f t="shared" ca="1" si="34"/>
        <v>3.6562499997671694E-2</v>
      </c>
      <c r="AC251" s="75">
        <f t="shared" ca="1" si="35"/>
        <v>9.7499999993791178E-2</v>
      </c>
      <c r="AD251" s="76">
        <f t="shared" ca="1" si="36"/>
        <v>0</v>
      </c>
      <c r="AE251" s="76">
        <f t="shared" ca="1" si="37"/>
        <v>3.6562499997671694E-2</v>
      </c>
      <c r="AF251" s="75">
        <f t="shared" ca="1" si="38"/>
        <v>9.7499999993791178E-2</v>
      </c>
      <c r="AG251" s="75">
        <f t="shared" ca="1" si="39"/>
        <v>9.7499999993791178E-2</v>
      </c>
      <c r="AH251" s="31" t="str" cm="1">
        <f t="array" aca="1" ref="AH251" ca="1">IF((AD251) &lt; (INDEX(ResponseSLA[#All],(MATCH((G251),ResponseSLA[Priority],0))+1,3)),"YES","No")</f>
        <v>YES</v>
      </c>
      <c r="AI251" s="31" t="str">
        <f ca="1">_xlfn.IFNA(IF(AE251 &lt; (INDEX(SLATable[Minimum SLA],MATCH(G251,SLATable[Priority],0))),"YES","NO"),"")</f>
        <v>YES</v>
      </c>
      <c r="AJ251" t="str">
        <f ca="1">_xlfn.IFNA(IF(AE251 &lt; (INDEX(SLATable[Maximum SLA],MATCH(G251,SLATable[Priority],0))),"YES","NO"),"")</f>
        <v>YES</v>
      </c>
    </row>
    <row r="252" spans="2:36" ht="15" customHeight="1">
      <c r="B252" s="45" t="s">
        <v>26</v>
      </c>
      <c r="C252" s="45" t="s">
        <v>44</v>
      </c>
      <c r="D252" s="45" t="s">
        <v>207</v>
      </c>
      <c r="E252" s="45" t="s">
        <v>6200</v>
      </c>
      <c r="F252" s="45" t="s">
        <v>312</v>
      </c>
      <c r="G252" s="45">
        <v>4</v>
      </c>
      <c r="H252" s="45" t="s">
        <v>6201</v>
      </c>
      <c r="I252" s="45" t="s">
        <v>271</v>
      </c>
      <c r="J252" s="45" t="s">
        <v>6118</v>
      </c>
      <c r="K252" s="47">
        <v>46135.67559027778</v>
      </c>
      <c r="L252" s="47">
        <v>46146.278969907406</v>
      </c>
      <c r="M252" s="47">
        <v>46146.278969907406</v>
      </c>
      <c r="N252" s="47">
        <v>46153.377337962964</v>
      </c>
      <c r="P252" s="47">
        <v>46153.377337962964</v>
      </c>
      <c r="Q252" s="45" t="s">
        <v>6202</v>
      </c>
      <c r="R252" s="45" t="s">
        <v>272</v>
      </c>
      <c r="S252" s="45" t="s">
        <v>6121</v>
      </c>
      <c r="T252" s="45" t="s">
        <v>268</v>
      </c>
      <c r="U252" s="45" t="s">
        <v>5531</v>
      </c>
      <c r="X252" s="45" t="s">
        <v>5531</v>
      </c>
      <c r="Y252" s="45" t="s">
        <v>6203</v>
      </c>
      <c r="Z252" s="76">
        <f t="shared" ca="1" si="32"/>
        <v>3.4517476851833635</v>
      </c>
      <c r="AA252" s="75">
        <f t="shared" ca="1" si="33"/>
        <v>9.2046604938223027</v>
      </c>
      <c r="AB252" s="76">
        <f t="shared" ca="1" si="34"/>
        <v>1.5440046296304599</v>
      </c>
      <c r="AC252" s="75">
        <f t="shared" ca="1" si="35"/>
        <v>4.1173456790145595</v>
      </c>
      <c r="AD252" s="76">
        <f t="shared" ca="1" si="36"/>
        <v>0</v>
      </c>
      <c r="AE252" s="76">
        <f t="shared" ca="1" si="37"/>
        <v>1.5440046296304599</v>
      </c>
      <c r="AF252" s="75">
        <f t="shared" ca="1" si="38"/>
        <v>4.1173456790145595</v>
      </c>
      <c r="AG252" s="75">
        <f t="shared" ca="1" si="39"/>
        <v>4.1173456790145595</v>
      </c>
      <c r="AH252" s="31" t="str" cm="1">
        <f t="array" aca="1" ref="AH252" ca="1">IF((AD252) &lt; (INDEX(ResponseSLA[#All],(MATCH((G252),ResponseSLA[Priority],0))+1,3)),"YES","No")</f>
        <v>YES</v>
      </c>
      <c r="AI252" s="31" t="str">
        <f ca="1">_xlfn.IFNA(IF(AE252 &lt; (INDEX(SLATable[Minimum SLA],MATCH(G252,SLATable[Priority],0))),"YES","NO"),"")</f>
        <v>YES</v>
      </c>
      <c r="AJ252" t="str">
        <f ca="1">_xlfn.IFNA(IF(AE252 &lt; (INDEX(SLATable[Maximum SLA],MATCH(G252,SLATable[Priority],0))),"YES","NO"),"")</f>
        <v>YES</v>
      </c>
    </row>
    <row r="253" spans="2:36" ht="15" customHeight="1">
      <c r="B253" s="45" t="s">
        <v>26</v>
      </c>
      <c r="C253" s="45" t="s">
        <v>44</v>
      </c>
      <c r="D253" s="45" t="s">
        <v>208</v>
      </c>
      <c r="E253" s="45" t="s">
        <v>6204</v>
      </c>
      <c r="F253" s="45" t="s">
        <v>312</v>
      </c>
      <c r="G253" s="45" t="s">
        <v>208</v>
      </c>
      <c r="H253" s="45" t="s">
        <v>2750</v>
      </c>
      <c r="I253" s="45" t="s">
        <v>271</v>
      </c>
      <c r="J253" s="45" t="s">
        <v>6118</v>
      </c>
      <c r="K253" s="47">
        <v>46139.613043981481</v>
      </c>
      <c r="L253" s="47">
        <v>46139.68608796296</v>
      </c>
      <c r="M253" s="47">
        <v>46139.68608796296</v>
      </c>
      <c r="N253" s="47">
        <v>46149.638449074075</v>
      </c>
      <c r="P253" s="47">
        <v>46149.638449074075</v>
      </c>
      <c r="Q253" s="45" t="s">
        <v>6205</v>
      </c>
      <c r="R253" s="45" t="s">
        <v>272</v>
      </c>
      <c r="S253" s="45" t="s">
        <v>6121</v>
      </c>
      <c r="T253" s="45" t="s">
        <v>268</v>
      </c>
      <c r="U253" s="45" t="s">
        <v>5531</v>
      </c>
      <c r="X253" s="45" t="s">
        <v>5531</v>
      </c>
      <c r="Y253" s="45" t="s">
        <v>6206</v>
      </c>
      <c r="Z253" s="76">
        <f t="shared" ca="1" si="32"/>
        <v>2.275405092594156</v>
      </c>
      <c r="AA253" s="75">
        <f t="shared" ca="1" si="33"/>
        <v>6.0677469135844166</v>
      </c>
      <c r="AB253" s="76">
        <f t="shared" ca="1" si="34"/>
        <v>2.2023611111144423</v>
      </c>
      <c r="AC253" s="75">
        <f t="shared" ca="1" si="35"/>
        <v>5.8729629629718465</v>
      </c>
      <c r="AD253" s="76">
        <f t="shared" ca="1" si="36"/>
        <v>0</v>
      </c>
      <c r="AE253" s="76">
        <f t="shared" ca="1" si="37"/>
        <v>2.2023611111144423</v>
      </c>
      <c r="AF253" s="75">
        <f t="shared" ca="1" si="38"/>
        <v>5.8729629629718465</v>
      </c>
      <c r="AG253" s="75">
        <f t="shared" ca="1" si="39"/>
        <v>5.8729629629718465</v>
      </c>
      <c r="AH253" s="31" t="str" cm="1">
        <f t="array" aca="1" ref="AH253" ca="1">IF((AD253) &lt; (INDEX(ResponseSLA[#All],(MATCH((G253),ResponseSLA[Priority],0))+1,3)),"YES","No")</f>
        <v>YES</v>
      </c>
      <c r="AI253" s="31" t="str">
        <f ca="1">_xlfn.IFNA(IF(AE253 &lt; (INDEX(SLATable[Minimum SLA],MATCH(G253,SLATable[Priority],0))),"YES","NO"),"")</f>
        <v>NO</v>
      </c>
      <c r="AJ253" t="str">
        <f ca="1">_xlfn.IFNA(IF(AE253 &lt; (INDEX(SLATable[Maximum SLA],MATCH(G253,SLATable[Priority],0))),"YES","NO"),"")</f>
        <v>NO</v>
      </c>
    </row>
    <row r="254" spans="2:36" ht="15" customHeight="1">
      <c r="B254" s="45" t="s">
        <v>26</v>
      </c>
      <c r="C254" s="45" t="s">
        <v>44</v>
      </c>
      <c r="D254" s="45" t="s">
        <v>207</v>
      </c>
      <c r="E254" s="45" t="s">
        <v>6207</v>
      </c>
      <c r="F254" s="45" t="s">
        <v>312</v>
      </c>
      <c r="G254" s="45">
        <v>4</v>
      </c>
      <c r="H254" s="45" t="s">
        <v>6208</v>
      </c>
      <c r="I254" s="45" t="s">
        <v>271</v>
      </c>
      <c r="J254" s="45" t="s">
        <v>6118</v>
      </c>
      <c r="K254" s="47">
        <v>46141.405717592592</v>
      </c>
      <c r="L254" s="47">
        <v>46153.625925925924</v>
      </c>
      <c r="M254" s="47">
        <v>46153.625925925924</v>
      </c>
      <c r="N254" s="47">
        <v>46160.391550925924</v>
      </c>
      <c r="P254" s="47">
        <v>46160.391550925924</v>
      </c>
      <c r="Q254" s="45" t="s">
        <v>5534</v>
      </c>
      <c r="R254" s="45" t="s">
        <v>272</v>
      </c>
      <c r="S254" s="45" t="s">
        <v>6121</v>
      </c>
      <c r="T254" s="45" t="s">
        <v>268</v>
      </c>
      <c r="U254" s="45" t="s">
        <v>5531</v>
      </c>
      <c r="X254" s="45" t="s">
        <v>5531</v>
      </c>
      <c r="Y254" s="45" t="s">
        <v>6209</v>
      </c>
      <c r="Z254" s="76">
        <f t="shared" ca="1" si="32"/>
        <v>4.1108333333322671</v>
      </c>
      <c r="AA254" s="75">
        <f t="shared" ca="1" si="33"/>
        <v>10.962222222219379</v>
      </c>
      <c r="AB254" s="76">
        <f t="shared" ca="1" si="34"/>
        <v>1.640625</v>
      </c>
      <c r="AC254" s="75">
        <f t="shared" ca="1" si="35"/>
        <v>4.375</v>
      </c>
      <c r="AD254" s="76">
        <f t="shared" ca="1" si="36"/>
        <v>0</v>
      </c>
      <c r="AE254" s="76">
        <f t="shared" ca="1" si="37"/>
        <v>1.640625</v>
      </c>
      <c r="AF254" s="75">
        <f t="shared" ca="1" si="38"/>
        <v>4.375</v>
      </c>
      <c r="AG254" s="75">
        <f t="shared" ca="1" si="39"/>
        <v>4.375</v>
      </c>
      <c r="AH254" s="31" t="str" cm="1">
        <f t="array" aca="1" ref="AH254" ca="1">IF((AD254) &lt; (INDEX(ResponseSLA[#All],(MATCH((G254),ResponseSLA[Priority],0))+1,3)),"YES","No")</f>
        <v>YES</v>
      </c>
      <c r="AI254" s="31" t="str">
        <f ca="1">_xlfn.IFNA(IF(AE254 &lt; (INDEX(SLATable[Minimum SLA],MATCH(G254,SLATable[Priority],0))),"YES","NO"),"")</f>
        <v>YES</v>
      </c>
      <c r="AJ254" t="str">
        <f ca="1">_xlfn.IFNA(IF(AE254 &lt; (INDEX(SLATable[Maximum SLA],MATCH(G254,SLATable[Priority],0))),"YES","NO"),"")</f>
        <v>YES</v>
      </c>
    </row>
    <row r="255" spans="2:36" ht="15" customHeight="1">
      <c r="B255" s="45" t="s">
        <v>26</v>
      </c>
      <c r="C255" s="45" t="s">
        <v>44</v>
      </c>
      <c r="D255" s="45" t="s">
        <v>207</v>
      </c>
      <c r="E255" s="45" t="s">
        <v>6210</v>
      </c>
      <c r="F255" s="45" t="s">
        <v>312</v>
      </c>
      <c r="G255" s="45">
        <v>3</v>
      </c>
      <c r="H255" s="45" t="s">
        <v>6211</v>
      </c>
      <c r="I255" s="45" t="s">
        <v>275</v>
      </c>
      <c r="J255" s="45" t="s">
        <v>6118</v>
      </c>
      <c r="K255" s="47">
        <v>46142.435706018521</v>
      </c>
      <c r="L255" s="47">
        <v>46146.281747685185</v>
      </c>
      <c r="M255" s="47">
        <v>46146.281747685185</v>
      </c>
      <c r="N255" s="47">
        <v>46149.549664351849</v>
      </c>
      <c r="P255" s="47">
        <v>46149.549664351849</v>
      </c>
      <c r="Q255" s="45" t="s">
        <v>6212</v>
      </c>
      <c r="R255" s="45" t="s">
        <v>272</v>
      </c>
      <c r="S255" s="45" t="s">
        <v>6121</v>
      </c>
      <c r="T255" s="45" t="s">
        <v>268</v>
      </c>
      <c r="U255" s="45" t="s">
        <v>5531</v>
      </c>
      <c r="X255" s="45" t="s">
        <v>5531</v>
      </c>
      <c r="Y255" s="45" t="s">
        <v>6213</v>
      </c>
      <c r="Z255" s="76">
        <f t="shared" ca="1" si="32"/>
        <v>1.2389583333279008</v>
      </c>
      <c r="AA255" s="75">
        <f t="shared" ca="1" si="33"/>
        <v>3.3038888888744022</v>
      </c>
      <c r="AB255" s="76">
        <f t="shared" ca="1" si="34"/>
        <v>0.96633101851572678</v>
      </c>
      <c r="AC255" s="75">
        <f t="shared" ca="1" si="35"/>
        <v>2.5768827160419381</v>
      </c>
      <c r="AD255" s="76">
        <f t="shared" ca="1" si="36"/>
        <v>0</v>
      </c>
      <c r="AE255" s="76">
        <f t="shared" ca="1" si="37"/>
        <v>0.96633101851572678</v>
      </c>
      <c r="AF255" s="75">
        <f t="shared" ca="1" si="38"/>
        <v>2.5768827160419381</v>
      </c>
      <c r="AG255" s="75">
        <f t="shared" ca="1" si="39"/>
        <v>2.5768827160419381</v>
      </c>
      <c r="AH255" s="31" t="str" cm="1">
        <f t="array" aca="1" ref="AH255" ca="1">IF((AD255) &lt; (INDEX(ResponseSLA[#All],(MATCH((G255),ResponseSLA[Priority],0))+1,3)),"YES","No")</f>
        <v>YES</v>
      </c>
      <c r="AI255" s="31" t="str">
        <f ca="1">_xlfn.IFNA(IF(AE255 &lt; (INDEX(SLATable[Minimum SLA],MATCH(G255,SLATable[Priority],0))),"YES","NO"),"")</f>
        <v>NO</v>
      </c>
      <c r="AJ255" t="str">
        <f ca="1">_xlfn.IFNA(IF(AE255 &lt; (INDEX(SLATable[Maximum SLA],MATCH(G255,SLATable[Priority],0))),"YES","NO"),"")</f>
        <v>YES</v>
      </c>
    </row>
    <row r="256" spans="2:36" ht="15" customHeight="1">
      <c r="B256" s="45" t="s">
        <v>26</v>
      </c>
      <c r="C256" s="45" t="s">
        <v>44</v>
      </c>
      <c r="D256" s="45" t="s">
        <v>207</v>
      </c>
      <c r="E256" s="45" t="s">
        <v>6214</v>
      </c>
      <c r="F256" s="45" t="s">
        <v>312</v>
      </c>
      <c r="G256" s="45">
        <v>4</v>
      </c>
      <c r="H256" s="45" t="s">
        <v>6215</v>
      </c>
      <c r="I256" s="45" t="s">
        <v>271</v>
      </c>
      <c r="J256" s="45" t="s">
        <v>6118</v>
      </c>
      <c r="K256" s="47">
        <v>46135.087812500002</v>
      </c>
      <c r="L256" s="47">
        <v>46139.272245370368</v>
      </c>
      <c r="M256" s="47">
        <v>46139.272245370368</v>
      </c>
      <c r="N256" s="47">
        <v>46140.295428240737</v>
      </c>
      <c r="P256" s="47">
        <v>46140.295138888891</v>
      </c>
      <c r="Q256" s="45" t="s">
        <v>6119</v>
      </c>
      <c r="R256" s="45" t="s">
        <v>272</v>
      </c>
      <c r="S256" s="45" t="s">
        <v>6121</v>
      </c>
      <c r="T256" s="45" t="s">
        <v>268</v>
      </c>
      <c r="U256" s="45" t="s">
        <v>5531</v>
      </c>
      <c r="X256" s="45" t="s">
        <v>5531</v>
      </c>
      <c r="Y256" s="45" t="s">
        <v>6216</v>
      </c>
      <c r="Z256" s="76">
        <f t="shared" ca="1" si="32"/>
        <v>1.1250000000000002</v>
      </c>
      <c r="AA256" s="75">
        <f t="shared" ca="1" si="33"/>
        <v>3.0000000000000009</v>
      </c>
      <c r="AB256" s="76">
        <f t="shared" ca="1" si="34"/>
        <v>0.37500000000000006</v>
      </c>
      <c r="AC256" s="75">
        <f t="shared" ca="1" si="35"/>
        <v>1.0000000000000002</v>
      </c>
      <c r="AD256" s="76">
        <f t="shared" ca="1" si="36"/>
        <v>0</v>
      </c>
      <c r="AE256" s="76">
        <f t="shared" ca="1" si="37"/>
        <v>0.37500000000000006</v>
      </c>
      <c r="AF256" s="75">
        <f t="shared" ca="1" si="38"/>
        <v>1.0000000000000002</v>
      </c>
      <c r="AG256" s="75">
        <f t="shared" ca="1" si="39"/>
        <v>1.0000000000000002</v>
      </c>
      <c r="AH256" s="31" t="str" cm="1">
        <f t="array" aca="1" ref="AH256" ca="1">IF((AD256) &lt; (INDEX(ResponseSLA[#All],(MATCH((G256),ResponseSLA[Priority],0))+1,3)),"YES","No")</f>
        <v>YES</v>
      </c>
      <c r="AI256" s="31" t="str">
        <f ca="1">_xlfn.IFNA(IF(AE256 &lt; (INDEX(SLATable[Minimum SLA],MATCH(G256,SLATable[Priority],0))),"YES","NO"),"")</f>
        <v>YES</v>
      </c>
      <c r="AJ256" t="str">
        <f ca="1">_xlfn.IFNA(IF(AE256 &lt; (INDEX(SLATable[Maximum SLA],MATCH(G256,SLATable[Priority],0))),"YES","NO"),"")</f>
        <v>YES</v>
      </c>
    </row>
    <row r="257" spans="2:36" ht="15" customHeight="1">
      <c r="B257" s="45" t="s">
        <v>26</v>
      </c>
      <c r="C257" s="45" t="s">
        <v>44</v>
      </c>
      <c r="D257" s="45" t="s">
        <v>207</v>
      </c>
      <c r="E257" s="45" t="s">
        <v>6217</v>
      </c>
      <c r="F257" s="45" t="s">
        <v>312</v>
      </c>
      <c r="G257" s="45">
        <v>4</v>
      </c>
      <c r="H257" s="45" t="s">
        <v>6218</v>
      </c>
      <c r="J257" s="45" t="s">
        <v>6118</v>
      </c>
      <c r="K257" s="47">
        <v>46135.087812500002</v>
      </c>
      <c r="L257" s="47">
        <v>46139.272245370368</v>
      </c>
      <c r="M257" s="47">
        <v>46139.272245370368</v>
      </c>
      <c r="N257" s="47">
        <v>46153.373564814814</v>
      </c>
      <c r="P257" s="47">
        <v>46153.373564814814</v>
      </c>
      <c r="Q257" s="45" t="s">
        <v>6119</v>
      </c>
      <c r="R257" s="45" t="s">
        <v>272</v>
      </c>
      <c r="S257" s="45" t="s">
        <v>6121</v>
      </c>
      <c r="T257" s="45" t="s">
        <v>268</v>
      </c>
      <c r="U257" s="45" t="s">
        <v>5531</v>
      </c>
      <c r="X257" s="45" t="s">
        <v>5531</v>
      </c>
      <c r="Y257" s="45" t="s">
        <v>6216</v>
      </c>
      <c r="Z257" s="76">
        <f t="shared" ca="1" si="32"/>
        <v>3.7902314814806837</v>
      </c>
      <c r="AA257" s="75">
        <f t="shared" ca="1" si="33"/>
        <v>10.107283950615157</v>
      </c>
      <c r="AB257" s="76">
        <f t="shared" ca="1" si="34"/>
        <v>3.0402314814806841</v>
      </c>
      <c r="AC257" s="75">
        <f t="shared" ca="1" si="35"/>
        <v>8.1072839506151571</v>
      </c>
      <c r="AD257" s="76">
        <f t="shared" ca="1" si="36"/>
        <v>0</v>
      </c>
      <c r="AE257" s="76">
        <f t="shared" ca="1" si="37"/>
        <v>3.0402314814806841</v>
      </c>
      <c r="AF257" s="75">
        <f t="shared" ca="1" si="38"/>
        <v>8.1072839506151571</v>
      </c>
      <c r="AG257" s="75">
        <f t="shared" ca="1" si="39"/>
        <v>8.1072839506151571</v>
      </c>
      <c r="AH257" s="31" t="str" cm="1">
        <f t="array" aca="1" ref="AH257" ca="1">IF((AD257) &lt; (INDEX(ResponseSLA[#All],(MATCH((G257),ResponseSLA[Priority],0))+1,3)),"YES","No")</f>
        <v>YES</v>
      </c>
      <c r="AI257" s="31" t="str">
        <f ca="1">_xlfn.IFNA(IF(AE257 &lt; (INDEX(SLATable[Minimum SLA],MATCH(G257,SLATable[Priority],0))),"YES","NO"),"")</f>
        <v>YES</v>
      </c>
      <c r="AJ257" t="str">
        <f ca="1">_xlfn.IFNA(IF(AE257 &lt; (INDEX(SLATable[Maximum SLA],MATCH(G257,SLATable[Priority],0))),"YES","NO"),"")</f>
        <v>YES</v>
      </c>
    </row>
    <row r="258" spans="2:36" ht="15" customHeight="1">
      <c r="B258" s="45" t="s">
        <v>26</v>
      </c>
      <c r="C258" s="53" t="s">
        <v>44</v>
      </c>
      <c r="D258" s="53" t="s">
        <v>207</v>
      </c>
      <c r="E258" s="63" t="s">
        <v>6219</v>
      </c>
      <c r="F258" s="53" t="s">
        <v>312</v>
      </c>
      <c r="G258" s="69">
        <v>3</v>
      </c>
      <c r="H258" s="69" t="s">
        <v>6220</v>
      </c>
      <c r="I258" s="69" t="s">
        <v>260</v>
      </c>
      <c r="J258" s="69" t="s">
        <v>6221</v>
      </c>
      <c r="K258" s="72">
        <v>46170.615949074076</v>
      </c>
      <c r="L258" s="72">
        <v>46170.616666666669</v>
      </c>
      <c r="M258" s="72">
        <v>46170.72152777778</v>
      </c>
      <c r="N258" s="72">
        <v>46174.628472222219</v>
      </c>
      <c r="O258" s="72"/>
      <c r="P258" s="72"/>
      <c r="Q258" s="69" t="s">
        <v>6222</v>
      </c>
      <c r="R258" s="69" t="s">
        <v>272</v>
      </c>
      <c r="S258" s="69" t="s">
        <v>5699</v>
      </c>
      <c r="T258" s="53" t="s">
        <v>268</v>
      </c>
      <c r="U258" s="69" t="s">
        <v>371</v>
      </c>
      <c r="X258" s="69" t="s">
        <v>371</v>
      </c>
      <c r="Y258" s="69" t="s">
        <v>6223</v>
      </c>
      <c r="Z258" s="76">
        <f t="shared" ca="1" si="32"/>
        <v>0.76252314814337296</v>
      </c>
      <c r="AA258" s="75">
        <f t="shared" ca="1" si="33"/>
        <v>2.0333950617156611</v>
      </c>
      <c r="AB258" s="76">
        <f t="shared" ca="1" si="34"/>
        <v>0.76180555555038154</v>
      </c>
      <c r="AC258" s="75">
        <f t="shared" ca="1" si="35"/>
        <v>2.0314814814676843</v>
      </c>
      <c r="AD258" s="76">
        <f t="shared" ca="1" si="36"/>
        <v>9.1666666664726448E-2</v>
      </c>
      <c r="AE258" s="76">
        <f t="shared" ca="1" si="37"/>
        <v>1.1368055555503815</v>
      </c>
      <c r="AF258" s="75">
        <f t="shared" ca="1" si="38"/>
        <v>3.0314814814676843</v>
      </c>
      <c r="AG258" s="75">
        <f t="shared" ca="1" si="39"/>
        <v>3.0314814814676843</v>
      </c>
      <c r="AH258" s="31" t="str" cm="1">
        <f t="array" aca="1" ref="AH258" ca="1">IF((AD258) &lt; (INDEX(ResponseSLA[#All],(MATCH((G258),ResponseSLA[Priority],0))+1,3)),"YES","No")</f>
        <v>No</v>
      </c>
      <c r="AI258" s="31" t="str">
        <f ca="1">_xlfn.IFNA(IF(AE258 &lt; (INDEX(SLATable[Minimum SLA],MATCH(G258,SLATable[Priority],0))),"YES","NO"),"")</f>
        <v>NO</v>
      </c>
      <c r="AJ258" t="str">
        <f ca="1">_xlfn.IFNA(IF(AE258 &lt; (INDEX(SLATable[Maximum SLA],MATCH(G258,SLATable[Priority],0))),"YES","NO"),"")</f>
        <v>YES</v>
      </c>
    </row>
    <row r="259" spans="2:36" ht="15" customHeight="1">
      <c r="B259" s="53" t="s">
        <v>26</v>
      </c>
      <c r="C259" s="53" t="s">
        <v>44</v>
      </c>
      <c r="D259" s="53" t="s">
        <v>207</v>
      </c>
      <c r="E259" s="63" t="s">
        <v>6224</v>
      </c>
      <c r="F259" s="53" t="s">
        <v>312</v>
      </c>
      <c r="G259" s="69">
        <v>4</v>
      </c>
      <c r="H259" s="69" t="s">
        <v>6225</v>
      </c>
      <c r="I259" s="69" t="s">
        <v>260</v>
      </c>
      <c r="J259" s="69" t="s">
        <v>6221</v>
      </c>
      <c r="K259" s="72">
        <v>46169.824166666665</v>
      </c>
      <c r="L259" s="72">
        <v>46169.824166666665</v>
      </c>
      <c r="M259" s="72">
        <v>46169.847916666666</v>
      </c>
      <c r="N259" s="72">
        <v>46174.635416666664</v>
      </c>
      <c r="O259" s="72"/>
      <c r="P259" s="72"/>
      <c r="Q259" s="69" t="s">
        <v>6119</v>
      </c>
      <c r="R259" s="69" t="s">
        <v>261</v>
      </c>
      <c r="S259" s="69" t="s">
        <v>6121</v>
      </c>
      <c r="T259" s="53" t="s">
        <v>268</v>
      </c>
      <c r="U259" s="69" t="s">
        <v>5531</v>
      </c>
      <c r="X259" s="69" t="s">
        <v>5531</v>
      </c>
      <c r="Y259" s="69" t="s">
        <v>6122</v>
      </c>
      <c r="Z259" s="76">
        <f t="shared" ref="Z259:Z322" ca="1" si="40">IF(NOT(OR(G259=1,G259=2)),MAX(0,_xlfn.IFS(AND(K259&lt;&gt;"",N259&lt;&gt;""),((MAX(NETWORKDAYS(K259,N259,UKBankHolidays)-1,0))*(TIME(17,0,0)-TIME(8,0,0))+IF(NETWORKDAYS(N259,N259,UKBankHolidays)&gt;0,MEDIAN(TIME(8,0,0),MOD(N259,1),TIME(17,0,0)),TIME(8,0,0))-IF(NETWORKDAYS(K259,K259,UKBankHolidays)&gt;0,MEDIAN(TIME(8,0,0),MOD(K259,1),TIME(17,0,0)),TIME(8,0,0)))-IF(AND(O259&lt;&gt;"",P259&lt;&gt;""),((MAX(NETWORKDAYS(O259,P259,UKBankHolidays)-1,0))*(TIME(17,0,0)-TIME(8,0,0))+IF(NETWORKDAYS(P259,P259,UKBankHolidays)&gt;0,MEDIAN(TIME(8,0,0),MOD(P259,1),TIME(17,0,0)),TIME(8,0,0))-IF(NETWORKDAYS(O259,O259,UKBankHolidays)&gt;0,MEDIAN(TIME(8,0,0),MOD(O259,1),TIME(17,0,0)),TIME(8,0,0))),0),AND(K259&lt;&gt;"",N259=""),((MAX(NETWORKDAYS(K259,NOW(),UKBankHolidays)-1,0))*(TIME(17,0,0)-TIME(8,0,0))+IF(NETWORKDAYS(NOW(),NOW(),UKBankHolidays)&gt;0,MEDIAN(TIME(8,0,0),MOD(NOW(),1),TIME(17,0,0)),TIME(8,0,0))-IF(NETWORKDAYS(K259,K259,UKBankHolidays)&gt;0,MEDIAN(TIME(8,0,0),MOD(K259,1),TIME(17,0,0)),TIME(8,0,0))))),IF(N259="",NOW()-K259,N259-K259))</f>
        <v>1.0520833333309083</v>
      </c>
      <c r="AA259" s="75">
        <f t="shared" ref="AA259:AA322" ca="1" si="41">(Z259*24)/9</f>
        <v>2.805555555549089</v>
      </c>
      <c r="AB259" s="76">
        <f t="shared" ref="AB259:AB322" ca="1" si="42">IF(NOT(OR(G259=1,G259=2)),MAX(0,_xlfn.IFS(AND(K259&lt;&gt;"",N259&lt;&gt;""),(((MAX(NETWORKDAYS(L259,N259,UKBankHolidays)-1,0))*(TIME(17,0,0)-TIME(8,0,0)))+IF(NETWORKDAYS(N259,N259,UKBankHolidays)&gt;0,MEDIAN(TIME(8,0,0),MOD(N259,1),TIME(17,0,0)),TIME(8,0,0))-IF(NETWORKDAYS(L259,L259,UKBankHolidays)&gt;0,MEDIAN(TIME(8,0,0),MOD(L259,1),TIME(17,0,0)),TIME(8,0,0)))-IF(AND(O259&lt;&gt;"",P259&lt;&gt;""),(((MAX(NETWORKDAYS(O259,P259,UKBankHolidays)-1,0))*(TIME(17,0,0)-TIME(8,0,0)))+IF(NETWORKDAYS(P259,P259,UKBankHolidays)&gt;0,MEDIAN(TIME(8,0,0),MOD(P259,1),TIME(17,0,0)),TIME(8,0,0))-IF(NETWORKDAYS(O259,O259,UKBankHolidays)&gt;0,MEDIAN(TIME(8,0,0),MOD(O259,1),TIME(17,0,0)),TIME(8,0,0))),0),AND(L259&lt;&gt;"",N259="",O259=""),(((MAX(NETWORKDAYS(L259,NOW(),UKBankHolidays)-1,0))*(TIME(17,0,0)-TIME(8,0,0)))+IF(NETWORKDAYS(NOW(),NOW(),UKBankHolidays)&gt;0,MEDIAN(TIME(8,0,0),MOD(NOW(),1),TIME(17,0,0)),TIME(8,0,0))-IF(NETWORKDAYS(L259,L259,UKBankHolidays)&gt;0,MEDIAN(TIME(8,0,0),MOD(L259,1),TIME(17,0,0)),TIME(8,0,0)))-IF(AND(O259&lt;&gt;"",P259&lt;&gt;""),(((MAX(NETWORKDAYS(O259,P259,UKBankHolidays)-1,0))*(TIME(17,0,0)-TIME(8,0,0)))+IF(NETWORKDAYS(P259,P259,UKBankHolidays)&gt;0,MEDIAN(TIME(8,0,0),MOD(P259,1),TIME(17,0,0)),TIME(8,0,0))-IF(NETWORKDAYS(O259,O259,UKBankHolidays)&gt;0,MEDIAN(TIME(8,0,0),MOD(O259,1),TIME(17,0,0)),TIME(8,0,0))),0),AND(L259&lt;&gt;"",N259="",P259="",O259&lt;&gt;""),(((MAX(NETWORKDAYS(L259,O259,UKBankHolidays)-1,0))*(TIME(17,0,0)-TIME(8,0,0)))+IF(NETWORKDAYS(O259,O259,UKBankHolidays)&gt;0,MEDIAN(TIME(8,0,0),MOD(O259,1),TIME(17,0,0)),TIME(8,0,0))-IF(NETWORKDAYS(L259,L259,UKBankHolidays)&gt;0,MEDIAN(TIME(8,0,0),MOD(L259,1),TIME(17,0,0)),TIME(8,0,0))),ISBLANK(K259),"0")),IF(ISBLANK(N259),NOW()-L259,N259-L259))</f>
        <v>1.0520833333309083</v>
      </c>
      <c r="AC259" s="75">
        <f t="shared" ref="AC259:AC322" ca="1" si="43">(AB259*24)/9</f>
        <v>2.805555555549089</v>
      </c>
      <c r="AD259" s="76">
        <f t="shared" ref="AD259:AD322" ca="1" si="44">MAX(0,IF(NOT(OR(G259=1,G259=2)),IF(M259&lt;&gt;"",((MAX(NETWORKDAYS(L259,M259,UKBankHolidays)-1,0))*(TIME(17,0,0)-TIME(8,0,0))+IF(NETWORKDAYS(M259,M259,UKBankHolidays)&gt;0,MEDIAN(TIME(8,0,0),MOD(M259,1),TIME(17,0,0)),TIME(8,0,0))-MEDIAN(TIME(8,0,0),MOD(L259,1),TIME(17,0,0))),((MAX(NETWORKDAYS(L259,NOW(),UKBankHolidays)-1,0))*(TIME(17,0,0)-TIME(8,0,0))+IF(NETWORKDAYS(NOW(),NOW(),UKBankHolidays)&gt;0,MEDIAN(TIME(8,0,0),MOD(NOW(),1),TIME(17,0,0)),TIME(8,0,0))-MEDIAN(TIME(8,0,0),MOD(L259,1),TIME(17,0,0)))),IF(M259&lt;&gt;"",M259-L259,NOW()-L259)))</f>
        <v>0</v>
      </c>
      <c r="AE259" s="76">
        <f t="shared" ref="AE259:AE322" ca="1" si="45">SUMIFS(AB:AB,E:E,E259)</f>
        <v>1.0520833333309083</v>
      </c>
      <c r="AF259" s="75">
        <f t="shared" ref="AF259:AF322" ca="1" si="46">(AE259*24)/9</f>
        <v>2.805555555549089</v>
      </c>
      <c r="AG259" s="75">
        <f t="shared" ref="AG259:AG322" ca="1" si="47">AF259</f>
        <v>2.805555555549089</v>
      </c>
      <c r="AH259" s="31" t="str" cm="1">
        <f t="array" aca="1" ref="AH259" ca="1">IF((AD259) &lt; (INDEX(ResponseSLA[#All],(MATCH((G259),ResponseSLA[Priority],0))+1,3)),"YES","No")</f>
        <v>YES</v>
      </c>
      <c r="AI259" s="31" t="str">
        <f ca="1">_xlfn.IFNA(IF(AE259 &lt; (INDEX(SLATable[Minimum SLA],MATCH(G259,SLATable[Priority],0))),"YES","NO"),"")</f>
        <v>YES</v>
      </c>
      <c r="AJ259" t="str">
        <f ca="1">_xlfn.IFNA(IF(AE259 &lt; (INDEX(SLATable[Maximum SLA],MATCH(G259,SLATable[Priority],0))),"YES","NO"),"")</f>
        <v>YES</v>
      </c>
    </row>
    <row r="260" spans="2:36" ht="15" customHeight="1">
      <c r="B260" s="53" t="s">
        <v>26</v>
      </c>
      <c r="C260" s="53" t="s">
        <v>44</v>
      </c>
      <c r="D260" s="53" t="s">
        <v>207</v>
      </c>
      <c r="E260" s="63" t="s">
        <v>6226</v>
      </c>
      <c r="F260" s="53" t="s">
        <v>312</v>
      </c>
      <c r="G260" s="69">
        <v>4</v>
      </c>
      <c r="H260" s="69" t="s">
        <v>6227</v>
      </c>
      <c r="I260" s="69" t="s">
        <v>260</v>
      </c>
      <c r="J260" s="69" t="s">
        <v>6221</v>
      </c>
      <c r="K260" s="72">
        <v>46168.660925925928</v>
      </c>
      <c r="L260" s="72">
        <v>46168.660416666666</v>
      </c>
      <c r="M260" s="72">
        <v>46168.784722222219</v>
      </c>
      <c r="N260" s="72">
        <v>46174.636805555558</v>
      </c>
      <c r="O260" s="72"/>
      <c r="P260" s="72"/>
      <c r="Q260" s="69" t="s">
        <v>6119</v>
      </c>
      <c r="R260" s="69" t="s">
        <v>261</v>
      </c>
      <c r="S260" s="69" t="s">
        <v>6121</v>
      </c>
      <c r="T260" s="53" t="s">
        <v>268</v>
      </c>
      <c r="U260" s="69" t="s">
        <v>5531</v>
      </c>
      <c r="X260" s="69" t="s">
        <v>5531</v>
      </c>
      <c r="Y260" s="69" t="s">
        <v>6122</v>
      </c>
      <c r="Z260" s="76">
        <f t="shared" ca="1" si="40"/>
        <v>1.4758796296300716</v>
      </c>
      <c r="AA260" s="75">
        <f t="shared" ca="1" si="41"/>
        <v>3.9356790123468577</v>
      </c>
      <c r="AB260" s="76">
        <f t="shared" ca="1" si="42"/>
        <v>1.476388888891961</v>
      </c>
      <c r="AC260" s="75">
        <f t="shared" ca="1" si="43"/>
        <v>3.9370370370452292</v>
      </c>
      <c r="AD260" s="76">
        <f t="shared" ca="1" si="44"/>
        <v>4.7916666667636831E-2</v>
      </c>
      <c r="AE260" s="76">
        <f t="shared" ca="1" si="45"/>
        <v>1.476388888891961</v>
      </c>
      <c r="AF260" s="75">
        <f t="shared" ca="1" si="46"/>
        <v>3.9370370370452292</v>
      </c>
      <c r="AG260" s="75">
        <f t="shared" ca="1" si="47"/>
        <v>3.9370370370452292</v>
      </c>
      <c r="AH260" s="31" t="str" cm="1">
        <f t="array" aca="1" ref="AH260" ca="1">IF((AD260) &lt; (INDEX(ResponseSLA[#All],(MATCH((G260),ResponseSLA[Priority],0))+1,3)),"YES","No")</f>
        <v>YES</v>
      </c>
      <c r="AI260" s="31" t="str">
        <f ca="1">_xlfn.IFNA(IF(AE260 &lt; (INDEX(SLATable[Minimum SLA],MATCH(G260,SLATable[Priority],0))),"YES","NO"),"")</f>
        <v>YES</v>
      </c>
      <c r="AJ260" t="str">
        <f ca="1">_xlfn.IFNA(IF(AE260 &lt; (INDEX(SLATable[Maximum SLA],MATCH(G260,SLATable[Priority],0))),"YES","NO"),"")</f>
        <v>YES</v>
      </c>
    </row>
    <row r="261" spans="2:36" ht="15" customHeight="1">
      <c r="B261" s="53" t="s">
        <v>26</v>
      </c>
      <c r="C261" s="53" t="s">
        <v>44</v>
      </c>
      <c r="D261" s="53" t="s">
        <v>207</v>
      </c>
      <c r="E261" s="63" t="s">
        <v>6228</v>
      </c>
      <c r="F261" s="53" t="s">
        <v>312</v>
      </c>
      <c r="G261" s="69">
        <v>4</v>
      </c>
      <c r="H261" s="69" t="s">
        <v>6229</v>
      </c>
      <c r="I261" s="69" t="s">
        <v>260</v>
      </c>
      <c r="J261" s="69" t="s">
        <v>6221</v>
      </c>
      <c r="K261" s="72">
        <v>46171.299212962964</v>
      </c>
      <c r="L261" s="72">
        <v>46171.299212962964</v>
      </c>
      <c r="M261" s="72">
        <v>46171.490972222222</v>
      </c>
      <c r="N261" s="72">
        <v>46174.631944444445</v>
      </c>
      <c r="O261" s="72"/>
      <c r="Q261" s="69" t="s">
        <v>6119</v>
      </c>
      <c r="R261" s="69" t="s">
        <v>261</v>
      </c>
      <c r="S261" s="69" t="s">
        <v>6121</v>
      </c>
      <c r="T261" s="53" t="s">
        <v>268</v>
      </c>
      <c r="U261" s="69" t="s">
        <v>5531</v>
      </c>
      <c r="X261" s="69" t="s">
        <v>5531</v>
      </c>
      <c r="Y261" s="69" t="s">
        <v>6122</v>
      </c>
      <c r="Z261" s="76">
        <f t="shared" ca="1" si="40"/>
        <v>0.67361111111191962</v>
      </c>
      <c r="AA261" s="75">
        <f t="shared" ca="1" si="41"/>
        <v>1.7962962962984521</v>
      </c>
      <c r="AB261" s="76">
        <f t="shared" ca="1" si="42"/>
        <v>0.67361111111191962</v>
      </c>
      <c r="AC261" s="75">
        <f t="shared" ca="1" si="43"/>
        <v>1.7962962962984521</v>
      </c>
      <c r="AD261" s="76">
        <f t="shared" ca="1" si="44"/>
        <v>0.15763888888856553</v>
      </c>
      <c r="AE261" s="76">
        <f t="shared" ca="1" si="45"/>
        <v>0.67361111111191962</v>
      </c>
      <c r="AF261" s="75">
        <f t="shared" ca="1" si="46"/>
        <v>1.7962962962984521</v>
      </c>
      <c r="AG261" s="75">
        <f t="shared" ca="1" si="47"/>
        <v>1.7962962962984521</v>
      </c>
      <c r="AH261" s="31" t="str" cm="1">
        <f t="array" aca="1" ref="AH261" ca="1">IF((AD261) &lt; (INDEX(ResponseSLA[#All],(MATCH((G261),ResponseSLA[Priority],0))+1,3)),"YES","No")</f>
        <v>No</v>
      </c>
      <c r="AI261" s="31" t="str">
        <f ca="1">_xlfn.IFNA(IF(AE261 &lt; (INDEX(SLATable[Minimum SLA],MATCH(G261,SLATable[Priority],0))),"YES","NO"),"")</f>
        <v>YES</v>
      </c>
      <c r="AJ261" t="str">
        <f ca="1">_xlfn.IFNA(IF(AE261 &lt; (INDEX(SLATable[Maximum SLA],MATCH(G261,SLATable[Priority],0))),"YES","NO"),"")</f>
        <v>YES</v>
      </c>
    </row>
    <row r="262" spans="2:36" ht="15" customHeight="1">
      <c r="B262" s="53" t="s">
        <v>26</v>
      </c>
      <c r="C262" s="53" t="s">
        <v>44</v>
      </c>
      <c r="D262" s="53" t="s">
        <v>207</v>
      </c>
      <c r="E262" s="63" t="s">
        <v>6230</v>
      </c>
      <c r="F262" s="53" t="s">
        <v>312</v>
      </c>
      <c r="G262" s="69">
        <v>4</v>
      </c>
      <c r="H262" s="69" t="s">
        <v>6231</v>
      </c>
      <c r="I262" s="69" t="s">
        <v>260</v>
      </c>
      <c r="J262" s="69" t="s">
        <v>6221</v>
      </c>
      <c r="K262" s="72">
        <v>46168.389560185184</v>
      </c>
      <c r="L262" s="72">
        <v>46168.389560185184</v>
      </c>
      <c r="M262" s="72">
        <v>46168.431226851855</v>
      </c>
      <c r="N262" s="72">
        <v>46174.642361111109</v>
      </c>
      <c r="O262" s="72"/>
      <c r="P262" s="72"/>
      <c r="Q262" s="69" t="s">
        <v>6119</v>
      </c>
      <c r="R262" s="69" t="s">
        <v>261</v>
      </c>
      <c r="S262" s="69" t="s">
        <v>6121</v>
      </c>
      <c r="T262" s="53" t="s">
        <v>268</v>
      </c>
      <c r="U262" s="69" t="s">
        <v>5531</v>
      </c>
      <c r="X262" s="69" t="s">
        <v>5531</v>
      </c>
      <c r="Y262" s="69" t="s">
        <v>6122</v>
      </c>
      <c r="Z262" s="76">
        <f t="shared" ca="1" si="40"/>
        <v>1.7528009259258397</v>
      </c>
      <c r="AA262" s="75">
        <f t="shared" ca="1" si="41"/>
        <v>4.6741358024689061</v>
      </c>
      <c r="AB262" s="76">
        <f t="shared" ca="1" si="42"/>
        <v>1.7528009259258397</v>
      </c>
      <c r="AC262" s="75">
        <f t="shared" ca="1" si="43"/>
        <v>4.6741358024689061</v>
      </c>
      <c r="AD262" s="76">
        <f t="shared" ca="1" si="44"/>
        <v>4.1666666671517305E-2</v>
      </c>
      <c r="AE262" s="76">
        <f t="shared" ca="1" si="45"/>
        <v>1.7528009259258397</v>
      </c>
      <c r="AF262" s="75">
        <f t="shared" ca="1" si="46"/>
        <v>4.6741358024689061</v>
      </c>
      <c r="AG262" s="75">
        <f t="shared" ca="1" si="47"/>
        <v>4.6741358024689061</v>
      </c>
      <c r="AH262" s="31" t="str" cm="1">
        <f t="array" aca="1" ref="AH262" ca="1">IF((AD262) &lt; (INDEX(ResponseSLA[#All],(MATCH((G262),ResponseSLA[Priority],0))+1,3)),"YES","No")</f>
        <v>YES</v>
      </c>
      <c r="AI262" s="31" t="str">
        <f ca="1">_xlfn.IFNA(IF(AE262 &lt; (INDEX(SLATable[Minimum SLA],MATCH(G262,SLATable[Priority],0))),"YES","NO"),"")</f>
        <v>YES</v>
      </c>
      <c r="AJ262" t="str">
        <f ca="1">_xlfn.IFNA(IF(AE262 &lt; (INDEX(SLATable[Maximum SLA],MATCH(G262,SLATable[Priority],0))),"YES","NO"),"")</f>
        <v>YES</v>
      </c>
    </row>
    <row r="263" spans="2:36" ht="15" customHeight="1">
      <c r="B263" s="53" t="s">
        <v>26</v>
      </c>
      <c r="C263" s="53" t="s">
        <v>44</v>
      </c>
      <c r="D263" s="53" t="s">
        <v>207</v>
      </c>
      <c r="E263" s="63" t="s">
        <v>6232</v>
      </c>
      <c r="F263" s="53" t="s">
        <v>312</v>
      </c>
      <c r="G263" s="69">
        <v>4</v>
      </c>
      <c r="H263" s="69" t="s">
        <v>6233</v>
      </c>
      <c r="I263" s="69" t="s">
        <v>260</v>
      </c>
      <c r="J263" s="69" t="s">
        <v>6221</v>
      </c>
      <c r="K263" s="72">
        <v>46151.27140046296</v>
      </c>
      <c r="L263" s="72">
        <v>46151.27140046296</v>
      </c>
      <c r="M263" s="72">
        <v>46174.520833333336</v>
      </c>
      <c r="N263" s="72">
        <v>46174.649305555555</v>
      </c>
      <c r="O263" s="72"/>
      <c r="P263" s="72"/>
      <c r="Q263" s="69" t="s">
        <v>6119</v>
      </c>
      <c r="R263" s="69" t="s">
        <v>261</v>
      </c>
      <c r="S263" s="69" t="s">
        <v>6121</v>
      </c>
      <c r="T263" s="53" t="s">
        <v>268</v>
      </c>
      <c r="U263" s="69" t="s">
        <v>5531</v>
      </c>
      <c r="X263" s="69" t="s">
        <v>5531</v>
      </c>
      <c r="Y263" s="69" t="s">
        <v>6122</v>
      </c>
      <c r="Z263" s="76">
        <f t="shared" ca="1" si="40"/>
        <v>5.565972222221415</v>
      </c>
      <c r="AA263" s="75">
        <f t="shared" ca="1" si="41"/>
        <v>14.842592592590441</v>
      </c>
      <c r="AB263" s="76">
        <f t="shared" ca="1" si="42"/>
        <v>5.565972222221415</v>
      </c>
      <c r="AC263" s="75">
        <f t="shared" ca="1" si="43"/>
        <v>14.842592592590441</v>
      </c>
      <c r="AD263" s="76">
        <f t="shared" ca="1" si="44"/>
        <v>5.4375000000024265</v>
      </c>
      <c r="AE263" s="76">
        <f t="shared" ca="1" si="45"/>
        <v>5.565972222221415</v>
      </c>
      <c r="AF263" s="75">
        <f t="shared" ca="1" si="46"/>
        <v>14.842592592590441</v>
      </c>
      <c r="AG263" s="75">
        <f t="shared" ca="1" si="47"/>
        <v>14.842592592590441</v>
      </c>
      <c r="AH263" s="31" t="str" cm="1">
        <f t="array" aca="1" ref="AH263" ca="1">IF((AD263) &lt; (INDEX(ResponseSLA[#All],(MATCH((G263),ResponseSLA[Priority],0))+1,3)),"YES","No")</f>
        <v>No</v>
      </c>
      <c r="AI263" s="31" t="str">
        <f ca="1">_xlfn.IFNA(IF(AE263 &lt; (INDEX(SLATable[Minimum SLA],MATCH(G263,SLATable[Priority],0))),"YES","NO"),"")</f>
        <v>NO</v>
      </c>
      <c r="AJ263" t="str">
        <f ca="1">_xlfn.IFNA(IF(AE263 &lt; (INDEX(SLATable[Maximum SLA],MATCH(G263,SLATable[Priority],0))),"YES","NO"),"")</f>
        <v>YES</v>
      </c>
    </row>
    <row r="264" spans="2:36" ht="15" customHeight="1">
      <c r="B264" s="53" t="s">
        <v>26</v>
      </c>
      <c r="C264" s="53" t="s">
        <v>44</v>
      </c>
      <c r="D264" s="53" t="s">
        <v>207</v>
      </c>
      <c r="E264" s="63" t="s">
        <v>6234</v>
      </c>
      <c r="F264" s="53" t="s">
        <v>312</v>
      </c>
      <c r="G264" s="69">
        <v>4</v>
      </c>
      <c r="H264" s="69" t="s">
        <v>6235</v>
      </c>
      <c r="I264" s="69" t="s">
        <v>260</v>
      </c>
      <c r="J264" s="69" t="s">
        <v>6221</v>
      </c>
      <c r="K264" s="72">
        <v>46168.945277777777</v>
      </c>
      <c r="L264" s="72">
        <v>46168.945277777777</v>
      </c>
      <c r="M264" s="72">
        <v>46169.454861111109</v>
      </c>
      <c r="N264" s="72">
        <v>46174.625</v>
      </c>
      <c r="O264" s="72"/>
      <c r="P264" s="72"/>
      <c r="Q264" s="69" t="s">
        <v>6119</v>
      </c>
      <c r="R264" s="69" t="s">
        <v>261</v>
      </c>
      <c r="S264" s="69" t="s">
        <v>6121</v>
      </c>
      <c r="T264" s="53" t="s">
        <v>268</v>
      </c>
      <c r="U264" s="69" t="s">
        <v>5531</v>
      </c>
      <c r="X264" s="69" t="s">
        <v>5531</v>
      </c>
      <c r="Y264" s="69" t="s">
        <v>6122</v>
      </c>
      <c r="Z264" s="76">
        <f t="shared" ca="1" si="40"/>
        <v>1.4166666666666665</v>
      </c>
      <c r="AA264" s="75">
        <f t="shared" ca="1" si="41"/>
        <v>3.7777777777777777</v>
      </c>
      <c r="AB264" s="76">
        <f t="shared" ca="1" si="42"/>
        <v>1.4166666666666665</v>
      </c>
      <c r="AC264" s="75">
        <f t="shared" ca="1" si="43"/>
        <v>3.7777777777777777</v>
      </c>
      <c r="AD264" s="76">
        <f t="shared" ca="1" si="44"/>
        <v>0.12152777777616086</v>
      </c>
      <c r="AE264" s="76">
        <f t="shared" ca="1" si="45"/>
        <v>1.4166666666666665</v>
      </c>
      <c r="AF264" s="75">
        <f t="shared" ca="1" si="46"/>
        <v>3.7777777777777777</v>
      </c>
      <c r="AG264" s="75">
        <f t="shared" ca="1" si="47"/>
        <v>3.7777777777777777</v>
      </c>
      <c r="AH264" s="31" t="str" cm="1">
        <f t="array" aca="1" ref="AH264" ca="1">IF((AD264) &lt; (INDEX(ResponseSLA[#All],(MATCH((G264),ResponseSLA[Priority],0))+1,3)),"YES","No")</f>
        <v>YES</v>
      </c>
      <c r="AI264" s="31" t="str">
        <f ca="1">_xlfn.IFNA(IF(AE264 &lt; (INDEX(SLATable[Minimum SLA],MATCH(G264,SLATable[Priority],0))),"YES","NO"),"")</f>
        <v>YES</v>
      </c>
      <c r="AJ264" t="str">
        <f ca="1">_xlfn.IFNA(IF(AE264 &lt; (INDEX(SLATable[Maximum SLA],MATCH(G264,SLATable[Priority],0))),"YES","NO"),"")</f>
        <v>YES</v>
      </c>
    </row>
    <row r="265" spans="2:36" ht="15" customHeight="1">
      <c r="B265" s="53" t="s">
        <v>26</v>
      </c>
      <c r="C265" s="53" t="s">
        <v>44</v>
      </c>
      <c r="D265" s="53" t="s">
        <v>207</v>
      </c>
      <c r="E265" s="63" t="s">
        <v>6236</v>
      </c>
      <c r="F265" s="53" t="s">
        <v>312</v>
      </c>
      <c r="G265" s="69">
        <v>4</v>
      </c>
      <c r="H265" s="69" t="s">
        <v>6237</v>
      </c>
      <c r="I265" s="69" t="s">
        <v>260</v>
      </c>
      <c r="J265" s="69" t="s">
        <v>6221</v>
      </c>
      <c r="K265" s="72">
        <v>46169.417662037034</v>
      </c>
      <c r="L265" s="72">
        <v>46169.417662037034</v>
      </c>
      <c r="M265" s="72">
        <v>46169.511111111111</v>
      </c>
      <c r="N265" s="72">
        <v>46174.625</v>
      </c>
      <c r="O265" s="72"/>
      <c r="P265" s="72"/>
      <c r="Q265" s="69" t="s">
        <v>6119</v>
      </c>
      <c r="R265" s="69" t="s">
        <v>261</v>
      </c>
      <c r="S265" s="69" t="s">
        <v>6121</v>
      </c>
      <c r="T265" s="53" t="s">
        <v>268</v>
      </c>
      <c r="U265" s="69" t="s">
        <v>5531</v>
      </c>
      <c r="X265" s="69" t="s">
        <v>5531</v>
      </c>
      <c r="Y265" s="69" t="s">
        <v>6122</v>
      </c>
      <c r="Z265" s="76">
        <f t="shared" ca="1" si="40"/>
        <v>1.3323379629655394</v>
      </c>
      <c r="AA265" s="75">
        <f t="shared" ca="1" si="41"/>
        <v>3.5529012345747719</v>
      </c>
      <c r="AB265" s="76">
        <f t="shared" ca="1" si="42"/>
        <v>1.3323379629655394</v>
      </c>
      <c r="AC265" s="75">
        <f t="shared" ca="1" si="43"/>
        <v>3.5529012345747719</v>
      </c>
      <c r="AD265" s="76">
        <f t="shared" ca="1" si="44"/>
        <v>9.3449074076488614E-2</v>
      </c>
      <c r="AE265" s="76">
        <f t="shared" ca="1" si="45"/>
        <v>1.3323379629655394</v>
      </c>
      <c r="AF265" s="75">
        <f t="shared" ca="1" si="46"/>
        <v>3.5529012345747719</v>
      </c>
      <c r="AG265" s="75">
        <f t="shared" ca="1" si="47"/>
        <v>3.5529012345747719</v>
      </c>
      <c r="AH265" s="31" t="str" cm="1">
        <f t="array" aca="1" ref="AH265" ca="1">IF((AD265) &lt; (INDEX(ResponseSLA[#All],(MATCH((G265),ResponseSLA[Priority],0))+1,3)),"YES","No")</f>
        <v>YES</v>
      </c>
      <c r="AI265" s="31" t="str">
        <f ca="1">_xlfn.IFNA(IF(AE265 &lt; (INDEX(SLATable[Minimum SLA],MATCH(G265,SLATable[Priority],0))),"YES","NO"),"")</f>
        <v>YES</v>
      </c>
      <c r="AJ265" t="str">
        <f ca="1">_xlfn.IFNA(IF(AE265 &lt; (INDEX(SLATable[Maximum SLA],MATCH(G265,SLATable[Priority],0))),"YES","NO"),"")</f>
        <v>YES</v>
      </c>
    </row>
    <row r="266" spans="2:36" ht="15" customHeight="1">
      <c r="B266" s="53" t="s">
        <v>26</v>
      </c>
      <c r="C266" s="53" t="s">
        <v>44</v>
      </c>
      <c r="D266" s="53" t="s">
        <v>207</v>
      </c>
      <c r="E266" s="63" t="s">
        <v>6238</v>
      </c>
      <c r="F266" s="53" t="s">
        <v>312</v>
      </c>
      <c r="G266" s="69">
        <v>3</v>
      </c>
      <c r="H266" s="69" t="s">
        <v>6239</v>
      </c>
      <c r="I266" s="69" t="s">
        <v>266</v>
      </c>
      <c r="J266" s="69" t="s">
        <v>6221</v>
      </c>
      <c r="K266" s="72">
        <v>46166.860173611109</v>
      </c>
      <c r="L266" s="72">
        <v>46166.863888888889</v>
      </c>
      <c r="M266" s="72">
        <v>46167.463194444441</v>
      </c>
      <c r="N266" s="72"/>
      <c r="O266" s="72">
        <v>46174.318055555559</v>
      </c>
      <c r="P266" s="72"/>
      <c r="Q266" s="69" t="s">
        <v>44</v>
      </c>
      <c r="R266" s="69" t="s">
        <v>6240</v>
      </c>
      <c r="S266" s="69" t="s">
        <v>6121</v>
      </c>
      <c r="T266" s="53" t="s">
        <v>268</v>
      </c>
      <c r="U266" s="69" t="s">
        <v>5531</v>
      </c>
      <c r="X266" s="69" t="s">
        <v>5531</v>
      </c>
      <c r="Y266" s="69" t="s">
        <v>6241</v>
      </c>
      <c r="Z266" s="76">
        <f t="shared" ca="1" si="40"/>
        <v>24.675643171295334</v>
      </c>
      <c r="AA266" s="75">
        <f t="shared" ca="1" si="41"/>
        <v>65.80171512345423</v>
      </c>
      <c r="AB266" s="76">
        <f t="shared" ca="1" si="42"/>
        <v>1.5000000000000002</v>
      </c>
      <c r="AC266" s="75">
        <f t="shared" ca="1" si="43"/>
        <v>4.0000000000000009</v>
      </c>
      <c r="AD266" s="76">
        <f t="shared" ca="1" si="44"/>
        <v>0</v>
      </c>
      <c r="AE266" s="76">
        <f t="shared" ca="1" si="45"/>
        <v>1.5000000000000002</v>
      </c>
      <c r="AF266" s="75">
        <f t="shared" ca="1" si="46"/>
        <v>4.0000000000000009</v>
      </c>
      <c r="AG266" s="75">
        <f t="shared" ca="1" si="47"/>
        <v>4.0000000000000009</v>
      </c>
      <c r="AH266" s="31" t="str" cm="1">
        <f t="array" aca="1" ref="AH266" ca="1">IF((AD266) &lt; (INDEX(ResponseSLA[#All],(MATCH((G266),ResponseSLA[Priority],0))+1,3)),"YES","No")</f>
        <v>YES</v>
      </c>
      <c r="AI266" s="31" t="str">
        <f ca="1">_xlfn.IFNA(IF(AE266 &lt; (INDEX(SLATable[Minimum SLA],MATCH(G266,SLATable[Priority],0))),"YES","NO"),"")</f>
        <v>NO</v>
      </c>
      <c r="AJ266" t="str">
        <f ca="1">_xlfn.IFNA(IF(AE266 &lt; (INDEX(SLATable[Maximum SLA],MATCH(G266,SLATable[Priority],0))),"YES","NO"),"")</f>
        <v>YES</v>
      </c>
    </row>
    <row r="267" spans="2:36" ht="15" customHeight="1">
      <c r="B267" s="53" t="s">
        <v>26</v>
      </c>
      <c r="C267" s="53" t="s">
        <v>44</v>
      </c>
      <c r="D267" s="53" t="s">
        <v>207</v>
      </c>
      <c r="E267" s="63" t="s">
        <v>6242</v>
      </c>
      <c r="F267" s="53" t="s">
        <v>312</v>
      </c>
      <c r="G267" s="69">
        <v>4</v>
      </c>
      <c r="H267" s="69" t="s">
        <v>6243</v>
      </c>
      <c r="I267" s="69" t="s">
        <v>260</v>
      </c>
      <c r="J267" s="69" t="s">
        <v>6221</v>
      </c>
      <c r="K267" s="72">
        <v>46156.618125000001</v>
      </c>
      <c r="L267" s="72">
        <v>46156.636805555558</v>
      </c>
      <c r="M267" s="72">
        <v>46156.689583333333</v>
      </c>
      <c r="N267" s="72"/>
      <c r="O267" s="72">
        <v>46164.618055555555</v>
      </c>
      <c r="P267" s="72"/>
      <c r="Q267" s="69" t="s">
        <v>44</v>
      </c>
      <c r="R267" s="69" t="s">
        <v>6120</v>
      </c>
      <c r="S267" s="69" t="s">
        <v>6121</v>
      </c>
      <c r="T267" s="45" t="s">
        <v>268</v>
      </c>
      <c r="U267" s="69" t="s">
        <v>371</v>
      </c>
      <c r="X267" s="69" t="s">
        <v>371</v>
      </c>
      <c r="Y267" s="69" t="s">
        <v>6244</v>
      </c>
      <c r="Z267" s="76">
        <f t="shared" ca="1" si="40"/>
        <v>27.015851504627793</v>
      </c>
      <c r="AA267" s="75">
        <f t="shared" ca="1" si="41"/>
        <v>72.042270679007459</v>
      </c>
      <c r="AB267" s="76">
        <f t="shared" ca="1" si="42"/>
        <v>2.2312499999970901</v>
      </c>
      <c r="AC267" s="75">
        <f t="shared" ca="1" si="43"/>
        <v>5.9499999999922402</v>
      </c>
      <c r="AD267" s="76">
        <f t="shared" ca="1" si="44"/>
        <v>5.2777777775190771E-2</v>
      </c>
      <c r="AE267" s="76">
        <f t="shared" ca="1" si="45"/>
        <v>2.2312499999970901</v>
      </c>
      <c r="AF267" s="75">
        <f t="shared" ca="1" si="46"/>
        <v>5.9499999999922402</v>
      </c>
      <c r="AG267" s="75">
        <f t="shared" ca="1" si="47"/>
        <v>5.9499999999922402</v>
      </c>
      <c r="AH267" s="31" t="str" cm="1">
        <f t="array" aca="1" ref="AH267" ca="1">IF((AD267) &lt; (INDEX(ResponseSLA[#All],(MATCH((G267),ResponseSLA[Priority],0))+1,3)),"YES","No")</f>
        <v>YES</v>
      </c>
      <c r="AI267" s="31" t="str">
        <f ca="1">_xlfn.IFNA(IF(AE267 &lt; (INDEX(SLATable[Minimum SLA],MATCH(G267,SLATable[Priority],0))),"YES","NO"),"")</f>
        <v>YES</v>
      </c>
      <c r="AJ267" t="str">
        <f ca="1">_xlfn.IFNA(IF(AE267 &lt; (INDEX(SLATable[Maximum SLA],MATCH(G267,SLATable[Priority],0))),"YES","NO"),"")</f>
        <v>YES</v>
      </c>
    </row>
    <row r="268" spans="2:36" ht="15" customHeight="1">
      <c r="B268" s="53" t="s">
        <v>26</v>
      </c>
      <c r="C268" s="45" t="s">
        <v>44</v>
      </c>
      <c r="D268" s="53" t="s">
        <v>207</v>
      </c>
      <c r="E268" s="53" t="s">
        <v>6245</v>
      </c>
      <c r="F268" s="45" t="s">
        <v>312</v>
      </c>
      <c r="G268" s="53">
        <v>3</v>
      </c>
      <c r="H268" s="53" t="s">
        <v>6246</v>
      </c>
      <c r="I268" s="53" t="s">
        <v>271</v>
      </c>
      <c r="J268" s="45" t="s">
        <v>5530</v>
      </c>
      <c r="K268" s="71">
        <v>46171.463888888888</v>
      </c>
      <c r="L268" s="71">
        <v>46171.695833333331</v>
      </c>
      <c r="M268" s="71">
        <v>46174.318055555559</v>
      </c>
      <c r="N268" s="71">
        <v>46174.578472222223</v>
      </c>
      <c r="O268" s="71">
        <v>46174.336805555555</v>
      </c>
      <c r="P268" s="71">
        <v>46174.578472222223</v>
      </c>
      <c r="Q268" s="53" t="s">
        <v>5534</v>
      </c>
      <c r="R268" s="53" t="s">
        <v>261</v>
      </c>
      <c r="S268" s="53" t="s">
        <v>175</v>
      </c>
      <c r="T268" s="53" t="s">
        <v>268</v>
      </c>
      <c r="U268" s="53" t="s">
        <v>5531</v>
      </c>
      <c r="X268" s="53" t="s">
        <v>5531</v>
      </c>
      <c r="Y268" s="53" t="s">
        <v>6247</v>
      </c>
      <c r="Z268" s="76">
        <f t="shared" ca="1" si="40"/>
        <v>0.24791666666715173</v>
      </c>
      <c r="AA268" s="75">
        <f t="shared" ca="1" si="41"/>
        <v>0.66111111111240461</v>
      </c>
      <c r="AB268" s="76">
        <f t="shared" ca="1" si="42"/>
        <v>1.5972222223354038E-2</v>
      </c>
      <c r="AC268" s="75">
        <f t="shared" ca="1" si="43"/>
        <v>4.2592592595610768E-2</v>
      </c>
      <c r="AD268" s="76">
        <f t="shared" ca="1" si="44"/>
        <v>1.2500000001940292E-2</v>
      </c>
      <c r="AE268" s="76">
        <f t="shared" ca="1" si="45"/>
        <v>1.5972222223354038E-2</v>
      </c>
      <c r="AF268" s="75">
        <f t="shared" ca="1" si="46"/>
        <v>4.2592592595610768E-2</v>
      </c>
      <c r="AG268" s="75">
        <f t="shared" ca="1" si="47"/>
        <v>4.2592592595610768E-2</v>
      </c>
      <c r="AH268" s="31" t="str" cm="1">
        <f t="array" aca="1" ref="AH268" ca="1">IF((AD268) &lt; (INDEX(ResponseSLA[#All],(MATCH((G268),ResponseSLA[Priority],0))+1,3)),"YES","No")</f>
        <v>YES</v>
      </c>
      <c r="AI268" s="31" t="str">
        <f ca="1">_xlfn.IFNA(IF(AE268 &lt; (INDEX(SLATable[Minimum SLA],MATCH(G268,SLATable[Priority],0))),"YES","NO"),"")</f>
        <v>YES</v>
      </c>
      <c r="AJ268" t="str">
        <f ca="1">_xlfn.IFNA(IF(AE268 &lt; (INDEX(SLATable[Maximum SLA],MATCH(G268,SLATable[Priority],0))),"YES","NO"),"")</f>
        <v>YES</v>
      </c>
    </row>
    <row r="269" spans="2:36" ht="15" customHeight="1">
      <c r="B269" s="45" t="s">
        <v>26</v>
      </c>
      <c r="C269" s="45" t="s">
        <v>44</v>
      </c>
      <c r="D269" s="53" t="s">
        <v>207</v>
      </c>
      <c r="E269" s="53" t="s">
        <v>6248</v>
      </c>
      <c r="F269" s="45" t="s">
        <v>312</v>
      </c>
      <c r="G269" s="53">
        <v>4</v>
      </c>
      <c r="H269" s="53" t="s">
        <v>6117</v>
      </c>
      <c r="I269" s="53" t="s">
        <v>271</v>
      </c>
      <c r="J269" s="45" t="s">
        <v>5530</v>
      </c>
      <c r="K269" s="71">
        <v>46169.106944444444</v>
      </c>
      <c r="L269" s="71">
        <v>46169.319444444445</v>
      </c>
      <c r="M269" s="71">
        <v>46169.319444444445</v>
      </c>
      <c r="N269" s="71">
        <v>46174.572222222225</v>
      </c>
      <c r="O269" s="71"/>
      <c r="P269" s="71"/>
      <c r="Q269" s="53" t="s">
        <v>6249</v>
      </c>
      <c r="R269" s="53" t="s">
        <v>261</v>
      </c>
      <c r="S269" s="53" t="s">
        <v>175</v>
      </c>
      <c r="T269" s="53" t="s">
        <v>268</v>
      </c>
      <c r="U269" s="53" t="s">
        <v>5531</v>
      </c>
      <c r="X269" s="53" t="s">
        <v>5531</v>
      </c>
      <c r="Y269" s="53" t="s">
        <v>6250</v>
      </c>
      <c r="Z269" s="76">
        <f t="shared" ca="1" si="40"/>
        <v>1.3638888888914762</v>
      </c>
      <c r="AA269" s="75">
        <f t="shared" ca="1" si="41"/>
        <v>3.6370370370439367</v>
      </c>
      <c r="AB269" s="76">
        <f t="shared" ca="1" si="42"/>
        <v>1.3638888888914762</v>
      </c>
      <c r="AC269" s="75">
        <f t="shared" ca="1" si="43"/>
        <v>3.6370370370439367</v>
      </c>
      <c r="AD269" s="76">
        <f t="shared" ca="1" si="44"/>
        <v>0</v>
      </c>
      <c r="AE269" s="76">
        <f t="shared" ca="1" si="45"/>
        <v>1.3638888888914762</v>
      </c>
      <c r="AF269" s="75">
        <f t="shared" ca="1" si="46"/>
        <v>3.6370370370439367</v>
      </c>
      <c r="AG269" s="75">
        <f t="shared" ca="1" si="47"/>
        <v>3.6370370370439367</v>
      </c>
      <c r="AH269" s="31" t="str" cm="1">
        <f t="array" aca="1" ref="AH269" ca="1">IF((AD269) &lt; (INDEX(ResponseSLA[#All],(MATCH((G269),ResponseSLA[Priority],0))+1,3)),"YES","No")</f>
        <v>YES</v>
      </c>
      <c r="AI269" s="31" t="str">
        <f ca="1">_xlfn.IFNA(IF(AE269 &lt; (INDEX(SLATable[Minimum SLA],MATCH(G269,SLATable[Priority],0))),"YES","NO"),"")</f>
        <v>YES</v>
      </c>
      <c r="AJ269" t="str">
        <f ca="1">_xlfn.IFNA(IF(AE269 &lt; (INDEX(SLATable[Maximum SLA],MATCH(G269,SLATable[Priority],0))),"YES","NO"),"")</f>
        <v>YES</v>
      </c>
    </row>
    <row r="270" spans="2:36" ht="15" customHeight="1">
      <c r="B270" s="45" t="s">
        <v>26</v>
      </c>
      <c r="C270" s="45" t="s">
        <v>44</v>
      </c>
      <c r="D270" s="53" t="s">
        <v>207</v>
      </c>
      <c r="E270" s="53" t="s">
        <v>6251</v>
      </c>
      <c r="F270" s="45" t="s">
        <v>312</v>
      </c>
      <c r="G270" s="53">
        <v>4</v>
      </c>
      <c r="H270" s="53" t="s">
        <v>6252</v>
      </c>
      <c r="I270" s="53" t="s">
        <v>271</v>
      </c>
      <c r="J270" s="45" t="s">
        <v>5530</v>
      </c>
      <c r="K270" s="71">
        <v>46171.46875</v>
      </c>
      <c r="L270" s="71">
        <v>46175.130555555559</v>
      </c>
      <c r="M270" s="71">
        <v>46175.163194444445</v>
      </c>
      <c r="N270" s="71">
        <v>46176.787499999999</v>
      </c>
      <c r="O270" s="71">
        <v>46175.349305555559</v>
      </c>
      <c r="P270" s="71">
        <v>46176.787499999999</v>
      </c>
      <c r="Q270" s="53" t="s">
        <v>5534</v>
      </c>
      <c r="R270" s="53" t="s">
        <v>6120</v>
      </c>
      <c r="S270" s="53" t="s">
        <v>175</v>
      </c>
      <c r="T270" s="53" t="s">
        <v>268</v>
      </c>
      <c r="U270" s="53" t="s">
        <v>5531</v>
      </c>
      <c r="X270" s="53" t="s">
        <v>5531</v>
      </c>
      <c r="Y270" s="53" t="s">
        <v>6253</v>
      </c>
      <c r="Z270" s="76">
        <f t="shared" ca="1" si="40"/>
        <v>0.63055555555911269</v>
      </c>
      <c r="AA270" s="75">
        <f t="shared" ca="1" si="41"/>
        <v>1.6814814814909671</v>
      </c>
      <c r="AB270" s="76">
        <f t="shared" ca="1" si="42"/>
        <v>1.5972222225779431E-2</v>
      </c>
      <c r="AC270" s="75">
        <f t="shared" ca="1" si="43"/>
        <v>4.2592592602078483E-2</v>
      </c>
      <c r="AD270" s="76">
        <f t="shared" ca="1" si="44"/>
        <v>0</v>
      </c>
      <c r="AE270" s="76">
        <f t="shared" ca="1" si="45"/>
        <v>1.5972222225779431E-2</v>
      </c>
      <c r="AF270" s="75">
        <f t="shared" ca="1" si="46"/>
        <v>4.2592592602078483E-2</v>
      </c>
      <c r="AG270" s="75">
        <f t="shared" ca="1" si="47"/>
        <v>4.2592592602078483E-2</v>
      </c>
      <c r="AH270" s="31" t="str" cm="1">
        <f t="array" aca="1" ref="AH270" ca="1">IF((AD270) &lt; (INDEX(ResponseSLA[#All],(MATCH((G270),ResponseSLA[Priority],0))+1,3)),"YES","No")</f>
        <v>YES</v>
      </c>
      <c r="AI270" s="31" t="str">
        <f ca="1">_xlfn.IFNA(IF(AE270 &lt; (INDEX(SLATable[Minimum SLA],MATCH(G270,SLATable[Priority],0))),"YES","NO"),"")</f>
        <v>YES</v>
      </c>
      <c r="AJ270" t="str">
        <f ca="1">_xlfn.IFNA(IF(AE270 &lt; (INDEX(SLATable[Maximum SLA],MATCH(G270,SLATable[Priority],0))),"YES","NO"),"")</f>
        <v>YES</v>
      </c>
    </row>
    <row r="271" spans="2:36" ht="15" customHeight="1">
      <c r="B271" s="45" t="s">
        <v>26</v>
      </c>
      <c r="C271" s="45" t="s">
        <v>44</v>
      </c>
      <c r="D271" s="53" t="s">
        <v>207</v>
      </c>
      <c r="E271" s="53" t="s">
        <v>6254</v>
      </c>
      <c r="F271" s="45" t="s">
        <v>312</v>
      </c>
      <c r="G271" s="53">
        <v>3</v>
      </c>
      <c r="H271" s="53" t="s">
        <v>6255</v>
      </c>
      <c r="I271" s="53" t="s">
        <v>275</v>
      </c>
      <c r="J271" s="45" t="s">
        <v>5530</v>
      </c>
      <c r="K271" s="71">
        <v>46171.774305555555</v>
      </c>
      <c r="L271" s="71">
        <v>46175.624305555553</v>
      </c>
      <c r="M271" s="71">
        <v>46176.308333333334</v>
      </c>
      <c r="N271" s="71">
        <v>46176.808333333334</v>
      </c>
      <c r="O271" s="71"/>
      <c r="P271" s="71"/>
      <c r="Q271" s="53" t="s">
        <v>5534</v>
      </c>
      <c r="R271" s="53" t="s">
        <v>6120</v>
      </c>
      <c r="S271" s="53" t="s">
        <v>175</v>
      </c>
      <c r="T271" s="53" t="s">
        <v>268</v>
      </c>
      <c r="U271" s="53" t="s">
        <v>5531</v>
      </c>
      <c r="X271" s="53" t="s">
        <v>5531</v>
      </c>
      <c r="Y271" s="53" t="s">
        <v>6256</v>
      </c>
      <c r="Z271" s="76">
        <f t="shared" ca="1" si="40"/>
        <v>1.125</v>
      </c>
      <c r="AA271" s="75">
        <f t="shared" ca="1" si="41"/>
        <v>3</v>
      </c>
      <c r="AB271" s="76">
        <f t="shared" ca="1" si="42"/>
        <v>0.45902777778004156</v>
      </c>
      <c r="AC271" s="75">
        <f t="shared" ca="1" si="43"/>
        <v>1.2240740740801108</v>
      </c>
      <c r="AD271" s="76">
        <f t="shared" ca="1" si="44"/>
        <v>8.4027777780041446E-2</v>
      </c>
      <c r="AE271" s="76">
        <f t="shared" ca="1" si="45"/>
        <v>0.45902777778004156</v>
      </c>
      <c r="AF271" s="75">
        <f t="shared" ca="1" si="46"/>
        <v>1.2240740740801108</v>
      </c>
      <c r="AG271" s="75">
        <f t="shared" ca="1" si="47"/>
        <v>1.2240740740801108</v>
      </c>
      <c r="AH271" s="31" t="str" cm="1">
        <f t="array" aca="1" ref="AH271" ca="1">IF((AD271) &lt; (INDEX(ResponseSLA[#All],(MATCH((G271),ResponseSLA[Priority],0))+1,3)),"YES","No")</f>
        <v>No</v>
      </c>
      <c r="AI271" s="31" t="str">
        <f ca="1">_xlfn.IFNA(IF(AE271 &lt; (INDEX(SLATable[Minimum SLA],MATCH(G271,SLATable[Priority],0))),"YES","NO"),"")</f>
        <v>NO</v>
      </c>
      <c r="AJ271" t="str">
        <f ca="1">_xlfn.IFNA(IF(AE271 &lt; (INDEX(SLATable[Maximum SLA],MATCH(G271,SLATable[Priority],0))),"YES","NO"),"")</f>
        <v>YES</v>
      </c>
    </row>
    <row r="272" spans="2:36" ht="15" customHeight="1">
      <c r="B272" s="45" t="s">
        <v>26</v>
      </c>
      <c r="C272" s="45" t="s">
        <v>44</v>
      </c>
      <c r="D272" s="53" t="s">
        <v>207</v>
      </c>
      <c r="E272" s="53" t="s">
        <v>6257</v>
      </c>
      <c r="F272" s="45" t="s">
        <v>312</v>
      </c>
      <c r="G272" s="53">
        <v>3</v>
      </c>
      <c r="H272" s="53" t="s">
        <v>6258</v>
      </c>
      <c r="I272" s="53" t="s">
        <v>275</v>
      </c>
      <c r="J272" s="45" t="s">
        <v>5530</v>
      </c>
      <c r="K272" s="71">
        <v>46176.582638888889</v>
      </c>
      <c r="L272" s="71">
        <v>46176.59097222222</v>
      </c>
      <c r="M272" s="71">
        <v>46176.595138888886</v>
      </c>
      <c r="N272" s="71">
        <v>46182.3125</v>
      </c>
      <c r="O272" s="71">
        <v>46176.772916666669</v>
      </c>
      <c r="P272" s="71">
        <v>46182.3125</v>
      </c>
      <c r="Q272" s="53" t="s">
        <v>5534</v>
      </c>
      <c r="R272" s="53" t="s">
        <v>6120</v>
      </c>
      <c r="S272" s="53" t="s">
        <v>175</v>
      </c>
      <c r="T272" s="53" t="s">
        <v>268</v>
      </c>
      <c r="U272" s="53" t="s">
        <v>5531</v>
      </c>
      <c r="X272" s="53" t="s">
        <v>5531</v>
      </c>
      <c r="Y272" s="53" t="s">
        <v>6259</v>
      </c>
      <c r="Z272" s="76">
        <f t="shared" ca="1" si="40"/>
        <v>0.1256944444442829</v>
      </c>
      <c r="AA272" s="75">
        <f t="shared" ca="1" si="41"/>
        <v>0.33518518518475443</v>
      </c>
      <c r="AB272" s="76">
        <f t="shared" ca="1" si="42"/>
        <v>0.11736111111288983</v>
      </c>
      <c r="AC272" s="75">
        <f t="shared" ca="1" si="43"/>
        <v>0.3129629629677062</v>
      </c>
      <c r="AD272" s="76">
        <f t="shared" ca="1" si="44"/>
        <v>4.166666665696539E-3</v>
      </c>
      <c r="AE272" s="76">
        <f t="shared" ca="1" si="45"/>
        <v>0.11736111111288983</v>
      </c>
      <c r="AF272" s="75">
        <f t="shared" ca="1" si="46"/>
        <v>0.3129629629677062</v>
      </c>
      <c r="AG272" s="75">
        <f t="shared" ca="1" si="47"/>
        <v>0.3129629629677062</v>
      </c>
      <c r="AH272" s="31" t="str" cm="1">
        <f t="array" aca="1" ref="AH272" ca="1">IF((AD272) &lt; (INDEX(ResponseSLA[#All],(MATCH((G272),ResponseSLA[Priority],0))+1,3)),"YES","No")</f>
        <v>YES</v>
      </c>
      <c r="AI272" s="31" t="str">
        <f ca="1">_xlfn.IFNA(IF(AE272 &lt; (INDEX(SLATable[Minimum SLA],MATCH(G272,SLATable[Priority],0))),"YES","NO"),"")</f>
        <v>YES</v>
      </c>
      <c r="AJ272" t="str">
        <f ca="1">_xlfn.IFNA(IF(AE272 &lt; (INDEX(SLATable[Maximum SLA],MATCH(G272,SLATable[Priority],0))),"YES","NO"),"")</f>
        <v>YES</v>
      </c>
    </row>
    <row r="273" spans="2:36" ht="15" customHeight="1">
      <c r="B273" s="45" t="s">
        <v>26</v>
      </c>
      <c r="C273" s="45" t="s">
        <v>44</v>
      </c>
      <c r="D273" s="53" t="s">
        <v>207</v>
      </c>
      <c r="E273" s="53" t="s">
        <v>6260</v>
      </c>
      <c r="F273" s="45" t="s">
        <v>312</v>
      </c>
      <c r="G273" s="53">
        <v>4</v>
      </c>
      <c r="H273" s="53" t="s">
        <v>6261</v>
      </c>
      <c r="I273" s="53" t="s">
        <v>271</v>
      </c>
      <c r="J273" s="45" t="s">
        <v>5530</v>
      </c>
      <c r="K273" s="71">
        <v>46177.333333333336</v>
      </c>
      <c r="L273" s="71">
        <v>46177.334722222222</v>
      </c>
      <c r="M273" s="71">
        <v>46177.372916666667</v>
      </c>
      <c r="N273" s="71">
        <v>46181.308333333334</v>
      </c>
      <c r="O273" s="71">
        <v>46177.606249999997</v>
      </c>
      <c r="P273" s="71">
        <v>46181.308333333334</v>
      </c>
      <c r="Q273" s="53" t="s">
        <v>5534</v>
      </c>
      <c r="R273" s="53" t="s">
        <v>6120</v>
      </c>
      <c r="S273" s="53" t="s">
        <v>175</v>
      </c>
      <c r="T273" s="53" t="s">
        <v>268</v>
      </c>
      <c r="U273" s="53" t="s">
        <v>5531</v>
      </c>
      <c r="X273" s="53" t="s">
        <v>5531</v>
      </c>
      <c r="Y273" s="53" t="s">
        <v>6259</v>
      </c>
      <c r="Z273" s="76">
        <f t="shared" ca="1" si="40"/>
        <v>0.27291666666133096</v>
      </c>
      <c r="AA273" s="75">
        <f t="shared" ca="1" si="41"/>
        <v>0.72777777776354924</v>
      </c>
      <c r="AB273" s="76">
        <f t="shared" ca="1" si="42"/>
        <v>0.27152777777519077</v>
      </c>
      <c r="AC273" s="75">
        <f t="shared" ca="1" si="43"/>
        <v>0.72407407406717539</v>
      </c>
      <c r="AD273" s="76">
        <f t="shared" ca="1" si="44"/>
        <v>3.8194444445252884E-2</v>
      </c>
      <c r="AE273" s="76">
        <f t="shared" ca="1" si="45"/>
        <v>0.27152777777519077</v>
      </c>
      <c r="AF273" s="75">
        <f t="shared" ca="1" si="46"/>
        <v>0.72407407406717539</v>
      </c>
      <c r="AG273" s="75">
        <f t="shared" ca="1" si="47"/>
        <v>0.72407407406717539</v>
      </c>
      <c r="AH273" s="31" t="str" cm="1">
        <f t="array" aca="1" ref="AH273" ca="1">IF((AD273) &lt; (INDEX(ResponseSLA[#All],(MATCH((G273),ResponseSLA[Priority],0))+1,3)),"YES","No")</f>
        <v>YES</v>
      </c>
      <c r="AI273" s="31" t="str">
        <f ca="1">_xlfn.IFNA(IF(AE273 &lt; (INDEX(SLATable[Minimum SLA],MATCH(G273,SLATable[Priority],0))),"YES","NO"),"")</f>
        <v>YES</v>
      </c>
      <c r="AJ273" t="str">
        <f ca="1">_xlfn.IFNA(IF(AE273 &lt; (INDEX(SLATable[Maximum SLA],MATCH(G273,SLATable[Priority],0))),"YES","NO"),"")</f>
        <v>YES</v>
      </c>
    </row>
    <row r="274" spans="2:36" ht="15" customHeight="1">
      <c r="B274" s="45" t="s">
        <v>26</v>
      </c>
      <c r="C274" s="45" t="s">
        <v>44</v>
      </c>
      <c r="D274" s="53" t="s">
        <v>207</v>
      </c>
      <c r="E274" s="53" t="s">
        <v>6262</v>
      </c>
      <c r="F274" s="45" t="s">
        <v>312</v>
      </c>
      <c r="G274" s="53">
        <v>4</v>
      </c>
      <c r="H274" s="53" t="s">
        <v>6263</v>
      </c>
      <c r="I274" s="53" t="s">
        <v>271</v>
      </c>
      <c r="J274" s="45" t="s">
        <v>5530</v>
      </c>
      <c r="K274" s="71">
        <v>46177.695833333331</v>
      </c>
      <c r="L274" s="71">
        <v>46177.709027777775</v>
      </c>
      <c r="M274" s="71">
        <v>46178.256944444445</v>
      </c>
      <c r="N274" s="71">
        <v>46178.434027777781</v>
      </c>
      <c r="O274" s="71">
        <v>46178.328472222223</v>
      </c>
      <c r="P274" s="71">
        <v>46178.434027777781</v>
      </c>
      <c r="Q274" s="53" t="s">
        <v>5534</v>
      </c>
      <c r="R274" s="53" t="s">
        <v>6120</v>
      </c>
      <c r="S274" s="53" t="s">
        <v>175</v>
      </c>
      <c r="T274" s="53" t="s">
        <v>268</v>
      </c>
      <c r="U274" s="53" t="s">
        <v>5531</v>
      </c>
      <c r="X274" s="53" t="s">
        <v>5531</v>
      </c>
      <c r="Y274" s="53" t="s">
        <v>5590</v>
      </c>
      <c r="Z274" s="76">
        <f t="shared" ca="1" si="40"/>
        <v>1.2500000001940237E-2</v>
      </c>
      <c r="AA274" s="75">
        <f t="shared" ca="1" si="41"/>
        <v>3.3333333338507298E-2</v>
      </c>
      <c r="AB274" s="76">
        <f t="shared" ca="1" si="42"/>
        <v>0</v>
      </c>
      <c r="AC274" s="75">
        <f t="shared" ca="1" si="43"/>
        <v>0</v>
      </c>
      <c r="AD274" s="76">
        <f t="shared" ca="1" si="44"/>
        <v>0</v>
      </c>
      <c r="AE274" s="76">
        <f t="shared" ca="1" si="45"/>
        <v>0</v>
      </c>
      <c r="AF274" s="75">
        <f t="shared" ca="1" si="46"/>
        <v>0</v>
      </c>
      <c r="AG274" s="75">
        <f t="shared" ca="1" si="47"/>
        <v>0</v>
      </c>
      <c r="AH274" s="31" t="str" cm="1">
        <f t="array" aca="1" ref="AH274" ca="1">IF((AD274) &lt; (INDEX(ResponseSLA[#All],(MATCH((G274),ResponseSLA[Priority],0))+1,3)),"YES","No")</f>
        <v>YES</v>
      </c>
      <c r="AI274" s="31" t="str">
        <f ca="1">_xlfn.IFNA(IF(AE274 &lt; (INDEX(SLATable[Minimum SLA],MATCH(G274,SLATable[Priority],0))),"YES","NO"),"")</f>
        <v>YES</v>
      </c>
      <c r="AJ274" t="str">
        <f ca="1">_xlfn.IFNA(IF(AE274 &lt; (INDEX(SLATable[Maximum SLA],MATCH(G274,SLATable[Priority],0))),"YES","NO"),"")</f>
        <v>YES</v>
      </c>
    </row>
    <row r="275" spans="2:36" ht="15" customHeight="1">
      <c r="B275" s="45" t="s">
        <v>26</v>
      </c>
      <c r="C275" s="45" t="s">
        <v>44</v>
      </c>
      <c r="D275" s="53" t="s">
        <v>207</v>
      </c>
      <c r="E275" s="53" t="s">
        <v>6264</v>
      </c>
      <c r="F275" s="45" t="s">
        <v>312</v>
      </c>
      <c r="G275" s="53">
        <v>3</v>
      </c>
      <c r="H275" s="53" t="s">
        <v>6265</v>
      </c>
      <c r="I275" s="53" t="s">
        <v>271</v>
      </c>
      <c r="J275" s="45" t="s">
        <v>5530</v>
      </c>
      <c r="K275" s="71">
        <v>46176.607638888891</v>
      </c>
      <c r="L275" s="71">
        <v>46177.620138888888</v>
      </c>
      <c r="M275" s="71">
        <v>46178.255555555559</v>
      </c>
      <c r="N275" s="71">
        <v>46182.313194444447</v>
      </c>
      <c r="O275" s="71">
        <v>46178.339583333334</v>
      </c>
      <c r="P275" s="71">
        <v>46182.313194444447</v>
      </c>
      <c r="Q275" s="53" t="s">
        <v>5534</v>
      </c>
      <c r="R275" s="53" t="s">
        <v>6120</v>
      </c>
      <c r="S275" s="53" t="s">
        <v>175</v>
      </c>
      <c r="T275" s="53" t="s">
        <v>268</v>
      </c>
      <c r="U275" s="53" t="s">
        <v>5531</v>
      </c>
      <c r="X275" s="53" t="s">
        <v>5531</v>
      </c>
      <c r="Y275" s="53" t="s">
        <v>6266</v>
      </c>
      <c r="Z275" s="76">
        <f t="shared" ca="1" si="40"/>
        <v>0.48194444444379769</v>
      </c>
      <c r="AA275" s="75">
        <f t="shared" ca="1" si="41"/>
        <v>1.2851851851834606</v>
      </c>
      <c r="AB275" s="76">
        <f t="shared" ca="1" si="42"/>
        <v>9.4444444446708076E-2</v>
      </c>
      <c r="AC275" s="75">
        <f t="shared" ca="1" si="43"/>
        <v>0.25185185185788822</v>
      </c>
      <c r="AD275" s="76">
        <f t="shared" ca="1" si="44"/>
        <v>8.8194444445737985E-2</v>
      </c>
      <c r="AE275" s="76">
        <f t="shared" ca="1" si="45"/>
        <v>9.4444444446708076E-2</v>
      </c>
      <c r="AF275" s="75">
        <f t="shared" ca="1" si="46"/>
        <v>0.25185185185788822</v>
      </c>
      <c r="AG275" s="75">
        <f t="shared" ca="1" si="47"/>
        <v>0.25185185185788822</v>
      </c>
      <c r="AH275" s="31" t="str" cm="1">
        <f t="array" aca="1" ref="AH275" ca="1">IF((AD275) &lt; (INDEX(ResponseSLA[#All],(MATCH((G275),ResponseSLA[Priority],0))+1,3)),"YES","No")</f>
        <v>No</v>
      </c>
      <c r="AI275" s="31" t="str">
        <f ca="1">_xlfn.IFNA(IF(AE275 &lt; (INDEX(SLATable[Minimum SLA],MATCH(G275,SLATable[Priority],0))),"YES","NO"),"")</f>
        <v>YES</v>
      </c>
      <c r="AJ275" t="str">
        <f ca="1">_xlfn.IFNA(IF(AE275 &lt; (INDEX(SLATable[Maximum SLA],MATCH(G275,SLATable[Priority],0))),"YES","NO"),"")</f>
        <v>YES</v>
      </c>
    </row>
    <row r="276" spans="2:36" ht="15" customHeight="1">
      <c r="B276" s="45" t="s">
        <v>26</v>
      </c>
      <c r="C276" s="45" t="s">
        <v>44</v>
      </c>
      <c r="D276" s="53" t="s">
        <v>208</v>
      </c>
      <c r="E276" s="53" t="s">
        <v>6267</v>
      </c>
      <c r="F276" s="45" t="s">
        <v>312</v>
      </c>
      <c r="G276" s="53" t="s">
        <v>208</v>
      </c>
      <c r="H276" s="53" t="s">
        <v>6268</v>
      </c>
      <c r="I276" s="53" t="s">
        <v>271</v>
      </c>
      <c r="J276" s="45" t="s">
        <v>5530</v>
      </c>
      <c r="K276" s="71">
        <v>46174.454861111109</v>
      </c>
      <c r="L276" s="71">
        <v>46175.402083333334</v>
      </c>
      <c r="M276" s="71">
        <v>46175.592361111114</v>
      </c>
      <c r="N276" s="71">
        <v>46182.317361111112</v>
      </c>
      <c r="O276" s="71">
        <v>46178.345138888886</v>
      </c>
      <c r="P276" s="71">
        <v>46182.317361111112</v>
      </c>
      <c r="Q276" s="53" t="s">
        <v>5534</v>
      </c>
      <c r="R276" s="53" t="s">
        <v>261</v>
      </c>
      <c r="S276" s="53" t="s">
        <v>175</v>
      </c>
      <c r="T276" s="53" t="s">
        <v>268</v>
      </c>
      <c r="U276" s="53" t="s">
        <v>5531</v>
      </c>
      <c r="X276" s="53" t="s">
        <v>5531</v>
      </c>
      <c r="Y276" s="53" t="s">
        <v>6269</v>
      </c>
      <c r="Z276" s="76">
        <f t="shared" ca="1" si="40"/>
        <v>1.3902777777766464</v>
      </c>
      <c r="AA276" s="75">
        <f t="shared" ca="1" si="41"/>
        <v>3.707407407404391</v>
      </c>
      <c r="AB276" s="76">
        <f t="shared" ca="1" si="42"/>
        <v>1.0680555555518367</v>
      </c>
      <c r="AC276" s="75">
        <f t="shared" ca="1" si="43"/>
        <v>2.8481481481382311</v>
      </c>
      <c r="AD276" s="76">
        <f t="shared" ca="1" si="44"/>
        <v>0.19027777777955635</v>
      </c>
      <c r="AE276" s="76">
        <f t="shared" ca="1" si="45"/>
        <v>1.0680555555518367</v>
      </c>
      <c r="AF276" s="75">
        <f t="shared" ca="1" si="46"/>
        <v>2.8481481481382311</v>
      </c>
      <c r="AG276" s="75">
        <f t="shared" ca="1" si="47"/>
        <v>2.8481481481382311</v>
      </c>
      <c r="AH276" s="31" t="str" cm="1">
        <f t="array" aca="1" ref="AH276" ca="1">IF((AD276) &lt; (INDEX(ResponseSLA[#All],(MATCH((G276),ResponseSLA[Priority],0))+1,3)),"YES","No")</f>
        <v>YES</v>
      </c>
      <c r="AI276" s="31" t="str">
        <f ca="1">_xlfn.IFNA(IF(AE276 &lt; (INDEX(SLATable[Minimum SLA],MATCH(G276,SLATable[Priority],0))),"YES","NO"),"")</f>
        <v>NO</v>
      </c>
      <c r="AJ276" t="str">
        <f ca="1">_xlfn.IFNA(IF(AE276 &lt; (INDEX(SLATable[Maximum SLA],MATCH(G276,SLATable[Priority],0))),"YES","NO"),"")</f>
        <v>NO</v>
      </c>
    </row>
    <row r="277" spans="2:36" ht="15" customHeight="1">
      <c r="B277" s="45" t="s">
        <v>26</v>
      </c>
      <c r="C277" s="45" t="s">
        <v>44</v>
      </c>
      <c r="D277" s="53" t="s">
        <v>208</v>
      </c>
      <c r="E277" s="53" t="s">
        <v>6270</v>
      </c>
      <c r="F277" s="45" t="s">
        <v>312</v>
      </c>
      <c r="G277" s="53" t="s">
        <v>208</v>
      </c>
      <c r="H277" s="53" t="s">
        <v>6271</v>
      </c>
      <c r="I277" s="53" t="s">
        <v>271</v>
      </c>
      <c r="J277" s="45" t="s">
        <v>5530</v>
      </c>
      <c r="K277" s="71">
        <v>46171.356249999997</v>
      </c>
      <c r="L277" s="71">
        <v>46182.837500000001</v>
      </c>
      <c r="M277" s="71">
        <v>46183.308333333334</v>
      </c>
      <c r="N277" s="71">
        <v>46188.211805555555</v>
      </c>
      <c r="O277" s="71">
        <v>46184.301388888889</v>
      </c>
      <c r="P277" s="71">
        <v>46188.211805555555</v>
      </c>
      <c r="Q277" s="53" t="s">
        <v>6272</v>
      </c>
      <c r="R277" s="53" t="s">
        <v>261</v>
      </c>
      <c r="S277" s="53" t="s">
        <v>175</v>
      </c>
      <c r="T277" s="53" t="s">
        <v>268</v>
      </c>
      <c r="U277" s="53" t="s">
        <v>5531</v>
      </c>
      <c r="X277" s="53" t="s">
        <v>5531</v>
      </c>
      <c r="Y277" s="53" t="s">
        <v>6273</v>
      </c>
      <c r="Z277" s="76">
        <f t="shared" ca="1" si="40"/>
        <v>3.3520833333362443</v>
      </c>
      <c r="AA277" s="75">
        <f t="shared" ca="1" si="41"/>
        <v>8.9388888888966509</v>
      </c>
      <c r="AB277" s="76">
        <f t="shared" ca="1" si="42"/>
        <v>0.37499999999999978</v>
      </c>
      <c r="AC277" s="75">
        <f t="shared" ca="1" si="43"/>
        <v>0.99999999999999944</v>
      </c>
      <c r="AD277" s="76">
        <f t="shared" ca="1" si="44"/>
        <v>0</v>
      </c>
      <c r="AE277" s="76">
        <f t="shared" ca="1" si="45"/>
        <v>0.37499999999999978</v>
      </c>
      <c r="AF277" s="75">
        <f t="shared" ca="1" si="46"/>
        <v>0.99999999999999944</v>
      </c>
      <c r="AG277" s="75">
        <f t="shared" ca="1" si="47"/>
        <v>0.99999999999999944</v>
      </c>
      <c r="AH277" s="31" t="str" cm="1">
        <f t="array" aca="1" ref="AH277" ca="1">IF((AD277) &lt; (INDEX(ResponseSLA[#All],(MATCH((G277),ResponseSLA[Priority],0))+1,3)),"YES","No")</f>
        <v>YES</v>
      </c>
      <c r="AI277" s="31" t="str">
        <f ca="1">_xlfn.IFNA(IF(AE277 &lt; (INDEX(SLATable[Minimum SLA],MATCH(G277,SLATable[Priority],0))),"YES","NO"),"")</f>
        <v>YES</v>
      </c>
      <c r="AJ277" t="str">
        <f ca="1">_xlfn.IFNA(IF(AE277 &lt; (INDEX(SLATable[Maximum SLA],MATCH(G277,SLATable[Priority],0))),"YES","NO"),"")</f>
        <v>YES</v>
      </c>
    </row>
    <row r="278" spans="2:36" ht="15" customHeight="1">
      <c r="B278" s="45" t="s">
        <v>26</v>
      </c>
      <c r="C278" s="45" t="s">
        <v>44</v>
      </c>
      <c r="D278" s="53" t="s">
        <v>208</v>
      </c>
      <c r="E278" s="53" t="s">
        <v>6274</v>
      </c>
      <c r="F278" s="45" t="s">
        <v>312</v>
      </c>
      <c r="G278" s="53" t="s">
        <v>208</v>
      </c>
      <c r="H278" s="53" t="s">
        <v>6275</v>
      </c>
      <c r="I278" s="53" t="s">
        <v>271</v>
      </c>
      <c r="J278" s="45" t="s">
        <v>5530</v>
      </c>
      <c r="K278" s="71">
        <v>46176.253472222219</v>
      </c>
      <c r="L278" s="71">
        <v>46177.393055555556</v>
      </c>
      <c r="M278" s="71">
        <v>46177.429861111108</v>
      </c>
      <c r="N278" s="71">
        <v>46181.314583333333</v>
      </c>
      <c r="O278" s="71">
        <v>46178.463888888888</v>
      </c>
      <c r="P278" s="71">
        <v>46181.314583333333</v>
      </c>
      <c r="Q278" s="53" t="s">
        <v>5534</v>
      </c>
      <c r="R278" s="53" t="s">
        <v>261</v>
      </c>
      <c r="S278" s="53" t="s">
        <v>175</v>
      </c>
      <c r="T278" s="53" t="s">
        <v>268</v>
      </c>
      <c r="U278" s="53" t="s">
        <v>5531</v>
      </c>
      <c r="X278" s="53" t="s">
        <v>5531</v>
      </c>
      <c r="Y278" s="53" t="s">
        <v>6276</v>
      </c>
      <c r="Z278" s="76">
        <f t="shared" ca="1" si="40"/>
        <v>0.88055555555426224</v>
      </c>
      <c r="AA278" s="75">
        <f t="shared" ca="1" si="41"/>
        <v>2.3481481481446993</v>
      </c>
      <c r="AB278" s="76">
        <f t="shared" ca="1" si="42"/>
        <v>0.44583333333139319</v>
      </c>
      <c r="AC278" s="75">
        <f t="shared" ca="1" si="43"/>
        <v>1.1888888888837152</v>
      </c>
      <c r="AD278" s="76">
        <f t="shared" ca="1" si="44"/>
        <v>3.6805555551836733E-2</v>
      </c>
      <c r="AE278" s="76">
        <f t="shared" ca="1" si="45"/>
        <v>0.44583333333139319</v>
      </c>
      <c r="AF278" s="75">
        <f t="shared" ca="1" si="46"/>
        <v>1.1888888888837152</v>
      </c>
      <c r="AG278" s="75">
        <f t="shared" ca="1" si="47"/>
        <v>1.1888888888837152</v>
      </c>
      <c r="AH278" s="31" t="str" cm="1">
        <f t="array" aca="1" ref="AH278" ca="1">IF((AD278) &lt; (INDEX(ResponseSLA[#All],(MATCH((G278),ResponseSLA[Priority],0))+1,3)),"YES","No")</f>
        <v>YES</v>
      </c>
      <c r="AI278" s="31" t="str">
        <f ca="1">_xlfn.IFNA(IF(AE278 &lt; (INDEX(SLATable[Minimum SLA],MATCH(G278,SLATable[Priority],0))),"YES","NO"),"")</f>
        <v>YES</v>
      </c>
      <c r="AJ278" t="str">
        <f ca="1">_xlfn.IFNA(IF(AE278 &lt; (INDEX(SLATable[Maximum SLA],MATCH(G278,SLATable[Priority],0))),"YES","NO"),"")</f>
        <v>YES</v>
      </c>
    </row>
    <row r="279" spans="2:36" ht="15" customHeight="1">
      <c r="B279" s="45" t="s">
        <v>26</v>
      </c>
      <c r="C279" s="45" t="s">
        <v>44</v>
      </c>
      <c r="D279" s="53" t="s">
        <v>207</v>
      </c>
      <c r="E279" s="53" t="s">
        <v>6277</v>
      </c>
      <c r="F279" s="45" t="s">
        <v>312</v>
      </c>
      <c r="G279" s="53">
        <v>4</v>
      </c>
      <c r="H279" s="53" t="s">
        <v>6278</v>
      </c>
      <c r="I279" s="53" t="s">
        <v>275</v>
      </c>
      <c r="J279" s="45" t="s">
        <v>5530</v>
      </c>
      <c r="K279" s="71">
        <v>46177.505555555559</v>
      </c>
      <c r="L279" s="71">
        <v>46179.40625</v>
      </c>
      <c r="M279" s="71">
        <v>46181.272916666669</v>
      </c>
      <c r="N279" s="71">
        <v>46181.309027777781</v>
      </c>
      <c r="O279" s="71"/>
      <c r="P279" s="71"/>
      <c r="Q279" s="53" t="s">
        <v>5534</v>
      </c>
      <c r="R279" s="53" t="s">
        <v>6120</v>
      </c>
      <c r="S279" s="53" t="s">
        <v>175</v>
      </c>
      <c r="T279" s="53" t="s">
        <v>268</v>
      </c>
      <c r="U279" s="53" t="s">
        <v>5132</v>
      </c>
      <c r="X279" s="53" t="s">
        <v>5531</v>
      </c>
      <c r="Y279" s="53" t="s">
        <v>6279</v>
      </c>
      <c r="Z279" s="76">
        <f t="shared" ca="1" si="40"/>
        <v>0.57777777777422079</v>
      </c>
      <c r="AA279" s="75">
        <f t="shared" ca="1" si="41"/>
        <v>1.5407407407312554</v>
      </c>
      <c r="AB279" s="76">
        <f t="shared" ca="1" si="42"/>
        <v>0</v>
      </c>
      <c r="AC279" s="75">
        <f t="shared" ca="1" si="43"/>
        <v>0</v>
      </c>
      <c r="AD279" s="76">
        <f t="shared" ca="1" si="44"/>
        <v>0</v>
      </c>
      <c r="AE279" s="76">
        <f t="shared" ca="1" si="45"/>
        <v>0</v>
      </c>
      <c r="AF279" s="75">
        <f t="shared" ca="1" si="46"/>
        <v>0</v>
      </c>
      <c r="AG279" s="75">
        <f t="shared" ca="1" si="47"/>
        <v>0</v>
      </c>
      <c r="AH279" s="31" t="str" cm="1">
        <f t="array" aca="1" ref="AH279" ca="1">IF((AD279) &lt; (INDEX(ResponseSLA[#All],(MATCH((G279),ResponseSLA[Priority],0))+1,3)),"YES","No")</f>
        <v>YES</v>
      </c>
      <c r="AI279" s="31" t="str">
        <f ca="1">_xlfn.IFNA(IF(AE279 &lt; (INDEX(SLATable[Minimum SLA],MATCH(G279,SLATable[Priority],0))),"YES","NO"),"")</f>
        <v>YES</v>
      </c>
      <c r="AJ279" t="str">
        <f ca="1">_xlfn.IFNA(IF(AE279 &lt; (INDEX(SLATable[Maximum SLA],MATCH(G279,SLATable[Priority],0))),"YES","NO"),"")</f>
        <v>YES</v>
      </c>
    </row>
    <row r="280" spans="2:36" ht="15" customHeight="1">
      <c r="B280" s="45" t="s">
        <v>26</v>
      </c>
      <c r="C280" s="45" t="s">
        <v>44</v>
      </c>
      <c r="D280" s="53" t="s">
        <v>208</v>
      </c>
      <c r="E280" s="53" t="s">
        <v>6280</v>
      </c>
      <c r="F280" s="45" t="s">
        <v>312</v>
      </c>
      <c r="G280" s="53" t="s">
        <v>208</v>
      </c>
      <c r="H280" s="53" t="s">
        <v>6281</v>
      </c>
      <c r="I280" s="53" t="s">
        <v>275</v>
      </c>
      <c r="J280" s="45" t="s">
        <v>5530</v>
      </c>
      <c r="K280" s="71">
        <v>46178.460416666669</v>
      </c>
      <c r="L280" s="71">
        <v>46178.57916666667</v>
      </c>
      <c r="M280" s="71">
        <v>46184.302083333336</v>
      </c>
      <c r="N280" s="71">
        <v>46181.310416666667</v>
      </c>
      <c r="O280" s="71">
        <v>46184.302083333336</v>
      </c>
      <c r="P280" s="71"/>
      <c r="Q280" s="53" t="s">
        <v>44</v>
      </c>
      <c r="R280" s="53" t="s">
        <v>6120</v>
      </c>
      <c r="S280" s="53" t="s">
        <v>175</v>
      </c>
      <c r="T280" s="53" t="s">
        <v>268</v>
      </c>
      <c r="U280" s="53" t="s">
        <v>5531</v>
      </c>
      <c r="X280" s="53" t="s">
        <v>5531</v>
      </c>
      <c r="Y280" s="53" t="s">
        <v>6282</v>
      </c>
      <c r="Z280" s="76">
        <f t="shared" ca="1" si="40"/>
        <v>0.24791666666472645</v>
      </c>
      <c r="AA280" s="75">
        <f t="shared" ca="1" si="41"/>
        <v>0.66111111110593723</v>
      </c>
      <c r="AB280" s="76">
        <f t="shared" ca="1" si="42"/>
        <v>0.12916666666327126</v>
      </c>
      <c r="AC280" s="75">
        <f t="shared" ca="1" si="43"/>
        <v>0.34444444443539002</v>
      </c>
      <c r="AD280" s="76">
        <f t="shared" ca="1" si="44"/>
        <v>1.2541666666632714</v>
      </c>
      <c r="AE280" s="76">
        <f t="shared" ca="1" si="45"/>
        <v>0.12916666666327126</v>
      </c>
      <c r="AF280" s="75">
        <f t="shared" ca="1" si="46"/>
        <v>0.34444444443539002</v>
      </c>
      <c r="AG280" s="75">
        <f t="shared" ca="1" si="47"/>
        <v>0.34444444443539002</v>
      </c>
      <c r="AH280" s="31" t="str" cm="1">
        <f t="array" aca="1" ref="AH280" ca="1">IF((AD280) &lt; (INDEX(ResponseSLA[#All],(MATCH((G280),ResponseSLA[Priority],0))+1,3)),"YES","No")</f>
        <v>No</v>
      </c>
      <c r="AI280" s="31" t="str">
        <f ca="1">_xlfn.IFNA(IF(AE280 &lt; (INDEX(SLATable[Minimum SLA],MATCH(G280,SLATable[Priority],0))),"YES","NO"),"")</f>
        <v>YES</v>
      </c>
      <c r="AJ280" t="str">
        <f ca="1">_xlfn.IFNA(IF(AE280 &lt; (INDEX(SLATable[Maximum SLA],MATCH(G280,SLATable[Priority],0))),"YES","NO"),"")</f>
        <v>YES</v>
      </c>
    </row>
    <row r="281" spans="2:36" ht="15" customHeight="1">
      <c r="B281" s="45" t="s">
        <v>26</v>
      </c>
      <c r="C281" s="45" t="s">
        <v>44</v>
      </c>
      <c r="D281" s="53" t="s">
        <v>208</v>
      </c>
      <c r="E281" s="53" t="s">
        <v>6283</v>
      </c>
      <c r="F281" s="45" t="s">
        <v>312</v>
      </c>
      <c r="G281" s="53" t="s">
        <v>208</v>
      </c>
      <c r="H281" s="53" t="s">
        <v>6281</v>
      </c>
      <c r="I281" s="53" t="s">
        <v>275</v>
      </c>
      <c r="J281" s="45" t="s">
        <v>5530</v>
      </c>
      <c r="K281" s="71">
        <v>46178.327777777777</v>
      </c>
      <c r="L281" s="71">
        <v>46183.543749999997</v>
      </c>
      <c r="M281" s="71">
        <v>46183.55</v>
      </c>
      <c r="N281" s="71">
        <v>46184.303472222222</v>
      </c>
      <c r="O281" s="71"/>
      <c r="P281" s="71"/>
      <c r="Q281" s="53" t="s">
        <v>5534</v>
      </c>
      <c r="R281" s="53" t="s">
        <v>6120</v>
      </c>
      <c r="S281" s="53" t="s">
        <v>175</v>
      </c>
      <c r="T281" s="53" t="s">
        <v>268</v>
      </c>
      <c r="U281" s="53" t="s">
        <v>5132</v>
      </c>
      <c r="X281" s="53" t="s">
        <v>5531</v>
      </c>
      <c r="Y281" s="53" t="s">
        <v>6279</v>
      </c>
      <c r="Z281" s="76">
        <f t="shared" ca="1" si="40"/>
        <v>1.5000000000000002</v>
      </c>
      <c r="AA281" s="75">
        <f t="shared" ca="1" si="41"/>
        <v>4.0000000000000009</v>
      </c>
      <c r="AB281" s="76">
        <f t="shared" ca="1" si="42"/>
        <v>0.16458333333624375</v>
      </c>
      <c r="AC281" s="75">
        <f t="shared" ca="1" si="43"/>
        <v>0.43888888889665001</v>
      </c>
      <c r="AD281" s="76">
        <f t="shared" ca="1" si="44"/>
        <v>6.2500000058207661E-3</v>
      </c>
      <c r="AE281" s="76">
        <f t="shared" ca="1" si="45"/>
        <v>0.16458333333624375</v>
      </c>
      <c r="AF281" s="75">
        <f t="shared" ca="1" si="46"/>
        <v>0.43888888889665001</v>
      </c>
      <c r="AG281" s="75">
        <f t="shared" ca="1" si="47"/>
        <v>0.43888888889665001</v>
      </c>
      <c r="AH281" s="31" t="str" cm="1">
        <f t="array" aca="1" ref="AH281" ca="1">IF((AD281) &lt; (INDEX(ResponseSLA[#All],(MATCH((G281),ResponseSLA[Priority],0))+1,3)),"YES","No")</f>
        <v>YES</v>
      </c>
      <c r="AI281" s="31" t="str">
        <f ca="1">_xlfn.IFNA(IF(AE281 &lt; (INDEX(SLATable[Minimum SLA],MATCH(G281,SLATable[Priority],0))),"YES","NO"),"")</f>
        <v>YES</v>
      </c>
      <c r="AJ281" t="str">
        <f ca="1">_xlfn.IFNA(IF(AE281 &lt; (INDEX(SLATable[Maximum SLA],MATCH(G281,SLATable[Priority],0))),"YES","NO"),"")</f>
        <v>YES</v>
      </c>
    </row>
    <row r="282" spans="2:36" ht="15" customHeight="1">
      <c r="B282" s="45" t="s">
        <v>26</v>
      </c>
      <c r="C282" s="45" t="s">
        <v>44</v>
      </c>
      <c r="D282" s="53" t="s">
        <v>208</v>
      </c>
      <c r="E282" s="53" t="s">
        <v>6284</v>
      </c>
      <c r="F282" s="45" t="s">
        <v>312</v>
      </c>
      <c r="G282" s="53" t="s">
        <v>208</v>
      </c>
      <c r="H282" s="53" t="s">
        <v>6285</v>
      </c>
      <c r="I282" s="53" t="s">
        <v>271</v>
      </c>
      <c r="J282" s="45" t="s">
        <v>5530</v>
      </c>
      <c r="K282" s="71">
        <v>46176.631249999999</v>
      </c>
      <c r="L282" s="71">
        <v>46177.390277777777</v>
      </c>
      <c r="M282" s="71">
        <v>46177.430555555555</v>
      </c>
      <c r="N282" s="71">
        <v>46183.302777777775</v>
      </c>
      <c r="O282" s="71">
        <v>46181.319444444445</v>
      </c>
      <c r="P282" s="71">
        <v>46183.302777777775</v>
      </c>
      <c r="Q282" s="53" t="s">
        <v>5534</v>
      </c>
      <c r="R282" s="53" t="s">
        <v>6120</v>
      </c>
      <c r="S282" s="53" t="s">
        <v>175</v>
      </c>
      <c r="T282" s="53" t="s">
        <v>268</v>
      </c>
      <c r="U282" s="53" t="s">
        <v>5531</v>
      </c>
      <c r="X282" s="53" t="s">
        <v>5531</v>
      </c>
      <c r="Y282" s="53" t="s">
        <v>5590</v>
      </c>
      <c r="Z282" s="76">
        <f t="shared" ca="1" si="40"/>
        <v>0.82708333333478845</v>
      </c>
      <c r="AA282" s="75">
        <f t="shared" ca="1" si="41"/>
        <v>2.2055555555594362</v>
      </c>
      <c r="AB282" s="76">
        <f t="shared" ca="1" si="42"/>
        <v>0.6930555555566873</v>
      </c>
      <c r="AC282" s="75">
        <f t="shared" ca="1" si="43"/>
        <v>1.8481481481511663</v>
      </c>
      <c r="AD282" s="76">
        <f t="shared" ca="1" si="44"/>
        <v>4.0277777778101154E-2</v>
      </c>
      <c r="AE282" s="76">
        <f t="shared" ca="1" si="45"/>
        <v>0.6930555555566873</v>
      </c>
      <c r="AF282" s="75">
        <f t="shared" ca="1" si="46"/>
        <v>1.8481481481511663</v>
      </c>
      <c r="AG282" s="75">
        <f t="shared" ca="1" si="47"/>
        <v>1.8481481481511663</v>
      </c>
      <c r="AH282" s="31" t="str" cm="1">
        <f t="array" aca="1" ref="AH282" ca="1">IF((AD282) &lt; (INDEX(ResponseSLA[#All],(MATCH((G282),ResponseSLA[Priority],0))+1,3)),"YES","No")</f>
        <v>YES</v>
      </c>
      <c r="AI282" s="31" t="str">
        <f ca="1">_xlfn.IFNA(IF(AE282 &lt; (INDEX(SLATable[Minimum SLA],MATCH(G282,SLATable[Priority],0))),"YES","NO"),"")</f>
        <v>YES</v>
      </c>
      <c r="AJ282" t="str">
        <f ca="1">_xlfn.IFNA(IF(AE282 &lt; (INDEX(SLATable[Maximum SLA],MATCH(G282,SLATable[Priority],0))),"YES","NO"),"")</f>
        <v>YES</v>
      </c>
    </row>
    <row r="283" spans="2:36" ht="15" customHeight="1">
      <c r="B283" s="45" t="s">
        <v>26</v>
      </c>
      <c r="C283" s="45" t="s">
        <v>44</v>
      </c>
      <c r="D283" s="53" t="s">
        <v>208</v>
      </c>
      <c r="E283" s="53" t="s">
        <v>6286</v>
      </c>
      <c r="F283" s="45" t="s">
        <v>312</v>
      </c>
      <c r="G283" s="53" t="s">
        <v>208</v>
      </c>
      <c r="H283" s="53" t="s">
        <v>6287</v>
      </c>
      <c r="I283" s="53" t="s">
        <v>271</v>
      </c>
      <c r="J283" s="45" t="s">
        <v>5530</v>
      </c>
      <c r="K283" s="71">
        <v>46180.741666666669</v>
      </c>
      <c r="L283" s="71">
        <v>46184.631249999999</v>
      </c>
      <c r="M283" s="71">
        <v>46185.294444444444</v>
      </c>
      <c r="N283" s="71">
        <v>46188.211805555555</v>
      </c>
      <c r="O283" s="71">
        <v>46185.427083333336</v>
      </c>
      <c r="P283" s="71">
        <v>46188.211805555555</v>
      </c>
      <c r="Q283" s="53" t="s">
        <v>5534</v>
      </c>
      <c r="R283" s="53" t="s">
        <v>6120</v>
      </c>
      <c r="S283" s="53" t="s">
        <v>175</v>
      </c>
      <c r="T283" s="53" t="s">
        <v>268</v>
      </c>
      <c r="U283" s="53" t="s">
        <v>5531</v>
      </c>
      <c r="X283" s="53" t="s">
        <v>5531</v>
      </c>
      <c r="Y283" s="53" t="s">
        <v>6288</v>
      </c>
      <c r="Z283" s="76">
        <f t="shared" ca="1" si="40"/>
        <v>1.5937500000024256</v>
      </c>
      <c r="AA283" s="75">
        <f t="shared" ca="1" si="41"/>
        <v>4.2500000000064686</v>
      </c>
      <c r="AB283" s="76">
        <f t="shared" ca="1" si="42"/>
        <v>0.17083333333721396</v>
      </c>
      <c r="AC283" s="75">
        <f t="shared" ca="1" si="43"/>
        <v>0.45555555556590388</v>
      </c>
      <c r="AD283" s="76">
        <f t="shared" ca="1" si="44"/>
        <v>7.7083333334788562E-2</v>
      </c>
      <c r="AE283" s="76">
        <f t="shared" ca="1" si="45"/>
        <v>0.17083333333721396</v>
      </c>
      <c r="AF283" s="75">
        <f t="shared" ca="1" si="46"/>
        <v>0.45555555556590388</v>
      </c>
      <c r="AG283" s="75">
        <f t="shared" ca="1" si="47"/>
        <v>0.45555555556590388</v>
      </c>
      <c r="AH283" s="31" t="str" cm="1">
        <f t="array" aca="1" ref="AH283" ca="1">IF((AD283) &lt; (INDEX(ResponseSLA[#All],(MATCH((G283),ResponseSLA[Priority],0))+1,3)),"YES","No")</f>
        <v>YES</v>
      </c>
      <c r="AI283" s="31" t="str">
        <f ca="1">_xlfn.IFNA(IF(AE283 &lt; (INDEX(SLATable[Minimum SLA],MATCH(G283,SLATable[Priority],0))),"YES","NO"),"")</f>
        <v>YES</v>
      </c>
      <c r="AJ283" t="str">
        <f ca="1">_xlfn.IFNA(IF(AE283 &lt; (INDEX(SLATable[Maximum SLA],MATCH(G283,SLATable[Priority],0))),"YES","NO"),"")</f>
        <v>YES</v>
      </c>
    </row>
    <row r="284" spans="2:36" ht="15" customHeight="1">
      <c r="B284" s="45" t="s">
        <v>26</v>
      </c>
      <c r="C284" s="45" t="s">
        <v>44</v>
      </c>
      <c r="D284" s="53" t="s">
        <v>208</v>
      </c>
      <c r="E284" s="53" t="s">
        <v>6289</v>
      </c>
      <c r="F284" s="45" t="s">
        <v>312</v>
      </c>
      <c r="G284" s="53" t="s">
        <v>208</v>
      </c>
      <c r="H284" s="53" t="s">
        <v>6290</v>
      </c>
      <c r="I284" s="53" t="s">
        <v>271</v>
      </c>
      <c r="J284" s="45" t="s">
        <v>5530</v>
      </c>
      <c r="K284" s="71">
        <v>46181.701388888891</v>
      </c>
      <c r="L284" s="71">
        <v>46181.702777777777</v>
      </c>
      <c r="M284" s="71">
        <v>46182.285416666666</v>
      </c>
      <c r="N284" s="71">
        <v>46188.211111111108</v>
      </c>
      <c r="O284" s="71">
        <v>46182.324305555558</v>
      </c>
      <c r="P284" s="71">
        <v>46188.211111111108</v>
      </c>
      <c r="Q284" s="53" t="s">
        <v>5534</v>
      </c>
      <c r="R284" s="53" t="s">
        <v>6120</v>
      </c>
      <c r="S284" s="53" t="s">
        <v>175</v>
      </c>
      <c r="T284" s="53" t="s">
        <v>268</v>
      </c>
      <c r="U284" s="53" t="s">
        <v>5531</v>
      </c>
      <c r="X284" s="53" t="s">
        <v>5531</v>
      </c>
      <c r="Y284" s="53" t="s">
        <v>5590</v>
      </c>
      <c r="Z284" s="76">
        <f t="shared" ca="1" si="40"/>
        <v>6.944444442827491E-3</v>
      </c>
      <c r="AA284" s="75">
        <f t="shared" ca="1" si="41"/>
        <v>1.8518518514206644E-2</v>
      </c>
      <c r="AB284" s="76">
        <f t="shared" ca="1" si="42"/>
        <v>5.5555555566872972E-3</v>
      </c>
      <c r="AC284" s="75">
        <f t="shared" ca="1" si="43"/>
        <v>1.4814814817832792E-2</v>
      </c>
      <c r="AD284" s="76">
        <f t="shared" ca="1" si="44"/>
        <v>5.5555555566874082E-3</v>
      </c>
      <c r="AE284" s="76">
        <f t="shared" ca="1" si="45"/>
        <v>5.5555555566872972E-3</v>
      </c>
      <c r="AF284" s="75">
        <f t="shared" ca="1" si="46"/>
        <v>1.4814814817832792E-2</v>
      </c>
      <c r="AG284" s="75">
        <f t="shared" ca="1" si="47"/>
        <v>1.4814814817832792E-2</v>
      </c>
      <c r="AH284" s="31" t="str" cm="1">
        <f t="array" aca="1" ref="AH284" ca="1">IF((AD284) &lt; (INDEX(ResponseSLA[#All],(MATCH((G284),ResponseSLA[Priority],0))+1,3)),"YES","No")</f>
        <v>YES</v>
      </c>
      <c r="AI284" s="31" t="str">
        <f ca="1">_xlfn.IFNA(IF(AE284 &lt; (INDEX(SLATable[Minimum SLA],MATCH(G284,SLATable[Priority],0))),"YES","NO"),"")</f>
        <v>YES</v>
      </c>
      <c r="AJ284" t="str">
        <f ca="1">_xlfn.IFNA(IF(AE284 &lt; (INDEX(SLATable[Maximum SLA],MATCH(G284,SLATable[Priority],0))),"YES","NO"),"")</f>
        <v>YES</v>
      </c>
    </row>
    <row r="285" spans="2:36" ht="15" customHeight="1">
      <c r="B285" s="45" t="s">
        <v>26</v>
      </c>
      <c r="C285" s="45" t="s">
        <v>44</v>
      </c>
      <c r="D285" s="53" t="s">
        <v>207</v>
      </c>
      <c r="E285" s="53" t="s">
        <v>6291</v>
      </c>
      <c r="F285" s="45" t="s">
        <v>312</v>
      </c>
      <c r="G285" s="53">
        <v>3</v>
      </c>
      <c r="H285" s="53" t="s">
        <v>6292</v>
      </c>
      <c r="I285" s="53" t="s">
        <v>275</v>
      </c>
      <c r="J285" s="45" t="s">
        <v>5530</v>
      </c>
      <c r="K285" s="71">
        <v>46182.402083333334</v>
      </c>
      <c r="L285" s="71">
        <v>46182.754861111112</v>
      </c>
      <c r="M285" s="71">
        <v>46183.29791666667</v>
      </c>
      <c r="N285" s="71">
        <v>46183.29791666667</v>
      </c>
      <c r="O285" s="71"/>
      <c r="P285" s="71"/>
      <c r="Q285" s="53" t="s">
        <v>6293</v>
      </c>
      <c r="R285" s="53" t="s">
        <v>6120</v>
      </c>
      <c r="S285" s="53" t="s">
        <v>175</v>
      </c>
      <c r="T285" s="53" t="s">
        <v>268</v>
      </c>
      <c r="U285" s="53" t="s">
        <v>5531</v>
      </c>
      <c r="X285" s="53" t="s">
        <v>5531</v>
      </c>
      <c r="Y285" s="53" t="s">
        <v>6294</v>
      </c>
      <c r="Z285" s="76">
        <f t="shared" ca="1" si="40"/>
        <v>0.30624999999902991</v>
      </c>
      <c r="AA285" s="75">
        <f t="shared" ca="1" si="41"/>
        <v>0.81666666666407972</v>
      </c>
      <c r="AB285" s="76">
        <f t="shared" ca="1" si="42"/>
        <v>0</v>
      </c>
      <c r="AC285" s="75">
        <f t="shared" ca="1" si="43"/>
        <v>0</v>
      </c>
      <c r="AD285" s="76">
        <f t="shared" ca="1" si="44"/>
        <v>0</v>
      </c>
      <c r="AE285" s="76">
        <f t="shared" ca="1" si="45"/>
        <v>0</v>
      </c>
      <c r="AF285" s="75">
        <f t="shared" ca="1" si="46"/>
        <v>0</v>
      </c>
      <c r="AG285" s="75">
        <f t="shared" ca="1" si="47"/>
        <v>0</v>
      </c>
      <c r="AH285" s="31" t="str" cm="1">
        <f t="array" aca="1" ref="AH285" ca="1">IF((AD285) &lt; (INDEX(ResponseSLA[#All],(MATCH((G285),ResponseSLA[Priority],0))+1,3)),"YES","No")</f>
        <v>YES</v>
      </c>
      <c r="AI285" s="31" t="str">
        <f ca="1">_xlfn.IFNA(IF(AE285 &lt; (INDEX(SLATable[Minimum SLA],MATCH(G285,SLATable[Priority],0))),"YES","NO"),"")</f>
        <v>YES</v>
      </c>
      <c r="AJ285" t="str">
        <f ca="1">_xlfn.IFNA(IF(AE285 &lt; (INDEX(SLATable[Maximum SLA],MATCH(G285,SLATable[Priority],0))),"YES","NO"),"")</f>
        <v>YES</v>
      </c>
    </row>
    <row r="286" spans="2:36" ht="15" customHeight="1">
      <c r="B286" s="45" t="s">
        <v>26</v>
      </c>
      <c r="C286" s="45" t="s">
        <v>44</v>
      </c>
      <c r="D286" s="53" t="s">
        <v>207</v>
      </c>
      <c r="E286" s="53" t="s">
        <v>6295</v>
      </c>
      <c r="F286" s="45" t="s">
        <v>312</v>
      </c>
      <c r="G286" s="53">
        <v>4</v>
      </c>
      <c r="H286" s="53" t="s">
        <v>6296</v>
      </c>
      <c r="I286" s="53" t="s">
        <v>271</v>
      </c>
      <c r="J286" s="45" t="s">
        <v>5530</v>
      </c>
      <c r="K286" s="71">
        <v>46180.788888888892</v>
      </c>
      <c r="L286" s="71">
        <v>46182.408333333333</v>
      </c>
      <c r="M286" s="71">
        <v>46182.418749999997</v>
      </c>
      <c r="N286" s="71">
        <v>46189.298611111109</v>
      </c>
      <c r="O286" s="71">
        <v>46183.299305555556</v>
      </c>
      <c r="P286" s="71">
        <v>46189.298611111109</v>
      </c>
      <c r="Q286" s="53" t="s">
        <v>5534</v>
      </c>
      <c r="R286" s="53" t="s">
        <v>261</v>
      </c>
      <c r="S286" s="53" t="s">
        <v>175</v>
      </c>
      <c r="T286" s="53" t="s">
        <v>268</v>
      </c>
      <c r="U286" s="53" t="s">
        <v>5531</v>
      </c>
      <c r="X286" s="53" t="s">
        <v>5531</v>
      </c>
      <c r="Y286" s="53" t="s">
        <v>6297</v>
      </c>
      <c r="Z286" s="76">
        <f t="shared" ca="1" si="40"/>
        <v>0.75000000000000022</v>
      </c>
      <c r="AA286" s="75">
        <f t="shared" ca="1" si="41"/>
        <v>2.0000000000000009</v>
      </c>
      <c r="AB286" s="76">
        <f t="shared" ca="1" si="42"/>
        <v>0.30000000000048499</v>
      </c>
      <c r="AC286" s="75">
        <f t="shared" ca="1" si="43"/>
        <v>0.80000000000129334</v>
      </c>
      <c r="AD286" s="76">
        <f t="shared" ca="1" si="44"/>
        <v>1.0416666664241347E-2</v>
      </c>
      <c r="AE286" s="76">
        <f t="shared" ca="1" si="45"/>
        <v>0.30000000000048499</v>
      </c>
      <c r="AF286" s="75">
        <f t="shared" ca="1" si="46"/>
        <v>0.80000000000129334</v>
      </c>
      <c r="AG286" s="75">
        <f t="shared" ca="1" si="47"/>
        <v>0.80000000000129334</v>
      </c>
      <c r="AH286" s="31" t="str" cm="1">
        <f t="array" aca="1" ref="AH286" ca="1">IF((AD286) &lt; (INDEX(ResponseSLA[#All],(MATCH((G286),ResponseSLA[Priority],0))+1,3)),"YES","No")</f>
        <v>YES</v>
      </c>
      <c r="AI286" s="31" t="str">
        <f ca="1">_xlfn.IFNA(IF(AE286 &lt; (INDEX(SLATable[Minimum SLA],MATCH(G286,SLATable[Priority],0))),"YES","NO"),"")</f>
        <v>YES</v>
      </c>
      <c r="AJ286" t="str">
        <f ca="1">_xlfn.IFNA(IF(AE286 &lt; (INDEX(SLATable[Maximum SLA],MATCH(G286,SLATable[Priority],0))),"YES","NO"),"")</f>
        <v>YES</v>
      </c>
    </row>
    <row r="287" spans="2:36" ht="15" customHeight="1">
      <c r="B287" s="45" t="s">
        <v>26</v>
      </c>
      <c r="C287" s="45" t="s">
        <v>44</v>
      </c>
      <c r="D287" s="53" t="s">
        <v>207</v>
      </c>
      <c r="E287" s="53" t="s">
        <v>6298</v>
      </c>
      <c r="F287" s="45" t="s">
        <v>312</v>
      </c>
      <c r="G287" s="53">
        <v>4</v>
      </c>
      <c r="H287" s="53" t="s">
        <v>6299</v>
      </c>
      <c r="I287" s="53" t="s">
        <v>271</v>
      </c>
      <c r="J287" s="45" t="s">
        <v>5530</v>
      </c>
      <c r="K287" s="71">
        <v>46181.976388888892</v>
      </c>
      <c r="L287" s="71">
        <v>46181.991666666669</v>
      </c>
      <c r="M287" s="71">
        <v>46182.277083333334</v>
      </c>
      <c r="N287" s="71">
        <v>46185.355555555558</v>
      </c>
      <c r="O287" s="71">
        <v>46182.315972222219</v>
      </c>
      <c r="P287" s="71">
        <v>46185.355555555558</v>
      </c>
      <c r="Q287" s="53" t="s">
        <v>5534</v>
      </c>
      <c r="R287" s="53" t="s">
        <v>6120</v>
      </c>
      <c r="S287" s="53" t="s">
        <v>175</v>
      </c>
      <c r="T287" s="53" t="s">
        <v>268</v>
      </c>
      <c r="U287" s="53" t="s">
        <v>5531</v>
      </c>
      <c r="X287" s="53" t="s">
        <v>5531</v>
      </c>
      <c r="Y287" s="53" t="s">
        <v>6300</v>
      </c>
      <c r="Z287" s="76">
        <f t="shared" ca="1" si="40"/>
        <v>0</v>
      </c>
      <c r="AA287" s="75">
        <f t="shared" ca="1" si="41"/>
        <v>0</v>
      </c>
      <c r="AB287" s="76">
        <f t="shared" ca="1" si="42"/>
        <v>0</v>
      </c>
      <c r="AC287" s="75">
        <f t="shared" ca="1" si="43"/>
        <v>0</v>
      </c>
      <c r="AD287" s="76">
        <f t="shared" ca="1" si="44"/>
        <v>0</v>
      </c>
      <c r="AE287" s="76">
        <f t="shared" ca="1" si="45"/>
        <v>0</v>
      </c>
      <c r="AF287" s="75">
        <f t="shared" ca="1" si="46"/>
        <v>0</v>
      </c>
      <c r="AG287" s="75">
        <f t="shared" ca="1" si="47"/>
        <v>0</v>
      </c>
      <c r="AH287" s="31" t="str" cm="1">
        <f t="array" aca="1" ref="AH287" ca="1">IF((AD287) &lt; (INDEX(ResponseSLA[#All],(MATCH((G287),ResponseSLA[Priority],0))+1,3)),"YES","No")</f>
        <v>YES</v>
      </c>
      <c r="AI287" s="31" t="str">
        <f ca="1">_xlfn.IFNA(IF(AE287 &lt; (INDEX(SLATable[Minimum SLA],MATCH(G287,SLATable[Priority],0))),"YES","NO"),"")</f>
        <v>YES</v>
      </c>
      <c r="AJ287" t="str">
        <f ca="1">_xlfn.IFNA(IF(AE287 &lt; (INDEX(SLATable[Maximum SLA],MATCH(G287,SLATable[Priority],0))),"YES","NO"),"")</f>
        <v>YES</v>
      </c>
    </row>
    <row r="288" spans="2:36" ht="15" customHeight="1">
      <c r="B288" s="45" t="s">
        <v>26</v>
      </c>
      <c r="C288" s="45" t="s">
        <v>44</v>
      </c>
      <c r="D288" s="53" t="s">
        <v>208</v>
      </c>
      <c r="E288" s="53" t="s">
        <v>6301</v>
      </c>
      <c r="F288" s="45" t="s">
        <v>312</v>
      </c>
      <c r="G288" s="53" t="s">
        <v>208</v>
      </c>
      <c r="H288" s="53" t="s">
        <v>6302</v>
      </c>
      <c r="I288" s="53" t="s">
        <v>275</v>
      </c>
      <c r="J288" s="45" t="s">
        <v>5530</v>
      </c>
      <c r="K288" s="71">
        <v>46182.633333333331</v>
      </c>
      <c r="L288" s="71">
        <v>46183.557638888888</v>
      </c>
      <c r="M288" s="71">
        <v>46183.563194444447</v>
      </c>
      <c r="N288" s="71">
        <v>46184.285416666666</v>
      </c>
      <c r="O288" s="71"/>
      <c r="P288" s="71"/>
      <c r="Q288" s="53" t="s">
        <v>5534</v>
      </c>
      <c r="R288" s="53" t="s">
        <v>261</v>
      </c>
      <c r="S288" s="53" t="s">
        <v>175</v>
      </c>
      <c r="T288" s="53" t="s">
        <v>268</v>
      </c>
      <c r="U288" s="53" t="s">
        <v>5531</v>
      </c>
      <c r="X288" s="53" t="s">
        <v>5531</v>
      </c>
      <c r="Y288" s="53" t="s">
        <v>6303</v>
      </c>
      <c r="Z288" s="76">
        <f t="shared" ca="1" si="40"/>
        <v>0.4500000000019404</v>
      </c>
      <c r="AA288" s="75">
        <f t="shared" ca="1" si="41"/>
        <v>1.2000000000051745</v>
      </c>
      <c r="AB288" s="76">
        <f t="shared" ca="1" si="42"/>
        <v>0.15069444444573799</v>
      </c>
      <c r="AC288" s="75">
        <f t="shared" ca="1" si="43"/>
        <v>0.40185185185530131</v>
      </c>
      <c r="AD288" s="76">
        <f t="shared" ca="1" si="44"/>
        <v>5.5555555591126904E-3</v>
      </c>
      <c r="AE288" s="76">
        <f t="shared" ca="1" si="45"/>
        <v>0.15069444444573799</v>
      </c>
      <c r="AF288" s="75">
        <f t="shared" ca="1" si="46"/>
        <v>0.40185185185530131</v>
      </c>
      <c r="AG288" s="75">
        <f t="shared" ca="1" si="47"/>
        <v>0.40185185185530131</v>
      </c>
      <c r="AH288" s="31" t="str" cm="1">
        <f t="array" aca="1" ref="AH288" ca="1">IF((AD288) &lt; (INDEX(ResponseSLA[#All],(MATCH((G288),ResponseSLA[Priority],0))+1,3)),"YES","No")</f>
        <v>YES</v>
      </c>
      <c r="AI288" s="31" t="str">
        <f ca="1">_xlfn.IFNA(IF(AE288 &lt; (INDEX(SLATable[Minimum SLA],MATCH(G288,SLATable[Priority],0))),"YES","NO"),"")</f>
        <v>YES</v>
      </c>
      <c r="AJ288" t="str">
        <f ca="1">_xlfn.IFNA(IF(AE288 &lt; (INDEX(SLATable[Maximum SLA],MATCH(G288,SLATable[Priority],0))),"YES","NO"),"")</f>
        <v>YES</v>
      </c>
    </row>
    <row r="289" spans="2:36" ht="15" customHeight="1">
      <c r="B289" s="45" t="s">
        <v>26</v>
      </c>
      <c r="C289" s="45" t="s">
        <v>44</v>
      </c>
      <c r="D289" s="53" t="s">
        <v>208</v>
      </c>
      <c r="E289" s="53" t="s">
        <v>6304</v>
      </c>
      <c r="F289" s="45" t="s">
        <v>312</v>
      </c>
      <c r="G289" s="53" t="s">
        <v>208</v>
      </c>
      <c r="H289" s="53" t="s">
        <v>6305</v>
      </c>
      <c r="I289" s="53" t="s">
        <v>275</v>
      </c>
      <c r="J289" s="45" t="s">
        <v>5530</v>
      </c>
      <c r="K289" s="71">
        <v>46182.640972222223</v>
      </c>
      <c r="L289" s="71">
        <v>46183.53402777778</v>
      </c>
      <c r="M289" s="71">
        <v>46183.550694444442</v>
      </c>
      <c r="N289" s="71">
        <v>46184.286111111112</v>
      </c>
      <c r="O289" s="71"/>
      <c r="P289" s="71"/>
      <c r="Q289" s="53" t="s">
        <v>5534</v>
      </c>
      <c r="R289" s="53" t="s">
        <v>261</v>
      </c>
      <c r="S289" s="53" t="s">
        <v>175</v>
      </c>
      <c r="T289" s="53" t="s">
        <v>268</v>
      </c>
      <c r="U289" s="53" t="s">
        <v>5531</v>
      </c>
      <c r="X289" s="53" t="s">
        <v>5531</v>
      </c>
      <c r="Y289" s="53" t="s">
        <v>6303</v>
      </c>
      <c r="Z289" s="76">
        <f t="shared" ca="1" si="40"/>
        <v>0.44236111110997944</v>
      </c>
      <c r="AA289" s="75">
        <f t="shared" ca="1" si="41"/>
        <v>1.1796296296266118</v>
      </c>
      <c r="AB289" s="76">
        <f t="shared" ca="1" si="42"/>
        <v>0.17430555555377703</v>
      </c>
      <c r="AC289" s="75">
        <f t="shared" ca="1" si="43"/>
        <v>0.46481481481007209</v>
      </c>
      <c r="AD289" s="76">
        <f t="shared" ca="1" si="44"/>
        <v>1.6666666662786156E-2</v>
      </c>
      <c r="AE289" s="76">
        <f t="shared" ca="1" si="45"/>
        <v>0.17430555555377703</v>
      </c>
      <c r="AF289" s="75">
        <f t="shared" ca="1" si="46"/>
        <v>0.46481481481007209</v>
      </c>
      <c r="AG289" s="75">
        <f t="shared" ca="1" si="47"/>
        <v>0.46481481481007209</v>
      </c>
      <c r="AH289" s="31" t="str" cm="1">
        <f t="array" aca="1" ref="AH289" ca="1">IF((AD289) &lt; (INDEX(ResponseSLA[#All],(MATCH((G289),ResponseSLA[Priority],0))+1,3)),"YES","No")</f>
        <v>YES</v>
      </c>
      <c r="AI289" s="31" t="str">
        <f ca="1">_xlfn.IFNA(IF(AE289 &lt; (INDEX(SLATable[Minimum SLA],MATCH(G289,SLATable[Priority],0))),"YES","NO"),"")</f>
        <v>YES</v>
      </c>
      <c r="AJ289" t="str">
        <f ca="1">_xlfn.IFNA(IF(AE289 &lt; (INDEX(SLATable[Maximum SLA],MATCH(G289,SLATable[Priority],0))),"YES","NO"),"")</f>
        <v>YES</v>
      </c>
    </row>
    <row r="290" spans="2:36" ht="15" customHeight="1">
      <c r="B290" s="45" t="s">
        <v>26</v>
      </c>
      <c r="C290" s="45" t="s">
        <v>44</v>
      </c>
      <c r="D290" s="53" t="s">
        <v>208</v>
      </c>
      <c r="E290" s="53" t="s">
        <v>6306</v>
      </c>
      <c r="F290" s="45" t="s">
        <v>312</v>
      </c>
      <c r="G290" s="53" t="s">
        <v>208</v>
      </c>
      <c r="H290" s="53" t="s">
        <v>6307</v>
      </c>
      <c r="I290" s="53" t="s">
        <v>275</v>
      </c>
      <c r="J290" s="45" t="s">
        <v>5530</v>
      </c>
      <c r="K290" s="71">
        <v>46182.645138888889</v>
      </c>
      <c r="L290" s="71">
        <v>46183.56527777778</v>
      </c>
      <c r="M290" s="71">
        <v>46183.60833333333</v>
      </c>
      <c r="N290" s="71">
        <v>46184.286805555559</v>
      </c>
      <c r="O290" s="71"/>
      <c r="P290" s="71"/>
      <c r="Q290" s="53" t="s">
        <v>5534</v>
      </c>
      <c r="R290" s="53" t="s">
        <v>261</v>
      </c>
      <c r="S290" s="53" t="s">
        <v>175</v>
      </c>
      <c r="T290" s="53" t="s">
        <v>268</v>
      </c>
      <c r="U290" s="53" t="s">
        <v>5531</v>
      </c>
      <c r="X290" s="53" t="s">
        <v>5531</v>
      </c>
      <c r="Y290" s="53" t="s">
        <v>6303</v>
      </c>
      <c r="Z290" s="76">
        <f t="shared" ca="1" si="40"/>
        <v>0.4381944444442829</v>
      </c>
      <c r="AA290" s="75">
        <f t="shared" ca="1" si="41"/>
        <v>1.1685185185180877</v>
      </c>
      <c r="AB290" s="76">
        <f t="shared" ca="1" si="42"/>
        <v>0.14305555555377703</v>
      </c>
      <c r="AC290" s="75">
        <f t="shared" ca="1" si="43"/>
        <v>0.38148148147673872</v>
      </c>
      <c r="AD290" s="76">
        <f t="shared" ca="1" si="44"/>
        <v>4.3055555550381541E-2</v>
      </c>
      <c r="AE290" s="76">
        <f t="shared" ca="1" si="45"/>
        <v>0.14305555555377703</v>
      </c>
      <c r="AF290" s="75">
        <f t="shared" ca="1" si="46"/>
        <v>0.38148148147673872</v>
      </c>
      <c r="AG290" s="75">
        <f t="shared" ca="1" si="47"/>
        <v>0.38148148147673872</v>
      </c>
      <c r="AH290" s="31" t="str" cm="1">
        <f t="array" aca="1" ref="AH290" ca="1">IF((AD290) &lt; (INDEX(ResponseSLA[#All],(MATCH((G290),ResponseSLA[Priority],0))+1,3)),"YES","No")</f>
        <v>YES</v>
      </c>
      <c r="AI290" s="31" t="str">
        <f ca="1">_xlfn.IFNA(IF(AE290 &lt; (INDEX(SLATable[Minimum SLA],MATCH(G290,SLATable[Priority],0))),"YES","NO"),"")</f>
        <v>YES</v>
      </c>
      <c r="AJ290" t="str">
        <f ca="1">_xlfn.IFNA(IF(AE290 &lt; (INDEX(SLATable[Maximum SLA],MATCH(G290,SLATable[Priority],0))),"YES","NO"),"")</f>
        <v>YES</v>
      </c>
    </row>
    <row r="291" spans="2:36" ht="15" customHeight="1">
      <c r="B291" s="45" t="s">
        <v>26</v>
      </c>
      <c r="C291" s="45" t="s">
        <v>44</v>
      </c>
      <c r="D291" s="53" t="s">
        <v>208</v>
      </c>
      <c r="E291" s="53" t="s">
        <v>6308</v>
      </c>
      <c r="F291" s="45" t="s">
        <v>312</v>
      </c>
      <c r="G291" s="53" t="s">
        <v>208</v>
      </c>
      <c r="H291" s="53" t="s">
        <v>6309</v>
      </c>
      <c r="I291" s="53" t="s">
        <v>275</v>
      </c>
      <c r="J291" s="45" t="s">
        <v>5530</v>
      </c>
      <c r="K291" s="71">
        <v>46182.643750000003</v>
      </c>
      <c r="L291" s="71">
        <v>46183.561805555553</v>
      </c>
      <c r="M291" s="71">
        <v>46183.607638888891</v>
      </c>
      <c r="N291" s="71">
        <v>46184.286805555559</v>
      </c>
      <c r="O291" s="71"/>
      <c r="P291" s="71"/>
      <c r="Q291" s="53" t="s">
        <v>5534</v>
      </c>
      <c r="R291" s="53" t="s">
        <v>261</v>
      </c>
      <c r="S291" s="53" t="s">
        <v>175</v>
      </c>
      <c r="T291" s="53" t="s">
        <v>268</v>
      </c>
      <c r="U291" s="53" t="s">
        <v>5531</v>
      </c>
      <c r="X291" s="53" t="s">
        <v>5531</v>
      </c>
      <c r="Y291" s="53" t="s">
        <v>6303</v>
      </c>
      <c r="Z291" s="76">
        <f t="shared" ca="1" si="40"/>
        <v>0.4395833333304231</v>
      </c>
      <c r="AA291" s="75">
        <f t="shared" ca="1" si="41"/>
        <v>1.1722222222144616</v>
      </c>
      <c r="AB291" s="76">
        <f t="shared" ca="1" si="42"/>
        <v>0.14652777778004145</v>
      </c>
      <c r="AC291" s="75">
        <f t="shared" ca="1" si="43"/>
        <v>0.39074074074677717</v>
      </c>
      <c r="AD291" s="76">
        <f t="shared" ca="1" si="44"/>
        <v>4.5833333337213844E-2</v>
      </c>
      <c r="AE291" s="76">
        <f t="shared" ca="1" si="45"/>
        <v>0.14652777778004145</v>
      </c>
      <c r="AF291" s="75">
        <f t="shared" ca="1" si="46"/>
        <v>0.39074074074677717</v>
      </c>
      <c r="AG291" s="75">
        <f t="shared" ca="1" si="47"/>
        <v>0.39074074074677717</v>
      </c>
      <c r="AH291" s="31" t="str" cm="1">
        <f t="array" aca="1" ref="AH291" ca="1">IF((AD291) &lt; (INDEX(ResponseSLA[#All],(MATCH((G291),ResponseSLA[Priority],0))+1,3)),"YES","No")</f>
        <v>YES</v>
      </c>
      <c r="AI291" s="31" t="str">
        <f ca="1">_xlfn.IFNA(IF(AE291 &lt; (INDEX(SLATable[Minimum SLA],MATCH(G291,SLATable[Priority],0))),"YES","NO"),"")</f>
        <v>YES</v>
      </c>
      <c r="AJ291" t="str">
        <f ca="1">_xlfn.IFNA(IF(AE291 &lt; (INDEX(SLATable[Maximum SLA],MATCH(G291,SLATable[Priority],0))),"YES","NO"),"")</f>
        <v>YES</v>
      </c>
    </row>
    <row r="292" spans="2:36" ht="15" customHeight="1">
      <c r="B292" s="45" t="s">
        <v>26</v>
      </c>
      <c r="C292" s="45" t="s">
        <v>44</v>
      </c>
      <c r="D292" s="53" t="s">
        <v>208</v>
      </c>
      <c r="E292" s="53" t="s">
        <v>6310</v>
      </c>
      <c r="F292" s="45" t="s">
        <v>312</v>
      </c>
      <c r="G292" s="53" t="s">
        <v>208</v>
      </c>
      <c r="H292" s="53" t="s">
        <v>6311</v>
      </c>
      <c r="I292" s="53" t="s">
        <v>275</v>
      </c>
      <c r="J292" s="45" t="s">
        <v>5530</v>
      </c>
      <c r="K292" s="71">
        <v>46182.652083333334</v>
      </c>
      <c r="L292" s="71">
        <v>46183.563194444447</v>
      </c>
      <c r="M292" s="71">
        <v>46183.607638888891</v>
      </c>
      <c r="N292" s="71">
        <v>46184.287499999999</v>
      </c>
      <c r="O292" s="71"/>
      <c r="P292" s="71"/>
      <c r="Q292" s="53" t="s">
        <v>5534</v>
      </c>
      <c r="R292" s="53" t="s">
        <v>261</v>
      </c>
      <c r="S292" s="53" t="s">
        <v>175</v>
      </c>
      <c r="T292" s="53" t="s">
        <v>268</v>
      </c>
      <c r="U292" s="53" t="s">
        <v>5531</v>
      </c>
      <c r="X292" s="53" t="s">
        <v>5531</v>
      </c>
      <c r="Y292" s="53" t="s">
        <v>6303</v>
      </c>
      <c r="Z292" s="76">
        <f t="shared" ca="1" si="40"/>
        <v>0.43124999999903002</v>
      </c>
      <c r="AA292" s="75">
        <f t="shared" ca="1" si="41"/>
        <v>1.1499999999974133</v>
      </c>
      <c r="AB292" s="76">
        <f t="shared" ca="1" si="42"/>
        <v>0.14513888888662529</v>
      </c>
      <c r="AC292" s="75">
        <f t="shared" ca="1" si="43"/>
        <v>0.38703703703100079</v>
      </c>
      <c r="AD292" s="76">
        <f t="shared" ca="1" si="44"/>
        <v>4.4444444443797693E-2</v>
      </c>
      <c r="AE292" s="76">
        <f t="shared" ca="1" si="45"/>
        <v>0.14513888888662529</v>
      </c>
      <c r="AF292" s="75">
        <f t="shared" ca="1" si="46"/>
        <v>0.38703703703100079</v>
      </c>
      <c r="AG292" s="75">
        <f t="shared" ca="1" si="47"/>
        <v>0.38703703703100079</v>
      </c>
      <c r="AH292" s="31" t="str" cm="1">
        <f t="array" aca="1" ref="AH292" ca="1">IF((AD292) &lt; (INDEX(ResponseSLA[#All],(MATCH((G292),ResponseSLA[Priority],0))+1,3)),"YES","No")</f>
        <v>YES</v>
      </c>
      <c r="AI292" s="31" t="str">
        <f ca="1">_xlfn.IFNA(IF(AE292 &lt; (INDEX(SLATable[Minimum SLA],MATCH(G292,SLATable[Priority],0))),"YES","NO"),"")</f>
        <v>YES</v>
      </c>
      <c r="AJ292" t="str">
        <f ca="1">_xlfn.IFNA(IF(AE292 &lt; (INDEX(SLATable[Maximum SLA],MATCH(G292,SLATable[Priority],0))),"YES","NO"),"")</f>
        <v>YES</v>
      </c>
    </row>
    <row r="293" spans="2:36" ht="15" customHeight="1">
      <c r="B293" s="45" t="s">
        <v>26</v>
      </c>
      <c r="C293" s="45" t="s">
        <v>44</v>
      </c>
      <c r="D293" s="53" t="s">
        <v>208</v>
      </c>
      <c r="E293" s="53" t="s">
        <v>6312</v>
      </c>
      <c r="F293" s="45" t="s">
        <v>312</v>
      </c>
      <c r="G293" s="53" t="s">
        <v>208</v>
      </c>
      <c r="H293" s="53" t="s">
        <v>6313</v>
      </c>
      <c r="I293" s="53" t="s">
        <v>275</v>
      </c>
      <c r="J293" s="45" t="s">
        <v>5530</v>
      </c>
      <c r="K293" s="71">
        <v>46182.646527777775</v>
      </c>
      <c r="L293" s="71">
        <v>46183.556250000001</v>
      </c>
      <c r="M293" s="71">
        <v>46183.5625</v>
      </c>
      <c r="N293" s="71">
        <v>46184.287499999999</v>
      </c>
      <c r="O293" s="71"/>
      <c r="P293" s="71"/>
      <c r="Q293" s="53" t="s">
        <v>5534</v>
      </c>
      <c r="R293" s="53" t="s">
        <v>261</v>
      </c>
      <c r="S293" s="53" t="s">
        <v>175</v>
      </c>
      <c r="T293" s="53" t="s">
        <v>268</v>
      </c>
      <c r="U293" s="53" t="s">
        <v>5531</v>
      </c>
      <c r="X293" s="53" t="s">
        <v>5531</v>
      </c>
      <c r="Y293" s="53" t="s">
        <v>6303</v>
      </c>
      <c r="Z293" s="76">
        <f t="shared" ca="1" si="40"/>
        <v>0.43680555555814271</v>
      </c>
      <c r="AA293" s="75">
        <f t="shared" ca="1" si="41"/>
        <v>1.1648148148217139</v>
      </c>
      <c r="AB293" s="76">
        <f t="shared" ca="1" si="42"/>
        <v>0.15208333333187818</v>
      </c>
      <c r="AC293" s="75">
        <f t="shared" ca="1" si="43"/>
        <v>0.40555555555167516</v>
      </c>
      <c r="AD293" s="76">
        <f t="shared" ca="1" si="44"/>
        <v>6.2499999985448085E-3</v>
      </c>
      <c r="AE293" s="76">
        <f t="shared" ca="1" si="45"/>
        <v>0.15208333333187818</v>
      </c>
      <c r="AF293" s="75">
        <f t="shared" ca="1" si="46"/>
        <v>0.40555555555167516</v>
      </c>
      <c r="AG293" s="75">
        <f t="shared" ca="1" si="47"/>
        <v>0.40555555555167516</v>
      </c>
      <c r="AH293" s="31" t="str" cm="1">
        <f t="array" aca="1" ref="AH293" ca="1">IF((AD293) &lt; (INDEX(ResponseSLA[#All],(MATCH((G293),ResponseSLA[Priority],0))+1,3)),"YES","No")</f>
        <v>YES</v>
      </c>
      <c r="AI293" s="31" t="str">
        <f ca="1">_xlfn.IFNA(IF(AE293 &lt; (INDEX(SLATable[Minimum SLA],MATCH(G293,SLATable[Priority],0))),"YES","NO"),"")</f>
        <v>YES</v>
      </c>
      <c r="AJ293" t="str">
        <f ca="1">_xlfn.IFNA(IF(AE293 &lt; (INDEX(SLATable[Maximum SLA],MATCH(G293,SLATable[Priority],0))),"YES","NO"),"")</f>
        <v>YES</v>
      </c>
    </row>
    <row r="294" spans="2:36" ht="15" customHeight="1">
      <c r="B294" s="45" t="s">
        <v>26</v>
      </c>
      <c r="C294" s="45" t="s">
        <v>44</v>
      </c>
      <c r="D294" s="53" t="s">
        <v>208</v>
      </c>
      <c r="E294" s="53" t="s">
        <v>6314</v>
      </c>
      <c r="F294" s="45" t="s">
        <v>312</v>
      </c>
      <c r="G294" s="53" t="s">
        <v>208</v>
      </c>
      <c r="H294" s="53" t="s">
        <v>6315</v>
      </c>
      <c r="I294" s="53" t="s">
        <v>271</v>
      </c>
      <c r="J294" s="45" t="s">
        <v>5530</v>
      </c>
      <c r="K294" s="71">
        <v>46183.571527777778</v>
      </c>
      <c r="L294" s="71">
        <v>46183.574999999997</v>
      </c>
      <c r="M294" s="71">
        <v>46183.609722222223</v>
      </c>
      <c r="N294" s="71">
        <v>46188.211111111108</v>
      </c>
      <c r="O294" s="71">
        <v>46184.288888888892</v>
      </c>
      <c r="P294" s="71">
        <v>46188.211111111108</v>
      </c>
      <c r="Q294" s="53" t="s">
        <v>5534</v>
      </c>
      <c r="R294" s="53" t="s">
        <v>261</v>
      </c>
      <c r="S294" s="53" t="s">
        <v>175</v>
      </c>
      <c r="T294" s="53" t="s">
        <v>268</v>
      </c>
      <c r="U294" s="53" t="s">
        <v>5531</v>
      </c>
      <c r="X294" s="53" t="s">
        <v>5531</v>
      </c>
      <c r="Y294" s="53" t="s">
        <v>6303</v>
      </c>
      <c r="Z294" s="76">
        <f t="shared" ca="1" si="40"/>
        <v>0.13680555555523211</v>
      </c>
      <c r="AA294" s="75">
        <f t="shared" ca="1" si="41"/>
        <v>0.36481481481395228</v>
      </c>
      <c r="AB294" s="76">
        <f t="shared" ca="1" si="42"/>
        <v>0.13333333333624364</v>
      </c>
      <c r="AC294" s="75">
        <f t="shared" ca="1" si="43"/>
        <v>0.35555555556331636</v>
      </c>
      <c r="AD294" s="76">
        <f t="shared" ca="1" si="44"/>
        <v>3.4722222226264421E-2</v>
      </c>
      <c r="AE294" s="76">
        <f t="shared" ca="1" si="45"/>
        <v>0.13333333333624364</v>
      </c>
      <c r="AF294" s="75">
        <f t="shared" ca="1" si="46"/>
        <v>0.35555555556331636</v>
      </c>
      <c r="AG294" s="75">
        <f t="shared" ca="1" si="47"/>
        <v>0.35555555556331636</v>
      </c>
      <c r="AH294" s="31" t="str" cm="1">
        <f t="array" aca="1" ref="AH294" ca="1">IF((AD294) &lt; (INDEX(ResponseSLA[#All],(MATCH((G294),ResponseSLA[Priority],0))+1,3)),"YES","No")</f>
        <v>YES</v>
      </c>
      <c r="AI294" s="31" t="str">
        <f ca="1">_xlfn.IFNA(IF(AE294 &lt; (INDEX(SLATable[Minimum SLA],MATCH(G294,SLATable[Priority],0))),"YES","NO"),"")</f>
        <v>YES</v>
      </c>
      <c r="AJ294" t="str">
        <f ca="1">_xlfn.IFNA(IF(AE294 &lt; (INDEX(SLATable[Maximum SLA],MATCH(G294,SLATable[Priority],0))),"YES","NO"),"")</f>
        <v>YES</v>
      </c>
    </row>
    <row r="295" spans="2:36" ht="15" customHeight="1">
      <c r="B295" s="45" t="s">
        <v>26</v>
      </c>
      <c r="C295" s="45" t="s">
        <v>44</v>
      </c>
      <c r="D295" s="53" t="s">
        <v>207</v>
      </c>
      <c r="E295" s="53" t="s">
        <v>6316</v>
      </c>
      <c r="F295" s="45" t="s">
        <v>312</v>
      </c>
      <c r="G295" s="53">
        <v>4</v>
      </c>
      <c r="H295" s="53" t="s">
        <v>6317</v>
      </c>
      <c r="I295" s="53" t="s">
        <v>275</v>
      </c>
      <c r="J295" s="45" t="s">
        <v>5530</v>
      </c>
      <c r="K295" s="71">
        <v>46182.388194444444</v>
      </c>
      <c r="L295" s="71">
        <v>46183.461111111108</v>
      </c>
      <c r="M295" s="71">
        <v>46183.486111111109</v>
      </c>
      <c r="N295" s="71">
        <v>46184.313194444447</v>
      </c>
      <c r="O295" s="71">
        <v>46183.520833333336</v>
      </c>
      <c r="P295" s="71">
        <v>46184.313194444447</v>
      </c>
      <c r="Q295" s="53" t="s">
        <v>5534</v>
      </c>
      <c r="R295" s="53" t="s">
        <v>6120</v>
      </c>
      <c r="S295" s="53" t="s">
        <v>175</v>
      </c>
      <c r="T295" s="53" t="s">
        <v>268</v>
      </c>
      <c r="U295" s="53" t="s">
        <v>5531</v>
      </c>
      <c r="X295" s="53" t="s">
        <v>5531</v>
      </c>
      <c r="Y295" s="53" t="s">
        <v>5585</v>
      </c>
      <c r="Z295" s="76">
        <f t="shared" ca="1" si="40"/>
        <v>0.50763888889196107</v>
      </c>
      <c r="AA295" s="75">
        <f t="shared" ca="1" si="41"/>
        <v>1.3537037037118962</v>
      </c>
      <c r="AB295" s="76">
        <f t="shared" ca="1" si="42"/>
        <v>5.9722222227719612E-2</v>
      </c>
      <c r="AC295" s="75">
        <f t="shared" ca="1" si="43"/>
        <v>0.15925925927391896</v>
      </c>
      <c r="AD295" s="76">
        <f t="shared" ca="1" si="44"/>
        <v>2.5000000001455192E-2</v>
      </c>
      <c r="AE295" s="76">
        <f t="shared" ca="1" si="45"/>
        <v>5.9722222227719612E-2</v>
      </c>
      <c r="AF295" s="75">
        <f t="shared" ca="1" si="46"/>
        <v>0.15925925927391896</v>
      </c>
      <c r="AG295" s="75">
        <f t="shared" ca="1" si="47"/>
        <v>0.15925925927391896</v>
      </c>
      <c r="AH295" s="31" t="str" cm="1">
        <f t="array" aca="1" ref="AH295" ca="1">IF((AD295) &lt; (INDEX(ResponseSLA[#All],(MATCH((G295),ResponseSLA[Priority],0))+1,3)),"YES","No")</f>
        <v>YES</v>
      </c>
      <c r="AI295" s="31" t="str">
        <f ca="1">_xlfn.IFNA(IF(AE295 &lt; (INDEX(SLATable[Minimum SLA],MATCH(G295,SLATable[Priority],0))),"YES","NO"),"")</f>
        <v>YES</v>
      </c>
      <c r="AJ295" t="str">
        <f ca="1">_xlfn.IFNA(IF(AE295 &lt; (INDEX(SLATable[Maximum SLA],MATCH(G295,SLATable[Priority],0))),"YES","NO"),"")</f>
        <v>YES</v>
      </c>
    </row>
    <row r="296" spans="2:36" ht="15" customHeight="1">
      <c r="B296" s="45" t="s">
        <v>26</v>
      </c>
      <c r="C296" s="45" t="s">
        <v>44</v>
      </c>
      <c r="D296" s="53" t="s">
        <v>208</v>
      </c>
      <c r="E296" s="53" t="s">
        <v>6318</v>
      </c>
      <c r="F296" s="45" t="s">
        <v>312</v>
      </c>
      <c r="G296" s="53" t="s">
        <v>208</v>
      </c>
      <c r="H296" s="53" t="s">
        <v>5928</v>
      </c>
      <c r="I296" s="53" t="s">
        <v>275</v>
      </c>
      <c r="J296" s="45" t="s">
        <v>5530</v>
      </c>
      <c r="K296" s="71">
        <v>46176.488888888889</v>
      </c>
      <c r="L296" s="71">
        <v>46184.914583333331</v>
      </c>
      <c r="M296" s="71">
        <v>46185.295138888891</v>
      </c>
      <c r="N296" s="71">
        <v>46189.37222222222</v>
      </c>
      <c r="O296" s="71">
        <v>46185.427777777775</v>
      </c>
      <c r="P296" s="71">
        <v>46189.37222222222</v>
      </c>
      <c r="Q296" s="53" t="s">
        <v>5534</v>
      </c>
      <c r="R296" s="53" t="s">
        <v>6120</v>
      </c>
      <c r="S296" s="53" t="s">
        <v>175</v>
      </c>
      <c r="T296" s="53" t="s">
        <v>268</v>
      </c>
      <c r="U296" s="53" t="s">
        <v>5531</v>
      </c>
      <c r="X296" s="53" t="s">
        <v>5531</v>
      </c>
      <c r="Y296" s="53" t="s">
        <v>5954</v>
      </c>
      <c r="Z296" s="76">
        <f t="shared" ca="1" si="40"/>
        <v>2.5638888888861406</v>
      </c>
      <c r="AA296" s="75">
        <f t="shared" ca="1" si="41"/>
        <v>6.8370370370297087</v>
      </c>
      <c r="AB296" s="76">
        <f t="shared" ca="1" si="42"/>
        <v>9.4444444441857622E-2</v>
      </c>
      <c r="AC296" s="75">
        <f t="shared" ca="1" si="43"/>
        <v>0.25185185184495368</v>
      </c>
      <c r="AD296" s="76">
        <f t="shared" ca="1" si="44"/>
        <v>0</v>
      </c>
      <c r="AE296" s="76">
        <f t="shared" ca="1" si="45"/>
        <v>9.4444444441857622E-2</v>
      </c>
      <c r="AF296" s="75">
        <f t="shared" ca="1" si="46"/>
        <v>0.25185185184495368</v>
      </c>
      <c r="AG296" s="75">
        <f t="shared" ca="1" si="47"/>
        <v>0.25185185184495368</v>
      </c>
      <c r="AH296" s="31" t="str" cm="1">
        <f t="array" aca="1" ref="AH296" ca="1">IF((AD296) &lt; (INDEX(ResponseSLA[#All],(MATCH((G296),ResponseSLA[Priority],0))+1,3)),"YES","No")</f>
        <v>YES</v>
      </c>
      <c r="AI296" s="31" t="str">
        <f ca="1">_xlfn.IFNA(IF(AE296 &lt; (INDEX(SLATable[Minimum SLA],MATCH(G296,SLATable[Priority],0))),"YES","NO"),"")</f>
        <v>YES</v>
      </c>
      <c r="AJ296" t="str">
        <f ca="1">_xlfn.IFNA(IF(AE296 &lt; (INDEX(SLATable[Maximum SLA],MATCH(G296,SLATable[Priority],0))),"YES","NO"),"")</f>
        <v>YES</v>
      </c>
    </row>
    <row r="297" spans="2:36" ht="15" customHeight="1">
      <c r="B297" s="45" t="s">
        <v>26</v>
      </c>
      <c r="C297" s="45" t="s">
        <v>44</v>
      </c>
      <c r="D297" s="53" t="s">
        <v>207</v>
      </c>
      <c r="E297" s="53" t="s">
        <v>6319</v>
      </c>
      <c r="F297" s="45" t="s">
        <v>312</v>
      </c>
      <c r="G297" s="53">
        <v>4</v>
      </c>
      <c r="H297" s="53" t="s">
        <v>6320</v>
      </c>
      <c r="I297" s="53" t="s">
        <v>275</v>
      </c>
      <c r="J297" s="45" t="s">
        <v>5530</v>
      </c>
      <c r="K297" s="71">
        <v>46177.464583333334</v>
      </c>
      <c r="L297" s="71">
        <v>46189.298611111109</v>
      </c>
      <c r="M297" s="71">
        <v>46189.331944444442</v>
      </c>
      <c r="N297" s="71">
        <v>46189.373611111114</v>
      </c>
      <c r="O297" s="71"/>
      <c r="P297" s="71"/>
      <c r="Q297" s="53" t="s">
        <v>5534</v>
      </c>
      <c r="R297" s="53" t="s">
        <v>6120</v>
      </c>
      <c r="S297" s="53" t="s">
        <v>175</v>
      </c>
      <c r="T297" s="53" t="s">
        <v>268</v>
      </c>
      <c r="U297" s="53" t="s">
        <v>5531</v>
      </c>
      <c r="X297" s="53" t="s">
        <v>5531</v>
      </c>
      <c r="Y297" s="53" t="s">
        <v>5585</v>
      </c>
      <c r="Z297" s="76">
        <f t="shared" ca="1" si="40"/>
        <v>2.9090277777795568</v>
      </c>
      <c r="AA297" s="75">
        <f t="shared" ca="1" si="41"/>
        <v>7.7574074074121517</v>
      </c>
      <c r="AB297" s="76">
        <f t="shared" ca="1" si="42"/>
        <v>4.0277777780526491E-2</v>
      </c>
      <c r="AC297" s="75">
        <f t="shared" ca="1" si="43"/>
        <v>0.10740740741473731</v>
      </c>
      <c r="AD297" s="76">
        <f t="shared" ca="1" si="44"/>
        <v>0</v>
      </c>
      <c r="AE297" s="76">
        <f t="shared" ca="1" si="45"/>
        <v>0.11180555555620236</v>
      </c>
      <c r="AF297" s="75">
        <f t="shared" ca="1" si="46"/>
        <v>0.29814814814987295</v>
      </c>
      <c r="AG297" s="75">
        <f t="shared" ca="1" si="47"/>
        <v>0.29814814814987295</v>
      </c>
      <c r="AH297" s="31" t="str" cm="1">
        <f t="array" aca="1" ref="AH297" ca="1">IF((AD297) &lt; (INDEX(ResponseSLA[#All],(MATCH((G297),ResponseSLA[Priority],0))+1,3)),"YES","No")</f>
        <v>YES</v>
      </c>
      <c r="AI297" s="31" t="str">
        <f ca="1">_xlfn.IFNA(IF(AE297 &lt; (INDEX(SLATable[Minimum SLA],MATCH(G297,SLATable[Priority],0))),"YES","NO"),"")</f>
        <v>YES</v>
      </c>
      <c r="AJ297" t="str">
        <f ca="1">_xlfn.IFNA(IF(AE297 &lt; (INDEX(SLATable[Maximum SLA],MATCH(G297,SLATable[Priority],0))),"YES","NO"),"")</f>
        <v>YES</v>
      </c>
    </row>
    <row r="298" spans="2:36" ht="15" customHeight="1">
      <c r="B298" s="45" t="s">
        <v>26</v>
      </c>
      <c r="C298" s="45" t="s">
        <v>44</v>
      </c>
      <c r="D298" s="53" t="s">
        <v>207</v>
      </c>
      <c r="E298" s="53" t="s">
        <v>6321</v>
      </c>
      <c r="F298" s="45" t="s">
        <v>312</v>
      </c>
      <c r="G298" s="53">
        <v>4</v>
      </c>
      <c r="H298" s="123" t="s">
        <v>6322</v>
      </c>
      <c r="I298" s="53" t="s">
        <v>271</v>
      </c>
      <c r="J298" s="45" t="s">
        <v>5530</v>
      </c>
      <c r="K298" s="71">
        <v>46189.45416666667</v>
      </c>
      <c r="L298" s="71">
        <v>46189.45416666667</v>
      </c>
      <c r="M298" s="71">
        <v>46189.476388888892</v>
      </c>
      <c r="N298" s="71">
        <v>46195.45</v>
      </c>
      <c r="O298" s="71">
        <v>46189.536111111112</v>
      </c>
      <c r="P298" s="71"/>
      <c r="Q298" s="53" t="s">
        <v>44</v>
      </c>
      <c r="R298" s="53" t="s">
        <v>6120</v>
      </c>
      <c r="S298" s="53" t="s">
        <v>175</v>
      </c>
      <c r="T298" s="53" t="s">
        <v>268</v>
      </c>
      <c r="U298" s="53" t="s">
        <v>5531</v>
      </c>
      <c r="X298" s="53" t="s">
        <v>5531</v>
      </c>
      <c r="Y298" s="53" t="s">
        <v>6323</v>
      </c>
      <c r="Z298" s="76">
        <f t="shared" ca="1" si="40"/>
        <v>1.4958333333270277</v>
      </c>
      <c r="AA298" s="75">
        <f t="shared" ca="1" si="41"/>
        <v>3.9888888888720739</v>
      </c>
      <c r="AB298" s="76">
        <f t="shared" ca="1" si="42"/>
        <v>1.4958333333270277</v>
      </c>
      <c r="AC298" s="75">
        <f t="shared" ca="1" si="43"/>
        <v>3.9888888888720739</v>
      </c>
      <c r="AD298" s="76">
        <f t="shared" ca="1" si="44"/>
        <v>2.2222222221898846E-2</v>
      </c>
      <c r="AE298" s="76">
        <f t="shared" ca="1" si="45"/>
        <v>1.4958333333270277</v>
      </c>
      <c r="AF298" s="75">
        <f t="shared" ca="1" si="46"/>
        <v>3.9888888888720739</v>
      </c>
      <c r="AG298" s="75">
        <f t="shared" ca="1" si="47"/>
        <v>3.9888888888720739</v>
      </c>
      <c r="AH298" s="31" t="str" cm="1">
        <f t="array" aca="1" ref="AH298" ca="1">IF((AD298) &lt; (INDEX(ResponseSLA[#All],(MATCH((G298),ResponseSLA[Priority],0))+1,3)),"YES","No")</f>
        <v>YES</v>
      </c>
      <c r="AI298" s="31" t="str">
        <f ca="1">_xlfn.IFNA(IF(AE298 &lt; (INDEX(SLATable[Minimum SLA],MATCH(G298,SLATable[Priority],0))),"YES","NO"),"")</f>
        <v>YES</v>
      </c>
      <c r="AJ298" t="str">
        <f ca="1">_xlfn.IFNA(IF(AE298 &lt; (INDEX(SLATable[Maximum SLA],MATCH(G298,SLATable[Priority],0))),"YES","NO"),"")</f>
        <v>YES</v>
      </c>
    </row>
    <row r="299" spans="2:36" ht="15" customHeight="1">
      <c r="B299" s="45" t="s">
        <v>26</v>
      </c>
      <c r="C299" s="45" t="s">
        <v>44</v>
      </c>
      <c r="D299" s="53" t="s">
        <v>207</v>
      </c>
      <c r="E299" s="53" t="s">
        <v>6324</v>
      </c>
      <c r="F299" s="45" t="s">
        <v>312</v>
      </c>
      <c r="G299" s="53">
        <v>3</v>
      </c>
      <c r="H299" s="53" t="s">
        <v>6325</v>
      </c>
      <c r="I299" s="53" t="s">
        <v>275</v>
      </c>
      <c r="J299" s="45" t="s">
        <v>5530</v>
      </c>
      <c r="K299" s="71">
        <v>46184.522222222222</v>
      </c>
      <c r="L299" s="71">
        <v>46189.4</v>
      </c>
      <c r="M299" s="71">
        <v>46189.458333333336</v>
      </c>
      <c r="N299" s="71">
        <v>46189.54583333333</v>
      </c>
      <c r="O299" s="71"/>
      <c r="P299" s="71"/>
      <c r="Q299" s="53" t="s">
        <v>5534</v>
      </c>
      <c r="R299" s="53" t="s">
        <v>261</v>
      </c>
      <c r="S299" s="53" t="s">
        <v>175</v>
      </c>
      <c r="T299" s="53" t="s">
        <v>268</v>
      </c>
      <c r="U299" s="53" t="s">
        <v>5531</v>
      </c>
      <c r="X299" s="53" t="s">
        <v>5531</v>
      </c>
      <c r="Y299" s="53" t="s">
        <v>6326</v>
      </c>
      <c r="Z299" s="76">
        <f t="shared" ca="1" si="40"/>
        <v>1.1486111111080393</v>
      </c>
      <c r="AA299" s="75">
        <f t="shared" ca="1" si="41"/>
        <v>3.0629629629547717</v>
      </c>
      <c r="AB299" s="76">
        <f t="shared" ca="1" si="42"/>
        <v>0.14583333332848269</v>
      </c>
      <c r="AC299" s="75">
        <f t="shared" ca="1" si="43"/>
        <v>0.38888888887595385</v>
      </c>
      <c r="AD299" s="76">
        <f t="shared" ca="1" si="44"/>
        <v>5.8333333334303461E-2</v>
      </c>
      <c r="AE299" s="76">
        <f t="shared" ca="1" si="45"/>
        <v>0.14583333332848269</v>
      </c>
      <c r="AF299" s="75">
        <f t="shared" ca="1" si="46"/>
        <v>0.38888888887595385</v>
      </c>
      <c r="AG299" s="75">
        <f t="shared" ca="1" si="47"/>
        <v>0.38888888887595385</v>
      </c>
      <c r="AH299" s="31" t="str" cm="1">
        <f t="array" aca="1" ref="AH299" ca="1">IF((AD299) &lt; (INDEX(ResponseSLA[#All],(MATCH((G299),ResponseSLA[Priority],0))+1,3)),"YES","No")</f>
        <v>YES</v>
      </c>
      <c r="AI299" s="31" t="str">
        <f ca="1">_xlfn.IFNA(IF(AE299 &lt; (INDEX(SLATable[Minimum SLA],MATCH(G299,SLATable[Priority],0))),"YES","NO"),"")</f>
        <v>YES</v>
      </c>
      <c r="AJ299" t="str">
        <f ca="1">_xlfn.IFNA(IF(AE299 &lt; (INDEX(SLATable[Maximum SLA],MATCH(G299,SLATable[Priority],0))),"YES","NO"),"")</f>
        <v>YES</v>
      </c>
    </row>
    <row r="300" spans="2:36" ht="15" customHeight="1">
      <c r="B300" s="45" t="s">
        <v>26</v>
      </c>
      <c r="C300" s="45" t="s">
        <v>44</v>
      </c>
      <c r="D300" s="53" t="s">
        <v>207</v>
      </c>
      <c r="E300" s="53" t="s">
        <v>6327</v>
      </c>
      <c r="F300" s="45" t="s">
        <v>312</v>
      </c>
      <c r="G300" s="53">
        <v>4</v>
      </c>
      <c r="H300" s="53" t="s">
        <v>6328</v>
      </c>
      <c r="I300" s="53" t="s">
        <v>275</v>
      </c>
      <c r="J300" s="45" t="s">
        <v>5530</v>
      </c>
      <c r="K300" s="71">
        <v>46184.472222222219</v>
      </c>
      <c r="L300" s="71">
        <v>46188.706250000003</v>
      </c>
      <c r="M300" s="71">
        <v>46189.330555555556</v>
      </c>
      <c r="N300" s="71">
        <v>46189.546527777777</v>
      </c>
      <c r="O300" s="71"/>
      <c r="P300" s="71"/>
      <c r="Q300" s="53" t="s">
        <v>5534</v>
      </c>
      <c r="R300" s="53" t="s">
        <v>6120</v>
      </c>
      <c r="S300" s="53" t="s">
        <v>175</v>
      </c>
      <c r="T300" s="53" t="s">
        <v>268</v>
      </c>
      <c r="U300" s="53" t="s">
        <v>5132</v>
      </c>
      <c r="X300" s="53" t="s">
        <v>5531</v>
      </c>
      <c r="Y300" s="53" t="s">
        <v>6279</v>
      </c>
      <c r="Z300" s="76">
        <f t="shared" ca="1" si="40"/>
        <v>1.1993055555576577</v>
      </c>
      <c r="AA300" s="75">
        <f t="shared" ca="1" si="41"/>
        <v>3.1981481481537539</v>
      </c>
      <c r="AB300" s="76">
        <f t="shared" ca="1" si="42"/>
        <v>0.21527777777373558</v>
      </c>
      <c r="AC300" s="75">
        <f t="shared" ca="1" si="43"/>
        <v>0.57407407406329491</v>
      </c>
      <c r="AD300" s="76">
        <f t="shared" ca="1" si="44"/>
        <v>2.0833333304229873E-3</v>
      </c>
      <c r="AE300" s="76">
        <f t="shared" ca="1" si="45"/>
        <v>0.29930555555377714</v>
      </c>
      <c r="AF300" s="75">
        <f t="shared" ca="1" si="46"/>
        <v>0.79814814814340573</v>
      </c>
      <c r="AG300" s="75">
        <f t="shared" ca="1" si="47"/>
        <v>0.79814814814340573</v>
      </c>
      <c r="AH300" s="31" t="str" cm="1">
        <f t="array" aca="1" ref="AH300" ca="1">IF((AD300) &lt; (INDEX(ResponseSLA[#All],(MATCH((G300),ResponseSLA[Priority],0))+1,3)),"YES","No")</f>
        <v>YES</v>
      </c>
      <c r="AI300" s="31" t="str">
        <f ca="1">_xlfn.IFNA(IF(AE300 &lt; (INDEX(SLATable[Minimum SLA],MATCH(G300,SLATable[Priority],0))),"YES","NO"),"")</f>
        <v>YES</v>
      </c>
      <c r="AJ300" t="str">
        <f ca="1">_xlfn.IFNA(IF(AE300 &lt; (INDEX(SLATable[Maximum SLA],MATCH(G300,SLATable[Priority],0))),"YES","NO"),"")</f>
        <v>YES</v>
      </c>
    </row>
    <row r="301" spans="2:36" ht="15" customHeight="1">
      <c r="B301" s="45" t="s">
        <v>26</v>
      </c>
      <c r="C301" s="45" t="s">
        <v>44</v>
      </c>
      <c r="D301" s="53" t="s">
        <v>208</v>
      </c>
      <c r="E301" s="53" t="s">
        <v>6329</v>
      </c>
      <c r="F301" s="45" t="s">
        <v>312</v>
      </c>
      <c r="G301" s="53" t="s">
        <v>208</v>
      </c>
      <c r="H301" s="53" t="s">
        <v>6287</v>
      </c>
      <c r="I301" s="53" t="s">
        <v>275</v>
      </c>
      <c r="J301" s="45" t="s">
        <v>5530</v>
      </c>
      <c r="K301" s="71">
        <v>46184.553472222222</v>
      </c>
      <c r="L301" s="71">
        <v>46189.470833333333</v>
      </c>
      <c r="M301" s="71">
        <v>46189.489583333336</v>
      </c>
      <c r="N301" s="71">
        <v>46197.482638888891</v>
      </c>
      <c r="O301" s="71">
        <v>46189.551388888889</v>
      </c>
      <c r="P301" s="71"/>
      <c r="Q301" s="53" t="s">
        <v>5534</v>
      </c>
      <c r="R301" s="53" t="s">
        <v>6120</v>
      </c>
      <c r="S301" s="53" t="s">
        <v>175</v>
      </c>
      <c r="T301" s="53" t="s">
        <v>268</v>
      </c>
      <c r="U301" s="53" t="s">
        <v>5531</v>
      </c>
      <c r="X301" s="53" t="s">
        <v>5531</v>
      </c>
      <c r="Y301" s="53" t="s">
        <v>6330</v>
      </c>
      <c r="Z301" s="76">
        <f t="shared" ca="1" si="40"/>
        <v>3.3041666666686074</v>
      </c>
      <c r="AA301" s="75">
        <f t="shared" ca="1" si="41"/>
        <v>8.8111111111162863</v>
      </c>
      <c r="AB301" s="76">
        <f t="shared" ca="1" si="42"/>
        <v>2.2618055555576579</v>
      </c>
      <c r="AC301" s="75">
        <f t="shared" ca="1" si="43"/>
        <v>6.0314814814870878</v>
      </c>
      <c r="AD301" s="76">
        <f t="shared" ca="1" si="44"/>
        <v>1.8750000002910383E-2</v>
      </c>
      <c r="AE301" s="76">
        <f t="shared" ca="1" si="45"/>
        <v>2.2618055555576579</v>
      </c>
      <c r="AF301" s="75">
        <f t="shared" ca="1" si="46"/>
        <v>6.0314814814870878</v>
      </c>
      <c r="AG301" s="75">
        <f t="shared" ca="1" si="47"/>
        <v>6.0314814814870878</v>
      </c>
      <c r="AH301" s="31" t="str" cm="1">
        <f t="array" aca="1" ref="AH301" ca="1">IF((AD301) &lt; (INDEX(ResponseSLA[#All],(MATCH((G301),ResponseSLA[Priority],0))+1,3)),"YES","No")</f>
        <v>YES</v>
      </c>
      <c r="AI301" s="31" t="str">
        <f ca="1">_xlfn.IFNA(IF(AE301 &lt; (INDEX(SLATable[Minimum SLA],MATCH(G301,SLATable[Priority],0))),"YES","NO"),"")</f>
        <v>NO</v>
      </c>
      <c r="AJ301" t="str">
        <f ca="1">_xlfn.IFNA(IF(AE301 &lt; (INDEX(SLATable[Maximum SLA],MATCH(G301,SLATable[Priority],0))),"YES","NO"),"")</f>
        <v>NO</v>
      </c>
    </row>
    <row r="302" spans="2:36" ht="15" customHeight="1">
      <c r="B302" s="45" t="s">
        <v>26</v>
      </c>
      <c r="C302" s="45" t="s">
        <v>44</v>
      </c>
      <c r="D302" s="53" t="s">
        <v>207</v>
      </c>
      <c r="E302" s="53" t="s">
        <v>6331</v>
      </c>
      <c r="F302" s="45" t="s">
        <v>312</v>
      </c>
      <c r="G302" s="53">
        <v>3</v>
      </c>
      <c r="H302" s="53" t="s">
        <v>6332</v>
      </c>
      <c r="I302" s="53" t="s">
        <v>271</v>
      </c>
      <c r="J302" s="45" t="s">
        <v>5530</v>
      </c>
      <c r="K302" s="71">
        <v>46188.855555555558</v>
      </c>
      <c r="L302" s="71">
        <v>46189.518055555556</v>
      </c>
      <c r="M302" s="71">
        <v>46189.556944444441</v>
      </c>
      <c r="N302" s="71">
        <v>46195.448611111111</v>
      </c>
      <c r="O302" s="71">
        <v>46190.228472222225</v>
      </c>
      <c r="P302" s="71"/>
      <c r="Q302" s="53" t="s">
        <v>6333</v>
      </c>
      <c r="R302" s="53" t="s">
        <v>6120</v>
      </c>
      <c r="S302" s="53" t="s">
        <v>175</v>
      </c>
      <c r="T302" s="53" t="s">
        <v>268</v>
      </c>
      <c r="U302" s="53" t="s">
        <v>5531</v>
      </c>
      <c r="X302" s="53" t="s">
        <v>5531</v>
      </c>
      <c r="Y302" s="53" t="s">
        <v>6334</v>
      </c>
      <c r="Z302" s="76">
        <f t="shared" ca="1" si="40"/>
        <v>1.6152777777776159</v>
      </c>
      <c r="AA302" s="75">
        <f t="shared" ca="1" si="41"/>
        <v>4.3074074074069761</v>
      </c>
      <c r="AB302" s="76">
        <f t="shared" ca="1" si="42"/>
        <v>1.4305555555547473</v>
      </c>
      <c r="AC302" s="75">
        <f t="shared" ca="1" si="43"/>
        <v>3.8148148148126597</v>
      </c>
      <c r="AD302" s="76">
        <f t="shared" ca="1" si="44"/>
        <v>3.8888888884685002E-2</v>
      </c>
      <c r="AE302" s="76">
        <f t="shared" ca="1" si="45"/>
        <v>1.4305555555547473</v>
      </c>
      <c r="AF302" s="75">
        <f t="shared" ca="1" si="46"/>
        <v>3.8148148148126597</v>
      </c>
      <c r="AG302" s="75">
        <f t="shared" ca="1" si="47"/>
        <v>3.8148148148126597</v>
      </c>
      <c r="AH302" s="31" t="str" cm="1">
        <f t="array" aca="1" ref="AH302" ca="1">IF((AD302) &lt; (INDEX(ResponseSLA[#All],(MATCH((G302),ResponseSLA[Priority],0))+1,3)),"YES","No")</f>
        <v>YES</v>
      </c>
      <c r="AI302" s="31" t="str">
        <f ca="1">_xlfn.IFNA(IF(AE302 &lt; (INDEX(SLATable[Minimum SLA],MATCH(G302,SLATable[Priority],0))),"YES","NO"),"")</f>
        <v>NO</v>
      </c>
      <c r="AJ302" t="str">
        <f ca="1">_xlfn.IFNA(IF(AE302 &lt; (INDEX(SLATable[Maximum SLA],MATCH(G302,SLATable[Priority],0))),"YES","NO"),"")</f>
        <v>YES</v>
      </c>
    </row>
    <row r="303" spans="2:36" ht="15" customHeight="1">
      <c r="B303" s="45" t="s">
        <v>26</v>
      </c>
      <c r="C303" s="45" t="s">
        <v>44</v>
      </c>
      <c r="D303" s="53" t="s">
        <v>207</v>
      </c>
      <c r="E303" s="53" t="s">
        <v>6335</v>
      </c>
      <c r="F303" s="45" t="s">
        <v>312</v>
      </c>
      <c r="G303" s="53">
        <v>4</v>
      </c>
      <c r="H303" s="53" t="s">
        <v>6336</v>
      </c>
      <c r="I303" s="53" t="s">
        <v>271</v>
      </c>
      <c r="J303" s="45" t="s">
        <v>5530</v>
      </c>
      <c r="K303" s="71">
        <v>46189.418749999997</v>
      </c>
      <c r="L303" s="71">
        <v>46189.666666666664</v>
      </c>
      <c r="M303" s="71">
        <v>46190.302777777775</v>
      </c>
      <c r="N303" s="71">
        <v>46195.447916666664</v>
      </c>
      <c r="O303" s="71">
        <v>46190.37777777778</v>
      </c>
      <c r="P303" s="71"/>
      <c r="Q303" s="53" t="s">
        <v>5534</v>
      </c>
      <c r="R303" s="53" t="s">
        <v>6120</v>
      </c>
      <c r="S303" s="53" t="s">
        <v>175</v>
      </c>
      <c r="T303" s="53" t="s">
        <v>268</v>
      </c>
      <c r="U303" s="53" t="s">
        <v>5531</v>
      </c>
      <c r="X303" s="53" t="s">
        <v>5531</v>
      </c>
      <c r="Y303" s="53" t="s">
        <v>6269</v>
      </c>
      <c r="Z303" s="76">
        <f t="shared" ca="1" si="40"/>
        <v>1.529166666667152</v>
      </c>
      <c r="AA303" s="75">
        <f t="shared" ca="1" si="41"/>
        <v>4.0777777777790725</v>
      </c>
      <c r="AB303" s="76">
        <f t="shared" ca="1" si="42"/>
        <v>1.2812500000000002</v>
      </c>
      <c r="AC303" s="75">
        <f t="shared" ca="1" si="43"/>
        <v>3.4166666666666674</v>
      </c>
      <c r="AD303" s="76">
        <f t="shared" ca="1" si="44"/>
        <v>4.1666666669092023E-2</v>
      </c>
      <c r="AE303" s="76">
        <f t="shared" ca="1" si="45"/>
        <v>1.2812500000000002</v>
      </c>
      <c r="AF303" s="75">
        <f t="shared" ca="1" si="46"/>
        <v>3.4166666666666674</v>
      </c>
      <c r="AG303" s="75">
        <f t="shared" ca="1" si="47"/>
        <v>3.4166666666666674</v>
      </c>
      <c r="AH303" s="31" t="str" cm="1">
        <f t="array" aca="1" ref="AH303" ca="1">IF((AD303) &lt; (INDEX(ResponseSLA[#All],(MATCH((G303),ResponseSLA[Priority],0))+1,3)),"YES","No")</f>
        <v>YES</v>
      </c>
      <c r="AI303" s="31" t="str">
        <f ca="1">_xlfn.IFNA(IF(AE303 &lt; (INDEX(SLATable[Minimum SLA],MATCH(G303,SLATable[Priority],0))),"YES","NO"),"")</f>
        <v>YES</v>
      </c>
      <c r="AJ303" t="str">
        <f ca="1">_xlfn.IFNA(IF(AE303 &lt; (INDEX(SLATable[Maximum SLA],MATCH(G303,SLATable[Priority],0))),"YES","NO"),"")</f>
        <v>YES</v>
      </c>
    </row>
    <row r="304" spans="2:36" ht="15" customHeight="1">
      <c r="B304" s="45" t="s">
        <v>26</v>
      </c>
      <c r="C304" s="45" t="s">
        <v>44</v>
      </c>
      <c r="D304" s="53" t="s">
        <v>207</v>
      </c>
      <c r="E304" s="53" t="s">
        <v>6337</v>
      </c>
      <c r="F304" s="45" t="s">
        <v>312</v>
      </c>
      <c r="G304" s="53">
        <v>3</v>
      </c>
      <c r="H304" s="53" t="s">
        <v>6338</v>
      </c>
      <c r="I304" s="53" t="s">
        <v>271</v>
      </c>
      <c r="J304" s="45" t="s">
        <v>5530</v>
      </c>
      <c r="K304" s="71">
        <v>46188.761111111111</v>
      </c>
      <c r="L304" s="71">
        <v>46189.657638888886</v>
      </c>
      <c r="M304" s="71">
        <v>46190.301388888889</v>
      </c>
      <c r="N304" s="71">
        <v>46195.488194444442</v>
      </c>
      <c r="O304" s="71">
        <v>46190.384722222225</v>
      </c>
      <c r="P304" s="71"/>
      <c r="Q304" s="53" t="s">
        <v>5534</v>
      </c>
      <c r="R304" s="53" t="s">
        <v>6120</v>
      </c>
      <c r="S304" s="53" t="s">
        <v>175</v>
      </c>
      <c r="T304" s="53" t="s">
        <v>268</v>
      </c>
      <c r="U304" s="53" t="s">
        <v>5531</v>
      </c>
      <c r="X304" s="53" t="s">
        <v>5531</v>
      </c>
      <c r="Y304" s="53" t="s">
        <v>5585</v>
      </c>
      <c r="Z304" s="76">
        <f t="shared" ca="1" si="40"/>
        <v>1.654861111109009</v>
      </c>
      <c r="AA304" s="75">
        <f t="shared" ca="1" si="41"/>
        <v>4.4129629629573577</v>
      </c>
      <c r="AB304" s="76">
        <f t="shared" ca="1" si="42"/>
        <v>1.3305555555562025</v>
      </c>
      <c r="AC304" s="75">
        <f t="shared" ca="1" si="43"/>
        <v>3.5481481481498736</v>
      </c>
      <c r="AD304" s="76">
        <f t="shared" ca="1" si="44"/>
        <v>5.0694444447193177E-2</v>
      </c>
      <c r="AE304" s="76">
        <f t="shared" ca="1" si="45"/>
        <v>1.3305555555562025</v>
      </c>
      <c r="AF304" s="75">
        <f t="shared" ca="1" si="46"/>
        <v>3.5481481481498736</v>
      </c>
      <c r="AG304" s="75">
        <f t="shared" ca="1" si="47"/>
        <v>3.5481481481498736</v>
      </c>
      <c r="AH304" s="31" t="str" cm="1">
        <f t="array" aca="1" ref="AH304" ca="1">IF((AD304) &lt; (INDEX(ResponseSLA[#All],(MATCH((G304),ResponseSLA[Priority],0))+1,3)),"YES","No")</f>
        <v>YES</v>
      </c>
      <c r="AI304" s="31" t="str">
        <f ca="1">_xlfn.IFNA(IF(AE304 &lt; (INDEX(SLATable[Minimum SLA],MATCH(G304,SLATable[Priority],0))),"YES","NO"),"")</f>
        <v>NO</v>
      </c>
      <c r="AJ304" t="str">
        <f ca="1">_xlfn.IFNA(IF(AE304 &lt; (INDEX(SLATable[Maximum SLA],MATCH(G304,SLATable[Priority],0))),"YES","NO"),"")</f>
        <v>YES</v>
      </c>
    </row>
    <row r="305" spans="2:36" ht="15" customHeight="1">
      <c r="B305" s="45" t="s">
        <v>26</v>
      </c>
      <c r="C305" s="45" t="s">
        <v>44</v>
      </c>
      <c r="D305" s="53" t="s">
        <v>207</v>
      </c>
      <c r="E305" s="53" t="s">
        <v>6339</v>
      </c>
      <c r="F305" s="45" t="s">
        <v>312</v>
      </c>
      <c r="G305" s="53">
        <v>3</v>
      </c>
      <c r="H305" s="53" t="s">
        <v>6340</v>
      </c>
      <c r="I305" s="53" t="s">
        <v>275</v>
      </c>
      <c r="J305" s="45" t="s">
        <v>5530</v>
      </c>
      <c r="K305" s="71">
        <v>46188.535416666666</v>
      </c>
      <c r="L305" s="71">
        <v>46189.623611111114</v>
      </c>
      <c r="M305" s="71">
        <v>46190.300694444442</v>
      </c>
      <c r="N305" s="71">
        <v>46190.489583333336</v>
      </c>
      <c r="O305" s="71"/>
      <c r="P305" s="71"/>
      <c r="Q305" s="53" t="s">
        <v>6341</v>
      </c>
      <c r="R305" s="53" t="s">
        <v>6120</v>
      </c>
      <c r="S305" s="53" t="s">
        <v>175</v>
      </c>
      <c r="T305" s="53" t="s">
        <v>268</v>
      </c>
      <c r="U305" s="53" t="s">
        <v>5531</v>
      </c>
      <c r="X305" s="53" t="s">
        <v>5531</v>
      </c>
      <c r="Y305" s="53" t="s">
        <v>5548</v>
      </c>
      <c r="Z305" s="76">
        <f t="shared" ca="1" si="40"/>
        <v>0.70416666667006211</v>
      </c>
      <c r="AA305" s="75">
        <f t="shared" ca="1" si="41"/>
        <v>1.8777777777868323</v>
      </c>
      <c r="AB305" s="76">
        <f t="shared" ca="1" si="42"/>
        <v>0.24097222222189885</v>
      </c>
      <c r="AC305" s="75">
        <f t="shared" ca="1" si="43"/>
        <v>0.64259259259173029</v>
      </c>
      <c r="AD305" s="76">
        <f t="shared" ca="1" si="44"/>
        <v>8.4722222219473564E-2</v>
      </c>
      <c r="AE305" s="76">
        <f t="shared" ca="1" si="45"/>
        <v>0.24097222222189885</v>
      </c>
      <c r="AF305" s="75">
        <f t="shared" ca="1" si="46"/>
        <v>0.64259259259173029</v>
      </c>
      <c r="AG305" s="75">
        <f t="shared" ca="1" si="47"/>
        <v>0.64259259259173029</v>
      </c>
      <c r="AH305" s="31" t="str" cm="1">
        <f t="array" aca="1" ref="AH305" ca="1">IF((AD305) &lt; (INDEX(ResponseSLA[#All],(MATCH((G305),ResponseSLA[Priority],0))+1,3)),"YES","No")</f>
        <v>No</v>
      </c>
      <c r="AI305" s="31" t="str">
        <f ca="1">_xlfn.IFNA(IF(AE305 &lt; (INDEX(SLATable[Minimum SLA],MATCH(G305,SLATable[Priority],0))),"YES","NO"),"")</f>
        <v>YES</v>
      </c>
      <c r="AJ305" t="str">
        <f ca="1">_xlfn.IFNA(IF(AE305 &lt; (INDEX(SLATable[Maximum SLA],MATCH(G305,SLATable[Priority],0))),"YES","NO"),"")</f>
        <v>YES</v>
      </c>
    </row>
    <row r="306" spans="2:36" ht="15" customHeight="1">
      <c r="B306" s="45" t="s">
        <v>26</v>
      </c>
      <c r="C306" s="45" t="s">
        <v>44</v>
      </c>
      <c r="D306" s="53" t="s">
        <v>207</v>
      </c>
      <c r="E306" s="53" t="s">
        <v>6342</v>
      </c>
      <c r="F306" s="45" t="s">
        <v>312</v>
      </c>
      <c r="G306" s="53">
        <v>3</v>
      </c>
      <c r="H306" s="53" t="s">
        <v>6343</v>
      </c>
      <c r="I306" s="53" t="s">
        <v>271</v>
      </c>
      <c r="J306" s="45" t="s">
        <v>5530</v>
      </c>
      <c r="K306" s="71">
        <v>46184.325694444444</v>
      </c>
      <c r="L306" s="71">
        <v>46190.493055555555</v>
      </c>
      <c r="M306" s="71">
        <v>46190.513888888891</v>
      </c>
      <c r="N306" s="71">
        <v>46195.449305555558</v>
      </c>
      <c r="O306" s="71">
        <v>46190.534722222219</v>
      </c>
      <c r="P306" s="71"/>
      <c r="Q306" s="53" t="s">
        <v>44</v>
      </c>
      <c r="R306" s="53" t="s">
        <v>6120</v>
      </c>
      <c r="S306" s="53" t="s">
        <v>175</v>
      </c>
      <c r="T306" s="53" t="s">
        <v>268</v>
      </c>
      <c r="U306" s="53" t="s">
        <v>5531</v>
      </c>
      <c r="X306" s="53" t="s">
        <v>5531</v>
      </c>
      <c r="Y306" s="53" t="s">
        <v>6247</v>
      </c>
      <c r="Z306" s="76">
        <f t="shared" ca="1" si="40"/>
        <v>2.7409722222243245</v>
      </c>
      <c r="AA306" s="75">
        <f t="shared" ca="1" si="41"/>
        <v>7.3092592592648646</v>
      </c>
      <c r="AB306" s="76">
        <f t="shared" ca="1" si="42"/>
        <v>1.0812500000029106</v>
      </c>
      <c r="AC306" s="75">
        <f t="shared" ca="1" si="43"/>
        <v>2.8833333333410951</v>
      </c>
      <c r="AD306" s="76">
        <f t="shared" ca="1" si="44"/>
        <v>2.0833333335758653E-2</v>
      </c>
      <c r="AE306" s="76">
        <f t="shared" ca="1" si="45"/>
        <v>1.0812500000029106</v>
      </c>
      <c r="AF306" s="75">
        <f t="shared" ca="1" si="46"/>
        <v>2.8833333333410951</v>
      </c>
      <c r="AG306" s="75">
        <f t="shared" ca="1" si="47"/>
        <v>2.8833333333410951</v>
      </c>
      <c r="AH306" s="31" t="str" cm="1">
        <f t="array" aca="1" ref="AH306" ca="1">IF((AD306) &lt; (INDEX(ResponseSLA[#All],(MATCH((G306),ResponseSLA[Priority],0))+1,3)),"YES","No")</f>
        <v>YES</v>
      </c>
      <c r="AI306" s="31" t="str">
        <f ca="1">_xlfn.IFNA(IF(AE306 &lt; (INDEX(SLATable[Minimum SLA],MATCH(G306,SLATable[Priority],0))),"YES","NO"),"")</f>
        <v>NO</v>
      </c>
      <c r="AJ306" t="str">
        <f ca="1">_xlfn.IFNA(IF(AE306 &lt; (INDEX(SLATable[Maximum SLA],MATCH(G306,SLATable[Priority],0))),"YES","NO"),"")</f>
        <v>YES</v>
      </c>
    </row>
    <row r="307" spans="2:36" ht="15" customHeight="1">
      <c r="B307" s="45" t="s">
        <v>26</v>
      </c>
      <c r="C307" s="45" t="s">
        <v>44</v>
      </c>
      <c r="D307" s="53" t="s">
        <v>207</v>
      </c>
      <c r="E307" s="53" t="s">
        <v>6344</v>
      </c>
      <c r="F307" s="45" t="s">
        <v>312</v>
      </c>
      <c r="G307" s="53">
        <v>4</v>
      </c>
      <c r="H307" s="53" t="s">
        <v>6345</v>
      </c>
      <c r="I307" s="53" t="s">
        <v>275</v>
      </c>
      <c r="J307" s="45" t="s">
        <v>5530</v>
      </c>
      <c r="K307" s="71">
        <v>46189.490277777775</v>
      </c>
      <c r="L307" s="71">
        <v>46190.431944444441</v>
      </c>
      <c r="M307" s="71">
        <v>46190.432638888888</v>
      </c>
      <c r="N307" s="71">
        <v>46190.84097222222</v>
      </c>
      <c r="O307" s="71">
        <v>46190.537499999999</v>
      </c>
      <c r="P307" s="71"/>
      <c r="Q307" s="53" t="s">
        <v>5534</v>
      </c>
      <c r="R307" s="53" t="s">
        <v>6120</v>
      </c>
      <c r="S307" s="53" t="s">
        <v>175</v>
      </c>
      <c r="T307" s="53" t="s">
        <v>268</v>
      </c>
      <c r="U307" s="53" t="s">
        <v>5531</v>
      </c>
      <c r="X307" s="53" t="s">
        <v>5531</v>
      </c>
      <c r="Y307" s="53" t="s">
        <v>6346</v>
      </c>
      <c r="Z307" s="76">
        <f t="shared" ca="1" si="40"/>
        <v>0.59305555555814271</v>
      </c>
      <c r="AA307" s="75">
        <f t="shared" ca="1" si="41"/>
        <v>1.5814814814883806</v>
      </c>
      <c r="AB307" s="76">
        <f t="shared" ca="1" si="42"/>
        <v>0.27638888889244606</v>
      </c>
      <c r="AC307" s="75">
        <f t="shared" ca="1" si="43"/>
        <v>0.73703703704652279</v>
      </c>
      <c r="AD307" s="76">
        <f t="shared" ca="1" si="44"/>
        <v>6.944444467080757E-4</v>
      </c>
      <c r="AE307" s="76">
        <f t="shared" ca="1" si="45"/>
        <v>0.27638888889244606</v>
      </c>
      <c r="AF307" s="75">
        <f t="shared" ca="1" si="46"/>
        <v>0.73703703704652279</v>
      </c>
      <c r="AG307" s="75">
        <f t="shared" ca="1" si="47"/>
        <v>0.73703703704652279</v>
      </c>
      <c r="AH307" s="31" t="str" cm="1">
        <f t="array" aca="1" ref="AH307" ca="1">IF((AD307) &lt; (INDEX(ResponseSLA[#All],(MATCH((G307),ResponseSLA[Priority],0))+1,3)),"YES","No")</f>
        <v>YES</v>
      </c>
      <c r="AI307" s="31" t="str">
        <f ca="1">_xlfn.IFNA(IF(AE307 &lt; (INDEX(SLATable[Minimum SLA],MATCH(G307,SLATable[Priority],0))),"YES","NO"),"")</f>
        <v>YES</v>
      </c>
      <c r="AJ307" t="str">
        <f ca="1">_xlfn.IFNA(IF(AE307 &lt; (INDEX(SLATable[Maximum SLA],MATCH(G307,SLATable[Priority],0))),"YES","NO"),"")</f>
        <v>YES</v>
      </c>
    </row>
    <row r="308" spans="2:36" ht="15" customHeight="1">
      <c r="B308" s="45" t="s">
        <v>26</v>
      </c>
      <c r="C308" s="45" t="s">
        <v>44</v>
      </c>
      <c r="D308" s="53" t="s">
        <v>208</v>
      </c>
      <c r="E308" s="53" t="s">
        <v>6347</v>
      </c>
      <c r="F308" s="45" t="s">
        <v>312</v>
      </c>
      <c r="G308" s="53" t="s">
        <v>208</v>
      </c>
      <c r="H308" s="53" t="s">
        <v>6348</v>
      </c>
      <c r="I308" s="53" t="s">
        <v>275</v>
      </c>
      <c r="J308" s="45" t="s">
        <v>5530</v>
      </c>
      <c r="K308" s="71">
        <v>46190.414583333331</v>
      </c>
      <c r="L308" s="71">
        <v>46190.414583333331</v>
      </c>
      <c r="M308" s="71">
        <v>46190.434027777781</v>
      </c>
      <c r="N308" s="71">
        <v>46195.453472222223</v>
      </c>
      <c r="O308" s="71">
        <v>46190.54791666667</v>
      </c>
      <c r="P308" s="71"/>
      <c r="Q308" s="53" t="s">
        <v>5869</v>
      </c>
      <c r="R308" s="53" t="s">
        <v>6120</v>
      </c>
      <c r="S308" s="53" t="s">
        <v>175</v>
      </c>
      <c r="T308" s="53" t="s">
        <v>268</v>
      </c>
      <c r="U308" s="53" t="s">
        <v>5531</v>
      </c>
      <c r="X308" s="53" t="s">
        <v>5531</v>
      </c>
      <c r="Y308" s="53" t="s">
        <v>6349</v>
      </c>
      <c r="Z308" s="76">
        <f t="shared" ca="1" si="40"/>
        <v>1.1638888888919612</v>
      </c>
      <c r="AA308" s="75">
        <f t="shared" ca="1" si="41"/>
        <v>3.1037037037118966</v>
      </c>
      <c r="AB308" s="76">
        <f t="shared" ca="1" si="42"/>
        <v>1.1638888888919612</v>
      </c>
      <c r="AC308" s="75">
        <f t="shared" ca="1" si="43"/>
        <v>3.1037037037118966</v>
      </c>
      <c r="AD308" s="76">
        <f t="shared" ca="1" si="44"/>
        <v>1.9444444449618459E-2</v>
      </c>
      <c r="AE308" s="76">
        <f t="shared" ca="1" si="45"/>
        <v>1.1638888888919612</v>
      </c>
      <c r="AF308" s="75">
        <f t="shared" ca="1" si="46"/>
        <v>3.1037037037118966</v>
      </c>
      <c r="AG308" s="75">
        <f t="shared" ca="1" si="47"/>
        <v>3.1037037037118966</v>
      </c>
      <c r="AH308" s="31" t="str" cm="1">
        <f t="array" aca="1" ref="AH308" ca="1">IF((AD308) &lt; (INDEX(ResponseSLA[#All],(MATCH((G308),ResponseSLA[Priority],0))+1,3)),"YES","No")</f>
        <v>YES</v>
      </c>
      <c r="AI308" s="31" t="str">
        <f ca="1">_xlfn.IFNA(IF(AE308 &lt; (INDEX(SLATable[Minimum SLA],MATCH(G308,SLATable[Priority],0))),"YES","NO"),"")</f>
        <v>NO</v>
      </c>
      <c r="AJ308" t="str">
        <f ca="1">_xlfn.IFNA(IF(AE308 &lt; (INDEX(SLATable[Maximum SLA],MATCH(G308,SLATable[Priority],0))),"YES","NO"),"")</f>
        <v>NO</v>
      </c>
    </row>
    <row r="309" spans="2:36" ht="15" customHeight="1">
      <c r="B309" s="45" t="s">
        <v>26</v>
      </c>
      <c r="C309" s="45" t="s">
        <v>44</v>
      </c>
      <c r="D309" s="53" t="s">
        <v>208</v>
      </c>
      <c r="E309" s="53" t="s">
        <v>6350</v>
      </c>
      <c r="F309" s="45" t="s">
        <v>312</v>
      </c>
      <c r="G309" s="53" t="s">
        <v>208</v>
      </c>
      <c r="H309" s="53" t="s">
        <v>5894</v>
      </c>
      <c r="I309" s="53" t="s">
        <v>275</v>
      </c>
      <c r="J309" s="45" t="s">
        <v>5530</v>
      </c>
      <c r="K309" s="71">
        <v>46190.276388888888</v>
      </c>
      <c r="L309" s="71">
        <v>46190.438194444447</v>
      </c>
      <c r="M309" s="71">
        <v>46190.515277777777</v>
      </c>
      <c r="N309" s="71">
        <v>46190.779861111114</v>
      </c>
      <c r="O309" s="71">
        <v>46190.55</v>
      </c>
      <c r="P309" s="71"/>
      <c r="Q309" s="53" t="s">
        <v>5534</v>
      </c>
      <c r="R309" s="53" t="s">
        <v>6120</v>
      </c>
      <c r="S309" s="53" t="s">
        <v>175</v>
      </c>
      <c r="T309" s="53" t="s">
        <v>268</v>
      </c>
      <c r="U309" s="53" t="s">
        <v>5531</v>
      </c>
      <c r="X309" s="53" t="s">
        <v>5531</v>
      </c>
      <c r="Y309" s="53" t="s">
        <v>6351</v>
      </c>
      <c r="Z309" s="76">
        <f t="shared" ca="1" si="40"/>
        <v>0.37500000000000006</v>
      </c>
      <c r="AA309" s="75">
        <f t="shared" ca="1" si="41"/>
        <v>1.0000000000000002</v>
      </c>
      <c r="AB309" s="76">
        <f t="shared" ca="1" si="42"/>
        <v>0.27013888888662529</v>
      </c>
      <c r="AC309" s="75">
        <f t="shared" ca="1" si="43"/>
        <v>0.72037037036433416</v>
      </c>
      <c r="AD309" s="76">
        <f t="shared" ca="1" si="44"/>
        <v>7.7083333329937886E-2</v>
      </c>
      <c r="AE309" s="76">
        <f t="shared" ca="1" si="45"/>
        <v>0.27013888888662529</v>
      </c>
      <c r="AF309" s="75">
        <f t="shared" ca="1" si="46"/>
        <v>0.72037037036433416</v>
      </c>
      <c r="AG309" s="75">
        <f t="shared" ca="1" si="47"/>
        <v>0.72037037036433416</v>
      </c>
      <c r="AH309" s="31" t="str" cm="1">
        <f t="array" aca="1" ref="AH309" ca="1">IF((AD309) &lt; (INDEX(ResponseSLA[#All],(MATCH((G309),ResponseSLA[Priority],0))+1,3)),"YES","No")</f>
        <v>YES</v>
      </c>
      <c r="AI309" s="31" t="str">
        <f ca="1">_xlfn.IFNA(IF(AE309 &lt; (INDEX(SLATable[Minimum SLA],MATCH(G309,SLATable[Priority],0))),"YES","NO"),"")</f>
        <v>YES</v>
      </c>
      <c r="AJ309" t="str">
        <f ca="1">_xlfn.IFNA(IF(AE309 &lt; (INDEX(SLATable[Maximum SLA],MATCH(G309,SLATable[Priority],0))),"YES","NO"),"")</f>
        <v>YES</v>
      </c>
    </row>
    <row r="310" spans="2:36" ht="15" customHeight="1">
      <c r="B310" s="45" t="s">
        <v>26</v>
      </c>
      <c r="C310" s="45" t="s">
        <v>44</v>
      </c>
      <c r="D310" s="45" t="s">
        <v>208</v>
      </c>
      <c r="E310" s="45" t="s">
        <v>6352</v>
      </c>
      <c r="F310" s="45" t="s">
        <v>312</v>
      </c>
      <c r="G310" s="45" t="s">
        <v>208</v>
      </c>
      <c r="H310" s="45" t="s">
        <v>6353</v>
      </c>
      <c r="I310" s="45" t="s">
        <v>271</v>
      </c>
      <c r="J310" s="45" t="s">
        <v>6118</v>
      </c>
      <c r="K310" s="71">
        <v>46177.426944444444</v>
      </c>
      <c r="L310" s="71">
        <v>46177.431631944448</v>
      </c>
      <c r="M310" s="71">
        <v>46177.431631944448</v>
      </c>
      <c r="N310" s="71">
        <v>46188.421423611115</v>
      </c>
      <c r="P310" s="71">
        <v>46188.421423611115</v>
      </c>
      <c r="Q310" s="53" t="s">
        <v>5534</v>
      </c>
      <c r="R310" s="45" t="s">
        <v>6120</v>
      </c>
      <c r="S310" s="45" t="s">
        <v>175</v>
      </c>
      <c r="T310" s="45" t="s">
        <v>268</v>
      </c>
      <c r="U310" s="45" t="s">
        <v>5531</v>
      </c>
      <c r="X310" s="45" t="s">
        <v>5531</v>
      </c>
      <c r="Y310" s="53" t="s">
        <v>6354</v>
      </c>
      <c r="Z310" s="76" t="e">
        <f ca="1">IF(NOT(OR(G310=1,G310=2)),MAX(0,_xlfn.IFS(AND(K310&lt;&gt;"",N310&lt;&gt;""),((MAX(NETWORKDAYS(K310,N310,UKBankHolidays)-1,0))*(TIME(17,0,0)-TIME(8,0,0))+IF(NETWORKDAYS(N310,N310,UKBankHolidays)&gt;0,MEDIAN(TIME(8,0,0),MOD(N310,1),TIME(17,0,0)),TIME(8,0,0))-IF(NETWORKDAYS(K310,K310,UKBankHolidays)&gt;0,MEDIAN(TIME(8,0,0),MOD(K310,1),TIME(17,0,0)),TIME(8,0,0)))-IF(AND(P310&lt;&gt;"",#REF!&lt;&gt;""),((MAX(NETWORKDAYS(P310,#REF!,UKBankHolidays)-1,0))*(TIME(17,0,0)-TIME(8,0,0))+IF(NETWORKDAYS(#REF!,#REF!,UKBankHolidays)&gt;0,MEDIAN(TIME(8,0,0),MOD(#REF!,1),TIME(17,0,0)),TIME(8,0,0))-IF(NETWORKDAYS(P310,P310,UKBankHolidays)&gt;0,MEDIAN(TIME(8,0,0),MOD(P310,1),TIME(17,0,0)),TIME(8,0,0))),0),AND(K310&lt;&gt;"",N310=""),((MAX(NETWORKDAYS(K310,NOW(),UKBankHolidays)-1,0))*(TIME(17,0,0)-TIME(8,0,0))+IF(NETWORKDAYS(NOW(),NOW(),UKBankHolidays)&gt;0,MEDIAN(TIME(8,0,0),MOD(NOW(),1),TIME(17,0,0)),TIME(8,0,0))-IF(NETWORKDAYS(K310,K310,UKBankHolidays)&gt;0,MEDIAN(TIME(8,0,0),MOD(K310,1),TIME(17,0,0)),TIME(8,0,0))))),IF(N310="",NOW()-K310,N310-K310))</f>
        <v>#REF!</v>
      </c>
      <c r="AA310" s="75" t="e">
        <f t="shared" ca="1" si="41"/>
        <v>#REF!</v>
      </c>
      <c r="AB310" s="76" t="e">
        <f ca="1">IF(NOT(OR(G310=1,G310=2)),MAX(0,_xlfn.IFS(AND(K310&lt;&gt;"",N310&lt;&gt;""),(((MAX(NETWORKDAYS(L310,N310,UKBankHolidays)-1,0))*(TIME(17,0,0)-TIME(8,0,0)))+IF(NETWORKDAYS(N310,N310,UKBankHolidays)&gt;0,MEDIAN(TIME(8,0,0),MOD(N310,1),TIME(17,0,0)),TIME(8,0,0))-IF(NETWORKDAYS(L310,L310,UKBankHolidays)&gt;0,MEDIAN(TIME(8,0,0),MOD(L310,1),TIME(17,0,0)),TIME(8,0,0)))-IF(AND(P310&lt;&gt;"",#REF!&lt;&gt;""),(((MAX(NETWORKDAYS(P310,#REF!,UKBankHolidays)-1,0))*(TIME(17,0,0)-TIME(8,0,0)))+IF(NETWORKDAYS(#REF!,#REF!,UKBankHolidays)&gt;0,MEDIAN(TIME(8,0,0),MOD(#REF!,1),TIME(17,0,0)),TIME(8,0,0))-IF(NETWORKDAYS(P310,P310,UKBankHolidays)&gt;0,MEDIAN(TIME(8,0,0),MOD(P310,1),TIME(17,0,0)),TIME(8,0,0))),0),AND(L310&lt;&gt;"",N310="",P310=""),(((MAX(NETWORKDAYS(L310,NOW(),UKBankHolidays)-1,0))*(TIME(17,0,0)-TIME(8,0,0)))+IF(NETWORKDAYS(NOW(),NOW(),UKBankHolidays)&gt;0,MEDIAN(TIME(8,0,0),MOD(NOW(),1),TIME(17,0,0)),TIME(8,0,0))-IF(NETWORKDAYS(L310,L310,UKBankHolidays)&gt;0,MEDIAN(TIME(8,0,0),MOD(L310,1),TIME(17,0,0)),TIME(8,0,0)))-IF(AND(P310&lt;&gt;"",#REF!&lt;&gt;""),(((MAX(NETWORKDAYS(P310,#REF!,UKBankHolidays)-1,0))*(TIME(17,0,0)-TIME(8,0,0)))+IF(NETWORKDAYS(#REF!,#REF!,UKBankHolidays)&gt;0,MEDIAN(TIME(8,0,0),MOD(#REF!,1),TIME(17,0,0)),TIME(8,0,0))-IF(NETWORKDAYS(P310,P310,UKBankHolidays)&gt;0,MEDIAN(TIME(8,0,0),MOD(P310,1),TIME(17,0,0)),TIME(8,0,0))),0),AND(L310&lt;&gt;"",N310="",#REF!="",P310&lt;&gt;""),(((MAX(NETWORKDAYS(L310,P310,UKBankHolidays)-1,0))*(TIME(17,0,0)-TIME(8,0,0)))+IF(NETWORKDAYS(P310,P310,UKBankHolidays)&gt;0,MEDIAN(TIME(8,0,0),MOD(P310,1),TIME(17,0,0)),TIME(8,0,0))-IF(NETWORKDAYS(L310,L310,UKBankHolidays)&gt;0,MEDIAN(TIME(8,0,0),MOD(L310,1),TIME(17,0,0)),TIME(8,0,0))),ISBLANK(K310),"0")),IF(ISBLANK(N310),NOW()-L310,N310-L310))</f>
        <v>#REF!</v>
      </c>
      <c r="AC310" s="75" t="e">
        <f t="shared" ca="1" si="43"/>
        <v>#REF!</v>
      </c>
      <c r="AD310" s="76">
        <f t="shared" ca="1" si="44"/>
        <v>0</v>
      </c>
      <c r="AE310" s="76" t="e">
        <f t="shared" ca="1" si="45"/>
        <v>#REF!</v>
      </c>
      <c r="AF310" s="75" t="e">
        <f t="shared" ca="1" si="46"/>
        <v>#REF!</v>
      </c>
      <c r="AG310" s="75" t="e">
        <f t="shared" ca="1" si="47"/>
        <v>#REF!</v>
      </c>
      <c r="AH310" s="31" t="str" cm="1">
        <f t="array" aca="1" ref="AH310" ca="1">IF((AD310) &lt; (INDEX(ResponseSLA[#All],(MATCH((G310),ResponseSLA[Priority],0))+1,3)),"YES","No")</f>
        <v>YES</v>
      </c>
      <c r="AI310" s="31" t="e">
        <f ca="1">_xlfn.IFNA(IF(AE310 &lt; (INDEX(SLATable[Minimum SLA],MATCH(G310,SLATable[Priority],0))),"YES","NO"),"")</f>
        <v>#REF!</v>
      </c>
      <c r="AJ310" t="e">
        <f ca="1">_xlfn.IFNA(IF(AE310 &lt; (INDEX(SLATable[Maximum SLA],MATCH(G310,SLATable[Priority],0))),"YES","NO"),"")</f>
        <v>#REF!</v>
      </c>
    </row>
    <row r="311" spans="2:36" ht="15" customHeight="1">
      <c r="B311" s="45" t="s">
        <v>26</v>
      </c>
      <c r="C311" s="45" t="s">
        <v>44</v>
      </c>
      <c r="D311" s="45" t="s">
        <v>208</v>
      </c>
      <c r="E311" s="45" t="s">
        <v>6355</v>
      </c>
      <c r="F311" s="45" t="s">
        <v>312</v>
      </c>
      <c r="G311" s="45" t="s">
        <v>208</v>
      </c>
      <c r="H311" s="45" t="s">
        <v>6356</v>
      </c>
      <c r="I311" s="45" t="s">
        <v>271</v>
      </c>
      <c r="J311" s="45" t="s">
        <v>6118</v>
      </c>
      <c r="K311" s="71">
        <v>46188.492372685185</v>
      </c>
      <c r="L311" s="71">
        <v>46188.506747685184</v>
      </c>
      <c r="M311" s="71">
        <v>46188.506747685184</v>
      </c>
      <c r="N311" s="71">
        <v>46195.299930555557</v>
      </c>
      <c r="P311" s="71">
        <v>46195.299930555557</v>
      </c>
      <c r="Q311" s="53" t="s">
        <v>5534</v>
      </c>
      <c r="R311" s="45" t="s">
        <v>272</v>
      </c>
      <c r="S311" s="45" t="s">
        <v>175</v>
      </c>
      <c r="T311" s="45" t="s">
        <v>268</v>
      </c>
      <c r="U311" s="45" t="s">
        <v>5531</v>
      </c>
      <c r="X311" s="45" t="s">
        <v>5531</v>
      </c>
      <c r="Y311" s="45" t="s">
        <v>6357</v>
      </c>
      <c r="Z311" s="76" t="e">
        <f ca="1">IF(NOT(OR(G311=1,G311=2)),MAX(0,_xlfn.IFS(AND(K311&lt;&gt;"",N311&lt;&gt;""),((MAX(NETWORKDAYS(K311,N311,UKBankHolidays)-1,0))*(TIME(17,0,0)-TIME(8,0,0))+IF(NETWORKDAYS(N311,N311,UKBankHolidays)&gt;0,MEDIAN(TIME(8,0,0),MOD(N311,1),TIME(17,0,0)),TIME(8,0,0))-IF(NETWORKDAYS(K311,K311,UKBankHolidays)&gt;0,MEDIAN(TIME(8,0,0),MOD(K311,1),TIME(17,0,0)),TIME(8,0,0)))-IF(AND(P311&lt;&gt;"",#REF!&lt;&gt;""),((MAX(NETWORKDAYS(P311,#REF!,UKBankHolidays)-1,0))*(TIME(17,0,0)-TIME(8,0,0))+IF(NETWORKDAYS(#REF!,#REF!,UKBankHolidays)&gt;0,MEDIAN(TIME(8,0,0),MOD(#REF!,1),TIME(17,0,0)),TIME(8,0,0))-IF(NETWORKDAYS(P311,P311,UKBankHolidays)&gt;0,MEDIAN(TIME(8,0,0),MOD(P311,1),TIME(17,0,0)),TIME(8,0,0))),0),AND(K311&lt;&gt;"",N311=""),((MAX(NETWORKDAYS(K311,NOW(),UKBankHolidays)-1,0))*(TIME(17,0,0)-TIME(8,0,0))+IF(NETWORKDAYS(NOW(),NOW(),UKBankHolidays)&gt;0,MEDIAN(TIME(8,0,0),MOD(NOW(),1),TIME(17,0,0)),TIME(8,0,0))-IF(NETWORKDAYS(K311,K311,UKBankHolidays)&gt;0,MEDIAN(TIME(8,0,0),MOD(K311,1),TIME(17,0,0)),TIME(8,0,0))))),IF(N311="",NOW()-K311,N311-K311))</f>
        <v>#REF!</v>
      </c>
      <c r="AA311" s="75" t="e">
        <f t="shared" ca="1" si="41"/>
        <v>#REF!</v>
      </c>
      <c r="AB311" s="76" t="e">
        <f ca="1">IF(NOT(OR(G311=1,G311=2)),MAX(0,_xlfn.IFS(AND(K311&lt;&gt;"",N311&lt;&gt;""),(((MAX(NETWORKDAYS(L311,N311,UKBankHolidays)-1,0))*(TIME(17,0,0)-TIME(8,0,0)))+IF(NETWORKDAYS(N311,N311,UKBankHolidays)&gt;0,MEDIAN(TIME(8,0,0),MOD(N311,1),TIME(17,0,0)),TIME(8,0,0))-IF(NETWORKDAYS(L311,L311,UKBankHolidays)&gt;0,MEDIAN(TIME(8,0,0),MOD(L311,1),TIME(17,0,0)),TIME(8,0,0)))-IF(AND(P311&lt;&gt;"",#REF!&lt;&gt;""),(((MAX(NETWORKDAYS(P311,#REF!,UKBankHolidays)-1,0))*(TIME(17,0,0)-TIME(8,0,0)))+IF(NETWORKDAYS(#REF!,#REF!,UKBankHolidays)&gt;0,MEDIAN(TIME(8,0,0),MOD(#REF!,1),TIME(17,0,0)),TIME(8,0,0))-IF(NETWORKDAYS(P311,P311,UKBankHolidays)&gt;0,MEDIAN(TIME(8,0,0),MOD(P311,1),TIME(17,0,0)),TIME(8,0,0))),0),AND(L311&lt;&gt;"",N311="",P311=""),(((MAX(NETWORKDAYS(L311,NOW(),UKBankHolidays)-1,0))*(TIME(17,0,0)-TIME(8,0,0)))+IF(NETWORKDAYS(NOW(),NOW(),UKBankHolidays)&gt;0,MEDIAN(TIME(8,0,0),MOD(NOW(),1),TIME(17,0,0)),TIME(8,0,0))-IF(NETWORKDAYS(L311,L311,UKBankHolidays)&gt;0,MEDIAN(TIME(8,0,0),MOD(L311,1),TIME(17,0,0)),TIME(8,0,0)))-IF(AND(P311&lt;&gt;"",#REF!&lt;&gt;""),(((MAX(NETWORKDAYS(P311,#REF!,UKBankHolidays)-1,0))*(TIME(17,0,0)-TIME(8,0,0)))+IF(NETWORKDAYS(#REF!,#REF!,UKBankHolidays)&gt;0,MEDIAN(TIME(8,0,0),MOD(#REF!,1),TIME(17,0,0)),TIME(8,0,0))-IF(NETWORKDAYS(P311,P311,UKBankHolidays)&gt;0,MEDIAN(TIME(8,0,0),MOD(P311,1),TIME(17,0,0)),TIME(8,0,0))),0),AND(L311&lt;&gt;"",N311="",#REF!="",P311&lt;&gt;""),(((MAX(NETWORKDAYS(L311,P311,UKBankHolidays)-1,0))*(TIME(17,0,0)-TIME(8,0,0)))+IF(NETWORKDAYS(P311,P311,UKBankHolidays)&gt;0,MEDIAN(TIME(8,0,0),MOD(P311,1),TIME(17,0,0)),TIME(8,0,0))-IF(NETWORKDAYS(L311,L311,UKBankHolidays)&gt;0,MEDIAN(TIME(8,0,0),MOD(L311,1),TIME(17,0,0)),TIME(8,0,0))),ISBLANK(K311),"0")),IF(ISBLANK(N311),NOW()-L311,N311-L311))</f>
        <v>#REF!</v>
      </c>
      <c r="AC311" s="75" t="e">
        <f t="shared" ca="1" si="43"/>
        <v>#REF!</v>
      </c>
      <c r="AD311" s="76">
        <f t="shared" ca="1" si="44"/>
        <v>0</v>
      </c>
      <c r="AE311" s="76" t="e">
        <f t="shared" ca="1" si="45"/>
        <v>#REF!</v>
      </c>
      <c r="AF311" s="75" t="e">
        <f t="shared" ca="1" si="46"/>
        <v>#REF!</v>
      </c>
      <c r="AG311" s="75" t="e">
        <f t="shared" ca="1" si="47"/>
        <v>#REF!</v>
      </c>
      <c r="AH311" s="31" t="str" cm="1">
        <f t="array" aca="1" ref="AH311" ca="1">IF((AD311) &lt; (INDEX(ResponseSLA[#All],(MATCH((G311),ResponseSLA[Priority],0))+1,3)),"YES","No")</f>
        <v>YES</v>
      </c>
      <c r="AI311" s="31" t="e">
        <f ca="1">_xlfn.IFNA(IF(AE311 &lt; (INDEX(SLATable[Minimum SLA],MATCH(G311,SLATable[Priority],0))),"YES","NO"),"")</f>
        <v>#REF!</v>
      </c>
      <c r="AJ311" t="e">
        <f ca="1">_xlfn.IFNA(IF(AE311 &lt; (INDEX(SLATable[Maximum SLA],MATCH(G311,SLATable[Priority],0))),"YES","NO"),"")</f>
        <v>#REF!</v>
      </c>
    </row>
    <row r="312" spans="2:36" ht="15" customHeight="1">
      <c r="B312" s="45" t="s">
        <v>26</v>
      </c>
      <c r="C312" s="45" t="s">
        <v>44</v>
      </c>
      <c r="D312" s="45" t="s">
        <v>207</v>
      </c>
      <c r="E312" s="45" t="s">
        <v>6358</v>
      </c>
      <c r="F312" s="45" t="s">
        <v>312</v>
      </c>
      <c r="G312" s="45">
        <v>4</v>
      </c>
      <c r="H312" s="45" t="s">
        <v>6359</v>
      </c>
      <c r="I312" s="45" t="s">
        <v>275</v>
      </c>
      <c r="J312" s="45" t="s">
        <v>6118</v>
      </c>
      <c r="K312" s="47">
        <v>46186.372002314813</v>
      </c>
      <c r="L312" s="47">
        <v>46188.297372685185</v>
      </c>
      <c r="M312" s="47">
        <v>46188.297372685185</v>
      </c>
      <c r="N312" s="47">
        <v>46195.391435185185</v>
      </c>
      <c r="P312" s="47">
        <v>46195.391435185185</v>
      </c>
      <c r="Q312" s="45" t="s">
        <v>5534</v>
      </c>
      <c r="R312" s="45" t="s">
        <v>272</v>
      </c>
      <c r="S312" s="45" t="s">
        <v>175</v>
      </c>
      <c r="T312" s="45" t="s">
        <v>268</v>
      </c>
      <c r="U312" s="45" t="s">
        <v>5531</v>
      </c>
      <c r="X312" s="45" t="s">
        <v>5531</v>
      </c>
      <c r="Y312" s="45" t="s">
        <v>6360</v>
      </c>
      <c r="Z312" s="76">
        <f t="shared" ca="1" si="40"/>
        <v>1.9331018518520675</v>
      </c>
      <c r="AA312" s="75">
        <f t="shared" ca="1" si="41"/>
        <v>5.1549382716055128</v>
      </c>
      <c r="AB312" s="76">
        <f t="shared" ca="1" si="42"/>
        <v>1.9331018518520675</v>
      </c>
      <c r="AC312" s="75">
        <f t="shared" ca="1" si="43"/>
        <v>5.1549382716055128</v>
      </c>
      <c r="AD312" s="76">
        <f t="shared" ca="1" si="44"/>
        <v>0</v>
      </c>
      <c r="AE312" s="76">
        <f t="shared" ca="1" si="45"/>
        <v>1.9331018518520675</v>
      </c>
      <c r="AF312" s="75">
        <f t="shared" ca="1" si="46"/>
        <v>5.1549382716055128</v>
      </c>
      <c r="AG312" s="75">
        <f t="shared" ca="1" si="47"/>
        <v>5.1549382716055128</v>
      </c>
      <c r="AH312" s="31" t="str" cm="1">
        <f t="array" aca="1" ref="AH312" ca="1">IF((AD312) &lt; (INDEX(ResponseSLA[#All],(MATCH((G312),ResponseSLA[Priority],0))+1,3)),"YES","No")</f>
        <v>YES</v>
      </c>
      <c r="AI312" s="31" t="str">
        <f ca="1">_xlfn.IFNA(IF(AE312 &lt; (INDEX(SLATable[Minimum SLA],MATCH(G312,SLATable[Priority],0))),"YES","NO"),"")</f>
        <v>YES</v>
      </c>
      <c r="AJ312" t="str">
        <f ca="1">_xlfn.IFNA(IF(AE312 &lt; (INDEX(SLATable[Maximum SLA],MATCH(G312,SLATable[Priority],0))),"YES","NO"),"")</f>
        <v>YES</v>
      </c>
    </row>
    <row r="313" spans="2:36" ht="15" customHeight="1">
      <c r="B313" s="45" t="s">
        <v>26</v>
      </c>
      <c r="C313" s="45" t="s">
        <v>44</v>
      </c>
      <c r="D313" s="45" t="s">
        <v>207</v>
      </c>
      <c r="E313" s="45" t="s">
        <v>6361</v>
      </c>
      <c r="F313" s="45" t="s">
        <v>312</v>
      </c>
      <c r="G313" s="45">
        <v>3</v>
      </c>
      <c r="H313" s="45" t="s">
        <v>6362</v>
      </c>
      <c r="I313" s="45" t="s">
        <v>271</v>
      </c>
      <c r="J313" s="45" t="s">
        <v>6118</v>
      </c>
      <c r="K313" s="47">
        <v>46185.589849537035</v>
      </c>
      <c r="L313" s="47">
        <v>46188.293923611112</v>
      </c>
      <c r="M313" s="47">
        <v>46188.293923611112</v>
      </c>
      <c r="N313" s="47">
        <v>46195.397499999999</v>
      </c>
      <c r="P313" s="47">
        <v>46195.397499999999</v>
      </c>
      <c r="Q313" s="45" t="s">
        <v>44</v>
      </c>
      <c r="R313" s="45" t="s">
        <v>272</v>
      </c>
      <c r="S313" s="45" t="s">
        <v>175</v>
      </c>
      <c r="T313" s="45" t="s">
        <v>268</v>
      </c>
      <c r="U313" s="45" t="s">
        <v>5531</v>
      </c>
      <c r="X313" s="45" t="s">
        <v>5531</v>
      </c>
      <c r="Y313" s="45" t="s">
        <v>6357</v>
      </c>
      <c r="Z313" s="76">
        <f ca="1">IF(NOT(OR(G313=1,G313=2)),MAX(0,_xlfn.IFS(AND(L313&lt;&gt;"",N313&lt;&gt;""),((MAX(NETWORKDAYS(L313,N313,UKBankHolidays)-1,0))*(TIME(17,0,0)-TIME(8,0,0))+IF(NETWORKDAYS(N313,N313,UKBankHolidays)&gt;0,MEDIAN(TIME(8,0,0),MOD(N313,1),TIME(17,0,0)),TIME(8,0,0))-IF(NETWORKDAYS(L313,L313,UKBankHolidays)&gt;0,MEDIAN(TIME(8,0,0),MOD(L313,1),TIME(17,0,0)),TIME(8,0,0)))-IF(AND(O313&lt;&gt;"",P313&lt;&gt;""),((MAX(NETWORKDAYS(O313,P313,UKBankHolidays)-1,0))*(TIME(17,0,0)-TIME(8,0,0))+IF(NETWORKDAYS(P313,P313,UKBankHolidays)&gt;0,MEDIAN(TIME(8,0,0),MOD(P313,1),TIME(17,0,0)),TIME(8,0,0))-IF(NETWORKDAYS(O313,O313,UKBankHolidays)&gt;0,MEDIAN(TIME(8,0,0),MOD(O313,1),TIME(17,0,0)),TIME(8,0,0))),0),AND(L313&lt;&gt;"",N313=""),((MAX(NETWORKDAYS(L313,NOW(),UKBankHolidays)-1,0))*(TIME(17,0,0)-TIME(8,0,0))+IF(NETWORKDAYS(NOW(),NOW(),UKBankHolidays)&gt;0,MEDIAN(TIME(8,0,0),MOD(NOW(),1),TIME(17,0,0)),TIME(8,0,0))-IF(NETWORKDAYS(L313,L313,UKBankHolidays)&gt;0,MEDIAN(TIME(8,0,0),MOD(L313,1),TIME(17,0,0)),TIME(8,0,0))))),IF(N313="",NOW()-L313,N313-L313))</f>
        <v>1.9391666666657936</v>
      </c>
      <c r="AA313" s="75">
        <f t="shared" ca="1" si="41"/>
        <v>5.1711111111087824</v>
      </c>
      <c r="AB313" s="76" t="e">
        <f ca="1">IF(NOT(OR(G313=1,G313=2)),MAX(0,_xlfn.IFS(AND(L313&lt;&gt;"",N313&lt;&gt;""),(((MAX(NETWORKDAYS(#REF!,N313,UKBankHolidays)-1,0))*(TIME(17,0,0)-TIME(8,0,0)))+IF(NETWORKDAYS(N313,N313,UKBankHolidays)&gt;0,MEDIAN(TIME(8,0,0),MOD(N313,1),TIME(17,0,0)),TIME(8,0,0))-IF(NETWORKDAYS(#REF!,#REF!,UKBankHolidays)&gt;0,MEDIAN(TIME(8,0,0),MOD(#REF!,1),TIME(17,0,0)),TIME(8,0,0)))-IF(AND(O313&lt;&gt;"",P313&lt;&gt;""),(((MAX(NETWORKDAYS(O313,P313,UKBankHolidays)-1,0))*(TIME(17,0,0)-TIME(8,0,0)))+IF(NETWORKDAYS(P313,P313,UKBankHolidays)&gt;0,MEDIAN(TIME(8,0,0),MOD(P313,1),TIME(17,0,0)),TIME(8,0,0))-IF(NETWORKDAYS(O313,O313,UKBankHolidays)&gt;0,MEDIAN(TIME(8,0,0),MOD(O313,1),TIME(17,0,0)),TIME(8,0,0))),0),AND(#REF!&lt;&gt;"",N313="",O313=""),(((MAX(NETWORKDAYS(#REF!,NOW(),UKBankHolidays)-1,0))*(TIME(17,0,0)-TIME(8,0,0)))+IF(NETWORKDAYS(NOW(),NOW(),UKBankHolidays)&gt;0,MEDIAN(TIME(8,0,0),MOD(NOW(),1),TIME(17,0,0)),TIME(8,0,0))-IF(NETWORKDAYS(#REF!,#REF!,UKBankHolidays)&gt;0,MEDIAN(TIME(8,0,0),MOD(#REF!,1),TIME(17,0,0)),TIME(8,0,0)))-IF(AND(O313&lt;&gt;"",P313&lt;&gt;""),(((MAX(NETWORKDAYS(O313,P313,UKBankHolidays)-1,0))*(TIME(17,0,0)-TIME(8,0,0)))+IF(NETWORKDAYS(P313,P313,UKBankHolidays)&gt;0,MEDIAN(TIME(8,0,0),MOD(P313,1),TIME(17,0,0)),TIME(8,0,0))-IF(NETWORKDAYS(O313,O313,UKBankHolidays)&gt;0,MEDIAN(TIME(8,0,0),MOD(O313,1),TIME(17,0,0)),TIME(8,0,0))),0),AND(#REF!&lt;&gt;"",N313="",P313="",O313&lt;&gt;""),(((MAX(NETWORKDAYS(#REF!,O313,UKBankHolidays)-1,0))*(TIME(17,0,0)-TIME(8,0,0)))+IF(NETWORKDAYS(O313,O313,UKBankHolidays)&gt;0,MEDIAN(TIME(8,0,0),MOD(O313,1),TIME(17,0,0)),TIME(8,0,0))-IF(NETWORKDAYS(#REF!,#REF!,UKBankHolidays)&gt;0,MEDIAN(TIME(8,0,0),MOD(#REF!,1),TIME(17,0,0)),TIME(8,0,0))),ISBLANK(L313),"0")),IF(ISBLANK(N313),NOW()-#REF!,N313-#REF!))</f>
        <v>#REF!</v>
      </c>
      <c r="AC313" s="75" t="e">
        <f t="shared" ca="1" si="43"/>
        <v>#REF!</v>
      </c>
      <c r="AD313" s="76" t="e">
        <f ca="1">MAX(0,IF(NOT(OR(G313=1,G313=2)),IF(M313&lt;&gt;"",((MAX(NETWORKDAYS(#REF!,M313,UKBankHolidays)-1,0))*(TIME(17,0,0)-TIME(8,0,0))+IF(NETWORKDAYS(M313,M313,UKBankHolidays)&gt;0,MEDIAN(TIME(8,0,0),MOD(M313,1),TIME(17,0,0)),TIME(8,0,0))-MEDIAN(TIME(8,0,0),MOD(#REF!,1),TIME(17,0,0))),((MAX(NETWORKDAYS(#REF!,NOW(),UKBankHolidays)-1,0))*(TIME(17,0,0)-TIME(8,0,0))+IF(NETWORKDAYS(NOW(),NOW(),UKBankHolidays)&gt;0,MEDIAN(TIME(8,0,0),MOD(NOW(),1),TIME(17,0,0)),TIME(8,0,0))-MEDIAN(TIME(8,0,0),MOD(#REF!,1),TIME(17,0,0)))),IF(M313&lt;&gt;"",M313-#REF!,NOW()-#REF!)))</f>
        <v>#REF!</v>
      </c>
      <c r="AE313" s="76" t="e">
        <f t="shared" ca="1" si="45"/>
        <v>#REF!</v>
      </c>
      <c r="AF313" s="75" t="e">
        <f t="shared" ca="1" si="46"/>
        <v>#REF!</v>
      </c>
      <c r="AG313" s="75" t="e">
        <f t="shared" ca="1" si="47"/>
        <v>#REF!</v>
      </c>
      <c r="AH313" s="31" t="e" cm="1">
        <f t="array" aca="1" ref="AH313" ca="1">IF((AD313) &lt; (INDEX(ResponseSLA[#All],(MATCH((G313),ResponseSLA[Priority],0))+1,3)),"YES","No")</f>
        <v>#REF!</v>
      </c>
      <c r="AI313" s="31" t="e">
        <f ca="1">_xlfn.IFNA(IF(AE313 &lt; (INDEX(SLATable[Minimum SLA],MATCH(G313,SLATable[Priority],0))),"YES","NO"),"")</f>
        <v>#REF!</v>
      </c>
      <c r="AJ313" t="e">
        <f ca="1">_xlfn.IFNA(IF(AE313 &lt; (INDEX(SLATable[Maximum SLA],MATCH(G313,SLATable[Priority],0))),"YES","NO"),"")</f>
        <v>#REF!</v>
      </c>
    </row>
    <row r="314" spans="2:36" ht="15" customHeight="1">
      <c r="B314" s="45" t="s">
        <v>26</v>
      </c>
      <c r="C314" s="45" t="s">
        <v>44</v>
      </c>
      <c r="D314" s="45" t="s">
        <v>207</v>
      </c>
      <c r="E314" s="45" t="s">
        <v>6363</v>
      </c>
      <c r="F314" s="45" t="s">
        <v>312</v>
      </c>
      <c r="G314" s="45">
        <v>3</v>
      </c>
      <c r="H314" s="45" t="s">
        <v>6364</v>
      </c>
      <c r="I314" s="45" t="s">
        <v>275</v>
      </c>
      <c r="J314" s="45" t="s">
        <v>6118</v>
      </c>
      <c r="K314" s="47">
        <v>46188.485555555555</v>
      </c>
      <c r="L314" s="47">
        <v>46188.485555555555</v>
      </c>
      <c r="M314" s="47">
        <v>46195.404282407406</v>
      </c>
      <c r="N314" s="47">
        <v>46195.404282407406</v>
      </c>
      <c r="P314" s="47">
        <v>46195.404282407406</v>
      </c>
      <c r="Q314" s="45" t="s">
        <v>5534</v>
      </c>
      <c r="R314" s="45" t="s">
        <v>272</v>
      </c>
      <c r="S314" s="45" t="s">
        <v>175</v>
      </c>
      <c r="T314" s="45" t="s">
        <v>268</v>
      </c>
      <c r="U314" s="45" t="s">
        <v>5531</v>
      </c>
      <c r="X314" s="45" t="s">
        <v>5531</v>
      </c>
      <c r="Y314" s="45" t="s">
        <v>6365</v>
      </c>
      <c r="Z314" s="76" t="e">
        <f ca="1">IF(NOT(OR(G314=1,G314=2)),MAX(0,_xlfn.IFS(AND(L314&lt;&gt;"",#REF!&lt;&gt;""),((MAX(NETWORKDAYS(L314,#REF!,UKBankHolidays)-1,0))*(TIME(17,0,0)-TIME(8,0,0))+IF(NETWORKDAYS(#REF!,#REF!,UKBankHolidays)&gt;0,MEDIAN(TIME(8,0,0),MOD(#REF!,1),TIME(17,0,0)),TIME(8,0,0))-IF(NETWORKDAYS(L314,L314,UKBankHolidays)&gt;0,MEDIAN(TIME(8,0,0),MOD(L314,1),TIME(17,0,0)),TIME(8,0,0)))-IF(AND(O314&lt;&gt;"",P314&lt;&gt;""),((MAX(NETWORKDAYS(O314,P314,UKBankHolidays)-1,0))*(TIME(17,0,0)-TIME(8,0,0))+IF(NETWORKDAYS(P314,P314,UKBankHolidays)&gt;0,MEDIAN(TIME(8,0,0),MOD(P314,1),TIME(17,0,0)),TIME(8,0,0))-IF(NETWORKDAYS(O314,O314,UKBankHolidays)&gt;0,MEDIAN(TIME(8,0,0),MOD(O314,1),TIME(17,0,0)),TIME(8,0,0))),0),AND(L314&lt;&gt;"",#REF!=""),((MAX(NETWORKDAYS(L314,NOW(),UKBankHolidays)-1,0))*(TIME(17,0,0)-TIME(8,0,0))+IF(NETWORKDAYS(NOW(),NOW(),UKBankHolidays)&gt;0,MEDIAN(TIME(8,0,0),MOD(NOW(),1),TIME(17,0,0)),TIME(8,0,0))-IF(NETWORKDAYS(L314,L314,UKBankHolidays)&gt;0,MEDIAN(TIME(8,0,0),MOD(L314,1),TIME(17,0,0)),TIME(8,0,0))))),IF(#REF!="",NOW()-L314,#REF!-L314))</f>
        <v>#REF!</v>
      </c>
      <c r="AA314" s="75" t="e">
        <f t="shared" ca="1" si="41"/>
        <v>#REF!</v>
      </c>
      <c r="AB314" s="76" t="e">
        <f ca="1">IF(NOT(OR(G314=1,G314=2)),MAX(0,_xlfn.IFS(AND(L314&lt;&gt;"",#REF!&lt;&gt;""),(((MAX(NETWORKDAYS(#REF!,#REF!,UKBankHolidays)-1,0))*(TIME(17,0,0)-TIME(8,0,0)))+IF(NETWORKDAYS(#REF!,#REF!,UKBankHolidays)&gt;0,MEDIAN(TIME(8,0,0),MOD(#REF!,1),TIME(17,0,0)),TIME(8,0,0))-IF(NETWORKDAYS(#REF!,#REF!,UKBankHolidays)&gt;0,MEDIAN(TIME(8,0,0),MOD(#REF!,1),TIME(17,0,0)),TIME(8,0,0)))-IF(AND(O314&lt;&gt;"",P314&lt;&gt;""),(((MAX(NETWORKDAYS(O314,P314,UKBankHolidays)-1,0))*(TIME(17,0,0)-TIME(8,0,0)))+IF(NETWORKDAYS(P314,P314,UKBankHolidays)&gt;0,MEDIAN(TIME(8,0,0),MOD(P314,1),TIME(17,0,0)),TIME(8,0,0))-IF(NETWORKDAYS(O314,O314,UKBankHolidays)&gt;0,MEDIAN(TIME(8,0,0),MOD(O314,1),TIME(17,0,0)),TIME(8,0,0))),0),AND(#REF!&lt;&gt;"",#REF!="",O314=""),(((MAX(NETWORKDAYS(#REF!,NOW(),UKBankHolidays)-1,0))*(TIME(17,0,0)-TIME(8,0,0)))+IF(NETWORKDAYS(NOW(),NOW(),UKBankHolidays)&gt;0,MEDIAN(TIME(8,0,0),MOD(NOW(),1),TIME(17,0,0)),TIME(8,0,0))-IF(NETWORKDAYS(#REF!,#REF!,UKBankHolidays)&gt;0,MEDIAN(TIME(8,0,0),MOD(#REF!,1),TIME(17,0,0)),TIME(8,0,0)))-IF(AND(O314&lt;&gt;"",P314&lt;&gt;""),(((MAX(NETWORKDAYS(O314,P314,UKBankHolidays)-1,0))*(TIME(17,0,0)-TIME(8,0,0)))+IF(NETWORKDAYS(P314,P314,UKBankHolidays)&gt;0,MEDIAN(TIME(8,0,0),MOD(P314,1),TIME(17,0,0)),TIME(8,0,0))-IF(NETWORKDAYS(O314,O314,UKBankHolidays)&gt;0,MEDIAN(TIME(8,0,0),MOD(O314,1),TIME(17,0,0)),TIME(8,0,0))),0),AND(#REF!&lt;&gt;"",#REF!="",P314="",O314&lt;&gt;""),(((MAX(NETWORKDAYS(#REF!,O314,UKBankHolidays)-1,0))*(TIME(17,0,0)-TIME(8,0,0)))+IF(NETWORKDAYS(O314,O314,UKBankHolidays)&gt;0,MEDIAN(TIME(8,0,0),MOD(O314,1),TIME(17,0,0)),TIME(8,0,0))-IF(NETWORKDAYS(#REF!,#REF!,UKBankHolidays)&gt;0,MEDIAN(TIME(8,0,0),MOD(#REF!,1),TIME(17,0,0)),TIME(8,0,0))),ISBLANK(L314),"0")),IF(ISBLANK(#REF!),NOW()-#REF!,#REF!-#REF!))</f>
        <v>#REF!</v>
      </c>
      <c r="AC314" s="75" t="e">
        <f t="shared" ca="1" si="43"/>
        <v>#REF!</v>
      </c>
      <c r="AD314" s="76" t="e">
        <f ca="1">MAX(0,IF(NOT(OR(G314=1,G314=2)),IF(#REF!&lt;&gt;"",((MAX(NETWORKDAYS(#REF!,#REF!,UKBankHolidays)-1,0))*(TIME(17,0,0)-TIME(8,0,0))+IF(NETWORKDAYS(#REF!,#REF!,UKBankHolidays)&gt;0,MEDIAN(TIME(8,0,0),MOD(#REF!,1),TIME(17,0,0)),TIME(8,0,0))-MEDIAN(TIME(8,0,0),MOD(#REF!,1),TIME(17,0,0))),((MAX(NETWORKDAYS(#REF!,NOW(),UKBankHolidays)-1,0))*(TIME(17,0,0)-TIME(8,0,0))+IF(NETWORKDAYS(NOW(),NOW(),UKBankHolidays)&gt;0,MEDIAN(TIME(8,0,0),MOD(NOW(),1),TIME(17,0,0)),TIME(8,0,0))-MEDIAN(TIME(8,0,0),MOD(#REF!,1),TIME(17,0,0)))),IF(#REF!&lt;&gt;"",#REF!-#REF!,NOW()-#REF!)))</f>
        <v>#REF!</v>
      </c>
      <c r="AE314" s="76" t="e">
        <f t="shared" ca="1" si="45"/>
        <v>#REF!</v>
      </c>
      <c r="AF314" s="75" t="e">
        <f t="shared" ca="1" si="46"/>
        <v>#REF!</v>
      </c>
      <c r="AG314" s="75" t="e">
        <f t="shared" ca="1" si="47"/>
        <v>#REF!</v>
      </c>
      <c r="AH314" s="31" t="e" cm="1">
        <f t="array" aca="1" ref="AH314" ca="1">IF((AD314) &lt; (INDEX(ResponseSLA[#All],(MATCH((G314),ResponseSLA[Priority],0))+1,3)),"YES","No")</f>
        <v>#REF!</v>
      </c>
      <c r="AI314" s="31" t="e">
        <f ca="1">_xlfn.IFNA(IF(AE314 &lt; (INDEX(SLATable[Minimum SLA],MATCH(G314,SLATable[Priority],0))),"YES","NO"),"")</f>
        <v>#REF!</v>
      </c>
      <c r="AJ314" t="e">
        <f ca="1">_xlfn.IFNA(IF(AE314 &lt; (INDEX(SLATable[Maximum SLA],MATCH(G314,SLATable[Priority],0))),"YES","NO"),"")</f>
        <v>#REF!</v>
      </c>
    </row>
    <row r="315" spans="2:36" ht="15" customHeight="1">
      <c r="B315" s="45" t="s">
        <v>26</v>
      </c>
      <c r="C315" s="45" t="s">
        <v>44</v>
      </c>
      <c r="D315" s="45" t="s">
        <v>207</v>
      </c>
      <c r="E315" s="45" t="s">
        <v>6366</v>
      </c>
      <c r="F315" s="45" t="s">
        <v>312</v>
      </c>
      <c r="G315" s="45">
        <v>4</v>
      </c>
      <c r="H315" s="45" t="s">
        <v>6367</v>
      </c>
      <c r="I315" s="45" t="s">
        <v>271</v>
      </c>
      <c r="J315" s="45" t="s">
        <v>6118</v>
      </c>
      <c r="K315" s="47">
        <v>46188.679456018515</v>
      </c>
      <c r="L315" s="47">
        <v>46189.472997685189</v>
      </c>
      <c r="M315" s="47">
        <v>46189.472997685189</v>
      </c>
      <c r="N315" s="47">
        <v>46195.404918981483</v>
      </c>
      <c r="P315" s="47">
        <v>46195.404918981483</v>
      </c>
      <c r="Q315" s="45" t="s">
        <v>44</v>
      </c>
      <c r="R315" s="45" t="s">
        <v>272</v>
      </c>
      <c r="S315" s="45" t="s">
        <v>175</v>
      </c>
      <c r="T315" s="45" t="s">
        <v>268</v>
      </c>
      <c r="U315" s="45" t="s">
        <v>5531</v>
      </c>
      <c r="X315" s="45" t="s">
        <v>5531</v>
      </c>
      <c r="Y315" s="45" t="s">
        <v>6357</v>
      </c>
      <c r="Z315" s="76">
        <f t="shared" ca="1" si="40"/>
        <v>1.6004629629678675</v>
      </c>
      <c r="AA315" s="75">
        <f t="shared" ca="1" si="41"/>
        <v>4.2679012345809797</v>
      </c>
      <c r="AB315" s="76">
        <f t="shared" ca="1" si="42"/>
        <v>1.4319212962946042</v>
      </c>
      <c r="AC315" s="75">
        <f t="shared" ca="1" si="43"/>
        <v>3.8184567901189448</v>
      </c>
      <c r="AD315" s="76">
        <f t="shared" ca="1" si="44"/>
        <v>0</v>
      </c>
      <c r="AE315" s="76">
        <f t="shared" ca="1" si="45"/>
        <v>1.4319212962946042</v>
      </c>
      <c r="AF315" s="75">
        <f t="shared" ca="1" si="46"/>
        <v>3.8184567901189448</v>
      </c>
      <c r="AG315" s="75">
        <f t="shared" ca="1" si="47"/>
        <v>3.8184567901189448</v>
      </c>
      <c r="AH315" s="31" t="str" cm="1">
        <f t="array" aca="1" ref="AH315" ca="1">IF((AD315) &lt; (INDEX(ResponseSLA[#All],(MATCH((G315),ResponseSLA[Priority],0))+1,3)),"YES","No")</f>
        <v>YES</v>
      </c>
      <c r="AI315" s="31" t="str">
        <f ca="1">_xlfn.IFNA(IF(AE315 &lt; (INDEX(SLATable[Minimum SLA],MATCH(G315,SLATable[Priority],0))),"YES","NO"),"")</f>
        <v>YES</v>
      </c>
      <c r="AJ315" t="str">
        <f ca="1">_xlfn.IFNA(IF(AE315 &lt; (INDEX(SLATable[Maximum SLA],MATCH(G315,SLATable[Priority],0))),"YES","NO"),"")</f>
        <v>YES</v>
      </c>
    </row>
    <row r="316" spans="2:36" ht="15" customHeight="1">
      <c r="B316" s="45" t="s">
        <v>26</v>
      </c>
      <c r="C316" s="45" t="s">
        <v>44</v>
      </c>
      <c r="D316" s="45" t="s">
        <v>207</v>
      </c>
      <c r="E316" s="45" t="s">
        <v>6368</v>
      </c>
      <c r="F316" s="45" t="s">
        <v>312</v>
      </c>
      <c r="G316" s="45">
        <v>4</v>
      </c>
      <c r="H316" s="45" t="s">
        <v>6369</v>
      </c>
      <c r="I316" s="45" t="s">
        <v>271</v>
      </c>
      <c r="J316" s="45" t="s">
        <v>6118</v>
      </c>
      <c r="K316" s="47">
        <v>46185.210370370369</v>
      </c>
      <c r="L316" s="47">
        <v>46195.409733796296</v>
      </c>
      <c r="M316" s="47">
        <v>46195.409733796296</v>
      </c>
      <c r="N316" s="47">
        <v>46195.410393518519</v>
      </c>
      <c r="P316" s="47">
        <v>46195.410393518519</v>
      </c>
      <c r="Q316" s="45" t="s">
        <v>44</v>
      </c>
      <c r="R316" s="45" t="s">
        <v>272</v>
      </c>
      <c r="S316" s="45" t="s">
        <v>175</v>
      </c>
      <c r="T316" s="45" t="s">
        <v>268</v>
      </c>
      <c r="U316" s="45" t="s">
        <v>5531</v>
      </c>
      <c r="X316" s="45" t="s">
        <v>5531</v>
      </c>
      <c r="Y316" s="45" t="s">
        <v>6370</v>
      </c>
      <c r="Z316" s="76">
        <f t="shared" ca="1" si="40"/>
        <v>2.3270601851860802</v>
      </c>
      <c r="AA316" s="75">
        <f t="shared" ca="1" si="41"/>
        <v>6.2054938271628801</v>
      </c>
      <c r="AB316" s="76">
        <f t="shared" ca="1" si="42"/>
        <v>6.5972222364507616E-4</v>
      </c>
      <c r="AC316" s="75">
        <f t="shared" ca="1" si="43"/>
        <v>1.7592592630535364E-3</v>
      </c>
      <c r="AD316" s="76">
        <f t="shared" ca="1" si="44"/>
        <v>0</v>
      </c>
      <c r="AE316" s="76">
        <f t="shared" ca="1" si="45"/>
        <v>6.5972222364507616E-4</v>
      </c>
      <c r="AF316" s="75">
        <f t="shared" ca="1" si="46"/>
        <v>1.7592592630535364E-3</v>
      </c>
      <c r="AG316" s="75">
        <f t="shared" ca="1" si="47"/>
        <v>1.7592592630535364E-3</v>
      </c>
      <c r="AH316" s="31" t="str" cm="1">
        <f t="array" aca="1" ref="AH316" ca="1">IF((AD316) &lt; (INDEX(ResponseSLA[#All],(MATCH((G316),ResponseSLA[Priority],0))+1,3)),"YES","No")</f>
        <v>YES</v>
      </c>
      <c r="AI316" s="31" t="str">
        <f ca="1">_xlfn.IFNA(IF(AE316 &lt; (INDEX(SLATable[Minimum SLA],MATCH(G316,SLATable[Priority],0))),"YES","NO"),"")</f>
        <v>YES</v>
      </c>
      <c r="AJ316" t="str">
        <f ca="1">_xlfn.IFNA(IF(AE316 &lt; (INDEX(SLATable[Maximum SLA],MATCH(G316,SLATable[Priority],0))),"YES","NO"),"")</f>
        <v>YES</v>
      </c>
    </row>
    <row r="317" spans="2:36" ht="15" customHeight="1">
      <c r="B317" s="45" t="s">
        <v>26</v>
      </c>
      <c r="C317" s="45" t="s">
        <v>44</v>
      </c>
      <c r="D317" s="45" t="s">
        <v>208</v>
      </c>
      <c r="E317" s="45" t="s">
        <v>6371</v>
      </c>
      <c r="F317" s="45" t="s">
        <v>312</v>
      </c>
      <c r="G317" s="45">
        <v>4</v>
      </c>
      <c r="H317" s="45" t="s">
        <v>6372</v>
      </c>
      <c r="I317" s="45" t="s">
        <v>271</v>
      </c>
      <c r="J317" s="45" t="s">
        <v>6118</v>
      </c>
      <c r="K317" s="47">
        <v>46188.385069444441</v>
      </c>
      <c r="L317" s="47">
        <v>46188.565023148149</v>
      </c>
      <c r="M317" s="47">
        <v>46188.565023148149</v>
      </c>
      <c r="N317" s="47">
        <v>46195.409745370373</v>
      </c>
      <c r="P317" s="47">
        <v>46195.409745370373</v>
      </c>
      <c r="Q317" s="45" t="s">
        <v>44</v>
      </c>
      <c r="R317" s="45" t="s">
        <v>272</v>
      </c>
      <c r="S317" s="45" t="s">
        <v>175</v>
      </c>
      <c r="T317" s="45" t="s">
        <v>268</v>
      </c>
      <c r="U317" s="45" t="s">
        <v>5531</v>
      </c>
      <c r="X317" s="45" t="s">
        <v>5531</v>
      </c>
      <c r="Y317" s="45" t="s">
        <v>6357</v>
      </c>
      <c r="Z317" s="76">
        <f t="shared" ca="1" si="40"/>
        <v>1.8996759259316605</v>
      </c>
      <c r="AA317" s="75">
        <f t="shared" ca="1" si="41"/>
        <v>5.0658024691510946</v>
      </c>
      <c r="AB317" s="76">
        <f t="shared" ca="1" si="42"/>
        <v>1.7197222222239361</v>
      </c>
      <c r="AC317" s="75">
        <f t="shared" ca="1" si="43"/>
        <v>4.5859259259304963</v>
      </c>
      <c r="AD317" s="76">
        <f t="shared" ca="1" si="44"/>
        <v>0</v>
      </c>
      <c r="AE317" s="76">
        <f t="shared" ca="1" si="45"/>
        <v>1.7197222222239361</v>
      </c>
      <c r="AF317" s="75">
        <f t="shared" ca="1" si="46"/>
        <v>4.5859259259304963</v>
      </c>
      <c r="AG317" s="75">
        <f t="shared" ca="1" si="47"/>
        <v>4.5859259259304963</v>
      </c>
      <c r="AH317" s="31" t="str" cm="1">
        <f t="array" aca="1" ref="AH317" ca="1">IF((AD317) &lt; (INDEX(ResponseSLA[#All],(MATCH((G317),ResponseSLA[Priority],0))+1,3)),"YES","No")</f>
        <v>YES</v>
      </c>
      <c r="AI317" s="31" t="str">
        <f ca="1">_xlfn.IFNA(IF(AE317 &lt; (INDEX(SLATable[Minimum SLA],MATCH(G317,SLATable[Priority],0))),"YES","NO"),"")</f>
        <v>YES</v>
      </c>
      <c r="AJ317" t="str">
        <f ca="1">_xlfn.IFNA(IF(AE317 &lt; (INDEX(SLATable[Maximum SLA],MATCH(G317,SLATable[Priority],0))),"YES","NO"),"")</f>
        <v>YES</v>
      </c>
    </row>
    <row r="318" spans="2:36" ht="15" customHeight="1">
      <c r="B318" s="45" t="s">
        <v>26</v>
      </c>
      <c r="C318" s="45" t="s">
        <v>44</v>
      </c>
      <c r="D318" s="45" t="s">
        <v>208</v>
      </c>
      <c r="E318" s="45" t="s">
        <v>6373</v>
      </c>
      <c r="F318" s="45" t="s">
        <v>312</v>
      </c>
      <c r="G318" s="45" t="s">
        <v>208</v>
      </c>
      <c r="H318" s="45" t="s">
        <v>6374</v>
      </c>
      <c r="I318" s="45" t="s">
        <v>271</v>
      </c>
      <c r="J318" s="45" t="s">
        <v>6118</v>
      </c>
      <c r="K318" s="47">
        <v>46184.410358796296</v>
      </c>
      <c r="L318" s="47">
        <v>46188.421805555554</v>
      </c>
      <c r="M318" s="47">
        <v>46188.421805555554</v>
      </c>
      <c r="N318" s="47">
        <v>46192.512442129628</v>
      </c>
      <c r="P318" s="47">
        <v>46192.512442129628</v>
      </c>
      <c r="Q318" s="45" t="s">
        <v>44</v>
      </c>
      <c r="R318" s="45" t="s">
        <v>272</v>
      </c>
      <c r="S318" s="45" t="s">
        <v>175</v>
      </c>
      <c r="T318" s="45" t="s">
        <v>268</v>
      </c>
      <c r="U318" s="45" t="s">
        <v>5531</v>
      </c>
      <c r="X318" s="45" t="s">
        <v>5531</v>
      </c>
      <c r="Y318" s="45" t="s">
        <v>6357</v>
      </c>
      <c r="Z318" s="76">
        <f t="shared" ca="1" si="40"/>
        <v>2.3520833333313935</v>
      </c>
      <c r="AA318" s="75">
        <f t="shared" ca="1" si="41"/>
        <v>6.2722222222170494</v>
      </c>
      <c r="AB318" s="76">
        <f t="shared" ca="1" si="42"/>
        <v>1.5906365740738693</v>
      </c>
      <c r="AC318" s="75">
        <f t="shared" ca="1" si="43"/>
        <v>4.2416975308636511</v>
      </c>
      <c r="AD318" s="76">
        <f t="shared" ca="1" si="44"/>
        <v>0</v>
      </c>
      <c r="AE318" s="76">
        <f t="shared" ca="1" si="45"/>
        <v>1.5906365740738693</v>
      </c>
      <c r="AF318" s="75">
        <f t="shared" ca="1" si="46"/>
        <v>4.2416975308636511</v>
      </c>
      <c r="AG318" s="75">
        <f t="shared" ca="1" si="47"/>
        <v>4.2416975308636511</v>
      </c>
      <c r="AH318" s="31" t="str" cm="1">
        <f t="array" aca="1" ref="AH318" ca="1">IF((AD318) &lt; (INDEX(ResponseSLA[#All],(MATCH((G318),ResponseSLA[Priority],0))+1,3)),"YES","No")</f>
        <v>YES</v>
      </c>
      <c r="AI318" s="31" t="str">
        <f ca="1">_xlfn.IFNA(IF(AE318 &lt; (INDEX(SLATable[Minimum SLA],MATCH(G318,SLATable[Priority],0))),"YES","NO"),"")</f>
        <v>NO</v>
      </c>
      <c r="AJ318" t="str">
        <f ca="1">_xlfn.IFNA(IF(AE318 &lt; (INDEX(SLATable[Maximum SLA],MATCH(G318,SLATable[Priority],0))),"YES","NO"),"")</f>
        <v>NO</v>
      </c>
    </row>
    <row r="319" spans="2:36" ht="15" customHeight="1">
      <c r="B319" s="45" t="s">
        <v>26</v>
      </c>
      <c r="C319" s="45" t="s">
        <v>44</v>
      </c>
      <c r="D319" s="45" t="s">
        <v>208</v>
      </c>
      <c r="E319" s="45" t="s">
        <v>6375</v>
      </c>
      <c r="F319" s="45" t="s">
        <v>312</v>
      </c>
      <c r="G319" s="45" t="s">
        <v>208</v>
      </c>
      <c r="H319" s="45" t="s">
        <v>6376</v>
      </c>
      <c r="I319" s="45" t="s">
        <v>271</v>
      </c>
      <c r="J319" s="45" t="s">
        <v>6118</v>
      </c>
      <c r="K319" s="47">
        <v>46184.732499999998</v>
      </c>
      <c r="L319" s="47">
        <v>46185.294872685183</v>
      </c>
      <c r="M319" s="47">
        <v>46185.294872685183</v>
      </c>
      <c r="N319" s="47">
        <v>46195.415706018517</v>
      </c>
      <c r="P319" s="47">
        <v>46195.415706018517</v>
      </c>
      <c r="Q319" s="45" t="s">
        <v>44</v>
      </c>
      <c r="R319" s="45" t="s">
        <v>272</v>
      </c>
      <c r="S319" s="45" t="s">
        <v>175</v>
      </c>
      <c r="T319" s="45" t="s">
        <v>268</v>
      </c>
      <c r="U319" s="45" t="s">
        <v>5531</v>
      </c>
      <c r="X319" s="45" t="s">
        <v>5531</v>
      </c>
      <c r="Y319" s="45" t="s">
        <v>6365</v>
      </c>
      <c r="Z319" s="76">
        <f t="shared" ca="1" si="40"/>
        <v>2.3323726851837518</v>
      </c>
      <c r="AA319" s="75">
        <f t="shared" ca="1" si="41"/>
        <v>6.219660493823338</v>
      </c>
      <c r="AB319" s="76">
        <f t="shared" ca="1" si="42"/>
        <v>2.3323726851837518</v>
      </c>
      <c r="AC319" s="75">
        <f t="shared" ca="1" si="43"/>
        <v>6.219660493823338</v>
      </c>
      <c r="AD319" s="76">
        <f t="shared" ca="1" si="44"/>
        <v>0</v>
      </c>
      <c r="AE319" s="76">
        <f t="shared" ca="1" si="45"/>
        <v>2.3323726851837518</v>
      </c>
      <c r="AF319" s="75">
        <f t="shared" ca="1" si="46"/>
        <v>6.219660493823338</v>
      </c>
      <c r="AG319" s="75">
        <f t="shared" ca="1" si="47"/>
        <v>6.219660493823338</v>
      </c>
      <c r="AH319" s="31" t="str" cm="1">
        <f t="array" aca="1" ref="AH319" ca="1">IF((AD319) &lt; (INDEX(ResponseSLA[#All],(MATCH((G319),ResponseSLA[Priority],0))+1,3)),"YES","No")</f>
        <v>YES</v>
      </c>
      <c r="AI319" s="31" t="str">
        <f ca="1">_xlfn.IFNA(IF(AE319 &lt; (INDEX(SLATable[Minimum SLA],MATCH(G319,SLATable[Priority],0))),"YES","NO"),"")</f>
        <v>NO</v>
      </c>
      <c r="AJ319" t="str">
        <f ca="1">_xlfn.IFNA(IF(AE319 &lt; (INDEX(SLATable[Maximum SLA],MATCH(G319,SLATable[Priority],0))),"YES","NO"),"")</f>
        <v>NO</v>
      </c>
    </row>
    <row r="320" spans="2:36" ht="15" customHeight="1">
      <c r="B320" s="45" t="s">
        <v>26</v>
      </c>
      <c r="C320" s="45" t="s">
        <v>44</v>
      </c>
      <c r="D320" s="45" t="s">
        <v>207</v>
      </c>
      <c r="E320" s="45" t="s">
        <v>6377</v>
      </c>
      <c r="F320" s="45" t="s">
        <v>312</v>
      </c>
      <c r="G320" s="45">
        <v>3</v>
      </c>
      <c r="H320" s="45" t="s">
        <v>6378</v>
      </c>
      <c r="I320" s="45" t="s">
        <v>271</v>
      </c>
      <c r="J320" s="45" t="s">
        <v>6221</v>
      </c>
      <c r="K320" s="47">
        <v>46148.363263888888</v>
      </c>
      <c r="L320" s="47">
        <v>46148.537187499998</v>
      </c>
      <c r="M320" s="47">
        <v>46148.537187499998</v>
      </c>
      <c r="N320" s="47">
        <v>46150.670231481483</v>
      </c>
      <c r="P320" s="47">
        <v>46150.670231481483</v>
      </c>
      <c r="Q320" s="45" t="s">
        <v>44</v>
      </c>
      <c r="R320" s="45" t="s">
        <v>272</v>
      </c>
      <c r="S320" s="45" t="s">
        <v>175</v>
      </c>
      <c r="T320" s="45" t="s">
        <v>268</v>
      </c>
      <c r="U320" s="45" t="s">
        <v>5531</v>
      </c>
      <c r="X320" s="45" t="s">
        <v>5531</v>
      </c>
      <c r="Y320" s="45" t="s">
        <v>6379</v>
      </c>
      <c r="Z320" s="76">
        <f t="shared" ca="1" si="40"/>
        <v>1.0569675925944466</v>
      </c>
      <c r="AA320" s="75">
        <f t="shared" ca="1" si="41"/>
        <v>2.8185802469185242</v>
      </c>
      <c r="AB320" s="76">
        <f t="shared" ca="1" si="42"/>
        <v>0.88304398148466134</v>
      </c>
      <c r="AC320" s="75">
        <f t="shared" ca="1" si="43"/>
        <v>2.3547839506257637</v>
      </c>
      <c r="AD320" s="76">
        <f t="shared" ca="1" si="44"/>
        <v>0</v>
      </c>
      <c r="AE320" s="76">
        <f t="shared" ca="1" si="45"/>
        <v>0.88304398148466134</v>
      </c>
      <c r="AF320" s="75">
        <f t="shared" ca="1" si="46"/>
        <v>2.3547839506257637</v>
      </c>
      <c r="AG320" s="75">
        <f t="shared" ca="1" si="47"/>
        <v>2.3547839506257637</v>
      </c>
      <c r="AH320" s="31" t="str" cm="1">
        <f t="array" aca="1" ref="AH320" ca="1">IF((AD320) &lt; (INDEX(ResponseSLA[#All],(MATCH((G320),ResponseSLA[Priority],0))+1,3)),"YES","No")</f>
        <v>YES</v>
      </c>
      <c r="AI320" s="31" t="str">
        <f ca="1">_xlfn.IFNA(IF(AE320 &lt; (INDEX(SLATable[Minimum SLA],MATCH(G320,SLATable[Priority],0))),"YES","NO"),"")</f>
        <v>NO</v>
      </c>
      <c r="AJ320" t="str">
        <f ca="1">_xlfn.IFNA(IF(AE320 &lt; (INDEX(SLATable[Maximum SLA],MATCH(G320,SLATable[Priority],0))),"YES","NO"),"")</f>
        <v>YES</v>
      </c>
    </row>
    <row r="321" spans="2:36" ht="15" customHeight="1">
      <c r="B321" s="45" t="s">
        <v>26</v>
      </c>
      <c r="C321" s="45" t="s">
        <v>44</v>
      </c>
      <c r="D321" s="45" t="s">
        <v>207</v>
      </c>
      <c r="E321" s="45" t="s">
        <v>6380</v>
      </c>
      <c r="F321" s="45" t="s">
        <v>312</v>
      </c>
      <c r="G321" s="45">
        <v>4</v>
      </c>
      <c r="H321" s="45" t="s">
        <v>6225</v>
      </c>
      <c r="I321" s="45" t="s">
        <v>271</v>
      </c>
      <c r="J321" s="45" t="s">
        <v>6221</v>
      </c>
      <c r="K321" s="47">
        <v>46147.461446759262</v>
      </c>
      <c r="L321" s="47">
        <v>46149.323310185187</v>
      </c>
      <c r="M321" s="47">
        <v>46149.323310185187</v>
      </c>
      <c r="N321" s="47">
        <v>46153.351215277777</v>
      </c>
      <c r="P321" s="47">
        <v>46153.351215277777</v>
      </c>
      <c r="Q321" s="45" t="s">
        <v>6381</v>
      </c>
      <c r="R321" s="45" t="s">
        <v>261</v>
      </c>
      <c r="S321" s="45" t="s">
        <v>175</v>
      </c>
      <c r="T321" s="45" t="s">
        <v>268</v>
      </c>
      <c r="U321" s="45" t="s">
        <v>5531</v>
      </c>
      <c r="X321" s="45" t="s">
        <v>5531</v>
      </c>
      <c r="Y321" s="45" t="s">
        <v>6382</v>
      </c>
      <c r="Z321" s="76">
        <f t="shared" ca="1" si="40"/>
        <v>1.3897685185147568</v>
      </c>
      <c r="AA321" s="75">
        <f t="shared" ca="1" si="41"/>
        <v>3.7060493827060181</v>
      </c>
      <c r="AB321" s="76">
        <f t="shared" ca="1" si="42"/>
        <v>0.7678819444433127</v>
      </c>
      <c r="AC321" s="75">
        <f t="shared" ca="1" si="43"/>
        <v>2.0476851851821669</v>
      </c>
      <c r="AD321" s="76">
        <f t="shared" ca="1" si="44"/>
        <v>0</v>
      </c>
      <c r="AE321" s="76">
        <f t="shared" ca="1" si="45"/>
        <v>0.7678819444433127</v>
      </c>
      <c r="AF321" s="75">
        <f t="shared" ca="1" si="46"/>
        <v>2.0476851851821669</v>
      </c>
      <c r="AG321" s="75">
        <f t="shared" ca="1" si="47"/>
        <v>2.0476851851821669</v>
      </c>
      <c r="AH321" s="31" t="str" cm="1">
        <f t="array" aca="1" ref="AH321" ca="1">IF((AD321) &lt; (INDEX(ResponseSLA[#All],(MATCH((G321),ResponseSLA[Priority],0))+1,3)),"YES","No")</f>
        <v>YES</v>
      </c>
      <c r="AI321" s="31" t="str">
        <f ca="1">_xlfn.IFNA(IF(AE321 &lt; (INDEX(SLATable[Minimum SLA],MATCH(G321,SLATable[Priority],0))),"YES","NO"),"")</f>
        <v>YES</v>
      </c>
      <c r="AJ321" t="str">
        <f ca="1">_xlfn.IFNA(IF(AE321 &lt; (INDEX(SLATable[Maximum SLA],MATCH(G321,SLATable[Priority],0))),"YES","NO"),"")</f>
        <v>YES</v>
      </c>
    </row>
    <row r="322" spans="2:36" ht="15" customHeight="1">
      <c r="B322" s="45" t="s">
        <v>26</v>
      </c>
      <c r="C322" s="45" t="s">
        <v>44</v>
      </c>
      <c r="D322" s="45" t="s">
        <v>207</v>
      </c>
      <c r="E322" s="45" t="s">
        <v>6383</v>
      </c>
      <c r="F322" s="45" t="s">
        <v>312</v>
      </c>
      <c r="G322" s="45">
        <v>4</v>
      </c>
      <c r="H322" s="45" t="s">
        <v>6384</v>
      </c>
      <c r="I322" s="45" t="s">
        <v>271</v>
      </c>
      <c r="J322" s="45" t="s">
        <v>6221</v>
      </c>
      <c r="K322" s="47">
        <v>46148.226666666669</v>
      </c>
      <c r="L322" s="47">
        <v>46149.352025462962</v>
      </c>
      <c r="M322" s="47">
        <v>46149.352025462962</v>
      </c>
      <c r="N322" s="47">
        <v>46153.353125000001</v>
      </c>
      <c r="P322" s="47">
        <v>46153.353125000001</v>
      </c>
      <c r="Q322" s="45" t="s">
        <v>6381</v>
      </c>
      <c r="R322" s="45" t="s">
        <v>272</v>
      </c>
      <c r="S322" s="45" t="s">
        <v>175</v>
      </c>
      <c r="T322" s="45" t="s">
        <v>268</v>
      </c>
      <c r="U322" s="45" t="s">
        <v>5531</v>
      </c>
      <c r="X322" s="45" t="s">
        <v>5531</v>
      </c>
      <c r="Y322" s="45" t="s">
        <v>6382</v>
      </c>
      <c r="Z322" s="76">
        <f t="shared" ca="1" si="40"/>
        <v>1.1447916666681222</v>
      </c>
      <c r="AA322" s="75">
        <f t="shared" ca="1" si="41"/>
        <v>3.0527777777816589</v>
      </c>
      <c r="AB322" s="76">
        <f t="shared" ca="1" si="42"/>
        <v>0.75109953703940846</v>
      </c>
      <c r="AC322" s="75">
        <f t="shared" ca="1" si="43"/>
        <v>2.002932098771756</v>
      </c>
      <c r="AD322" s="76">
        <f t="shared" ca="1" si="44"/>
        <v>0</v>
      </c>
      <c r="AE322" s="76">
        <f t="shared" ca="1" si="45"/>
        <v>0.75109953703940846</v>
      </c>
      <c r="AF322" s="75">
        <f t="shared" ca="1" si="46"/>
        <v>2.002932098771756</v>
      </c>
      <c r="AG322" s="75">
        <f t="shared" ca="1" si="47"/>
        <v>2.002932098771756</v>
      </c>
      <c r="AH322" s="31" t="str" cm="1">
        <f t="array" aca="1" ref="AH322" ca="1">IF((AD322) &lt; (INDEX(ResponseSLA[#All],(MATCH((G322),ResponseSLA[Priority],0))+1,3)),"YES","No")</f>
        <v>YES</v>
      </c>
      <c r="AI322" s="31" t="str">
        <f ca="1">_xlfn.IFNA(IF(AE322 &lt; (INDEX(SLATable[Minimum SLA],MATCH(G322,SLATable[Priority],0))),"YES","NO"),"")</f>
        <v>YES</v>
      </c>
      <c r="AJ322" t="str">
        <f ca="1">_xlfn.IFNA(IF(AE322 &lt; (INDEX(SLATable[Maximum SLA],MATCH(G322,SLATable[Priority],0))),"YES","NO"),"")</f>
        <v>YES</v>
      </c>
    </row>
    <row r="323" spans="2:36" ht="15" customHeight="1">
      <c r="B323" s="45" t="s">
        <v>26</v>
      </c>
      <c r="C323" s="45" t="s">
        <v>44</v>
      </c>
      <c r="D323" s="45" t="s">
        <v>207</v>
      </c>
      <c r="E323" s="45" t="s">
        <v>6385</v>
      </c>
      <c r="F323" s="45" t="s">
        <v>312</v>
      </c>
      <c r="G323" s="45">
        <v>4</v>
      </c>
      <c r="H323" s="45" t="s">
        <v>6225</v>
      </c>
      <c r="I323" s="45" t="s">
        <v>271</v>
      </c>
      <c r="J323" s="45" t="s">
        <v>6221</v>
      </c>
      <c r="K323" s="47">
        <v>46153.391724537039</v>
      </c>
      <c r="L323" s="47">
        <v>46153.405115740738</v>
      </c>
      <c r="M323" s="47">
        <v>46153.405115740738</v>
      </c>
      <c r="N323" s="47">
        <v>46155.370729166665</v>
      </c>
      <c r="P323" s="47">
        <v>46155.370729166665</v>
      </c>
      <c r="Q323" s="45" t="s">
        <v>6381</v>
      </c>
      <c r="R323" s="45" t="s">
        <v>272</v>
      </c>
      <c r="S323" s="45" t="s">
        <v>175</v>
      </c>
      <c r="T323" s="45" t="s">
        <v>268</v>
      </c>
      <c r="U323" s="45" t="s">
        <v>5531</v>
      </c>
      <c r="X323" s="45" t="s">
        <v>5531</v>
      </c>
      <c r="Y323" s="45" t="s">
        <v>6382</v>
      </c>
      <c r="Z323" s="76">
        <f ca="1">IF(NOT(OR(G323=1,G323=2)),MAX(0,_xlfn.IFS(AND(K323&lt;&gt;"",N323&lt;&gt;""),((MAX(NETWORKDAYS(K323,N323,UKBankHolidays)-1,0))*(TIME(17,0,0)-TIME(8,0,0))+IF(NETWORKDAYS(N323,N323,UKBankHolidays)&gt;0,MEDIAN(TIME(8,0,0),MOD(N323,1),TIME(17,0,0)),TIME(8,0,0))-IF(NETWORKDAYS(K323,K323,UKBankHolidays)&gt;0,MEDIAN(TIME(8,0,0),MOD(K323,1),TIME(17,0,0)),TIME(8,0,0)))-IF(AND(O323&lt;&gt;"",P323&lt;&gt;""),((MAX(NETWORKDAYS(O323,P323,UKBankHolidays)-1,0))*(TIME(17,0,0)-TIME(8,0,0))+IF(NETWORKDAYS(P323,P323,UKBankHolidays)&gt;0,MEDIAN(TIME(8,0,0),MOD(P323,1),TIME(17,0,0)),TIME(8,0,0))-IF(NETWORKDAYS(O323,O323,UKBankHolidays)&gt;0,MEDIAN(TIME(8,0,0),MOD(O323,1),TIME(17,0,0)),TIME(8,0,0))),0),AND(K323&lt;&gt;"",N323=""),((MAX(NETWORKDAYS(K323,NOW(),UKBankHolidays)-1,0))*(TIME(17,0,0)-TIME(8,0,0))+IF(NETWORKDAYS(NOW(),NOW(),UKBankHolidays)&gt;0,MEDIAN(TIME(8,0,0),MOD(NOW(),1),TIME(17,0,0)),TIME(8,0,0))-IF(NETWORKDAYS(K323,K323,UKBankHolidays)&gt;0,MEDIAN(TIME(8,0,0),MOD(K323,1),TIME(17,0,0)),TIME(8,0,0))))),IF(N323="",NOW()-K323,N323-K323))</f>
        <v>0.729004629625706</v>
      </c>
      <c r="AA323" s="75">
        <f t="shared" ref="AA323:AA386" ca="1" si="48">(Z323*24)/9</f>
        <v>1.9440123456685494</v>
      </c>
      <c r="AB323" s="76" t="e">
        <f ca="1">IF(NOT(OR(G323=1,G323=2)),MAX(0,_xlfn.IFS(AND(K323&lt;&gt;"",N323&lt;&gt;""),(((MAX(NETWORKDAYS(#REF!,N323,UKBankHolidays)-1,0))*(TIME(17,0,0)-TIME(8,0,0)))+IF(NETWORKDAYS(N323,N323,UKBankHolidays)&gt;0,MEDIAN(TIME(8,0,0),MOD(N323,1),TIME(17,0,0)),TIME(8,0,0))-IF(NETWORKDAYS(#REF!,#REF!,UKBankHolidays)&gt;0,MEDIAN(TIME(8,0,0),MOD(#REF!,1),TIME(17,0,0)),TIME(8,0,0)))-IF(AND(O323&lt;&gt;"",P323&lt;&gt;""),(((MAX(NETWORKDAYS(O323,P323,UKBankHolidays)-1,0))*(TIME(17,0,0)-TIME(8,0,0)))+IF(NETWORKDAYS(P323,P323,UKBankHolidays)&gt;0,MEDIAN(TIME(8,0,0),MOD(P323,1),TIME(17,0,0)),TIME(8,0,0))-IF(NETWORKDAYS(O323,O323,UKBankHolidays)&gt;0,MEDIAN(TIME(8,0,0),MOD(O323,1),TIME(17,0,0)),TIME(8,0,0))),0),AND(#REF!&lt;&gt;"",N323="",O323=""),(((MAX(NETWORKDAYS(#REF!,NOW(),UKBankHolidays)-1,0))*(TIME(17,0,0)-TIME(8,0,0)))+IF(NETWORKDAYS(NOW(),NOW(),UKBankHolidays)&gt;0,MEDIAN(TIME(8,0,0),MOD(NOW(),1),TIME(17,0,0)),TIME(8,0,0))-IF(NETWORKDAYS(#REF!,#REF!,UKBankHolidays)&gt;0,MEDIAN(TIME(8,0,0),MOD(#REF!,1),TIME(17,0,0)),TIME(8,0,0)))-IF(AND(O323&lt;&gt;"",P323&lt;&gt;""),(((MAX(NETWORKDAYS(O323,P323,UKBankHolidays)-1,0))*(TIME(17,0,0)-TIME(8,0,0)))+IF(NETWORKDAYS(P323,P323,UKBankHolidays)&gt;0,MEDIAN(TIME(8,0,0),MOD(P323,1),TIME(17,0,0)),TIME(8,0,0))-IF(NETWORKDAYS(O323,O323,UKBankHolidays)&gt;0,MEDIAN(TIME(8,0,0),MOD(O323,1),TIME(17,0,0)),TIME(8,0,0))),0),AND(#REF!&lt;&gt;"",N323="",P323="",O323&lt;&gt;""),(((MAX(NETWORKDAYS(#REF!,O323,UKBankHolidays)-1,0))*(TIME(17,0,0)-TIME(8,0,0)))+IF(NETWORKDAYS(O323,O323,UKBankHolidays)&gt;0,MEDIAN(TIME(8,0,0),MOD(O323,1),TIME(17,0,0)),TIME(8,0,0))-IF(NETWORKDAYS(#REF!,#REF!,UKBankHolidays)&gt;0,MEDIAN(TIME(8,0,0),MOD(#REF!,1),TIME(17,0,0)),TIME(8,0,0))),ISBLANK(K323),"0")),IF(ISBLANK(N323),NOW()-#REF!,N323-#REF!))</f>
        <v>#REF!</v>
      </c>
      <c r="AC323" s="75" t="e">
        <f t="shared" ref="AC323:AC386" ca="1" si="49">(AB323*24)/9</f>
        <v>#REF!</v>
      </c>
      <c r="AD323" s="76" t="e">
        <f ca="1">MAX(0,IF(NOT(OR(G323=1,G323=2)),IF(M323&lt;&gt;"",((MAX(NETWORKDAYS(#REF!,M323,UKBankHolidays)-1,0))*(TIME(17,0,0)-TIME(8,0,0))+IF(NETWORKDAYS(M323,M323,UKBankHolidays)&gt;0,MEDIAN(TIME(8,0,0),MOD(M323,1),TIME(17,0,0)),TIME(8,0,0))-MEDIAN(TIME(8,0,0),MOD(#REF!,1),TIME(17,0,0))),((MAX(NETWORKDAYS(#REF!,NOW(),UKBankHolidays)-1,0))*(TIME(17,0,0)-TIME(8,0,0))+IF(NETWORKDAYS(NOW(),NOW(),UKBankHolidays)&gt;0,MEDIAN(TIME(8,0,0),MOD(NOW(),1),TIME(17,0,0)),TIME(8,0,0))-MEDIAN(TIME(8,0,0),MOD(#REF!,1),TIME(17,0,0)))),IF(M323&lt;&gt;"",M323-#REF!,NOW()-#REF!)))</f>
        <v>#REF!</v>
      </c>
      <c r="AE323" s="76" t="e">
        <f t="shared" ref="AE323:AE386" ca="1" si="50">SUMIFS(AB:AB,E:E,E323)</f>
        <v>#REF!</v>
      </c>
      <c r="AF323" s="75" t="e">
        <f t="shared" ref="AF323:AF386" ca="1" si="51">(AE323*24)/9</f>
        <v>#REF!</v>
      </c>
      <c r="AG323" s="75" t="e">
        <f t="shared" ref="AG323:AG386" ca="1" si="52">AF323</f>
        <v>#REF!</v>
      </c>
      <c r="AH323" s="31" t="e" cm="1">
        <f t="array" aca="1" ref="AH323" ca="1">IF((AD323) &lt; (INDEX(ResponseSLA[#All],(MATCH((G323),ResponseSLA[Priority],0))+1,3)),"YES","No")</f>
        <v>#REF!</v>
      </c>
      <c r="AI323" s="31" t="e">
        <f ca="1">_xlfn.IFNA(IF(AE323 &lt; (INDEX(SLATable[Minimum SLA],MATCH(G323,SLATable[Priority],0))),"YES","NO"),"")</f>
        <v>#REF!</v>
      </c>
      <c r="AJ323" t="e">
        <f ca="1">_xlfn.IFNA(IF(AE323 &lt; (INDEX(SLATable[Maximum SLA],MATCH(G323,SLATable[Priority],0))),"YES","NO"),"")</f>
        <v>#REF!</v>
      </c>
    </row>
    <row r="324" spans="2:36" ht="15" customHeight="1">
      <c r="B324" s="45" t="s">
        <v>26</v>
      </c>
      <c r="C324" s="45" t="s">
        <v>44</v>
      </c>
      <c r="D324" s="45" t="s">
        <v>207</v>
      </c>
      <c r="E324" s="45" t="s">
        <v>6386</v>
      </c>
      <c r="F324" s="45" t="s">
        <v>312</v>
      </c>
      <c r="G324" s="45">
        <v>3</v>
      </c>
      <c r="H324" s="45" t="s">
        <v>6387</v>
      </c>
      <c r="I324" s="45" t="s">
        <v>275</v>
      </c>
      <c r="J324" s="45" t="s">
        <v>6221</v>
      </c>
      <c r="K324" s="47">
        <v>46150.599120370367</v>
      </c>
      <c r="L324" s="47">
        <v>46153.269293981481</v>
      </c>
      <c r="M324" s="47">
        <v>46153.269293981481</v>
      </c>
      <c r="N324" s="47">
        <v>46155.682766203703</v>
      </c>
      <c r="P324" s="47">
        <v>46155.682766203703</v>
      </c>
      <c r="Q324" s="45" t="s">
        <v>44</v>
      </c>
      <c r="R324" s="45" t="s">
        <v>272</v>
      </c>
      <c r="S324" s="45" t="s">
        <v>175</v>
      </c>
      <c r="T324" s="45" t="s">
        <v>268</v>
      </c>
      <c r="U324" s="45" t="s">
        <v>5531</v>
      </c>
      <c r="X324" s="45" t="s">
        <v>5531</v>
      </c>
      <c r="Y324" s="45" t="s">
        <v>6388</v>
      </c>
      <c r="Z324" s="76">
        <f t="shared" ref="Z324:Z386" ca="1" si="53">IF(NOT(OR(G324=1,G324=2)),MAX(0,_xlfn.IFS(AND(K324&lt;&gt;"",N324&lt;&gt;""),((MAX(NETWORKDAYS(K324,N324,UKBankHolidays)-1,0))*(TIME(17,0,0)-TIME(8,0,0))+IF(NETWORKDAYS(N324,N324,UKBankHolidays)&gt;0,MEDIAN(TIME(8,0,0),MOD(N324,1),TIME(17,0,0)),TIME(8,0,0))-IF(NETWORKDAYS(K324,K324,UKBankHolidays)&gt;0,MEDIAN(TIME(8,0,0),MOD(K324,1),TIME(17,0,0)),TIME(8,0,0)))-IF(AND(O324&lt;&gt;"",P324&lt;&gt;""),((MAX(NETWORKDAYS(O324,P324,UKBankHolidays)-1,0))*(TIME(17,0,0)-TIME(8,0,0))+IF(NETWORKDAYS(P324,P324,UKBankHolidays)&gt;0,MEDIAN(TIME(8,0,0),MOD(P324,1),TIME(17,0,0)),TIME(8,0,0))-IF(NETWORKDAYS(O324,O324,UKBankHolidays)&gt;0,MEDIAN(TIME(8,0,0),MOD(O324,1),TIME(17,0,0)),TIME(8,0,0))),0),AND(K324&lt;&gt;"",N324=""),((MAX(NETWORKDAYS(K324,NOW(),UKBankHolidays)-1,0))*(TIME(17,0,0)-TIME(8,0,0))+IF(NETWORKDAYS(NOW(),NOW(),UKBankHolidays)&gt;0,MEDIAN(TIME(8,0,0),MOD(NOW(),1),TIME(17,0,0)),TIME(8,0,0))-IF(NETWORKDAYS(K324,K324,UKBankHolidays)&gt;0,MEDIAN(TIME(8,0,0),MOD(K324,1),TIME(17,0,0)),TIME(8,0,0))))),IF(N324="",NOW()-K324,N324-K324))</f>
        <v>1.2086458333360499</v>
      </c>
      <c r="AA324" s="75">
        <f t="shared" ca="1" si="48"/>
        <v>3.2230555555627998</v>
      </c>
      <c r="AB324" s="76">
        <f t="shared" ref="AB324:AB386" ca="1" si="54">IF(NOT(OR(G324=1,G324=2)),MAX(0,_xlfn.IFS(AND(K324&lt;&gt;"",N324&lt;&gt;""),(((MAX(NETWORKDAYS(L324,N324,UKBankHolidays)-1,0))*(TIME(17,0,0)-TIME(8,0,0)))+IF(NETWORKDAYS(N324,N324,UKBankHolidays)&gt;0,MEDIAN(TIME(8,0,0),MOD(N324,1),TIME(17,0,0)),TIME(8,0,0))-IF(NETWORKDAYS(L324,L324,UKBankHolidays)&gt;0,MEDIAN(TIME(8,0,0),MOD(L324,1),TIME(17,0,0)),TIME(8,0,0)))-IF(AND(O324&lt;&gt;"",P324&lt;&gt;""),(((MAX(NETWORKDAYS(O324,P324,UKBankHolidays)-1,0))*(TIME(17,0,0)-TIME(8,0,0)))+IF(NETWORKDAYS(P324,P324,UKBankHolidays)&gt;0,MEDIAN(TIME(8,0,0),MOD(P324,1),TIME(17,0,0)),TIME(8,0,0))-IF(NETWORKDAYS(O324,O324,UKBankHolidays)&gt;0,MEDIAN(TIME(8,0,0),MOD(O324,1),TIME(17,0,0)),TIME(8,0,0))),0),AND(L324&lt;&gt;"",N324="",O324=""),(((MAX(NETWORKDAYS(L324,NOW(),UKBankHolidays)-1,0))*(TIME(17,0,0)-TIME(8,0,0)))+IF(NETWORKDAYS(NOW(),NOW(),UKBankHolidays)&gt;0,MEDIAN(TIME(8,0,0),MOD(NOW(),1),TIME(17,0,0)),TIME(8,0,0))-IF(NETWORKDAYS(L324,L324,UKBankHolidays)&gt;0,MEDIAN(TIME(8,0,0),MOD(L324,1),TIME(17,0,0)),TIME(8,0,0)))-IF(AND(O324&lt;&gt;"",P324&lt;&gt;""),(((MAX(NETWORKDAYS(O324,P324,UKBankHolidays)-1,0))*(TIME(17,0,0)-TIME(8,0,0)))+IF(NETWORKDAYS(P324,P324,UKBankHolidays)&gt;0,MEDIAN(TIME(8,0,0),MOD(P324,1),TIME(17,0,0)),TIME(8,0,0))-IF(NETWORKDAYS(O324,O324,UKBankHolidays)&gt;0,MEDIAN(TIME(8,0,0),MOD(O324,1),TIME(17,0,0)),TIME(8,0,0))),0),AND(L324&lt;&gt;"",N324="",P324="",O324&lt;&gt;""),(((MAX(NETWORKDAYS(L324,O324,UKBankHolidays)-1,0))*(TIME(17,0,0)-TIME(8,0,0)))+IF(NETWORKDAYS(O324,O324,UKBankHolidays)&gt;0,MEDIAN(TIME(8,0,0),MOD(O324,1),TIME(17,0,0)),TIME(8,0,0))-IF(NETWORKDAYS(L324,L324,UKBankHolidays)&gt;0,MEDIAN(TIME(8,0,0),MOD(L324,1),TIME(17,0,0)),TIME(8,0,0))),ISBLANK(K324),"0")),IF(ISBLANK(N324),NOW()-L324,N324-L324))</f>
        <v>1.0994328703697345</v>
      </c>
      <c r="AC324" s="75">
        <f t="shared" ca="1" si="49"/>
        <v>2.9318209876526251</v>
      </c>
      <c r="AD324" s="76">
        <f t="shared" ref="AD324:AD386" ca="1" si="55">MAX(0,IF(NOT(OR(G324=1,G324=2)),IF(M324&lt;&gt;"",((MAX(NETWORKDAYS(L324,M324,UKBankHolidays)-1,0))*(TIME(17,0,0)-TIME(8,0,0))+IF(NETWORKDAYS(M324,M324,UKBankHolidays)&gt;0,MEDIAN(TIME(8,0,0),MOD(M324,1),TIME(17,0,0)),TIME(8,0,0))-MEDIAN(TIME(8,0,0),MOD(L324,1),TIME(17,0,0))),((MAX(NETWORKDAYS(L324,NOW(),UKBankHolidays)-1,0))*(TIME(17,0,0)-TIME(8,0,0))+IF(NETWORKDAYS(NOW(),NOW(),UKBankHolidays)&gt;0,MEDIAN(TIME(8,0,0),MOD(NOW(),1),TIME(17,0,0)),TIME(8,0,0))-MEDIAN(TIME(8,0,0),MOD(L324,1),TIME(17,0,0)))),IF(M324&lt;&gt;"",M324-L324,NOW()-L324)))</f>
        <v>0</v>
      </c>
      <c r="AE324" s="76">
        <f t="shared" ca="1" si="50"/>
        <v>1.0994328703697345</v>
      </c>
      <c r="AF324" s="75">
        <f t="shared" ca="1" si="51"/>
        <v>2.9318209876526251</v>
      </c>
      <c r="AG324" s="75">
        <f t="shared" ca="1" si="52"/>
        <v>2.9318209876526251</v>
      </c>
      <c r="AH324" s="31" t="str" cm="1">
        <f t="array" aca="1" ref="AH324" ca="1">IF((AD324) &lt; (INDEX(ResponseSLA[#All],(MATCH((G324),ResponseSLA[Priority],0))+1,3)),"YES","No")</f>
        <v>YES</v>
      </c>
      <c r="AI324" s="31" t="str">
        <f ca="1">_xlfn.IFNA(IF(AE324 &lt; (INDEX(SLATable[Minimum SLA],MATCH(G324,SLATable[Priority],0))),"YES","NO"),"")</f>
        <v>NO</v>
      </c>
      <c r="AJ324" t="str">
        <f ca="1">_xlfn.IFNA(IF(AE324 &lt; (INDEX(SLATable[Maximum SLA],MATCH(G324,SLATable[Priority],0))),"YES","NO"),"")</f>
        <v>YES</v>
      </c>
    </row>
    <row r="325" spans="2:36" ht="15" customHeight="1">
      <c r="B325" s="45" t="s">
        <v>26</v>
      </c>
      <c r="C325" s="45" t="s">
        <v>44</v>
      </c>
      <c r="D325" s="45" t="s">
        <v>207</v>
      </c>
      <c r="E325" s="45" t="s">
        <v>6389</v>
      </c>
      <c r="F325" s="45" t="s">
        <v>312</v>
      </c>
      <c r="G325" s="45">
        <v>4</v>
      </c>
      <c r="H325" s="45" t="s">
        <v>6390</v>
      </c>
      <c r="I325" s="45" t="s">
        <v>266</v>
      </c>
      <c r="J325" s="45" t="s">
        <v>6221</v>
      </c>
      <c r="K325" s="47">
        <v>46156.43650462963</v>
      </c>
      <c r="L325" s="47">
        <v>46191.458148148151</v>
      </c>
      <c r="M325" s="47">
        <v>46191.458148148151</v>
      </c>
      <c r="O325" s="47">
        <v>46196.344606481478</v>
      </c>
      <c r="Q325" s="45" t="s">
        <v>6391</v>
      </c>
      <c r="R325" s="45" t="s">
        <v>272</v>
      </c>
      <c r="S325" s="45" t="s">
        <v>175</v>
      </c>
      <c r="T325" s="45" t="s">
        <v>268</v>
      </c>
      <c r="U325" s="45" t="s">
        <v>5531</v>
      </c>
      <c r="X325" s="45" t="s">
        <v>5531</v>
      </c>
      <c r="Y325" s="45" t="s">
        <v>6392</v>
      </c>
      <c r="Z325" s="76">
        <f t="shared" ca="1" si="53"/>
        <v>27.197471874998886</v>
      </c>
      <c r="AA325" s="75">
        <f t="shared" ca="1" si="48"/>
        <v>72.526591666663705</v>
      </c>
      <c r="AB325" s="76">
        <f t="shared" ca="1" si="54"/>
        <v>1.0114583333270277</v>
      </c>
      <c r="AC325" s="75">
        <f t="shared" ca="1" si="49"/>
        <v>2.6972222222054074</v>
      </c>
      <c r="AD325" s="76">
        <f t="shared" ca="1" si="55"/>
        <v>0</v>
      </c>
      <c r="AE325" s="76">
        <f t="shared" ca="1" si="50"/>
        <v>1.0114583333270277</v>
      </c>
      <c r="AF325" s="75">
        <f t="shared" ca="1" si="51"/>
        <v>2.6972222222054074</v>
      </c>
      <c r="AG325" s="75">
        <f t="shared" ca="1" si="52"/>
        <v>2.6972222222054074</v>
      </c>
      <c r="AH325" s="31" t="str" cm="1">
        <f t="array" aca="1" ref="AH325" ca="1">IF((AD325) &lt; (INDEX(ResponseSLA[#All],(MATCH((G325),ResponseSLA[Priority],0))+1,3)),"YES","No")</f>
        <v>YES</v>
      </c>
      <c r="AI325" s="31" t="str">
        <f ca="1">_xlfn.IFNA(IF(AE325 &lt; (INDEX(SLATable[Minimum SLA],MATCH(G325,SLATable[Priority],0))),"YES","NO"),"")</f>
        <v>YES</v>
      </c>
      <c r="AJ325" t="str">
        <f ca="1">_xlfn.IFNA(IF(AE325 &lt; (INDEX(SLATable[Maximum SLA],MATCH(G325,SLATable[Priority],0))),"YES","NO"),"")</f>
        <v>YES</v>
      </c>
    </row>
    <row r="326" spans="2:36" ht="15" customHeight="1">
      <c r="B326" s="45" t="s">
        <v>26</v>
      </c>
      <c r="C326" s="45" t="s">
        <v>44</v>
      </c>
      <c r="D326" s="45" t="s">
        <v>207</v>
      </c>
      <c r="E326" s="45" t="s">
        <v>6393</v>
      </c>
      <c r="F326" s="45" t="s">
        <v>312</v>
      </c>
      <c r="G326" s="45">
        <v>4</v>
      </c>
      <c r="H326" s="45" t="s">
        <v>6394</v>
      </c>
      <c r="I326" s="45" t="s">
        <v>271</v>
      </c>
      <c r="J326" s="45" t="s">
        <v>6221</v>
      </c>
      <c r="K326" s="47">
        <v>46155.639282407406</v>
      </c>
      <c r="L326" s="47">
        <v>46156.283321759256</v>
      </c>
      <c r="M326" s="47">
        <v>46156.283321759256</v>
      </c>
      <c r="N326" s="47">
        <v>46167.37777777778</v>
      </c>
      <c r="P326" s="47">
        <v>46167.37777777778</v>
      </c>
      <c r="Q326" s="45" t="s">
        <v>6381</v>
      </c>
      <c r="R326" s="45" t="s">
        <v>272</v>
      </c>
      <c r="S326" s="45" t="s">
        <v>175</v>
      </c>
      <c r="T326" s="45" t="s">
        <v>268</v>
      </c>
      <c r="U326" s="45" t="s">
        <v>5531</v>
      </c>
      <c r="X326" s="45" t="s">
        <v>5531</v>
      </c>
      <c r="Y326" s="45" t="s">
        <v>6382</v>
      </c>
      <c r="Z326" s="76">
        <f t="shared" ca="1" si="53"/>
        <v>2.3190509259269074</v>
      </c>
      <c r="AA326" s="75">
        <f t="shared" ca="1" si="48"/>
        <v>6.1841358024717534</v>
      </c>
      <c r="AB326" s="76">
        <f t="shared" ca="1" si="54"/>
        <v>2.2500000000000004</v>
      </c>
      <c r="AC326" s="75">
        <f t="shared" ca="1" si="49"/>
        <v>6.0000000000000018</v>
      </c>
      <c r="AD326" s="76">
        <f t="shared" ca="1" si="55"/>
        <v>0</v>
      </c>
      <c r="AE326" s="76">
        <f t="shared" ca="1" si="50"/>
        <v>2.2500000000000004</v>
      </c>
      <c r="AF326" s="75">
        <f t="shared" ca="1" si="51"/>
        <v>6.0000000000000018</v>
      </c>
      <c r="AG326" s="75">
        <f t="shared" ca="1" si="52"/>
        <v>6.0000000000000018</v>
      </c>
      <c r="AH326" s="31" t="str" cm="1">
        <f t="array" aca="1" ref="AH326" ca="1">IF((AD326) &lt; (INDEX(ResponseSLA[#All],(MATCH((G326),ResponseSLA[Priority],0))+1,3)),"YES","No")</f>
        <v>YES</v>
      </c>
      <c r="AI326" s="31" t="str">
        <f ca="1">_xlfn.IFNA(IF(AE326 &lt; (INDEX(SLATable[Minimum SLA],MATCH(G326,SLATable[Priority],0))),"YES","NO"),"")</f>
        <v>YES</v>
      </c>
      <c r="AJ326" t="str">
        <f ca="1">_xlfn.IFNA(IF(AE326 &lt; (INDEX(SLATable[Maximum SLA],MATCH(G326,SLATable[Priority],0))),"YES","NO"),"")</f>
        <v>YES</v>
      </c>
    </row>
    <row r="327" spans="2:36" ht="15" customHeight="1">
      <c r="B327" s="45" t="s">
        <v>26</v>
      </c>
      <c r="C327" s="45" t="s">
        <v>44</v>
      </c>
      <c r="D327" s="45" t="s">
        <v>207</v>
      </c>
      <c r="E327" s="45" t="s">
        <v>6395</v>
      </c>
      <c r="F327" s="45" t="s">
        <v>312</v>
      </c>
      <c r="G327" s="45">
        <v>4</v>
      </c>
      <c r="H327" s="45" t="s">
        <v>6396</v>
      </c>
      <c r="I327" s="45" t="s">
        <v>275</v>
      </c>
      <c r="J327" s="45" t="s">
        <v>6221</v>
      </c>
      <c r="K327" s="47">
        <v>46133.433842592596</v>
      </c>
      <c r="L327" s="47">
        <v>46167.704814814817</v>
      </c>
      <c r="M327" s="47">
        <v>46167.704814814817</v>
      </c>
      <c r="N327" s="47">
        <v>46168.520185185182</v>
      </c>
      <c r="P327" s="47">
        <v>46168.520185185182</v>
      </c>
      <c r="Q327" s="45" t="s">
        <v>6397</v>
      </c>
      <c r="R327" s="45" t="s">
        <v>272</v>
      </c>
      <c r="S327" s="45" t="s">
        <v>175</v>
      </c>
      <c r="T327" s="45" t="s">
        <v>268</v>
      </c>
      <c r="U327" s="45" t="s">
        <v>5531</v>
      </c>
      <c r="X327" s="45" t="s">
        <v>5531</v>
      </c>
      <c r="Y327" s="45" t="s">
        <v>6398</v>
      </c>
      <c r="Z327" s="76">
        <f t="shared" ca="1" si="53"/>
        <v>8.3363425925854262</v>
      </c>
      <c r="AA327" s="75">
        <f t="shared" ca="1" si="48"/>
        <v>22.230246913561139</v>
      </c>
      <c r="AB327" s="76">
        <f t="shared" ca="1" si="54"/>
        <v>0.18685185184828396</v>
      </c>
      <c r="AC327" s="75">
        <f t="shared" ca="1" si="49"/>
        <v>0.49827160492875716</v>
      </c>
      <c r="AD327" s="76">
        <f t="shared" ca="1" si="55"/>
        <v>0</v>
      </c>
      <c r="AE327" s="76">
        <f>SUMIFS(AB:AB,E:E,#REF!)</f>
        <v>0</v>
      </c>
      <c r="AF327" s="75">
        <f t="shared" si="51"/>
        <v>0</v>
      </c>
      <c r="AG327" s="75">
        <f t="shared" si="52"/>
        <v>0</v>
      </c>
      <c r="AH327" s="31" t="str" cm="1">
        <f t="array" aca="1" ref="AH327" ca="1">IF((AD327) &lt; (INDEX(ResponseSLA[#All],(MATCH((G327),ResponseSLA[Priority],0))+1,3)),"YES","No")</f>
        <v>YES</v>
      </c>
      <c r="AI327" s="31" t="str">
        <f>_xlfn.IFNA(IF(AE327 &lt; (INDEX(SLATable[Minimum SLA],MATCH(G327,SLATable[Priority],0))),"YES","NO"),"")</f>
        <v>YES</v>
      </c>
      <c r="AJ327" t="str">
        <f>_xlfn.IFNA(IF(AE327 &lt; (INDEX(SLATable[Maximum SLA],MATCH(G327,SLATable[Priority],0))),"YES","NO"),"")</f>
        <v>YES</v>
      </c>
    </row>
    <row r="328" spans="2:36" ht="15" customHeight="1">
      <c r="B328" s="45" t="s">
        <v>26</v>
      </c>
      <c r="C328" s="45" t="s">
        <v>44</v>
      </c>
      <c r="D328" s="45" t="s">
        <v>207</v>
      </c>
      <c r="E328" s="45" t="s">
        <v>6399</v>
      </c>
      <c r="F328" s="45" t="s">
        <v>312</v>
      </c>
      <c r="G328" s="45">
        <v>4</v>
      </c>
      <c r="H328" s="45" t="s">
        <v>6384</v>
      </c>
      <c r="I328" s="45" t="s">
        <v>271</v>
      </c>
      <c r="J328" s="45" t="s">
        <v>6221</v>
      </c>
      <c r="K328" s="47">
        <v>46160.181273148148</v>
      </c>
      <c r="L328" s="47">
        <v>46160.333981481483</v>
      </c>
      <c r="M328" s="47">
        <v>46160.333981481483</v>
      </c>
      <c r="N328" s="47">
        <v>46168.575162037036</v>
      </c>
      <c r="P328" s="47">
        <v>46168.575162037036</v>
      </c>
      <c r="Q328" s="45" t="s">
        <v>6381</v>
      </c>
      <c r="R328" s="45" t="s">
        <v>272</v>
      </c>
      <c r="S328" s="45" t="s">
        <v>175</v>
      </c>
      <c r="T328" s="45" t="s">
        <v>268</v>
      </c>
      <c r="U328" s="45" t="s">
        <v>5531</v>
      </c>
      <c r="X328" s="45" t="s">
        <v>5531</v>
      </c>
      <c r="Y328" s="45" t="s">
        <v>6382</v>
      </c>
      <c r="Z328" s="76">
        <f t="shared" ca="1" si="53"/>
        <v>2.1168287037022915</v>
      </c>
      <c r="AA328" s="75">
        <f t="shared" ca="1" si="48"/>
        <v>5.6448765432061112</v>
      </c>
      <c r="AB328" s="76">
        <f t="shared" ca="1" si="54"/>
        <v>2.1161805555530009</v>
      </c>
      <c r="AC328" s="75">
        <f t="shared" ca="1" si="49"/>
        <v>5.6431481481413357</v>
      </c>
      <c r="AD328" s="76">
        <f t="shared" ca="1" si="55"/>
        <v>0</v>
      </c>
      <c r="AE328" s="76">
        <f ca="1">SUMIFS(AB:AB,E:E,E327)</f>
        <v>0.18685185184828396</v>
      </c>
      <c r="AF328" s="75">
        <f t="shared" ca="1" si="51"/>
        <v>0.49827160492875716</v>
      </c>
      <c r="AG328" s="75">
        <f t="shared" ca="1" si="52"/>
        <v>0.49827160492875716</v>
      </c>
      <c r="AH328" s="31" t="str" cm="1">
        <f t="array" aca="1" ref="AH328" ca="1">IF((AD328) &lt; (INDEX(ResponseSLA[#All],(MATCH((G328),ResponseSLA[Priority],0))+1,3)),"YES","No")</f>
        <v>YES</v>
      </c>
      <c r="AI328" s="31" t="str">
        <f ca="1">_xlfn.IFNA(IF(AE328 &lt; (INDEX(SLATable[Minimum SLA],MATCH(G328,SLATable[Priority],0))),"YES","NO"),"")</f>
        <v>YES</v>
      </c>
      <c r="AJ328" t="str">
        <f ca="1">_xlfn.IFNA(IF(AE328 &lt; (INDEX(SLATable[Maximum SLA],MATCH(G328,SLATable[Priority],0))),"YES","NO"),"")</f>
        <v>YES</v>
      </c>
    </row>
    <row r="329" spans="2:36" ht="15" customHeight="1">
      <c r="B329" s="45" t="s">
        <v>26</v>
      </c>
      <c r="C329" s="45" t="s">
        <v>44</v>
      </c>
      <c r="D329" s="45" t="s">
        <v>207</v>
      </c>
      <c r="E329" s="45" t="s">
        <v>6400</v>
      </c>
      <c r="F329" s="45" t="s">
        <v>312</v>
      </c>
      <c r="G329" s="45">
        <v>4</v>
      </c>
      <c r="H329" s="45" t="s">
        <v>6225</v>
      </c>
      <c r="I329" s="45" t="s">
        <v>271</v>
      </c>
      <c r="J329" s="45" t="s">
        <v>6221</v>
      </c>
      <c r="K329" s="47">
        <v>46167.393506944441</v>
      </c>
      <c r="L329" s="47">
        <v>46168.261770833335</v>
      </c>
      <c r="M329" s="47">
        <v>46168.261770833335</v>
      </c>
      <c r="N329" s="47">
        <v>46168.577581018515</v>
      </c>
      <c r="P329" s="47">
        <v>46168.577581018515</v>
      </c>
      <c r="Q329" s="45" t="s">
        <v>6381</v>
      </c>
      <c r="R329" s="45" t="s">
        <v>272</v>
      </c>
      <c r="S329" s="45" t="s">
        <v>175</v>
      </c>
      <c r="T329" s="45" t="s">
        <v>268</v>
      </c>
      <c r="U329" s="45" t="s">
        <v>5531</v>
      </c>
      <c r="X329" s="45" t="s">
        <v>5531</v>
      </c>
      <c r="Y329" s="45" t="s">
        <v>6382</v>
      </c>
      <c r="Z329" s="76">
        <f t="shared" ca="1" si="53"/>
        <v>0.2442476851817143</v>
      </c>
      <c r="AA329" s="75">
        <f t="shared" ca="1" si="48"/>
        <v>0.6513271604845714</v>
      </c>
      <c r="AB329" s="76">
        <f t="shared" ca="1" si="54"/>
        <v>0.2442476851817143</v>
      </c>
      <c r="AC329" s="75">
        <f t="shared" ca="1" si="49"/>
        <v>0.6513271604845714</v>
      </c>
      <c r="AD329" s="76">
        <f t="shared" ca="1" si="55"/>
        <v>0</v>
      </c>
      <c r="AE329" s="76">
        <f>SUMIFS(AB:AB,E:E,#REF!)</f>
        <v>0</v>
      </c>
      <c r="AF329" s="75">
        <f t="shared" si="51"/>
        <v>0</v>
      </c>
      <c r="AG329" s="75">
        <f t="shared" si="52"/>
        <v>0</v>
      </c>
      <c r="AH329" s="31" t="str" cm="1">
        <f t="array" aca="1" ref="AH329" ca="1">IF((AD329) &lt; (INDEX(ResponseSLA[#All],(MATCH((G329),ResponseSLA[Priority],0))+1,3)),"YES","No")</f>
        <v>YES</v>
      </c>
      <c r="AI329" s="31" t="str">
        <f>_xlfn.IFNA(IF(AE329 &lt; (INDEX(SLATable[Minimum SLA],MATCH(G329,SLATable[Priority],0))),"YES","NO"),"")</f>
        <v>YES</v>
      </c>
      <c r="AJ329" t="str">
        <f>_xlfn.IFNA(IF(AE329 &lt; (INDEX(SLATable[Maximum SLA],MATCH(G329,SLATable[Priority],0))),"YES","NO"),"")</f>
        <v>YES</v>
      </c>
    </row>
    <row r="330" spans="2:36" ht="15" customHeight="1">
      <c r="B330" s="45" t="s">
        <v>26</v>
      </c>
      <c r="C330" s="45" t="s">
        <v>44</v>
      </c>
      <c r="D330" s="45" t="s">
        <v>207</v>
      </c>
      <c r="E330" s="45" t="s">
        <v>6401</v>
      </c>
      <c r="F330" s="45" t="s">
        <v>312</v>
      </c>
      <c r="G330" s="45">
        <v>4</v>
      </c>
      <c r="H330" s="45" t="s">
        <v>6402</v>
      </c>
      <c r="I330" s="45" t="s">
        <v>275</v>
      </c>
      <c r="J330" s="45" t="s">
        <v>6221</v>
      </c>
      <c r="K330" s="47">
        <v>46161.478564814817</v>
      </c>
      <c r="L330" s="47">
        <v>46162.635428240741</v>
      </c>
      <c r="M330" s="47">
        <v>46162.635428240741</v>
      </c>
      <c r="N330" s="47">
        <v>46168.588275462964</v>
      </c>
      <c r="P330" s="47">
        <v>46168.588275462964</v>
      </c>
      <c r="Q330" s="45" t="s">
        <v>44</v>
      </c>
      <c r="R330" s="45" t="s">
        <v>272</v>
      </c>
      <c r="S330" s="45" t="s">
        <v>175</v>
      </c>
      <c r="T330" s="45" t="s">
        <v>268</v>
      </c>
      <c r="U330" s="45" t="s">
        <v>5531</v>
      </c>
      <c r="X330" s="45" t="s">
        <v>5531</v>
      </c>
      <c r="Y330" s="45" t="s">
        <v>6403</v>
      </c>
      <c r="Z330" s="76">
        <f t="shared" ca="1" si="53"/>
        <v>1.6097106481465744</v>
      </c>
      <c r="AA330" s="75">
        <f t="shared" ca="1" si="48"/>
        <v>4.292561728390865</v>
      </c>
      <c r="AB330" s="76">
        <f t="shared" ca="1" si="54"/>
        <v>1.0778472222227722</v>
      </c>
      <c r="AC330" s="75">
        <f t="shared" ca="1" si="49"/>
        <v>2.8742592592607261</v>
      </c>
      <c r="AD330" s="76">
        <f t="shared" ca="1" si="55"/>
        <v>0</v>
      </c>
      <c r="AE330" s="76">
        <f ca="1">SUMIFS(AB:AB,E:E,E328)</f>
        <v>2.1161805555530009</v>
      </c>
      <c r="AF330" s="75">
        <f t="shared" ca="1" si="51"/>
        <v>5.6431481481413357</v>
      </c>
      <c r="AG330" s="75">
        <f t="shared" ca="1" si="52"/>
        <v>5.6431481481413357</v>
      </c>
      <c r="AH330" s="31" t="str" cm="1">
        <f t="array" aca="1" ref="AH330" ca="1">IF((AD330) &lt; (INDEX(ResponseSLA[#All],(MATCH((G330),ResponseSLA[Priority],0))+1,3)),"YES","No")</f>
        <v>YES</v>
      </c>
      <c r="AI330" s="31" t="str">
        <f ca="1">_xlfn.IFNA(IF(AE330 &lt; (INDEX(SLATable[Minimum SLA],MATCH(G330,SLATable[Priority],0))),"YES","NO"),"")</f>
        <v>YES</v>
      </c>
      <c r="AJ330" t="str">
        <f ca="1">_xlfn.IFNA(IF(AE330 &lt; (INDEX(SLATable[Maximum SLA],MATCH(G330,SLATable[Priority],0))),"YES","NO"),"")</f>
        <v>YES</v>
      </c>
    </row>
    <row r="331" spans="2:36" ht="15" customHeight="1">
      <c r="B331" s="45" t="s">
        <v>26</v>
      </c>
      <c r="C331" s="45" t="s">
        <v>44</v>
      </c>
      <c r="D331" s="45" t="s">
        <v>207</v>
      </c>
      <c r="E331" s="45" t="s">
        <v>6404</v>
      </c>
      <c r="F331" s="45" t="s">
        <v>312</v>
      </c>
      <c r="G331" s="45">
        <v>4</v>
      </c>
      <c r="H331" s="45" t="s">
        <v>728</v>
      </c>
      <c r="I331" s="45" t="s">
        <v>271</v>
      </c>
      <c r="J331" s="45" t="s">
        <v>6221</v>
      </c>
      <c r="K331" s="47">
        <v>46169.247581018521</v>
      </c>
      <c r="L331" s="47">
        <v>46177.373414351852</v>
      </c>
      <c r="M331" s="47">
        <v>46177.373414351852</v>
      </c>
      <c r="N331" s="47">
        <v>46181.272939814815</v>
      </c>
      <c r="P331" s="47">
        <v>46181.272939814815</v>
      </c>
      <c r="Q331" s="45" t="s">
        <v>6381</v>
      </c>
      <c r="R331" s="45" t="s">
        <v>272</v>
      </c>
      <c r="S331" s="45" t="s">
        <v>175</v>
      </c>
      <c r="T331" s="45" t="s">
        <v>268</v>
      </c>
      <c r="U331" s="45" t="s">
        <v>5531</v>
      </c>
      <c r="X331" s="45" t="s">
        <v>5531</v>
      </c>
      <c r="Y331" s="45" t="s">
        <v>6382</v>
      </c>
      <c r="Z331" s="76">
        <f t="shared" ca="1" si="53"/>
        <v>3.0000000000000004</v>
      </c>
      <c r="AA331" s="75">
        <f t="shared" ca="1" si="48"/>
        <v>8.0000000000000018</v>
      </c>
      <c r="AB331" s="76">
        <f t="shared" ca="1" si="54"/>
        <v>0.70991898148107202</v>
      </c>
      <c r="AC331" s="75">
        <f t="shared" ca="1" si="49"/>
        <v>1.8931172839495254</v>
      </c>
      <c r="AD331" s="76">
        <f t="shared" ca="1" si="55"/>
        <v>0</v>
      </c>
      <c r="AE331" s="76">
        <f ca="1">SUMIFS(AB:AB,E:E,E329)</f>
        <v>0.2442476851817143</v>
      </c>
      <c r="AF331" s="75">
        <f t="shared" ca="1" si="51"/>
        <v>0.6513271604845714</v>
      </c>
      <c r="AG331" s="75">
        <f t="shared" ca="1" si="52"/>
        <v>0.6513271604845714</v>
      </c>
      <c r="AH331" s="31" t="str" cm="1">
        <f t="array" aca="1" ref="AH331" ca="1">IF((AD331) &lt; (INDEX(ResponseSLA[#All],(MATCH((G331),ResponseSLA[Priority],0))+1,3)),"YES","No")</f>
        <v>YES</v>
      </c>
      <c r="AI331" s="31" t="str">
        <f ca="1">_xlfn.IFNA(IF(AE331 &lt; (INDEX(SLATable[Minimum SLA],MATCH(G331,SLATable[Priority],0))),"YES","NO"),"")</f>
        <v>YES</v>
      </c>
      <c r="AJ331" t="str">
        <f ca="1">_xlfn.IFNA(IF(AE331 &lt; (INDEX(SLATable[Maximum SLA],MATCH(G331,SLATable[Priority],0))),"YES","NO"),"")</f>
        <v>YES</v>
      </c>
    </row>
    <row r="332" spans="2:36" ht="15" customHeight="1">
      <c r="B332" s="45" t="s">
        <v>26</v>
      </c>
      <c r="C332" s="45" t="s">
        <v>44</v>
      </c>
      <c r="D332" s="45" t="s">
        <v>207</v>
      </c>
      <c r="E332" s="45" t="s">
        <v>6219</v>
      </c>
      <c r="F332" s="45" t="s">
        <v>312</v>
      </c>
      <c r="G332" s="45">
        <v>3</v>
      </c>
      <c r="H332" s="45" t="s">
        <v>6220</v>
      </c>
      <c r="I332" s="45" t="s">
        <v>271</v>
      </c>
      <c r="J332" s="45" t="s">
        <v>6221</v>
      </c>
      <c r="K332" s="47">
        <v>46170.425879629627</v>
      </c>
      <c r="L332" s="47">
        <v>46178.255219907405</v>
      </c>
      <c r="M332" s="47">
        <v>46178.255219907405</v>
      </c>
      <c r="N332" s="47">
        <v>46181.272118055553</v>
      </c>
      <c r="P332" s="47">
        <v>46181.272118055553</v>
      </c>
      <c r="Q332" s="45" t="s">
        <v>6222</v>
      </c>
      <c r="R332" s="45" t="s">
        <v>272</v>
      </c>
      <c r="S332" s="45" t="s">
        <v>175</v>
      </c>
      <c r="T332" s="45" t="s">
        <v>268</v>
      </c>
      <c r="U332" s="45" t="s">
        <v>5531</v>
      </c>
      <c r="X332" s="45" t="s">
        <v>5531</v>
      </c>
      <c r="Y332" s="45" t="s">
        <v>6398</v>
      </c>
      <c r="Z332" s="76">
        <f t="shared" ca="1" si="53"/>
        <v>2.5324537037061727</v>
      </c>
      <c r="AA332" s="75">
        <f t="shared" ca="1" si="48"/>
        <v>6.7532098765497937</v>
      </c>
      <c r="AB332" s="76">
        <f t="shared" ca="1" si="54"/>
        <v>0.37500000000000006</v>
      </c>
      <c r="AC332" s="75">
        <f t="shared" ca="1" si="49"/>
        <v>1.0000000000000002</v>
      </c>
      <c r="AD332" s="76">
        <f t="shared" ca="1" si="55"/>
        <v>0</v>
      </c>
      <c r="AE332" s="76">
        <f ca="1">SUMIFS(AB:AB,E:E,E330)</f>
        <v>1.0778472222227722</v>
      </c>
      <c r="AF332" s="75">
        <f t="shared" ca="1" si="51"/>
        <v>2.8742592592607261</v>
      </c>
      <c r="AG332" s="75">
        <f t="shared" ca="1" si="52"/>
        <v>2.8742592592607261</v>
      </c>
      <c r="AH332" s="31" t="str" cm="1">
        <f t="array" aca="1" ref="AH332" ca="1">IF((AD332) &lt; (INDEX(ResponseSLA[#All],(MATCH((G332),ResponseSLA[Priority],0))+1,3)),"YES","No")</f>
        <v>YES</v>
      </c>
      <c r="AI332" s="31" t="str">
        <f ca="1">_xlfn.IFNA(IF(AE332 &lt; (INDEX(SLATable[Minimum SLA],MATCH(G332,SLATable[Priority],0))),"YES","NO"),"")</f>
        <v>NO</v>
      </c>
      <c r="AJ332" t="str">
        <f ca="1">_xlfn.IFNA(IF(AE332 &lt; (INDEX(SLATable[Maximum SLA],MATCH(G332,SLATable[Priority],0))),"YES","NO"),"")</f>
        <v>YES</v>
      </c>
    </row>
    <row r="333" spans="2:36" ht="15" customHeight="1">
      <c r="B333" s="45" t="s">
        <v>26</v>
      </c>
      <c r="C333" s="45" t="s">
        <v>44</v>
      </c>
      <c r="D333" s="45" t="s">
        <v>207</v>
      </c>
      <c r="E333" s="45" t="s">
        <v>6405</v>
      </c>
      <c r="F333" s="45" t="s">
        <v>312</v>
      </c>
      <c r="G333" s="45">
        <v>3</v>
      </c>
      <c r="H333" s="45" t="s">
        <v>6406</v>
      </c>
      <c r="I333" s="45" t="s">
        <v>271</v>
      </c>
      <c r="J333" s="45" t="s">
        <v>6221</v>
      </c>
      <c r="K333" s="47">
        <v>46181.488113425927</v>
      </c>
      <c r="L333" s="47">
        <v>46181.511643518519</v>
      </c>
      <c r="M333" s="47">
        <v>46181.511643518519</v>
      </c>
      <c r="N333" s="47">
        <v>46198.3359375</v>
      </c>
      <c r="P333" s="47">
        <v>46198.3359375</v>
      </c>
      <c r="Q333" s="45" t="s">
        <v>6407</v>
      </c>
      <c r="R333" s="45" t="s">
        <v>272</v>
      </c>
      <c r="S333" s="45" t="s">
        <v>175</v>
      </c>
      <c r="T333" s="45" t="s">
        <v>268</v>
      </c>
      <c r="U333" s="45" t="s">
        <v>5531</v>
      </c>
      <c r="X333" s="45" t="s">
        <v>5531</v>
      </c>
      <c r="Y333" s="45" t="s">
        <v>6398</v>
      </c>
      <c r="Z333" s="76">
        <f t="shared" ca="1" si="53"/>
        <v>4.7228240740732881</v>
      </c>
      <c r="AA333" s="75">
        <f t="shared" ca="1" si="48"/>
        <v>12.594197530862102</v>
      </c>
      <c r="AB333" s="76">
        <f t="shared" ca="1" si="54"/>
        <v>4.6992939814808787</v>
      </c>
      <c r="AC333" s="75">
        <f t="shared" ca="1" si="49"/>
        <v>12.531450617282344</v>
      </c>
      <c r="AD333" s="76">
        <f t="shared" ca="1" si="55"/>
        <v>0</v>
      </c>
      <c r="AE333" s="76">
        <f ca="1">SUMIFS(AB:AB,E:E,E331)</f>
        <v>0.70991898148107202</v>
      </c>
      <c r="AF333" s="75">
        <f t="shared" ca="1" si="51"/>
        <v>1.8931172839495254</v>
      </c>
      <c r="AG333" s="75">
        <f t="shared" ca="1" si="52"/>
        <v>1.8931172839495254</v>
      </c>
      <c r="AH333" s="31" t="str" cm="1">
        <f t="array" aca="1" ref="AH333" ca="1">IF((AD333) &lt; (INDEX(ResponseSLA[#All],(MATCH((G333),ResponseSLA[Priority],0))+1,3)),"YES","No")</f>
        <v>YES</v>
      </c>
      <c r="AI333" s="31" t="str">
        <f ca="1">_xlfn.IFNA(IF(AE333 &lt; (INDEX(SLATable[Minimum SLA],MATCH(G333,SLATable[Priority],0))),"YES","NO"),"")</f>
        <v>NO</v>
      </c>
      <c r="AJ333" t="str">
        <f ca="1">_xlfn.IFNA(IF(AE333 &lt; (INDEX(SLATable[Maximum SLA],MATCH(G333,SLATable[Priority],0))),"YES","NO"),"")</f>
        <v>YES</v>
      </c>
    </row>
    <row r="334" spans="2:36" ht="15" customHeight="1">
      <c r="B334" s="45" t="s">
        <v>26</v>
      </c>
      <c r="C334" s="45" t="s">
        <v>44</v>
      </c>
      <c r="D334" s="45" t="s">
        <v>208</v>
      </c>
      <c r="E334" s="45" t="s">
        <v>6408</v>
      </c>
      <c r="F334" s="45" t="s">
        <v>312</v>
      </c>
      <c r="G334" s="45" t="s">
        <v>208</v>
      </c>
      <c r="H334" s="45" t="s">
        <v>6409</v>
      </c>
      <c r="I334" s="45" t="s">
        <v>271</v>
      </c>
      <c r="J334" s="45" t="s">
        <v>6221</v>
      </c>
      <c r="K334" s="47">
        <v>46139.574293981481</v>
      </c>
      <c r="L334" s="47">
        <v>46140.300173611111</v>
      </c>
      <c r="M334" s="47">
        <v>46140.300173611111</v>
      </c>
      <c r="N334" s="47">
        <v>46149.3746875</v>
      </c>
      <c r="P334" s="47">
        <v>46149.3746875</v>
      </c>
      <c r="Q334" s="45" t="s">
        <v>6410</v>
      </c>
      <c r="R334" s="45" t="s">
        <v>272</v>
      </c>
      <c r="S334" s="45" t="s">
        <v>175</v>
      </c>
      <c r="T334" s="45" t="s">
        <v>268</v>
      </c>
      <c r="U334" s="45" t="s">
        <v>5531</v>
      </c>
      <c r="X334" s="45" t="s">
        <v>5531</v>
      </c>
      <c r="Y334" s="45" t="s">
        <v>6411</v>
      </c>
      <c r="Z334" s="76">
        <f t="shared" ca="1" si="53"/>
        <v>2.0503935185188316</v>
      </c>
      <c r="AA334" s="75">
        <f t="shared" ca="1" si="48"/>
        <v>5.4677160493835508</v>
      </c>
      <c r="AB334" s="76">
        <f t="shared" ca="1" si="54"/>
        <v>1.9163541666663757</v>
      </c>
      <c r="AC334" s="75">
        <f t="shared" ca="1" si="49"/>
        <v>5.1102777777770019</v>
      </c>
      <c r="AD334" s="76">
        <f t="shared" ca="1" si="55"/>
        <v>0</v>
      </c>
      <c r="AE334" s="76">
        <f ca="1">SUMIFS(AB:AB,E:E,E332)</f>
        <v>1.1368055555503815</v>
      </c>
      <c r="AF334" s="75">
        <f t="shared" ca="1" si="51"/>
        <v>3.0314814814676843</v>
      </c>
      <c r="AG334" s="75">
        <f t="shared" ca="1" si="52"/>
        <v>3.0314814814676843</v>
      </c>
      <c r="AH334" s="31" t="str" cm="1">
        <f t="array" aca="1" ref="AH334" ca="1">IF((AD334) &lt; (INDEX(ResponseSLA[#All],(MATCH((G334),ResponseSLA[Priority],0))+1,3)),"YES","No")</f>
        <v>YES</v>
      </c>
      <c r="AI334" s="31" t="str">
        <f ca="1">_xlfn.IFNA(IF(AE334 &lt; (INDEX(SLATable[Minimum SLA],MATCH(G334,SLATable[Priority],0))),"YES","NO"),"")</f>
        <v>NO</v>
      </c>
      <c r="AJ334" t="str">
        <f ca="1">_xlfn.IFNA(IF(AE334 &lt; (INDEX(SLATable[Maximum SLA],MATCH(G334,SLATable[Priority],0))),"YES","NO"),"")</f>
        <v>NO</v>
      </c>
    </row>
    <row r="335" spans="2:36" ht="15" customHeight="1">
      <c r="B335" s="45" t="s">
        <v>26</v>
      </c>
      <c r="C335" s="45" t="s">
        <v>44</v>
      </c>
      <c r="D335" s="45" t="s">
        <v>208</v>
      </c>
      <c r="E335" s="45" t="s">
        <v>6412</v>
      </c>
      <c r="F335" s="45" t="s">
        <v>312</v>
      </c>
      <c r="G335" s="45" t="s">
        <v>208</v>
      </c>
      <c r="H335" s="45" t="s">
        <v>2750</v>
      </c>
      <c r="I335" s="45" t="s">
        <v>275</v>
      </c>
      <c r="J335" s="45" t="s">
        <v>6221</v>
      </c>
      <c r="K335" s="47">
        <v>46146.492789351854</v>
      </c>
      <c r="L335" s="47">
        <v>46147.52202546296</v>
      </c>
      <c r="M335" s="47">
        <v>46147.52202546296</v>
      </c>
      <c r="N335" s="47">
        <v>46149.746967592589</v>
      </c>
      <c r="P335" s="47">
        <v>46149.746967592589</v>
      </c>
      <c r="Q335" s="45" t="s">
        <v>6413</v>
      </c>
      <c r="R335" s="45" t="s">
        <v>272</v>
      </c>
      <c r="S335" s="45" t="s">
        <v>175</v>
      </c>
      <c r="T335" s="45" t="s">
        <v>268</v>
      </c>
      <c r="U335" s="45" t="s">
        <v>5531</v>
      </c>
      <c r="X335" s="45" t="s">
        <v>5531</v>
      </c>
      <c r="Y335" s="46" t="s">
        <v>6414</v>
      </c>
      <c r="Z335" s="76">
        <f t="shared" ca="1" si="53"/>
        <v>1.1250000000000002</v>
      </c>
      <c r="AA335" s="75">
        <f t="shared" ca="1" si="48"/>
        <v>3.0000000000000009</v>
      </c>
      <c r="AB335" s="76">
        <f t="shared" ca="1" si="54"/>
        <v>0.93630787037303298</v>
      </c>
      <c r="AC335" s="75">
        <f t="shared" ca="1" si="49"/>
        <v>2.4968209876614211</v>
      </c>
      <c r="AD335" s="76">
        <f t="shared" ca="1" si="55"/>
        <v>0</v>
      </c>
      <c r="AE335" s="76">
        <f t="shared" ca="1" si="50"/>
        <v>0.93630787037303298</v>
      </c>
      <c r="AF335" s="75">
        <f t="shared" ca="1" si="51"/>
        <v>2.4968209876614211</v>
      </c>
      <c r="AG335" s="75">
        <f t="shared" ca="1" si="52"/>
        <v>2.4968209876614211</v>
      </c>
      <c r="AH335" s="31" t="str" cm="1">
        <f t="array" aca="1" ref="AH335" ca="1">IF((AD335) &lt; (INDEX(ResponseSLA[#All],(MATCH((G335),ResponseSLA[Priority],0))+1,3)),"YES","No")</f>
        <v>YES</v>
      </c>
      <c r="AI335" s="31" t="str">
        <f ca="1">_xlfn.IFNA(IF(AE335 &lt; (INDEX(SLATable[Minimum SLA],MATCH(G335,SLATable[Priority],0))),"YES","NO"),"")</f>
        <v>NO</v>
      </c>
      <c r="AJ335" t="str">
        <f ca="1">_xlfn.IFNA(IF(AE335 &lt; (INDEX(SLATable[Maximum SLA],MATCH(G335,SLATable[Priority],0))),"YES","NO"),"")</f>
        <v>NO</v>
      </c>
    </row>
    <row r="336" spans="2:36" ht="15" customHeight="1">
      <c r="B336" s="45" t="s">
        <v>26</v>
      </c>
      <c r="C336" s="45" t="s">
        <v>44</v>
      </c>
      <c r="D336" s="45" t="s">
        <v>208</v>
      </c>
      <c r="E336" s="45" t="s">
        <v>6415</v>
      </c>
      <c r="F336" s="45" t="s">
        <v>312</v>
      </c>
      <c r="G336" s="45" t="s">
        <v>208</v>
      </c>
      <c r="H336" s="45" t="s">
        <v>6416</v>
      </c>
      <c r="I336" s="45" t="s">
        <v>275</v>
      </c>
      <c r="J336" s="45" t="s">
        <v>6221</v>
      </c>
      <c r="K336" s="47">
        <v>46143.646412037036</v>
      </c>
      <c r="L336" s="47">
        <v>46146.307337962964</v>
      </c>
      <c r="M336" s="47">
        <v>46146.307337962964</v>
      </c>
      <c r="N336" s="47">
        <v>46150.530844907407</v>
      </c>
      <c r="P336" s="47">
        <v>46150.530844907407</v>
      </c>
      <c r="Q336" s="45" t="s">
        <v>44</v>
      </c>
      <c r="R336" s="45" t="s">
        <v>261</v>
      </c>
      <c r="S336" s="45" t="s">
        <v>175</v>
      </c>
      <c r="T336" s="45" t="s">
        <v>268</v>
      </c>
      <c r="U336" s="45" t="s">
        <v>5531</v>
      </c>
      <c r="X336" s="45" t="s">
        <v>5531</v>
      </c>
      <c r="Y336" s="45" t="s">
        <v>6417</v>
      </c>
      <c r="Z336" s="76">
        <f t="shared" ca="1" si="53"/>
        <v>1.3225115740739666</v>
      </c>
      <c r="AA336" s="75">
        <f t="shared" ca="1" si="48"/>
        <v>3.526697530863911</v>
      </c>
      <c r="AB336" s="76">
        <f t="shared" ca="1" si="54"/>
        <v>1.3225115740739666</v>
      </c>
      <c r="AC336" s="75">
        <f t="shared" ca="1" si="49"/>
        <v>3.526697530863911</v>
      </c>
      <c r="AD336" s="76">
        <f t="shared" ca="1" si="55"/>
        <v>0</v>
      </c>
      <c r="AE336" s="76">
        <f ca="1">SUMIFS(AB:AB,E:E,E333)</f>
        <v>4.6992939814808787</v>
      </c>
      <c r="AF336" s="75">
        <f t="shared" ca="1" si="51"/>
        <v>12.531450617282344</v>
      </c>
      <c r="AG336" s="75">
        <f t="shared" ca="1" si="52"/>
        <v>12.531450617282344</v>
      </c>
      <c r="AH336" s="31" t="str" cm="1">
        <f t="array" aca="1" ref="AH336" ca="1">IF((AD336) &lt; (INDEX(ResponseSLA[#All],(MATCH((G336),ResponseSLA[Priority],0))+1,3)),"YES","No")</f>
        <v>YES</v>
      </c>
      <c r="AI336" s="31" t="str">
        <f ca="1">_xlfn.IFNA(IF(AE336 &lt; (INDEX(SLATable[Minimum SLA],MATCH(G336,SLATable[Priority],0))),"YES","NO"),"")</f>
        <v>NO</v>
      </c>
      <c r="AJ336" t="str">
        <f ca="1">_xlfn.IFNA(IF(AE336 &lt; (INDEX(SLATable[Maximum SLA],MATCH(G336,SLATable[Priority],0))),"YES","NO"),"")</f>
        <v>NO</v>
      </c>
    </row>
    <row r="337" spans="2:36" ht="15" customHeight="1">
      <c r="B337" s="45" t="s">
        <v>26</v>
      </c>
      <c r="C337" s="45" t="s">
        <v>44</v>
      </c>
      <c r="D337" s="45" t="s">
        <v>208</v>
      </c>
      <c r="E337" s="45" t="s">
        <v>6418</v>
      </c>
      <c r="F337" s="45" t="s">
        <v>312</v>
      </c>
      <c r="G337" s="45" t="s">
        <v>208</v>
      </c>
      <c r="H337" s="45" t="s">
        <v>6419</v>
      </c>
      <c r="I337" s="45" t="s">
        <v>271</v>
      </c>
      <c r="J337" s="45" t="s">
        <v>6221</v>
      </c>
      <c r="K337" s="47">
        <v>46142.603518518517</v>
      </c>
      <c r="L337" s="47">
        <v>46142.604675925926</v>
      </c>
      <c r="M337" s="47">
        <v>46142.604675925926</v>
      </c>
      <c r="N337" s="47">
        <v>46150.623495370368</v>
      </c>
      <c r="P337" s="47">
        <v>46150.623495370368</v>
      </c>
      <c r="Q337" s="45" t="s">
        <v>6420</v>
      </c>
      <c r="R337" s="45" t="s">
        <v>272</v>
      </c>
      <c r="S337" s="45" t="s">
        <v>175</v>
      </c>
      <c r="T337" s="45" t="s">
        <v>268</v>
      </c>
      <c r="U337" s="45" t="s">
        <v>5531</v>
      </c>
      <c r="X337" s="45" t="s">
        <v>5531</v>
      </c>
      <c r="Y337" s="45" t="s">
        <v>6398</v>
      </c>
      <c r="Z337" s="76">
        <f t="shared" ca="1" si="53"/>
        <v>1.5199768518505152</v>
      </c>
      <c r="AA337" s="75">
        <f t="shared" ca="1" si="48"/>
        <v>4.0532716049347073</v>
      </c>
      <c r="AB337" s="76">
        <f t="shared" ca="1" si="54"/>
        <v>1.5188194444417604</v>
      </c>
      <c r="AC337" s="75">
        <f t="shared" ca="1" si="49"/>
        <v>4.0501851851780275</v>
      </c>
      <c r="AD337" s="76">
        <f t="shared" ca="1" si="55"/>
        <v>0</v>
      </c>
      <c r="AE337" s="76">
        <f t="shared" ca="1" si="50"/>
        <v>1.5188194444417604</v>
      </c>
      <c r="AF337" s="75">
        <f t="shared" ca="1" si="51"/>
        <v>4.0501851851780275</v>
      </c>
      <c r="AG337" s="75">
        <f t="shared" ca="1" si="52"/>
        <v>4.0501851851780275</v>
      </c>
      <c r="AH337" s="31" t="str" cm="1">
        <f t="array" aca="1" ref="AH337" ca="1">IF((AD337) &lt; (INDEX(ResponseSLA[#All],(MATCH((G337),ResponseSLA[Priority],0))+1,3)),"YES","No")</f>
        <v>YES</v>
      </c>
      <c r="AI337" s="31" t="str">
        <f ca="1">_xlfn.IFNA(IF(AE337 &lt; (INDEX(SLATable[Minimum SLA],MATCH(G337,SLATable[Priority],0))),"YES","NO"),"")</f>
        <v>NO</v>
      </c>
      <c r="AJ337" t="str">
        <f ca="1">_xlfn.IFNA(IF(AE337 &lt; (INDEX(SLATable[Maximum SLA],MATCH(G337,SLATable[Priority],0))),"YES","NO"),"")</f>
        <v>NO</v>
      </c>
    </row>
    <row r="338" spans="2:36" ht="15" customHeight="1">
      <c r="B338" s="45" t="s">
        <v>26</v>
      </c>
      <c r="C338" s="45" t="s">
        <v>44</v>
      </c>
      <c r="D338" s="45" t="s">
        <v>208</v>
      </c>
      <c r="E338" s="45" t="s">
        <v>6421</v>
      </c>
      <c r="F338" s="45" t="s">
        <v>312</v>
      </c>
      <c r="G338" s="45" t="s">
        <v>208</v>
      </c>
      <c r="H338" s="45" t="s">
        <v>6422</v>
      </c>
      <c r="I338" s="45" t="s">
        <v>271</v>
      </c>
      <c r="J338" s="45" t="s">
        <v>6221</v>
      </c>
      <c r="K338" s="47">
        <v>46153.661863425928</v>
      </c>
      <c r="L338" s="47">
        <v>46156.506666666668</v>
      </c>
      <c r="M338" s="47">
        <v>46156.506666666668</v>
      </c>
      <c r="N338" s="47">
        <v>46157.615185185183</v>
      </c>
      <c r="P338" s="47">
        <v>46157.615185185183</v>
      </c>
      <c r="Q338" s="45" t="s">
        <v>44</v>
      </c>
      <c r="R338" s="45" t="s">
        <v>272</v>
      </c>
      <c r="S338" s="45" t="s">
        <v>175</v>
      </c>
      <c r="T338" s="45" t="s">
        <v>268</v>
      </c>
      <c r="U338" s="45" t="s">
        <v>5531</v>
      </c>
      <c r="X338" s="45" t="s">
        <v>5531</v>
      </c>
      <c r="Y338" s="46" t="s">
        <v>6423</v>
      </c>
      <c r="Z338" s="76">
        <f t="shared" ca="1" si="53"/>
        <v>1.4533217592543224</v>
      </c>
      <c r="AA338" s="75">
        <f t="shared" ca="1" si="48"/>
        <v>3.8755246913448596</v>
      </c>
      <c r="AB338" s="76">
        <f t="shared" ca="1" si="54"/>
        <v>0.48351851851475658</v>
      </c>
      <c r="AC338" s="75">
        <f t="shared" ca="1" si="49"/>
        <v>1.289382716039351</v>
      </c>
      <c r="AD338" s="76">
        <f t="shared" ca="1" si="55"/>
        <v>0</v>
      </c>
      <c r="AE338" s="76">
        <f t="shared" ca="1" si="50"/>
        <v>0.48351851851475658</v>
      </c>
      <c r="AF338" s="75">
        <f t="shared" ca="1" si="51"/>
        <v>1.289382716039351</v>
      </c>
      <c r="AG338" s="75">
        <f t="shared" ca="1" si="52"/>
        <v>1.289382716039351</v>
      </c>
      <c r="AH338" s="31" t="str" cm="1">
        <f t="array" aca="1" ref="AH338" ca="1">IF((AD338) &lt; (INDEX(ResponseSLA[#All],(MATCH((G338),ResponseSLA[Priority],0))+1,3)),"YES","No")</f>
        <v>YES</v>
      </c>
      <c r="AI338" s="31" t="str">
        <f ca="1">_xlfn.IFNA(IF(AE338 &lt; (INDEX(SLATable[Minimum SLA],MATCH(G338,SLATable[Priority],0))),"YES","NO"),"")</f>
        <v>YES</v>
      </c>
      <c r="AJ338" t="str">
        <f ca="1">_xlfn.IFNA(IF(AE338 &lt; (INDEX(SLATable[Maximum SLA],MATCH(G338,SLATable[Priority],0))),"YES","NO"),"")</f>
        <v>YES</v>
      </c>
    </row>
    <row r="339" spans="2:36" ht="15" customHeight="1">
      <c r="B339" s="45" t="s">
        <v>26</v>
      </c>
      <c r="C339" s="45" t="s">
        <v>44</v>
      </c>
      <c r="D339" s="45" t="s">
        <v>208</v>
      </c>
      <c r="E339" s="45" t="s">
        <v>6424</v>
      </c>
      <c r="F339" s="45" t="s">
        <v>312</v>
      </c>
      <c r="G339" s="45" t="s">
        <v>208</v>
      </c>
      <c r="H339" s="45" t="s">
        <v>6425</v>
      </c>
      <c r="I339" s="45" t="s">
        <v>271</v>
      </c>
      <c r="J339" s="45" t="s">
        <v>6221</v>
      </c>
      <c r="K339" s="47">
        <v>46139.476446759261</v>
      </c>
      <c r="L339" s="47">
        <v>46139.680208333331</v>
      </c>
      <c r="M339" s="47">
        <v>46139.680208333331</v>
      </c>
      <c r="N339" s="47">
        <v>46164.577766203707</v>
      </c>
      <c r="P339" s="47">
        <v>46164.577766203707</v>
      </c>
      <c r="Q339" s="45" t="s">
        <v>44</v>
      </c>
      <c r="R339" s="45" t="s">
        <v>261</v>
      </c>
      <c r="S339" s="45" t="s">
        <v>175</v>
      </c>
      <c r="T339" s="45" t="s">
        <v>268</v>
      </c>
      <c r="U339" s="45" t="s">
        <v>5531</v>
      </c>
      <c r="X339" s="45" t="s">
        <v>5531</v>
      </c>
      <c r="Y339" s="45" t="s">
        <v>6426</v>
      </c>
      <c r="Z339" s="76">
        <f t="shared" ca="1" si="53"/>
        <v>6.4763194444458358</v>
      </c>
      <c r="AA339" s="75">
        <f t="shared" ca="1" si="48"/>
        <v>17.270185185188897</v>
      </c>
      <c r="AB339" s="76">
        <f t="shared" ca="1" si="54"/>
        <v>6.2725578703757501</v>
      </c>
      <c r="AC339" s="75">
        <f t="shared" ca="1" si="49"/>
        <v>16.726820987668667</v>
      </c>
      <c r="AD339" s="76">
        <f t="shared" ca="1" si="55"/>
        <v>0</v>
      </c>
      <c r="AE339" s="76">
        <f t="shared" ca="1" si="50"/>
        <v>6.2725578703757501</v>
      </c>
      <c r="AF339" s="75">
        <f t="shared" ca="1" si="51"/>
        <v>16.726820987668667</v>
      </c>
      <c r="AG339" s="75">
        <f t="shared" ca="1" si="52"/>
        <v>16.726820987668667</v>
      </c>
      <c r="AH339" s="31" t="str" cm="1">
        <f t="array" aca="1" ref="AH339" ca="1">IF((AD339) &lt; (INDEX(ResponseSLA[#All],(MATCH((G339),ResponseSLA[Priority],0))+1,3)),"YES","No")</f>
        <v>YES</v>
      </c>
      <c r="AI339" s="31" t="str">
        <f ca="1">_xlfn.IFNA(IF(AE339 &lt; (INDEX(SLATable[Minimum SLA],MATCH(G339,SLATable[Priority],0))),"YES","NO"),"")</f>
        <v>NO</v>
      </c>
      <c r="AJ339" t="str">
        <f ca="1">_xlfn.IFNA(IF(AE339 &lt; (INDEX(SLATable[Maximum SLA],MATCH(G339,SLATable[Priority],0))),"YES","NO"),"")</f>
        <v>NO</v>
      </c>
    </row>
    <row r="340" spans="2:36" ht="15" customHeight="1">
      <c r="B340" s="45" t="s">
        <v>26</v>
      </c>
      <c r="C340" s="45" t="s">
        <v>44</v>
      </c>
      <c r="D340" s="45" t="s">
        <v>208</v>
      </c>
      <c r="E340" s="45" t="s">
        <v>6427</v>
      </c>
      <c r="F340" s="45" t="s">
        <v>312</v>
      </c>
      <c r="G340" s="45" t="s">
        <v>208</v>
      </c>
      <c r="H340" s="45" t="s">
        <v>6428</v>
      </c>
      <c r="I340" s="45" t="s">
        <v>271</v>
      </c>
      <c r="J340" s="45" t="s">
        <v>6221</v>
      </c>
      <c r="K340" s="47">
        <v>46154.630208333336</v>
      </c>
      <c r="L340" s="47">
        <v>46156.455879629626</v>
      </c>
      <c r="M340" s="47">
        <v>46156.455879629626</v>
      </c>
      <c r="N340" s="47">
        <v>46164.578576388885</v>
      </c>
      <c r="P340" s="47">
        <v>46164.578576388885</v>
      </c>
      <c r="Q340" s="45" t="s">
        <v>6429</v>
      </c>
      <c r="R340" s="45" t="s">
        <v>272</v>
      </c>
      <c r="S340" s="45" t="s">
        <v>175</v>
      </c>
      <c r="T340" s="45" t="s">
        <v>268</v>
      </c>
      <c r="U340" s="45" t="s">
        <v>5531</v>
      </c>
      <c r="X340" s="45" t="s">
        <v>5531</v>
      </c>
      <c r="Y340" s="45" t="s">
        <v>6398</v>
      </c>
      <c r="Z340" s="76">
        <f t="shared" ca="1" si="53"/>
        <v>2.9483680555495089</v>
      </c>
      <c r="AA340" s="75">
        <f t="shared" ca="1" si="48"/>
        <v>7.8623148147986903</v>
      </c>
      <c r="AB340" s="76">
        <f t="shared" ca="1" si="54"/>
        <v>2.3726967592592705</v>
      </c>
      <c r="AC340" s="75">
        <f t="shared" ca="1" si="49"/>
        <v>6.3271913580247219</v>
      </c>
      <c r="AD340" s="76">
        <f t="shared" ca="1" si="55"/>
        <v>0</v>
      </c>
      <c r="AE340" s="76">
        <f t="shared" ca="1" si="50"/>
        <v>2.3726967592592705</v>
      </c>
      <c r="AF340" s="75">
        <f t="shared" ca="1" si="51"/>
        <v>6.3271913580247219</v>
      </c>
      <c r="AG340" s="75">
        <f t="shared" ca="1" si="52"/>
        <v>6.3271913580247219</v>
      </c>
      <c r="AH340" s="31" t="str" cm="1">
        <f t="array" aca="1" ref="AH340" ca="1">IF((AD340) &lt; (INDEX(ResponseSLA[#All],(MATCH((G340),ResponseSLA[Priority],0))+1,3)),"YES","No")</f>
        <v>YES</v>
      </c>
      <c r="AI340" s="31" t="str">
        <f ca="1">_xlfn.IFNA(IF(AE340 &lt; (INDEX(SLATable[Minimum SLA],MATCH(G340,SLATable[Priority],0))),"YES","NO"),"")</f>
        <v>NO</v>
      </c>
      <c r="AJ340" t="str">
        <f ca="1">_xlfn.IFNA(IF(AE340 &lt; (INDEX(SLATable[Maximum SLA],MATCH(G340,SLATable[Priority],0))),"YES","NO"),"")</f>
        <v>NO</v>
      </c>
    </row>
    <row r="341" spans="2:36" ht="15" customHeight="1">
      <c r="B341" s="45" t="s">
        <v>26</v>
      </c>
      <c r="C341" s="45" t="s">
        <v>44</v>
      </c>
      <c r="D341" s="45" t="s">
        <v>208</v>
      </c>
      <c r="E341" s="45" t="s">
        <v>6430</v>
      </c>
      <c r="F341" s="45" t="s">
        <v>312</v>
      </c>
      <c r="G341" s="45" t="s">
        <v>208</v>
      </c>
      <c r="H341" s="45" t="s">
        <v>6431</v>
      </c>
      <c r="I341" s="45" t="s">
        <v>271</v>
      </c>
      <c r="J341" s="45" t="s">
        <v>6221</v>
      </c>
      <c r="K341" s="47">
        <v>46148.528912037036</v>
      </c>
      <c r="L341" s="47">
        <v>46148.541770833333</v>
      </c>
      <c r="M341" s="47">
        <v>46148.541770833333</v>
      </c>
      <c r="N341" s="47">
        <v>46164.579085648147</v>
      </c>
      <c r="P341" s="47">
        <v>46164.579085648147</v>
      </c>
      <c r="Q341" s="45" t="s">
        <v>6432</v>
      </c>
      <c r="R341" s="45" t="s">
        <v>261</v>
      </c>
      <c r="S341" s="45" t="s">
        <v>175</v>
      </c>
      <c r="T341" s="45" t="s">
        <v>268</v>
      </c>
      <c r="U341" s="45" t="s">
        <v>5531</v>
      </c>
      <c r="X341" s="45" t="s">
        <v>5531</v>
      </c>
      <c r="Y341" s="45" t="s">
        <v>6426</v>
      </c>
      <c r="Z341" s="76">
        <f t="shared" ca="1" si="53"/>
        <v>4.5501736111109503</v>
      </c>
      <c r="AA341" s="75">
        <f t="shared" ca="1" si="48"/>
        <v>12.133796296295868</v>
      </c>
      <c r="AB341" s="76">
        <f t="shared" ca="1" si="54"/>
        <v>4.537314814813727</v>
      </c>
      <c r="AC341" s="75">
        <f t="shared" ca="1" si="49"/>
        <v>12.099506172836605</v>
      </c>
      <c r="AD341" s="76">
        <f t="shared" ca="1" si="55"/>
        <v>0</v>
      </c>
      <c r="AE341" s="76">
        <f t="shared" ca="1" si="50"/>
        <v>4.537314814813727</v>
      </c>
      <c r="AF341" s="75">
        <f t="shared" ca="1" si="51"/>
        <v>12.099506172836605</v>
      </c>
      <c r="AG341" s="75">
        <f t="shared" ca="1" si="52"/>
        <v>12.099506172836605</v>
      </c>
      <c r="AH341" s="31" t="str" cm="1">
        <f t="array" aca="1" ref="AH341" ca="1">IF((AD341) &lt; (INDEX(ResponseSLA[#All],(MATCH((G341),ResponseSLA[Priority],0))+1,3)),"YES","No")</f>
        <v>YES</v>
      </c>
      <c r="AI341" s="31" t="str">
        <f ca="1">_xlfn.IFNA(IF(AE341 &lt; (INDEX(SLATable[Minimum SLA],MATCH(G341,SLATable[Priority],0))),"YES","NO"),"")</f>
        <v>NO</v>
      </c>
      <c r="AJ341" t="str">
        <f ca="1">_xlfn.IFNA(IF(AE341 &lt; (INDEX(SLATable[Maximum SLA],MATCH(G341,SLATable[Priority],0))),"YES","NO"),"")</f>
        <v>NO</v>
      </c>
    </row>
    <row r="342" spans="2:36" ht="15" customHeight="1">
      <c r="B342" s="45" t="s">
        <v>26</v>
      </c>
      <c r="C342" s="45" t="s">
        <v>44</v>
      </c>
      <c r="D342" s="45" t="s">
        <v>208</v>
      </c>
      <c r="E342" s="45" t="s">
        <v>6433</v>
      </c>
      <c r="F342" s="45" t="s">
        <v>312</v>
      </c>
      <c r="G342" s="45" t="s">
        <v>208</v>
      </c>
      <c r="H342" s="45" t="s">
        <v>6434</v>
      </c>
      <c r="I342" s="45" t="s">
        <v>271</v>
      </c>
      <c r="J342" s="45" t="s">
        <v>6221</v>
      </c>
      <c r="K342" s="47">
        <v>46160.374675925923</v>
      </c>
      <c r="L342" s="47">
        <v>46160.389293981483</v>
      </c>
      <c r="M342" s="47">
        <v>46160.389293981483</v>
      </c>
      <c r="N342" s="47">
        <v>46164.579548611109</v>
      </c>
      <c r="P342" s="47">
        <v>46164.579548611109</v>
      </c>
      <c r="Q342" s="45" t="s">
        <v>6435</v>
      </c>
      <c r="R342" s="45" t="s">
        <v>261</v>
      </c>
      <c r="S342" s="45" t="s">
        <v>175</v>
      </c>
      <c r="T342" s="45" t="s">
        <v>268</v>
      </c>
      <c r="U342" s="45" t="s">
        <v>5531</v>
      </c>
      <c r="X342" s="45" t="s">
        <v>5531</v>
      </c>
      <c r="Y342" s="45" t="s">
        <v>6426</v>
      </c>
      <c r="Z342" s="76" t="e">
        <f ca="1">IF(NOT(OR(G342=1,G342=2)),MAX(0,_xlfn.IFS(AND(K342&lt;&gt;"",#REF!&lt;&gt;""),((MAX(NETWORKDAYS(K342,#REF!,UKBankHolidays)-1,0))*(TIME(17,0,0)-TIME(8,0,0))+IF(NETWORKDAYS(#REF!,#REF!,UKBankHolidays)&gt;0,MEDIAN(TIME(8,0,0),MOD(#REF!,1),TIME(17,0,0)),TIME(8,0,0))-IF(NETWORKDAYS(K342,K342,UKBankHolidays)&gt;0,MEDIAN(TIME(8,0,0),MOD(K342,1),TIME(17,0,0)),TIME(8,0,0)))-IF(AND(O342&lt;&gt;"",N342&lt;&gt;""),((MAX(NETWORKDAYS(O342,N342,UKBankHolidays)-1,0))*(TIME(17,0,0)-TIME(8,0,0))+IF(NETWORKDAYS(N342,N342,UKBankHolidays)&gt;0,MEDIAN(TIME(8,0,0),MOD(N342,1),TIME(17,0,0)),TIME(8,0,0))-IF(NETWORKDAYS(O342,O342,UKBankHolidays)&gt;0,MEDIAN(TIME(8,0,0),MOD(O342,1),TIME(17,0,0)),TIME(8,0,0))),0),AND(K342&lt;&gt;"",#REF!=""),((MAX(NETWORKDAYS(K342,NOW(),UKBankHolidays)-1,0))*(TIME(17,0,0)-TIME(8,0,0))+IF(NETWORKDAYS(NOW(),NOW(),UKBankHolidays)&gt;0,MEDIAN(TIME(8,0,0),MOD(NOW(),1),TIME(17,0,0)),TIME(8,0,0))-IF(NETWORKDAYS(K342,K342,UKBankHolidays)&gt;0,MEDIAN(TIME(8,0,0),MOD(K342,1),TIME(17,0,0)),TIME(8,0,0))))),IF(#REF!="",NOW()-K342,#REF!-K342))</f>
        <v>#REF!</v>
      </c>
      <c r="AA342" s="75" t="e">
        <f t="shared" ca="1" si="48"/>
        <v>#REF!</v>
      </c>
      <c r="AB342" s="76" t="e">
        <f ca="1">IF(NOT(OR(G342=1,G342=2)),MAX(0,_xlfn.IFS(AND(K342&lt;&gt;"",#REF!&lt;&gt;""),(((MAX(NETWORKDAYS(L342,#REF!,UKBankHolidays)-1,0))*(TIME(17,0,0)-TIME(8,0,0)))+IF(NETWORKDAYS(#REF!,#REF!,UKBankHolidays)&gt;0,MEDIAN(TIME(8,0,0),MOD(#REF!,1),TIME(17,0,0)),TIME(8,0,0))-IF(NETWORKDAYS(L342,L342,UKBankHolidays)&gt;0,MEDIAN(TIME(8,0,0),MOD(L342,1),TIME(17,0,0)),TIME(8,0,0)))-IF(AND(O342&lt;&gt;"",N342&lt;&gt;""),(((MAX(NETWORKDAYS(O342,N342,UKBankHolidays)-1,0))*(TIME(17,0,0)-TIME(8,0,0)))+IF(NETWORKDAYS(N342,N342,UKBankHolidays)&gt;0,MEDIAN(TIME(8,0,0),MOD(N342,1),TIME(17,0,0)),TIME(8,0,0))-IF(NETWORKDAYS(O342,O342,UKBankHolidays)&gt;0,MEDIAN(TIME(8,0,0),MOD(O342,1),TIME(17,0,0)),TIME(8,0,0))),0),AND(L342&lt;&gt;"",#REF!="",O342=""),(((MAX(NETWORKDAYS(L342,NOW(),UKBankHolidays)-1,0))*(TIME(17,0,0)-TIME(8,0,0)))+IF(NETWORKDAYS(NOW(),NOW(),UKBankHolidays)&gt;0,MEDIAN(TIME(8,0,0),MOD(NOW(),1),TIME(17,0,0)),TIME(8,0,0))-IF(NETWORKDAYS(L342,L342,UKBankHolidays)&gt;0,MEDIAN(TIME(8,0,0),MOD(L342,1),TIME(17,0,0)),TIME(8,0,0)))-IF(AND(O342&lt;&gt;"",N342&lt;&gt;""),(((MAX(NETWORKDAYS(O342,N342,UKBankHolidays)-1,0))*(TIME(17,0,0)-TIME(8,0,0)))+IF(NETWORKDAYS(N342,N342,UKBankHolidays)&gt;0,MEDIAN(TIME(8,0,0),MOD(N342,1),TIME(17,0,0)),TIME(8,0,0))-IF(NETWORKDAYS(O342,O342,UKBankHolidays)&gt;0,MEDIAN(TIME(8,0,0),MOD(O342,1),TIME(17,0,0)),TIME(8,0,0))),0),AND(L342&lt;&gt;"",#REF!="",N342="",O342&lt;&gt;""),(((MAX(NETWORKDAYS(L342,O342,UKBankHolidays)-1,0))*(TIME(17,0,0)-TIME(8,0,0)))+IF(NETWORKDAYS(O342,O342,UKBankHolidays)&gt;0,MEDIAN(TIME(8,0,0),MOD(O342,1),TIME(17,0,0)),TIME(8,0,0))-IF(NETWORKDAYS(L342,L342,UKBankHolidays)&gt;0,MEDIAN(TIME(8,0,0),MOD(L342,1),TIME(17,0,0)),TIME(8,0,0))),ISBLANK(K342),"0")),IF(ISBLANK(#REF!),NOW()-L342,#REF!-L342))</f>
        <v>#REF!</v>
      </c>
      <c r="AC342" s="75" t="e">
        <f t="shared" ca="1" si="49"/>
        <v>#REF!</v>
      </c>
      <c r="AD342" s="76">
        <f t="shared" ca="1" si="55"/>
        <v>0</v>
      </c>
      <c r="AE342" s="76" t="e">
        <f t="shared" ca="1" si="50"/>
        <v>#REF!</v>
      </c>
      <c r="AF342" s="75" t="e">
        <f t="shared" ca="1" si="51"/>
        <v>#REF!</v>
      </c>
      <c r="AG342" s="75" t="e">
        <f t="shared" ca="1" si="52"/>
        <v>#REF!</v>
      </c>
      <c r="AH342" s="31" t="str" cm="1">
        <f t="array" aca="1" ref="AH342" ca="1">IF((AD342) &lt; (INDEX(ResponseSLA[#All],(MATCH((G342),ResponseSLA[Priority],0))+1,3)),"YES","No")</f>
        <v>YES</v>
      </c>
      <c r="AI342" s="31" t="e">
        <f ca="1">_xlfn.IFNA(IF(AE342 &lt; (INDEX(SLATable[Minimum SLA],MATCH(G342,SLATable[Priority],0))),"YES","NO"),"")</f>
        <v>#REF!</v>
      </c>
      <c r="AJ342" t="e">
        <f ca="1">_xlfn.IFNA(IF(AE342 &lt; (INDEX(SLATable[Maximum SLA],MATCH(G342,SLATable[Priority],0))),"YES","NO"),"")</f>
        <v>#REF!</v>
      </c>
    </row>
    <row r="343" spans="2:36" ht="15" customHeight="1">
      <c r="B343" s="45" t="s">
        <v>26</v>
      </c>
      <c r="C343" s="45" t="s">
        <v>44</v>
      </c>
      <c r="D343" s="45" t="s">
        <v>208</v>
      </c>
      <c r="E343" s="45" t="s">
        <v>6436</v>
      </c>
      <c r="F343" s="45" t="s">
        <v>312</v>
      </c>
      <c r="G343" s="45" t="s">
        <v>208</v>
      </c>
      <c r="H343" s="45" t="s">
        <v>6437</v>
      </c>
      <c r="I343" s="45" t="s">
        <v>271</v>
      </c>
      <c r="J343" s="45" t="s">
        <v>6221</v>
      </c>
      <c r="K343" s="47">
        <v>46162.406122685185</v>
      </c>
      <c r="L343" s="47">
        <v>46162.648784722223</v>
      </c>
      <c r="M343" s="47">
        <v>46162.648784722223</v>
      </c>
      <c r="N343" s="47">
        <v>46169.65179398148</v>
      </c>
      <c r="P343" s="47">
        <v>46169.65179398148</v>
      </c>
      <c r="Q343" s="45" t="s">
        <v>44</v>
      </c>
      <c r="R343" s="45" t="s">
        <v>261</v>
      </c>
      <c r="S343" s="45" t="s">
        <v>175</v>
      </c>
      <c r="T343" s="45" t="s">
        <v>268</v>
      </c>
      <c r="U343" s="45" t="s">
        <v>5531</v>
      </c>
      <c r="X343" s="45" t="s">
        <v>5531</v>
      </c>
      <c r="Y343" s="45" t="s">
        <v>6426</v>
      </c>
      <c r="Z343" s="76">
        <f t="shared" ca="1" si="53"/>
        <v>1.7456712962957681</v>
      </c>
      <c r="AA343" s="75">
        <f t="shared" ca="1" si="48"/>
        <v>4.655123456788715</v>
      </c>
      <c r="AB343" s="76">
        <f t="shared" ca="1" si="54"/>
        <v>1.5030092592569417</v>
      </c>
      <c r="AC343" s="75">
        <f t="shared" ca="1" si="49"/>
        <v>4.0080246913518449</v>
      </c>
      <c r="AD343" s="76">
        <f t="shared" ca="1" si="55"/>
        <v>0</v>
      </c>
      <c r="AE343" s="76">
        <f t="shared" ca="1" si="50"/>
        <v>1.5030092592569417</v>
      </c>
      <c r="AF343" s="75">
        <f t="shared" ca="1" si="51"/>
        <v>4.0080246913518449</v>
      </c>
      <c r="AG343" s="75">
        <f t="shared" ca="1" si="52"/>
        <v>4.0080246913518449</v>
      </c>
      <c r="AH343" s="31" t="str" cm="1">
        <f t="array" aca="1" ref="AH343" ca="1">IF((AD343) &lt; (INDEX(ResponseSLA[#All],(MATCH((G343),ResponseSLA[Priority],0))+1,3)),"YES","No")</f>
        <v>YES</v>
      </c>
      <c r="AI343" s="31" t="str">
        <f ca="1">_xlfn.IFNA(IF(AE343 &lt; (INDEX(SLATable[Minimum SLA],MATCH(G343,SLATable[Priority],0))),"YES","NO"),"")</f>
        <v>NO</v>
      </c>
      <c r="AJ343" t="str">
        <f ca="1">_xlfn.IFNA(IF(AE343 &lt; (INDEX(SLATable[Maximum SLA],MATCH(G343,SLATable[Priority],0))),"YES","NO"),"")</f>
        <v>NO</v>
      </c>
    </row>
    <row r="344" spans="2:36" ht="15" customHeight="1">
      <c r="B344" s="45" t="s">
        <v>26</v>
      </c>
      <c r="C344" s="45" t="s">
        <v>44</v>
      </c>
      <c r="D344" s="45" t="s">
        <v>208</v>
      </c>
      <c r="E344" s="45" t="s">
        <v>6438</v>
      </c>
      <c r="F344" s="45" t="s">
        <v>312</v>
      </c>
      <c r="G344" s="45" t="s">
        <v>208</v>
      </c>
      <c r="H344" s="45" t="s">
        <v>6439</v>
      </c>
      <c r="I344" s="45" t="s">
        <v>271</v>
      </c>
      <c r="J344" s="45" t="s">
        <v>6221</v>
      </c>
      <c r="K344" s="47">
        <v>46164.434374999997</v>
      </c>
      <c r="L344" s="47">
        <v>46164.567743055559</v>
      </c>
      <c r="M344" s="47">
        <v>46164.567743055559</v>
      </c>
      <c r="N344" s="47">
        <v>46177.301620370374</v>
      </c>
      <c r="P344" s="47">
        <v>46177.301620370374</v>
      </c>
      <c r="Q344" s="45" t="s">
        <v>6435</v>
      </c>
      <c r="R344" s="45" t="s">
        <v>261</v>
      </c>
      <c r="S344" s="45" t="s">
        <v>175</v>
      </c>
      <c r="T344" s="45" t="s">
        <v>268</v>
      </c>
      <c r="U344" s="45" t="s">
        <v>5531</v>
      </c>
      <c r="X344" s="45" t="s">
        <v>5531</v>
      </c>
      <c r="Y344" s="45" t="s">
        <v>6426</v>
      </c>
      <c r="Z344" s="76">
        <f t="shared" ca="1" si="53"/>
        <v>2.8989583333362443</v>
      </c>
      <c r="AA344" s="75">
        <f t="shared" ca="1" si="48"/>
        <v>7.7305555555633179</v>
      </c>
      <c r="AB344" s="76">
        <f t="shared" ca="1" si="54"/>
        <v>2.7655902777745123</v>
      </c>
      <c r="AC344" s="75">
        <f t="shared" ca="1" si="49"/>
        <v>7.3749074073986991</v>
      </c>
      <c r="AD344" s="76">
        <f t="shared" ca="1" si="55"/>
        <v>0</v>
      </c>
      <c r="AE344" s="76">
        <f t="shared" ca="1" si="50"/>
        <v>2.7655902777745123</v>
      </c>
      <c r="AF344" s="75">
        <f t="shared" ca="1" si="51"/>
        <v>7.3749074073986991</v>
      </c>
      <c r="AG344" s="75">
        <f t="shared" ca="1" si="52"/>
        <v>7.3749074073986991</v>
      </c>
      <c r="AH344" s="31" t="str" cm="1">
        <f t="array" aca="1" ref="AH344" ca="1">IF((AD344) &lt; (INDEX(ResponseSLA[#All],(MATCH((G344),ResponseSLA[Priority],0))+1,3)),"YES","No")</f>
        <v>YES</v>
      </c>
      <c r="AI344" s="31" t="str">
        <f ca="1">_xlfn.IFNA(IF(AE344 &lt; (INDEX(SLATable[Minimum SLA],MATCH(G344,SLATable[Priority],0))),"YES","NO"),"")</f>
        <v>NO</v>
      </c>
      <c r="AJ344" t="str">
        <f ca="1">_xlfn.IFNA(IF(AE344 &lt; (INDEX(SLATable[Maximum SLA],MATCH(G344,SLATable[Priority],0))),"YES","NO"),"")</f>
        <v>NO</v>
      </c>
    </row>
    <row r="345" spans="2:36" ht="15" customHeight="1">
      <c r="B345" s="45" t="s">
        <v>26</v>
      </c>
      <c r="C345" s="45" t="s">
        <v>44</v>
      </c>
      <c r="D345" s="45" t="s">
        <v>208</v>
      </c>
      <c r="E345" s="45" t="s">
        <v>6440</v>
      </c>
      <c r="F345" s="45" t="s">
        <v>312</v>
      </c>
      <c r="G345" s="45" t="s">
        <v>208</v>
      </c>
      <c r="H345" s="45" t="s">
        <v>6441</v>
      </c>
      <c r="I345" s="45" t="s">
        <v>271</v>
      </c>
      <c r="J345" s="45" t="s">
        <v>6221</v>
      </c>
      <c r="K345" s="47">
        <v>46164.568159722221</v>
      </c>
      <c r="L345" s="47">
        <v>46164.568159722221</v>
      </c>
      <c r="M345" s="47">
        <v>46177.301874999997</v>
      </c>
      <c r="N345" s="47">
        <v>46177.301874999997</v>
      </c>
      <c r="P345" s="47">
        <v>46177.301874999997</v>
      </c>
      <c r="Q345" s="45" t="s">
        <v>6442</v>
      </c>
      <c r="R345" s="45" t="s">
        <v>261</v>
      </c>
      <c r="S345" s="45" t="s">
        <v>175</v>
      </c>
      <c r="T345" s="45" t="s">
        <v>268</v>
      </c>
      <c r="U345" s="45" t="s">
        <v>5531</v>
      </c>
      <c r="X345" s="45" t="s">
        <v>5531</v>
      </c>
      <c r="Y345" s="45" t="s">
        <v>6426</v>
      </c>
      <c r="Z345" s="76">
        <f t="shared" ca="1" si="53"/>
        <v>2.7651736111123082</v>
      </c>
      <c r="AA345" s="75">
        <f t="shared" ca="1" si="48"/>
        <v>7.3737962962994885</v>
      </c>
      <c r="AB345" s="76">
        <f t="shared" ca="1" si="54"/>
        <v>2.7651736111123082</v>
      </c>
      <c r="AC345" s="75">
        <f t="shared" ca="1" si="49"/>
        <v>7.3737962962994885</v>
      </c>
      <c r="AD345" s="76">
        <f t="shared" ca="1" si="55"/>
        <v>2.7651736111123082</v>
      </c>
      <c r="AE345" s="76">
        <f t="shared" ca="1" si="50"/>
        <v>2.7651736111123082</v>
      </c>
      <c r="AF345" s="75">
        <f t="shared" ca="1" si="51"/>
        <v>7.3737962962994885</v>
      </c>
      <c r="AG345" s="75">
        <f t="shared" ca="1" si="52"/>
        <v>7.3737962962994885</v>
      </c>
      <c r="AH345" s="31" t="str" cm="1">
        <f t="array" aca="1" ref="AH345" ca="1">IF((AD345) &lt; (INDEX(ResponseSLA[#All],(MATCH((G345),ResponseSLA[Priority],0))+1,3)),"YES","No")</f>
        <v>No</v>
      </c>
      <c r="AI345" s="31" t="str">
        <f ca="1">_xlfn.IFNA(IF(AE345 &lt; (INDEX(SLATable[Minimum SLA],MATCH(G345,SLATable[Priority],0))),"YES","NO"),"")</f>
        <v>NO</v>
      </c>
      <c r="AJ345" t="str">
        <f ca="1">_xlfn.IFNA(IF(AE345 &lt; (INDEX(SLATable[Maximum SLA],MATCH(G345,SLATable[Priority],0))),"YES","NO"),"")</f>
        <v>NO</v>
      </c>
    </row>
    <row r="346" spans="2:36" ht="15" customHeight="1">
      <c r="B346" s="45" t="s">
        <v>26</v>
      </c>
      <c r="C346" s="45" t="s">
        <v>44</v>
      </c>
      <c r="D346" s="45" t="s">
        <v>208</v>
      </c>
      <c r="E346" s="45" t="s">
        <v>6443</v>
      </c>
      <c r="F346" s="45" t="s">
        <v>312</v>
      </c>
      <c r="G346" s="45" t="s">
        <v>208</v>
      </c>
      <c r="H346" s="45" t="s">
        <v>6444</v>
      </c>
      <c r="I346" s="45" t="s">
        <v>271</v>
      </c>
      <c r="J346" s="45" t="s">
        <v>6221</v>
      </c>
      <c r="K346" s="47">
        <v>46164.435648148145</v>
      </c>
      <c r="L346" s="47">
        <v>46164.567962962959</v>
      </c>
      <c r="M346" s="47">
        <v>46164.567962962959</v>
      </c>
      <c r="N346" s="47">
        <v>46177.302245370367</v>
      </c>
      <c r="P346" s="47">
        <v>46177.302245370367</v>
      </c>
      <c r="Q346" s="45" t="s">
        <v>6445</v>
      </c>
      <c r="R346" s="45" t="s">
        <v>261</v>
      </c>
      <c r="S346" s="45" t="s">
        <v>175</v>
      </c>
      <c r="T346" s="45" t="s">
        <v>268</v>
      </c>
      <c r="U346" s="45" t="s">
        <v>5531</v>
      </c>
      <c r="X346" s="45" t="s">
        <v>5531</v>
      </c>
      <c r="Y346" s="45" t="s">
        <v>6426</v>
      </c>
      <c r="Z346" s="76">
        <f t="shared" ca="1" si="53"/>
        <v>2.8976851851887968</v>
      </c>
      <c r="AA346" s="75">
        <f t="shared" ca="1" si="48"/>
        <v>7.7271604938367915</v>
      </c>
      <c r="AB346" s="76">
        <f t="shared" ca="1" si="54"/>
        <v>2.7653703703739065</v>
      </c>
      <c r="AC346" s="75">
        <f t="shared" ca="1" si="49"/>
        <v>7.3743209876637508</v>
      </c>
      <c r="AD346" s="76">
        <f t="shared" ca="1" si="55"/>
        <v>0</v>
      </c>
      <c r="AE346" s="76">
        <f t="shared" ca="1" si="50"/>
        <v>2.7653703703739065</v>
      </c>
      <c r="AF346" s="75">
        <f t="shared" ca="1" si="51"/>
        <v>7.3743209876637508</v>
      </c>
      <c r="AG346" s="75">
        <f t="shared" ca="1" si="52"/>
        <v>7.3743209876637508</v>
      </c>
      <c r="AH346" s="31" t="str" cm="1">
        <f t="array" aca="1" ref="AH346" ca="1">IF((AD346) &lt; (INDEX(ResponseSLA[#All],(MATCH((G346),ResponseSLA[Priority],0))+1,3)),"YES","No")</f>
        <v>YES</v>
      </c>
      <c r="AI346" s="31" t="str">
        <f ca="1">_xlfn.IFNA(IF(AE346 &lt; (INDEX(SLATable[Minimum SLA],MATCH(G346,SLATable[Priority],0))),"YES","NO"),"")</f>
        <v>NO</v>
      </c>
      <c r="AJ346" t="str">
        <f ca="1">_xlfn.IFNA(IF(AE346 &lt; (INDEX(SLATable[Maximum SLA],MATCH(G346,SLATable[Priority],0))),"YES","NO"),"")</f>
        <v>NO</v>
      </c>
    </row>
    <row r="347" spans="2:36" ht="15" customHeight="1">
      <c r="B347" s="45" t="s">
        <v>26</v>
      </c>
      <c r="C347" s="45" t="s">
        <v>44</v>
      </c>
      <c r="D347" s="45" t="s">
        <v>208</v>
      </c>
      <c r="E347" s="45" t="s">
        <v>6446</v>
      </c>
      <c r="F347" s="45" t="s">
        <v>312</v>
      </c>
      <c r="G347" s="45" t="s">
        <v>208</v>
      </c>
      <c r="H347" s="45" t="s">
        <v>6447</v>
      </c>
      <c r="I347" s="45" t="s">
        <v>271</v>
      </c>
      <c r="J347" s="45" t="s">
        <v>6221</v>
      </c>
      <c r="K347" s="47">
        <v>46164.432511574072</v>
      </c>
      <c r="L347" s="47">
        <v>46168.525613425925</v>
      </c>
      <c r="M347" s="47">
        <v>46168.525613425925</v>
      </c>
      <c r="N347" s="47">
        <v>46177.302534722221</v>
      </c>
      <c r="P347" s="47">
        <v>46177.302534722221</v>
      </c>
      <c r="Q347" s="45" t="s">
        <v>6448</v>
      </c>
      <c r="R347" s="45" t="s">
        <v>261</v>
      </c>
      <c r="S347" s="45" t="s">
        <v>175</v>
      </c>
      <c r="T347" s="45" t="s">
        <v>268</v>
      </c>
      <c r="U347" s="45" t="s">
        <v>5531</v>
      </c>
      <c r="X347" s="45" t="s">
        <v>5531</v>
      </c>
      <c r="Y347" s="45" t="s">
        <v>6426</v>
      </c>
      <c r="Z347" s="76">
        <f t="shared" ca="1" si="53"/>
        <v>2.9008217592612109</v>
      </c>
      <c r="AA347" s="75">
        <f t="shared" ca="1" si="48"/>
        <v>7.7355246913632287</v>
      </c>
      <c r="AB347" s="76">
        <f t="shared" ca="1" si="54"/>
        <v>2.4327199074080763</v>
      </c>
      <c r="AC347" s="75">
        <f t="shared" ca="1" si="49"/>
        <v>6.4872530864215365</v>
      </c>
      <c r="AD347" s="76">
        <f t="shared" ca="1" si="55"/>
        <v>0</v>
      </c>
      <c r="AE347" s="76">
        <f t="shared" ca="1" si="50"/>
        <v>2.4327199074080763</v>
      </c>
      <c r="AF347" s="75">
        <f t="shared" ca="1" si="51"/>
        <v>6.4872530864215365</v>
      </c>
      <c r="AG347" s="75">
        <f t="shared" ca="1" si="52"/>
        <v>6.4872530864215365</v>
      </c>
      <c r="AH347" s="31" t="str" cm="1">
        <f t="array" aca="1" ref="AH347" ca="1">IF((AD347) &lt; (INDEX(ResponseSLA[#All],(MATCH((G347),ResponseSLA[Priority],0))+1,3)),"YES","No")</f>
        <v>YES</v>
      </c>
      <c r="AI347" s="31" t="str">
        <f ca="1">_xlfn.IFNA(IF(AE347 &lt; (INDEX(SLATable[Minimum SLA],MATCH(G347,SLATable[Priority],0))),"YES","NO"),"")</f>
        <v>NO</v>
      </c>
      <c r="AJ347" t="str">
        <f ca="1">_xlfn.IFNA(IF(AE347 &lt; (INDEX(SLATable[Maximum SLA],MATCH(G347,SLATable[Priority],0))),"YES","NO"),"")</f>
        <v>NO</v>
      </c>
    </row>
    <row r="348" spans="2:36" ht="15" customHeight="1">
      <c r="B348" s="45" t="s">
        <v>26</v>
      </c>
      <c r="C348" s="45" t="s">
        <v>44</v>
      </c>
      <c r="D348" s="45" t="s">
        <v>208</v>
      </c>
      <c r="E348" s="45" t="s">
        <v>6449</v>
      </c>
      <c r="F348" s="45" t="s">
        <v>312</v>
      </c>
      <c r="G348" s="45" t="s">
        <v>208</v>
      </c>
      <c r="H348" s="45" t="s">
        <v>6450</v>
      </c>
      <c r="I348" s="45" t="s">
        <v>275</v>
      </c>
      <c r="J348" s="45" t="s">
        <v>6221</v>
      </c>
      <c r="K348" s="47">
        <v>46156.459513888891</v>
      </c>
      <c r="L348" s="47">
        <v>46178.271898148145</v>
      </c>
      <c r="M348" s="47">
        <v>46178.271898148145</v>
      </c>
      <c r="N348" s="47">
        <v>46184.680451388886</v>
      </c>
      <c r="P348" s="47">
        <v>46184.680451388886</v>
      </c>
      <c r="Q348" s="45" t="s">
        <v>44</v>
      </c>
      <c r="R348" s="45" t="s">
        <v>261</v>
      </c>
      <c r="S348" s="45" t="s">
        <v>175</v>
      </c>
      <c r="T348" s="45" t="s">
        <v>268</v>
      </c>
      <c r="U348" s="45" t="s">
        <v>5531</v>
      </c>
      <c r="X348" s="45" t="s">
        <v>5531</v>
      </c>
      <c r="Y348" s="45" t="s">
        <v>6451</v>
      </c>
      <c r="Z348" s="76" t="e">
        <f ca="1">IF(NOT(OR(G348=1,G348=2)),MAX(0,_xlfn.IFS(AND(K348&lt;&gt;"",P348&lt;&gt;""),((MAX(NETWORKDAYS(K348,P348,UKBankHolidays)-1,0))*(TIME(17,0,0)-TIME(8,0,0))+IF(NETWORKDAYS(P348,P348,UKBankHolidays)&gt;0,MEDIAN(TIME(8,0,0),MOD(P348,1),TIME(17,0,0)),TIME(8,0,0))-IF(NETWORKDAYS(K348,K348,UKBankHolidays)&gt;0,MEDIAN(TIME(8,0,0),MOD(K348,1),TIME(17,0,0)),TIME(8,0,0)))-IF(AND(O348&lt;&gt;"",#REF!&lt;&gt;""),((MAX(NETWORKDAYS(O348,#REF!,UKBankHolidays)-1,0))*(TIME(17,0,0)-TIME(8,0,0))+IF(NETWORKDAYS(#REF!,#REF!,UKBankHolidays)&gt;0,MEDIAN(TIME(8,0,0),MOD(#REF!,1),TIME(17,0,0)),TIME(8,0,0))-IF(NETWORKDAYS(O348,O348,UKBankHolidays)&gt;0,MEDIAN(TIME(8,0,0),MOD(O348,1),TIME(17,0,0)),TIME(8,0,0))),0),AND(K348&lt;&gt;"",P348=""),((MAX(NETWORKDAYS(K348,NOW(),UKBankHolidays)-1,0))*(TIME(17,0,0)-TIME(8,0,0))+IF(NETWORKDAYS(NOW(),NOW(),UKBankHolidays)&gt;0,MEDIAN(TIME(8,0,0),MOD(NOW(),1),TIME(17,0,0)),TIME(8,0,0))-IF(NETWORKDAYS(K348,K348,UKBankHolidays)&gt;0,MEDIAN(TIME(8,0,0),MOD(K348,1),TIME(17,0,0)),TIME(8,0,0))))),IF(P348="",NOW()-K348,P348-K348))</f>
        <v>#REF!</v>
      </c>
      <c r="AA348" s="75" t="e">
        <f t="shared" ca="1" si="48"/>
        <v>#REF!</v>
      </c>
      <c r="AB348" s="76" t="e">
        <f ca="1">IF(NOT(OR(G348=1,G348=2)),MAX(0,_xlfn.IFS(AND(K348&lt;&gt;"",P348&lt;&gt;""),(((MAX(NETWORKDAYS(L348,P348,UKBankHolidays)-1,0))*(TIME(17,0,0)-TIME(8,0,0)))+IF(NETWORKDAYS(P348,P348,UKBankHolidays)&gt;0,MEDIAN(TIME(8,0,0),MOD(P348,1),TIME(17,0,0)),TIME(8,0,0))-IF(NETWORKDAYS(L348,L348,UKBankHolidays)&gt;0,MEDIAN(TIME(8,0,0),MOD(L348,1),TIME(17,0,0)),TIME(8,0,0)))-IF(AND(O348&lt;&gt;"",#REF!&lt;&gt;""),(((MAX(NETWORKDAYS(O348,#REF!,UKBankHolidays)-1,0))*(TIME(17,0,0)-TIME(8,0,0)))+IF(NETWORKDAYS(#REF!,#REF!,UKBankHolidays)&gt;0,MEDIAN(TIME(8,0,0),MOD(#REF!,1),TIME(17,0,0)),TIME(8,0,0))-IF(NETWORKDAYS(O348,O348,UKBankHolidays)&gt;0,MEDIAN(TIME(8,0,0),MOD(O348,1),TIME(17,0,0)),TIME(8,0,0))),0),AND(L348&lt;&gt;"",P348="",O348=""),(((MAX(NETWORKDAYS(L348,NOW(),UKBankHolidays)-1,0))*(TIME(17,0,0)-TIME(8,0,0)))+IF(NETWORKDAYS(NOW(),NOW(),UKBankHolidays)&gt;0,MEDIAN(TIME(8,0,0),MOD(NOW(),1),TIME(17,0,0)),TIME(8,0,0))-IF(NETWORKDAYS(L348,L348,UKBankHolidays)&gt;0,MEDIAN(TIME(8,0,0),MOD(L348,1),TIME(17,0,0)),TIME(8,0,0)))-IF(AND(O348&lt;&gt;"",#REF!&lt;&gt;""),(((MAX(NETWORKDAYS(O348,#REF!,UKBankHolidays)-1,0))*(TIME(17,0,0)-TIME(8,0,0)))+IF(NETWORKDAYS(#REF!,#REF!,UKBankHolidays)&gt;0,MEDIAN(TIME(8,0,0),MOD(#REF!,1),TIME(17,0,0)),TIME(8,0,0))-IF(NETWORKDAYS(O348,O348,UKBankHolidays)&gt;0,MEDIAN(TIME(8,0,0),MOD(O348,1),TIME(17,0,0)),TIME(8,0,0))),0),AND(L348&lt;&gt;"",P348="",#REF!="",O348&lt;&gt;""),(((MAX(NETWORKDAYS(L348,O348,UKBankHolidays)-1,0))*(TIME(17,0,0)-TIME(8,0,0)))+IF(NETWORKDAYS(O348,O348,UKBankHolidays)&gt;0,MEDIAN(TIME(8,0,0),MOD(O348,1),TIME(17,0,0)),TIME(8,0,0))-IF(NETWORKDAYS(L348,L348,UKBankHolidays)&gt;0,MEDIAN(TIME(8,0,0),MOD(L348,1),TIME(17,0,0)),TIME(8,0,0))),ISBLANK(K348),"0")),IF(ISBLANK(P348),NOW()-L348,P348-L348))</f>
        <v>#REF!</v>
      </c>
      <c r="AC348" s="75" t="e">
        <f t="shared" ca="1" si="49"/>
        <v>#REF!</v>
      </c>
      <c r="AD348" s="76">
        <f t="shared" ca="1" si="55"/>
        <v>0</v>
      </c>
      <c r="AE348" s="76" t="e">
        <f t="shared" ca="1" si="50"/>
        <v>#REF!</v>
      </c>
      <c r="AF348" s="75" t="e">
        <f t="shared" ca="1" si="51"/>
        <v>#REF!</v>
      </c>
      <c r="AG348" s="75" t="e">
        <f t="shared" ca="1" si="52"/>
        <v>#REF!</v>
      </c>
      <c r="AH348" s="31" t="str" cm="1">
        <f t="array" aca="1" ref="AH348" ca="1">IF((AD348) &lt; (INDEX(ResponseSLA[#All],(MATCH((G348),ResponseSLA[Priority],0))+1,3)),"YES","No")</f>
        <v>YES</v>
      </c>
      <c r="AI348" s="31" t="e">
        <f ca="1">_xlfn.IFNA(IF(AE348 &lt; (INDEX(SLATable[Minimum SLA],MATCH(G348,SLATable[Priority],0))),"YES","NO"),"")</f>
        <v>#REF!</v>
      </c>
      <c r="AJ348" t="e">
        <f ca="1">_xlfn.IFNA(IF(AE348 &lt; (INDEX(SLATable[Maximum SLA],MATCH(G348,SLATable[Priority],0))),"YES","NO"),"")</f>
        <v>#REF!</v>
      </c>
    </row>
    <row r="349" spans="2:36" ht="15" customHeight="1">
      <c r="B349" s="45" t="s">
        <v>26</v>
      </c>
      <c r="C349" s="45" t="s">
        <v>44</v>
      </c>
      <c r="D349" s="45" t="s">
        <v>208</v>
      </c>
      <c r="E349" s="45" t="s">
        <v>6452</v>
      </c>
      <c r="F349" s="45" t="s">
        <v>312</v>
      </c>
      <c r="G349" s="45" t="s">
        <v>208</v>
      </c>
      <c r="H349" s="45" t="s">
        <v>6453</v>
      </c>
      <c r="I349" s="45" t="s">
        <v>275</v>
      </c>
      <c r="J349" s="45" t="s">
        <v>6221</v>
      </c>
      <c r="K349" s="47">
        <v>46169.379988425928</v>
      </c>
      <c r="L349" s="47">
        <v>46171.637499999997</v>
      </c>
      <c r="M349" s="47">
        <v>46171.637499999997</v>
      </c>
      <c r="N349" s="47">
        <v>46177.315833333334</v>
      </c>
      <c r="P349" s="47">
        <v>46177.315833333334</v>
      </c>
      <c r="Q349" s="45" t="s">
        <v>44</v>
      </c>
      <c r="R349" s="45" t="s">
        <v>261</v>
      </c>
      <c r="S349" s="45" t="s">
        <v>175</v>
      </c>
      <c r="T349" s="45" t="s">
        <v>268</v>
      </c>
      <c r="U349" s="45" t="s">
        <v>5531</v>
      </c>
      <c r="X349" s="45" t="s">
        <v>5531</v>
      </c>
      <c r="Y349" s="45" t="s">
        <v>6451</v>
      </c>
      <c r="Z349" s="76" t="e">
        <f ca="1">IF(NOT(OR(G349=1,G349=2)),MAX(0,_xlfn.IFS(AND(K349&lt;&gt;"",#REF!&lt;&gt;""),((MAX(NETWORKDAYS(K349,#REF!,UKBankHolidays)-1,0))*(TIME(17,0,0)-TIME(8,0,0))+IF(NETWORKDAYS(#REF!,#REF!,UKBankHolidays)&gt;0,MEDIAN(TIME(8,0,0),MOD(#REF!,1),TIME(17,0,0)),TIME(8,0,0))-IF(NETWORKDAYS(K349,K349,UKBankHolidays)&gt;0,MEDIAN(TIME(8,0,0),MOD(K349,1),TIME(17,0,0)),TIME(8,0,0)))-IF(AND(O349&lt;&gt;"",N349&lt;&gt;""),((MAX(NETWORKDAYS(O349,N349,UKBankHolidays)-1,0))*(TIME(17,0,0)-TIME(8,0,0))+IF(NETWORKDAYS(N349,N349,UKBankHolidays)&gt;0,MEDIAN(TIME(8,0,0),MOD(N349,1),TIME(17,0,0)),TIME(8,0,0))-IF(NETWORKDAYS(O349,O349,UKBankHolidays)&gt;0,MEDIAN(TIME(8,0,0),MOD(O349,1),TIME(17,0,0)),TIME(8,0,0))),0),AND(K349&lt;&gt;"",#REF!=""),((MAX(NETWORKDAYS(K349,NOW(),UKBankHolidays)-1,0))*(TIME(17,0,0)-TIME(8,0,0))+IF(NETWORKDAYS(NOW(),NOW(),UKBankHolidays)&gt;0,MEDIAN(TIME(8,0,0),MOD(NOW(),1),TIME(17,0,0)),TIME(8,0,0))-IF(NETWORKDAYS(K349,K349,UKBankHolidays)&gt;0,MEDIAN(TIME(8,0,0),MOD(K349,1),TIME(17,0,0)),TIME(8,0,0))))),IF(#REF!="",NOW()-K349,#REF!-K349))</f>
        <v>#REF!</v>
      </c>
      <c r="AA349" s="75" t="e">
        <f t="shared" ca="1" si="48"/>
        <v>#REF!</v>
      </c>
      <c r="AB349" s="76" t="e">
        <f ca="1">IF(NOT(OR(G349=1,G349=2)),MAX(0,_xlfn.IFS(AND(K349&lt;&gt;"",#REF!&lt;&gt;""),(((MAX(NETWORKDAYS(L349,#REF!,UKBankHolidays)-1,0))*(TIME(17,0,0)-TIME(8,0,0)))+IF(NETWORKDAYS(#REF!,#REF!,UKBankHolidays)&gt;0,MEDIAN(TIME(8,0,0),MOD(#REF!,1),TIME(17,0,0)),TIME(8,0,0))-IF(NETWORKDAYS(L349,L349,UKBankHolidays)&gt;0,MEDIAN(TIME(8,0,0),MOD(L349,1),TIME(17,0,0)),TIME(8,0,0)))-IF(AND(O349&lt;&gt;"",N349&lt;&gt;""),(((MAX(NETWORKDAYS(O349,N349,UKBankHolidays)-1,0))*(TIME(17,0,0)-TIME(8,0,0)))+IF(NETWORKDAYS(N349,N349,UKBankHolidays)&gt;0,MEDIAN(TIME(8,0,0),MOD(N349,1),TIME(17,0,0)),TIME(8,0,0))-IF(NETWORKDAYS(O349,O349,UKBankHolidays)&gt;0,MEDIAN(TIME(8,0,0),MOD(O349,1),TIME(17,0,0)),TIME(8,0,0))),0),AND(L349&lt;&gt;"",#REF!="",O349=""),(((MAX(NETWORKDAYS(L349,NOW(),UKBankHolidays)-1,0))*(TIME(17,0,0)-TIME(8,0,0)))+IF(NETWORKDAYS(NOW(),NOW(),UKBankHolidays)&gt;0,MEDIAN(TIME(8,0,0),MOD(NOW(),1),TIME(17,0,0)),TIME(8,0,0))-IF(NETWORKDAYS(L349,L349,UKBankHolidays)&gt;0,MEDIAN(TIME(8,0,0),MOD(L349,1),TIME(17,0,0)),TIME(8,0,0)))-IF(AND(O349&lt;&gt;"",N349&lt;&gt;""),(((MAX(NETWORKDAYS(O349,N349,UKBankHolidays)-1,0))*(TIME(17,0,0)-TIME(8,0,0)))+IF(NETWORKDAYS(N349,N349,UKBankHolidays)&gt;0,MEDIAN(TIME(8,0,0),MOD(N349,1),TIME(17,0,0)),TIME(8,0,0))-IF(NETWORKDAYS(O349,O349,UKBankHolidays)&gt;0,MEDIAN(TIME(8,0,0),MOD(O349,1),TIME(17,0,0)),TIME(8,0,0))),0),AND(L349&lt;&gt;"",#REF!="",N349="",O349&lt;&gt;""),(((MAX(NETWORKDAYS(L349,O349,UKBankHolidays)-1,0))*(TIME(17,0,0)-TIME(8,0,0)))+IF(NETWORKDAYS(O349,O349,UKBankHolidays)&gt;0,MEDIAN(TIME(8,0,0),MOD(O349,1),TIME(17,0,0)),TIME(8,0,0))-IF(NETWORKDAYS(L349,L349,UKBankHolidays)&gt;0,MEDIAN(TIME(8,0,0),MOD(L349,1),TIME(17,0,0)),TIME(8,0,0))),ISBLANK(K349),"0")),IF(ISBLANK(#REF!),NOW()-L349,#REF!-L349))</f>
        <v>#REF!</v>
      </c>
      <c r="AC349" s="75" t="e">
        <f t="shared" ca="1" si="49"/>
        <v>#REF!</v>
      </c>
      <c r="AD349" s="76">
        <f t="shared" ca="1" si="55"/>
        <v>0</v>
      </c>
      <c r="AE349" s="76" t="e">
        <f t="shared" ca="1" si="50"/>
        <v>#REF!</v>
      </c>
      <c r="AF349" s="75" t="e">
        <f t="shared" ca="1" si="51"/>
        <v>#REF!</v>
      </c>
      <c r="AG349" s="75" t="e">
        <f t="shared" ca="1" si="52"/>
        <v>#REF!</v>
      </c>
      <c r="AH349" s="31" t="str" cm="1">
        <f t="array" aca="1" ref="AH349" ca="1">IF((AD349) &lt; (INDEX(ResponseSLA[#All],(MATCH((G349),ResponseSLA[Priority],0))+1,3)),"YES","No")</f>
        <v>YES</v>
      </c>
      <c r="AI349" s="31" t="e">
        <f ca="1">_xlfn.IFNA(IF(AE349 &lt; (INDEX(SLATable[Minimum SLA],MATCH(G349,SLATable[Priority],0))),"YES","NO"),"")</f>
        <v>#REF!</v>
      </c>
      <c r="AJ349" t="e">
        <f ca="1">_xlfn.IFNA(IF(AE349 &lt; (INDEX(SLATable[Maximum SLA],MATCH(G349,SLATable[Priority],0))),"YES","NO"),"")</f>
        <v>#REF!</v>
      </c>
    </row>
    <row r="350" spans="2:36" ht="15" customHeight="1">
      <c r="B350" s="45" t="s">
        <v>26</v>
      </c>
      <c r="C350" s="45" t="s">
        <v>44</v>
      </c>
      <c r="D350" s="45" t="s">
        <v>207</v>
      </c>
      <c r="E350" s="45" t="s">
        <v>6454</v>
      </c>
      <c r="F350" s="45" t="s">
        <v>312</v>
      </c>
      <c r="G350" s="45">
        <v>3</v>
      </c>
      <c r="H350" s="45" t="s">
        <v>6455</v>
      </c>
      <c r="I350" s="45" t="s">
        <v>275</v>
      </c>
      <c r="J350" s="45" t="s">
        <v>5655</v>
      </c>
      <c r="K350" s="47">
        <v>46196.407650462963</v>
      </c>
      <c r="L350" s="47">
        <v>46202.301446759258</v>
      </c>
      <c r="M350" s="47">
        <v>46202.301446759258</v>
      </c>
      <c r="N350" s="47">
        <v>46202.522893518515</v>
      </c>
      <c r="P350" s="47">
        <v>46202.522893518515</v>
      </c>
      <c r="Q350" s="45" t="s">
        <v>6456</v>
      </c>
      <c r="R350" s="45" t="s">
        <v>261</v>
      </c>
      <c r="S350" s="45" t="s">
        <v>175</v>
      </c>
      <c r="T350" s="45" t="s">
        <v>268</v>
      </c>
      <c r="U350" s="45" t="s">
        <v>5531</v>
      </c>
      <c r="X350" s="45" t="s">
        <v>5531</v>
      </c>
      <c r="Y350" s="45" t="s">
        <v>6457</v>
      </c>
      <c r="Z350" s="76">
        <f t="shared" ca="1" si="53"/>
        <v>1.6152430555521278</v>
      </c>
      <c r="AA350" s="75">
        <f t="shared" ca="1" si="48"/>
        <v>4.3073148148056744</v>
      </c>
      <c r="AB350" s="76">
        <f t="shared" ca="1" si="54"/>
        <v>0.1895601851817143</v>
      </c>
      <c r="AC350" s="75">
        <f t="shared" ca="1" si="49"/>
        <v>0.50549382715123814</v>
      </c>
      <c r="AD350" s="76">
        <f t="shared" ca="1" si="55"/>
        <v>0</v>
      </c>
      <c r="AE350" s="76">
        <f t="shared" ca="1" si="50"/>
        <v>0.1895601851817143</v>
      </c>
      <c r="AF350" s="75">
        <f t="shared" ca="1" si="51"/>
        <v>0.50549382715123814</v>
      </c>
      <c r="AG350" s="75">
        <f t="shared" ca="1" si="52"/>
        <v>0.50549382715123814</v>
      </c>
      <c r="AH350" s="31" t="str" cm="1">
        <f t="array" aca="1" ref="AH350" ca="1">IF((AD350) &lt; (INDEX(ResponseSLA[#All],(MATCH((G350),ResponseSLA[Priority],0))+1,3)),"YES","No")</f>
        <v>YES</v>
      </c>
      <c r="AI350" s="31" t="str">
        <f ca="1">_xlfn.IFNA(IF(AE350 &lt; (INDEX(SLATable[Minimum SLA],MATCH(G350,SLATable[Priority],0))),"YES","NO"),"")</f>
        <v>YES</v>
      </c>
      <c r="AJ350" t="str">
        <f ca="1">_xlfn.IFNA(IF(AE350 &lt; (INDEX(SLATable[Maximum SLA],MATCH(G350,SLATable[Priority],0))),"YES","NO"),"")</f>
        <v>YES</v>
      </c>
    </row>
    <row r="351" spans="2:36" ht="15" customHeight="1">
      <c r="B351" s="45" t="s">
        <v>26</v>
      </c>
      <c r="C351" s="45" t="s">
        <v>44</v>
      </c>
      <c r="D351" s="45" t="s">
        <v>207</v>
      </c>
      <c r="E351" s="45" t="s">
        <v>3467</v>
      </c>
      <c r="F351" s="45" t="s">
        <v>312</v>
      </c>
      <c r="G351" s="45">
        <v>3</v>
      </c>
      <c r="H351" s="45" t="s">
        <v>6458</v>
      </c>
      <c r="I351" s="45" t="s">
        <v>275</v>
      </c>
      <c r="J351" s="45" t="s">
        <v>5655</v>
      </c>
      <c r="K351" s="47">
        <v>46183.177442129629</v>
      </c>
      <c r="L351" s="47">
        <v>46190.629849537036</v>
      </c>
      <c r="M351" s="47">
        <v>46190.629849537036</v>
      </c>
      <c r="N351" s="47">
        <v>46192.307893518519</v>
      </c>
      <c r="P351" s="47">
        <v>46192.307893518519</v>
      </c>
      <c r="Q351" s="45" t="s">
        <v>5672</v>
      </c>
      <c r="R351" s="45" t="s">
        <v>272</v>
      </c>
      <c r="S351" s="45" t="s">
        <v>175</v>
      </c>
      <c r="T351" s="45" t="s">
        <v>268</v>
      </c>
      <c r="U351" s="45" t="s">
        <v>5531</v>
      </c>
      <c r="X351" s="45" t="s">
        <v>5531</v>
      </c>
      <c r="Y351" s="45" t="s">
        <v>6459</v>
      </c>
      <c r="Z351" s="76">
        <f t="shared" ca="1" si="53"/>
        <v>2.6250000000000004</v>
      </c>
      <c r="AA351" s="75">
        <f t="shared" ca="1" si="48"/>
        <v>7.0000000000000018</v>
      </c>
      <c r="AB351" s="76">
        <f t="shared" ca="1" si="54"/>
        <v>0.45348379629770852</v>
      </c>
      <c r="AC351" s="75">
        <f t="shared" ca="1" si="49"/>
        <v>1.209290123460556</v>
      </c>
      <c r="AD351" s="76">
        <f t="shared" ca="1" si="55"/>
        <v>0</v>
      </c>
      <c r="AE351" s="76">
        <f t="shared" ca="1" si="50"/>
        <v>0.45348379629770852</v>
      </c>
      <c r="AF351" s="75">
        <f t="shared" ca="1" si="51"/>
        <v>1.209290123460556</v>
      </c>
      <c r="AG351" s="75">
        <f t="shared" ca="1" si="52"/>
        <v>1.209290123460556</v>
      </c>
      <c r="AH351" s="31" t="str" cm="1">
        <f t="array" aca="1" ref="AH351" ca="1">IF((AD351) &lt; (INDEX(ResponseSLA[#All],(MATCH((G351),ResponseSLA[Priority],0))+1,3)),"YES","No")</f>
        <v>YES</v>
      </c>
      <c r="AI351" s="31" t="str">
        <f ca="1">_xlfn.IFNA(IF(AE351 &lt; (INDEX(SLATable[Minimum SLA],MATCH(G351,SLATable[Priority],0))),"YES","NO"),"")</f>
        <v>NO</v>
      </c>
      <c r="AJ351" t="str">
        <f ca="1">_xlfn.IFNA(IF(AE351 &lt; (INDEX(SLATable[Maximum SLA],MATCH(G351,SLATable[Priority],0))),"YES","NO"),"")</f>
        <v>YES</v>
      </c>
    </row>
    <row r="352" spans="2:36" ht="15" customHeight="1">
      <c r="B352" s="45" t="s">
        <v>26</v>
      </c>
      <c r="C352" s="45" t="s">
        <v>44</v>
      </c>
      <c r="D352" s="45" t="s">
        <v>207</v>
      </c>
      <c r="E352" s="45" t="s">
        <v>6460</v>
      </c>
      <c r="F352" s="45" t="s">
        <v>312</v>
      </c>
      <c r="G352" s="45">
        <v>3</v>
      </c>
      <c r="H352" s="45" t="s">
        <v>6461</v>
      </c>
      <c r="I352" s="45" t="s">
        <v>275</v>
      </c>
      <c r="J352" s="45" t="s">
        <v>5655</v>
      </c>
      <c r="K352" s="47">
        <v>46191.048113425924</v>
      </c>
      <c r="L352" s="47">
        <v>46192.303680555553</v>
      </c>
      <c r="M352" s="47">
        <v>46192.303680555553</v>
      </c>
      <c r="N352" s="47">
        <v>46192.310497685183</v>
      </c>
      <c r="P352" s="47">
        <v>46192.310497685183</v>
      </c>
      <c r="Q352" s="45" t="s">
        <v>5672</v>
      </c>
      <c r="R352" s="45" t="s">
        <v>272</v>
      </c>
      <c r="S352" s="45" t="s">
        <v>175</v>
      </c>
      <c r="T352" s="45" t="s">
        <v>268</v>
      </c>
      <c r="U352" s="45" t="s">
        <v>5531</v>
      </c>
      <c r="X352" s="45" t="s">
        <v>5531</v>
      </c>
      <c r="Y352" s="45" t="s">
        <v>6462</v>
      </c>
      <c r="Z352" s="76">
        <f t="shared" ca="1" si="53"/>
        <v>0.37500000000000006</v>
      </c>
      <c r="AA352" s="75">
        <f t="shared" ca="1" si="48"/>
        <v>1.0000000000000002</v>
      </c>
      <c r="AB352" s="76">
        <f t="shared" ca="1" si="54"/>
        <v>0</v>
      </c>
      <c r="AC352" s="75">
        <f t="shared" ca="1" si="49"/>
        <v>0</v>
      </c>
      <c r="AD352" s="76">
        <f t="shared" ca="1" si="55"/>
        <v>0</v>
      </c>
      <c r="AE352" s="76">
        <f t="shared" ca="1" si="50"/>
        <v>0</v>
      </c>
      <c r="AF352" s="75">
        <f t="shared" ca="1" si="51"/>
        <v>0</v>
      </c>
      <c r="AG352" s="75">
        <f t="shared" ca="1" si="52"/>
        <v>0</v>
      </c>
      <c r="AH352" s="31" t="str" cm="1">
        <f t="array" aca="1" ref="AH352" ca="1">IF((AD352) &lt; (INDEX(ResponseSLA[#All],(MATCH((G352),ResponseSLA[Priority],0))+1,3)),"YES","No")</f>
        <v>YES</v>
      </c>
      <c r="AI352" s="31" t="str">
        <f ca="1">_xlfn.IFNA(IF(AE352 &lt; (INDEX(SLATable[Minimum SLA],MATCH(G352,SLATable[Priority],0))),"YES","NO"),"")</f>
        <v>YES</v>
      </c>
      <c r="AJ352" t="str">
        <f ca="1">_xlfn.IFNA(IF(AE352 &lt; (INDEX(SLATable[Maximum SLA],MATCH(G352,SLATable[Priority],0))),"YES","NO"),"")</f>
        <v>YES</v>
      </c>
    </row>
    <row r="353" spans="2:36" ht="15" customHeight="1">
      <c r="B353" s="45" t="s">
        <v>26</v>
      </c>
      <c r="C353" s="45" t="s">
        <v>44</v>
      </c>
      <c r="D353" s="45" t="s">
        <v>207</v>
      </c>
      <c r="E353" s="45" t="s">
        <v>6463</v>
      </c>
      <c r="F353" s="45" t="s">
        <v>312</v>
      </c>
      <c r="G353" s="45">
        <v>3</v>
      </c>
      <c r="H353" s="45" t="s">
        <v>6464</v>
      </c>
      <c r="I353" s="45" t="s">
        <v>275</v>
      </c>
      <c r="J353" s="45" t="s">
        <v>5655</v>
      </c>
      <c r="K353" s="47">
        <v>46191.893437500003</v>
      </c>
      <c r="L353" s="47">
        <v>46197.470590277779</v>
      </c>
      <c r="M353" s="47">
        <v>46197.470590277779</v>
      </c>
      <c r="N353" s="47">
        <v>46198.358715277776</v>
      </c>
      <c r="P353" s="47">
        <v>46198.358715277776</v>
      </c>
      <c r="Q353" s="45" t="s">
        <v>5672</v>
      </c>
      <c r="R353" s="45" t="s">
        <v>272</v>
      </c>
      <c r="S353" s="45" t="s">
        <v>175</v>
      </c>
      <c r="T353" s="45" t="s">
        <v>268</v>
      </c>
      <c r="U353" s="45" t="s">
        <v>5531</v>
      </c>
      <c r="X353" s="45" t="s">
        <v>5531</v>
      </c>
      <c r="Y353" s="45" t="s">
        <v>6465</v>
      </c>
      <c r="Z353" s="76">
        <f t="shared" ca="1" si="53"/>
        <v>1.5253819444430214</v>
      </c>
      <c r="AA353" s="75">
        <f t="shared" ca="1" si="48"/>
        <v>4.0676851851813911</v>
      </c>
      <c r="AB353" s="76">
        <f t="shared" ca="1" si="54"/>
        <v>0.26312499999767169</v>
      </c>
      <c r="AC353" s="75">
        <f t="shared" ca="1" si="49"/>
        <v>0.70166666666045785</v>
      </c>
      <c r="AD353" s="76">
        <f t="shared" ca="1" si="55"/>
        <v>0</v>
      </c>
      <c r="AE353" s="76">
        <f t="shared" ca="1" si="50"/>
        <v>0.26312499999767169</v>
      </c>
      <c r="AF353" s="75">
        <f t="shared" ca="1" si="51"/>
        <v>0.70166666666045785</v>
      </c>
      <c r="AG353" s="75">
        <f t="shared" ca="1" si="52"/>
        <v>0.70166666666045785</v>
      </c>
      <c r="AH353" s="31" t="str" cm="1">
        <f t="array" aca="1" ref="AH353" ca="1">IF((AD353) &lt; (INDEX(ResponseSLA[#All],(MATCH((G353),ResponseSLA[Priority],0))+1,3)),"YES","No")</f>
        <v>YES</v>
      </c>
      <c r="AI353" s="31" t="str">
        <f ca="1">_xlfn.IFNA(IF(AE353 &lt; (INDEX(SLATable[Minimum SLA],MATCH(G353,SLATable[Priority],0))),"YES","NO"),"")</f>
        <v>YES</v>
      </c>
      <c r="AJ353" t="str">
        <f ca="1">_xlfn.IFNA(IF(AE353 &lt; (INDEX(SLATable[Maximum SLA],MATCH(G353,SLATable[Priority],0))),"YES","NO"),"")</f>
        <v>YES</v>
      </c>
    </row>
    <row r="354" spans="2:36" ht="15" customHeight="1">
      <c r="B354" s="45" t="s">
        <v>26</v>
      </c>
      <c r="C354" s="45" t="s">
        <v>44</v>
      </c>
      <c r="D354" s="45" t="s">
        <v>208</v>
      </c>
      <c r="E354" s="45" t="s">
        <v>3596</v>
      </c>
      <c r="F354" s="45" t="s">
        <v>312</v>
      </c>
      <c r="G354" s="45" t="s">
        <v>208</v>
      </c>
      <c r="H354" s="45" t="s">
        <v>3597</v>
      </c>
      <c r="I354" s="45" t="s">
        <v>275</v>
      </c>
      <c r="J354" s="45" t="s">
        <v>5655</v>
      </c>
      <c r="K354" s="47">
        <v>46178.526921296296</v>
      </c>
      <c r="L354" s="47">
        <v>46195.288807870369</v>
      </c>
      <c r="M354" s="47">
        <v>46195.288807870369</v>
      </c>
      <c r="N354" s="47">
        <v>46195.293749999997</v>
      </c>
      <c r="P354" s="47">
        <v>46195.293749999997</v>
      </c>
      <c r="Q354" s="45" t="s">
        <v>6466</v>
      </c>
      <c r="R354" s="45" t="s">
        <v>272</v>
      </c>
      <c r="S354" s="45" t="s">
        <v>175</v>
      </c>
      <c r="T354" s="45" t="s">
        <v>268</v>
      </c>
      <c r="U354" s="45" t="s">
        <v>5531</v>
      </c>
      <c r="X354" s="45" t="s">
        <v>5531</v>
      </c>
      <c r="Y354" s="199" t="s">
        <v>6467</v>
      </c>
      <c r="Z354" s="76">
        <f t="shared" ca="1" si="53"/>
        <v>3.9314120370375658</v>
      </c>
      <c r="AA354" s="75">
        <f t="shared" ca="1" si="48"/>
        <v>10.483765432100176</v>
      </c>
      <c r="AB354" s="76">
        <f t="shared" ca="1" si="54"/>
        <v>0</v>
      </c>
      <c r="AC354" s="75">
        <f t="shared" ca="1" si="49"/>
        <v>0</v>
      </c>
      <c r="AD354" s="76">
        <f t="shared" ca="1" si="55"/>
        <v>0</v>
      </c>
      <c r="AE354" s="76">
        <f t="shared" ca="1" si="50"/>
        <v>0</v>
      </c>
      <c r="AF354" s="75">
        <f t="shared" ca="1" si="51"/>
        <v>0</v>
      </c>
      <c r="AG354" s="75">
        <f t="shared" ca="1" si="52"/>
        <v>0</v>
      </c>
      <c r="AH354" s="31" t="str" cm="1">
        <f t="array" aca="1" ref="AH354" ca="1">IF((AD354) &lt; (INDEX(ResponseSLA[#All],(MATCH((G354),ResponseSLA[Priority],0))+1,3)),"YES","No")</f>
        <v>YES</v>
      </c>
      <c r="AI354" s="31" t="str">
        <f ca="1">_xlfn.IFNA(IF(AE354 &lt; (INDEX(SLATable[Minimum SLA],MATCH(G354,SLATable[Priority],0))),"YES","NO"),"")</f>
        <v>YES</v>
      </c>
      <c r="AJ354" t="str">
        <f ca="1">_xlfn.IFNA(IF(AE354 &lt; (INDEX(SLATable[Maximum SLA],MATCH(G354,SLATable[Priority],0))),"YES","NO"),"")</f>
        <v>YES</v>
      </c>
    </row>
    <row r="355" spans="2:36" ht="15" customHeight="1">
      <c r="B355" s="45" t="s">
        <v>26</v>
      </c>
      <c r="C355" s="45" t="s">
        <v>44</v>
      </c>
      <c r="D355" s="45" t="s">
        <v>207</v>
      </c>
      <c r="E355" s="45" t="s">
        <v>6468</v>
      </c>
      <c r="F355" s="45" t="s">
        <v>312</v>
      </c>
      <c r="G355" s="45">
        <v>4</v>
      </c>
      <c r="H355" s="45" t="s">
        <v>6469</v>
      </c>
      <c r="I355" s="45" t="s">
        <v>275</v>
      </c>
      <c r="J355" s="45" t="s">
        <v>5655</v>
      </c>
      <c r="K355" s="47">
        <v>46172.616620370369</v>
      </c>
      <c r="L355" s="47">
        <v>46174.320601851854</v>
      </c>
      <c r="M355" s="47">
        <v>46174.320601851854</v>
      </c>
      <c r="N355" s="47">
        <v>46174.336701388886</v>
      </c>
      <c r="P355" s="147">
        <v>46174.336701388886</v>
      </c>
      <c r="Q355" s="45" t="s">
        <v>5672</v>
      </c>
      <c r="R355" s="45" t="s">
        <v>272</v>
      </c>
      <c r="S355" s="45" t="s">
        <v>175</v>
      </c>
      <c r="T355" s="45" t="s">
        <v>268</v>
      </c>
      <c r="U355" s="45" t="s">
        <v>428</v>
      </c>
      <c r="X355" s="45" t="s">
        <v>5531</v>
      </c>
      <c r="Y355" s="45" t="s">
        <v>5660</v>
      </c>
      <c r="Z355" s="76">
        <f t="shared" ca="1" si="53"/>
        <v>3.3680555522248024E-3</v>
      </c>
      <c r="AA355" s="75">
        <f t="shared" ca="1" si="48"/>
        <v>8.9814814725994729E-3</v>
      </c>
      <c r="AB355" s="76">
        <f t="shared" ca="1" si="54"/>
        <v>3.3680555522248024E-3</v>
      </c>
      <c r="AC355" s="75">
        <f t="shared" ca="1" si="49"/>
        <v>8.9814814725994729E-3</v>
      </c>
      <c r="AD355" s="76">
        <f t="shared" ca="1" si="55"/>
        <v>0</v>
      </c>
      <c r="AE355" s="76">
        <f t="shared" ca="1" si="50"/>
        <v>3.3680555522248024E-3</v>
      </c>
      <c r="AF355" s="75">
        <f t="shared" ca="1" si="51"/>
        <v>8.9814814725994729E-3</v>
      </c>
      <c r="AG355" s="75">
        <f t="shared" ca="1" si="52"/>
        <v>8.9814814725994729E-3</v>
      </c>
      <c r="AH355" s="31" t="str" cm="1">
        <f t="array" aca="1" ref="AH355" ca="1">IF((AD355) &lt; (INDEX(ResponseSLA[#All],(MATCH((G355),ResponseSLA[Priority],0))+1,3)),"YES","No")</f>
        <v>YES</v>
      </c>
      <c r="AI355" s="31" t="str">
        <f ca="1">_xlfn.IFNA(IF(AE355 &lt; (INDEX(SLATable[Minimum SLA],MATCH(G355,SLATable[Priority],0))),"YES","NO"),"")</f>
        <v>YES</v>
      </c>
      <c r="AJ355" t="str">
        <f ca="1">_xlfn.IFNA(IF(AE355 &lt; (INDEX(SLATable[Maximum SLA],MATCH(G355,SLATable[Priority],0))),"YES","NO"),"")</f>
        <v>YES</v>
      </c>
    </row>
    <row r="356" spans="2:36" ht="15" customHeight="1">
      <c r="B356" s="45" t="s">
        <v>26</v>
      </c>
      <c r="C356" s="45" t="s">
        <v>44</v>
      </c>
      <c r="D356" s="45" t="s">
        <v>207</v>
      </c>
      <c r="E356" s="45" t="s">
        <v>6470</v>
      </c>
      <c r="F356" s="45" t="s">
        <v>312</v>
      </c>
      <c r="G356" s="45">
        <v>4</v>
      </c>
      <c r="H356" s="45" t="s">
        <v>6471</v>
      </c>
      <c r="I356" s="45" t="s">
        <v>275</v>
      </c>
      <c r="J356" s="45" t="s">
        <v>5655</v>
      </c>
      <c r="K356" s="47">
        <v>46172.742835648147</v>
      </c>
      <c r="L356" s="47">
        <v>46174.440798611111</v>
      </c>
      <c r="M356" s="47">
        <v>46174.440798611111</v>
      </c>
      <c r="N356" s="47">
        <v>46174.542858796296</v>
      </c>
      <c r="P356" s="47">
        <v>46174.542858796296</v>
      </c>
      <c r="Q356" s="45" t="s">
        <v>5672</v>
      </c>
      <c r="R356" s="45" t="s">
        <v>272</v>
      </c>
      <c r="S356" s="45" t="s">
        <v>175</v>
      </c>
      <c r="T356" s="45" t="s">
        <v>268</v>
      </c>
      <c r="U356" s="45" t="s">
        <v>428</v>
      </c>
      <c r="X356" s="45" t="s">
        <v>5531</v>
      </c>
      <c r="Y356" s="45" t="s">
        <v>5660</v>
      </c>
      <c r="Z356" s="76">
        <f t="shared" ca="1" si="53"/>
        <v>0.20952546296272584</v>
      </c>
      <c r="AA356" s="75">
        <f t="shared" ca="1" si="48"/>
        <v>0.55873456790060216</v>
      </c>
      <c r="AB356" s="76">
        <f t="shared" ca="1" si="54"/>
        <v>0.10206018518510973</v>
      </c>
      <c r="AC356" s="75">
        <f t="shared" ca="1" si="49"/>
        <v>0.27216049382695928</v>
      </c>
      <c r="AD356" s="76">
        <f t="shared" ca="1" si="55"/>
        <v>0</v>
      </c>
      <c r="AE356" s="76">
        <f t="shared" ca="1" si="50"/>
        <v>0.10206018518510973</v>
      </c>
      <c r="AF356" s="75">
        <f t="shared" ca="1" si="51"/>
        <v>0.27216049382695928</v>
      </c>
      <c r="AG356" s="75">
        <f t="shared" ca="1" si="52"/>
        <v>0.27216049382695928</v>
      </c>
      <c r="AH356" s="31" t="str" cm="1">
        <f t="array" aca="1" ref="AH356" ca="1">IF((AD356) &lt; (INDEX(ResponseSLA[#All],(MATCH((G356),ResponseSLA[Priority],0))+1,3)),"YES","No")</f>
        <v>YES</v>
      </c>
      <c r="AI356" s="31" t="str">
        <f ca="1">_xlfn.IFNA(IF(AE356 &lt; (INDEX(SLATable[Minimum SLA],MATCH(G356,SLATable[Priority],0))),"YES","NO"),"")</f>
        <v>YES</v>
      </c>
      <c r="AJ356" t="str">
        <f ca="1">_xlfn.IFNA(IF(AE356 &lt; (INDEX(SLATable[Maximum SLA],MATCH(G356,SLATable[Priority],0))),"YES","NO"),"")</f>
        <v>YES</v>
      </c>
    </row>
    <row r="357" spans="2:36" ht="15" customHeight="1">
      <c r="B357" s="45" t="s">
        <v>26</v>
      </c>
      <c r="C357" s="45" t="s">
        <v>44</v>
      </c>
      <c r="D357" s="45" t="s">
        <v>207</v>
      </c>
      <c r="E357" s="45" t="s">
        <v>6472</v>
      </c>
      <c r="F357" s="45" t="s">
        <v>312</v>
      </c>
      <c r="G357" s="45">
        <v>3</v>
      </c>
      <c r="H357" s="45" t="s">
        <v>2797</v>
      </c>
      <c r="I357" s="45" t="s">
        <v>271</v>
      </c>
      <c r="J357" s="45" t="s">
        <v>5655</v>
      </c>
      <c r="K357" s="47">
        <v>46165.459108796298</v>
      </c>
      <c r="L357" s="47">
        <v>46175.547500000001</v>
      </c>
      <c r="M357" s="47">
        <v>46175.547500000001</v>
      </c>
      <c r="N357" s="47">
        <v>46176.325752314813</v>
      </c>
      <c r="P357" s="47">
        <v>46176.325752314813</v>
      </c>
      <c r="Q357" s="45" t="s">
        <v>5672</v>
      </c>
      <c r="R357" s="45" t="s">
        <v>272</v>
      </c>
      <c r="S357" s="45" t="s">
        <v>175</v>
      </c>
      <c r="T357" s="45" t="s">
        <v>268</v>
      </c>
      <c r="U357" s="45" t="s">
        <v>5531</v>
      </c>
      <c r="X357" s="45" t="s">
        <v>5531</v>
      </c>
      <c r="Y357" s="45" t="s">
        <v>6398</v>
      </c>
      <c r="Z357" s="76">
        <f t="shared" ca="1" si="53"/>
        <v>2.2500000000000004</v>
      </c>
      <c r="AA357" s="75">
        <f t="shared" ca="1" si="48"/>
        <v>6.0000000000000018</v>
      </c>
      <c r="AB357" s="76">
        <f t="shared" ca="1" si="54"/>
        <v>0.16083333333275129</v>
      </c>
      <c r="AC357" s="75">
        <f t="shared" ca="1" si="49"/>
        <v>0.42888888888733678</v>
      </c>
      <c r="AD357" s="76">
        <f t="shared" ca="1" si="55"/>
        <v>0</v>
      </c>
      <c r="AE357" s="76">
        <f t="shared" ca="1" si="50"/>
        <v>0.16083333333275129</v>
      </c>
      <c r="AF357" s="75">
        <f t="shared" ca="1" si="51"/>
        <v>0.42888888888733678</v>
      </c>
      <c r="AG357" s="75">
        <f t="shared" ca="1" si="52"/>
        <v>0.42888888888733678</v>
      </c>
      <c r="AH357" s="31" t="str" cm="1">
        <f t="array" aca="1" ref="AH357" ca="1">IF((AD357) &lt; (INDEX(ResponseSLA[#All],(MATCH((G357),ResponseSLA[Priority],0))+1,3)),"YES","No")</f>
        <v>YES</v>
      </c>
      <c r="AI357" s="31" t="str">
        <f ca="1">_xlfn.IFNA(IF(AE357 &lt; (INDEX(SLATable[Minimum SLA],MATCH(G357,SLATable[Priority],0))),"YES","NO"),"")</f>
        <v>YES</v>
      </c>
      <c r="AJ357" t="str">
        <f ca="1">_xlfn.IFNA(IF(AE357 &lt; (INDEX(SLATable[Maximum SLA],MATCH(G357,SLATable[Priority],0))),"YES","NO"),"")</f>
        <v>YES</v>
      </c>
    </row>
    <row r="358" spans="2:36" ht="15" customHeight="1">
      <c r="B358" s="45" t="s">
        <v>26</v>
      </c>
      <c r="C358" s="45" t="s">
        <v>44</v>
      </c>
      <c r="D358" s="45" t="s">
        <v>208</v>
      </c>
      <c r="E358" s="45" t="s">
        <v>6473</v>
      </c>
      <c r="F358" s="45" t="s">
        <v>312</v>
      </c>
      <c r="G358" s="45">
        <v>3</v>
      </c>
      <c r="H358" s="45" t="s">
        <v>6474</v>
      </c>
      <c r="I358" s="45" t="s">
        <v>275</v>
      </c>
      <c r="J358" s="45" t="s">
        <v>5655</v>
      </c>
      <c r="K358" s="47">
        <v>46174.454733796294</v>
      </c>
      <c r="L358" s="47">
        <v>46174.571840277778</v>
      </c>
      <c r="M358" s="47">
        <v>46174.571840277778</v>
      </c>
      <c r="N358" s="47">
        <v>46175.325219907405</v>
      </c>
      <c r="P358" s="47">
        <v>46175.325219907405</v>
      </c>
      <c r="Q358" s="45" t="s">
        <v>5672</v>
      </c>
      <c r="R358" s="45" t="s">
        <v>272</v>
      </c>
      <c r="S358" s="45" t="s">
        <v>175</v>
      </c>
      <c r="T358" s="45" t="s">
        <v>268</v>
      </c>
      <c r="U358" s="45" t="s">
        <v>5531</v>
      </c>
      <c r="X358" s="45" t="s">
        <v>5531</v>
      </c>
      <c r="Y358" s="45" t="s">
        <v>6398</v>
      </c>
      <c r="Z358" s="76">
        <f t="shared" ca="1" si="53"/>
        <v>0.25359953703931148</v>
      </c>
      <c r="AA358" s="75">
        <f t="shared" ca="1" si="48"/>
        <v>0.67626543210483059</v>
      </c>
      <c r="AB358" s="76">
        <f t="shared" ca="1" si="54"/>
        <v>0.13649305555494118</v>
      </c>
      <c r="AC358" s="75">
        <f t="shared" ca="1" si="49"/>
        <v>0.36398148147984316</v>
      </c>
      <c r="AD358" s="76">
        <f t="shared" ca="1" si="55"/>
        <v>0</v>
      </c>
      <c r="AE358" s="76">
        <f t="shared" ca="1" si="50"/>
        <v>0.13649305555494118</v>
      </c>
      <c r="AF358" s="75">
        <f t="shared" ca="1" si="51"/>
        <v>0.36398148147984316</v>
      </c>
      <c r="AG358" s="75">
        <f t="shared" ca="1" si="52"/>
        <v>0.36398148147984316</v>
      </c>
      <c r="AH358" s="31" t="str" cm="1">
        <f t="array" aca="1" ref="AH358" ca="1">IF((AD358) &lt; (INDEX(ResponseSLA[#All],(MATCH((G358),ResponseSLA[Priority],0))+1,3)),"YES","No")</f>
        <v>YES</v>
      </c>
      <c r="AI358" s="31" t="str">
        <f ca="1">_xlfn.IFNA(IF(AE358 &lt; (INDEX(SLATable[Minimum SLA],MATCH(G358,SLATable[Priority],0))),"YES","NO"),"")</f>
        <v>YES</v>
      </c>
      <c r="AJ358" t="str">
        <f ca="1">_xlfn.IFNA(IF(AE358 &lt; (INDEX(SLATable[Maximum SLA],MATCH(G358,SLATable[Priority],0))),"YES","NO"),"")</f>
        <v>YES</v>
      </c>
    </row>
    <row r="359" spans="2:36" ht="15" customHeight="1">
      <c r="B359" s="45" t="s">
        <v>26</v>
      </c>
      <c r="C359" s="45" t="s">
        <v>44</v>
      </c>
      <c r="D359" s="45" t="s">
        <v>207</v>
      </c>
      <c r="E359" s="45" t="s">
        <v>6475</v>
      </c>
      <c r="F359" s="45" t="s">
        <v>312</v>
      </c>
      <c r="G359" s="45">
        <v>4</v>
      </c>
      <c r="H359" s="45" t="s">
        <v>6476</v>
      </c>
      <c r="I359" s="45" t="s">
        <v>275</v>
      </c>
      <c r="J359" s="45" t="s">
        <v>5655</v>
      </c>
      <c r="K359" s="47">
        <v>46174.585543981484</v>
      </c>
      <c r="L359" s="47">
        <v>46176.61204861111</v>
      </c>
      <c r="M359" s="47">
        <v>46176.61204861111</v>
      </c>
      <c r="N359" s="47">
        <v>46177.292291666665</v>
      </c>
      <c r="P359" s="47">
        <v>46177.292291666665</v>
      </c>
      <c r="Q359" s="45" t="s">
        <v>6466</v>
      </c>
      <c r="R359" s="45" t="s">
        <v>272</v>
      </c>
      <c r="S359" s="45" t="s">
        <v>175</v>
      </c>
      <c r="T359" s="45" t="s">
        <v>268</v>
      </c>
      <c r="U359" s="45" t="s">
        <v>5531</v>
      </c>
      <c r="X359" s="45" t="s">
        <v>5531</v>
      </c>
      <c r="Y359" s="45" t="s">
        <v>6398</v>
      </c>
      <c r="Z359" s="76">
        <f t="shared" ca="1" si="53"/>
        <v>0.87278935184925421</v>
      </c>
      <c r="AA359" s="75">
        <f t="shared" ca="1" si="48"/>
        <v>2.3274382715980111</v>
      </c>
      <c r="AB359" s="76">
        <f t="shared" ca="1" si="54"/>
        <v>9.6284722222966024E-2</v>
      </c>
      <c r="AC359" s="75">
        <f t="shared" ca="1" si="49"/>
        <v>0.25675925926124271</v>
      </c>
      <c r="AD359" s="76">
        <f t="shared" ca="1" si="55"/>
        <v>0</v>
      </c>
      <c r="AE359" s="76">
        <f t="shared" ca="1" si="50"/>
        <v>9.6284722222966024E-2</v>
      </c>
      <c r="AF359" s="75">
        <f t="shared" ca="1" si="51"/>
        <v>0.25675925926124271</v>
      </c>
      <c r="AG359" s="75">
        <f t="shared" ca="1" si="52"/>
        <v>0.25675925926124271</v>
      </c>
      <c r="AH359" s="31" t="str" cm="1">
        <f t="array" aca="1" ref="AH359" ca="1">IF((AD359) &lt; (INDEX(ResponseSLA[#All],(MATCH((G359),ResponseSLA[Priority],0))+1,3)),"YES","No")</f>
        <v>YES</v>
      </c>
      <c r="AI359" s="31" t="str">
        <f ca="1">_xlfn.IFNA(IF(AE359 &lt; (INDEX(SLATable[Minimum SLA],MATCH(G359,SLATable[Priority],0))),"YES","NO"),"")</f>
        <v>YES</v>
      </c>
      <c r="AJ359" t="str">
        <f ca="1">_xlfn.IFNA(IF(AE359 &lt; (INDEX(SLATable[Maximum SLA],MATCH(G359,SLATable[Priority],0))),"YES","NO"),"")</f>
        <v>YES</v>
      </c>
    </row>
    <row r="360" spans="2:36" ht="15" customHeight="1">
      <c r="B360" s="45" t="s">
        <v>26</v>
      </c>
      <c r="C360" s="45" t="s">
        <v>44</v>
      </c>
      <c r="D360" s="45" t="s">
        <v>207</v>
      </c>
      <c r="E360" s="45" t="s">
        <v>6477</v>
      </c>
      <c r="F360" s="45" t="s">
        <v>312</v>
      </c>
      <c r="G360" s="45">
        <v>3</v>
      </c>
      <c r="H360" s="45" t="s">
        <v>2797</v>
      </c>
      <c r="I360" s="45" t="s">
        <v>271</v>
      </c>
      <c r="J360" s="45" t="s">
        <v>5655</v>
      </c>
      <c r="K360" s="47">
        <v>46174.59652777778</v>
      </c>
      <c r="L360" s="47">
        <v>46175.547835648147</v>
      </c>
      <c r="M360" s="47">
        <v>46175.547835648147</v>
      </c>
      <c r="N360" s="47">
        <v>46182.328402777777</v>
      </c>
      <c r="P360" s="47">
        <v>46182.328402777777</v>
      </c>
      <c r="Q360" s="45" t="s">
        <v>5672</v>
      </c>
      <c r="R360" s="45" t="s">
        <v>272</v>
      </c>
      <c r="S360" s="45" t="s">
        <v>175</v>
      </c>
      <c r="T360" s="45" t="s">
        <v>268</v>
      </c>
      <c r="U360" s="45" t="s">
        <v>5531</v>
      </c>
      <c r="X360" s="45" t="s">
        <v>5531</v>
      </c>
      <c r="Y360" s="45" t="s">
        <v>6398</v>
      </c>
      <c r="Z360" s="76">
        <f t="shared" ca="1" si="53"/>
        <v>1.9868055555537776</v>
      </c>
      <c r="AA360" s="75">
        <f t="shared" ca="1" si="48"/>
        <v>5.2981481481434072</v>
      </c>
      <c r="AB360" s="76">
        <f t="shared" ca="1" si="54"/>
        <v>1.660497685186177</v>
      </c>
      <c r="AC360" s="75">
        <f t="shared" ca="1" si="49"/>
        <v>4.4279938271631387</v>
      </c>
      <c r="AD360" s="76">
        <f t="shared" ca="1" si="55"/>
        <v>0</v>
      </c>
      <c r="AE360" s="76">
        <f t="shared" ca="1" si="50"/>
        <v>1.660497685186177</v>
      </c>
      <c r="AF360" s="75">
        <f t="shared" ca="1" si="51"/>
        <v>4.4279938271631387</v>
      </c>
      <c r="AG360" s="75">
        <f t="shared" ca="1" si="52"/>
        <v>4.4279938271631387</v>
      </c>
      <c r="AH360" s="31" t="str" cm="1">
        <f t="array" aca="1" ref="AH360" ca="1">IF((AD360) &lt; (INDEX(ResponseSLA[#All],(MATCH((G360),ResponseSLA[Priority],0))+1,3)),"YES","No")</f>
        <v>YES</v>
      </c>
      <c r="AI360" s="31" t="str">
        <f ca="1">_xlfn.IFNA(IF(AE360 &lt; (INDEX(SLATable[Minimum SLA],MATCH(G360,SLATable[Priority],0))),"YES","NO"),"")</f>
        <v>NO</v>
      </c>
      <c r="AJ360" t="str">
        <f ca="1">_xlfn.IFNA(IF(AE360 &lt; (INDEX(SLATable[Maximum SLA],MATCH(G360,SLATable[Priority],0))),"YES","NO"),"")</f>
        <v>YES</v>
      </c>
    </row>
    <row r="361" spans="2:36" ht="15" customHeight="1">
      <c r="B361" s="45" t="s">
        <v>26</v>
      </c>
      <c r="C361" s="45" t="s">
        <v>44</v>
      </c>
      <c r="D361" s="45" t="s">
        <v>207</v>
      </c>
      <c r="E361" s="45" t="s">
        <v>6478</v>
      </c>
      <c r="F361" s="45" t="s">
        <v>312</v>
      </c>
      <c r="G361" s="45">
        <v>3</v>
      </c>
      <c r="H361" s="45" t="s">
        <v>6479</v>
      </c>
      <c r="I361" s="45" t="s">
        <v>275</v>
      </c>
      <c r="J361" s="45" t="s">
        <v>5655</v>
      </c>
      <c r="K361" s="47">
        <v>46175.733553240738</v>
      </c>
      <c r="L361" s="47">
        <v>46176.307905092595</v>
      </c>
      <c r="M361" s="47">
        <v>46176.307905092595</v>
      </c>
      <c r="N361" s="47">
        <v>46176.318981481483</v>
      </c>
      <c r="P361" s="47">
        <v>46176.318981481483</v>
      </c>
      <c r="Q361" s="45" t="s">
        <v>5672</v>
      </c>
      <c r="R361" s="45" t="s">
        <v>272</v>
      </c>
      <c r="S361" s="45" t="s">
        <v>175</v>
      </c>
      <c r="T361" s="45" t="s">
        <v>268</v>
      </c>
      <c r="U361" s="45" t="s">
        <v>5531</v>
      </c>
      <c r="X361" s="45" t="s">
        <v>5531</v>
      </c>
      <c r="Y361" s="45" t="s">
        <v>6480</v>
      </c>
      <c r="Z361" s="76">
        <f t="shared" ca="1" si="53"/>
        <v>0</v>
      </c>
      <c r="AA361" s="75">
        <f t="shared" ca="1" si="48"/>
        <v>0</v>
      </c>
      <c r="AB361" s="76">
        <f t="shared" ca="1" si="54"/>
        <v>0</v>
      </c>
      <c r="AC361" s="75">
        <f t="shared" ca="1" si="49"/>
        <v>0</v>
      </c>
      <c r="AD361" s="76">
        <f t="shared" ca="1" si="55"/>
        <v>0</v>
      </c>
      <c r="AE361" s="76">
        <f t="shared" ca="1" si="50"/>
        <v>0</v>
      </c>
      <c r="AF361" s="75">
        <f t="shared" ca="1" si="51"/>
        <v>0</v>
      </c>
      <c r="AG361" s="75">
        <f t="shared" ca="1" si="52"/>
        <v>0</v>
      </c>
      <c r="AH361" s="31" t="str" cm="1">
        <f t="array" aca="1" ref="AH361" ca="1">IF((AD361) &lt; (INDEX(ResponseSLA[#All],(MATCH((G361),ResponseSLA[Priority],0))+1,3)),"YES","No")</f>
        <v>YES</v>
      </c>
      <c r="AI361" s="31" t="str">
        <f ca="1">_xlfn.IFNA(IF(AE361 &lt; (INDEX(SLATable[Minimum SLA],MATCH(G361,SLATable[Priority],0))),"YES","NO"),"")</f>
        <v>YES</v>
      </c>
      <c r="AJ361" t="str">
        <f ca="1">_xlfn.IFNA(IF(AE361 &lt; (INDEX(SLATable[Maximum SLA],MATCH(G361,SLATable[Priority],0))),"YES","NO"),"")</f>
        <v>YES</v>
      </c>
    </row>
    <row r="362" spans="2:36" ht="15" customHeight="1">
      <c r="B362" s="45" t="s">
        <v>26</v>
      </c>
      <c r="C362" s="45" t="s">
        <v>44</v>
      </c>
      <c r="D362" s="45" t="s">
        <v>207</v>
      </c>
      <c r="E362" s="45" t="s">
        <v>3263</v>
      </c>
      <c r="F362" s="45" t="s">
        <v>312</v>
      </c>
      <c r="G362" s="45">
        <v>3</v>
      </c>
      <c r="H362" s="45" t="s">
        <v>3264</v>
      </c>
      <c r="I362" s="45" t="s">
        <v>275</v>
      </c>
      <c r="J362" s="45" t="s">
        <v>5655</v>
      </c>
      <c r="K362" s="47">
        <v>46177.480740740742</v>
      </c>
      <c r="L362" s="47">
        <v>46178.311689814815</v>
      </c>
      <c r="M362" s="47">
        <v>46178.311689814815</v>
      </c>
      <c r="N362" s="47">
        <v>46181.355995370373</v>
      </c>
      <c r="P362" s="47">
        <v>46181.355995370373</v>
      </c>
      <c r="Q362" s="45" t="s">
        <v>5672</v>
      </c>
      <c r="R362" s="45" t="s">
        <v>272</v>
      </c>
      <c r="S362" s="45" t="s">
        <v>175</v>
      </c>
      <c r="T362" s="45" t="s">
        <v>268</v>
      </c>
      <c r="U362" s="45" t="s">
        <v>5531</v>
      </c>
      <c r="X362" s="45" t="s">
        <v>5531</v>
      </c>
      <c r="Y362" s="45" t="s">
        <v>6398</v>
      </c>
      <c r="Z362" s="76">
        <f t="shared" ca="1" si="53"/>
        <v>0.62525462963094469</v>
      </c>
      <c r="AA362" s="75">
        <f t="shared" ca="1" si="48"/>
        <v>1.6673456790158525</v>
      </c>
      <c r="AB362" s="76">
        <f t="shared" ca="1" si="54"/>
        <v>0.39766203704008757</v>
      </c>
      <c r="AC362" s="75">
        <f t="shared" ca="1" si="49"/>
        <v>1.0604320987735667</v>
      </c>
      <c r="AD362" s="76">
        <f t="shared" ca="1" si="55"/>
        <v>0</v>
      </c>
      <c r="AE362" s="76">
        <f t="shared" ca="1" si="50"/>
        <v>0.39766203704008757</v>
      </c>
      <c r="AF362" s="75">
        <f t="shared" ca="1" si="51"/>
        <v>1.0604320987735667</v>
      </c>
      <c r="AG362" s="75">
        <f t="shared" ca="1" si="52"/>
        <v>1.0604320987735667</v>
      </c>
      <c r="AH362" s="31" t="str" cm="1">
        <f t="array" aca="1" ref="AH362" ca="1">IF((AD362) &lt; (INDEX(ResponseSLA[#All],(MATCH((G362),ResponseSLA[Priority],0))+1,3)),"YES","No")</f>
        <v>YES</v>
      </c>
      <c r="AI362" s="31" t="str">
        <f ca="1">_xlfn.IFNA(IF(AE362 &lt; (INDEX(SLATable[Minimum SLA],MATCH(G362,SLATable[Priority],0))),"YES","NO"),"")</f>
        <v>NO</v>
      </c>
      <c r="AJ362" t="str">
        <f ca="1">_xlfn.IFNA(IF(AE362 &lt; (INDEX(SLATable[Maximum SLA],MATCH(G362,SLATable[Priority],0))),"YES","NO"),"")</f>
        <v>YES</v>
      </c>
    </row>
    <row r="363" spans="2:36" ht="15" customHeight="1">
      <c r="B363" s="45" t="s">
        <v>26</v>
      </c>
      <c r="C363" s="45" t="s">
        <v>44</v>
      </c>
      <c r="D363" s="45" t="s">
        <v>207</v>
      </c>
      <c r="E363" s="45" t="s">
        <v>3315</v>
      </c>
      <c r="F363" s="45" t="s">
        <v>312</v>
      </c>
      <c r="G363" s="45">
        <v>3</v>
      </c>
      <c r="H363" s="45" t="s">
        <v>3316</v>
      </c>
      <c r="I363" s="45" t="s">
        <v>275</v>
      </c>
      <c r="J363" s="45" t="s">
        <v>5655</v>
      </c>
      <c r="K363" s="47">
        <v>46178.349953703706</v>
      </c>
      <c r="L363" s="47">
        <v>46182.573194444441</v>
      </c>
      <c r="M363" s="47">
        <v>46182.573194444441</v>
      </c>
      <c r="N363" s="47">
        <v>46183.346064814818</v>
      </c>
      <c r="P363" s="47">
        <v>46183.346064814818</v>
      </c>
      <c r="Q363" s="45" t="s">
        <v>5672</v>
      </c>
      <c r="R363" s="45" t="s">
        <v>272</v>
      </c>
      <c r="S363" s="45" t="s">
        <v>175</v>
      </c>
      <c r="T363" s="45" t="s">
        <v>268</v>
      </c>
      <c r="U363" s="45" t="s">
        <v>5531</v>
      </c>
      <c r="X363" s="45" t="s">
        <v>5531</v>
      </c>
      <c r="Y363" s="45" t="s">
        <v>6481</v>
      </c>
      <c r="Z363" s="76">
        <f t="shared" ca="1" si="53"/>
        <v>1.1211111111115317</v>
      </c>
      <c r="AA363" s="75">
        <f t="shared" ca="1" si="48"/>
        <v>2.9896296296307514</v>
      </c>
      <c r="AB363" s="76">
        <f t="shared" ca="1" si="54"/>
        <v>0.14787037037604023</v>
      </c>
      <c r="AC363" s="75">
        <f t="shared" ca="1" si="49"/>
        <v>0.39432098766944063</v>
      </c>
      <c r="AD363" s="76">
        <f t="shared" ca="1" si="55"/>
        <v>0</v>
      </c>
      <c r="AE363" s="76">
        <f>SUMIFS(AB:AB,E:E,#REF!)</f>
        <v>0</v>
      </c>
      <c r="AF363" s="75">
        <f t="shared" si="51"/>
        <v>0</v>
      </c>
      <c r="AG363" s="75">
        <f t="shared" si="52"/>
        <v>0</v>
      </c>
      <c r="AH363" s="31" t="str" cm="1">
        <f t="array" aca="1" ref="AH363" ca="1">IF((AD363) &lt; (INDEX(ResponseSLA[#All],(MATCH((G363),ResponseSLA[Priority],0))+1,3)),"YES","No")</f>
        <v>YES</v>
      </c>
      <c r="AI363" s="31" t="str">
        <f>_xlfn.IFNA(IF(AE363 &lt; (INDEX(SLATable[Minimum SLA],MATCH(G363,SLATable[Priority],0))),"YES","NO"),"")</f>
        <v>YES</v>
      </c>
      <c r="AJ363" t="str">
        <f>_xlfn.IFNA(IF(AE363 &lt; (INDEX(SLATable[Maximum SLA],MATCH(G363,SLATable[Priority],0))),"YES","NO"),"")</f>
        <v>YES</v>
      </c>
    </row>
    <row r="364" spans="2:36" ht="15" customHeight="1">
      <c r="B364" s="45" t="s">
        <v>26</v>
      </c>
      <c r="C364" s="45" t="s">
        <v>44</v>
      </c>
      <c r="D364" s="45" t="s">
        <v>207</v>
      </c>
      <c r="E364" s="45" t="s">
        <v>3334</v>
      </c>
      <c r="F364" s="45" t="s">
        <v>312</v>
      </c>
      <c r="G364" s="45">
        <v>3</v>
      </c>
      <c r="H364" s="45" t="s">
        <v>3335</v>
      </c>
      <c r="I364" s="45" t="s">
        <v>275</v>
      </c>
      <c r="J364" s="45" t="s">
        <v>5655</v>
      </c>
      <c r="K364" s="47">
        <v>46182.400995370372</v>
      </c>
      <c r="L364" s="47">
        <v>46185.294085648151</v>
      </c>
      <c r="M364" s="47">
        <v>46185.294085648151</v>
      </c>
      <c r="N364" s="47">
        <v>46185.318379629629</v>
      </c>
      <c r="P364" s="47">
        <v>46185.318379629629</v>
      </c>
      <c r="Q364" s="45" t="s">
        <v>5672</v>
      </c>
      <c r="R364" s="45" t="s">
        <v>272</v>
      </c>
      <c r="S364" s="45" t="s">
        <v>175</v>
      </c>
      <c r="T364" s="45" t="s">
        <v>268</v>
      </c>
      <c r="U364" s="45" t="s">
        <v>5531</v>
      </c>
      <c r="X364" s="45" t="s">
        <v>5531</v>
      </c>
      <c r="Y364" s="45" t="s">
        <v>6482</v>
      </c>
      <c r="Z364" s="76">
        <f t="shared" ca="1" si="53"/>
        <v>1.0573379629616588</v>
      </c>
      <c r="AA364" s="75">
        <f t="shared" ca="1" si="48"/>
        <v>2.8195679012310904</v>
      </c>
      <c r="AB364" s="76">
        <f t="shared" ca="1" si="54"/>
        <v>0</v>
      </c>
      <c r="AC364" s="75">
        <f t="shared" ca="1" si="49"/>
        <v>0</v>
      </c>
      <c r="AD364" s="76">
        <f t="shared" ca="1" si="55"/>
        <v>0</v>
      </c>
      <c r="AE364" s="76">
        <f t="shared" ref="AE364:AE370" ca="1" si="56">SUMIFS(AB:AB,E:E,E363)</f>
        <v>0.14787037037604023</v>
      </c>
      <c r="AF364" s="75">
        <f t="shared" ca="1" si="51"/>
        <v>0.39432098766944063</v>
      </c>
      <c r="AG364" s="75">
        <f t="shared" ca="1" si="52"/>
        <v>0.39432098766944063</v>
      </c>
      <c r="AH364" s="31" t="str" cm="1">
        <f t="array" aca="1" ref="AH364" ca="1">IF((AD364) &lt; (INDEX(ResponseSLA[#All],(MATCH((G364),ResponseSLA[Priority],0))+1,3)),"YES","No")</f>
        <v>YES</v>
      </c>
      <c r="AI364" s="31" t="str">
        <f ca="1">_xlfn.IFNA(IF(AE364 &lt; (INDEX(SLATable[Minimum SLA],MATCH(G364,SLATable[Priority],0))),"YES","NO"),"")</f>
        <v>YES</v>
      </c>
      <c r="AJ364" t="str">
        <f ca="1">_xlfn.IFNA(IF(AE364 &lt; (INDEX(SLATable[Maximum SLA],MATCH(G364,SLATable[Priority],0))),"YES","NO"),"")</f>
        <v>YES</v>
      </c>
    </row>
    <row r="365" spans="2:36" ht="15" customHeight="1">
      <c r="B365" s="45" t="s">
        <v>26</v>
      </c>
      <c r="C365" s="45" t="s">
        <v>44</v>
      </c>
      <c r="D365" s="45" t="s">
        <v>207</v>
      </c>
      <c r="E365" s="45" t="s">
        <v>6483</v>
      </c>
      <c r="F365" s="45" t="s">
        <v>312</v>
      </c>
      <c r="G365" s="45">
        <v>3</v>
      </c>
      <c r="H365" s="45" t="s">
        <v>6484</v>
      </c>
      <c r="I365" s="45" t="s">
        <v>275</v>
      </c>
      <c r="J365" s="45" t="s">
        <v>5655</v>
      </c>
      <c r="K365" s="47">
        <v>46183.660798611112</v>
      </c>
      <c r="L365" s="47">
        <v>46188.604120370372</v>
      </c>
      <c r="M365" s="47">
        <v>46188.604120370372</v>
      </c>
      <c r="N365" s="47">
        <v>46189.331620370373</v>
      </c>
      <c r="P365" s="47">
        <v>46189.331620370373</v>
      </c>
      <c r="Q365" s="45" t="s">
        <v>5672</v>
      </c>
      <c r="R365" s="45" t="s">
        <v>272</v>
      </c>
      <c r="S365" s="45" t="s">
        <v>175</v>
      </c>
      <c r="T365" s="45" t="s">
        <v>268</v>
      </c>
      <c r="U365" s="45" t="s">
        <v>5531</v>
      </c>
      <c r="X365" s="45" t="s">
        <v>5531</v>
      </c>
      <c r="Y365" s="45" t="s">
        <v>5660</v>
      </c>
      <c r="Z365" s="76">
        <f t="shared" ca="1" si="53"/>
        <v>1.1725347222212199</v>
      </c>
      <c r="AA365" s="75">
        <f t="shared" ca="1" si="48"/>
        <v>3.1267592592565863</v>
      </c>
      <c r="AB365" s="76">
        <f t="shared" ca="1" si="54"/>
        <v>0.10421296296165872</v>
      </c>
      <c r="AC365" s="75">
        <f t="shared" ca="1" si="49"/>
        <v>0.27790123456442323</v>
      </c>
      <c r="AD365" s="76">
        <f t="shared" ca="1" si="55"/>
        <v>0</v>
      </c>
      <c r="AE365" s="76">
        <f t="shared" ca="1" si="56"/>
        <v>0</v>
      </c>
      <c r="AF365" s="75">
        <f t="shared" ca="1" si="51"/>
        <v>0</v>
      </c>
      <c r="AG365" s="75">
        <f t="shared" ca="1" si="52"/>
        <v>0</v>
      </c>
      <c r="AH365" s="31" t="str" cm="1">
        <f t="array" aca="1" ref="AH365" ca="1">IF((AD365) &lt; (INDEX(ResponseSLA[#All],(MATCH((G365),ResponseSLA[Priority],0))+1,3)),"YES","No")</f>
        <v>YES</v>
      </c>
      <c r="AI365" s="31" t="str">
        <f ca="1">_xlfn.IFNA(IF(AE365 &lt; (INDEX(SLATable[Minimum SLA],MATCH(G365,SLATable[Priority],0))),"YES","NO"),"")</f>
        <v>YES</v>
      </c>
      <c r="AJ365" t="str">
        <f ca="1">_xlfn.IFNA(IF(AE365 &lt; (INDEX(SLATable[Maximum SLA],MATCH(G365,SLATable[Priority],0))),"YES","NO"),"")</f>
        <v>YES</v>
      </c>
    </row>
    <row r="366" spans="2:36" ht="15" customHeight="1">
      <c r="B366" s="45" t="s">
        <v>26</v>
      </c>
      <c r="C366" s="45" t="s">
        <v>44</v>
      </c>
      <c r="D366" s="45" t="s">
        <v>207</v>
      </c>
      <c r="E366" s="45" t="s">
        <v>3471</v>
      </c>
      <c r="F366" s="45" t="s">
        <v>312</v>
      </c>
      <c r="G366" s="45">
        <v>3</v>
      </c>
      <c r="H366" s="46" t="s">
        <v>3472</v>
      </c>
      <c r="I366" s="45" t="s">
        <v>275</v>
      </c>
      <c r="J366" s="45" t="s">
        <v>5655</v>
      </c>
      <c r="K366" s="47">
        <v>46184.343263888892</v>
      </c>
      <c r="L366" s="47">
        <v>46185.425659722219</v>
      </c>
      <c r="M366" s="47">
        <v>46185.425659722219</v>
      </c>
      <c r="N366" s="47">
        <v>46188.516516203701</v>
      </c>
      <c r="P366" s="47">
        <v>46188.516516203701</v>
      </c>
      <c r="Q366" s="45" t="s">
        <v>6485</v>
      </c>
      <c r="R366" s="45" t="s">
        <v>272</v>
      </c>
      <c r="S366" s="45" t="s">
        <v>175</v>
      </c>
      <c r="T366" s="45" t="s">
        <v>268</v>
      </c>
      <c r="U366" s="45" t="s">
        <v>5531</v>
      </c>
      <c r="X366" s="45" t="s">
        <v>5531</v>
      </c>
      <c r="Y366" s="45" t="s">
        <v>6486</v>
      </c>
      <c r="Z366" s="76">
        <f t="shared" ca="1" si="53"/>
        <v>0.92325231480936054</v>
      </c>
      <c r="AA366" s="75">
        <f t="shared" ca="1" si="48"/>
        <v>2.4620061728249616</v>
      </c>
      <c r="AB366" s="76">
        <f t="shared" ca="1" si="54"/>
        <v>0.46585648148175096</v>
      </c>
      <c r="AC366" s="75">
        <f t="shared" ca="1" si="49"/>
        <v>1.2422839506180026</v>
      </c>
      <c r="AD366" s="76">
        <f t="shared" ca="1" si="55"/>
        <v>0</v>
      </c>
      <c r="AE366" s="76">
        <f t="shared" ca="1" si="56"/>
        <v>0.10421296296165872</v>
      </c>
      <c r="AF366" s="75">
        <f t="shared" ca="1" si="51"/>
        <v>0.27790123456442323</v>
      </c>
      <c r="AG366" s="75">
        <f t="shared" ca="1" si="52"/>
        <v>0.27790123456442323</v>
      </c>
      <c r="AH366" s="31" t="str" cm="1">
        <f t="array" aca="1" ref="AH366" ca="1">IF((AD366) &lt; (INDEX(ResponseSLA[#All],(MATCH((G366),ResponseSLA[Priority],0))+1,3)),"YES","No")</f>
        <v>YES</v>
      </c>
      <c r="AI366" s="31" t="str">
        <f ca="1">_xlfn.IFNA(IF(AE366 &lt; (INDEX(SLATable[Minimum SLA],MATCH(G366,SLATable[Priority],0))),"YES","NO"),"")</f>
        <v>YES</v>
      </c>
      <c r="AJ366" t="str">
        <f ca="1">_xlfn.IFNA(IF(AE366 &lt; (INDEX(SLATable[Maximum SLA],MATCH(G366,SLATable[Priority],0))),"YES","NO"),"")</f>
        <v>YES</v>
      </c>
    </row>
    <row r="367" spans="2:36" ht="15" customHeight="1">
      <c r="B367" s="45" t="s">
        <v>26</v>
      </c>
      <c r="C367" s="45" t="s">
        <v>44</v>
      </c>
      <c r="D367" s="45" t="s">
        <v>207</v>
      </c>
      <c r="E367" s="45" t="s">
        <v>6487</v>
      </c>
      <c r="F367" s="45" t="s">
        <v>312</v>
      </c>
      <c r="G367" s="45">
        <v>3</v>
      </c>
      <c r="H367" s="45" t="s">
        <v>6488</v>
      </c>
      <c r="I367" s="45" t="s">
        <v>271</v>
      </c>
      <c r="J367" s="45" t="s">
        <v>5655</v>
      </c>
      <c r="K367" s="47">
        <v>46184.363368055558</v>
      </c>
      <c r="L367" s="47">
        <v>46185.359085648146</v>
      </c>
      <c r="M367" s="47">
        <v>46185.359085648146</v>
      </c>
      <c r="N367" s="47">
        <v>46196.274375000001</v>
      </c>
      <c r="P367" s="47">
        <v>46196.274375000001</v>
      </c>
      <c r="Q367" s="45" t="s">
        <v>6456</v>
      </c>
      <c r="R367" s="45" t="s">
        <v>272</v>
      </c>
      <c r="S367" s="45" t="s">
        <v>175</v>
      </c>
      <c r="T367" s="45" t="s">
        <v>268</v>
      </c>
      <c r="U367" s="45" t="s">
        <v>5531</v>
      </c>
      <c r="X367" s="45" t="s">
        <v>5531</v>
      </c>
      <c r="Y367" s="45" t="s">
        <v>6398</v>
      </c>
      <c r="Z367" s="76">
        <f t="shared" ca="1" si="53"/>
        <v>2.9699652777756764</v>
      </c>
      <c r="AA367" s="75">
        <f t="shared" ca="1" si="48"/>
        <v>7.9199074074018041</v>
      </c>
      <c r="AB367" s="76">
        <f t="shared" ca="1" si="54"/>
        <v>2.5992476851873416</v>
      </c>
      <c r="AC367" s="75">
        <f t="shared" ca="1" si="49"/>
        <v>6.9313271604995776</v>
      </c>
      <c r="AD367" s="76">
        <f t="shared" ca="1" si="55"/>
        <v>0</v>
      </c>
      <c r="AE367" s="76">
        <f t="shared" ca="1" si="56"/>
        <v>0.46585648148175096</v>
      </c>
      <c r="AF367" s="75">
        <f t="shared" ca="1" si="51"/>
        <v>1.2422839506180026</v>
      </c>
      <c r="AG367" s="75">
        <f t="shared" ca="1" si="52"/>
        <v>1.2422839506180026</v>
      </c>
      <c r="AH367" s="31" t="str" cm="1">
        <f t="array" aca="1" ref="AH367" ca="1">IF((AD367) &lt; (INDEX(ResponseSLA[#All],(MATCH((G367),ResponseSLA[Priority],0))+1,3)),"YES","No")</f>
        <v>YES</v>
      </c>
      <c r="AI367" s="31" t="str">
        <f ca="1">_xlfn.IFNA(IF(AE367 &lt; (INDEX(SLATable[Minimum SLA],MATCH(G367,SLATable[Priority],0))),"YES","NO"),"")</f>
        <v>NO</v>
      </c>
      <c r="AJ367" t="str">
        <f ca="1">_xlfn.IFNA(IF(AE367 &lt; (INDEX(SLATable[Maximum SLA],MATCH(G367,SLATable[Priority],0))),"YES","NO"),"")</f>
        <v>YES</v>
      </c>
    </row>
    <row r="368" spans="2:36" ht="15" customHeight="1">
      <c r="B368" s="45" t="s">
        <v>26</v>
      </c>
      <c r="C368" s="45" t="s">
        <v>44</v>
      </c>
      <c r="D368" s="45" t="s">
        <v>207</v>
      </c>
      <c r="E368" s="45" t="s">
        <v>6489</v>
      </c>
      <c r="F368" s="45" t="s">
        <v>312</v>
      </c>
      <c r="G368" s="45">
        <v>3</v>
      </c>
      <c r="H368" s="45" t="s">
        <v>6490</v>
      </c>
      <c r="I368" s="45" t="s">
        <v>275</v>
      </c>
      <c r="J368" s="45" t="s">
        <v>5655</v>
      </c>
      <c r="K368" s="47">
        <v>46185.530694444446</v>
      </c>
      <c r="L368" s="47">
        <v>46185.571018518516</v>
      </c>
      <c r="M368" s="47">
        <v>46185.571018518516</v>
      </c>
      <c r="N368" s="47">
        <v>46188.51934027778</v>
      </c>
      <c r="P368" s="47">
        <v>46188.51934027778</v>
      </c>
      <c r="Q368" s="45" t="s">
        <v>6485</v>
      </c>
      <c r="R368" s="45" t="s">
        <v>272</v>
      </c>
      <c r="S368" s="45" t="s">
        <v>175</v>
      </c>
      <c r="T368" s="45" t="s">
        <v>268</v>
      </c>
      <c r="U368" s="45" t="s">
        <v>5531</v>
      </c>
      <c r="X368" s="45" t="s">
        <v>5531</v>
      </c>
      <c r="Y368" s="45" t="s">
        <v>6491</v>
      </c>
      <c r="Z368" s="76">
        <f t="shared" ca="1" si="53"/>
        <v>0.36364583333488554</v>
      </c>
      <c r="AA368" s="75">
        <f t="shared" ca="1" si="48"/>
        <v>0.9697222222263614</v>
      </c>
      <c r="AB368" s="76">
        <f t="shared" ca="1" si="54"/>
        <v>0.32332175926421769</v>
      </c>
      <c r="AC368" s="75">
        <f t="shared" ca="1" si="49"/>
        <v>0.8621913580379138</v>
      </c>
      <c r="AD368" s="76">
        <f t="shared" ca="1" si="55"/>
        <v>0</v>
      </c>
      <c r="AE368" s="76">
        <f t="shared" ca="1" si="56"/>
        <v>2.5992476851873416</v>
      </c>
      <c r="AF368" s="75">
        <f t="shared" ca="1" si="51"/>
        <v>6.9313271604995776</v>
      </c>
      <c r="AG368" s="75">
        <f t="shared" ca="1" si="52"/>
        <v>6.9313271604995776</v>
      </c>
      <c r="AH368" s="31" t="str" cm="1">
        <f t="array" aca="1" ref="AH368" ca="1">IF((AD368) &lt; (INDEX(ResponseSLA[#All],(MATCH((G368),ResponseSLA[Priority],0))+1,3)),"YES","No")</f>
        <v>YES</v>
      </c>
      <c r="AI368" s="31" t="str">
        <f ca="1">_xlfn.IFNA(IF(AE368 &lt; (INDEX(SLATable[Minimum SLA],MATCH(G368,SLATable[Priority],0))),"YES","NO"),"")</f>
        <v>NO</v>
      </c>
      <c r="AJ368" t="str">
        <f ca="1">_xlfn.IFNA(IF(AE368 &lt; (INDEX(SLATable[Maximum SLA],MATCH(G368,SLATable[Priority],0))),"YES","NO"),"")</f>
        <v>NO</v>
      </c>
    </row>
    <row r="369" spans="2:36" ht="15" customHeight="1">
      <c r="B369" s="45" t="s">
        <v>26</v>
      </c>
      <c r="C369" s="45" t="s">
        <v>44</v>
      </c>
      <c r="D369" s="45" t="s">
        <v>207</v>
      </c>
      <c r="E369" s="45" t="s">
        <v>3506</v>
      </c>
      <c r="F369" s="45" t="s">
        <v>312</v>
      </c>
      <c r="G369" s="45">
        <v>3</v>
      </c>
      <c r="H369" s="45" t="s">
        <v>3507</v>
      </c>
      <c r="I369" s="45" t="s">
        <v>275</v>
      </c>
      <c r="J369" s="45" t="s">
        <v>5655</v>
      </c>
      <c r="K369" s="47">
        <v>46190.306145833332</v>
      </c>
      <c r="L369" s="47">
        <v>46190.511574074073</v>
      </c>
      <c r="M369" s="47">
        <v>46190.511574074073</v>
      </c>
      <c r="N369" s="47">
        <v>46190.526886574073</v>
      </c>
      <c r="P369" s="47">
        <v>46190.526886574073</v>
      </c>
      <c r="Q369" s="45" t="s">
        <v>5672</v>
      </c>
      <c r="R369" s="45" t="s">
        <v>272</v>
      </c>
      <c r="S369" s="45" t="s">
        <v>175</v>
      </c>
      <c r="T369" s="45" t="s">
        <v>268</v>
      </c>
      <c r="U369" s="45" t="s">
        <v>5531</v>
      </c>
      <c r="X369" s="45" t="s">
        <v>5531</v>
      </c>
      <c r="Y369" s="45" t="s">
        <v>5660</v>
      </c>
      <c r="Z369" s="76">
        <f t="shared" ca="1" si="53"/>
        <v>0.1935532407393718</v>
      </c>
      <c r="AA369" s="75">
        <f t="shared" ca="1" si="48"/>
        <v>0.5161419753049914</v>
      </c>
      <c r="AB369" s="76">
        <f t="shared" ca="1" si="54"/>
        <v>1.5312499999708962E-2</v>
      </c>
      <c r="AC369" s="75">
        <f t="shared" ca="1" si="49"/>
        <v>4.0833333332557231E-2</v>
      </c>
      <c r="AD369" s="76">
        <f t="shared" ca="1" si="55"/>
        <v>0</v>
      </c>
      <c r="AE369" s="76">
        <f t="shared" ca="1" si="56"/>
        <v>0.32332175926421769</v>
      </c>
      <c r="AF369" s="75">
        <f t="shared" ca="1" si="51"/>
        <v>0.8621913580379138</v>
      </c>
      <c r="AG369" s="75">
        <f t="shared" ca="1" si="52"/>
        <v>0.8621913580379138</v>
      </c>
      <c r="AH369" s="31" t="str" cm="1">
        <f t="array" aca="1" ref="AH369" ca="1">IF((AD369) &lt; (INDEX(ResponseSLA[#All],(MATCH((G369),ResponseSLA[Priority],0))+1,3)),"YES","No")</f>
        <v>YES</v>
      </c>
      <c r="AI369" s="31" t="str">
        <f ca="1">_xlfn.IFNA(IF(AE369 &lt; (INDEX(SLATable[Minimum SLA],MATCH(G369,SLATable[Priority],0))),"YES","NO"),"")</f>
        <v>YES</v>
      </c>
      <c r="AJ369" t="str">
        <f ca="1">_xlfn.IFNA(IF(AE369 &lt; (INDEX(SLATable[Maximum SLA],MATCH(G369,SLATable[Priority],0))),"YES","NO"),"")</f>
        <v>YES</v>
      </c>
    </row>
    <row r="370" spans="2:36" ht="15" customHeight="1">
      <c r="B370" s="45" t="s">
        <v>26</v>
      </c>
      <c r="C370" s="45" t="s">
        <v>44</v>
      </c>
      <c r="D370" s="45" t="s">
        <v>207</v>
      </c>
      <c r="E370" s="45" t="s">
        <v>6492</v>
      </c>
      <c r="F370" s="45" t="s">
        <v>312</v>
      </c>
      <c r="G370" s="45">
        <v>4</v>
      </c>
      <c r="H370" s="45" t="s">
        <v>6493</v>
      </c>
      <c r="I370" s="45" t="s">
        <v>275</v>
      </c>
      <c r="J370" s="45" t="s">
        <v>5963</v>
      </c>
      <c r="K370" s="47">
        <v>46174.550208333334</v>
      </c>
      <c r="L370" s="47">
        <v>46176.308287037034</v>
      </c>
      <c r="M370" s="47">
        <v>46176.308287037034</v>
      </c>
      <c r="N370" s="47">
        <v>46176.490949074076</v>
      </c>
      <c r="P370" s="47">
        <v>46176.490949074076</v>
      </c>
      <c r="Q370" s="45" t="s">
        <v>6494</v>
      </c>
      <c r="R370" s="45" t="s">
        <v>272</v>
      </c>
      <c r="S370" s="45" t="s">
        <v>175</v>
      </c>
      <c r="T370" s="45" t="s">
        <v>268</v>
      </c>
      <c r="U370" s="45" t="s">
        <v>5531</v>
      </c>
      <c r="X370" s="45" t="s">
        <v>5531</v>
      </c>
      <c r="Y370" s="45" t="s">
        <v>6495</v>
      </c>
      <c r="Z370" s="76">
        <f t="shared" ca="1" si="53"/>
        <v>0.69074074074160308</v>
      </c>
      <c r="AA370" s="75">
        <f t="shared" ca="1" si="48"/>
        <v>1.8419753086442749</v>
      </c>
      <c r="AB370" s="76">
        <f t="shared" ca="1" si="54"/>
        <v>0.15761574074228218</v>
      </c>
      <c r="AC370" s="75">
        <f t="shared" ca="1" si="49"/>
        <v>0.42030864197941914</v>
      </c>
      <c r="AD370" s="76">
        <f t="shared" ca="1" si="55"/>
        <v>0</v>
      </c>
      <c r="AE370" s="76">
        <f t="shared" ca="1" si="56"/>
        <v>1.5312499999708962E-2</v>
      </c>
      <c r="AF370" s="75">
        <f t="shared" ca="1" si="51"/>
        <v>4.0833333332557231E-2</v>
      </c>
      <c r="AG370" s="75">
        <f t="shared" ca="1" si="52"/>
        <v>4.0833333332557231E-2</v>
      </c>
      <c r="AH370" s="31" t="str" cm="1">
        <f t="array" aca="1" ref="AH370" ca="1">IF((AD370) &lt; (INDEX(ResponseSLA[#All],(MATCH((G370),ResponseSLA[Priority],0))+1,3)),"YES","No")</f>
        <v>YES</v>
      </c>
      <c r="AI370" s="31" t="str">
        <f ca="1">_xlfn.IFNA(IF(AE370 &lt; (INDEX(SLATable[Minimum SLA],MATCH(G370,SLATable[Priority],0))),"YES","NO"),"")</f>
        <v>YES</v>
      </c>
      <c r="AJ370" t="str">
        <f ca="1">_xlfn.IFNA(IF(AE370 &lt; (INDEX(SLATable[Maximum SLA],MATCH(G370,SLATable[Priority],0))),"YES","NO"),"")</f>
        <v>YES</v>
      </c>
    </row>
    <row r="371" spans="2:36" ht="15" customHeight="1">
      <c r="B371" s="45" t="s">
        <v>26</v>
      </c>
      <c r="C371" s="45" t="s">
        <v>44</v>
      </c>
      <c r="D371" s="45" t="s">
        <v>207</v>
      </c>
      <c r="E371" s="45" t="s">
        <v>5125</v>
      </c>
      <c r="F371" s="45" t="s">
        <v>312</v>
      </c>
      <c r="G371" s="45">
        <v>4</v>
      </c>
      <c r="H371" s="45" t="s">
        <v>5126</v>
      </c>
      <c r="I371" s="45" t="s">
        <v>271</v>
      </c>
      <c r="J371" s="45" t="s">
        <v>5963</v>
      </c>
      <c r="K371" s="47">
        <v>46169.6875462963</v>
      </c>
      <c r="L371" s="47">
        <v>46174.319594907407</v>
      </c>
      <c r="M371" s="47">
        <v>46174.319594907407</v>
      </c>
      <c r="N371" s="47">
        <v>46176.569699074076</v>
      </c>
      <c r="P371" s="47">
        <v>46176.569699074076</v>
      </c>
      <c r="Q371" s="45" t="s">
        <v>6496</v>
      </c>
      <c r="R371" s="45" t="s">
        <v>272</v>
      </c>
      <c r="S371" s="45" t="s">
        <v>175</v>
      </c>
      <c r="T371" s="45" t="s">
        <v>268</v>
      </c>
      <c r="U371" s="45" t="s">
        <v>5531</v>
      </c>
      <c r="X371" s="45" t="s">
        <v>5531</v>
      </c>
      <c r="Y371" s="45" t="s">
        <v>6398</v>
      </c>
      <c r="Z371" s="76">
        <f t="shared" ca="1" si="53"/>
        <v>1.7571527777763549</v>
      </c>
      <c r="AA371" s="75">
        <f t="shared" ca="1" si="48"/>
        <v>4.6857407407369465</v>
      </c>
      <c r="AB371" s="76">
        <f t="shared" ca="1" si="54"/>
        <v>0.98636574074286432</v>
      </c>
      <c r="AC371" s="75">
        <f t="shared" ca="1" si="49"/>
        <v>2.6303086419809714</v>
      </c>
      <c r="AD371" s="76">
        <f t="shared" ca="1" si="55"/>
        <v>0</v>
      </c>
      <c r="AE371" s="76">
        <f t="shared" ca="1" si="50"/>
        <v>0.98636574074286432</v>
      </c>
      <c r="AF371" s="75">
        <f t="shared" ca="1" si="51"/>
        <v>2.6303086419809714</v>
      </c>
      <c r="AG371" s="75">
        <f t="shared" ca="1" si="52"/>
        <v>2.6303086419809714</v>
      </c>
      <c r="AH371" s="31" t="str" cm="1">
        <f t="array" aca="1" ref="AH371" ca="1">IF((AD371) &lt; (INDEX(ResponseSLA[#All],(MATCH((G371),ResponseSLA[Priority],0))+1,3)),"YES","No")</f>
        <v>YES</v>
      </c>
      <c r="AI371" s="31" t="str">
        <f ca="1">_xlfn.IFNA(IF(AE371 &lt; (INDEX(SLATable[Minimum SLA],MATCH(G371,SLATable[Priority],0))),"YES","NO"),"")</f>
        <v>YES</v>
      </c>
      <c r="AJ371" t="str">
        <f ca="1">_xlfn.IFNA(IF(AE371 &lt; (INDEX(SLATable[Maximum SLA],MATCH(G371,SLATable[Priority],0))),"YES","NO"),"")</f>
        <v>YES</v>
      </c>
    </row>
    <row r="372" spans="2:36" ht="15" customHeight="1">
      <c r="B372" s="45" t="s">
        <v>26</v>
      </c>
      <c r="C372" s="45" t="s">
        <v>44</v>
      </c>
      <c r="D372" s="45" t="s">
        <v>207</v>
      </c>
      <c r="E372" s="45" t="s">
        <v>6497</v>
      </c>
      <c r="F372" s="45" t="s">
        <v>312</v>
      </c>
      <c r="G372" s="45">
        <v>3</v>
      </c>
      <c r="H372" s="45" t="s">
        <v>6498</v>
      </c>
      <c r="I372" s="45" t="s">
        <v>271</v>
      </c>
      <c r="J372" s="45" t="s">
        <v>5963</v>
      </c>
      <c r="K372" s="47">
        <v>46169.350671296299</v>
      </c>
      <c r="L372" s="47">
        <v>46171.298252314817</v>
      </c>
      <c r="M372" s="47">
        <v>46171.298252314817</v>
      </c>
      <c r="N372" s="147">
        <v>46178.288298611114</v>
      </c>
      <c r="P372" s="47">
        <v>46178.288298611114</v>
      </c>
      <c r="Q372" s="45" t="s">
        <v>6499</v>
      </c>
      <c r="R372" s="45" t="s">
        <v>272</v>
      </c>
      <c r="S372" s="45" t="s">
        <v>175</v>
      </c>
      <c r="T372" s="45" t="s">
        <v>268</v>
      </c>
      <c r="U372" s="45" t="s">
        <v>5531</v>
      </c>
      <c r="X372" s="45" t="s">
        <v>5531</v>
      </c>
      <c r="Y372" s="45" t="s">
        <v>6500</v>
      </c>
      <c r="Z372" s="76">
        <f t="shared" ca="1" si="53"/>
        <v>2.6076620370343644</v>
      </c>
      <c r="AA372" s="75">
        <f t="shared" ca="1" si="48"/>
        <v>6.9537654320916387</v>
      </c>
      <c r="AB372" s="76">
        <f t="shared" ca="1" si="54"/>
        <v>1.8750000000000002</v>
      </c>
      <c r="AC372" s="75">
        <f t="shared" ca="1" si="49"/>
        <v>5.0000000000000009</v>
      </c>
      <c r="AD372" s="76">
        <f t="shared" ca="1" si="55"/>
        <v>0</v>
      </c>
      <c r="AE372" s="76">
        <f t="shared" ca="1" si="50"/>
        <v>1.8750000000000002</v>
      </c>
      <c r="AF372" s="75">
        <f t="shared" ca="1" si="51"/>
        <v>5.0000000000000009</v>
      </c>
      <c r="AG372" s="75">
        <f t="shared" ca="1" si="52"/>
        <v>5.0000000000000009</v>
      </c>
      <c r="AH372" s="31" t="str" cm="1">
        <f t="array" aca="1" ref="AH372" ca="1">IF((AD372) &lt; (INDEX(ResponseSLA[#All],(MATCH((G372),ResponseSLA[Priority],0))+1,3)),"YES","No")</f>
        <v>YES</v>
      </c>
      <c r="AI372" s="31" t="str">
        <f ca="1">_xlfn.IFNA(IF(AE372 &lt; (INDEX(SLATable[Minimum SLA],MATCH(G372,SLATable[Priority],0))),"YES","NO"),"")</f>
        <v>NO</v>
      </c>
      <c r="AJ372" t="str">
        <f ca="1">_xlfn.IFNA(IF(AE372 &lt; (INDEX(SLATable[Maximum SLA],MATCH(G372,SLATable[Priority],0))),"YES","NO"),"")</f>
        <v>NO</v>
      </c>
    </row>
    <row r="373" spans="2:36" ht="15" customHeight="1">
      <c r="B373" s="45" t="s">
        <v>26</v>
      </c>
      <c r="C373" s="45" t="s">
        <v>44</v>
      </c>
      <c r="D373" s="45" t="s">
        <v>207</v>
      </c>
      <c r="E373" s="45" t="s">
        <v>6501</v>
      </c>
      <c r="F373" s="45" t="s">
        <v>312</v>
      </c>
      <c r="G373" s="45">
        <v>4</v>
      </c>
      <c r="H373" s="45" t="s">
        <v>6502</v>
      </c>
      <c r="I373" s="45" t="s">
        <v>275</v>
      </c>
      <c r="J373" s="45" t="s">
        <v>5963</v>
      </c>
      <c r="K373" s="47">
        <v>46174.625613425924</v>
      </c>
      <c r="L373" s="47">
        <v>46178.576006944444</v>
      </c>
      <c r="M373" s="47">
        <v>46178.576006944444</v>
      </c>
      <c r="N373" s="47">
        <v>46178.586562500001</v>
      </c>
      <c r="P373" s="47">
        <v>46178.586562500001</v>
      </c>
      <c r="Q373" s="45" t="s">
        <v>6503</v>
      </c>
      <c r="R373" s="45" t="s">
        <v>272</v>
      </c>
      <c r="S373" s="45" t="s">
        <v>175</v>
      </c>
      <c r="T373" s="45" t="s">
        <v>268</v>
      </c>
      <c r="U373" s="45" t="s">
        <v>5531</v>
      </c>
      <c r="X373" s="45" t="s">
        <v>5531</v>
      </c>
      <c r="Y373" s="45" t="s">
        <v>6398</v>
      </c>
      <c r="Z373" s="76">
        <f t="shared" ca="1" si="53"/>
        <v>1.4609490740767797</v>
      </c>
      <c r="AA373" s="75">
        <f t="shared" ca="1" si="48"/>
        <v>3.8958641975380792</v>
      </c>
      <c r="AB373" s="76">
        <f t="shared" ca="1" si="54"/>
        <v>1.0555555556493346E-2</v>
      </c>
      <c r="AC373" s="75">
        <f t="shared" ca="1" si="49"/>
        <v>2.8148148150648922E-2</v>
      </c>
      <c r="AD373" s="76">
        <f t="shared" ca="1" si="55"/>
        <v>0</v>
      </c>
      <c r="AE373" s="76">
        <f t="shared" ca="1" si="50"/>
        <v>1.0555555556493346E-2</v>
      </c>
      <c r="AF373" s="75">
        <f t="shared" ca="1" si="51"/>
        <v>2.8148148150648922E-2</v>
      </c>
      <c r="AG373" s="75">
        <f t="shared" ca="1" si="52"/>
        <v>2.8148148150648922E-2</v>
      </c>
      <c r="AH373" s="31" t="str" cm="1">
        <f t="array" aca="1" ref="AH373" ca="1">IF((AD373) &lt; (INDEX(ResponseSLA[#All],(MATCH((G373),ResponseSLA[Priority],0))+1,3)),"YES","No")</f>
        <v>YES</v>
      </c>
      <c r="AI373" s="31" t="str">
        <f ca="1">_xlfn.IFNA(IF(AE373 &lt; (INDEX(SLATable[Minimum SLA],MATCH(G373,SLATable[Priority],0))),"YES","NO"),"")</f>
        <v>YES</v>
      </c>
      <c r="AJ373" t="str">
        <f ca="1">_xlfn.IFNA(IF(AE373 &lt; (INDEX(SLATable[Maximum SLA],MATCH(G373,SLATable[Priority],0))),"YES","NO"),"")</f>
        <v>YES</v>
      </c>
    </row>
    <row r="374" spans="2:36" ht="15" customHeight="1">
      <c r="B374" s="45" t="s">
        <v>26</v>
      </c>
      <c r="C374" s="45" t="s">
        <v>44</v>
      </c>
      <c r="D374" s="45" t="s">
        <v>207</v>
      </c>
      <c r="E374" s="45" t="s">
        <v>4936</v>
      </c>
      <c r="F374" s="45" t="s">
        <v>312</v>
      </c>
      <c r="G374" s="45">
        <v>3</v>
      </c>
      <c r="H374" s="45" t="s">
        <v>4937</v>
      </c>
      <c r="I374" s="45" t="s">
        <v>275</v>
      </c>
      <c r="J374" s="45" t="s">
        <v>5963</v>
      </c>
      <c r="K374" s="47">
        <v>46176.704432870371</v>
      </c>
      <c r="L374" s="47">
        <v>46178.257615740738</v>
      </c>
      <c r="M374" s="47">
        <v>46178.257615740738</v>
      </c>
      <c r="N374" s="47">
        <v>46178.296770833331</v>
      </c>
      <c r="P374" s="47">
        <v>46178.296770833331</v>
      </c>
      <c r="Q374" s="45" t="s">
        <v>6407</v>
      </c>
      <c r="R374" s="45" t="s">
        <v>272</v>
      </c>
      <c r="S374" s="45" t="s">
        <v>175</v>
      </c>
      <c r="T374" s="45" t="s">
        <v>268</v>
      </c>
      <c r="U374" s="45" t="s">
        <v>5531</v>
      </c>
      <c r="X374" s="45" t="s">
        <v>5531</v>
      </c>
      <c r="Y374" s="45" t="s">
        <v>6495</v>
      </c>
      <c r="Z374" s="76">
        <f t="shared" ca="1" si="53"/>
        <v>0.37890046296282298</v>
      </c>
      <c r="AA374" s="75">
        <f t="shared" ca="1" si="48"/>
        <v>1.010401234567528</v>
      </c>
      <c r="AB374" s="76">
        <f t="shared" ca="1" si="54"/>
        <v>0</v>
      </c>
      <c r="AC374" s="75">
        <f t="shared" ca="1" si="49"/>
        <v>0</v>
      </c>
      <c r="AD374" s="76">
        <f t="shared" ca="1" si="55"/>
        <v>0</v>
      </c>
      <c r="AE374" s="76">
        <f t="shared" ca="1" si="50"/>
        <v>0</v>
      </c>
      <c r="AF374" s="75">
        <f t="shared" ca="1" si="51"/>
        <v>0</v>
      </c>
      <c r="AG374" s="75">
        <f t="shared" ca="1" si="52"/>
        <v>0</v>
      </c>
      <c r="AH374" s="31" t="str" cm="1">
        <f t="array" aca="1" ref="AH374" ca="1">IF((AD374) &lt; (INDEX(ResponseSLA[#All],(MATCH((G374),ResponseSLA[Priority],0))+1,3)),"YES","No")</f>
        <v>YES</v>
      </c>
      <c r="AI374" s="31" t="str">
        <f ca="1">_xlfn.IFNA(IF(AE374 &lt; (INDEX(SLATable[Minimum SLA],MATCH(G374,SLATable[Priority],0))),"YES","NO"),"")</f>
        <v>YES</v>
      </c>
      <c r="AJ374" t="str">
        <f ca="1">_xlfn.IFNA(IF(AE374 &lt; (INDEX(SLATable[Maximum SLA],MATCH(G374,SLATable[Priority],0))),"YES","NO"),"")</f>
        <v>YES</v>
      </c>
    </row>
    <row r="375" spans="2:36" ht="15" customHeight="1">
      <c r="B375" s="45" t="s">
        <v>26</v>
      </c>
      <c r="C375" s="45" t="s">
        <v>44</v>
      </c>
      <c r="D375" s="45" t="s">
        <v>207</v>
      </c>
      <c r="E375" s="45" t="s">
        <v>6504</v>
      </c>
      <c r="F375" s="45" t="s">
        <v>312</v>
      </c>
      <c r="G375" s="45">
        <v>3</v>
      </c>
      <c r="H375" s="45" t="s">
        <v>6505</v>
      </c>
      <c r="I375" s="45" t="s">
        <v>275</v>
      </c>
      <c r="J375" s="45" t="s">
        <v>5963</v>
      </c>
      <c r="K375" s="47">
        <v>46171.358807870369</v>
      </c>
      <c r="L375" s="47">
        <v>46183.261712962965</v>
      </c>
      <c r="M375" s="47">
        <v>46183.261712962965</v>
      </c>
      <c r="N375" s="47">
        <v>46183.277048611111</v>
      </c>
      <c r="P375" s="47">
        <v>46183.277048611111</v>
      </c>
      <c r="Q375" s="45" t="s">
        <v>5993</v>
      </c>
      <c r="R375" s="45" t="s">
        <v>272</v>
      </c>
      <c r="S375" s="45" t="s">
        <v>175</v>
      </c>
      <c r="T375" s="45" t="s">
        <v>268</v>
      </c>
      <c r="U375" s="45" t="s">
        <v>5531</v>
      </c>
      <c r="X375" s="45" t="s">
        <v>5531</v>
      </c>
      <c r="Y375" s="45" t="s">
        <v>6398</v>
      </c>
      <c r="Z375" s="76">
        <f t="shared" ca="1" si="53"/>
        <v>2.9745254629645697</v>
      </c>
      <c r="AA375" s="75">
        <f t="shared" ca="1" si="48"/>
        <v>7.9320679012388524</v>
      </c>
      <c r="AB375" s="76">
        <f t="shared" ca="1" si="54"/>
        <v>0</v>
      </c>
      <c r="AC375" s="75">
        <f t="shared" ca="1" si="49"/>
        <v>0</v>
      </c>
      <c r="AD375" s="76">
        <f t="shared" ca="1" si="55"/>
        <v>0</v>
      </c>
      <c r="AE375" s="76">
        <f t="shared" ca="1" si="50"/>
        <v>0</v>
      </c>
      <c r="AF375" s="75">
        <f t="shared" ca="1" si="51"/>
        <v>0</v>
      </c>
      <c r="AG375" s="75">
        <f t="shared" ca="1" si="52"/>
        <v>0</v>
      </c>
      <c r="AH375" s="31" t="str" cm="1">
        <f t="array" aca="1" ref="AH375" ca="1">IF((AD375) &lt; (INDEX(ResponseSLA[#All],(MATCH((G375),ResponseSLA[Priority],0))+1,3)),"YES","No")</f>
        <v>YES</v>
      </c>
      <c r="AI375" s="31" t="str">
        <f ca="1">_xlfn.IFNA(IF(AE375 &lt; (INDEX(SLATable[Minimum SLA],MATCH(G375,SLATable[Priority],0))),"YES","NO"),"")</f>
        <v>YES</v>
      </c>
      <c r="AJ375" t="str">
        <f ca="1">_xlfn.IFNA(IF(AE375 &lt; (INDEX(SLATable[Maximum SLA],MATCH(G375,SLATable[Priority],0))),"YES","NO"),"")</f>
        <v>YES</v>
      </c>
    </row>
    <row r="376" spans="2:36" ht="15" customHeight="1">
      <c r="B376" s="45" t="s">
        <v>26</v>
      </c>
      <c r="C376" s="45" t="s">
        <v>44</v>
      </c>
      <c r="D376" s="45" t="s">
        <v>207</v>
      </c>
      <c r="E376" s="45" t="s">
        <v>6506</v>
      </c>
      <c r="F376" s="45" t="s">
        <v>312</v>
      </c>
      <c r="G376" s="45">
        <v>4</v>
      </c>
      <c r="H376" s="45" t="s">
        <v>6507</v>
      </c>
      <c r="I376" s="45" t="s">
        <v>275</v>
      </c>
      <c r="J376" s="45" t="s">
        <v>5963</v>
      </c>
      <c r="K376" s="47">
        <v>46182.381863425922</v>
      </c>
      <c r="L376" s="47">
        <v>46183.361793981479</v>
      </c>
      <c r="M376" s="47">
        <v>46183.361793981479</v>
      </c>
      <c r="N376" s="47">
        <v>46183.459618055553</v>
      </c>
      <c r="P376" s="47">
        <v>46183.459618055553</v>
      </c>
      <c r="Q376" s="45" t="s">
        <v>6508</v>
      </c>
      <c r="R376" s="45" t="s">
        <v>272</v>
      </c>
      <c r="S376" s="45" t="s">
        <v>175</v>
      </c>
      <c r="T376" s="45" t="s">
        <v>268</v>
      </c>
      <c r="U376" s="45" t="s">
        <v>5531</v>
      </c>
      <c r="X376" s="45" t="s">
        <v>5531</v>
      </c>
      <c r="Y376" s="45" t="s">
        <v>6398</v>
      </c>
      <c r="Z376" s="76">
        <f t="shared" ca="1" si="53"/>
        <v>0.45275462963036261</v>
      </c>
      <c r="AA376" s="75">
        <f t="shared" ca="1" si="48"/>
        <v>1.2073456790143002</v>
      </c>
      <c r="AB376" s="76">
        <f t="shared" ca="1" si="54"/>
        <v>9.7824074073287193E-2</v>
      </c>
      <c r="AC376" s="75">
        <f t="shared" ca="1" si="49"/>
        <v>0.26086419752876583</v>
      </c>
      <c r="AD376" s="76">
        <f t="shared" ca="1" si="55"/>
        <v>0</v>
      </c>
      <c r="AE376" s="76">
        <f t="shared" ca="1" si="50"/>
        <v>9.7824074073287193E-2</v>
      </c>
      <c r="AF376" s="75">
        <f t="shared" ca="1" si="51"/>
        <v>0.26086419752876583</v>
      </c>
      <c r="AG376" s="75">
        <f t="shared" ca="1" si="52"/>
        <v>0.26086419752876583</v>
      </c>
      <c r="AH376" s="31" t="str" cm="1">
        <f t="array" aca="1" ref="AH376" ca="1">IF((AD376) &lt; (INDEX(ResponseSLA[#All],(MATCH((G376),ResponseSLA[Priority],0))+1,3)),"YES","No")</f>
        <v>YES</v>
      </c>
      <c r="AI376" s="31" t="str">
        <f ca="1">_xlfn.IFNA(IF(AE376 &lt; (INDEX(SLATable[Minimum SLA],MATCH(G376,SLATable[Priority],0))),"YES","NO"),"")</f>
        <v>YES</v>
      </c>
      <c r="AJ376" t="str">
        <f ca="1">_xlfn.IFNA(IF(AE376 &lt; (INDEX(SLATable[Maximum SLA],MATCH(G376,SLATable[Priority],0))),"YES","NO"),"")</f>
        <v>YES</v>
      </c>
    </row>
    <row r="377" spans="2:36" ht="15" customHeight="1">
      <c r="B377" s="45" t="s">
        <v>26</v>
      </c>
      <c r="C377" s="45" t="s">
        <v>44</v>
      </c>
      <c r="D377" s="45" t="s">
        <v>207</v>
      </c>
      <c r="E377" s="45" t="s">
        <v>5127</v>
      </c>
      <c r="F377" s="45" t="s">
        <v>312</v>
      </c>
      <c r="G377" s="45">
        <v>4</v>
      </c>
      <c r="H377" s="45" t="s">
        <v>5128</v>
      </c>
      <c r="I377" s="45" t="s">
        <v>275</v>
      </c>
      <c r="J377" s="45" t="s">
        <v>5963</v>
      </c>
      <c r="K377" s="47">
        <v>46178.869421296295</v>
      </c>
      <c r="L377" s="47">
        <v>46183.260555555556</v>
      </c>
      <c r="M377" s="47">
        <v>46183.260555555556</v>
      </c>
      <c r="N377" s="47">
        <v>46183.279004629629</v>
      </c>
      <c r="P377" s="47">
        <v>46183.279004629629</v>
      </c>
      <c r="Q377" s="45" t="s">
        <v>6407</v>
      </c>
      <c r="R377" s="45" t="s">
        <v>272</v>
      </c>
      <c r="S377" s="45" t="s">
        <v>175</v>
      </c>
      <c r="T377" s="45" t="s">
        <v>268</v>
      </c>
      <c r="U377" s="45" t="s">
        <v>5531</v>
      </c>
      <c r="X377" s="45" t="s">
        <v>5531</v>
      </c>
      <c r="Y377" s="45" t="s">
        <v>6398</v>
      </c>
      <c r="Z377" s="76">
        <f t="shared" ca="1" si="53"/>
        <v>0.75000000000000011</v>
      </c>
      <c r="AA377" s="75">
        <f t="shared" ca="1" si="48"/>
        <v>2.0000000000000004</v>
      </c>
      <c r="AB377" s="76">
        <f t="shared" ca="1" si="54"/>
        <v>0</v>
      </c>
      <c r="AC377" s="75">
        <f t="shared" ca="1" si="49"/>
        <v>0</v>
      </c>
      <c r="AD377" s="76">
        <f t="shared" ca="1" si="55"/>
        <v>0</v>
      </c>
      <c r="AE377" s="76">
        <f t="shared" ca="1" si="50"/>
        <v>0</v>
      </c>
      <c r="AF377" s="75">
        <f t="shared" ca="1" si="51"/>
        <v>0</v>
      </c>
      <c r="AG377" s="75">
        <f t="shared" ca="1" si="52"/>
        <v>0</v>
      </c>
      <c r="AH377" s="31" t="str" cm="1">
        <f t="array" aca="1" ref="AH377" ca="1">IF((AD377) &lt; (INDEX(ResponseSLA[#All],(MATCH((G377),ResponseSLA[Priority],0))+1,3)),"YES","No")</f>
        <v>YES</v>
      </c>
      <c r="AI377" s="31" t="str">
        <f ca="1">_xlfn.IFNA(IF(AE377 &lt; (INDEX(SLATable[Minimum SLA],MATCH(G377,SLATable[Priority],0))),"YES","NO"),"")</f>
        <v>YES</v>
      </c>
      <c r="AJ377" t="str">
        <f ca="1">_xlfn.IFNA(IF(AE377 &lt; (INDEX(SLATable[Maximum SLA],MATCH(G377,SLATable[Priority],0))),"YES","NO"),"")</f>
        <v>YES</v>
      </c>
    </row>
    <row r="378" spans="2:36" ht="15" customHeight="1">
      <c r="B378" s="45" t="s">
        <v>26</v>
      </c>
      <c r="C378" s="45" t="s">
        <v>44</v>
      </c>
      <c r="D378" s="45" t="s">
        <v>207</v>
      </c>
      <c r="E378" s="45" t="s">
        <v>6509</v>
      </c>
      <c r="F378" s="45" t="s">
        <v>312</v>
      </c>
      <c r="G378" s="45">
        <v>3</v>
      </c>
      <c r="H378" s="45" t="s">
        <v>6510</v>
      </c>
      <c r="I378" s="45" t="s">
        <v>271</v>
      </c>
      <c r="J378" s="45" t="s">
        <v>5963</v>
      </c>
      <c r="K378" s="47">
        <v>46169.557349537034</v>
      </c>
      <c r="L378" s="47">
        <v>46169.595509259256</v>
      </c>
      <c r="M378" s="47">
        <v>46169.595509259256</v>
      </c>
      <c r="N378" s="47">
        <v>46183.317731481482</v>
      </c>
      <c r="P378" s="47">
        <v>46183.317731481482</v>
      </c>
      <c r="Q378" s="45" t="s">
        <v>44</v>
      </c>
      <c r="R378" s="45" t="s">
        <v>261</v>
      </c>
      <c r="S378" s="45" t="s">
        <v>175</v>
      </c>
      <c r="T378" s="45" t="s">
        <v>268</v>
      </c>
      <c r="U378" s="45" t="s">
        <v>5531</v>
      </c>
      <c r="X378" s="45" t="s">
        <v>5531</v>
      </c>
      <c r="Y378" s="45" t="s">
        <v>5974</v>
      </c>
      <c r="Z378" s="76">
        <f t="shared" ca="1" si="53"/>
        <v>3.5259837962997462</v>
      </c>
      <c r="AA378" s="75">
        <f t="shared" ca="1" si="48"/>
        <v>9.4026234567993239</v>
      </c>
      <c r="AB378" s="76">
        <f t="shared" ca="1" si="54"/>
        <v>3.4878240740775563</v>
      </c>
      <c r="AC378" s="75">
        <f t="shared" ca="1" si="49"/>
        <v>9.3008641975401503</v>
      </c>
      <c r="AD378" s="76">
        <f t="shared" ca="1" si="55"/>
        <v>0</v>
      </c>
      <c r="AE378" s="76">
        <f t="shared" ca="1" si="50"/>
        <v>3.4878240740775563</v>
      </c>
      <c r="AF378" s="75">
        <f t="shared" ca="1" si="51"/>
        <v>9.3008641975401503</v>
      </c>
      <c r="AG378" s="75">
        <f t="shared" ca="1" si="52"/>
        <v>9.3008641975401503</v>
      </c>
      <c r="AH378" s="31" t="str" cm="1">
        <f t="array" aca="1" ref="AH378" ca="1">IF((AD378) &lt; (INDEX(ResponseSLA[#All],(MATCH((G378),ResponseSLA[Priority],0))+1,3)),"YES","No")</f>
        <v>YES</v>
      </c>
      <c r="AI378" s="31" t="str">
        <f ca="1">_xlfn.IFNA(IF(AE378 &lt; (INDEX(SLATable[Minimum SLA],MATCH(G378,SLATable[Priority],0))),"YES","NO"),"")</f>
        <v>NO</v>
      </c>
      <c r="AJ378" t="str">
        <f ca="1">_xlfn.IFNA(IF(AE378 &lt; (INDEX(SLATable[Maximum SLA],MATCH(G378,SLATable[Priority],0))),"YES","NO"),"")</f>
        <v>NO</v>
      </c>
    </row>
    <row r="379" spans="2:36" ht="15" customHeight="1">
      <c r="B379" s="45" t="s">
        <v>26</v>
      </c>
      <c r="C379" s="45" t="s">
        <v>44</v>
      </c>
      <c r="D379" s="45" t="s">
        <v>207</v>
      </c>
      <c r="E379" s="45" t="s">
        <v>6511</v>
      </c>
      <c r="F379" s="45" t="s">
        <v>312</v>
      </c>
      <c r="G379" s="45">
        <v>4</v>
      </c>
      <c r="H379" s="45" t="s">
        <v>6512</v>
      </c>
      <c r="I379" s="45" t="s">
        <v>275</v>
      </c>
      <c r="J379" s="45" t="s">
        <v>5963</v>
      </c>
      <c r="K379" s="47">
        <v>46183.658263888887</v>
      </c>
      <c r="L379" s="47">
        <v>46184.297835648147</v>
      </c>
      <c r="M379" s="47">
        <v>46184.297835648147</v>
      </c>
      <c r="N379" s="47">
        <v>46184.317418981482</v>
      </c>
      <c r="P379" s="47">
        <v>46184.317418981482</v>
      </c>
      <c r="Q379" s="45" t="s">
        <v>44</v>
      </c>
      <c r="R379" s="45" t="s">
        <v>272</v>
      </c>
      <c r="S379" s="45" t="s">
        <v>175</v>
      </c>
      <c r="T379" s="45" t="s">
        <v>268</v>
      </c>
      <c r="U379" s="45" t="s">
        <v>5531</v>
      </c>
      <c r="X379" s="45" t="s">
        <v>5531</v>
      </c>
      <c r="Y379" s="45" t="s">
        <v>6403</v>
      </c>
      <c r="Z379" s="76">
        <f t="shared" ca="1" si="53"/>
        <v>5.00694444466111E-2</v>
      </c>
      <c r="AA379" s="75">
        <f t="shared" ca="1" si="48"/>
        <v>0.13351851852429628</v>
      </c>
      <c r="AB379" s="76">
        <f t="shared" ca="1" si="54"/>
        <v>0</v>
      </c>
      <c r="AC379" s="75">
        <f t="shared" ca="1" si="49"/>
        <v>0</v>
      </c>
      <c r="AD379" s="76">
        <f t="shared" ca="1" si="55"/>
        <v>0</v>
      </c>
      <c r="AE379" s="76">
        <f t="shared" ca="1" si="50"/>
        <v>0</v>
      </c>
      <c r="AF379" s="75">
        <f t="shared" ca="1" si="51"/>
        <v>0</v>
      </c>
      <c r="AG379" s="75">
        <f t="shared" ca="1" si="52"/>
        <v>0</v>
      </c>
      <c r="AH379" s="31" t="str" cm="1">
        <f t="array" aca="1" ref="AH379" ca="1">IF((AD379) &lt; (INDEX(ResponseSLA[#All],(MATCH((G379),ResponseSLA[Priority],0))+1,3)),"YES","No")</f>
        <v>YES</v>
      </c>
      <c r="AI379" s="31" t="str">
        <f ca="1">_xlfn.IFNA(IF(AE379 &lt; (INDEX(SLATable[Minimum SLA],MATCH(G379,SLATable[Priority],0))),"YES","NO"),"")</f>
        <v>YES</v>
      </c>
      <c r="AJ379" t="str">
        <f ca="1">_xlfn.IFNA(IF(AE379 &lt; (INDEX(SLATable[Maximum SLA],MATCH(G379,SLATable[Priority],0))),"YES","NO"),"")</f>
        <v>YES</v>
      </c>
    </row>
    <row r="380" spans="2:36" ht="15" customHeight="1">
      <c r="B380" s="45" t="s">
        <v>26</v>
      </c>
      <c r="C380" s="45" t="s">
        <v>44</v>
      </c>
      <c r="D380" s="45" t="s">
        <v>207</v>
      </c>
      <c r="E380" s="45" t="s">
        <v>6513</v>
      </c>
      <c r="F380" s="45" t="s">
        <v>312</v>
      </c>
      <c r="G380" s="45">
        <v>4</v>
      </c>
      <c r="H380" s="45" t="s">
        <v>6514</v>
      </c>
      <c r="I380" s="45" t="s">
        <v>271</v>
      </c>
      <c r="J380" s="45" t="s">
        <v>5963</v>
      </c>
      <c r="K380" s="47">
        <v>46182.597291666665</v>
      </c>
      <c r="L380" s="47">
        <v>46188.404560185183</v>
      </c>
      <c r="M380" s="47">
        <v>46188.404560185183</v>
      </c>
      <c r="N380" s="47">
        <v>46196.303414351853</v>
      </c>
      <c r="P380" s="47">
        <v>46196.303414351853</v>
      </c>
      <c r="Q380" s="45" t="s">
        <v>44</v>
      </c>
      <c r="R380" s="45" t="s">
        <v>272</v>
      </c>
      <c r="S380" s="45" t="s">
        <v>175</v>
      </c>
      <c r="T380" s="45" t="s">
        <v>268</v>
      </c>
      <c r="U380" s="45" t="s">
        <v>5531</v>
      </c>
      <c r="X380" s="45" t="s">
        <v>5531</v>
      </c>
      <c r="Y380" s="45" t="s">
        <v>6398</v>
      </c>
      <c r="Z380" s="76">
        <f t="shared" ca="1" si="53"/>
        <v>3.4860416666682195</v>
      </c>
      <c r="AA380" s="75">
        <f t="shared" ca="1" si="48"/>
        <v>9.2961111111152519</v>
      </c>
      <c r="AB380" s="76">
        <f t="shared" ca="1" si="54"/>
        <v>2.1787731481502615</v>
      </c>
      <c r="AC380" s="75">
        <f t="shared" ca="1" si="49"/>
        <v>5.8100617284006972</v>
      </c>
      <c r="AD380" s="76">
        <f t="shared" ca="1" si="55"/>
        <v>0</v>
      </c>
      <c r="AE380" s="76">
        <f t="shared" ca="1" si="50"/>
        <v>2.1787731481502615</v>
      </c>
      <c r="AF380" s="75">
        <f t="shared" ca="1" si="51"/>
        <v>5.8100617284006972</v>
      </c>
      <c r="AG380" s="75">
        <f t="shared" ca="1" si="52"/>
        <v>5.8100617284006972</v>
      </c>
      <c r="AH380" s="31" t="str" cm="1">
        <f t="array" aca="1" ref="AH380" ca="1">IF((AD380) &lt; (INDEX(ResponseSLA[#All],(MATCH((G380),ResponseSLA[Priority],0))+1,3)),"YES","No")</f>
        <v>YES</v>
      </c>
      <c r="AI380" s="31" t="str">
        <f ca="1">_xlfn.IFNA(IF(AE380 &lt; (INDEX(SLATable[Minimum SLA],MATCH(G380,SLATable[Priority],0))),"YES","NO"),"")</f>
        <v>YES</v>
      </c>
      <c r="AJ380" t="str">
        <f ca="1">_xlfn.IFNA(IF(AE380 &lt; (INDEX(SLATable[Maximum SLA],MATCH(G380,SLATable[Priority],0))),"YES","NO"),"")</f>
        <v>YES</v>
      </c>
    </row>
    <row r="381" spans="2:36" ht="15" customHeight="1">
      <c r="B381" s="45" t="s">
        <v>26</v>
      </c>
      <c r="C381" s="45" t="s">
        <v>44</v>
      </c>
      <c r="D381" s="45" t="s">
        <v>207</v>
      </c>
      <c r="E381" s="45" t="s">
        <v>6515</v>
      </c>
      <c r="F381" s="45" t="s">
        <v>312</v>
      </c>
      <c r="G381" s="45">
        <v>4</v>
      </c>
      <c r="H381" s="45" t="s">
        <v>6516</v>
      </c>
      <c r="I381" s="45" t="s">
        <v>271</v>
      </c>
      <c r="J381" s="45" t="s">
        <v>5963</v>
      </c>
      <c r="K381" s="47">
        <v>46182.631377314814</v>
      </c>
      <c r="L381" s="47">
        <v>46183.260243055556</v>
      </c>
      <c r="M381" s="147">
        <v>46183.260243055556</v>
      </c>
      <c r="N381" s="47">
        <v>46184.386145833334</v>
      </c>
      <c r="P381" s="47">
        <v>46184.386145833334</v>
      </c>
      <c r="Q381" s="45" t="s">
        <v>44</v>
      </c>
      <c r="R381" s="45" t="s">
        <v>272</v>
      </c>
      <c r="S381" s="45" t="s">
        <v>175</v>
      </c>
      <c r="T381" s="45" t="s">
        <v>268</v>
      </c>
      <c r="U381" s="45" t="s">
        <v>5531</v>
      </c>
      <c r="X381" s="45" t="s">
        <v>5531</v>
      </c>
      <c r="Y381" s="45" t="s">
        <v>5983</v>
      </c>
      <c r="Z381" s="76">
        <f t="shared" ca="1" si="53"/>
        <v>0.50476851851999527</v>
      </c>
      <c r="AA381" s="75">
        <f t="shared" ca="1" si="48"/>
        <v>1.3460493827199873</v>
      </c>
      <c r="AB381" s="76">
        <f t="shared" ca="1" si="54"/>
        <v>0.42781250000067911</v>
      </c>
      <c r="AC381" s="75">
        <f t="shared" ca="1" si="49"/>
        <v>1.1408333333351441</v>
      </c>
      <c r="AD381" s="76">
        <f t="shared" ca="1" si="55"/>
        <v>0</v>
      </c>
      <c r="AE381" s="76">
        <f t="shared" ca="1" si="50"/>
        <v>0.42781250000067911</v>
      </c>
      <c r="AF381" s="75">
        <f t="shared" ca="1" si="51"/>
        <v>1.1408333333351441</v>
      </c>
      <c r="AG381" s="75">
        <f t="shared" ca="1" si="52"/>
        <v>1.1408333333351441</v>
      </c>
      <c r="AH381" s="31" t="str" cm="1">
        <f t="array" aca="1" ref="AH381" ca="1">IF((AD381) &lt; (INDEX(ResponseSLA[#All],(MATCH((G381),ResponseSLA[Priority],0))+1,3)),"YES","No")</f>
        <v>YES</v>
      </c>
      <c r="AI381" s="31" t="str">
        <f ca="1">_xlfn.IFNA(IF(AE381 &lt; (INDEX(SLATable[Minimum SLA],MATCH(G381,SLATable[Priority],0))),"YES","NO"),"")</f>
        <v>YES</v>
      </c>
      <c r="AJ381" t="str">
        <f ca="1">_xlfn.IFNA(IF(AE381 &lt; (INDEX(SLATable[Maximum SLA],MATCH(G381,SLATable[Priority],0))),"YES","NO"),"")</f>
        <v>YES</v>
      </c>
    </row>
    <row r="382" spans="2:36" ht="15" customHeight="1">
      <c r="B382" s="45" t="s">
        <v>26</v>
      </c>
      <c r="C382" s="45" t="s">
        <v>44</v>
      </c>
      <c r="D382" s="45" t="s">
        <v>207</v>
      </c>
      <c r="E382" s="45" t="s">
        <v>6517</v>
      </c>
      <c r="F382" s="45" t="s">
        <v>312</v>
      </c>
      <c r="G382" s="45">
        <v>4</v>
      </c>
      <c r="H382" s="45" t="s">
        <v>6518</v>
      </c>
      <c r="I382" s="45" t="s">
        <v>271</v>
      </c>
      <c r="J382" s="45" t="s">
        <v>5963</v>
      </c>
      <c r="K382" s="47">
        <v>46183.329317129632</v>
      </c>
      <c r="L382" s="47">
        <v>46183.439641203702</v>
      </c>
      <c r="M382" s="47">
        <v>46183.439641203702</v>
      </c>
      <c r="N382" s="47">
        <v>46184.652430555558</v>
      </c>
      <c r="P382" s="47">
        <v>46184.652430555558</v>
      </c>
      <c r="Q382" s="45" t="s">
        <v>44</v>
      </c>
      <c r="R382" s="45" t="s">
        <v>272</v>
      </c>
      <c r="S382" s="45" t="s">
        <v>175</v>
      </c>
      <c r="T382" s="45" t="s">
        <v>268</v>
      </c>
      <c r="U382" s="45" t="s">
        <v>5531</v>
      </c>
      <c r="X382" s="45" t="s">
        <v>5531</v>
      </c>
      <c r="Y382" s="45" t="s">
        <v>5983</v>
      </c>
      <c r="Z382" s="76">
        <f t="shared" ca="1" si="53"/>
        <v>0.69409722222432424</v>
      </c>
      <c r="AA382" s="75">
        <f t="shared" ca="1" si="48"/>
        <v>1.8509259259315312</v>
      </c>
      <c r="AB382" s="76">
        <f t="shared" ca="1" si="54"/>
        <v>0.58778935185546288</v>
      </c>
      <c r="AC382" s="75">
        <f t="shared" ca="1" si="49"/>
        <v>1.5674382716145676</v>
      </c>
      <c r="AD382" s="76">
        <f t="shared" ca="1" si="55"/>
        <v>0</v>
      </c>
      <c r="AE382" s="76">
        <f t="shared" ca="1" si="50"/>
        <v>0.58778935185546288</v>
      </c>
      <c r="AF382" s="75">
        <f t="shared" ca="1" si="51"/>
        <v>1.5674382716145676</v>
      </c>
      <c r="AG382" s="75">
        <f t="shared" ca="1" si="52"/>
        <v>1.5674382716145676</v>
      </c>
      <c r="AH382" s="31" t="str" cm="1">
        <f t="array" aca="1" ref="AH382" ca="1">IF((AD382) &lt; (INDEX(ResponseSLA[#All],(MATCH((G382),ResponseSLA[Priority],0))+1,3)),"YES","No")</f>
        <v>YES</v>
      </c>
      <c r="AI382" s="31" t="str">
        <f ca="1">_xlfn.IFNA(IF(AE382 &lt; (INDEX(SLATable[Minimum SLA],MATCH(G382,SLATable[Priority],0))),"YES","NO"),"")</f>
        <v>YES</v>
      </c>
      <c r="AJ382" t="str">
        <f ca="1">_xlfn.IFNA(IF(AE382 &lt; (INDEX(SLATable[Maximum SLA],MATCH(G382,SLATable[Priority],0))),"YES","NO"),"")</f>
        <v>YES</v>
      </c>
    </row>
    <row r="383" spans="2:36" ht="15" customHeight="1">
      <c r="B383" s="45" t="s">
        <v>26</v>
      </c>
      <c r="C383" s="45" t="s">
        <v>44</v>
      </c>
      <c r="D383" s="45" t="s">
        <v>207</v>
      </c>
      <c r="E383" s="45" t="s">
        <v>6519</v>
      </c>
      <c r="F383" s="45" t="s">
        <v>312</v>
      </c>
      <c r="G383" s="45">
        <v>3</v>
      </c>
      <c r="H383" s="45" t="s">
        <v>6520</v>
      </c>
      <c r="I383" s="45" t="s">
        <v>275</v>
      </c>
      <c r="J383" s="45" t="s">
        <v>5963</v>
      </c>
      <c r="K383" s="47">
        <v>46183.222407407404</v>
      </c>
      <c r="L383" s="47">
        <v>46183.347488425927</v>
      </c>
      <c r="M383" s="47">
        <v>46183.347488425927</v>
      </c>
      <c r="N383" s="47">
        <v>46183.363599537035</v>
      </c>
      <c r="P383" s="47">
        <v>46183.363599537035</v>
      </c>
      <c r="Q383" s="45" t="s">
        <v>44</v>
      </c>
      <c r="R383" s="45" t="s">
        <v>272</v>
      </c>
      <c r="S383" s="45" t="s">
        <v>175</v>
      </c>
      <c r="T383" s="45" t="s">
        <v>268</v>
      </c>
      <c r="U383" s="45" t="s">
        <v>5531</v>
      </c>
      <c r="X383" s="45" t="s">
        <v>5531</v>
      </c>
      <c r="Y383" s="45" t="s">
        <v>6521</v>
      </c>
      <c r="Z383" s="76">
        <f t="shared" ca="1" si="53"/>
        <v>3.0266203701709571E-2</v>
      </c>
      <c r="AA383" s="75">
        <f t="shared" ca="1" si="48"/>
        <v>8.0709876537892189E-2</v>
      </c>
      <c r="AB383" s="76">
        <f t="shared" ca="1" si="54"/>
        <v>1.6111111108330078E-2</v>
      </c>
      <c r="AC383" s="75">
        <f t="shared" ca="1" si="49"/>
        <v>4.2962962955546878E-2</v>
      </c>
      <c r="AD383" s="76">
        <f t="shared" ca="1" si="55"/>
        <v>0</v>
      </c>
      <c r="AE383" s="76">
        <f t="shared" ca="1" si="50"/>
        <v>1.6111111108330078E-2</v>
      </c>
      <c r="AF383" s="75">
        <f t="shared" ca="1" si="51"/>
        <v>4.2962962955546878E-2</v>
      </c>
      <c r="AG383" s="75">
        <f t="shared" ca="1" si="52"/>
        <v>4.2962962955546878E-2</v>
      </c>
      <c r="AH383" s="31" t="str" cm="1">
        <f t="array" aca="1" ref="AH383" ca="1">IF((AD383) &lt; (INDEX(ResponseSLA[#All],(MATCH((G383),ResponseSLA[Priority],0))+1,3)),"YES","No")</f>
        <v>YES</v>
      </c>
      <c r="AI383" s="31" t="str">
        <f ca="1">_xlfn.IFNA(IF(AE383 &lt; (INDEX(SLATable[Minimum SLA],MATCH(G383,SLATable[Priority],0))),"YES","NO"),"")</f>
        <v>YES</v>
      </c>
      <c r="AJ383" t="str">
        <f ca="1">_xlfn.IFNA(IF(AE383 &lt; (INDEX(SLATable[Maximum SLA],MATCH(G383,SLATable[Priority],0))),"YES","NO"),"")</f>
        <v>YES</v>
      </c>
    </row>
    <row r="384" spans="2:36" ht="15" customHeight="1">
      <c r="B384" s="45" t="s">
        <v>26</v>
      </c>
      <c r="C384" s="45" t="s">
        <v>44</v>
      </c>
      <c r="D384" s="45" t="s">
        <v>207</v>
      </c>
      <c r="E384" s="45" t="s">
        <v>5149</v>
      </c>
      <c r="F384" s="45" t="s">
        <v>312</v>
      </c>
      <c r="G384" s="45">
        <v>4</v>
      </c>
      <c r="H384" s="45" t="s">
        <v>5150</v>
      </c>
      <c r="I384" s="45" t="s">
        <v>275</v>
      </c>
      <c r="J384" s="45" t="s">
        <v>5963</v>
      </c>
      <c r="K384" s="47">
        <v>46183.701423611114</v>
      </c>
      <c r="L384" s="47">
        <v>46184.508611111109</v>
      </c>
      <c r="M384" s="47">
        <v>46184.508611111109</v>
      </c>
      <c r="N384" s="47">
        <v>46185.299884259257</v>
      </c>
      <c r="P384" s="47">
        <v>46185.299884259257</v>
      </c>
      <c r="Q384" s="45" t="s">
        <v>5750</v>
      </c>
      <c r="R384" s="45" t="s">
        <v>272</v>
      </c>
      <c r="S384" s="45" t="s">
        <v>175</v>
      </c>
      <c r="T384" s="45" t="s">
        <v>268</v>
      </c>
      <c r="U384" s="45" t="s">
        <v>5531</v>
      </c>
      <c r="X384" s="45" t="s">
        <v>5531</v>
      </c>
      <c r="Y384" s="45" t="s">
        <v>6398</v>
      </c>
      <c r="Z384" s="76">
        <f t="shared" ca="1" si="53"/>
        <v>0.38190972221976471</v>
      </c>
      <c r="AA384" s="75">
        <f t="shared" ca="1" si="48"/>
        <v>1.0184259259193726</v>
      </c>
      <c r="AB384" s="76">
        <f t="shared" ca="1" si="54"/>
        <v>0.19972222222471225</v>
      </c>
      <c r="AC384" s="75">
        <f t="shared" ca="1" si="49"/>
        <v>0.53259259259923264</v>
      </c>
      <c r="AD384" s="76">
        <f t="shared" ca="1" si="55"/>
        <v>0</v>
      </c>
      <c r="AE384" s="76">
        <f t="shared" ca="1" si="50"/>
        <v>0.19972222222471225</v>
      </c>
      <c r="AF384" s="75">
        <f t="shared" ca="1" si="51"/>
        <v>0.53259259259923264</v>
      </c>
      <c r="AG384" s="75">
        <f t="shared" ca="1" si="52"/>
        <v>0.53259259259923264</v>
      </c>
      <c r="AH384" s="31" t="str" cm="1">
        <f t="array" aca="1" ref="AH384" ca="1">IF((AD384) &lt; (INDEX(ResponseSLA[#All],(MATCH((G384),ResponseSLA[Priority],0))+1,3)),"YES","No")</f>
        <v>YES</v>
      </c>
      <c r="AI384" s="31" t="str">
        <f ca="1">_xlfn.IFNA(IF(AE384 &lt; (INDEX(SLATable[Minimum SLA],MATCH(G384,SLATable[Priority],0))),"YES","NO"),"")</f>
        <v>YES</v>
      </c>
      <c r="AJ384" t="str">
        <f ca="1">_xlfn.IFNA(IF(AE384 &lt; (INDEX(SLATable[Maximum SLA],MATCH(G384,SLATable[Priority],0))),"YES","NO"),"")</f>
        <v>YES</v>
      </c>
    </row>
    <row r="385" spans="2:36" ht="15" customHeight="1">
      <c r="B385" s="45" t="s">
        <v>26</v>
      </c>
      <c r="C385" s="45" t="s">
        <v>44</v>
      </c>
      <c r="D385" s="45" t="s">
        <v>207</v>
      </c>
      <c r="E385" s="45" t="s">
        <v>6522</v>
      </c>
      <c r="F385" s="45" t="s">
        <v>312</v>
      </c>
      <c r="G385" s="45">
        <v>4</v>
      </c>
      <c r="H385" s="45" t="s">
        <v>6523</v>
      </c>
      <c r="I385" s="45" t="s">
        <v>271</v>
      </c>
      <c r="J385" s="45" t="s">
        <v>5963</v>
      </c>
      <c r="K385" s="47">
        <v>46183.609803240739</v>
      </c>
      <c r="L385" s="47">
        <v>46184.293530092589</v>
      </c>
      <c r="M385" s="47">
        <v>46184.293530092589</v>
      </c>
      <c r="N385" s="47">
        <v>46185.300763888888</v>
      </c>
      <c r="P385" s="47">
        <v>46185.300763888888</v>
      </c>
      <c r="Q385" s="45" t="s">
        <v>44</v>
      </c>
      <c r="R385" s="45" t="s">
        <v>272</v>
      </c>
      <c r="S385" s="45" t="s">
        <v>175</v>
      </c>
      <c r="T385" s="45" t="s">
        <v>268</v>
      </c>
      <c r="U385" s="45" t="s">
        <v>5531</v>
      </c>
      <c r="X385" s="45" t="s">
        <v>5531</v>
      </c>
      <c r="Y385" s="45" t="s">
        <v>5983</v>
      </c>
      <c r="Z385" s="76">
        <f t="shared" ca="1" si="53"/>
        <v>0.47353009259434975</v>
      </c>
      <c r="AA385" s="75">
        <f t="shared" ca="1" si="48"/>
        <v>1.2627469135849327</v>
      </c>
      <c r="AB385" s="76">
        <f t="shared" ca="1" si="54"/>
        <v>0.37500000000000006</v>
      </c>
      <c r="AC385" s="75">
        <f t="shared" ca="1" si="49"/>
        <v>1.0000000000000002</v>
      </c>
      <c r="AD385" s="76">
        <f t="shared" ca="1" si="55"/>
        <v>0</v>
      </c>
      <c r="AE385" s="76">
        <f t="shared" ca="1" si="50"/>
        <v>0.37500000000000006</v>
      </c>
      <c r="AF385" s="75">
        <f t="shared" ca="1" si="51"/>
        <v>1.0000000000000002</v>
      </c>
      <c r="AG385" s="75">
        <f t="shared" ca="1" si="52"/>
        <v>1.0000000000000002</v>
      </c>
      <c r="AH385" s="31" t="str" cm="1">
        <f t="array" aca="1" ref="AH385" ca="1">IF((AD385) &lt; (INDEX(ResponseSLA[#All],(MATCH((G385),ResponseSLA[Priority],0))+1,3)),"YES","No")</f>
        <v>YES</v>
      </c>
      <c r="AI385" s="31" t="str">
        <f ca="1">_xlfn.IFNA(IF(AE385 &lt; (INDEX(SLATable[Minimum SLA],MATCH(G385,SLATable[Priority],0))),"YES","NO"),"")</f>
        <v>YES</v>
      </c>
      <c r="AJ385" t="str">
        <f ca="1">_xlfn.IFNA(IF(AE385 &lt; (INDEX(SLATable[Maximum SLA],MATCH(G385,SLATable[Priority],0))),"YES","NO"),"")</f>
        <v>YES</v>
      </c>
    </row>
    <row r="386" spans="2:36" ht="15" customHeight="1">
      <c r="B386" s="45" t="s">
        <v>26</v>
      </c>
      <c r="C386" s="45" t="s">
        <v>44</v>
      </c>
      <c r="D386" s="45" t="s">
        <v>207</v>
      </c>
      <c r="E386" s="45" t="s">
        <v>6524</v>
      </c>
      <c r="F386" s="45" t="s">
        <v>312</v>
      </c>
      <c r="G386" s="45">
        <v>4</v>
      </c>
      <c r="H386" s="45" t="s">
        <v>6525</v>
      </c>
      <c r="I386" s="45" t="s">
        <v>275</v>
      </c>
      <c r="J386" s="45" t="s">
        <v>5963</v>
      </c>
      <c r="K386" s="47">
        <v>46174.424942129626</v>
      </c>
      <c r="L386" s="47">
        <v>46184.647858796299</v>
      </c>
      <c r="M386" s="47">
        <v>46184.647858796299</v>
      </c>
      <c r="N386" s="47">
        <v>46185.565370370372</v>
      </c>
      <c r="P386" s="47">
        <v>46185.565370370372</v>
      </c>
      <c r="Q386" s="45" t="s">
        <v>6526</v>
      </c>
      <c r="R386" s="45" t="s">
        <v>272</v>
      </c>
      <c r="S386" s="45" t="s">
        <v>175</v>
      </c>
      <c r="T386" s="45" t="s">
        <v>268</v>
      </c>
      <c r="U386" s="45" t="s">
        <v>371</v>
      </c>
      <c r="X386" s="45" t="s">
        <v>5531</v>
      </c>
      <c r="Y386" s="45" t="s">
        <v>6521</v>
      </c>
      <c r="Z386" s="76">
        <f t="shared" ca="1" si="53"/>
        <v>3.5154282407456781</v>
      </c>
      <c r="AA386" s="75">
        <f t="shared" ca="1" si="48"/>
        <v>9.3744753086551427</v>
      </c>
      <c r="AB386" s="76">
        <f t="shared" ca="1" si="54"/>
        <v>0.29251157407270512</v>
      </c>
      <c r="AC386" s="75">
        <f t="shared" ca="1" si="49"/>
        <v>0.78003086419388035</v>
      </c>
      <c r="AD386" s="76">
        <f t="shared" ca="1" si="55"/>
        <v>0</v>
      </c>
      <c r="AE386" s="76">
        <f t="shared" ca="1" si="50"/>
        <v>0.29251157407270512</v>
      </c>
      <c r="AF386" s="75">
        <f t="shared" ca="1" si="51"/>
        <v>0.78003086419388035</v>
      </c>
      <c r="AG386" s="75">
        <f t="shared" ca="1" si="52"/>
        <v>0.78003086419388035</v>
      </c>
      <c r="AH386" s="31" t="str" cm="1">
        <f t="array" aca="1" ref="AH386" ca="1">IF((AD386) &lt; (INDEX(ResponseSLA[#All],(MATCH((G386),ResponseSLA[Priority],0))+1,3)),"YES","No")</f>
        <v>YES</v>
      </c>
      <c r="AI386" s="31" t="str">
        <f ca="1">_xlfn.IFNA(IF(AE386 &lt; (INDEX(SLATable[Minimum SLA],MATCH(G386,SLATable[Priority],0))),"YES","NO"),"")</f>
        <v>YES</v>
      </c>
      <c r="AJ386" t="str">
        <f ca="1">_xlfn.IFNA(IF(AE386 &lt; (INDEX(SLATable[Maximum SLA],MATCH(G386,SLATable[Priority],0))),"YES","NO"),"")</f>
        <v>YES</v>
      </c>
    </row>
    <row r="387" spans="2:36" ht="15" customHeight="1">
      <c r="B387" s="45" t="s">
        <v>26</v>
      </c>
      <c r="C387" s="45" t="s">
        <v>44</v>
      </c>
      <c r="D387" s="45" t="s">
        <v>207</v>
      </c>
      <c r="E387" s="45" t="s">
        <v>6527</v>
      </c>
      <c r="F387" s="45" t="s">
        <v>312</v>
      </c>
      <c r="G387" s="45">
        <v>4</v>
      </c>
      <c r="H387" s="45" t="s">
        <v>6528</v>
      </c>
      <c r="I387" s="45" t="s">
        <v>271</v>
      </c>
      <c r="J387" s="45" t="s">
        <v>5963</v>
      </c>
      <c r="K387" s="47">
        <v>46184.659189814818</v>
      </c>
      <c r="L387" s="47">
        <v>46185.292824074073</v>
      </c>
      <c r="M387" s="47">
        <v>46185.292824074073</v>
      </c>
      <c r="N387" s="47">
        <v>46185.330208333333</v>
      </c>
      <c r="P387" s="47">
        <v>46185.330208333333</v>
      </c>
      <c r="Q387" s="45" t="s">
        <v>44</v>
      </c>
      <c r="R387" s="45" t="s">
        <v>272</v>
      </c>
      <c r="S387" s="45" t="s">
        <v>175</v>
      </c>
      <c r="T387" s="45" t="s">
        <v>268</v>
      </c>
      <c r="U387" s="45" t="s">
        <v>5531</v>
      </c>
      <c r="X387" s="45" t="s">
        <v>5531</v>
      </c>
      <c r="Y387" s="45" t="s">
        <v>5983</v>
      </c>
      <c r="Z387" s="76">
        <f t="shared" ref="Z387:Z450" ca="1" si="57">IF(NOT(OR(G387=1,G387=2)),MAX(0,_xlfn.IFS(AND(K387&lt;&gt;"",N387&lt;&gt;""),((MAX(NETWORKDAYS(K387,N387,UKBankHolidays)-1,0))*(TIME(17,0,0)-TIME(8,0,0))+IF(NETWORKDAYS(N387,N387,UKBankHolidays)&gt;0,MEDIAN(TIME(8,0,0),MOD(N387,1),TIME(17,0,0)),TIME(8,0,0))-IF(NETWORKDAYS(K387,K387,UKBankHolidays)&gt;0,MEDIAN(TIME(8,0,0),MOD(K387,1),TIME(17,0,0)),TIME(8,0,0)))-IF(AND(O387&lt;&gt;"",P387&lt;&gt;""),((MAX(NETWORKDAYS(O387,P387,UKBankHolidays)-1,0))*(TIME(17,0,0)-TIME(8,0,0))+IF(NETWORKDAYS(P387,P387,UKBankHolidays)&gt;0,MEDIAN(TIME(8,0,0),MOD(P387,1),TIME(17,0,0)),TIME(8,0,0))-IF(NETWORKDAYS(O387,O387,UKBankHolidays)&gt;0,MEDIAN(TIME(8,0,0),MOD(O387,1),TIME(17,0,0)),TIME(8,0,0))),0),AND(K387&lt;&gt;"",N387=""),((MAX(NETWORKDAYS(K387,NOW(),UKBankHolidays)-1,0))*(TIME(17,0,0)-TIME(8,0,0))+IF(NETWORKDAYS(NOW(),NOW(),UKBankHolidays)&gt;0,MEDIAN(TIME(8,0,0),MOD(NOW(),1),TIME(17,0,0)),TIME(8,0,0))-IF(NETWORKDAYS(K387,K387,UKBankHolidays)&gt;0,MEDIAN(TIME(8,0,0),MOD(K387,1),TIME(17,0,0)),TIME(8,0,0))))),IF(N387="",NOW()-K387,N387-K387))</f>
        <v>4.914351851524168E-2</v>
      </c>
      <c r="AA387" s="75">
        <f t="shared" ref="AA387:AA450" ca="1" si="58">(Z387*24)/9</f>
        <v>0.13104938270731115</v>
      </c>
      <c r="AB387" s="76">
        <f t="shared" ref="AB387:AB450" ca="1" si="59">IF(NOT(OR(G387=1,G387=2)),MAX(0,_xlfn.IFS(AND(K387&lt;&gt;"",N387&lt;&gt;""),(((MAX(NETWORKDAYS(L387,N387,UKBankHolidays)-1,0))*(TIME(17,0,0)-TIME(8,0,0)))+IF(NETWORKDAYS(N387,N387,UKBankHolidays)&gt;0,MEDIAN(TIME(8,0,0),MOD(N387,1),TIME(17,0,0)),TIME(8,0,0))-IF(NETWORKDAYS(L387,L387,UKBankHolidays)&gt;0,MEDIAN(TIME(8,0,0),MOD(L387,1),TIME(17,0,0)),TIME(8,0,0)))-IF(AND(O387&lt;&gt;"",P387&lt;&gt;""),(((MAX(NETWORKDAYS(O387,P387,UKBankHolidays)-1,0))*(TIME(17,0,0)-TIME(8,0,0)))+IF(NETWORKDAYS(P387,P387,UKBankHolidays)&gt;0,MEDIAN(TIME(8,0,0),MOD(P387,1),TIME(17,0,0)),TIME(8,0,0))-IF(NETWORKDAYS(O387,O387,UKBankHolidays)&gt;0,MEDIAN(TIME(8,0,0),MOD(O387,1),TIME(17,0,0)),TIME(8,0,0))),0),AND(L387&lt;&gt;"",N387="",O387=""),(((MAX(NETWORKDAYS(L387,NOW(),UKBankHolidays)-1,0))*(TIME(17,0,0)-TIME(8,0,0)))+IF(NETWORKDAYS(NOW(),NOW(),UKBankHolidays)&gt;0,MEDIAN(TIME(8,0,0),MOD(NOW(),1),TIME(17,0,0)),TIME(8,0,0))-IF(NETWORKDAYS(L387,L387,UKBankHolidays)&gt;0,MEDIAN(TIME(8,0,0),MOD(L387,1),TIME(17,0,0)),TIME(8,0,0)))-IF(AND(O387&lt;&gt;"",P387&lt;&gt;""),(((MAX(NETWORKDAYS(O387,P387,UKBankHolidays)-1,0))*(TIME(17,0,0)-TIME(8,0,0)))+IF(NETWORKDAYS(P387,P387,UKBankHolidays)&gt;0,MEDIAN(TIME(8,0,0),MOD(P387,1),TIME(17,0,0)),TIME(8,0,0))-IF(NETWORKDAYS(O387,O387,UKBankHolidays)&gt;0,MEDIAN(TIME(8,0,0),MOD(O387,1),TIME(17,0,0)),TIME(8,0,0))),0),AND(L387&lt;&gt;"",N387="",P387="",O387&lt;&gt;""),(((MAX(NETWORKDAYS(L387,O387,UKBankHolidays)-1,0))*(TIME(17,0,0)-TIME(8,0,0)))+IF(NETWORKDAYS(O387,O387,UKBankHolidays)&gt;0,MEDIAN(TIME(8,0,0),MOD(O387,1),TIME(17,0,0)),TIME(8,0,0))-IF(NETWORKDAYS(L387,L387,UKBankHolidays)&gt;0,MEDIAN(TIME(8,0,0),MOD(L387,1),TIME(17,0,0)),TIME(8,0,0))),ISBLANK(K387),"0")),IF(ISBLANK(N387),NOW()-L387,N387-L387))</f>
        <v>0</v>
      </c>
      <c r="AC387" s="75">
        <f t="shared" ref="AC387:AC450" ca="1" si="60">(AB387*24)/9</f>
        <v>0</v>
      </c>
      <c r="AD387" s="76">
        <f t="shared" ref="AD387:AD450" ca="1" si="61">MAX(0,IF(NOT(OR(G387=1,G387=2)),IF(M387&lt;&gt;"",((MAX(NETWORKDAYS(L387,M387,UKBankHolidays)-1,0))*(TIME(17,0,0)-TIME(8,0,0))+IF(NETWORKDAYS(M387,M387,UKBankHolidays)&gt;0,MEDIAN(TIME(8,0,0),MOD(M387,1),TIME(17,0,0)),TIME(8,0,0))-MEDIAN(TIME(8,0,0),MOD(L387,1),TIME(17,0,0))),((MAX(NETWORKDAYS(L387,NOW(),UKBankHolidays)-1,0))*(TIME(17,0,0)-TIME(8,0,0))+IF(NETWORKDAYS(NOW(),NOW(),UKBankHolidays)&gt;0,MEDIAN(TIME(8,0,0),MOD(NOW(),1),TIME(17,0,0)),TIME(8,0,0))-MEDIAN(TIME(8,0,0),MOD(L387,1),TIME(17,0,0)))),IF(M387&lt;&gt;"",M387-L387,NOW()-L387)))</f>
        <v>0</v>
      </c>
      <c r="AE387" s="76">
        <f t="shared" ref="AE387:AE450" ca="1" si="62">SUMIFS(AB:AB,E:E,E387)</f>
        <v>0</v>
      </c>
      <c r="AF387" s="75">
        <f t="shared" ref="AF387:AF450" ca="1" si="63">(AE387*24)/9</f>
        <v>0</v>
      </c>
      <c r="AG387" s="75">
        <f t="shared" ref="AG387:AG450" ca="1" si="64">AF387</f>
        <v>0</v>
      </c>
      <c r="AH387" s="31" t="str" cm="1">
        <f t="array" aca="1" ref="AH387" ca="1">IF((AD387) &lt; (INDEX(ResponseSLA[#All],(MATCH((G387),ResponseSLA[Priority],0))+1,3)),"YES","No")</f>
        <v>YES</v>
      </c>
      <c r="AI387" s="31" t="str">
        <f ca="1">_xlfn.IFNA(IF(AE387 &lt; (INDEX(SLATable[Minimum SLA],MATCH(G387,SLATable[Priority],0))),"YES","NO"),"")</f>
        <v>YES</v>
      </c>
      <c r="AJ387" t="str">
        <f ca="1">_xlfn.IFNA(IF(AE387 &lt; (INDEX(SLATable[Maximum SLA],MATCH(G387,SLATable[Priority],0))),"YES","NO"),"")</f>
        <v>YES</v>
      </c>
    </row>
    <row r="388" spans="2:36" ht="15" customHeight="1">
      <c r="B388" s="45" t="s">
        <v>26</v>
      </c>
      <c r="C388" s="45" t="s">
        <v>44</v>
      </c>
      <c r="D388" s="45" t="s">
        <v>207</v>
      </c>
      <c r="E388" s="45" t="s">
        <v>6529</v>
      </c>
      <c r="F388" s="45" t="s">
        <v>312</v>
      </c>
      <c r="G388" s="45">
        <v>4</v>
      </c>
      <c r="H388" s="45" t="s">
        <v>6530</v>
      </c>
      <c r="I388" s="45" t="s">
        <v>271</v>
      </c>
      <c r="J388" s="45" t="s">
        <v>5963</v>
      </c>
      <c r="K388" s="47">
        <v>46185.293055555558</v>
      </c>
      <c r="L388" s="47">
        <v>46185.293055555558</v>
      </c>
      <c r="M388" s="47">
        <v>46185.293055555558</v>
      </c>
      <c r="N388" s="47">
        <v>46192.321192129632</v>
      </c>
      <c r="P388" s="47">
        <v>46192.321192129632</v>
      </c>
      <c r="Q388" s="45" t="s">
        <v>44</v>
      </c>
      <c r="R388" s="45" t="s">
        <v>272</v>
      </c>
      <c r="S388" s="45" t="s">
        <v>175</v>
      </c>
      <c r="T388" s="45" t="s">
        <v>268</v>
      </c>
      <c r="U388" s="45" t="s">
        <v>371</v>
      </c>
      <c r="X388" s="45" t="s">
        <v>5531</v>
      </c>
      <c r="Y388" s="45" t="s">
        <v>5983</v>
      </c>
      <c r="Z388" s="76" t="e">
        <f ca="1">IF(NOT(OR(G388=1,G388=2)),MAX(0,_xlfn.IFS(AND(K388&lt;&gt;"",#REF!&lt;&gt;""),((MAX(NETWORKDAYS(K388,#REF!,UKBankHolidays)-1,0))*(TIME(17,0,0)-TIME(8,0,0))+IF(NETWORKDAYS(#REF!,#REF!,UKBankHolidays)&gt;0,MEDIAN(TIME(8,0,0),MOD(#REF!,1),TIME(17,0,0)),TIME(8,0,0))-IF(NETWORKDAYS(K388,K388,UKBankHolidays)&gt;0,MEDIAN(TIME(8,0,0),MOD(K388,1),TIME(17,0,0)),TIME(8,0,0)))-IF(AND(O388&lt;&gt;"",#REF!&lt;&gt;""),((MAX(NETWORKDAYS(O388,#REF!,UKBankHolidays)-1,0))*(TIME(17,0,0)-TIME(8,0,0))+IF(NETWORKDAYS(#REF!,#REF!,UKBankHolidays)&gt;0,MEDIAN(TIME(8,0,0),MOD(#REF!,1),TIME(17,0,0)),TIME(8,0,0))-IF(NETWORKDAYS(O388,O388,UKBankHolidays)&gt;0,MEDIAN(TIME(8,0,0),MOD(O388,1),TIME(17,0,0)),TIME(8,0,0))),0),AND(K388&lt;&gt;"",#REF!=""),((MAX(NETWORKDAYS(K388,NOW(),UKBankHolidays)-1,0))*(TIME(17,0,0)-TIME(8,0,0))+IF(NETWORKDAYS(NOW(),NOW(),UKBankHolidays)&gt;0,MEDIAN(TIME(8,0,0),MOD(NOW(),1),TIME(17,0,0)),TIME(8,0,0))-IF(NETWORKDAYS(K388,K388,UKBankHolidays)&gt;0,MEDIAN(TIME(8,0,0),MOD(K388,1),TIME(17,0,0)),TIME(8,0,0))))),IF(#REF!="",NOW()-K388,#REF!-K388))</f>
        <v>#REF!</v>
      </c>
      <c r="AA388" s="75" t="e">
        <f t="shared" ca="1" si="58"/>
        <v>#REF!</v>
      </c>
      <c r="AB388" s="76" t="e">
        <f ca="1">IF(NOT(OR(G388=1,G388=2)),MAX(0,_xlfn.IFS(AND(K388&lt;&gt;"",#REF!&lt;&gt;""),(((MAX(NETWORKDAYS(N388,#REF!,UKBankHolidays)-1,0))*(TIME(17,0,0)-TIME(8,0,0)))+IF(NETWORKDAYS(#REF!,#REF!,UKBankHolidays)&gt;0,MEDIAN(TIME(8,0,0),MOD(#REF!,1),TIME(17,0,0)),TIME(8,0,0))-IF(NETWORKDAYS(N388,N388,UKBankHolidays)&gt;0,MEDIAN(TIME(8,0,0),MOD(N388,1),TIME(17,0,0)),TIME(8,0,0)))-IF(AND(O388&lt;&gt;"",#REF!&lt;&gt;""),(((MAX(NETWORKDAYS(O388,#REF!,UKBankHolidays)-1,0))*(TIME(17,0,0)-TIME(8,0,0)))+IF(NETWORKDAYS(#REF!,#REF!,UKBankHolidays)&gt;0,MEDIAN(TIME(8,0,0),MOD(#REF!,1),TIME(17,0,0)),TIME(8,0,0))-IF(NETWORKDAYS(O388,O388,UKBankHolidays)&gt;0,MEDIAN(TIME(8,0,0),MOD(O388,1),TIME(17,0,0)),TIME(8,0,0))),0),AND(N388&lt;&gt;"",#REF!="",O388=""),(((MAX(NETWORKDAYS(N388,NOW(),UKBankHolidays)-1,0))*(TIME(17,0,0)-TIME(8,0,0)))+IF(NETWORKDAYS(NOW(),NOW(),UKBankHolidays)&gt;0,MEDIAN(TIME(8,0,0),MOD(NOW(),1),TIME(17,0,0)),TIME(8,0,0))-IF(NETWORKDAYS(N388,N388,UKBankHolidays)&gt;0,MEDIAN(TIME(8,0,0),MOD(N388,1),TIME(17,0,0)),TIME(8,0,0)))-IF(AND(O388&lt;&gt;"",#REF!&lt;&gt;""),(((MAX(NETWORKDAYS(O388,#REF!,UKBankHolidays)-1,0))*(TIME(17,0,0)-TIME(8,0,0)))+IF(NETWORKDAYS(#REF!,#REF!,UKBankHolidays)&gt;0,MEDIAN(TIME(8,0,0),MOD(#REF!,1),TIME(17,0,0)),TIME(8,0,0))-IF(NETWORKDAYS(O388,O388,UKBankHolidays)&gt;0,MEDIAN(TIME(8,0,0),MOD(O388,1),TIME(17,0,0)),TIME(8,0,0))),0),AND(N388&lt;&gt;"",#REF!="",#REF!="",O388&lt;&gt;""),(((MAX(NETWORKDAYS(N388,O388,UKBankHolidays)-1,0))*(TIME(17,0,0)-TIME(8,0,0)))+IF(NETWORKDAYS(O388,O388,UKBankHolidays)&gt;0,MEDIAN(TIME(8,0,0),MOD(O388,1),TIME(17,0,0)),TIME(8,0,0))-IF(NETWORKDAYS(N388,N388,UKBankHolidays)&gt;0,MEDIAN(TIME(8,0,0),MOD(N388,1),TIME(17,0,0)),TIME(8,0,0))),ISBLANK(K388),"0")),IF(ISBLANK(#REF!),NOW()-N388,#REF!-N388))</f>
        <v>#REF!</v>
      </c>
      <c r="AC388" s="75" t="e">
        <f t="shared" ca="1" si="60"/>
        <v>#REF!</v>
      </c>
      <c r="AD388" s="76">
        <f ca="1">MAX(0,IF(NOT(OR(G388=1,G388=2)),IF(P388&lt;&gt;"",((MAX(NETWORKDAYS(N388,P388,UKBankHolidays)-1,0))*(TIME(17,0,0)-TIME(8,0,0))+IF(NETWORKDAYS(P388,P388,UKBankHolidays)&gt;0,MEDIAN(TIME(8,0,0),MOD(P388,1),TIME(17,0,0)),TIME(8,0,0))-MEDIAN(TIME(8,0,0),MOD(N388,1),TIME(17,0,0))),((MAX(NETWORKDAYS(N388,NOW(),UKBankHolidays)-1,0))*(TIME(17,0,0)-TIME(8,0,0))+IF(NETWORKDAYS(NOW(),NOW(),UKBankHolidays)&gt;0,MEDIAN(TIME(8,0,0),MOD(NOW(),1),TIME(17,0,0)),TIME(8,0,0))-MEDIAN(TIME(8,0,0),MOD(N388,1),TIME(17,0,0)))),IF(P388&lt;&gt;"",P388-N388,NOW()-N388)))</f>
        <v>0</v>
      </c>
      <c r="AE388" s="76" t="e">
        <f t="shared" ca="1" si="62"/>
        <v>#REF!</v>
      </c>
      <c r="AF388" s="75" t="e">
        <f t="shared" ca="1" si="63"/>
        <v>#REF!</v>
      </c>
      <c r="AG388" s="75" t="e">
        <f t="shared" ca="1" si="64"/>
        <v>#REF!</v>
      </c>
      <c r="AH388" s="31" t="str" cm="1">
        <f t="array" aca="1" ref="AH388" ca="1">IF((AD388) &lt; (INDEX(ResponseSLA[#All],(MATCH((G388),ResponseSLA[Priority],0))+1,3)),"YES","No")</f>
        <v>YES</v>
      </c>
      <c r="AI388" s="31" t="e">
        <f ca="1">_xlfn.IFNA(IF(AE388 &lt; (INDEX(SLATable[Minimum SLA],MATCH(G388,SLATable[Priority],0))),"YES","NO"),"")</f>
        <v>#REF!</v>
      </c>
      <c r="AJ388" t="e">
        <f ca="1">_xlfn.IFNA(IF(AE388 &lt; (INDEX(SLATable[Maximum SLA],MATCH(G388,SLATable[Priority],0))),"YES","NO"),"")</f>
        <v>#REF!</v>
      </c>
    </row>
    <row r="389" spans="2:36" ht="15" customHeight="1">
      <c r="B389" s="45" t="s">
        <v>26</v>
      </c>
      <c r="C389" s="45" t="s">
        <v>44</v>
      </c>
      <c r="D389" s="45" t="s">
        <v>207</v>
      </c>
      <c r="E389" s="45" t="s">
        <v>6531</v>
      </c>
      <c r="F389" s="45" t="s">
        <v>312</v>
      </c>
      <c r="G389" s="45">
        <v>4</v>
      </c>
      <c r="H389" s="45" t="s">
        <v>6532</v>
      </c>
      <c r="I389" s="45" t="s">
        <v>271</v>
      </c>
      <c r="J389" s="45" t="s">
        <v>5963</v>
      </c>
      <c r="K389" s="47">
        <v>46184.421458333331</v>
      </c>
      <c r="L389" s="47">
        <v>46184.647592592592</v>
      </c>
      <c r="M389" s="47">
        <v>46184.647592592592</v>
      </c>
      <c r="N389" s="47">
        <v>46190.345810185187</v>
      </c>
      <c r="P389" s="47">
        <v>46190.345810185187</v>
      </c>
      <c r="Q389" s="45" t="s">
        <v>44</v>
      </c>
      <c r="R389" s="45" t="s">
        <v>272</v>
      </c>
      <c r="S389" s="45" t="s">
        <v>175</v>
      </c>
      <c r="T389" s="45" t="s">
        <v>268</v>
      </c>
      <c r="U389" s="45" t="s">
        <v>5531</v>
      </c>
      <c r="X389" s="45" t="s">
        <v>5531</v>
      </c>
      <c r="Y389" s="45" t="s">
        <v>5983</v>
      </c>
      <c r="Z389" s="76">
        <f t="shared" ca="1" si="57"/>
        <v>1.4243518518560452</v>
      </c>
      <c r="AA389" s="75">
        <f t="shared" ca="1" si="58"/>
        <v>3.7982716049494538</v>
      </c>
      <c r="AB389" s="76">
        <f t="shared" ca="1" si="59"/>
        <v>1.1982175925950289</v>
      </c>
      <c r="AC389" s="75">
        <f t="shared" ca="1" si="60"/>
        <v>3.1952469135867441</v>
      </c>
      <c r="AD389" s="76">
        <f t="shared" ca="1" si="61"/>
        <v>0</v>
      </c>
      <c r="AE389" s="76">
        <f t="shared" ca="1" si="62"/>
        <v>1.1982175925950289</v>
      </c>
      <c r="AF389" s="75">
        <f t="shared" ca="1" si="63"/>
        <v>3.1952469135867441</v>
      </c>
      <c r="AG389" s="75">
        <f t="shared" ca="1" si="64"/>
        <v>3.1952469135867441</v>
      </c>
      <c r="AH389" s="31" t="str" cm="1">
        <f t="array" aca="1" ref="AH389" ca="1">IF((AD389) &lt; (INDEX(ResponseSLA[#All],(MATCH((G389),ResponseSLA[Priority],0))+1,3)),"YES","No")</f>
        <v>YES</v>
      </c>
      <c r="AI389" s="31" t="str">
        <f ca="1">_xlfn.IFNA(IF(AE389 &lt; (INDEX(SLATable[Minimum SLA],MATCH(G389,SLATable[Priority],0))),"YES","NO"),"")</f>
        <v>YES</v>
      </c>
      <c r="AJ389" t="str">
        <f ca="1">_xlfn.IFNA(IF(AE389 &lt; (INDEX(SLATable[Maximum SLA],MATCH(G389,SLATable[Priority],0))),"YES","NO"),"")</f>
        <v>YES</v>
      </c>
    </row>
    <row r="390" spans="2:36" ht="15" customHeight="1">
      <c r="B390" s="45" t="s">
        <v>26</v>
      </c>
      <c r="C390" s="45" t="s">
        <v>44</v>
      </c>
      <c r="D390" s="45" t="s">
        <v>207</v>
      </c>
      <c r="E390" s="45" t="s">
        <v>6533</v>
      </c>
      <c r="F390" s="45" t="s">
        <v>312</v>
      </c>
      <c r="G390" s="45">
        <v>3</v>
      </c>
      <c r="H390" s="45" t="s">
        <v>6534</v>
      </c>
      <c r="I390" s="45" t="s">
        <v>275</v>
      </c>
      <c r="J390" s="45" t="s">
        <v>5963</v>
      </c>
      <c r="K390" s="47">
        <v>46184.289085648146</v>
      </c>
      <c r="L390" s="47">
        <v>46190.431979166664</v>
      </c>
      <c r="M390" s="47">
        <v>46190.431979166664</v>
      </c>
      <c r="N390" s="47">
        <v>46190.436145833337</v>
      </c>
      <c r="P390" s="47">
        <v>46190.436145833337</v>
      </c>
      <c r="Q390" s="45" t="s">
        <v>6293</v>
      </c>
      <c r="R390" s="45" t="s">
        <v>272</v>
      </c>
      <c r="S390" s="45" t="s">
        <v>175</v>
      </c>
      <c r="T390" s="45" t="s">
        <v>268</v>
      </c>
      <c r="U390" s="45" t="s">
        <v>5531</v>
      </c>
      <c r="X390" s="45" t="s">
        <v>5531</v>
      </c>
      <c r="Y390" s="45" t="s">
        <v>6521</v>
      </c>
      <c r="Z390" s="76">
        <f t="shared" ca="1" si="57"/>
        <v>1.6028125000035898</v>
      </c>
      <c r="AA390" s="75">
        <f t="shared" ca="1" si="58"/>
        <v>4.2741666666762397</v>
      </c>
      <c r="AB390" s="76">
        <f t="shared" ca="1" si="59"/>
        <v>4.1666666729724966E-3</v>
      </c>
      <c r="AC390" s="75">
        <f t="shared" ca="1" si="60"/>
        <v>1.1111111127926657E-2</v>
      </c>
      <c r="AD390" s="76">
        <f t="shared" ca="1" si="61"/>
        <v>0</v>
      </c>
      <c r="AE390" s="76">
        <f>SUMIFS(AB:AB,E:E,#REF!)</f>
        <v>0</v>
      </c>
      <c r="AF390" s="75">
        <f t="shared" si="63"/>
        <v>0</v>
      </c>
      <c r="AG390" s="75">
        <f t="shared" si="64"/>
        <v>0</v>
      </c>
      <c r="AH390" s="31" t="str" cm="1">
        <f t="array" aca="1" ref="AH390" ca="1">IF((AD390) &lt; (INDEX(ResponseSLA[#All],(MATCH((G390),ResponseSLA[Priority],0))+1,3)),"YES","No")</f>
        <v>YES</v>
      </c>
      <c r="AI390" s="31" t="str">
        <f>_xlfn.IFNA(IF(AE390 &lt; (INDEX(SLATable[Minimum SLA],MATCH(G390,SLATable[Priority],0))),"YES","NO"),"")</f>
        <v>YES</v>
      </c>
      <c r="AJ390" t="str">
        <f>_xlfn.IFNA(IF(AE390 &lt; (INDEX(SLATable[Maximum SLA],MATCH(G390,SLATable[Priority],0))),"YES","NO"),"")</f>
        <v>YES</v>
      </c>
    </row>
    <row r="391" spans="2:36" ht="15" customHeight="1">
      <c r="B391" s="45" t="s">
        <v>26</v>
      </c>
      <c r="C391" s="45" t="s">
        <v>44</v>
      </c>
      <c r="D391" s="45" t="s">
        <v>207</v>
      </c>
      <c r="E391" s="45" t="s">
        <v>6535</v>
      </c>
      <c r="F391" s="45" t="s">
        <v>312</v>
      </c>
      <c r="G391" s="45">
        <v>4</v>
      </c>
      <c r="H391" s="45" t="s">
        <v>6536</v>
      </c>
      <c r="I391" s="45" t="s">
        <v>275</v>
      </c>
      <c r="J391" s="45" t="s">
        <v>5963</v>
      </c>
      <c r="K391" s="47">
        <v>46186.657534722224</v>
      </c>
      <c r="L391" s="47">
        <v>46188.490671296298</v>
      </c>
      <c r="M391" s="47">
        <v>46188.490671296298</v>
      </c>
      <c r="N391" s="47">
        <v>46190.339942129627</v>
      </c>
      <c r="P391" s="47">
        <v>46190.339942129627</v>
      </c>
      <c r="Q391" s="45" t="s">
        <v>6508</v>
      </c>
      <c r="R391" s="45" t="s">
        <v>272</v>
      </c>
      <c r="S391" s="45" t="s">
        <v>175</v>
      </c>
      <c r="T391" s="45" t="s">
        <v>268</v>
      </c>
      <c r="U391" s="45" t="s">
        <v>5531</v>
      </c>
      <c r="X391" s="45" t="s">
        <v>5531</v>
      </c>
      <c r="Y391" s="45" t="s">
        <v>6521</v>
      </c>
      <c r="Z391" s="76">
        <f t="shared" ca="1" si="57"/>
        <v>0.75660879629382793</v>
      </c>
      <c r="AA391" s="75">
        <f t="shared" ca="1" si="58"/>
        <v>2.0176234567835412</v>
      </c>
      <c r="AB391" s="76">
        <f t="shared" ca="1" si="59"/>
        <v>0.59927083332877373</v>
      </c>
      <c r="AC391" s="75">
        <f t="shared" ca="1" si="60"/>
        <v>1.5980555555433966</v>
      </c>
      <c r="AD391" s="76">
        <f t="shared" ca="1" si="61"/>
        <v>0</v>
      </c>
      <c r="AE391" s="76">
        <f ca="1">SUMIFS(AB:AB,E:E,E390)</f>
        <v>4.1666666729724966E-3</v>
      </c>
      <c r="AF391" s="75">
        <f t="shared" ca="1" si="63"/>
        <v>1.1111111127926657E-2</v>
      </c>
      <c r="AG391" s="75">
        <f t="shared" ca="1" si="64"/>
        <v>1.1111111127926657E-2</v>
      </c>
      <c r="AH391" s="31" t="str" cm="1">
        <f t="array" aca="1" ref="AH391" ca="1">IF((AD391) &lt; (INDEX(ResponseSLA[#All],(MATCH((G391),ResponseSLA[Priority],0))+1,3)),"YES","No")</f>
        <v>YES</v>
      </c>
      <c r="AI391" s="31" t="str">
        <f ca="1">_xlfn.IFNA(IF(AE391 &lt; (INDEX(SLATable[Minimum SLA],MATCH(G391,SLATable[Priority],0))),"YES","NO"),"")</f>
        <v>YES</v>
      </c>
      <c r="AJ391" t="str">
        <f ca="1">_xlfn.IFNA(IF(AE391 &lt; (INDEX(SLATable[Maximum SLA],MATCH(G391,SLATable[Priority],0))),"YES","NO"),"")</f>
        <v>YES</v>
      </c>
    </row>
    <row r="392" spans="2:36" ht="15" customHeight="1">
      <c r="B392" s="45" t="s">
        <v>26</v>
      </c>
      <c r="C392" s="45" t="s">
        <v>44</v>
      </c>
      <c r="D392" s="45" t="s">
        <v>207</v>
      </c>
      <c r="E392" s="45" t="s">
        <v>6537</v>
      </c>
      <c r="F392" s="45" t="s">
        <v>312</v>
      </c>
      <c r="G392" s="45">
        <v>3</v>
      </c>
      <c r="H392" s="45" t="s">
        <v>6538</v>
      </c>
      <c r="I392" s="45" t="s">
        <v>275</v>
      </c>
      <c r="J392" s="45" t="s">
        <v>5963</v>
      </c>
      <c r="K392" s="47">
        <v>46190.244375000002</v>
      </c>
      <c r="L392" s="47">
        <v>46190.51462962963</v>
      </c>
      <c r="M392" s="47">
        <v>46190.51462962963</v>
      </c>
      <c r="N392" s="47">
        <v>46191.31554398148</v>
      </c>
      <c r="P392" s="47">
        <v>46191.31554398148</v>
      </c>
      <c r="Q392" s="45" t="s">
        <v>6539</v>
      </c>
      <c r="R392" s="45" t="s">
        <v>272</v>
      </c>
      <c r="S392" s="45" t="s">
        <v>175</v>
      </c>
      <c r="T392" s="45" t="s">
        <v>268</v>
      </c>
      <c r="U392" s="45" t="s">
        <v>5531</v>
      </c>
      <c r="X392" s="45" t="s">
        <v>5531</v>
      </c>
      <c r="Y392" s="45" t="s">
        <v>6398</v>
      </c>
      <c r="Z392" s="76">
        <f t="shared" ca="1" si="57"/>
        <v>0.37500000000000006</v>
      </c>
      <c r="AA392" s="75">
        <f t="shared" ca="1" si="58"/>
        <v>1.0000000000000002</v>
      </c>
      <c r="AB392" s="76">
        <f t="shared" ca="1" si="59"/>
        <v>0.19370370370355283</v>
      </c>
      <c r="AC392" s="75">
        <f t="shared" ca="1" si="60"/>
        <v>0.51654320987614089</v>
      </c>
      <c r="AD392" s="76">
        <f t="shared" ca="1" si="61"/>
        <v>0</v>
      </c>
      <c r="AE392" s="76">
        <f ca="1">SUMIFS(AB:AB,E:E,E391)</f>
        <v>0.59927083332877373</v>
      </c>
      <c r="AF392" s="75">
        <f t="shared" ca="1" si="63"/>
        <v>1.5980555555433966</v>
      </c>
      <c r="AG392" s="75">
        <f t="shared" ca="1" si="64"/>
        <v>1.5980555555433966</v>
      </c>
      <c r="AH392" s="31" t="str" cm="1">
        <f t="array" aca="1" ref="AH392" ca="1">IF((AD392) &lt; (INDEX(ResponseSLA[#All],(MATCH((G392),ResponseSLA[Priority],0))+1,3)),"YES","No")</f>
        <v>YES</v>
      </c>
      <c r="AI392" s="31" t="str">
        <f ca="1">_xlfn.IFNA(IF(AE392 &lt; (INDEX(SLATable[Minimum SLA],MATCH(G392,SLATable[Priority],0))),"YES","NO"),"")</f>
        <v>NO</v>
      </c>
      <c r="AJ392" t="str">
        <f ca="1">_xlfn.IFNA(IF(AE392 &lt; (INDEX(SLATable[Maximum SLA],MATCH(G392,SLATable[Priority],0))),"YES","NO"),"")</f>
        <v>YES</v>
      </c>
    </row>
    <row r="393" spans="2:36" ht="15" customHeight="1">
      <c r="B393" s="45" t="s">
        <v>26</v>
      </c>
      <c r="C393" s="45" t="s">
        <v>44</v>
      </c>
      <c r="D393" s="45" t="s">
        <v>207</v>
      </c>
      <c r="E393" s="45" t="s">
        <v>6540</v>
      </c>
      <c r="F393" s="45" t="s">
        <v>312</v>
      </c>
      <c r="G393" s="45">
        <v>3</v>
      </c>
      <c r="H393" s="45" t="s">
        <v>6541</v>
      </c>
      <c r="I393" s="45" t="s">
        <v>271</v>
      </c>
      <c r="J393" s="45" t="s">
        <v>5963</v>
      </c>
      <c r="K393" s="47">
        <v>46190.485173611109</v>
      </c>
      <c r="L393" s="47">
        <v>46192.312245370369</v>
      </c>
      <c r="M393" s="47">
        <v>46192.312245370369</v>
      </c>
      <c r="N393" s="47">
        <v>46195.28564814815</v>
      </c>
      <c r="P393" s="47">
        <v>46195.28564814815</v>
      </c>
      <c r="Q393" s="45" t="s">
        <v>6542</v>
      </c>
      <c r="R393" s="45" t="s">
        <v>272</v>
      </c>
      <c r="S393" s="45" t="s">
        <v>175</v>
      </c>
      <c r="T393" s="45" t="s">
        <v>268</v>
      </c>
      <c r="U393" s="45" t="s">
        <v>5531</v>
      </c>
      <c r="X393" s="45" t="s">
        <v>5531</v>
      </c>
      <c r="Y393" s="45" t="s">
        <v>6398</v>
      </c>
      <c r="Z393" s="76">
        <f t="shared" ca="1" si="57"/>
        <v>0.97315972222471236</v>
      </c>
      <c r="AA393" s="75">
        <f t="shared" ca="1" si="58"/>
        <v>2.595092592599233</v>
      </c>
      <c r="AB393" s="76">
        <f t="shared" ca="1" si="59"/>
        <v>0.37500000000000006</v>
      </c>
      <c r="AC393" s="75">
        <f t="shared" ca="1" si="60"/>
        <v>1.0000000000000002</v>
      </c>
      <c r="AD393" s="76">
        <f t="shared" ca="1" si="61"/>
        <v>0</v>
      </c>
      <c r="AE393" s="76">
        <f>SUMIFS(AB:AB,E:E,#REF!)</f>
        <v>0</v>
      </c>
      <c r="AF393" s="75">
        <f t="shared" si="63"/>
        <v>0</v>
      </c>
      <c r="AG393" s="75">
        <f t="shared" si="64"/>
        <v>0</v>
      </c>
      <c r="AH393" s="31" t="str" cm="1">
        <f t="array" aca="1" ref="AH393" ca="1">IF((AD393) &lt; (INDEX(ResponseSLA[#All],(MATCH((G393),ResponseSLA[Priority],0))+1,3)),"YES","No")</f>
        <v>YES</v>
      </c>
      <c r="AI393" s="31" t="str">
        <f>_xlfn.IFNA(IF(AE393 &lt; (INDEX(SLATable[Minimum SLA],MATCH(G393,SLATable[Priority],0))),"YES","NO"),"")</f>
        <v>YES</v>
      </c>
      <c r="AJ393" t="str">
        <f>_xlfn.IFNA(IF(AE393 &lt; (INDEX(SLATable[Maximum SLA],MATCH(G393,SLATable[Priority],0))),"YES","NO"),"")</f>
        <v>YES</v>
      </c>
    </row>
    <row r="394" spans="2:36" ht="15" customHeight="1">
      <c r="B394" s="45" t="s">
        <v>26</v>
      </c>
      <c r="C394" s="45" t="s">
        <v>44</v>
      </c>
      <c r="D394" s="45" t="s">
        <v>207</v>
      </c>
      <c r="E394" s="45" t="s">
        <v>6543</v>
      </c>
      <c r="F394" s="45" t="s">
        <v>312</v>
      </c>
      <c r="G394" s="45">
        <v>4</v>
      </c>
      <c r="H394" s="45" t="s">
        <v>6544</v>
      </c>
      <c r="I394" s="45" t="s">
        <v>275</v>
      </c>
      <c r="J394" s="45" t="s">
        <v>5963</v>
      </c>
      <c r="K394" s="47">
        <v>46192.107581018521</v>
      </c>
      <c r="L394" s="47">
        <v>46192.311678240738</v>
      </c>
      <c r="M394" s="47">
        <v>46192.311678240738</v>
      </c>
      <c r="N394" s="47">
        <v>46192.319236111114</v>
      </c>
      <c r="P394" s="47">
        <v>46192.319236111114</v>
      </c>
      <c r="Q394" s="45" t="s">
        <v>6545</v>
      </c>
      <c r="R394" s="45" t="s">
        <v>272</v>
      </c>
      <c r="S394" s="45" t="s">
        <v>175</v>
      </c>
      <c r="T394" s="45" t="s">
        <v>268</v>
      </c>
      <c r="U394" s="45" t="s">
        <v>5531</v>
      </c>
      <c r="X394" s="45" t="s">
        <v>5531</v>
      </c>
      <c r="Y394" s="45" t="s">
        <v>6521</v>
      </c>
      <c r="Z394" s="76">
        <f t="shared" ca="1" si="57"/>
        <v>0</v>
      </c>
      <c r="AA394" s="75">
        <f t="shared" ca="1" si="58"/>
        <v>0</v>
      </c>
      <c r="AB394" s="76">
        <f t="shared" ca="1" si="59"/>
        <v>0</v>
      </c>
      <c r="AC394" s="75">
        <f t="shared" ca="1" si="60"/>
        <v>0</v>
      </c>
      <c r="AD394" s="76">
        <f t="shared" ca="1" si="61"/>
        <v>0</v>
      </c>
      <c r="AE394" s="76">
        <f ca="1">SUMIFS(AB:AB,E:E,E392)</f>
        <v>0.19370370370355283</v>
      </c>
      <c r="AF394" s="75">
        <f t="shared" ca="1" si="63"/>
        <v>0.51654320987614089</v>
      </c>
      <c r="AG394" s="75">
        <f t="shared" ca="1" si="64"/>
        <v>0.51654320987614089</v>
      </c>
      <c r="AH394" s="31" t="str" cm="1">
        <f t="array" aca="1" ref="AH394" ca="1">IF((AD394) &lt; (INDEX(ResponseSLA[#All],(MATCH((G394),ResponseSLA[Priority],0))+1,3)),"YES","No")</f>
        <v>YES</v>
      </c>
      <c r="AI394" s="31" t="str">
        <f ca="1">_xlfn.IFNA(IF(AE394 &lt; (INDEX(SLATable[Minimum SLA],MATCH(G394,SLATable[Priority],0))),"YES","NO"),"")</f>
        <v>YES</v>
      </c>
      <c r="AJ394" t="str">
        <f ca="1">_xlfn.IFNA(IF(AE394 &lt; (INDEX(SLATable[Maximum SLA],MATCH(G394,SLATable[Priority],0))),"YES","NO"),"")</f>
        <v>YES</v>
      </c>
    </row>
    <row r="395" spans="2:36" ht="15" customHeight="1">
      <c r="B395" s="45" t="s">
        <v>26</v>
      </c>
      <c r="C395" s="45" t="s">
        <v>44</v>
      </c>
      <c r="D395" s="45" t="s">
        <v>207</v>
      </c>
      <c r="E395" s="45" t="s">
        <v>6546</v>
      </c>
      <c r="F395" s="45" t="s">
        <v>312</v>
      </c>
      <c r="G395" s="45">
        <v>4</v>
      </c>
      <c r="H395" s="45" t="s">
        <v>6547</v>
      </c>
      <c r="I395" s="45" t="s">
        <v>271</v>
      </c>
      <c r="J395" s="45" t="s">
        <v>5963</v>
      </c>
      <c r="K395" s="47">
        <v>46181.45412037037</v>
      </c>
      <c r="L395" s="47">
        <v>46192.568611111114</v>
      </c>
      <c r="M395" s="47">
        <v>46192.568611111114</v>
      </c>
      <c r="N395" s="47">
        <v>46196.305625000001</v>
      </c>
      <c r="P395" s="47">
        <v>46196.305625000001</v>
      </c>
      <c r="Q395" s="45" t="s">
        <v>6548</v>
      </c>
      <c r="R395" s="45" t="s">
        <v>272</v>
      </c>
      <c r="S395" s="45" t="s">
        <v>175</v>
      </c>
      <c r="T395" s="45" t="s">
        <v>268</v>
      </c>
      <c r="U395" s="45" t="s">
        <v>5531</v>
      </c>
      <c r="X395" s="45" t="s">
        <v>5531</v>
      </c>
      <c r="Y395" s="45" t="s">
        <v>6398</v>
      </c>
      <c r="Z395" s="76">
        <f t="shared" ca="1" si="57"/>
        <v>4.0042129629631145</v>
      </c>
      <c r="AA395" s="75">
        <f t="shared" ca="1" si="58"/>
        <v>10.677901234568305</v>
      </c>
      <c r="AB395" s="76">
        <f t="shared" ca="1" si="59"/>
        <v>0.51472222221976471</v>
      </c>
      <c r="AC395" s="75">
        <f t="shared" ca="1" si="60"/>
        <v>1.3725925925860392</v>
      </c>
      <c r="AD395" s="76">
        <f t="shared" ca="1" si="61"/>
        <v>0</v>
      </c>
      <c r="AE395" s="76">
        <f ca="1">SUMIFS(AB:AB,E:E,E393)</f>
        <v>0.37500000000000006</v>
      </c>
      <c r="AF395" s="75">
        <f t="shared" ca="1" si="63"/>
        <v>1.0000000000000002</v>
      </c>
      <c r="AG395" s="75">
        <f t="shared" ca="1" si="64"/>
        <v>1.0000000000000002</v>
      </c>
      <c r="AH395" s="31" t="str" cm="1">
        <f t="array" aca="1" ref="AH395" ca="1">IF((AD395) &lt; (INDEX(ResponseSLA[#All],(MATCH((G395),ResponseSLA[Priority],0))+1,3)),"YES","No")</f>
        <v>YES</v>
      </c>
      <c r="AI395" s="31" t="str">
        <f ca="1">_xlfn.IFNA(IF(AE395 &lt; (INDEX(SLATable[Minimum SLA],MATCH(G395,SLATable[Priority],0))),"YES","NO"),"")</f>
        <v>YES</v>
      </c>
      <c r="AJ395" t="str">
        <f ca="1">_xlfn.IFNA(IF(AE395 &lt; (INDEX(SLATable[Maximum SLA],MATCH(G395,SLATable[Priority],0))),"YES","NO"),"")</f>
        <v>YES</v>
      </c>
    </row>
    <row r="396" spans="2:36" ht="15" customHeight="1">
      <c r="B396" s="45" t="s">
        <v>26</v>
      </c>
      <c r="C396" s="45" t="s">
        <v>44</v>
      </c>
      <c r="D396" s="45" t="s">
        <v>207</v>
      </c>
      <c r="E396" s="45" t="s">
        <v>6549</v>
      </c>
      <c r="F396" s="45" t="s">
        <v>312</v>
      </c>
      <c r="G396" s="45">
        <v>4</v>
      </c>
      <c r="H396" s="45" t="s">
        <v>6550</v>
      </c>
      <c r="I396" s="45" t="s">
        <v>275</v>
      </c>
      <c r="J396" s="45" t="s">
        <v>5963</v>
      </c>
      <c r="K396" s="47">
        <v>46177.509826388887</v>
      </c>
      <c r="L396" s="47">
        <v>46199.519479166665</v>
      </c>
      <c r="M396" s="47">
        <v>46199.519479166665</v>
      </c>
      <c r="N396" s="47">
        <v>46202.311053240737</v>
      </c>
      <c r="P396" s="47">
        <v>46202.311053240737</v>
      </c>
      <c r="Q396" s="45" t="s">
        <v>6551</v>
      </c>
      <c r="R396" s="45" t="s">
        <v>272</v>
      </c>
      <c r="S396" s="45" t="s">
        <v>175</v>
      </c>
      <c r="T396" s="45" t="s">
        <v>268</v>
      </c>
      <c r="U396" s="45" t="s">
        <v>5531</v>
      </c>
      <c r="X396" s="45" t="s">
        <v>5531</v>
      </c>
      <c r="Y396" s="45" t="s">
        <v>6398</v>
      </c>
      <c r="Z396" s="76">
        <f t="shared" ca="1" si="57"/>
        <v>6.1985069444466117</v>
      </c>
      <c r="AA396" s="75">
        <f t="shared" ca="1" si="58"/>
        <v>16.52935185185763</v>
      </c>
      <c r="AB396" s="76">
        <f t="shared" ca="1" si="59"/>
        <v>0.18885416666792787</v>
      </c>
      <c r="AC396" s="75">
        <f t="shared" ca="1" si="60"/>
        <v>0.50361111111447432</v>
      </c>
      <c r="AD396" s="76">
        <f t="shared" ca="1" si="61"/>
        <v>0</v>
      </c>
      <c r="AE396" s="76">
        <f ca="1">SUMIFS(AB:AB,E:E,E394)</f>
        <v>0</v>
      </c>
      <c r="AF396" s="75">
        <f t="shared" ca="1" si="63"/>
        <v>0</v>
      </c>
      <c r="AG396" s="75">
        <f t="shared" ca="1" si="64"/>
        <v>0</v>
      </c>
      <c r="AH396" s="31" t="str" cm="1">
        <f t="array" aca="1" ref="AH396" ca="1">IF((AD396) &lt; (INDEX(ResponseSLA[#All],(MATCH((G396),ResponseSLA[Priority],0))+1,3)),"YES","No")</f>
        <v>YES</v>
      </c>
      <c r="AI396" s="31" t="str">
        <f ca="1">_xlfn.IFNA(IF(AE396 &lt; (INDEX(SLATable[Minimum SLA],MATCH(G396,SLATable[Priority],0))),"YES","NO"),"")</f>
        <v>YES</v>
      </c>
      <c r="AJ396" t="str">
        <f ca="1">_xlfn.IFNA(IF(AE396 &lt; (INDEX(SLATable[Maximum SLA],MATCH(G396,SLATable[Priority],0))),"YES","NO"),"")</f>
        <v>YES</v>
      </c>
    </row>
    <row r="397" spans="2:36" ht="15" customHeight="1">
      <c r="B397" s="45" t="s">
        <v>26</v>
      </c>
      <c r="C397" s="45" t="s">
        <v>44</v>
      </c>
      <c r="D397" s="45" t="s">
        <v>207</v>
      </c>
      <c r="E397" s="45" t="s">
        <v>6552</v>
      </c>
      <c r="F397" s="45" t="s">
        <v>312</v>
      </c>
      <c r="G397" s="45">
        <v>3</v>
      </c>
      <c r="H397" s="45" t="s">
        <v>6553</v>
      </c>
      <c r="I397" s="45" t="s">
        <v>271</v>
      </c>
      <c r="J397" s="45" t="s">
        <v>5963</v>
      </c>
      <c r="K397" s="47">
        <v>46195.475335648145</v>
      </c>
      <c r="L397" s="47">
        <v>46195.49</v>
      </c>
      <c r="M397" s="47">
        <v>46195.49</v>
      </c>
      <c r="N397" s="47">
        <v>46202.290543981479</v>
      </c>
      <c r="P397" s="47">
        <v>46202.290543981479</v>
      </c>
      <c r="Q397" s="45" t="s">
        <v>6554</v>
      </c>
      <c r="R397" s="45" t="s">
        <v>272</v>
      </c>
      <c r="S397" s="45" t="s">
        <v>175</v>
      </c>
      <c r="T397" s="45" t="s">
        <v>268</v>
      </c>
      <c r="U397" s="45" t="s">
        <v>5531</v>
      </c>
      <c r="X397" s="45" t="s">
        <v>5531</v>
      </c>
      <c r="Y397" s="45" t="s">
        <v>6398</v>
      </c>
      <c r="Z397" s="76">
        <f t="shared" ca="1" si="57"/>
        <v>1.7329976851882143</v>
      </c>
      <c r="AA397" s="75">
        <f t="shared" ca="1" si="58"/>
        <v>4.6213271605019042</v>
      </c>
      <c r="AB397" s="76">
        <f t="shared" ca="1" si="59"/>
        <v>1.7183333333353707</v>
      </c>
      <c r="AC397" s="75">
        <f t="shared" ca="1" si="60"/>
        <v>4.5822222222276547</v>
      </c>
      <c r="AD397" s="76">
        <f t="shared" ca="1" si="61"/>
        <v>0</v>
      </c>
      <c r="AE397" s="76">
        <f>SUMIFS(AB:AB,E:E,#REF!)</f>
        <v>0</v>
      </c>
      <c r="AF397" s="75">
        <f t="shared" si="63"/>
        <v>0</v>
      </c>
      <c r="AG397" s="75">
        <f t="shared" si="64"/>
        <v>0</v>
      </c>
      <c r="AH397" s="31" t="str" cm="1">
        <f t="array" aca="1" ref="AH397" ca="1">IF((AD397) &lt; (INDEX(ResponseSLA[#All],(MATCH((G397),ResponseSLA[Priority],0))+1,3)),"YES","No")</f>
        <v>YES</v>
      </c>
      <c r="AI397" s="31" t="str">
        <f>_xlfn.IFNA(IF(AE397 &lt; (INDEX(SLATable[Minimum SLA],MATCH(G397,SLATable[Priority],0))),"YES","NO"),"")</f>
        <v>YES</v>
      </c>
      <c r="AJ397" t="str">
        <f>_xlfn.IFNA(IF(AE397 &lt; (INDEX(SLATable[Maximum SLA],MATCH(G397,SLATable[Priority],0))),"YES","NO"),"")</f>
        <v>YES</v>
      </c>
    </row>
    <row r="398" spans="2:36" ht="15" customHeight="1">
      <c r="B398" s="45" t="s">
        <v>26</v>
      </c>
      <c r="C398" s="45" t="s">
        <v>44</v>
      </c>
      <c r="D398" s="45" t="s">
        <v>207</v>
      </c>
      <c r="E398" s="45" t="s">
        <v>6555</v>
      </c>
      <c r="F398" s="45" t="s">
        <v>312</v>
      </c>
      <c r="G398" s="45">
        <v>4</v>
      </c>
      <c r="H398" s="45" t="s">
        <v>6556</v>
      </c>
      <c r="I398" s="45" t="s">
        <v>275</v>
      </c>
      <c r="J398" s="45" t="s">
        <v>5963</v>
      </c>
      <c r="K398" s="47">
        <v>46183.352743055555</v>
      </c>
      <c r="L398" s="47">
        <v>46196.421377314815</v>
      </c>
      <c r="M398" s="47">
        <v>46196.421377314815</v>
      </c>
      <c r="N398" s="47">
        <v>46196.554965277777</v>
      </c>
      <c r="P398" s="47">
        <v>46196.554965277777</v>
      </c>
      <c r="Q398" s="45" t="s">
        <v>6557</v>
      </c>
      <c r="R398" s="45" t="s">
        <v>272</v>
      </c>
      <c r="S398" s="45" t="s">
        <v>175</v>
      </c>
      <c r="T398" s="45" t="s">
        <v>268</v>
      </c>
      <c r="U398" s="45" t="s">
        <v>5531</v>
      </c>
      <c r="X398" s="45" t="s">
        <v>5531</v>
      </c>
      <c r="Y398" s="45" t="s">
        <v>6398</v>
      </c>
      <c r="Z398" s="76">
        <f t="shared" ca="1" si="57"/>
        <v>3.5772222222221903</v>
      </c>
      <c r="AA398" s="75">
        <f t="shared" ca="1" si="58"/>
        <v>9.5392592592591754</v>
      </c>
      <c r="AB398" s="76">
        <f t="shared" ca="1" si="59"/>
        <v>0.13358796296233777</v>
      </c>
      <c r="AC398" s="75">
        <f t="shared" ca="1" si="60"/>
        <v>0.35623456789956737</v>
      </c>
      <c r="AD398" s="76">
        <f t="shared" ca="1" si="61"/>
        <v>0</v>
      </c>
      <c r="AE398" s="76">
        <f>SUMIFS(AB:AB,E:E,#REF!)</f>
        <v>0</v>
      </c>
      <c r="AF398" s="75">
        <f t="shared" si="63"/>
        <v>0</v>
      </c>
      <c r="AG398" s="75">
        <f t="shared" si="64"/>
        <v>0</v>
      </c>
      <c r="AH398" s="31" t="str" cm="1">
        <f t="array" aca="1" ref="AH398" ca="1">IF((AD398) &lt; (INDEX(ResponseSLA[#All],(MATCH((G398),ResponseSLA[Priority],0))+1,3)),"YES","No")</f>
        <v>YES</v>
      </c>
      <c r="AI398" s="31" t="str">
        <f>_xlfn.IFNA(IF(AE398 &lt; (INDEX(SLATable[Minimum SLA],MATCH(G398,SLATable[Priority],0))),"YES","NO"),"")</f>
        <v>YES</v>
      </c>
      <c r="AJ398" t="str">
        <f>_xlfn.IFNA(IF(AE398 &lt; (INDEX(SLATable[Maximum SLA],MATCH(G398,SLATable[Priority],0))),"YES","NO"),"")</f>
        <v>YES</v>
      </c>
    </row>
    <row r="399" spans="2:36" ht="15" customHeight="1">
      <c r="B399" s="45" t="s">
        <v>26</v>
      </c>
      <c r="C399" s="45" t="s">
        <v>44</v>
      </c>
      <c r="D399" s="45" t="s">
        <v>207</v>
      </c>
      <c r="E399" s="45" t="s">
        <v>5214</v>
      </c>
      <c r="F399" s="45" t="s">
        <v>312</v>
      </c>
      <c r="G399" s="45">
        <v>4</v>
      </c>
      <c r="H399" s="45" t="s">
        <v>5215</v>
      </c>
      <c r="I399" s="45" t="s">
        <v>275</v>
      </c>
      <c r="J399" s="45" t="s">
        <v>5963</v>
      </c>
      <c r="K399" s="47">
        <v>46192.647662037038</v>
      </c>
      <c r="L399" s="47">
        <v>46196.473356481481</v>
      </c>
      <c r="M399" s="47">
        <v>46196.473356481481</v>
      </c>
      <c r="N399" s="47">
        <v>46196.556574074071</v>
      </c>
      <c r="P399" s="47">
        <v>46196.556574074071</v>
      </c>
      <c r="Q399" s="45" t="s">
        <v>6407</v>
      </c>
      <c r="R399" s="45" t="s">
        <v>272</v>
      </c>
      <c r="S399" s="45" t="s">
        <v>175</v>
      </c>
      <c r="T399" s="45" t="s">
        <v>268</v>
      </c>
      <c r="U399" s="45" t="s">
        <v>5531</v>
      </c>
      <c r="X399" s="45" t="s">
        <v>5531</v>
      </c>
      <c r="Y399" s="45" t="s">
        <v>6398</v>
      </c>
      <c r="Z399" s="76">
        <f t="shared" ca="1" si="57"/>
        <v>0.65891203703358769</v>
      </c>
      <c r="AA399" s="75">
        <f t="shared" ca="1" si="58"/>
        <v>1.7570987654229004</v>
      </c>
      <c r="AB399" s="76">
        <f t="shared" ca="1" si="59"/>
        <v>8.3217592589790002E-2</v>
      </c>
      <c r="AC399" s="75">
        <f t="shared" ca="1" si="60"/>
        <v>0.22191358023943999</v>
      </c>
      <c r="AD399" s="76">
        <f t="shared" ca="1" si="61"/>
        <v>0</v>
      </c>
      <c r="AE399" s="76">
        <f>SUMIFS(AB:AB,E:E,#REF!)</f>
        <v>0</v>
      </c>
      <c r="AF399" s="75">
        <f t="shared" si="63"/>
        <v>0</v>
      </c>
      <c r="AG399" s="75">
        <f t="shared" si="64"/>
        <v>0</v>
      </c>
      <c r="AH399" s="31" t="str" cm="1">
        <f t="array" aca="1" ref="AH399" ca="1">IF((AD399) &lt; (INDEX(ResponseSLA[#All],(MATCH((G399),ResponseSLA[Priority],0))+1,3)),"YES","No")</f>
        <v>YES</v>
      </c>
      <c r="AI399" s="31" t="str">
        <f>_xlfn.IFNA(IF(AE399 &lt; (INDEX(SLATable[Minimum SLA],MATCH(G399,SLATable[Priority],0))),"YES","NO"),"")</f>
        <v>YES</v>
      </c>
      <c r="AJ399" t="str">
        <f>_xlfn.IFNA(IF(AE399 &lt; (INDEX(SLATable[Maximum SLA],MATCH(G399,SLATable[Priority],0))),"YES","NO"),"")</f>
        <v>YES</v>
      </c>
    </row>
    <row r="400" spans="2:36" ht="15" customHeight="1">
      <c r="B400" s="45" t="s">
        <v>26</v>
      </c>
      <c r="C400" s="45" t="s">
        <v>44</v>
      </c>
      <c r="D400" s="45" t="s">
        <v>207</v>
      </c>
      <c r="E400" s="45" t="s">
        <v>711</v>
      </c>
      <c r="F400" s="45" t="s">
        <v>312</v>
      </c>
      <c r="G400" s="45">
        <v>3</v>
      </c>
      <c r="H400" s="45" t="s">
        <v>712</v>
      </c>
      <c r="I400" s="45" t="s">
        <v>271</v>
      </c>
      <c r="J400" s="45" t="s">
        <v>5963</v>
      </c>
      <c r="K400" s="47">
        <v>46196.536631944444</v>
      </c>
      <c r="L400" s="47">
        <v>46196.635104166664</v>
      </c>
      <c r="M400" s="47">
        <v>46196.635104166664</v>
      </c>
      <c r="N400" s="47">
        <v>46197.292951388888</v>
      </c>
      <c r="P400" s="47">
        <v>46197.292951388888</v>
      </c>
      <c r="Q400" s="45" t="s">
        <v>44</v>
      </c>
      <c r="R400" s="45" t="s">
        <v>272</v>
      </c>
      <c r="S400" s="45" t="s">
        <v>175</v>
      </c>
      <c r="T400" s="45" t="s">
        <v>268</v>
      </c>
      <c r="U400" s="45" t="s">
        <v>5531</v>
      </c>
      <c r="X400" s="45" t="s">
        <v>5531</v>
      </c>
      <c r="Y400" s="45" t="s">
        <v>6398</v>
      </c>
      <c r="Z400" s="76">
        <f t="shared" ca="1" si="57"/>
        <v>0.17170138888953568</v>
      </c>
      <c r="AA400" s="75">
        <f t="shared" ca="1" si="58"/>
        <v>0.45787037037209516</v>
      </c>
      <c r="AB400" s="76">
        <f t="shared" ca="1" si="59"/>
        <v>7.3229166669383061E-2</v>
      </c>
      <c r="AC400" s="75">
        <f t="shared" ca="1" si="60"/>
        <v>0.19527777778502151</v>
      </c>
      <c r="AD400" s="76">
        <f t="shared" ca="1" si="61"/>
        <v>0</v>
      </c>
      <c r="AE400" s="76">
        <f t="shared" ref="AE400:AE408" ca="1" si="65">SUMIFS(AB:AB,E:E,E395)</f>
        <v>0.51472222221976471</v>
      </c>
      <c r="AF400" s="75">
        <f t="shared" ca="1" si="63"/>
        <v>1.3725925925860392</v>
      </c>
      <c r="AG400" s="75">
        <f t="shared" ca="1" si="64"/>
        <v>1.3725925925860392</v>
      </c>
      <c r="AH400" s="31" t="str" cm="1">
        <f t="array" aca="1" ref="AH400" ca="1">IF((AD400) &lt; (INDEX(ResponseSLA[#All],(MATCH((G400),ResponseSLA[Priority],0))+1,3)),"YES","No")</f>
        <v>YES</v>
      </c>
      <c r="AI400" s="31" t="str">
        <f ca="1">_xlfn.IFNA(IF(AE400 &lt; (INDEX(SLATable[Minimum SLA],MATCH(G400,SLATable[Priority],0))),"YES","NO"),"")</f>
        <v>NO</v>
      </c>
      <c r="AJ400" t="str">
        <f ca="1">_xlfn.IFNA(IF(AE400 &lt; (INDEX(SLATable[Maximum SLA],MATCH(G400,SLATable[Priority],0))),"YES","NO"),"")</f>
        <v>YES</v>
      </c>
    </row>
    <row r="401" spans="2:36" ht="15" customHeight="1">
      <c r="B401" s="45" t="s">
        <v>26</v>
      </c>
      <c r="C401" s="45" t="s">
        <v>44</v>
      </c>
      <c r="D401" s="45" t="s">
        <v>207</v>
      </c>
      <c r="E401" s="45" t="s">
        <v>6558</v>
      </c>
      <c r="F401" s="45" t="s">
        <v>312</v>
      </c>
      <c r="G401" s="45">
        <v>4</v>
      </c>
      <c r="H401" s="45" t="s">
        <v>6559</v>
      </c>
      <c r="I401" s="45" t="s">
        <v>271</v>
      </c>
      <c r="J401" s="45" t="s">
        <v>5963</v>
      </c>
      <c r="K401" s="47">
        <v>46196.495046296295</v>
      </c>
      <c r="L401" s="47">
        <v>46197.505127314813</v>
      </c>
      <c r="M401" s="47">
        <v>46197.505127314813</v>
      </c>
      <c r="N401" s="47">
        <v>46198.307303240741</v>
      </c>
      <c r="P401" s="47">
        <v>46198.307303240741</v>
      </c>
      <c r="Q401" s="45" t="s">
        <v>6560</v>
      </c>
      <c r="R401" s="45" t="s">
        <v>272</v>
      </c>
      <c r="S401" s="45" t="s">
        <v>175</v>
      </c>
      <c r="T401" s="45" t="s">
        <v>268</v>
      </c>
      <c r="U401" s="45" t="s">
        <v>5531</v>
      </c>
      <c r="X401" s="45" t="s">
        <v>5531</v>
      </c>
      <c r="Y401" s="45" t="s">
        <v>6398</v>
      </c>
      <c r="Z401" s="76">
        <f t="shared" ca="1" si="57"/>
        <v>0.58828703703814744</v>
      </c>
      <c r="AA401" s="75">
        <f t="shared" ca="1" si="58"/>
        <v>1.5687654321017266</v>
      </c>
      <c r="AB401" s="76">
        <f t="shared" ca="1" si="59"/>
        <v>0.20320601852048037</v>
      </c>
      <c r="AC401" s="75">
        <f t="shared" ca="1" si="60"/>
        <v>0.54188271605461436</v>
      </c>
      <c r="AD401" s="76">
        <f t="shared" ca="1" si="61"/>
        <v>0</v>
      </c>
      <c r="AE401" s="76">
        <f t="shared" ca="1" si="65"/>
        <v>0.18885416666792787</v>
      </c>
      <c r="AF401" s="75">
        <f t="shared" ca="1" si="63"/>
        <v>0.50361111111447432</v>
      </c>
      <c r="AG401" s="75">
        <f t="shared" ca="1" si="64"/>
        <v>0.50361111111447432</v>
      </c>
      <c r="AH401" s="31" t="str" cm="1">
        <f t="array" aca="1" ref="AH401" ca="1">IF((AD401) &lt; (INDEX(ResponseSLA[#All],(MATCH((G401),ResponseSLA[Priority],0))+1,3)),"YES","No")</f>
        <v>YES</v>
      </c>
      <c r="AI401" s="31" t="str">
        <f ca="1">_xlfn.IFNA(IF(AE401 &lt; (INDEX(SLATable[Minimum SLA],MATCH(G401,SLATable[Priority],0))),"YES","NO"),"")</f>
        <v>YES</v>
      </c>
      <c r="AJ401" t="str">
        <f ca="1">_xlfn.IFNA(IF(AE401 &lt; (INDEX(SLATable[Maximum SLA],MATCH(G401,SLATable[Priority],0))),"YES","NO"),"")</f>
        <v>YES</v>
      </c>
    </row>
    <row r="402" spans="2:36" ht="15" customHeight="1">
      <c r="B402" s="45" t="s">
        <v>26</v>
      </c>
      <c r="C402" s="45" t="s">
        <v>44</v>
      </c>
      <c r="D402" s="45" t="s">
        <v>207</v>
      </c>
      <c r="E402" s="45" t="s">
        <v>6561</v>
      </c>
      <c r="F402" s="45" t="s">
        <v>312</v>
      </c>
      <c r="G402" s="45">
        <v>4</v>
      </c>
      <c r="H402" s="45" t="s">
        <v>6562</v>
      </c>
      <c r="I402" s="45" t="s">
        <v>271</v>
      </c>
      <c r="J402" s="45" t="s">
        <v>5963</v>
      </c>
      <c r="K402" s="47">
        <v>46192.432962962965</v>
      </c>
      <c r="L402" s="47">
        <v>46197.284537037034</v>
      </c>
      <c r="M402" s="47">
        <v>46197.284537037034</v>
      </c>
      <c r="N402" s="47">
        <v>46198.308854166666</v>
      </c>
      <c r="P402" s="147">
        <v>46198.308854166666</v>
      </c>
      <c r="Q402" s="45" t="s">
        <v>6563</v>
      </c>
      <c r="R402" s="45" t="s">
        <v>272</v>
      </c>
      <c r="S402" s="45" t="s">
        <v>175</v>
      </c>
      <c r="T402" s="45" t="s">
        <v>268</v>
      </c>
      <c r="U402" s="45" t="s">
        <v>5531</v>
      </c>
      <c r="X402" s="45" t="s">
        <v>5531</v>
      </c>
      <c r="Y402" s="45" t="s">
        <v>5983</v>
      </c>
      <c r="Z402" s="76">
        <f t="shared" ca="1" si="57"/>
        <v>1.4003703703686674</v>
      </c>
      <c r="AA402" s="75">
        <f t="shared" ca="1" si="58"/>
        <v>3.7343209876497792</v>
      </c>
      <c r="AB402" s="76">
        <f t="shared" ca="1" si="59"/>
        <v>0.37500000000000006</v>
      </c>
      <c r="AC402" s="75">
        <f t="shared" ca="1" si="60"/>
        <v>1.0000000000000002</v>
      </c>
      <c r="AD402" s="76">
        <f t="shared" ca="1" si="61"/>
        <v>0</v>
      </c>
      <c r="AE402" s="76">
        <f t="shared" ca="1" si="65"/>
        <v>1.7183333333353707</v>
      </c>
      <c r="AF402" s="75">
        <f t="shared" ca="1" si="63"/>
        <v>4.5822222222276547</v>
      </c>
      <c r="AG402" s="75">
        <f t="shared" ca="1" si="64"/>
        <v>4.5822222222276547</v>
      </c>
      <c r="AH402" s="31" t="str" cm="1">
        <f t="array" aca="1" ref="AH402" ca="1">IF((AD402) &lt; (INDEX(ResponseSLA[#All],(MATCH((G402),ResponseSLA[Priority],0))+1,3)),"YES","No")</f>
        <v>YES</v>
      </c>
      <c r="AI402" s="31" t="str">
        <f ca="1">_xlfn.IFNA(IF(AE402 &lt; (INDEX(SLATable[Minimum SLA],MATCH(G402,SLATable[Priority],0))),"YES","NO"),"")</f>
        <v>YES</v>
      </c>
      <c r="AJ402" t="str">
        <f ca="1">_xlfn.IFNA(IF(AE402 &lt; (INDEX(SLATable[Maximum SLA],MATCH(G402,SLATable[Priority],0))),"YES","NO"),"")</f>
        <v>YES</v>
      </c>
    </row>
    <row r="403" spans="2:36" ht="15" customHeight="1">
      <c r="B403" s="45" t="s">
        <v>26</v>
      </c>
      <c r="C403" s="45" t="s">
        <v>44</v>
      </c>
      <c r="D403" s="45" t="s">
        <v>207</v>
      </c>
      <c r="E403" s="45" t="s">
        <v>6564</v>
      </c>
      <c r="F403" s="45" t="s">
        <v>312</v>
      </c>
      <c r="G403" s="45">
        <v>3</v>
      </c>
      <c r="H403" s="45" t="s">
        <v>6565</v>
      </c>
      <c r="I403" s="45" t="s">
        <v>271</v>
      </c>
      <c r="J403" s="45" t="s">
        <v>5963</v>
      </c>
      <c r="K403" s="47">
        <v>46196.386446759258</v>
      </c>
      <c r="L403" s="47">
        <v>46197.286006944443</v>
      </c>
      <c r="M403" s="47">
        <v>46197.286006944443</v>
      </c>
      <c r="N403" s="47">
        <v>46197.303495370368</v>
      </c>
      <c r="P403" s="47">
        <v>46197.303495370368</v>
      </c>
      <c r="Q403" s="45" t="s">
        <v>5993</v>
      </c>
      <c r="R403" s="45" t="s">
        <v>272</v>
      </c>
      <c r="S403" s="45" t="s">
        <v>175</v>
      </c>
      <c r="T403" s="45" t="s">
        <v>268</v>
      </c>
      <c r="U403" s="45" t="s">
        <v>5531</v>
      </c>
      <c r="X403" s="45" t="s">
        <v>5531</v>
      </c>
      <c r="Y403" s="45" t="s">
        <v>6398</v>
      </c>
      <c r="Z403" s="76">
        <f t="shared" ca="1" si="57"/>
        <v>0.32188657407580956</v>
      </c>
      <c r="AA403" s="75">
        <f t="shared" ca="1" si="58"/>
        <v>0.8583641975354922</v>
      </c>
      <c r="AB403" s="76">
        <f t="shared" ca="1" si="59"/>
        <v>0</v>
      </c>
      <c r="AC403" s="75">
        <f t="shared" ca="1" si="60"/>
        <v>0</v>
      </c>
      <c r="AD403" s="76">
        <f t="shared" ca="1" si="61"/>
        <v>0</v>
      </c>
      <c r="AE403" s="76">
        <f t="shared" ca="1" si="65"/>
        <v>0.13358796296233777</v>
      </c>
      <c r="AF403" s="75">
        <f t="shared" ca="1" si="63"/>
        <v>0.35623456789956737</v>
      </c>
      <c r="AG403" s="75">
        <f t="shared" ca="1" si="64"/>
        <v>0.35623456789956737</v>
      </c>
      <c r="AH403" s="31" t="str" cm="1">
        <f t="array" aca="1" ref="AH403" ca="1">IF((AD403) &lt; (INDEX(ResponseSLA[#All],(MATCH((G403),ResponseSLA[Priority],0))+1,3)),"YES","No")</f>
        <v>YES</v>
      </c>
      <c r="AI403" s="31" t="str">
        <f ca="1">_xlfn.IFNA(IF(AE403 &lt; (INDEX(SLATable[Minimum SLA],MATCH(G403,SLATable[Priority],0))),"YES","NO"),"")</f>
        <v>YES</v>
      </c>
      <c r="AJ403" t="str">
        <f ca="1">_xlfn.IFNA(IF(AE403 &lt; (INDEX(SLATable[Maximum SLA],MATCH(G403,SLATable[Priority],0))),"YES","NO"),"")</f>
        <v>YES</v>
      </c>
    </row>
    <row r="404" spans="2:36" ht="15" customHeight="1">
      <c r="B404" s="45" t="s">
        <v>26</v>
      </c>
      <c r="C404" s="45" t="s">
        <v>44</v>
      </c>
      <c r="D404" s="45" t="s">
        <v>207</v>
      </c>
      <c r="E404" s="45" t="s">
        <v>6566</v>
      </c>
      <c r="F404" s="45" t="s">
        <v>312</v>
      </c>
      <c r="G404" s="45">
        <v>3</v>
      </c>
      <c r="H404" s="45" t="s">
        <v>6567</v>
      </c>
      <c r="I404" s="45" t="s">
        <v>271</v>
      </c>
      <c r="J404" s="45" t="s">
        <v>5963</v>
      </c>
      <c r="K404" s="47">
        <v>46198.420324074075</v>
      </c>
      <c r="L404" s="47">
        <v>46198.566041666665</v>
      </c>
      <c r="M404" s="47">
        <v>46198.566041666665</v>
      </c>
      <c r="N404" s="47">
        <v>46198.615578703706</v>
      </c>
      <c r="P404" s="47">
        <v>46198.615578703706</v>
      </c>
      <c r="Q404" s="45" t="s">
        <v>6083</v>
      </c>
      <c r="R404" s="45" t="s">
        <v>272</v>
      </c>
      <c r="S404" s="45" t="s">
        <v>175</v>
      </c>
      <c r="T404" s="45" t="s">
        <v>268</v>
      </c>
      <c r="U404" s="45" t="s">
        <v>5531</v>
      </c>
      <c r="X404" s="45" t="s">
        <v>5531</v>
      </c>
      <c r="Y404" s="45" t="s">
        <v>6398</v>
      </c>
      <c r="Z404" s="76">
        <f t="shared" ca="1" si="57"/>
        <v>0.19525462963065365</v>
      </c>
      <c r="AA404" s="75">
        <f t="shared" ca="1" si="58"/>
        <v>0.52067901234840974</v>
      </c>
      <c r="AB404" s="76">
        <f t="shared" ca="1" si="59"/>
        <v>4.9537037040863652E-2</v>
      </c>
      <c r="AC404" s="75">
        <f t="shared" ca="1" si="60"/>
        <v>0.13209876544230306</v>
      </c>
      <c r="AD404" s="76">
        <f t="shared" ca="1" si="61"/>
        <v>0</v>
      </c>
      <c r="AE404" s="76">
        <f t="shared" ca="1" si="65"/>
        <v>8.3217592589790002E-2</v>
      </c>
      <c r="AF404" s="75">
        <f t="shared" ca="1" si="63"/>
        <v>0.22191358023943999</v>
      </c>
      <c r="AG404" s="75">
        <f t="shared" ca="1" si="64"/>
        <v>0.22191358023943999</v>
      </c>
      <c r="AH404" s="31" t="str" cm="1">
        <f t="array" aca="1" ref="AH404" ca="1">IF((AD404) &lt; (INDEX(ResponseSLA[#All],(MATCH((G404),ResponseSLA[Priority],0))+1,3)),"YES","No")</f>
        <v>YES</v>
      </c>
      <c r="AI404" s="31" t="str">
        <f ca="1">_xlfn.IFNA(IF(AE404 &lt; (INDEX(SLATable[Minimum SLA],MATCH(G404,SLATable[Priority],0))),"YES","NO"),"")</f>
        <v>YES</v>
      </c>
      <c r="AJ404" t="str">
        <f ca="1">_xlfn.IFNA(IF(AE404 &lt; (INDEX(SLATable[Maximum SLA],MATCH(G404,SLATable[Priority],0))),"YES","NO"),"")</f>
        <v>YES</v>
      </c>
    </row>
    <row r="405" spans="2:36" ht="15" customHeight="1">
      <c r="B405" s="45" t="s">
        <v>26</v>
      </c>
      <c r="C405" s="45" t="s">
        <v>44</v>
      </c>
      <c r="D405" s="45" t="s">
        <v>207</v>
      </c>
      <c r="E405" s="45" t="s">
        <v>6568</v>
      </c>
      <c r="F405" s="45" t="s">
        <v>312</v>
      </c>
      <c r="G405" s="45">
        <v>4</v>
      </c>
      <c r="H405" s="45" t="s">
        <v>6569</v>
      </c>
      <c r="I405" s="45" t="s">
        <v>271</v>
      </c>
      <c r="J405" s="45" t="s">
        <v>5963</v>
      </c>
      <c r="K405" s="47">
        <v>46192.441574074073</v>
      </c>
      <c r="L405" s="47">
        <v>46192.489386574074</v>
      </c>
      <c r="M405" s="47">
        <v>46192.489386574074</v>
      </c>
      <c r="N405" s="47">
        <v>46199.365891203706</v>
      </c>
      <c r="P405" s="47">
        <v>46199.365891203706</v>
      </c>
      <c r="Q405" s="45" t="s">
        <v>44</v>
      </c>
      <c r="R405" s="45" t="s">
        <v>272</v>
      </c>
      <c r="S405" s="45" t="s">
        <v>175</v>
      </c>
      <c r="T405" s="45" t="s">
        <v>268</v>
      </c>
      <c r="U405" s="45" t="s">
        <v>371</v>
      </c>
      <c r="X405" s="45" t="s">
        <v>5531</v>
      </c>
      <c r="Y405" s="45" t="s">
        <v>5983</v>
      </c>
      <c r="Z405" s="76">
        <f t="shared" ca="1" si="57"/>
        <v>1.799317129632982</v>
      </c>
      <c r="AA405" s="75">
        <f t="shared" ca="1" si="58"/>
        <v>4.7981790123546189</v>
      </c>
      <c r="AB405" s="76">
        <f t="shared" ca="1" si="59"/>
        <v>1.7515046296321088</v>
      </c>
      <c r="AC405" s="75">
        <f t="shared" ca="1" si="60"/>
        <v>4.6706790123522905</v>
      </c>
      <c r="AD405" s="76">
        <f t="shared" ca="1" si="61"/>
        <v>0</v>
      </c>
      <c r="AE405" s="76">
        <f t="shared" ca="1" si="65"/>
        <v>7.3229166669383061E-2</v>
      </c>
      <c r="AF405" s="75">
        <f t="shared" ca="1" si="63"/>
        <v>0.19527777778502151</v>
      </c>
      <c r="AG405" s="75">
        <f t="shared" ca="1" si="64"/>
        <v>0.19527777778502151</v>
      </c>
      <c r="AH405" s="31" t="str" cm="1">
        <f t="array" aca="1" ref="AH405" ca="1">IF((AD405) &lt; (INDEX(ResponseSLA[#All],(MATCH((G405),ResponseSLA[Priority],0))+1,3)),"YES","No")</f>
        <v>YES</v>
      </c>
      <c r="AI405" s="31" t="str">
        <f ca="1">_xlfn.IFNA(IF(AE405 &lt; (INDEX(SLATable[Minimum SLA],MATCH(G405,SLATable[Priority],0))),"YES","NO"),"")</f>
        <v>YES</v>
      </c>
      <c r="AJ405" t="str">
        <f ca="1">_xlfn.IFNA(IF(AE405 &lt; (INDEX(SLATable[Maximum SLA],MATCH(G405,SLATable[Priority],0))),"YES","NO"),"")</f>
        <v>YES</v>
      </c>
    </row>
    <row r="406" spans="2:36" ht="15" customHeight="1">
      <c r="B406" s="45" t="s">
        <v>26</v>
      </c>
      <c r="C406" s="45" t="s">
        <v>44</v>
      </c>
      <c r="D406" s="45" t="s">
        <v>207</v>
      </c>
      <c r="E406" s="45" t="s">
        <v>6570</v>
      </c>
      <c r="F406" s="45" t="s">
        <v>312</v>
      </c>
      <c r="G406" s="45">
        <v>3</v>
      </c>
      <c r="H406" s="45" t="s">
        <v>6571</v>
      </c>
      <c r="I406" s="45" t="s">
        <v>271</v>
      </c>
      <c r="J406" s="45" t="s">
        <v>5963</v>
      </c>
      <c r="K406" s="47">
        <v>46197.443310185183</v>
      </c>
      <c r="L406" s="47">
        <v>46197.462407407409</v>
      </c>
      <c r="M406" s="47">
        <v>46197.462407407409</v>
      </c>
      <c r="N406" s="47">
        <v>46202.312592592592</v>
      </c>
      <c r="P406" s="147">
        <v>46202.312592592592</v>
      </c>
      <c r="Q406" s="45" t="s">
        <v>44</v>
      </c>
      <c r="R406" s="45" t="s">
        <v>272</v>
      </c>
      <c r="S406" s="45" t="s">
        <v>175</v>
      </c>
      <c r="T406" s="45" t="s">
        <v>268</v>
      </c>
      <c r="U406" s="45" t="s">
        <v>5531</v>
      </c>
      <c r="X406" s="45" t="s">
        <v>5531</v>
      </c>
      <c r="Y406" s="45" t="s">
        <v>6398</v>
      </c>
      <c r="Z406" s="76">
        <f t="shared" ca="1" si="57"/>
        <v>1.0150231481505521</v>
      </c>
      <c r="AA406" s="75">
        <f t="shared" ca="1" si="58"/>
        <v>2.7067283950681387</v>
      </c>
      <c r="AB406" s="76">
        <f t="shared" ca="1" si="59"/>
        <v>0.99592592592428764</v>
      </c>
      <c r="AC406" s="75">
        <f t="shared" ca="1" si="60"/>
        <v>2.6558024691314337</v>
      </c>
      <c r="AD406" s="76">
        <f t="shared" ca="1" si="61"/>
        <v>0</v>
      </c>
      <c r="AE406" s="76">
        <f t="shared" ca="1" si="65"/>
        <v>0.20320601852048037</v>
      </c>
      <c r="AF406" s="75">
        <f t="shared" ca="1" si="63"/>
        <v>0.54188271605461436</v>
      </c>
      <c r="AG406" s="75">
        <f t="shared" ca="1" si="64"/>
        <v>0.54188271605461436</v>
      </c>
      <c r="AH406" s="31" t="str" cm="1">
        <f t="array" aca="1" ref="AH406" ca="1">IF((AD406) &lt; (INDEX(ResponseSLA[#All],(MATCH((G406),ResponseSLA[Priority],0))+1,3)),"YES","No")</f>
        <v>YES</v>
      </c>
      <c r="AI406" s="31" t="str">
        <f ca="1">_xlfn.IFNA(IF(AE406 &lt; (INDEX(SLATable[Minimum SLA],MATCH(G406,SLATable[Priority],0))),"YES","NO"),"")</f>
        <v>YES</v>
      </c>
      <c r="AJ406" t="str">
        <f ca="1">_xlfn.IFNA(IF(AE406 &lt; (INDEX(SLATable[Maximum SLA],MATCH(G406,SLATable[Priority],0))),"YES","NO"),"")</f>
        <v>YES</v>
      </c>
    </row>
    <row r="407" spans="2:36" ht="15" customHeight="1">
      <c r="B407" s="45" t="s">
        <v>26</v>
      </c>
      <c r="C407" s="45" t="s">
        <v>44</v>
      </c>
      <c r="D407" s="45" t="s">
        <v>208</v>
      </c>
      <c r="E407" s="45" t="s">
        <v>6572</v>
      </c>
      <c r="F407" s="45" t="s">
        <v>312</v>
      </c>
      <c r="G407" s="45" t="s">
        <v>208</v>
      </c>
      <c r="H407" s="45" t="s">
        <v>6573</v>
      </c>
      <c r="I407" s="45" t="s">
        <v>271</v>
      </c>
      <c r="J407" s="45" t="s">
        <v>5963</v>
      </c>
      <c r="K407" s="47">
        <v>46176.491782407407</v>
      </c>
      <c r="L407" s="47">
        <v>46177.432372685187</v>
      </c>
      <c r="M407" s="47">
        <v>46177.432372685187</v>
      </c>
      <c r="N407" s="47">
        <v>46185.334594907406</v>
      </c>
      <c r="P407" s="47">
        <v>46185.334594907406</v>
      </c>
      <c r="Q407" s="45" t="s">
        <v>44</v>
      </c>
      <c r="R407" s="45" t="s">
        <v>261</v>
      </c>
      <c r="S407" s="45" t="s">
        <v>175</v>
      </c>
      <c r="T407" s="45" t="s">
        <v>268</v>
      </c>
      <c r="U407" s="45" t="s">
        <v>5531</v>
      </c>
      <c r="X407" s="45" t="s">
        <v>5531</v>
      </c>
      <c r="Y407" s="45" t="s">
        <v>5983</v>
      </c>
      <c r="Z407" s="76">
        <f t="shared" ca="1" si="57"/>
        <v>2.4678124999991273</v>
      </c>
      <c r="AA407" s="75">
        <f t="shared" ca="1" si="58"/>
        <v>6.5808333333310065</v>
      </c>
      <c r="AB407" s="76">
        <f t="shared" ca="1" si="59"/>
        <v>2.1522222222192799</v>
      </c>
      <c r="AC407" s="75">
        <f t="shared" ca="1" si="60"/>
        <v>5.7392592592514138</v>
      </c>
      <c r="AD407" s="76">
        <f t="shared" ca="1" si="61"/>
        <v>0</v>
      </c>
      <c r="AE407" s="76">
        <f t="shared" ca="1" si="65"/>
        <v>0.37500000000000006</v>
      </c>
      <c r="AF407" s="75">
        <f t="shared" ca="1" si="63"/>
        <v>1.0000000000000002</v>
      </c>
      <c r="AG407" s="75">
        <f t="shared" ca="1" si="64"/>
        <v>1.0000000000000002</v>
      </c>
      <c r="AH407" s="31" t="str" cm="1">
        <f t="array" aca="1" ref="AH407" ca="1">IF((AD407) &lt; (INDEX(ResponseSLA[#All],(MATCH((G407),ResponseSLA[Priority],0))+1,3)),"YES","No")</f>
        <v>YES</v>
      </c>
      <c r="AI407" s="31" t="str">
        <f ca="1">_xlfn.IFNA(IF(AE407 &lt; (INDEX(SLATable[Minimum SLA],MATCH(G407,SLATable[Priority],0))),"YES","NO"),"")</f>
        <v>YES</v>
      </c>
      <c r="AJ407" t="str">
        <f ca="1">_xlfn.IFNA(IF(AE407 &lt; (INDEX(SLATable[Maximum SLA],MATCH(G407,SLATable[Priority],0))),"YES","NO"),"")</f>
        <v>YES</v>
      </c>
    </row>
    <row r="408" spans="2:36" ht="15" customHeight="1">
      <c r="B408" s="45" t="s">
        <v>26</v>
      </c>
      <c r="C408" s="45" t="s">
        <v>44</v>
      </c>
      <c r="D408" s="45" t="s">
        <v>208</v>
      </c>
      <c r="E408" s="45" t="s">
        <v>6574</v>
      </c>
      <c r="F408" s="45" t="s">
        <v>312</v>
      </c>
      <c r="G408" s="45" t="s">
        <v>208</v>
      </c>
      <c r="H408" s="45" t="s">
        <v>6575</v>
      </c>
      <c r="I408" s="45" t="s">
        <v>271</v>
      </c>
      <c r="J408" s="45" t="s">
        <v>5963</v>
      </c>
      <c r="K408" s="47">
        <v>46170.65892361111</v>
      </c>
      <c r="L408" s="47">
        <v>46171.307314814818</v>
      </c>
      <c r="M408" s="47">
        <v>46171.307314814818</v>
      </c>
      <c r="N408" s="47">
        <v>46185.335231481484</v>
      </c>
      <c r="P408" s="47">
        <v>46185.335231481484</v>
      </c>
      <c r="Q408" s="45" t="s">
        <v>44</v>
      </c>
      <c r="R408" s="45" t="s">
        <v>272</v>
      </c>
      <c r="S408" s="45" t="s">
        <v>175</v>
      </c>
      <c r="T408" s="45" t="s">
        <v>268</v>
      </c>
      <c r="U408" s="45" t="s">
        <v>5531</v>
      </c>
      <c r="X408" s="45" t="s">
        <v>5531</v>
      </c>
      <c r="Y408" s="45" t="s">
        <v>6398</v>
      </c>
      <c r="Z408" s="76">
        <f t="shared" ca="1" si="57"/>
        <v>3.8013078703734218</v>
      </c>
      <c r="AA408" s="75">
        <f t="shared" ca="1" si="58"/>
        <v>10.136820987662459</v>
      </c>
      <c r="AB408" s="76">
        <f t="shared" ca="1" si="59"/>
        <v>3.7518981481504547</v>
      </c>
      <c r="AC408" s="75">
        <f t="shared" ca="1" si="60"/>
        <v>10.005061728401213</v>
      </c>
      <c r="AD408" s="76">
        <f t="shared" ca="1" si="61"/>
        <v>0</v>
      </c>
      <c r="AE408" s="76">
        <f t="shared" ca="1" si="65"/>
        <v>0</v>
      </c>
      <c r="AF408" s="75">
        <f t="shared" ca="1" si="63"/>
        <v>0</v>
      </c>
      <c r="AG408" s="75">
        <f t="shared" ca="1" si="64"/>
        <v>0</v>
      </c>
      <c r="AH408" s="31" t="str" cm="1">
        <f t="array" aca="1" ref="AH408" ca="1">IF((AD408) &lt; (INDEX(ResponseSLA[#All],(MATCH((G408),ResponseSLA[Priority],0))+1,3)),"YES","No")</f>
        <v>YES</v>
      </c>
      <c r="AI408" s="31" t="str">
        <f ca="1">_xlfn.IFNA(IF(AE408 &lt; (INDEX(SLATable[Minimum SLA],MATCH(G408,SLATable[Priority],0))),"YES","NO"),"")</f>
        <v>YES</v>
      </c>
      <c r="AJ408" t="str">
        <f ca="1">_xlfn.IFNA(IF(AE408 &lt; (INDEX(SLATable[Maximum SLA],MATCH(G408,SLATable[Priority],0))),"YES","NO"),"")</f>
        <v>YES</v>
      </c>
    </row>
    <row r="409" spans="2:36" ht="15" customHeight="1">
      <c r="B409" s="45" t="s">
        <v>26</v>
      </c>
      <c r="C409" s="45" t="s">
        <v>44</v>
      </c>
      <c r="D409" s="45" t="s">
        <v>208</v>
      </c>
      <c r="E409" s="45" t="s">
        <v>6576</v>
      </c>
      <c r="F409" s="45" t="s">
        <v>312</v>
      </c>
      <c r="G409" s="45" t="s">
        <v>208</v>
      </c>
      <c r="H409" s="45" t="s">
        <v>6577</v>
      </c>
      <c r="I409" s="45" t="s">
        <v>275</v>
      </c>
      <c r="J409" s="45" t="s">
        <v>5963</v>
      </c>
      <c r="K409" s="47">
        <v>46182.571446759262</v>
      </c>
      <c r="L409" s="47">
        <v>46182.583368055559</v>
      </c>
      <c r="M409" s="47">
        <v>46182.583368055559</v>
      </c>
      <c r="N409" s="47">
        <v>46185.551516203705</v>
      </c>
      <c r="P409" s="47">
        <v>46185.551516203705</v>
      </c>
      <c r="Q409" s="45" t="s">
        <v>44</v>
      </c>
      <c r="R409" s="45" t="s">
        <v>261</v>
      </c>
      <c r="S409" s="45" t="s">
        <v>175</v>
      </c>
      <c r="T409" s="45" t="s">
        <v>268</v>
      </c>
      <c r="U409" s="45" t="s">
        <v>5531</v>
      </c>
      <c r="X409" s="45" t="s">
        <v>5531</v>
      </c>
      <c r="Y409" s="45" t="s">
        <v>6578</v>
      </c>
      <c r="Z409" s="76">
        <f t="shared" ca="1" si="57"/>
        <v>1.1050694444420517</v>
      </c>
      <c r="AA409" s="75">
        <f t="shared" ca="1" si="58"/>
        <v>2.9468518518454712</v>
      </c>
      <c r="AB409" s="76">
        <f t="shared" ca="1" si="59"/>
        <v>1.0931481481457015</v>
      </c>
      <c r="AC409" s="75">
        <f t="shared" ca="1" si="60"/>
        <v>2.9150617283885376</v>
      </c>
      <c r="AD409" s="76">
        <f t="shared" ca="1" si="61"/>
        <v>0</v>
      </c>
      <c r="AE409" s="76">
        <f>SUMIFS(AB:AB,E:E,#REF!)</f>
        <v>0</v>
      </c>
      <c r="AF409" s="75">
        <f t="shared" si="63"/>
        <v>0</v>
      </c>
      <c r="AG409" s="75">
        <f t="shared" si="64"/>
        <v>0</v>
      </c>
      <c r="AH409" s="31" t="str" cm="1">
        <f t="array" aca="1" ref="AH409" ca="1">IF((AD409) &lt; (INDEX(ResponseSLA[#All],(MATCH((G409),ResponseSLA[Priority],0))+1,3)),"YES","No")</f>
        <v>YES</v>
      </c>
      <c r="AI409" s="31" t="str">
        <f>_xlfn.IFNA(IF(AE409 &lt; (INDEX(SLATable[Minimum SLA],MATCH(G409,SLATable[Priority],0))),"YES","NO"),"")</f>
        <v>YES</v>
      </c>
      <c r="AJ409" t="str">
        <f>_xlfn.IFNA(IF(AE409 &lt; (INDEX(SLATable[Maximum SLA],MATCH(G409,SLATable[Priority],0))),"YES","NO"),"")</f>
        <v>YES</v>
      </c>
    </row>
    <row r="410" spans="2:36" ht="15" customHeight="1">
      <c r="B410" s="45" t="s">
        <v>26</v>
      </c>
      <c r="C410" s="45" t="s">
        <v>44</v>
      </c>
      <c r="D410" s="45" t="s">
        <v>208</v>
      </c>
      <c r="E410" s="45" t="s">
        <v>6579</v>
      </c>
      <c r="F410" s="45" t="s">
        <v>312</v>
      </c>
      <c r="G410" s="45" t="s">
        <v>208</v>
      </c>
      <c r="H410" s="45" t="s">
        <v>6580</v>
      </c>
      <c r="I410" s="45" t="s">
        <v>275</v>
      </c>
      <c r="J410" s="45" t="s">
        <v>5963</v>
      </c>
      <c r="K410" s="47">
        <v>46182.592615740738</v>
      </c>
      <c r="L410" s="47">
        <v>46182.606006944443</v>
      </c>
      <c r="M410" s="47">
        <v>46182.606006944443</v>
      </c>
      <c r="N410" s="47">
        <v>46185.584027777775</v>
      </c>
      <c r="P410" s="47">
        <v>46185.584027777775</v>
      </c>
      <c r="Q410" s="45" t="s">
        <v>44</v>
      </c>
      <c r="R410" s="45" t="s">
        <v>261</v>
      </c>
      <c r="S410" s="45" t="s">
        <v>175</v>
      </c>
      <c r="T410" s="45" t="s">
        <v>268</v>
      </c>
      <c r="U410" s="45" t="s">
        <v>5531</v>
      </c>
      <c r="X410" s="45" t="s">
        <v>5531</v>
      </c>
      <c r="Y410" s="45" t="s">
        <v>6578</v>
      </c>
      <c r="Z410" s="76">
        <f t="shared" ca="1" si="57"/>
        <v>1.1164120370376625</v>
      </c>
      <c r="AA410" s="75">
        <f t="shared" ca="1" si="58"/>
        <v>2.9770987654337668</v>
      </c>
      <c r="AB410" s="76">
        <f t="shared" ca="1" si="59"/>
        <v>1.1030208333322664</v>
      </c>
      <c r="AC410" s="75">
        <f t="shared" ca="1" si="60"/>
        <v>2.9413888888860438</v>
      </c>
      <c r="AD410" s="76">
        <f t="shared" ca="1" si="61"/>
        <v>0</v>
      </c>
      <c r="AE410" s="76">
        <f ca="1">SUMIFS(AB:AB,E:E,E404)</f>
        <v>4.9537037040863652E-2</v>
      </c>
      <c r="AF410" s="75">
        <f t="shared" ca="1" si="63"/>
        <v>0.13209876544230306</v>
      </c>
      <c r="AG410" s="75">
        <f t="shared" ca="1" si="64"/>
        <v>0.13209876544230306</v>
      </c>
      <c r="AH410" s="31" t="str" cm="1">
        <f t="array" aca="1" ref="AH410" ca="1">IF((AD410) &lt; (INDEX(ResponseSLA[#All],(MATCH((G410),ResponseSLA[Priority],0))+1,3)),"YES","No")</f>
        <v>YES</v>
      </c>
      <c r="AI410" s="31" t="str">
        <f ca="1">_xlfn.IFNA(IF(AE410 &lt; (INDEX(SLATable[Minimum SLA],MATCH(G410,SLATable[Priority],0))),"YES","NO"),"")</f>
        <v>YES</v>
      </c>
      <c r="AJ410" t="str">
        <f ca="1">_xlfn.IFNA(IF(AE410 &lt; (INDEX(SLATable[Maximum SLA],MATCH(G410,SLATable[Priority],0))),"YES","NO"),"")</f>
        <v>YES</v>
      </c>
    </row>
    <row r="411" spans="2:36" ht="15" customHeight="1">
      <c r="B411" s="45" t="s">
        <v>26</v>
      </c>
      <c r="C411" s="45" t="s">
        <v>44</v>
      </c>
      <c r="D411" s="45" t="s">
        <v>208</v>
      </c>
      <c r="E411" s="45" t="s">
        <v>6581</v>
      </c>
      <c r="F411" s="45" t="s">
        <v>312</v>
      </c>
      <c r="G411" s="45" t="s">
        <v>208</v>
      </c>
      <c r="H411" s="45" t="s">
        <v>6582</v>
      </c>
      <c r="I411" s="45" t="s">
        <v>275</v>
      </c>
      <c r="J411" s="45" t="s">
        <v>5963</v>
      </c>
      <c r="K411" s="47">
        <v>46183.576180555552</v>
      </c>
      <c r="L411" s="47">
        <v>46184.581631944442</v>
      </c>
      <c r="M411" s="47">
        <v>46184.581631944442</v>
      </c>
      <c r="N411" s="47">
        <v>46185.586840277778</v>
      </c>
      <c r="P411" s="47">
        <v>46185.586840277778</v>
      </c>
      <c r="Q411" s="45" t="s">
        <v>44</v>
      </c>
      <c r="R411" s="45" t="s">
        <v>261</v>
      </c>
      <c r="S411" s="45" t="s">
        <v>175</v>
      </c>
      <c r="T411" s="45" t="s">
        <v>268</v>
      </c>
      <c r="U411" s="45" t="s">
        <v>5531</v>
      </c>
      <c r="X411" s="45" t="s">
        <v>5531</v>
      </c>
      <c r="Y411" s="45" t="s">
        <v>6578</v>
      </c>
      <c r="Z411" s="76">
        <f t="shared" ca="1" si="57"/>
        <v>0.76065972222568234</v>
      </c>
      <c r="AA411" s="75">
        <f t="shared" ca="1" si="58"/>
        <v>2.0284259259351529</v>
      </c>
      <c r="AB411" s="76">
        <f t="shared" ca="1" si="59"/>
        <v>0.38020833333575865</v>
      </c>
      <c r="AC411" s="75">
        <f t="shared" ca="1" si="60"/>
        <v>1.0138888888953563</v>
      </c>
      <c r="AD411" s="76">
        <f t="shared" ca="1" si="61"/>
        <v>0</v>
      </c>
      <c r="AE411" s="76">
        <f ca="1">SUMIFS(AB:AB,E:E,E405)</f>
        <v>1.7515046296321088</v>
      </c>
      <c r="AF411" s="75">
        <f t="shared" ca="1" si="63"/>
        <v>4.6706790123522905</v>
      </c>
      <c r="AG411" s="75">
        <f t="shared" ca="1" si="64"/>
        <v>4.6706790123522905</v>
      </c>
      <c r="AH411" s="31" t="str" cm="1">
        <f t="array" aca="1" ref="AH411" ca="1">IF((AD411) &lt; (INDEX(ResponseSLA[#All],(MATCH((G411),ResponseSLA[Priority],0))+1,3)),"YES","No")</f>
        <v>YES</v>
      </c>
      <c r="AI411" s="31" t="str">
        <f ca="1">_xlfn.IFNA(IF(AE411 &lt; (INDEX(SLATable[Minimum SLA],MATCH(G411,SLATable[Priority],0))),"YES","NO"),"")</f>
        <v>NO</v>
      </c>
      <c r="AJ411" t="str">
        <f ca="1">_xlfn.IFNA(IF(AE411 &lt; (INDEX(SLATable[Maximum SLA],MATCH(G411,SLATable[Priority],0))),"YES","NO"),"")</f>
        <v>NO</v>
      </c>
    </row>
    <row r="412" spans="2:36" ht="15" customHeight="1">
      <c r="B412" s="45" t="s">
        <v>26</v>
      </c>
      <c r="C412" s="45" t="s">
        <v>44</v>
      </c>
      <c r="D412" s="45" t="s">
        <v>208</v>
      </c>
      <c r="E412" s="45" t="s">
        <v>6583</v>
      </c>
      <c r="F412" s="45" t="s">
        <v>312</v>
      </c>
      <c r="G412" s="45" t="s">
        <v>208</v>
      </c>
      <c r="H412" s="45" t="s">
        <v>6584</v>
      </c>
      <c r="I412" s="45" t="s">
        <v>271</v>
      </c>
      <c r="J412" s="45" t="s">
        <v>5963</v>
      </c>
      <c r="K412" s="47">
        <v>46181.469907407409</v>
      </c>
      <c r="L412" s="47">
        <v>46181.609537037039</v>
      </c>
      <c r="M412" s="47">
        <v>46181.609537037039</v>
      </c>
      <c r="N412" s="47">
        <v>46188.337997685187</v>
      </c>
      <c r="P412" s="47">
        <v>46188.337997685187</v>
      </c>
      <c r="Q412" s="45" t="s">
        <v>6585</v>
      </c>
      <c r="R412" s="45" t="s">
        <v>272</v>
      </c>
      <c r="S412" s="45" t="s">
        <v>175</v>
      </c>
      <c r="T412" s="45" t="s">
        <v>268</v>
      </c>
      <c r="U412" s="45" t="s">
        <v>5531</v>
      </c>
      <c r="X412" s="45" t="s">
        <v>5531</v>
      </c>
      <c r="Y412" s="45" t="s">
        <v>6586</v>
      </c>
      <c r="Z412" s="76">
        <f t="shared" ca="1" si="57"/>
        <v>1.7430902777778101</v>
      </c>
      <c r="AA412" s="75">
        <f t="shared" ca="1" si="58"/>
        <v>4.6482407407408273</v>
      </c>
      <c r="AB412" s="76">
        <f t="shared" ca="1" si="59"/>
        <v>1.6034606481480296</v>
      </c>
      <c r="AC412" s="75">
        <f t="shared" ca="1" si="60"/>
        <v>4.2758950617280789</v>
      </c>
      <c r="AD412" s="76">
        <f t="shared" ca="1" si="61"/>
        <v>0</v>
      </c>
      <c r="AE412" s="76">
        <f>SUMIFS(AB:AB,E:E,#REF!)</f>
        <v>0</v>
      </c>
      <c r="AF412" s="75">
        <f t="shared" si="63"/>
        <v>0</v>
      </c>
      <c r="AG412" s="75">
        <f t="shared" si="64"/>
        <v>0</v>
      </c>
      <c r="AH412" s="31" t="str" cm="1">
        <f t="array" aca="1" ref="AH412" ca="1">IF((AD412) &lt; (INDEX(ResponseSLA[#All],(MATCH((G412),ResponseSLA[Priority],0))+1,3)),"YES","No")</f>
        <v>YES</v>
      </c>
      <c r="AI412" s="31" t="str">
        <f>_xlfn.IFNA(IF(AE412 &lt; (INDEX(SLATable[Minimum SLA],MATCH(G412,SLATable[Priority],0))),"YES","NO"),"")</f>
        <v>YES</v>
      </c>
      <c r="AJ412" t="str">
        <f>_xlfn.IFNA(IF(AE412 &lt; (INDEX(SLATable[Maximum SLA],MATCH(G412,SLATable[Priority],0))),"YES","NO"),"")</f>
        <v>YES</v>
      </c>
    </row>
    <row r="413" spans="2:36" ht="15" customHeight="1">
      <c r="B413" s="45" t="s">
        <v>26</v>
      </c>
      <c r="C413" s="45" t="s">
        <v>44</v>
      </c>
      <c r="D413" s="45" t="s">
        <v>208</v>
      </c>
      <c r="E413" s="45" t="s">
        <v>6587</v>
      </c>
      <c r="F413" s="45" t="s">
        <v>312</v>
      </c>
      <c r="G413" s="45" t="s">
        <v>208</v>
      </c>
      <c r="H413" s="45" t="s">
        <v>6588</v>
      </c>
      <c r="I413" s="45" t="s">
        <v>271</v>
      </c>
      <c r="J413" s="45" t="s">
        <v>5963</v>
      </c>
      <c r="K413" s="47">
        <v>46153.674490740741</v>
      </c>
      <c r="L413" s="47">
        <v>46181.284074074072</v>
      </c>
      <c r="M413" s="47">
        <v>46181.284074074072</v>
      </c>
      <c r="N413" s="47">
        <v>46188.402175925927</v>
      </c>
      <c r="P413" s="47">
        <v>46188.402175925927</v>
      </c>
      <c r="Q413" s="45" t="s">
        <v>6589</v>
      </c>
      <c r="R413" s="45" t="s">
        <v>272</v>
      </c>
      <c r="S413" s="45" t="s">
        <v>175</v>
      </c>
      <c r="T413" s="45" t="s">
        <v>268</v>
      </c>
      <c r="U413" s="45" t="s">
        <v>5531</v>
      </c>
      <c r="X413" s="45" t="s">
        <v>5531</v>
      </c>
      <c r="Y413" s="45" t="s">
        <v>6398</v>
      </c>
      <c r="Z413" s="76">
        <f t="shared" ca="1" si="57"/>
        <v>8.7276851851856936</v>
      </c>
      <c r="AA413" s="75">
        <f t="shared" ca="1" si="58"/>
        <v>23.273827160495184</v>
      </c>
      <c r="AB413" s="76">
        <f t="shared" ca="1" si="59"/>
        <v>1.9438425925933795</v>
      </c>
      <c r="AC413" s="75">
        <f t="shared" ca="1" si="60"/>
        <v>5.1835802469156782</v>
      </c>
      <c r="AD413" s="76">
        <f t="shared" ca="1" si="61"/>
        <v>0</v>
      </c>
      <c r="AE413" s="76">
        <f t="shared" ref="AE413:AE431" ca="1" si="66">SUMIFS(AB:AB,E:E,E406)</f>
        <v>0.99592592592428764</v>
      </c>
      <c r="AF413" s="75">
        <f t="shared" ca="1" si="63"/>
        <v>2.6558024691314337</v>
      </c>
      <c r="AG413" s="75">
        <f t="shared" ca="1" si="64"/>
        <v>2.6558024691314337</v>
      </c>
      <c r="AH413" s="31" t="str" cm="1">
        <f t="array" aca="1" ref="AH413" ca="1">IF((AD413) &lt; (INDEX(ResponseSLA[#All],(MATCH((G413),ResponseSLA[Priority],0))+1,3)),"YES","No")</f>
        <v>YES</v>
      </c>
      <c r="AI413" s="31" t="str">
        <f ca="1">_xlfn.IFNA(IF(AE413 &lt; (INDEX(SLATable[Minimum SLA],MATCH(G413,SLATable[Priority],0))),"YES","NO"),"")</f>
        <v>NO</v>
      </c>
      <c r="AJ413" t="str">
        <f ca="1">_xlfn.IFNA(IF(AE413 &lt; (INDEX(SLATable[Maximum SLA],MATCH(G413,SLATable[Priority],0))),"YES","NO"),"")</f>
        <v>NO</v>
      </c>
    </row>
    <row r="414" spans="2:36" ht="15" customHeight="1">
      <c r="B414" s="45" t="s">
        <v>26</v>
      </c>
      <c r="C414" s="45" t="s">
        <v>44</v>
      </c>
      <c r="D414" s="45" t="s">
        <v>208</v>
      </c>
      <c r="E414" s="45" t="s">
        <v>6590</v>
      </c>
      <c r="F414" s="45" t="s">
        <v>312</v>
      </c>
      <c r="G414" s="45" t="s">
        <v>208</v>
      </c>
      <c r="H414" s="45" t="s">
        <v>6591</v>
      </c>
      <c r="I414" s="45" t="s">
        <v>275</v>
      </c>
      <c r="J414" s="45" t="s">
        <v>5963</v>
      </c>
      <c r="K414" s="47">
        <v>46188.641504629632</v>
      </c>
      <c r="L414" s="47">
        <v>46190.386770833335</v>
      </c>
      <c r="M414" s="47">
        <v>46190.386770833335</v>
      </c>
      <c r="N414" s="47">
        <v>46191.466620370367</v>
      </c>
      <c r="P414" s="47">
        <v>46191.466620370367</v>
      </c>
      <c r="Q414" s="45" t="s">
        <v>44</v>
      </c>
      <c r="R414" s="45" t="s">
        <v>261</v>
      </c>
      <c r="S414" s="45" t="s">
        <v>175</v>
      </c>
      <c r="T414" s="45" t="s">
        <v>268</v>
      </c>
      <c r="U414" s="45" t="s">
        <v>5531</v>
      </c>
      <c r="X414" s="45" t="s">
        <v>5531</v>
      </c>
      <c r="Y414" s="45" t="s">
        <v>6578</v>
      </c>
      <c r="Z414" s="76">
        <f t="shared" ca="1" si="57"/>
        <v>0.95011574073578253</v>
      </c>
      <c r="AA414" s="75">
        <f t="shared" ca="1" si="58"/>
        <v>2.5336419752954202</v>
      </c>
      <c r="AB414" s="76">
        <f t="shared" ca="1" si="59"/>
        <v>0.45484953703271458</v>
      </c>
      <c r="AC414" s="75">
        <f t="shared" ca="1" si="60"/>
        <v>1.2129320987539056</v>
      </c>
      <c r="AD414" s="76">
        <f t="shared" ca="1" si="61"/>
        <v>0</v>
      </c>
      <c r="AE414" s="76">
        <f t="shared" ca="1" si="66"/>
        <v>2.1522222222192799</v>
      </c>
      <c r="AF414" s="75">
        <f t="shared" ca="1" si="63"/>
        <v>5.7392592592514138</v>
      </c>
      <c r="AG414" s="75">
        <f t="shared" ca="1" si="64"/>
        <v>5.7392592592514138</v>
      </c>
      <c r="AH414" s="31" t="str" cm="1">
        <f t="array" aca="1" ref="AH414" ca="1">IF((AD414) &lt; (INDEX(ResponseSLA[#All],(MATCH((G414),ResponseSLA[Priority],0))+1,3)),"YES","No")</f>
        <v>YES</v>
      </c>
      <c r="AI414" s="31" t="str">
        <f ca="1">_xlfn.IFNA(IF(AE414 &lt; (INDEX(SLATable[Minimum SLA],MATCH(G414,SLATable[Priority],0))),"YES","NO"),"")</f>
        <v>NO</v>
      </c>
      <c r="AJ414" t="str">
        <f ca="1">_xlfn.IFNA(IF(AE414 &lt; (INDEX(SLATable[Maximum SLA],MATCH(G414,SLATable[Priority],0))),"YES","NO"),"")</f>
        <v>NO</v>
      </c>
    </row>
    <row r="415" spans="2:36" ht="15" customHeight="1">
      <c r="B415" s="45" t="s">
        <v>26</v>
      </c>
      <c r="C415" s="45" t="s">
        <v>44</v>
      </c>
      <c r="D415" s="45" t="s">
        <v>208</v>
      </c>
      <c r="E415" s="45" t="s">
        <v>6592</v>
      </c>
      <c r="F415" s="45" t="s">
        <v>312</v>
      </c>
      <c r="G415" s="45" t="s">
        <v>208</v>
      </c>
      <c r="H415" s="45" t="s">
        <v>6593</v>
      </c>
      <c r="I415" s="45" t="s">
        <v>271</v>
      </c>
      <c r="J415" s="45" t="s">
        <v>5963</v>
      </c>
      <c r="K415" s="47">
        <v>46185.481979166667</v>
      </c>
      <c r="L415" s="47">
        <v>46198.645902777775</v>
      </c>
      <c r="M415" s="47">
        <v>46198.645902777775</v>
      </c>
      <c r="N415" s="47">
        <v>46205.484027777777</v>
      </c>
      <c r="O415" s="47">
        <v>46199.562094907407</v>
      </c>
      <c r="Q415" s="45" t="s">
        <v>44</v>
      </c>
      <c r="R415" s="45" t="s">
        <v>272</v>
      </c>
      <c r="S415" s="45" t="s">
        <v>175</v>
      </c>
      <c r="T415" s="45" t="s">
        <v>268</v>
      </c>
      <c r="U415" s="45" t="s">
        <v>5531</v>
      </c>
      <c r="X415" s="45" t="s">
        <v>5531</v>
      </c>
      <c r="Y415" s="45" t="s">
        <v>6594</v>
      </c>
      <c r="Z415" s="76">
        <f t="shared" ca="1" si="57"/>
        <v>5.2520486111097862</v>
      </c>
      <c r="AA415" s="75">
        <f t="shared" ca="1" si="58"/>
        <v>14.005462962959431</v>
      </c>
      <c r="AB415" s="76">
        <f t="shared" ca="1" si="59"/>
        <v>1.7131250000020373</v>
      </c>
      <c r="AC415" s="75">
        <f t="shared" ca="1" si="60"/>
        <v>4.5683333333387663</v>
      </c>
      <c r="AD415" s="76">
        <f t="shared" ca="1" si="61"/>
        <v>0</v>
      </c>
      <c r="AE415" s="76">
        <f t="shared" ca="1" si="66"/>
        <v>3.7518981481504547</v>
      </c>
      <c r="AF415" s="75">
        <f t="shared" ca="1" si="63"/>
        <v>10.005061728401213</v>
      </c>
      <c r="AG415" s="75">
        <f t="shared" ca="1" si="64"/>
        <v>10.005061728401213</v>
      </c>
      <c r="AH415" s="31" t="str" cm="1">
        <f t="array" aca="1" ref="AH415" ca="1">IF((AD415) &lt; (INDEX(ResponseSLA[#All],(MATCH((G415),ResponseSLA[Priority],0))+1,3)),"YES","No")</f>
        <v>YES</v>
      </c>
      <c r="AI415" s="31" t="str">
        <f ca="1">_xlfn.IFNA(IF(AE415 &lt; (INDEX(SLATable[Minimum SLA],MATCH(G415,SLATable[Priority],0))),"YES","NO"),"")</f>
        <v>NO</v>
      </c>
      <c r="AJ415" t="str">
        <f ca="1">_xlfn.IFNA(IF(AE415 &lt; (INDEX(SLATable[Maximum SLA],MATCH(G415,SLATable[Priority],0))),"YES","NO"),"")</f>
        <v>NO</v>
      </c>
    </row>
    <row r="416" spans="2:36" ht="15" customHeight="1">
      <c r="B416" s="45" t="s">
        <v>26</v>
      </c>
      <c r="C416" s="45" t="s">
        <v>44</v>
      </c>
      <c r="D416" s="45" t="s">
        <v>208</v>
      </c>
      <c r="E416" s="45" t="s">
        <v>6595</v>
      </c>
      <c r="F416" s="45" t="s">
        <v>312</v>
      </c>
      <c r="G416" s="45" t="s">
        <v>208</v>
      </c>
      <c r="H416" s="45" t="s">
        <v>6596</v>
      </c>
      <c r="I416" s="45" t="s">
        <v>271</v>
      </c>
      <c r="J416" s="45" t="s">
        <v>5963</v>
      </c>
      <c r="K416" s="47">
        <v>46185.448495370372</v>
      </c>
      <c r="L416" s="47">
        <v>46185.572118055556</v>
      </c>
      <c r="M416" s="47">
        <v>46185.572118055556</v>
      </c>
      <c r="N416" s="47">
        <v>46196.306643518517</v>
      </c>
      <c r="P416" s="47">
        <v>46196.306643518517</v>
      </c>
      <c r="Q416" s="45" t="s">
        <v>6025</v>
      </c>
      <c r="R416" s="45" t="s">
        <v>272</v>
      </c>
      <c r="S416" s="45" t="s">
        <v>175</v>
      </c>
      <c r="T416" s="45" t="s">
        <v>268</v>
      </c>
      <c r="U416" s="45" t="s">
        <v>5531</v>
      </c>
      <c r="X416" s="45" t="s">
        <v>5531</v>
      </c>
      <c r="Y416" s="45" t="s">
        <v>6398</v>
      </c>
      <c r="Z416" s="76">
        <f t="shared" ca="1" si="57"/>
        <v>2.5098379629610772</v>
      </c>
      <c r="AA416" s="75">
        <f t="shared" ca="1" si="58"/>
        <v>6.6929012345628722</v>
      </c>
      <c r="AB416" s="76">
        <f t="shared" ca="1" si="59"/>
        <v>2.3862152777777137</v>
      </c>
      <c r="AC416" s="75">
        <f t="shared" ca="1" si="60"/>
        <v>6.3632407407405696</v>
      </c>
      <c r="AD416" s="76">
        <f t="shared" ca="1" si="61"/>
        <v>0</v>
      </c>
      <c r="AE416" s="76">
        <f t="shared" ca="1" si="66"/>
        <v>1.0931481481457015</v>
      </c>
      <c r="AF416" s="75">
        <f t="shared" ca="1" si="63"/>
        <v>2.9150617283885376</v>
      </c>
      <c r="AG416" s="75">
        <f t="shared" ca="1" si="64"/>
        <v>2.9150617283885376</v>
      </c>
      <c r="AH416" s="31" t="str" cm="1">
        <f t="array" aca="1" ref="AH416" ca="1">IF((AD416) &lt; (INDEX(ResponseSLA[#All],(MATCH((G416),ResponseSLA[Priority],0))+1,3)),"YES","No")</f>
        <v>YES</v>
      </c>
      <c r="AI416" s="31" t="str">
        <f ca="1">_xlfn.IFNA(IF(AE416 &lt; (INDEX(SLATable[Minimum SLA],MATCH(G416,SLATable[Priority],0))),"YES","NO"),"")</f>
        <v>NO</v>
      </c>
      <c r="AJ416" t="str">
        <f ca="1">_xlfn.IFNA(IF(AE416 &lt; (INDEX(SLATable[Maximum SLA],MATCH(G416,SLATable[Priority],0))),"YES","NO"),"")</f>
        <v>NO</v>
      </c>
    </row>
    <row r="417" spans="2:36" ht="15" customHeight="1">
      <c r="B417" s="45" t="s">
        <v>26</v>
      </c>
      <c r="C417" s="45" t="s">
        <v>44</v>
      </c>
      <c r="D417" s="45" t="s">
        <v>208</v>
      </c>
      <c r="E417" s="45" t="s">
        <v>6597</v>
      </c>
      <c r="F417" s="45" t="s">
        <v>312</v>
      </c>
      <c r="G417" s="45" t="s">
        <v>208</v>
      </c>
      <c r="H417" s="45" t="s">
        <v>6598</v>
      </c>
      <c r="I417" s="45" t="s">
        <v>271</v>
      </c>
      <c r="J417" s="45" t="s">
        <v>5963</v>
      </c>
      <c r="K417" s="47">
        <v>46195.411597222221</v>
      </c>
      <c r="L417" s="47">
        <v>46195.440613425926</v>
      </c>
      <c r="M417" s="47">
        <v>46195.440613425926</v>
      </c>
      <c r="N417" s="47">
        <v>46198.321817129632</v>
      </c>
      <c r="P417" s="47">
        <v>46198.321817129632</v>
      </c>
      <c r="Q417" s="45" t="s">
        <v>44</v>
      </c>
      <c r="R417" s="45" t="s">
        <v>261</v>
      </c>
      <c r="S417" s="45" t="s">
        <v>175</v>
      </c>
      <c r="T417" s="45" t="s">
        <v>268</v>
      </c>
      <c r="U417" s="45" t="s">
        <v>5531</v>
      </c>
      <c r="X417" s="45" t="s">
        <v>5531</v>
      </c>
      <c r="Y417" s="45" t="s">
        <v>5983</v>
      </c>
      <c r="Z417" s="76">
        <f t="shared" ca="1" si="57"/>
        <v>1.0467361111125988</v>
      </c>
      <c r="AA417" s="75">
        <f t="shared" ca="1" si="58"/>
        <v>2.7912962963002634</v>
      </c>
      <c r="AB417" s="76">
        <f t="shared" ca="1" si="59"/>
        <v>1.0177199074072028</v>
      </c>
      <c r="AC417" s="75">
        <f t="shared" ca="1" si="60"/>
        <v>2.7139197530858739</v>
      </c>
      <c r="AD417" s="76">
        <f t="shared" ca="1" si="61"/>
        <v>0</v>
      </c>
      <c r="AE417" s="76">
        <f t="shared" ca="1" si="66"/>
        <v>1.1030208333322664</v>
      </c>
      <c r="AF417" s="75">
        <f t="shared" ca="1" si="63"/>
        <v>2.9413888888860438</v>
      </c>
      <c r="AG417" s="75">
        <f t="shared" ca="1" si="64"/>
        <v>2.9413888888860438</v>
      </c>
      <c r="AH417" s="31" t="str" cm="1">
        <f t="array" aca="1" ref="AH417" ca="1">IF((AD417) &lt; (INDEX(ResponseSLA[#All],(MATCH((G417),ResponseSLA[Priority],0))+1,3)),"YES","No")</f>
        <v>YES</v>
      </c>
      <c r="AI417" s="31" t="str">
        <f ca="1">_xlfn.IFNA(IF(AE417 &lt; (INDEX(SLATable[Minimum SLA],MATCH(G417,SLATable[Priority],0))),"YES","NO"),"")</f>
        <v>NO</v>
      </c>
      <c r="AJ417" t="str">
        <f ca="1">_xlfn.IFNA(IF(AE417 &lt; (INDEX(SLATable[Maximum SLA],MATCH(G417,SLATable[Priority],0))),"YES","NO"),"")</f>
        <v>NO</v>
      </c>
    </row>
    <row r="418" spans="2:36" ht="15" customHeight="1">
      <c r="B418" s="45" t="s">
        <v>26</v>
      </c>
      <c r="C418" s="45" t="s">
        <v>44</v>
      </c>
      <c r="D418" s="45" t="s">
        <v>208</v>
      </c>
      <c r="E418" s="45" t="s">
        <v>6599</v>
      </c>
      <c r="F418" s="45" t="s">
        <v>312</v>
      </c>
      <c r="G418" s="45" t="s">
        <v>208</v>
      </c>
      <c r="H418" s="45" t="s">
        <v>6600</v>
      </c>
      <c r="I418" s="45" t="s">
        <v>275</v>
      </c>
      <c r="J418" s="45" t="s">
        <v>5963</v>
      </c>
      <c r="K418" s="47">
        <v>46195.579560185186</v>
      </c>
      <c r="L418" s="47">
        <v>46196.474652777775</v>
      </c>
      <c r="M418" s="47">
        <v>46196.474652777775</v>
      </c>
      <c r="N418" s="47">
        <v>46196.491400462961</v>
      </c>
      <c r="P418" s="47">
        <v>46196.491400462961</v>
      </c>
      <c r="Q418" s="45" t="s">
        <v>44</v>
      </c>
      <c r="R418" s="45" t="s">
        <v>261</v>
      </c>
      <c r="S418" s="45" t="s">
        <v>175</v>
      </c>
      <c r="T418" s="45" t="s">
        <v>268</v>
      </c>
      <c r="U418" s="45" t="s">
        <v>5531</v>
      </c>
      <c r="X418" s="45" t="s">
        <v>5531</v>
      </c>
      <c r="Y418" s="45" t="s">
        <v>6578</v>
      </c>
      <c r="Z418" s="76">
        <f t="shared" ca="1" si="57"/>
        <v>0.28684027777489973</v>
      </c>
      <c r="AA418" s="75">
        <f t="shared" ca="1" si="58"/>
        <v>0.76490740739973262</v>
      </c>
      <c r="AB418" s="76">
        <f t="shared" ca="1" si="59"/>
        <v>1.6747685185691807E-2</v>
      </c>
      <c r="AC418" s="75">
        <f t="shared" ca="1" si="60"/>
        <v>4.4660493828511484E-2</v>
      </c>
      <c r="AD418" s="76">
        <f t="shared" ca="1" si="61"/>
        <v>0</v>
      </c>
      <c r="AE418" s="76">
        <f t="shared" ca="1" si="66"/>
        <v>0.38020833333575865</v>
      </c>
      <c r="AF418" s="75">
        <f t="shared" ca="1" si="63"/>
        <v>1.0138888888953563</v>
      </c>
      <c r="AG418" s="75">
        <f t="shared" ca="1" si="64"/>
        <v>1.0138888888953563</v>
      </c>
      <c r="AH418" s="31" t="str" cm="1">
        <f t="array" aca="1" ref="AH418" ca="1">IF((AD418) &lt; (INDEX(ResponseSLA[#All],(MATCH((G418),ResponseSLA[Priority],0))+1,3)),"YES","No")</f>
        <v>YES</v>
      </c>
      <c r="AI418" s="31" t="str">
        <f ca="1">_xlfn.IFNA(IF(AE418 &lt; (INDEX(SLATable[Minimum SLA],MATCH(G418,SLATable[Priority],0))),"YES","NO"),"")</f>
        <v>YES</v>
      </c>
      <c r="AJ418" t="str">
        <f ca="1">_xlfn.IFNA(IF(AE418 &lt; (INDEX(SLATable[Maximum SLA],MATCH(G418,SLATable[Priority],0))),"YES","NO"),"")</f>
        <v>YES</v>
      </c>
    </row>
    <row r="419" spans="2:36" ht="15" customHeight="1">
      <c r="B419" s="45" t="s">
        <v>26</v>
      </c>
      <c r="C419" s="45" t="s">
        <v>44</v>
      </c>
      <c r="D419" s="45" t="s">
        <v>208</v>
      </c>
      <c r="E419" s="45" t="s">
        <v>6601</v>
      </c>
      <c r="F419" s="45" t="s">
        <v>312</v>
      </c>
      <c r="G419" s="45" t="s">
        <v>208</v>
      </c>
      <c r="H419" s="45" t="s">
        <v>6602</v>
      </c>
      <c r="I419" s="45" t="s">
        <v>275</v>
      </c>
      <c r="J419" s="45" t="s">
        <v>5963</v>
      </c>
      <c r="K419" s="47">
        <v>46196.484398148146</v>
      </c>
      <c r="L419" s="47">
        <v>46196.524351851855</v>
      </c>
      <c r="M419" s="47">
        <v>46196.524351851855</v>
      </c>
      <c r="N419" s="47">
        <v>46196.532997685186</v>
      </c>
      <c r="P419" s="47">
        <v>46196.532997685186</v>
      </c>
      <c r="Q419" s="45" t="s">
        <v>44</v>
      </c>
      <c r="R419" s="45" t="s">
        <v>261</v>
      </c>
      <c r="S419" s="45" t="s">
        <v>175</v>
      </c>
      <c r="T419" s="45" t="s">
        <v>268</v>
      </c>
      <c r="U419" s="45" t="s">
        <v>5531</v>
      </c>
      <c r="X419" s="45" t="s">
        <v>5531</v>
      </c>
      <c r="Y419" s="45" t="s">
        <v>6578</v>
      </c>
      <c r="Z419" s="76">
        <f t="shared" ca="1" si="57"/>
        <v>4.8599537039990537E-2</v>
      </c>
      <c r="AA419" s="75">
        <f t="shared" ca="1" si="58"/>
        <v>0.12959876543997476</v>
      </c>
      <c r="AB419" s="76">
        <f t="shared" ca="1" si="59"/>
        <v>8.6458333316841163E-3</v>
      </c>
      <c r="AC419" s="75">
        <f t="shared" ca="1" si="60"/>
        <v>2.3055555551157642E-2</v>
      </c>
      <c r="AD419" s="76">
        <f t="shared" ca="1" si="61"/>
        <v>0</v>
      </c>
      <c r="AE419" s="76">
        <f t="shared" ca="1" si="66"/>
        <v>1.6034606481480296</v>
      </c>
      <c r="AF419" s="75">
        <f t="shared" ca="1" si="63"/>
        <v>4.2758950617280789</v>
      </c>
      <c r="AG419" s="75">
        <f t="shared" ca="1" si="64"/>
        <v>4.2758950617280789</v>
      </c>
      <c r="AH419" s="31" t="str" cm="1">
        <f t="array" aca="1" ref="AH419" ca="1">IF((AD419) &lt; (INDEX(ResponseSLA[#All],(MATCH((G419),ResponseSLA[Priority],0))+1,3)),"YES","No")</f>
        <v>YES</v>
      </c>
      <c r="AI419" s="31" t="str">
        <f ca="1">_xlfn.IFNA(IF(AE419 &lt; (INDEX(SLATable[Minimum SLA],MATCH(G419,SLATable[Priority],0))),"YES","NO"),"")</f>
        <v>NO</v>
      </c>
      <c r="AJ419" t="str">
        <f ca="1">_xlfn.IFNA(IF(AE419 &lt; (INDEX(SLATable[Maximum SLA],MATCH(G419,SLATable[Priority],0))),"YES","NO"),"")</f>
        <v>NO</v>
      </c>
    </row>
    <row r="420" spans="2:36" ht="15" customHeight="1">
      <c r="B420" s="45" t="s">
        <v>26</v>
      </c>
      <c r="C420" s="45" t="s">
        <v>44</v>
      </c>
      <c r="D420" s="45" t="s">
        <v>208</v>
      </c>
      <c r="E420" s="45" t="s">
        <v>6603</v>
      </c>
      <c r="F420" s="45" t="s">
        <v>312</v>
      </c>
      <c r="G420" s="45" t="s">
        <v>208</v>
      </c>
      <c r="H420" s="45" t="s">
        <v>6604</v>
      </c>
      <c r="I420" s="45" t="s">
        <v>271</v>
      </c>
      <c r="J420" s="45" t="s">
        <v>5963</v>
      </c>
      <c r="K420" s="47">
        <v>46191.760775462964</v>
      </c>
      <c r="L420" s="47">
        <v>46195.440821759257</v>
      </c>
      <c r="M420" s="47">
        <v>46195.440821759257</v>
      </c>
      <c r="N420" s="47">
        <v>46202.423252314817</v>
      </c>
      <c r="P420" s="47">
        <v>46202.423252314817</v>
      </c>
      <c r="Q420" s="45" t="s">
        <v>44</v>
      </c>
      <c r="R420" s="45" t="s">
        <v>272</v>
      </c>
      <c r="S420" s="45" t="s">
        <v>175</v>
      </c>
      <c r="T420" s="45" t="s">
        <v>268</v>
      </c>
      <c r="U420" s="45" t="s">
        <v>5531</v>
      </c>
      <c r="X420" s="45" t="s">
        <v>5531</v>
      </c>
      <c r="Y420" s="45" t="s">
        <v>6398</v>
      </c>
      <c r="Z420" s="76">
        <f t="shared" ca="1" si="57"/>
        <v>2.3399189814833035</v>
      </c>
      <c r="AA420" s="75">
        <f t="shared" ca="1" si="58"/>
        <v>6.2397839506221429</v>
      </c>
      <c r="AB420" s="76">
        <f t="shared" ca="1" si="59"/>
        <v>1.8574305555594037</v>
      </c>
      <c r="AC420" s="75">
        <f t="shared" ca="1" si="60"/>
        <v>4.9531481481584096</v>
      </c>
      <c r="AD420" s="76">
        <f t="shared" ca="1" si="61"/>
        <v>0</v>
      </c>
      <c r="AE420" s="76">
        <f t="shared" ca="1" si="66"/>
        <v>1.9438425925933795</v>
      </c>
      <c r="AF420" s="75">
        <f t="shared" ca="1" si="63"/>
        <v>5.1835802469156782</v>
      </c>
      <c r="AG420" s="75">
        <f t="shared" ca="1" si="64"/>
        <v>5.1835802469156782</v>
      </c>
      <c r="AH420" s="31" t="str" cm="1">
        <f t="array" aca="1" ref="AH420" ca="1">IF((AD420) &lt; (INDEX(ResponseSLA[#All],(MATCH((G420),ResponseSLA[Priority],0))+1,3)),"YES","No")</f>
        <v>YES</v>
      </c>
      <c r="AI420" s="31" t="str">
        <f ca="1">_xlfn.IFNA(IF(AE420 &lt; (INDEX(SLATable[Minimum SLA],MATCH(G420,SLATable[Priority],0))),"YES","NO"),"")</f>
        <v>NO</v>
      </c>
      <c r="AJ420" t="str">
        <f ca="1">_xlfn.IFNA(IF(AE420 &lt; (INDEX(SLATable[Maximum SLA],MATCH(G420,SLATable[Priority],0))),"YES","NO"),"")</f>
        <v>NO</v>
      </c>
    </row>
    <row r="421" spans="2:36" ht="15" customHeight="1">
      <c r="B421" s="45" t="s">
        <v>26</v>
      </c>
      <c r="C421" s="45" t="s">
        <v>44</v>
      </c>
      <c r="D421" s="45" t="s">
        <v>208</v>
      </c>
      <c r="E421" s="45" t="s">
        <v>6605</v>
      </c>
      <c r="F421" s="45" t="s">
        <v>312</v>
      </c>
      <c r="G421" s="45" t="s">
        <v>208</v>
      </c>
      <c r="H421" s="45" t="s">
        <v>6606</v>
      </c>
      <c r="I421" s="45" t="s">
        <v>271</v>
      </c>
      <c r="J421" s="45" t="s">
        <v>5963</v>
      </c>
      <c r="K421" s="47">
        <v>46189.905011574076</v>
      </c>
      <c r="L421" s="47">
        <v>46190.38863425926</v>
      </c>
      <c r="M421" s="47">
        <v>46190.38863425926</v>
      </c>
      <c r="N421" s="47">
        <v>46197.289895833332</v>
      </c>
      <c r="P421" s="47">
        <v>46197.289895833332</v>
      </c>
      <c r="Q421" s="45" t="s">
        <v>6607</v>
      </c>
      <c r="R421" s="45" t="s">
        <v>272</v>
      </c>
      <c r="S421" s="45" t="s">
        <v>175</v>
      </c>
      <c r="T421" s="45" t="s">
        <v>268</v>
      </c>
      <c r="U421" s="45" t="s">
        <v>5531</v>
      </c>
      <c r="X421" s="45" t="s">
        <v>5531</v>
      </c>
      <c r="Y421" s="45" t="s">
        <v>6398</v>
      </c>
      <c r="Z421" s="76">
        <f t="shared" ca="1" si="57"/>
        <v>1.8750000000000004</v>
      </c>
      <c r="AA421" s="75">
        <f t="shared" ca="1" si="58"/>
        <v>5.0000000000000018</v>
      </c>
      <c r="AB421" s="76">
        <f t="shared" ca="1" si="59"/>
        <v>1.8196990740737724</v>
      </c>
      <c r="AC421" s="75">
        <f t="shared" ca="1" si="60"/>
        <v>4.8525308641967264</v>
      </c>
      <c r="AD421" s="76">
        <f t="shared" ca="1" si="61"/>
        <v>0</v>
      </c>
      <c r="AE421" s="76">
        <f t="shared" ca="1" si="66"/>
        <v>0.45484953703271458</v>
      </c>
      <c r="AF421" s="75">
        <f t="shared" ca="1" si="63"/>
        <v>1.2129320987539056</v>
      </c>
      <c r="AG421" s="75">
        <f t="shared" ca="1" si="64"/>
        <v>1.2129320987539056</v>
      </c>
      <c r="AH421" s="31" t="str" cm="1">
        <f t="array" aca="1" ref="AH421" ca="1">IF((AD421) &lt; (INDEX(ResponseSLA[#All],(MATCH((G421),ResponseSLA[Priority],0))+1,3)),"YES","No")</f>
        <v>YES</v>
      </c>
      <c r="AI421" s="31" t="str">
        <f ca="1">_xlfn.IFNA(IF(AE421 &lt; (INDEX(SLATable[Minimum SLA],MATCH(G421,SLATable[Priority],0))),"YES","NO"),"")</f>
        <v>YES</v>
      </c>
      <c r="AJ421" t="str">
        <f ca="1">_xlfn.IFNA(IF(AE421 &lt; (INDEX(SLATable[Maximum SLA],MATCH(G421,SLATable[Priority],0))),"YES","NO"),"")</f>
        <v>YES</v>
      </c>
    </row>
    <row r="422" spans="2:36" ht="15" customHeight="1">
      <c r="B422" s="45" t="s">
        <v>26</v>
      </c>
      <c r="C422" s="45" t="s">
        <v>44</v>
      </c>
      <c r="D422" s="45" t="s">
        <v>208</v>
      </c>
      <c r="E422" s="45" t="s">
        <v>6608</v>
      </c>
      <c r="F422" s="45" t="s">
        <v>312</v>
      </c>
      <c r="G422" s="45" t="s">
        <v>208</v>
      </c>
      <c r="H422" s="45" t="s">
        <v>6609</v>
      </c>
      <c r="I422" s="45" t="s">
        <v>271</v>
      </c>
      <c r="J422" s="45" t="s">
        <v>5963</v>
      </c>
      <c r="K422" s="47">
        <v>46185.688564814816</v>
      </c>
      <c r="L422" s="47">
        <v>46188.306296296294</v>
      </c>
      <c r="M422" s="47">
        <v>46188.306296296294</v>
      </c>
      <c r="N422" s="47">
        <v>46198.319606481484</v>
      </c>
      <c r="P422" s="47">
        <v>46198.319606481484</v>
      </c>
      <c r="Q422" s="45" t="s">
        <v>44</v>
      </c>
      <c r="R422" s="45" t="s">
        <v>261</v>
      </c>
      <c r="S422" s="45" t="s">
        <v>175</v>
      </c>
      <c r="T422" s="45" t="s">
        <v>268</v>
      </c>
      <c r="U422" s="45" t="s">
        <v>5531</v>
      </c>
      <c r="X422" s="45" t="s">
        <v>5531</v>
      </c>
      <c r="Y422" s="45" t="s">
        <v>6610</v>
      </c>
      <c r="Z422" s="76">
        <f t="shared" ca="1" si="57"/>
        <v>3.0197685185169885</v>
      </c>
      <c r="AA422" s="75">
        <f t="shared" ca="1" si="58"/>
        <v>8.0527160493786365</v>
      </c>
      <c r="AB422" s="76">
        <f t="shared" ca="1" si="59"/>
        <v>3.0000000000000004</v>
      </c>
      <c r="AC422" s="75">
        <f t="shared" ca="1" si="60"/>
        <v>8.0000000000000018</v>
      </c>
      <c r="AD422" s="76">
        <f t="shared" ca="1" si="61"/>
        <v>0</v>
      </c>
      <c r="AE422" s="76">
        <f t="shared" ca="1" si="66"/>
        <v>1.7131250000020373</v>
      </c>
      <c r="AF422" s="75">
        <f t="shared" ca="1" si="63"/>
        <v>4.5683333333387663</v>
      </c>
      <c r="AG422" s="75">
        <f t="shared" ca="1" si="64"/>
        <v>4.5683333333387663</v>
      </c>
      <c r="AH422" s="31" t="str" cm="1">
        <f t="array" aca="1" ref="AH422" ca="1">IF((AD422) &lt; (INDEX(ResponseSLA[#All],(MATCH((G422),ResponseSLA[Priority],0))+1,3)),"YES","No")</f>
        <v>YES</v>
      </c>
      <c r="AI422" s="31" t="str">
        <f ca="1">_xlfn.IFNA(IF(AE422 &lt; (INDEX(SLATable[Minimum SLA],MATCH(G422,SLATable[Priority],0))),"YES","NO"),"")</f>
        <v>NO</v>
      </c>
      <c r="AJ422" t="str">
        <f ca="1">_xlfn.IFNA(IF(AE422 &lt; (INDEX(SLATable[Maximum SLA],MATCH(G422,SLATable[Priority],0))),"YES","NO"),"")</f>
        <v>NO</v>
      </c>
    </row>
    <row r="423" spans="2:36" ht="15" customHeight="1">
      <c r="B423" s="45" t="s">
        <v>26</v>
      </c>
      <c r="C423" s="45" t="s">
        <v>44</v>
      </c>
      <c r="D423" s="45" t="s">
        <v>208</v>
      </c>
      <c r="E423" s="45" t="s">
        <v>6611</v>
      </c>
      <c r="F423" s="45" t="s">
        <v>312</v>
      </c>
      <c r="G423" s="45" t="s">
        <v>208</v>
      </c>
      <c r="H423" s="45" t="s">
        <v>6612</v>
      </c>
      <c r="I423" s="45" t="s">
        <v>275</v>
      </c>
      <c r="J423" s="45" t="s">
        <v>5963</v>
      </c>
      <c r="K423" s="47">
        <v>46196.623819444445</v>
      </c>
      <c r="L423" s="47">
        <v>46197.288622685184</v>
      </c>
      <c r="M423" s="47">
        <v>46197.288622685184</v>
      </c>
      <c r="N423" s="47">
        <v>46198.367754629631</v>
      </c>
      <c r="P423" s="47">
        <v>46198.367754629631</v>
      </c>
      <c r="Q423" s="45" t="s">
        <v>44</v>
      </c>
      <c r="R423" s="45" t="s">
        <v>272</v>
      </c>
      <c r="S423" s="45" t="s">
        <v>175</v>
      </c>
      <c r="T423" s="45" t="s">
        <v>268</v>
      </c>
      <c r="U423" s="45" t="s">
        <v>5531</v>
      </c>
      <c r="X423" s="45" t="s">
        <v>5531</v>
      </c>
      <c r="Y423" s="45" t="s">
        <v>6398</v>
      </c>
      <c r="Z423" s="76">
        <f t="shared" ca="1" si="57"/>
        <v>0.49393518518627388</v>
      </c>
      <c r="AA423" s="75">
        <f t="shared" ca="1" si="58"/>
        <v>1.3171604938300636</v>
      </c>
      <c r="AB423" s="76">
        <f t="shared" ca="1" si="59"/>
        <v>0.40942129629790242</v>
      </c>
      <c r="AC423" s="75">
        <f t="shared" ca="1" si="60"/>
        <v>1.091790123461073</v>
      </c>
      <c r="AD423" s="76">
        <f t="shared" ca="1" si="61"/>
        <v>0</v>
      </c>
      <c r="AE423" s="76">
        <f t="shared" ca="1" si="66"/>
        <v>2.3862152777777137</v>
      </c>
      <c r="AF423" s="75">
        <f t="shared" ca="1" si="63"/>
        <v>6.3632407407405696</v>
      </c>
      <c r="AG423" s="75">
        <f t="shared" ca="1" si="64"/>
        <v>6.3632407407405696</v>
      </c>
      <c r="AH423" s="31" t="str" cm="1">
        <f t="array" aca="1" ref="AH423" ca="1">IF((AD423) &lt; (INDEX(ResponseSLA[#All],(MATCH((G423),ResponseSLA[Priority],0))+1,3)),"YES","No")</f>
        <v>YES</v>
      </c>
      <c r="AI423" s="31" t="str">
        <f ca="1">_xlfn.IFNA(IF(AE423 &lt; (INDEX(SLATable[Minimum SLA],MATCH(G423,SLATable[Priority],0))),"YES","NO"),"")</f>
        <v>NO</v>
      </c>
      <c r="AJ423" t="str">
        <f ca="1">_xlfn.IFNA(IF(AE423 &lt; (INDEX(SLATable[Maximum SLA],MATCH(G423,SLATable[Priority],0))),"YES","NO"),"")</f>
        <v>NO</v>
      </c>
    </row>
    <row r="424" spans="2:36" ht="15" customHeight="1">
      <c r="B424" s="45" t="s">
        <v>26</v>
      </c>
      <c r="C424" s="45" t="s">
        <v>44</v>
      </c>
      <c r="D424" s="45" t="s">
        <v>208</v>
      </c>
      <c r="E424" s="45" t="s">
        <v>6613</v>
      </c>
      <c r="F424" s="45" t="s">
        <v>312</v>
      </c>
      <c r="G424" s="45" t="s">
        <v>208</v>
      </c>
      <c r="H424" s="45" t="s">
        <v>6614</v>
      </c>
      <c r="I424" s="45" t="s">
        <v>271</v>
      </c>
      <c r="J424" s="45" t="s">
        <v>5963</v>
      </c>
      <c r="K424" s="47">
        <v>46197.543483796297</v>
      </c>
      <c r="L424" s="47">
        <v>46197.651921296296</v>
      </c>
      <c r="M424" s="47">
        <v>46197.651921296296</v>
      </c>
      <c r="N424" s="47">
        <v>46205.535416666666</v>
      </c>
      <c r="O424" s="47">
        <v>46198.608414351853</v>
      </c>
      <c r="Q424" s="45" t="s">
        <v>44</v>
      </c>
      <c r="R424" s="45" t="s">
        <v>272</v>
      </c>
      <c r="S424" s="45" t="s">
        <v>175</v>
      </c>
      <c r="T424" s="45" t="s">
        <v>268</v>
      </c>
      <c r="U424" s="45" t="s">
        <v>5531</v>
      </c>
      <c r="X424" s="45" t="s">
        <v>5531</v>
      </c>
      <c r="Y424" s="45" t="s">
        <v>6398</v>
      </c>
      <c r="Z424" s="76">
        <f t="shared" ca="1" si="57"/>
        <v>2.2419328703690558</v>
      </c>
      <c r="AA424" s="75">
        <f t="shared" ca="1" si="58"/>
        <v>5.9784876543174823</v>
      </c>
      <c r="AB424" s="76">
        <f t="shared" ca="1" si="59"/>
        <v>2.1334953703699289</v>
      </c>
      <c r="AC424" s="75">
        <f t="shared" ca="1" si="60"/>
        <v>5.6893209876531436</v>
      </c>
      <c r="AD424" s="76">
        <f t="shared" ca="1" si="61"/>
        <v>0</v>
      </c>
      <c r="AE424" s="76">
        <f t="shared" ca="1" si="66"/>
        <v>1.0177199074072028</v>
      </c>
      <c r="AF424" s="75">
        <f t="shared" ca="1" si="63"/>
        <v>2.7139197530858739</v>
      </c>
      <c r="AG424" s="75">
        <f t="shared" ca="1" si="64"/>
        <v>2.7139197530858739</v>
      </c>
      <c r="AH424" s="31" t="str" cm="1">
        <f t="array" aca="1" ref="AH424" ca="1">IF((AD424) &lt; (INDEX(ResponseSLA[#All],(MATCH((G424),ResponseSLA[Priority],0))+1,3)),"YES","No")</f>
        <v>YES</v>
      </c>
      <c r="AI424" s="31" t="str">
        <f ca="1">_xlfn.IFNA(IF(AE424 &lt; (INDEX(SLATable[Minimum SLA],MATCH(G424,SLATable[Priority],0))),"YES","NO"),"")</f>
        <v>NO</v>
      </c>
      <c r="AJ424" t="str">
        <f ca="1">_xlfn.IFNA(IF(AE424 &lt; (INDEX(SLATable[Maximum SLA],MATCH(G424,SLATable[Priority],0))),"YES","NO"),"")</f>
        <v>NO</v>
      </c>
    </row>
    <row r="425" spans="2:36" ht="15" customHeight="1">
      <c r="B425" s="45" t="s">
        <v>26</v>
      </c>
      <c r="C425" s="45" t="s">
        <v>44</v>
      </c>
      <c r="D425" s="45" t="s">
        <v>208</v>
      </c>
      <c r="E425" s="45" t="s">
        <v>6615</v>
      </c>
      <c r="F425" s="45" t="s">
        <v>312</v>
      </c>
      <c r="G425" s="45" t="s">
        <v>208</v>
      </c>
      <c r="H425" s="45" t="s">
        <v>6616</v>
      </c>
      <c r="I425" s="45" t="s">
        <v>271</v>
      </c>
      <c r="J425" s="45" t="s">
        <v>5963</v>
      </c>
      <c r="K425" s="47">
        <v>46192.518530092595</v>
      </c>
      <c r="L425" s="47">
        <v>46195.288206018522</v>
      </c>
      <c r="M425" s="47">
        <v>46195.288206018522</v>
      </c>
      <c r="N425" s="47">
        <v>46202.359849537039</v>
      </c>
      <c r="P425" s="47">
        <v>46202.359849537039</v>
      </c>
      <c r="Q425" s="45" t="s">
        <v>6617</v>
      </c>
      <c r="R425" s="45" t="s">
        <v>272</v>
      </c>
      <c r="S425" s="45" t="s">
        <v>175</v>
      </c>
      <c r="T425" s="45" t="s">
        <v>268</v>
      </c>
      <c r="U425" s="45" t="s">
        <v>5531</v>
      </c>
      <c r="X425" s="45" t="s">
        <v>5531</v>
      </c>
      <c r="Y425" s="45" t="s">
        <v>6618</v>
      </c>
      <c r="Z425" s="76">
        <f t="shared" ca="1" si="57"/>
        <v>2.0913194444437981</v>
      </c>
      <c r="AA425" s="75">
        <f t="shared" ca="1" si="58"/>
        <v>5.5768518518501287</v>
      </c>
      <c r="AB425" s="76">
        <f t="shared" ca="1" si="59"/>
        <v>1.9015162037054931</v>
      </c>
      <c r="AC425" s="75">
        <f t="shared" ca="1" si="60"/>
        <v>5.0707098765479817</v>
      </c>
      <c r="AD425" s="76">
        <f t="shared" ca="1" si="61"/>
        <v>0</v>
      </c>
      <c r="AE425" s="76">
        <f t="shared" ca="1" si="66"/>
        <v>1.6747685185691807E-2</v>
      </c>
      <c r="AF425" s="75">
        <f t="shared" ca="1" si="63"/>
        <v>4.4660493828511484E-2</v>
      </c>
      <c r="AG425" s="75">
        <f t="shared" ca="1" si="64"/>
        <v>4.4660493828511484E-2</v>
      </c>
      <c r="AH425" s="31" t="str" cm="1">
        <f t="array" aca="1" ref="AH425" ca="1">IF((AD425) &lt; (INDEX(ResponseSLA[#All],(MATCH((G425),ResponseSLA[Priority],0))+1,3)),"YES","No")</f>
        <v>YES</v>
      </c>
      <c r="AI425" s="31" t="str">
        <f ca="1">_xlfn.IFNA(IF(AE425 &lt; (INDEX(SLATable[Minimum SLA],MATCH(G425,SLATable[Priority],0))),"YES","NO"),"")</f>
        <v>YES</v>
      </c>
      <c r="AJ425" t="str">
        <f ca="1">_xlfn.IFNA(IF(AE425 &lt; (INDEX(SLATable[Maximum SLA],MATCH(G425,SLATable[Priority],0))),"YES","NO"),"")</f>
        <v>YES</v>
      </c>
    </row>
    <row r="426" spans="2:36" ht="15" customHeight="1">
      <c r="B426" s="45" t="s">
        <v>26</v>
      </c>
      <c r="C426" s="45" t="s">
        <v>44</v>
      </c>
      <c r="D426" s="45" t="s">
        <v>208</v>
      </c>
      <c r="E426" s="45" t="s">
        <v>6619</v>
      </c>
      <c r="F426" s="45" t="s">
        <v>312</v>
      </c>
      <c r="G426" s="45" t="s">
        <v>208</v>
      </c>
      <c r="H426" s="45" t="s">
        <v>6620</v>
      </c>
      <c r="I426" s="45" t="s">
        <v>271</v>
      </c>
      <c r="J426" s="45" t="s">
        <v>5963</v>
      </c>
      <c r="K426" s="47">
        <v>46171.536319444444</v>
      </c>
      <c r="L426" s="47">
        <v>46171.54283564815</v>
      </c>
      <c r="M426" s="47">
        <v>46171.54283564815</v>
      </c>
      <c r="N426" s="47">
        <v>46171.536319444444</v>
      </c>
      <c r="P426" s="47">
        <v>46171.536319444444</v>
      </c>
      <c r="Q426" s="45" t="s">
        <v>44</v>
      </c>
      <c r="R426" s="45" t="s">
        <v>272</v>
      </c>
      <c r="S426" s="45" t="s">
        <v>175</v>
      </c>
      <c r="T426" s="45" t="s">
        <v>268</v>
      </c>
      <c r="U426" s="45" t="s">
        <v>5531</v>
      </c>
      <c r="X426" s="45" t="s">
        <v>5531</v>
      </c>
      <c r="Y426" s="45" t="s">
        <v>5983</v>
      </c>
      <c r="Z426" s="76">
        <f t="shared" ca="1" si="57"/>
        <v>0</v>
      </c>
      <c r="AA426" s="75">
        <f t="shared" ca="1" si="58"/>
        <v>0</v>
      </c>
      <c r="AB426" s="76">
        <f t="shared" ca="1" si="59"/>
        <v>0</v>
      </c>
      <c r="AC426" s="75">
        <f t="shared" ca="1" si="60"/>
        <v>0</v>
      </c>
      <c r="AD426" s="76">
        <f t="shared" ca="1" si="61"/>
        <v>0</v>
      </c>
      <c r="AE426" s="76">
        <f t="shared" ca="1" si="66"/>
        <v>8.6458333316841163E-3</v>
      </c>
      <c r="AF426" s="75">
        <f t="shared" ca="1" si="63"/>
        <v>2.3055555551157642E-2</v>
      </c>
      <c r="AG426" s="75">
        <f t="shared" ca="1" si="64"/>
        <v>2.3055555551157642E-2</v>
      </c>
      <c r="AH426" s="31" t="str" cm="1">
        <f t="array" aca="1" ref="AH426" ca="1">IF((AD426) &lt; (INDEX(ResponseSLA[#All],(MATCH((G426),ResponseSLA[Priority],0))+1,3)),"YES","No")</f>
        <v>YES</v>
      </c>
      <c r="AI426" s="31" t="str">
        <f ca="1">_xlfn.IFNA(IF(AE426 &lt; (INDEX(SLATable[Minimum SLA],MATCH(G426,SLATable[Priority],0))),"YES","NO"),"")</f>
        <v>YES</v>
      </c>
      <c r="AJ426" t="str">
        <f ca="1">_xlfn.IFNA(IF(AE426 &lt; (INDEX(SLATable[Maximum SLA],MATCH(G426,SLATable[Priority],0))),"YES","NO"),"")</f>
        <v>YES</v>
      </c>
    </row>
    <row r="427" spans="2:36" ht="15" customHeight="1">
      <c r="B427" s="45" t="s">
        <v>26</v>
      </c>
      <c r="C427" s="45" t="s">
        <v>44</v>
      </c>
      <c r="D427" s="45" t="s">
        <v>208</v>
      </c>
      <c r="E427" s="45" t="s">
        <v>6621</v>
      </c>
      <c r="F427" s="45" t="s">
        <v>312</v>
      </c>
      <c r="G427" s="45" t="s">
        <v>208</v>
      </c>
      <c r="H427" s="45" t="s">
        <v>6622</v>
      </c>
      <c r="I427" s="45" t="s">
        <v>275</v>
      </c>
      <c r="J427" s="45" t="s">
        <v>5963</v>
      </c>
      <c r="K427" s="47">
        <v>46174.614027777781</v>
      </c>
      <c r="L427" s="47">
        <v>46176.596550925926</v>
      </c>
      <c r="M427" s="47">
        <v>46176.596550925926</v>
      </c>
      <c r="N427" s="47">
        <v>46176.601284722223</v>
      </c>
      <c r="P427" s="47">
        <v>46176.601284722223</v>
      </c>
      <c r="Q427" s="45" t="s">
        <v>5705</v>
      </c>
      <c r="R427" s="45" t="s">
        <v>272</v>
      </c>
      <c r="S427" s="45" t="s">
        <v>175</v>
      </c>
      <c r="T427" s="45" t="s">
        <v>268</v>
      </c>
      <c r="U427" s="45" t="s">
        <v>5531</v>
      </c>
      <c r="X427" s="45" t="s">
        <v>5531</v>
      </c>
      <c r="Y427" s="45" t="s">
        <v>6398</v>
      </c>
      <c r="Z427" s="76">
        <f t="shared" ca="1" si="57"/>
        <v>0.73725694444146939</v>
      </c>
      <c r="AA427" s="75">
        <f t="shared" ca="1" si="58"/>
        <v>1.966018518510585</v>
      </c>
      <c r="AB427" s="76">
        <f t="shared" ca="1" si="59"/>
        <v>4.7337962969322689E-3</v>
      </c>
      <c r="AC427" s="75">
        <f t="shared" ca="1" si="60"/>
        <v>1.2623456791819384E-2</v>
      </c>
      <c r="AD427" s="76">
        <f t="shared" ca="1" si="61"/>
        <v>0</v>
      </c>
      <c r="AE427" s="76">
        <f t="shared" ca="1" si="66"/>
        <v>1.8574305555594037</v>
      </c>
      <c r="AF427" s="75">
        <f t="shared" ca="1" si="63"/>
        <v>4.9531481481584096</v>
      </c>
      <c r="AG427" s="75">
        <f t="shared" ca="1" si="64"/>
        <v>4.9531481481584096</v>
      </c>
      <c r="AH427" s="31" t="str" cm="1">
        <f t="array" aca="1" ref="AH427" ca="1">IF((AD427) &lt; (INDEX(ResponseSLA[#All],(MATCH((G427),ResponseSLA[Priority],0))+1,3)),"YES","No")</f>
        <v>YES</v>
      </c>
      <c r="AI427" s="31" t="str">
        <f ca="1">_xlfn.IFNA(IF(AE427 &lt; (INDEX(SLATable[Minimum SLA],MATCH(G427,SLATable[Priority],0))),"YES","NO"),"")</f>
        <v>NO</v>
      </c>
      <c r="AJ427" t="str">
        <f ca="1">_xlfn.IFNA(IF(AE427 &lt; (INDEX(SLATable[Maximum SLA],MATCH(G427,SLATable[Priority],0))),"YES","NO"),"")</f>
        <v>NO</v>
      </c>
    </row>
    <row r="428" spans="2:36" ht="15" customHeight="1">
      <c r="B428" s="45" t="s">
        <v>26</v>
      </c>
      <c r="C428" s="45" t="s">
        <v>44</v>
      </c>
      <c r="D428" s="45" t="s">
        <v>208</v>
      </c>
      <c r="E428" s="45" t="s">
        <v>6623</v>
      </c>
      <c r="F428" s="45" t="s">
        <v>312</v>
      </c>
      <c r="G428" s="45" t="s">
        <v>208</v>
      </c>
      <c r="H428" s="45" t="s">
        <v>6624</v>
      </c>
      <c r="I428" s="45" t="s">
        <v>275</v>
      </c>
      <c r="J428" s="45" t="s">
        <v>5963</v>
      </c>
      <c r="K428" s="47">
        <v>46176.571770833332</v>
      </c>
      <c r="L428" s="47">
        <v>46176.597349537034</v>
      </c>
      <c r="M428" s="47">
        <v>46176.597349537034</v>
      </c>
      <c r="N428" s="47">
        <v>46178.31821759259</v>
      </c>
      <c r="P428" s="47">
        <v>46178.31821759259</v>
      </c>
      <c r="Q428" s="45" t="s">
        <v>44</v>
      </c>
      <c r="R428" s="45" t="s">
        <v>261</v>
      </c>
      <c r="S428" s="45" t="s">
        <v>175</v>
      </c>
      <c r="T428" s="45" t="s">
        <v>268</v>
      </c>
      <c r="U428" s="45" t="s">
        <v>5531</v>
      </c>
      <c r="X428" s="45" t="s">
        <v>5531</v>
      </c>
      <c r="Y428" s="45" t="s">
        <v>6578</v>
      </c>
      <c r="Z428" s="76">
        <f t="shared" ca="1" si="57"/>
        <v>0.51156250000106729</v>
      </c>
      <c r="AA428" s="75">
        <f t="shared" ca="1" si="58"/>
        <v>1.3641666666695127</v>
      </c>
      <c r="AB428" s="76">
        <f t="shared" ca="1" si="59"/>
        <v>0.48598379629887267</v>
      </c>
      <c r="AC428" s="75">
        <f t="shared" ca="1" si="60"/>
        <v>1.2959567901303271</v>
      </c>
      <c r="AD428" s="76">
        <f t="shared" ca="1" si="61"/>
        <v>0</v>
      </c>
      <c r="AE428" s="76">
        <f t="shared" ca="1" si="66"/>
        <v>1.8196990740737724</v>
      </c>
      <c r="AF428" s="75">
        <f t="shared" ca="1" si="63"/>
        <v>4.8525308641967264</v>
      </c>
      <c r="AG428" s="75">
        <f t="shared" ca="1" si="64"/>
        <v>4.8525308641967264</v>
      </c>
      <c r="AH428" s="31" t="str" cm="1">
        <f t="array" aca="1" ref="AH428" ca="1">IF((AD428) &lt; (INDEX(ResponseSLA[#All],(MATCH((G428),ResponseSLA[Priority],0))+1,3)),"YES","No")</f>
        <v>YES</v>
      </c>
      <c r="AI428" s="31" t="str">
        <f ca="1">_xlfn.IFNA(IF(AE428 &lt; (INDEX(SLATable[Minimum SLA],MATCH(G428,SLATable[Priority],0))),"YES","NO"),"")</f>
        <v>NO</v>
      </c>
      <c r="AJ428" t="str">
        <f ca="1">_xlfn.IFNA(IF(AE428 &lt; (INDEX(SLATable[Maximum SLA],MATCH(G428,SLATable[Priority],0))),"YES","NO"),"")</f>
        <v>NO</v>
      </c>
    </row>
    <row r="429" spans="2:36" ht="15" customHeight="1">
      <c r="B429" s="45" t="s">
        <v>26</v>
      </c>
      <c r="C429" s="45" t="s">
        <v>44</v>
      </c>
      <c r="D429" s="45" t="s">
        <v>208</v>
      </c>
      <c r="E429" s="45" t="s">
        <v>6625</v>
      </c>
      <c r="F429" s="45" t="s">
        <v>312</v>
      </c>
      <c r="G429" s="45" t="s">
        <v>208</v>
      </c>
      <c r="H429" s="45" t="s">
        <v>6626</v>
      </c>
      <c r="I429" s="45" t="s">
        <v>271</v>
      </c>
      <c r="J429" s="45" t="s">
        <v>5963</v>
      </c>
      <c r="K429" s="47">
        <v>46174.448460648149</v>
      </c>
      <c r="L429" s="47">
        <v>46174.572557870371</v>
      </c>
      <c r="M429" s="47">
        <v>46174.572557870371</v>
      </c>
      <c r="N429" s="47">
        <v>46181.300763888888</v>
      </c>
      <c r="P429" s="47">
        <v>46181.300763888888</v>
      </c>
      <c r="Q429" s="45" t="s">
        <v>44</v>
      </c>
      <c r="R429" s="45" t="s">
        <v>261</v>
      </c>
      <c r="S429" s="45" t="s">
        <v>175</v>
      </c>
      <c r="T429" s="45" t="s">
        <v>268</v>
      </c>
      <c r="U429" s="45" t="s">
        <v>5531</v>
      </c>
      <c r="X429" s="45" t="s">
        <v>5531</v>
      </c>
      <c r="Y429" s="45" t="s">
        <v>6398</v>
      </c>
      <c r="Z429" s="76">
        <f t="shared" ca="1" si="57"/>
        <v>1.7598726851841398</v>
      </c>
      <c r="AA429" s="75">
        <f t="shared" ca="1" si="58"/>
        <v>4.6929938271577054</v>
      </c>
      <c r="AB429" s="76">
        <f t="shared" ca="1" si="59"/>
        <v>1.6357754629619499</v>
      </c>
      <c r="AC429" s="75">
        <f t="shared" ca="1" si="60"/>
        <v>4.3620679012318657</v>
      </c>
      <c r="AD429" s="76">
        <f t="shared" ca="1" si="61"/>
        <v>0</v>
      </c>
      <c r="AE429" s="76">
        <f t="shared" ca="1" si="66"/>
        <v>3.0000000000000004</v>
      </c>
      <c r="AF429" s="75">
        <f t="shared" ca="1" si="63"/>
        <v>8.0000000000000018</v>
      </c>
      <c r="AG429" s="75">
        <f t="shared" ca="1" si="64"/>
        <v>8.0000000000000018</v>
      </c>
      <c r="AH429" s="31" t="str" cm="1">
        <f t="array" aca="1" ref="AH429" ca="1">IF((AD429) &lt; (INDEX(ResponseSLA[#All],(MATCH((G429),ResponseSLA[Priority],0))+1,3)),"YES","No")</f>
        <v>YES</v>
      </c>
      <c r="AI429" s="31" t="str">
        <f ca="1">_xlfn.IFNA(IF(AE429 &lt; (INDEX(SLATable[Minimum SLA],MATCH(G429,SLATable[Priority],0))),"YES","NO"),"")</f>
        <v>NO</v>
      </c>
      <c r="AJ429" t="str">
        <f ca="1">_xlfn.IFNA(IF(AE429 &lt; (INDEX(SLATable[Maximum SLA],MATCH(G429,SLATable[Priority],0))),"YES","NO"),"")</f>
        <v>NO</v>
      </c>
    </row>
    <row r="430" spans="2:36" ht="15" customHeight="1">
      <c r="B430" s="45" t="s">
        <v>26</v>
      </c>
      <c r="C430" s="45" t="s">
        <v>44</v>
      </c>
      <c r="D430" s="45" t="s">
        <v>208</v>
      </c>
      <c r="E430" s="45" t="s">
        <v>6627</v>
      </c>
      <c r="F430" s="45" t="s">
        <v>312</v>
      </c>
      <c r="G430" s="45" t="s">
        <v>208</v>
      </c>
      <c r="H430" s="45" t="s">
        <v>6628</v>
      </c>
      <c r="I430" s="45" t="s">
        <v>271</v>
      </c>
      <c r="J430" s="45" t="s">
        <v>5963</v>
      </c>
      <c r="K430" s="47">
        <v>46178.63621527778</v>
      </c>
      <c r="L430" s="47">
        <v>46181.282789351855</v>
      </c>
      <c r="M430" s="47">
        <v>46181.282789351855</v>
      </c>
      <c r="N430" s="47">
        <v>46181.441157407404</v>
      </c>
      <c r="P430" s="47">
        <v>46181.441157407404</v>
      </c>
      <c r="Q430" s="45" t="s">
        <v>44</v>
      </c>
      <c r="R430" s="45" t="s">
        <v>272</v>
      </c>
      <c r="S430" s="45" t="s">
        <v>175</v>
      </c>
      <c r="T430" s="45" t="s">
        <v>268</v>
      </c>
      <c r="U430" s="45" t="s">
        <v>5531</v>
      </c>
      <c r="X430" s="45" t="s">
        <v>5531</v>
      </c>
      <c r="Y430" s="45" t="s">
        <v>6629</v>
      </c>
      <c r="Z430" s="76">
        <f t="shared" ca="1" si="57"/>
        <v>0.17994212962366873</v>
      </c>
      <c r="AA430" s="75">
        <f t="shared" ca="1" si="58"/>
        <v>0.47984567899644998</v>
      </c>
      <c r="AB430" s="76">
        <f t="shared" ca="1" si="59"/>
        <v>0.10782407407047384</v>
      </c>
      <c r="AC430" s="75">
        <f t="shared" ca="1" si="60"/>
        <v>0.28753086418793022</v>
      </c>
      <c r="AD430" s="76">
        <f t="shared" ca="1" si="61"/>
        <v>0</v>
      </c>
      <c r="AE430" s="76">
        <f t="shared" ca="1" si="66"/>
        <v>0.40942129629790242</v>
      </c>
      <c r="AF430" s="75">
        <f t="shared" ca="1" si="63"/>
        <v>1.091790123461073</v>
      </c>
      <c r="AG430" s="75">
        <f t="shared" ca="1" si="64"/>
        <v>1.091790123461073</v>
      </c>
      <c r="AH430" s="31" t="str" cm="1">
        <f t="array" aca="1" ref="AH430" ca="1">IF((AD430) &lt; (INDEX(ResponseSLA[#All],(MATCH((G430),ResponseSLA[Priority],0))+1,3)),"YES","No")</f>
        <v>YES</v>
      </c>
      <c r="AI430" s="31" t="str">
        <f ca="1">_xlfn.IFNA(IF(AE430 &lt; (INDEX(SLATable[Minimum SLA],MATCH(G430,SLATable[Priority],0))),"YES","NO"),"")</f>
        <v>YES</v>
      </c>
      <c r="AJ430" t="str">
        <f ca="1">_xlfn.IFNA(IF(AE430 &lt; (INDEX(SLATable[Maximum SLA],MATCH(G430,SLATable[Priority],0))),"YES","NO"),"")</f>
        <v>YES</v>
      </c>
    </row>
    <row r="431" spans="2:36" ht="15" customHeight="1">
      <c r="B431" s="45" t="s">
        <v>26</v>
      </c>
      <c r="C431" s="45" t="s">
        <v>44</v>
      </c>
      <c r="D431" s="45" t="s">
        <v>208</v>
      </c>
      <c r="E431" s="45" t="s">
        <v>6630</v>
      </c>
      <c r="F431" s="45" t="s">
        <v>312</v>
      </c>
      <c r="G431" s="45" t="s">
        <v>208</v>
      </c>
      <c r="H431" s="45" t="s">
        <v>6631</v>
      </c>
      <c r="I431" s="45" t="s">
        <v>275</v>
      </c>
      <c r="J431" s="45" t="s">
        <v>5963</v>
      </c>
      <c r="K431" s="47">
        <v>46182.346585648149</v>
      </c>
      <c r="L431" s="47">
        <v>46182.437962962962</v>
      </c>
      <c r="M431" s="47">
        <v>46182.437962962962</v>
      </c>
      <c r="N431" s="47">
        <v>46182.44</v>
      </c>
      <c r="P431" s="47">
        <v>46182.44</v>
      </c>
      <c r="Q431" s="45" t="s">
        <v>6508</v>
      </c>
      <c r="R431" s="45" t="s">
        <v>272</v>
      </c>
      <c r="S431" s="45" t="s">
        <v>175</v>
      </c>
      <c r="T431" s="45" t="s">
        <v>268</v>
      </c>
      <c r="U431" s="45" t="s">
        <v>5531</v>
      </c>
      <c r="X431" s="45" t="s">
        <v>5531</v>
      </c>
      <c r="Y431" s="45" t="s">
        <v>6632</v>
      </c>
      <c r="Z431" s="76">
        <f t="shared" ca="1" si="57"/>
        <v>9.3414351853425615E-2</v>
      </c>
      <c r="AA431" s="75">
        <f t="shared" ca="1" si="58"/>
        <v>0.24910493827580163</v>
      </c>
      <c r="AB431" s="76">
        <f t="shared" ca="1" si="59"/>
        <v>2.0370370402815752E-3</v>
      </c>
      <c r="AC431" s="75">
        <f t="shared" ca="1" si="60"/>
        <v>5.4320987740842002E-3</v>
      </c>
      <c r="AD431" s="76">
        <f t="shared" ca="1" si="61"/>
        <v>0</v>
      </c>
      <c r="AE431" s="76">
        <f t="shared" ca="1" si="66"/>
        <v>2.1334953703699289</v>
      </c>
      <c r="AF431" s="75">
        <f t="shared" ca="1" si="63"/>
        <v>5.6893209876531436</v>
      </c>
      <c r="AG431" s="75">
        <f t="shared" ca="1" si="64"/>
        <v>5.6893209876531436</v>
      </c>
      <c r="AH431" s="31" t="str" cm="1">
        <f t="array" aca="1" ref="AH431" ca="1">IF((AD431) &lt; (INDEX(ResponseSLA[#All],(MATCH((G431),ResponseSLA[Priority],0))+1,3)),"YES","No")</f>
        <v>YES</v>
      </c>
      <c r="AI431" s="31" t="str">
        <f ca="1">_xlfn.IFNA(IF(AE431 &lt; (INDEX(SLATable[Minimum SLA],MATCH(G431,SLATable[Priority],0))),"YES","NO"),"")</f>
        <v>NO</v>
      </c>
      <c r="AJ431" t="str">
        <f ca="1">_xlfn.IFNA(IF(AE431 &lt; (INDEX(SLATable[Maximum SLA],MATCH(G431,SLATable[Priority],0))),"YES","NO"),"")</f>
        <v>NO</v>
      </c>
    </row>
    <row r="432" spans="2:36" ht="15" customHeight="1">
      <c r="B432" s="45" t="s">
        <v>26</v>
      </c>
      <c r="C432" s="45" t="s">
        <v>44</v>
      </c>
      <c r="D432" s="45" t="s">
        <v>208</v>
      </c>
      <c r="E432" s="45" t="s">
        <v>6633</v>
      </c>
      <c r="F432" s="45" t="s">
        <v>312</v>
      </c>
      <c r="G432" s="45" t="s">
        <v>208</v>
      </c>
      <c r="H432" s="45" t="s">
        <v>6634</v>
      </c>
      <c r="I432" s="45" t="s">
        <v>275</v>
      </c>
      <c r="J432" s="45" t="s">
        <v>5963</v>
      </c>
      <c r="K432" s="47">
        <v>46181.432858796295</v>
      </c>
      <c r="L432" s="47">
        <v>46181.611967592595</v>
      </c>
      <c r="M432" s="47">
        <v>46181.611967592595</v>
      </c>
      <c r="N432" s="47">
        <v>46182.610046296293</v>
      </c>
      <c r="P432" s="47">
        <v>46182.609722222223</v>
      </c>
      <c r="Q432" s="45" t="s">
        <v>44</v>
      </c>
      <c r="R432" s="45" t="s">
        <v>261</v>
      </c>
      <c r="S432" s="45" t="s">
        <v>175</v>
      </c>
      <c r="T432" s="45" t="s">
        <v>268</v>
      </c>
      <c r="U432" s="45" t="s">
        <v>5531</v>
      </c>
      <c r="X432" s="45" t="s">
        <v>5531</v>
      </c>
      <c r="Y432" s="45" t="s">
        <v>6578</v>
      </c>
      <c r="Z432" s="76">
        <f t="shared" ca="1" si="57"/>
        <v>0.55218749999767169</v>
      </c>
      <c r="AA432" s="75">
        <f t="shared" ca="1" si="58"/>
        <v>1.4724999999937911</v>
      </c>
      <c r="AB432" s="76">
        <f t="shared" ca="1" si="59"/>
        <v>0.37307870369841112</v>
      </c>
      <c r="AC432" s="75">
        <f t="shared" ca="1" si="60"/>
        <v>0.99487654319576302</v>
      </c>
      <c r="AD432" s="76">
        <f t="shared" ca="1" si="61"/>
        <v>0</v>
      </c>
      <c r="AE432" s="76">
        <f>SUMIFS(AB:AB,E:E,#REF!)</f>
        <v>0</v>
      </c>
      <c r="AF432" s="75">
        <f t="shared" si="63"/>
        <v>0</v>
      </c>
      <c r="AG432" s="75">
        <f t="shared" si="64"/>
        <v>0</v>
      </c>
      <c r="AH432" s="31" t="str" cm="1">
        <f t="array" aca="1" ref="AH432" ca="1">IF((AD432) &lt; (INDEX(ResponseSLA[#All],(MATCH((G432),ResponseSLA[Priority],0))+1,3)),"YES","No")</f>
        <v>YES</v>
      </c>
      <c r="AI432" s="31" t="str">
        <f>_xlfn.IFNA(IF(AE432 &lt; (INDEX(SLATable[Minimum SLA],MATCH(G432,SLATable[Priority],0))),"YES","NO"),"")</f>
        <v>YES</v>
      </c>
      <c r="AJ432" t="str">
        <f>_xlfn.IFNA(IF(AE432 &lt; (INDEX(SLATable[Maximum SLA],MATCH(G432,SLATable[Priority],0))),"YES","NO"),"")</f>
        <v>YES</v>
      </c>
    </row>
    <row r="433" spans="2:36" ht="15" customHeight="1">
      <c r="B433" s="45" t="s">
        <v>26</v>
      </c>
      <c r="C433" s="45" t="s">
        <v>44</v>
      </c>
      <c r="D433" s="45" t="s">
        <v>207</v>
      </c>
      <c r="E433" s="45" t="s">
        <v>6635</v>
      </c>
      <c r="F433" s="45" t="s">
        <v>312</v>
      </c>
      <c r="G433" s="45">
        <v>3</v>
      </c>
      <c r="H433" s="45" t="s">
        <v>6636</v>
      </c>
      <c r="I433" s="45" t="s">
        <v>275</v>
      </c>
      <c r="J433" s="45" t="s">
        <v>6118</v>
      </c>
      <c r="K433" s="47">
        <v>46170.608460648145</v>
      </c>
      <c r="L433" s="47">
        <v>46174.387604166666</v>
      </c>
      <c r="M433" s="47">
        <v>46174.419953703706</v>
      </c>
      <c r="N433" s="47">
        <v>46176.304212962961</v>
      </c>
      <c r="O433" s="47">
        <v>46176.304652777777</v>
      </c>
      <c r="P433" s="47">
        <v>46176.304212962961</v>
      </c>
      <c r="Q433" s="45" t="s">
        <v>5534</v>
      </c>
      <c r="R433" s="45" t="s">
        <v>5693</v>
      </c>
      <c r="S433" s="45" t="s">
        <v>175</v>
      </c>
      <c r="T433" s="45" t="s">
        <v>268</v>
      </c>
      <c r="U433" s="45" t="s">
        <v>5531</v>
      </c>
      <c r="X433" s="45" t="s">
        <v>5531</v>
      </c>
      <c r="Y433" s="45" t="s">
        <v>6637</v>
      </c>
      <c r="Z433" s="76">
        <f t="shared" ca="1" si="57"/>
        <v>1.2248726851879232</v>
      </c>
      <c r="AA433" s="75">
        <f t="shared" ca="1" si="58"/>
        <v>3.2663271605011288</v>
      </c>
      <c r="AB433" s="76">
        <f t="shared" ca="1" si="59"/>
        <v>0.69572916666705487</v>
      </c>
      <c r="AC433" s="75">
        <f t="shared" ca="1" si="60"/>
        <v>1.855277777778813</v>
      </c>
      <c r="AD433" s="76">
        <f t="shared" ca="1" si="61"/>
        <v>3.234953703940846E-2</v>
      </c>
      <c r="AE433" s="76">
        <f t="shared" ca="1" si="62"/>
        <v>0.69572916666705487</v>
      </c>
      <c r="AF433" s="75">
        <f t="shared" ca="1" si="63"/>
        <v>1.855277777778813</v>
      </c>
      <c r="AG433" s="75">
        <f t="shared" ca="1" si="64"/>
        <v>1.855277777778813</v>
      </c>
      <c r="AH433" s="31" t="str" cm="1">
        <f t="array" aca="1" ref="AH433" ca="1">IF((AD433) &lt; (INDEX(ResponseSLA[#All],(MATCH((G433),ResponseSLA[Priority],0))+1,3)),"YES","No")</f>
        <v>YES</v>
      </c>
      <c r="AI433" s="31" t="str">
        <f ca="1">_xlfn.IFNA(IF(AE433 &lt; (INDEX(SLATable[Minimum SLA],MATCH(G433,SLATable[Priority],0))),"YES","NO"),"")</f>
        <v>NO</v>
      </c>
      <c r="AJ433" t="str">
        <f ca="1">_xlfn.IFNA(IF(AE433 &lt; (INDEX(SLATable[Maximum SLA],MATCH(G433,SLATable[Priority],0))),"YES","NO"),"")</f>
        <v>YES</v>
      </c>
    </row>
    <row r="434" spans="2:36" ht="15" customHeight="1">
      <c r="B434" s="45" t="s">
        <v>26</v>
      </c>
      <c r="C434" s="45" t="s">
        <v>44</v>
      </c>
      <c r="D434" s="45" t="s">
        <v>207</v>
      </c>
      <c r="E434" s="45" t="s">
        <v>6638</v>
      </c>
      <c r="F434" s="45" t="s">
        <v>312</v>
      </c>
      <c r="G434" s="45">
        <v>3</v>
      </c>
      <c r="H434" s="45" t="s">
        <v>6639</v>
      </c>
      <c r="I434" s="45" t="s">
        <v>275</v>
      </c>
      <c r="J434" s="45" t="s">
        <v>6118</v>
      </c>
      <c r="K434" s="47">
        <v>46170.461550925924</v>
      </c>
      <c r="L434" s="47">
        <v>46171.596145833333</v>
      </c>
      <c r="M434" s="47">
        <v>46171.63590277778</v>
      </c>
      <c r="N434" s="47">
        <v>46176.312372685185</v>
      </c>
      <c r="P434" s="47">
        <v>46176.312372685185</v>
      </c>
      <c r="Q434" s="45" t="s">
        <v>5705</v>
      </c>
      <c r="R434" s="45" t="s">
        <v>272</v>
      </c>
      <c r="S434" s="45" t="s">
        <v>5699</v>
      </c>
      <c r="T434" s="45" t="s">
        <v>268</v>
      </c>
      <c r="U434" s="45" t="s">
        <v>5531</v>
      </c>
      <c r="X434" s="45" t="s">
        <v>5531</v>
      </c>
      <c r="Y434" s="45" t="s">
        <v>6640</v>
      </c>
      <c r="Z434" s="76">
        <f t="shared" ca="1" si="57"/>
        <v>1.3717824074095311</v>
      </c>
      <c r="AA434" s="75">
        <f t="shared" ca="1" si="58"/>
        <v>3.658086419758749</v>
      </c>
      <c r="AB434" s="76">
        <f t="shared" ca="1" si="59"/>
        <v>0.86218750000019417</v>
      </c>
      <c r="AC434" s="75">
        <f t="shared" ca="1" si="60"/>
        <v>2.2991666666671846</v>
      </c>
      <c r="AD434" s="76">
        <f t="shared" ca="1" si="61"/>
        <v>3.9756944446708076E-2</v>
      </c>
      <c r="AE434" s="76">
        <f t="shared" ca="1" si="62"/>
        <v>0.86218750000019417</v>
      </c>
      <c r="AF434" s="75">
        <f t="shared" ca="1" si="63"/>
        <v>2.2991666666671846</v>
      </c>
      <c r="AG434" s="75">
        <f t="shared" ca="1" si="64"/>
        <v>2.2991666666671846</v>
      </c>
      <c r="AH434" s="31" t="str" cm="1">
        <f t="array" aca="1" ref="AH434" ca="1">IF((AD434) &lt; (INDEX(ResponseSLA[#All],(MATCH((G434),ResponseSLA[Priority],0))+1,3)),"YES","No")</f>
        <v>YES</v>
      </c>
      <c r="AI434" s="31" t="str">
        <f ca="1">_xlfn.IFNA(IF(AE434 &lt; (INDEX(SLATable[Minimum SLA],MATCH(G434,SLATable[Priority],0))),"YES","NO"),"")</f>
        <v>NO</v>
      </c>
      <c r="AJ434" t="str">
        <f ca="1">_xlfn.IFNA(IF(AE434 &lt; (INDEX(SLATable[Maximum SLA],MATCH(G434,SLATable[Priority],0))),"YES","NO"),"")</f>
        <v>YES</v>
      </c>
    </row>
    <row r="435" spans="2:36" ht="15" customHeight="1">
      <c r="B435" s="45" t="s">
        <v>26</v>
      </c>
      <c r="C435" s="45" t="s">
        <v>44</v>
      </c>
      <c r="D435" s="45" t="s">
        <v>207</v>
      </c>
      <c r="E435" s="45" t="s">
        <v>6641</v>
      </c>
      <c r="F435" s="45" t="s">
        <v>312</v>
      </c>
      <c r="G435" s="45">
        <v>3</v>
      </c>
      <c r="H435" s="45" t="s">
        <v>6642</v>
      </c>
      <c r="I435" s="45" t="s">
        <v>275</v>
      </c>
      <c r="J435" s="45" t="s">
        <v>6118</v>
      </c>
      <c r="K435" s="47">
        <v>46171.683634259258</v>
      </c>
      <c r="L435" s="47">
        <v>46171.728402777779</v>
      </c>
      <c r="M435" s="47">
        <v>46174.317349537036</v>
      </c>
      <c r="N435" s="47">
        <v>46176.315891203703</v>
      </c>
      <c r="P435" s="47">
        <v>46176.315891203703</v>
      </c>
      <c r="Q435" s="45" t="s">
        <v>6643</v>
      </c>
      <c r="R435" s="45" t="s">
        <v>272</v>
      </c>
      <c r="S435" s="45" t="s">
        <v>175</v>
      </c>
      <c r="T435" s="45" t="s">
        <v>268</v>
      </c>
      <c r="U435" s="45" t="s">
        <v>5531</v>
      </c>
      <c r="X435" s="45" t="s">
        <v>5531</v>
      </c>
      <c r="Y435" s="45" t="s">
        <v>6644</v>
      </c>
      <c r="Z435" s="76">
        <f t="shared" ca="1" si="57"/>
        <v>0.77469907407551863</v>
      </c>
      <c r="AA435" s="75">
        <f t="shared" ca="1" si="58"/>
        <v>2.0658641975347165</v>
      </c>
      <c r="AB435" s="76">
        <f t="shared" ca="1" si="59"/>
        <v>0.75000000000000011</v>
      </c>
      <c r="AC435" s="75">
        <f t="shared" ca="1" si="60"/>
        <v>2.0000000000000004</v>
      </c>
      <c r="AD435" s="76">
        <f t="shared" ca="1" si="61"/>
        <v>0</v>
      </c>
      <c r="AE435" s="76">
        <f ca="1">SUMIFS(AB:AB,E:E,E425)</f>
        <v>1.9015162037054931</v>
      </c>
      <c r="AF435" s="75">
        <f t="shared" ca="1" si="63"/>
        <v>5.0707098765479817</v>
      </c>
      <c r="AG435" s="75">
        <f t="shared" ca="1" si="64"/>
        <v>5.0707098765479817</v>
      </c>
      <c r="AH435" s="31" t="str" cm="1">
        <f t="array" aca="1" ref="AH435" ca="1">IF((AD435) &lt; (INDEX(ResponseSLA[#All],(MATCH((G435),ResponseSLA[Priority],0))+1,3)),"YES","No")</f>
        <v>YES</v>
      </c>
      <c r="AI435" s="31" t="str">
        <f ca="1">_xlfn.IFNA(IF(AE435 &lt; (INDEX(SLATable[Minimum SLA],MATCH(G435,SLATable[Priority],0))),"YES","NO"),"")</f>
        <v>NO</v>
      </c>
      <c r="AJ435" t="str">
        <f ca="1">_xlfn.IFNA(IF(AE435 &lt; (INDEX(SLATable[Maximum SLA],MATCH(G435,SLATable[Priority],0))),"YES","NO"),"")</f>
        <v>NO</v>
      </c>
    </row>
    <row r="436" spans="2:36" ht="15" customHeight="1">
      <c r="B436" s="45" t="s">
        <v>26</v>
      </c>
      <c r="C436" s="45" t="s">
        <v>44</v>
      </c>
      <c r="D436" s="45" t="s">
        <v>207</v>
      </c>
      <c r="E436" s="45" t="s">
        <v>6645</v>
      </c>
      <c r="F436" s="45" t="s">
        <v>312</v>
      </c>
      <c r="G436" s="45">
        <v>4</v>
      </c>
      <c r="H436" s="45" t="s">
        <v>6646</v>
      </c>
      <c r="I436" s="45" t="s">
        <v>275</v>
      </c>
      <c r="J436" s="45" t="s">
        <v>6118</v>
      </c>
      <c r="K436" s="47">
        <v>46174.477893518517</v>
      </c>
      <c r="L436" s="47">
        <v>46174.483622685184</v>
      </c>
      <c r="M436" s="47">
        <v>46174.570289351854</v>
      </c>
      <c r="N436" s="47">
        <v>46188.409756944442</v>
      </c>
      <c r="O436" s="47">
        <v>46176.321145833332</v>
      </c>
      <c r="P436" s="47">
        <v>46188.409756944442</v>
      </c>
      <c r="Q436" s="45" t="s">
        <v>44</v>
      </c>
      <c r="R436" s="45" t="s">
        <v>272</v>
      </c>
      <c r="S436" s="45" t="s">
        <v>5699</v>
      </c>
      <c r="T436" s="45" t="s">
        <v>268</v>
      </c>
      <c r="U436" s="45" t="s">
        <v>5531</v>
      </c>
      <c r="X436" s="45" t="s">
        <v>5531</v>
      </c>
      <c r="Y436" s="45" t="s">
        <v>6644</v>
      </c>
      <c r="Z436" s="76">
        <f t="shared" ca="1" si="57"/>
        <v>0.60543981481653919</v>
      </c>
      <c r="AA436" s="75">
        <f t="shared" ca="1" si="58"/>
        <v>1.6145061728441046</v>
      </c>
      <c r="AB436" s="76">
        <f t="shared" ca="1" si="59"/>
        <v>0.59971064814938746</v>
      </c>
      <c r="AC436" s="75">
        <f t="shared" ca="1" si="60"/>
        <v>1.5992283950650332</v>
      </c>
      <c r="AD436" s="76">
        <f t="shared" ca="1" si="61"/>
        <v>8.6666666669771075E-2</v>
      </c>
      <c r="AE436" s="76">
        <f t="shared" ca="1" si="62"/>
        <v>0.59971064814938746</v>
      </c>
      <c r="AF436" s="75">
        <f t="shared" ca="1" si="63"/>
        <v>1.5992283950650332</v>
      </c>
      <c r="AG436" s="75">
        <f t="shared" ca="1" si="64"/>
        <v>1.5992283950650332</v>
      </c>
      <c r="AH436" s="31" t="str" cm="1">
        <f t="array" aca="1" ref="AH436" ca="1">IF((AD436) &lt; (INDEX(ResponseSLA[#All],(MATCH((G436),ResponseSLA[Priority],0))+1,3)),"YES","No")</f>
        <v>YES</v>
      </c>
      <c r="AI436" s="31" t="str">
        <f ca="1">_xlfn.IFNA(IF(AE436 &lt; (INDEX(SLATable[Minimum SLA],MATCH(G436,SLATable[Priority],0))),"YES","NO"),"")</f>
        <v>YES</v>
      </c>
      <c r="AJ436" t="str">
        <f ca="1">_xlfn.IFNA(IF(AE436 &lt; (INDEX(SLATable[Maximum SLA],MATCH(G436,SLATable[Priority],0))),"YES","NO"),"")</f>
        <v>YES</v>
      </c>
    </row>
    <row r="437" spans="2:36" ht="15" customHeight="1">
      <c r="B437" s="45" t="s">
        <v>26</v>
      </c>
      <c r="C437" s="45" t="s">
        <v>44</v>
      </c>
      <c r="D437" s="45" t="s">
        <v>207</v>
      </c>
      <c r="E437" s="45" t="s">
        <v>6647</v>
      </c>
      <c r="F437" s="45" t="s">
        <v>312</v>
      </c>
      <c r="G437" s="45">
        <v>4</v>
      </c>
      <c r="H437" s="45" t="s">
        <v>6648</v>
      </c>
      <c r="I437" s="45" t="s">
        <v>271</v>
      </c>
      <c r="J437" s="45" t="s">
        <v>6118</v>
      </c>
      <c r="K437" s="47">
        <v>46174.598252314812</v>
      </c>
      <c r="L437" s="47">
        <v>46174.598252314812</v>
      </c>
      <c r="M437" s="47">
        <v>46175.167534722219</v>
      </c>
      <c r="N437" s="47">
        <v>46188.398692129631</v>
      </c>
      <c r="O437" s="47">
        <v>46181.361145833333</v>
      </c>
      <c r="P437" s="47">
        <v>46188.398692129631</v>
      </c>
      <c r="Q437" s="45" t="s">
        <v>27</v>
      </c>
      <c r="R437" s="45" t="s">
        <v>272</v>
      </c>
      <c r="S437" s="45" t="s">
        <v>175</v>
      </c>
      <c r="T437" s="45" t="s">
        <v>268</v>
      </c>
      <c r="U437" s="45" t="s">
        <v>5531</v>
      </c>
      <c r="X437" s="45" t="s">
        <v>5531</v>
      </c>
      <c r="Y437" s="45" t="s">
        <v>6649</v>
      </c>
      <c r="Z437" s="76">
        <f t="shared" ca="1" si="57"/>
        <v>1.6378935185202863</v>
      </c>
      <c r="AA437" s="75">
        <f t="shared" ca="1" si="58"/>
        <v>4.3677160493874299</v>
      </c>
      <c r="AB437" s="76">
        <f t="shared" ca="1" si="59"/>
        <v>1.6378935185202863</v>
      </c>
      <c r="AC437" s="75">
        <f t="shared" ca="1" si="60"/>
        <v>4.3677160493874299</v>
      </c>
      <c r="AD437" s="76">
        <f t="shared" ca="1" si="61"/>
        <v>0.11008101852106245</v>
      </c>
      <c r="AE437" s="76">
        <f t="shared" ref="AE437:AE443" ca="1" si="67">SUMIFS(AB:AB,E:E,E426)</f>
        <v>0</v>
      </c>
      <c r="AF437" s="75">
        <f t="shared" ca="1" si="63"/>
        <v>0</v>
      </c>
      <c r="AG437" s="75">
        <f t="shared" ca="1" si="64"/>
        <v>0</v>
      </c>
      <c r="AH437" s="31" t="str" cm="1">
        <f t="array" aca="1" ref="AH437" ca="1">IF((AD437) &lt; (INDEX(ResponseSLA[#All],(MATCH((G437),ResponseSLA[Priority],0))+1,3)),"YES","No")</f>
        <v>YES</v>
      </c>
      <c r="AI437" s="31" t="str">
        <f ca="1">_xlfn.IFNA(IF(AE437 &lt; (INDEX(SLATable[Minimum SLA],MATCH(G437,SLATable[Priority],0))),"YES","NO"),"")</f>
        <v>YES</v>
      </c>
      <c r="AJ437" t="str">
        <f ca="1">_xlfn.IFNA(IF(AE437 &lt; (INDEX(SLATable[Maximum SLA],MATCH(G437,SLATable[Priority],0))),"YES","NO"),"")</f>
        <v>YES</v>
      </c>
    </row>
    <row r="438" spans="2:36" ht="15" customHeight="1">
      <c r="B438" s="45" t="s">
        <v>26</v>
      </c>
      <c r="C438" s="45" t="s">
        <v>44</v>
      </c>
      <c r="D438" s="45" t="s">
        <v>208</v>
      </c>
      <c r="E438" s="45" t="s">
        <v>6650</v>
      </c>
      <c r="F438" s="45" t="s">
        <v>312</v>
      </c>
      <c r="G438" s="45" t="s">
        <v>208</v>
      </c>
      <c r="H438" s="45" t="s">
        <v>5894</v>
      </c>
      <c r="I438" s="45" t="s">
        <v>275</v>
      </c>
      <c r="J438" s="45" t="s">
        <v>6118</v>
      </c>
      <c r="K438" s="47">
        <v>46168.589050925926</v>
      </c>
      <c r="L438" s="47">
        <v>46171.607152777775</v>
      </c>
      <c r="M438" s="47">
        <v>46171.637824074074</v>
      </c>
      <c r="N438" s="47">
        <v>46185.409953703704</v>
      </c>
      <c r="P438" s="47">
        <v>46185.409953703704</v>
      </c>
      <c r="Q438" s="45" t="s">
        <v>5686</v>
      </c>
      <c r="R438" s="45" t="s">
        <v>272</v>
      </c>
      <c r="S438" s="45" t="s">
        <v>175</v>
      </c>
      <c r="T438" s="45" t="s">
        <v>268</v>
      </c>
      <c r="U438" s="45" t="s">
        <v>5531</v>
      </c>
      <c r="X438" s="45" t="s">
        <v>5531</v>
      </c>
      <c r="Y438" s="45" t="s">
        <v>6651</v>
      </c>
      <c r="Z438" s="76">
        <f t="shared" ca="1" si="57"/>
        <v>4.69590277777752</v>
      </c>
      <c r="AA438" s="75">
        <f t="shared" ca="1" si="58"/>
        <v>12.522407407406721</v>
      </c>
      <c r="AB438" s="76">
        <f t="shared" ca="1" si="59"/>
        <v>3.5528009259287501</v>
      </c>
      <c r="AC438" s="75">
        <f t="shared" ca="1" si="60"/>
        <v>9.4741358024766669</v>
      </c>
      <c r="AD438" s="76">
        <f t="shared" ca="1" si="61"/>
        <v>3.0671296299260575E-2</v>
      </c>
      <c r="AE438" s="76">
        <f t="shared" ca="1" si="67"/>
        <v>4.7337962969322689E-3</v>
      </c>
      <c r="AF438" s="75">
        <f t="shared" ca="1" si="63"/>
        <v>1.2623456791819384E-2</v>
      </c>
      <c r="AG438" s="75">
        <f t="shared" ca="1" si="64"/>
        <v>1.2623456791819384E-2</v>
      </c>
      <c r="AH438" s="31" t="str" cm="1">
        <f t="array" aca="1" ref="AH438" ca="1">IF((AD438) &lt; (INDEX(ResponseSLA[#All],(MATCH((G438),ResponseSLA[Priority],0))+1,3)),"YES","No")</f>
        <v>YES</v>
      </c>
      <c r="AI438" s="31" t="str">
        <f ca="1">_xlfn.IFNA(IF(AE438 &lt; (INDEX(SLATable[Minimum SLA],MATCH(G438,SLATable[Priority],0))),"YES","NO"),"")</f>
        <v>YES</v>
      </c>
      <c r="AJ438" t="str">
        <f ca="1">_xlfn.IFNA(IF(AE438 &lt; (INDEX(SLATable[Maximum SLA],MATCH(G438,SLATable[Priority],0))),"YES","NO"),"")</f>
        <v>YES</v>
      </c>
    </row>
    <row r="439" spans="2:36" ht="15" customHeight="1">
      <c r="B439" s="45" t="s">
        <v>26</v>
      </c>
      <c r="C439" s="45" t="s">
        <v>44</v>
      </c>
      <c r="D439" s="45" t="s">
        <v>208</v>
      </c>
      <c r="E439" s="45" t="s">
        <v>6652</v>
      </c>
      <c r="F439" s="45" t="s">
        <v>312</v>
      </c>
      <c r="G439" s="45" t="s">
        <v>208</v>
      </c>
      <c r="H439" s="45" t="s">
        <v>6653</v>
      </c>
      <c r="I439" s="45" t="s">
        <v>271</v>
      </c>
      <c r="J439" s="45" t="s">
        <v>6118</v>
      </c>
      <c r="K439" s="47">
        <v>46169.476990740739</v>
      </c>
      <c r="L439" s="47">
        <v>46169.476990740739</v>
      </c>
      <c r="M439" s="47">
        <v>46169.496805555558</v>
      </c>
      <c r="N439" s="47">
        <v>46185.412523148145</v>
      </c>
      <c r="O439" s="47">
        <v>46170.290543981479</v>
      </c>
      <c r="P439" s="47">
        <v>46185.412523148145</v>
      </c>
      <c r="Q439" s="45" t="s">
        <v>5534</v>
      </c>
      <c r="R439" s="45" t="s">
        <v>5693</v>
      </c>
      <c r="S439" s="45" t="s">
        <v>175</v>
      </c>
      <c r="T439" s="45" t="s">
        <v>268</v>
      </c>
      <c r="U439" s="45" t="s">
        <v>5531</v>
      </c>
      <c r="X439" s="45" t="s">
        <v>5531</v>
      </c>
      <c r="Y439" s="45" t="s">
        <v>6654</v>
      </c>
      <c r="Z439" s="76">
        <f t="shared" ca="1" si="57"/>
        <v>0.23134259259434931</v>
      </c>
      <c r="AA439" s="75">
        <f t="shared" ca="1" si="58"/>
        <v>0.61691358025159815</v>
      </c>
      <c r="AB439" s="76">
        <f t="shared" ca="1" si="59"/>
        <v>0.23134259259434931</v>
      </c>
      <c r="AC439" s="75">
        <f t="shared" ca="1" si="60"/>
        <v>0.61691358025159815</v>
      </c>
      <c r="AD439" s="76">
        <f t="shared" ca="1" si="61"/>
        <v>1.9814814819255844E-2</v>
      </c>
      <c r="AE439" s="76">
        <f t="shared" ca="1" si="67"/>
        <v>0.48598379629887267</v>
      </c>
      <c r="AF439" s="75">
        <f t="shared" ca="1" si="63"/>
        <v>1.2959567901303271</v>
      </c>
      <c r="AG439" s="75">
        <f t="shared" ca="1" si="64"/>
        <v>1.2959567901303271</v>
      </c>
      <c r="AH439" s="31" t="str" cm="1">
        <f t="array" aca="1" ref="AH439" ca="1">IF((AD439) &lt; (INDEX(ResponseSLA[#All],(MATCH((G439),ResponseSLA[Priority],0))+1,3)),"YES","No")</f>
        <v>YES</v>
      </c>
      <c r="AI439" s="31" t="str">
        <f ca="1">_xlfn.IFNA(IF(AE439 &lt; (INDEX(SLATable[Minimum SLA],MATCH(G439,SLATable[Priority],0))),"YES","NO"),"")</f>
        <v>YES</v>
      </c>
      <c r="AJ439" t="str">
        <f ca="1">_xlfn.IFNA(IF(AE439 &lt; (INDEX(SLATable[Maximum SLA],MATCH(G439,SLATable[Priority],0))),"YES","NO"),"")</f>
        <v>YES</v>
      </c>
    </row>
    <row r="440" spans="2:36" ht="15" customHeight="1">
      <c r="B440" s="45" t="s">
        <v>26</v>
      </c>
      <c r="C440" s="45" t="s">
        <v>44</v>
      </c>
      <c r="D440" s="45" t="s">
        <v>208</v>
      </c>
      <c r="E440" s="45" t="s">
        <v>6655</v>
      </c>
      <c r="F440" s="45" t="s">
        <v>312</v>
      </c>
      <c r="G440" s="45" t="s">
        <v>208</v>
      </c>
      <c r="H440" s="45" t="s">
        <v>2251</v>
      </c>
      <c r="I440" s="45" t="s">
        <v>271</v>
      </c>
      <c r="J440" s="45" t="s">
        <v>6118</v>
      </c>
      <c r="K440" s="47">
        <v>46171.462557870371</v>
      </c>
      <c r="L440" s="47">
        <v>46175.837777777779</v>
      </c>
      <c r="M440" s="47">
        <v>46176.317210648151</v>
      </c>
      <c r="N440" s="47">
        <v>46188.417071759257</v>
      </c>
      <c r="O440" s="47">
        <v>46185.41609953704</v>
      </c>
      <c r="P440" s="47">
        <v>46188.417071759257</v>
      </c>
      <c r="Q440" s="45" t="s">
        <v>6656</v>
      </c>
      <c r="R440" s="45" t="s">
        <v>272</v>
      </c>
      <c r="S440" s="45" t="s">
        <v>175</v>
      </c>
      <c r="T440" s="45" t="s">
        <v>268</v>
      </c>
      <c r="U440" s="45" t="s">
        <v>5531</v>
      </c>
      <c r="X440" s="45" t="s">
        <v>5531</v>
      </c>
      <c r="Y440" s="45" t="s">
        <v>6657</v>
      </c>
      <c r="Z440" s="76">
        <f t="shared" ca="1" si="57"/>
        <v>3.7035416666694809</v>
      </c>
      <c r="AA440" s="75">
        <f t="shared" ca="1" si="58"/>
        <v>9.8761111111186164</v>
      </c>
      <c r="AB440" s="76">
        <f t="shared" ca="1" si="59"/>
        <v>2.7077662037069485</v>
      </c>
      <c r="AC440" s="75">
        <f t="shared" ca="1" si="60"/>
        <v>7.2207098765518616</v>
      </c>
      <c r="AD440" s="76">
        <f t="shared" ca="1" si="61"/>
        <v>0</v>
      </c>
      <c r="AE440" s="76">
        <f t="shared" ca="1" si="67"/>
        <v>1.6357754629619499</v>
      </c>
      <c r="AF440" s="75">
        <f t="shared" ca="1" si="63"/>
        <v>4.3620679012318657</v>
      </c>
      <c r="AG440" s="75">
        <f t="shared" ca="1" si="64"/>
        <v>4.3620679012318657</v>
      </c>
      <c r="AH440" s="31" t="str" cm="1">
        <f t="array" aca="1" ref="AH440" ca="1">IF((AD440) &lt; (INDEX(ResponseSLA[#All],(MATCH((G440),ResponseSLA[Priority],0))+1,3)),"YES","No")</f>
        <v>YES</v>
      </c>
      <c r="AI440" s="31" t="str">
        <f ca="1">_xlfn.IFNA(IF(AE440 &lt; (INDEX(SLATable[Minimum SLA],MATCH(G440,SLATable[Priority],0))),"YES","NO"),"")</f>
        <v>NO</v>
      </c>
      <c r="AJ440" t="str">
        <f ca="1">_xlfn.IFNA(IF(AE440 &lt; (INDEX(SLATable[Maximum SLA],MATCH(G440,SLATable[Priority],0))),"YES","NO"),"")</f>
        <v>NO</v>
      </c>
    </row>
    <row r="441" spans="2:36" ht="15" customHeight="1">
      <c r="B441" s="45" t="s">
        <v>26</v>
      </c>
      <c r="C441" s="45" t="s">
        <v>44</v>
      </c>
      <c r="D441" s="45" t="s">
        <v>208</v>
      </c>
      <c r="E441" s="45" t="s">
        <v>6658</v>
      </c>
      <c r="F441" s="45" t="s">
        <v>312</v>
      </c>
      <c r="G441" s="45" t="s">
        <v>208</v>
      </c>
      <c r="H441" s="45" t="s">
        <v>6659</v>
      </c>
      <c r="I441" s="45" t="s">
        <v>271</v>
      </c>
      <c r="J441" s="45" t="s">
        <v>6118</v>
      </c>
      <c r="K441" s="47">
        <v>46175.574918981481</v>
      </c>
      <c r="L441" s="47">
        <v>46175.575613425928</v>
      </c>
      <c r="M441" s="47">
        <v>46175.592013888891</v>
      </c>
      <c r="N441" s="47">
        <v>46188.417893518519</v>
      </c>
      <c r="O441" s="47">
        <v>46185.421863425923</v>
      </c>
      <c r="P441" s="47">
        <v>46188.417893518519</v>
      </c>
      <c r="Q441" s="45" t="s">
        <v>27</v>
      </c>
      <c r="R441" s="45" t="s">
        <v>272</v>
      </c>
      <c r="S441" s="45" t="s">
        <v>175</v>
      </c>
      <c r="T441" s="45" t="s">
        <v>268</v>
      </c>
      <c r="U441" s="45" t="s">
        <v>5531</v>
      </c>
      <c r="X441" s="45" t="s">
        <v>5531</v>
      </c>
      <c r="Y441" s="45" t="s">
        <v>6660</v>
      </c>
      <c r="Z441" s="76">
        <f t="shared" ca="1" si="57"/>
        <v>2.8469444444417609</v>
      </c>
      <c r="AA441" s="75">
        <f t="shared" ca="1" si="58"/>
        <v>7.5918518518446962</v>
      </c>
      <c r="AB441" s="76">
        <f t="shared" ca="1" si="59"/>
        <v>2.8462499999950528</v>
      </c>
      <c r="AC441" s="75">
        <f t="shared" ca="1" si="60"/>
        <v>7.5899999999868077</v>
      </c>
      <c r="AD441" s="76">
        <f t="shared" ca="1" si="61"/>
        <v>1.640046296233777E-2</v>
      </c>
      <c r="AE441" s="76">
        <f t="shared" ca="1" si="67"/>
        <v>0.10782407407047384</v>
      </c>
      <c r="AF441" s="75">
        <f t="shared" ca="1" si="63"/>
        <v>0.28753086418793022</v>
      </c>
      <c r="AG441" s="75">
        <f t="shared" ca="1" si="64"/>
        <v>0.28753086418793022</v>
      </c>
      <c r="AH441" s="31" t="str" cm="1">
        <f t="array" aca="1" ref="AH441" ca="1">IF((AD441) &lt; (INDEX(ResponseSLA[#All],(MATCH((G441),ResponseSLA[Priority],0))+1,3)),"YES","No")</f>
        <v>YES</v>
      </c>
      <c r="AI441" s="31" t="str">
        <f ca="1">_xlfn.IFNA(IF(AE441 &lt; (INDEX(SLATable[Minimum SLA],MATCH(G441,SLATable[Priority],0))),"YES","NO"),"")</f>
        <v>YES</v>
      </c>
      <c r="AJ441" t="str">
        <f ca="1">_xlfn.IFNA(IF(AE441 &lt; (INDEX(SLATable[Maximum SLA],MATCH(G441,SLATable[Priority],0))),"YES","NO"),"")</f>
        <v>YES</v>
      </c>
    </row>
    <row r="442" spans="2:36" ht="15" customHeight="1">
      <c r="B442" s="45" t="s">
        <v>26</v>
      </c>
      <c r="C442" s="45" t="s">
        <v>44</v>
      </c>
      <c r="D442" s="45" t="s">
        <v>208</v>
      </c>
      <c r="E442" s="45" t="s">
        <v>6661</v>
      </c>
      <c r="F442" s="45" t="s">
        <v>312</v>
      </c>
      <c r="G442" s="45" t="s">
        <v>208</v>
      </c>
      <c r="H442" s="45" t="s">
        <v>6662</v>
      </c>
      <c r="I442" s="45" t="s">
        <v>271</v>
      </c>
      <c r="J442" s="45" t="s">
        <v>6118</v>
      </c>
      <c r="K442" s="47">
        <v>46175.635752314818</v>
      </c>
      <c r="L442" s="47">
        <v>46175.642800925925</v>
      </c>
      <c r="M442" s="47">
        <v>46176.318252314813</v>
      </c>
      <c r="N442" s="47">
        <v>46188.418229166666</v>
      </c>
      <c r="O442" s="47">
        <v>46185.425543981481</v>
      </c>
      <c r="P442" s="47">
        <v>46188.418229166666</v>
      </c>
      <c r="Q442" s="45" t="s">
        <v>6663</v>
      </c>
      <c r="R442" s="45" t="s">
        <v>272</v>
      </c>
      <c r="S442" s="45" t="s">
        <v>5699</v>
      </c>
      <c r="T442" s="45" t="s">
        <v>268</v>
      </c>
      <c r="U442" s="45" t="s">
        <v>5531</v>
      </c>
      <c r="X442" s="45" t="s">
        <v>5531</v>
      </c>
      <c r="Y442" s="45" t="s">
        <v>6664</v>
      </c>
      <c r="Z442" s="76">
        <f t="shared" ca="1" si="57"/>
        <v>2.7897916666624956</v>
      </c>
      <c r="AA442" s="75">
        <f t="shared" ca="1" si="58"/>
        <v>7.4394444444333221</v>
      </c>
      <c r="AB442" s="76">
        <f t="shared" ca="1" si="59"/>
        <v>2.7827430555553296</v>
      </c>
      <c r="AC442" s="75">
        <f t="shared" ca="1" si="60"/>
        <v>7.4206481481475457</v>
      </c>
      <c r="AD442" s="76">
        <f t="shared" ca="1" si="61"/>
        <v>6.5532407408075755E-2</v>
      </c>
      <c r="AE442" s="76">
        <f t="shared" ca="1" si="67"/>
        <v>2.0370370402815752E-3</v>
      </c>
      <c r="AF442" s="75">
        <f t="shared" ca="1" si="63"/>
        <v>5.4320987740842002E-3</v>
      </c>
      <c r="AG442" s="75">
        <f t="shared" ca="1" si="64"/>
        <v>5.4320987740842002E-3</v>
      </c>
      <c r="AH442" s="31" t="str" cm="1">
        <f t="array" aca="1" ref="AH442" ca="1">IF((AD442) &lt; (INDEX(ResponseSLA[#All],(MATCH((G442),ResponseSLA[Priority],0))+1,3)),"YES","No")</f>
        <v>YES</v>
      </c>
      <c r="AI442" s="31" t="str">
        <f ca="1">_xlfn.IFNA(IF(AE442 &lt; (INDEX(SLATable[Minimum SLA],MATCH(G442,SLATable[Priority],0))),"YES","NO"),"")</f>
        <v>YES</v>
      </c>
      <c r="AJ442" t="str">
        <f ca="1">_xlfn.IFNA(IF(AE442 &lt; (INDEX(SLATable[Maximum SLA],MATCH(G442,SLATable[Priority],0))),"YES","NO"),"")</f>
        <v>YES</v>
      </c>
    </row>
    <row r="443" spans="2:36" ht="15" customHeight="1">
      <c r="B443" s="45" t="s">
        <v>26</v>
      </c>
      <c r="C443" s="45" t="s">
        <v>44</v>
      </c>
      <c r="D443" s="45" t="s">
        <v>207</v>
      </c>
      <c r="E443" s="45" t="s">
        <v>6665</v>
      </c>
      <c r="F443" s="45" t="s">
        <v>312</v>
      </c>
      <c r="G443" s="45">
        <v>3</v>
      </c>
      <c r="H443" s="45" t="s">
        <v>6666</v>
      </c>
      <c r="I443" s="45" t="s">
        <v>271</v>
      </c>
      <c r="J443" s="45" t="s">
        <v>6118</v>
      </c>
      <c r="K443" s="47">
        <v>46182.412442129629</v>
      </c>
      <c r="L443" s="47">
        <v>46183.551412037035</v>
      </c>
      <c r="M443" s="47">
        <v>46183.56753472222</v>
      </c>
      <c r="N443" s="47">
        <v>46195.399918981479</v>
      </c>
      <c r="O443" s="47">
        <v>46188.400833333333</v>
      </c>
      <c r="P443" s="47">
        <v>46195.399918981479</v>
      </c>
      <c r="Q443" s="45" t="s">
        <v>5534</v>
      </c>
      <c r="R443" s="45" t="s">
        <v>272</v>
      </c>
      <c r="S443" s="45" t="s">
        <v>175</v>
      </c>
      <c r="T443" s="45" t="s">
        <v>268</v>
      </c>
      <c r="U443" s="45" t="s">
        <v>5531</v>
      </c>
      <c r="X443" s="45" t="s">
        <v>5531</v>
      </c>
      <c r="Y443" s="45" t="s">
        <v>6667</v>
      </c>
      <c r="Z443" s="76">
        <f t="shared" ca="1" si="57"/>
        <v>1.4883912037039413</v>
      </c>
      <c r="AA443" s="75">
        <f t="shared" ca="1" si="58"/>
        <v>3.9690432098771771</v>
      </c>
      <c r="AB443" s="76">
        <f t="shared" ca="1" si="59"/>
        <v>0.97442129629780583</v>
      </c>
      <c r="AC443" s="75">
        <f t="shared" ca="1" si="60"/>
        <v>2.5984567901274822</v>
      </c>
      <c r="AD443" s="76">
        <f t="shared" ca="1" si="61"/>
        <v>1.6122685185109731E-2</v>
      </c>
      <c r="AE443" s="76">
        <f t="shared" ca="1" si="67"/>
        <v>0.37307870369841112</v>
      </c>
      <c r="AF443" s="75">
        <f t="shared" ca="1" si="63"/>
        <v>0.99487654319576302</v>
      </c>
      <c r="AG443" s="75">
        <f t="shared" ca="1" si="64"/>
        <v>0.99487654319576302</v>
      </c>
      <c r="AH443" s="31" t="str" cm="1">
        <f t="array" aca="1" ref="AH443" ca="1">IF((AD443) &lt; (INDEX(ResponseSLA[#All],(MATCH((G443),ResponseSLA[Priority],0))+1,3)),"YES","No")</f>
        <v>YES</v>
      </c>
      <c r="AI443" s="31" t="str">
        <f ca="1">_xlfn.IFNA(IF(AE443 &lt; (INDEX(SLATable[Minimum SLA],MATCH(G443,SLATable[Priority],0))),"YES","NO"),"")</f>
        <v>YES</v>
      </c>
      <c r="AJ443" t="str">
        <f ca="1">_xlfn.IFNA(IF(AE443 &lt; (INDEX(SLATable[Maximum SLA],MATCH(G443,SLATable[Priority],0))),"YES","NO"),"")</f>
        <v>YES</v>
      </c>
    </row>
    <row r="444" spans="2:36" ht="15" customHeight="1">
      <c r="B444" s="45" t="s">
        <v>26</v>
      </c>
      <c r="C444" s="45" t="s">
        <v>44</v>
      </c>
      <c r="D444" s="45" t="s">
        <v>207</v>
      </c>
      <c r="E444" s="45" t="s">
        <v>6668</v>
      </c>
      <c r="F444" s="45" t="s">
        <v>312</v>
      </c>
      <c r="G444" s="45">
        <v>3</v>
      </c>
      <c r="H444" s="45" t="s">
        <v>6669</v>
      </c>
      <c r="I444" s="45" t="s">
        <v>271</v>
      </c>
      <c r="J444" s="45" t="s">
        <v>6118</v>
      </c>
      <c r="K444" s="47">
        <v>46181.507199074076</v>
      </c>
      <c r="L444" s="47">
        <v>46181.507210648146</v>
      </c>
      <c r="M444" s="47">
        <v>46181.530682870369</v>
      </c>
      <c r="N444" s="47">
        <v>46188.407627314817</v>
      </c>
      <c r="P444" s="47">
        <v>46188.407627314817</v>
      </c>
      <c r="Q444" s="45" t="s">
        <v>5686</v>
      </c>
      <c r="R444" s="45" t="s">
        <v>272</v>
      </c>
      <c r="S444" s="45" t="s">
        <v>175</v>
      </c>
      <c r="T444" s="45" t="s">
        <v>268</v>
      </c>
      <c r="U444" s="45" t="s">
        <v>5531</v>
      </c>
      <c r="X444" s="45" t="s">
        <v>5531</v>
      </c>
      <c r="Y444" s="45" t="s">
        <v>6670</v>
      </c>
      <c r="Z444" s="76">
        <f t="shared" ca="1" si="57"/>
        <v>1.7754282407404389</v>
      </c>
      <c r="AA444" s="75">
        <f t="shared" ca="1" si="58"/>
        <v>4.7344753086411702</v>
      </c>
      <c r="AB444" s="76">
        <f t="shared" ca="1" si="59"/>
        <v>1.7754166666709352</v>
      </c>
      <c r="AC444" s="75">
        <f t="shared" ca="1" si="60"/>
        <v>4.7344444444558276</v>
      </c>
      <c r="AD444" s="76">
        <f t="shared" ca="1" si="61"/>
        <v>2.3472222223063E-2</v>
      </c>
      <c r="AE444" s="76">
        <f t="shared" ca="1" si="62"/>
        <v>1.7754166666709352</v>
      </c>
      <c r="AF444" s="75">
        <f t="shared" ca="1" si="63"/>
        <v>4.7344444444558276</v>
      </c>
      <c r="AG444" s="75">
        <f t="shared" ca="1" si="64"/>
        <v>4.7344444444558276</v>
      </c>
      <c r="AH444" s="31" t="str" cm="1">
        <f t="array" aca="1" ref="AH444" ca="1">IF((AD444) &lt; (INDEX(ResponseSLA[#All],(MATCH((G444),ResponseSLA[Priority],0))+1,3)),"YES","No")</f>
        <v>YES</v>
      </c>
      <c r="AI444" s="31" t="str">
        <f ca="1">_xlfn.IFNA(IF(AE444 &lt; (INDEX(SLATable[Minimum SLA],MATCH(G444,SLATable[Priority],0))),"YES","NO"),"")</f>
        <v>NO</v>
      </c>
      <c r="AJ444" t="str">
        <f ca="1">_xlfn.IFNA(IF(AE444 &lt; (INDEX(SLATable[Maximum SLA],MATCH(G444,SLATable[Priority],0))),"YES","NO"),"")</f>
        <v>YES</v>
      </c>
    </row>
    <row r="445" spans="2:36" ht="15" customHeight="1">
      <c r="B445" s="45" t="s">
        <v>26</v>
      </c>
      <c r="C445" s="45" t="s">
        <v>44</v>
      </c>
      <c r="D445" s="45" t="s">
        <v>207</v>
      </c>
      <c r="E445" s="45" t="s">
        <v>6671</v>
      </c>
      <c r="F445" s="45" t="s">
        <v>312</v>
      </c>
      <c r="G445" s="45">
        <v>4</v>
      </c>
      <c r="H445" s="45" t="s">
        <v>6672</v>
      </c>
      <c r="I445" s="45" t="s">
        <v>271</v>
      </c>
      <c r="J445" s="45" t="s">
        <v>6118</v>
      </c>
      <c r="K445" s="47">
        <v>46179.083854166667</v>
      </c>
      <c r="L445" s="47">
        <v>46179.083854166667</v>
      </c>
      <c r="M445" s="47">
        <v>46181.343657407408</v>
      </c>
      <c r="N445" s="47">
        <v>46188.413645833331</v>
      </c>
      <c r="P445" s="47">
        <v>46188.413645833331</v>
      </c>
      <c r="Q445" s="45" t="s">
        <v>6673</v>
      </c>
      <c r="R445" s="45" t="s">
        <v>272</v>
      </c>
      <c r="S445" s="45" t="s">
        <v>175</v>
      </c>
      <c r="T445" s="45" t="s">
        <v>268</v>
      </c>
      <c r="U445" s="45" t="s">
        <v>428</v>
      </c>
      <c r="X445" s="45" t="s">
        <v>5531</v>
      </c>
      <c r="Y445" s="45" t="s">
        <v>6674</v>
      </c>
      <c r="Z445" s="76">
        <f t="shared" ca="1" si="57"/>
        <v>1.9553124999971867</v>
      </c>
      <c r="AA445" s="75">
        <f t="shared" ca="1" si="58"/>
        <v>5.214166666659164</v>
      </c>
      <c r="AB445" s="76">
        <f t="shared" ca="1" si="59"/>
        <v>1.9553124999971867</v>
      </c>
      <c r="AC445" s="75">
        <f t="shared" ca="1" si="60"/>
        <v>5.214166666659164</v>
      </c>
      <c r="AD445" s="76">
        <f t="shared" ca="1" si="61"/>
        <v>1.0324074074257339E-2</v>
      </c>
      <c r="AE445" s="76">
        <f t="shared" ca="1" si="62"/>
        <v>1.9553124999971867</v>
      </c>
      <c r="AF445" s="75">
        <f t="shared" ca="1" si="63"/>
        <v>5.214166666659164</v>
      </c>
      <c r="AG445" s="75">
        <f t="shared" ca="1" si="64"/>
        <v>5.214166666659164</v>
      </c>
      <c r="AH445" s="31" t="str" cm="1">
        <f t="array" aca="1" ref="AH445" ca="1">IF((AD445) &lt; (INDEX(ResponseSLA[#All],(MATCH((G445),ResponseSLA[Priority],0))+1,3)),"YES","No")</f>
        <v>YES</v>
      </c>
      <c r="AI445" s="31" t="str">
        <f ca="1">_xlfn.IFNA(IF(AE445 &lt; (INDEX(SLATable[Minimum SLA],MATCH(G445,SLATable[Priority],0))),"YES","NO"),"")</f>
        <v>YES</v>
      </c>
      <c r="AJ445" t="str">
        <f ca="1">_xlfn.IFNA(IF(AE445 &lt; (INDEX(SLATable[Maximum SLA],MATCH(G445,SLATable[Priority],0))),"YES","NO"),"")</f>
        <v>YES</v>
      </c>
    </row>
    <row r="446" spans="2:36" ht="15" customHeight="1">
      <c r="B446" s="45" t="s">
        <v>26</v>
      </c>
      <c r="C446" s="45" t="s">
        <v>44</v>
      </c>
      <c r="D446" s="45" t="s">
        <v>207</v>
      </c>
      <c r="E446" s="45" t="s">
        <v>6675</v>
      </c>
      <c r="F446" s="45" t="s">
        <v>312</v>
      </c>
      <c r="G446" s="45">
        <v>4</v>
      </c>
      <c r="H446" s="45" t="s">
        <v>6676</v>
      </c>
      <c r="I446" s="45" t="s">
        <v>271</v>
      </c>
      <c r="J446" s="45" t="s">
        <v>6118</v>
      </c>
      <c r="K446" s="47">
        <v>46182.042881944442</v>
      </c>
      <c r="L446" s="47">
        <v>46182.042881944442</v>
      </c>
      <c r="M446" s="47">
        <v>46182.288877314815</v>
      </c>
      <c r="N446" s="47">
        <v>46188.414733796293</v>
      </c>
      <c r="P446" s="47">
        <v>46188.414733796293</v>
      </c>
      <c r="Q446" s="45" t="s">
        <v>6673</v>
      </c>
      <c r="R446" s="45" t="s">
        <v>272</v>
      </c>
      <c r="S446" s="45" t="s">
        <v>175</v>
      </c>
      <c r="T446" s="45" t="s">
        <v>268</v>
      </c>
      <c r="U446" s="45" t="s">
        <v>428</v>
      </c>
      <c r="X446" s="45" t="s">
        <v>5531</v>
      </c>
      <c r="Y446" s="45" t="s">
        <v>6674</v>
      </c>
      <c r="Z446" s="76">
        <f t="shared" ca="1" si="57"/>
        <v>1.5814004629598157</v>
      </c>
      <c r="AA446" s="75">
        <f t="shared" ca="1" si="58"/>
        <v>4.2170679012261756</v>
      </c>
      <c r="AB446" s="76">
        <f t="shared" ca="1" si="59"/>
        <v>1.5814004629598157</v>
      </c>
      <c r="AC446" s="75">
        <f t="shared" ca="1" si="60"/>
        <v>4.2170679012261756</v>
      </c>
      <c r="AD446" s="76">
        <f t="shared" ca="1" si="61"/>
        <v>0</v>
      </c>
      <c r="AE446" s="76">
        <f t="shared" ca="1" si="62"/>
        <v>1.5814004629598157</v>
      </c>
      <c r="AF446" s="75">
        <f t="shared" ca="1" si="63"/>
        <v>4.2170679012261756</v>
      </c>
      <c r="AG446" s="75">
        <f t="shared" ca="1" si="64"/>
        <v>4.2170679012261756</v>
      </c>
      <c r="AH446" s="31" t="str" cm="1">
        <f t="array" aca="1" ref="AH446" ca="1">IF((AD446) &lt; (INDEX(ResponseSLA[#All],(MATCH((G446),ResponseSLA[Priority],0))+1,3)),"YES","No")</f>
        <v>YES</v>
      </c>
      <c r="AI446" s="31" t="str">
        <f ca="1">_xlfn.IFNA(IF(AE446 &lt; (INDEX(SLATable[Minimum SLA],MATCH(G446,SLATable[Priority],0))),"YES","NO"),"")</f>
        <v>YES</v>
      </c>
      <c r="AJ446" t="str">
        <f ca="1">_xlfn.IFNA(IF(AE446 &lt; (INDEX(SLATable[Maximum SLA],MATCH(G446,SLATable[Priority],0))),"YES","NO"),"")</f>
        <v>YES</v>
      </c>
    </row>
    <row r="447" spans="2:36" ht="15" customHeight="1">
      <c r="B447" s="45" t="s">
        <v>26</v>
      </c>
      <c r="C447" s="45" t="s">
        <v>44</v>
      </c>
      <c r="D447" s="45" t="s">
        <v>208</v>
      </c>
      <c r="E447" s="45" t="s">
        <v>6677</v>
      </c>
      <c r="F447" s="45" t="s">
        <v>312</v>
      </c>
      <c r="G447" s="45" t="s">
        <v>208</v>
      </c>
      <c r="H447" s="45" t="s">
        <v>6678</v>
      </c>
      <c r="I447" s="45" t="s">
        <v>275</v>
      </c>
      <c r="J447" s="45" t="s">
        <v>6118</v>
      </c>
      <c r="K447" s="47">
        <v>46178.471412037034</v>
      </c>
      <c r="L447" s="47">
        <v>46178.484976851854</v>
      </c>
      <c r="M447" s="47">
        <v>46178.577152777776</v>
      </c>
      <c r="N447" s="47">
        <v>46188.419085648151</v>
      </c>
      <c r="P447" s="47">
        <v>46188.419085648151</v>
      </c>
      <c r="Q447" s="45" t="s">
        <v>5534</v>
      </c>
      <c r="R447" s="45" t="s">
        <v>272</v>
      </c>
      <c r="S447" s="45" t="s">
        <v>175</v>
      </c>
      <c r="T447" s="45" t="s">
        <v>268</v>
      </c>
      <c r="U447" s="45" t="s">
        <v>5531</v>
      </c>
      <c r="X447" s="45" t="s">
        <v>5531</v>
      </c>
      <c r="Y447" s="45" t="s">
        <v>6651</v>
      </c>
      <c r="Z447" s="76">
        <f t="shared" ca="1" si="57"/>
        <v>2.1976736111173527</v>
      </c>
      <c r="AA447" s="75">
        <f t="shared" ca="1" si="58"/>
        <v>5.8604629629796072</v>
      </c>
      <c r="AB447" s="76">
        <f t="shared" ca="1" si="59"/>
        <v>2.1841087962966417</v>
      </c>
      <c r="AC447" s="75">
        <f t="shared" ca="1" si="60"/>
        <v>5.8242901234577111</v>
      </c>
      <c r="AD447" s="76">
        <f t="shared" ca="1" si="61"/>
        <v>9.2175925921765156E-2</v>
      </c>
      <c r="AE447" s="76">
        <f t="shared" ca="1" si="62"/>
        <v>2.1841087962966417</v>
      </c>
      <c r="AF447" s="75">
        <f t="shared" ca="1" si="63"/>
        <v>5.8242901234577111</v>
      </c>
      <c r="AG447" s="75">
        <f t="shared" ca="1" si="64"/>
        <v>5.8242901234577111</v>
      </c>
      <c r="AH447" s="31" t="str" cm="1">
        <f t="array" aca="1" ref="AH447" ca="1">IF((AD447) &lt; (INDEX(ResponseSLA[#All],(MATCH((G447),ResponseSLA[Priority],0))+1,3)),"YES","No")</f>
        <v>YES</v>
      </c>
      <c r="AI447" s="31" t="str">
        <f ca="1">_xlfn.IFNA(IF(AE447 &lt; (INDEX(SLATable[Minimum SLA],MATCH(G447,SLATable[Priority],0))),"YES","NO"),"")</f>
        <v>NO</v>
      </c>
      <c r="AJ447" t="str">
        <f ca="1">_xlfn.IFNA(IF(AE447 &lt; (INDEX(SLATable[Maximum SLA],MATCH(G447,SLATable[Priority],0))),"YES","NO"),"")</f>
        <v>NO</v>
      </c>
    </row>
    <row r="448" spans="2:36" ht="15" customHeight="1">
      <c r="B448" s="45" t="s">
        <v>26</v>
      </c>
      <c r="C448" s="45" t="s">
        <v>44</v>
      </c>
      <c r="D448" s="45" t="s">
        <v>208</v>
      </c>
      <c r="E448" s="45" t="s">
        <v>6679</v>
      </c>
      <c r="F448" s="45" t="s">
        <v>312</v>
      </c>
      <c r="G448" s="45" t="s">
        <v>208</v>
      </c>
      <c r="H448" s="45" t="s">
        <v>6680</v>
      </c>
      <c r="I448" s="45" t="s">
        <v>275</v>
      </c>
      <c r="J448" s="45" t="s">
        <v>6118</v>
      </c>
      <c r="K448" s="47">
        <v>46178.587106481478</v>
      </c>
      <c r="L448" s="47">
        <v>46178.629178240742</v>
      </c>
      <c r="M448" s="47">
        <v>46181.282187500001</v>
      </c>
      <c r="N448" s="47">
        <v>46188.419490740744</v>
      </c>
      <c r="P448" s="47">
        <v>46188.419490740744</v>
      </c>
      <c r="Q448" s="45" t="s">
        <v>5534</v>
      </c>
      <c r="R448" s="45" t="s">
        <v>272</v>
      </c>
      <c r="S448" s="45" t="s">
        <v>175</v>
      </c>
      <c r="T448" s="45" t="s">
        <v>268</v>
      </c>
      <c r="U448" s="45" t="s">
        <v>5531</v>
      </c>
      <c r="X448" s="45" t="s">
        <v>5531</v>
      </c>
      <c r="Y448" s="45" t="s">
        <v>6651</v>
      </c>
      <c r="Z448" s="76">
        <f t="shared" ca="1" si="57"/>
        <v>2.0823842592653823</v>
      </c>
      <c r="AA448" s="75">
        <f t="shared" ca="1" si="58"/>
        <v>5.5530246913743531</v>
      </c>
      <c r="AB448" s="76">
        <f t="shared" ca="1" si="59"/>
        <v>2.0403125000011646</v>
      </c>
      <c r="AC448" s="75">
        <f t="shared" ca="1" si="60"/>
        <v>5.4408333333364389</v>
      </c>
      <c r="AD448" s="76">
        <f t="shared" ca="1" si="61"/>
        <v>7.9155092590857179E-2</v>
      </c>
      <c r="AE448" s="76">
        <f t="shared" ca="1" si="62"/>
        <v>2.0403125000011646</v>
      </c>
      <c r="AF448" s="75">
        <f t="shared" ca="1" si="63"/>
        <v>5.4408333333364389</v>
      </c>
      <c r="AG448" s="75">
        <f t="shared" ca="1" si="64"/>
        <v>5.4408333333364389</v>
      </c>
      <c r="AH448" s="31" t="str" cm="1">
        <f t="array" aca="1" ref="AH448" ca="1">IF((AD448) &lt; (INDEX(ResponseSLA[#All],(MATCH((G448),ResponseSLA[Priority],0))+1,3)),"YES","No")</f>
        <v>YES</v>
      </c>
      <c r="AI448" s="31" t="str">
        <f ca="1">_xlfn.IFNA(IF(AE448 &lt; (INDEX(SLATable[Minimum SLA],MATCH(G448,SLATable[Priority],0))),"YES","NO"),"")</f>
        <v>NO</v>
      </c>
      <c r="AJ448" t="str">
        <f ca="1">_xlfn.IFNA(IF(AE448 &lt; (INDEX(SLATable[Maximum SLA],MATCH(G448,SLATable[Priority],0))),"YES","NO"),"")</f>
        <v>NO</v>
      </c>
    </row>
    <row r="449" spans="2:36" ht="15" customHeight="1">
      <c r="B449" s="45" t="s">
        <v>26</v>
      </c>
      <c r="C449" s="45" t="s">
        <v>44</v>
      </c>
      <c r="D449" s="45" t="s">
        <v>208</v>
      </c>
      <c r="E449" s="45" t="s">
        <v>6681</v>
      </c>
      <c r="F449" s="45" t="s">
        <v>312</v>
      </c>
      <c r="G449" s="45" t="s">
        <v>208</v>
      </c>
      <c r="H449" s="45" t="s">
        <v>6682</v>
      </c>
      <c r="I449" s="45" t="s">
        <v>275</v>
      </c>
      <c r="J449" s="45" t="s">
        <v>6118</v>
      </c>
      <c r="K449" s="47">
        <v>46177.472962962966</v>
      </c>
      <c r="L449" s="47">
        <v>46195.67560185185</v>
      </c>
      <c r="M449" s="47">
        <v>46196.295624999999</v>
      </c>
      <c r="N449" s="47">
        <v>46199.511817129627</v>
      </c>
      <c r="P449" s="47">
        <v>46199.511817129627</v>
      </c>
      <c r="Q449" s="45" t="s">
        <v>44</v>
      </c>
      <c r="R449" s="45" t="s">
        <v>272</v>
      </c>
      <c r="S449" s="45" t="s">
        <v>175</v>
      </c>
      <c r="T449" s="45" t="s">
        <v>268</v>
      </c>
      <c r="U449" s="45" t="s">
        <v>5531</v>
      </c>
      <c r="X449" s="45" t="s">
        <v>5531</v>
      </c>
      <c r="Y449" s="45" t="s">
        <v>6683</v>
      </c>
      <c r="Z449" s="76">
        <f t="shared" ca="1" si="57"/>
        <v>6.0388541666616229</v>
      </c>
      <c r="AA449" s="75">
        <f t="shared" ca="1" si="58"/>
        <v>16.103611111097663</v>
      </c>
      <c r="AB449" s="76">
        <f t="shared" ca="1" si="59"/>
        <v>1.336215277777228</v>
      </c>
      <c r="AC449" s="75">
        <f t="shared" ca="1" si="60"/>
        <v>3.5632407407392748</v>
      </c>
      <c r="AD449" s="76">
        <f t="shared" ca="1" si="61"/>
        <v>3.2731481483400215E-2</v>
      </c>
      <c r="AE449" s="76">
        <f t="shared" ca="1" si="62"/>
        <v>1.336215277777228</v>
      </c>
      <c r="AF449" s="75">
        <f t="shared" ca="1" si="63"/>
        <v>3.5632407407392748</v>
      </c>
      <c r="AG449" s="75">
        <f t="shared" ca="1" si="64"/>
        <v>3.5632407407392748</v>
      </c>
      <c r="AH449" s="31" t="str" cm="1">
        <f t="array" aca="1" ref="AH449" ca="1">IF((AD449) &lt; (INDEX(ResponseSLA[#All],(MATCH((G449),ResponseSLA[Priority],0))+1,3)),"YES","No")</f>
        <v>YES</v>
      </c>
      <c r="AI449" s="31" t="str">
        <f ca="1">_xlfn.IFNA(IF(AE449 &lt; (INDEX(SLATable[Minimum SLA],MATCH(G449,SLATable[Priority],0))),"YES","NO"),"")</f>
        <v>NO</v>
      </c>
      <c r="AJ449" t="str">
        <f ca="1">_xlfn.IFNA(IF(AE449 &lt; (INDEX(SLATable[Maximum SLA],MATCH(G449,SLATable[Priority],0))),"YES","NO"),"")</f>
        <v>NO</v>
      </c>
    </row>
    <row r="450" spans="2:36" ht="15" customHeight="1">
      <c r="B450" s="45" t="s">
        <v>26</v>
      </c>
      <c r="C450" s="45" t="s">
        <v>44</v>
      </c>
      <c r="D450" s="53" t="s">
        <v>207</v>
      </c>
      <c r="E450" s="53" t="s">
        <v>6684</v>
      </c>
      <c r="F450" s="45" t="s">
        <v>312</v>
      </c>
      <c r="G450" s="53">
        <v>4</v>
      </c>
      <c r="H450" s="53" t="s">
        <v>6685</v>
      </c>
      <c r="I450" s="53" t="s">
        <v>275</v>
      </c>
      <c r="J450" s="53" t="s">
        <v>5530</v>
      </c>
      <c r="K450" s="71">
        <v>46189.82916666667</v>
      </c>
      <c r="L450" s="71">
        <v>46190.645833333336</v>
      </c>
      <c r="M450" s="71">
        <v>46190.682638888888</v>
      </c>
      <c r="N450" s="71">
        <v>46192.300694444442</v>
      </c>
      <c r="O450" s="71"/>
      <c r="P450" s="71"/>
      <c r="Q450" s="53" t="s">
        <v>6686</v>
      </c>
      <c r="R450" s="53" t="s">
        <v>272</v>
      </c>
      <c r="S450" s="53" t="s">
        <v>175</v>
      </c>
      <c r="T450" s="53" t="s">
        <v>268</v>
      </c>
      <c r="U450" s="53" t="s">
        <v>5531</v>
      </c>
      <c r="V450" s="53"/>
      <c r="W450" s="53"/>
      <c r="X450" s="45" t="s">
        <v>5531</v>
      </c>
      <c r="Y450" s="45" t="s">
        <v>6687</v>
      </c>
      <c r="Z450" s="76">
        <f t="shared" ca="1" si="57"/>
        <v>0.75000000000000011</v>
      </c>
      <c r="AA450" s="75">
        <f t="shared" ca="1" si="58"/>
        <v>2.0000000000000004</v>
      </c>
      <c r="AB450" s="76">
        <f t="shared" ca="1" si="59"/>
        <v>0.43749999999757483</v>
      </c>
      <c r="AC450" s="75">
        <f t="shared" ca="1" si="60"/>
        <v>1.1666666666601995</v>
      </c>
      <c r="AD450" s="76">
        <f t="shared" ca="1" si="61"/>
        <v>3.6805555551836733E-2</v>
      </c>
      <c r="AE450" s="76">
        <f t="shared" ca="1" si="62"/>
        <v>0.43749999999757483</v>
      </c>
      <c r="AF450" s="75">
        <f t="shared" ca="1" si="63"/>
        <v>1.1666666666601995</v>
      </c>
      <c r="AG450" s="75">
        <f t="shared" ca="1" si="64"/>
        <v>1.1666666666601995</v>
      </c>
      <c r="AH450" s="31" t="str" cm="1">
        <f t="array" aca="1" ref="AH450" ca="1">IF((AD450) &lt; (INDEX(ResponseSLA[#All],(MATCH((G450),ResponseSLA[Priority],0))+1,3)),"YES","No")</f>
        <v>YES</v>
      </c>
      <c r="AI450" s="31" t="str">
        <f ca="1">_xlfn.IFNA(IF(AE450 &lt; (INDEX(SLATable[Minimum SLA],MATCH(G450,SLATable[Priority],0))),"YES","NO"),"")</f>
        <v>YES</v>
      </c>
      <c r="AJ450" t="str">
        <f ca="1">_xlfn.IFNA(IF(AE450 &lt; (INDEX(SLATable[Maximum SLA],MATCH(G450,SLATable[Priority],0))),"YES","NO"),"")</f>
        <v>YES</v>
      </c>
    </row>
    <row r="451" spans="2:36" ht="15" customHeight="1">
      <c r="B451" s="45" t="s">
        <v>26</v>
      </c>
      <c r="C451" s="45" t="s">
        <v>44</v>
      </c>
      <c r="D451" s="53" t="s">
        <v>207</v>
      </c>
      <c r="E451" s="53" t="s">
        <v>6688</v>
      </c>
      <c r="F451" s="45" t="s">
        <v>312</v>
      </c>
      <c r="G451" s="53">
        <v>4</v>
      </c>
      <c r="H451" s="53" t="s">
        <v>6689</v>
      </c>
      <c r="I451" s="53" t="s">
        <v>271</v>
      </c>
      <c r="J451" s="53" t="s">
        <v>5530</v>
      </c>
      <c r="K451" s="71">
        <v>46178.9</v>
      </c>
      <c r="L451" s="71">
        <v>46197.507638888892</v>
      </c>
      <c r="M451" s="71">
        <v>46197.508333333331</v>
      </c>
      <c r="N451" s="71">
        <v>46203.295138888891</v>
      </c>
      <c r="O451" s="71">
        <v>46198.329861111109</v>
      </c>
      <c r="P451" s="71">
        <v>46203.295138888891</v>
      </c>
      <c r="Q451" s="53" t="s">
        <v>5534</v>
      </c>
      <c r="R451" s="53" t="s">
        <v>272</v>
      </c>
      <c r="S451" s="53" t="s">
        <v>175</v>
      </c>
      <c r="T451" s="53" t="s">
        <v>268</v>
      </c>
      <c r="U451" s="53" t="s">
        <v>5132</v>
      </c>
      <c r="V451" s="53"/>
      <c r="W451" s="53"/>
      <c r="X451" s="45" t="s">
        <v>5531</v>
      </c>
      <c r="Y451" s="45" t="s">
        <v>6346</v>
      </c>
      <c r="Z451" s="76">
        <f t="shared" ref="Z451:Z500" ca="1" si="68">IF(NOT(OR(G451=1,G451=2)),MAX(0,_xlfn.IFS(AND(K451&lt;&gt;"",N451&lt;&gt;""),((MAX(NETWORKDAYS(K451,N451,UKBankHolidays)-1,0))*(TIME(17,0,0)-TIME(8,0,0))+IF(NETWORKDAYS(N451,N451,UKBankHolidays)&gt;0,MEDIAN(TIME(8,0,0),MOD(N451,1),TIME(17,0,0)),TIME(8,0,0))-IF(NETWORKDAYS(K451,K451,UKBankHolidays)&gt;0,MEDIAN(TIME(8,0,0),MOD(K451,1),TIME(17,0,0)),TIME(8,0,0)))-IF(AND(O451&lt;&gt;"",P451&lt;&gt;""),((MAX(NETWORKDAYS(O451,P451,UKBankHolidays)-1,0))*(TIME(17,0,0)-TIME(8,0,0))+IF(NETWORKDAYS(P451,P451,UKBankHolidays)&gt;0,MEDIAN(TIME(8,0,0),MOD(P451,1),TIME(17,0,0)),TIME(8,0,0))-IF(NETWORKDAYS(O451,O451,UKBankHolidays)&gt;0,MEDIAN(TIME(8,0,0),MOD(O451,1),TIME(17,0,0)),TIME(8,0,0))),0),AND(K451&lt;&gt;"",N451=""),((MAX(NETWORKDAYS(K451,NOW(),UKBankHolidays)-1,0))*(TIME(17,0,0)-TIME(8,0,0))+IF(NETWORKDAYS(NOW(),NOW(),UKBankHolidays)&gt;0,MEDIAN(TIME(8,0,0),MOD(NOW(),1),TIME(17,0,0)),TIME(8,0,0))-IF(NETWORKDAYS(K451,K451,UKBankHolidays)&gt;0,MEDIAN(TIME(8,0,0),MOD(K451,1),TIME(17,0,0)),TIME(8,0,0))))),IF(N451="",NOW()-K451,N451-K451))</f>
        <v>4.8750000000000009</v>
      </c>
      <c r="AA451" s="75">
        <f t="shared" ref="AA451:AA500" ca="1" si="69">(Z451*24)/9</f>
        <v>13.000000000000004</v>
      </c>
      <c r="AB451" s="76">
        <f t="shared" ref="AB451:AB500" ca="1" si="70">IF(NOT(OR(G451=1,G451=2)),MAX(0,_xlfn.IFS(AND(K451&lt;&gt;"",N451&lt;&gt;""),(((MAX(NETWORKDAYS(L451,N451,UKBankHolidays)-1,0))*(TIME(17,0,0)-TIME(8,0,0)))+IF(NETWORKDAYS(N451,N451,UKBankHolidays)&gt;0,MEDIAN(TIME(8,0,0),MOD(N451,1),TIME(17,0,0)),TIME(8,0,0))-IF(NETWORKDAYS(L451,L451,UKBankHolidays)&gt;0,MEDIAN(TIME(8,0,0),MOD(L451,1),TIME(17,0,0)),TIME(8,0,0)))-IF(AND(O451&lt;&gt;"",P451&lt;&gt;""),(((MAX(NETWORKDAYS(O451,P451,UKBankHolidays)-1,0))*(TIME(17,0,0)-TIME(8,0,0)))+IF(NETWORKDAYS(P451,P451,UKBankHolidays)&gt;0,MEDIAN(TIME(8,0,0),MOD(P451,1),TIME(17,0,0)),TIME(8,0,0))-IF(NETWORKDAYS(O451,O451,UKBankHolidays)&gt;0,MEDIAN(TIME(8,0,0),MOD(O451,1),TIME(17,0,0)),TIME(8,0,0))),0),AND(L451&lt;&gt;"",N451="",O451=""),(((MAX(NETWORKDAYS(L451,NOW(),UKBankHolidays)-1,0))*(TIME(17,0,0)-TIME(8,0,0)))+IF(NETWORKDAYS(NOW(),NOW(),UKBankHolidays)&gt;0,MEDIAN(TIME(8,0,0),MOD(NOW(),1),TIME(17,0,0)),TIME(8,0,0))-IF(NETWORKDAYS(L451,L451,UKBankHolidays)&gt;0,MEDIAN(TIME(8,0,0),MOD(L451,1),TIME(17,0,0)),TIME(8,0,0)))-IF(AND(O451&lt;&gt;"",P451&lt;&gt;""),(((MAX(NETWORKDAYS(O451,P451,UKBankHolidays)-1,0))*(TIME(17,0,0)-TIME(8,0,0)))+IF(NETWORKDAYS(P451,P451,UKBankHolidays)&gt;0,MEDIAN(TIME(8,0,0),MOD(P451,1),TIME(17,0,0)),TIME(8,0,0))-IF(NETWORKDAYS(O451,O451,UKBankHolidays)&gt;0,MEDIAN(TIME(8,0,0),MOD(O451,1),TIME(17,0,0)),TIME(8,0,0))),0),AND(L451&lt;&gt;"",N451="",P451="",O451&lt;&gt;""),(((MAX(NETWORKDAYS(L451,O451,UKBankHolidays)-1,0))*(TIME(17,0,0)-TIME(8,0,0)))+IF(NETWORKDAYS(O451,O451,UKBankHolidays)&gt;0,MEDIAN(TIME(8,0,0),MOD(O451,1),TIME(17,0,0)),TIME(8,0,0))-IF(NETWORKDAYS(L451,L451,UKBankHolidays)&gt;0,MEDIAN(TIME(8,0,0),MOD(L451,1),TIME(17,0,0)),TIME(8,0,0))),ISBLANK(K451),"0")),IF(ISBLANK(N451),NOW()-L451,N451-L451))</f>
        <v>0.2006944444413723</v>
      </c>
      <c r="AC451" s="75">
        <f t="shared" ref="AC451:AC500" ca="1" si="71">(AB451*24)/9</f>
        <v>0.53518518517699276</v>
      </c>
      <c r="AD451" s="76">
        <f t="shared" ref="AD451:AD500" ca="1" si="72">MAX(0,IF(NOT(OR(G451=1,G451=2)),IF(M451&lt;&gt;"",((MAX(NETWORKDAYS(L451,M451,UKBankHolidays)-1,0))*(TIME(17,0,0)-TIME(8,0,0))+IF(NETWORKDAYS(M451,M451,UKBankHolidays)&gt;0,MEDIAN(TIME(8,0,0),MOD(M451,1),TIME(17,0,0)),TIME(8,0,0))-MEDIAN(TIME(8,0,0),MOD(L451,1),TIME(17,0,0))),((MAX(NETWORKDAYS(L451,NOW(),UKBankHolidays)-1,0))*(TIME(17,0,0)-TIME(8,0,0))+IF(NETWORKDAYS(NOW(),NOW(),UKBankHolidays)&gt;0,MEDIAN(TIME(8,0,0),MOD(NOW(),1),TIME(17,0,0)),TIME(8,0,0))-MEDIAN(TIME(8,0,0),MOD(L451,1),TIME(17,0,0)))),IF(M451&lt;&gt;"",M451-L451,NOW()-L451)))</f>
        <v>6.9444443943211809E-4</v>
      </c>
      <c r="AE451" s="76">
        <f t="shared" ref="AE451:AE500" ca="1" si="73">SUMIFS(AB:AB,E:E,E451)</f>
        <v>0.4013888888827446</v>
      </c>
      <c r="AF451" s="75">
        <f t="shared" ref="AF451:AF500" ca="1" si="74">(AE451*24)/9</f>
        <v>1.0703703703539855</v>
      </c>
      <c r="AG451" s="75">
        <f t="shared" ref="AG451:AG500" ca="1" si="75">AF451</f>
        <v>1.0703703703539855</v>
      </c>
      <c r="AH451" s="31" t="str" cm="1">
        <f t="array" aca="1" ref="AH451" ca="1">IF((AD451) &lt; (INDEX(ResponseSLA[#All],(MATCH((G451),ResponseSLA[Priority],0))+1,3)),"YES","No")</f>
        <v>YES</v>
      </c>
      <c r="AI451" s="31" t="str">
        <f ca="1">_xlfn.IFNA(IF(AE451 &lt; (INDEX(SLATable[Minimum SLA],MATCH(G451,SLATable[Priority],0))),"YES","NO"),"")</f>
        <v>YES</v>
      </c>
      <c r="AJ451" t="str">
        <f ca="1">_xlfn.IFNA(IF(AE451 &lt; (INDEX(SLATable[Maximum SLA],MATCH(G451,SLATable[Priority],0))),"YES","NO"),"")</f>
        <v>YES</v>
      </c>
    </row>
    <row r="452" spans="2:36" ht="15" customHeight="1">
      <c r="B452" s="45" t="s">
        <v>26</v>
      </c>
      <c r="C452" s="45" t="s">
        <v>44</v>
      </c>
      <c r="D452" s="53" t="s">
        <v>208</v>
      </c>
      <c r="E452" s="53" t="s">
        <v>6690</v>
      </c>
      <c r="F452" s="45" t="s">
        <v>312</v>
      </c>
      <c r="G452" s="53" t="s">
        <v>208</v>
      </c>
      <c r="H452" s="53" t="s">
        <v>6691</v>
      </c>
      <c r="I452" s="53" t="s">
        <v>271</v>
      </c>
      <c r="J452" s="53" t="s">
        <v>5530</v>
      </c>
      <c r="K452" s="71">
        <v>46191.450694444444</v>
      </c>
      <c r="L452" s="71">
        <v>46191.450694444444</v>
      </c>
      <c r="M452" s="71">
        <v>46191.468055555553</v>
      </c>
      <c r="N452" s="71">
        <v>46197.293749999997</v>
      </c>
      <c r="O452" s="71">
        <v>46192.316666666666</v>
      </c>
      <c r="P452" s="71">
        <v>46197.293749999997</v>
      </c>
      <c r="Q452" s="53" t="s">
        <v>6692</v>
      </c>
      <c r="R452" s="53" t="s">
        <v>261</v>
      </c>
      <c r="S452" s="53" t="s">
        <v>175</v>
      </c>
      <c r="T452" s="53" t="s">
        <v>268</v>
      </c>
      <c r="U452" s="53" t="s">
        <v>5531</v>
      </c>
      <c r="V452" s="53"/>
      <c r="W452" s="53"/>
      <c r="X452" s="45" t="s">
        <v>5531</v>
      </c>
      <c r="Y452" s="45" t="s">
        <v>6693</v>
      </c>
      <c r="Z452" s="76">
        <f t="shared" ca="1" si="68"/>
        <v>0.25763888888953557</v>
      </c>
      <c r="AA452" s="75">
        <f t="shared" ca="1" si="69"/>
        <v>0.68703703703876151</v>
      </c>
      <c r="AB452" s="76">
        <f t="shared" ca="1" si="70"/>
        <v>0.25763888888953557</v>
      </c>
      <c r="AC452" s="75">
        <f t="shared" ca="1" si="71"/>
        <v>0.68703703703876151</v>
      </c>
      <c r="AD452" s="76">
        <f t="shared" ca="1" si="72"/>
        <v>1.7361111109494232E-2</v>
      </c>
      <c r="AE452" s="76">
        <f t="shared" ca="1" si="73"/>
        <v>0.25763888888953557</v>
      </c>
      <c r="AF452" s="75">
        <f t="shared" ca="1" si="74"/>
        <v>0.68703703703876151</v>
      </c>
      <c r="AG452" s="75">
        <f t="shared" ca="1" si="75"/>
        <v>0.68703703703876151</v>
      </c>
      <c r="AH452" s="31" t="str" cm="1">
        <f t="array" aca="1" ref="AH452" ca="1">IF((AD452) &lt; (INDEX(ResponseSLA[#All],(MATCH((G452),ResponseSLA[Priority],0))+1,3)),"YES","No")</f>
        <v>YES</v>
      </c>
      <c r="AI452" s="31" t="str">
        <f ca="1">_xlfn.IFNA(IF(AE452 &lt; (INDEX(SLATable[Minimum SLA],MATCH(G452,SLATable[Priority],0))),"YES","NO"),"")</f>
        <v>YES</v>
      </c>
      <c r="AJ452" t="str">
        <f ca="1">_xlfn.IFNA(IF(AE452 &lt; (INDEX(SLATable[Maximum SLA],MATCH(G452,SLATable[Priority],0))),"YES","NO"),"")</f>
        <v>YES</v>
      </c>
    </row>
    <row r="453" spans="2:36" ht="15" customHeight="1">
      <c r="B453" s="45" t="s">
        <v>26</v>
      </c>
      <c r="C453" s="45" t="s">
        <v>44</v>
      </c>
      <c r="D453" s="53" t="s">
        <v>208</v>
      </c>
      <c r="E453" s="53" t="s">
        <v>6694</v>
      </c>
      <c r="F453" s="45" t="s">
        <v>312</v>
      </c>
      <c r="G453" s="53" t="s">
        <v>208</v>
      </c>
      <c r="H453" s="53" t="s">
        <v>6695</v>
      </c>
      <c r="I453" s="53" t="s">
        <v>271</v>
      </c>
      <c r="J453" s="53" t="s">
        <v>5530</v>
      </c>
      <c r="K453" s="71">
        <v>46190.560416666667</v>
      </c>
      <c r="L453" s="71">
        <v>46190.560416666667</v>
      </c>
      <c r="M453" s="71">
        <v>46190.716666666667</v>
      </c>
      <c r="N453" s="71">
        <v>46196.356944444444</v>
      </c>
      <c r="O453" s="71">
        <v>46192.318749999999</v>
      </c>
      <c r="P453" s="71">
        <v>46196.356944444444</v>
      </c>
      <c r="Q453" s="53" t="s">
        <v>5534</v>
      </c>
      <c r="R453" s="53" t="s">
        <v>272</v>
      </c>
      <c r="S453" s="53" t="s">
        <v>175</v>
      </c>
      <c r="T453" s="53" t="s">
        <v>268</v>
      </c>
      <c r="U453" s="53" t="s">
        <v>5531</v>
      </c>
      <c r="V453" s="53"/>
      <c r="W453" s="53"/>
      <c r="X453" s="45" t="s">
        <v>5531</v>
      </c>
      <c r="Y453" s="45" t="s">
        <v>6687</v>
      </c>
      <c r="Z453" s="76">
        <f t="shared" ca="1" si="68"/>
        <v>0.52291666666618175</v>
      </c>
      <c r="AA453" s="75">
        <f t="shared" ca="1" si="69"/>
        <v>1.3944444444431514</v>
      </c>
      <c r="AB453" s="76">
        <f t="shared" ca="1" si="70"/>
        <v>0.52291666666618175</v>
      </c>
      <c r="AC453" s="75">
        <f t="shared" ca="1" si="71"/>
        <v>1.3944444444431514</v>
      </c>
      <c r="AD453" s="76">
        <f t="shared" ca="1" si="72"/>
        <v>0.14791666666618164</v>
      </c>
      <c r="AE453" s="76">
        <f t="shared" ca="1" si="73"/>
        <v>0.52291666666618175</v>
      </c>
      <c r="AF453" s="75">
        <f t="shared" ca="1" si="74"/>
        <v>1.3944444444431514</v>
      </c>
      <c r="AG453" s="75">
        <f t="shared" ca="1" si="75"/>
        <v>1.3944444444431514</v>
      </c>
      <c r="AH453" s="31" t="str" cm="1">
        <f t="array" aca="1" ref="AH453" ca="1">IF((AD453) &lt; (INDEX(ResponseSLA[#All],(MATCH((G453),ResponseSLA[Priority],0))+1,3)),"YES","No")</f>
        <v>YES</v>
      </c>
      <c r="AI453" s="31" t="str">
        <f ca="1">_xlfn.IFNA(IF(AE453 &lt; (INDEX(SLATable[Minimum SLA],MATCH(G453,SLATable[Priority],0))),"YES","NO"),"")</f>
        <v>YES</v>
      </c>
      <c r="AJ453" t="str">
        <f ca="1">_xlfn.IFNA(IF(AE453 &lt; (INDEX(SLATable[Maximum SLA],MATCH(G453,SLATable[Priority],0))),"YES","NO"),"")</f>
        <v>YES</v>
      </c>
    </row>
    <row r="454" spans="2:36" ht="15" customHeight="1">
      <c r="B454" s="45" t="s">
        <v>26</v>
      </c>
      <c r="C454" s="45" t="s">
        <v>44</v>
      </c>
      <c r="D454" s="53" t="s">
        <v>208</v>
      </c>
      <c r="E454" s="53" t="s">
        <v>6696</v>
      </c>
      <c r="F454" s="45" t="s">
        <v>312</v>
      </c>
      <c r="G454" s="53" t="s">
        <v>208</v>
      </c>
      <c r="H454" s="53" t="s">
        <v>6697</v>
      </c>
      <c r="I454" s="53" t="s">
        <v>275</v>
      </c>
      <c r="J454" s="53" t="s">
        <v>5530</v>
      </c>
      <c r="K454" s="71">
        <v>46190.648611111108</v>
      </c>
      <c r="L454" s="71">
        <v>46195.393750000003</v>
      </c>
      <c r="M454" s="71">
        <v>46195.396527777775</v>
      </c>
      <c r="N454" s="71">
        <v>46198.331944444442</v>
      </c>
      <c r="O454" s="71">
        <v>46196.35833333333</v>
      </c>
      <c r="P454" s="71">
        <v>46198.331944444442</v>
      </c>
      <c r="Q454" s="53" t="s">
        <v>5907</v>
      </c>
      <c r="R454" s="53" t="s">
        <v>272</v>
      </c>
      <c r="S454" s="53" t="s">
        <v>175</v>
      </c>
      <c r="T454" s="53" t="s">
        <v>268</v>
      </c>
      <c r="U454" s="53" t="s">
        <v>5531</v>
      </c>
      <c r="V454" s="53"/>
      <c r="W454" s="53"/>
      <c r="X454" s="45" t="s">
        <v>5531</v>
      </c>
      <c r="Y454" s="45" t="s">
        <v>6698</v>
      </c>
      <c r="Z454" s="76">
        <f t="shared" ca="1" si="68"/>
        <v>1.2097222222218993</v>
      </c>
      <c r="AA454" s="75">
        <f t="shared" ca="1" si="69"/>
        <v>3.2259259259250648</v>
      </c>
      <c r="AB454" s="76">
        <f t="shared" ca="1" si="70"/>
        <v>0.3395833333270275</v>
      </c>
      <c r="AC454" s="75">
        <f t="shared" ca="1" si="71"/>
        <v>0.90555555553874001</v>
      </c>
      <c r="AD454" s="76">
        <f t="shared" ca="1" si="72"/>
        <v>2.7777777722803876E-3</v>
      </c>
      <c r="AE454" s="76">
        <f t="shared" ca="1" si="73"/>
        <v>0.3395833333270275</v>
      </c>
      <c r="AF454" s="75">
        <f t="shared" ca="1" si="74"/>
        <v>0.90555555553874001</v>
      </c>
      <c r="AG454" s="75">
        <f t="shared" ca="1" si="75"/>
        <v>0.90555555553874001</v>
      </c>
      <c r="AH454" s="31" t="str" cm="1">
        <f t="array" aca="1" ref="AH454" ca="1">IF((AD454) &lt; (INDEX(ResponseSLA[#All],(MATCH((G454),ResponseSLA[Priority],0))+1,3)),"YES","No")</f>
        <v>YES</v>
      </c>
      <c r="AI454" s="31" t="str">
        <f ca="1">_xlfn.IFNA(IF(AE454 &lt; (INDEX(SLATable[Minimum SLA],MATCH(G454,SLATable[Priority],0))),"YES","NO"),"")</f>
        <v>YES</v>
      </c>
      <c r="AJ454" t="str">
        <f ca="1">_xlfn.IFNA(IF(AE454 &lt; (INDEX(SLATable[Maximum SLA],MATCH(G454,SLATable[Priority],0))),"YES","NO"),"")</f>
        <v>YES</v>
      </c>
    </row>
    <row r="455" spans="2:36" ht="15" customHeight="1">
      <c r="B455" s="45" t="s">
        <v>26</v>
      </c>
      <c r="C455" s="45" t="s">
        <v>44</v>
      </c>
      <c r="D455" s="53" t="s">
        <v>207</v>
      </c>
      <c r="E455" s="53" t="s">
        <v>6699</v>
      </c>
      <c r="F455" s="45" t="s">
        <v>312</v>
      </c>
      <c r="G455" s="53">
        <v>3</v>
      </c>
      <c r="H455" s="53" t="s">
        <v>6700</v>
      </c>
      <c r="I455" s="53" t="s">
        <v>275</v>
      </c>
      <c r="J455" s="53" t="s">
        <v>5530</v>
      </c>
      <c r="K455" s="71">
        <v>46192.520833333336</v>
      </c>
      <c r="L455" s="71">
        <v>46192.564583333333</v>
      </c>
      <c r="M455" s="71">
        <v>46192.56527777778</v>
      </c>
      <c r="N455" s="71">
        <v>46195.263194444444</v>
      </c>
      <c r="O455" s="71"/>
      <c r="P455" s="71"/>
      <c r="Q455" s="53" t="s">
        <v>5534</v>
      </c>
      <c r="R455" s="53" t="s">
        <v>261</v>
      </c>
      <c r="S455" s="53" t="s">
        <v>175</v>
      </c>
      <c r="T455" s="53" t="s">
        <v>268</v>
      </c>
      <c r="U455" s="53" t="s">
        <v>5531</v>
      </c>
      <c r="V455" s="53"/>
      <c r="W455" s="53"/>
      <c r="X455" s="45" t="s">
        <v>5531</v>
      </c>
      <c r="Y455" s="45" t="s">
        <v>6701</v>
      </c>
      <c r="Z455" s="76">
        <f t="shared" ca="1" si="68"/>
        <v>0.18749999999757472</v>
      </c>
      <c r="AA455" s="75">
        <f t="shared" ca="1" si="69"/>
        <v>0.49999999999353256</v>
      </c>
      <c r="AB455" s="76">
        <f t="shared" ca="1" si="70"/>
        <v>0.1437500000004851</v>
      </c>
      <c r="AC455" s="75">
        <f t="shared" ca="1" si="71"/>
        <v>0.38333333333462694</v>
      </c>
      <c r="AD455" s="76">
        <f t="shared" ca="1" si="72"/>
        <v>6.944444467080757E-4</v>
      </c>
      <c r="AE455" s="76">
        <f t="shared" ca="1" si="73"/>
        <v>0.1437500000004851</v>
      </c>
      <c r="AF455" s="75">
        <f t="shared" ca="1" si="74"/>
        <v>0.38333333333462694</v>
      </c>
      <c r="AG455" s="75">
        <f t="shared" ca="1" si="75"/>
        <v>0.38333333333462694</v>
      </c>
      <c r="AH455" s="31" t="str" cm="1">
        <f t="array" aca="1" ref="AH455" ca="1">IF((AD455) &lt; (INDEX(ResponseSLA[#All],(MATCH((G455),ResponseSLA[Priority],0))+1,3)),"YES","No")</f>
        <v>YES</v>
      </c>
      <c r="AI455" s="31" t="str">
        <f ca="1">_xlfn.IFNA(IF(AE455 &lt; (INDEX(SLATable[Minimum SLA],MATCH(G455,SLATable[Priority],0))),"YES","NO"),"")</f>
        <v>YES</v>
      </c>
      <c r="AJ455" t="str">
        <f ca="1">_xlfn.IFNA(IF(AE455 &lt; (INDEX(SLATable[Maximum SLA],MATCH(G455,SLATable[Priority],0))),"YES","NO"),"")</f>
        <v>YES</v>
      </c>
    </row>
    <row r="456" spans="2:36" ht="15" customHeight="1">
      <c r="B456" s="45" t="s">
        <v>26</v>
      </c>
      <c r="C456" s="45" t="s">
        <v>44</v>
      </c>
      <c r="D456" s="53" t="s">
        <v>207</v>
      </c>
      <c r="E456" s="53" t="s">
        <v>6319</v>
      </c>
      <c r="F456" s="45" t="s">
        <v>312</v>
      </c>
      <c r="G456" s="53">
        <v>4</v>
      </c>
      <c r="H456" s="53" t="s">
        <v>6320</v>
      </c>
      <c r="I456" s="53" t="s">
        <v>275</v>
      </c>
      <c r="J456" s="53" t="s">
        <v>5530</v>
      </c>
      <c r="K456" s="71">
        <v>46177.464583333334</v>
      </c>
      <c r="L456" s="71">
        <v>46198.636805555558</v>
      </c>
      <c r="M456" s="71">
        <v>46198.646527777775</v>
      </c>
      <c r="N456" s="71">
        <v>46199.310416666667</v>
      </c>
      <c r="O456" s="71"/>
      <c r="P456" s="71"/>
      <c r="Q456" s="53" t="s">
        <v>5534</v>
      </c>
      <c r="R456" s="53" t="s">
        <v>272</v>
      </c>
      <c r="S456" s="53" t="s">
        <v>175</v>
      </c>
      <c r="T456" s="53" t="s">
        <v>268</v>
      </c>
      <c r="U456" s="53" t="s">
        <v>5132</v>
      </c>
      <c r="V456" s="53"/>
      <c r="W456" s="53"/>
      <c r="X456" s="45" t="s">
        <v>5531</v>
      </c>
      <c r="Y456" s="45" t="s">
        <v>6247</v>
      </c>
      <c r="Z456" s="76">
        <f t="shared" ca="1" si="68"/>
        <v>5.8687499999990305</v>
      </c>
      <c r="AA456" s="75">
        <f t="shared" ca="1" si="69"/>
        <v>15.649999999997412</v>
      </c>
      <c r="AB456" s="76">
        <f t="shared" ca="1" si="70"/>
        <v>7.1527777775675871E-2</v>
      </c>
      <c r="AC456" s="75">
        <f t="shared" ca="1" si="71"/>
        <v>0.19074074073513567</v>
      </c>
      <c r="AD456" s="76">
        <f t="shared" ca="1" si="72"/>
        <v>9.7222222175332718E-3</v>
      </c>
      <c r="AE456" s="76">
        <f t="shared" ca="1" si="73"/>
        <v>0.11180555555620236</v>
      </c>
      <c r="AF456" s="75">
        <f t="shared" ca="1" si="74"/>
        <v>0.29814814814987295</v>
      </c>
      <c r="AG456" s="75">
        <f t="shared" ca="1" si="75"/>
        <v>0.29814814814987295</v>
      </c>
      <c r="AH456" s="31" t="str" cm="1">
        <f t="array" aca="1" ref="AH456" ca="1">IF((AD456) &lt; (INDEX(ResponseSLA[#All],(MATCH((G456),ResponseSLA[Priority],0))+1,3)),"YES","No")</f>
        <v>YES</v>
      </c>
      <c r="AI456" s="31" t="str">
        <f ca="1">_xlfn.IFNA(IF(AE456 &lt; (INDEX(SLATable[Minimum SLA],MATCH(G456,SLATable[Priority],0))),"YES","NO"),"")</f>
        <v>YES</v>
      </c>
      <c r="AJ456" t="str">
        <f ca="1">_xlfn.IFNA(IF(AE456 &lt; (INDEX(SLATable[Maximum SLA],MATCH(G456,SLATable[Priority],0))),"YES","NO"),"")</f>
        <v>YES</v>
      </c>
    </row>
    <row r="457" spans="2:36" ht="15" customHeight="1">
      <c r="B457" s="45" t="s">
        <v>26</v>
      </c>
      <c r="C457" s="45" t="s">
        <v>44</v>
      </c>
      <c r="D457" s="53" t="s">
        <v>207</v>
      </c>
      <c r="E457" s="53" t="s">
        <v>6702</v>
      </c>
      <c r="F457" s="45" t="s">
        <v>312</v>
      </c>
      <c r="G457" s="53">
        <v>4</v>
      </c>
      <c r="H457" s="53" t="s">
        <v>6703</v>
      </c>
      <c r="I457" s="53" t="s">
        <v>271</v>
      </c>
      <c r="J457" s="53" t="s">
        <v>5530</v>
      </c>
      <c r="K457" s="71">
        <v>46185.76458333333</v>
      </c>
      <c r="L457" s="71">
        <v>46197.582638888889</v>
      </c>
      <c r="M457" s="71">
        <v>46197.588194444441</v>
      </c>
      <c r="N457" s="71">
        <v>46202.261111111111</v>
      </c>
      <c r="O457" s="71">
        <v>46198.30972222222</v>
      </c>
      <c r="P457" s="71">
        <v>46202.261111111111</v>
      </c>
      <c r="Q457" s="53" t="s">
        <v>6704</v>
      </c>
      <c r="R457" s="53" t="s">
        <v>272</v>
      </c>
      <c r="S457" s="53" t="s">
        <v>175</v>
      </c>
      <c r="T457" s="53" t="s">
        <v>268</v>
      </c>
      <c r="U457" s="53" t="s">
        <v>5531</v>
      </c>
      <c r="V457" s="53"/>
      <c r="W457" s="53"/>
      <c r="X457" s="45" t="s">
        <v>5531</v>
      </c>
      <c r="Y457" s="45" t="s">
        <v>5896</v>
      </c>
      <c r="Z457" s="76">
        <f t="shared" ca="1" si="68"/>
        <v>3</v>
      </c>
      <c r="AA457" s="75">
        <f t="shared" ca="1" si="69"/>
        <v>8</v>
      </c>
      <c r="AB457" s="76">
        <f t="shared" ca="1" si="70"/>
        <v>0.12569444444428268</v>
      </c>
      <c r="AC457" s="75">
        <f t="shared" ca="1" si="71"/>
        <v>0.33518518518475382</v>
      </c>
      <c r="AD457" s="76">
        <f t="shared" ca="1" si="72"/>
        <v>5.5555555518367328E-3</v>
      </c>
      <c r="AE457" s="76">
        <f t="shared" ca="1" si="73"/>
        <v>0.12569444444428268</v>
      </c>
      <c r="AF457" s="75">
        <f t="shared" ca="1" si="74"/>
        <v>0.33518518518475382</v>
      </c>
      <c r="AG457" s="75">
        <f t="shared" ca="1" si="75"/>
        <v>0.33518518518475382</v>
      </c>
      <c r="AH457" s="31" t="str" cm="1">
        <f t="array" aca="1" ref="AH457" ca="1">IF((AD457) &lt; (INDEX(ResponseSLA[#All],(MATCH((G457),ResponseSLA[Priority],0))+1,3)),"YES","No")</f>
        <v>YES</v>
      </c>
      <c r="AI457" s="31" t="str">
        <f ca="1">_xlfn.IFNA(IF(AE457 &lt; (INDEX(SLATable[Minimum SLA],MATCH(G457,SLATable[Priority],0))),"YES","NO"),"")</f>
        <v>YES</v>
      </c>
      <c r="AJ457" t="str">
        <f ca="1">_xlfn.IFNA(IF(AE457 &lt; (INDEX(SLATable[Maximum SLA],MATCH(G457,SLATable[Priority],0))),"YES","NO"),"")</f>
        <v>YES</v>
      </c>
    </row>
    <row r="458" spans="2:36" ht="15" customHeight="1">
      <c r="B458" s="45" t="s">
        <v>26</v>
      </c>
      <c r="C458" s="45" t="s">
        <v>44</v>
      </c>
      <c r="D458" s="53" t="s">
        <v>207</v>
      </c>
      <c r="E458" s="53" t="s">
        <v>6705</v>
      </c>
      <c r="F458" s="45" t="s">
        <v>312</v>
      </c>
      <c r="G458" s="53">
        <v>4</v>
      </c>
      <c r="H458" s="53" t="s">
        <v>6706</v>
      </c>
      <c r="I458" s="53" t="s">
        <v>275</v>
      </c>
      <c r="J458" s="53" t="s">
        <v>5530</v>
      </c>
      <c r="K458" s="71">
        <v>46195.318055555559</v>
      </c>
      <c r="L458" s="71">
        <v>46195.43472222222</v>
      </c>
      <c r="M458" s="71">
        <v>46195.439583333333</v>
      </c>
      <c r="N458" s="71">
        <v>46196.272916666669</v>
      </c>
      <c r="O458" s="71"/>
      <c r="P458" s="71"/>
      <c r="Q458" s="53" t="s">
        <v>5534</v>
      </c>
      <c r="R458" s="53" t="s">
        <v>261</v>
      </c>
      <c r="S458" s="53" t="s">
        <v>175</v>
      </c>
      <c r="T458" s="53" t="s">
        <v>268</v>
      </c>
      <c r="U458" s="53" t="s">
        <v>5531</v>
      </c>
      <c r="V458" s="53"/>
      <c r="W458" s="53"/>
      <c r="X458" s="45" t="s">
        <v>5531</v>
      </c>
      <c r="Y458" s="45" t="s">
        <v>6707</v>
      </c>
      <c r="Z458" s="76">
        <f t="shared" ca="1" si="68"/>
        <v>0.37500000000000006</v>
      </c>
      <c r="AA458" s="75">
        <f t="shared" ca="1" si="69"/>
        <v>1.0000000000000002</v>
      </c>
      <c r="AB458" s="76">
        <f t="shared" ca="1" si="70"/>
        <v>0.27361111111288972</v>
      </c>
      <c r="AC458" s="75">
        <f t="shared" ca="1" si="71"/>
        <v>0.72962962963437261</v>
      </c>
      <c r="AD458" s="76">
        <f t="shared" ca="1" si="72"/>
        <v>4.8611111124046147E-3</v>
      </c>
      <c r="AE458" s="76">
        <f t="shared" ca="1" si="73"/>
        <v>0.27361111111288972</v>
      </c>
      <c r="AF458" s="75">
        <f t="shared" ca="1" si="74"/>
        <v>0.72962962963437261</v>
      </c>
      <c r="AG458" s="75">
        <f t="shared" ca="1" si="75"/>
        <v>0.72962962963437261</v>
      </c>
      <c r="AH458" s="31" t="str" cm="1">
        <f t="array" aca="1" ref="AH458" ca="1">IF((AD458) &lt; (INDEX(ResponseSLA[#All],(MATCH((G458),ResponseSLA[Priority],0))+1,3)),"YES","No")</f>
        <v>YES</v>
      </c>
      <c r="AI458" s="31" t="str">
        <f ca="1">_xlfn.IFNA(IF(AE458 &lt; (INDEX(SLATable[Minimum SLA],MATCH(G458,SLATable[Priority],0))),"YES","NO"),"")</f>
        <v>YES</v>
      </c>
      <c r="AJ458" t="str">
        <f ca="1">_xlfn.IFNA(IF(AE458 &lt; (INDEX(SLATable[Maximum SLA],MATCH(G458,SLATable[Priority],0))),"YES","NO"),"")</f>
        <v>YES</v>
      </c>
    </row>
    <row r="459" spans="2:36" ht="15" customHeight="1">
      <c r="B459" s="45" t="s">
        <v>26</v>
      </c>
      <c r="C459" s="45" t="s">
        <v>44</v>
      </c>
      <c r="D459" s="53" t="s">
        <v>207</v>
      </c>
      <c r="E459" s="53" t="s">
        <v>6327</v>
      </c>
      <c r="F459" s="45" t="s">
        <v>312</v>
      </c>
      <c r="G459" s="53">
        <v>4</v>
      </c>
      <c r="H459" s="53" t="s">
        <v>6328</v>
      </c>
      <c r="I459" s="53" t="s">
        <v>271</v>
      </c>
      <c r="J459" s="53" t="s">
        <v>5530</v>
      </c>
      <c r="K459" s="71">
        <v>46184.472222222219</v>
      </c>
      <c r="L459" s="71">
        <v>46199.624305555553</v>
      </c>
      <c r="M459" s="71">
        <v>46199.633333333331</v>
      </c>
      <c r="N459" s="147">
        <v>46210.291655092595</v>
      </c>
      <c r="O459" s="71">
        <v>46202.26458333333</v>
      </c>
      <c r="P459" s="71">
        <v>46210.291655092595</v>
      </c>
      <c r="Q459" s="53" t="s">
        <v>5534</v>
      </c>
      <c r="R459" s="53" t="s">
        <v>261</v>
      </c>
      <c r="S459" s="53" t="s">
        <v>175</v>
      </c>
      <c r="T459" s="53" t="s">
        <v>268</v>
      </c>
      <c r="U459" s="53" t="s">
        <v>5132</v>
      </c>
      <c r="V459" s="53"/>
      <c r="W459" s="53"/>
      <c r="X459" s="45" t="s">
        <v>5531</v>
      </c>
      <c r="Y459" s="45" t="s">
        <v>6708</v>
      </c>
      <c r="Z459" s="76">
        <f t="shared" ca="1" si="68"/>
        <v>4.3611111111143455</v>
      </c>
      <c r="AA459" s="75">
        <f t="shared" ca="1" si="69"/>
        <v>11.629629629638254</v>
      </c>
      <c r="AB459" s="76">
        <f t="shared" ca="1" si="70"/>
        <v>8.4027777780041557E-2</v>
      </c>
      <c r="AC459" s="75">
        <f t="shared" ca="1" si="71"/>
        <v>0.22407407408011082</v>
      </c>
      <c r="AD459" s="76">
        <f t="shared" ca="1" si="72"/>
        <v>9.0277777781011537E-3</v>
      </c>
      <c r="AE459" s="76">
        <f t="shared" ca="1" si="73"/>
        <v>0.29930555555377714</v>
      </c>
      <c r="AF459" s="75">
        <f t="shared" ca="1" si="74"/>
        <v>0.79814814814340573</v>
      </c>
      <c r="AG459" s="75">
        <f t="shared" ca="1" si="75"/>
        <v>0.79814814814340573</v>
      </c>
      <c r="AH459" s="31" t="str" cm="1">
        <f t="array" aca="1" ref="AH459" ca="1">IF((AD459) &lt; (INDEX(ResponseSLA[#All],(MATCH((G459),ResponseSLA[Priority],0))+1,3)),"YES","No")</f>
        <v>YES</v>
      </c>
      <c r="AI459" s="31" t="str">
        <f ca="1">_xlfn.IFNA(IF(AE459 &lt; (INDEX(SLATable[Minimum SLA],MATCH(G459,SLATable[Priority],0))),"YES","NO"),"")</f>
        <v>YES</v>
      </c>
      <c r="AJ459" t="str">
        <f ca="1">_xlfn.IFNA(IF(AE459 &lt; (INDEX(SLATable[Maximum SLA],MATCH(G459,SLATable[Priority],0))),"YES","NO"),"")</f>
        <v>YES</v>
      </c>
    </row>
    <row r="460" spans="2:36" ht="15" customHeight="1">
      <c r="B460" s="45" t="s">
        <v>26</v>
      </c>
      <c r="C460" s="45" t="s">
        <v>44</v>
      </c>
      <c r="D460" s="53" t="s">
        <v>207</v>
      </c>
      <c r="E460" s="53" t="s">
        <v>6688</v>
      </c>
      <c r="F460" s="45" t="s">
        <v>312</v>
      </c>
      <c r="G460" s="53">
        <v>4</v>
      </c>
      <c r="H460" s="53" t="s">
        <v>6689</v>
      </c>
      <c r="I460" s="53" t="s">
        <v>271</v>
      </c>
      <c r="J460" s="53" t="s">
        <v>5530</v>
      </c>
      <c r="K460" s="71">
        <v>46178.9</v>
      </c>
      <c r="L460" s="71">
        <v>46197.507638888892</v>
      </c>
      <c r="M460" s="71">
        <v>46197.508333333331</v>
      </c>
      <c r="N460" s="71">
        <v>46203.295138888891</v>
      </c>
      <c r="O460" s="71">
        <v>46198.329861111109</v>
      </c>
      <c r="P460" s="71">
        <v>46203.295138888891</v>
      </c>
      <c r="Q460" s="53" t="s">
        <v>5534</v>
      </c>
      <c r="R460" s="53" t="s">
        <v>272</v>
      </c>
      <c r="S460" s="53" t="s">
        <v>175</v>
      </c>
      <c r="T460" s="53" t="s">
        <v>268</v>
      </c>
      <c r="U460" s="53" t="s">
        <v>5132</v>
      </c>
      <c r="V460" s="53"/>
      <c r="W460" s="53"/>
      <c r="X460" s="45" t="s">
        <v>5531</v>
      </c>
      <c r="Y460" s="45" t="s">
        <v>6709</v>
      </c>
      <c r="Z460" s="76">
        <f t="shared" ca="1" si="68"/>
        <v>4.8750000000000009</v>
      </c>
      <c r="AA460" s="75">
        <f t="shared" ca="1" si="69"/>
        <v>13.000000000000004</v>
      </c>
      <c r="AB460" s="76">
        <f t="shared" ca="1" si="70"/>
        <v>0.2006944444413723</v>
      </c>
      <c r="AC460" s="75">
        <f t="shared" ca="1" si="71"/>
        <v>0.53518518517699276</v>
      </c>
      <c r="AD460" s="76">
        <f t="shared" ca="1" si="72"/>
        <v>6.9444443943211809E-4</v>
      </c>
      <c r="AE460" s="76">
        <f t="shared" ca="1" si="73"/>
        <v>0.4013888888827446</v>
      </c>
      <c r="AF460" s="75">
        <f t="shared" ca="1" si="74"/>
        <v>1.0703703703539855</v>
      </c>
      <c r="AG460" s="75">
        <f t="shared" ca="1" si="75"/>
        <v>1.0703703703539855</v>
      </c>
      <c r="AH460" s="31" t="str" cm="1">
        <f t="array" aca="1" ref="AH460" ca="1">IF((AD460) &lt; (INDEX(ResponseSLA[#All],(MATCH((G460),ResponseSLA[Priority],0))+1,3)),"YES","No")</f>
        <v>YES</v>
      </c>
      <c r="AI460" s="31" t="str">
        <f ca="1">_xlfn.IFNA(IF(AE460 &lt; (INDEX(SLATable[Minimum SLA],MATCH(G460,SLATable[Priority],0))),"YES","NO"),"")</f>
        <v>YES</v>
      </c>
      <c r="AJ460" t="str">
        <f ca="1">_xlfn.IFNA(IF(AE460 &lt; (INDEX(SLATable[Maximum SLA],MATCH(G460,SLATable[Priority],0))),"YES","NO"),"")</f>
        <v>YES</v>
      </c>
    </row>
    <row r="461" spans="2:36" ht="15" customHeight="1">
      <c r="B461" s="45" t="s">
        <v>26</v>
      </c>
      <c r="C461" s="45" t="s">
        <v>44</v>
      </c>
      <c r="D461" s="53" t="s">
        <v>207</v>
      </c>
      <c r="E461" s="53" t="s">
        <v>6710</v>
      </c>
      <c r="F461" s="45" t="s">
        <v>312</v>
      </c>
      <c r="G461" s="53">
        <v>3</v>
      </c>
      <c r="H461" s="53" t="s">
        <v>6711</v>
      </c>
      <c r="I461" s="53" t="s">
        <v>275</v>
      </c>
      <c r="J461" s="53" t="s">
        <v>5530</v>
      </c>
      <c r="K461" s="71">
        <v>46111.386111111111</v>
      </c>
      <c r="L461" s="71">
        <v>46195.502083333333</v>
      </c>
      <c r="M461" s="71">
        <v>46195.543055555558</v>
      </c>
      <c r="N461" s="71">
        <v>46196.356944444444</v>
      </c>
      <c r="O461" s="71"/>
      <c r="P461" s="71"/>
      <c r="Q461" s="53" t="s">
        <v>5534</v>
      </c>
      <c r="R461" s="53" t="s">
        <v>272</v>
      </c>
      <c r="S461" s="53" t="s">
        <v>175</v>
      </c>
      <c r="T461" s="53" t="s">
        <v>268</v>
      </c>
      <c r="U461" s="53" t="s">
        <v>5531</v>
      </c>
      <c r="V461" s="53"/>
      <c r="W461" s="53"/>
      <c r="X461" s="45" t="s">
        <v>5531</v>
      </c>
      <c r="Y461" s="45" t="s">
        <v>6712</v>
      </c>
      <c r="Z461" s="76">
        <f t="shared" ca="1" si="68"/>
        <v>20.970833333332852</v>
      </c>
      <c r="AA461" s="75">
        <f t="shared" ca="1" si="69"/>
        <v>55.922222222220938</v>
      </c>
      <c r="AB461" s="76">
        <f t="shared" ca="1" si="70"/>
        <v>0.22986111111094942</v>
      </c>
      <c r="AC461" s="75">
        <f t="shared" ca="1" si="71"/>
        <v>0.61296296296253183</v>
      </c>
      <c r="AD461" s="76">
        <f t="shared" ca="1" si="72"/>
        <v>4.0972222224809229E-2</v>
      </c>
      <c r="AE461" s="76">
        <f t="shared" ca="1" si="73"/>
        <v>0.22986111111094942</v>
      </c>
      <c r="AF461" s="75">
        <f t="shared" ca="1" si="74"/>
        <v>0.61296296296253183</v>
      </c>
      <c r="AG461" s="75">
        <f t="shared" ca="1" si="75"/>
        <v>0.61296296296253183</v>
      </c>
      <c r="AH461" s="31" t="str" cm="1">
        <f t="array" aca="1" ref="AH461" ca="1">IF((AD461) &lt; (INDEX(ResponseSLA[#All],(MATCH((G461),ResponseSLA[Priority],0))+1,3)),"YES","No")</f>
        <v>YES</v>
      </c>
      <c r="AI461" s="31" t="str">
        <f ca="1">_xlfn.IFNA(IF(AE461 &lt; (INDEX(SLATable[Minimum SLA],MATCH(G461,SLATable[Priority],0))),"YES","NO"),"")</f>
        <v>YES</v>
      </c>
      <c r="AJ461" t="str">
        <f ca="1">_xlfn.IFNA(IF(AE461 &lt; (INDEX(SLATable[Maximum SLA],MATCH(G461,SLATable[Priority],0))),"YES","NO"),"")</f>
        <v>YES</v>
      </c>
    </row>
    <row r="462" spans="2:36" ht="15" customHeight="1">
      <c r="B462" s="45" t="s">
        <v>26</v>
      </c>
      <c r="C462" s="45" t="s">
        <v>44</v>
      </c>
      <c r="D462" s="53" t="s">
        <v>207</v>
      </c>
      <c r="E462" s="53" t="s">
        <v>6713</v>
      </c>
      <c r="F462" s="45" t="s">
        <v>312</v>
      </c>
      <c r="G462" s="53">
        <v>4</v>
      </c>
      <c r="H462" s="53" t="s">
        <v>6714</v>
      </c>
      <c r="I462" s="53" t="s">
        <v>271</v>
      </c>
      <c r="J462" s="53" t="s">
        <v>5530</v>
      </c>
      <c r="K462" s="71">
        <v>46196.476388888892</v>
      </c>
      <c r="L462" s="71">
        <v>46199.572916666664</v>
      </c>
      <c r="M462" s="71">
        <v>46199.583333333336</v>
      </c>
      <c r="N462" s="71">
        <v>46204.474999999999</v>
      </c>
      <c r="O462" s="71">
        <v>46202.263194444444</v>
      </c>
      <c r="P462" s="71"/>
      <c r="Q462" s="53" t="s">
        <v>5534</v>
      </c>
      <c r="R462" s="53" t="s">
        <v>272</v>
      </c>
      <c r="S462" s="53" t="s">
        <v>175</v>
      </c>
      <c r="T462" s="53" t="s">
        <v>268</v>
      </c>
      <c r="U462" s="53" t="s">
        <v>5531</v>
      </c>
      <c r="V462" s="53"/>
      <c r="W462" s="53"/>
      <c r="X462" s="45" t="s">
        <v>5531</v>
      </c>
      <c r="Y462" s="45" t="s">
        <v>6715</v>
      </c>
      <c r="Z462" s="76">
        <f t="shared" ca="1" si="68"/>
        <v>2.2486111111065843</v>
      </c>
      <c r="AA462" s="75">
        <f t="shared" ca="1" si="69"/>
        <v>5.9962962962842248</v>
      </c>
      <c r="AB462" s="76">
        <f t="shared" ca="1" si="70"/>
        <v>1.0270833333343037</v>
      </c>
      <c r="AC462" s="75">
        <f t="shared" ca="1" si="71"/>
        <v>2.7388888888914766</v>
      </c>
      <c r="AD462" s="76">
        <f t="shared" ca="1" si="72"/>
        <v>1.0416666671517305E-2</v>
      </c>
      <c r="AE462" s="76">
        <f t="shared" ca="1" si="73"/>
        <v>1.0270833333343037</v>
      </c>
      <c r="AF462" s="75">
        <f t="shared" ca="1" si="74"/>
        <v>2.7388888888914766</v>
      </c>
      <c r="AG462" s="75">
        <f t="shared" ca="1" si="75"/>
        <v>2.7388888888914766</v>
      </c>
      <c r="AH462" s="31" t="str" cm="1">
        <f t="array" aca="1" ref="AH462" ca="1">IF((AD462) &lt; (INDEX(ResponseSLA[#All],(MATCH((G462),ResponseSLA[Priority],0))+1,3)),"YES","No")</f>
        <v>YES</v>
      </c>
      <c r="AI462" s="31" t="str">
        <f ca="1">_xlfn.IFNA(IF(AE462 &lt; (INDEX(SLATable[Minimum SLA],MATCH(G462,SLATable[Priority],0))),"YES","NO"),"")</f>
        <v>YES</v>
      </c>
      <c r="AJ462" t="str">
        <f ca="1">_xlfn.IFNA(IF(AE462 &lt; (INDEX(SLATable[Maximum SLA],MATCH(G462,SLATable[Priority],0))),"YES","NO"),"")</f>
        <v>YES</v>
      </c>
    </row>
    <row r="463" spans="2:36" ht="15" customHeight="1">
      <c r="B463" s="45" t="s">
        <v>26</v>
      </c>
      <c r="C463" s="45" t="s">
        <v>44</v>
      </c>
      <c r="D463" s="53" t="s">
        <v>207</v>
      </c>
      <c r="E463" s="53" t="s">
        <v>6716</v>
      </c>
      <c r="F463" s="45" t="s">
        <v>312</v>
      </c>
      <c r="G463" s="53">
        <v>4</v>
      </c>
      <c r="H463" s="53" t="s">
        <v>6717</v>
      </c>
      <c r="I463" s="53" t="s">
        <v>275</v>
      </c>
      <c r="J463" s="53" t="s">
        <v>5530</v>
      </c>
      <c r="K463" s="71">
        <v>46196.43472222222</v>
      </c>
      <c r="L463" s="71">
        <v>46197.745138888888</v>
      </c>
      <c r="M463" s="71">
        <v>46198.292361111111</v>
      </c>
      <c r="N463" s="71">
        <v>46202.26666666667</v>
      </c>
      <c r="O463" s="71">
        <v>46198.331250000003</v>
      </c>
      <c r="P463" s="71">
        <v>46202.26666666667</v>
      </c>
      <c r="Q463" s="53" t="s">
        <v>5534</v>
      </c>
      <c r="R463" s="53" t="s">
        <v>272</v>
      </c>
      <c r="S463" s="53" t="s">
        <v>175</v>
      </c>
      <c r="T463" s="53" t="s">
        <v>268</v>
      </c>
      <c r="U463" s="53" t="s">
        <v>5531</v>
      </c>
      <c r="V463" s="53"/>
      <c r="W463" s="53"/>
      <c r="X463" s="45" t="s">
        <v>5531</v>
      </c>
      <c r="Y463" s="45" t="s">
        <v>6687</v>
      </c>
      <c r="Z463" s="76">
        <f t="shared" ca="1" si="68"/>
        <v>0.6486111111128896</v>
      </c>
      <c r="AA463" s="75">
        <f t="shared" ca="1" si="69"/>
        <v>1.7296296296343723</v>
      </c>
      <c r="AB463" s="76">
        <f t="shared" ca="1" si="70"/>
        <v>0</v>
      </c>
      <c r="AC463" s="75">
        <f t="shared" ca="1" si="71"/>
        <v>0</v>
      </c>
      <c r="AD463" s="76">
        <f t="shared" ca="1" si="72"/>
        <v>0</v>
      </c>
      <c r="AE463" s="76">
        <f t="shared" ca="1" si="73"/>
        <v>0</v>
      </c>
      <c r="AF463" s="75">
        <f t="shared" ca="1" si="74"/>
        <v>0</v>
      </c>
      <c r="AG463" s="75">
        <f t="shared" ca="1" si="75"/>
        <v>0</v>
      </c>
      <c r="AH463" s="31" t="str" cm="1">
        <f t="array" aca="1" ref="AH463" ca="1">IF((AD463) &lt; (INDEX(ResponseSLA[#All],(MATCH((G463),ResponseSLA[Priority],0))+1,3)),"YES","No")</f>
        <v>YES</v>
      </c>
      <c r="AI463" s="31" t="str">
        <f ca="1">_xlfn.IFNA(IF(AE463 &lt; (INDEX(SLATable[Minimum SLA],MATCH(G463,SLATable[Priority],0))),"YES","NO"),"")</f>
        <v>YES</v>
      </c>
      <c r="AJ463" t="str">
        <f ca="1">_xlfn.IFNA(IF(AE463 &lt; (INDEX(SLATable[Maximum SLA],MATCH(G463,SLATable[Priority],0))),"YES","NO"),"")</f>
        <v>YES</v>
      </c>
    </row>
    <row r="464" spans="2:36" ht="15" customHeight="1">
      <c r="B464" s="45" t="s">
        <v>26</v>
      </c>
      <c r="C464" s="45" t="s">
        <v>44</v>
      </c>
      <c r="D464" s="53" t="s">
        <v>208</v>
      </c>
      <c r="E464" s="53" t="s">
        <v>6718</v>
      </c>
      <c r="F464" s="45" t="s">
        <v>312</v>
      </c>
      <c r="G464" s="53" t="s">
        <v>208</v>
      </c>
      <c r="H464" s="53" t="s">
        <v>6719</v>
      </c>
      <c r="I464" s="53" t="s">
        <v>271</v>
      </c>
      <c r="J464" s="53" t="s">
        <v>5530</v>
      </c>
      <c r="K464" s="71">
        <v>46196.418749999997</v>
      </c>
      <c r="L464" s="71">
        <v>46196.42291666667</v>
      </c>
      <c r="M464" s="71">
        <v>46196.484722222223</v>
      </c>
      <c r="N464" s="71">
        <v>46203.584027777775</v>
      </c>
      <c r="O464" s="71">
        <v>46198.499305555553</v>
      </c>
      <c r="P464" s="71">
        <v>46203.584027777775</v>
      </c>
      <c r="Q464" s="53" t="s">
        <v>44</v>
      </c>
      <c r="R464" s="53" t="s">
        <v>261</v>
      </c>
      <c r="S464" s="53" t="s">
        <v>175</v>
      </c>
      <c r="T464" s="53" t="s">
        <v>268</v>
      </c>
      <c r="U464" s="53" t="s">
        <v>5531</v>
      </c>
      <c r="V464" s="53"/>
      <c r="W464" s="53"/>
      <c r="X464" s="45" t="s">
        <v>5531</v>
      </c>
      <c r="Y464" s="45" t="s">
        <v>6720</v>
      </c>
      <c r="Z464" s="76">
        <f t="shared" ca="1" si="68"/>
        <v>0.83055555555620209</v>
      </c>
      <c r="AA464" s="75">
        <f t="shared" ca="1" si="69"/>
        <v>2.2148148148165387</v>
      </c>
      <c r="AB464" s="76">
        <f t="shared" ca="1" si="70"/>
        <v>0.82638888888322959</v>
      </c>
      <c r="AC464" s="75">
        <f t="shared" ca="1" si="71"/>
        <v>2.2037037036886122</v>
      </c>
      <c r="AD464" s="76">
        <f t="shared" ca="1" si="72"/>
        <v>6.1805555553291924E-2</v>
      </c>
      <c r="AE464" s="76">
        <f t="shared" ca="1" si="73"/>
        <v>0.82638888888322959</v>
      </c>
      <c r="AF464" s="75">
        <f t="shared" ca="1" si="74"/>
        <v>2.2037037036886122</v>
      </c>
      <c r="AG464" s="75">
        <f t="shared" ca="1" si="75"/>
        <v>2.2037037036886122</v>
      </c>
      <c r="AH464" s="31" t="str" cm="1">
        <f t="array" aca="1" ref="AH464" ca="1">IF((AD464) &lt; (INDEX(ResponseSLA[#All],(MATCH((G464),ResponseSLA[Priority],0))+1,3)),"YES","No")</f>
        <v>YES</v>
      </c>
      <c r="AI464" s="31" t="str">
        <f ca="1">_xlfn.IFNA(IF(AE464 &lt; (INDEX(SLATable[Minimum SLA],MATCH(G464,SLATable[Priority],0))),"YES","NO"),"")</f>
        <v>NO</v>
      </c>
      <c r="AJ464" t="str">
        <f ca="1">_xlfn.IFNA(IF(AE464 &lt; (INDEX(SLATable[Maximum SLA],MATCH(G464,SLATable[Priority],0))),"YES","NO"),"")</f>
        <v>NO</v>
      </c>
    </row>
    <row r="465" spans="2:36" ht="15" customHeight="1">
      <c r="B465" s="45" t="s">
        <v>26</v>
      </c>
      <c r="C465" s="45" t="s">
        <v>44</v>
      </c>
      <c r="D465" s="53" t="s">
        <v>207</v>
      </c>
      <c r="E465" s="53" t="s">
        <v>6721</v>
      </c>
      <c r="F465" s="45" t="s">
        <v>312</v>
      </c>
      <c r="G465" s="53">
        <v>3</v>
      </c>
      <c r="H465" s="53" t="s">
        <v>6722</v>
      </c>
      <c r="I465" s="53" t="s">
        <v>275</v>
      </c>
      <c r="J465" s="53" t="s">
        <v>5530</v>
      </c>
      <c r="K465" s="71">
        <v>46196.714583333334</v>
      </c>
      <c r="L465" s="71">
        <v>46197.749305555553</v>
      </c>
      <c r="M465" s="71">
        <v>46198.293055555558</v>
      </c>
      <c r="N465" s="71">
        <v>46198.318749999999</v>
      </c>
      <c r="O465" s="71"/>
      <c r="P465" s="71"/>
      <c r="Q465" s="53" t="s">
        <v>5534</v>
      </c>
      <c r="R465" s="53" t="s">
        <v>272</v>
      </c>
      <c r="S465" s="53" t="s">
        <v>175</v>
      </c>
      <c r="T465" s="53" t="s">
        <v>268</v>
      </c>
      <c r="U465" s="53" t="s">
        <v>5531</v>
      </c>
      <c r="V465" s="53"/>
      <c r="W465" s="53"/>
      <c r="X465" s="45" t="s">
        <v>5531</v>
      </c>
      <c r="Y465" s="45" t="s">
        <v>6708</v>
      </c>
      <c r="Z465" s="76">
        <f t="shared" ca="1" si="68"/>
        <v>0.37500000000000011</v>
      </c>
      <c r="AA465" s="75">
        <f t="shared" ca="1" si="69"/>
        <v>1.0000000000000004</v>
      </c>
      <c r="AB465" s="76">
        <f t="shared" ca="1" si="70"/>
        <v>0</v>
      </c>
      <c r="AC465" s="75">
        <f t="shared" ca="1" si="71"/>
        <v>0</v>
      </c>
      <c r="AD465" s="76">
        <f t="shared" ca="1" si="72"/>
        <v>0</v>
      </c>
      <c r="AE465" s="76">
        <f t="shared" ca="1" si="73"/>
        <v>0</v>
      </c>
      <c r="AF465" s="75">
        <f t="shared" ca="1" si="74"/>
        <v>0</v>
      </c>
      <c r="AG465" s="75">
        <f t="shared" ca="1" si="75"/>
        <v>0</v>
      </c>
      <c r="AH465" s="31" t="str" cm="1">
        <f t="array" aca="1" ref="AH465" ca="1">IF((AD465) &lt; (INDEX(ResponseSLA[#All],(MATCH((G465),ResponseSLA[Priority],0))+1,3)),"YES","No")</f>
        <v>YES</v>
      </c>
      <c r="AI465" s="31" t="str">
        <f ca="1">_xlfn.IFNA(IF(AE465 &lt; (INDEX(SLATable[Minimum SLA],MATCH(G465,SLATable[Priority],0))),"YES","NO"),"")</f>
        <v>YES</v>
      </c>
      <c r="AJ465" t="str">
        <f ca="1">_xlfn.IFNA(IF(AE465 &lt; (INDEX(SLATable[Maximum SLA],MATCH(G465,SLATable[Priority],0))),"YES","NO"),"")</f>
        <v>YES</v>
      </c>
    </row>
    <row r="466" spans="2:36" ht="15" customHeight="1">
      <c r="B466" s="45" t="s">
        <v>26</v>
      </c>
      <c r="C466" s="45" t="s">
        <v>44</v>
      </c>
      <c r="D466" s="53" t="s">
        <v>208</v>
      </c>
      <c r="E466" s="53" t="s">
        <v>6723</v>
      </c>
      <c r="F466" s="45" t="s">
        <v>312</v>
      </c>
      <c r="G466" s="53" t="s">
        <v>208</v>
      </c>
      <c r="H466" s="53" t="s">
        <v>6724</v>
      </c>
      <c r="I466" s="53" t="s">
        <v>271</v>
      </c>
      <c r="J466" s="53" t="s">
        <v>5530</v>
      </c>
      <c r="K466" s="71">
        <v>46196.420138888891</v>
      </c>
      <c r="L466" s="71">
        <v>46196.422222222223</v>
      </c>
      <c r="M466" s="71">
        <v>46196.484027777777</v>
      </c>
      <c r="N466" s="71">
        <v>46203.59097222222</v>
      </c>
      <c r="O466" s="71">
        <v>46198.5</v>
      </c>
      <c r="P466" s="71">
        <v>46203.59097222222</v>
      </c>
      <c r="Q466" s="53" t="s">
        <v>44</v>
      </c>
      <c r="R466" s="53" t="s">
        <v>261</v>
      </c>
      <c r="S466" s="53" t="s">
        <v>175</v>
      </c>
      <c r="T466" s="53" t="s">
        <v>268</v>
      </c>
      <c r="U466" s="53" t="s">
        <v>5531</v>
      </c>
      <c r="V466" s="53"/>
      <c r="W466" s="53"/>
      <c r="X466" s="45" t="s">
        <v>5531</v>
      </c>
      <c r="Y466" s="45" t="s">
        <v>6720</v>
      </c>
      <c r="Z466" s="76">
        <f t="shared" ca="1" si="68"/>
        <v>0.82986111110949401</v>
      </c>
      <c r="AA466" s="75">
        <f t="shared" ca="1" si="69"/>
        <v>2.2129629629586507</v>
      </c>
      <c r="AB466" s="76">
        <f t="shared" ca="1" si="70"/>
        <v>0.82777777777664574</v>
      </c>
      <c r="AC466" s="75">
        <f t="shared" ca="1" si="71"/>
        <v>2.2074074074043883</v>
      </c>
      <c r="AD466" s="76">
        <f t="shared" ca="1" si="72"/>
        <v>6.1805555553291924E-2</v>
      </c>
      <c r="AE466" s="76">
        <f t="shared" ca="1" si="73"/>
        <v>0.82777777777664574</v>
      </c>
      <c r="AF466" s="75">
        <f t="shared" ca="1" si="74"/>
        <v>2.2074074074043883</v>
      </c>
      <c r="AG466" s="75">
        <f t="shared" ca="1" si="75"/>
        <v>2.2074074074043883</v>
      </c>
      <c r="AH466" s="31" t="str" cm="1">
        <f t="array" aca="1" ref="AH466" ca="1">IF((AD466) &lt; (INDEX(ResponseSLA[#All],(MATCH((G466),ResponseSLA[Priority],0))+1,3)),"YES","No")</f>
        <v>YES</v>
      </c>
      <c r="AI466" s="31" t="str">
        <f ca="1">_xlfn.IFNA(IF(AE466 &lt; (INDEX(SLATable[Minimum SLA],MATCH(G466,SLATable[Priority],0))),"YES","NO"),"")</f>
        <v>NO</v>
      </c>
      <c r="AJ466" t="str">
        <f ca="1">_xlfn.IFNA(IF(AE466 &lt; (INDEX(SLATable[Maximum SLA],MATCH(G466,SLATable[Priority],0))),"YES","NO"),"")</f>
        <v>NO</v>
      </c>
    </row>
    <row r="467" spans="2:36" ht="15" customHeight="1">
      <c r="B467" s="45" t="s">
        <v>26</v>
      </c>
      <c r="C467" s="45" t="s">
        <v>44</v>
      </c>
      <c r="D467" s="53" t="s">
        <v>208</v>
      </c>
      <c r="E467" s="53" t="s">
        <v>6725</v>
      </c>
      <c r="F467" s="45" t="s">
        <v>312</v>
      </c>
      <c r="G467" s="53" t="s">
        <v>208</v>
      </c>
      <c r="H467" s="53" t="s">
        <v>6724</v>
      </c>
      <c r="I467" s="53" t="s">
        <v>271</v>
      </c>
      <c r="J467" s="53" t="s">
        <v>5530</v>
      </c>
      <c r="K467" s="71">
        <v>46196.422222222223</v>
      </c>
      <c r="L467" s="71">
        <v>46196.425694444442</v>
      </c>
      <c r="M467" s="71">
        <v>46196.484722222223</v>
      </c>
      <c r="N467" s="71">
        <v>46203.59097222222</v>
      </c>
      <c r="O467" s="71">
        <v>46198.504861111112</v>
      </c>
      <c r="P467" s="71">
        <v>46203.59097222222</v>
      </c>
      <c r="Q467" s="53" t="s">
        <v>44</v>
      </c>
      <c r="R467" s="53" t="s">
        <v>261</v>
      </c>
      <c r="S467" s="53" t="s">
        <v>175</v>
      </c>
      <c r="T467" s="53" t="s">
        <v>268</v>
      </c>
      <c r="U467" s="53" t="s">
        <v>5531</v>
      </c>
      <c r="V467" s="53"/>
      <c r="W467" s="53"/>
      <c r="X467" s="45" t="s">
        <v>5531</v>
      </c>
      <c r="Y467" s="45" t="s">
        <v>6720</v>
      </c>
      <c r="Z467" s="76">
        <f t="shared" ca="1" si="68"/>
        <v>0.83263888888905035</v>
      </c>
      <c r="AA467" s="75">
        <f t="shared" ca="1" si="69"/>
        <v>2.2203703703708007</v>
      </c>
      <c r="AB467" s="76">
        <f t="shared" ca="1" si="70"/>
        <v>0.82916666667006189</v>
      </c>
      <c r="AC467" s="75">
        <f t="shared" ca="1" si="71"/>
        <v>2.2111111111201649</v>
      </c>
      <c r="AD467" s="76">
        <f t="shared" ca="1" si="72"/>
        <v>5.9027777781011537E-2</v>
      </c>
      <c r="AE467" s="76">
        <f t="shared" ca="1" si="73"/>
        <v>0.82916666667006189</v>
      </c>
      <c r="AF467" s="75">
        <f t="shared" ca="1" si="74"/>
        <v>2.2111111111201649</v>
      </c>
      <c r="AG467" s="75">
        <f t="shared" ca="1" si="75"/>
        <v>2.2111111111201649</v>
      </c>
      <c r="AH467" s="31" t="str" cm="1">
        <f t="array" aca="1" ref="AH467" ca="1">IF((AD467) &lt; (INDEX(ResponseSLA[#All],(MATCH((G467),ResponseSLA[Priority],0))+1,3)),"YES","No")</f>
        <v>YES</v>
      </c>
      <c r="AI467" s="31" t="str">
        <f ca="1">_xlfn.IFNA(IF(AE467 &lt; (INDEX(SLATable[Minimum SLA],MATCH(G467,SLATable[Priority],0))),"YES","NO"),"")</f>
        <v>NO</v>
      </c>
      <c r="AJ467" t="str">
        <f ca="1">_xlfn.IFNA(IF(AE467 &lt; (INDEX(SLATable[Maximum SLA],MATCH(G467,SLATable[Priority],0))),"YES","NO"),"")</f>
        <v>NO</v>
      </c>
    </row>
    <row r="468" spans="2:36" ht="15" customHeight="1">
      <c r="B468" s="45" t="s">
        <v>26</v>
      </c>
      <c r="C468" s="45" t="s">
        <v>44</v>
      </c>
      <c r="D468" s="53" t="s">
        <v>208</v>
      </c>
      <c r="E468" s="53" t="s">
        <v>6726</v>
      </c>
      <c r="F468" s="45" t="s">
        <v>312</v>
      </c>
      <c r="G468" s="53" t="s">
        <v>208</v>
      </c>
      <c r="H468" s="53" t="s">
        <v>6724</v>
      </c>
      <c r="I468" s="53" t="s">
        <v>271</v>
      </c>
      <c r="J468" s="53" t="s">
        <v>5530</v>
      </c>
      <c r="K468" s="71">
        <v>46196.417361111111</v>
      </c>
      <c r="L468" s="71">
        <v>46196.419444444444</v>
      </c>
      <c r="M468" s="71">
        <v>46196.484027777777</v>
      </c>
      <c r="N468" s="71">
        <v>46203.590277777781</v>
      </c>
      <c r="O468" s="71">
        <v>46198.507638888892</v>
      </c>
      <c r="P468" s="71">
        <v>46203.590277777781</v>
      </c>
      <c r="Q468" s="53" t="s">
        <v>44</v>
      </c>
      <c r="R468" s="53" t="s">
        <v>261</v>
      </c>
      <c r="S468" s="53" t="s">
        <v>175</v>
      </c>
      <c r="T468" s="53" t="s">
        <v>268</v>
      </c>
      <c r="U468" s="53" t="s">
        <v>5531</v>
      </c>
      <c r="V468" s="53"/>
      <c r="W468" s="53"/>
      <c r="X468" s="45" t="s">
        <v>5531</v>
      </c>
      <c r="Y468" s="45" t="s">
        <v>6720</v>
      </c>
      <c r="Z468" s="76">
        <f t="shared" ca="1" si="68"/>
        <v>0.84027777778101131</v>
      </c>
      <c r="AA468" s="75">
        <f t="shared" ca="1" si="69"/>
        <v>2.2407407407493634</v>
      </c>
      <c r="AB468" s="76">
        <f t="shared" ca="1" si="70"/>
        <v>0.83819444444816305</v>
      </c>
      <c r="AC468" s="75">
        <f t="shared" ca="1" si="71"/>
        <v>2.2351851851951015</v>
      </c>
      <c r="AD468" s="76">
        <f t="shared" ca="1" si="72"/>
        <v>6.4583333332848269E-2</v>
      </c>
      <c r="AE468" s="76">
        <f t="shared" ca="1" si="73"/>
        <v>0.83819444444816305</v>
      </c>
      <c r="AF468" s="75">
        <f t="shared" ca="1" si="74"/>
        <v>2.2351851851951015</v>
      </c>
      <c r="AG468" s="75">
        <f t="shared" ca="1" si="75"/>
        <v>2.2351851851951015</v>
      </c>
      <c r="AH468" s="31" t="str" cm="1">
        <f t="array" aca="1" ref="AH468" ca="1">IF((AD468) &lt; (INDEX(ResponseSLA[#All],(MATCH((G468),ResponseSLA[Priority],0))+1,3)),"YES","No")</f>
        <v>YES</v>
      </c>
      <c r="AI468" s="31" t="str">
        <f ca="1">_xlfn.IFNA(IF(AE468 &lt; (INDEX(SLATable[Minimum SLA],MATCH(G468,SLATable[Priority],0))),"YES","NO"),"")</f>
        <v>NO</v>
      </c>
      <c r="AJ468" t="str">
        <f ca="1">_xlfn.IFNA(IF(AE468 &lt; (INDEX(SLATable[Maximum SLA],MATCH(G468,SLATable[Priority],0))),"YES","NO"),"")</f>
        <v>NO</v>
      </c>
    </row>
    <row r="469" spans="2:36" ht="15" customHeight="1">
      <c r="B469" s="45" t="s">
        <v>26</v>
      </c>
      <c r="C469" s="45" t="s">
        <v>44</v>
      </c>
      <c r="D469" s="53" t="s">
        <v>208</v>
      </c>
      <c r="E469" s="53" t="s">
        <v>6727</v>
      </c>
      <c r="F469" s="45" t="s">
        <v>312</v>
      </c>
      <c r="G469" s="53" t="s">
        <v>208</v>
      </c>
      <c r="H469" s="53" t="s">
        <v>6724</v>
      </c>
      <c r="I469" s="53" t="s">
        <v>271</v>
      </c>
      <c r="J469" s="53" t="s">
        <v>5530</v>
      </c>
      <c r="K469" s="71">
        <v>46196.42291666667</v>
      </c>
      <c r="L469" s="71">
        <v>46196.423611111109</v>
      </c>
      <c r="M469" s="71">
        <v>46196.484027777777</v>
      </c>
      <c r="N469" s="71">
        <v>46203.590277777781</v>
      </c>
      <c r="O469" s="71">
        <v>46198.509722222225</v>
      </c>
      <c r="P469" s="71">
        <v>46203.590277777781</v>
      </c>
      <c r="Q469" s="53" t="s">
        <v>44</v>
      </c>
      <c r="R469" s="53" t="s">
        <v>261</v>
      </c>
      <c r="S469" s="53" t="s">
        <v>175</v>
      </c>
      <c r="T469" s="53" t="s">
        <v>268</v>
      </c>
      <c r="U469" s="53" t="s">
        <v>5531</v>
      </c>
      <c r="V469" s="53"/>
      <c r="W469" s="53"/>
      <c r="X469" s="45" t="s">
        <v>5531</v>
      </c>
      <c r="Y469" s="45" t="s">
        <v>6720</v>
      </c>
      <c r="Z469" s="76">
        <f t="shared" ca="1" si="68"/>
        <v>0.83680555555474689</v>
      </c>
      <c r="AA469" s="75">
        <f t="shared" ca="1" si="69"/>
        <v>2.2314814814793249</v>
      </c>
      <c r="AB469" s="76">
        <f t="shared" ca="1" si="70"/>
        <v>0.83611111111531478</v>
      </c>
      <c r="AC469" s="75">
        <f t="shared" ca="1" si="71"/>
        <v>2.2296296296408391</v>
      </c>
      <c r="AD469" s="76">
        <f t="shared" ca="1" si="72"/>
        <v>6.0416666667151731E-2</v>
      </c>
      <c r="AE469" s="76">
        <f t="shared" ca="1" si="73"/>
        <v>0.83611111111531478</v>
      </c>
      <c r="AF469" s="75">
        <f t="shared" ca="1" si="74"/>
        <v>2.2296296296408391</v>
      </c>
      <c r="AG469" s="75">
        <f t="shared" ca="1" si="75"/>
        <v>2.2296296296408391</v>
      </c>
      <c r="AH469" s="31" t="str" cm="1">
        <f t="array" aca="1" ref="AH469" ca="1">IF((AD469) &lt; (INDEX(ResponseSLA[#All],(MATCH((G469),ResponseSLA[Priority],0))+1,3)),"YES","No")</f>
        <v>YES</v>
      </c>
      <c r="AI469" s="31" t="str">
        <f ca="1">_xlfn.IFNA(IF(AE469 &lt; (INDEX(SLATable[Minimum SLA],MATCH(G469,SLATable[Priority],0))),"YES","NO"),"")</f>
        <v>NO</v>
      </c>
      <c r="AJ469" t="str">
        <f ca="1">_xlfn.IFNA(IF(AE469 &lt; (INDEX(SLATable[Maximum SLA],MATCH(G469,SLATable[Priority],0))),"YES","NO"),"")</f>
        <v>NO</v>
      </c>
    </row>
    <row r="470" spans="2:36" ht="15" customHeight="1">
      <c r="B470" s="45" t="s">
        <v>26</v>
      </c>
      <c r="C470" s="45" t="s">
        <v>44</v>
      </c>
      <c r="D470" s="53" t="s">
        <v>208</v>
      </c>
      <c r="E470" s="53" t="s">
        <v>6728</v>
      </c>
      <c r="F470" s="45" t="s">
        <v>312</v>
      </c>
      <c r="G470" s="53" t="s">
        <v>208</v>
      </c>
      <c r="H470" s="53" t="s">
        <v>6724</v>
      </c>
      <c r="I470" s="53" t="s">
        <v>271</v>
      </c>
      <c r="J470" s="53" t="s">
        <v>5530</v>
      </c>
      <c r="K470" s="71">
        <v>46196.424305555556</v>
      </c>
      <c r="L470" s="71">
        <v>46196.425000000003</v>
      </c>
      <c r="M470" s="71">
        <v>46196.484722222223</v>
      </c>
      <c r="N470" s="71">
        <v>46203.590277777781</v>
      </c>
      <c r="O470" s="71">
        <v>46198.511111111111</v>
      </c>
      <c r="P470" s="71">
        <v>46203.590277777781</v>
      </c>
      <c r="Q470" s="53" t="s">
        <v>44</v>
      </c>
      <c r="R470" s="53" t="s">
        <v>261</v>
      </c>
      <c r="S470" s="53" t="s">
        <v>175</v>
      </c>
      <c r="T470" s="53" t="s">
        <v>268</v>
      </c>
      <c r="U470" s="53" t="s">
        <v>5531</v>
      </c>
      <c r="V470" s="53"/>
      <c r="W470" s="53"/>
      <c r="X470" s="45" t="s">
        <v>5531</v>
      </c>
      <c r="Y470" s="45" t="s">
        <v>6720</v>
      </c>
      <c r="Z470" s="76">
        <f t="shared" ca="1" si="68"/>
        <v>0.83680555555474689</v>
      </c>
      <c r="AA470" s="75">
        <f t="shared" ca="1" si="69"/>
        <v>2.2314814814793249</v>
      </c>
      <c r="AB470" s="76">
        <f t="shared" ca="1" si="70"/>
        <v>0.83611111110803882</v>
      </c>
      <c r="AC470" s="75">
        <f t="shared" ca="1" si="71"/>
        <v>2.2296296296214368</v>
      </c>
      <c r="AD470" s="76">
        <f t="shared" ca="1" si="72"/>
        <v>5.9722222220443655E-2</v>
      </c>
      <c r="AE470" s="76">
        <f t="shared" ca="1" si="73"/>
        <v>0.83611111110803882</v>
      </c>
      <c r="AF470" s="75">
        <f t="shared" ca="1" si="74"/>
        <v>2.2296296296214368</v>
      </c>
      <c r="AG470" s="75">
        <f t="shared" ca="1" si="75"/>
        <v>2.2296296296214368</v>
      </c>
      <c r="AH470" s="31" t="str" cm="1">
        <f t="array" aca="1" ref="AH470" ca="1">IF((AD470) &lt; (INDEX(ResponseSLA[#All],(MATCH((G470),ResponseSLA[Priority],0))+1,3)),"YES","No")</f>
        <v>YES</v>
      </c>
      <c r="AI470" s="31" t="str">
        <f ca="1">_xlfn.IFNA(IF(AE470 &lt; (INDEX(SLATable[Minimum SLA],MATCH(G470,SLATable[Priority],0))),"YES","NO"),"")</f>
        <v>NO</v>
      </c>
      <c r="AJ470" t="str">
        <f ca="1">_xlfn.IFNA(IF(AE470 &lt; (INDEX(SLATable[Maximum SLA],MATCH(G470,SLATable[Priority],0))),"YES","NO"),"")</f>
        <v>NO</v>
      </c>
    </row>
    <row r="471" spans="2:36" ht="15" customHeight="1">
      <c r="B471" s="45" t="s">
        <v>26</v>
      </c>
      <c r="C471" s="45" t="s">
        <v>44</v>
      </c>
      <c r="D471" s="53" t="s">
        <v>207</v>
      </c>
      <c r="E471" s="53" t="s">
        <v>6729</v>
      </c>
      <c r="F471" s="45" t="s">
        <v>312</v>
      </c>
      <c r="G471" s="53">
        <v>4</v>
      </c>
      <c r="H471" s="53" t="s">
        <v>6730</v>
      </c>
      <c r="I471" s="53" t="s">
        <v>271</v>
      </c>
      <c r="J471" s="53" t="s">
        <v>5530</v>
      </c>
      <c r="K471" s="71">
        <v>46183.477083333331</v>
      </c>
      <c r="L471" s="71">
        <v>46198.477083333331</v>
      </c>
      <c r="M471" s="71">
        <v>46198.509722222225</v>
      </c>
      <c r="N471" s="71">
        <v>46206.310185185182</v>
      </c>
      <c r="O471" s="71">
        <v>46198.513194444444</v>
      </c>
      <c r="P471" s="71">
        <v>46206.310185185182</v>
      </c>
      <c r="Q471" s="53" t="s">
        <v>5534</v>
      </c>
      <c r="R471" s="53" t="s">
        <v>272</v>
      </c>
      <c r="S471" s="53" t="s">
        <v>175</v>
      </c>
      <c r="T471" s="53" t="s">
        <v>268</v>
      </c>
      <c r="U471" s="53" t="s">
        <v>5531</v>
      </c>
      <c r="V471" s="53"/>
      <c r="W471" s="53"/>
      <c r="X471" s="45" t="s">
        <v>5531</v>
      </c>
      <c r="Y471" s="45" t="s">
        <v>6731</v>
      </c>
      <c r="Z471" s="76">
        <f t="shared" ca="1" si="68"/>
        <v>4.1611111111124046</v>
      </c>
      <c r="AA471" s="75">
        <f t="shared" ca="1" si="69"/>
        <v>11.096296296299746</v>
      </c>
      <c r="AB471" s="76">
        <f t="shared" ca="1" si="70"/>
        <v>3.6111111112404615E-2</v>
      </c>
      <c r="AC471" s="75">
        <f t="shared" ca="1" si="71"/>
        <v>9.6296296299745635E-2</v>
      </c>
      <c r="AD471" s="76">
        <f t="shared" ca="1" si="72"/>
        <v>3.2638888893416151E-2</v>
      </c>
      <c r="AE471" s="76">
        <f t="shared" ca="1" si="73"/>
        <v>3.6111111112404615E-2</v>
      </c>
      <c r="AF471" s="75">
        <f t="shared" ca="1" si="74"/>
        <v>9.6296296299745635E-2</v>
      </c>
      <c r="AG471" s="75">
        <f t="shared" ca="1" si="75"/>
        <v>9.6296296299745635E-2</v>
      </c>
      <c r="AH471" s="31" t="str" cm="1">
        <f t="array" aca="1" ref="AH471" ca="1">IF((AD471) &lt; (INDEX(ResponseSLA[#All],(MATCH((G471),ResponseSLA[Priority],0))+1,3)),"YES","No")</f>
        <v>YES</v>
      </c>
      <c r="AI471" s="31" t="str">
        <f ca="1">_xlfn.IFNA(IF(AE471 &lt; (INDEX(SLATable[Minimum SLA],MATCH(G471,SLATable[Priority],0))),"YES","NO"),"")</f>
        <v>YES</v>
      </c>
      <c r="AJ471" t="str">
        <f ca="1">_xlfn.IFNA(IF(AE471 &lt; (INDEX(SLATable[Maximum SLA],MATCH(G471,SLATable[Priority],0))),"YES","NO"),"")</f>
        <v>YES</v>
      </c>
    </row>
    <row r="472" spans="2:36" ht="15" customHeight="1">
      <c r="B472" s="45" t="s">
        <v>26</v>
      </c>
      <c r="C472" s="45" t="s">
        <v>44</v>
      </c>
      <c r="D472" s="53" t="s">
        <v>207</v>
      </c>
      <c r="E472" s="53" t="s">
        <v>6732</v>
      </c>
      <c r="F472" s="45" t="s">
        <v>312</v>
      </c>
      <c r="G472" s="53">
        <v>4</v>
      </c>
      <c r="H472" s="53" t="s">
        <v>6733</v>
      </c>
      <c r="I472" s="53" t="s">
        <v>271</v>
      </c>
      <c r="J472" s="53" t="s">
        <v>5530</v>
      </c>
      <c r="K472" s="71">
        <v>46196.45416666667</v>
      </c>
      <c r="L472" s="71">
        <v>46202.37777777778</v>
      </c>
      <c r="M472" s="71">
        <v>46202.419444444444</v>
      </c>
      <c r="N472" s="71">
        <v>46211.299629629626</v>
      </c>
      <c r="O472" s="71">
        <v>46203.290277777778</v>
      </c>
      <c r="P472" s="71">
        <v>46211.299629629626</v>
      </c>
      <c r="Q472" s="53" t="s">
        <v>5534</v>
      </c>
      <c r="R472" s="53" t="s">
        <v>272</v>
      </c>
      <c r="S472" s="53" t="s">
        <v>175</v>
      </c>
      <c r="T472" s="53" t="s">
        <v>268</v>
      </c>
      <c r="U472" s="53" t="s">
        <v>5531</v>
      </c>
      <c r="V472" s="53"/>
      <c r="W472" s="53"/>
      <c r="X472" s="45" t="s">
        <v>5531</v>
      </c>
      <c r="Y472" s="45" t="s">
        <v>6709</v>
      </c>
      <c r="Z472" s="76">
        <f t="shared" ca="1" si="68"/>
        <v>1.7541666666632714</v>
      </c>
      <c r="AA472" s="75">
        <f t="shared" ca="1" si="69"/>
        <v>4.6777777777687231</v>
      </c>
      <c r="AB472" s="76">
        <f t="shared" ca="1" si="70"/>
        <v>0.33055555555377714</v>
      </c>
      <c r="AC472" s="75">
        <f t="shared" ca="1" si="71"/>
        <v>0.88148148147673899</v>
      </c>
      <c r="AD472" s="76">
        <f t="shared" ca="1" si="72"/>
        <v>4.1666666664241347E-2</v>
      </c>
      <c r="AE472" s="76">
        <f t="shared" ca="1" si="73"/>
        <v>0.33055555555377714</v>
      </c>
      <c r="AF472" s="75">
        <f t="shared" ca="1" si="74"/>
        <v>0.88148148147673899</v>
      </c>
      <c r="AG472" s="75">
        <f t="shared" ca="1" si="75"/>
        <v>0.88148148147673899</v>
      </c>
      <c r="AH472" s="31" t="str" cm="1">
        <f t="array" aca="1" ref="AH472" ca="1">IF((AD472) &lt; (INDEX(ResponseSLA[#All],(MATCH((G472),ResponseSLA[Priority],0))+1,3)),"YES","No")</f>
        <v>YES</v>
      </c>
      <c r="AI472" s="31" t="str">
        <f ca="1">_xlfn.IFNA(IF(AE472 &lt; (INDEX(SLATable[Minimum SLA],MATCH(G472,SLATable[Priority],0))),"YES","NO"),"")</f>
        <v>YES</v>
      </c>
      <c r="AJ472" t="str">
        <f ca="1">_xlfn.IFNA(IF(AE472 &lt; (INDEX(SLATable[Maximum SLA],MATCH(G472,SLATable[Priority],0))),"YES","NO"),"")</f>
        <v>YES</v>
      </c>
    </row>
    <row r="473" spans="2:36" ht="15" customHeight="1">
      <c r="B473" s="45" t="s">
        <v>26</v>
      </c>
      <c r="C473" s="45" t="s">
        <v>44</v>
      </c>
      <c r="D473" s="53" t="s">
        <v>207</v>
      </c>
      <c r="E473" s="53" t="s">
        <v>6734</v>
      </c>
      <c r="F473" s="45" t="s">
        <v>312</v>
      </c>
      <c r="G473" s="53">
        <v>3</v>
      </c>
      <c r="H473" s="53" t="s">
        <v>6735</v>
      </c>
      <c r="I473" s="53" t="s">
        <v>275</v>
      </c>
      <c r="J473" s="53" t="s">
        <v>5530</v>
      </c>
      <c r="K473" s="71">
        <v>46198.771527777775</v>
      </c>
      <c r="L473" s="71">
        <v>46202.484722222223</v>
      </c>
      <c r="M473" s="71">
        <v>46202.51458333333</v>
      </c>
      <c r="N473" s="71">
        <v>46203.293055555558</v>
      </c>
      <c r="O473" s="71"/>
      <c r="P473" s="71"/>
      <c r="Q473" s="53" t="s">
        <v>5534</v>
      </c>
      <c r="R473" s="53" t="s">
        <v>272</v>
      </c>
      <c r="S473" s="53" t="s">
        <v>175</v>
      </c>
      <c r="T473" s="53" t="s">
        <v>268</v>
      </c>
      <c r="U473" s="53" t="s">
        <v>5531</v>
      </c>
      <c r="V473" s="53"/>
      <c r="W473" s="53"/>
      <c r="X473" s="45" t="s">
        <v>5531</v>
      </c>
      <c r="Y473" s="45" t="s">
        <v>6687</v>
      </c>
      <c r="Z473" s="76">
        <f t="shared" ca="1" si="68"/>
        <v>0.75000000000000011</v>
      </c>
      <c r="AA473" s="75">
        <f t="shared" ca="1" si="69"/>
        <v>2.0000000000000004</v>
      </c>
      <c r="AB473" s="76">
        <f t="shared" ca="1" si="70"/>
        <v>0.22361111110997933</v>
      </c>
      <c r="AC473" s="75">
        <f t="shared" ca="1" si="71"/>
        <v>0.59629629629327818</v>
      </c>
      <c r="AD473" s="76">
        <f t="shared" ca="1" si="72"/>
        <v>2.9861111106583849E-2</v>
      </c>
      <c r="AE473" s="76">
        <f t="shared" ca="1" si="73"/>
        <v>0.22361111110997933</v>
      </c>
      <c r="AF473" s="75">
        <f t="shared" ca="1" si="74"/>
        <v>0.59629629629327818</v>
      </c>
      <c r="AG473" s="75">
        <f t="shared" ca="1" si="75"/>
        <v>0.59629629629327818</v>
      </c>
      <c r="AH473" s="31" t="str" cm="1">
        <f t="array" aca="1" ref="AH473" ca="1">IF((AD473) &lt; (INDEX(ResponseSLA[#All],(MATCH((G473),ResponseSLA[Priority],0))+1,3)),"YES","No")</f>
        <v>YES</v>
      </c>
      <c r="AI473" s="31" t="str">
        <f ca="1">_xlfn.IFNA(IF(AE473 &lt; (INDEX(SLATable[Minimum SLA],MATCH(G473,SLATable[Priority],0))),"YES","NO"),"")</f>
        <v>YES</v>
      </c>
      <c r="AJ473" t="str">
        <f ca="1">_xlfn.IFNA(IF(AE473 &lt; (INDEX(SLATable[Maximum SLA],MATCH(G473,SLATable[Priority],0))),"YES","NO"),"")</f>
        <v>YES</v>
      </c>
    </row>
    <row r="474" spans="2:36" ht="15" customHeight="1">
      <c r="B474" s="45" t="s">
        <v>26</v>
      </c>
      <c r="C474" s="45" t="s">
        <v>44</v>
      </c>
      <c r="D474" s="45" t="s">
        <v>207</v>
      </c>
      <c r="F474" s="45" t="s">
        <v>312</v>
      </c>
      <c r="Z474" s="76" t="e">
        <f t="shared" ca="1" si="68"/>
        <v>#N/A</v>
      </c>
      <c r="AA474" s="75" t="e">
        <f t="shared" ca="1" si="69"/>
        <v>#N/A</v>
      </c>
      <c r="AB474" s="76">
        <f t="shared" ca="1" si="70"/>
        <v>0</v>
      </c>
      <c r="AC474" s="75">
        <f t="shared" ca="1" si="71"/>
        <v>0</v>
      </c>
      <c r="AD474" s="76">
        <f t="shared" ca="1" si="72"/>
        <v>12388.425643171297</v>
      </c>
      <c r="AE474" s="76">
        <f t="shared" si="73"/>
        <v>0</v>
      </c>
      <c r="AF474" s="75">
        <f t="shared" si="74"/>
        <v>0</v>
      </c>
      <c r="AG474" s="75">
        <f t="shared" si="75"/>
        <v>0</v>
      </c>
      <c r="AH474" s="31" t="e" cm="1">
        <f t="array" aca="1" ref="AH474" ca="1">IF((AD474) &lt; (INDEX(ResponseSLA[#All],(MATCH((G474),ResponseSLA[Priority],0))+1,3)),"YES","No")</f>
        <v>#N/A</v>
      </c>
      <c r="AI474" s="31" t="str">
        <f>_xlfn.IFNA(IF(AE474 &lt; (INDEX(SLATable[Minimum SLA],MATCH(G474,SLATable[Priority],0))),"YES","NO"),"")</f>
        <v/>
      </c>
      <c r="AJ474" t="str">
        <f>_xlfn.IFNA(IF(AE474 &lt; (INDEX(SLATable[Maximum SLA],MATCH(G474,SLATable[Priority],0))),"YES","NO"),"")</f>
        <v/>
      </c>
    </row>
    <row r="475" spans="2:36" ht="15" customHeight="1">
      <c r="B475" s="45" t="s">
        <v>26</v>
      </c>
      <c r="C475" s="45" t="s">
        <v>44</v>
      </c>
      <c r="D475" s="45" t="s">
        <v>207</v>
      </c>
      <c r="E475" s="45" t="s">
        <v>6736</v>
      </c>
      <c r="F475" s="45" t="s">
        <v>312</v>
      </c>
      <c r="G475" s="45">
        <v>4</v>
      </c>
      <c r="H475" s="45" t="s">
        <v>6737</v>
      </c>
      <c r="I475" s="45" t="s">
        <v>271</v>
      </c>
      <c r="J475" s="45" t="s">
        <v>6738</v>
      </c>
      <c r="K475" s="47">
        <v>46196.396481481483</v>
      </c>
      <c r="L475" s="47">
        <v>46196.396481481483</v>
      </c>
      <c r="M475" s="47">
        <v>46196.476875</v>
      </c>
      <c r="N475" s="47">
        <v>46203.811006944445</v>
      </c>
      <c r="Q475" s="45" t="s">
        <v>6119</v>
      </c>
      <c r="R475" s="45" t="s">
        <v>272</v>
      </c>
      <c r="S475" s="45" t="s">
        <v>175</v>
      </c>
      <c r="T475" s="45" t="s">
        <v>308</v>
      </c>
      <c r="U475" s="45" t="s">
        <v>428</v>
      </c>
      <c r="X475" s="45" t="s">
        <v>5531</v>
      </c>
      <c r="Y475" s="45" t="s">
        <v>6739</v>
      </c>
      <c r="Z475" s="76">
        <f t="shared" ref="Z475:Z480" ca="1" si="76">IF(NOT(OR(G475=1,G475=2)),MAX(0,_xlfn.IFS(AND(K475&lt;&gt;"",N475&lt;&gt;""),((MAX(NETWORKDAYS(K475,N475,UKBankHolidays)-1,0))*(TIME(17,0,0)-TIME(8,0,0))+IF(NETWORKDAYS(N475,N475,UKBankHolidays)&gt;0,MEDIAN(TIME(8,0,0),MOD(N475,1),TIME(17,0,0)),TIME(8,0,0))-IF(NETWORKDAYS(K475,K475,UKBankHolidays)&gt;0,MEDIAN(TIME(8,0,0),MOD(K475,1),TIME(17,0,0)),TIME(8,0,0)))-IF(AND(O475&lt;&gt;"",P475&lt;&gt;""),((MAX(NETWORKDAYS(O475,P475,UKBankHolidays)-1,0))*(TIME(17,0,0)-TIME(8,0,0))+IF(NETWORKDAYS(P475,P475,UKBankHolidays)&gt;0,MEDIAN(TIME(8,0,0),MOD(P475,1),TIME(17,0,0)),TIME(8,0,0))-IF(NETWORKDAYS(O475,O475,UKBankHolidays)&gt;0,MEDIAN(TIME(8,0,0),MOD(O475,1),TIME(17,0,0)),TIME(8,0,0))),0),AND(K475&lt;&gt;"",N475=""),((MAX(NETWORKDAYS(K475,NOW(),UKBankHolidays)-1,0))*(TIME(17,0,0)-TIME(8,0,0))+IF(NETWORKDAYS(NOW(),NOW(),UKBankHolidays)&gt;0,MEDIAN(TIME(8,0,0),MOD(NOW(),1),TIME(17,0,0)),TIME(8,0,0))-IF(NETWORKDAYS(K475,K475,UKBankHolidays)&gt;0,MEDIAN(TIME(8,0,0),MOD(K475,1),TIME(17,0,0)),TIME(8,0,0))))),IF(N475="",NOW()-K475,N475-K475))</f>
        <v>2.1868518518507094</v>
      </c>
      <c r="AA475" s="75">
        <f t="shared" ca="1" si="69"/>
        <v>5.8316049382685584</v>
      </c>
      <c r="AB475" s="76">
        <f t="shared" ref="AB475:AB480" ca="1" si="77">IF(NOT(OR(G475=1,G475=2)),MAX(0,_xlfn.IFS(AND(K475&lt;&gt;"",N475&lt;&gt;""),(((MAX(NETWORKDAYS(L475,N475,UKBankHolidays)-1,0))*(TIME(17,0,0)-TIME(8,0,0)))+IF(NETWORKDAYS(N475,N475,UKBankHolidays)&gt;0,MEDIAN(TIME(8,0,0),MOD(N475,1),TIME(17,0,0)),TIME(8,0,0))-IF(NETWORKDAYS(L475,L475,UKBankHolidays)&gt;0,MEDIAN(TIME(8,0,0),MOD(L475,1),TIME(17,0,0)),TIME(8,0,0)))-IF(AND(O475&lt;&gt;"",P475&lt;&gt;""),(((MAX(NETWORKDAYS(O475,P475,UKBankHolidays)-1,0))*(TIME(17,0,0)-TIME(8,0,0)))+IF(NETWORKDAYS(P475,P475,UKBankHolidays)&gt;0,MEDIAN(TIME(8,0,0),MOD(P475,1),TIME(17,0,0)),TIME(8,0,0))-IF(NETWORKDAYS(O475,O475,UKBankHolidays)&gt;0,MEDIAN(TIME(8,0,0),MOD(O475,1),TIME(17,0,0)),TIME(8,0,0))),0),AND(L475&lt;&gt;"",N475="",O475=""),(((MAX(NETWORKDAYS(L475,NOW(),UKBankHolidays)-1,0))*(TIME(17,0,0)-TIME(8,0,0)))+IF(NETWORKDAYS(NOW(),NOW(),UKBankHolidays)&gt;0,MEDIAN(TIME(8,0,0),MOD(NOW(),1),TIME(17,0,0)),TIME(8,0,0))-IF(NETWORKDAYS(L475,L475,UKBankHolidays)&gt;0,MEDIAN(TIME(8,0,0),MOD(L475,1),TIME(17,0,0)),TIME(8,0,0)))-IF(AND(O475&lt;&gt;"",P475&lt;&gt;""),(((MAX(NETWORKDAYS(O475,P475,UKBankHolidays)-1,0))*(TIME(17,0,0)-TIME(8,0,0)))+IF(NETWORKDAYS(P475,P475,UKBankHolidays)&gt;0,MEDIAN(TIME(8,0,0),MOD(P475,1),TIME(17,0,0)),TIME(8,0,0))-IF(NETWORKDAYS(O475,O475,UKBankHolidays)&gt;0,MEDIAN(TIME(8,0,0),MOD(O475,1),TIME(17,0,0)),TIME(8,0,0))),0),AND(L475&lt;&gt;"",N475="",P475="",O475&lt;&gt;""),(((MAX(NETWORKDAYS(L475,O475,UKBankHolidays)-1,0))*(TIME(17,0,0)-TIME(8,0,0)))+IF(NETWORKDAYS(O475,O475,UKBankHolidays)&gt;0,MEDIAN(TIME(8,0,0),MOD(O475,1),TIME(17,0,0)),TIME(8,0,0))-IF(NETWORKDAYS(L475,L475,UKBankHolidays)&gt;0,MEDIAN(TIME(8,0,0),MOD(L475,1),TIME(17,0,0)),TIME(8,0,0))),ISBLANK(K475),"0")),IF(ISBLANK(N475),NOW()-L475,N475-L475))</f>
        <v>2.1868518518507094</v>
      </c>
      <c r="AC475" s="75">
        <f t="shared" ca="1" si="71"/>
        <v>5.8316049382685584</v>
      </c>
      <c r="AD475" s="76">
        <f t="shared" ca="1" si="72"/>
        <v>8.0393518517666962E-2</v>
      </c>
      <c r="AE475" s="76">
        <f t="shared" ca="1" si="73"/>
        <v>2.1868518518507094</v>
      </c>
      <c r="AF475" s="75">
        <f t="shared" ca="1" si="74"/>
        <v>5.8316049382685584</v>
      </c>
      <c r="AG475" s="75">
        <f t="shared" ca="1" si="75"/>
        <v>5.8316049382685584</v>
      </c>
      <c r="AH475" s="31" t="str" cm="1">
        <f t="array" aca="1" ref="AH475" ca="1">IF((AD475) &lt; (INDEX(ResponseSLA[#All],(MATCH((G475),ResponseSLA[Priority],0))+1,3)),"YES","No")</f>
        <v>YES</v>
      </c>
      <c r="AI475" s="31" t="str">
        <f ca="1">_xlfn.IFNA(IF(AE475 &lt; (INDEX(SLATable[Minimum SLA],MATCH(G475,SLATable[Priority],0))),"YES","NO"),"")</f>
        <v>YES</v>
      </c>
      <c r="AJ475" t="str">
        <f ca="1">_xlfn.IFNA(IF(AE475 &lt; (INDEX(SLATable[Maximum SLA],MATCH(G475,SLATable[Priority],0))),"YES","NO"),"")</f>
        <v>YES</v>
      </c>
    </row>
    <row r="476" spans="2:36" ht="15" customHeight="1">
      <c r="B476" s="45" t="s">
        <v>26</v>
      </c>
      <c r="C476" s="45" t="s">
        <v>44</v>
      </c>
      <c r="D476" s="45" t="s">
        <v>207</v>
      </c>
      <c r="E476" s="45" t="s">
        <v>6740</v>
      </c>
      <c r="F476" s="45" t="s">
        <v>312</v>
      </c>
      <c r="G476" s="45">
        <v>3</v>
      </c>
      <c r="H476" s="45" t="s">
        <v>6741</v>
      </c>
      <c r="I476" s="45" t="s">
        <v>271</v>
      </c>
      <c r="J476" s="45" t="s">
        <v>6738</v>
      </c>
      <c r="K476" s="47">
        <v>46184.594571759262</v>
      </c>
      <c r="L476" s="47">
        <v>46184.597650462965</v>
      </c>
      <c r="M476" s="47">
        <v>46184.642118055555</v>
      </c>
      <c r="N476" s="47">
        <v>46202.53702546296</v>
      </c>
      <c r="O476" s="47">
        <v>46188.562557870369</v>
      </c>
      <c r="P476" s="47">
        <v>46202.53702546296</v>
      </c>
      <c r="Q476" s="45" t="s">
        <v>5571</v>
      </c>
      <c r="R476" s="45" t="s">
        <v>272</v>
      </c>
      <c r="S476" s="45" t="s">
        <v>175</v>
      </c>
      <c r="T476" s="45" t="s">
        <v>268</v>
      </c>
      <c r="U476" s="45" t="s">
        <v>371</v>
      </c>
      <c r="X476" s="45" t="s">
        <v>5531</v>
      </c>
      <c r="Z476" s="76">
        <f t="shared" ca="1" si="76"/>
        <v>0.71798611110716681</v>
      </c>
      <c r="AA476" s="75">
        <f t="shared" ca="1" si="69"/>
        <v>1.9146296296191114</v>
      </c>
      <c r="AB476" s="76">
        <f t="shared" ca="1" si="77"/>
        <v>0.71490740740409908</v>
      </c>
      <c r="AC476" s="75">
        <f t="shared" ca="1" si="71"/>
        <v>1.9064197530775975</v>
      </c>
      <c r="AD476" s="76">
        <f t="shared" ca="1" si="72"/>
        <v>4.446759259008104E-2</v>
      </c>
      <c r="AE476" s="76">
        <f t="shared" ca="1" si="73"/>
        <v>0.71490740740409908</v>
      </c>
      <c r="AF476" s="75">
        <f t="shared" ca="1" si="74"/>
        <v>1.9064197530775975</v>
      </c>
      <c r="AG476" s="75">
        <f t="shared" ca="1" si="75"/>
        <v>1.9064197530775975</v>
      </c>
      <c r="AH476" s="31" t="str" cm="1">
        <f t="array" aca="1" ref="AH476" ca="1">IF((AD476) &lt; (INDEX(ResponseSLA[#All],(MATCH((G476),ResponseSLA[Priority],0))+1,3)),"YES","No")</f>
        <v>YES</v>
      </c>
      <c r="AI476" s="31" t="str">
        <f ca="1">_xlfn.IFNA(IF(AE476 &lt; (INDEX(SLATable[Minimum SLA],MATCH(G476,SLATable[Priority],0))),"YES","NO"),"")</f>
        <v>NO</v>
      </c>
      <c r="AJ476" t="str">
        <f ca="1">_xlfn.IFNA(IF(AE476 &lt; (INDEX(SLATable[Maximum SLA],MATCH(G476,SLATable[Priority],0))),"YES","NO"),"")</f>
        <v>YES</v>
      </c>
    </row>
    <row r="477" spans="2:36" ht="15" customHeight="1">
      <c r="B477" s="45" t="s">
        <v>26</v>
      </c>
      <c r="C477" s="45" t="s">
        <v>44</v>
      </c>
      <c r="D477" s="45" t="s">
        <v>207</v>
      </c>
      <c r="E477" s="45" t="s">
        <v>6742</v>
      </c>
      <c r="F477" s="45" t="s">
        <v>312</v>
      </c>
      <c r="G477" s="45">
        <v>4</v>
      </c>
      <c r="H477" s="45" t="s">
        <v>6229</v>
      </c>
      <c r="I477" s="45" t="s">
        <v>271</v>
      </c>
      <c r="J477" s="45" t="s">
        <v>6738</v>
      </c>
      <c r="K477" s="47">
        <v>46193.299305555556</v>
      </c>
      <c r="L477" s="47">
        <v>46193.299305555556</v>
      </c>
      <c r="M477" s="47">
        <v>46195.482638888891</v>
      </c>
      <c r="N477" s="47">
        <v>46203.814236111109</v>
      </c>
      <c r="Q477" s="45" t="s">
        <v>6119</v>
      </c>
      <c r="R477" s="45" t="s">
        <v>272</v>
      </c>
      <c r="S477" s="45" t="s">
        <v>175</v>
      </c>
      <c r="T477" s="45" t="s">
        <v>308</v>
      </c>
      <c r="U477" s="45" t="s">
        <v>428</v>
      </c>
      <c r="X477" s="45" t="s">
        <v>5531</v>
      </c>
      <c r="Y477" s="45" t="s">
        <v>6739</v>
      </c>
      <c r="Z477" s="76">
        <f t="shared" ca="1" si="76"/>
        <v>2.6250000000000004</v>
      </c>
      <c r="AA477" s="75">
        <f t="shared" ca="1" si="69"/>
        <v>7.0000000000000018</v>
      </c>
      <c r="AB477" s="76">
        <f t="shared" ca="1" si="77"/>
        <v>2.6250000000000004</v>
      </c>
      <c r="AC477" s="75">
        <f t="shared" ca="1" si="71"/>
        <v>7.0000000000000018</v>
      </c>
      <c r="AD477" s="76">
        <f t="shared" ca="1" si="72"/>
        <v>0.14930555555717245</v>
      </c>
      <c r="AE477" s="76">
        <f t="shared" ca="1" si="73"/>
        <v>2.6250000000000004</v>
      </c>
      <c r="AF477" s="75">
        <f t="shared" ca="1" si="74"/>
        <v>7.0000000000000018</v>
      </c>
      <c r="AG477" s="75">
        <f t="shared" ca="1" si="75"/>
        <v>7.0000000000000018</v>
      </c>
      <c r="AH477" s="31" t="str" cm="1">
        <f t="array" aca="1" ref="AH477" ca="1">IF((AD477) &lt; (INDEX(ResponseSLA[#All],(MATCH((G477),ResponseSLA[Priority],0))+1,3)),"YES","No")</f>
        <v>No</v>
      </c>
      <c r="AI477" s="31" t="str">
        <f ca="1">_xlfn.IFNA(IF(AE477 &lt; (INDEX(SLATable[Minimum SLA],MATCH(G477,SLATable[Priority],0))),"YES","NO"),"")</f>
        <v>YES</v>
      </c>
      <c r="AJ477" t="str">
        <f ca="1">_xlfn.IFNA(IF(AE477 &lt; (INDEX(SLATable[Maximum SLA],MATCH(G477,SLATable[Priority],0))),"YES","NO"),"")</f>
        <v>YES</v>
      </c>
    </row>
    <row r="478" spans="2:36" ht="15" customHeight="1">
      <c r="B478" s="45" t="s">
        <v>26</v>
      </c>
      <c r="C478" s="45" t="s">
        <v>44</v>
      </c>
      <c r="D478" s="45" t="s">
        <v>207</v>
      </c>
      <c r="E478" s="45" t="s">
        <v>6743</v>
      </c>
      <c r="F478" s="45" t="s">
        <v>312</v>
      </c>
      <c r="G478" s="45">
        <v>4</v>
      </c>
      <c r="H478" s="45" t="s">
        <v>6744</v>
      </c>
      <c r="I478" s="45" t="s">
        <v>260</v>
      </c>
      <c r="J478" s="45" t="s">
        <v>6738</v>
      </c>
      <c r="K478" s="47">
        <v>46197.811099537037</v>
      </c>
      <c r="L478" s="47">
        <v>46203.749166666668</v>
      </c>
      <c r="M478" s="47">
        <v>46203.804363425923</v>
      </c>
      <c r="N478" s="47">
        <v>46204.46875</v>
      </c>
      <c r="Q478" s="45" t="s">
        <v>5856</v>
      </c>
      <c r="R478" s="45" t="s">
        <v>272</v>
      </c>
      <c r="S478" s="45" t="s">
        <v>175</v>
      </c>
      <c r="T478" s="45" t="s">
        <v>268</v>
      </c>
      <c r="U478" s="45" t="s">
        <v>371</v>
      </c>
      <c r="X478" s="45" t="s">
        <v>5531</v>
      </c>
      <c r="Y478" s="45" t="s">
        <v>6745</v>
      </c>
      <c r="Z478" s="76">
        <f t="shared" ca="1" si="76"/>
        <v>1.6354166666666665</v>
      </c>
      <c r="AA478" s="75">
        <f t="shared" ca="1" si="69"/>
        <v>4.3611111111111107</v>
      </c>
      <c r="AB478" s="76">
        <f t="shared" ca="1" si="77"/>
        <v>0.13541666666666663</v>
      </c>
      <c r="AC478" s="75">
        <f t="shared" ca="1" si="71"/>
        <v>0.36111111111111099</v>
      </c>
      <c r="AD478" s="76">
        <f t="shared" ca="1" si="72"/>
        <v>0</v>
      </c>
      <c r="AE478" s="76">
        <f t="shared" ca="1" si="73"/>
        <v>0.13541666666666663</v>
      </c>
      <c r="AF478" s="75">
        <f t="shared" ca="1" si="74"/>
        <v>0.36111111111111099</v>
      </c>
      <c r="AG478" s="75">
        <f t="shared" ca="1" si="75"/>
        <v>0.36111111111111099</v>
      </c>
      <c r="AH478" s="31" t="str" cm="1">
        <f t="array" aca="1" ref="AH478" ca="1">IF((AD478) &lt; (INDEX(ResponseSLA[#All],(MATCH((G478),ResponseSLA[Priority],0))+1,3)),"YES","No")</f>
        <v>YES</v>
      </c>
      <c r="AI478" s="31" t="str">
        <f ca="1">_xlfn.IFNA(IF(AE478 &lt; (INDEX(SLATable[Minimum SLA],MATCH(G478,SLATable[Priority],0))),"YES","NO"),"")</f>
        <v>YES</v>
      </c>
      <c r="AJ478" t="str">
        <f ca="1">_xlfn.IFNA(IF(AE478 &lt; (INDEX(SLATable[Maximum SLA],MATCH(G478,SLATable[Priority],0))),"YES","NO"),"")</f>
        <v>YES</v>
      </c>
    </row>
    <row r="479" spans="2:36" ht="15" customHeight="1">
      <c r="B479" s="45" t="s">
        <v>26</v>
      </c>
      <c r="C479" s="45" t="s">
        <v>44</v>
      </c>
      <c r="D479" s="45" t="s">
        <v>207</v>
      </c>
      <c r="E479" s="45" t="s">
        <v>6746</v>
      </c>
      <c r="F479" s="45" t="s">
        <v>312</v>
      </c>
      <c r="G479" s="45">
        <v>4</v>
      </c>
      <c r="H479" s="45" t="s">
        <v>6747</v>
      </c>
      <c r="I479" s="45" t="s">
        <v>275</v>
      </c>
      <c r="J479" s="45" t="s">
        <v>6738</v>
      </c>
      <c r="K479" s="47">
        <v>46183.573229166665</v>
      </c>
      <c r="L479" s="47">
        <v>46202.552951388891</v>
      </c>
      <c r="M479" s="47">
        <v>46202.552754629629</v>
      </c>
      <c r="N479" s="47">
        <v>46204.467361111114</v>
      </c>
      <c r="Q479" s="45" t="s">
        <v>6748</v>
      </c>
      <c r="R479" s="45" t="s">
        <v>272</v>
      </c>
      <c r="S479" s="45" t="s">
        <v>175</v>
      </c>
      <c r="T479" s="45" t="s">
        <v>268</v>
      </c>
      <c r="U479" s="45" t="s">
        <v>371</v>
      </c>
      <c r="X479" s="45" t="s">
        <v>5531</v>
      </c>
      <c r="Y479" s="45" t="s">
        <v>6749</v>
      </c>
      <c r="Z479" s="76">
        <f t="shared" ca="1" si="76"/>
        <v>5.5191319444493283</v>
      </c>
      <c r="AA479" s="75">
        <f t="shared" ca="1" si="69"/>
        <v>14.71768518519821</v>
      </c>
      <c r="AB479" s="76">
        <f t="shared" ca="1" si="77"/>
        <v>0.66440972222335404</v>
      </c>
      <c r="AC479" s="75">
        <f t="shared" ca="1" si="71"/>
        <v>1.7717592592622775</v>
      </c>
      <c r="AD479" s="76">
        <f t="shared" ca="1" si="72"/>
        <v>0</v>
      </c>
      <c r="AE479" s="76">
        <f>SUMIFS(AB:AB,E:E,#REF!)</f>
        <v>0</v>
      </c>
      <c r="AF479" s="75">
        <f t="shared" si="74"/>
        <v>0</v>
      </c>
      <c r="AG479" s="75">
        <f t="shared" si="75"/>
        <v>0</v>
      </c>
      <c r="AH479" s="31" t="str" cm="1">
        <f t="array" aca="1" ref="AH479" ca="1">IF((AD479) &lt; (INDEX(ResponseSLA[#All],(MATCH((G479),ResponseSLA[Priority],0))+1,3)),"YES","No")</f>
        <v>YES</v>
      </c>
      <c r="AI479" s="31" t="str">
        <f>_xlfn.IFNA(IF(AE479 &lt; (INDEX(SLATable[Minimum SLA],MATCH(G479,SLATable[Priority],0))),"YES","NO"),"")</f>
        <v>YES</v>
      </c>
      <c r="AJ479" t="str">
        <f>_xlfn.IFNA(IF(AE479 &lt; (INDEX(SLATable[Maximum SLA],MATCH(G479,SLATable[Priority],0))),"YES","NO"),"")</f>
        <v>YES</v>
      </c>
    </row>
    <row r="480" spans="2:36" ht="15" customHeight="1">
      <c r="B480" s="45" t="s">
        <v>26</v>
      </c>
      <c r="C480" s="45" t="s">
        <v>44</v>
      </c>
      <c r="D480" s="45" t="s">
        <v>208</v>
      </c>
      <c r="E480" s="45" t="s">
        <v>6750</v>
      </c>
      <c r="F480" s="45" t="s">
        <v>312</v>
      </c>
      <c r="G480" s="45" t="s">
        <v>208</v>
      </c>
      <c r="H480" s="45" t="s">
        <v>6751</v>
      </c>
      <c r="I480" s="45" t="s">
        <v>260</v>
      </c>
      <c r="J480" s="45" t="s">
        <v>6738</v>
      </c>
      <c r="K480" s="47">
        <v>46195.581793981481</v>
      </c>
      <c r="L480" s="47">
        <v>46195.581793981481</v>
      </c>
      <c r="M480" s="47">
        <v>46195.584016203706</v>
      </c>
      <c r="Q480" s="45" t="s">
        <v>6752</v>
      </c>
      <c r="R480" s="45" t="s">
        <v>272</v>
      </c>
      <c r="S480" s="45" t="s">
        <v>175</v>
      </c>
      <c r="T480" s="45" t="s">
        <v>268</v>
      </c>
      <c r="U480" s="45" t="s">
        <v>371</v>
      </c>
      <c r="X480" s="45" t="s">
        <v>5531</v>
      </c>
      <c r="Z480" s="76">
        <f t="shared" ca="1" si="76"/>
        <v>17.30218252314808</v>
      </c>
      <c r="AA480" s="75">
        <f t="shared" ca="1" si="69"/>
        <v>46.139153395061548</v>
      </c>
      <c r="AB480" s="76">
        <f t="shared" ca="1" si="77"/>
        <v>17.30218252314808</v>
      </c>
      <c r="AC480" s="75">
        <f t="shared" ca="1" si="71"/>
        <v>46.139153395061548</v>
      </c>
      <c r="AD480" s="76">
        <f t="shared" ca="1" si="72"/>
        <v>2.2222222251002677E-3</v>
      </c>
      <c r="AE480" s="76">
        <f t="shared" ca="1" si="73"/>
        <v>17.30218252314808</v>
      </c>
      <c r="AF480" s="75">
        <f t="shared" ca="1" si="74"/>
        <v>46.139153395061548</v>
      </c>
      <c r="AG480" s="75">
        <f t="shared" ca="1" si="75"/>
        <v>46.139153395061548</v>
      </c>
      <c r="AH480" s="31" t="str" cm="1">
        <f t="array" aca="1" ref="AH480" ca="1">IF((AD480) &lt; (INDEX(ResponseSLA[#All],(MATCH((G480),ResponseSLA[Priority],0))+1,3)),"YES","No")</f>
        <v>YES</v>
      </c>
      <c r="AI480" s="31" t="str">
        <f ca="1">_xlfn.IFNA(IF(AE480 &lt; (INDEX(SLATable[Minimum SLA],MATCH(G480,SLATable[Priority],0))),"YES","NO"),"")</f>
        <v>NO</v>
      </c>
      <c r="AJ480" t="str">
        <f ca="1">_xlfn.IFNA(IF(AE480 &lt; (INDEX(SLATable[Maximum SLA],MATCH(G480,SLATable[Priority],0))),"YES","NO"),"")</f>
        <v>NO</v>
      </c>
    </row>
    <row r="481" spans="2:36" ht="15" customHeight="1">
      <c r="B481" s="45" t="s">
        <v>26</v>
      </c>
      <c r="C481" s="45" t="s">
        <v>44</v>
      </c>
      <c r="D481" s="45" t="s">
        <v>208</v>
      </c>
      <c r="E481" s="45" t="s">
        <v>6753</v>
      </c>
      <c r="F481" s="45" t="s">
        <v>312</v>
      </c>
      <c r="G481" s="45" t="s">
        <v>208</v>
      </c>
      <c r="H481" s="45" t="s">
        <v>6754</v>
      </c>
      <c r="I481" s="45" t="s">
        <v>260</v>
      </c>
      <c r="J481" s="45" t="s">
        <v>6738</v>
      </c>
      <c r="K481" s="47">
        <v>46199.831122685187</v>
      </c>
      <c r="L481" s="47">
        <v>46202.818842592591</v>
      </c>
      <c r="M481" s="47">
        <v>46203.494756944441</v>
      </c>
      <c r="Q481" s="45" t="s">
        <v>5571</v>
      </c>
      <c r="R481" s="45" t="s">
        <v>272</v>
      </c>
      <c r="S481" s="45" t="s">
        <v>175</v>
      </c>
      <c r="T481" s="45" t="s">
        <v>268</v>
      </c>
      <c r="U481" s="45" t="s">
        <v>371</v>
      </c>
      <c r="X481" s="45" t="s">
        <v>5531</v>
      </c>
      <c r="Y481" s="45" t="s">
        <v>6755</v>
      </c>
      <c r="Z481" s="76">
        <f ca="1">IF(NOT(OR(G481=1,G481=2)),MAX(0,_xlfn.IFS(AND(K481&lt;&gt;"",M481&lt;&gt;""),((MAX(NETWORKDAYS(K481,M481,UKBankHolidays)-1,0))*(TIME(17,0,0)-TIME(8,0,0))+IF(NETWORKDAYS(M481,M481,UKBankHolidays)&gt;0,MEDIAN(TIME(8,0,0),MOD(M481,1),TIME(17,0,0)),TIME(8,0,0))-IF(NETWORKDAYS(K481,K481,UKBankHolidays)&gt;0,MEDIAN(TIME(8,0,0),MOD(K481,1),TIME(17,0,0)),TIME(8,0,0)))-IF(AND(O481&lt;&gt;"",P481&lt;&gt;""),((MAX(NETWORKDAYS(O481,P481,UKBankHolidays)-1,0))*(TIME(17,0,0)-TIME(8,0,0))+IF(NETWORKDAYS(P481,P481,UKBankHolidays)&gt;0,MEDIAN(TIME(8,0,0),MOD(P481,1),TIME(17,0,0)),TIME(8,0,0))-IF(NETWORKDAYS(O481,O481,UKBankHolidays)&gt;0,MEDIAN(TIME(8,0,0),MOD(O481,1),TIME(17,0,0)),TIME(8,0,0))),0),AND(K481&lt;&gt;"",M481=""),((MAX(NETWORKDAYS(K481,NOW(),UKBankHolidays)-1,0))*(TIME(17,0,0)-TIME(8,0,0))+IF(NETWORKDAYS(NOW(),NOW(),UKBankHolidays)&gt;0,MEDIAN(TIME(8,0,0),MOD(NOW(),1),TIME(17,0,0)),TIME(8,0,0))-IF(NETWORKDAYS(K481,K481,UKBankHolidays)&gt;0,MEDIAN(TIME(8,0,0),MOD(K481,1),TIME(17,0,0)),TIME(8,0,0))))),IF(M481="",NOW()-K481,M481-K481))</f>
        <v>0.53642361110784498</v>
      </c>
      <c r="AA481" s="75">
        <f t="shared" ca="1" si="69"/>
        <v>1.4304629629542533</v>
      </c>
      <c r="AB481" s="76" t="e">
        <f ca="1">IF(NOT(OR(G481=1,G481=2)),MAX(0,_xlfn.IFS(AND(K481&lt;&gt;"",M481&lt;&gt;""),(((MAX(NETWORKDAYS(#REF!,M481,UKBankHolidays)-1,0))*(TIME(17,0,0)-TIME(8,0,0)))+IF(NETWORKDAYS(M481,M481,UKBankHolidays)&gt;0,MEDIAN(TIME(8,0,0),MOD(M481,1),TIME(17,0,0)),TIME(8,0,0))-IF(NETWORKDAYS(#REF!,#REF!,UKBankHolidays)&gt;0,MEDIAN(TIME(8,0,0),MOD(#REF!,1),TIME(17,0,0)),TIME(8,0,0)))-IF(AND(O481&lt;&gt;"",P481&lt;&gt;""),(((MAX(NETWORKDAYS(O481,P481,UKBankHolidays)-1,0))*(TIME(17,0,0)-TIME(8,0,0)))+IF(NETWORKDAYS(P481,P481,UKBankHolidays)&gt;0,MEDIAN(TIME(8,0,0),MOD(P481,1),TIME(17,0,0)),TIME(8,0,0))-IF(NETWORKDAYS(O481,O481,UKBankHolidays)&gt;0,MEDIAN(TIME(8,0,0),MOD(O481,1),TIME(17,0,0)),TIME(8,0,0))),0),AND(#REF!&lt;&gt;"",M481="",O481=""),(((MAX(NETWORKDAYS(#REF!,NOW(),UKBankHolidays)-1,0))*(TIME(17,0,0)-TIME(8,0,0)))+IF(NETWORKDAYS(NOW(),NOW(),UKBankHolidays)&gt;0,MEDIAN(TIME(8,0,0),MOD(NOW(),1),TIME(17,0,0)),TIME(8,0,0))-IF(NETWORKDAYS(#REF!,#REF!,UKBankHolidays)&gt;0,MEDIAN(TIME(8,0,0),MOD(#REF!,1),TIME(17,0,0)),TIME(8,0,0)))-IF(AND(O481&lt;&gt;"",P481&lt;&gt;""),(((MAX(NETWORKDAYS(O481,P481,UKBankHolidays)-1,0))*(TIME(17,0,0)-TIME(8,0,0)))+IF(NETWORKDAYS(P481,P481,UKBankHolidays)&gt;0,MEDIAN(TIME(8,0,0),MOD(P481,1),TIME(17,0,0)),TIME(8,0,0))-IF(NETWORKDAYS(O481,O481,UKBankHolidays)&gt;0,MEDIAN(TIME(8,0,0),MOD(O481,1),TIME(17,0,0)),TIME(8,0,0))),0),AND(#REF!&lt;&gt;"",M481="",P481="",O481&lt;&gt;""),(((MAX(NETWORKDAYS(#REF!,O481,UKBankHolidays)-1,0))*(TIME(17,0,0)-TIME(8,0,0)))+IF(NETWORKDAYS(O481,O481,UKBankHolidays)&gt;0,MEDIAN(TIME(8,0,0),MOD(O481,1),TIME(17,0,0)),TIME(8,0,0))-IF(NETWORKDAYS(#REF!,#REF!,UKBankHolidays)&gt;0,MEDIAN(TIME(8,0,0),MOD(#REF!,1),TIME(17,0,0)),TIME(8,0,0))),ISBLANK(K481),"0")),IF(ISBLANK(M481),NOW()-#REF!,M481-#REF!))</f>
        <v>#REF!</v>
      </c>
      <c r="AC481" s="75" t="e">
        <f t="shared" ca="1" si="71"/>
        <v>#REF!</v>
      </c>
      <c r="AD481" s="76" t="e">
        <f ca="1">MAX(0,IF(NOT(OR(G481=1,G481=2)),IF(L481&lt;&gt;"",((MAX(NETWORKDAYS(#REF!,L481,UKBankHolidays)-1,0))*(TIME(17,0,0)-TIME(8,0,0))+IF(NETWORKDAYS(L481,L481,UKBankHolidays)&gt;0,MEDIAN(TIME(8,0,0),MOD(L481,1),TIME(17,0,0)),TIME(8,0,0))-MEDIAN(TIME(8,0,0),MOD(#REF!,1),TIME(17,0,0))),((MAX(NETWORKDAYS(#REF!,NOW(),UKBankHolidays)-1,0))*(TIME(17,0,0)-TIME(8,0,0))+IF(NETWORKDAYS(NOW(),NOW(),UKBankHolidays)&gt;0,MEDIAN(TIME(8,0,0),MOD(NOW(),1),TIME(17,0,0)),TIME(8,0,0))-MEDIAN(TIME(8,0,0),MOD(#REF!,1),TIME(17,0,0)))),IF(L481&lt;&gt;"",L481-#REF!,NOW()-#REF!)))</f>
        <v>#REF!</v>
      </c>
      <c r="AE481" s="76">
        <f ca="1">SUMIFS(AB:AB,E:E,E479)</f>
        <v>0.66440972222335404</v>
      </c>
      <c r="AF481" s="75">
        <f t="shared" ca="1" si="74"/>
        <v>1.7717592592622775</v>
      </c>
      <c r="AG481" s="75">
        <f t="shared" ca="1" si="75"/>
        <v>1.7717592592622775</v>
      </c>
      <c r="AH481" s="31" t="e" cm="1">
        <f t="array" aca="1" ref="AH481" ca="1">IF((AD481) &lt; (INDEX(ResponseSLA[#All],(MATCH((G481),ResponseSLA[Priority],0))+1,3)),"YES","No")</f>
        <v>#REF!</v>
      </c>
      <c r="AI481" s="31" t="str">
        <f ca="1">_xlfn.IFNA(IF(AE481 &lt; (INDEX(SLATable[Minimum SLA],MATCH(G481,SLATable[Priority],0))),"YES","NO"),"")</f>
        <v>YES</v>
      </c>
      <c r="AJ481" t="str">
        <f ca="1">_xlfn.IFNA(IF(AE481 &lt; (INDEX(SLATable[Maximum SLA],MATCH(G481,SLATable[Priority],0))),"YES","NO"),"")</f>
        <v>YES</v>
      </c>
    </row>
    <row r="482" spans="2:36" ht="15" customHeight="1">
      <c r="F482" s="45" t="s">
        <v>312</v>
      </c>
      <c r="Z482" s="76" t="e">
        <f ca="1">IF(NOT(OR(G482=1,G482=2)),MAX(0,_xlfn.IFS(AND(K482&lt;&gt;"",N482&lt;&gt;""),((MAX(NETWORKDAYS(K482,N482,UKBankHolidays)-1,0))*(TIME(17,0,0)-TIME(8,0,0))+IF(NETWORKDAYS(N482,N482,UKBankHolidays)&gt;0,MEDIAN(TIME(8,0,0),MOD(N482,1),TIME(17,0,0)),TIME(8,0,0))-IF(NETWORKDAYS(K482,K482,UKBankHolidays)&gt;0,MEDIAN(TIME(8,0,0),MOD(K482,1),TIME(17,0,0)),TIME(8,0,0)))-IF(AND(O482&lt;&gt;"",P482&lt;&gt;""),((MAX(NETWORKDAYS(O482,P482,UKBankHolidays)-1,0))*(TIME(17,0,0)-TIME(8,0,0))+IF(NETWORKDAYS(P482,P482,UKBankHolidays)&gt;0,MEDIAN(TIME(8,0,0),MOD(P482,1),TIME(17,0,0)),TIME(8,0,0))-IF(NETWORKDAYS(O482,O482,UKBankHolidays)&gt;0,MEDIAN(TIME(8,0,0),MOD(O482,1),TIME(17,0,0)),TIME(8,0,0))),0),AND(K482&lt;&gt;"",N482=""),((MAX(NETWORKDAYS(K482,NOW(),UKBankHolidays)-1,0))*(TIME(17,0,0)-TIME(8,0,0))+IF(NETWORKDAYS(NOW(),NOW(),UKBankHolidays)&gt;0,MEDIAN(TIME(8,0,0),MOD(NOW(),1),TIME(17,0,0)),TIME(8,0,0))-IF(NETWORKDAYS(K482,K482,UKBankHolidays)&gt;0,MEDIAN(TIME(8,0,0),MOD(K482,1),TIME(17,0,0)),TIME(8,0,0))))),IF(N482="",NOW()-K482,N482-K482))</f>
        <v>#N/A</v>
      </c>
      <c r="AA482" s="75" t="e">
        <f t="shared" ca="1" si="69"/>
        <v>#N/A</v>
      </c>
      <c r="AB482" s="76">
        <f ca="1">IF(NOT(OR(G482=1,G482=2)),MAX(0,_xlfn.IFS(AND(K482&lt;&gt;"",N482&lt;&gt;""),(((MAX(NETWORKDAYS(L482,N482,UKBankHolidays)-1,0))*(TIME(17,0,0)-TIME(8,0,0)))+IF(NETWORKDAYS(N482,N482,UKBankHolidays)&gt;0,MEDIAN(TIME(8,0,0),MOD(N482,1),TIME(17,0,0)),TIME(8,0,0))-IF(NETWORKDAYS(L482,L482,UKBankHolidays)&gt;0,MEDIAN(TIME(8,0,0),MOD(L482,1),TIME(17,0,0)),TIME(8,0,0)))-IF(AND(O482&lt;&gt;"",P482&lt;&gt;""),(((MAX(NETWORKDAYS(O482,P482,UKBankHolidays)-1,0))*(TIME(17,0,0)-TIME(8,0,0)))+IF(NETWORKDAYS(P482,P482,UKBankHolidays)&gt;0,MEDIAN(TIME(8,0,0),MOD(P482,1),TIME(17,0,0)),TIME(8,0,0))-IF(NETWORKDAYS(O482,O482,UKBankHolidays)&gt;0,MEDIAN(TIME(8,0,0),MOD(O482,1),TIME(17,0,0)),TIME(8,0,0))),0),AND(L482&lt;&gt;"",N482="",O482=""),(((MAX(NETWORKDAYS(L482,NOW(),UKBankHolidays)-1,0))*(TIME(17,0,0)-TIME(8,0,0)))+IF(NETWORKDAYS(NOW(),NOW(),UKBankHolidays)&gt;0,MEDIAN(TIME(8,0,0),MOD(NOW(),1),TIME(17,0,0)),TIME(8,0,0))-IF(NETWORKDAYS(L482,L482,UKBankHolidays)&gt;0,MEDIAN(TIME(8,0,0),MOD(L482,1),TIME(17,0,0)),TIME(8,0,0)))-IF(AND(O482&lt;&gt;"",P482&lt;&gt;""),(((MAX(NETWORKDAYS(O482,P482,UKBankHolidays)-1,0))*(TIME(17,0,0)-TIME(8,0,0)))+IF(NETWORKDAYS(P482,P482,UKBankHolidays)&gt;0,MEDIAN(TIME(8,0,0),MOD(P482,1),TIME(17,0,0)),TIME(8,0,0))-IF(NETWORKDAYS(O482,O482,UKBankHolidays)&gt;0,MEDIAN(TIME(8,0,0),MOD(O482,1),TIME(17,0,0)),TIME(8,0,0))),0),AND(L482&lt;&gt;"",N482="",P482="",O482&lt;&gt;""),(((MAX(NETWORKDAYS(L482,O482,UKBankHolidays)-1,0))*(TIME(17,0,0)-TIME(8,0,0)))+IF(NETWORKDAYS(O482,O482,UKBankHolidays)&gt;0,MEDIAN(TIME(8,0,0),MOD(O482,1),TIME(17,0,0)),TIME(8,0,0))-IF(NETWORKDAYS(L482,L482,UKBankHolidays)&gt;0,MEDIAN(TIME(8,0,0),MOD(L482,1),TIME(17,0,0)),TIME(8,0,0))),ISBLANK(K482),"0")),IF(ISBLANK(N482),NOW()-L482,N482-L482))</f>
        <v>0</v>
      </c>
      <c r="AC482" s="75">
        <f t="shared" ca="1" si="71"/>
        <v>0</v>
      </c>
      <c r="AD482" s="76">
        <f t="shared" ca="1" si="72"/>
        <v>12388.425643171297</v>
      </c>
      <c r="AE482" s="76">
        <f t="shared" si="73"/>
        <v>0</v>
      </c>
      <c r="AF482" s="75">
        <f t="shared" si="74"/>
        <v>0</v>
      </c>
      <c r="AG482" s="75">
        <f t="shared" si="75"/>
        <v>0</v>
      </c>
      <c r="AH482" s="31" t="e" cm="1">
        <f t="array" aca="1" ref="AH482" ca="1">IF((AD482) &lt; (INDEX(ResponseSLA[#All],(MATCH((G482),ResponseSLA[Priority],0))+1,3)),"YES","No")</f>
        <v>#N/A</v>
      </c>
      <c r="AI482" s="31" t="str">
        <f>_xlfn.IFNA(IF(AE482 &lt; (INDEX(SLATable[Minimum SLA],MATCH(G482,SLATable[Priority],0))),"YES","NO"),"")</f>
        <v/>
      </c>
      <c r="AJ482" t="str">
        <f>_xlfn.IFNA(IF(AE482 &lt; (INDEX(SLATable[Maximum SLA],MATCH(G482,SLATable[Priority],0))),"YES","NO"),"")</f>
        <v/>
      </c>
    </row>
    <row r="483" spans="2:36" ht="15" customHeight="1">
      <c r="F483" s="45" t="s">
        <v>312</v>
      </c>
      <c r="Z483" s="76" t="e">
        <f ca="1">IF(NOT(OR(G483=1,G483=2)),MAX(0,_xlfn.IFS(AND(K483&lt;&gt;"",N483&lt;&gt;""),((MAX(NETWORKDAYS(K483,N483,UKBankHolidays)-1,0))*(TIME(17,0,0)-TIME(8,0,0))+IF(NETWORKDAYS(N483,N483,UKBankHolidays)&gt;0,MEDIAN(TIME(8,0,0),MOD(N483,1),TIME(17,0,0)),TIME(8,0,0))-IF(NETWORKDAYS(K483,K483,UKBankHolidays)&gt;0,MEDIAN(TIME(8,0,0),MOD(K483,1),TIME(17,0,0)),TIME(8,0,0)))-IF(AND(O483&lt;&gt;"",P483&lt;&gt;""),((MAX(NETWORKDAYS(O483,P483,UKBankHolidays)-1,0))*(TIME(17,0,0)-TIME(8,0,0))+IF(NETWORKDAYS(P483,P483,UKBankHolidays)&gt;0,MEDIAN(TIME(8,0,0),MOD(P483,1),TIME(17,0,0)),TIME(8,0,0))-IF(NETWORKDAYS(O483,O483,UKBankHolidays)&gt;0,MEDIAN(TIME(8,0,0),MOD(O483,1),TIME(17,0,0)),TIME(8,0,0))),0),AND(K483&lt;&gt;"",N483=""),((MAX(NETWORKDAYS(K483,NOW(),UKBankHolidays)-1,0))*(TIME(17,0,0)-TIME(8,0,0))+IF(NETWORKDAYS(NOW(),NOW(),UKBankHolidays)&gt;0,MEDIAN(TIME(8,0,0),MOD(NOW(),1),TIME(17,0,0)),TIME(8,0,0))-IF(NETWORKDAYS(K483,K483,UKBankHolidays)&gt;0,MEDIAN(TIME(8,0,0),MOD(K483,1),TIME(17,0,0)),TIME(8,0,0))))),IF(N483="",NOW()-K483,N483-K483))</f>
        <v>#N/A</v>
      </c>
      <c r="AA483" s="75" t="e">
        <f t="shared" ca="1" si="69"/>
        <v>#N/A</v>
      </c>
      <c r="AB483" s="76">
        <f ca="1">IF(NOT(OR(G483=1,G483=2)),MAX(0,_xlfn.IFS(AND(K483&lt;&gt;"",N483&lt;&gt;""),(((MAX(NETWORKDAYS(L483,N483,UKBankHolidays)-1,0))*(TIME(17,0,0)-TIME(8,0,0)))+IF(NETWORKDAYS(N483,N483,UKBankHolidays)&gt;0,MEDIAN(TIME(8,0,0),MOD(N483,1),TIME(17,0,0)),TIME(8,0,0))-IF(NETWORKDAYS(L483,L483,UKBankHolidays)&gt;0,MEDIAN(TIME(8,0,0),MOD(L483,1),TIME(17,0,0)),TIME(8,0,0)))-IF(AND(O483&lt;&gt;"",P483&lt;&gt;""),(((MAX(NETWORKDAYS(O483,P483,UKBankHolidays)-1,0))*(TIME(17,0,0)-TIME(8,0,0)))+IF(NETWORKDAYS(P483,P483,UKBankHolidays)&gt;0,MEDIAN(TIME(8,0,0),MOD(P483,1),TIME(17,0,0)),TIME(8,0,0))-IF(NETWORKDAYS(O483,O483,UKBankHolidays)&gt;0,MEDIAN(TIME(8,0,0),MOD(O483,1),TIME(17,0,0)),TIME(8,0,0))),0),AND(L483&lt;&gt;"",N483="",O483=""),(((MAX(NETWORKDAYS(L483,NOW(),UKBankHolidays)-1,0))*(TIME(17,0,0)-TIME(8,0,0)))+IF(NETWORKDAYS(NOW(),NOW(),UKBankHolidays)&gt;0,MEDIAN(TIME(8,0,0),MOD(NOW(),1),TIME(17,0,0)),TIME(8,0,0))-IF(NETWORKDAYS(L483,L483,UKBankHolidays)&gt;0,MEDIAN(TIME(8,0,0),MOD(L483,1),TIME(17,0,0)),TIME(8,0,0)))-IF(AND(O483&lt;&gt;"",P483&lt;&gt;""),(((MAX(NETWORKDAYS(O483,P483,UKBankHolidays)-1,0))*(TIME(17,0,0)-TIME(8,0,0)))+IF(NETWORKDAYS(P483,P483,UKBankHolidays)&gt;0,MEDIAN(TIME(8,0,0),MOD(P483,1),TIME(17,0,0)),TIME(8,0,0))-IF(NETWORKDAYS(O483,O483,UKBankHolidays)&gt;0,MEDIAN(TIME(8,0,0),MOD(O483,1),TIME(17,0,0)),TIME(8,0,0))),0),AND(L483&lt;&gt;"",N483="",P483="",O483&lt;&gt;""),(((MAX(NETWORKDAYS(L483,O483,UKBankHolidays)-1,0))*(TIME(17,0,0)-TIME(8,0,0)))+IF(NETWORKDAYS(O483,O483,UKBankHolidays)&gt;0,MEDIAN(TIME(8,0,0),MOD(O483,1),TIME(17,0,0)),TIME(8,0,0))-IF(NETWORKDAYS(L483,L483,UKBankHolidays)&gt;0,MEDIAN(TIME(8,0,0),MOD(L483,1),TIME(17,0,0)),TIME(8,0,0))),ISBLANK(K483),"0")),IF(ISBLANK(N483),NOW()-L483,N483-L483))</f>
        <v>0</v>
      </c>
      <c r="AC483" s="75">
        <f t="shared" ca="1" si="71"/>
        <v>0</v>
      </c>
      <c r="AD483" s="76">
        <f t="shared" ca="1" si="72"/>
        <v>12388.425643171297</v>
      </c>
      <c r="AE483" s="76">
        <f t="shared" si="73"/>
        <v>0</v>
      </c>
      <c r="AF483" s="75">
        <f t="shared" si="74"/>
        <v>0</v>
      </c>
      <c r="AG483" s="75">
        <f t="shared" si="75"/>
        <v>0</v>
      </c>
      <c r="AH483" s="31" t="e" cm="1">
        <f t="array" aca="1" ref="AH483" ca="1">IF((AD483) &lt; (INDEX(ResponseSLA[#All],(MATCH((G483),ResponseSLA[Priority],0))+1,3)),"YES","No")</f>
        <v>#N/A</v>
      </c>
      <c r="AI483" s="31" t="str">
        <f>_xlfn.IFNA(IF(AE483 &lt; (INDEX(SLATable[Minimum SLA],MATCH(G483,SLATable[Priority],0))),"YES","NO"),"")</f>
        <v/>
      </c>
      <c r="AJ483" t="str">
        <f>_xlfn.IFNA(IF(AE483 &lt; (INDEX(SLATable[Maximum SLA],MATCH(G483,SLATable[Priority],0))),"YES","NO"),"")</f>
        <v/>
      </c>
    </row>
    <row r="484" spans="2:36" ht="15" customHeight="1">
      <c r="F484" s="45" t="s">
        <v>312</v>
      </c>
      <c r="Z484" s="76" t="e">
        <f t="shared" ca="1" si="68"/>
        <v>#N/A</v>
      </c>
      <c r="AA484" s="75" t="e">
        <f t="shared" ca="1" si="69"/>
        <v>#N/A</v>
      </c>
      <c r="AB484" s="76">
        <f t="shared" ca="1" si="70"/>
        <v>0</v>
      </c>
      <c r="AC484" s="75">
        <f t="shared" ca="1" si="71"/>
        <v>0</v>
      </c>
      <c r="AD484" s="76">
        <f t="shared" ca="1" si="72"/>
        <v>12388.425643171297</v>
      </c>
      <c r="AE484" s="76">
        <f t="shared" si="73"/>
        <v>0</v>
      </c>
      <c r="AF484" s="75">
        <f t="shared" si="74"/>
        <v>0</v>
      </c>
      <c r="AG484" s="75">
        <f t="shared" si="75"/>
        <v>0</v>
      </c>
      <c r="AH484" s="31" t="e" cm="1">
        <f t="array" aca="1" ref="AH484" ca="1">IF((AD484) &lt; (INDEX(ResponseSLA[#All],(MATCH((G484),ResponseSLA[Priority],0))+1,3)),"YES","No")</f>
        <v>#N/A</v>
      </c>
      <c r="AI484" s="31" t="str">
        <f>_xlfn.IFNA(IF(AE484 &lt; (INDEX(SLATable[Minimum SLA],MATCH(G484,SLATable[Priority],0))),"YES","NO"),"")</f>
        <v/>
      </c>
      <c r="AJ484" t="str">
        <f>_xlfn.IFNA(IF(AE484 &lt; (INDEX(SLATable[Maximum SLA],MATCH(G484,SLATable[Priority],0))),"YES","NO"),"")</f>
        <v/>
      </c>
    </row>
    <row r="485" spans="2:36" ht="15" customHeight="1">
      <c r="F485" s="45" t="s">
        <v>312</v>
      </c>
      <c r="Z485" s="76" t="e">
        <f t="shared" ca="1" si="68"/>
        <v>#N/A</v>
      </c>
      <c r="AA485" s="75" t="e">
        <f t="shared" ca="1" si="69"/>
        <v>#N/A</v>
      </c>
      <c r="AB485" s="76">
        <f t="shared" ca="1" si="70"/>
        <v>0</v>
      </c>
      <c r="AC485" s="75">
        <f t="shared" ca="1" si="71"/>
        <v>0</v>
      </c>
      <c r="AD485" s="76">
        <f t="shared" ca="1" si="72"/>
        <v>12388.425643171297</v>
      </c>
      <c r="AE485" s="76">
        <f t="shared" si="73"/>
        <v>0</v>
      </c>
      <c r="AF485" s="75">
        <f t="shared" si="74"/>
        <v>0</v>
      </c>
      <c r="AG485" s="75">
        <f t="shared" si="75"/>
        <v>0</v>
      </c>
      <c r="AH485" s="31" t="e" cm="1">
        <f t="array" aca="1" ref="AH485" ca="1">IF((AD485) &lt; (INDEX(ResponseSLA[#All],(MATCH((G485),ResponseSLA[Priority],0))+1,3)),"YES","No")</f>
        <v>#N/A</v>
      </c>
      <c r="AI485" s="31" t="str">
        <f>_xlfn.IFNA(IF(AE485 &lt; (INDEX(SLATable[Minimum SLA],MATCH(G485,SLATable[Priority],0))),"YES","NO"),"")</f>
        <v/>
      </c>
      <c r="AJ485" t="str">
        <f>_xlfn.IFNA(IF(AE485 &lt; (INDEX(SLATable[Maximum SLA],MATCH(G485,SLATable[Priority],0))),"YES","NO"),"")</f>
        <v/>
      </c>
    </row>
    <row r="486" spans="2:36" ht="15" customHeight="1">
      <c r="F486" s="45" t="s">
        <v>312</v>
      </c>
      <c r="Z486" s="76" t="e">
        <f t="shared" ca="1" si="68"/>
        <v>#N/A</v>
      </c>
      <c r="AA486" s="75" t="e">
        <f t="shared" ca="1" si="69"/>
        <v>#N/A</v>
      </c>
      <c r="AB486" s="76">
        <f t="shared" ca="1" si="70"/>
        <v>0</v>
      </c>
      <c r="AC486" s="75">
        <f t="shared" ca="1" si="71"/>
        <v>0</v>
      </c>
      <c r="AD486" s="76">
        <f t="shared" ca="1" si="72"/>
        <v>12388.425643171297</v>
      </c>
      <c r="AE486" s="76">
        <f t="shared" si="73"/>
        <v>0</v>
      </c>
      <c r="AF486" s="75">
        <f t="shared" si="74"/>
        <v>0</v>
      </c>
      <c r="AG486" s="75">
        <f t="shared" si="75"/>
        <v>0</v>
      </c>
      <c r="AH486" s="31" t="e" cm="1">
        <f t="array" aca="1" ref="AH486" ca="1">IF((AD486) &lt; (INDEX(ResponseSLA[#All],(MATCH((G486),ResponseSLA[Priority],0))+1,3)),"YES","No")</f>
        <v>#N/A</v>
      </c>
      <c r="AI486" s="31" t="str">
        <f>_xlfn.IFNA(IF(AE486 &lt; (INDEX(SLATable[Minimum SLA],MATCH(G486,SLATable[Priority],0))),"YES","NO"),"")</f>
        <v/>
      </c>
      <c r="AJ486" t="str">
        <f>_xlfn.IFNA(IF(AE486 &lt; (INDEX(SLATable[Maximum SLA],MATCH(G486,SLATable[Priority],0))),"YES","NO"),"")</f>
        <v/>
      </c>
    </row>
    <row r="487" spans="2:36" ht="15" customHeight="1">
      <c r="F487" s="45" t="s">
        <v>312</v>
      </c>
      <c r="Z487" s="76" t="e">
        <f t="shared" ca="1" si="68"/>
        <v>#N/A</v>
      </c>
      <c r="AA487" s="75" t="e">
        <f t="shared" ca="1" si="69"/>
        <v>#N/A</v>
      </c>
      <c r="AB487" s="76">
        <f t="shared" ca="1" si="70"/>
        <v>0</v>
      </c>
      <c r="AC487" s="75">
        <f t="shared" ca="1" si="71"/>
        <v>0</v>
      </c>
      <c r="AD487" s="76">
        <f t="shared" ca="1" si="72"/>
        <v>12388.425643171297</v>
      </c>
      <c r="AE487" s="76">
        <f t="shared" si="73"/>
        <v>0</v>
      </c>
      <c r="AF487" s="75">
        <f t="shared" si="74"/>
        <v>0</v>
      </c>
      <c r="AG487" s="75">
        <f t="shared" si="75"/>
        <v>0</v>
      </c>
      <c r="AH487" s="31" t="e" cm="1">
        <f t="array" aca="1" ref="AH487" ca="1">IF((AD487) &lt; (INDEX(ResponseSLA[#All],(MATCH((G487),ResponseSLA[Priority],0))+1,3)),"YES","No")</f>
        <v>#N/A</v>
      </c>
      <c r="AI487" s="31" t="str">
        <f>_xlfn.IFNA(IF(AE487 &lt; (INDEX(SLATable[Minimum SLA],MATCH(G487,SLATable[Priority],0))),"YES","NO"),"")</f>
        <v/>
      </c>
      <c r="AJ487" t="str">
        <f>_xlfn.IFNA(IF(AE487 &lt; (INDEX(SLATable[Maximum SLA],MATCH(G487,SLATable[Priority],0))),"YES","NO"),"")</f>
        <v/>
      </c>
    </row>
    <row r="488" spans="2:36" ht="15" customHeight="1">
      <c r="F488" s="45" t="s">
        <v>312</v>
      </c>
      <c r="Z488" s="76" t="e">
        <f t="shared" ca="1" si="68"/>
        <v>#N/A</v>
      </c>
      <c r="AA488" s="75" t="e">
        <f t="shared" ca="1" si="69"/>
        <v>#N/A</v>
      </c>
      <c r="AB488" s="76">
        <f t="shared" ca="1" si="70"/>
        <v>0</v>
      </c>
      <c r="AC488" s="75">
        <f t="shared" ca="1" si="71"/>
        <v>0</v>
      </c>
      <c r="AD488" s="76">
        <f t="shared" ca="1" si="72"/>
        <v>12388.425643171297</v>
      </c>
      <c r="AE488" s="76">
        <f t="shared" si="73"/>
        <v>0</v>
      </c>
      <c r="AF488" s="75">
        <f t="shared" si="74"/>
        <v>0</v>
      </c>
      <c r="AG488" s="75">
        <f t="shared" si="75"/>
        <v>0</v>
      </c>
      <c r="AH488" s="31" t="e" cm="1">
        <f t="array" aca="1" ref="AH488" ca="1">IF((AD488) &lt; (INDEX(ResponseSLA[#All],(MATCH((G488),ResponseSLA[Priority],0))+1,3)),"YES","No")</f>
        <v>#N/A</v>
      </c>
      <c r="AI488" s="31" t="str">
        <f>_xlfn.IFNA(IF(AE488 &lt; (INDEX(SLATable[Minimum SLA],MATCH(G488,SLATable[Priority],0))),"YES","NO"),"")</f>
        <v/>
      </c>
      <c r="AJ488" t="str">
        <f>_xlfn.IFNA(IF(AE488 &lt; (INDEX(SLATable[Maximum SLA],MATCH(G488,SLATable[Priority],0))),"YES","NO"),"")</f>
        <v/>
      </c>
    </row>
    <row r="489" spans="2:36" ht="15" customHeight="1">
      <c r="F489" s="45" t="s">
        <v>312</v>
      </c>
      <c r="Z489" s="76" t="e">
        <f t="shared" ca="1" si="68"/>
        <v>#N/A</v>
      </c>
      <c r="AA489" s="75" t="e">
        <f t="shared" ca="1" si="69"/>
        <v>#N/A</v>
      </c>
      <c r="AB489" s="76">
        <f t="shared" ca="1" si="70"/>
        <v>0</v>
      </c>
      <c r="AC489" s="75">
        <f t="shared" ca="1" si="71"/>
        <v>0</v>
      </c>
      <c r="AD489" s="76">
        <f t="shared" ca="1" si="72"/>
        <v>12388.425643171297</v>
      </c>
      <c r="AE489" s="76">
        <f t="shared" si="73"/>
        <v>0</v>
      </c>
      <c r="AF489" s="75">
        <f t="shared" si="74"/>
        <v>0</v>
      </c>
      <c r="AG489" s="75">
        <f t="shared" si="75"/>
        <v>0</v>
      </c>
      <c r="AH489" s="31" t="e" cm="1">
        <f t="array" aca="1" ref="AH489" ca="1">IF((AD489) &lt; (INDEX(ResponseSLA[#All],(MATCH((G489),ResponseSLA[Priority],0))+1,3)),"YES","No")</f>
        <v>#N/A</v>
      </c>
      <c r="AI489" s="31" t="str">
        <f>_xlfn.IFNA(IF(AE489 &lt; (INDEX(SLATable[Minimum SLA],MATCH(G489,SLATable[Priority],0))),"YES","NO"),"")</f>
        <v/>
      </c>
      <c r="AJ489" t="str">
        <f>_xlfn.IFNA(IF(AE489 &lt; (INDEX(SLATable[Maximum SLA],MATCH(G489,SLATable[Priority],0))),"YES","NO"),"")</f>
        <v/>
      </c>
    </row>
    <row r="490" spans="2:36" ht="15" customHeight="1">
      <c r="F490" s="45" t="s">
        <v>312</v>
      </c>
      <c r="Z490" s="76" t="e">
        <f t="shared" ca="1" si="68"/>
        <v>#N/A</v>
      </c>
      <c r="AA490" s="75" t="e">
        <f t="shared" ca="1" si="69"/>
        <v>#N/A</v>
      </c>
      <c r="AB490" s="76">
        <f t="shared" ca="1" si="70"/>
        <v>0</v>
      </c>
      <c r="AC490" s="75">
        <f t="shared" ca="1" si="71"/>
        <v>0</v>
      </c>
      <c r="AD490" s="76">
        <f t="shared" ca="1" si="72"/>
        <v>12388.425643171297</v>
      </c>
      <c r="AE490" s="76">
        <f t="shared" si="73"/>
        <v>0</v>
      </c>
      <c r="AF490" s="75">
        <f t="shared" si="74"/>
        <v>0</v>
      </c>
      <c r="AG490" s="75">
        <f t="shared" si="75"/>
        <v>0</v>
      </c>
      <c r="AH490" s="31" t="e" cm="1">
        <f t="array" aca="1" ref="AH490" ca="1">IF((AD490) &lt; (INDEX(ResponseSLA[#All],(MATCH((G490),ResponseSLA[Priority],0))+1,3)),"YES","No")</f>
        <v>#N/A</v>
      </c>
      <c r="AI490" s="31" t="str">
        <f>_xlfn.IFNA(IF(AE490 &lt; (INDEX(SLATable[Minimum SLA],MATCH(G490,SLATable[Priority],0))),"YES","NO"),"")</f>
        <v/>
      </c>
      <c r="AJ490" t="str">
        <f>_xlfn.IFNA(IF(AE490 &lt; (INDEX(SLATable[Maximum SLA],MATCH(G490,SLATable[Priority],0))),"YES","NO"),"")</f>
        <v/>
      </c>
    </row>
    <row r="491" spans="2:36" ht="15" customHeight="1">
      <c r="F491" s="45" t="s">
        <v>312</v>
      </c>
      <c r="Z491" s="76" t="e">
        <f t="shared" ca="1" si="68"/>
        <v>#N/A</v>
      </c>
      <c r="AA491" s="75" t="e">
        <f t="shared" ca="1" si="69"/>
        <v>#N/A</v>
      </c>
      <c r="AB491" s="76">
        <f t="shared" ca="1" si="70"/>
        <v>0</v>
      </c>
      <c r="AC491" s="75">
        <f t="shared" ca="1" si="71"/>
        <v>0</v>
      </c>
      <c r="AD491" s="76">
        <f t="shared" ca="1" si="72"/>
        <v>12388.425643171297</v>
      </c>
      <c r="AE491" s="76">
        <f t="shared" si="73"/>
        <v>0</v>
      </c>
      <c r="AF491" s="75">
        <f t="shared" si="74"/>
        <v>0</v>
      </c>
      <c r="AG491" s="75">
        <f t="shared" si="75"/>
        <v>0</v>
      </c>
      <c r="AH491" s="31" t="e" cm="1">
        <f t="array" aca="1" ref="AH491" ca="1">IF((AD491) &lt; (INDEX(ResponseSLA[#All],(MATCH((G491),ResponseSLA[Priority],0))+1,3)),"YES","No")</f>
        <v>#N/A</v>
      </c>
      <c r="AI491" s="31" t="str">
        <f>_xlfn.IFNA(IF(AE491 &lt; (INDEX(SLATable[Minimum SLA],MATCH(G491,SLATable[Priority],0))),"YES","NO"),"")</f>
        <v/>
      </c>
      <c r="AJ491" t="str">
        <f>_xlfn.IFNA(IF(AE491 &lt; (INDEX(SLATable[Maximum SLA],MATCH(G491,SLATable[Priority],0))),"YES","NO"),"")</f>
        <v/>
      </c>
    </row>
    <row r="492" spans="2:36" ht="15" customHeight="1">
      <c r="F492" s="45" t="s">
        <v>312</v>
      </c>
      <c r="Z492" s="76" t="e">
        <f t="shared" ca="1" si="68"/>
        <v>#N/A</v>
      </c>
      <c r="AA492" s="75" t="e">
        <f t="shared" ca="1" si="69"/>
        <v>#N/A</v>
      </c>
      <c r="AB492" s="76">
        <f t="shared" ca="1" si="70"/>
        <v>0</v>
      </c>
      <c r="AC492" s="75">
        <f t="shared" ca="1" si="71"/>
        <v>0</v>
      </c>
      <c r="AD492" s="76">
        <f t="shared" ca="1" si="72"/>
        <v>12388.425643171297</v>
      </c>
      <c r="AE492" s="76">
        <f t="shared" si="73"/>
        <v>0</v>
      </c>
      <c r="AF492" s="75">
        <f t="shared" si="74"/>
        <v>0</v>
      </c>
      <c r="AG492" s="75">
        <f t="shared" si="75"/>
        <v>0</v>
      </c>
      <c r="AH492" s="31" t="e" cm="1">
        <f t="array" aca="1" ref="AH492" ca="1">IF((AD492) &lt; (INDEX(ResponseSLA[#All],(MATCH((G492),ResponseSLA[Priority],0))+1,3)),"YES","No")</f>
        <v>#N/A</v>
      </c>
      <c r="AI492" s="31" t="str">
        <f>_xlfn.IFNA(IF(AE492 &lt; (INDEX(SLATable[Minimum SLA],MATCH(G492,SLATable[Priority],0))),"YES","NO"),"")</f>
        <v/>
      </c>
      <c r="AJ492" t="str">
        <f>_xlfn.IFNA(IF(AE492 &lt; (INDEX(SLATable[Maximum SLA],MATCH(G492,SLATable[Priority],0))),"YES","NO"),"")</f>
        <v/>
      </c>
    </row>
    <row r="493" spans="2:36" ht="15" customHeight="1">
      <c r="F493" s="45" t="s">
        <v>312</v>
      </c>
      <c r="Z493" s="76" t="e">
        <f t="shared" ca="1" si="68"/>
        <v>#N/A</v>
      </c>
      <c r="AA493" s="75" t="e">
        <f t="shared" ca="1" si="69"/>
        <v>#N/A</v>
      </c>
      <c r="AB493" s="76">
        <f t="shared" ca="1" si="70"/>
        <v>0</v>
      </c>
      <c r="AC493" s="75">
        <f t="shared" ca="1" si="71"/>
        <v>0</v>
      </c>
      <c r="AD493" s="76">
        <f t="shared" ca="1" si="72"/>
        <v>12388.425643171297</v>
      </c>
      <c r="AE493" s="76">
        <f t="shared" si="73"/>
        <v>0</v>
      </c>
      <c r="AF493" s="75">
        <f t="shared" si="74"/>
        <v>0</v>
      </c>
      <c r="AG493" s="75">
        <f t="shared" si="75"/>
        <v>0</v>
      </c>
      <c r="AH493" s="31" t="e" cm="1">
        <f t="array" aca="1" ref="AH493" ca="1">IF((AD493) &lt; (INDEX(ResponseSLA[#All],(MATCH((G493),ResponseSLA[Priority],0))+1,3)),"YES","No")</f>
        <v>#N/A</v>
      </c>
      <c r="AI493" s="31" t="str">
        <f>_xlfn.IFNA(IF(AE493 &lt; (INDEX(SLATable[Minimum SLA],MATCH(G493,SLATable[Priority],0))),"YES","NO"),"")</f>
        <v/>
      </c>
      <c r="AJ493" t="str">
        <f>_xlfn.IFNA(IF(AE493 &lt; (INDEX(SLATable[Maximum SLA],MATCH(G493,SLATable[Priority],0))),"YES","NO"),"")</f>
        <v/>
      </c>
    </row>
    <row r="494" spans="2:36" ht="15" customHeight="1">
      <c r="F494" s="45" t="s">
        <v>312</v>
      </c>
      <c r="Z494" s="76" t="e">
        <f t="shared" ca="1" si="68"/>
        <v>#N/A</v>
      </c>
      <c r="AA494" s="75" t="e">
        <f t="shared" ca="1" si="69"/>
        <v>#N/A</v>
      </c>
      <c r="AB494" s="76">
        <f t="shared" ca="1" si="70"/>
        <v>0</v>
      </c>
      <c r="AC494" s="75">
        <f t="shared" ca="1" si="71"/>
        <v>0</v>
      </c>
      <c r="AD494" s="76">
        <f t="shared" ca="1" si="72"/>
        <v>12388.425643171297</v>
      </c>
      <c r="AE494" s="76">
        <f t="shared" si="73"/>
        <v>0</v>
      </c>
      <c r="AF494" s="75">
        <f t="shared" si="74"/>
        <v>0</v>
      </c>
      <c r="AG494" s="75">
        <f t="shared" si="75"/>
        <v>0</v>
      </c>
      <c r="AH494" s="31" t="e" cm="1">
        <f t="array" aca="1" ref="AH494" ca="1">IF((AD494) &lt; (INDEX(ResponseSLA[#All],(MATCH((G494),ResponseSLA[Priority],0))+1,3)),"YES","No")</f>
        <v>#N/A</v>
      </c>
      <c r="AI494" s="31" t="str">
        <f>_xlfn.IFNA(IF(AE494 &lt; (INDEX(SLATable[Minimum SLA],MATCH(G494,SLATable[Priority],0))),"YES","NO"),"")</f>
        <v/>
      </c>
      <c r="AJ494" t="str">
        <f>_xlfn.IFNA(IF(AE494 &lt; (INDEX(SLATable[Maximum SLA],MATCH(G494,SLATable[Priority],0))),"YES","NO"),"")</f>
        <v/>
      </c>
    </row>
    <row r="495" spans="2:36" ht="15" customHeight="1">
      <c r="F495" s="45" t="s">
        <v>312</v>
      </c>
      <c r="Z495" s="76" t="e">
        <f t="shared" ca="1" si="68"/>
        <v>#N/A</v>
      </c>
      <c r="AA495" s="75" t="e">
        <f t="shared" ca="1" si="69"/>
        <v>#N/A</v>
      </c>
      <c r="AB495" s="76">
        <f t="shared" ca="1" si="70"/>
        <v>0</v>
      </c>
      <c r="AC495" s="75">
        <f t="shared" ca="1" si="71"/>
        <v>0</v>
      </c>
      <c r="AD495" s="76">
        <f t="shared" ca="1" si="72"/>
        <v>12388.425643171297</v>
      </c>
      <c r="AE495" s="76">
        <f t="shared" si="73"/>
        <v>0</v>
      </c>
      <c r="AF495" s="75">
        <f t="shared" si="74"/>
        <v>0</v>
      </c>
      <c r="AG495" s="75">
        <f t="shared" si="75"/>
        <v>0</v>
      </c>
      <c r="AH495" s="31" t="e" cm="1">
        <f t="array" aca="1" ref="AH495" ca="1">IF((AD495) &lt; (INDEX(ResponseSLA[#All],(MATCH((G495),ResponseSLA[Priority],0))+1,3)),"YES","No")</f>
        <v>#N/A</v>
      </c>
      <c r="AI495" s="31" t="str">
        <f>_xlfn.IFNA(IF(AE495 &lt; (INDEX(SLATable[Minimum SLA],MATCH(G495,SLATable[Priority],0))),"YES","NO"),"")</f>
        <v/>
      </c>
      <c r="AJ495" t="str">
        <f>_xlfn.IFNA(IF(AE495 &lt; (INDEX(SLATable[Maximum SLA],MATCH(G495,SLATable[Priority],0))),"YES","NO"),"")</f>
        <v/>
      </c>
    </row>
    <row r="496" spans="2:36" ht="15" customHeight="1">
      <c r="F496" s="45" t="s">
        <v>312</v>
      </c>
      <c r="Z496" s="76" t="e">
        <f t="shared" ca="1" si="68"/>
        <v>#N/A</v>
      </c>
      <c r="AA496" s="75" t="e">
        <f t="shared" ca="1" si="69"/>
        <v>#N/A</v>
      </c>
      <c r="AB496" s="76">
        <f t="shared" ca="1" si="70"/>
        <v>0</v>
      </c>
      <c r="AC496" s="75">
        <f t="shared" ca="1" si="71"/>
        <v>0</v>
      </c>
      <c r="AD496" s="76">
        <f t="shared" ca="1" si="72"/>
        <v>12388.425643171297</v>
      </c>
      <c r="AE496" s="76">
        <f t="shared" si="73"/>
        <v>0</v>
      </c>
      <c r="AF496" s="75">
        <f t="shared" si="74"/>
        <v>0</v>
      </c>
      <c r="AG496" s="75">
        <f t="shared" si="75"/>
        <v>0</v>
      </c>
      <c r="AH496" s="31" t="e" cm="1">
        <f t="array" aca="1" ref="AH496" ca="1">IF((AD496) &lt; (INDEX(ResponseSLA[#All],(MATCH((G496),ResponseSLA[Priority],0))+1,3)),"YES","No")</f>
        <v>#N/A</v>
      </c>
      <c r="AI496" s="31" t="str">
        <f>_xlfn.IFNA(IF(AE496 &lt; (INDEX(SLATable[Minimum SLA],MATCH(G496,SLATable[Priority],0))),"YES","NO"),"")</f>
        <v/>
      </c>
      <c r="AJ496" t="str">
        <f>_xlfn.IFNA(IF(AE496 &lt; (INDEX(SLATable[Maximum SLA],MATCH(G496,SLATable[Priority],0))),"YES","NO"),"")</f>
        <v/>
      </c>
    </row>
    <row r="497" spans="6:36" ht="15" customHeight="1">
      <c r="F497" s="45" t="s">
        <v>312</v>
      </c>
      <c r="Z497" s="76" t="e">
        <f t="shared" ca="1" si="68"/>
        <v>#N/A</v>
      </c>
      <c r="AA497" s="75" t="e">
        <f t="shared" ca="1" si="69"/>
        <v>#N/A</v>
      </c>
      <c r="AB497" s="76">
        <f t="shared" ca="1" si="70"/>
        <v>0</v>
      </c>
      <c r="AC497" s="75">
        <f t="shared" ca="1" si="71"/>
        <v>0</v>
      </c>
      <c r="AD497" s="76">
        <f t="shared" ca="1" si="72"/>
        <v>12388.425643171297</v>
      </c>
      <c r="AE497" s="76">
        <f t="shared" si="73"/>
        <v>0</v>
      </c>
      <c r="AF497" s="75">
        <f t="shared" si="74"/>
        <v>0</v>
      </c>
      <c r="AG497" s="75">
        <f t="shared" si="75"/>
        <v>0</v>
      </c>
      <c r="AH497" s="31" t="e" cm="1">
        <f t="array" aca="1" ref="AH497" ca="1">IF((AD497) &lt; (INDEX(ResponseSLA[#All],(MATCH((G497),ResponseSLA[Priority],0))+1,3)),"YES","No")</f>
        <v>#N/A</v>
      </c>
      <c r="AI497" s="31" t="str">
        <f>_xlfn.IFNA(IF(AE497 &lt; (INDEX(SLATable[Minimum SLA],MATCH(G497,SLATable[Priority],0))),"YES","NO"),"")</f>
        <v/>
      </c>
      <c r="AJ497" t="str">
        <f>_xlfn.IFNA(IF(AE497 &lt; (INDEX(SLATable[Maximum SLA],MATCH(G497,SLATable[Priority],0))),"YES","NO"),"")</f>
        <v/>
      </c>
    </row>
    <row r="498" spans="6:36" ht="15" customHeight="1">
      <c r="F498" s="45" t="s">
        <v>312</v>
      </c>
      <c r="Z498" s="76" t="e">
        <f t="shared" ca="1" si="68"/>
        <v>#N/A</v>
      </c>
      <c r="AA498" s="75" t="e">
        <f t="shared" ca="1" si="69"/>
        <v>#N/A</v>
      </c>
      <c r="AB498" s="76">
        <f t="shared" ca="1" si="70"/>
        <v>0</v>
      </c>
      <c r="AC498" s="75">
        <f t="shared" ca="1" si="71"/>
        <v>0</v>
      </c>
      <c r="AD498" s="76">
        <f t="shared" ca="1" si="72"/>
        <v>12388.425643171297</v>
      </c>
      <c r="AE498" s="76">
        <f t="shared" si="73"/>
        <v>0</v>
      </c>
      <c r="AF498" s="75">
        <f t="shared" si="74"/>
        <v>0</v>
      </c>
      <c r="AG498" s="75">
        <f t="shared" si="75"/>
        <v>0</v>
      </c>
      <c r="AH498" s="31" t="e" cm="1">
        <f t="array" aca="1" ref="AH498" ca="1">IF((AD498) &lt; (INDEX(ResponseSLA[#All],(MATCH((G498),ResponseSLA[Priority],0))+1,3)),"YES","No")</f>
        <v>#N/A</v>
      </c>
      <c r="AI498" s="31" t="str">
        <f>_xlfn.IFNA(IF(AE498 &lt; (INDEX(SLATable[Minimum SLA],MATCH(G498,SLATable[Priority],0))),"YES","NO"),"")</f>
        <v/>
      </c>
      <c r="AJ498" t="str">
        <f>_xlfn.IFNA(IF(AE498 &lt; (INDEX(SLATable[Maximum SLA],MATCH(G498,SLATable[Priority],0))),"YES","NO"),"")</f>
        <v/>
      </c>
    </row>
    <row r="499" spans="6:36" ht="15" customHeight="1">
      <c r="F499" s="45" t="s">
        <v>312</v>
      </c>
      <c r="Z499" s="76" t="e">
        <f t="shared" ca="1" si="68"/>
        <v>#N/A</v>
      </c>
      <c r="AA499" s="75" t="e">
        <f t="shared" ca="1" si="69"/>
        <v>#N/A</v>
      </c>
      <c r="AB499" s="76">
        <f t="shared" ca="1" si="70"/>
        <v>0</v>
      </c>
      <c r="AC499" s="75">
        <f t="shared" ca="1" si="71"/>
        <v>0</v>
      </c>
      <c r="AD499" s="76">
        <f t="shared" ca="1" si="72"/>
        <v>12388.425643171297</v>
      </c>
      <c r="AE499" s="76">
        <f t="shared" si="73"/>
        <v>0</v>
      </c>
      <c r="AF499" s="75">
        <f t="shared" si="74"/>
        <v>0</v>
      </c>
      <c r="AG499" s="75">
        <f t="shared" si="75"/>
        <v>0</v>
      </c>
      <c r="AH499" s="31" t="e" cm="1">
        <f t="array" aca="1" ref="AH499" ca="1">IF((AD499) &lt; (INDEX(ResponseSLA[#All],(MATCH((G499),ResponseSLA[Priority],0))+1,3)),"YES","No")</f>
        <v>#N/A</v>
      </c>
      <c r="AI499" s="31" t="str">
        <f>_xlfn.IFNA(IF(AE499 &lt; (INDEX(SLATable[Minimum SLA],MATCH(G499,SLATable[Priority],0))),"YES","NO"),"")</f>
        <v/>
      </c>
      <c r="AJ499" t="str">
        <f>_xlfn.IFNA(IF(AE499 &lt; (INDEX(SLATable[Maximum SLA],MATCH(G499,SLATable[Priority],0))),"YES","NO"),"")</f>
        <v/>
      </c>
    </row>
    <row r="500" spans="6:36" ht="15" customHeight="1">
      <c r="F500" s="45" t="s">
        <v>312</v>
      </c>
      <c r="Z500" s="76" t="e">
        <f t="shared" ca="1" si="68"/>
        <v>#N/A</v>
      </c>
      <c r="AA500" s="75" t="e">
        <f t="shared" ca="1" si="69"/>
        <v>#N/A</v>
      </c>
      <c r="AB500" s="76">
        <f t="shared" ca="1" si="70"/>
        <v>0</v>
      </c>
      <c r="AC500" s="75">
        <f t="shared" ca="1" si="71"/>
        <v>0</v>
      </c>
      <c r="AD500" s="76">
        <f t="shared" ca="1" si="72"/>
        <v>12388.425643171297</v>
      </c>
      <c r="AE500" s="76">
        <f t="shared" si="73"/>
        <v>0</v>
      </c>
      <c r="AF500" s="75">
        <f t="shared" si="74"/>
        <v>0</v>
      </c>
      <c r="AG500" s="75">
        <f t="shared" si="75"/>
        <v>0</v>
      </c>
      <c r="AH500" s="31" t="e" cm="1">
        <f t="array" aca="1" ref="AH500" ca="1">IF((AD500) &lt; (INDEX(ResponseSLA[#All],(MATCH((G500),ResponseSLA[Priority],0))+1,3)),"YES","No")</f>
        <v>#N/A</v>
      </c>
      <c r="AI500" s="31" t="str">
        <f>_xlfn.IFNA(IF(AE500 &lt; (INDEX(SLATable[Minimum SLA],MATCH(G500,SLATable[Priority],0))),"YES","NO"),"")</f>
        <v/>
      </c>
      <c r="AJ500" t="str">
        <f>_xlfn.IFNA(IF(AE500 &lt; (INDEX(SLATable[Maximum SLA],MATCH(G500,SLATable[Priority],0))),"YES","NO"),"")</f>
        <v/>
      </c>
    </row>
    <row r="501" spans="6:36" ht="15" customHeight="1">
      <c r="F501" s="18" t="s">
        <v>312</v>
      </c>
      <c r="Q501" s="67" t="s">
        <v>44</v>
      </c>
      <c r="R501" s="67" t="s">
        <v>5693</v>
      </c>
      <c r="S501" s="67" t="s">
        <v>175</v>
      </c>
      <c r="U501" s="67" t="s">
        <v>5531</v>
      </c>
      <c r="X501" s="67" t="s">
        <v>5531</v>
      </c>
    </row>
    <row r="502" spans="6:36" ht="15" customHeight="1">
      <c r="F502" s="18" t="s">
        <v>312</v>
      </c>
      <c r="Q502" s="67" t="s">
        <v>44</v>
      </c>
      <c r="R502" s="67" t="s">
        <v>5693</v>
      </c>
      <c r="S502" s="67" t="s">
        <v>175</v>
      </c>
      <c r="U502" s="67" t="s">
        <v>5531</v>
      </c>
      <c r="X502" s="67" t="s">
        <v>5531</v>
      </c>
    </row>
    <row r="503" spans="6:36" ht="15" customHeight="1">
      <c r="F503" s="18" t="s">
        <v>312</v>
      </c>
      <c r="U503" s="67" t="s">
        <v>5531</v>
      </c>
      <c r="X503" s="67" t="s">
        <v>5531</v>
      </c>
    </row>
    <row r="504" spans="6:36" ht="15" customHeight="1">
      <c r="F504" s="18" t="s">
        <v>312</v>
      </c>
      <c r="U504" s="67" t="s">
        <v>5531</v>
      </c>
      <c r="X504" s="67" t="s">
        <v>5531</v>
      </c>
    </row>
    <row r="505" spans="6:36" ht="15" customHeight="1">
      <c r="F505" s="18" t="s">
        <v>312</v>
      </c>
      <c r="U505" s="67" t="s">
        <v>5531</v>
      </c>
      <c r="X505" s="67" t="s">
        <v>5531</v>
      </c>
    </row>
    <row r="506" spans="6:36" ht="15" customHeight="1">
      <c r="F506" s="18" t="s">
        <v>312</v>
      </c>
      <c r="U506" s="67" t="s">
        <v>5531</v>
      </c>
      <c r="X506" s="67" t="s">
        <v>5531</v>
      </c>
    </row>
    <row r="507" spans="6:36" ht="15" customHeight="1">
      <c r="F507" s="18" t="s">
        <v>312</v>
      </c>
      <c r="U507" s="67" t="s">
        <v>5531</v>
      </c>
      <c r="X507" s="67" t="s">
        <v>5531</v>
      </c>
    </row>
    <row r="508" spans="6:36" ht="15" customHeight="1">
      <c r="F508" s="18" t="s">
        <v>312</v>
      </c>
      <c r="U508" s="67" t="s">
        <v>5531</v>
      </c>
      <c r="X508" s="67" t="s">
        <v>5531</v>
      </c>
    </row>
    <row r="509" spans="6:36" ht="15" customHeight="1">
      <c r="F509" s="18" t="s">
        <v>312</v>
      </c>
      <c r="U509" s="67" t="s">
        <v>5531</v>
      </c>
      <c r="X509" s="67" t="s">
        <v>5531</v>
      </c>
    </row>
    <row r="510" spans="6:36" ht="15" customHeight="1">
      <c r="F510" s="18" t="s">
        <v>312</v>
      </c>
      <c r="U510" s="67" t="s">
        <v>5531</v>
      </c>
      <c r="X510" s="67" t="s">
        <v>5531</v>
      </c>
    </row>
    <row r="511" spans="6:36" ht="15" customHeight="1">
      <c r="F511" s="18" t="s">
        <v>312</v>
      </c>
      <c r="U511" s="67" t="s">
        <v>5531</v>
      </c>
      <c r="X511" s="67" t="s">
        <v>5531</v>
      </c>
    </row>
    <row r="512" spans="6:36" ht="15" customHeight="1">
      <c r="F512" s="18" t="s">
        <v>312</v>
      </c>
      <c r="U512" s="67" t="s">
        <v>5531</v>
      </c>
      <c r="X512" s="67" t="s">
        <v>5531</v>
      </c>
    </row>
    <row r="513" spans="6:24" ht="15" customHeight="1">
      <c r="F513" s="18" t="s">
        <v>312</v>
      </c>
      <c r="U513" s="67" t="s">
        <v>5531</v>
      </c>
      <c r="X513" s="67" t="s">
        <v>5531</v>
      </c>
    </row>
    <row r="514" spans="6:24" ht="15" customHeight="1">
      <c r="F514" s="18" t="s">
        <v>312</v>
      </c>
      <c r="U514" s="67" t="s">
        <v>5531</v>
      </c>
      <c r="X514" s="67" t="s">
        <v>5531</v>
      </c>
    </row>
    <row r="515" spans="6:24" ht="15" customHeight="1">
      <c r="F515" s="18" t="s">
        <v>312</v>
      </c>
      <c r="U515" s="67" t="s">
        <v>5531</v>
      </c>
      <c r="X515" s="67" t="s">
        <v>5531</v>
      </c>
    </row>
    <row r="516" spans="6:24" ht="15" customHeight="1">
      <c r="F516" s="18" t="s">
        <v>312</v>
      </c>
      <c r="U516" s="67" t="s">
        <v>5531</v>
      </c>
      <c r="X516" s="67" t="s">
        <v>5531</v>
      </c>
    </row>
    <row r="517" spans="6:24" ht="15" customHeight="1">
      <c r="F517" s="18" t="s">
        <v>312</v>
      </c>
      <c r="U517" s="67" t="s">
        <v>5531</v>
      </c>
      <c r="X517" s="67" t="s">
        <v>5531</v>
      </c>
    </row>
    <row r="518" spans="6:24" ht="15" customHeight="1">
      <c r="F518" s="18" t="s">
        <v>312</v>
      </c>
      <c r="U518" s="67" t="s">
        <v>5531</v>
      </c>
      <c r="X518" s="67" t="s">
        <v>5531</v>
      </c>
    </row>
    <row r="519" spans="6:24" ht="15" customHeight="1">
      <c r="F519" s="18" t="s">
        <v>312</v>
      </c>
      <c r="U519" s="67" t="s">
        <v>5531</v>
      </c>
      <c r="X519" s="67" t="s">
        <v>5531</v>
      </c>
    </row>
    <row r="520" spans="6:24" ht="15" customHeight="1">
      <c r="F520" s="18" t="s">
        <v>312</v>
      </c>
      <c r="U520" s="67" t="s">
        <v>5531</v>
      </c>
      <c r="X520" s="67" t="s">
        <v>5531</v>
      </c>
    </row>
    <row r="521" spans="6:24" ht="15" customHeight="1">
      <c r="F521" s="18" t="s">
        <v>312</v>
      </c>
      <c r="U521" s="67" t="s">
        <v>5531</v>
      </c>
      <c r="X521" s="67" t="s">
        <v>5531</v>
      </c>
    </row>
    <row r="522" spans="6:24" ht="15" customHeight="1">
      <c r="F522" s="18" t="s">
        <v>312</v>
      </c>
      <c r="U522" s="67" t="s">
        <v>5531</v>
      </c>
      <c r="X522" s="67" t="s">
        <v>5531</v>
      </c>
    </row>
    <row r="523" spans="6:24" ht="15" customHeight="1">
      <c r="F523" s="18" t="s">
        <v>312</v>
      </c>
      <c r="U523" s="67" t="s">
        <v>5531</v>
      </c>
      <c r="X523" s="67" t="s">
        <v>5531</v>
      </c>
    </row>
    <row r="524" spans="6:24" ht="15" customHeight="1">
      <c r="F524" s="18" t="s">
        <v>312</v>
      </c>
      <c r="U524" s="67" t="s">
        <v>5531</v>
      </c>
      <c r="X524" s="67" t="s">
        <v>5531</v>
      </c>
    </row>
    <row r="525" spans="6:24" ht="15" customHeight="1">
      <c r="F525" s="18" t="s">
        <v>312</v>
      </c>
      <c r="U525" s="67" t="s">
        <v>5531</v>
      </c>
      <c r="X525" s="67" t="s">
        <v>5531</v>
      </c>
    </row>
    <row r="526" spans="6:24" ht="15" customHeight="1">
      <c r="F526" s="18" t="s">
        <v>312</v>
      </c>
      <c r="U526" s="67" t="s">
        <v>5531</v>
      </c>
      <c r="X526" s="67" t="s">
        <v>5531</v>
      </c>
    </row>
    <row r="527" spans="6:24" ht="15" customHeight="1">
      <c r="F527" s="18" t="s">
        <v>312</v>
      </c>
      <c r="U527" s="67" t="s">
        <v>5531</v>
      </c>
      <c r="X527" s="67" t="s">
        <v>5531</v>
      </c>
    </row>
    <row r="528" spans="6:24" ht="15" customHeight="1">
      <c r="F528" s="18" t="s">
        <v>312</v>
      </c>
      <c r="U528" s="67" t="s">
        <v>5531</v>
      </c>
      <c r="X528" s="67" t="s">
        <v>5531</v>
      </c>
    </row>
    <row r="529" spans="2:24" ht="15" customHeight="1">
      <c r="F529" s="18" t="s">
        <v>312</v>
      </c>
      <c r="U529" s="67" t="s">
        <v>5531</v>
      </c>
      <c r="X529" s="67" t="s">
        <v>5531</v>
      </c>
    </row>
    <row r="530" spans="2:24" ht="15" customHeight="1">
      <c r="F530" s="18" t="s">
        <v>312</v>
      </c>
      <c r="U530" s="67" t="s">
        <v>5531</v>
      </c>
      <c r="X530" s="67" t="s">
        <v>5531</v>
      </c>
    </row>
    <row r="531" spans="2:24" ht="15" customHeight="1">
      <c r="F531" s="18" t="s">
        <v>312</v>
      </c>
      <c r="U531" s="67" t="s">
        <v>5531</v>
      </c>
      <c r="X531" s="67" t="s">
        <v>5531</v>
      </c>
    </row>
    <row r="532" spans="2:24" ht="15" customHeight="1">
      <c r="F532" s="18" t="s">
        <v>312</v>
      </c>
      <c r="U532" s="67" t="s">
        <v>5531</v>
      </c>
      <c r="X532" s="67" t="s">
        <v>5531</v>
      </c>
    </row>
    <row r="533" spans="2:24" ht="15" customHeight="1">
      <c r="F533" s="18" t="s">
        <v>312</v>
      </c>
    </row>
    <row r="534" spans="2:24" ht="15" customHeight="1">
      <c r="F534" s="18" t="s">
        <v>312</v>
      </c>
    </row>
    <row r="535" spans="2:24" ht="15" customHeight="1">
      <c r="F535" s="18" t="s">
        <v>312</v>
      </c>
    </row>
    <row r="536" spans="2:24" ht="15" customHeight="1">
      <c r="F536" s="18" t="s">
        <v>312</v>
      </c>
    </row>
    <row r="537" spans="2:24" ht="15" customHeight="1">
      <c r="F537" s="18" t="s">
        <v>312</v>
      </c>
    </row>
    <row r="538" spans="2:24" ht="15" customHeight="1">
      <c r="B538" s="45" t="s">
        <v>26</v>
      </c>
      <c r="C538" s="45" t="s">
        <v>44</v>
      </c>
      <c r="D538" s="45" t="s">
        <v>207</v>
      </c>
      <c r="E538" s="45" t="s">
        <v>5850</v>
      </c>
      <c r="F538" s="45" t="s">
        <v>312</v>
      </c>
      <c r="J538" s="45" t="s">
        <v>5852</v>
      </c>
      <c r="X538" s="45" t="s">
        <v>5531</v>
      </c>
    </row>
    <row r="539" spans="2:24" ht="15" customHeight="1">
      <c r="B539" s="45" t="s">
        <v>26</v>
      </c>
      <c r="C539" s="45" t="s">
        <v>44</v>
      </c>
      <c r="D539" s="45" t="s">
        <v>207</v>
      </c>
      <c r="E539" s="45" t="s">
        <v>5854</v>
      </c>
      <c r="F539" s="45" t="s">
        <v>312</v>
      </c>
      <c r="J539" s="45" t="s">
        <v>5852</v>
      </c>
    </row>
    <row r="540" spans="2:24" ht="15" customHeight="1">
      <c r="B540" s="45" t="s">
        <v>26</v>
      </c>
      <c r="C540" s="45" t="s">
        <v>44</v>
      </c>
      <c r="D540" s="45" t="s">
        <v>207</v>
      </c>
      <c r="E540" s="45" t="s">
        <v>5857</v>
      </c>
      <c r="F540" s="45" t="s">
        <v>312</v>
      </c>
      <c r="J540" s="45" t="s">
        <v>5852</v>
      </c>
    </row>
    <row r="541" spans="2:24" ht="15" customHeight="1">
      <c r="B541" s="45" t="s">
        <v>26</v>
      </c>
      <c r="C541" s="45" t="s">
        <v>44</v>
      </c>
      <c r="D541" s="45" t="s">
        <v>207</v>
      </c>
      <c r="E541" s="45" t="s">
        <v>5859</v>
      </c>
      <c r="F541" s="45" t="s">
        <v>312</v>
      </c>
      <c r="J541" s="45" t="s">
        <v>5852</v>
      </c>
    </row>
    <row r="542" spans="2:24" ht="15" customHeight="1">
      <c r="B542" s="45" t="s">
        <v>26</v>
      </c>
      <c r="C542" s="45" t="s">
        <v>44</v>
      </c>
      <c r="D542" s="45" t="s">
        <v>207</v>
      </c>
      <c r="E542" s="45" t="s">
        <v>5862</v>
      </c>
      <c r="F542" s="45" t="s">
        <v>312</v>
      </c>
      <c r="J542" s="45" t="s">
        <v>5852</v>
      </c>
    </row>
    <row r="543" spans="2:24" ht="15" customHeight="1">
      <c r="B543" s="45" t="s">
        <v>26</v>
      </c>
      <c r="C543" s="45" t="s">
        <v>44</v>
      </c>
      <c r="D543" s="45" t="s">
        <v>208</v>
      </c>
      <c r="E543" s="45" t="s">
        <v>5864</v>
      </c>
      <c r="F543" s="45" t="s">
        <v>312</v>
      </c>
      <c r="J543" s="45" t="s">
        <v>5852</v>
      </c>
    </row>
    <row r="544" spans="2:24" ht="15" customHeight="1">
      <c r="B544" s="45" t="s">
        <v>26</v>
      </c>
      <c r="C544" s="45" t="s">
        <v>44</v>
      </c>
      <c r="D544" s="45" t="s">
        <v>208</v>
      </c>
      <c r="E544" s="45" t="s">
        <v>5867</v>
      </c>
      <c r="F544" s="45" t="s">
        <v>312</v>
      </c>
      <c r="J544" s="45" t="s">
        <v>5852</v>
      </c>
    </row>
    <row r="545" spans="2:25" ht="15" customHeight="1">
      <c r="B545" s="45" t="s">
        <v>26</v>
      </c>
      <c r="C545" s="45" t="s">
        <v>44</v>
      </c>
      <c r="D545" s="45" t="s">
        <v>207</v>
      </c>
      <c r="E545" s="45" t="s">
        <v>5870</v>
      </c>
      <c r="F545" s="45" t="s">
        <v>312</v>
      </c>
      <c r="J545" s="45" t="s">
        <v>5852</v>
      </c>
    </row>
    <row r="546" spans="2:25" ht="15" customHeight="1">
      <c r="B546" s="45" t="s">
        <v>26</v>
      </c>
      <c r="C546" s="45" t="s">
        <v>44</v>
      </c>
      <c r="D546" s="45" t="s">
        <v>208</v>
      </c>
      <c r="E546" s="45" t="s">
        <v>5867</v>
      </c>
      <c r="F546" s="45" t="s">
        <v>312</v>
      </c>
      <c r="J546" s="45" t="s">
        <v>5852</v>
      </c>
    </row>
    <row r="547" spans="2:25" ht="15" customHeight="1">
      <c r="B547" s="45" t="s">
        <v>26</v>
      </c>
      <c r="C547" s="45" t="s">
        <v>44</v>
      </c>
      <c r="D547" s="45" t="s">
        <v>207</v>
      </c>
      <c r="E547" s="45" t="s">
        <v>2790</v>
      </c>
      <c r="F547" s="45" t="s">
        <v>312</v>
      </c>
      <c r="J547" s="45" t="s">
        <v>5852</v>
      </c>
    </row>
    <row r="548" spans="2:25" ht="15" customHeight="1">
      <c r="B548" s="45" t="s">
        <v>26</v>
      </c>
      <c r="C548" s="45" t="s">
        <v>44</v>
      </c>
      <c r="D548" s="45" t="s">
        <v>207</v>
      </c>
      <c r="E548" s="45" t="s">
        <v>2695</v>
      </c>
      <c r="F548" s="45" t="s">
        <v>312</v>
      </c>
      <c r="J548" s="45" t="s">
        <v>5852</v>
      </c>
    </row>
    <row r="549" spans="2:25" ht="15" customHeight="1">
      <c r="B549" s="45" t="s">
        <v>26</v>
      </c>
      <c r="C549" s="45" t="s">
        <v>44</v>
      </c>
      <c r="D549" s="45" t="s">
        <v>207</v>
      </c>
      <c r="E549" s="45" t="s">
        <v>2787</v>
      </c>
      <c r="F549" s="45" t="s">
        <v>312</v>
      </c>
      <c r="J549" s="45" t="s">
        <v>5852</v>
      </c>
    </row>
    <row r="550" spans="2:25" ht="15" customHeight="1">
      <c r="B550" s="45" t="s">
        <v>26</v>
      </c>
      <c r="C550" s="45" t="s">
        <v>44</v>
      </c>
      <c r="D550" s="45" t="s">
        <v>207</v>
      </c>
      <c r="E550" s="45" t="s">
        <v>5874</v>
      </c>
      <c r="F550" s="45" t="s">
        <v>312</v>
      </c>
      <c r="J550" s="45" t="s">
        <v>5852</v>
      </c>
    </row>
    <row r="551" spans="2:25" ht="15" customHeight="1">
      <c r="B551" s="45" t="s">
        <v>26</v>
      </c>
      <c r="C551" s="45" t="s">
        <v>44</v>
      </c>
      <c r="D551" s="45" t="s">
        <v>207</v>
      </c>
      <c r="E551" s="45" t="s">
        <v>5876</v>
      </c>
      <c r="F551" s="45" t="s">
        <v>312</v>
      </c>
      <c r="J551" s="45" t="s">
        <v>5852</v>
      </c>
    </row>
    <row r="552" spans="2:25" ht="15" customHeight="1">
      <c r="B552" s="45" t="s">
        <v>26</v>
      </c>
      <c r="C552" s="45" t="s">
        <v>44</v>
      </c>
      <c r="D552" s="45" t="s">
        <v>208</v>
      </c>
      <c r="E552" s="45" t="s">
        <v>5878</v>
      </c>
      <c r="F552" s="45" t="s">
        <v>312</v>
      </c>
      <c r="J552" s="45" t="s">
        <v>5852</v>
      </c>
    </row>
    <row r="553" spans="2:25" ht="15" customHeight="1">
      <c r="B553" s="45" t="s">
        <v>26</v>
      </c>
      <c r="C553" s="45" t="s">
        <v>44</v>
      </c>
      <c r="D553" s="45" t="s">
        <v>208</v>
      </c>
      <c r="E553" s="45" t="s">
        <v>5881</v>
      </c>
      <c r="F553" s="45" t="s">
        <v>312</v>
      </c>
      <c r="J553" s="45" t="s">
        <v>5852</v>
      </c>
    </row>
    <row r="554" spans="2:25" ht="15" customHeight="1">
      <c r="B554" s="45" t="s">
        <v>26</v>
      </c>
      <c r="C554" s="45" t="s">
        <v>44</v>
      </c>
      <c r="D554" s="45" t="s">
        <v>208</v>
      </c>
      <c r="E554" s="45" t="s">
        <v>2868</v>
      </c>
      <c r="F554" s="45" t="s">
        <v>312</v>
      </c>
      <c r="J554" s="45" t="s">
        <v>5852</v>
      </c>
    </row>
    <row r="555" spans="2:25" ht="15" customHeight="1">
      <c r="B555" s="45" t="s">
        <v>26</v>
      </c>
      <c r="C555" s="45" t="s">
        <v>44</v>
      </c>
      <c r="D555" s="45" t="s">
        <v>207</v>
      </c>
      <c r="E555" s="45" t="s">
        <v>5883</v>
      </c>
      <c r="F555" s="45" t="s">
        <v>312</v>
      </c>
      <c r="J555" s="45" t="s">
        <v>5852</v>
      </c>
    </row>
    <row r="556" spans="2:25" ht="15" customHeight="1">
      <c r="B556" s="45" t="s">
        <v>26</v>
      </c>
      <c r="C556" s="45" t="s">
        <v>44</v>
      </c>
      <c r="D556" s="45" t="s">
        <v>207</v>
      </c>
      <c r="E556" s="45" t="s">
        <v>5885</v>
      </c>
      <c r="F556" s="45" t="s">
        <v>312</v>
      </c>
      <c r="J556" s="45" t="s">
        <v>5852</v>
      </c>
    </row>
    <row r="557" spans="2:25" ht="15" customHeight="1">
      <c r="B557" s="45" t="s">
        <v>26</v>
      </c>
      <c r="C557" s="45" t="s">
        <v>44</v>
      </c>
      <c r="D557" s="45" t="s">
        <v>207</v>
      </c>
      <c r="E557" s="45" t="s">
        <v>5887</v>
      </c>
      <c r="F557" s="45" t="s">
        <v>312</v>
      </c>
      <c r="J557" s="45" t="s">
        <v>5852</v>
      </c>
    </row>
    <row r="558" spans="2:25" ht="15" customHeight="1">
      <c r="B558" s="45" t="s">
        <v>26</v>
      </c>
      <c r="C558" s="45" t="s">
        <v>44</v>
      </c>
      <c r="D558" s="45" t="s">
        <v>208</v>
      </c>
      <c r="E558" s="45" t="s">
        <v>5890</v>
      </c>
      <c r="F558" s="45" t="s">
        <v>312</v>
      </c>
      <c r="J558" s="45" t="s">
        <v>5852</v>
      </c>
    </row>
    <row r="559" spans="2:25" ht="15" customHeight="1">
      <c r="B559" s="45" t="s">
        <v>26</v>
      </c>
      <c r="C559" s="45" t="s">
        <v>44</v>
      </c>
      <c r="D559" s="45" t="s">
        <v>208</v>
      </c>
      <c r="E559" s="45" t="s">
        <v>5892</v>
      </c>
      <c r="F559" s="45" t="s">
        <v>312</v>
      </c>
      <c r="J559" s="45" t="s">
        <v>5852</v>
      </c>
    </row>
    <row r="560" spans="2:25" ht="15" customHeight="1">
      <c r="B560" s="45" t="s">
        <v>26</v>
      </c>
      <c r="C560" s="45" t="s">
        <v>44</v>
      </c>
      <c r="D560" s="45" t="s">
        <v>207</v>
      </c>
      <c r="E560" t="s">
        <v>6756</v>
      </c>
      <c r="F560" s="18" t="s">
        <v>312</v>
      </c>
      <c r="G560" s="211">
        <v>4</v>
      </c>
      <c r="H560" t="s">
        <v>6757</v>
      </c>
      <c r="I560" s="45" t="s">
        <v>275</v>
      </c>
      <c r="J560" t="s">
        <v>5391</v>
      </c>
      <c r="K560" s="113">
        <v>46172.717939814815</v>
      </c>
      <c r="L560" s="113">
        <v>46174.311620370368</v>
      </c>
      <c r="M560" s="113">
        <v>46174.320925925924</v>
      </c>
      <c r="N560" s="113">
        <v>46174.588634259257</v>
      </c>
      <c r="O560" s="113"/>
      <c r="P560" s="113">
        <v>46174.588634259257</v>
      </c>
      <c r="Q560" t="s">
        <v>5750</v>
      </c>
      <c r="R560" t="s">
        <v>272</v>
      </c>
      <c r="S560" t="s">
        <v>175</v>
      </c>
      <c r="T560" t="s">
        <v>268</v>
      </c>
      <c r="U560" t="s">
        <v>5531</v>
      </c>
      <c r="V560"/>
      <c r="W560"/>
      <c r="X560" s="45" t="s">
        <v>5531</v>
      </c>
      <c r="Y560" s="45" t="s">
        <v>6758</v>
      </c>
    </row>
    <row r="561" spans="2:25" ht="15" customHeight="1">
      <c r="B561" s="45" t="s">
        <v>26</v>
      </c>
      <c r="C561" s="45" t="s">
        <v>44</v>
      </c>
      <c r="D561" s="45" t="s">
        <v>207</v>
      </c>
      <c r="E561" t="s">
        <v>5370</v>
      </c>
      <c r="F561" s="18" t="s">
        <v>312</v>
      </c>
      <c r="G561" s="211">
        <v>4</v>
      </c>
      <c r="H561" t="s">
        <v>5371</v>
      </c>
      <c r="I561" t="s">
        <v>275</v>
      </c>
      <c r="J561" t="s">
        <v>5391</v>
      </c>
      <c r="K561" s="113">
        <v>46169.791168981479</v>
      </c>
      <c r="L561" s="113">
        <v>46174.480081018519</v>
      </c>
      <c r="M561" s="113">
        <v>46174.570844907408</v>
      </c>
      <c r="N561" s="113">
        <v>46174.590497685182</v>
      </c>
      <c r="O561" s="113"/>
      <c r="P561" s="113">
        <v>46174.590497685182</v>
      </c>
      <c r="Q561" t="s">
        <v>6407</v>
      </c>
      <c r="R561" t="s">
        <v>272</v>
      </c>
      <c r="S561" t="s">
        <v>175</v>
      </c>
      <c r="T561" t="s">
        <v>268</v>
      </c>
      <c r="U561" t="s">
        <v>5531</v>
      </c>
      <c r="V561"/>
      <c r="W561"/>
      <c r="X561" s="45" t="s">
        <v>5531</v>
      </c>
      <c r="Y561" s="45" t="s">
        <v>6758</v>
      </c>
    </row>
    <row r="562" spans="2:25" ht="15" customHeight="1">
      <c r="B562" s="45" t="s">
        <v>26</v>
      </c>
      <c r="C562" s="45" t="s">
        <v>44</v>
      </c>
      <c r="D562" s="45" t="s">
        <v>208</v>
      </c>
      <c r="E562" t="s">
        <v>6759</v>
      </c>
      <c r="F562" s="18" t="s">
        <v>312</v>
      </c>
      <c r="G562" s="211" t="s">
        <v>208</v>
      </c>
      <c r="H562" t="s">
        <v>6760</v>
      </c>
      <c r="I562" t="s">
        <v>271</v>
      </c>
      <c r="J562" t="s">
        <v>5391</v>
      </c>
      <c r="K562" s="113">
        <v>46174.598321759258</v>
      </c>
      <c r="L562" s="113">
        <v>46174.608055555553</v>
      </c>
      <c r="M562" s="113">
        <v>46175.161678240744</v>
      </c>
      <c r="N562" s="113">
        <v>46178.456736111111</v>
      </c>
      <c r="O562" s="113">
        <v>46175.624502314815</v>
      </c>
      <c r="P562" s="113">
        <v>46178.456736111111</v>
      </c>
      <c r="Q562" t="s">
        <v>5686</v>
      </c>
      <c r="R562" t="s">
        <v>272</v>
      </c>
      <c r="S562" t="s">
        <v>175</v>
      </c>
      <c r="T562" t="s">
        <v>268</v>
      </c>
      <c r="U562" t="s">
        <v>5531</v>
      </c>
      <c r="V562"/>
      <c r="W562"/>
      <c r="X562" s="45" t="s">
        <v>5531</v>
      </c>
      <c r="Y562" t="s">
        <v>6761</v>
      </c>
    </row>
    <row r="563" spans="2:25" ht="15" customHeight="1">
      <c r="B563" s="45" t="s">
        <v>26</v>
      </c>
      <c r="C563" s="45" t="s">
        <v>44</v>
      </c>
      <c r="D563" s="45" t="s">
        <v>207</v>
      </c>
      <c r="E563" t="s">
        <v>5382</v>
      </c>
      <c r="F563" s="18" t="s">
        <v>312</v>
      </c>
      <c r="G563" s="211">
        <v>4</v>
      </c>
      <c r="H563" t="s">
        <v>5383</v>
      </c>
      <c r="I563" t="s">
        <v>275</v>
      </c>
      <c r="J563" t="s">
        <v>5391</v>
      </c>
      <c r="K563" s="113">
        <v>46171.60732638889</v>
      </c>
      <c r="L563" s="113">
        <v>46175.629467592589</v>
      </c>
      <c r="M563" s="113">
        <v>46176.309236111112</v>
      </c>
      <c r="N563" s="113">
        <v>46176.350659722222</v>
      </c>
      <c r="O563" s="113"/>
      <c r="P563" s="113">
        <v>46176.350659722222</v>
      </c>
      <c r="Q563" t="s">
        <v>6407</v>
      </c>
      <c r="R563" t="s">
        <v>272</v>
      </c>
      <c r="S563" t="s">
        <v>175</v>
      </c>
      <c r="T563" t="s">
        <v>268</v>
      </c>
      <c r="U563" t="s">
        <v>5531</v>
      </c>
      <c r="V563"/>
      <c r="W563"/>
      <c r="X563" s="45" t="s">
        <v>5531</v>
      </c>
      <c r="Y563" s="45" t="s">
        <v>6758</v>
      </c>
    </row>
    <row r="564" spans="2:25" ht="15" customHeight="1">
      <c r="B564" s="45" t="s">
        <v>26</v>
      </c>
      <c r="C564" s="45" t="s">
        <v>44</v>
      </c>
      <c r="D564" s="45" t="s">
        <v>207</v>
      </c>
      <c r="E564" t="s">
        <v>6762</v>
      </c>
      <c r="F564" s="18" t="s">
        <v>312</v>
      </c>
      <c r="G564" s="211">
        <v>3</v>
      </c>
      <c r="H564" t="s">
        <v>6763</v>
      </c>
      <c r="I564" t="s">
        <v>271</v>
      </c>
      <c r="J564" t="s">
        <v>5391</v>
      </c>
      <c r="K564" s="113">
        <v>46175.582719907405</v>
      </c>
      <c r="L564" s="113">
        <v>46175.656238425923</v>
      </c>
      <c r="M564" s="113">
        <v>46176.308599537035</v>
      </c>
      <c r="N564" s="113">
        <v>46178.281689814816</v>
      </c>
      <c r="O564" s="113">
        <v>46176.348981481482</v>
      </c>
      <c r="P564" s="113">
        <v>46178.281689814816</v>
      </c>
      <c r="Q564" t="s">
        <v>6764</v>
      </c>
      <c r="R564" t="s">
        <v>272</v>
      </c>
      <c r="S564" t="s">
        <v>175</v>
      </c>
      <c r="T564" t="s">
        <v>268</v>
      </c>
      <c r="U564" t="s">
        <v>5531</v>
      </c>
      <c r="V564"/>
      <c r="W564"/>
      <c r="X564" s="45" t="s">
        <v>5531</v>
      </c>
      <c r="Y564" t="s">
        <v>6664</v>
      </c>
    </row>
    <row r="565" spans="2:25" ht="15" customHeight="1">
      <c r="B565" s="45" t="s">
        <v>26</v>
      </c>
      <c r="C565" s="45" t="s">
        <v>44</v>
      </c>
      <c r="D565" s="45" t="s">
        <v>207</v>
      </c>
      <c r="E565" t="s">
        <v>6765</v>
      </c>
      <c r="F565" s="18" t="s">
        <v>312</v>
      </c>
      <c r="G565" s="211">
        <v>4</v>
      </c>
      <c r="H565" t="s">
        <v>6766</v>
      </c>
      <c r="I565" t="s">
        <v>271</v>
      </c>
      <c r="J565" t="s">
        <v>5391</v>
      </c>
      <c r="K565" s="113">
        <v>46175.656550925924</v>
      </c>
      <c r="L565" s="113">
        <v>46183.776365740741</v>
      </c>
      <c r="M565" s="113">
        <v>46184.294606481482</v>
      </c>
      <c r="N565" s="113">
        <v>46191.447268518517</v>
      </c>
      <c r="O565" s="113">
        <v>46184.442210648151</v>
      </c>
      <c r="P565" s="113">
        <v>46191.447268518517</v>
      </c>
      <c r="Q565" s="45" t="s">
        <v>5692</v>
      </c>
      <c r="R565" t="s">
        <v>5693</v>
      </c>
      <c r="S565" t="s">
        <v>175</v>
      </c>
      <c r="T565" t="s">
        <v>268</v>
      </c>
      <c r="U565" t="s">
        <v>5531</v>
      </c>
      <c r="X565" s="45" t="s">
        <v>5531</v>
      </c>
      <c r="Y565" s="45" t="s">
        <v>5694</v>
      </c>
    </row>
    <row r="566" spans="2:25" ht="15" customHeight="1">
      <c r="B566" s="45" t="s">
        <v>26</v>
      </c>
      <c r="C566" s="45" t="s">
        <v>44</v>
      </c>
      <c r="D566" s="45" t="s">
        <v>207</v>
      </c>
      <c r="E566" t="s">
        <v>6767</v>
      </c>
      <c r="F566" s="18" t="s">
        <v>312</v>
      </c>
      <c r="G566" s="211">
        <v>3</v>
      </c>
      <c r="H566" t="s">
        <v>5967</v>
      </c>
      <c r="I566" t="s">
        <v>271</v>
      </c>
      <c r="J566" t="s">
        <v>5391</v>
      </c>
      <c r="K566" s="113">
        <v>46174.405914351853</v>
      </c>
      <c r="L566" s="113">
        <v>46174.412534722222</v>
      </c>
      <c r="M566" s="113">
        <v>46174.418541666666</v>
      </c>
      <c r="N566" s="113">
        <v>46176.326203703706</v>
      </c>
      <c r="O566" s="113"/>
      <c r="P566" s="113">
        <v>46176.326203703706</v>
      </c>
      <c r="Q566" s="45" t="s">
        <v>5692</v>
      </c>
      <c r="R566" t="s">
        <v>5693</v>
      </c>
      <c r="S566" t="s">
        <v>175</v>
      </c>
      <c r="T566" t="s">
        <v>268</v>
      </c>
      <c r="U566" t="s">
        <v>5531</v>
      </c>
      <c r="V566"/>
      <c r="W566"/>
      <c r="X566" s="45" t="s">
        <v>5531</v>
      </c>
      <c r="Y566" s="45" t="s">
        <v>5694</v>
      </c>
    </row>
    <row r="567" spans="2:25" ht="15" customHeight="1">
      <c r="B567" s="45" t="s">
        <v>26</v>
      </c>
      <c r="C567" s="45" t="s">
        <v>44</v>
      </c>
      <c r="D567" s="45" t="s">
        <v>208</v>
      </c>
      <c r="E567" t="s">
        <v>6768</v>
      </c>
      <c r="F567" s="18" t="s">
        <v>312</v>
      </c>
      <c r="G567" s="211" t="s">
        <v>208</v>
      </c>
      <c r="H567" t="s">
        <v>6769</v>
      </c>
      <c r="I567" t="s">
        <v>271</v>
      </c>
      <c r="J567" t="s">
        <v>5391</v>
      </c>
      <c r="K567" s="113">
        <v>46175.653020833335</v>
      </c>
      <c r="L567" s="113">
        <v>46175.653020833335</v>
      </c>
      <c r="M567" s="113">
        <v>46176.317523148151</v>
      </c>
      <c r="N567" s="113">
        <v>46181.429548611108</v>
      </c>
      <c r="O567" s="113">
        <v>46178.474131944444</v>
      </c>
      <c r="P567" s="113">
        <v>46181.429548611108</v>
      </c>
      <c r="Q567" t="s">
        <v>5686</v>
      </c>
      <c r="R567" t="s">
        <v>5693</v>
      </c>
      <c r="S567" t="s">
        <v>175</v>
      </c>
      <c r="T567" t="s">
        <v>268</v>
      </c>
      <c r="U567" t="s">
        <v>5531</v>
      </c>
      <c r="V567"/>
      <c r="W567"/>
      <c r="X567" s="45" t="s">
        <v>5531</v>
      </c>
      <c r="Y567" t="s">
        <v>6770</v>
      </c>
    </row>
    <row r="568" spans="2:25" ht="15" customHeight="1">
      <c r="B568" s="45" t="s">
        <v>26</v>
      </c>
      <c r="C568" s="45" t="s">
        <v>44</v>
      </c>
      <c r="D568" s="45" t="s">
        <v>208</v>
      </c>
      <c r="E568" t="s">
        <v>6771</v>
      </c>
      <c r="F568" s="18" t="s">
        <v>312</v>
      </c>
      <c r="G568" s="211" t="s">
        <v>208</v>
      </c>
      <c r="H568" t="s">
        <v>6580</v>
      </c>
      <c r="I568" t="s">
        <v>275</v>
      </c>
      <c r="J568" t="s">
        <v>5391</v>
      </c>
      <c r="K568" s="113">
        <v>46174.384155092594</v>
      </c>
      <c r="L568" s="113">
        <v>46174.384155092594</v>
      </c>
      <c r="M568" s="113">
        <v>46174.388599537036</v>
      </c>
      <c r="N568" s="113">
        <v>46178.555879629632</v>
      </c>
      <c r="O568" s="113"/>
      <c r="P568" s="113">
        <v>46178.555879629632</v>
      </c>
      <c r="Q568" t="s">
        <v>6772</v>
      </c>
      <c r="R568" t="s">
        <v>5693</v>
      </c>
      <c r="S568" t="s">
        <v>175</v>
      </c>
      <c r="T568" t="s">
        <v>268</v>
      </c>
      <c r="U568" t="s">
        <v>5531</v>
      </c>
      <c r="V568"/>
      <c r="W568"/>
      <c r="X568" s="45" t="s">
        <v>5531</v>
      </c>
      <c r="Y568" s="45" t="s">
        <v>6773</v>
      </c>
    </row>
    <row r="569" spans="2:25" ht="15" customHeight="1">
      <c r="B569" s="45" t="s">
        <v>26</v>
      </c>
      <c r="C569" s="45" t="s">
        <v>44</v>
      </c>
      <c r="D569" s="45" t="s">
        <v>208</v>
      </c>
      <c r="E569" t="s">
        <v>6774</v>
      </c>
      <c r="F569" s="18" t="s">
        <v>312</v>
      </c>
      <c r="G569" s="211" t="s">
        <v>208</v>
      </c>
      <c r="H569" t="s">
        <v>6775</v>
      </c>
      <c r="I569" t="s">
        <v>275</v>
      </c>
      <c r="J569" t="s">
        <v>5391</v>
      </c>
      <c r="K569" s="113">
        <v>46176.504861111112</v>
      </c>
      <c r="L569" s="113">
        <v>46176.504861111112</v>
      </c>
      <c r="M569" s="113">
        <v>46176.598043981481</v>
      </c>
      <c r="N569" s="113">
        <v>46178.570138888892</v>
      </c>
      <c r="O569" s="113"/>
      <c r="P569" s="113">
        <v>46178.570138888892</v>
      </c>
      <c r="Q569" t="s">
        <v>6772</v>
      </c>
      <c r="R569" t="s">
        <v>5693</v>
      </c>
      <c r="S569" t="s">
        <v>175</v>
      </c>
      <c r="T569" t="s">
        <v>268</v>
      </c>
      <c r="U569" t="s">
        <v>5531</v>
      </c>
      <c r="V569"/>
      <c r="W569"/>
      <c r="X569" s="45" t="s">
        <v>5531</v>
      </c>
      <c r="Y569" s="45" t="s">
        <v>6773</v>
      </c>
    </row>
    <row r="570" spans="2:25" ht="15" customHeight="1">
      <c r="B570" s="45" t="s">
        <v>26</v>
      </c>
      <c r="C570" s="45" t="s">
        <v>44</v>
      </c>
      <c r="D570" s="45" t="s">
        <v>208</v>
      </c>
      <c r="E570" t="s">
        <v>6776</v>
      </c>
      <c r="F570" s="18" t="s">
        <v>312</v>
      </c>
      <c r="G570" s="211" t="s">
        <v>208</v>
      </c>
      <c r="H570" t="s">
        <v>6622</v>
      </c>
      <c r="I570" t="s">
        <v>275</v>
      </c>
      <c r="J570" t="s">
        <v>5391</v>
      </c>
      <c r="K570" s="113">
        <v>46174.612511574072</v>
      </c>
      <c r="L570" s="113">
        <v>46176.457662037035</v>
      </c>
      <c r="M570" s="113">
        <v>46176.596805555557</v>
      </c>
      <c r="N570" s="113">
        <v>46178.476990740739</v>
      </c>
      <c r="O570" s="113"/>
      <c r="P570" s="113">
        <v>46178.476990740739</v>
      </c>
      <c r="Q570" t="s">
        <v>5705</v>
      </c>
      <c r="R570" t="s">
        <v>272</v>
      </c>
      <c r="S570" t="s">
        <v>175</v>
      </c>
      <c r="T570" t="s">
        <v>268</v>
      </c>
      <c r="U570" t="s">
        <v>5531</v>
      </c>
      <c r="V570"/>
      <c r="W570"/>
      <c r="X570" s="45" t="s">
        <v>5531</v>
      </c>
      <c r="Y570" s="45" t="s">
        <v>6758</v>
      </c>
    </row>
    <row r="571" spans="2:25" ht="15" customHeight="1">
      <c r="B571" s="45" t="s">
        <v>26</v>
      </c>
      <c r="C571" s="45" t="s">
        <v>44</v>
      </c>
      <c r="D571" s="45" t="s">
        <v>207</v>
      </c>
      <c r="E571" t="s">
        <v>5398</v>
      </c>
      <c r="F571" s="18" t="s">
        <v>312</v>
      </c>
      <c r="G571" s="211">
        <v>4</v>
      </c>
      <c r="H571" t="s">
        <v>1598</v>
      </c>
      <c r="I571" t="s">
        <v>275</v>
      </c>
      <c r="J571" t="s">
        <v>5391</v>
      </c>
      <c r="K571" s="113">
        <v>46172.846712962964</v>
      </c>
      <c r="L571" s="113">
        <v>46177.552627314813</v>
      </c>
      <c r="M571" s="113">
        <v>46178.254872685182</v>
      </c>
      <c r="N571" s="113">
        <v>46178.308217592596</v>
      </c>
      <c r="O571" s="113"/>
      <c r="P571" s="113">
        <v>46178.308217592596</v>
      </c>
      <c r="Q571" t="s">
        <v>6407</v>
      </c>
      <c r="R571" t="s">
        <v>272</v>
      </c>
      <c r="S571" t="s">
        <v>175</v>
      </c>
      <c r="T571" t="s">
        <v>268</v>
      </c>
      <c r="U571" t="s">
        <v>5531</v>
      </c>
      <c r="V571"/>
      <c r="W571"/>
      <c r="X571" s="45" t="s">
        <v>5531</v>
      </c>
      <c r="Y571" s="45" t="s">
        <v>6758</v>
      </c>
    </row>
    <row r="572" spans="2:25" ht="15" customHeight="1">
      <c r="B572" s="45" t="s">
        <v>26</v>
      </c>
      <c r="C572" s="45" t="s">
        <v>44</v>
      </c>
      <c r="D572" s="45" t="s">
        <v>207</v>
      </c>
      <c r="E572" t="s">
        <v>6777</v>
      </c>
      <c r="F572" s="18" t="s">
        <v>312</v>
      </c>
      <c r="G572" s="211">
        <v>3</v>
      </c>
      <c r="H572" t="s">
        <v>6778</v>
      </c>
      <c r="I572" t="s">
        <v>271</v>
      </c>
      <c r="J572" t="s">
        <v>5391</v>
      </c>
      <c r="K572" s="113">
        <v>46173.827893518515</v>
      </c>
      <c r="L572" s="113">
        <v>46177.21193287037</v>
      </c>
      <c r="M572" s="113">
        <v>46177.311041666668</v>
      </c>
      <c r="N572" s="113">
        <v>46178.293854166666</v>
      </c>
      <c r="O572" s="113"/>
      <c r="P572" s="113">
        <v>46178.293854166666</v>
      </c>
      <c r="Q572" t="s">
        <v>5534</v>
      </c>
      <c r="R572" t="s">
        <v>272</v>
      </c>
      <c r="S572" t="s">
        <v>302</v>
      </c>
      <c r="T572" t="s">
        <v>268</v>
      </c>
      <c r="U572" t="s">
        <v>5531</v>
      </c>
      <c r="V572"/>
      <c r="W572"/>
      <c r="X572" s="45" t="s">
        <v>5531</v>
      </c>
      <c r="Y572" t="s">
        <v>6779</v>
      </c>
    </row>
    <row r="573" spans="2:25" ht="15" customHeight="1">
      <c r="B573" s="45" t="s">
        <v>26</v>
      </c>
      <c r="C573" s="45" t="s">
        <v>44</v>
      </c>
      <c r="D573" s="45" t="s">
        <v>207</v>
      </c>
      <c r="E573" t="s">
        <v>6780</v>
      </c>
      <c r="F573" s="18" t="s">
        <v>312</v>
      </c>
      <c r="G573" s="211">
        <v>4</v>
      </c>
      <c r="H573" t="s">
        <v>6781</v>
      </c>
      <c r="I573" t="s">
        <v>275</v>
      </c>
      <c r="J573" t="s">
        <v>5391</v>
      </c>
      <c r="K573" s="113">
        <v>46177.050833333335</v>
      </c>
      <c r="L573" s="113">
        <v>46177.295624999999</v>
      </c>
      <c r="M573" s="113">
        <v>46177.315659722219</v>
      </c>
      <c r="N573" s="113">
        <v>46178.297268518516</v>
      </c>
      <c r="O573" s="113"/>
      <c r="P573" s="113">
        <v>46178.297268518516</v>
      </c>
      <c r="Q573" t="s">
        <v>6407</v>
      </c>
      <c r="R573" t="s">
        <v>272</v>
      </c>
      <c r="S573" t="s">
        <v>175</v>
      </c>
      <c r="T573" t="s">
        <v>268</v>
      </c>
      <c r="U573" t="s">
        <v>5531</v>
      </c>
      <c r="V573"/>
      <c r="W573"/>
      <c r="X573" s="45" t="s">
        <v>5531</v>
      </c>
      <c r="Y573" s="45" t="s">
        <v>6758</v>
      </c>
    </row>
    <row r="574" spans="2:25" ht="15" customHeight="1">
      <c r="B574" s="45" t="s">
        <v>26</v>
      </c>
      <c r="C574" s="45" t="s">
        <v>44</v>
      </c>
      <c r="D574" s="45" t="s">
        <v>207</v>
      </c>
      <c r="E574" t="s">
        <v>4931</v>
      </c>
      <c r="F574" s="18" t="s">
        <v>312</v>
      </c>
      <c r="G574" s="211">
        <v>4</v>
      </c>
      <c r="H574" t="s">
        <v>4932</v>
      </c>
      <c r="I574" t="s">
        <v>275</v>
      </c>
      <c r="J574" t="s">
        <v>5391</v>
      </c>
      <c r="K574" s="113">
        <v>46175.831030092595</v>
      </c>
      <c r="L574" s="113">
        <v>46177.563368055555</v>
      </c>
      <c r="M574" s="113">
        <v>46178.254479166666</v>
      </c>
      <c r="N574" s="113">
        <v>46178.304756944446</v>
      </c>
      <c r="O574" s="113"/>
      <c r="P574" s="113">
        <v>46178.304756944446</v>
      </c>
      <c r="Q574" t="s">
        <v>6407</v>
      </c>
      <c r="R574" t="s">
        <v>272</v>
      </c>
      <c r="S574" t="s">
        <v>175</v>
      </c>
      <c r="T574" t="s">
        <v>268</v>
      </c>
      <c r="U574" t="s">
        <v>5531</v>
      </c>
      <c r="V574"/>
      <c r="W574"/>
      <c r="X574" s="45" t="s">
        <v>5531</v>
      </c>
      <c r="Y574" s="45" t="s">
        <v>6758</v>
      </c>
    </row>
    <row r="575" spans="2:25" ht="15" customHeight="1">
      <c r="B575" s="45" t="s">
        <v>26</v>
      </c>
      <c r="C575" s="45" t="s">
        <v>44</v>
      </c>
      <c r="D575" s="45" t="s">
        <v>207</v>
      </c>
      <c r="E575" t="s">
        <v>6782</v>
      </c>
      <c r="F575" s="18" t="s">
        <v>312</v>
      </c>
      <c r="G575" s="211">
        <v>4</v>
      </c>
      <c r="H575" t="s">
        <v>6783</v>
      </c>
      <c r="I575" t="s">
        <v>271</v>
      </c>
      <c r="J575" t="s">
        <v>5391</v>
      </c>
      <c r="K575" s="113">
        <v>46176.490335648145</v>
      </c>
      <c r="L575" s="113">
        <v>46176.493356481478</v>
      </c>
      <c r="M575" s="113">
        <v>46176.594282407408</v>
      </c>
      <c r="N575" s="113">
        <v>46183.447175925925</v>
      </c>
      <c r="O575" s="113">
        <v>46181.355578703704</v>
      </c>
      <c r="P575" s="113">
        <v>46183.447175925925</v>
      </c>
      <c r="Q575" s="45" t="s">
        <v>5692</v>
      </c>
      <c r="R575" t="s">
        <v>5693</v>
      </c>
      <c r="S575" t="s">
        <v>175</v>
      </c>
      <c r="T575" t="s">
        <v>268</v>
      </c>
      <c r="U575" t="s">
        <v>5531</v>
      </c>
      <c r="V575"/>
      <c r="W575"/>
      <c r="X575" s="45" t="s">
        <v>5531</v>
      </c>
      <c r="Y575" s="45" t="s">
        <v>5694</v>
      </c>
    </row>
    <row r="576" spans="2:25" ht="15" customHeight="1">
      <c r="B576" s="45" t="s">
        <v>26</v>
      </c>
      <c r="C576" s="45" t="s">
        <v>44</v>
      </c>
      <c r="D576" s="45" t="s">
        <v>208</v>
      </c>
      <c r="E576" t="s">
        <v>6784</v>
      </c>
      <c r="F576" s="18" t="s">
        <v>312</v>
      </c>
      <c r="G576" s="211" t="s">
        <v>208</v>
      </c>
      <c r="H576" t="s">
        <v>6785</v>
      </c>
      <c r="I576" t="s">
        <v>275</v>
      </c>
      <c r="J576" t="s">
        <v>5391</v>
      </c>
      <c r="K576" s="113">
        <v>46177.4762962963</v>
      </c>
      <c r="L576" s="113">
        <v>46177.4762962963</v>
      </c>
      <c r="M576" s="113">
        <v>46178.272164351853</v>
      </c>
      <c r="N576" s="113">
        <v>46178.548043981478</v>
      </c>
      <c r="O576" s="113">
        <v>46178.462175925924</v>
      </c>
      <c r="P576" s="113">
        <v>46178.548043981478</v>
      </c>
      <c r="Q576" t="s">
        <v>6786</v>
      </c>
      <c r="R576" t="s">
        <v>272</v>
      </c>
      <c r="S576" t="s">
        <v>175</v>
      </c>
      <c r="T576" t="s">
        <v>268</v>
      </c>
      <c r="U576" t="s">
        <v>5531</v>
      </c>
      <c r="V576"/>
      <c r="W576"/>
      <c r="X576" s="45" t="s">
        <v>5531</v>
      </c>
      <c r="Y576" t="s">
        <v>6787</v>
      </c>
    </row>
    <row r="577" spans="2:36" ht="15" customHeight="1">
      <c r="B577" s="45" t="s">
        <v>26</v>
      </c>
      <c r="C577" s="45" t="s">
        <v>44</v>
      </c>
      <c r="D577" s="45" t="s">
        <v>208</v>
      </c>
      <c r="E577" t="s">
        <v>6788</v>
      </c>
      <c r="F577" s="18" t="s">
        <v>312</v>
      </c>
      <c r="G577" s="211" t="s">
        <v>208</v>
      </c>
      <c r="H577" t="s">
        <v>6785</v>
      </c>
      <c r="I577" t="s">
        <v>275</v>
      </c>
      <c r="J577" t="s">
        <v>5391</v>
      </c>
      <c r="K577" s="113">
        <v>46177.472407407404</v>
      </c>
      <c r="L577" s="113">
        <v>46177.62672453704</v>
      </c>
      <c r="M577" s="113">
        <v>46178.269918981481</v>
      </c>
      <c r="N577" s="113">
        <v>46178.547754629632</v>
      </c>
      <c r="O577" s="113">
        <v>46178.462546296294</v>
      </c>
      <c r="P577" s="113">
        <v>46178.547754629632</v>
      </c>
      <c r="Q577" t="s">
        <v>6786</v>
      </c>
      <c r="R577" t="s">
        <v>272</v>
      </c>
      <c r="S577" t="s">
        <v>175</v>
      </c>
      <c r="T577" t="s">
        <v>268</v>
      </c>
      <c r="U577" t="s">
        <v>5531</v>
      </c>
      <c r="V577"/>
      <c r="W577"/>
      <c r="X577" s="45" t="s">
        <v>5531</v>
      </c>
      <c r="Y577" t="s">
        <v>6787</v>
      </c>
    </row>
    <row r="578" spans="2:36" ht="15" customHeight="1">
      <c r="B578" s="45" t="s">
        <v>26</v>
      </c>
      <c r="C578" s="45" t="s">
        <v>44</v>
      </c>
      <c r="D578" s="45" t="s">
        <v>207</v>
      </c>
      <c r="E578" t="s">
        <v>6789</v>
      </c>
      <c r="F578" s="18" t="s">
        <v>312</v>
      </c>
      <c r="G578" s="211">
        <v>4</v>
      </c>
      <c r="H578" t="s">
        <v>6790</v>
      </c>
      <c r="I578" t="s">
        <v>271</v>
      </c>
      <c r="J578" t="s">
        <v>5391</v>
      </c>
      <c r="K578" s="113">
        <v>46178.561226851853</v>
      </c>
      <c r="L578" s="113">
        <v>46178.568194444444</v>
      </c>
      <c r="M578" s="113">
        <v>46178.575532407405</v>
      </c>
      <c r="N578" s="113">
        <v>46184.303483796299</v>
      </c>
      <c r="O578" s="113">
        <v>46181.264074074075</v>
      </c>
      <c r="P578" s="113">
        <v>46184.303483796299</v>
      </c>
      <c r="Q578" t="s">
        <v>5686</v>
      </c>
      <c r="R578" t="s">
        <v>272</v>
      </c>
      <c r="S578" t="s">
        <v>5699</v>
      </c>
      <c r="T578" t="s">
        <v>268</v>
      </c>
      <c r="U578" t="s">
        <v>5531</v>
      </c>
      <c r="X578" s="45" t="s">
        <v>5531</v>
      </c>
      <c r="Y578" s="45" t="s">
        <v>5713</v>
      </c>
    </row>
    <row r="579" spans="2:36" ht="15" customHeight="1">
      <c r="B579" s="45" t="s">
        <v>26</v>
      </c>
      <c r="C579" s="45" t="s">
        <v>44</v>
      </c>
      <c r="D579" s="45" t="s">
        <v>208</v>
      </c>
      <c r="E579" t="s">
        <v>6791</v>
      </c>
      <c r="F579" s="18" t="s">
        <v>312</v>
      </c>
      <c r="G579" s="211" t="s">
        <v>208</v>
      </c>
      <c r="H579" t="s">
        <v>6792</v>
      </c>
      <c r="I579" t="s">
        <v>271</v>
      </c>
      <c r="J579" t="s">
        <v>5391</v>
      </c>
      <c r="K579" s="113">
        <v>46181.440451388888</v>
      </c>
      <c r="L579" s="113">
        <v>46181.440289351849</v>
      </c>
      <c r="M579" s="113">
        <v>46181.455613425926</v>
      </c>
      <c r="N579" s="113">
        <v>46183.260474537034</v>
      </c>
      <c r="O579" s="113">
        <v>46181.525046296294</v>
      </c>
      <c r="P579" s="113">
        <v>46183.260474537034</v>
      </c>
      <c r="Q579" t="s">
        <v>5686</v>
      </c>
      <c r="R579" t="s">
        <v>5693</v>
      </c>
      <c r="S579" t="s">
        <v>175</v>
      </c>
      <c r="T579" t="s">
        <v>268</v>
      </c>
      <c r="U579" t="s">
        <v>5531</v>
      </c>
      <c r="V579"/>
      <c r="W579"/>
      <c r="X579" s="45" t="s">
        <v>5531</v>
      </c>
      <c r="Y579" t="s">
        <v>6770</v>
      </c>
    </row>
    <row r="580" spans="2:36" ht="15" customHeight="1">
      <c r="B580" s="45" t="s">
        <v>26</v>
      </c>
      <c r="C580" s="45" t="s">
        <v>44</v>
      </c>
      <c r="D580" s="45" t="s">
        <v>208</v>
      </c>
      <c r="E580" t="s">
        <v>6793</v>
      </c>
      <c r="F580" s="18" t="s">
        <v>312</v>
      </c>
      <c r="G580" s="211" t="s">
        <v>208</v>
      </c>
      <c r="H580" t="s">
        <v>6794</v>
      </c>
      <c r="I580" t="s">
        <v>271</v>
      </c>
      <c r="J580" t="s">
        <v>5391</v>
      </c>
      <c r="K580" s="113">
        <v>46181.411793981482</v>
      </c>
      <c r="L580" s="113">
        <v>46181.421435185184</v>
      </c>
      <c r="M580" s="113">
        <v>46181.438067129631</v>
      </c>
      <c r="N580" s="113">
        <v>46183.260706018518</v>
      </c>
      <c r="O580" s="113">
        <v>46181.494409722225</v>
      </c>
      <c r="P580" s="113">
        <v>46183.260706018518</v>
      </c>
      <c r="Q580" t="s">
        <v>6442</v>
      </c>
      <c r="R580" t="s">
        <v>272</v>
      </c>
      <c r="S580" t="s">
        <v>5699</v>
      </c>
      <c r="T580" t="s">
        <v>268</v>
      </c>
      <c r="U580" t="s">
        <v>5531</v>
      </c>
      <c r="V580"/>
      <c r="W580"/>
      <c r="X580" s="45" t="s">
        <v>5531</v>
      </c>
      <c r="Y580" t="s">
        <v>6795</v>
      </c>
    </row>
    <row r="581" spans="2:36" ht="15" customHeight="1">
      <c r="B581" s="45" t="s">
        <v>26</v>
      </c>
      <c r="C581" s="45" t="s">
        <v>44</v>
      </c>
      <c r="D581" s="45" t="s">
        <v>207</v>
      </c>
      <c r="E581" t="s">
        <v>5270</v>
      </c>
      <c r="F581" s="18" t="s">
        <v>312</v>
      </c>
      <c r="G581" s="211">
        <v>4</v>
      </c>
      <c r="H581" t="s">
        <v>1598</v>
      </c>
      <c r="I581" t="s">
        <v>275</v>
      </c>
      <c r="J581" t="s">
        <v>5391</v>
      </c>
      <c r="K581" s="113">
        <v>46180.284409722219</v>
      </c>
      <c r="L581" s="113">
        <v>46181.439432870371</v>
      </c>
      <c r="M581" s="113">
        <v>46181.515208333331</v>
      </c>
      <c r="N581" s="113">
        <v>46181.530798611115</v>
      </c>
      <c r="O581" s="113"/>
      <c r="P581" s="113">
        <v>46181.530798611115</v>
      </c>
      <c r="Q581" s="113" t="s">
        <v>6407</v>
      </c>
      <c r="R581" t="s">
        <v>272</v>
      </c>
      <c r="S581" t="s">
        <v>175</v>
      </c>
      <c r="T581" t="s">
        <v>268</v>
      </c>
      <c r="U581" t="s">
        <v>5531</v>
      </c>
      <c r="V581"/>
      <c r="W581"/>
      <c r="X581" s="45" t="s">
        <v>5531</v>
      </c>
      <c r="Y581" s="45" t="s">
        <v>6758</v>
      </c>
    </row>
    <row r="582" spans="2:36" ht="15" customHeight="1">
      <c r="B582" s="45" t="s">
        <v>26</v>
      </c>
      <c r="C582" s="45" t="s">
        <v>44</v>
      </c>
      <c r="D582" s="45" t="s">
        <v>207</v>
      </c>
      <c r="E582" t="s">
        <v>6796</v>
      </c>
      <c r="F582" s="18" t="s">
        <v>312</v>
      </c>
      <c r="G582" s="211">
        <v>4</v>
      </c>
      <c r="H582" t="s">
        <v>6797</v>
      </c>
      <c r="I582" t="s">
        <v>271</v>
      </c>
      <c r="J582" t="s">
        <v>5391</v>
      </c>
      <c r="K582" s="113">
        <v>46181.584398148145</v>
      </c>
      <c r="L582" s="113">
        <v>46181.589143518519</v>
      </c>
      <c r="M582" s="113">
        <v>46181.593078703707</v>
      </c>
      <c r="N582" s="113">
        <v>46184.304247685184</v>
      </c>
      <c r="O582" s="113">
        <v>46182.585439814815</v>
      </c>
      <c r="P582" s="113">
        <v>46184.304247685184</v>
      </c>
      <c r="Q582" s="113" t="s">
        <v>6798</v>
      </c>
      <c r="R582" t="s">
        <v>272</v>
      </c>
      <c r="S582" t="s">
        <v>175</v>
      </c>
      <c r="T582" s="45" t="s">
        <v>268</v>
      </c>
      <c r="U582" s="45" t="s">
        <v>5531</v>
      </c>
      <c r="V582"/>
      <c r="W582"/>
      <c r="X582" s="45" t="s">
        <v>5531</v>
      </c>
      <c r="Y582" t="s">
        <v>6799</v>
      </c>
    </row>
    <row r="583" spans="2:36" ht="15" customHeight="1">
      <c r="B583" s="45" t="s">
        <v>26</v>
      </c>
      <c r="C583" s="45" t="s">
        <v>44</v>
      </c>
      <c r="D583" s="45" t="s">
        <v>207</v>
      </c>
      <c r="E583" t="s">
        <v>6800</v>
      </c>
      <c r="F583" s="18" t="s">
        <v>312</v>
      </c>
      <c r="G583" s="211">
        <v>3</v>
      </c>
      <c r="H583" t="s">
        <v>6801</v>
      </c>
      <c r="I583" t="s">
        <v>275</v>
      </c>
      <c r="J583" t="s">
        <v>5391</v>
      </c>
      <c r="K583" s="113">
        <v>46181.433599537035</v>
      </c>
      <c r="L583" s="113">
        <v>46181.617222222223</v>
      </c>
      <c r="M583" s="113">
        <v>46181.64675925926</v>
      </c>
      <c r="N583" s="113">
        <v>46182.581944444442</v>
      </c>
      <c r="O583" s="113"/>
      <c r="P583" s="113">
        <v>46182.581944444442</v>
      </c>
      <c r="Q583" s="113" t="s">
        <v>5534</v>
      </c>
      <c r="R583" t="s">
        <v>272</v>
      </c>
      <c r="S583" t="s">
        <v>175</v>
      </c>
      <c r="T583" s="45" t="s">
        <v>268</v>
      </c>
      <c r="U583" s="45" t="s">
        <v>5531</v>
      </c>
      <c r="V583"/>
      <c r="W583"/>
      <c r="X583" s="45" t="s">
        <v>5531</v>
      </c>
      <c r="Y583" t="s">
        <v>6802</v>
      </c>
      <c r="AA583">
        <f t="shared" ref="AA583:AA590" si="78">Z583/9</f>
        <v>0</v>
      </c>
      <c r="AB583">
        <f t="shared" ref="AB583:AB592" ca="1" si="79">IF(NOT(OR(G583=1,G583=2)),MAX(0,_xlfn.IFS((NOT(ISBLANK(K583)))*(NOT(ISBLANK(N583))),((NETWORKDAYS(L583,N583,UKBankHolidays)-1)*(TIME(17,0,0)-TIME(8,0,0))+IF(NETWORKDAYS(N583,N583,UKBankHolidays),MEDIAN(MOD(N583,1),TIME(17,0,0),TIME(8,0,0)),TIME(17,0,0))-MEDIAN(NETWORKDAYS(L583,L583,UKBankHolidays)*MOD(L583,1),TIME(17,0,0),TIME(8,0,0)))-((NETWORKDAYS(O583,P583,UKBankHolidays)-1)*(TIME(17,0,0)-TIME(8,0,0))+IF(NETWORKDAYS(P583,P583,UKBankHolidays),MEDIAN(MOD(P583,1),TIME(17,0,0),TIME(8,0,0)),TIME(17,0,0))-MEDIAN(NETWORKDAYS(O583,O583,UKBankHolidays)*MOD(O583,1),TIME(17,0,0),TIME(8,0,0))),(NOT(ISBLANK(L583)))*(ISBLANK(N583))*(ISBLANK(O583)),((NETWORKDAYS(L583,NOW(),UKBankHolidays)-1)*(TIME(17,0,0)-TIME(8,0,0))+IF(NETWORKDAYS(NOW(),NOW(),UKBankHolidays),MEDIAN(MOD(NOW(),1),TIME(17,0,0),TIME(8,0,0)),TIME(17,0,0))-MEDIAN(NETWORKDAYS(L583,NOW(),UKBankHolidays)*MOD(L583,1),TIME(17,0,0),TIME(8,0,0)))-((NETWORKDAYS(O583,P583,UKBankHolidays)-1)*(TIME(17,0,0)-TIME(8,0,0))+IF(NETWORKDAYS(P583,P583,UKBankHolidays),MEDIAN(MOD(P583,1),TIME(17,0,0),TIME(8,0,0)),TIME(17,0,0))-MEDIAN(NETWORKDAYS(O583,O583,UKBankHolidays)*MOD(O583,1),TIME(17,0,0),TIME(8,0,0))),(NOT(ISBLANK(L583)))*(ISBLANK(N583))*(ISBLANK(P583))*(NOT(ISBLANK(O583))),((NETWORKDAYS(L583,O583,UKBankHolidays)-1)*(TIME(17,0,0)-TIME(8,0,0))+IF(NETWORKDAYS(O583,O583,UKBankHolidays),MEDIAN(MOD(O583,1),TIME(17,0,0),TIME(8,0,0)),TIME(17,0,0))-MEDIAN(NETWORKDAYS(K583,O583,UKBankHolidays)*MOD(L583,1),TIME(17,0,0),TIME(8,0,0))),ISBLANK(K583),"0")),IF(ISBLANK(N583),NOW()-L583,N583-L583))*24</f>
        <v>0</v>
      </c>
      <c r="AC583">
        <f t="shared" ref="AC583:AC592" ca="1" si="80">AB583/9</f>
        <v>0</v>
      </c>
      <c r="AD583" s="25">
        <f t="shared" ref="AD583:AD592" ca="1" si="81">MAX(0,
IF(NOT(OR(G583=1,G583=2)),
IF(M583&lt;&gt;"",
((NETWORKDAYS(L583,M583,UKBankHolidays)-1)*(TIME(17,0,0)-TIME(8,0,0))
+IF(NETWORKDAYS(M583,M583,UKBankHolidays),
MEDIAN(MOD(M583,1),TIME(17,0,0),TIME(8,0,0)),
TIME(17,0,0))
-MEDIAN(MOD(L583,1),TIME(17,0,0),TIME(8,0,0))),
((NETWORKDAYS(L583,NOW(),UKBankHolidays)-1)*(TIME(17,0,0)-TIME(8,0,0))
+IF(NETWORKDAYS(NOW(),NOW(),UKBankHolidays),
MEDIAN(MOD(NOW(),1),TIME(17,0,0),TIME(8,0,0)),
TIME(17,0,0))
-MEDIAN(MOD(L583,1),TIME(17,0,0),TIME(8,0,0)))),
IF(M583&lt;&gt;"",M583-L583,NOW()-L583))
)</f>
        <v>2.9537037036789116E-2</v>
      </c>
      <c r="AE583">
        <f t="shared" ref="AE583:AE592" ca="1" si="82">SUMIFS(AB:AB,E:E,E583)</f>
        <v>0</v>
      </c>
      <c r="AF583">
        <f t="shared" ref="AF583:AF592" ca="1" si="83">AE583/9</f>
        <v>0</v>
      </c>
      <c r="AG583">
        <f t="shared" ref="AG583:AG592" ca="1" si="84">AE583</f>
        <v>0</v>
      </c>
      <c r="AH583" s="31" t="str" cm="1">
        <f t="array" aca="1" ref="AH583" ca="1">IF((AD583) &lt; (INDEX(ResponseSLA[#All],(MATCH((G583),ResponseSLA[Priority],0))+1,3)),"YES","No")</f>
        <v>YES</v>
      </c>
      <c r="AI583" s="31" t="str">
        <f ca="1">_xlfn.IFNA(IF(AE583 &lt; (INDEX(SLATable[Minimum SLA],MATCH(G583,SLATable[Priority],0))*24),"YES","NO"),"")</f>
        <v>YES</v>
      </c>
      <c r="AJ583" t="str">
        <f ca="1">_xlfn.IFNA(IF(AE583 &lt; (INDEX(SLATable[Maximum SLA],MATCH(G583,SLATable[Priority],0))*24),"YES","NO"),"")</f>
        <v>YES</v>
      </c>
    </row>
    <row r="584" spans="2:36" ht="15" customHeight="1">
      <c r="B584" s="45" t="s">
        <v>26</v>
      </c>
      <c r="C584" s="45" t="s">
        <v>44</v>
      </c>
      <c r="D584" s="45" t="s">
        <v>208</v>
      </c>
      <c r="E584" t="s">
        <v>6803</v>
      </c>
      <c r="F584" s="18" t="s">
        <v>312</v>
      </c>
      <c r="G584" s="211" t="s">
        <v>208</v>
      </c>
      <c r="H584" t="s">
        <v>6804</v>
      </c>
      <c r="I584" t="s">
        <v>271</v>
      </c>
      <c r="J584" t="s">
        <v>5391</v>
      </c>
      <c r="K584" s="113">
        <v>46178.538391203707</v>
      </c>
      <c r="L584" s="113">
        <v>46181.485983796294</v>
      </c>
      <c r="M584" s="113">
        <v>46181.611157407409</v>
      </c>
      <c r="N584" s="113">
        <v>46190.436145833337</v>
      </c>
      <c r="O584" s="113">
        <v>46184.539722222224</v>
      </c>
      <c r="P584" s="113">
        <v>46190.436145833337</v>
      </c>
      <c r="Q584" s="113" t="s">
        <v>5686</v>
      </c>
      <c r="R584" t="s">
        <v>272</v>
      </c>
      <c r="S584" t="s">
        <v>175</v>
      </c>
      <c r="T584" s="45" t="s">
        <v>268</v>
      </c>
      <c r="U584" s="45" t="s">
        <v>5531</v>
      </c>
      <c r="V584"/>
      <c r="W584"/>
      <c r="X584" s="45" t="s">
        <v>5531</v>
      </c>
      <c r="Y584" t="s">
        <v>6770</v>
      </c>
      <c r="AA584">
        <f t="shared" si="78"/>
        <v>0</v>
      </c>
      <c r="AB584">
        <f t="shared" ca="1" si="79"/>
        <v>28.289722222310964</v>
      </c>
      <c r="AC584">
        <f t="shared" ca="1" si="80"/>
        <v>3.1433024691456626</v>
      </c>
      <c r="AD584" s="25">
        <f t="shared" ca="1" si="81"/>
        <v>0.125173611115315</v>
      </c>
      <c r="AE584">
        <f t="shared" ca="1" si="82"/>
        <v>28.289722222310964</v>
      </c>
      <c r="AF584">
        <f t="shared" ca="1" si="83"/>
        <v>3.1433024691456626</v>
      </c>
      <c r="AG584">
        <f t="shared" ca="1" si="84"/>
        <v>28.289722222310964</v>
      </c>
      <c r="AH584" s="31" t="str" cm="1">
        <f t="array" aca="1" ref="AH584" ca="1">IF((AD584) &lt; (INDEX(ResponseSLA[#All],(MATCH((G584),ResponseSLA[Priority],0))+1,3)),"YES","No")</f>
        <v>YES</v>
      </c>
      <c r="AI584" s="31" t="str">
        <f ca="1">_xlfn.IFNA(IF(AE584 &lt; (INDEX(SLATable[Minimum SLA],MATCH(G584,SLATable[Priority],0))*24),"YES","NO"),"")</f>
        <v>NO</v>
      </c>
      <c r="AJ584" t="str">
        <f ca="1">_xlfn.IFNA(IF(AE584 &lt; (INDEX(SLATable[Maximum SLA],MATCH(G584,SLATable[Priority],0))*24),"YES","NO"),"")</f>
        <v>NO</v>
      </c>
    </row>
    <row r="585" spans="2:36" ht="15" customHeight="1">
      <c r="B585" s="45" t="s">
        <v>26</v>
      </c>
      <c r="C585" s="45" t="s">
        <v>44</v>
      </c>
      <c r="D585" s="45" t="s">
        <v>208</v>
      </c>
      <c r="E585" t="s">
        <v>6805</v>
      </c>
      <c r="F585" s="18" t="s">
        <v>312</v>
      </c>
      <c r="G585" s="211" t="s">
        <v>208</v>
      </c>
      <c r="H585" t="s">
        <v>6806</v>
      </c>
      <c r="I585" t="s">
        <v>271</v>
      </c>
      <c r="J585" t="s">
        <v>5391</v>
      </c>
      <c r="K585" s="113">
        <v>46178.493935185186</v>
      </c>
      <c r="L585" s="113">
        <v>46181.632280092592</v>
      </c>
      <c r="M585" s="113">
        <v>46182.284675925926</v>
      </c>
      <c r="N585" s="113">
        <v>46188.280844907407</v>
      </c>
      <c r="O585" s="113">
        <v>46182.652453703704</v>
      </c>
      <c r="P585" s="113">
        <v>46188.280844907407</v>
      </c>
      <c r="Q585" s="113" t="s">
        <v>6807</v>
      </c>
      <c r="R585" t="s">
        <v>272</v>
      </c>
      <c r="S585" t="s">
        <v>175</v>
      </c>
      <c r="T585" s="45" t="s">
        <v>268</v>
      </c>
      <c r="U585" s="45" t="s">
        <v>5531</v>
      </c>
      <c r="V585"/>
      <c r="W585"/>
      <c r="X585" s="45" t="s">
        <v>5531</v>
      </c>
      <c r="Y585" t="s">
        <v>6664</v>
      </c>
      <c r="AA585">
        <f t="shared" si="78"/>
        <v>0</v>
      </c>
      <c r="AB585">
        <f t="shared" ca="1" si="79"/>
        <v>9.4841666666907258</v>
      </c>
      <c r="AC585">
        <f t="shared" ca="1" si="80"/>
        <v>1.0537962962989695</v>
      </c>
      <c r="AD585" s="25">
        <f t="shared" ca="1" si="81"/>
        <v>7.6053240741506101E-2</v>
      </c>
      <c r="AE585">
        <f t="shared" ca="1" si="82"/>
        <v>9.4841666666907258</v>
      </c>
      <c r="AF585">
        <f t="shared" ca="1" si="83"/>
        <v>1.0537962962989695</v>
      </c>
      <c r="AG585">
        <f t="shared" ca="1" si="84"/>
        <v>9.4841666666907258</v>
      </c>
      <c r="AH585" s="31" t="str" cm="1">
        <f t="array" aca="1" ref="AH585" ca="1">IF((AD585) &lt; (INDEX(ResponseSLA[#All],(MATCH((G585),ResponseSLA[Priority],0))+1,3)),"YES","No")</f>
        <v>YES</v>
      </c>
      <c r="AI585" s="31" t="str">
        <f ca="1">_xlfn.IFNA(IF(AE585 &lt; (INDEX(SLATable[Minimum SLA],MATCH(G585,SLATable[Priority],0))*24),"YES","NO"),"")</f>
        <v>YES</v>
      </c>
      <c r="AJ585" t="str">
        <f ca="1">_xlfn.IFNA(IF(AE585 &lt; (INDEX(SLATable[Maximum SLA],MATCH(G585,SLATable[Priority],0))*24),"YES","NO"),"")</f>
        <v>YES</v>
      </c>
    </row>
    <row r="586" spans="2:36" ht="15" customHeight="1">
      <c r="B586" s="45" t="s">
        <v>26</v>
      </c>
      <c r="C586" s="45" t="s">
        <v>44</v>
      </c>
      <c r="D586" s="45" t="s">
        <v>208</v>
      </c>
      <c r="E586" t="s">
        <v>6808</v>
      </c>
      <c r="F586" s="18" t="s">
        <v>312</v>
      </c>
      <c r="G586" s="211" t="s">
        <v>208</v>
      </c>
      <c r="H586" t="s">
        <v>6809</v>
      </c>
      <c r="I586" t="s">
        <v>271</v>
      </c>
      <c r="J586" t="s">
        <v>5391</v>
      </c>
      <c r="K586" s="113">
        <v>46182.756493055553</v>
      </c>
      <c r="L586" s="113">
        <v>46182.756493055553</v>
      </c>
      <c r="M586" s="113">
        <v>46183.264074074075</v>
      </c>
      <c r="N586" s="113">
        <v>46185.318090277775</v>
      </c>
      <c r="O586" s="113">
        <v>46183.371087962965</v>
      </c>
      <c r="P586" s="113">
        <v>46185.318090277775</v>
      </c>
      <c r="Q586" s="113" t="s">
        <v>6810</v>
      </c>
      <c r="R586" t="s">
        <v>272</v>
      </c>
      <c r="S586" t="s">
        <v>175</v>
      </c>
      <c r="T586" s="45" t="s">
        <v>268</v>
      </c>
      <c r="U586" s="45" t="s">
        <v>5531</v>
      </c>
      <c r="V586"/>
      <c r="W586"/>
      <c r="X586" s="45" t="s">
        <v>5531</v>
      </c>
      <c r="Y586" t="s">
        <v>6799</v>
      </c>
      <c r="AA586">
        <f t="shared" si="78"/>
        <v>0</v>
      </c>
      <c r="AB586">
        <f t="shared" ca="1" si="79"/>
        <v>0.90611111116595477</v>
      </c>
      <c r="AC586">
        <f t="shared" ca="1" si="80"/>
        <v>0.10067901235177275</v>
      </c>
      <c r="AD586" s="25">
        <f t="shared" ca="1" si="81"/>
        <v>0</v>
      </c>
      <c r="AE586">
        <f t="shared" ca="1" si="82"/>
        <v>0.90611111116595477</v>
      </c>
      <c r="AF586">
        <f t="shared" ca="1" si="83"/>
        <v>0.10067901235177275</v>
      </c>
      <c r="AG586">
        <f t="shared" ca="1" si="84"/>
        <v>0.90611111116595477</v>
      </c>
      <c r="AH586" s="31" t="str" cm="1">
        <f t="array" aca="1" ref="AH586" ca="1">IF((AD586) &lt; (INDEX(ResponseSLA[#All],(MATCH((G586),ResponseSLA[Priority],0))+1,3)),"YES","No")</f>
        <v>YES</v>
      </c>
      <c r="AI586" s="31" t="str">
        <f ca="1">_xlfn.IFNA(IF(AE586 &lt; (INDEX(SLATable[Minimum SLA],MATCH(G586,SLATable[Priority],0))*24),"YES","NO"),"")</f>
        <v>YES</v>
      </c>
      <c r="AJ586" t="str">
        <f ca="1">_xlfn.IFNA(IF(AE586 &lt; (INDEX(SLATable[Maximum SLA],MATCH(G586,SLATable[Priority],0))*24),"YES","NO"),"")</f>
        <v>YES</v>
      </c>
    </row>
    <row r="587" spans="2:36" ht="15" customHeight="1">
      <c r="B587" s="45" t="s">
        <v>26</v>
      </c>
      <c r="C587" s="45" t="s">
        <v>44</v>
      </c>
      <c r="D587" s="45" t="s">
        <v>208</v>
      </c>
      <c r="E587" t="s">
        <v>6811</v>
      </c>
      <c r="F587" s="18" t="s">
        <v>312</v>
      </c>
      <c r="G587" s="211" t="s">
        <v>208</v>
      </c>
      <c r="H587" t="s">
        <v>6812</v>
      </c>
      <c r="I587" t="s">
        <v>275</v>
      </c>
      <c r="J587" t="s">
        <v>5391</v>
      </c>
      <c r="K587" s="113">
        <v>46171.464236111111</v>
      </c>
      <c r="L587" s="113">
        <v>46181.549351851849</v>
      </c>
      <c r="M587" s="113">
        <v>46181.61241898148</v>
      </c>
      <c r="N587" s="113">
        <v>46184.620115740741</v>
      </c>
      <c r="O587" s="113">
        <v>46184.538402777776</v>
      </c>
      <c r="P587" s="113">
        <v>46184.620115740741</v>
      </c>
      <c r="Q587" s="113" t="s">
        <v>6772</v>
      </c>
      <c r="R587" t="s">
        <v>5693</v>
      </c>
      <c r="S587" t="s">
        <v>175</v>
      </c>
      <c r="T587" t="s">
        <v>268</v>
      </c>
      <c r="U587" t="s">
        <v>5531</v>
      </c>
      <c r="V587"/>
      <c r="W587"/>
      <c r="X587" s="45" t="s">
        <v>5531</v>
      </c>
      <c r="Y587" s="45" t="s">
        <v>6773</v>
      </c>
      <c r="AA587">
        <f t="shared" si="78"/>
        <v>0</v>
      </c>
      <c r="AB587" t="e">
        <f ca="1">IF(NOT(OR(G587=1,G587=2)),MAX(0,_xlfn.IFS((NOT(ISBLANK(K587)))*(NOT(ISBLANK(N587))),((NETWORKDAYS(L587,N587,UKBankHolidays)-1)*(TIME(17,0,0)-TIME(8,0,0))+IF(NETWORKDAYS(N587,N587,UKBankHolidays),MEDIAN(MOD(N587,1),TIME(17,0,0),TIME(8,0,0)),TIME(17,0,0))-MEDIAN(NETWORKDAYS(L587,L587,UKBankHolidays)*MOD(L587,1),TIME(17,0,0),TIME(8,0,0)))-((NETWORKDAYS(O587,#REF!,UKBankHolidays)-1)*(TIME(17,0,0)-TIME(8,0,0))+IF(NETWORKDAYS(#REF!,#REF!,UKBankHolidays),MEDIAN(MOD(#REF!,1),TIME(17,0,0),TIME(8,0,0)),TIME(17,0,0))-MEDIAN(NETWORKDAYS(O587,O587,UKBankHolidays)*MOD(O587,1),TIME(17,0,0),TIME(8,0,0))),(NOT(ISBLANK(L587)))*(ISBLANK(N587))*(ISBLANK(O587)),((NETWORKDAYS(L587,NOW(),UKBankHolidays)-1)*(TIME(17,0,0)-TIME(8,0,0))+IF(NETWORKDAYS(NOW(),NOW(),UKBankHolidays),MEDIAN(MOD(NOW(),1),TIME(17,0,0),TIME(8,0,0)),TIME(17,0,0))-MEDIAN(NETWORKDAYS(L587,NOW(),UKBankHolidays)*MOD(L587,1),TIME(17,0,0),TIME(8,0,0)))-((NETWORKDAYS(O587,#REF!,UKBankHolidays)-1)*(TIME(17,0,0)-TIME(8,0,0))+IF(NETWORKDAYS(#REF!,#REF!,UKBankHolidays),MEDIAN(MOD(#REF!,1),TIME(17,0,0),TIME(8,0,0)),TIME(17,0,0))-MEDIAN(NETWORKDAYS(O587,O587,UKBankHolidays)*MOD(O587,1),TIME(17,0,0),TIME(8,0,0))),(NOT(ISBLANK(L587)))*(ISBLANK(N587))*(ISBLANK(#REF!))*(NOT(ISBLANK(O587))),((NETWORKDAYS(L587,O587,UKBankHolidays)-1)*(TIME(17,0,0)-TIME(8,0,0))+IF(NETWORKDAYS(O587,O587,UKBankHolidays),MEDIAN(MOD(O587,1),TIME(17,0,0),TIME(8,0,0)),TIME(17,0,0))-MEDIAN(NETWORKDAYS(K587,O587,UKBankHolidays)*MOD(L587,1),TIME(17,0,0),TIME(8,0,0))),ISBLANK(K587),"0")),IF(ISBLANK(N587),NOW()-L587,N587-L587))*24</f>
        <v>#REF!</v>
      </c>
      <c r="AC587" t="e">
        <f t="shared" ca="1" si="80"/>
        <v>#REF!</v>
      </c>
      <c r="AD587" s="25">
        <f t="shared" ca="1" si="81"/>
        <v>6.306712963123573E-2</v>
      </c>
      <c r="AE587" t="e">
        <f t="shared" ca="1" si="82"/>
        <v>#REF!</v>
      </c>
      <c r="AF587" t="e">
        <f t="shared" ca="1" si="83"/>
        <v>#REF!</v>
      </c>
      <c r="AG587" t="e">
        <f t="shared" ca="1" si="84"/>
        <v>#REF!</v>
      </c>
      <c r="AH587" s="31" t="str" cm="1">
        <f t="array" aca="1" ref="AH587" ca="1">IF((AD587) &lt; (INDEX(ResponseSLA[#All],(MATCH((G587),ResponseSLA[Priority],0))+1,3)),"YES","No")</f>
        <v>YES</v>
      </c>
      <c r="AI587" s="31" t="e">
        <f ca="1">_xlfn.IFNA(IF(AE587 &lt; (INDEX(SLATable[Minimum SLA],MATCH(G587,SLATable[Priority],0))*24),"YES","NO"),"")</f>
        <v>#REF!</v>
      </c>
      <c r="AJ587" t="e">
        <f ca="1">_xlfn.IFNA(IF(AE587 &lt; (INDEX(SLATable[Maximum SLA],MATCH(G587,SLATable[Priority],0))*24),"YES","NO"),"")</f>
        <v>#REF!</v>
      </c>
    </row>
    <row r="588" spans="2:36" ht="15" customHeight="1">
      <c r="B588" s="45" t="s">
        <v>26</v>
      </c>
      <c r="C588" s="45" t="s">
        <v>44</v>
      </c>
      <c r="D588" s="45" t="s">
        <v>208</v>
      </c>
      <c r="E588" t="s">
        <v>6813</v>
      </c>
      <c r="F588" s="18" t="s">
        <v>312</v>
      </c>
      <c r="G588" s="211" t="s">
        <v>208</v>
      </c>
      <c r="H588" t="s">
        <v>6814</v>
      </c>
      <c r="I588" t="s">
        <v>275</v>
      </c>
      <c r="J588" t="s">
        <v>5391</v>
      </c>
      <c r="K588" s="113">
        <v>46181.592719907407</v>
      </c>
      <c r="L588" s="113">
        <v>46181.607673611114</v>
      </c>
      <c r="M588" s="113">
        <v>46181.613206018519</v>
      </c>
      <c r="N588" s="113">
        <v>46183.366875</v>
      </c>
      <c r="O588" s="113"/>
      <c r="P588" s="113">
        <v>46183.366875</v>
      </c>
      <c r="Q588" s="113" t="s">
        <v>6772</v>
      </c>
      <c r="R588" t="s">
        <v>5693</v>
      </c>
      <c r="S588" t="s">
        <v>175</v>
      </c>
      <c r="T588" t="s">
        <v>268</v>
      </c>
      <c r="U588" t="s">
        <v>5531</v>
      </c>
      <c r="V588"/>
      <c r="W588"/>
      <c r="X588" s="45" t="s">
        <v>5531</v>
      </c>
      <c r="Y588" s="45" t="s">
        <v>6773</v>
      </c>
      <c r="AA588">
        <f t="shared" si="78"/>
        <v>0</v>
      </c>
      <c r="AB588">
        <f t="shared" ca="1" si="79"/>
        <v>0</v>
      </c>
      <c r="AC588">
        <f t="shared" ca="1" si="80"/>
        <v>0</v>
      </c>
      <c r="AD588" s="25">
        <f t="shared" ca="1" si="81"/>
        <v>5.5324074055533856E-3</v>
      </c>
      <c r="AE588">
        <f t="shared" ca="1" si="82"/>
        <v>0</v>
      </c>
      <c r="AF588">
        <f t="shared" ca="1" si="83"/>
        <v>0</v>
      </c>
      <c r="AG588">
        <f t="shared" ca="1" si="84"/>
        <v>0</v>
      </c>
      <c r="AH588" s="31" t="str" cm="1">
        <f t="array" aca="1" ref="AH588" ca="1">IF((AD588) &lt; (INDEX(ResponseSLA[#All],(MATCH((G588),ResponseSLA[Priority],0))+1,3)),"YES","No")</f>
        <v>YES</v>
      </c>
      <c r="AI588" s="31" t="str">
        <f ca="1">_xlfn.IFNA(IF(AE588 &lt; (INDEX(SLATable[Minimum SLA],MATCH(G588,SLATable[Priority],0))*24),"YES","NO"),"")</f>
        <v>YES</v>
      </c>
      <c r="AJ588" t="str">
        <f ca="1">_xlfn.IFNA(IF(AE588 &lt; (INDEX(SLATable[Maximum SLA],MATCH(G588,SLATable[Priority],0))*24),"YES","NO"),"")</f>
        <v>YES</v>
      </c>
    </row>
    <row r="589" spans="2:36" ht="15" customHeight="1">
      <c r="B589" s="45" t="s">
        <v>26</v>
      </c>
      <c r="C589" s="45" t="s">
        <v>44</v>
      </c>
      <c r="D589" s="45" t="s">
        <v>207</v>
      </c>
      <c r="E589" t="s">
        <v>6815</v>
      </c>
      <c r="F589" s="18" t="s">
        <v>312</v>
      </c>
      <c r="G589" s="211">
        <v>4</v>
      </c>
      <c r="H589" t="s">
        <v>6090</v>
      </c>
      <c r="I589" t="s">
        <v>271</v>
      </c>
      <c r="J589" t="s">
        <v>5391</v>
      </c>
      <c r="K589" s="113">
        <v>46178.536840277775</v>
      </c>
      <c r="L589" s="113">
        <v>46178.543981481482</v>
      </c>
      <c r="M589" s="113">
        <v>46178.573622685188</v>
      </c>
      <c r="N589" s="113">
        <v>46183.44798611111</v>
      </c>
      <c r="O589" s="113">
        <v>46181.355474537035</v>
      </c>
      <c r="P589" s="113">
        <v>46183.44798611111</v>
      </c>
      <c r="Q589" s="113" t="s">
        <v>5692</v>
      </c>
      <c r="R589" t="s">
        <v>5693</v>
      </c>
      <c r="S589" t="s">
        <v>175</v>
      </c>
      <c r="T589" t="s">
        <v>268</v>
      </c>
      <c r="U589" t="s">
        <v>5531</v>
      </c>
      <c r="V589"/>
      <c r="W589"/>
      <c r="X589" s="45" t="s">
        <v>5531</v>
      </c>
      <c r="Y589" s="45" t="s">
        <v>5694</v>
      </c>
      <c r="AA589">
        <f t="shared" si="78"/>
        <v>0</v>
      </c>
      <c r="AB589">
        <f t="shared" ca="1" si="79"/>
        <v>4.4758333332720266</v>
      </c>
      <c r="AC589">
        <f t="shared" ca="1" si="80"/>
        <v>0.49731481480800294</v>
      </c>
      <c r="AD589" s="25">
        <f t="shared" ca="1" si="81"/>
        <v>2.9641203705978114E-2</v>
      </c>
      <c r="AE589">
        <f t="shared" ca="1" si="82"/>
        <v>4.4758333332720266</v>
      </c>
      <c r="AF589">
        <f t="shared" ca="1" si="83"/>
        <v>0.49731481480800294</v>
      </c>
      <c r="AG589">
        <f t="shared" ca="1" si="84"/>
        <v>4.4758333332720266</v>
      </c>
      <c r="AH589" s="31" t="str" cm="1">
        <f t="array" aca="1" ref="AH589" ca="1">IF((AD589) &lt; (INDEX(ResponseSLA[#All],(MATCH((G589),ResponseSLA[Priority],0))+1,3)),"YES","No")</f>
        <v>YES</v>
      </c>
      <c r="AI589" s="31" t="str">
        <f ca="1">_xlfn.IFNA(IF(AE589 &lt; (INDEX(SLATable[Minimum SLA],MATCH(G589,SLATable[Priority],0))*24),"YES","NO"),"")</f>
        <v>YES</v>
      </c>
      <c r="AJ589" t="str">
        <f ca="1">_xlfn.IFNA(IF(AE589 &lt; (INDEX(SLATable[Maximum SLA],MATCH(G589,SLATable[Priority],0))*24),"YES","NO"),"")</f>
        <v>YES</v>
      </c>
    </row>
    <row r="590" spans="2:36" ht="15" customHeight="1">
      <c r="B590" s="45" t="s">
        <v>26</v>
      </c>
      <c r="C590" s="45" t="s">
        <v>44</v>
      </c>
      <c r="D590" s="45" t="s">
        <v>207</v>
      </c>
      <c r="E590" t="s">
        <v>6816</v>
      </c>
      <c r="F590" s="18" t="s">
        <v>312</v>
      </c>
      <c r="G590" s="211">
        <v>4</v>
      </c>
      <c r="H590" t="s">
        <v>6817</v>
      </c>
      <c r="I590" t="s">
        <v>271</v>
      </c>
      <c r="J590" t="s">
        <v>5391</v>
      </c>
      <c r="K590" s="113">
        <v>46176.587951388887</v>
      </c>
      <c r="L590" s="113">
        <v>46176.591458333336</v>
      </c>
      <c r="M590" s="113">
        <v>46176.594699074078</v>
      </c>
      <c r="N590" s="113">
        <v>46183.447546296295</v>
      </c>
      <c r="O590" s="113">
        <v>46181.35564814815</v>
      </c>
      <c r="P590" s="113">
        <v>46183.447546296295</v>
      </c>
      <c r="Q590" s="113" t="s">
        <v>5692</v>
      </c>
      <c r="R590" t="s">
        <v>5693</v>
      </c>
      <c r="S590" t="s">
        <v>175</v>
      </c>
      <c r="T590" t="s">
        <v>268</v>
      </c>
      <c r="U590" t="s">
        <v>5531</v>
      </c>
      <c r="V590"/>
      <c r="W590"/>
      <c r="X590" s="45" t="s">
        <v>5531</v>
      </c>
      <c r="Y590" s="45" t="s">
        <v>5694</v>
      </c>
      <c r="AA590">
        <f t="shared" si="78"/>
        <v>0</v>
      </c>
      <c r="AB590">
        <f t="shared" ca="1" si="79"/>
        <v>21.340555555536412</v>
      </c>
      <c r="AC590">
        <f t="shared" ca="1" si="80"/>
        <v>2.3711728395040459</v>
      </c>
      <c r="AD590" s="25">
        <f t="shared" ca="1" si="81"/>
        <v>3.2407407416030765E-3</v>
      </c>
      <c r="AE590">
        <f t="shared" ca="1" si="82"/>
        <v>21.340555555536412</v>
      </c>
      <c r="AF590">
        <f t="shared" ca="1" si="83"/>
        <v>2.3711728395040459</v>
      </c>
      <c r="AG590">
        <f t="shared" ca="1" si="84"/>
        <v>21.340555555536412</v>
      </c>
      <c r="AH590" s="31" t="str" cm="1">
        <f t="array" aca="1" ref="AH590" ca="1">IF((AD590) &lt; (INDEX(ResponseSLA[#All],(MATCH((G590),ResponseSLA[Priority],0))+1,3)),"YES","No")</f>
        <v>YES</v>
      </c>
      <c r="AI590" s="31" t="str">
        <f ca="1">_xlfn.IFNA(IF(AE590 &lt; (INDEX(SLATable[Minimum SLA],MATCH(G590,SLATable[Priority],0))*24),"YES","NO"),"")</f>
        <v>YES</v>
      </c>
      <c r="AJ590" t="str">
        <f ca="1">_xlfn.IFNA(IF(AE590 &lt; (INDEX(SLATable[Maximum SLA],MATCH(G590,SLATable[Priority],0))*24),"YES","NO"),"")</f>
        <v>YES</v>
      </c>
    </row>
    <row r="591" spans="2:36" ht="15" customHeight="1">
      <c r="B591" s="45" t="s">
        <v>26</v>
      </c>
      <c r="C591" s="45" t="s">
        <v>44</v>
      </c>
      <c r="D591" s="45" t="s">
        <v>207</v>
      </c>
      <c r="E591" t="s">
        <v>6818</v>
      </c>
      <c r="F591" s="18" t="s">
        <v>312</v>
      </c>
      <c r="G591" s="211">
        <v>3</v>
      </c>
      <c r="H591" t="s">
        <v>6819</v>
      </c>
      <c r="I591" t="s">
        <v>275</v>
      </c>
      <c r="J591" t="s">
        <v>5391</v>
      </c>
      <c r="K591" s="113">
        <v>46182.494189814817</v>
      </c>
      <c r="L591" s="113">
        <v>46184.444502314815</v>
      </c>
      <c r="M591" s="113">
        <v>46184.453599537039</v>
      </c>
      <c r="N591" s="113">
        <v>46184.49291666667</v>
      </c>
      <c r="O591" s="113"/>
      <c r="P591" s="113">
        <v>46184.49291666667</v>
      </c>
      <c r="Q591" s="113" t="s">
        <v>6748</v>
      </c>
      <c r="R591" t="s">
        <v>272</v>
      </c>
      <c r="S591" t="s">
        <v>175</v>
      </c>
      <c r="T591" s="45" t="s">
        <v>268</v>
      </c>
      <c r="U591" s="45" t="s">
        <v>5531</v>
      </c>
      <c r="V591"/>
      <c r="W591"/>
      <c r="X591" s="45" t="s">
        <v>5531</v>
      </c>
      <c r="Y591" t="s">
        <v>6820</v>
      </c>
      <c r="AB591">
        <f t="shared" ca="1" si="79"/>
        <v>0</v>
      </c>
      <c r="AC591">
        <f t="shared" ca="1" si="80"/>
        <v>0</v>
      </c>
      <c r="AD591" s="25">
        <f t="shared" ca="1" si="81"/>
        <v>9.0972222242271528E-3</v>
      </c>
      <c r="AE591">
        <f t="shared" ca="1" si="82"/>
        <v>0</v>
      </c>
      <c r="AF591">
        <f t="shared" ca="1" si="83"/>
        <v>0</v>
      </c>
      <c r="AG591">
        <f t="shared" ca="1" si="84"/>
        <v>0</v>
      </c>
      <c r="AH591" s="31" t="str" cm="1">
        <f t="array" aca="1" ref="AH591" ca="1">IF((AD591) &lt; (INDEX(ResponseSLA[#All],(MATCH((G591),ResponseSLA[Priority],0))+1,3)),"YES","No")</f>
        <v>YES</v>
      </c>
      <c r="AI591" s="31" t="str">
        <f ca="1">_xlfn.IFNA(IF(AE591 &lt; (INDEX(SLATable[Minimum SLA],MATCH(G591,SLATable[Priority],0))*24),"YES","NO"),"")</f>
        <v>YES</v>
      </c>
      <c r="AJ591" t="str">
        <f ca="1">_xlfn.IFNA(IF(AE591 &lt; (INDEX(SLATable[Maximum SLA],MATCH(G591,SLATable[Priority],0))*24),"YES","NO"),"")</f>
        <v>YES</v>
      </c>
    </row>
    <row r="592" spans="2:36" ht="15" customHeight="1">
      <c r="B592" s="45" t="s">
        <v>26</v>
      </c>
      <c r="C592" s="45" t="s">
        <v>44</v>
      </c>
      <c r="D592" s="45" t="s">
        <v>207</v>
      </c>
      <c r="E592" t="s">
        <v>6821</v>
      </c>
      <c r="F592" s="18" t="s">
        <v>312</v>
      </c>
      <c r="G592" s="211">
        <v>4</v>
      </c>
      <c r="H592" t="s">
        <v>6822</v>
      </c>
      <c r="I592" t="s">
        <v>275</v>
      </c>
      <c r="J592" t="s">
        <v>5391</v>
      </c>
      <c r="K592" s="113">
        <v>46182.938043981485</v>
      </c>
      <c r="L592" s="113">
        <v>46183.522013888891</v>
      </c>
      <c r="M592" s="113">
        <v>46183.538738425923</v>
      </c>
      <c r="N592" s="113">
        <v>46184.311157407406</v>
      </c>
      <c r="O592" s="113"/>
      <c r="P592" s="113">
        <v>46184.311157407406</v>
      </c>
      <c r="Q592" t="s">
        <v>5534</v>
      </c>
      <c r="R592" t="s">
        <v>272</v>
      </c>
      <c r="S592" t="s">
        <v>175</v>
      </c>
      <c r="T592" s="45" t="s">
        <v>268</v>
      </c>
      <c r="U592" s="45" t="s">
        <v>5531</v>
      </c>
      <c r="V592"/>
      <c r="W592"/>
      <c r="X592" s="45" t="s">
        <v>5531</v>
      </c>
      <c r="Y592" t="s">
        <v>6823</v>
      </c>
      <c r="AB592">
        <f t="shared" ca="1" si="79"/>
        <v>0</v>
      </c>
      <c r="AC592">
        <f t="shared" ca="1" si="80"/>
        <v>0</v>
      </c>
      <c r="AD592" s="25">
        <f t="shared" ca="1" si="81"/>
        <v>1.6724537032132503E-2</v>
      </c>
      <c r="AE592">
        <f t="shared" ca="1" si="82"/>
        <v>0</v>
      </c>
      <c r="AF592">
        <f t="shared" ca="1" si="83"/>
        <v>0</v>
      </c>
      <c r="AG592">
        <f t="shared" ca="1" si="84"/>
        <v>0</v>
      </c>
      <c r="AH592" s="31" t="str" cm="1">
        <f t="array" aca="1" ref="AH592" ca="1">IF((AD592) &lt; (INDEX(ResponseSLA[#All],(MATCH((G592),ResponseSLA[Priority],0))+1,3)),"YES","No")</f>
        <v>YES</v>
      </c>
      <c r="AI592" s="31" t="str">
        <f ca="1">_xlfn.IFNA(IF(AE592 &lt; (INDEX(SLATable[Minimum SLA],MATCH(G592,SLATable[Priority],0))*24),"YES","NO"),"")</f>
        <v>YES</v>
      </c>
      <c r="AJ592" t="str">
        <f ca="1">_xlfn.IFNA(IF(AE592 &lt; (INDEX(SLATable[Maximum SLA],MATCH(G592,SLATable[Priority],0))*24),"YES","NO"),"")</f>
        <v>YES</v>
      </c>
    </row>
    <row r="593" spans="2:25" ht="15" customHeight="1">
      <c r="B593" s="45" t="s">
        <v>26</v>
      </c>
      <c r="C593" s="45" t="s">
        <v>44</v>
      </c>
      <c r="D593" s="45" t="s">
        <v>207</v>
      </c>
      <c r="E593" t="s">
        <v>5143</v>
      </c>
      <c r="F593" s="18" t="s">
        <v>312</v>
      </c>
      <c r="G593" s="211">
        <v>4</v>
      </c>
      <c r="H593" t="s">
        <v>5144</v>
      </c>
      <c r="I593" t="s">
        <v>275</v>
      </c>
      <c r="J593" t="s">
        <v>5391</v>
      </c>
      <c r="K593" s="113">
        <v>46182.905243055553</v>
      </c>
      <c r="L593" s="113">
        <v>46183.738587962966</v>
      </c>
      <c r="M593" s="113">
        <v>46184.294340277775</v>
      </c>
      <c r="N593" s="113">
        <v>46184.30736111111</v>
      </c>
      <c r="O593" s="113"/>
      <c r="P593" s="113">
        <v>46184.30736111111</v>
      </c>
      <c r="Q593" s="113" t="s">
        <v>6407</v>
      </c>
      <c r="R593" t="s">
        <v>272</v>
      </c>
      <c r="S593" t="s">
        <v>175</v>
      </c>
      <c r="T593" t="s">
        <v>268</v>
      </c>
      <c r="U593" t="s">
        <v>5531</v>
      </c>
      <c r="V593"/>
      <c r="W593"/>
      <c r="X593" s="45" t="s">
        <v>5531</v>
      </c>
      <c r="Y593" s="45" t="s">
        <v>6758</v>
      </c>
    </row>
    <row r="594" spans="2:25" ht="15" customHeight="1">
      <c r="B594" s="45" t="s">
        <v>26</v>
      </c>
      <c r="C594" s="45" t="s">
        <v>44</v>
      </c>
      <c r="D594" s="45" t="s">
        <v>207</v>
      </c>
      <c r="E594" t="s">
        <v>6824</v>
      </c>
      <c r="F594" s="18" t="s">
        <v>312</v>
      </c>
      <c r="G594" s="211">
        <v>4</v>
      </c>
      <c r="H594" t="s">
        <v>6825</v>
      </c>
      <c r="I594" t="s">
        <v>271</v>
      </c>
      <c r="J594" t="s">
        <v>5391</v>
      </c>
      <c r="K594" s="113">
        <v>46183.641655092593</v>
      </c>
      <c r="L594" s="113">
        <v>46183.666666666664</v>
      </c>
      <c r="M594" s="113">
        <v>46184.293900462966</v>
      </c>
      <c r="N594" s="113">
        <v>46188.268171296295</v>
      </c>
      <c r="O594" s="113">
        <v>46184.445486111108</v>
      </c>
      <c r="P594" s="113">
        <v>46188.268171296295</v>
      </c>
      <c r="Q594" t="s">
        <v>5686</v>
      </c>
      <c r="R594" t="s">
        <v>272</v>
      </c>
      <c r="S594" t="s">
        <v>5699</v>
      </c>
      <c r="T594" t="s">
        <v>268</v>
      </c>
      <c r="U594" t="s">
        <v>5531</v>
      </c>
      <c r="X594" s="45" t="s">
        <v>5531</v>
      </c>
      <c r="Y594" s="45" t="s">
        <v>5713</v>
      </c>
    </row>
    <row r="595" spans="2:25" ht="15" customHeight="1">
      <c r="B595" s="45" t="s">
        <v>26</v>
      </c>
      <c r="C595" s="45" t="s">
        <v>44</v>
      </c>
      <c r="D595" s="45" t="s">
        <v>207</v>
      </c>
      <c r="E595" t="s">
        <v>6826</v>
      </c>
      <c r="F595" s="18" t="s">
        <v>312</v>
      </c>
      <c r="G595" s="211">
        <v>3</v>
      </c>
      <c r="H595" t="s">
        <v>6827</v>
      </c>
      <c r="I595" t="s">
        <v>271</v>
      </c>
      <c r="J595" t="s">
        <v>5391</v>
      </c>
      <c r="K595" s="113">
        <v>46184.385868055557</v>
      </c>
      <c r="L595" s="113">
        <v>46185.504155092596</v>
      </c>
      <c r="M595" s="113">
        <v>46185.529386574075</v>
      </c>
      <c r="N595" s="113">
        <v>46190.35255787037</v>
      </c>
      <c r="O595" s="113">
        <v>46188.270590277774</v>
      </c>
      <c r="P595" s="113">
        <v>46190.35255787037</v>
      </c>
      <c r="Q595" t="s">
        <v>5686</v>
      </c>
      <c r="R595" t="s">
        <v>272</v>
      </c>
      <c r="S595" t="s">
        <v>5699</v>
      </c>
      <c r="T595" s="45" t="s">
        <v>268</v>
      </c>
      <c r="U595" s="45" t="s">
        <v>5531</v>
      </c>
      <c r="V595"/>
      <c r="W595"/>
      <c r="X595" s="45" t="s">
        <v>5531</v>
      </c>
      <c r="Y595" t="s">
        <v>6828</v>
      </c>
    </row>
    <row r="596" spans="2:25" ht="15" customHeight="1">
      <c r="B596" s="45" t="s">
        <v>26</v>
      </c>
      <c r="C596" s="45" t="s">
        <v>44</v>
      </c>
      <c r="D596" s="45" t="s">
        <v>207</v>
      </c>
      <c r="E596" t="s">
        <v>6829</v>
      </c>
      <c r="F596" s="18" t="s">
        <v>312</v>
      </c>
      <c r="G596" s="211">
        <v>4</v>
      </c>
      <c r="H596" t="s">
        <v>6830</v>
      </c>
      <c r="I596" t="s">
        <v>271</v>
      </c>
      <c r="J596" t="s">
        <v>5391</v>
      </c>
      <c r="K596" s="113">
        <v>46183.645428240743</v>
      </c>
      <c r="L596" s="113">
        <v>46184.698460648149</v>
      </c>
      <c r="M596" s="113">
        <v>46185.293564814812</v>
      </c>
      <c r="N596" s="113">
        <v>46189.339456018519</v>
      </c>
      <c r="O596" s="113">
        <v>46185.316365740742</v>
      </c>
      <c r="P596" s="113">
        <v>46189.339456018519</v>
      </c>
      <c r="Q596" t="s">
        <v>5686</v>
      </c>
      <c r="R596" t="s">
        <v>272</v>
      </c>
      <c r="S596" t="s">
        <v>5699</v>
      </c>
      <c r="T596" s="45" t="s">
        <v>268</v>
      </c>
      <c r="U596" s="45" t="s">
        <v>5531</v>
      </c>
      <c r="V596"/>
      <c r="W596"/>
      <c r="X596" s="45" t="s">
        <v>5531</v>
      </c>
      <c r="Y596" t="s">
        <v>6831</v>
      </c>
    </row>
    <row r="597" spans="2:25" ht="15" customHeight="1">
      <c r="B597" s="45" t="s">
        <v>26</v>
      </c>
      <c r="C597" s="45" t="s">
        <v>44</v>
      </c>
      <c r="D597" s="45" t="s">
        <v>208</v>
      </c>
      <c r="E597" t="s">
        <v>6832</v>
      </c>
      <c r="F597" s="18" t="s">
        <v>312</v>
      </c>
      <c r="G597" s="211" t="s">
        <v>208</v>
      </c>
      <c r="H597" t="s">
        <v>6376</v>
      </c>
      <c r="I597" t="s">
        <v>271</v>
      </c>
      <c r="J597" t="s">
        <v>5391</v>
      </c>
      <c r="K597" s="113">
        <v>46184.7344212963</v>
      </c>
      <c r="L597" s="113">
        <v>46184.7344212963</v>
      </c>
      <c r="M597" s="113">
        <v>46185.295046296298</v>
      </c>
      <c r="N597" s="113">
        <v>46185.472719907404</v>
      </c>
      <c r="O597" s="113">
        <v>46185.325439814813</v>
      </c>
      <c r="P597" s="113">
        <v>46185.472719907404</v>
      </c>
      <c r="Q597" t="s">
        <v>6833</v>
      </c>
      <c r="R597" t="s">
        <v>272</v>
      </c>
      <c r="S597" t="s">
        <v>175</v>
      </c>
      <c r="T597" s="45" t="s">
        <v>268</v>
      </c>
      <c r="U597" s="45" t="s">
        <v>5531</v>
      </c>
      <c r="V597"/>
      <c r="W597"/>
      <c r="X597" s="45" t="s">
        <v>5531</v>
      </c>
      <c r="Y597" t="s">
        <v>6834</v>
      </c>
    </row>
    <row r="598" spans="2:25" ht="15" customHeight="1">
      <c r="B598" s="45" t="s">
        <v>26</v>
      </c>
      <c r="C598" s="45" t="s">
        <v>44</v>
      </c>
      <c r="D598" s="45" t="s">
        <v>208</v>
      </c>
      <c r="E598" t="s">
        <v>6835</v>
      </c>
      <c r="F598" s="18" t="s">
        <v>312</v>
      </c>
      <c r="G598" s="211" t="s">
        <v>208</v>
      </c>
      <c r="H598" t="s">
        <v>6836</v>
      </c>
      <c r="I598" t="s">
        <v>275</v>
      </c>
      <c r="J598" t="s">
        <v>5391</v>
      </c>
      <c r="K598" s="113">
        <v>46184.499201388891</v>
      </c>
      <c r="L598" s="113">
        <v>46188.402002314811</v>
      </c>
      <c r="M598" s="113">
        <v>46188.403483796297</v>
      </c>
      <c r="N598" s="113">
        <v>46188.410914351851</v>
      </c>
      <c r="O598" s="113"/>
      <c r="P598" s="113">
        <v>46188.410914351851</v>
      </c>
      <c r="Q598" s="113" t="s">
        <v>6772</v>
      </c>
      <c r="R598" t="s">
        <v>5693</v>
      </c>
      <c r="S598" t="s">
        <v>175</v>
      </c>
      <c r="T598" t="s">
        <v>268</v>
      </c>
      <c r="U598" t="s">
        <v>5531</v>
      </c>
      <c r="V598"/>
      <c r="W598"/>
      <c r="X598" s="45" t="s">
        <v>5531</v>
      </c>
      <c r="Y598" s="45" t="s">
        <v>6773</v>
      </c>
    </row>
    <row r="599" spans="2:25" ht="15" customHeight="1">
      <c r="B599" s="45" t="s">
        <v>26</v>
      </c>
      <c r="C599" s="45" t="s">
        <v>44</v>
      </c>
      <c r="D599" s="45" t="s">
        <v>208</v>
      </c>
      <c r="E599" t="s">
        <v>6837</v>
      </c>
      <c r="F599" s="18" t="s">
        <v>312</v>
      </c>
      <c r="G599" s="211" t="s">
        <v>208</v>
      </c>
      <c r="H599" t="s">
        <v>6838</v>
      </c>
      <c r="I599" t="s">
        <v>271</v>
      </c>
      <c r="J599" t="s">
        <v>5391</v>
      </c>
      <c r="K599" s="113">
        <v>46188.35491898148</v>
      </c>
      <c r="L599" s="113">
        <v>46188.35491898148</v>
      </c>
      <c r="M599" s="113">
        <v>46188.355879629627</v>
      </c>
      <c r="N599" s="113">
        <v>46192.347442129627</v>
      </c>
      <c r="O599" s="113"/>
      <c r="P599" s="113">
        <v>46192.347442129627</v>
      </c>
      <c r="Q599"/>
      <c r="R599"/>
      <c r="S599"/>
      <c r="T599" s="45" t="s">
        <v>268</v>
      </c>
      <c r="U599" s="45" t="s">
        <v>5531</v>
      </c>
      <c r="V599"/>
      <c r="W599"/>
      <c r="X599" s="45" t="s">
        <v>5531</v>
      </c>
      <c r="Y599"/>
    </row>
    <row r="600" spans="2:25" ht="15" customHeight="1">
      <c r="B600" s="45" t="s">
        <v>26</v>
      </c>
      <c r="C600" s="45" t="s">
        <v>44</v>
      </c>
      <c r="D600" s="45" t="s">
        <v>207</v>
      </c>
      <c r="E600" s="45" t="s">
        <v>6839</v>
      </c>
      <c r="F600" s="45" t="s">
        <v>312</v>
      </c>
      <c r="G600" s="45">
        <v>3</v>
      </c>
      <c r="H600" s="45" t="s">
        <v>6840</v>
      </c>
      <c r="I600" s="45" t="s">
        <v>275</v>
      </c>
      <c r="J600" s="45" t="s">
        <v>5378</v>
      </c>
      <c r="K600" s="47">
        <v>46177.74596064815</v>
      </c>
      <c r="L600" s="47">
        <v>46189.658449074072</v>
      </c>
      <c r="M600" s="147">
        <v>46189.658449074072</v>
      </c>
      <c r="N600" s="47">
        <v>46190.530069444445</v>
      </c>
      <c r="Q600" s="45" t="s">
        <v>6748</v>
      </c>
      <c r="R600" s="45" t="s">
        <v>272</v>
      </c>
      <c r="S600" s="45" t="s">
        <v>175</v>
      </c>
      <c r="T600" s="45" t="s">
        <v>268</v>
      </c>
      <c r="U600" s="45" t="s">
        <v>5531</v>
      </c>
      <c r="X600" s="45" t="s">
        <v>5531</v>
      </c>
      <c r="Y600" s="45" t="s">
        <v>6841</v>
      </c>
    </row>
    <row r="601" spans="2:25" ht="15" customHeight="1">
      <c r="B601" s="45" t="s">
        <v>26</v>
      </c>
      <c r="C601" s="45" t="s">
        <v>44</v>
      </c>
      <c r="D601" s="45" t="s">
        <v>207</v>
      </c>
      <c r="E601" s="45" t="s">
        <v>6842</v>
      </c>
      <c r="F601" s="45" t="s">
        <v>312</v>
      </c>
      <c r="G601" s="45">
        <v>3</v>
      </c>
      <c r="H601" s="45" t="s">
        <v>6843</v>
      </c>
      <c r="I601" s="45" t="s">
        <v>271</v>
      </c>
      <c r="J601" s="45" t="s">
        <v>5378</v>
      </c>
      <c r="K601" s="47">
        <v>46177.809224537035</v>
      </c>
      <c r="L601" s="47">
        <v>46177.809224537035</v>
      </c>
      <c r="M601" s="47">
        <v>46177.848090277781</v>
      </c>
      <c r="N601" s="47">
        <v>46178.48300925926</v>
      </c>
      <c r="Q601" s="45" t="s">
        <v>44</v>
      </c>
      <c r="R601" s="45" t="s">
        <v>272</v>
      </c>
      <c r="S601" s="45" t="s">
        <v>175</v>
      </c>
      <c r="T601" s="45" t="s">
        <v>268</v>
      </c>
      <c r="U601" s="45" t="s">
        <v>5531</v>
      </c>
      <c r="X601" s="45" t="s">
        <v>5531</v>
      </c>
      <c r="Y601" s="45" t="s">
        <v>6844</v>
      </c>
    </row>
    <row r="602" spans="2:25" ht="15" customHeight="1">
      <c r="B602" s="45" t="s">
        <v>26</v>
      </c>
      <c r="C602" s="45" t="s">
        <v>44</v>
      </c>
      <c r="D602" s="45" t="s">
        <v>208</v>
      </c>
      <c r="E602" s="45" t="s">
        <v>6845</v>
      </c>
      <c r="F602" s="45" t="s">
        <v>312</v>
      </c>
      <c r="G602" s="45" t="s">
        <v>208</v>
      </c>
      <c r="H602" s="45" t="s">
        <v>6846</v>
      </c>
      <c r="I602" s="45" t="s">
        <v>275</v>
      </c>
      <c r="J602" s="45" t="s">
        <v>5378</v>
      </c>
      <c r="K602" s="47">
        <v>46186.930578703701</v>
      </c>
      <c r="L602" s="47">
        <v>46186.930578703701</v>
      </c>
      <c r="M602" s="47">
        <v>46187.490277777775</v>
      </c>
      <c r="N602" s="47">
        <v>46189.931747685187</v>
      </c>
      <c r="Q602" s="45" t="s">
        <v>44</v>
      </c>
      <c r="R602" s="45" t="s">
        <v>272</v>
      </c>
      <c r="S602" s="45" t="s">
        <v>175</v>
      </c>
      <c r="T602" s="45" t="s">
        <v>268</v>
      </c>
      <c r="U602" s="45" t="s">
        <v>5531</v>
      </c>
      <c r="X602" s="45" t="s">
        <v>5531</v>
      </c>
      <c r="Y602" s="45" t="s">
        <v>6847</v>
      </c>
    </row>
    <row r="603" spans="2:25" ht="15" customHeight="1">
      <c r="B603" s="45" t="s">
        <v>26</v>
      </c>
      <c r="C603" s="45" t="s">
        <v>44</v>
      </c>
      <c r="D603" s="45" t="s">
        <v>208</v>
      </c>
      <c r="E603" s="45" t="s">
        <v>6848</v>
      </c>
      <c r="F603" s="45" t="s">
        <v>312</v>
      </c>
      <c r="G603" s="45" t="s">
        <v>208</v>
      </c>
      <c r="H603" s="45" t="s">
        <v>6849</v>
      </c>
      <c r="I603" s="45" t="s">
        <v>271</v>
      </c>
      <c r="J603" s="45" t="s">
        <v>5378</v>
      </c>
      <c r="K603" s="47">
        <v>46181.512106481481</v>
      </c>
      <c r="L603" s="47">
        <v>46181.512106481481</v>
      </c>
      <c r="M603" s="47">
        <v>46181.548738425925</v>
      </c>
      <c r="N603" s="47">
        <v>46181.714039351849</v>
      </c>
      <c r="Q603" s="45" t="s">
        <v>6032</v>
      </c>
      <c r="R603" s="45" t="s">
        <v>272</v>
      </c>
      <c r="S603" s="45" t="s">
        <v>175</v>
      </c>
      <c r="T603" s="45" t="s">
        <v>268</v>
      </c>
      <c r="U603" s="45" t="s">
        <v>5531</v>
      </c>
      <c r="X603" s="45" t="s">
        <v>5531</v>
      </c>
      <c r="Y603" s="45" t="s">
        <v>6850</v>
      </c>
    </row>
    <row r="604" spans="2:25" ht="15" customHeight="1">
      <c r="B604" s="45" t="s">
        <v>26</v>
      </c>
      <c r="C604" s="45" t="s">
        <v>44</v>
      </c>
      <c r="D604" s="45" t="s">
        <v>208</v>
      </c>
      <c r="E604" s="45" t="s">
        <v>6851</v>
      </c>
      <c r="F604" s="45" t="s">
        <v>312</v>
      </c>
      <c r="G604" s="45" t="s">
        <v>208</v>
      </c>
      <c r="H604" s="45" t="s">
        <v>6852</v>
      </c>
      <c r="I604" s="45" t="s">
        <v>271</v>
      </c>
      <c r="J604" s="45" t="s">
        <v>5378</v>
      </c>
      <c r="K604" s="47">
        <v>46174.576817129629</v>
      </c>
      <c r="L604" s="47">
        <v>46181.471967592595</v>
      </c>
      <c r="M604" s="47">
        <v>46181.471967592595</v>
      </c>
      <c r="N604" s="47">
        <v>46181.533148148148</v>
      </c>
      <c r="Q604" s="45" t="s">
        <v>44</v>
      </c>
      <c r="R604" s="45" t="s">
        <v>272</v>
      </c>
      <c r="S604" s="45" t="s">
        <v>175</v>
      </c>
      <c r="T604" s="45" t="s">
        <v>268</v>
      </c>
      <c r="U604" s="45" t="s">
        <v>5531</v>
      </c>
      <c r="X604" s="45" t="s">
        <v>5531</v>
      </c>
      <c r="Y604" s="45" t="s">
        <v>6853</v>
      </c>
    </row>
    <row r="605" spans="2:25" ht="15" customHeight="1">
      <c r="B605" s="45" t="s">
        <v>26</v>
      </c>
      <c r="C605" s="45" t="s">
        <v>44</v>
      </c>
      <c r="D605" s="45" t="s">
        <v>208</v>
      </c>
      <c r="E605" s="45" t="s">
        <v>6854</v>
      </c>
      <c r="F605" s="45" t="s">
        <v>312</v>
      </c>
      <c r="G605" s="45" t="s">
        <v>208</v>
      </c>
      <c r="H605" s="45" t="s">
        <v>6855</v>
      </c>
      <c r="I605" s="45" t="s">
        <v>271</v>
      </c>
      <c r="J605" s="45" t="s">
        <v>5378</v>
      </c>
      <c r="K605" s="47">
        <v>46181.542083333334</v>
      </c>
      <c r="L605" s="47">
        <v>46181.542083333334</v>
      </c>
      <c r="M605" s="47">
        <v>46181.565474537034</v>
      </c>
      <c r="N605" s="47">
        <v>46184.542858796296</v>
      </c>
      <c r="Q605" s="45" t="s">
        <v>44</v>
      </c>
      <c r="R605" s="45" t="s">
        <v>272</v>
      </c>
      <c r="S605" s="45" t="s">
        <v>175</v>
      </c>
      <c r="T605" s="45" t="s">
        <v>268</v>
      </c>
      <c r="U605" s="45" t="s">
        <v>5531</v>
      </c>
      <c r="X605" s="45" t="s">
        <v>5531</v>
      </c>
      <c r="Y605" s="45" t="s">
        <v>6856</v>
      </c>
    </row>
    <row r="606" spans="2:25" ht="15" customHeight="1">
      <c r="B606" s="45" t="s">
        <v>26</v>
      </c>
      <c r="C606" s="45" t="s">
        <v>44</v>
      </c>
      <c r="D606" s="45" t="s">
        <v>208</v>
      </c>
      <c r="E606" s="45" t="s">
        <v>6857</v>
      </c>
      <c r="F606" s="45" t="s">
        <v>312</v>
      </c>
      <c r="G606" s="45" t="s">
        <v>208</v>
      </c>
      <c r="H606" s="45" t="s">
        <v>6858</v>
      </c>
      <c r="I606" s="45" t="s">
        <v>271</v>
      </c>
      <c r="J606" s="45" t="s">
        <v>5378</v>
      </c>
      <c r="K606" s="47">
        <v>46181.544988425929</v>
      </c>
      <c r="L606" s="47">
        <v>46183.533726851849</v>
      </c>
      <c r="M606" s="47">
        <v>46183.552199074074</v>
      </c>
      <c r="N606" s="71">
        <v>46184.604166666664</v>
      </c>
      <c r="Q606" s="45" t="s">
        <v>6859</v>
      </c>
      <c r="R606" s="45" t="s">
        <v>272</v>
      </c>
      <c r="S606" s="45" t="s">
        <v>175</v>
      </c>
      <c r="T606" s="45" t="s">
        <v>268</v>
      </c>
      <c r="U606" s="45" t="s">
        <v>5531</v>
      </c>
      <c r="X606" s="45" t="s">
        <v>5531</v>
      </c>
      <c r="Y606" s="45" t="s">
        <v>6860</v>
      </c>
    </row>
    <row r="607" spans="2:25" ht="15" customHeight="1">
      <c r="B607" s="45" t="s">
        <v>26</v>
      </c>
      <c r="C607" s="45" t="s">
        <v>44</v>
      </c>
      <c r="D607" s="45" t="s">
        <v>208</v>
      </c>
      <c r="E607" s="45" t="s">
        <v>6861</v>
      </c>
      <c r="F607" s="45" t="s">
        <v>312</v>
      </c>
      <c r="G607" s="45" t="s">
        <v>208</v>
      </c>
      <c r="H607" s="45" t="s">
        <v>6862</v>
      </c>
      <c r="I607" s="45" t="s">
        <v>271</v>
      </c>
      <c r="J607" s="45" t="s">
        <v>5378</v>
      </c>
      <c r="K607" s="47">
        <v>46175.877986111111</v>
      </c>
      <c r="L607" s="47">
        <v>46175.877986111111</v>
      </c>
      <c r="M607" s="47">
        <v>46176.506226851852</v>
      </c>
      <c r="N607" s="47">
        <v>46178.586516203701</v>
      </c>
      <c r="O607" s="47">
        <v>46177.49722222222</v>
      </c>
      <c r="P607" s="47">
        <v>46178.586516203701</v>
      </c>
      <c r="Q607" s="45" t="s">
        <v>6032</v>
      </c>
      <c r="S607" s="45" t="s">
        <v>175</v>
      </c>
      <c r="T607" s="45" t="s">
        <v>268</v>
      </c>
      <c r="U607" s="45" t="s">
        <v>5531</v>
      </c>
      <c r="X607" s="45" t="s">
        <v>5531</v>
      </c>
      <c r="Y607" s="45" t="s">
        <v>6863</v>
      </c>
    </row>
    <row r="608" spans="2:25" ht="15" customHeight="1">
      <c r="B608" s="45" t="s">
        <v>26</v>
      </c>
      <c r="C608" s="45" t="s">
        <v>44</v>
      </c>
      <c r="D608" s="45" t="s">
        <v>207</v>
      </c>
      <c r="E608" s="45" t="s">
        <v>6864</v>
      </c>
      <c r="F608" s="45" t="s">
        <v>312</v>
      </c>
      <c r="G608" s="45">
        <v>3</v>
      </c>
      <c r="H608" s="45" t="s">
        <v>6865</v>
      </c>
      <c r="I608" s="45" t="s">
        <v>271</v>
      </c>
      <c r="J608" s="45" t="s">
        <v>5378</v>
      </c>
      <c r="K608" s="47">
        <v>46175.769236111111</v>
      </c>
      <c r="L608" s="47">
        <v>46175.769236111111</v>
      </c>
      <c r="M608" s="47">
        <v>46175.827673611115</v>
      </c>
      <c r="N608" s="47">
        <v>46177.60527777778</v>
      </c>
      <c r="Q608" s="45" t="s">
        <v>6083</v>
      </c>
      <c r="S608" s="45" t="s">
        <v>175</v>
      </c>
      <c r="T608" s="45" t="s">
        <v>268</v>
      </c>
      <c r="U608" s="45" t="s">
        <v>5531</v>
      </c>
      <c r="X608" s="45" t="s">
        <v>5531</v>
      </c>
      <c r="Y608" s="45" t="s">
        <v>6084</v>
      </c>
    </row>
    <row r="609" spans="2:25" ht="15" customHeight="1">
      <c r="B609" s="45" t="s">
        <v>26</v>
      </c>
      <c r="C609" s="45" t="s">
        <v>44</v>
      </c>
      <c r="D609" s="45" t="s">
        <v>207</v>
      </c>
      <c r="E609" s="45" t="s">
        <v>6866</v>
      </c>
      <c r="F609" s="45" t="s">
        <v>312</v>
      </c>
      <c r="G609" s="45">
        <v>3</v>
      </c>
      <c r="H609" s="45" t="s">
        <v>6867</v>
      </c>
      <c r="I609" s="45" t="s">
        <v>271</v>
      </c>
      <c r="J609" s="45" t="s">
        <v>5378</v>
      </c>
      <c r="K609" s="47">
        <v>46181.628877314812</v>
      </c>
      <c r="L609" s="47">
        <v>46181.632916666669</v>
      </c>
      <c r="M609" s="47">
        <v>46181.640034722222</v>
      </c>
      <c r="N609" s="47">
        <v>46181.655844907407</v>
      </c>
      <c r="Q609" s="45" t="s">
        <v>44</v>
      </c>
      <c r="S609" s="45" t="s">
        <v>175</v>
      </c>
      <c r="T609" s="45" t="s">
        <v>268</v>
      </c>
      <c r="U609" s="45" t="s">
        <v>5531</v>
      </c>
      <c r="X609" s="45" t="s">
        <v>5531</v>
      </c>
      <c r="Y609" s="45" t="s">
        <v>6868</v>
      </c>
    </row>
    <row r="610" spans="2:25" ht="15" customHeight="1">
      <c r="B610" s="45" t="s">
        <v>26</v>
      </c>
      <c r="C610" s="45" t="s">
        <v>44</v>
      </c>
      <c r="D610" s="45" t="s">
        <v>208</v>
      </c>
      <c r="E610" s="45" t="s">
        <v>6869</v>
      </c>
      <c r="F610" s="45" t="s">
        <v>312</v>
      </c>
      <c r="G610" s="45" t="s">
        <v>208</v>
      </c>
      <c r="H610" s="45" t="s">
        <v>6870</v>
      </c>
      <c r="I610" s="45" t="s">
        <v>275</v>
      </c>
      <c r="J610" s="45" t="s">
        <v>5378</v>
      </c>
      <c r="K610" s="47">
        <v>46179.757407407407</v>
      </c>
      <c r="L610" s="47">
        <v>46179.788321759261</v>
      </c>
      <c r="M610" s="47">
        <v>46179.813321759262</v>
      </c>
      <c r="N610" s="47">
        <v>46181.803425925929</v>
      </c>
      <c r="Q610" s="45" t="s">
        <v>6032</v>
      </c>
      <c r="S610" s="45" t="s">
        <v>175</v>
      </c>
      <c r="T610" s="45" t="s">
        <v>268</v>
      </c>
      <c r="U610" s="45" t="s">
        <v>5531</v>
      </c>
      <c r="X610" s="45" t="s">
        <v>5531</v>
      </c>
      <c r="Y610" s="45" t="s">
        <v>6863</v>
      </c>
    </row>
    <row r="611" spans="2:25" ht="15" customHeight="1">
      <c r="B611" s="45" t="s">
        <v>26</v>
      </c>
      <c r="C611" s="45" t="s">
        <v>44</v>
      </c>
      <c r="D611" s="45" t="s">
        <v>207</v>
      </c>
      <c r="E611" s="45" t="s">
        <v>6871</v>
      </c>
      <c r="F611" s="45" t="s">
        <v>312</v>
      </c>
      <c r="G611" s="45">
        <v>4</v>
      </c>
      <c r="H611" s="45" t="s">
        <v>6872</v>
      </c>
      <c r="I611" s="45" t="s">
        <v>275</v>
      </c>
      <c r="J611" s="45" t="s">
        <v>5378</v>
      </c>
      <c r="K611" s="47">
        <v>46183.686099537037</v>
      </c>
      <c r="L611" s="47">
        <v>46188.937754629631</v>
      </c>
      <c r="M611" s="47">
        <v>46189.489699074074</v>
      </c>
      <c r="N611" s="47">
        <v>46189.597361111111</v>
      </c>
      <c r="Q611" s="45" t="s">
        <v>6873</v>
      </c>
      <c r="S611" s="45" t="s">
        <v>175</v>
      </c>
      <c r="T611" s="45" t="s">
        <v>268</v>
      </c>
      <c r="U611" s="45" t="s">
        <v>5531</v>
      </c>
      <c r="X611" s="45" t="s">
        <v>5531</v>
      </c>
      <c r="Y611" s="45" t="s">
        <v>6874</v>
      </c>
    </row>
    <row r="612" spans="2:25" ht="15" customHeight="1">
      <c r="B612" s="45" t="s">
        <v>26</v>
      </c>
      <c r="C612" s="45" t="s">
        <v>44</v>
      </c>
      <c r="D612" s="45" t="s">
        <v>207</v>
      </c>
      <c r="E612" s="45" t="s">
        <v>6875</v>
      </c>
      <c r="F612" s="45" t="s">
        <v>312</v>
      </c>
      <c r="G612" s="45">
        <v>4</v>
      </c>
      <c r="H612" s="45" t="s">
        <v>6876</v>
      </c>
      <c r="I612" s="45" t="s">
        <v>271</v>
      </c>
      <c r="J612" s="45" t="s">
        <v>5378</v>
      </c>
      <c r="K612" s="47">
        <v>46184.912372685183</v>
      </c>
      <c r="L612" s="47">
        <v>46189.68440972222</v>
      </c>
      <c r="M612" s="47">
        <v>46189.732777777775</v>
      </c>
      <c r="N612" s="47">
        <v>46191.50167824074</v>
      </c>
      <c r="Q612" s="45" t="s">
        <v>44</v>
      </c>
      <c r="S612" s="45" t="s">
        <v>175</v>
      </c>
      <c r="T612" s="45" t="s">
        <v>268</v>
      </c>
      <c r="U612" s="45" t="s">
        <v>5531</v>
      </c>
      <c r="X612" s="45" t="s">
        <v>5531</v>
      </c>
      <c r="Y612" s="45" t="s">
        <v>6877</v>
      </c>
    </row>
    <row r="613" spans="2:25" ht="15" customHeight="1">
      <c r="B613" s="45" t="s">
        <v>26</v>
      </c>
      <c r="C613" s="45" t="s">
        <v>44</v>
      </c>
      <c r="D613" s="45" t="s">
        <v>208</v>
      </c>
      <c r="E613" s="45" t="s">
        <v>6878</v>
      </c>
      <c r="F613" s="45" t="s">
        <v>312</v>
      </c>
      <c r="G613" s="45" t="s">
        <v>208</v>
      </c>
      <c r="H613" s="45" t="s">
        <v>6879</v>
      </c>
      <c r="I613" s="45" t="s">
        <v>271</v>
      </c>
      <c r="J613" s="45" t="s">
        <v>5378</v>
      </c>
      <c r="K613" s="47">
        <v>46183.793206018519</v>
      </c>
      <c r="L613" s="47">
        <v>46183.793055555558</v>
      </c>
      <c r="M613" s="47">
        <v>46183.816805555558</v>
      </c>
      <c r="N613" s="47">
        <v>46185.810370370367</v>
      </c>
      <c r="Q613" s="45" t="s">
        <v>6032</v>
      </c>
      <c r="S613" s="45" t="s">
        <v>175</v>
      </c>
      <c r="T613" s="45" t="s">
        <v>268</v>
      </c>
      <c r="U613" s="45" t="s">
        <v>5531</v>
      </c>
      <c r="X613" s="45" t="s">
        <v>5531</v>
      </c>
      <c r="Y613" s="45" t="s">
        <v>6863</v>
      </c>
    </row>
    <row r="614" spans="2:25" ht="15" customHeight="1">
      <c r="B614" s="45" t="s">
        <v>26</v>
      </c>
      <c r="C614" s="45" t="s">
        <v>44</v>
      </c>
      <c r="D614" s="45" t="s">
        <v>208</v>
      </c>
      <c r="E614" s="45" t="s">
        <v>6880</v>
      </c>
      <c r="F614" s="45" t="s">
        <v>312</v>
      </c>
      <c r="G614" s="45" t="s">
        <v>208</v>
      </c>
      <c r="H614" s="45" t="s">
        <v>6881</v>
      </c>
      <c r="I614" s="45" t="s">
        <v>271</v>
      </c>
      <c r="J614" s="45" t="s">
        <v>5378</v>
      </c>
      <c r="K614" s="47">
        <v>46177.857754629629</v>
      </c>
      <c r="L614" s="47">
        <v>46177.857870370368</v>
      </c>
      <c r="M614" s="47">
        <v>46178.458831018521</v>
      </c>
      <c r="N614" s="47">
        <v>46184.740879629629</v>
      </c>
      <c r="Q614" s="45" t="s">
        <v>44</v>
      </c>
      <c r="S614" s="45" t="s">
        <v>175</v>
      </c>
      <c r="T614" s="45" t="s">
        <v>268</v>
      </c>
      <c r="U614" s="45" t="s">
        <v>5531</v>
      </c>
      <c r="X614" s="45" t="s">
        <v>5531</v>
      </c>
      <c r="Y614" s="45" t="s">
        <v>6882</v>
      </c>
    </row>
    <row r="615" spans="2:25" ht="15" customHeight="1">
      <c r="B615" s="45" t="s">
        <v>26</v>
      </c>
      <c r="C615" s="45" t="s">
        <v>44</v>
      </c>
      <c r="D615" s="45" t="s">
        <v>207</v>
      </c>
      <c r="E615" s="45" t="s">
        <v>6883</v>
      </c>
      <c r="F615" s="45" t="s">
        <v>312</v>
      </c>
      <c r="G615" s="45">
        <v>3</v>
      </c>
      <c r="H615" s="45" t="s">
        <v>6884</v>
      </c>
      <c r="I615" s="45" t="s">
        <v>271</v>
      </c>
      <c r="J615" s="45" t="s">
        <v>5378</v>
      </c>
      <c r="K615" s="47">
        <v>46184.740752314814</v>
      </c>
      <c r="L615" s="47">
        <v>46184.740752314814</v>
      </c>
      <c r="M615" s="47">
        <v>46185.76053240741</v>
      </c>
      <c r="N615" s="47">
        <v>46185.502152777779</v>
      </c>
      <c r="Q615" s="45" t="s">
        <v>44</v>
      </c>
      <c r="S615" s="45" t="s">
        <v>175</v>
      </c>
      <c r="T615" s="45" t="s">
        <v>268</v>
      </c>
      <c r="U615" s="45" t="s">
        <v>5531</v>
      </c>
      <c r="X615" s="45" t="s">
        <v>5531</v>
      </c>
      <c r="Y615" s="45" t="s">
        <v>6885</v>
      </c>
    </row>
    <row r="616" spans="2:25" ht="15" customHeight="1">
      <c r="B616" s="45" t="s">
        <v>26</v>
      </c>
      <c r="C616" s="45" t="s">
        <v>44</v>
      </c>
      <c r="D616" s="45" t="s">
        <v>207</v>
      </c>
      <c r="E616" s="45" t="s">
        <v>6886</v>
      </c>
      <c r="F616" s="45" t="s">
        <v>312</v>
      </c>
      <c r="G616" s="45">
        <v>4</v>
      </c>
      <c r="H616" s="45" t="s">
        <v>6887</v>
      </c>
      <c r="I616" s="45" t="s">
        <v>275</v>
      </c>
      <c r="J616" s="45" t="s">
        <v>5378</v>
      </c>
      <c r="K616" s="47">
        <v>46182.7422337963</v>
      </c>
      <c r="L616" s="47">
        <v>46182.7422337963</v>
      </c>
      <c r="M616" s="47">
        <v>46182.758344907408</v>
      </c>
      <c r="N616" s="47">
        <v>46185.489583333336</v>
      </c>
      <c r="Q616" s="45" t="s">
        <v>6083</v>
      </c>
      <c r="S616" s="45" t="s">
        <v>175</v>
      </c>
      <c r="T616" s="45" t="s">
        <v>268</v>
      </c>
      <c r="U616" s="45" t="s">
        <v>5531</v>
      </c>
      <c r="X616" s="45" t="s">
        <v>5531</v>
      </c>
      <c r="Y616" s="45" t="s">
        <v>6888</v>
      </c>
    </row>
    <row r="617" spans="2:25" ht="15" customHeight="1">
      <c r="B617" s="45" t="s">
        <v>26</v>
      </c>
      <c r="C617" s="45" t="s">
        <v>44</v>
      </c>
      <c r="D617" s="45" t="s">
        <v>208</v>
      </c>
      <c r="E617" s="45" t="s">
        <v>6889</v>
      </c>
      <c r="F617" s="45" t="s">
        <v>312</v>
      </c>
      <c r="G617" s="45" t="s">
        <v>208</v>
      </c>
      <c r="H617" s="45" t="s">
        <v>6890</v>
      </c>
      <c r="I617" s="45" t="s">
        <v>271</v>
      </c>
      <c r="J617" s="45" t="s">
        <v>5378</v>
      </c>
      <c r="K617" s="47">
        <v>46176.79892361111</v>
      </c>
      <c r="L617" s="47">
        <v>46177.506377314814</v>
      </c>
      <c r="M617" s="47">
        <v>46177.553472222222</v>
      </c>
      <c r="N617" s="47">
        <v>46179.591956018521</v>
      </c>
      <c r="Q617" s="45" t="s">
        <v>6032</v>
      </c>
      <c r="S617" s="45" t="s">
        <v>175</v>
      </c>
      <c r="T617" s="45" t="s">
        <v>268</v>
      </c>
      <c r="U617" s="45" t="s">
        <v>5531</v>
      </c>
      <c r="X617" s="45" t="s">
        <v>5531</v>
      </c>
      <c r="Y617" s="45" t="s">
        <v>6863</v>
      </c>
    </row>
    <row r="618" spans="2:25" ht="15" customHeight="1">
      <c r="B618" s="45" t="s">
        <v>26</v>
      </c>
      <c r="C618" s="45" t="s">
        <v>44</v>
      </c>
      <c r="D618" s="45" t="s">
        <v>208</v>
      </c>
      <c r="E618" s="45" t="s">
        <v>6891</v>
      </c>
      <c r="F618" s="45" t="s">
        <v>312</v>
      </c>
      <c r="G618" s="45" t="s">
        <v>208</v>
      </c>
      <c r="H618" s="45" t="s">
        <v>6892</v>
      </c>
      <c r="I618" s="45" t="s">
        <v>275</v>
      </c>
      <c r="J618" s="45" t="s">
        <v>5378</v>
      </c>
      <c r="K618" s="47">
        <v>46177.522777777776</v>
      </c>
      <c r="L618" s="47">
        <v>46178.563946759263</v>
      </c>
      <c r="M618" s="47">
        <v>46178.643217592595</v>
      </c>
      <c r="N618" s="47">
        <v>46180.564050925925</v>
      </c>
      <c r="Q618" s="45" t="s">
        <v>6893</v>
      </c>
      <c r="S618" s="45" t="s">
        <v>175</v>
      </c>
      <c r="T618" s="45" t="s">
        <v>268</v>
      </c>
      <c r="U618" s="45" t="s">
        <v>5531</v>
      </c>
      <c r="X618" s="45" t="s">
        <v>5531</v>
      </c>
      <c r="Y618" s="45" t="s">
        <v>6894</v>
      </c>
    </row>
    <row r="619" spans="2:25" ht="15" customHeight="1">
      <c r="B619" s="45" t="s">
        <v>26</v>
      </c>
      <c r="C619" s="45" t="s">
        <v>44</v>
      </c>
      <c r="D619" s="45" t="s">
        <v>208</v>
      </c>
      <c r="E619" s="45" t="s">
        <v>6895</v>
      </c>
      <c r="F619" s="45" t="s">
        <v>312</v>
      </c>
      <c r="G619" s="45" t="s">
        <v>208</v>
      </c>
      <c r="H619" s="45" t="s">
        <v>6896</v>
      </c>
      <c r="I619" s="45" t="s">
        <v>275</v>
      </c>
      <c r="J619" s="45" t="s">
        <v>5378</v>
      </c>
      <c r="K619" s="47">
        <v>46177.52275462963</v>
      </c>
      <c r="L619" s="47">
        <v>46178.52275462963</v>
      </c>
      <c r="M619" s="47">
        <v>46178.550138888888</v>
      </c>
      <c r="N619" s="47">
        <v>46180.748611111114</v>
      </c>
      <c r="Q619" s="45" t="s">
        <v>6893</v>
      </c>
      <c r="S619" s="45" t="s">
        <v>175</v>
      </c>
      <c r="T619" s="45" t="s">
        <v>268</v>
      </c>
      <c r="U619" s="45" t="s">
        <v>5531</v>
      </c>
      <c r="X619" s="45" t="s">
        <v>5531</v>
      </c>
      <c r="Y619" s="45" t="s">
        <v>6894</v>
      </c>
    </row>
    <row r="620" spans="2:25" ht="15" customHeight="1">
      <c r="B620" s="45" t="s">
        <v>26</v>
      </c>
      <c r="C620" s="45" t="s">
        <v>44</v>
      </c>
      <c r="D620" s="45" t="s">
        <v>208</v>
      </c>
      <c r="E620" s="45" t="s">
        <v>6897</v>
      </c>
      <c r="F620" s="45" t="s">
        <v>312</v>
      </c>
      <c r="G620" s="45" t="s">
        <v>208</v>
      </c>
      <c r="H620" s="45" t="s">
        <v>6898</v>
      </c>
      <c r="I620" s="45" t="s">
        <v>271</v>
      </c>
      <c r="J620" s="45" t="s">
        <v>5378</v>
      </c>
      <c r="K620" s="47">
        <v>46183.644548611112</v>
      </c>
      <c r="L620" s="47">
        <v>46183.644548611112</v>
      </c>
      <c r="M620" s="47">
        <v>46183.66747685185</v>
      </c>
      <c r="N620" s="47">
        <v>46186.598692129628</v>
      </c>
      <c r="Q620" s="45" t="s">
        <v>6032</v>
      </c>
      <c r="S620" s="45" t="s">
        <v>175</v>
      </c>
      <c r="T620" s="45" t="s">
        <v>268</v>
      </c>
      <c r="U620" s="45" t="s">
        <v>5531</v>
      </c>
      <c r="X620" s="45" t="s">
        <v>5531</v>
      </c>
      <c r="Y620" s="45" t="s">
        <v>6863</v>
      </c>
    </row>
    <row r="621" spans="2:25" ht="15" customHeight="1">
      <c r="B621" s="45" t="s">
        <v>26</v>
      </c>
      <c r="C621" s="45" t="s">
        <v>44</v>
      </c>
      <c r="D621" s="45" t="s">
        <v>207</v>
      </c>
      <c r="E621" s="45" t="s">
        <v>6899</v>
      </c>
      <c r="F621" s="45" t="s">
        <v>312</v>
      </c>
      <c r="G621" s="45">
        <v>3</v>
      </c>
      <c r="H621" s="45" t="s">
        <v>6900</v>
      </c>
      <c r="I621" s="45" t="s">
        <v>275</v>
      </c>
      <c r="J621" s="45" t="s">
        <v>5378</v>
      </c>
      <c r="K621" s="47">
        <v>46188.441400462965</v>
      </c>
      <c r="L621" s="47">
        <v>46188.491006944445</v>
      </c>
      <c r="M621" s="47">
        <v>46188.491006944445</v>
      </c>
      <c r="N621" s="47">
        <v>46189.50880787037</v>
      </c>
      <c r="P621" s="47">
        <v>46189.50880787037</v>
      </c>
      <c r="Q621" s="45" t="s">
        <v>44</v>
      </c>
      <c r="R621" s="45" t="s">
        <v>272</v>
      </c>
      <c r="S621" s="45" t="s">
        <v>175</v>
      </c>
      <c r="T621" s="45" t="s">
        <v>268</v>
      </c>
      <c r="U621" s="45" t="s">
        <v>5531</v>
      </c>
      <c r="X621" s="45" t="s">
        <v>5531</v>
      </c>
      <c r="Y621" s="45" t="s">
        <v>6901</v>
      </c>
    </row>
    <row r="622" spans="2:25" ht="15" customHeight="1">
      <c r="B622" s="45" t="s">
        <v>26</v>
      </c>
      <c r="C622" s="45" t="s">
        <v>44</v>
      </c>
      <c r="D622" s="45" t="s">
        <v>207</v>
      </c>
      <c r="E622" s="45" t="s">
        <v>6902</v>
      </c>
      <c r="F622" s="45" t="s">
        <v>312</v>
      </c>
      <c r="G622" s="45">
        <v>4</v>
      </c>
      <c r="H622" s="45" t="s">
        <v>6903</v>
      </c>
      <c r="I622" s="45" t="s">
        <v>275</v>
      </c>
      <c r="J622" s="45" t="s">
        <v>5378</v>
      </c>
      <c r="K622" s="47">
        <v>46189.493692129632</v>
      </c>
      <c r="L622" s="47">
        <v>46189.555671296293</v>
      </c>
      <c r="M622" s="47">
        <v>46189.555671296293</v>
      </c>
      <c r="N622" s="47">
        <v>46189.561157407406</v>
      </c>
      <c r="P622" s="47">
        <v>46189.561157407406</v>
      </c>
      <c r="Q622" s="45" t="s">
        <v>44</v>
      </c>
      <c r="R622" s="45" t="s">
        <v>272</v>
      </c>
      <c r="S622" s="45" t="s">
        <v>175</v>
      </c>
      <c r="T622" s="45" t="s">
        <v>268</v>
      </c>
      <c r="U622" s="45" t="s">
        <v>5531</v>
      </c>
      <c r="X622" s="45" t="s">
        <v>5531</v>
      </c>
      <c r="Y622" s="45" t="s">
        <v>6904</v>
      </c>
    </row>
    <row r="623" spans="2:25" ht="15" customHeight="1">
      <c r="B623" s="45" t="s">
        <v>26</v>
      </c>
      <c r="C623" s="45" t="s">
        <v>44</v>
      </c>
      <c r="D623" s="45" t="s">
        <v>207</v>
      </c>
      <c r="E623" s="45" t="s">
        <v>6905</v>
      </c>
      <c r="F623" s="45" t="s">
        <v>312</v>
      </c>
      <c r="G623" s="45">
        <v>4</v>
      </c>
      <c r="H623" s="45" t="s">
        <v>6906</v>
      </c>
      <c r="I623" s="45" t="s">
        <v>271</v>
      </c>
      <c r="J623" s="45" t="s">
        <v>5378</v>
      </c>
      <c r="K623" s="47">
        <v>46178.362164351849</v>
      </c>
      <c r="L623" s="47">
        <v>46178.576620370368</v>
      </c>
      <c r="M623" s="47">
        <v>46178.576620370368</v>
      </c>
      <c r="N623" s="47">
        <v>46190.516493055555</v>
      </c>
      <c r="P623" s="47">
        <v>46190.516493055555</v>
      </c>
      <c r="Q623" s="45" t="s">
        <v>6907</v>
      </c>
      <c r="R623" s="45" t="s">
        <v>272</v>
      </c>
      <c r="S623" s="45" t="s">
        <v>175</v>
      </c>
      <c r="T623" s="45" t="s">
        <v>268</v>
      </c>
      <c r="U623" s="45" t="s">
        <v>5531</v>
      </c>
      <c r="X623" s="45" t="s">
        <v>5531</v>
      </c>
      <c r="Y623" s="45" t="s">
        <v>6908</v>
      </c>
    </row>
    <row r="624" spans="2:25" ht="15" customHeight="1">
      <c r="B624" s="45" t="s">
        <v>26</v>
      </c>
      <c r="C624" s="45" t="s">
        <v>44</v>
      </c>
      <c r="D624" s="45" t="s">
        <v>207</v>
      </c>
      <c r="E624" s="45" t="s">
        <v>6909</v>
      </c>
      <c r="F624" s="45" t="s">
        <v>312</v>
      </c>
      <c r="G624" s="45">
        <v>4</v>
      </c>
      <c r="H624" s="45" t="s">
        <v>6910</v>
      </c>
      <c r="I624" s="45" t="s">
        <v>271</v>
      </c>
      <c r="J624" s="45" t="s">
        <v>5378</v>
      </c>
      <c r="K624" s="47">
        <v>46177.431921296295</v>
      </c>
      <c r="L624" s="47">
        <v>46188.296342592592</v>
      </c>
      <c r="M624" s="47">
        <v>46188.296342592592</v>
      </c>
      <c r="N624" s="47">
        <v>46190.529733796298</v>
      </c>
      <c r="P624" s="47">
        <v>46190.529733796298</v>
      </c>
      <c r="Q624" s="45" t="s">
        <v>6911</v>
      </c>
      <c r="R624" s="45" t="s">
        <v>272</v>
      </c>
      <c r="S624" s="45" t="s">
        <v>175</v>
      </c>
      <c r="T624" s="45" t="s">
        <v>268</v>
      </c>
      <c r="U624" s="45" t="s">
        <v>5531</v>
      </c>
      <c r="X624" s="45" t="s">
        <v>5531</v>
      </c>
      <c r="Y624" s="45" t="s">
        <v>6908</v>
      </c>
    </row>
    <row r="625" spans="2:25" ht="15" customHeight="1">
      <c r="B625" s="45" t="s">
        <v>26</v>
      </c>
      <c r="C625" s="45" t="s">
        <v>44</v>
      </c>
      <c r="D625" s="45" t="s">
        <v>207</v>
      </c>
      <c r="E625" s="45" t="s">
        <v>6912</v>
      </c>
      <c r="F625" s="45" t="s">
        <v>312</v>
      </c>
      <c r="G625" s="45">
        <v>4</v>
      </c>
      <c r="H625" s="45" t="s">
        <v>6913</v>
      </c>
      <c r="I625" s="45" t="s">
        <v>275</v>
      </c>
      <c r="J625" s="45" t="s">
        <v>5378</v>
      </c>
      <c r="K625" s="47">
        <v>46198.584756944445</v>
      </c>
      <c r="L625" s="47">
        <v>46190.513564814813</v>
      </c>
      <c r="M625" s="47">
        <v>46190.513564814813</v>
      </c>
      <c r="N625" s="47">
        <v>46191.323009259257</v>
      </c>
      <c r="P625" s="47">
        <v>46191.323009259257</v>
      </c>
      <c r="Q625" s="45" t="s">
        <v>6083</v>
      </c>
      <c r="R625" s="45" t="s">
        <v>272</v>
      </c>
      <c r="S625" s="45" t="s">
        <v>175</v>
      </c>
      <c r="T625" s="45" t="s">
        <v>268</v>
      </c>
      <c r="U625" s="45" t="s">
        <v>5531</v>
      </c>
      <c r="X625" s="45" t="s">
        <v>5531</v>
      </c>
      <c r="Y625" s="45" t="s">
        <v>6908</v>
      </c>
    </row>
    <row r="626" spans="2:25" ht="15" customHeight="1">
      <c r="B626" s="45" t="s">
        <v>26</v>
      </c>
      <c r="C626" s="45" t="s">
        <v>44</v>
      </c>
      <c r="D626" s="45" t="s">
        <v>207</v>
      </c>
      <c r="E626" s="45" t="s">
        <v>6914</v>
      </c>
      <c r="F626" s="45" t="s">
        <v>312</v>
      </c>
      <c r="G626" s="45">
        <v>4</v>
      </c>
      <c r="H626" s="46" t="s">
        <v>6915</v>
      </c>
      <c r="I626" s="45" t="s">
        <v>275</v>
      </c>
      <c r="J626" s="45" t="s">
        <v>5378</v>
      </c>
      <c r="K626" s="47">
        <v>46184.567187499997</v>
      </c>
      <c r="L626" s="47">
        <v>46190.631631944445</v>
      </c>
      <c r="M626" s="47">
        <v>46190.631631944445</v>
      </c>
      <c r="N626" s="47">
        <v>46190.631631944445</v>
      </c>
      <c r="P626" s="47">
        <v>46190.631249999999</v>
      </c>
      <c r="Q626" s="45" t="s">
        <v>44</v>
      </c>
      <c r="R626" s="45" t="s">
        <v>272</v>
      </c>
      <c r="S626" s="45" t="s">
        <v>175</v>
      </c>
      <c r="T626" s="45" t="s">
        <v>268</v>
      </c>
      <c r="U626" s="45" t="s">
        <v>5531</v>
      </c>
      <c r="X626" s="45" t="s">
        <v>5531</v>
      </c>
      <c r="Y626" s="45" t="s">
        <v>6908</v>
      </c>
    </row>
    <row r="627" spans="2:25" ht="15" customHeight="1">
      <c r="B627" s="45" t="s">
        <v>26</v>
      </c>
      <c r="C627" s="45" t="s">
        <v>44</v>
      </c>
      <c r="D627" s="45" t="s">
        <v>207</v>
      </c>
      <c r="E627" s="45" t="s">
        <v>6916</v>
      </c>
      <c r="F627" s="45" t="s">
        <v>312</v>
      </c>
      <c r="G627" s="45">
        <v>3</v>
      </c>
      <c r="H627" s="45" t="s">
        <v>6917</v>
      </c>
      <c r="I627" s="45" t="s">
        <v>275</v>
      </c>
      <c r="J627" s="45" t="s">
        <v>5378</v>
      </c>
      <c r="K627" s="47">
        <v>46174.386331018519</v>
      </c>
      <c r="L627" s="47">
        <v>46196.557025462964</v>
      </c>
      <c r="M627" s="47">
        <v>46196.557025462964</v>
      </c>
      <c r="N627" s="47">
        <v>46199.297418981485</v>
      </c>
      <c r="P627" s="47">
        <v>46199.297418981485</v>
      </c>
      <c r="Q627" s="45" t="s">
        <v>6918</v>
      </c>
      <c r="R627" s="45" t="s">
        <v>272</v>
      </c>
      <c r="S627" s="45" t="s">
        <v>175</v>
      </c>
      <c r="T627" s="45" t="s">
        <v>268</v>
      </c>
      <c r="U627" s="45" t="s">
        <v>5531</v>
      </c>
      <c r="X627" s="45" t="s">
        <v>5531</v>
      </c>
      <c r="Y627" s="45" t="s">
        <v>6908</v>
      </c>
    </row>
    <row r="628" spans="2:25" ht="15" customHeight="1">
      <c r="B628" s="45" t="s">
        <v>26</v>
      </c>
      <c r="C628" s="45" t="s">
        <v>44</v>
      </c>
      <c r="D628" s="45" t="s">
        <v>207</v>
      </c>
      <c r="E628" s="45" t="s">
        <v>6919</v>
      </c>
      <c r="F628" s="45" t="s">
        <v>312</v>
      </c>
      <c r="G628" s="45">
        <v>3</v>
      </c>
      <c r="H628" s="45" t="s">
        <v>6920</v>
      </c>
      <c r="I628" s="45" t="s">
        <v>275</v>
      </c>
      <c r="J628" s="45" t="s">
        <v>5378</v>
      </c>
      <c r="K628" s="47">
        <v>46183.489270833335</v>
      </c>
      <c r="L628" s="47">
        <v>46188.290578703702</v>
      </c>
      <c r="M628" s="47">
        <v>46188.290578703702</v>
      </c>
      <c r="N628" s="47">
        <v>46192.349074074074</v>
      </c>
      <c r="P628" s="47">
        <v>46192.349074074074</v>
      </c>
      <c r="Q628" s="45" t="s">
        <v>6921</v>
      </c>
      <c r="R628" s="45" t="s">
        <v>272</v>
      </c>
      <c r="S628" s="45" t="s">
        <v>175</v>
      </c>
      <c r="T628" s="45" t="s">
        <v>268</v>
      </c>
      <c r="U628" s="45" t="s">
        <v>5531</v>
      </c>
      <c r="X628" s="45" t="s">
        <v>5531</v>
      </c>
      <c r="Y628" s="45" t="s">
        <v>6901</v>
      </c>
    </row>
    <row r="629" spans="2:25" ht="15" customHeight="1">
      <c r="B629" s="45" t="s">
        <v>26</v>
      </c>
      <c r="C629" s="45" t="s">
        <v>44</v>
      </c>
      <c r="D629" s="45" t="s">
        <v>207</v>
      </c>
      <c r="E629" s="45" t="s">
        <v>6922</v>
      </c>
      <c r="F629" s="45" t="s">
        <v>312</v>
      </c>
      <c r="G629" s="45">
        <v>4</v>
      </c>
      <c r="H629" s="45" t="s">
        <v>6923</v>
      </c>
      <c r="I629" s="45" t="s">
        <v>275</v>
      </c>
      <c r="J629" s="45" t="s">
        <v>5378</v>
      </c>
      <c r="K629" s="47">
        <v>46188.40421296296</v>
      </c>
      <c r="L629" s="47">
        <v>46191.260405092595</v>
      </c>
      <c r="M629" s="47">
        <v>46191.260405092595</v>
      </c>
      <c r="N629" s="47">
        <v>46192.369988425926</v>
      </c>
      <c r="P629" s="47">
        <v>46192.369988425926</v>
      </c>
      <c r="Q629" s="45" t="s">
        <v>6508</v>
      </c>
      <c r="R629" s="45" t="s">
        <v>272</v>
      </c>
      <c r="S629" s="45" t="s">
        <v>175</v>
      </c>
      <c r="T629" s="45" t="s">
        <v>268</v>
      </c>
      <c r="U629" s="45" t="s">
        <v>5531</v>
      </c>
      <c r="X629" s="45" t="s">
        <v>5531</v>
      </c>
      <c r="Y629" s="45" t="s">
        <v>6901</v>
      </c>
    </row>
    <row r="630" spans="2:25" ht="15" customHeight="1">
      <c r="B630" s="45" t="s">
        <v>26</v>
      </c>
      <c r="C630" s="45" t="s">
        <v>44</v>
      </c>
      <c r="D630" s="45" t="s">
        <v>207</v>
      </c>
      <c r="E630" s="45" t="s">
        <v>6924</v>
      </c>
      <c r="F630" s="45" t="s">
        <v>312</v>
      </c>
      <c r="G630" s="45">
        <v>3</v>
      </c>
      <c r="H630" s="45" t="s">
        <v>6925</v>
      </c>
      <c r="I630" s="45" t="s">
        <v>271</v>
      </c>
      <c r="J630" s="45" t="s">
        <v>5378</v>
      </c>
      <c r="K630" s="47">
        <v>46189.442627314813</v>
      </c>
      <c r="L630" s="47">
        <v>46189.473402777781</v>
      </c>
      <c r="M630" s="47">
        <v>46189.473402777781</v>
      </c>
      <c r="N630" s="47">
        <v>46192.370729166665</v>
      </c>
      <c r="P630" s="47">
        <v>46192.370729166665</v>
      </c>
      <c r="Q630" s="45" t="s">
        <v>6926</v>
      </c>
      <c r="R630" s="45" t="s">
        <v>272</v>
      </c>
      <c r="S630" s="45" t="s">
        <v>175</v>
      </c>
      <c r="T630" s="45" t="s">
        <v>268</v>
      </c>
      <c r="U630" s="45" t="s">
        <v>5531</v>
      </c>
      <c r="X630" s="45" t="s">
        <v>5531</v>
      </c>
      <c r="Y630" s="45" t="s">
        <v>6927</v>
      </c>
    </row>
    <row r="631" spans="2:25" ht="15" customHeight="1">
      <c r="B631" s="45" t="s">
        <v>26</v>
      </c>
      <c r="C631" s="45" t="s">
        <v>44</v>
      </c>
      <c r="D631" s="45" t="s">
        <v>207</v>
      </c>
      <c r="E631" s="45" t="s">
        <v>6928</v>
      </c>
      <c r="F631" s="45" t="s">
        <v>312</v>
      </c>
      <c r="G631" s="45">
        <v>4</v>
      </c>
      <c r="H631" s="45" t="s">
        <v>6929</v>
      </c>
      <c r="I631" s="45" t="s">
        <v>271</v>
      </c>
      <c r="J631" s="45" t="s">
        <v>5378</v>
      </c>
      <c r="K631" s="47">
        <v>46188.163206018522</v>
      </c>
      <c r="L631" s="47">
        <v>46189.330763888887</v>
      </c>
      <c r="M631" s="47">
        <v>46189.330763888887</v>
      </c>
      <c r="N631" s="47">
        <v>46195.359074074076</v>
      </c>
      <c r="P631" s="47">
        <v>46195.359074074076</v>
      </c>
      <c r="Q631" s="45" t="s">
        <v>44</v>
      </c>
      <c r="R631" s="45" t="s">
        <v>272</v>
      </c>
      <c r="S631" s="45" t="s">
        <v>175</v>
      </c>
      <c r="T631" s="45" t="s">
        <v>268</v>
      </c>
      <c r="U631" s="45" t="s">
        <v>5531</v>
      </c>
      <c r="X631" s="45" t="s">
        <v>5531</v>
      </c>
      <c r="Y631" s="45" t="s">
        <v>6908</v>
      </c>
    </row>
    <row r="632" spans="2:25" ht="15" customHeight="1">
      <c r="B632" s="45" t="s">
        <v>26</v>
      </c>
      <c r="C632" s="45" t="s">
        <v>44</v>
      </c>
      <c r="D632" s="45" t="s">
        <v>207</v>
      </c>
      <c r="E632" s="45" t="s">
        <v>6930</v>
      </c>
      <c r="F632" s="45" t="s">
        <v>312</v>
      </c>
      <c r="G632" s="45">
        <v>4</v>
      </c>
      <c r="H632" s="45" t="s">
        <v>6931</v>
      </c>
      <c r="I632" s="45" t="s">
        <v>275</v>
      </c>
      <c r="J632" s="45" t="s">
        <v>5378</v>
      </c>
      <c r="K632" s="47">
        <v>46188.614212962966</v>
      </c>
      <c r="L632" s="47">
        <v>46189.471400462964</v>
      </c>
      <c r="M632" s="47">
        <v>46189.471400462964</v>
      </c>
      <c r="N632" s="47">
        <v>46192.421493055554</v>
      </c>
      <c r="P632" s="47">
        <v>46192.421493055554</v>
      </c>
      <c r="Q632" s="45" t="s">
        <v>44</v>
      </c>
      <c r="R632" s="45" t="s">
        <v>272</v>
      </c>
      <c r="S632" s="47" t="s">
        <v>175</v>
      </c>
      <c r="T632" s="45" t="s">
        <v>268</v>
      </c>
      <c r="U632" s="45" t="s">
        <v>5531</v>
      </c>
      <c r="X632" s="45" t="s">
        <v>5531</v>
      </c>
      <c r="Y632" s="45" t="s">
        <v>6901</v>
      </c>
    </row>
    <row r="633" spans="2:25" ht="15" customHeight="1">
      <c r="B633" s="45" t="s">
        <v>26</v>
      </c>
      <c r="C633" s="45" t="s">
        <v>44</v>
      </c>
      <c r="D633" s="45" t="s">
        <v>207</v>
      </c>
      <c r="E633" s="45" t="s">
        <v>6932</v>
      </c>
      <c r="F633" s="45" t="s">
        <v>312</v>
      </c>
      <c r="G633" s="45">
        <v>4</v>
      </c>
      <c r="H633" s="45" t="s">
        <v>6933</v>
      </c>
      <c r="I633" s="45" t="s">
        <v>271</v>
      </c>
      <c r="J633" s="45" t="s">
        <v>5378</v>
      </c>
      <c r="K633" s="47">
        <v>46192.431307870371</v>
      </c>
      <c r="L633" s="47">
        <v>46192.489976851852</v>
      </c>
      <c r="M633" s="47">
        <v>46192.489976851852</v>
      </c>
      <c r="N633" s="47">
        <v>46196.309594907405</v>
      </c>
      <c r="P633" s="47">
        <v>46196.309594907405</v>
      </c>
      <c r="Q633" s="45" t="s">
        <v>44</v>
      </c>
      <c r="R633" s="45" t="s">
        <v>272</v>
      </c>
      <c r="S633" s="45" t="s">
        <v>175</v>
      </c>
      <c r="T633" s="45" t="s">
        <v>268</v>
      </c>
      <c r="U633" s="45" t="s">
        <v>5531</v>
      </c>
      <c r="X633" s="45" t="s">
        <v>5531</v>
      </c>
      <c r="Y633" s="45" t="s">
        <v>6908</v>
      </c>
    </row>
    <row r="634" spans="2:25" ht="15" customHeight="1">
      <c r="B634" s="45" t="s">
        <v>26</v>
      </c>
      <c r="C634" s="45" t="s">
        <v>44</v>
      </c>
      <c r="D634" s="45" t="s">
        <v>207</v>
      </c>
      <c r="E634" s="45" t="s">
        <v>6934</v>
      </c>
      <c r="F634" s="45" t="s">
        <v>312</v>
      </c>
      <c r="G634" s="45">
        <v>3</v>
      </c>
      <c r="H634" s="45" t="s">
        <v>6935</v>
      </c>
      <c r="I634" s="45" t="s">
        <v>266</v>
      </c>
      <c r="J634" s="45" t="s">
        <v>5378</v>
      </c>
      <c r="K634" s="47">
        <v>46188.644687499997</v>
      </c>
      <c r="L634" s="47">
        <v>46202.542407407411</v>
      </c>
      <c r="M634" s="47">
        <v>46202.542407407411</v>
      </c>
      <c r="N634" s="47">
        <v>46203.373032407406</v>
      </c>
      <c r="O634" s="47">
        <v>46203.373032407406</v>
      </c>
      <c r="Q634" s="45" t="s">
        <v>6936</v>
      </c>
      <c r="R634" s="45" t="s">
        <v>272</v>
      </c>
      <c r="S634" s="45" t="s">
        <v>175</v>
      </c>
      <c r="T634" s="45" t="s">
        <v>268</v>
      </c>
      <c r="U634" s="45" t="s">
        <v>5531</v>
      </c>
      <c r="X634" s="45" t="s">
        <v>5531</v>
      </c>
      <c r="Y634" s="45" t="s">
        <v>6594</v>
      </c>
    </row>
    <row r="635" spans="2:25" ht="15" customHeight="1">
      <c r="B635" s="45" t="s">
        <v>26</v>
      </c>
      <c r="C635" s="45" t="s">
        <v>44</v>
      </c>
      <c r="D635" s="45" t="s">
        <v>207</v>
      </c>
      <c r="E635" s="45" t="s">
        <v>6937</v>
      </c>
      <c r="F635" s="45" t="s">
        <v>312</v>
      </c>
      <c r="G635" s="45">
        <v>3</v>
      </c>
      <c r="H635" s="45" t="s">
        <v>6938</v>
      </c>
      <c r="I635" s="45" t="s">
        <v>275</v>
      </c>
      <c r="J635" s="45" t="s">
        <v>5378</v>
      </c>
      <c r="K635" s="47">
        <v>46195.615694444445</v>
      </c>
      <c r="L635" s="47">
        <v>46196.521805555552</v>
      </c>
      <c r="M635" s="47">
        <v>46196.521805555552</v>
      </c>
      <c r="N635" s="47">
        <v>46199.281597222223</v>
      </c>
      <c r="P635" s="47">
        <v>46199.281597222223</v>
      </c>
      <c r="Q635" s="45" t="s">
        <v>6936</v>
      </c>
      <c r="R635" s="45" t="s">
        <v>272</v>
      </c>
      <c r="S635" s="45" t="s">
        <v>175</v>
      </c>
      <c r="T635" s="45" t="s">
        <v>268</v>
      </c>
      <c r="U635" s="45" t="s">
        <v>5531</v>
      </c>
      <c r="X635" s="45" t="s">
        <v>5531</v>
      </c>
      <c r="Y635" s="45" t="s">
        <v>6901</v>
      </c>
    </row>
    <row r="636" spans="2:25" ht="15" customHeight="1">
      <c r="B636" s="45" t="s">
        <v>26</v>
      </c>
      <c r="C636" s="45" t="s">
        <v>44</v>
      </c>
      <c r="D636" s="45" t="s">
        <v>207</v>
      </c>
      <c r="E636" s="45" t="s">
        <v>6939</v>
      </c>
      <c r="F636" s="45" t="s">
        <v>312</v>
      </c>
      <c r="G636" s="45">
        <v>4</v>
      </c>
      <c r="H636" s="45" t="s">
        <v>6940</v>
      </c>
      <c r="I636" s="45" t="s">
        <v>275</v>
      </c>
      <c r="J636" s="45" t="s">
        <v>5378</v>
      </c>
      <c r="K636" s="47">
        <v>46191.676562499997</v>
      </c>
      <c r="L636" s="47">
        <v>46198.292268518519</v>
      </c>
      <c r="M636" s="47">
        <v>46198.292268518519</v>
      </c>
      <c r="N636" s="47">
        <v>46199.293958333335</v>
      </c>
      <c r="P636" s="47">
        <v>46199.293958333335</v>
      </c>
      <c r="Q636" s="45" t="s">
        <v>5866</v>
      </c>
      <c r="R636" s="45" t="s">
        <v>272</v>
      </c>
      <c r="S636" s="45" t="s">
        <v>175</v>
      </c>
      <c r="T636" s="45" t="s">
        <v>268</v>
      </c>
      <c r="U636" s="45" t="s">
        <v>5531</v>
      </c>
      <c r="X636" s="45" t="s">
        <v>5531</v>
      </c>
      <c r="Y636" s="45" t="s">
        <v>6941</v>
      </c>
    </row>
    <row r="637" spans="2:25" ht="15" customHeight="1">
      <c r="B637" s="45" t="s">
        <v>26</v>
      </c>
      <c r="C637" s="45" t="s">
        <v>44</v>
      </c>
      <c r="D637" s="45" t="s">
        <v>207</v>
      </c>
      <c r="E637" s="45" t="s">
        <v>6942</v>
      </c>
      <c r="F637" s="45" t="s">
        <v>312</v>
      </c>
      <c r="G637" s="45">
        <v>3</v>
      </c>
      <c r="H637" s="45" t="s">
        <v>6943</v>
      </c>
      <c r="I637" s="45" t="s">
        <v>275</v>
      </c>
      <c r="J637" s="45" t="s">
        <v>5378</v>
      </c>
      <c r="K637" s="47">
        <v>46191.675856481481</v>
      </c>
      <c r="L637" s="47">
        <v>46198.369050925925</v>
      </c>
      <c r="M637" s="47">
        <v>46198.369050925925</v>
      </c>
      <c r="N637" s="47">
        <v>46199.284837962965</v>
      </c>
      <c r="P637" s="47">
        <v>46199.284837962965</v>
      </c>
      <c r="Q637" s="45" t="s">
        <v>6944</v>
      </c>
      <c r="R637" s="45" t="s">
        <v>272</v>
      </c>
      <c r="S637" s="45" t="s">
        <v>175</v>
      </c>
      <c r="T637" s="45" t="s">
        <v>268</v>
      </c>
      <c r="U637" s="45" t="s">
        <v>5531</v>
      </c>
      <c r="X637" s="45" t="s">
        <v>5531</v>
      </c>
      <c r="Y637" s="45" t="s">
        <v>6941</v>
      </c>
    </row>
    <row r="638" spans="2:25" ht="15" customHeight="1">
      <c r="B638" s="45" t="s">
        <v>26</v>
      </c>
      <c r="C638" s="45" t="s">
        <v>44</v>
      </c>
      <c r="D638" s="45" t="s">
        <v>208</v>
      </c>
      <c r="E638" s="45" t="s">
        <v>6945</v>
      </c>
      <c r="F638" s="45" t="s">
        <v>312</v>
      </c>
      <c r="G638" s="45" t="s">
        <v>208</v>
      </c>
      <c r="H638" s="45" t="s">
        <v>6946</v>
      </c>
      <c r="I638" s="45" t="s">
        <v>271</v>
      </c>
      <c r="J638" s="45" t="s">
        <v>5378</v>
      </c>
      <c r="K638" s="47">
        <v>46177.399409722224</v>
      </c>
      <c r="L638" s="47">
        <v>46177.43204861111</v>
      </c>
      <c r="M638" s="47">
        <v>46177.43204861111</v>
      </c>
      <c r="N638" s="47">
        <v>46188.412453703706</v>
      </c>
      <c r="P638" s="47">
        <v>46188.412453703706</v>
      </c>
      <c r="Q638" s="45" t="s">
        <v>44</v>
      </c>
      <c r="R638" s="45" t="s">
        <v>261</v>
      </c>
      <c r="S638" s="45" t="s">
        <v>175</v>
      </c>
      <c r="T638" s="45" t="s">
        <v>268</v>
      </c>
      <c r="U638" s="45" t="s">
        <v>5531</v>
      </c>
      <c r="X638" s="45" t="s">
        <v>5531</v>
      </c>
      <c r="Y638" s="45" t="s">
        <v>6947</v>
      </c>
    </row>
    <row r="639" spans="2:25" ht="15" customHeight="1">
      <c r="B639" s="45" t="s">
        <v>26</v>
      </c>
      <c r="C639" s="45" t="s">
        <v>44</v>
      </c>
      <c r="D639" s="45" t="s">
        <v>208</v>
      </c>
      <c r="E639" s="45" t="s">
        <v>6948</v>
      </c>
      <c r="F639" s="45" t="s">
        <v>312</v>
      </c>
      <c r="G639" s="45" t="s">
        <v>208</v>
      </c>
      <c r="H639" s="45" t="s">
        <v>6949</v>
      </c>
      <c r="I639" s="45" t="s">
        <v>271</v>
      </c>
      <c r="J639" s="45" t="s">
        <v>5378</v>
      </c>
      <c r="K639" s="47">
        <v>46181.972083333334</v>
      </c>
      <c r="L639" s="47">
        <v>46182.438958333332</v>
      </c>
      <c r="M639" s="47">
        <v>46182.438958333332</v>
      </c>
      <c r="N639" s="47">
        <v>46188.415092592593</v>
      </c>
      <c r="P639" s="47">
        <v>46188.415092592593</v>
      </c>
      <c r="Q639" s="45" t="s">
        <v>44</v>
      </c>
      <c r="R639" s="45" t="s">
        <v>272</v>
      </c>
      <c r="S639" s="45" t="s">
        <v>175</v>
      </c>
      <c r="T639" s="45" t="s">
        <v>268</v>
      </c>
      <c r="U639" s="45" t="s">
        <v>5531</v>
      </c>
      <c r="X639" s="45" t="s">
        <v>5531</v>
      </c>
      <c r="Y639" s="45" t="s">
        <v>6908</v>
      </c>
    </row>
    <row r="640" spans="2:25" ht="15" customHeight="1">
      <c r="B640" s="45" t="s">
        <v>26</v>
      </c>
      <c r="C640" s="45" t="s">
        <v>44</v>
      </c>
      <c r="D640" s="45" t="s">
        <v>208</v>
      </c>
      <c r="E640" s="45" t="s">
        <v>6950</v>
      </c>
      <c r="F640" s="45" t="s">
        <v>312</v>
      </c>
      <c r="G640" s="45" t="s">
        <v>208</v>
      </c>
      <c r="H640" s="45" t="s">
        <v>6951</v>
      </c>
      <c r="I640" s="45" t="s">
        <v>271</v>
      </c>
      <c r="J640" s="45" t="s">
        <v>5378</v>
      </c>
      <c r="K640" s="47">
        <v>46185.495324074072</v>
      </c>
      <c r="L640" s="47">
        <v>46185.572465277779</v>
      </c>
      <c r="M640" s="47">
        <v>46185.572465277779</v>
      </c>
      <c r="N640" s="47">
        <v>46191.470532407409</v>
      </c>
      <c r="P640" s="47">
        <v>46191.470532407409</v>
      </c>
      <c r="Q640" s="45" t="s">
        <v>44</v>
      </c>
      <c r="R640" s="45" t="s">
        <v>261</v>
      </c>
      <c r="S640" s="45" t="s">
        <v>175</v>
      </c>
      <c r="T640" s="45" t="s">
        <v>268</v>
      </c>
      <c r="U640" s="45" t="s">
        <v>5531</v>
      </c>
      <c r="X640" s="45" t="s">
        <v>5531</v>
      </c>
      <c r="Y640" s="45" t="s">
        <v>5974</v>
      </c>
    </row>
    <row r="641" spans="2:25" ht="15" customHeight="1">
      <c r="B641" s="45" t="s">
        <v>26</v>
      </c>
      <c r="C641" s="45" t="s">
        <v>44</v>
      </c>
      <c r="D641" s="45" t="s">
        <v>208</v>
      </c>
      <c r="E641" s="45" t="s">
        <v>6952</v>
      </c>
      <c r="F641" s="45" t="s">
        <v>312</v>
      </c>
      <c r="G641" s="45" t="s">
        <v>208</v>
      </c>
      <c r="H641" s="45" t="s">
        <v>6953</v>
      </c>
      <c r="I641" s="45" t="s">
        <v>271</v>
      </c>
      <c r="J641" s="45" t="s">
        <v>5378</v>
      </c>
      <c r="K641" s="47">
        <v>46177.57136574074</v>
      </c>
      <c r="L641" s="47">
        <v>46188.606516203705</v>
      </c>
      <c r="M641" s="47">
        <v>46188.606516203705</v>
      </c>
      <c r="N641" s="47">
        <v>46195.379872685182</v>
      </c>
      <c r="P641" s="47">
        <v>46195.379872685182</v>
      </c>
      <c r="Q641" s="45" t="s">
        <v>44</v>
      </c>
      <c r="R641" s="45" t="s">
        <v>272</v>
      </c>
      <c r="S641" s="45" t="s">
        <v>175</v>
      </c>
      <c r="T641" s="45" t="s">
        <v>268</v>
      </c>
      <c r="U641" s="45" t="s">
        <v>5531</v>
      </c>
      <c r="X641" s="45" t="s">
        <v>5531</v>
      </c>
      <c r="Y641" s="45" t="s">
        <v>6908</v>
      </c>
    </row>
    <row r="642" spans="2:25" ht="15" customHeight="1">
      <c r="B642" s="45" t="s">
        <v>26</v>
      </c>
      <c r="C642" s="45" t="s">
        <v>44</v>
      </c>
      <c r="D642" s="45" t="s">
        <v>208</v>
      </c>
      <c r="E642" s="45" t="s">
        <v>6954</v>
      </c>
      <c r="F642" s="45" t="s">
        <v>312</v>
      </c>
      <c r="G642" s="45" t="s">
        <v>208</v>
      </c>
      <c r="H642" s="45" t="s">
        <v>6955</v>
      </c>
      <c r="I642" s="45" t="s">
        <v>275</v>
      </c>
      <c r="J642" s="45" t="s">
        <v>5378</v>
      </c>
      <c r="K642" s="47">
        <v>46183.62903935185</v>
      </c>
      <c r="L642" s="47">
        <v>46188.504999999997</v>
      </c>
      <c r="M642" s="47">
        <v>46188.504999999997</v>
      </c>
      <c r="N642" s="47">
        <v>46195.390740740739</v>
      </c>
      <c r="P642" s="47">
        <v>46195.390740740739</v>
      </c>
      <c r="Q642" s="45" t="s">
        <v>44</v>
      </c>
      <c r="R642" s="45" t="s">
        <v>272</v>
      </c>
      <c r="S642" s="45" t="s">
        <v>175</v>
      </c>
      <c r="T642" s="45" t="s">
        <v>268</v>
      </c>
      <c r="U642" s="45" t="s">
        <v>5531</v>
      </c>
      <c r="X642" s="45" t="s">
        <v>5531</v>
      </c>
      <c r="Y642" s="45" t="s">
        <v>5977</v>
      </c>
    </row>
    <row r="643" spans="2:25" ht="15" customHeight="1">
      <c r="B643" s="45" t="s">
        <v>26</v>
      </c>
      <c r="C643" s="45" t="s">
        <v>44</v>
      </c>
      <c r="D643" s="45" t="s">
        <v>208</v>
      </c>
      <c r="E643" s="45" t="s">
        <v>6956</v>
      </c>
      <c r="F643" s="45" t="s">
        <v>312</v>
      </c>
      <c r="G643" s="45" t="s">
        <v>208</v>
      </c>
      <c r="H643" s="45" t="s">
        <v>6957</v>
      </c>
      <c r="I643" s="45" t="s">
        <v>271</v>
      </c>
      <c r="J643" s="45" t="s">
        <v>5378</v>
      </c>
      <c r="K643" s="47">
        <v>46188.633842592593</v>
      </c>
      <c r="L643" s="47">
        <v>46189.336886574078</v>
      </c>
      <c r="M643" s="47">
        <v>46189.336886574078</v>
      </c>
      <c r="N643" s="47">
        <v>46195.403831018521</v>
      </c>
      <c r="P643" s="47">
        <v>46195.403831018521</v>
      </c>
      <c r="Q643" s="45" t="s">
        <v>44</v>
      </c>
      <c r="R643" s="45" t="s">
        <v>272</v>
      </c>
      <c r="S643" s="45" t="s">
        <v>175</v>
      </c>
      <c r="T643" s="45" t="s">
        <v>268</v>
      </c>
      <c r="U643" s="45" t="s">
        <v>5531</v>
      </c>
      <c r="X643" s="45" t="s">
        <v>5531</v>
      </c>
      <c r="Y643" s="45" t="s">
        <v>5974</v>
      </c>
    </row>
    <row r="644" spans="2:25" ht="15" customHeight="1">
      <c r="B644" s="45" t="s">
        <v>26</v>
      </c>
      <c r="C644" s="45" t="s">
        <v>44</v>
      </c>
      <c r="D644" s="45" t="s">
        <v>208</v>
      </c>
      <c r="E644" s="45" t="s">
        <v>6958</v>
      </c>
      <c r="F644" s="45" t="s">
        <v>312</v>
      </c>
      <c r="G644" s="45" t="s">
        <v>208</v>
      </c>
      <c r="H644" s="45" t="s">
        <v>6959</v>
      </c>
      <c r="I644" s="45" t="s">
        <v>275</v>
      </c>
      <c r="J644" s="45" t="s">
        <v>5378</v>
      </c>
      <c r="K644" s="47">
        <v>46188.607893518521</v>
      </c>
      <c r="L644" s="47">
        <v>46189.559907407405</v>
      </c>
      <c r="M644" s="47">
        <v>46189.559907407405</v>
      </c>
      <c r="N644" s="47">
        <v>46195.406388888892</v>
      </c>
      <c r="P644" s="47">
        <v>46195.406388888892</v>
      </c>
      <c r="Q644" s="45" t="s">
        <v>44</v>
      </c>
      <c r="R644" s="45" t="s">
        <v>272</v>
      </c>
      <c r="S644" s="45" t="s">
        <v>175</v>
      </c>
      <c r="T644" s="45" t="s">
        <v>268</v>
      </c>
      <c r="U644" s="45" t="s">
        <v>5531</v>
      </c>
      <c r="X644" s="45" t="s">
        <v>5531</v>
      </c>
      <c r="Y644" s="45" t="s">
        <v>6901</v>
      </c>
    </row>
    <row r="645" spans="2:25" ht="15" customHeight="1">
      <c r="B645" s="45" t="s">
        <v>26</v>
      </c>
      <c r="C645" s="45" t="s">
        <v>44</v>
      </c>
      <c r="D645" s="45" t="s">
        <v>208</v>
      </c>
      <c r="E645" s="45" t="s">
        <v>6960</v>
      </c>
      <c r="F645" s="45" t="s">
        <v>312</v>
      </c>
      <c r="G645" s="45" t="s">
        <v>208</v>
      </c>
      <c r="H645" s="45" t="s">
        <v>6961</v>
      </c>
      <c r="I645" s="45" t="s">
        <v>275</v>
      </c>
      <c r="J645" s="45" t="s">
        <v>5378</v>
      </c>
      <c r="K645" s="47">
        <v>46188.595046296294</v>
      </c>
      <c r="L645" s="47">
        <v>46189.33761574074</v>
      </c>
      <c r="M645" s="47">
        <v>46189.33761574074</v>
      </c>
      <c r="N645" s="47">
        <v>46195.407685185186</v>
      </c>
      <c r="P645" s="47">
        <v>46195.407685185186</v>
      </c>
      <c r="Q645" s="45" t="s">
        <v>44</v>
      </c>
      <c r="R645" s="45" t="s">
        <v>272</v>
      </c>
      <c r="S645" s="45" t="s">
        <v>175</v>
      </c>
      <c r="T645" s="45" t="s">
        <v>268</v>
      </c>
      <c r="U645" s="45" t="s">
        <v>5531</v>
      </c>
      <c r="X645" s="45" t="s">
        <v>5531</v>
      </c>
      <c r="Y645" s="45" t="s">
        <v>6901</v>
      </c>
    </row>
    <row r="646" spans="2:25" ht="15" customHeight="1">
      <c r="B646" s="45" t="s">
        <v>26</v>
      </c>
      <c r="C646" s="45" t="s">
        <v>44</v>
      </c>
      <c r="D646" s="45" t="s">
        <v>208</v>
      </c>
      <c r="E646" s="45" t="s">
        <v>6962</v>
      </c>
      <c r="F646" s="45" t="s">
        <v>312</v>
      </c>
      <c r="G646" s="45" t="s">
        <v>208</v>
      </c>
      <c r="H646" s="45" t="s">
        <v>6963</v>
      </c>
      <c r="I646" s="45" t="s">
        <v>271</v>
      </c>
      <c r="J646" s="45" t="s">
        <v>5378</v>
      </c>
      <c r="K646" s="47">
        <v>46190.521261574075</v>
      </c>
      <c r="L646" s="47">
        <v>46190.531111111108</v>
      </c>
      <c r="M646" s="47">
        <v>46190.531111111108</v>
      </c>
      <c r="N646" s="47">
        <v>46197.602870370371</v>
      </c>
      <c r="P646" s="47">
        <v>46197.602870370371</v>
      </c>
      <c r="Q646" s="45" t="s">
        <v>44</v>
      </c>
      <c r="R646" s="45" t="s">
        <v>261</v>
      </c>
      <c r="S646" s="45" t="s">
        <v>175</v>
      </c>
      <c r="T646" s="45" t="s">
        <v>268</v>
      </c>
      <c r="U646" s="45" t="s">
        <v>5531</v>
      </c>
      <c r="X646" s="45" t="s">
        <v>5531</v>
      </c>
      <c r="Y646" s="45" t="s">
        <v>5974</v>
      </c>
    </row>
    <row r="647" spans="2:25" ht="15" customHeight="1">
      <c r="B647" s="45" t="s">
        <v>26</v>
      </c>
      <c r="C647" s="45" t="s">
        <v>44</v>
      </c>
      <c r="D647" s="45" t="s">
        <v>208</v>
      </c>
      <c r="E647" s="45" t="s">
        <v>6964</v>
      </c>
      <c r="F647" s="45" t="s">
        <v>312</v>
      </c>
      <c r="G647" s="45" t="s">
        <v>208</v>
      </c>
      <c r="H647" s="45" t="s">
        <v>6965</v>
      </c>
      <c r="I647" s="45" t="s">
        <v>271</v>
      </c>
      <c r="J647" s="45" t="s">
        <v>5378</v>
      </c>
      <c r="K647" s="47">
        <v>46189.632847222223</v>
      </c>
      <c r="L647" s="47">
        <v>46190.42931712963</v>
      </c>
      <c r="M647" s="47">
        <v>46190.42931712963</v>
      </c>
      <c r="N647" s="47">
        <v>46199.299108796295</v>
      </c>
      <c r="P647" s="47">
        <v>46199.299108796295</v>
      </c>
      <c r="Q647" s="45" t="s">
        <v>44</v>
      </c>
      <c r="R647" s="45" t="s">
        <v>261</v>
      </c>
      <c r="S647" s="45" t="s">
        <v>175</v>
      </c>
      <c r="T647" s="45" t="s">
        <v>268</v>
      </c>
      <c r="U647" s="45" t="s">
        <v>5531</v>
      </c>
      <c r="X647" s="45" t="s">
        <v>5531</v>
      </c>
      <c r="Y647" s="45" t="s">
        <v>5974</v>
      </c>
    </row>
    <row r="648" spans="2:25" ht="15" customHeight="1">
      <c r="B648" s="45" t="s">
        <v>26</v>
      </c>
      <c r="C648" s="45" t="s">
        <v>44</v>
      </c>
      <c r="D648" s="45" t="s">
        <v>208</v>
      </c>
      <c r="E648" s="45" t="s">
        <v>6966</v>
      </c>
      <c r="F648" s="45" t="s">
        <v>312</v>
      </c>
      <c r="G648" s="45" t="s">
        <v>208</v>
      </c>
      <c r="H648" s="45" t="s">
        <v>2251</v>
      </c>
      <c r="I648" s="45" t="s">
        <v>271</v>
      </c>
      <c r="J648" s="45" t="s">
        <v>5378</v>
      </c>
      <c r="K648" s="47">
        <v>46195.512627314813</v>
      </c>
      <c r="L648" s="47">
        <v>46195.608113425929</v>
      </c>
      <c r="M648" s="47">
        <v>46195.608113425929</v>
      </c>
      <c r="N648" s="47">
        <v>46195.608113425929</v>
      </c>
      <c r="P648" s="47">
        <v>46195.608113425929</v>
      </c>
      <c r="Q648" s="45" t="s">
        <v>44</v>
      </c>
      <c r="R648" s="45" t="s">
        <v>272</v>
      </c>
      <c r="S648" s="45" t="s">
        <v>175</v>
      </c>
      <c r="T648" s="45" t="s">
        <v>268</v>
      </c>
      <c r="U648" s="45" t="s">
        <v>5531</v>
      </c>
      <c r="X648" s="45" t="s">
        <v>5531</v>
      </c>
      <c r="Y648" s="45" t="s">
        <v>6908</v>
      </c>
    </row>
    <row r="649" spans="2:25" ht="15" customHeight="1">
      <c r="B649" s="45" t="s">
        <v>26</v>
      </c>
      <c r="C649" s="45" t="s">
        <v>44</v>
      </c>
      <c r="D649" s="45" t="s">
        <v>208</v>
      </c>
      <c r="E649" s="45" t="s">
        <v>6967</v>
      </c>
      <c r="F649" s="45" t="s">
        <v>312</v>
      </c>
      <c r="G649" s="45" t="s">
        <v>208</v>
      </c>
      <c r="H649" s="45" t="s">
        <v>6953</v>
      </c>
      <c r="I649" s="45" t="s">
        <v>275</v>
      </c>
      <c r="J649" s="45" t="s">
        <v>5378</v>
      </c>
      <c r="K649" s="47">
        <v>46198.394965277781</v>
      </c>
      <c r="L649" s="47">
        <v>46198.432870370372</v>
      </c>
      <c r="M649" s="47">
        <v>46198.432870370372</v>
      </c>
      <c r="N649" s="47">
        <v>46199.309652777774</v>
      </c>
      <c r="P649" s="47">
        <v>46199.309652777774</v>
      </c>
      <c r="Q649" s="45" t="s">
        <v>44</v>
      </c>
      <c r="R649" s="45" t="s">
        <v>272</v>
      </c>
      <c r="S649" s="45" t="s">
        <v>175</v>
      </c>
      <c r="T649" s="45" t="s">
        <v>268</v>
      </c>
      <c r="U649" s="45" t="s">
        <v>5531</v>
      </c>
      <c r="X649" s="45" t="s">
        <v>5531</v>
      </c>
      <c r="Y649" s="45" t="s">
        <v>6901</v>
      </c>
    </row>
    <row r="650" spans="2:25" ht="15" customHeight="1">
      <c r="B650" s="45" t="s">
        <v>26</v>
      </c>
      <c r="C650" s="45" t="s">
        <v>44</v>
      </c>
      <c r="D650" s="45" t="s">
        <v>208</v>
      </c>
      <c r="E650" s="45" t="s">
        <v>6968</v>
      </c>
      <c r="F650" s="45" t="s">
        <v>312</v>
      </c>
      <c r="G650" s="45" t="s">
        <v>208</v>
      </c>
      <c r="H650" s="45" t="s">
        <v>6969</v>
      </c>
      <c r="I650" s="45" t="s">
        <v>275</v>
      </c>
      <c r="J650" s="45" t="s">
        <v>5378</v>
      </c>
      <c r="K650" s="47">
        <v>46191.365266203706</v>
      </c>
      <c r="L650" s="47">
        <v>46191.460162037038</v>
      </c>
      <c r="M650" s="47">
        <v>46191.460162037038</v>
      </c>
      <c r="N650" s="47">
        <v>46199.335787037038</v>
      </c>
      <c r="P650" s="47">
        <v>46199.335787037038</v>
      </c>
      <c r="Q650" s="45" t="s">
        <v>44</v>
      </c>
      <c r="R650" s="45" t="s">
        <v>272</v>
      </c>
      <c r="S650" s="45" t="s">
        <v>175</v>
      </c>
      <c r="T650" s="45" t="s">
        <v>268</v>
      </c>
      <c r="U650" s="45" t="s">
        <v>5531</v>
      </c>
      <c r="X650" s="45" t="s">
        <v>5531</v>
      </c>
      <c r="Y650" s="45" t="s">
        <v>6908</v>
      </c>
    </row>
    <row r="651" spans="2:25" ht="15" customHeight="1">
      <c r="B651" s="45" t="s">
        <v>26</v>
      </c>
      <c r="C651" s="45" t="s">
        <v>44</v>
      </c>
      <c r="D651" s="45" t="s">
        <v>208</v>
      </c>
      <c r="E651" s="45" t="s">
        <v>6970</v>
      </c>
      <c r="F651" s="45" t="s">
        <v>312</v>
      </c>
      <c r="G651" s="45" t="s">
        <v>208</v>
      </c>
      <c r="H651" s="45" t="s">
        <v>6971</v>
      </c>
      <c r="I651" s="45" t="s">
        <v>275</v>
      </c>
      <c r="J651" s="45" t="s">
        <v>5378</v>
      </c>
      <c r="K651" s="47">
        <v>46190.576863425929</v>
      </c>
      <c r="L651" s="47">
        <v>46190.71675925926</v>
      </c>
      <c r="M651" s="47">
        <v>46190.71675925926</v>
      </c>
      <c r="N651" s="47">
        <v>46202.420902777776</v>
      </c>
      <c r="P651" s="47">
        <v>46202.420902777776</v>
      </c>
      <c r="Q651" s="45" t="s">
        <v>6972</v>
      </c>
      <c r="R651" s="45" t="s">
        <v>272</v>
      </c>
      <c r="S651" s="45" t="s">
        <v>175</v>
      </c>
      <c r="T651" s="45" t="s">
        <v>268</v>
      </c>
      <c r="U651" s="45" t="s">
        <v>5531</v>
      </c>
      <c r="X651" s="45" t="s">
        <v>5531</v>
      </c>
      <c r="Y651" s="45" t="s">
        <v>6901</v>
      </c>
    </row>
    <row r="652" spans="2:25" ht="15" customHeight="1">
      <c r="B652" s="45" t="s">
        <v>26</v>
      </c>
      <c r="C652" s="45" t="s">
        <v>44</v>
      </c>
      <c r="D652" s="45" t="s">
        <v>207</v>
      </c>
      <c r="E652" s="45" t="s">
        <v>6973</v>
      </c>
      <c r="F652" s="45" t="s">
        <v>312</v>
      </c>
      <c r="G652" s="45">
        <v>4</v>
      </c>
      <c r="H652" s="46" t="s">
        <v>6974</v>
      </c>
      <c r="I652" s="45" t="s">
        <v>271</v>
      </c>
      <c r="J652" s="45" t="s">
        <v>5378</v>
      </c>
      <c r="K652" s="47">
        <v>46191.851655092592</v>
      </c>
      <c r="L652" s="47">
        <v>46192.496076388888</v>
      </c>
      <c r="M652" s="47">
        <v>46192.518182870372</v>
      </c>
      <c r="N652" s="47">
        <v>46193.483842592592</v>
      </c>
      <c r="Q652" s="45" t="s">
        <v>5869</v>
      </c>
      <c r="R652" s="45" t="s">
        <v>272</v>
      </c>
      <c r="S652" s="45" t="s">
        <v>175</v>
      </c>
      <c r="T652" s="45" t="s">
        <v>268</v>
      </c>
      <c r="U652" s="45" t="s">
        <v>5531</v>
      </c>
      <c r="X652" s="45" t="s">
        <v>5531</v>
      </c>
      <c r="Y652" s="45" t="s">
        <v>6975</v>
      </c>
    </row>
    <row r="653" spans="2:25" ht="15" customHeight="1">
      <c r="B653" s="45" t="s">
        <v>26</v>
      </c>
      <c r="C653" s="45" t="s">
        <v>44</v>
      </c>
      <c r="D653" s="45" t="s">
        <v>207</v>
      </c>
      <c r="E653" s="45" t="s">
        <v>6976</v>
      </c>
      <c r="F653" s="45" t="s">
        <v>312</v>
      </c>
      <c r="G653" s="45">
        <v>4</v>
      </c>
      <c r="H653" s="45" t="s">
        <v>6977</v>
      </c>
      <c r="I653" s="45" t="s">
        <v>271</v>
      </c>
      <c r="J653" s="45" t="s">
        <v>5378</v>
      </c>
      <c r="K653" s="47">
        <v>46188.820381944446</v>
      </c>
      <c r="L653" s="47">
        <v>46188.820381944446</v>
      </c>
      <c r="M653" s="47">
        <v>46188.829861111109</v>
      </c>
      <c r="N653" s="47">
        <v>46190.491597222222</v>
      </c>
      <c r="Q653" s="45" t="s">
        <v>44</v>
      </c>
      <c r="R653" s="45" t="s">
        <v>272</v>
      </c>
      <c r="S653" s="45" t="s">
        <v>175</v>
      </c>
      <c r="T653" s="45" t="s">
        <v>268</v>
      </c>
      <c r="U653" s="45" t="s">
        <v>5531</v>
      </c>
      <c r="X653" s="45" t="s">
        <v>5531</v>
      </c>
      <c r="Y653" s="45" t="s">
        <v>6978</v>
      </c>
    </row>
    <row r="654" spans="2:25" ht="15" customHeight="1">
      <c r="B654" s="45" t="s">
        <v>26</v>
      </c>
      <c r="C654" s="45" t="s">
        <v>44</v>
      </c>
      <c r="D654" s="45" t="s">
        <v>207</v>
      </c>
      <c r="E654" s="45" t="s">
        <v>6979</v>
      </c>
      <c r="F654" s="45" t="s">
        <v>312</v>
      </c>
      <c r="G654" s="45">
        <v>4</v>
      </c>
      <c r="H654" s="45" t="s">
        <v>6980</v>
      </c>
      <c r="I654" s="45" t="s">
        <v>271</v>
      </c>
      <c r="J654" s="45" t="s">
        <v>5378</v>
      </c>
      <c r="K654" s="47">
        <v>46174.627013888887</v>
      </c>
      <c r="L654" s="47">
        <v>46176.541539351849</v>
      </c>
      <c r="M654" s="47">
        <v>46176.562627314815</v>
      </c>
      <c r="N654" s="47">
        <v>46177.600821759261</v>
      </c>
      <c r="Q654" s="45" t="s">
        <v>44</v>
      </c>
      <c r="R654" s="45" t="s">
        <v>272</v>
      </c>
      <c r="S654" s="45" t="s">
        <v>175</v>
      </c>
      <c r="T654" s="45" t="s">
        <v>268</v>
      </c>
      <c r="U654" s="45" t="s">
        <v>5531</v>
      </c>
      <c r="X654" s="45" t="s">
        <v>5531</v>
      </c>
      <c r="Y654" s="45" t="s">
        <v>6978</v>
      </c>
    </row>
    <row r="655" spans="2:25" ht="15" customHeight="1">
      <c r="B655" s="45" t="s">
        <v>26</v>
      </c>
      <c r="C655" s="45" t="s">
        <v>44</v>
      </c>
      <c r="D655" s="45" t="s">
        <v>208</v>
      </c>
      <c r="E655" s="45" t="s">
        <v>6981</v>
      </c>
      <c r="F655" s="45" t="s">
        <v>312</v>
      </c>
      <c r="G655" s="45" t="s">
        <v>208</v>
      </c>
      <c r="H655" s="45" t="s">
        <v>6982</v>
      </c>
      <c r="I655" s="45" t="s">
        <v>275</v>
      </c>
      <c r="J655" s="45" t="s">
        <v>5378</v>
      </c>
      <c r="K655" s="47">
        <v>46181.72</v>
      </c>
      <c r="L655" s="47">
        <v>46181.72</v>
      </c>
      <c r="M655" s="47">
        <v>46181.762627314813</v>
      </c>
      <c r="N655" s="47">
        <v>46181.800671296296</v>
      </c>
      <c r="Q655" s="45" t="s">
        <v>6032</v>
      </c>
      <c r="R655" s="45" t="s">
        <v>272</v>
      </c>
      <c r="S655" s="45" t="s">
        <v>175</v>
      </c>
      <c r="T655" s="45" t="s">
        <v>268</v>
      </c>
      <c r="U655" s="45" t="s">
        <v>5531</v>
      </c>
      <c r="X655" s="45" t="s">
        <v>5531</v>
      </c>
      <c r="Y655" s="45" t="s">
        <v>6853</v>
      </c>
    </row>
    <row r="656" spans="2:25" ht="15" customHeight="1">
      <c r="B656" s="45" t="s">
        <v>26</v>
      </c>
      <c r="C656" s="45" t="s">
        <v>44</v>
      </c>
      <c r="D656" s="45" t="s">
        <v>208</v>
      </c>
      <c r="E656" s="45" t="s">
        <v>6983</v>
      </c>
      <c r="F656" s="45" t="s">
        <v>312</v>
      </c>
      <c r="G656" s="45" t="s">
        <v>208</v>
      </c>
      <c r="H656" s="45" t="s">
        <v>6984</v>
      </c>
      <c r="I656" s="45" t="s">
        <v>275</v>
      </c>
      <c r="J656" s="45" t="s">
        <v>5378</v>
      </c>
      <c r="K656" s="47">
        <v>46178.753194444442</v>
      </c>
      <c r="L656" s="47">
        <v>46178.753194444442</v>
      </c>
      <c r="M656" s="47">
        <v>46178.788194444445</v>
      </c>
      <c r="N656" s="47">
        <v>46181.754629629628</v>
      </c>
      <c r="Q656" s="45" t="s">
        <v>6985</v>
      </c>
      <c r="R656" s="45" t="s">
        <v>272</v>
      </c>
      <c r="S656" s="45" t="s">
        <v>175</v>
      </c>
      <c r="T656" s="45" t="s">
        <v>268</v>
      </c>
      <c r="U656" s="45" t="s">
        <v>5531</v>
      </c>
      <c r="X656" s="45" t="s">
        <v>5531</v>
      </c>
      <c r="Y656" s="45" t="s">
        <v>6986</v>
      </c>
    </row>
    <row r="657" spans="2:25" ht="15" customHeight="1">
      <c r="B657" s="45" t="s">
        <v>26</v>
      </c>
      <c r="C657" s="45" t="s">
        <v>44</v>
      </c>
      <c r="D657" s="45" t="s">
        <v>207</v>
      </c>
      <c r="E657" s="45" t="s">
        <v>6987</v>
      </c>
      <c r="F657" s="45" t="s">
        <v>312</v>
      </c>
      <c r="G657" s="45">
        <v>3</v>
      </c>
      <c r="H657" s="45" t="s">
        <v>6988</v>
      </c>
      <c r="I657" s="45" t="s">
        <v>275</v>
      </c>
      <c r="J657" s="45" t="s">
        <v>5378</v>
      </c>
      <c r="K657" s="47">
        <v>46174.756168981483</v>
      </c>
      <c r="L657" s="47">
        <v>46174.756168981483</v>
      </c>
      <c r="M657" s="71">
        <v>46179.52847222222</v>
      </c>
      <c r="N657" s="47">
        <v>46182.570231481484</v>
      </c>
      <c r="Q657" s="45" t="s">
        <v>6989</v>
      </c>
      <c r="R657" s="45" t="s">
        <v>272</v>
      </c>
      <c r="S657" s="45" t="s">
        <v>175</v>
      </c>
      <c r="T657" s="45" t="s">
        <v>268</v>
      </c>
      <c r="U657" s="45" t="s">
        <v>5531</v>
      </c>
      <c r="X657" s="45" t="s">
        <v>5531</v>
      </c>
      <c r="Y657" s="45" t="s">
        <v>6990</v>
      </c>
    </row>
    <row r="658" spans="2:25" ht="15" customHeight="1">
      <c r="B658" s="45" t="s">
        <v>26</v>
      </c>
      <c r="C658" s="45" t="s">
        <v>44</v>
      </c>
      <c r="D658" s="45" t="s">
        <v>207</v>
      </c>
      <c r="E658" s="45" t="s">
        <v>6991</v>
      </c>
      <c r="F658" s="45" t="s">
        <v>312</v>
      </c>
      <c r="G658" s="45">
        <v>4</v>
      </c>
      <c r="H658" s="45" t="s">
        <v>6992</v>
      </c>
      <c r="I658" s="45" t="s">
        <v>275</v>
      </c>
      <c r="J658" s="45" t="s">
        <v>5378</v>
      </c>
      <c r="K658" s="47">
        <v>46178.466666666667</v>
      </c>
      <c r="L658" s="47">
        <v>46178.466666666667</v>
      </c>
      <c r="M658" s="47">
        <v>46178.500694444447</v>
      </c>
      <c r="N658" s="47">
        <v>46182.441562499997</v>
      </c>
      <c r="Q658" s="45" t="s">
        <v>44</v>
      </c>
      <c r="R658" s="45" t="s">
        <v>272</v>
      </c>
      <c r="S658" s="45" t="s">
        <v>175</v>
      </c>
      <c r="T658" s="45" t="s">
        <v>268</v>
      </c>
      <c r="U658" s="45" t="s">
        <v>5531</v>
      </c>
      <c r="X658" s="45" t="s">
        <v>5531</v>
      </c>
      <c r="Y658" s="45" t="s">
        <v>6993</v>
      </c>
    </row>
    <row r="659" spans="2:25" ht="15" customHeight="1">
      <c r="B659" s="45" t="s">
        <v>26</v>
      </c>
      <c r="C659" s="45" t="s">
        <v>44</v>
      </c>
      <c r="D659" s="45" t="s">
        <v>207</v>
      </c>
      <c r="E659" s="45" t="s">
        <v>6994</v>
      </c>
      <c r="F659" s="45" t="s">
        <v>312</v>
      </c>
      <c r="G659" s="45">
        <v>4</v>
      </c>
      <c r="H659" s="45" t="s">
        <v>6995</v>
      </c>
      <c r="I659" s="45" t="s">
        <v>271</v>
      </c>
      <c r="J659" s="45" t="s">
        <v>5378</v>
      </c>
      <c r="K659" s="47">
        <v>46181.72</v>
      </c>
      <c r="L659" s="47">
        <v>46181.72</v>
      </c>
      <c r="M659" s="47">
        <v>46181.762627314813</v>
      </c>
      <c r="N659" s="47">
        <v>46181.800671296296</v>
      </c>
      <c r="Q659" s="45" t="s">
        <v>6996</v>
      </c>
      <c r="R659" s="45" t="s">
        <v>272</v>
      </c>
      <c r="S659" s="45" t="s">
        <v>175</v>
      </c>
      <c r="T659" s="45" t="s">
        <v>268</v>
      </c>
      <c r="U659" s="45" t="s">
        <v>5531</v>
      </c>
      <c r="X659" s="45" t="s">
        <v>5531</v>
      </c>
      <c r="Y659" s="45" t="s">
        <v>6990</v>
      </c>
    </row>
    <row r="660" spans="2:25" ht="15" customHeight="1">
      <c r="B660" s="45" t="s">
        <v>26</v>
      </c>
      <c r="C660" s="45" t="s">
        <v>44</v>
      </c>
      <c r="D660" s="45" t="s">
        <v>207</v>
      </c>
      <c r="E660" s="45" t="s">
        <v>6997</v>
      </c>
      <c r="F660" s="45" t="s">
        <v>312</v>
      </c>
      <c r="G660" s="45">
        <v>4</v>
      </c>
      <c r="H660" s="45" t="s">
        <v>6998</v>
      </c>
      <c r="I660" s="45" t="s">
        <v>271</v>
      </c>
      <c r="J660" s="45" t="s">
        <v>5378</v>
      </c>
      <c r="K660" s="47">
        <v>46188.820381944446</v>
      </c>
      <c r="L660" s="47">
        <v>46188.820381944446</v>
      </c>
      <c r="M660" s="47">
        <v>46188.829861111109</v>
      </c>
      <c r="N660" s="47">
        <v>46190.491597222222</v>
      </c>
      <c r="Q660" s="45" t="s">
        <v>6032</v>
      </c>
      <c r="R660" s="45" t="s">
        <v>272</v>
      </c>
      <c r="S660" s="45" t="s">
        <v>175</v>
      </c>
      <c r="T660" s="45" t="s">
        <v>268</v>
      </c>
      <c r="U660" s="45" t="s">
        <v>5531</v>
      </c>
      <c r="X660" s="45" t="s">
        <v>5531</v>
      </c>
      <c r="Y660" s="45" t="s">
        <v>6999</v>
      </c>
    </row>
    <row r="661" spans="2:25" ht="15" customHeight="1">
      <c r="B661" s="45" t="s">
        <v>26</v>
      </c>
      <c r="C661" s="45" t="s">
        <v>44</v>
      </c>
      <c r="D661" s="45" t="s">
        <v>207</v>
      </c>
      <c r="E661" s="45" t="s">
        <v>7000</v>
      </c>
      <c r="F661" s="45" t="s">
        <v>312</v>
      </c>
      <c r="G661" s="45">
        <v>4</v>
      </c>
      <c r="H661" s="45" t="s">
        <v>6090</v>
      </c>
      <c r="I661" s="45" t="s">
        <v>275</v>
      </c>
      <c r="J661" s="45" t="s">
        <v>5378</v>
      </c>
      <c r="K661" s="47">
        <v>46190.576863425929</v>
      </c>
      <c r="L661" s="47">
        <v>46190.71675925926</v>
      </c>
      <c r="M661" s="47">
        <v>46190.71675925926</v>
      </c>
      <c r="N661" s="47">
        <v>46202.420902777776</v>
      </c>
      <c r="Q661" s="45" t="s">
        <v>7001</v>
      </c>
      <c r="R661" s="45" t="s">
        <v>272</v>
      </c>
      <c r="S661" s="45" t="s">
        <v>175</v>
      </c>
      <c r="T661" s="45" t="s">
        <v>268</v>
      </c>
      <c r="U661" s="45" t="s">
        <v>5531</v>
      </c>
      <c r="X661" s="45" t="s">
        <v>5531</v>
      </c>
      <c r="Y661" s="45" t="s">
        <v>6084</v>
      </c>
    </row>
    <row r="662" spans="2:25" ht="15" customHeight="1">
      <c r="B662" s="45" t="s">
        <v>26</v>
      </c>
      <c r="C662" s="45" t="s">
        <v>44</v>
      </c>
      <c r="D662" s="45" t="s">
        <v>207</v>
      </c>
      <c r="E662" s="45" t="s">
        <v>7002</v>
      </c>
      <c r="F662" s="45" t="s">
        <v>312</v>
      </c>
      <c r="G662" s="45">
        <v>3</v>
      </c>
      <c r="H662" s="45" t="s">
        <v>7003</v>
      </c>
      <c r="I662" s="45" t="s">
        <v>271</v>
      </c>
      <c r="J662" s="45" t="s">
        <v>5378</v>
      </c>
      <c r="K662" s="47">
        <v>46176.919085648151</v>
      </c>
      <c r="L662" s="47">
        <v>46176.919085648151</v>
      </c>
      <c r="M662" s="47">
        <v>46177.490706018521</v>
      </c>
      <c r="N662" s="147">
        <v>46181.800671296296</v>
      </c>
      <c r="Q662" s="45" t="s">
        <v>5534</v>
      </c>
      <c r="R662" s="45" t="s">
        <v>272</v>
      </c>
      <c r="S662" s="45" t="s">
        <v>175</v>
      </c>
      <c r="T662" s="45" t="s">
        <v>268</v>
      </c>
      <c r="U662" s="45" t="s">
        <v>5531</v>
      </c>
      <c r="X662" s="45" t="s">
        <v>5531</v>
      </c>
      <c r="Y662" s="45" t="s">
        <v>7004</v>
      </c>
    </row>
    <row r="663" spans="2:25" ht="15" customHeight="1">
      <c r="B663" s="45" t="s">
        <v>26</v>
      </c>
      <c r="C663" s="45" t="s">
        <v>44</v>
      </c>
      <c r="D663" s="45" t="s">
        <v>207</v>
      </c>
      <c r="E663" s="45" t="s">
        <v>7005</v>
      </c>
      <c r="F663" s="45" t="s">
        <v>312</v>
      </c>
      <c r="G663" s="45">
        <v>4</v>
      </c>
      <c r="H663" s="45" t="s">
        <v>7006</v>
      </c>
      <c r="I663" s="45" t="s">
        <v>275</v>
      </c>
      <c r="J663" s="45" t="s">
        <v>6221</v>
      </c>
      <c r="K663" s="47">
        <v>46197.751192129632</v>
      </c>
      <c r="L663" s="47">
        <v>46202.543645833335</v>
      </c>
      <c r="M663" s="47">
        <v>46202.543645833335</v>
      </c>
      <c r="N663" s="47">
        <v>46204.65902777778</v>
      </c>
      <c r="O663" s="47">
        <v>46202.543645833335</v>
      </c>
      <c r="Q663" s="45" t="s">
        <v>7007</v>
      </c>
      <c r="R663" s="45" t="s">
        <v>272</v>
      </c>
      <c r="S663" s="45" t="s">
        <v>175</v>
      </c>
      <c r="T663" s="45" t="s">
        <v>268</v>
      </c>
      <c r="U663" s="45" t="s">
        <v>371</v>
      </c>
      <c r="X663" s="45" t="s">
        <v>5531</v>
      </c>
      <c r="Y663" s="45" t="s">
        <v>7008</v>
      </c>
    </row>
    <row r="664" spans="2:25" ht="15" customHeight="1">
      <c r="B664" s="45" t="s">
        <v>26</v>
      </c>
      <c r="C664" s="45" t="s">
        <v>44</v>
      </c>
      <c r="D664" s="45" t="s">
        <v>207</v>
      </c>
      <c r="E664" s="45" t="s">
        <v>7009</v>
      </c>
      <c r="F664" s="45" t="s">
        <v>312</v>
      </c>
      <c r="G664" s="45">
        <v>4</v>
      </c>
      <c r="H664" s="45" t="s">
        <v>7010</v>
      </c>
      <c r="I664" s="45" t="s">
        <v>266</v>
      </c>
      <c r="J664" s="45" t="s">
        <v>6221</v>
      </c>
      <c r="K664" s="47">
        <v>46189.350856481484</v>
      </c>
      <c r="L664" s="47">
        <v>46191.554340277777</v>
      </c>
      <c r="M664" s="47">
        <v>46191.554340277777</v>
      </c>
      <c r="O664" s="47">
        <v>46195.29787037037</v>
      </c>
      <c r="Q664" s="45" t="s">
        <v>7011</v>
      </c>
      <c r="R664" s="45" t="s">
        <v>272</v>
      </c>
      <c r="S664" s="45" t="s">
        <v>175</v>
      </c>
      <c r="T664" s="45" t="s">
        <v>268</v>
      </c>
      <c r="U664" s="45" t="s">
        <v>371</v>
      </c>
      <c r="X664" s="45" t="s">
        <v>5531</v>
      </c>
      <c r="Y664" s="45" t="s">
        <v>7008</v>
      </c>
    </row>
    <row r="665" spans="2:25" ht="15" customHeight="1">
      <c r="B665" s="45" t="s">
        <v>26</v>
      </c>
      <c r="C665" s="45" t="s">
        <v>44</v>
      </c>
      <c r="D665" s="45" t="s">
        <v>207</v>
      </c>
      <c r="E665" s="45" t="s">
        <v>3757</v>
      </c>
      <c r="F665" s="45" t="s">
        <v>312</v>
      </c>
      <c r="G665" s="45">
        <v>3</v>
      </c>
      <c r="H665" s="45" t="s">
        <v>3758</v>
      </c>
      <c r="I665" s="45" t="s">
        <v>275</v>
      </c>
      <c r="J665" s="45" t="s">
        <v>6221</v>
      </c>
      <c r="K665" s="47">
        <v>46202.519097222219</v>
      </c>
      <c r="L665" s="47">
        <v>46203.519930555558</v>
      </c>
      <c r="M665" s="47">
        <v>46203.519930555558</v>
      </c>
      <c r="N665" s="47">
        <v>46204.366273148145</v>
      </c>
      <c r="P665" s="47">
        <v>46204.366273148145</v>
      </c>
      <c r="Q665" s="45" t="s">
        <v>44</v>
      </c>
      <c r="R665" s="45" t="s">
        <v>272</v>
      </c>
      <c r="S665" s="45" t="s">
        <v>175</v>
      </c>
      <c r="T665" s="45" t="s">
        <v>268</v>
      </c>
      <c r="U665" s="45" t="s">
        <v>371</v>
      </c>
      <c r="X665" s="45" t="s">
        <v>5531</v>
      </c>
      <c r="Y665" s="45" t="s">
        <v>7012</v>
      </c>
    </row>
    <row r="666" spans="2:25" ht="15" customHeight="1">
      <c r="B666" s="45" t="s">
        <v>26</v>
      </c>
      <c r="C666" s="45" t="s">
        <v>44</v>
      </c>
      <c r="D666" s="45" t="s">
        <v>207</v>
      </c>
      <c r="E666" s="45" t="s">
        <v>7013</v>
      </c>
      <c r="F666" s="45" t="s">
        <v>312</v>
      </c>
      <c r="G666" s="45" t="s">
        <v>208</v>
      </c>
      <c r="H666" s="45" t="s">
        <v>7014</v>
      </c>
      <c r="I666" s="45" t="s">
        <v>260</v>
      </c>
      <c r="J666" s="45" t="s">
        <v>6221</v>
      </c>
      <c r="K666" s="47">
        <v>46197.427812499998</v>
      </c>
      <c r="L666" s="47">
        <v>46197.454583333332</v>
      </c>
      <c r="M666" s="47">
        <v>46197.454583333332</v>
      </c>
      <c r="O666" s="47">
        <v>46202.451689814814</v>
      </c>
      <c r="Q666" s="45" t="s">
        <v>7015</v>
      </c>
      <c r="R666" s="45" t="s">
        <v>272</v>
      </c>
      <c r="S666" s="45" t="s">
        <v>175</v>
      </c>
      <c r="T666" s="45" t="s">
        <v>268</v>
      </c>
      <c r="U666" s="45" t="s">
        <v>371</v>
      </c>
      <c r="X666" s="45" t="s">
        <v>5531</v>
      </c>
      <c r="Y666" s="45" t="s">
        <v>6594</v>
      </c>
    </row>
    <row r="667" spans="2:25" ht="15" customHeight="1">
      <c r="B667" s="45" t="s">
        <v>26</v>
      </c>
      <c r="C667" s="45" t="s">
        <v>44</v>
      </c>
      <c r="D667" s="45" t="s">
        <v>207</v>
      </c>
      <c r="E667" s="45" t="s">
        <v>7016</v>
      </c>
      <c r="F667" s="45" t="s">
        <v>312</v>
      </c>
      <c r="G667" s="45" t="s">
        <v>208</v>
      </c>
      <c r="H667" s="45" t="s">
        <v>7017</v>
      </c>
      <c r="I667" s="45" t="s">
        <v>260</v>
      </c>
      <c r="J667" s="45" t="s">
        <v>6221</v>
      </c>
      <c r="K667" s="47">
        <v>46202.285914351851</v>
      </c>
      <c r="L667" s="47">
        <v>46202.309953703705</v>
      </c>
      <c r="M667" s="47">
        <v>46202.309953703705</v>
      </c>
      <c r="O667" s="47">
        <v>46202.309953703705</v>
      </c>
      <c r="Q667" s="45" t="s">
        <v>44</v>
      </c>
      <c r="R667" s="45" t="s">
        <v>272</v>
      </c>
      <c r="S667" s="45" t="s">
        <v>175</v>
      </c>
      <c r="T667" s="45" t="s">
        <v>268</v>
      </c>
      <c r="U667" s="45" t="s">
        <v>371</v>
      </c>
      <c r="X667" s="45" t="s">
        <v>5531</v>
      </c>
      <c r="Y667" s="45" t="s">
        <v>7008</v>
      </c>
    </row>
    <row r="668" spans="2:25" ht="15" customHeight="1">
      <c r="B668" s="45" t="s">
        <v>26</v>
      </c>
      <c r="C668" s="45" t="s">
        <v>44</v>
      </c>
      <c r="D668" s="45" t="s">
        <v>207</v>
      </c>
      <c r="E668" s="45" t="s">
        <v>7018</v>
      </c>
      <c r="F668" s="45" t="s">
        <v>312</v>
      </c>
      <c r="G668" s="45" t="s">
        <v>208</v>
      </c>
      <c r="H668" s="45" t="s">
        <v>6691</v>
      </c>
      <c r="I668" s="45" t="s">
        <v>260</v>
      </c>
      <c r="J668" s="45" t="s">
        <v>6221</v>
      </c>
      <c r="K668" s="47">
        <v>46203.348240740743</v>
      </c>
      <c r="L668" s="47">
        <v>46203.358506944445</v>
      </c>
      <c r="M668" s="47">
        <v>46203.358506944445</v>
      </c>
      <c r="O668" s="47">
        <v>46203.358506944445</v>
      </c>
      <c r="Q668" s="45" t="s">
        <v>44</v>
      </c>
      <c r="R668" s="45" t="s">
        <v>272</v>
      </c>
      <c r="S668" s="45" t="s">
        <v>175</v>
      </c>
      <c r="T668" s="45" t="s">
        <v>268</v>
      </c>
      <c r="U668" s="45" t="s">
        <v>371</v>
      </c>
      <c r="X668" s="45" t="s">
        <v>5531</v>
      </c>
      <c r="Y668" s="45" t="s">
        <v>7008</v>
      </c>
    </row>
    <row r="669" spans="2:25" ht="15" customHeight="1">
      <c r="B669" s="45" t="s">
        <v>26</v>
      </c>
      <c r="C669" s="45" t="s">
        <v>44</v>
      </c>
      <c r="D669" s="45" t="s">
        <v>207</v>
      </c>
      <c r="E669" s="45" t="s">
        <v>3125</v>
      </c>
      <c r="F669" s="45" t="s">
        <v>312</v>
      </c>
      <c r="G669" s="45">
        <v>3</v>
      </c>
      <c r="H669" s="45" t="s">
        <v>3126</v>
      </c>
      <c r="I669" s="45" t="s">
        <v>275</v>
      </c>
      <c r="J669" s="45" t="s">
        <v>7019</v>
      </c>
      <c r="K669" s="47">
        <v>46164.823611111111</v>
      </c>
      <c r="L669" s="47">
        <v>46169.709027777775</v>
      </c>
      <c r="M669" s="47">
        <v>46169.712500000001</v>
      </c>
      <c r="N669" s="47">
        <v>46174.447222222225</v>
      </c>
      <c r="Q669" s="45" t="s">
        <v>5873</v>
      </c>
      <c r="R669" s="45" t="s">
        <v>272</v>
      </c>
      <c r="S669" s="45" t="s">
        <v>175</v>
      </c>
      <c r="T669" s="45" t="s">
        <v>268</v>
      </c>
      <c r="U669" s="45" t="s">
        <v>371</v>
      </c>
      <c r="X669" s="45" t="s">
        <v>5531</v>
      </c>
      <c r="Y669" s="45" t="s">
        <v>7020</v>
      </c>
    </row>
    <row r="670" spans="2:25" ht="15" customHeight="1">
      <c r="B670" s="45" t="s">
        <v>26</v>
      </c>
      <c r="C670" s="45" t="s">
        <v>44</v>
      </c>
      <c r="D670" s="45" t="s">
        <v>208</v>
      </c>
      <c r="E670" s="45" t="s">
        <v>7021</v>
      </c>
      <c r="F670" s="45" t="s">
        <v>312</v>
      </c>
      <c r="G670" s="45" t="s">
        <v>208</v>
      </c>
      <c r="H670" s="45" t="s">
        <v>7022</v>
      </c>
      <c r="I670" s="45" t="s">
        <v>271</v>
      </c>
      <c r="J670" s="45" t="s">
        <v>7019</v>
      </c>
      <c r="K670" s="47">
        <v>46176.574305555558</v>
      </c>
      <c r="L670" s="47">
        <v>46182.911111111112</v>
      </c>
      <c r="M670" s="47">
        <v>46183.45</v>
      </c>
      <c r="N670" s="47">
        <v>46195.456944444442</v>
      </c>
      <c r="Q670" s="45" t="s">
        <v>5873</v>
      </c>
      <c r="R670" s="45" t="s">
        <v>272</v>
      </c>
      <c r="S670" s="45" t="s">
        <v>175</v>
      </c>
      <c r="T670" s="45" t="s">
        <v>268</v>
      </c>
      <c r="U670" s="45" t="s">
        <v>371</v>
      </c>
      <c r="X670" s="45" t="s">
        <v>5531</v>
      </c>
      <c r="Y670" s="45" t="s">
        <v>7023</v>
      </c>
    </row>
    <row r="671" spans="2:25" ht="15" customHeight="1">
      <c r="B671" s="45" t="s">
        <v>26</v>
      </c>
      <c r="C671" s="45" t="s">
        <v>44</v>
      </c>
      <c r="D671" s="45" t="s">
        <v>207</v>
      </c>
      <c r="E671" s="45" t="s">
        <v>7024</v>
      </c>
      <c r="F671" s="45" t="s">
        <v>312</v>
      </c>
      <c r="G671" s="45">
        <v>3</v>
      </c>
      <c r="H671" s="45" t="s">
        <v>7025</v>
      </c>
      <c r="I671" s="45" t="s">
        <v>275</v>
      </c>
      <c r="J671" s="45" t="s">
        <v>7019</v>
      </c>
      <c r="K671" s="47">
        <v>46182.620138888888</v>
      </c>
      <c r="L671" s="47">
        <v>46189.802083333336</v>
      </c>
      <c r="M671" s="47">
        <v>46190.490277777775</v>
      </c>
      <c r="N671" s="47">
        <v>46195.449305555558</v>
      </c>
      <c r="Q671" s="45" t="s">
        <v>7026</v>
      </c>
      <c r="R671" s="45" t="s">
        <v>272</v>
      </c>
      <c r="S671" s="45" t="s">
        <v>175</v>
      </c>
      <c r="T671" s="45" t="s">
        <v>300</v>
      </c>
      <c r="U671" s="45" t="s">
        <v>371</v>
      </c>
      <c r="X671" s="45" t="s">
        <v>5531</v>
      </c>
      <c r="Y671" s="45" t="s">
        <v>7027</v>
      </c>
    </row>
    <row r="672" spans="2:25" ht="15" customHeight="1">
      <c r="B672" s="45" t="s">
        <v>26</v>
      </c>
      <c r="C672" s="45" t="s">
        <v>44</v>
      </c>
      <c r="D672" s="45" t="s">
        <v>207</v>
      </c>
      <c r="E672" s="45" t="s">
        <v>7028</v>
      </c>
      <c r="F672" s="45" t="s">
        <v>312</v>
      </c>
      <c r="G672" s="45">
        <v>4</v>
      </c>
      <c r="H672" s="45" t="s">
        <v>7029</v>
      </c>
      <c r="I672" s="45" t="s">
        <v>275</v>
      </c>
      <c r="J672" s="45" t="s">
        <v>7019</v>
      </c>
      <c r="K672" s="47">
        <v>46181.768750000003</v>
      </c>
      <c r="L672" s="47">
        <v>46199.618750000001</v>
      </c>
      <c r="M672" s="47">
        <v>46199.65625</v>
      </c>
      <c r="N672" s="47">
        <v>46202.583333333336</v>
      </c>
      <c r="Q672" s="45" t="s">
        <v>7030</v>
      </c>
      <c r="R672" s="45" t="s">
        <v>272</v>
      </c>
      <c r="S672" s="45" t="s">
        <v>175</v>
      </c>
      <c r="T672" s="45" t="s">
        <v>268</v>
      </c>
      <c r="U672" s="45" t="s">
        <v>371</v>
      </c>
      <c r="X672" s="45" t="s">
        <v>5531</v>
      </c>
      <c r="Y672" s="45" t="s">
        <v>7031</v>
      </c>
    </row>
    <row r="673" spans="2:25" ht="15" customHeight="1">
      <c r="B673" s="45" t="s">
        <v>26</v>
      </c>
      <c r="C673" s="45" t="s">
        <v>44</v>
      </c>
      <c r="D673" s="45" t="s">
        <v>207</v>
      </c>
      <c r="E673" s="45" t="s">
        <v>7032</v>
      </c>
      <c r="F673" s="45" t="s">
        <v>312</v>
      </c>
      <c r="G673" s="45">
        <v>3</v>
      </c>
      <c r="H673" s="45" t="s">
        <v>7033</v>
      </c>
      <c r="I673" s="45" t="s">
        <v>275</v>
      </c>
      <c r="J673" s="45" t="s">
        <v>7019</v>
      </c>
      <c r="K673" s="47">
        <v>46199.46875</v>
      </c>
      <c r="L673" s="47">
        <v>46199.46875</v>
      </c>
      <c r="M673" s="47">
        <v>46199.490277777775</v>
      </c>
      <c r="N673" s="47">
        <v>46199.663194444445</v>
      </c>
      <c r="Q673" s="45" t="s">
        <v>6119</v>
      </c>
      <c r="R673" s="45" t="s">
        <v>272</v>
      </c>
      <c r="S673" s="45" t="s">
        <v>175</v>
      </c>
      <c r="T673" s="45" t="s">
        <v>268</v>
      </c>
      <c r="U673" s="45" t="s">
        <v>371</v>
      </c>
      <c r="X673" s="45" t="s">
        <v>5531</v>
      </c>
      <c r="Y673" s="45" t="s">
        <v>7034</v>
      </c>
    </row>
    <row r="674" spans="2:25" ht="15" customHeight="1">
      <c r="B674" s="45" t="s">
        <v>26</v>
      </c>
      <c r="C674" s="45" t="s">
        <v>44</v>
      </c>
      <c r="D674" s="45" t="s">
        <v>207</v>
      </c>
      <c r="E674" s="45" t="s">
        <v>7035</v>
      </c>
      <c r="F674" s="45" t="s">
        <v>312</v>
      </c>
      <c r="G674" s="45">
        <v>4</v>
      </c>
      <c r="H674" s="45" t="s">
        <v>7036</v>
      </c>
      <c r="I674" s="45" t="s">
        <v>275</v>
      </c>
      <c r="J674" s="45" t="s">
        <v>7019</v>
      </c>
      <c r="K674" s="47">
        <v>46191.819444444445</v>
      </c>
      <c r="L674" s="47">
        <v>46192.713194444441</v>
      </c>
      <c r="M674" s="47">
        <v>46192.75277777778</v>
      </c>
      <c r="N674" s="47">
        <v>46202.581944444442</v>
      </c>
      <c r="Q674" s="45" t="s">
        <v>5866</v>
      </c>
      <c r="R674" s="45" t="s">
        <v>272</v>
      </c>
      <c r="S674" s="45" t="s">
        <v>181</v>
      </c>
      <c r="T674" s="45" t="s">
        <v>268</v>
      </c>
      <c r="U674" s="45" t="s">
        <v>428</v>
      </c>
      <c r="X674" s="45" t="s">
        <v>5531</v>
      </c>
      <c r="Y674" s="45" t="s">
        <v>7037</v>
      </c>
    </row>
    <row r="675" spans="2:25" ht="15" customHeight="1">
      <c r="B675" s="45" t="s">
        <v>26</v>
      </c>
      <c r="C675" s="45" t="s">
        <v>44</v>
      </c>
      <c r="D675" s="45" t="s">
        <v>208</v>
      </c>
      <c r="E675" s="45" t="s">
        <v>7038</v>
      </c>
      <c r="F675" s="45" t="s">
        <v>312</v>
      </c>
      <c r="G675" s="45" t="s">
        <v>208</v>
      </c>
      <c r="H675" s="45" t="s">
        <v>7039</v>
      </c>
      <c r="I675" s="45" t="s">
        <v>266</v>
      </c>
      <c r="J675" s="45" t="s">
        <v>7019</v>
      </c>
      <c r="K675" s="47">
        <v>46190.782638888886</v>
      </c>
      <c r="L675" s="47">
        <v>46202.659722222219</v>
      </c>
      <c r="M675" s="47">
        <v>46202.732638888891</v>
      </c>
      <c r="O675" s="47">
        <v>46204.520833333336</v>
      </c>
      <c r="Q675" s="45" t="s">
        <v>5866</v>
      </c>
      <c r="R675" s="45" t="s">
        <v>261</v>
      </c>
      <c r="S675" s="45" t="s">
        <v>175</v>
      </c>
      <c r="T675" s="45" t="s">
        <v>277</v>
      </c>
      <c r="U675" s="45" t="s">
        <v>371</v>
      </c>
      <c r="X675" s="45" t="s">
        <v>5531</v>
      </c>
      <c r="Y675" s="45" t="s">
        <v>7040</v>
      </c>
    </row>
    <row r="676" spans="2:25" ht="15" customHeight="1">
      <c r="B676" s="45" t="s">
        <v>26</v>
      </c>
      <c r="C676" s="45" t="s">
        <v>44</v>
      </c>
      <c r="D676" s="45" t="s">
        <v>207</v>
      </c>
      <c r="E676" s="45" t="s">
        <v>7041</v>
      </c>
      <c r="F676" s="45" t="s">
        <v>312</v>
      </c>
      <c r="G676" s="45">
        <v>4</v>
      </c>
      <c r="H676" s="45" t="s">
        <v>7042</v>
      </c>
      <c r="I676" s="45" t="s">
        <v>271</v>
      </c>
      <c r="J676" s="45" t="s">
        <v>6738</v>
      </c>
      <c r="K676" s="47">
        <v>46206.141099537039</v>
      </c>
      <c r="L676" s="47">
        <v>46206.141099537039</v>
      </c>
      <c r="Q676" s="45" t="s">
        <v>6119</v>
      </c>
      <c r="R676" s="45" t="s">
        <v>272</v>
      </c>
      <c r="S676" s="45" t="s">
        <v>175</v>
      </c>
      <c r="T676" s="45" t="s">
        <v>308</v>
      </c>
      <c r="U676" s="45" t="s">
        <v>371</v>
      </c>
      <c r="X676" s="45" t="s">
        <v>5531</v>
      </c>
      <c r="Y676" s="45" t="s">
        <v>7043</v>
      </c>
    </row>
    <row r="677" spans="2:25" ht="15" customHeight="1">
      <c r="B677" s="45" t="s">
        <v>26</v>
      </c>
      <c r="C677" s="45" t="s">
        <v>44</v>
      </c>
      <c r="D677" s="45" t="s">
        <v>207</v>
      </c>
      <c r="E677" s="45" t="s">
        <v>7044</v>
      </c>
      <c r="F677" s="45" t="s">
        <v>312</v>
      </c>
      <c r="G677" s="45">
        <v>4</v>
      </c>
      <c r="H677" s="45" t="s">
        <v>7045</v>
      </c>
      <c r="I677" s="45" t="s">
        <v>271</v>
      </c>
      <c r="J677" s="45" t="s">
        <v>6738</v>
      </c>
      <c r="K677" s="47">
        <v>46205.439386574071</v>
      </c>
      <c r="L677" s="47">
        <v>46205.439386574071</v>
      </c>
      <c r="Q677" s="45" t="s">
        <v>6119</v>
      </c>
      <c r="R677" s="45" t="s">
        <v>272</v>
      </c>
      <c r="S677" s="45" t="s">
        <v>175</v>
      </c>
      <c r="T677" s="45" t="s">
        <v>308</v>
      </c>
      <c r="U677" s="45" t="s">
        <v>371</v>
      </c>
      <c r="X677" s="45" t="s">
        <v>5531</v>
      </c>
      <c r="Y677" s="45" t="s">
        <v>7043</v>
      </c>
    </row>
    <row r="678" spans="2:25" ht="15" customHeight="1">
      <c r="B678" s="45" t="s">
        <v>26</v>
      </c>
      <c r="C678" s="45" t="s">
        <v>44</v>
      </c>
      <c r="D678" s="45" t="s">
        <v>207</v>
      </c>
      <c r="E678" s="45" t="s">
        <v>7046</v>
      </c>
      <c r="F678" s="45" t="s">
        <v>312</v>
      </c>
      <c r="G678" s="45">
        <v>4</v>
      </c>
      <c r="H678" s="45" t="s">
        <v>6229</v>
      </c>
      <c r="I678" s="45" t="s">
        <v>271</v>
      </c>
      <c r="J678" s="45" t="s">
        <v>6738</v>
      </c>
      <c r="K678" s="47">
        <v>46204.299270833333</v>
      </c>
      <c r="L678" s="266">
        <v>46206.143541666665</v>
      </c>
      <c r="M678" s="47">
        <v>46206.448437500003</v>
      </c>
      <c r="Q678" s="45" t="s">
        <v>6119</v>
      </c>
      <c r="R678" s="45" t="s">
        <v>272</v>
      </c>
      <c r="S678" s="45" t="s">
        <v>175</v>
      </c>
      <c r="T678" s="45" t="s">
        <v>308</v>
      </c>
      <c r="U678" s="45" t="s">
        <v>371</v>
      </c>
      <c r="X678" s="45" t="s">
        <v>5531</v>
      </c>
      <c r="Y678" s="45" t="s">
        <v>7043</v>
      </c>
    </row>
    <row r="679" spans="2:25" ht="15" customHeight="1">
      <c r="B679" s="45" t="s">
        <v>26</v>
      </c>
      <c r="C679" s="45" t="s">
        <v>44</v>
      </c>
      <c r="D679" s="45" t="s">
        <v>207</v>
      </c>
      <c r="E679" s="45" t="s">
        <v>7047</v>
      </c>
      <c r="F679" s="45" t="s">
        <v>312</v>
      </c>
      <c r="G679" s="45">
        <v>4</v>
      </c>
      <c r="H679" s="45" t="s">
        <v>6737</v>
      </c>
      <c r="I679" s="45" t="s">
        <v>271</v>
      </c>
      <c r="J679" s="45" t="s">
        <v>6738</v>
      </c>
      <c r="K679" s="47">
        <v>46204.39640046296</v>
      </c>
      <c r="L679" s="47">
        <v>46204.39640046296</v>
      </c>
      <c r="Q679" s="45" t="s">
        <v>6119</v>
      </c>
      <c r="R679" s="45" t="s">
        <v>272</v>
      </c>
      <c r="S679" s="45" t="s">
        <v>175</v>
      </c>
      <c r="T679" s="45" t="s">
        <v>308</v>
      </c>
      <c r="U679" s="45" t="s">
        <v>371</v>
      </c>
      <c r="X679" s="45" t="s">
        <v>5531</v>
      </c>
      <c r="Y679" s="45" t="s">
        <v>7043</v>
      </c>
    </row>
    <row r="680" spans="2:25" ht="15" customHeight="1">
      <c r="B680" s="45" t="s">
        <v>26</v>
      </c>
      <c r="C680" s="45" t="s">
        <v>44</v>
      </c>
      <c r="D680" s="45" t="s">
        <v>207</v>
      </c>
      <c r="E680" s="45" t="s">
        <v>7048</v>
      </c>
      <c r="F680" s="45" t="s">
        <v>312</v>
      </c>
      <c r="G680" s="45">
        <v>4</v>
      </c>
      <c r="H680" s="45" t="s">
        <v>6394</v>
      </c>
      <c r="I680" s="45" t="s">
        <v>271</v>
      </c>
      <c r="J680" s="45" t="s">
        <v>6738</v>
      </c>
      <c r="K680" s="47">
        <v>46215.824108796296</v>
      </c>
      <c r="L680" s="47">
        <v>46215.824108796296</v>
      </c>
      <c r="Q680" s="45" t="s">
        <v>6119</v>
      </c>
      <c r="R680" s="45" t="s">
        <v>272</v>
      </c>
      <c r="S680" s="45" t="s">
        <v>175</v>
      </c>
      <c r="T680" s="45" t="s">
        <v>308</v>
      </c>
      <c r="U680" s="45" t="s">
        <v>371</v>
      </c>
      <c r="X680" s="45" t="s">
        <v>5531</v>
      </c>
      <c r="Y680" s="45" t="s">
        <v>7043</v>
      </c>
    </row>
    <row r="681" spans="2:25" ht="15" customHeight="1">
      <c r="B681" s="45" t="s">
        <v>26</v>
      </c>
      <c r="C681" s="45" t="s">
        <v>44</v>
      </c>
      <c r="D681" s="45" t="s">
        <v>207</v>
      </c>
      <c r="E681" s="45" t="s">
        <v>7049</v>
      </c>
      <c r="F681" s="45" t="s">
        <v>312</v>
      </c>
      <c r="G681" s="45">
        <v>3</v>
      </c>
      <c r="H681" s="45" t="s">
        <v>7050</v>
      </c>
      <c r="I681" s="45" t="s">
        <v>266</v>
      </c>
      <c r="J681" s="45" t="s">
        <v>6738</v>
      </c>
      <c r="K681" s="47">
        <v>46211.558680555558</v>
      </c>
      <c r="L681" s="47">
        <v>46211.566666666666</v>
      </c>
      <c r="M681" s="47">
        <v>46211.566979166666</v>
      </c>
      <c r="O681" s="47">
        <v>46212.663217592592</v>
      </c>
      <c r="P681" s="47">
        <v>46212.66815972222</v>
      </c>
      <c r="Q681" s="45" t="s">
        <v>5571</v>
      </c>
      <c r="R681" s="45" t="s">
        <v>272</v>
      </c>
      <c r="S681" s="45" t="s">
        <v>190</v>
      </c>
      <c r="T681" s="45" t="s">
        <v>268</v>
      </c>
      <c r="U681" s="45" t="s">
        <v>371</v>
      </c>
      <c r="X681" s="45" t="s">
        <v>5531</v>
      </c>
      <c r="Y681" s="45" t="s">
        <v>7051</v>
      </c>
    </row>
    <row r="682" spans="2:25" ht="15" customHeight="1">
      <c r="B682" s="45" t="s">
        <v>26</v>
      </c>
      <c r="C682" s="45" t="s">
        <v>44</v>
      </c>
      <c r="D682" s="45" t="s">
        <v>207</v>
      </c>
      <c r="E682" s="45" t="s">
        <v>7052</v>
      </c>
      <c r="F682" s="45" t="s">
        <v>312</v>
      </c>
      <c r="G682" s="45">
        <v>4</v>
      </c>
      <c r="H682" s="45" t="s">
        <v>7053</v>
      </c>
      <c r="I682" s="45" t="s">
        <v>275</v>
      </c>
      <c r="J682" s="45" t="s">
        <v>6738</v>
      </c>
      <c r="K682" s="47">
        <v>46211.490567129629</v>
      </c>
      <c r="L682" s="47">
        <v>46217.673842592594</v>
      </c>
      <c r="M682" s="47">
        <v>46217.773310185185</v>
      </c>
      <c r="N682" s="47">
        <v>46218.49732638889</v>
      </c>
      <c r="Q682" s="45" t="s">
        <v>7054</v>
      </c>
      <c r="R682" s="45" t="s">
        <v>272</v>
      </c>
      <c r="S682" s="45" t="s">
        <v>175</v>
      </c>
      <c r="T682" s="45" t="s">
        <v>268</v>
      </c>
      <c r="U682" s="45" t="s">
        <v>371</v>
      </c>
      <c r="X682" s="45" t="s">
        <v>5531</v>
      </c>
      <c r="Y682" s="45" t="s">
        <v>7055</v>
      </c>
    </row>
    <row r="683" spans="2:25" ht="15" customHeight="1">
      <c r="B683" s="45" t="s">
        <v>26</v>
      </c>
      <c r="C683" s="45" t="s">
        <v>44</v>
      </c>
      <c r="D683" s="45" t="s">
        <v>207</v>
      </c>
      <c r="E683" s="45" t="s">
        <v>7049</v>
      </c>
      <c r="F683" s="45" t="s">
        <v>312</v>
      </c>
      <c r="G683" s="45">
        <v>3</v>
      </c>
      <c r="H683" s="45" t="s">
        <v>7050</v>
      </c>
      <c r="I683" s="45" t="s">
        <v>266</v>
      </c>
      <c r="J683" s="45" t="s">
        <v>6738</v>
      </c>
      <c r="K683" s="47">
        <v>46211.558680555558</v>
      </c>
      <c r="L683" s="47">
        <v>46211.566666666666</v>
      </c>
      <c r="M683" s="47">
        <v>46211.566979166666</v>
      </c>
      <c r="O683" s="47">
        <v>46216.616527777776</v>
      </c>
      <c r="Q683" s="45" t="s">
        <v>5571</v>
      </c>
      <c r="R683" s="45" t="s">
        <v>272</v>
      </c>
      <c r="S683" s="45" t="s">
        <v>175</v>
      </c>
      <c r="T683" s="45" t="s">
        <v>268</v>
      </c>
      <c r="U683" s="45" t="s">
        <v>428</v>
      </c>
      <c r="X683" s="45" t="s">
        <v>5531</v>
      </c>
      <c r="Y683" s="45" t="s">
        <v>7051</v>
      </c>
    </row>
    <row r="684" spans="2:25" ht="15" customHeight="1">
      <c r="B684" s="45" t="s">
        <v>26</v>
      </c>
      <c r="C684" s="45" t="s">
        <v>44</v>
      </c>
      <c r="D684" s="45" t="s">
        <v>208</v>
      </c>
      <c r="E684" s="45" t="s">
        <v>7056</v>
      </c>
      <c r="F684" s="45" t="s">
        <v>312</v>
      </c>
      <c r="G684" s="45" t="s">
        <v>208</v>
      </c>
      <c r="H684" s="45" t="s">
        <v>7057</v>
      </c>
      <c r="I684" s="45" t="s">
        <v>1175</v>
      </c>
      <c r="J684" s="45" t="s">
        <v>6738</v>
      </c>
      <c r="K684" s="47">
        <v>46205.532511574071</v>
      </c>
    </row>
    <row r="685" spans="2:25" ht="15" customHeight="1">
      <c r="B685" s="45" t="s">
        <v>26</v>
      </c>
      <c r="C685" s="45" t="s">
        <v>44</v>
      </c>
      <c r="D685" s="45" t="s">
        <v>208</v>
      </c>
      <c r="E685" s="45" t="s">
        <v>7058</v>
      </c>
      <c r="F685" s="45" t="s">
        <v>312</v>
      </c>
      <c r="G685" s="45" t="s">
        <v>208</v>
      </c>
      <c r="H685" s="45" t="s">
        <v>7059</v>
      </c>
      <c r="I685" s="45" t="s">
        <v>1175</v>
      </c>
      <c r="J685" s="45" t="s">
        <v>6738</v>
      </c>
      <c r="K685" s="47">
        <v>46216.518391203703</v>
      </c>
      <c r="L685" s="47">
        <v>46217.481828703705</v>
      </c>
      <c r="M685" s="47">
        <v>46217.481828703705</v>
      </c>
    </row>
    <row r="686" spans="2:25" ht="15" customHeight="1">
      <c r="B686" s="45" t="s">
        <v>26</v>
      </c>
      <c r="C686" s="45" t="s">
        <v>44</v>
      </c>
      <c r="D686" s="53" t="s">
        <v>207</v>
      </c>
      <c r="E686" s="53" t="s">
        <v>7060</v>
      </c>
      <c r="F686" s="45" t="s">
        <v>312</v>
      </c>
      <c r="G686" s="53">
        <v>3</v>
      </c>
      <c r="H686" s="53" t="s">
        <v>7061</v>
      </c>
      <c r="I686" s="53" t="s">
        <v>271</v>
      </c>
      <c r="J686" s="53" t="s">
        <v>5530</v>
      </c>
      <c r="K686" s="71">
        <v>46198.374305555553</v>
      </c>
      <c r="L686" s="71">
        <v>46203.517361111109</v>
      </c>
      <c r="M686" s="71">
        <v>46203.520138888889</v>
      </c>
      <c r="N686" s="71">
        <v>46205.286111111112</v>
      </c>
      <c r="O686" s="71">
        <v>46204.285416666666</v>
      </c>
      <c r="P686" s="71">
        <v>46205.286111111112</v>
      </c>
      <c r="Q686" s="53" t="s">
        <v>5534</v>
      </c>
      <c r="R686" s="53" t="s">
        <v>272</v>
      </c>
      <c r="S686" s="53" t="s">
        <v>175</v>
      </c>
      <c r="T686" s="53" t="s">
        <v>268</v>
      </c>
      <c r="U686" s="53" t="s">
        <v>5531</v>
      </c>
      <c r="X686" s="53" t="s">
        <v>5531</v>
      </c>
      <c r="Y686" s="53" t="s">
        <v>7062</v>
      </c>
    </row>
    <row r="687" spans="2:25" ht="15" customHeight="1">
      <c r="B687" s="45" t="s">
        <v>26</v>
      </c>
      <c r="C687" s="45" t="s">
        <v>44</v>
      </c>
      <c r="D687" s="53" t="s">
        <v>208</v>
      </c>
      <c r="E687" s="53" t="s">
        <v>7063</v>
      </c>
      <c r="F687" s="45" t="s">
        <v>312</v>
      </c>
      <c r="G687" s="53" t="s">
        <v>208</v>
      </c>
      <c r="H687" s="53" t="s">
        <v>7064</v>
      </c>
      <c r="I687" s="53" t="s">
        <v>275</v>
      </c>
      <c r="J687" s="53" t="s">
        <v>5530</v>
      </c>
      <c r="K687" s="71">
        <v>46202.427777777775</v>
      </c>
      <c r="L687" s="71">
        <v>46203.438888888886</v>
      </c>
      <c r="M687" s="71">
        <v>46203.474999999999</v>
      </c>
      <c r="N687" s="71">
        <v>46204.291666666664</v>
      </c>
      <c r="O687" s="71">
        <v>46204.291666666664</v>
      </c>
      <c r="P687" s="71">
        <v>46204.291666666664</v>
      </c>
      <c r="Q687" s="53" t="s">
        <v>5534</v>
      </c>
      <c r="R687" s="53" t="s">
        <v>272</v>
      </c>
      <c r="S687" s="53" t="s">
        <v>175</v>
      </c>
      <c r="T687" s="53" t="s">
        <v>268</v>
      </c>
      <c r="U687" s="53" t="s">
        <v>5531</v>
      </c>
      <c r="X687" s="53" t="s">
        <v>5531</v>
      </c>
      <c r="Y687" s="53" t="s">
        <v>6709</v>
      </c>
    </row>
    <row r="688" spans="2:25" ht="15" customHeight="1">
      <c r="B688" s="45" t="s">
        <v>26</v>
      </c>
      <c r="C688" s="45" t="s">
        <v>44</v>
      </c>
      <c r="D688" s="53" t="s">
        <v>207</v>
      </c>
      <c r="E688" s="53" t="s">
        <v>7065</v>
      </c>
      <c r="F688" s="45" t="s">
        <v>312</v>
      </c>
      <c r="G688" s="53">
        <v>3</v>
      </c>
      <c r="H688" s="53" t="s">
        <v>7066</v>
      </c>
      <c r="I688" s="53" t="s">
        <v>271</v>
      </c>
      <c r="J688" s="53" t="s">
        <v>5530</v>
      </c>
      <c r="K688" s="71">
        <v>46204.417361111111</v>
      </c>
      <c r="L688" s="71">
        <v>46204.482638888891</v>
      </c>
      <c r="M688" s="71">
        <v>46204.511111111111</v>
      </c>
      <c r="N688" s="71">
        <v>46210.291666666664</v>
      </c>
      <c r="O688" s="71">
        <v>46205.279861111114</v>
      </c>
      <c r="P688" s="71">
        <v>46210.291666666664</v>
      </c>
      <c r="Q688" s="53" t="s">
        <v>5534</v>
      </c>
      <c r="R688" s="53" t="s">
        <v>272</v>
      </c>
      <c r="S688" s="53" t="s">
        <v>175</v>
      </c>
      <c r="T688" s="53" t="s">
        <v>268</v>
      </c>
      <c r="U688" s="53" t="s">
        <v>5531</v>
      </c>
      <c r="X688" s="53" t="s">
        <v>5531</v>
      </c>
      <c r="Y688" s="53" t="s">
        <v>5585</v>
      </c>
    </row>
    <row r="689" spans="2:25" ht="15" customHeight="1">
      <c r="B689" s="45" t="s">
        <v>26</v>
      </c>
      <c r="C689" s="45" t="s">
        <v>44</v>
      </c>
      <c r="D689" s="53" t="s">
        <v>207</v>
      </c>
      <c r="E689" s="53" t="s">
        <v>7067</v>
      </c>
      <c r="F689" s="45" t="s">
        <v>312</v>
      </c>
      <c r="G689" s="53">
        <v>4</v>
      </c>
      <c r="H689" s="53" t="s">
        <v>7068</v>
      </c>
      <c r="I689" s="53" t="s">
        <v>271</v>
      </c>
      <c r="J689" s="53" t="s">
        <v>5530</v>
      </c>
      <c r="K689" s="71">
        <v>46204.606249999997</v>
      </c>
      <c r="L689" s="71">
        <v>46204.606249999997</v>
      </c>
      <c r="M689" s="71">
        <v>46204.611805555556</v>
      </c>
      <c r="N689" s="71">
        <v>46209.295138888891</v>
      </c>
      <c r="O689" s="71">
        <v>46205.293749999997</v>
      </c>
      <c r="P689" s="71">
        <v>46209.295138888891</v>
      </c>
      <c r="Q689" s="53" t="s">
        <v>5534</v>
      </c>
      <c r="R689" s="53" t="s">
        <v>272</v>
      </c>
      <c r="S689" s="53" t="s">
        <v>175</v>
      </c>
      <c r="T689" s="53" t="s">
        <v>268</v>
      </c>
      <c r="U689" s="53" t="s">
        <v>5531</v>
      </c>
      <c r="X689" s="53" t="s">
        <v>5531</v>
      </c>
      <c r="Y689" s="53" t="s">
        <v>6266</v>
      </c>
    </row>
    <row r="690" spans="2:25" ht="15" customHeight="1">
      <c r="B690" s="45" t="s">
        <v>26</v>
      </c>
      <c r="C690" s="45" t="s">
        <v>44</v>
      </c>
      <c r="D690" s="53" t="s">
        <v>208</v>
      </c>
      <c r="E690" s="53" t="s">
        <v>7069</v>
      </c>
      <c r="F690" s="45" t="s">
        <v>312</v>
      </c>
      <c r="G690" s="53" t="s">
        <v>208</v>
      </c>
      <c r="H690" s="53" t="s">
        <v>7070</v>
      </c>
      <c r="I690" s="53" t="s">
        <v>271</v>
      </c>
      <c r="J690" s="53" t="s">
        <v>5530</v>
      </c>
      <c r="K690" s="71">
        <v>46204.390277777777</v>
      </c>
      <c r="L690" s="71">
        <v>46204.390277777777</v>
      </c>
      <c r="M690" s="71">
        <v>46204.453472222223</v>
      </c>
      <c r="N690" s="71">
        <v>46205.294444444444</v>
      </c>
      <c r="O690" s="71"/>
      <c r="P690" s="71"/>
      <c r="Q690" s="53" t="s">
        <v>5534</v>
      </c>
      <c r="R690" s="53" t="s">
        <v>272</v>
      </c>
      <c r="S690" s="53" t="s">
        <v>175</v>
      </c>
      <c r="T690" s="53" t="s">
        <v>268</v>
      </c>
      <c r="U690" s="53" t="s">
        <v>5531</v>
      </c>
      <c r="X690" s="53" t="s">
        <v>5531</v>
      </c>
      <c r="Y690" s="53" t="s">
        <v>5954</v>
      </c>
    </row>
    <row r="691" spans="2:25" ht="15" customHeight="1">
      <c r="B691" s="45" t="s">
        <v>26</v>
      </c>
      <c r="C691" s="45" t="s">
        <v>44</v>
      </c>
      <c r="D691" s="53" t="s">
        <v>207</v>
      </c>
      <c r="E691" s="53" t="s">
        <v>7071</v>
      </c>
      <c r="F691" s="45" t="s">
        <v>312</v>
      </c>
      <c r="G691" s="53">
        <v>4</v>
      </c>
      <c r="H691" s="53" t="s">
        <v>7072</v>
      </c>
      <c r="I691" s="53" t="s">
        <v>275</v>
      </c>
      <c r="J691" s="53" t="s">
        <v>5530</v>
      </c>
      <c r="K691" s="71">
        <v>46205.390277777777</v>
      </c>
      <c r="L691" s="71">
        <v>46205.390277777777</v>
      </c>
      <c r="M691" s="71">
        <v>46205.449305555558</v>
      </c>
      <c r="N691" s="71">
        <v>46206.347916666666</v>
      </c>
      <c r="O691" s="71"/>
      <c r="P691" s="71"/>
      <c r="Q691" s="53" t="s">
        <v>44</v>
      </c>
      <c r="R691" s="53" t="s">
        <v>272</v>
      </c>
      <c r="S691" s="53" t="s">
        <v>175</v>
      </c>
      <c r="T691" s="53" t="s">
        <v>268</v>
      </c>
      <c r="U691" s="53" t="s">
        <v>5132</v>
      </c>
      <c r="X691" s="53" t="s">
        <v>5531</v>
      </c>
      <c r="Y691" s="53" t="s">
        <v>5585</v>
      </c>
    </row>
    <row r="692" spans="2:25" ht="15" customHeight="1">
      <c r="B692" s="45" t="s">
        <v>26</v>
      </c>
      <c r="C692" s="45" t="s">
        <v>44</v>
      </c>
      <c r="D692" s="53" t="s">
        <v>208</v>
      </c>
      <c r="E692" s="53" t="s">
        <v>7073</v>
      </c>
      <c r="F692" s="45" t="s">
        <v>312</v>
      </c>
      <c r="G692" s="53" t="s">
        <v>208</v>
      </c>
      <c r="H692" s="53" t="s">
        <v>7074</v>
      </c>
      <c r="I692" s="53" t="s">
        <v>271</v>
      </c>
      <c r="J692" s="53" t="s">
        <v>5530</v>
      </c>
      <c r="K692" s="71">
        <v>46205.356944444444</v>
      </c>
      <c r="L692" s="71">
        <v>46205.363888888889</v>
      </c>
      <c r="M692" s="71">
        <v>46205.45208333333</v>
      </c>
      <c r="N692" s="71">
        <v>46211.31527777778</v>
      </c>
      <c r="O692" s="71">
        <v>46209.30972222222</v>
      </c>
      <c r="P692" s="71">
        <v>46211.31527777778</v>
      </c>
      <c r="Q692" s="53" t="s">
        <v>7075</v>
      </c>
      <c r="R692" s="53" t="s">
        <v>261</v>
      </c>
      <c r="S692" s="53" t="s">
        <v>175</v>
      </c>
      <c r="T692" s="53" t="s">
        <v>268</v>
      </c>
      <c r="U692" s="53" t="s">
        <v>5531</v>
      </c>
      <c r="X692" s="53" t="s">
        <v>5531</v>
      </c>
      <c r="Y692" s="53" t="s">
        <v>7076</v>
      </c>
    </row>
    <row r="693" spans="2:25" ht="15" customHeight="1">
      <c r="B693" s="45" t="s">
        <v>26</v>
      </c>
      <c r="C693" s="45" t="s">
        <v>44</v>
      </c>
      <c r="D693" s="53" t="s">
        <v>207</v>
      </c>
      <c r="E693" s="53" t="s">
        <v>6732</v>
      </c>
      <c r="F693" s="45" t="s">
        <v>312</v>
      </c>
      <c r="G693" s="53">
        <v>4</v>
      </c>
      <c r="H693" s="53" t="s">
        <v>6733</v>
      </c>
      <c r="I693" s="53" t="s">
        <v>271</v>
      </c>
      <c r="J693" s="53" t="s">
        <v>5530</v>
      </c>
      <c r="K693" s="71">
        <v>46196.45416666667</v>
      </c>
      <c r="L693" s="71">
        <v>46202.37777777778</v>
      </c>
      <c r="M693" s="71">
        <v>46202.419444444444</v>
      </c>
      <c r="N693" s="71">
        <v>46205.54791666667</v>
      </c>
      <c r="O693" s="71">
        <v>46203.290277777778</v>
      </c>
      <c r="P693" s="71">
        <v>46205.54791666667</v>
      </c>
      <c r="Q693" s="53" t="s">
        <v>5534</v>
      </c>
      <c r="R693" s="53" t="s">
        <v>272</v>
      </c>
      <c r="S693" s="53" t="s">
        <v>175</v>
      </c>
      <c r="T693" s="53" t="s">
        <v>268</v>
      </c>
      <c r="U693" s="53" t="s">
        <v>5531</v>
      </c>
      <c r="X693" s="53" t="s">
        <v>5531</v>
      </c>
      <c r="Y693" s="53" t="s">
        <v>6709</v>
      </c>
    </row>
    <row r="694" spans="2:25" ht="15" customHeight="1">
      <c r="B694" s="45" t="s">
        <v>26</v>
      </c>
      <c r="C694" s="45" t="s">
        <v>44</v>
      </c>
      <c r="D694" s="53" t="s">
        <v>207</v>
      </c>
      <c r="E694" s="53" t="s">
        <v>7077</v>
      </c>
      <c r="F694" s="45" t="s">
        <v>312</v>
      </c>
      <c r="G694" s="53">
        <v>4</v>
      </c>
      <c r="H694" s="53" t="s">
        <v>7078</v>
      </c>
      <c r="I694" s="53" t="s">
        <v>271</v>
      </c>
      <c r="J694" s="53" t="s">
        <v>5530</v>
      </c>
      <c r="K694" s="71">
        <v>46206.438888888886</v>
      </c>
      <c r="L694" s="71">
        <v>46206.443749999999</v>
      </c>
      <c r="M694" s="71">
        <v>46206.525694444441</v>
      </c>
      <c r="N694" s="71">
        <v>46211.3</v>
      </c>
      <c r="O694" s="71">
        <v>46209.300694444442</v>
      </c>
      <c r="P694" s="71">
        <v>46211.3</v>
      </c>
      <c r="Q694" s="53" t="s">
        <v>5534</v>
      </c>
      <c r="R694" s="53" t="s">
        <v>272</v>
      </c>
      <c r="S694" s="53" t="s">
        <v>175</v>
      </c>
      <c r="T694" s="53" t="s">
        <v>268</v>
      </c>
      <c r="U694" s="53" t="s">
        <v>5531</v>
      </c>
      <c r="X694" s="53" t="s">
        <v>5531</v>
      </c>
      <c r="Y694" s="53" t="s">
        <v>6709</v>
      </c>
    </row>
    <row r="695" spans="2:25" ht="15" customHeight="1">
      <c r="B695" s="45" t="s">
        <v>26</v>
      </c>
      <c r="C695" s="45" t="s">
        <v>44</v>
      </c>
      <c r="D695" s="53" t="s">
        <v>207</v>
      </c>
      <c r="E695" s="53" t="s">
        <v>7079</v>
      </c>
      <c r="F695" s="45" t="s">
        <v>312</v>
      </c>
      <c r="G695" s="53">
        <v>3</v>
      </c>
      <c r="H695" s="53" t="s">
        <v>7080</v>
      </c>
      <c r="I695" s="53" t="s">
        <v>275</v>
      </c>
      <c r="J695" s="53" t="s">
        <v>5530</v>
      </c>
      <c r="K695" s="71">
        <v>46204.518750000003</v>
      </c>
      <c r="L695" s="71">
        <v>46206.448611111111</v>
      </c>
      <c r="M695" s="71">
        <v>46206.526388888888</v>
      </c>
      <c r="N695" s="71">
        <v>46209.302777777775</v>
      </c>
      <c r="O695" s="71"/>
      <c r="P695" s="71"/>
      <c r="Q695" s="53" t="s">
        <v>5534</v>
      </c>
      <c r="R695" s="53" t="s">
        <v>272</v>
      </c>
      <c r="S695" s="53" t="s">
        <v>175</v>
      </c>
      <c r="T695" s="53" t="s">
        <v>268</v>
      </c>
      <c r="U695" s="53" t="s">
        <v>5531</v>
      </c>
      <c r="X695" s="53" t="s">
        <v>5531</v>
      </c>
      <c r="Y695" s="53" t="s">
        <v>7081</v>
      </c>
    </row>
    <row r="696" spans="2:25" ht="15" customHeight="1">
      <c r="B696" s="45" t="s">
        <v>26</v>
      </c>
      <c r="C696" s="45" t="s">
        <v>44</v>
      </c>
      <c r="D696" s="53" t="s">
        <v>207</v>
      </c>
      <c r="E696" s="53" t="s">
        <v>7082</v>
      </c>
      <c r="F696" s="45" t="s">
        <v>312</v>
      </c>
      <c r="G696" s="53">
        <v>3</v>
      </c>
      <c r="H696" s="53" t="s">
        <v>7083</v>
      </c>
      <c r="I696" s="53" t="s">
        <v>271</v>
      </c>
      <c r="J696" s="53" t="s">
        <v>5530</v>
      </c>
      <c r="K696" s="71">
        <v>46202.314583333333</v>
      </c>
      <c r="L696" s="71">
        <v>46206.731249999997</v>
      </c>
      <c r="M696" s="71">
        <v>46209.279166666667</v>
      </c>
      <c r="N696" s="71">
        <v>46211.311805555553</v>
      </c>
      <c r="O696" s="71">
        <v>46209.306944444441</v>
      </c>
      <c r="P696" s="71">
        <v>46211.311805555553</v>
      </c>
      <c r="Q696" s="53" t="s">
        <v>5534</v>
      </c>
      <c r="R696" s="53" t="s">
        <v>272</v>
      </c>
      <c r="S696" s="53" t="s">
        <v>175</v>
      </c>
      <c r="T696" s="53" t="s">
        <v>268</v>
      </c>
      <c r="U696" s="53" t="s">
        <v>5531</v>
      </c>
      <c r="X696" s="53" t="s">
        <v>5531</v>
      </c>
      <c r="Y696" s="53" t="s">
        <v>7084</v>
      </c>
    </row>
    <row r="697" spans="2:25" ht="15" customHeight="1">
      <c r="B697" s="45" t="s">
        <v>26</v>
      </c>
      <c r="C697" s="45" t="s">
        <v>44</v>
      </c>
      <c r="D697" s="53" t="s">
        <v>208</v>
      </c>
      <c r="E697" s="53" t="s">
        <v>7085</v>
      </c>
      <c r="F697" s="45" t="s">
        <v>312</v>
      </c>
      <c r="G697" s="53" t="s">
        <v>208</v>
      </c>
      <c r="H697" s="53" t="s">
        <v>7086</v>
      </c>
      <c r="I697" s="53" t="s">
        <v>271</v>
      </c>
      <c r="J697" s="53" t="s">
        <v>5530</v>
      </c>
      <c r="K697" s="71">
        <v>46209.40625</v>
      </c>
      <c r="L697" s="71">
        <v>46209.40625</v>
      </c>
      <c r="M697" s="71">
        <v>46209.413194444445</v>
      </c>
      <c r="N697" s="71">
        <v>46211.313888888886</v>
      </c>
      <c r="O697" s="71">
        <v>46209.496527777781</v>
      </c>
      <c r="P697" s="71">
        <v>46211.313888888886</v>
      </c>
      <c r="Q697" s="53" t="s">
        <v>7087</v>
      </c>
      <c r="R697" s="53" t="s">
        <v>272</v>
      </c>
      <c r="S697" s="53" t="s">
        <v>175</v>
      </c>
      <c r="T697" s="53" t="s">
        <v>268</v>
      </c>
      <c r="U697" s="53" t="s">
        <v>5531</v>
      </c>
      <c r="X697" s="53" t="s">
        <v>5531</v>
      </c>
      <c r="Y697" s="53" t="s">
        <v>7088</v>
      </c>
    </row>
    <row r="698" spans="2:25" ht="15" customHeight="1">
      <c r="B698" s="45" t="s">
        <v>26</v>
      </c>
      <c r="C698" s="45" t="s">
        <v>44</v>
      </c>
      <c r="D698" s="53" t="s">
        <v>207</v>
      </c>
      <c r="E698" s="53" t="s">
        <v>7089</v>
      </c>
      <c r="F698" s="45" t="s">
        <v>312</v>
      </c>
      <c r="G698" s="53">
        <v>4</v>
      </c>
      <c r="H698" s="53" t="s">
        <v>7090</v>
      </c>
      <c r="I698" s="53" t="s">
        <v>275</v>
      </c>
      <c r="J698" s="53" t="s">
        <v>5530</v>
      </c>
      <c r="K698" s="71">
        <v>46203.507638888892</v>
      </c>
      <c r="L698" s="71">
        <v>46209.550694444442</v>
      </c>
      <c r="M698" s="71">
        <v>46209.554166666669</v>
      </c>
      <c r="N698" s="71">
        <v>46210.297222222223</v>
      </c>
      <c r="O698" s="71"/>
      <c r="P698" s="71"/>
      <c r="Q698" s="53" t="s">
        <v>5534</v>
      </c>
      <c r="R698" s="53" t="s">
        <v>272</v>
      </c>
      <c r="S698" s="53" t="s">
        <v>175</v>
      </c>
      <c r="T698" s="53" t="s">
        <v>268</v>
      </c>
      <c r="U698" s="53" t="s">
        <v>5531</v>
      </c>
      <c r="X698" s="53" t="s">
        <v>5531</v>
      </c>
      <c r="Y698" s="53" t="s">
        <v>7081</v>
      </c>
    </row>
    <row r="699" spans="2:25" ht="15" customHeight="1">
      <c r="B699" s="45" t="s">
        <v>26</v>
      </c>
      <c r="C699" s="45" t="s">
        <v>44</v>
      </c>
      <c r="D699" s="53" t="s">
        <v>207</v>
      </c>
      <c r="E699" s="53" t="s">
        <v>7091</v>
      </c>
      <c r="F699" s="45" t="s">
        <v>312</v>
      </c>
      <c r="G699" s="53">
        <v>3</v>
      </c>
      <c r="H699" s="53" t="s">
        <v>7092</v>
      </c>
      <c r="I699" s="53" t="s">
        <v>271</v>
      </c>
      <c r="J699" s="53" t="s">
        <v>5530</v>
      </c>
      <c r="K699" s="71">
        <v>46210.560416666667</v>
      </c>
      <c r="L699" s="71">
        <v>46210.560416666667</v>
      </c>
      <c r="M699" s="71">
        <v>46210.572222222225</v>
      </c>
      <c r="N699" s="71">
        <v>46213.280555555553</v>
      </c>
      <c r="O699" s="71">
        <v>46211.29791666667</v>
      </c>
      <c r="P699" s="71">
        <v>46213.280555555553</v>
      </c>
      <c r="Q699" s="53" t="s">
        <v>5534</v>
      </c>
      <c r="R699" s="53" t="s">
        <v>272</v>
      </c>
      <c r="S699" s="53" t="s">
        <v>175</v>
      </c>
      <c r="T699" s="53" t="s">
        <v>268</v>
      </c>
      <c r="U699" s="53" t="s">
        <v>5531</v>
      </c>
      <c r="X699" s="53" t="s">
        <v>5531</v>
      </c>
      <c r="Y699" s="53" t="s">
        <v>7093</v>
      </c>
    </row>
    <row r="700" spans="2:25" ht="15" customHeight="1">
      <c r="B700" s="45" t="s">
        <v>26</v>
      </c>
      <c r="C700" s="45" t="s">
        <v>44</v>
      </c>
      <c r="D700" s="53" t="s">
        <v>207</v>
      </c>
      <c r="E700" s="53" t="s">
        <v>7094</v>
      </c>
      <c r="F700" s="45" t="s">
        <v>312</v>
      </c>
      <c r="G700" s="53">
        <v>4</v>
      </c>
      <c r="H700" s="53" t="s">
        <v>7095</v>
      </c>
      <c r="I700" s="53" t="s">
        <v>271</v>
      </c>
      <c r="J700" s="53" t="s">
        <v>5530</v>
      </c>
      <c r="K700" s="71">
        <v>46210.64166666667</v>
      </c>
      <c r="L700" s="71">
        <v>46210.64166666667</v>
      </c>
      <c r="M700" s="71">
        <v>46211.302777777775</v>
      </c>
      <c r="N700" s="71">
        <v>46213.279861111114</v>
      </c>
      <c r="O700" s="71">
        <v>46211.313194444447</v>
      </c>
      <c r="P700" s="71">
        <v>46213.279861111114</v>
      </c>
      <c r="Q700" s="53" t="s">
        <v>5534</v>
      </c>
      <c r="R700" s="53" t="s">
        <v>272</v>
      </c>
      <c r="S700" s="53" t="s">
        <v>175</v>
      </c>
      <c r="T700" s="53" t="s">
        <v>268</v>
      </c>
      <c r="U700" s="53" t="s">
        <v>5531</v>
      </c>
      <c r="X700" s="53" t="s">
        <v>5531</v>
      </c>
      <c r="Y700" s="53" t="s">
        <v>5590</v>
      </c>
    </row>
    <row r="701" spans="2:25" ht="15" customHeight="1">
      <c r="B701" s="45" t="s">
        <v>26</v>
      </c>
      <c r="C701" s="45" t="s">
        <v>44</v>
      </c>
      <c r="D701" s="53" t="s">
        <v>208</v>
      </c>
      <c r="E701" s="53" t="s">
        <v>7096</v>
      </c>
      <c r="F701" s="45" t="s">
        <v>312</v>
      </c>
      <c r="G701" s="53" t="s">
        <v>208</v>
      </c>
      <c r="H701" s="53" t="s">
        <v>7097</v>
      </c>
      <c r="I701" s="53" t="s">
        <v>275</v>
      </c>
      <c r="J701" s="53" t="s">
        <v>5530</v>
      </c>
      <c r="K701" s="71">
        <v>46204.563888888886</v>
      </c>
      <c r="L701" s="71">
        <v>46210.465277777781</v>
      </c>
      <c r="M701" s="71">
        <v>46210.513888888891</v>
      </c>
      <c r="N701" s="71">
        <v>46211.333333333336</v>
      </c>
      <c r="O701" s="71"/>
      <c r="P701" s="71"/>
      <c r="Q701" s="53" t="s">
        <v>5534</v>
      </c>
      <c r="R701" s="53" t="s">
        <v>272</v>
      </c>
      <c r="S701" s="53" t="s">
        <v>175</v>
      </c>
      <c r="T701" s="53" t="s">
        <v>268</v>
      </c>
      <c r="U701" s="53" t="s">
        <v>5531</v>
      </c>
      <c r="X701" s="53" t="s">
        <v>5531</v>
      </c>
      <c r="Y701" s="53" t="s">
        <v>7084</v>
      </c>
    </row>
    <row r="702" spans="2:25" ht="15" customHeight="1">
      <c r="B702" s="45" t="s">
        <v>26</v>
      </c>
      <c r="C702" s="45" t="s">
        <v>44</v>
      </c>
      <c r="D702" s="53" t="s">
        <v>208</v>
      </c>
      <c r="E702" s="53" t="s">
        <v>7098</v>
      </c>
      <c r="F702" s="45" t="s">
        <v>312</v>
      </c>
      <c r="G702" s="53" t="s">
        <v>208</v>
      </c>
      <c r="H702" s="53" t="s">
        <v>7099</v>
      </c>
      <c r="I702" s="53" t="s">
        <v>271</v>
      </c>
      <c r="J702" s="53" t="s">
        <v>5530</v>
      </c>
      <c r="K702" s="71">
        <v>46209.648611111108</v>
      </c>
      <c r="L702" s="71">
        <v>46210.654861111114</v>
      </c>
      <c r="M702" s="71">
        <v>46211.332638888889</v>
      </c>
      <c r="N702" s="71">
        <v>46216.324999999997</v>
      </c>
      <c r="O702" s="71">
        <v>46211.335416666669</v>
      </c>
      <c r="P702" s="71">
        <v>46216.324999999997</v>
      </c>
      <c r="Q702" s="53" t="s">
        <v>5534</v>
      </c>
      <c r="R702" s="53" t="s">
        <v>272</v>
      </c>
      <c r="S702" s="53" t="s">
        <v>175</v>
      </c>
      <c r="T702" s="53" t="s">
        <v>268</v>
      </c>
      <c r="U702" s="53" t="s">
        <v>5531</v>
      </c>
      <c r="X702" s="53" t="s">
        <v>5531</v>
      </c>
      <c r="Y702" s="53" t="s">
        <v>7100</v>
      </c>
    </row>
    <row r="703" spans="2:25" ht="15" customHeight="1">
      <c r="B703" s="45" t="s">
        <v>26</v>
      </c>
      <c r="C703" s="45" t="s">
        <v>44</v>
      </c>
      <c r="D703" s="53" t="s">
        <v>207</v>
      </c>
      <c r="E703" s="53" t="s">
        <v>7101</v>
      </c>
      <c r="F703" s="45" t="s">
        <v>312</v>
      </c>
      <c r="G703" s="53">
        <v>3</v>
      </c>
      <c r="H703" s="53" t="s">
        <v>7102</v>
      </c>
      <c r="I703" s="53" t="s">
        <v>275</v>
      </c>
      <c r="J703" s="53" t="s">
        <v>5530</v>
      </c>
      <c r="K703" s="71">
        <v>46211.416666666664</v>
      </c>
      <c r="L703" s="71">
        <v>46211.473611111112</v>
      </c>
      <c r="M703" s="71">
        <v>46211.489583333336</v>
      </c>
      <c r="N703" s="71">
        <v>46211.578472222223</v>
      </c>
      <c r="O703" s="71"/>
      <c r="P703" s="71"/>
      <c r="Q703" s="53" t="s">
        <v>5534</v>
      </c>
      <c r="R703" s="53" t="s">
        <v>272</v>
      </c>
      <c r="S703" s="53" t="s">
        <v>175</v>
      </c>
      <c r="T703" s="53" t="s">
        <v>268</v>
      </c>
      <c r="U703" s="53" t="s">
        <v>5132</v>
      </c>
      <c r="X703" s="53" t="s">
        <v>5531</v>
      </c>
      <c r="Y703" s="53" t="s">
        <v>5564</v>
      </c>
    </row>
    <row r="704" spans="2:25" ht="15" customHeight="1">
      <c r="B704" s="45" t="s">
        <v>26</v>
      </c>
      <c r="C704" s="45" t="s">
        <v>44</v>
      </c>
      <c r="D704" s="53" t="s">
        <v>208</v>
      </c>
      <c r="E704" s="53" t="s">
        <v>7103</v>
      </c>
      <c r="F704" s="45" t="s">
        <v>312</v>
      </c>
      <c r="G704" s="53" t="s">
        <v>208</v>
      </c>
      <c r="H704" s="53" t="s">
        <v>1174</v>
      </c>
      <c r="I704" s="53" t="s">
        <v>271</v>
      </c>
      <c r="J704" s="53" t="s">
        <v>5530</v>
      </c>
      <c r="K704" s="71">
        <v>46210.949305555558</v>
      </c>
      <c r="L704" s="71">
        <v>46211.537499999999</v>
      </c>
      <c r="M704" s="71">
        <v>46211.574305555558</v>
      </c>
      <c r="N704" s="71">
        <v>46218.45208333333</v>
      </c>
      <c r="O704" s="71">
        <v>46211.57916666667</v>
      </c>
      <c r="P704" s="71">
        <v>46218.45208333333</v>
      </c>
      <c r="Q704" s="53" t="s">
        <v>5534</v>
      </c>
      <c r="R704" s="53" t="s">
        <v>272</v>
      </c>
      <c r="S704" s="53" t="s">
        <v>175</v>
      </c>
      <c r="T704" s="53" t="s">
        <v>268</v>
      </c>
      <c r="U704" s="53" t="s">
        <v>5531</v>
      </c>
      <c r="X704" s="53" t="s">
        <v>5531</v>
      </c>
      <c r="Y704" s="53" t="s">
        <v>6346</v>
      </c>
    </row>
    <row r="705" spans="2:25" ht="15" customHeight="1">
      <c r="B705" s="45" t="s">
        <v>26</v>
      </c>
      <c r="C705" s="45" t="s">
        <v>44</v>
      </c>
      <c r="D705" s="53" t="s">
        <v>207</v>
      </c>
      <c r="E705" s="53" t="s">
        <v>7104</v>
      </c>
      <c r="F705" s="45" t="s">
        <v>312</v>
      </c>
      <c r="G705" s="53">
        <v>4</v>
      </c>
      <c r="H705" s="53" t="s">
        <v>7105</v>
      </c>
      <c r="I705" s="53" t="s">
        <v>275</v>
      </c>
      <c r="J705" s="53" t="s">
        <v>5530</v>
      </c>
      <c r="K705" s="71">
        <v>46210.529166666667</v>
      </c>
      <c r="L705" s="71">
        <v>46219.42291666667</v>
      </c>
      <c r="M705" s="71">
        <v>46219.462500000001</v>
      </c>
      <c r="N705" s="71">
        <v>46220.26458333333</v>
      </c>
      <c r="O705" s="71"/>
      <c r="P705" s="71"/>
      <c r="Q705" s="53" t="s">
        <v>7106</v>
      </c>
      <c r="R705" s="53" t="s">
        <v>272</v>
      </c>
      <c r="S705" s="53" t="s">
        <v>175</v>
      </c>
      <c r="T705" s="53" t="s">
        <v>268</v>
      </c>
      <c r="U705" s="53" t="s">
        <v>5531</v>
      </c>
      <c r="X705" s="53" t="s">
        <v>5531</v>
      </c>
      <c r="Y705" s="53" t="s">
        <v>6687</v>
      </c>
    </row>
    <row r="706" spans="2:25" ht="15" customHeight="1">
      <c r="B706" s="45" t="s">
        <v>26</v>
      </c>
      <c r="C706" s="45" t="s">
        <v>44</v>
      </c>
      <c r="D706" s="53" t="s">
        <v>207</v>
      </c>
      <c r="E706" s="53" t="s">
        <v>7107</v>
      </c>
      <c r="F706" s="45" t="s">
        <v>312</v>
      </c>
      <c r="G706" s="53">
        <v>4</v>
      </c>
      <c r="H706" s="53" t="s">
        <v>7108</v>
      </c>
      <c r="I706" s="53" t="s">
        <v>271</v>
      </c>
      <c r="J706" s="53" t="s">
        <v>5530</v>
      </c>
      <c r="K706" s="71">
        <v>46210.413888888892</v>
      </c>
      <c r="L706" s="71">
        <v>46212.4375</v>
      </c>
      <c r="M706" s="71">
        <v>46212.449305555558</v>
      </c>
      <c r="N706" s="71">
        <v>46216.317361111112</v>
      </c>
      <c r="O706" s="71">
        <v>46212.478472222225</v>
      </c>
      <c r="P706" s="71">
        <v>46216.317361111112</v>
      </c>
      <c r="Q706" s="53" t="s">
        <v>5534</v>
      </c>
      <c r="R706" s="53" t="s">
        <v>272</v>
      </c>
      <c r="S706" s="53" t="s">
        <v>175</v>
      </c>
      <c r="T706" s="53" t="s">
        <v>268</v>
      </c>
      <c r="U706" s="53" t="s">
        <v>5531</v>
      </c>
      <c r="X706" s="53" t="s">
        <v>5531</v>
      </c>
      <c r="Y706" s="53" t="s">
        <v>6709</v>
      </c>
    </row>
    <row r="707" spans="2:25" ht="15" customHeight="1">
      <c r="B707" s="45" t="s">
        <v>26</v>
      </c>
      <c r="C707" s="45" t="s">
        <v>44</v>
      </c>
      <c r="D707" s="53" t="s">
        <v>207</v>
      </c>
      <c r="E707" s="53" t="s">
        <v>7109</v>
      </c>
      <c r="F707" s="45" t="s">
        <v>312</v>
      </c>
      <c r="G707" s="53">
        <v>3</v>
      </c>
      <c r="H707" s="53" t="s">
        <v>7110</v>
      </c>
      <c r="I707" s="53" t="s">
        <v>275</v>
      </c>
      <c r="J707" s="53" t="s">
        <v>5530</v>
      </c>
      <c r="K707" s="71">
        <v>46211.518055555556</v>
      </c>
      <c r="L707" s="71">
        <v>46212.399305555555</v>
      </c>
      <c r="M707" s="71">
        <v>46212.415972222225</v>
      </c>
      <c r="N707" s="71">
        <v>46212.480555555558</v>
      </c>
      <c r="O707" s="71"/>
      <c r="P707" s="71"/>
      <c r="Q707" s="53" t="s">
        <v>5534</v>
      </c>
      <c r="R707" s="53" t="s">
        <v>272</v>
      </c>
      <c r="S707" s="53" t="s">
        <v>175</v>
      </c>
      <c r="T707" s="53" t="s">
        <v>268</v>
      </c>
      <c r="U707" s="53" t="s">
        <v>5531</v>
      </c>
      <c r="X707" s="53" t="s">
        <v>5531</v>
      </c>
      <c r="Y707" s="53" t="s">
        <v>7111</v>
      </c>
    </row>
    <row r="708" spans="2:25" ht="15" customHeight="1">
      <c r="B708" s="45" t="s">
        <v>26</v>
      </c>
      <c r="C708" s="45" t="s">
        <v>44</v>
      </c>
      <c r="D708" s="53" t="s">
        <v>207</v>
      </c>
      <c r="E708" s="53" t="s">
        <v>7112</v>
      </c>
      <c r="F708" s="45" t="s">
        <v>312</v>
      </c>
      <c r="G708" s="53">
        <v>4</v>
      </c>
      <c r="H708" s="53" t="s">
        <v>7113</v>
      </c>
      <c r="I708" s="53" t="s">
        <v>275</v>
      </c>
      <c r="J708" s="53" t="s">
        <v>5530</v>
      </c>
      <c r="K708" s="71">
        <v>46212.526388888888</v>
      </c>
      <c r="L708" s="71">
        <v>46212.53402777778</v>
      </c>
      <c r="M708" s="71">
        <v>46212.54791666667</v>
      </c>
      <c r="N708" s="71">
        <v>46213.352777777778</v>
      </c>
      <c r="O708" s="71">
        <v>46213.289583333331</v>
      </c>
      <c r="P708" s="71">
        <v>46213.352777777778</v>
      </c>
      <c r="Q708" s="53" t="s">
        <v>5534</v>
      </c>
      <c r="R708" s="53" t="s">
        <v>261</v>
      </c>
      <c r="S708" s="53" t="s">
        <v>175</v>
      </c>
      <c r="T708" s="53" t="s">
        <v>268</v>
      </c>
      <c r="U708" s="53" t="s">
        <v>5531</v>
      </c>
      <c r="X708" s="53" t="s">
        <v>5531</v>
      </c>
      <c r="Y708" s="53" t="s">
        <v>7114</v>
      </c>
    </row>
    <row r="709" spans="2:25" ht="15" customHeight="1">
      <c r="B709" s="45" t="s">
        <v>26</v>
      </c>
      <c r="C709" s="45" t="s">
        <v>44</v>
      </c>
      <c r="D709" s="53" t="s">
        <v>207</v>
      </c>
      <c r="E709" s="53" t="s">
        <v>7115</v>
      </c>
      <c r="F709" s="45" t="s">
        <v>312</v>
      </c>
      <c r="G709" s="53">
        <v>4</v>
      </c>
      <c r="H709" s="53" t="s">
        <v>7116</v>
      </c>
      <c r="I709" s="53" t="s">
        <v>271</v>
      </c>
      <c r="J709" s="53" t="s">
        <v>5530</v>
      </c>
      <c r="K709" s="71">
        <v>46212.60833333333</v>
      </c>
      <c r="L709" s="71">
        <v>46212.60833333333</v>
      </c>
      <c r="M709" s="71">
        <v>46212.640277777777</v>
      </c>
      <c r="N709" s="71">
        <v>46217.298611111109</v>
      </c>
      <c r="O709" s="71">
        <v>46213.290972222225</v>
      </c>
      <c r="P709" s="71">
        <v>46217.298611111109</v>
      </c>
      <c r="Q709" s="53" t="s">
        <v>44</v>
      </c>
      <c r="R709" s="53" t="s">
        <v>272</v>
      </c>
      <c r="S709" s="53" t="s">
        <v>175</v>
      </c>
      <c r="T709" s="53" t="s">
        <v>268</v>
      </c>
      <c r="U709" s="53" t="s">
        <v>5531</v>
      </c>
      <c r="X709" s="53" t="s">
        <v>5531</v>
      </c>
      <c r="Y709" s="53" t="s">
        <v>6266</v>
      </c>
    </row>
    <row r="710" spans="2:25" ht="15" customHeight="1">
      <c r="B710" s="45" t="s">
        <v>26</v>
      </c>
      <c r="C710" s="45" t="s">
        <v>44</v>
      </c>
      <c r="D710" s="53" t="s">
        <v>208</v>
      </c>
      <c r="E710" s="53" t="s">
        <v>7117</v>
      </c>
      <c r="F710" s="45" t="s">
        <v>312</v>
      </c>
      <c r="G710" s="53" t="s">
        <v>208</v>
      </c>
      <c r="H710" s="53" t="s">
        <v>5894</v>
      </c>
      <c r="I710" s="53" t="s">
        <v>275</v>
      </c>
      <c r="J710" s="53" t="s">
        <v>5530</v>
      </c>
      <c r="K710" s="71">
        <v>46212.581250000003</v>
      </c>
      <c r="L710" s="71">
        <v>46212.638194444444</v>
      </c>
      <c r="M710" s="71">
        <v>46212.642361111109</v>
      </c>
      <c r="N710" s="71">
        <v>46212.642361111109</v>
      </c>
      <c r="O710" s="71">
        <v>46213.304861111108</v>
      </c>
      <c r="P710" s="71"/>
      <c r="Q710" s="53" t="s">
        <v>5534</v>
      </c>
      <c r="R710" s="53" t="s">
        <v>272</v>
      </c>
      <c r="S710" s="53" t="s">
        <v>175</v>
      </c>
      <c r="T710" s="53" t="s">
        <v>268</v>
      </c>
      <c r="U710" s="53" t="s">
        <v>5531</v>
      </c>
      <c r="X710" s="53" t="s">
        <v>5531</v>
      </c>
      <c r="Y710" s="53" t="s">
        <v>5585</v>
      </c>
    </row>
    <row r="711" spans="2:25" ht="15" customHeight="1">
      <c r="B711" s="45" t="s">
        <v>26</v>
      </c>
      <c r="C711" s="45" t="s">
        <v>44</v>
      </c>
      <c r="D711" s="53" t="s">
        <v>208</v>
      </c>
      <c r="E711" s="53" t="s">
        <v>7118</v>
      </c>
      <c r="F711" s="45" t="s">
        <v>312</v>
      </c>
      <c r="G711" s="53" t="s">
        <v>208</v>
      </c>
      <c r="H711" s="53" t="s">
        <v>7119</v>
      </c>
      <c r="I711" s="53" t="s">
        <v>271</v>
      </c>
      <c r="J711" s="53" t="s">
        <v>5530</v>
      </c>
      <c r="K711" s="71">
        <v>46211.667361111111</v>
      </c>
      <c r="L711" s="71">
        <v>46211.674305555556</v>
      </c>
      <c r="M711" s="71">
        <v>46212.269444444442</v>
      </c>
      <c r="N711" s="71">
        <v>46218.450694444444</v>
      </c>
      <c r="O711" s="71">
        <v>46216.331250000003</v>
      </c>
      <c r="P711" s="71">
        <v>46218.450694444444</v>
      </c>
      <c r="Q711" s="53" t="s">
        <v>7120</v>
      </c>
      <c r="R711" s="53" t="s">
        <v>261</v>
      </c>
      <c r="S711" s="53" t="s">
        <v>175</v>
      </c>
      <c r="T711" s="53" t="s">
        <v>268</v>
      </c>
      <c r="U711" s="53" t="s">
        <v>5531</v>
      </c>
      <c r="X711" s="53" t="s">
        <v>5531</v>
      </c>
      <c r="Y711" s="53" t="s">
        <v>7121</v>
      </c>
    </row>
    <row r="712" spans="2:25" ht="15" customHeight="1">
      <c r="B712" s="45" t="s">
        <v>26</v>
      </c>
      <c r="C712" s="45" t="s">
        <v>44</v>
      </c>
      <c r="D712" s="53" t="s">
        <v>208</v>
      </c>
      <c r="E712" s="53" t="s">
        <v>7122</v>
      </c>
      <c r="F712" s="45" t="s">
        <v>312</v>
      </c>
      <c r="G712" s="53" t="s">
        <v>208</v>
      </c>
      <c r="H712" s="53" t="s">
        <v>7123</v>
      </c>
      <c r="I712" s="53" t="s">
        <v>271</v>
      </c>
      <c r="J712" s="53" t="s">
        <v>5530</v>
      </c>
      <c r="K712" s="71">
        <v>46211.675000000003</v>
      </c>
      <c r="L712" s="71">
        <v>46211.679166666669</v>
      </c>
      <c r="M712" s="71">
        <v>46212.32916666667</v>
      </c>
      <c r="N712" s="71">
        <v>46218.451388888891</v>
      </c>
      <c r="O712" s="71">
        <v>46216.336805555555</v>
      </c>
      <c r="P712" s="71">
        <v>46218.451388888891</v>
      </c>
      <c r="Q712" s="53" t="s">
        <v>44</v>
      </c>
      <c r="R712" s="53" t="s">
        <v>261</v>
      </c>
      <c r="S712" s="53" t="s">
        <v>175</v>
      </c>
      <c r="T712" s="53" t="s">
        <v>268</v>
      </c>
      <c r="U712" s="53" t="s">
        <v>5531</v>
      </c>
      <c r="X712" s="53" t="s">
        <v>5531</v>
      </c>
      <c r="Y712" s="53" t="s">
        <v>7124</v>
      </c>
    </row>
    <row r="713" spans="2:25" ht="15" customHeight="1">
      <c r="B713" s="45" t="s">
        <v>26</v>
      </c>
      <c r="C713" s="45" t="s">
        <v>44</v>
      </c>
      <c r="D713" s="53" t="s">
        <v>207</v>
      </c>
      <c r="E713" s="53" t="s">
        <v>7125</v>
      </c>
      <c r="F713" s="45" t="s">
        <v>312</v>
      </c>
      <c r="G713" s="53">
        <v>4</v>
      </c>
      <c r="H713" s="53" t="s">
        <v>7126</v>
      </c>
      <c r="I713" s="53" t="s">
        <v>275</v>
      </c>
      <c r="J713" s="53" t="s">
        <v>5530</v>
      </c>
      <c r="K713" s="71">
        <v>46209.381249999999</v>
      </c>
      <c r="L713" s="71">
        <v>46213.422222222223</v>
      </c>
      <c r="M713" s="71">
        <v>46213.427083333336</v>
      </c>
      <c r="N713" s="71">
        <v>46213.500694444447</v>
      </c>
      <c r="O713" s="71"/>
      <c r="P713" s="71"/>
      <c r="Q713" s="53" t="s">
        <v>5534</v>
      </c>
      <c r="R713" s="53" t="s">
        <v>272</v>
      </c>
      <c r="S713" s="53" t="s">
        <v>175</v>
      </c>
      <c r="T713" s="53" t="s">
        <v>268</v>
      </c>
      <c r="U713" s="53" t="s">
        <v>5531</v>
      </c>
      <c r="X713" s="53" t="s">
        <v>5531</v>
      </c>
      <c r="Y713" s="53" t="s">
        <v>6709</v>
      </c>
    </row>
    <row r="714" spans="2:25" ht="15" customHeight="1">
      <c r="B714" s="45" t="s">
        <v>26</v>
      </c>
      <c r="C714" s="45" t="s">
        <v>44</v>
      </c>
      <c r="D714" s="53" t="s">
        <v>207</v>
      </c>
      <c r="E714" s="53" t="s">
        <v>7127</v>
      </c>
      <c r="F714" s="45" t="s">
        <v>312</v>
      </c>
      <c r="G714" s="53">
        <v>4</v>
      </c>
      <c r="H714" s="53" t="s">
        <v>7128</v>
      </c>
      <c r="I714" s="53" t="s">
        <v>271</v>
      </c>
      <c r="J714" s="53" t="s">
        <v>5530</v>
      </c>
      <c r="K714" s="71">
        <v>46213.137499999997</v>
      </c>
      <c r="L714" s="71">
        <v>46213.395833333336</v>
      </c>
      <c r="M714" s="71">
        <v>46213.422222222223</v>
      </c>
      <c r="N714" s="71">
        <v>46218.350694444445</v>
      </c>
      <c r="O714" s="71">
        <v>46216.324999999997</v>
      </c>
      <c r="P714" s="71">
        <v>46218.350694444445</v>
      </c>
      <c r="Q714" s="53" t="s">
        <v>5534</v>
      </c>
      <c r="R714" s="53" t="s">
        <v>272</v>
      </c>
      <c r="S714" s="53" t="s">
        <v>175</v>
      </c>
      <c r="T714" s="53" t="s">
        <v>268</v>
      </c>
      <c r="U714" s="53" t="s">
        <v>5531</v>
      </c>
      <c r="X714" s="53" t="s">
        <v>5531</v>
      </c>
      <c r="Y714" s="53" t="s">
        <v>5585</v>
      </c>
    </row>
    <row r="715" spans="2:25" ht="15" customHeight="1">
      <c r="B715" s="45" t="s">
        <v>26</v>
      </c>
      <c r="C715" s="45" t="s">
        <v>44</v>
      </c>
      <c r="D715" s="53" t="s">
        <v>208</v>
      </c>
      <c r="E715" s="53" t="s">
        <v>7129</v>
      </c>
      <c r="F715" s="45" t="s">
        <v>312</v>
      </c>
      <c r="G715" s="53" t="s">
        <v>208</v>
      </c>
      <c r="H715" s="53" t="s">
        <v>6287</v>
      </c>
      <c r="I715" s="53" t="s">
        <v>275</v>
      </c>
      <c r="J715" s="53" t="s">
        <v>5530</v>
      </c>
      <c r="K715" s="71">
        <v>46212.668749999997</v>
      </c>
      <c r="L715" s="71">
        <v>46213.51458333333</v>
      </c>
      <c r="M715" s="71">
        <v>46213.572222222225</v>
      </c>
      <c r="N715" s="71">
        <v>46213.572222222225</v>
      </c>
      <c r="O715" s="71"/>
      <c r="P715" s="71"/>
      <c r="Q715" s="53" t="s">
        <v>5534</v>
      </c>
      <c r="R715" s="53" t="s">
        <v>272</v>
      </c>
      <c r="S715" s="53" t="s">
        <v>175</v>
      </c>
      <c r="T715" s="53" t="s">
        <v>268</v>
      </c>
      <c r="U715" s="53" t="s">
        <v>5531</v>
      </c>
      <c r="X715" s="53" t="s">
        <v>5531</v>
      </c>
      <c r="Y715" s="53" t="s">
        <v>5585</v>
      </c>
    </row>
    <row r="716" spans="2:25" ht="15" customHeight="1">
      <c r="B716" s="45" t="s">
        <v>26</v>
      </c>
      <c r="C716" s="45" t="s">
        <v>44</v>
      </c>
      <c r="D716" s="53" t="s">
        <v>207</v>
      </c>
      <c r="E716" s="53" t="s">
        <v>7130</v>
      </c>
      <c r="F716" s="45" t="s">
        <v>312</v>
      </c>
      <c r="G716" s="53">
        <v>4</v>
      </c>
      <c r="H716" s="53" t="s">
        <v>7131</v>
      </c>
      <c r="I716" s="53" t="s">
        <v>271</v>
      </c>
      <c r="J716" s="53" t="s">
        <v>5530</v>
      </c>
      <c r="K716" s="71">
        <v>46216.80972222222</v>
      </c>
      <c r="L716" s="71">
        <v>46216.80972222222</v>
      </c>
      <c r="M716" s="71">
        <v>46217.287499999999</v>
      </c>
      <c r="N716" s="71">
        <v>46217.300694444442</v>
      </c>
      <c r="O716" s="71"/>
      <c r="P716" s="71"/>
      <c r="Q716" s="53" t="s">
        <v>5900</v>
      </c>
      <c r="R716" s="53" t="s">
        <v>272</v>
      </c>
      <c r="S716" s="53" t="s">
        <v>175</v>
      </c>
      <c r="T716" s="53" t="s">
        <v>268</v>
      </c>
      <c r="U716" s="53" t="s">
        <v>5531</v>
      </c>
      <c r="X716" s="53" t="s">
        <v>5531</v>
      </c>
      <c r="Y716" s="53" t="s">
        <v>7132</v>
      </c>
    </row>
    <row r="717" spans="2:25" ht="15" customHeight="1">
      <c r="B717" s="45" t="s">
        <v>26</v>
      </c>
      <c r="C717" s="45" t="s">
        <v>44</v>
      </c>
      <c r="D717" s="53" t="s">
        <v>207</v>
      </c>
      <c r="E717" s="53" t="s">
        <v>7133</v>
      </c>
      <c r="F717" s="45" t="s">
        <v>312</v>
      </c>
      <c r="G717" s="53">
        <v>3</v>
      </c>
      <c r="H717" s="53" t="s">
        <v>7134</v>
      </c>
      <c r="I717" s="53" t="s">
        <v>271</v>
      </c>
      <c r="J717" s="53" t="s">
        <v>5530</v>
      </c>
      <c r="K717" s="71">
        <v>46214.01458333333</v>
      </c>
      <c r="L717" s="71">
        <v>46216.665972222225</v>
      </c>
      <c r="M717" s="71">
        <v>46217.286805555559</v>
      </c>
      <c r="N717" s="71">
        <v>46219.256249999999</v>
      </c>
      <c r="O717" s="71">
        <v>46217.306944444441</v>
      </c>
      <c r="P717" s="71">
        <v>46219.256249999999</v>
      </c>
      <c r="Q717" s="53" t="s">
        <v>5534</v>
      </c>
      <c r="R717" s="53" t="s">
        <v>261</v>
      </c>
      <c r="S717" s="53" t="s">
        <v>175</v>
      </c>
      <c r="T717" s="53" t="s">
        <v>268</v>
      </c>
      <c r="U717" s="53" t="s">
        <v>5531</v>
      </c>
      <c r="X717" s="53" t="s">
        <v>5531</v>
      </c>
      <c r="Y717" s="53" t="s">
        <v>6266</v>
      </c>
    </row>
    <row r="718" spans="2:25" ht="15" customHeight="1">
      <c r="B718" s="45" t="s">
        <v>26</v>
      </c>
      <c r="C718" s="45" t="s">
        <v>44</v>
      </c>
      <c r="D718" s="53" t="s">
        <v>207</v>
      </c>
      <c r="E718" s="53" t="s">
        <v>7135</v>
      </c>
      <c r="F718" s="45" t="s">
        <v>312</v>
      </c>
      <c r="G718" s="53">
        <v>4</v>
      </c>
      <c r="H718" s="53" t="s">
        <v>7136</v>
      </c>
      <c r="I718" s="53" t="s">
        <v>275</v>
      </c>
      <c r="J718" s="53" t="s">
        <v>5530</v>
      </c>
      <c r="K718" s="71">
        <v>46216.679861111108</v>
      </c>
      <c r="L718" s="71">
        <v>46217.429166666669</v>
      </c>
      <c r="M718" s="71">
        <v>46217.446527777778</v>
      </c>
      <c r="N718" s="71">
        <v>46218.35</v>
      </c>
      <c r="O718" s="71"/>
      <c r="P718" s="71"/>
      <c r="Q718" s="53" t="s">
        <v>44</v>
      </c>
      <c r="R718" s="53" t="s">
        <v>272</v>
      </c>
      <c r="S718" s="53" t="s">
        <v>175</v>
      </c>
      <c r="T718" s="53" t="s">
        <v>268</v>
      </c>
      <c r="U718" s="53" t="s">
        <v>5531</v>
      </c>
      <c r="X718" s="53" t="s">
        <v>5531</v>
      </c>
      <c r="Y718" s="53" t="s">
        <v>5585</v>
      </c>
    </row>
    <row r="719" spans="2:25" ht="15" customHeight="1">
      <c r="B719" s="45" t="s">
        <v>26</v>
      </c>
      <c r="C719" s="45" t="s">
        <v>44</v>
      </c>
      <c r="D719" s="53" t="s">
        <v>207</v>
      </c>
      <c r="E719" s="53" t="s">
        <v>7137</v>
      </c>
      <c r="F719" s="45" t="s">
        <v>312</v>
      </c>
      <c r="G719" s="53">
        <v>4</v>
      </c>
      <c r="H719" s="53" t="s">
        <v>7138</v>
      </c>
      <c r="I719" s="53" t="s">
        <v>271</v>
      </c>
      <c r="J719" s="53" t="s">
        <v>5530</v>
      </c>
      <c r="K719" s="71">
        <v>46216.613888888889</v>
      </c>
      <c r="L719" s="71">
        <v>46217.624305555553</v>
      </c>
      <c r="M719" s="71">
        <v>46218.304861111108</v>
      </c>
      <c r="N719" s="71">
        <v>46220.259027777778</v>
      </c>
      <c r="O719" s="71">
        <v>46218.448611111111</v>
      </c>
      <c r="P719" s="71">
        <v>46220.259027777778</v>
      </c>
      <c r="Q719" s="53" t="s">
        <v>5534</v>
      </c>
      <c r="R719" s="53" t="s">
        <v>261</v>
      </c>
      <c r="S719" s="53" t="s">
        <v>175</v>
      </c>
      <c r="T719" s="53" t="s">
        <v>268</v>
      </c>
      <c r="U719" s="53" t="s">
        <v>5531</v>
      </c>
      <c r="X719" s="53" t="s">
        <v>5531</v>
      </c>
      <c r="Y719" s="53" t="s">
        <v>6266</v>
      </c>
    </row>
    <row r="720" spans="2:25" ht="15" customHeight="1">
      <c r="B720" s="45" t="s">
        <v>26</v>
      </c>
      <c r="C720" s="45" t="s">
        <v>44</v>
      </c>
      <c r="D720" s="53" t="s">
        <v>207</v>
      </c>
      <c r="E720" s="53" t="s">
        <v>7139</v>
      </c>
      <c r="F720" s="45" t="s">
        <v>312</v>
      </c>
      <c r="G720" s="53">
        <v>3</v>
      </c>
      <c r="H720" s="53" t="s">
        <v>7140</v>
      </c>
      <c r="I720" s="53" t="s">
        <v>275</v>
      </c>
      <c r="J720" s="53" t="s">
        <v>5530</v>
      </c>
      <c r="K720" s="71">
        <v>46211.504861111112</v>
      </c>
      <c r="L720" s="71">
        <v>46218.522916666669</v>
      </c>
      <c r="M720" s="71">
        <v>46218.563888888886</v>
      </c>
      <c r="N720" s="71">
        <v>46219.255555555559</v>
      </c>
      <c r="O720" s="71"/>
      <c r="P720" s="71"/>
      <c r="Q720" s="53" t="s">
        <v>44</v>
      </c>
      <c r="R720" s="53" t="s">
        <v>272</v>
      </c>
      <c r="S720" s="53" t="s">
        <v>175</v>
      </c>
      <c r="T720" s="53" t="s">
        <v>268</v>
      </c>
      <c r="U720" s="53" t="s">
        <v>5531</v>
      </c>
      <c r="X720" s="53" t="s">
        <v>5531</v>
      </c>
      <c r="Y720" s="53" t="s">
        <v>7141</v>
      </c>
    </row>
    <row r="721" spans="2:25" ht="15" customHeight="1">
      <c r="B721" s="45" t="s">
        <v>26</v>
      </c>
      <c r="C721" s="45" t="s">
        <v>44</v>
      </c>
      <c r="D721" s="53" t="s">
        <v>207</v>
      </c>
      <c r="E721" s="53" t="s">
        <v>7142</v>
      </c>
      <c r="F721" s="45" t="s">
        <v>312</v>
      </c>
      <c r="G721" s="53">
        <v>4</v>
      </c>
      <c r="H721" s="53" t="s">
        <v>7143</v>
      </c>
      <c r="I721" s="53" t="s">
        <v>271</v>
      </c>
      <c r="J721" s="53" t="s">
        <v>5530</v>
      </c>
      <c r="K721" s="71">
        <v>46218.366666666669</v>
      </c>
      <c r="L721" s="71">
        <v>46218.384722222225</v>
      </c>
      <c r="M721" s="71">
        <v>46218.412499999999</v>
      </c>
      <c r="N721" s="71">
        <v>46218.486111111109</v>
      </c>
      <c r="O721" s="71">
        <v>46218.450694444444</v>
      </c>
      <c r="P721" s="71">
        <v>46218.486111111109</v>
      </c>
      <c r="Q721" s="53" t="s">
        <v>44</v>
      </c>
      <c r="R721" s="53" t="s">
        <v>261</v>
      </c>
      <c r="S721" s="53" t="s">
        <v>175</v>
      </c>
      <c r="T721" s="53" t="s">
        <v>268</v>
      </c>
      <c r="U721" s="53" t="s">
        <v>5531</v>
      </c>
      <c r="X721" s="53" t="s">
        <v>5531</v>
      </c>
      <c r="Y721" s="53" t="s">
        <v>6323</v>
      </c>
    </row>
    <row r="722" spans="2:25" ht="15" customHeight="1">
      <c r="B722" s="45" t="s">
        <v>26</v>
      </c>
      <c r="C722" s="45" t="s">
        <v>44</v>
      </c>
      <c r="D722" s="53" t="s">
        <v>208</v>
      </c>
      <c r="E722" s="53" t="s">
        <v>7144</v>
      </c>
      <c r="F722" s="45" t="s">
        <v>312</v>
      </c>
      <c r="G722" s="53" t="s">
        <v>208</v>
      </c>
      <c r="H722" s="53" t="s">
        <v>5894</v>
      </c>
      <c r="I722" s="53" t="s">
        <v>271</v>
      </c>
      <c r="J722" s="53" t="s">
        <v>5530</v>
      </c>
      <c r="K722" s="71">
        <v>46217.408333333333</v>
      </c>
      <c r="L722" s="71">
        <v>46217.633333333331</v>
      </c>
      <c r="M722" s="71">
        <v>46218.316666666666</v>
      </c>
      <c r="N722" s="71">
        <v>46220.365972222222</v>
      </c>
      <c r="O722" s="71">
        <v>46218.453472222223</v>
      </c>
      <c r="P722" s="71">
        <v>46220.365972222222</v>
      </c>
      <c r="Q722" s="53" t="s">
        <v>5534</v>
      </c>
      <c r="R722" s="53" t="s">
        <v>272</v>
      </c>
      <c r="S722" s="53" t="s">
        <v>175</v>
      </c>
      <c r="T722" s="53" t="s">
        <v>268</v>
      </c>
      <c r="U722" s="53" t="s">
        <v>5531</v>
      </c>
      <c r="X722" s="53" t="s">
        <v>5531</v>
      </c>
      <c r="Y722" s="53" t="s">
        <v>6346</v>
      </c>
    </row>
    <row r="723" spans="2:25" ht="15" customHeight="1">
      <c r="B723" s="45" t="s">
        <v>26</v>
      </c>
      <c r="C723" s="45" t="s">
        <v>44</v>
      </c>
      <c r="D723" s="53" t="s">
        <v>208</v>
      </c>
      <c r="E723" s="53" t="s">
        <v>7145</v>
      </c>
      <c r="F723" s="45" t="s">
        <v>312</v>
      </c>
      <c r="G723" s="53" t="s">
        <v>208</v>
      </c>
      <c r="H723" s="53" t="s">
        <v>7146</v>
      </c>
      <c r="I723" s="53" t="s">
        <v>275</v>
      </c>
      <c r="J723" s="53" t="s">
        <v>5530</v>
      </c>
      <c r="K723" s="71">
        <v>46216.525694444441</v>
      </c>
      <c r="L723" s="71">
        <v>46217.461805555555</v>
      </c>
      <c r="M723" s="71">
        <v>46217.467361111114</v>
      </c>
      <c r="N723" s="71">
        <v>46218.463888888888</v>
      </c>
      <c r="O723" s="71"/>
      <c r="P723" s="71"/>
      <c r="Q723" s="53" t="s">
        <v>5534</v>
      </c>
      <c r="R723" s="53" t="s">
        <v>272</v>
      </c>
      <c r="S723" s="53" t="s">
        <v>175</v>
      </c>
      <c r="T723" s="53" t="s">
        <v>268</v>
      </c>
      <c r="U723" s="53" t="s">
        <v>5132</v>
      </c>
      <c r="X723" s="53" t="s">
        <v>5531</v>
      </c>
      <c r="Y723" s="53" t="s">
        <v>5564</v>
      </c>
    </row>
    <row r="724" spans="2:25" ht="15" customHeight="1">
      <c r="B724" s="45" t="s">
        <v>26</v>
      </c>
      <c r="C724" s="45" t="s">
        <v>44</v>
      </c>
      <c r="D724" s="53" t="s">
        <v>207</v>
      </c>
      <c r="E724" s="53" t="s">
        <v>7147</v>
      </c>
      <c r="F724" s="45" t="s">
        <v>312</v>
      </c>
      <c r="G724" s="53">
        <v>4</v>
      </c>
      <c r="H724" s="53" t="s">
        <v>7148</v>
      </c>
      <c r="I724" s="53" t="s">
        <v>275</v>
      </c>
      <c r="J724" s="53" t="s">
        <v>5530</v>
      </c>
      <c r="K724" s="71">
        <v>46182.675694444442</v>
      </c>
      <c r="L724" s="71">
        <v>46218.481249999997</v>
      </c>
      <c r="M724" s="71">
        <v>46218.565972222219</v>
      </c>
      <c r="N724" s="71">
        <v>46219.259722222225</v>
      </c>
      <c r="O724" s="71"/>
      <c r="P724" s="71"/>
      <c r="Q724" s="53" t="s">
        <v>5534</v>
      </c>
      <c r="R724" s="53" t="s">
        <v>272</v>
      </c>
      <c r="S724" s="53" t="s">
        <v>175</v>
      </c>
      <c r="T724" s="53" t="s">
        <v>268</v>
      </c>
      <c r="U724" s="53" t="s">
        <v>5531</v>
      </c>
      <c r="X724" s="53" t="s">
        <v>5531</v>
      </c>
      <c r="Y724" s="53" t="s">
        <v>7062</v>
      </c>
    </row>
    <row r="725" spans="2:25" ht="15" customHeight="1">
      <c r="B725" s="45" t="s">
        <v>26</v>
      </c>
      <c r="C725" s="45" t="s">
        <v>44</v>
      </c>
      <c r="D725" s="53" t="s">
        <v>207</v>
      </c>
      <c r="E725" s="53" t="s">
        <v>7149</v>
      </c>
      <c r="F725" s="45" t="s">
        <v>312</v>
      </c>
      <c r="G725" s="53">
        <v>4</v>
      </c>
      <c r="H725" s="53" t="s">
        <v>7150</v>
      </c>
      <c r="I725" s="53" t="s">
        <v>271</v>
      </c>
      <c r="J725" s="53" t="s">
        <v>5530</v>
      </c>
      <c r="K725" s="71">
        <v>46218.48541666667</v>
      </c>
      <c r="L725" s="71">
        <v>46218.529861111114</v>
      </c>
      <c r="M725" s="71">
        <v>46218.563194444447</v>
      </c>
      <c r="N725" s="71">
        <v>46223.236805555556</v>
      </c>
      <c r="O725" s="71">
        <v>46219.265277777777</v>
      </c>
      <c r="P725" s="71">
        <v>46223.236805555556</v>
      </c>
      <c r="Q725" s="53" t="s">
        <v>5534</v>
      </c>
      <c r="R725" s="53" t="s">
        <v>272</v>
      </c>
      <c r="S725" s="53" t="s">
        <v>175</v>
      </c>
      <c r="T725" s="53" t="s">
        <v>268</v>
      </c>
      <c r="U725" s="53" t="s">
        <v>5531</v>
      </c>
      <c r="X725" s="53" t="s">
        <v>5531</v>
      </c>
      <c r="Y725" s="53" t="s">
        <v>7093</v>
      </c>
    </row>
    <row r="726" spans="2:25" ht="15" customHeight="1">
      <c r="B726" s="45" t="s">
        <v>26</v>
      </c>
      <c r="C726" s="45" t="s">
        <v>44</v>
      </c>
      <c r="D726" s="53" t="s">
        <v>207</v>
      </c>
      <c r="E726" s="53" t="s">
        <v>7151</v>
      </c>
      <c r="F726" s="45" t="s">
        <v>312</v>
      </c>
      <c r="G726" s="53">
        <v>3</v>
      </c>
      <c r="H726" s="53" t="s">
        <v>7152</v>
      </c>
      <c r="I726" s="53" t="s">
        <v>275</v>
      </c>
      <c r="J726" s="53" t="s">
        <v>5530</v>
      </c>
      <c r="K726" s="71">
        <v>46218.34375</v>
      </c>
      <c r="L726" s="71">
        <v>46218.490972222222</v>
      </c>
      <c r="M726" s="71">
        <v>46218.568055555559</v>
      </c>
      <c r="N726" s="71">
        <v>46219.267361111109</v>
      </c>
      <c r="O726" s="71"/>
      <c r="P726" s="71"/>
      <c r="Q726" s="53" t="s">
        <v>5534</v>
      </c>
      <c r="R726" s="53" t="s">
        <v>272</v>
      </c>
      <c r="S726" s="53" t="s">
        <v>175</v>
      </c>
      <c r="T726" s="53" t="s">
        <v>268</v>
      </c>
      <c r="U726" s="53" t="s">
        <v>5531</v>
      </c>
      <c r="X726" s="53" t="s">
        <v>5531</v>
      </c>
      <c r="Y726" s="53" t="s">
        <v>7081</v>
      </c>
    </row>
    <row r="727" spans="2:25" ht="15" customHeight="1">
      <c r="B727" s="45" t="s">
        <v>26</v>
      </c>
      <c r="C727" s="45" t="s">
        <v>44</v>
      </c>
      <c r="D727" s="53" t="s">
        <v>208</v>
      </c>
      <c r="E727" s="53" t="s">
        <v>7153</v>
      </c>
      <c r="F727" s="45" t="s">
        <v>312</v>
      </c>
      <c r="G727" s="53" t="s">
        <v>208</v>
      </c>
      <c r="H727" s="53" t="s">
        <v>7154</v>
      </c>
      <c r="I727" s="53" t="s">
        <v>271</v>
      </c>
      <c r="J727" s="53" t="s">
        <v>5530</v>
      </c>
      <c r="K727" s="71">
        <v>46218.540277777778</v>
      </c>
      <c r="L727" s="71">
        <v>46218.540277777778</v>
      </c>
      <c r="M727" s="71">
        <v>46218.570138888892</v>
      </c>
      <c r="N727" s="71">
        <v>46223.239583333336</v>
      </c>
      <c r="O727" s="71">
        <v>46219.282638888886</v>
      </c>
      <c r="P727" s="71">
        <v>46223.239583333336</v>
      </c>
      <c r="Q727" s="53" t="s">
        <v>7087</v>
      </c>
      <c r="R727" s="53" t="s">
        <v>261</v>
      </c>
      <c r="S727" s="53" t="s">
        <v>175</v>
      </c>
      <c r="T727" s="53" t="s">
        <v>268</v>
      </c>
      <c r="U727" s="53" t="s">
        <v>5531</v>
      </c>
      <c r="X727" s="53" t="s">
        <v>5531</v>
      </c>
      <c r="Y727" s="53" t="s">
        <v>7087</v>
      </c>
    </row>
    <row r="728" spans="2:25" ht="15" customHeight="1">
      <c r="B728" s="45" t="s">
        <v>26</v>
      </c>
      <c r="C728" s="45" t="s">
        <v>44</v>
      </c>
      <c r="D728" s="53" t="s">
        <v>207</v>
      </c>
      <c r="E728" s="53" t="s">
        <v>7155</v>
      </c>
      <c r="F728" s="45" t="s">
        <v>312</v>
      </c>
      <c r="G728" s="53">
        <v>3</v>
      </c>
      <c r="H728" s="53" t="s">
        <v>7156</v>
      </c>
      <c r="I728" s="53" t="s">
        <v>271</v>
      </c>
      <c r="J728" s="53" t="s">
        <v>5530</v>
      </c>
      <c r="K728" s="71">
        <v>46217.489583333336</v>
      </c>
      <c r="L728" s="71">
        <v>46218.602083333331</v>
      </c>
      <c r="M728" s="71">
        <v>46219.313888888886</v>
      </c>
      <c r="N728" s="71">
        <v>46223.241666666669</v>
      </c>
      <c r="O728" s="71">
        <v>46219.354166666664</v>
      </c>
      <c r="P728" s="71">
        <v>46223.241666666669</v>
      </c>
      <c r="Q728" s="53" t="s">
        <v>44</v>
      </c>
      <c r="R728" s="53" t="s">
        <v>261</v>
      </c>
      <c r="S728" s="53" t="s">
        <v>175</v>
      </c>
      <c r="T728" s="53" t="s">
        <v>268</v>
      </c>
      <c r="U728" s="53" t="s">
        <v>5531</v>
      </c>
      <c r="X728" s="53" t="s">
        <v>5531</v>
      </c>
      <c r="Y728" s="53" t="s">
        <v>7157</v>
      </c>
    </row>
    <row r="729" spans="2:25" ht="15" customHeight="1">
      <c r="B729" s="45" t="s">
        <v>26</v>
      </c>
      <c r="C729" s="45" t="s">
        <v>44</v>
      </c>
      <c r="D729" s="53" t="s">
        <v>207</v>
      </c>
      <c r="E729" s="53" t="s">
        <v>7158</v>
      </c>
      <c r="F729" s="45" t="s">
        <v>312</v>
      </c>
      <c r="G729" s="53">
        <v>3</v>
      </c>
      <c r="H729" s="53" t="s">
        <v>7159</v>
      </c>
      <c r="I729" s="53" t="s">
        <v>275</v>
      </c>
      <c r="J729" s="53" t="s">
        <v>5530</v>
      </c>
      <c r="K729" s="71">
        <v>46217.627083333333</v>
      </c>
      <c r="L729" s="71">
        <v>46219.431944444441</v>
      </c>
      <c r="M729" s="71">
        <v>46219.461111111108</v>
      </c>
      <c r="N729" s="71">
        <v>46220.261805555558</v>
      </c>
      <c r="O729" s="71"/>
      <c r="P729" s="71"/>
      <c r="Q729" s="53" t="s">
        <v>5534</v>
      </c>
      <c r="R729" s="53" t="s">
        <v>272</v>
      </c>
      <c r="S729" s="53" t="s">
        <v>175</v>
      </c>
      <c r="T729" s="53" t="s">
        <v>268</v>
      </c>
      <c r="U729" s="53" t="s">
        <v>5531</v>
      </c>
      <c r="X729" s="53" t="s">
        <v>5531</v>
      </c>
      <c r="Y729" s="53" t="s">
        <v>5585</v>
      </c>
    </row>
    <row r="730" spans="2:25" ht="15" customHeight="1">
      <c r="B730" s="45" t="s">
        <v>26</v>
      </c>
      <c r="C730" s="45" t="s">
        <v>44</v>
      </c>
      <c r="D730" s="53" t="s">
        <v>208</v>
      </c>
      <c r="E730" s="53" t="s">
        <v>7160</v>
      </c>
      <c r="F730" s="45" t="s">
        <v>312</v>
      </c>
      <c r="G730" s="53" t="s">
        <v>208</v>
      </c>
      <c r="H730" s="53" t="s">
        <v>7161</v>
      </c>
      <c r="I730" s="53" t="s">
        <v>271</v>
      </c>
      <c r="J730" s="53" t="s">
        <v>5530</v>
      </c>
      <c r="K730" s="71">
        <v>46217.599999999999</v>
      </c>
      <c r="L730" s="71">
        <v>46219.539583333331</v>
      </c>
      <c r="M730" s="71">
        <v>46219.550694444442</v>
      </c>
      <c r="N730" s="71">
        <v>46224.190057870372</v>
      </c>
      <c r="O730" s="71">
        <v>46220.36041666667</v>
      </c>
      <c r="P730" s="71">
        <v>46224.190057870372</v>
      </c>
      <c r="Q730" s="53" t="s">
        <v>5534</v>
      </c>
      <c r="R730" s="53" t="s">
        <v>272</v>
      </c>
      <c r="S730" s="53" t="s">
        <v>175</v>
      </c>
      <c r="T730" s="53" t="s">
        <v>268</v>
      </c>
      <c r="U730" s="53" t="s">
        <v>5531</v>
      </c>
      <c r="X730" s="53" t="s">
        <v>5531</v>
      </c>
      <c r="Y730" s="53" t="s">
        <v>7093</v>
      </c>
    </row>
    <row r="731" spans="2:25" ht="15" customHeight="1">
      <c r="B731" s="45" t="s">
        <v>26</v>
      </c>
      <c r="C731" s="45" t="s">
        <v>44</v>
      </c>
      <c r="D731" s="53" t="s">
        <v>208</v>
      </c>
      <c r="E731" s="53" t="s">
        <v>7162</v>
      </c>
      <c r="F731" s="45" t="s">
        <v>312</v>
      </c>
      <c r="G731" s="53" t="s">
        <v>208</v>
      </c>
      <c r="H731" s="53" t="s">
        <v>7163</v>
      </c>
      <c r="I731" s="53" t="s">
        <v>275</v>
      </c>
      <c r="J731" s="53" t="s">
        <v>5530</v>
      </c>
      <c r="K731" s="71">
        <v>46219.444444444445</v>
      </c>
      <c r="L731" s="71">
        <v>46219.444444444445</v>
      </c>
      <c r="M731" s="71">
        <v>46219.464583333334</v>
      </c>
      <c r="N731" s="71">
        <v>46220.361805555556</v>
      </c>
      <c r="O731" s="71"/>
      <c r="P731" s="71"/>
      <c r="Q731" s="53" t="s">
        <v>44</v>
      </c>
      <c r="R731" s="53" t="s">
        <v>272</v>
      </c>
      <c r="S731" s="53" t="s">
        <v>175</v>
      </c>
      <c r="T731" s="53" t="s">
        <v>268</v>
      </c>
      <c r="U731" s="53" t="s">
        <v>5531</v>
      </c>
      <c r="X731" s="53" t="s">
        <v>5531</v>
      </c>
      <c r="Y731" s="53" t="s">
        <v>5564</v>
      </c>
    </row>
    <row r="732" spans="2:25" ht="15" customHeight="1">
      <c r="B732" s="45" t="s">
        <v>26</v>
      </c>
      <c r="C732" s="45" t="s">
        <v>44</v>
      </c>
      <c r="D732" s="53" t="s">
        <v>208</v>
      </c>
      <c r="E732" s="53" t="s">
        <v>7164</v>
      </c>
      <c r="F732" s="45" t="s">
        <v>312</v>
      </c>
      <c r="G732" s="53" t="s">
        <v>208</v>
      </c>
      <c r="H732" s="53" t="s">
        <v>2251</v>
      </c>
      <c r="I732" s="53" t="s">
        <v>275</v>
      </c>
      <c r="J732" s="53" t="s">
        <v>5530</v>
      </c>
      <c r="K732" s="71">
        <v>46212.379861111112</v>
      </c>
      <c r="L732" s="71">
        <v>46219.682638888888</v>
      </c>
      <c r="M732" s="71">
        <v>46220.315972222219</v>
      </c>
      <c r="N732" s="71">
        <v>46220.365277777775</v>
      </c>
      <c r="O732" s="71"/>
      <c r="P732" s="71"/>
      <c r="Q732" s="53" t="s">
        <v>7165</v>
      </c>
      <c r="R732" s="53" t="s">
        <v>272</v>
      </c>
      <c r="S732" s="53" t="s">
        <v>175</v>
      </c>
      <c r="T732" s="53" t="s">
        <v>268</v>
      </c>
      <c r="U732" s="53" t="s">
        <v>5531</v>
      </c>
      <c r="X732" s="53" t="s">
        <v>5531</v>
      </c>
      <c r="Y732" s="53" t="s">
        <v>6687</v>
      </c>
    </row>
    <row r="733" spans="2:25" ht="15" customHeight="1">
      <c r="B733" s="45" t="s">
        <v>26</v>
      </c>
      <c r="C733" s="45" t="s">
        <v>44</v>
      </c>
      <c r="D733" s="53" t="s">
        <v>207</v>
      </c>
      <c r="E733" s="53" t="s">
        <v>7166</v>
      </c>
      <c r="F733" s="45" t="s">
        <v>312</v>
      </c>
      <c r="G733" s="53">
        <v>3</v>
      </c>
      <c r="H733" s="53" t="s">
        <v>7167</v>
      </c>
      <c r="I733" s="53" t="s">
        <v>271</v>
      </c>
      <c r="J733" s="53" t="s">
        <v>5530</v>
      </c>
      <c r="K733" s="71">
        <v>46191.421527777777</v>
      </c>
      <c r="L733" s="71">
        <v>46220.474305555559</v>
      </c>
      <c r="M733" s="71">
        <v>46220.474999999999</v>
      </c>
      <c r="N733" s="71">
        <v>46230.425335648149</v>
      </c>
      <c r="O733" s="71">
        <v>46220.49722222222</v>
      </c>
      <c r="P733" s="71">
        <v>46230.425335648149</v>
      </c>
      <c r="Q733" s="53" t="s">
        <v>44</v>
      </c>
      <c r="R733" s="53" t="s">
        <v>272</v>
      </c>
      <c r="S733" s="53" t="s">
        <v>175</v>
      </c>
      <c r="T733" s="53" t="s">
        <v>268</v>
      </c>
      <c r="U733" s="53" t="s">
        <v>5531</v>
      </c>
      <c r="X733" s="53" t="s">
        <v>5531</v>
      </c>
      <c r="Y733" s="53" t="s">
        <v>7168</v>
      </c>
    </row>
    <row r="734" spans="2:25" ht="15" customHeight="1">
      <c r="B734" s="45" t="s">
        <v>26</v>
      </c>
      <c r="C734" s="45" t="s">
        <v>44</v>
      </c>
      <c r="D734" s="53" t="s">
        <v>207</v>
      </c>
      <c r="E734" s="53" t="s">
        <v>7169</v>
      </c>
      <c r="F734" s="45" t="s">
        <v>312</v>
      </c>
      <c r="G734" s="53">
        <v>4</v>
      </c>
      <c r="H734" s="53" t="s">
        <v>7170</v>
      </c>
      <c r="I734" s="53" t="s">
        <v>271</v>
      </c>
      <c r="J734" s="53" t="s">
        <v>5530</v>
      </c>
      <c r="K734" s="71">
        <v>46220.406944444447</v>
      </c>
      <c r="L734" s="71">
        <v>46220.406944444447</v>
      </c>
      <c r="M734" s="71">
        <v>46220.4375</v>
      </c>
      <c r="N734" s="71">
        <v>46223.371203703704</v>
      </c>
      <c r="O734" s="71">
        <v>46220.497916666667</v>
      </c>
      <c r="P734" s="71">
        <v>46223.371203703704</v>
      </c>
      <c r="Q734" s="53" t="s">
        <v>44</v>
      </c>
      <c r="R734" s="53" t="s">
        <v>272</v>
      </c>
      <c r="S734" s="53" t="s">
        <v>175</v>
      </c>
      <c r="T734" s="53" t="s">
        <v>268</v>
      </c>
      <c r="U734" s="53" t="s">
        <v>5531</v>
      </c>
      <c r="X734" s="53" t="s">
        <v>5531</v>
      </c>
      <c r="Y734" s="53" t="s">
        <v>7171</v>
      </c>
    </row>
    <row r="735" spans="2:25" ht="15" customHeight="1">
      <c r="B735" s="45" t="s">
        <v>26</v>
      </c>
      <c r="C735" s="45" t="s">
        <v>44</v>
      </c>
      <c r="D735" s="53" t="s">
        <v>207</v>
      </c>
      <c r="E735" s="53" t="s">
        <v>7172</v>
      </c>
      <c r="F735" s="45" t="s">
        <v>312</v>
      </c>
      <c r="G735" s="53">
        <v>4</v>
      </c>
      <c r="H735" s="53" t="s">
        <v>7173</v>
      </c>
      <c r="I735" s="53" t="s">
        <v>275</v>
      </c>
      <c r="J735" s="53" t="s">
        <v>5530</v>
      </c>
      <c r="K735" s="71">
        <v>46219.509027777778</v>
      </c>
      <c r="L735" s="71">
        <v>46209.675694444442</v>
      </c>
      <c r="M735" s="71">
        <v>46220.302083333336</v>
      </c>
      <c r="N735" s="71">
        <v>46222.990277777775</v>
      </c>
      <c r="O735" s="71"/>
      <c r="P735" s="71"/>
      <c r="Q735" s="53" t="s">
        <v>5534</v>
      </c>
      <c r="R735" s="53" t="s">
        <v>272</v>
      </c>
      <c r="S735" s="53" t="s">
        <v>175</v>
      </c>
      <c r="T735" s="53" t="s">
        <v>268</v>
      </c>
      <c r="U735" s="53" t="s">
        <v>5531</v>
      </c>
      <c r="X735" s="53" t="s">
        <v>5531</v>
      </c>
      <c r="Y735" s="53" t="s">
        <v>5585</v>
      </c>
    </row>
    <row r="736" spans="2:25" ht="15" customHeight="1">
      <c r="B736" s="45" t="s">
        <v>26</v>
      </c>
      <c r="C736" s="45" t="s">
        <v>44</v>
      </c>
      <c r="D736" s="45" t="s">
        <v>207</v>
      </c>
      <c r="E736" s="45" t="s">
        <v>7174</v>
      </c>
      <c r="F736" s="45" t="s">
        <v>312</v>
      </c>
      <c r="G736" s="45">
        <v>4</v>
      </c>
      <c r="H736" s="45" t="s">
        <v>7175</v>
      </c>
      <c r="I736" s="45" t="s">
        <v>275</v>
      </c>
      <c r="J736" s="45" t="s">
        <v>5963</v>
      </c>
      <c r="K736" s="47">
        <v>46202.826585648145</v>
      </c>
      <c r="L736" s="47">
        <v>46203.357858796298</v>
      </c>
      <c r="M736" s="47">
        <v>46203.357858796298</v>
      </c>
      <c r="N736" s="47">
        <v>46203.520578703705</v>
      </c>
      <c r="P736" s="47">
        <v>46203.520578703705</v>
      </c>
      <c r="Q736" s="45" t="s">
        <v>5750</v>
      </c>
      <c r="R736" s="45" t="s">
        <v>272</v>
      </c>
      <c r="S736" s="45" t="s">
        <v>175</v>
      </c>
      <c r="T736" s="45" t="s">
        <v>268</v>
      </c>
      <c r="U736" s="45" t="s">
        <v>5531</v>
      </c>
      <c r="X736" s="45" t="s">
        <v>5531</v>
      </c>
      <c r="Y736" s="45" t="s">
        <v>7176</v>
      </c>
    </row>
    <row r="737" spans="2:25" ht="15" customHeight="1">
      <c r="B737" s="45" t="s">
        <v>26</v>
      </c>
      <c r="C737" s="45" t="s">
        <v>44</v>
      </c>
      <c r="D737" s="45" t="s">
        <v>207</v>
      </c>
      <c r="E737" s="45" t="s">
        <v>7177</v>
      </c>
      <c r="F737" s="45" t="s">
        <v>312</v>
      </c>
      <c r="G737" s="45">
        <v>4</v>
      </c>
      <c r="H737" s="45" t="s">
        <v>7178</v>
      </c>
      <c r="I737" s="45" t="s">
        <v>275</v>
      </c>
      <c r="J737" s="45" t="s">
        <v>5963</v>
      </c>
      <c r="K737" s="47">
        <v>46202.66615740741</v>
      </c>
      <c r="L737" s="47">
        <v>46202.66615740741</v>
      </c>
      <c r="M737" s="47">
        <v>46202.66615740741</v>
      </c>
      <c r="N737" s="47">
        <v>46203.589849537035</v>
      </c>
      <c r="P737" s="47">
        <v>46203.589849537035</v>
      </c>
      <c r="Q737" s="45" t="s">
        <v>44</v>
      </c>
      <c r="R737" s="45" t="s">
        <v>272</v>
      </c>
      <c r="S737" s="45" t="s">
        <v>175</v>
      </c>
      <c r="T737" s="45" t="s">
        <v>268</v>
      </c>
      <c r="U737" s="45" t="s">
        <v>5531</v>
      </c>
      <c r="X737" s="45" t="s">
        <v>5531</v>
      </c>
      <c r="Y737" s="45" t="s">
        <v>7179</v>
      </c>
    </row>
    <row r="738" spans="2:25" ht="15" customHeight="1">
      <c r="B738" s="45" t="s">
        <v>26</v>
      </c>
      <c r="C738" s="45" t="s">
        <v>44</v>
      </c>
      <c r="D738" s="45" t="s">
        <v>207</v>
      </c>
      <c r="E738" s="45" t="s">
        <v>7180</v>
      </c>
      <c r="F738" s="45" t="s">
        <v>312</v>
      </c>
      <c r="G738" s="45">
        <v>4</v>
      </c>
      <c r="H738" s="45" t="s">
        <v>7178</v>
      </c>
      <c r="I738" s="45" t="s">
        <v>275</v>
      </c>
      <c r="J738" s="45" t="s">
        <v>5963</v>
      </c>
      <c r="K738" s="47">
        <v>46202.6716087963</v>
      </c>
      <c r="L738" s="47">
        <v>46203.299756944441</v>
      </c>
      <c r="M738" s="47">
        <v>46203.299756944441</v>
      </c>
      <c r="N738" s="47">
        <v>46203.303622685184</v>
      </c>
      <c r="P738" s="47">
        <v>46203.303622685184</v>
      </c>
      <c r="Q738" s="45" t="s">
        <v>6508</v>
      </c>
      <c r="R738" s="45" t="s">
        <v>272</v>
      </c>
      <c r="S738" s="45" t="s">
        <v>175</v>
      </c>
      <c r="T738" s="45" t="s">
        <v>268</v>
      </c>
      <c r="U738" s="45" t="s">
        <v>5531</v>
      </c>
      <c r="X738" s="45" t="s">
        <v>5531</v>
      </c>
      <c r="Y738" s="45" t="s">
        <v>7181</v>
      </c>
    </row>
    <row r="739" spans="2:25" ht="15" customHeight="1">
      <c r="B739" s="45" t="s">
        <v>26</v>
      </c>
      <c r="C739" s="45" t="s">
        <v>44</v>
      </c>
      <c r="D739" s="45" t="s">
        <v>207</v>
      </c>
      <c r="E739" s="45" t="s">
        <v>7182</v>
      </c>
      <c r="F739" s="45" t="s">
        <v>312</v>
      </c>
      <c r="G739" s="45">
        <v>4</v>
      </c>
      <c r="H739" s="45" t="s">
        <v>7183</v>
      </c>
      <c r="I739" s="45" t="s">
        <v>275</v>
      </c>
      <c r="J739" s="45" t="s">
        <v>5963</v>
      </c>
      <c r="K739" s="47">
        <v>46199.695393518516</v>
      </c>
      <c r="L739" s="47">
        <v>46203.296527777777</v>
      </c>
      <c r="M739" s="47">
        <v>46203.296805555554</v>
      </c>
      <c r="N739" s="47">
        <v>46203.308553240742</v>
      </c>
      <c r="P739" s="47">
        <v>46203.308553240742</v>
      </c>
      <c r="Q739" s="45" t="s">
        <v>5534</v>
      </c>
      <c r="R739" s="45" t="s">
        <v>272</v>
      </c>
      <c r="S739" s="45" t="s">
        <v>175</v>
      </c>
      <c r="T739" s="45" t="s">
        <v>268</v>
      </c>
      <c r="U739" s="45" t="s">
        <v>5531</v>
      </c>
      <c r="X739" s="45" t="s">
        <v>5531</v>
      </c>
      <c r="Y739" s="45" t="s">
        <v>7184</v>
      </c>
    </row>
    <row r="740" spans="2:25" ht="15" customHeight="1">
      <c r="B740" s="45" t="s">
        <v>26</v>
      </c>
      <c r="C740" s="45" t="s">
        <v>44</v>
      </c>
      <c r="D740" s="45" t="s">
        <v>207</v>
      </c>
      <c r="E740" s="45" t="s">
        <v>2362</v>
      </c>
      <c r="F740" s="45" t="s">
        <v>312</v>
      </c>
      <c r="G740" s="45">
        <v>4</v>
      </c>
      <c r="H740" s="45" t="s">
        <v>2363</v>
      </c>
      <c r="I740" s="45" t="s">
        <v>275</v>
      </c>
      <c r="J740" s="45" t="s">
        <v>5963</v>
      </c>
      <c r="K740" s="47">
        <v>46201.62773148148</v>
      </c>
      <c r="L740" s="47">
        <v>46203.520474537036</v>
      </c>
      <c r="M740" s="47">
        <v>46203.520474537036</v>
      </c>
      <c r="N740" s="47">
        <v>46204.513078703705</v>
      </c>
      <c r="P740" s="47">
        <v>46204.513078703705</v>
      </c>
      <c r="Q740" s="45" t="s">
        <v>5705</v>
      </c>
      <c r="R740" s="45" t="s">
        <v>272</v>
      </c>
      <c r="S740" s="45" t="s">
        <v>175</v>
      </c>
      <c r="T740" s="45" t="s">
        <v>268</v>
      </c>
      <c r="U740" s="45" t="s">
        <v>5531</v>
      </c>
      <c r="X740" s="45" t="s">
        <v>5531</v>
      </c>
      <c r="Y740" s="45" t="s">
        <v>7176</v>
      </c>
    </row>
    <row r="741" spans="2:25" ht="15" customHeight="1">
      <c r="B741" s="45" t="s">
        <v>26</v>
      </c>
      <c r="C741" s="45" t="s">
        <v>44</v>
      </c>
      <c r="D741" s="45" t="s">
        <v>207</v>
      </c>
      <c r="E741" s="45" t="s">
        <v>7185</v>
      </c>
      <c r="F741" s="45" t="s">
        <v>312</v>
      </c>
      <c r="G741" s="45">
        <v>4</v>
      </c>
      <c r="H741" s="45" t="s">
        <v>7186</v>
      </c>
      <c r="I741" s="45" t="s">
        <v>275</v>
      </c>
      <c r="J741" s="45" t="s">
        <v>5963</v>
      </c>
      <c r="K741" s="47">
        <v>46195.365011574075</v>
      </c>
      <c r="L741" s="47">
        <v>46204.289375</v>
      </c>
      <c r="M741" s="47">
        <v>46204.289375</v>
      </c>
      <c r="N741" s="47">
        <v>46204.297847222224</v>
      </c>
      <c r="P741" s="47">
        <v>46204.297847222224</v>
      </c>
      <c r="Q741" s="45" t="s">
        <v>5705</v>
      </c>
      <c r="R741" s="45" t="s">
        <v>272</v>
      </c>
      <c r="S741" s="45" t="s">
        <v>175</v>
      </c>
      <c r="T741" s="45" t="s">
        <v>268</v>
      </c>
      <c r="U741" s="45" t="s">
        <v>5531</v>
      </c>
      <c r="X741" s="45" t="s">
        <v>5531</v>
      </c>
      <c r="Y741" s="45" t="s">
        <v>7176</v>
      </c>
    </row>
    <row r="742" spans="2:25" ht="15" customHeight="1">
      <c r="B742" s="45" t="s">
        <v>26</v>
      </c>
      <c r="C742" s="45" t="s">
        <v>44</v>
      </c>
      <c r="D742" s="45" t="s">
        <v>207</v>
      </c>
      <c r="E742" s="45" t="s">
        <v>7187</v>
      </c>
      <c r="F742" s="45" t="s">
        <v>312</v>
      </c>
      <c r="G742" s="45">
        <v>4</v>
      </c>
      <c r="H742" s="45" t="s">
        <v>7188</v>
      </c>
      <c r="I742" s="45" t="s">
        <v>271</v>
      </c>
      <c r="J742" s="45" t="s">
        <v>5963</v>
      </c>
      <c r="K742" s="47">
        <v>46198.188599537039</v>
      </c>
      <c r="L742" s="47">
        <v>46199.293634259258</v>
      </c>
      <c r="M742" s="47">
        <v>46199.293634259258</v>
      </c>
      <c r="N742" s="47">
        <v>46204.357893518521</v>
      </c>
      <c r="P742" s="47">
        <v>46204.357893518521</v>
      </c>
      <c r="Q742" s="45" t="s">
        <v>7189</v>
      </c>
      <c r="R742" s="45" t="s">
        <v>272</v>
      </c>
      <c r="S742" s="45" t="s">
        <v>175</v>
      </c>
      <c r="T742" s="45" t="s">
        <v>268</v>
      </c>
      <c r="U742" s="45" t="s">
        <v>5531</v>
      </c>
      <c r="X742" s="45" t="s">
        <v>5531</v>
      </c>
      <c r="Y742" s="45" t="s">
        <v>7176</v>
      </c>
    </row>
    <row r="743" spans="2:25" ht="15" customHeight="1">
      <c r="B743" s="45" t="s">
        <v>26</v>
      </c>
      <c r="C743" s="45" t="s">
        <v>44</v>
      </c>
      <c r="D743" s="45" t="s">
        <v>207</v>
      </c>
      <c r="E743" s="45" t="s">
        <v>7190</v>
      </c>
      <c r="F743" s="45" t="s">
        <v>312</v>
      </c>
      <c r="G743" s="45">
        <v>4</v>
      </c>
      <c r="H743" s="45" t="s">
        <v>7191</v>
      </c>
      <c r="I743" s="45" t="s">
        <v>275</v>
      </c>
      <c r="J743" s="45" t="s">
        <v>5963</v>
      </c>
      <c r="K743" s="47">
        <v>46204.498449074075</v>
      </c>
      <c r="L743" s="47">
        <v>46204.516365740739</v>
      </c>
      <c r="M743" s="47">
        <v>46204.516365740739</v>
      </c>
      <c r="N743" s="47">
        <v>46204.518136574072</v>
      </c>
      <c r="P743" s="47">
        <v>46204.518136574072</v>
      </c>
      <c r="Q743" s="45" t="s">
        <v>6083</v>
      </c>
      <c r="R743" s="45" t="s">
        <v>261</v>
      </c>
      <c r="S743" s="45" t="s">
        <v>175</v>
      </c>
      <c r="T743" s="45" t="s">
        <v>268</v>
      </c>
      <c r="U743" s="45" t="s">
        <v>5531</v>
      </c>
      <c r="X743" s="45" t="s">
        <v>5531</v>
      </c>
      <c r="Y743" s="45" t="s">
        <v>7192</v>
      </c>
    </row>
    <row r="744" spans="2:25" ht="15" customHeight="1">
      <c r="B744" s="45" t="s">
        <v>26</v>
      </c>
      <c r="C744" s="45" t="s">
        <v>44</v>
      </c>
      <c r="D744" s="45" t="s">
        <v>207</v>
      </c>
      <c r="E744" s="45" t="s">
        <v>7193</v>
      </c>
      <c r="F744" s="45" t="s">
        <v>312</v>
      </c>
      <c r="G744" s="45">
        <v>3</v>
      </c>
      <c r="H744" s="45" t="s">
        <v>7194</v>
      </c>
      <c r="I744" s="45" t="s">
        <v>271</v>
      </c>
      <c r="J744" s="45" t="s">
        <v>5963</v>
      </c>
      <c r="K744" s="47">
        <v>46203.463171296295</v>
      </c>
      <c r="L744" s="47">
        <v>46204.551168981481</v>
      </c>
      <c r="M744" s="47">
        <v>46204.551168981481</v>
      </c>
      <c r="N744" s="47">
        <v>46209.273726851854</v>
      </c>
      <c r="P744" s="47">
        <v>46209.273726851854</v>
      </c>
      <c r="Q744" s="45" t="s">
        <v>44</v>
      </c>
      <c r="R744" s="45" t="s">
        <v>272</v>
      </c>
      <c r="S744" s="45" t="s">
        <v>175</v>
      </c>
      <c r="T744" s="45" t="s">
        <v>268</v>
      </c>
      <c r="U744" s="45" t="s">
        <v>5531</v>
      </c>
      <c r="X744" s="45" t="s">
        <v>5531</v>
      </c>
      <c r="Y744" s="45" t="s">
        <v>7195</v>
      </c>
    </row>
    <row r="745" spans="2:25" ht="15" customHeight="1">
      <c r="B745" s="45" t="s">
        <v>26</v>
      </c>
      <c r="C745" s="45" t="s">
        <v>44</v>
      </c>
      <c r="D745" s="45" t="s">
        <v>207</v>
      </c>
      <c r="E745" s="45" t="s">
        <v>7196</v>
      </c>
      <c r="F745" s="45" t="s">
        <v>312</v>
      </c>
      <c r="G745" s="45">
        <v>4</v>
      </c>
      <c r="H745" s="45" t="s">
        <v>7197</v>
      </c>
      <c r="I745" s="45" t="s">
        <v>275</v>
      </c>
      <c r="J745" s="45" t="s">
        <v>5963</v>
      </c>
      <c r="K745" s="47">
        <v>46196.714756944442</v>
      </c>
      <c r="L745" s="47">
        <v>46209.435486111113</v>
      </c>
      <c r="M745" s="47">
        <v>46209.435486111113</v>
      </c>
      <c r="N745" s="47">
        <v>46209.544745370367</v>
      </c>
      <c r="P745" s="47">
        <v>46209.544745370367</v>
      </c>
      <c r="Q745" s="45" t="s">
        <v>44</v>
      </c>
      <c r="R745" s="45" t="s">
        <v>272</v>
      </c>
      <c r="S745" s="45" t="s">
        <v>175</v>
      </c>
      <c r="T745" s="45" t="s">
        <v>268</v>
      </c>
      <c r="U745" s="45" t="s">
        <v>5531</v>
      </c>
      <c r="X745" s="45" t="s">
        <v>5531</v>
      </c>
      <c r="Y745" s="45" t="s">
        <v>7198</v>
      </c>
    </row>
    <row r="746" spans="2:25" ht="15" customHeight="1">
      <c r="B746" s="45" t="s">
        <v>26</v>
      </c>
      <c r="C746" s="45" t="s">
        <v>44</v>
      </c>
      <c r="D746" s="45" t="s">
        <v>207</v>
      </c>
      <c r="E746" s="45" t="s">
        <v>7199</v>
      </c>
      <c r="F746" s="45" t="s">
        <v>312</v>
      </c>
      <c r="G746" s="45">
        <v>3</v>
      </c>
      <c r="H746" s="45" t="s">
        <v>167</v>
      </c>
      <c r="I746" s="45" t="s">
        <v>275</v>
      </c>
      <c r="J746" s="45" t="s">
        <v>5963</v>
      </c>
      <c r="K746" s="47">
        <v>46207.365439814814</v>
      </c>
      <c r="L746" s="47">
        <v>46209.28670138889</v>
      </c>
      <c r="M746" s="47">
        <v>46209.28670138889</v>
      </c>
      <c r="N746" s="47">
        <v>46209.313807870371</v>
      </c>
      <c r="P746" s="47">
        <v>46209.313807870371</v>
      </c>
      <c r="Q746" s="45" t="s">
        <v>44</v>
      </c>
      <c r="R746" s="45" t="s">
        <v>272</v>
      </c>
      <c r="S746" s="45" t="s">
        <v>175</v>
      </c>
      <c r="T746" s="45" t="s">
        <v>268</v>
      </c>
      <c r="U746" s="45" t="s">
        <v>5531</v>
      </c>
      <c r="X746" s="45" t="s">
        <v>5531</v>
      </c>
      <c r="Y746" s="45" t="s">
        <v>7198</v>
      </c>
    </row>
    <row r="747" spans="2:25" ht="15" customHeight="1">
      <c r="B747" s="45" t="s">
        <v>26</v>
      </c>
      <c r="C747" s="45" t="s">
        <v>44</v>
      </c>
      <c r="D747" s="45" t="s">
        <v>207</v>
      </c>
      <c r="E747" s="45" t="s">
        <v>7200</v>
      </c>
      <c r="F747" s="45" t="s">
        <v>312</v>
      </c>
      <c r="G747" s="45">
        <v>4</v>
      </c>
      <c r="H747" s="45" t="s">
        <v>7201</v>
      </c>
      <c r="I747" s="45" t="s">
        <v>271</v>
      </c>
      <c r="J747" s="45" t="s">
        <v>5963</v>
      </c>
      <c r="K747" s="47">
        <v>46202.36824074074</v>
      </c>
      <c r="L747" s="47">
        <v>46212.360636574071</v>
      </c>
      <c r="M747" s="47">
        <v>46212.360636574071</v>
      </c>
      <c r="N747" s="47">
        <v>46216.285613425927</v>
      </c>
      <c r="P747" s="47">
        <v>46216.285613425927</v>
      </c>
      <c r="Q747" s="45" t="s">
        <v>6083</v>
      </c>
      <c r="R747" s="45" t="s">
        <v>261</v>
      </c>
      <c r="S747" s="45" t="s">
        <v>175</v>
      </c>
      <c r="T747" s="45" t="s">
        <v>268</v>
      </c>
      <c r="U747" s="45" t="s">
        <v>5531</v>
      </c>
      <c r="X747" s="45" t="s">
        <v>5531</v>
      </c>
      <c r="Y747" s="45" t="s">
        <v>7192</v>
      </c>
    </row>
    <row r="748" spans="2:25" ht="15" customHeight="1">
      <c r="B748" s="45" t="s">
        <v>26</v>
      </c>
      <c r="C748" s="45" t="s">
        <v>44</v>
      </c>
      <c r="D748" s="45" t="s">
        <v>207</v>
      </c>
      <c r="E748" s="45" t="s">
        <v>7202</v>
      </c>
      <c r="F748" s="45" t="s">
        <v>312</v>
      </c>
      <c r="G748" s="45">
        <v>3</v>
      </c>
      <c r="H748" s="45" t="s">
        <v>7203</v>
      </c>
      <c r="I748" s="45" t="s">
        <v>271</v>
      </c>
      <c r="J748" s="45" t="s">
        <v>5963</v>
      </c>
      <c r="K748" s="47">
        <v>46203.229027777779</v>
      </c>
      <c r="L748" s="47">
        <v>46204.58017361111</v>
      </c>
      <c r="M748" s="47">
        <v>46204.58017361111</v>
      </c>
      <c r="N748" s="47">
        <v>46209.31753472222</v>
      </c>
      <c r="P748" s="47">
        <v>46209.31753472222</v>
      </c>
      <c r="Q748" s="45" t="s">
        <v>7204</v>
      </c>
      <c r="R748" s="45" t="s">
        <v>272</v>
      </c>
      <c r="S748" s="45" t="s">
        <v>175</v>
      </c>
      <c r="T748" s="45" t="s">
        <v>268</v>
      </c>
      <c r="U748" s="45" t="s">
        <v>5531</v>
      </c>
      <c r="X748" s="45" t="s">
        <v>5531</v>
      </c>
      <c r="Y748" s="45" t="s">
        <v>7176</v>
      </c>
    </row>
    <row r="749" spans="2:25" ht="15" customHeight="1">
      <c r="B749" s="45" t="s">
        <v>26</v>
      </c>
      <c r="C749" s="45" t="s">
        <v>44</v>
      </c>
      <c r="D749" s="45" t="s">
        <v>207</v>
      </c>
      <c r="E749" s="45" t="s">
        <v>7205</v>
      </c>
      <c r="F749" s="45" t="s">
        <v>312</v>
      </c>
      <c r="G749" s="45">
        <v>4</v>
      </c>
      <c r="H749" s="45" t="s">
        <v>7206</v>
      </c>
      <c r="I749" s="45" t="s">
        <v>271</v>
      </c>
      <c r="J749" s="45" t="s">
        <v>5963</v>
      </c>
      <c r="K749" s="47">
        <v>46204.435902777775</v>
      </c>
      <c r="L749" s="47">
        <v>46204.45453703704</v>
      </c>
      <c r="M749" s="47">
        <v>46204.45453703704</v>
      </c>
      <c r="N749" s="47">
        <v>46209.322870370372</v>
      </c>
      <c r="P749" s="47">
        <v>46209.322870370372</v>
      </c>
      <c r="Q749" s="45" t="s">
        <v>7207</v>
      </c>
      <c r="R749" s="45" t="s">
        <v>272</v>
      </c>
      <c r="S749" s="45" t="s">
        <v>175</v>
      </c>
      <c r="T749" s="45" t="s">
        <v>268</v>
      </c>
      <c r="U749" s="45" t="s">
        <v>5531</v>
      </c>
      <c r="X749" s="45" t="s">
        <v>5531</v>
      </c>
      <c r="Y749" s="45" t="s">
        <v>6908</v>
      </c>
    </row>
    <row r="750" spans="2:25" ht="15" customHeight="1">
      <c r="B750" s="45" t="s">
        <v>26</v>
      </c>
      <c r="C750" s="45" t="s">
        <v>44</v>
      </c>
      <c r="D750" s="45" t="s">
        <v>207</v>
      </c>
      <c r="E750" s="45" t="s">
        <v>7208</v>
      </c>
      <c r="F750" s="45" t="s">
        <v>312</v>
      </c>
      <c r="G750" s="45">
        <v>4</v>
      </c>
      <c r="H750" s="45" t="s">
        <v>7209</v>
      </c>
      <c r="I750" s="45" t="s">
        <v>271</v>
      </c>
      <c r="J750" s="45" t="s">
        <v>5963</v>
      </c>
      <c r="K750" s="47">
        <v>46204.410925925928</v>
      </c>
      <c r="L750" s="47">
        <v>46204.431122685186</v>
      </c>
      <c r="M750" s="47">
        <v>46204.431122685186</v>
      </c>
      <c r="N750" s="47">
        <v>46209.325289351851</v>
      </c>
      <c r="P750" s="47">
        <v>46209.325289351851</v>
      </c>
      <c r="Q750" s="45" t="s">
        <v>6083</v>
      </c>
      <c r="R750" s="45" t="s">
        <v>261</v>
      </c>
      <c r="S750" s="45" t="s">
        <v>175</v>
      </c>
      <c r="T750" s="45" t="s">
        <v>268</v>
      </c>
      <c r="U750" s="45" t="s">
        <v>5531</v>
      </c>
      <c r="X750" s="45" t="s">
        <v>5531</v>
      </c>
      <c r="Y750" s="45" t="s">
        <v>7192</v>
      </c>
    </row>
    <row r="751" spans="2:25" ht="15" customHeight="1">
      <c r="B751" s="45" t="s">
        <v>26</v>
      </c>
      <c r="C751" s="45" t="s">
        <v>44</v>
      </c>
      <c r="D751" s="45" t="s">
        <v>207</v>
      </c>
      <c r="E751" s="45" t="s">
        <v>7210</v>
      </c>
      <c r="F751" s="45" t="s">
        <v>312</v>
      </c>
      <c r="G751" s="45">
        <v>4</v>
      </c>
      <c r="H751" s="45" t="s">
        <v>7211</v>
      </c>
      <c r="I751" s="45" t="s">
        <v>271</v>
      </c>
      <c r="J751" s="45" t="s">
        <v>5963</v>
      </c>
      <c r="K751" s="47">
        <v>46204.521990740737</v>
      </c>
      <c r="L751" s="47">
        <v>46209.435972222222</v>
      </c>
      <c r="M751" s="47">
        <v>46209.435972222222</v>
      </c>
      <c r="N751" s="47">
        <v>46213.436793981484</v>
      </c>
      <c r="P751" s="47">
        <v>46213.436793981484</v>
      </c>
      <c r="Q751" s="45" t="s">
        <v>6656</v>
      </c>
      <c r="R751" s="45" t="s">
        <v>272</v>
      </c>
      <c r="S751" s="45" t="s">
        <v>175</v>
      </c>
      <c r="T751" s="45" t="s">
        <v>268</v>
      </c>
      <c r="U751" s="45" t="s">
        <v>5531</v>
      </c>
      <c r="X751" s="45" t="s">
        <v>5531</v>
      </c>
      <c r="Y751" s="45" t="s">
        <v>6908</v>
      </c>
    </row>
    <row r="752" spans="2:25" ht="15" customHeight="1">
      <c r="B752" s="45" t="s">
        <v>26</v>
      </c>
      <c r="C752" s="45" t="s">
        <v>44</v>
      </c>
      <c r="D752" s="45" t="s">
        <v>207</v>
      </c>
      <c r="E752" s="45" t="s">
        <v>7212</v>
      </c>
      <c r="F752" s="45" t="s">
        <v>312</v>
      </c>
      <c r="G752" s="45">
        <v>3</v>
      </c>
      <c r="H752" s="45" t="s">
        <v>7213</v>
      </c>
      <c r="I752" s="45" t="s">
        <v>275</v>
      </c>
      <c r="J752" s="45" t="s">
        <v>5963</v>
      </c>
      <c r="K752" s="47">
        <v>46209.429814814815</v>
      </c>
      <c r="L752" s="47">
        <v>46210.249479166669</v>
      </c>
      <c r="M752" s="47">
        <v>46210.249479166669</v>
      </c>
      <c r="N752" s="47">
        <v>46211.309803240743</v>
      </c>
      <c r="P752" s="47">
        <v>46211.309803240743</v>
      </c>
      <c r="Q752" s="45" t="s">
        <v>44</v>
      </c>
      <c r="R752" s="45" t="s">
        <v>272</v>
      </c>
      <c r="S752" s="45" t="s">
        <v>175</v>
      </c>
      <c r="T752" s="45" t="s">
        <v>268</v>
      </c>
      <c r="U752" s="45" t="s">
        <v>5531</v>
      </c>
      <c r="X752" s="45" t="s">
        <v>5531</v>
      </c>
      <c r="Y752" s="45" t="s">
        <v>7214</v>
      </c>
    </row>
    <row r="753" spans="2:25" ht="15" customHeight="1">
      <c r="B753" s="45" t="s">
        <v>26</v>
      </c>
      <c r="C753" s="45" t="s">
        <v>44</v>
      </c>
      <c r="D753" s="45" t="s">
        <v>207</v>
      </c>
      <c r="E753" s="45" t="s">
        <v>2604</v>
      </c>
      <c r="F753" s="45" t="s">
        <v>312</v>
      </c>
      <c r="G753" s="45">
        <v>4</v>
      </c>
      <c r="H753" s="45" t="s">
        <v>2605</v>
      </c>
      <c r="I753" s="45" t="s">
        <v>275</v>
      </c>
      <c r="J753" s="45" t="s">
        <v>5963</v>
      </c>
      <c r="K753" s="47">
        <v>46208.329467592594</v>
      </c>
      <c r="L753" s="47">
        <v>46209.549710648149</v>
      </c>
      <c r="M753" s="47">
        <v>46209.549710648149</v>
      </c>
      <c r="N753" s="47">
        <v>46209.621388888889</v>
      </c>
      <c r="P753" s="47">
        <v>46209.621388888889</v>
      </c>
      <c r="Q753" s="45" t="s">
        <v>5705</v>
      </c>
      <c r="R753" s="45" t="s">
        <v>272</v>
      </c>
      <c r="S753" s="45" t="s">
        <v>175</v>
      </c>
      <c r="T753" s="45" t="s">
        <v>268</v>
      </c>
      <c r="U753" s="45" t="s">
        <v>5531</v>
      </c>
      <c r="X753" s="45" t="s">
        <v>5531</v>
      </c>
      <c r="Y753" s="45" t="s">
        <v>7176</v>
      </c>
    </row>
    <row r="754" spans="2:25" ht="15" customHeight="1">
      <c r="B754" s="45" t="s">
        <v>26</v>
      </c>
      <c r="C754" s="45" t="s">
        <v>44</v>
      </c>
      <c r="D754" s="45" t="s">
        <v>207</v>
      </c>
      <c r="E754" s="45" t="s">
        <v>7215</v>
      </c>
      <c r="F754" s="45" t="s">
        <v>312</v>
      </c>
      <c r="G754" s="45">
        <v>4</v>
      </c>
      <c r="H754" s="45" t="s">
        <v>7216</v>
      </c>
      <c r="I754" s="45" t="s">
        <v>275</v>
      </c>
      <c r="J754" s="45" t="s">
        <v>5963</v>
      </c>
      <c r="K754" s="47">
        <v>46209.566655092596</v>
      </c>
      <c r="L754" s="47">
        <v>46217.412662037037</v>
      </c>
      <c r="M754" s="47">
        <v>46217.412662037037</v>
      </c>
      <c r="N754" s="47">
        <v>46225.287499999999</v>
      </c>
      <c r="P754" s="47">
        <v>46225.287499999999</v>
      </c>
      <c r="Q754" s="45" t="s">
        <v>5705</v>
      </c>
      <c r="R754" s="45" t="s">
        <v>272</v>
      </c>
      <c r="S754" s="45" t="s">
        <v>175</v>
      </c>
      <c r="T754" s="45" t="s">
        <v>268</v>
      </c>
      <c r="U754" s="45" t="s">
        <v>5531</v>
      </c>
      <c r="X754" s="45" t="s">
        <v>5531</v>
      </c>
      <c r="Y754" s="45" t="s">
        <v>7176</v>
      </c>
    </row>
    <row r="755" spans="2:25" ht="15" customHeight="1">
      <c r="B755" s="45" t="s">
        <v>26</v>
      </c>
      <c r="C755" s="45" t="s">
        <v>44</v>
      </c>
      <c r="D755" s="45" t="s">
        <v>207</v>
      </c>
      <c r="E755" s="45" t="s">
        <v>7217</v>
      </c>
      <c r="F755" s="45" t="s">
        <v>312</v>
      </c>
      <c r="G755" s="45">
        <v>3</v>
      </c>
      <c r="H755" s="45" t="s">
        <v>7218</v>
      </c>
      <c r="I755" s="45" t="s">
        <v>271</v>
      </c>
      <c r="J755" s="45" t="s">
        <v>5963</v>
      </c>
      <c r="K755" s="47">
        <v>46211.516608796293</v>
      </c>
      <c r="L755" s="47">
        <v>46211.551365740743</v>
      </c>
      <c r="M755" s="47">
        <v>46211.551365740743</v>
      </c>
      <c r="N755" s="47">
        <v>46211.571250000001</v>
      </c>
      <c r="P755" s="47">
        <v>46211.571250000001</v>
      </c>
      <c r="Q755" s="45" t="s">
        <v>44</v>
      </c>
      <c r="R755" s="45" t="s">
        <v>272</v>
      </c>
      <c r="S755" s="45" t="s">
        <v>175</v>
      </c>
      <c r="T755" s="45" t="s">
        <v>268</v>
      </c>
      <c r="U755" s="45" t="s">
        <v>5531</v>
      </c>
      <c r="X755" s="45" t="s">
        <v>5531</v>
      </c>
      <c r="Y755" s="45" t="s">
        <v>5974</v>
      </c>
    </row>
    <row r="756" spans="2:25" ht="15" customHeight="1">
      <c r="B756" s="45" t="s">
        <v>26</v>
      </c>
      <c r="C756" s="45" t="s">
        <v>44</v>
      </c>
      <c r="D756" s="45" t="s">
        <v>207</v>
      </c>
      <c r="E756" s="45" t="s">
        <v>7219</v>
      </c>
      <c r="F756" s="45" t="s">
        <v>312</v>
      </c>
      <c r="G756" s="45">
        <v>3</v>
      </c>
      <c r="H756" s="45" t="s">
        <v>7220</v>
      </c>
      <c r="I756" s="45" t="s">
        <v>275</v>
      </c>
      <c r="J756" s="45" t="s">
        <v>5963</v>
      </c>
      <c r="K756" s="47">
        <v>46211.742685185185</v>
      </c>
      <c r="L756" s="47">
        <v>46212.414826388886</v>
      </c>
      <c r="M756" s="47">
        <v>46212.414826388886</v>
      </c>
      <c r="N756" s="47">
        <v>46212.438645833332</v>
      </c>
      <c r="P756" s="47">
        <v>46212.438645833332</v>
      </c>
      <c r="Q756" s="45" t="s">
        <v>44</v>
      </c>
      <c r="R756" s="45" t="s">
        <v>272</v>
      </c>
      <c r="S756" s="45" t="s">
        <v>175</v>
      </c>
      <c r="T756" s="45" t="s">
        <v>268</v>
      </c>
      <c r="U756" s="45" t="s">
        <v>5531</v>
      </c>
      <c r="X756" s="45" t="s">
        <v>5531</v>
      </c>
      <c r="Y756" s="45" t="s">
        <v>7221</v>
      </c>
    </row>
    <row r="757" spans="2:25" ht="15" customHeight="1">
      <c r="B757" s="45" t="s">
        <v>26</v>
      </c>
      <c r="C757" s="45" t="s">
        <v>44</v>
      </c>
      <c r="D757" s="45" t="s">
        <v>207</v>
      </c>
      <c r="E757" s="45" t="s">
        <v>7222</v>
      </c>
      <c r="F757" s="45" t="s">
        <v>312</v>
      </c>
      <c r="G757" s="45">
        <v>4</v>
      </c>
      <c r="H757" s="45" t="s">
        <v>7223</v>
      </c>
      <c r="I757" s="45" t="s">
        <v>275</v>
      </c>
      <c r="J757" s="45" t="s">
        <v>5963</v>
      </c>
      <c r="K757" s="47">
        <v>46211.979270833333</v>
      </c>
      <c r="L757" s="47">
        <v>46212.267974537041</v>
      </c>
      <c r="M757" s="47">
        <v>46212.267974537041</v>
      </c>
      <c r="N757" s="47">
        <v>46212.44127314815</v>
      </c>
      <c r="P757" s="47">
        <v>46212.44127314815</v>
      </c>
      <c r="Q757" s="45" t="s">
        <v>6508</v>
      </c>
      <c r="R757" s="45" t="s">
        <v>272</v>
      </c>
      <c r="S757" s="45" t="s">
        <v>175</v>
      </c>
      <c r="T757" s="45" t="s">
        <v>268</v>
      </c>
      <c r="U757" s="45" t="s">
        <v>5531</v>
      </c>
      <c r="X757" s="45" t="s">
        <v>5531</v>
      </c>
      <c r="Y757" s="45" t="s">
        <v>6388</v>
      </c>
    </row>
    <row r="758" spans="2:25" ht="15" customHeight="1">
      <c r="B758" s="45" t="s">
        <v>26</v>
      </c>
      <c r="C758" s="45" t="s">
        <v>44</v>
      </c>
      <c r="D758" s="45" t="s">
        <v>207</v>
      </c>
      <c r="E758" s="45" t="s">
        <v>7224</v>
      </c>
      <c r="F758" s="45" t="s">
        <v>312</v>
      </c>
      <c r="G758" s="45">
        <v>4</v>
      </c>
      <c r="H758" s="45" t="s">
        <v>7225</v>
      </c>
      <c r="I758" s="45" t="s">
        <v>275</v>
      </c>
      <c r="J758" s="45" t="s">
        <v>5963</v>
      </c>
      <c r="K758" s="47">
        <v>46199.637928240743</v>
      </c>
      <c r="L758" s="47">
        <v>46212.45107638889</v>
      </c>
      <c r="M758" s="47">
        <v>46212.45107638889</v>
      </c>
      <c r="N758" s="47">
        <v>46212.455462962964</v>
      </c>
      <c r="P758" s="47">
        <v>46212.455462962964</v>
      </c>
      <c r="Q758" s="45" t="s">
        <v>5750</v>
      </c>
      <c r="R758" s="45" t="s">
        <v>272</v>
      </c>
      <c r="S758" s="45" t="s">
        <v>175</v>
      </c>
      <c r="T758" s="45" t="s">
        <v>268</v>
      </c>
      <c r="U758" s="45" t="s">
        <v>5531</v>
      </c>
      <c r="X758" s="45" t="s">
        <v>5531</v>
      </c>
      <c r="Y758" s="45" t="s">
        <v>7176</v>
      </c>
    </row>
    <row r="759" spans="2:25" ht="15" customHeight="1">
      <c r="B759" s="45" t="s">
        <v>26</v>
      </c>
      <c r="C759" s="45" t="s">
        <v>44</v>
      </c>
      <c r="D759" s="45" t="s">
        <v>207</v>
      </c>
      <c r="E759" s="45" t="s">
        <v>2365</v>
      </c>
      <c r="F759" s="45" t="s">
        <v>312</v>
      </c>
      <c r="G759" s="45">
        <v>4</v>
      </c>
      <c r="H759" s="45" t="s">
        <v>2366</v>
      </c>
      <c r="I759" s="45" t="s">
        <v>275</v>
      </c>
      <c r="J759" s="45" t="s">
        <v>5963</v>
      </c>
      <c r="K759" s="47">
        <v>46212.636284722219</v>
      </c>
      <c r="L759" s="47">
        <v>46213.287719907406</v>
      </c>
      <c r="M759" s="47">
        <v>46213.287719907406</v>
      </c>
      <c r="N759" s="47">
        <v>46213.293553240743</v>
      </c>
      <c r="P759" s="47">
        <v>46213.293553240743</v>
      </c>
      <c r="Q759" s="45" t="s">
        <v>5705</v>
      </c>
      <c r="R759" s="45" t="s">
        <v>272</v>
      </c>
      <c r="S759" s="45" t="s">
        <v>175</v>
      </c>
      <c r="T759" s="45" t="s">
        <v>268</v>
      </c>
      <c r="U759" s="45" t="s">
        <v>5531</v>
      </c>
      <c r="X759" s="45" t="s">
        <v>5531</v>
      </c>
      <c r="Y759" s="45" t="s">
        <v>7176</v>
      </c>
    </row>
    <row r="760" spans="2:25" ht="15" customHeight="1">
      <c r="B760" s="45" t="s">
        <v>26</v>
      </c>
      <c r="C760" s="45" t="s">
        <v>44</v>
      </c>
      <c r="D760" s="45" t="s">
        <v>207</v>
      </c>
      <c r="E760" s="45" t="s">
        <v>7226</v>
      </c>
      <c r="F760" s="45" t="s">
        <v>312</v>
      </c>
      <c r="G760" s="45">
        <v>4</v>
      </c>
      <c r="H760" s="45" t="s">
        <v>7227</v>
      </c>
      <c r="I760" s="45" t="s">
        <v>271</v>
      </c>
      <c r="J760" s="45" t="s">
        <v>5963</v>
      </c>
      <c r="K760" s="47">
        <v>46211.472071759257</v>
      </c>
      <c r="L760" s="47">
        <v>46211.490578703706</v>
      </c>
      <c r="M760" s="47">
        <v>46211.490578703706</v>
      </c>
      <c r="N760" s="47">
        <v>46213.305092592593</v>
      </c>
      <c r="P760" s="47">
        <v>46213.305092592593</v>
      </c>
      <c r="Q760" s="45" t="s">
        <v>44</v>
      </c>
      <c r="R760" s="45" t="s">
        <v>272</v>
      </c>
      <c r="S760" s="45" t="s">
        <v>175</v>
      </c>
      <c r="T760" s="45" t="s">
        <v>268</v>
      </c>
      <c r="U760" s="45" t="s">
        <v>5531</v>
      </c>
      <c r="X760" s="45" t="s">
        <v>5531</v>
      </c>
      <c r="Y760" s="45" t="s">
        <v>5983</v>
      </c>
    </row>
    <row r="761" spans="2:25" ht="15" customHeight="1">
      <c r="B761" s="45" t="s">
        <v>26</v>
      </c>
      <c r="C761" s="45" t="s">
        <v>44</v>
      </c>
      <c r="D761" s="45" t="s">
        <v>207</v>
      </c>
      <c r="E761" s="45" t="s">
        <v>2611</v>
      </c>
      <c r="F761" s="45" t="s">
        <v>312</v>
      </c>
      <c r="G761" s="45">
        <v>4</v>
      </c>
      <c r="H761" s="45" t="s">
        <v>2612</v>
      </c>
      <c r="I761" s="45" t="s">
        <v>275</v>
      </c>
      <c r="J761" s="45" t="s">
        <v>5963</v>
      </c>
      <c r="K761" s="47">
        <v>46212.551064814812</v>
      </c>
      <c r="L761" s="47">
        <v>46213.419618055559</v>
      </c>
      <c r="M761" s="47">
        <v>46213.419618055559</v>
      </c>
      <c r="N761" s="47">
        <v>46213.430439814816</v>
      </c>
      <c r="P761" s="47">
        <v>46213.430439814816</v>
      </c>
      <c r="Q761" s="45" t="s">
        <v>5705</v>
      </c>
      <c r="R761" s="45" t="s">
        <v>272</v>
      </c>
      <c r="S761" s="45" t="s">
        <v>175</v>
      </c>
      <c r="T761" s="45" t="s">
        <v>268</v>
      </c>
      <c r="U761" s="45" t="s">
        <v>5531</v>
      </c>
      <c r="X761" s="45" t="s">
        <v>5531</v>
      </c>
      <c r="Y761" s="45" t="s">
        <v>7176</v>
      </c>
    </row>
    <row r="762" spans="2:25" ht="15" customHeight="1">
      <c r="B762" s="45" t="s">
        <v>26</v>
      </c>
      <c r="C762" s="45" t="s">
        <v>44</v>
      </c>
      <c r="D762" s="45" t="s">
        <v>207</v>
      </c>
      <c r="E762" s="45" t="s">
        <v>7228</v>
      </c>
      <c r="F762" s="45" t="s">
        <v>312</v>
      </c>
      <c r="G762" s="45">
        <v>4</v>
      </c>
      <c r="H762" s="45" t="s">
        <v>7229</v>
      </c>
      <c r="I762" s="45" t="s">
        <v>271</v>
      </c>
      <c r="J762" s="45" t="s">
        <v>5963</v>
      </c>
      <c r="K762" s="47">
        <v>46212.970671296294</v>
      </c>
      <c r="L762" s="47">
        <v>46216.440370370372</v>
      </c>
      <c r="M762" s="47">
        <v>46216.440370370372</v>
      </c>
      <c r="N762" s="47">
        <v>46220.314884259256</v>
      </c>
      <c r="P762" s="47">
        <v>46220.314884259256</v>
      </c>
      <c r="Q762" s="45" t="s">
        <v>44</v>
      </c>
      <c r="R762" s="45" t="s">
        <v>272</v>
      </c>
      <c r="S762" s="45" t="s">
        <v>175</v>
      </c>
      <c r="T762" s="45" t="s">
        <v>268</v>
      </c>
      <c r="U762" s="45" t="s">
        <v>5531</v>
      </c>
      <c r="X762" s="45" t="s">
        <v>5531</v>
      </c>
      <c r="Y762" s="45" t="s">
        <v>6908</v>
      </c>
    </row>
    <row r="763" spans="2:25" ht="15" customHeight="1">
      <c r="B763" s="45" t="s">
        <v>26</v>
      </c>
      <c r="C763" s="45" t="s">
        <v>44</v>
      </c>
      <c r="D763" s="45" t="s">
        <v>207</v>
      </c>
      <c r="E763" s="45" t="s">
        <v>7230</v>
      </c>
      <c r="F763" s="45" t="s">
        <v>312</v>
      </c>
      <c r="G763" s="45">
        <v>3</v>
      </c>
      <c r="H763" s="45" t="s">
        <v>7231</v>
      </c>
      <c r="I763" s="45" t="s">
        <v>275</v>
      </c>
      <c r="J763" s="45" t="s">
        <v>5963</v>
      </c>
      <c r="K763" s="47">
        <v>46212.583761574075</v>
      </c>
      <c r="L763" s="47">
        <v>46218.305300925924</v>
      </c>
      <c r="M763" s="47">
        <v>46218.305300925924</v>
      </c>
      <c r="N763" s="47">
        <v>46218.320972222224</v>
      </c>
      <c r="P763" s="47">
        <v>46218.320972222224</v>
      </c>
      <c r="Q763" s="45" t="s">
        <v>6748</v>
      </c>
      <c r="R763" s="45" t="s">
        <v>272</v>
      </c>
      <c r="S763" s="45" t="s">
        <v>175</v>
      </c>
      <c r="T763" s="45" t="s">
        <v>268</v>
      </c>
      <c r="U763" s="45" t="s">
        <v>5531</v>
      </c>
      <c r="X763" s="45" t="s">
        <v>5531</v>
      </c>
      <c r="Y763" s="45" t="s">
        <v>6908</v>
      </c>
    </row>
    <row r="764" spans="2:25" ht="15" customHeight="1">
      <c r="B764" s="45" t="s">
        <v>26</v>
      </c>
      <c r="C764" s="45" t="s">
        <v>44</v>
      </c>
      <c r="D764" s="45" t="s">
        <v>207</v>
      </c>
      <c r="E764" s="45" t="s">
        <v>7232</v>
      </c>
      <c r="F764" s="45" t="s">
        <v>312</v>
      </c>
      <c r="G764" s="45">
        <v>4</v>
      </c>
      <c r="H764" s="45" t="s">
        <v>7233</v>
      </c>
      <c r="I764" s="45" t="s">
        <v>271</v>
      </c>
      <c r="J764" s="45" t="s">
        <v>5963</v>
      </c>
      <c r="K764" s="47">
        <v>46219.492928240739</v>
      </c>
      <c r="L764" s="47">
        <v>46223.3046875</v>
      </c>
      <c r="M764" s="47">
        <v>46223.3046875</v>
      </c>
      <c r="N764" s="47">
        <v>46225.284733796296</v>
      </c>
      <c r="P764" s="47">
        <v>46225.284733796296</v>
      </c>
      <c r="Q764" s="45" t="s">
        <v>6083</v>
      </c>
      <c r="R764" s="45" t="s">
        <v>272</v>
      </c>
      <c r="S764" s="45" t="s">
        <v>175</v>
      </c>
      <c r="T764" s="45" t="s">
        <v>268</v>
      </c>
      <c r="U764" s="45" t="s">
        <v>5531</v>
      </c>
      <c r="X764" s="45" t="s">
        <v>5531</v>
      </c>
      <c r="Y764" s="45" t="s">
        <v>7176</v>
      </c>
    </row>
    <row r="765" spans="2:25" ht="15" customHeight="1">
      <c r="B765" s="45" t="s">
        <v>26</v>
      </c>
      <c r="C765" s="45" t="s">
        <v>44</v>
      </c>
      <c r="D765" s="45" t="s">
        <v>207</v>
      </c>
      <c r="E765" s="45" t="s">
        <v>7234</v>
      </c>
      <c r="F765" s="45" t="s">
        <v>312</v>
      </c>
      <c r="G765" s="45">
        <v>3</v>
      </c>
      <c r="H765" s="45" t="s">
        <v>7235</v>
      </c>
      <c r="I765" s="45" t="s">
        <v>271</v>
      </c>
      <c r="J765" s="45" t="s">
        <v>5963</v>
      </c>
      <c r="K765" s="47">
        <v>46215.839699074073</v>
      </c>
      <c r="L765" s="47">
        <v>46217.285949074074</v>
      </c>
      <c r="M765" s="47">
        <v>46220.31621527778</v>
      </c>
      <c r="N765" s="47">
        <v>46220.31621527778</v>
      </c>
      <c r="P765" s="47">
        <v>46220.31621527778</v>
      </c>
      <c r="Q765" s="45" t="s">
        <v>6083</v>
      </c>
      <c r="R765" s="45" t="s">
        <v>261</v>
      </c>
      <c r="S765" s="45" t="s">
        <v>175</v>
      </c>
      <c r="T765" s="45" t="s">
        <v>268</v>
      </c>
      <c r="U765" s="45" t="s">
        <v>5531</v>
      </c>
      <c r="X765" s="45" t="s">
        <v>5531</v>
      </c>
      <c r="Y765" s="45" t="s">
        <v>7192</v>
      </c>
    </row>
    <row r="766" spans="2:25" ht="15" customHeight="1">
      <c r="B766" s="45" t="s">
        <v>26</v>
      </c>
      <c r="C766" s="45" t="s">
        <v>44</v>
      </c>
      <c r="D766" s="45" t="s">
        <v>207</v>
      </c>
      <c r="E766" s="45" t="s">
        <v>7236</v>
      </c>
      <c r="F766" s="45" t="s">
        <v>312</v>
      </c>
      <c r="G766" s="45">
        <v>4</v>
      </c>
      <c r="H766" s="45" t="s">
        <v>7237</v>
      </c>
      <c r="I766" s="45" t="s">
        <v>271</v>
      </c>
      <c r="J766" s="45" t="s">
        <v>5963</v>
      </c>
      <c r="K766" s="47">
        <v>46219.524016203701</v>
      </c>
      <c r="L766" s="47">
        <v>46223.305266203701</v>
      </c>
      <c r="M766" s="47">
        <v>46223.305266203701</v>
      </c>
      <c r="N766" s="47">
        <v>46223.333877314813</v>
      </c>
      <c r="P766" s="47">
        <v>46223.333877314813</v>
      </c>
      <c r="Q766" s="45" t="s">
        <v>44</v>
      </c>
      <c r="R766" s="45" t="s">
        <v>272</v>
      </c>
      <c r="S766" s="45" t="s">
        <v>175</v>
      </c>
      <c r="T766" s="45" t="s">
        <v>268</v>
      </c>
      <c r="U766" s="45" t="s">
        <v>5531</v>
      </c>
      <c r="X766" s="45" t="s">
        <v>5531</v>
      </c>
      <c r="Y766" s="45" t="s">
        <v>7176</v>
      </c>
    </row>
    <row r="767" spans="2:25" ht="15" customHeight="1">
      <c r="B767" s="45" t="s">
        <v>26</v>
      </c>
      <c r="C767" s="45" t="s">
        <v>44</v>
      </c>
      <c r="D767" s="45" t="s">
        <v>207</v>
      </c>
      <c r="E767" s="45" t="s">
        <v>7238</v>
      </c>
      <c r="F767" s="45" t="s">
        <v>312</v>
      </c>
      <c r="G767" s="45">
        <v>4</v>
      </c>
      <c r="H767" s="45" t="s">
        <v>7239</v>
      </c>
      <c r="I767" s="45" t="s">
        <v>275</v>
      </c>
      <c r="J767" s="45" t="s">
        <v>5963</v>
      </c>
      <c r="K767" s="47">
        <v>46219.939710648148</v>
      </c>
      <c r="L767" s="47">
        <v>46220.52039351852</v>
      </c>
      <c r="M767" s="47">
        <v>46220.52039351852</v>
      </c>
      <c r="N767" s="47">
        <v>46220.560902777775</v>
      </c>
      <c r="P767" s="47">
        <v>46220.560416666667</v>
      </c>
      <c r="Q767" s="45" t="s">
        <v>6025</v>
      </c>
      <c r="R767" s="45" t="s">
        <v>272</v>
      </c>
      <c r="S767" s="45" t="s">
        <v>175</v>
      </c>
      <c r="T767" s="45" t="s">
        <v>268</v>
      </c>
      <c r="U767" s="45" t="s">
        <v>5531</v>
      </c>
      <c r="X767" s="45" t="s">
        <v>5531</v>
      </c>
      <c r="Y767" s="45" t="s">
        <v>7240</v>
      </c>
    </row>
    <row r="768" spans="2:25" ht="15" customHeight="1">
      <c r="B768" s="45" t="s">
        <v>26</v>
      </c>
      <c r="C768" s="45" t="s">
        <v>44</v>
      </c>
      <c r="D768" s="45" t="s">
        <v>207</v>
      </c>
      <c r="E768" s="45" t="s">
        <v>7241</v>
      </c>
      <c r="F768" s="45" t="s">
        <v>312</v>
      </c>
      <c r="G768" s="45">
        <v>4</v>
      </c>
      <c r="H768" s="45" t="s">
        <v>7242</v>
      </c>
      <c r="I768" s="45" t="s">
        <v>271</v>
      </c>
      <c r="J768" s="45" t="s">
        <v>5963</v>
      </c>
      <c r="K768" s="47">
        <v>46218.644918981481</v>
      </c>
      <c r="L768" s="47">
        <v>46219.311469907407</v>
      </c>
      <c r="M768" s="47">
        <v>46219.311469907407</v>
      </c>
      <c r="N768" s="47">
        <v>46223.318680555552</v>
      </c>
      <c r="P768" s="47">
        <v>46223.318055555559</v>
      </c>
      <c r="Q768" s="45" t="s">
        <v>5534</v>
      </c>
      <c r="R768" s="45" t="s">
        <v>272</v>
      </c>
      <c r="S768" s="45" t="s">
        <v>175</v>
      </c>
      <c r="T768" s="45" t="s">
        <v>268</v>
      </c>
      <c r="U768" s="45" t="s">
        <v>5531</v>
      </c>
      <c r="X768" s="45" t="s">
        <v>5531</v>
      </c>
      <c r="Y768" s="45" t="s">
        <v>7243</v>
      </c>
    </row>
    <row r="769" spans="2:25" ht="15" customHeight="1">
      <c r="B769" s="45" t="s">
        <v>26</v>
      </c>
      <c r="C769" s="45" t="s">
        <v>44</v>
      </c>
      <c r="D769" s="45" t="s">
        <v>207</v>
      </c>
      <c r="E769" s="45" t="s">
        <v>7244</v>
      </c>
      <c r="F769" s="45" t="s">
        <v>312</v>
      </c>
      <c r="G769" s="45">
        <v>3</v>
      </c>
      <c r="H769" s="45" t="s">
        <v>7245</v>
      </c>
      <c r="I769" s="45" t="s">
        <v>271</v>
      </c>
      <c r="J769" s="45" t="s">
        <v>5963</v>
      </c>
      <c r="K769" s="47">
        <v>46220.711747685185</v>
      </c>
      <c r="L769" s="47">
        <v>46223.310219907406</v>
      </c>
      <c r="M769" s="47">
        <v>46223.310219907406</v>
      </c>
      <c r="N769" s="47">
        <v>46223.442499999997</v>
      </c>
      <c r="P769" s="47">
        <v>46223.442499999997</v>
      </c>
      <c r="Q769" s="45" t="s">
        <v>44</v>
      </c>
      <c r="R769" s="45" t="s">
        <v>272</v>
      </c>
      <c r="S769" s="45" t="s">
        <v>175</v>
      </c>
      <c r="T769" s="45" t="s">
        <v>268</v>
      </c>
      <c r="U769" s="45" t="s">
        <v>5531</v>
      </c>
      <c r="X769" s="45" t="s">
        <v>5531</v>
      </c>
      <c r="Y769" s="45" t="s">
        <v>6908</v>
      </c>
    </row>
    <row r="770" spans="2:25" ht="15" customHeight="1">
      <c r="B770" s="45" t="s">
        <v>26</v>
      </c>
      <c r="C770" s="45" t="s">
        <v>44</v>
      </c>
      <c r="D770" s="45" t="s">
        <v>207</v>
      </c>
      <c r="E770" s="45" t="s">
        <v>7246</v>
      </c>
      <c r="F770" s="45" t="s">
        <v>312</v>
      </c>
      <c r="G770" s="45">
        <v>4</v>
      </c>
      <c r="H770" s="45" t="s">
        <v>7247</v>
      </c>
      <c r="I770" s="45" t="s">
        <v>275</v>
      </c>
      <c r="J770" s="45" t="s">
        <v>5963</v>
      </c>
      <c r="K770" s="47">
        <v>46206.739074074074</v>
      </c>
      <c r="L770" s="47">
        <v>46224.442361111112</v>
      </c>
      <c r="M770" s="47">
        <v>46224.442361111112</v>
      </c>
      <c r="N770" s="47">
        <v>46224.496076388888</v>
      </c>
      <c r="P770" s="47">
        <v>46224.496076388888</v>
      </c>
      <c r="Q770" s="45" t="s">
        <v>44</v>
      </c>
      <c r="R770" s="45" t="s">
        <v>272</v>
      </c>
      <c r="S770" s="45" t="s">
        <v>175</v>
      </c>
      <c r="T770" s="45" t="s">
        <v>268</v>
      </c>
      <c r="U770" s="45" t="s">
        <v>5531</v>
      </c>
      <c r="X770" s="45" t="s">
        <v>5531</v>
      </c>
      <c r="Y770" s="45" t="s">
        <v>6908</v>
      </c>
    </row>
    <row r="771" spans="2:25" ht="15" customHeight="1">
      <c r="B771" s="45" t="s">
        <v>26</v>
      </c>
      <c r="C771" s="45" t="s">
        <v>44</v>
      </c>
      <c r="D771" s="45" t="s">
        <v>207</v>
      </c>
      <c r="E771" s="45" t="s">
        <v>7248</v>
      </c>
      <c r="F771" s="45" t="s">
        <v>312</v>
      </c>
      <c r="G771" s="45">
        <v>3</v>
      </c>
      <c r="H771" s="45" t="s">
        <v>7249</v>
      </c>
      <c r="I771" s="45" t="s">
        <v>275</v>
      </c>
      <c r="J771" s="45" t="s">
        <v>5963</v>
      </c>
      <c r="K771" s="47">
        <v>46223.514861111114</v>
      </c>
      <c r="L771" s="47">
        <v>46224.546967592592</v>
      </c>
      <c r="M771" s="47">
        <v>46224.546967592592</v>
      </c>
      <c r="N771" s="47">
        <v>46225.312719907408</v>
      </c>
      <c r="P771" s="47">
        <v>46225.312719907408</v>
      </c>
      <c r="Q771" s="45" t="s">
        <v>7250</v>
      </c>
      <c r="R771" s="45" t="s">
        <v>272</v>
      </c>
      <c r="S771" s="45" t="s">
        <v>175</v>
      </c>
      <c r="T771" s="45" t="s">
        <v>268</v>
      </c>
      <c r="U771" s="45" t="s">
        <v>5531</v>
      </c>
      <c r="X771" s="45" t="s">
        <v>5531</v>
      </c>
      <c r="Y771" s="45" t="s">
        <v>6908</v>
      </c>
    </row>
    <row r="772" spans="2:25" ht="15" customHeight="1">
      <c r="B772" s="45" t="s">
        <v>26</v>
      </c>
      <c r="C772" s="45" t="s">
        <v>44</v>
      </c>
      <c r="D772" s="45" t="s">
        <v>207</v>
      </c>
      <c r="E772" s="45" t="s">
        <v>7251</v>
      </c>
      <c r="F772" s="45" t="s">
        <v>312</v>
      </c>
      <c r="G772" s="45">
        <v>4</v>
      </c>
      <c r="H772" s="45" t="s">
        <v>7252</v>
      </c>
      <c r="I772" s="45" t="s">
        <v>271</v>
      </c>
      <c r="J772" s="45" t="s">
        <v>5963</v>
      </c>
      <c r="K772" s="47">
        <v>46220.458356481482</v>
      </c>
      <c r="L772" s="47">
        <v>46220.474120370367</v>
      </c>
      <c r="M772" s="47">
        <v>46220.474120370367</v>
      </c>
      <c r="N772" s="47">
        <v>46225.283333333333</v>
      </c>
      <c r="P772" s="47">
        <v>46225.283333333333</v>
      </c>
      <c r="Q772" s="45" t="s">
        <v>44</v>
      </c>
      <c r="R772" s="45" t="s">
        <v>272</v>
      </c>
      <c r="S772" s="45" t="s">
        <v>175</v>
      </c>
      <c r="T772" s="45" t="s">
        <v>268</v>
      </c>
      <c r="U772" s="45" t="s">
        <v>5531</v>
      </c>
      <c r="X772" s="45" t="s">
        <v>5531</v>
      </c>
      <c r="Y772" s="45" t="s">
        <v>7253</v>
      </c>
    </row>
    <row r="773" spans="2:25" ht="15" customHeight="1">
      <c r="B773" s="45" t="s">
        <v>26</v>
      </c>
      <c r="C773" s="45" t="s">
        <v>44</v>
      </c>
      <c r="D773" s="45" t="s">
        <v>207</v>
      </c>
      <c r="E773" s="45" t="s">
        <v>7254</v>
      </c>
      <c r="F773" s="45" t="s">
        <v>312</v>
      </c>
      <c r="G773" s="45">
        <v>3</v>
      </c>
      <c r="H773" s="45" t="s">
        <v>7255</v>
      </c>
      <c r="I773" s="45" t="s">
        <v>271</v>
      </c>
      <c r="J773" s="45" t="s">
        <v>5963</v>
      </c>
      <c r="K773" s="47">
        <v>46224.447060185186</v>
      </c>
      <c r="L773" s="47">
        <v>46224.475069444445</v>
      </c>
      <c r="M773" s="47">
        <v>46224.475069444445</v>
      </c>
      <c r="N773" s="47">
        <v>46225.285671296297</v>
      </c>
      <c r="P773" s="47">
        <v>46225.285671296297</v>
      </c>
      <c r="Q773" s="45" t="s">
        <v>6083</v>
      </c>
      <c r="R773" s="45" t="s">
        <v>261</v>
      </c>
      <c r="S773" s="45" t="s">
        <v>175</v>
      </c>
      <c r="T773" s="45" t="s">
        <v>268</v>
      </c>
      <c r="U773" s="45" t="s">
        <v>5531</v>
      </c>
      <c r="X773" s="45" t="s">
        <v>5531</v>
      </c>
      <c r="Y773" s="45" t="s">
        <v>7192</v>
      </c>
    </row>
    <row r="774" spans="2:25" ht="15" customHeight="1">
      <c r="B774" s="45" t="s">
        <v>26</v>
      </c>
      <c r="C774" s="45" t="s">
        <v>44</v>
      </c>
      <c r="D774" s="45" t="s">
        <v>207</v>
      </c>
      <c r="E774" s="45" t="s">
        <v>7256</v>
      </c>
      <c r="F774" s="45" t="s">
        <v>312</v>
      </c>
      <c r="G774" s="45">
        <v>4</v>
      </c>
      <c r="H774" s="45" t="s">
        <v>7257</v>
      </c>
      <c r="I774" s="45" t="s">
        <v>271</v>
      </c>
      <c r="J774" s="45" t="s">
        <v>5963</v>
      </c>
      <c r="K774" s="47">
        <v>46224.694930555554</v>
      </c>
      <c r="L774" s="47">
        <v>46225.288229166668</v>
      </c>
      <c r="M774" s="47">
        <v>46225.288229166668</v>
      </c>
      <c r="N774" s="47">
        <v>46226.280185185184</v>
      </c>
      <c r="P774" s="47">
        <v>46226.280185185184</v>
      </c>
      <c r="Q774" s="45" t="s">
        <v>6083</v>
      </c>
      <c r="R774" s="45" t="s">
        <v>261</v>
      </c>
      <c r="S774" s="45" t="s">
        <v>175</v>
      </c>
      <c r="T774" s="45" t="s">
        <v>268</v>
      </c>
      <c r="U774" s="45" t="s">
        <v>5531</v>
      </c>
      <c r="X774" s="45" t="s">
        <v>5531</v>
      </c>
      <c r="Y774" s="45" t="s">
        <v>7192</v>
      </c>
    </row>
    <row r="775" spans="2:25" ht="15" customHeight="1">
      <c r="B775" s="45" t="s">
        <v>26</v>
      </c>
      <c r="C775" s="45" t="s">
        <v>44</v>
      </c>
      <c r="D775" s="45" t="s">
        <v>207</v>
      </c>
      <c r="E775" s="45" t="s">
        <v>7258</v>
      </c>
      <c r="F775" s="45" t="s">
        <v>312</v>
      </c>
      <c r="G775" s="45">
        <v>4</v>
      </c>
      <c r="H775" s="45" t="s">
        <v>7259</v>
      </c>
      <c r="I775" s="45" t="s">
        <v>271</v>
      </c>
      <c r="J775" s="45" t="s">
        <v>5963</v>
      </c>
      <c r="K775" s="47">
        <v>46224.826331018521</v>
      </c>
      <c r="L775" s="47">
        <v>46225.288414351853</v>
      </c>
      <c r="M775" s="47">
        <v>46225.288414351853</v>
      </c>
      <c r="N775" s="47">
        <v>46226.2809375</v>
      </c>
      <c r="P775" s="47">
        <v>46226.2809375</v>
      </c>
      <c r="Q775" s="45" t="s">
        <v>6083</v>
      </c>
      <c r="R775" s="45" t="s">
        <v>272</v>
      </c>
      <c r="S775" s="45" t="s">
        <v>175</v>
      </c>
      <c r="T775" s="45" t="s">
        <v>268</v>
      </c>
      <c r="U775" s="45" t="s">
        <v>5531</v>
      </c>
      <c r="X775" s="45" t="s">
        <v>5531</v>
      </c>
      <c r="Y775" s="45" t="s">
        <v>7192</v>
      </c>
    </row>
    <row r="776" spans="2:25" ht="15" customHeight="1">
      <c r="B776" s="45" t="s">
        <v>26</v>
      </c>
      <c r="C776" s="45" t="s">
        <v>44</v>
      </c>
      <c r="D776" s="45" t="s">
        <v>207</v>
      </c>
      <c r="E776" s="45" t="s">
        <v>7260</v>
      </c>
      <c r="F776" s="45" t="s">
        <v>312</v>
      </c>
      <c r="G776" s="45">
        <v>4</v>
      </c>
      <c r="H776" s="45" t="s">
        <v>7261</v>
      </c>
      <c r="I776" s="45" t="s">
        <v>271</v>
      </c>
      <c r="J776" s="45" t="s">
        <v>5963</v>
      </c>
      <c r="K776" s="47">
        <v>46224.693541666667</v>
      </c>
      <c r="L776" s="47">
        <v>46225.288773148146</v>
      </c>
      <c r="M776" s="47">
        <v>46225.288773148146</v>
      </c>
      <c r="N776" s="47">
        <v>46226.281689814816</v>
      </c>
      <c r="P776" s="47">
        <v>46226.281689814816</v>
      </c>
      <c r="Q776" s="45" t="s">
        <v>6083</v>
      </c>
      <c r="R776" s="45" t="s">
        <v>261</v>
      </c>
      <c r="S776" s="45" t="s">
        <v>175</v>
      </c>
      <c r="T776" s="45" t="s">
        <v>268</v>
      </c>
      <c r="U776" s="45" t="s">
        <v>5531</v>
      </c>
      <c r="X776" s="45" t="s">
        <v>5531</v>
      </c>
      <c r="Y776" s="45" t="s">
        <v>7192</v>
      </c>
    </row>
    <row r="777" spans="2:25" ht="15" customHeight="1">
      <c r="B777" s="45" t="s">
        <v>26</v>
      </c>
      <c r="C777" s="45" t="s">
        <v>44</v>
      </c>
      <c r="D777" s="45" t="s">
        <v>207</v>
      </c>
      <c r="E777" s="45" t="s">
        <v>7262</v>
      </c>
      <c r="F777" s="45" t="s">
        <v>312</v>
      </c>
      <c r="G777" s="45">
        <v>4</v>
      </c>
      <c r="H777" s="45" t="s">
        <v>7263</v>
      </c>
      <c r="I777" s="45" t="s">
        <v>271</v>
      </c>
      <c r="J777" s="45" t="s">
        <v>5963</v>
      </c>
      <c r="K777" s="47">
        <v>46224.687731481485</v>
      </c>
      <c r="L777" s="47">
        <v>46225.280740740738</v>
      </c>
      <c r="M777" s="47">
        <v>46225.280740740738</v>
      </c>
      <c r="N777" s="47">
        <v>46226.284050925926</v>
      </c>
      <c r="P777" s="47">
        <v>46226.284050925926</v>
      </c>
      <c r="Q777" s="45" t="s">
        <v>6083</v>
      </c>
      <c r="R777" s="45" t="s">
        <v>261</v>
      </c>
      <c r="S777" s="45" t="s">
        <v>175</v>
      </c>
      <c r="T777" s="45" t="s">
        <v>268</v>
      </c>
      <c r="U777" s="45" t="s">
        <v>5531</v>
      </c>
      <c r="X777" s="45" t="s">
        <v>5531</v>
      </c>
      <c r="Y777" s="45" t="s">
        <v>7192</v>
      </c>
    </row>
    <row r="778" spans="2:25" ht="15" customHeight="1">
      <c r="B778" s="45" t="s">
        <v>26</v>
      </c>
      <c r="C778" s="45" t="s">
        <v>44</v>
      </c>
      <c r="D778" s="45" t="s">
        <v>207</v>
      </c>
      <c r="E778" s="45" t="s">
        <v>7264</v>
      </c>
      <c r="F778" s="45" t="s">
        <v>312</v>
      </c>
      <c r="G778" s="45">
        <v>3</v>
      </c>
      <c r="H778" s="45" t="s">
        <v>7265</v>
      </c>
      <c r="I778" s="45" t="s">
        <v>275</v>
      </c>
      <c r="J778" s="45" t="s">
        <v>5963</v>
      </c>
      <c r="K778" s="47">
        <v>46225.432824074072</v>
      </c>
      <c r="L778" s="47">
        <v>46225.563252314816</v>
      </c>
      <c r="M778" s="47">
        <v>46225.563252314816</v>
      </c>
      <c r="N778" s="47">
        <v>46226.457476851851</v>
      </c>
      <c r="P778" s="47">
        <v>46226.456944444442</v>
      </c>
      <c r="Q778" s="45" t="s">
        <v>6748</v>
      </c>
      <c r="R778" s="45" t="s">
        <v>272</v>
      </c>
      <c r="S778" s="45" t="s">
        <v>175</v>
      </c>
      <c r="T778" s="45" t="s">
        <v>268</v>
      </c>
      <c r="U778" s="45" t="s">
        <v>5531</v>
      </c>
      <c r="X778" s="45" t="s">
        <v>5531</v>
      </c>
      <c r="Y778" s="45" t="s">
        <v>6908</v>
      </c>
    </row>
    <row r="779" spans="2:25" ht="15" customHeight="1">
      <c r="B779" s="45" t="s">
        <v>26</v>
      </c>
      <c r="C779" s="45" t="s">
        <v>44</v>
      </c>
      <c r="D779" s="45" t="s">
        <v>207</v>
      </c>
      <c r="E779" s="45" t="s">
        <v>7266</v>
      </c>
      <c r="F779" s="45" t="s">
        <v>312</v>
      </c>
      <c r="G779" s="45">
        <v>3</v>
      </c>
      <c r="H779" s="45" t="s">
        <v>7267</v>
      </c>
      <c r="I779" s="45" t="s">
        <v>271</v>
      </c>
      <c r="J779" s="45" t="s">
        <v>5963</v>
      </c>
      <c r="K779" s="47">
        <v>46224.456979166665</v>
      </c>
      <c r="L779" s="47">
        <v>46224.507638888892</v>
      </c>
      <c r="M779" s="47">
        <v>46224.507638888892</v>
      </c>
      <c r="N779" s="47">
        <v>46227.56826388889</v>
      </c>
      <c r="P779" s="47">
        <v>46227.568055555559</v>
      </c>
      <c r="Q779" s="45" t="s">
        <v>7204</v>
      </c>
      <c r="R779" s="45" t="s">
        <v>272</v>
      </c>
      <c r="S779" s="45" t="s">
        <v>175</v>
      </c>
      <c r="T779" s="45" t="s">
        <v>268</v>
      </c>
      <c r="U779" s="45" t="s">
        <v>5531</v>
      </c>
      <c r="X779" s="45" t="s">
        <v>5531</v>
      </c>
      <c r="Y779" s="45" t="s">
        <v>7176</v>
      </c>
    </row>
    <row r="780" spans="2:25" ht="15" customHeight="1">
      <c r="B780" s="45" t="s">
        <v>26</v>
      </c>
      <c r="C780" s="45" t="s">
        <v>44</v>
      </c>
      <c r="D780" s="45" t="s">
        <v>207</v>
      </c>
      <c r="E780" s="45" t="s">
        <v>7268</v>
      </c>
      <c r="F780" s="45" t="s">
        <v>312</v>
      </c>
      <c r="G780" s="45">
        <v>4</v>
      </c>
      <c r="H780" s="45" t="s">
        <v>7269</v>
      </c>
      <c r="I780" s="45" t="s">
        <v>271</v>
      </c>
      <c r="J780" s="45" t="s">
        <v>5963</v>
      </c>
      <c r="K780" s="47">
        <v>46218.261967592596</v>
      </c>
      <c r="L780" s="47">
        <v>46223.466956018521</v>
      </c>
      <c r="M780" s="47">
        <v>46223.466956018521</v>
      </c>
      <c r="N780" s="47">
        <v>46230.280972222223</v>
      </c>
      <c r="P780" s="47">
        <v>46230.280972222223</v>
      </c>
      <c r="Q780" s="45" t="s">
        <v>44</v>
      </c>
      <c r="R780" s="45" t="s">
        <v>272</v>
      </c>
      <c r="S780" s="45" t="s">
        <v>175</v>
      </c>
      <c r="T780" s="45" t="s">
        <v>268</v>
      </c>
      <c r="U780" s="45" t="s">
        <v>5531</v>
      </c>
      <c r="X780" s="45" t="s">
        <v>5531</v>
      </c>
      <c r="Y780" s="45" t="s">
        <v>6908</v>
      </c>
    </row>
    <row r="781" spans="2:25" ht="15" customHeight="1">
      <c r="B781" s="45" t="s">
        <v>26</v>
      </c>
      <c r="C781" s="45" t="s">
        <v>44</v>
      </c>
      <c r="D781" s="45" t="s">
        <v>207</v>
      </c>
      <c r="E781" s="45" t="s">
        <v>7270</v>
      </c>
      <c r="F781" s="45" t="s">
        <v>312</v>
      </c>
      <c r="G781" s="45">
        <v>3</v>
      </c>
      <c r="H781" s="45" t="s">
        <v>7271</v>
      </c>
      <c r="I781" s="45" t="s">
        <v>271</v>
      </c>
      <c r="J781" s="45" t="s">
        <v>5963</v>
      </c>
      <c r="K781" s="47">
        <v>46228.472557870373</v>
      </c>
      <c r="L781" s="47">
        <v>46230.517280092594</v>
      </c>
      <c r="M781" s="47">
        <v>46230.517280092594</v>
      </c>
      <c r="N781" s="47">
        <v>46233.295925925922</v>
      </c>
      <c r="P781" s="47">
        <v>46233.295925925922</v>
      </c>
      <c r="Q781" s="45" t="s">
        <v>7272</v>
      </c>
      <c r="R781" s="45" t="s">
        <v>272</v>
      </c>
      <c r="S781" s="45" t="s">
        <v>175</v>
      </c>
      <c r="T781" s="45" t="s">
        <v>268</v>
      </c>
      <c r="U781" s="45" t="s">
        <v>5531</v>
      </c>
      <c r="X781" s="45" t="s">
        <v>5531</v>
      </c>
      <c r="Y781" s="45" t="s">
        <v>6908</v>
      </c>
    </row>
    <row r="782" spans="2:25" ht="15" customHeight="1">
      <c r="B782" s="45" t="s">
        <v>26</v>
      </c>
      <c r="C782" s="45" t="s">
        <v>44</v>
      </c>
      <c r="D782" s="45" t="s">
        <v>207</v>
      </c>
      <c r="E782" s="45" t="s">
        <v>7273</v>
      </c>
      <c r="F782" s="45" t="s">
        <v>312</v>
      </c>
      <c r="G782" s="45">
        <v>4</v>
      </c>
      <c r="H782" s="45" t="s">
        <v>7274</v>
      </c>
      <c r="I782" s="45" t="s">
        <v>271</v>
      </c>
      <c r="J782" s="45" t="s">
        <v>5963</v>
      </c>
      <c r="K782" s="47">
        <v>46225.413483796299</v>
      </c>
      <c r="L782" s="47">
        <v>46225.421458333331</v>
      </c>
      <c r="M782" s="47">
        <v>46225.421458333331</v>
      </c>
      <c r="N782" s="47">
        <v>46231.314641203702</v>
      </c>
      <c r="P782" s="47">
        <v>46231.314641203702</v>
      </c>
      <c r="Q782" s="45" t="s">
        <v>6083</v>
      </c>
      <c r="R782" s="45" t="s">
        <v>261</v>
      </c>
      <c r="S782" s="45" t="s">
        <v>175</v>
      </c>
      <c r="T782" s="45" t="s">
        <v>268</v>
      </c>
      <c r="U782" s="45" t="s">
        <v>5531</v>
      </c>
      <c r="X782" s="45" t="s">
        <v>5531</v>
      </c>
      <c r="Y782" s="45" t="s">
        <v>7192</v>
      </c>
    </row>
    <row r="783" spans="2:25" ht="15" customHeight="1">
      <c r="B783" s="45" t="s">
        <v>26</v>
      </c>
      <c r="C783" s="45" t="s">
        <v>44</v>
      </c>
      <c r="D783" s="45" t="s">
        <v>207</v>
      </c>
      <c r="E783" s="45" t="s">
        <v>7275</v>
      </c>
      <c r="F783" s="45" t="s">
        <v>312</v>
      </c>
      <c r="G783" s="45">
        <v>4</v>
      </c>
      <c r="H783" s="45" t="s">
        <v>7276</v>
      </c>
      <c r="I783" s="45" t="s">
        <v>271</v>
      </c>
      <c r="J783" s="45" t="s">
        <v>5963</v>
      </c>
      <c r="K783" s="47">
        <v>46224.384363425925</v>
      </c>
      <c r="L783" s="47">
        <v>46224.415949074071</v>
      </c>
      <c r="M783" s="47">
        <v>46224.415949074071</v>
      </c>
      <c r="N783" s="47">
        <v>46231.313668981478</v>
      </c>
      <c r="P783" s="47">
        <v>46231.313668981478</v>
      </c>
      <c r="Q783" s="45" t="s">
        <v>7253</v>
      </c>
      <c r="R783" s="45" t="s">
        <v>261</v>
      </c>
      <c r="S783" s="45" t="s">
        <v>175</v>
      </c>
      <c r="T783" s="45" t="s">
        <v>268</v>
      </c>
      <c r="U783" s="45" t="s">
        <v>5531</v>
      </c>
      <c r="X783" s="45" t="s">
        <v>5531</v>
      </c>
      <c r="Y783" s="45" t="s">
        <v>7192</v>
      </c>
    </row>
    <row r="784" spans="2:25" ht="15" customHeight="1">
      <c r="B784" s="45" t="s">
        <v>26</v>
      </c>
      <c r="C784" s="45" t="s">
        <v>44</v>
      </c>
      <c r="D784" s="53" t="s">
        <v>208</v>
      </c>
      <c r="E784" s="53" t="s">
        <v>7277</v>
      </c>
      <c r="F784" s="45" t="s">
        <v>312</v>
      </c>
      <c r="G784" s="53" t="s">
        <v>208</v>
      </c>
      <c r="H784" s="53" t="s">
        <v>7278</v>
      </c>
      <c r="I784" s="53" t="s">
        <v>275</v>
      </c>
      <c r="J784" s="45" t="s">
        <v>5530</v>
      </c>
      <c r="K784" s="71">
        <v>46220.470138888886</v>
      </c>
      <c r="L784" s="71">
        <v>46220.470138888886</v>
      </c>
      <c r="M784" s="71">
        <v>46220.522916666669</v>
      </c>
      <c r="N784" s="71">
        <v>46223.256944444445</v>
      </c>
      <c r="O784" s="71"/>
      <c r="P784" s="71"/>
      <c r="Q784" s="53" t="s">
        <v>44</v>
      </c>
      <c r="R784" s="53" t="s">
        <v>272</v>
      </c>
      <c r="S784" s="53" t="s">
        <v>175</v>
      </c>
      <c r="T784" s="53" t="s">
        <v>302</v>
      </c>
      <c r="U784" s="53" t="s">
        <v>5132</v>
      </c>
      <c r="X784" s="53" t="s">
        <v>5531</v>
      </c>
      <c r="Y784" s="53" t="s">
        <v>5564</v>
      </c>
    </row>
    <row r="785" spans="2:25" ht="15" customHeight="1">
      <c r="B785" s="45" t="s">
        <v>26</v>
      </c>
      <c r="C785" s="45" t="s">
        <v>44</v>
      </c>
      <c r="D785" s="53" t="s">
        <v>208</v>
      </c>
      <c r="E785" s="45" t="s">
        <v>7279</v>
      </c>
      <c r="F785" s="45" t="s">
        <v>312</v>
      </c>
      <c r="G785" s="53" t="s">
        <v>208</v>
      </c>
      <c r="H785" s="53" t="s">
        <v>7280</v>
      </c>
      <c r="I785" s="53" t="s">
        <v>271</v>
      </c>
      <c r="J785" s="45" t="s">
        <v>5530</v>
      </c>
      <c r="K785" s="71">
        <v>46220.501388888886</v>
      </c>
      <c r="L785" s="71">
        <v>46220.522222222222</v>
      </c>
      <c r="M785" s="71">
        <v>46223.55</v>
      </c>
      <c r="N785" s="71">
        <v>46231.51666666667</v>
      </c>
      <c r="O785" s="71">
        <v>46223.55</v>
      </c>
      <c r="P785" s="71">
        <v>46231.51666666667</v>
      </c>
      <c r="Q785" s="53" t="s">
        <v>44</v>
      </c>
      <c r="R785" s="53" t="s">
        <v>261</v>
      </c>
      <c r="S785" s="53" t="s">
        <v>175</v>
      </c>
      <c r="T785" s="53" t="s">
        <v>268</v>
      </c>
      <c r="U785" s="53" t="s">
        <v>5531</v>
      </c>
      <c r="X785" s="53" t="s">
        <v>5531</v>
      </c>
      <c r="Y785" s="53" t="s">
        <v>7281</v>
      </c>
    </row>
    <row r="786" spans="2:25" ht="15" customHeight="1">
      <c r="B786" s="45" t="s">
        <v>26</v>
      </c>
      <c r="C786" s="45" t="s">
        <v>44</v>
      </c>
      <c r="D786" s="53" t="s">
        <v>207</v>
      </c>
      <c r="E786" s="45" t="s">
        <v>7282</v>
      </c>
      <c r="F786" s="45" t="s">
        <v>312</v>
      </c>
      <c r="G786" s="53">
        <v>4</v>
      </c>
      <c r="H786" s="53" t="s">
        <v>7283</v>
      </c>
      <c r="I786" s="53" t="s">
        <v>275</v>
      </c>
      <c r="J786" s="45" t="s">
        <v>5530</v>
      </c>
      <c r="K786" s="71">
        <v>46220.956250000003</v>
      </c>
      <c r="L786" s="71">
        <v>46220.976388888892</v>
      </c>
      <c r="M786" s="71">
        <v>46223.306250000001</v>
      </c>
      <c r="N786" s="71">
        <v>46223.40625</v>
      </c>
      <c r="O786" s="71"/>
      <c r="P786" s="71"/>
      <c r="Q786" s="53" t="s">
        <v>5534</v>
      </c>
      <c r="R786" s="53" t="s">
        <v>272</v>
      </c>
      <c r="S786" s="53" t="s">
        <v>175</v>
      </c>
      <c r="T786" s="53" t="s">
        <v>268</v>
      </c>
      <c r="U786" s="53" t="s">
        <v>5531</v>
      </c>
      <c r="X786" s="53" t="s">
        <v>5531</v>
      </c>
      <c r="Y786" s="53" t="s">
        <v>5585</v>
      </c>
    </row>
    <row r="787" spans="2:25" ht="15" customHeight="1">
      <c r="B787" s="45" t="s">
        <v>26</v>
      </c>
      <c r="C787" s="45" t="s">
        <v>44</v>
      </c>
      <c r="D787" s="53" t="s">
        <v>207</v>
      </c>
      <c r="E787" s="45" t="s">
        <v>7284</v>
      </c>
      <c r="F787" s="45" t="s">
        <v>312</v>
      </c>
      <c r="G787" s="53">
        <v>3</v>
      </c>
      <c r="H787" s="53" t="s">
        <v>7285</v>
      </c>
      <c r="I787" s="53" t="s">
        <v>271</v>
      </c>
      <c r="J787" s="45" t="s">
        <v>5530</v>
      </c>
      <c r="K787" s="71">
        <v>46223.476388888892</v>
      </c>
      <c r="L787" s="71">
        <v>46226.400000000001</v>
      </c>
      <c r="M787" s="71">
        <v>46226.411111111112</v>
      </c>
      <c r="N787" s="71">
        <v>46230.288888888892</v>
      </c>
      <c r="O787" s="71">
        <v>46230.288888888892</v>
      </c>
      <c r="P787" s="71">
        <v>46230.288888888892</v>
      </c>
      <c r="Q787" s="53" t="s">
        <v>5534</v>
      </c>
      <c r="R787" s="53" t="s">
        <v>272</v>
      </c>
      <c r="S787" s="53" t="s">
        <v>175</v>
      </c>
      <c r="T787" s="53" t="s">
        <v>268</v>
      </c>
      <c r="U787" s="53" t="s">
        <v>5531</v>
      </c>
      <c r="X787" s="53" t="s">
        <v>5531</v>
      </c>
      <c r="Y787" s="53" t="s">
        <v>5585</v>
      </c>
    </row>
    <row r="788" spans="2:25" ht="15" customHeight="1">
      <c r="B788" s="45" t="s">
        <v>26</v>
      </c>
      <c r="C788" s="45" t="s">
        <v>44</v>
      </c>
      <c r="D788" s="53" t="s">
        <v>207</v>
      </c>
      <c r="E788" s="45" t="s">
        <v>7286</v>
      </c>
      <c r="F788" s="45" t="s">
        <v>312</v>
      </c>
      <c r="G788" s="53">
        <v>4</v>
      </c>
      <c r="H788" s="53" t="s">
        <v>7287</v>
      </c>
      <c r="I788" s="53" t="s">
        <v>275</v>
      </c>
      <c r="J788" s="45" t="s">
        <v>5530</v>
      </c>
      <c r="K788" s="71">
        <v>46224.602777777778</v>
      </c>
      <c r="L788" s="71">
        <v>46225.384027777778</v>
      </c>
      <c r="M788" s="71">
        <v>46225.420138888891</v>
      </c>
      <c r="N788" s="71">
        <v>46225.600694444445</v>
      </c>
      <c r="O788" s="71"/>
      <c r="P788" s="71"/>
      <c r="Q788" s="53" t="s">
        <v>7288</v>
      </c>
      <c r="R788" s="53" t="s">
        <v>272</v>
      </c>
      <c r="S788" s="53" t="s">
        <v>175</v>
      </c>
      <c r="T788" s="53" t="s">
        <v>302</v>
      </c>
      <c r="U788" s="53" t="s">
        <v>5132</v>
      </c>
      <c r="X788" s="53" t="s">
        <v>5531</v>
      </c>
      <c r="Y788" s="53" t="s">
        <v>5564</v>
      </c>
    </row>
    <row r="789" spans="2:25" ht="15" customHeight="1">
      <c r="B789" s="45" t="s">
        <v>26</v>
      </c>
      <c r="C789" s="45" t="s">
        <v>44</v>
      </c>
      <c r="D789" s="53" t="s">
        <v>207</v>
      </c>
      <c r="E789" s="45" t="s">
        <v>7289</v>
      </c>
      <c r="F789" s="45" t="s">
        <v>312</v>
      </c>
      <c r="G789" s="53">
        <v>3</v>
      </c>
      <c r="H789" s="53" t="s">
        <v>7290</v>
      </c>
      <c r="I789" s="53" t="s">
        <v>271</v>
      </c>
      <c r="J789" s="45" t="s">
        <v>5530</v>
      </c>
      <c r="K789" s="71">
        <v>46223.542361111111</v>
      </c>
      <c r="L789" s="71">
        <v>46225.491666666669</v>
      </c>
      <c r="M789" s="71">
        <v>46225.508333333331</v>
      </c>
      <c r="N789" s="71">
        <v>46233.276388888888</v>
      </c>
      <c r="O789" s="71">
        <v>46225.602083333331</v>
      </c>
      <c r="P789" s="71">
        <v>46233.276388888888</v>
      </c>
      <c r="Q789" s="53" t="s">
        <v>44</v>
      </c>
      <c r="R789" s="53" t="s">
        <v>272</v>
      </c>
      <c r="S789" s="53" t="s">
        <v>175</v>
      </c>
      <c r="T789" s="53" t="s">
        <v>302</v>
      </c>
      <c r="U789" s="53" t="s">
        <v>5531</v>
      </c>
      <c r="X789" s="53" t="s">
        <v>5531</v>
      </c>
      <c r="Y789" s="53" t="s">
        <v>7291</v>
      </c>
    </row>
    <row r="790" spans="2:25" ht="15" customHeight="1">
      <c r="B790" s="45" t="s">
        <v>26</v>
      </c>
      <c r="C790" s="45" t="s">
        <v>44</v>
      </c>
      <c r="D790" s="53" t="s">
        <v>208</v>
      </c>
      <c r="E790" s="45" t="s">
        <v>7292</v>
      </c>
      <c r="F790" s="45" t="s">
        <v>312</v>
      </c>
      <c r="G790" s="53" t="s">
        <v>208</v>
      </c>
      <c r="H790" s="53" t="s">
        <v>7293</v>
      </c>
      <c r="I790" s="53" t="s">
        <v>275</v>
      </c>
      <c r="J790" s="45" t="s">
        <v>5530</v>
      </c>
      <c r="K790" s="71">
        <v>46225.504861111112</v>
      </c>
      <c r="L790" s="71">
        <v>46225.504861111112</v>
      </c>
      <c r="M790" s="71">
        <v>46225.590277777781</v>
      </c>
      <c r="N790" s="71">
        <v>46225.607638888891</v>
      </c>
      <c r="O790" s="71"/>
      <c r="P790" s="71"/>
      <c r="Q790" s="53" t="s">
        <v>44</v>
      </c>
      <c r="R790" s="53" t="s">
        <v>272</v>
      </c>
      <c r="S790" s="53" t="s">
        <v>175</v>
      </c>
      <c r="T790" s="53" t="s">
        <v>268</v>
      </c>
      <c r="U790" s="53" t="s">
        <v>5132</v>
      </c>
      <c r="X790" s="53" t="s">
        <v>5531</v>
      </c>
      <c r="Y790" s="53" t="s">
        <v>5564</v>
      </c>
    </row>
    <row r="791" spans="2:25" ht="15" customHeight="1">
      <c r="B791" s="45" t="s">
        <v>26</v>
      </c>
      <c r="C791" s="45" t="s">
        <v>44</v>
      </c>
      <c r="D791" s="53" t="s">
        <v>208</v>
      </c>
      <c r="E791" s="45" t="s">
        <v>7294</v>
      </c>
      <c r="F791" s="45" t="s">
        <v>312</v>
      </c>
      <c r="G791" s="53" t="s">
        <v>208</v>
      </c>
      <c r="H791" s="53" t="s">
        <v>7295</v>
      </c>
      <c r="I791" s="53" t="s">
        <v>271</v>
      </c>
      <c r="J791" s="45" t="s">
        <v>5530</v>
      </c>
      <c r="K791" s="71">
        <v>46225.385416666664</v>
      </c>
      <c r="L791" s="71">
        <v>46225.402777777781</v>
      </c>
      <c r="M791" s="71">
        <v>46225.421527777777</v>
      </c>
      <c r="N791" s="71">
        <v>46231.517361111109</v>
      </c>
      <c r="O791" s="71">
        <v>46225.609027777777</v>
      </c>
      <c r="P791" s="71">
        <v>46231.517361111109</v>
      </c>
      <c r="Q791" s="53" t="s">
        <v>5534</v>
      </c>
      <c r="R791" s="53" t="s">
        <v>272</v>
      </c>
      <c r="S791" s="53" t="s">
        <v>175</v>
      </c>
      <c r="T791" s="53" t="s">
        <v>268</v>
      </c>
      <c r="U791" s="53" t="s">
        <v>5531</v>
      </c>
      <c r="X791" s="53" t="s">
        <v>5531</v>
      </c>
      <c r="Y791" s="53" t="s">
        <v>7291</v>
      </c>
    </row>
    <row r="792" spans="2:25" ht="15" customHeight="1">
      <c r="B792" s="45" t="s">
        <v>26</v>
      </c>
      <c r="C792" s="45" t="s">
        <v>44</v>
      </c>
      <c r="D792" s="53" t="s">
        <v>207</v>
      </c>
      <c r="E792" s="45" t="s">
        <v>7296</v>
      </c>
      <c r="F792" s="45" t="s">
        <v>312</v>
      </c>
      <c r="G792" s="53">
        <v>4</v>
      </c>
      <c r="H792" s="53" t="s">
        <v>7297</v>
      </c>
      <c r="I792" s="53" t="s">
        <v>275</v>
      </c>
      <c r="J792" s="45" t="s">
        <v>5530</v>
      </c>
      <c r="K792" s="71">
        <v>46225.361111111109</v>
      </c>
      <c r="L792" s="71">
        <v>46226.374305555553</v>
      </c>
      <c r="M792" s="71">
        <v>46226.410416666666</v>
      </c>
      <c r="N792" s="71">
        <v>46230.290277777778</v>
      </c>
      <c r="O792" s="71"/>
      <c r="P792" s="71"/>
      <c r="Q792" s="53" t="s">
        <v>5534</v>
      </c>
      <c r="R792" s="53" t="s">
        <v>272</v>
      </c>
      <c r="S792" s="53" t="s">
        <v>175</v>
      </c>
      <c r="T792" s="53" t="s">
        <v>268</v>
      </c>
      <c r="U792" s="53" t="s">
        <v>5531</v>
      </c>
      <c r="X792" s="53" t="s">
        <v>5531</v>
      </c>
      <c r="Y792" s="53" t="s">
        <v>5558</v>
      </c>
    </row>
    <row r="793" spans="2:25" ht="15" customHeight="1">
      <c r="B793" s="45" t="s">
        <v>26</v>
      </c>
      <c r="C793" s="45" t="s">
        <v>44</v>
      </c>
      <c r="D793" s="53" t="s">
        <v>207</v>
      </c>
      <c r="E793" s="45" t="s">
        <v>7298</v>
      </c>
      <c r="F793" s="45" t="s">
        <v>312</v>
      </c>
      <c r="G793" s="53">
        <v>3</v>
      </c>
      <c r="H793" s="53" t="s">
        <v>7299</v>
      </c>
      <c r="I793" s="53" t="s">
        <v>271</v>
      </c>
      <c r="J793" s="45" t="s">
        <v>5530</v>
      </c>
      <c r="K793" s="71">
        <v>46224.462500000001</v>
      </c>
      <c r="L793" s="71">
        <v>46230.622916666667</v>
      </c>
      <c r="M793" s="71">
        <v>46230.64166666667</v>
      </c>
      <c r="N793" s="71">
        <v>46233.677083333336</v>
      </c>
      <c r="O793" s="71">
        <v>46233.279861111114</v>
      </c>
      <c r="P793" s="71">
        <v>46233.677083333336</v>
      </c>
      <c r="Q793" s="53" t="s">
        <v>5534</v>
      </c>
      <c r="R793" s="53" t="s">
        <v>261</v>
      </c>
      <c r="S793" s="53" t="s">
        <v>175</v>
      </c>
      <c r="T793" s="53" t="s">
        <v>268</v>
      </c>
      <c r="U793" s="53" t="s">
        <v>5531</v>
      </c>
      <c r="X793" s="53" t="s">
        <v>5531</v>
      </c>
      <c r="Y793" s="53" t="s">
        <v>7300</v>
      </c>
    </row>
    <row r="794" spans="2:25" ht="15" customHeight="1">
      <c r="B794" s="45" t="s">
        <v>26</v>
      </c>
      <c r="C794" s="45" t="s">
        <v>44</v>
      </c>
      <c r="D794" s="53" t="s">
        <v>208</v>
      </c>
      <c r="E794" s="45" t="s">
        <v>7301</v>
      </c>
      <c r="F794" s="45" t="s">
        <v>312</v>
      </c>
      <c r="G794" s="53" t="s">
        <v>208</v>
      </c>
      <c r="H794" s="53" t="s">
        <v>5894</v>
      </c>
      <c r="I794" s="53" t="s">
        <v>275</v>
      </c>
      <c r="J794" s="45" t="s">
        <v>5530</v>
      </c>
      <c r="K794" s="71">
        <v>46226.890972222223</v>
      </c>
      <c r="L794" s="71">
        <v>46227.495833333334</v>
      </c>
      <c r="M794" s="71">
        <v>46227.507638888892</v>
      </c>
      <c r="N794" s="71">
        <v>46227.507638888892</v>
      </c>
      <c r="O794" s="71"/>
      <c r="P794" s="71"/>
      <c r="Q794" s="53" t="s">
        <v>5534</v>
      </c>
      <c r="R794" s="53" t="s">
        <v>272</v>
      </c>
      <c r="S794" s="53" t="s">
        <v>175</v>
      </c>
      <c r="T794" s="53" t="s">
        <v>268</v>
      </c>
      <c r="U794" s="53" t="s">
        <v>5531</v>
      </c>
      <c r="X794" s="53" t="s">
        <v>5531</v>
      </c>
      <c r="Y794" s="53" t="s">
        <v>5585</v>
      </c>
    </row>
    <row r="795" spans="2:25" ht="15" customHeight="1">
      <c r="B795" s="45" t="s">
        <v>26</v>
      </c>
      <c r="C795" s="45" t="s">
        <v>44</v>
      </c>
      <c r="D795" s="53" t="s">
        <v>207</v>
      </c>
      <c r="E795" s="45" t="s">
        <v>7302</v>
      </c>
      <c r="F795" s="45" t="s">
        <v>312</v>
      </c>
      <c r="G795" s="53">
        <v>3</v>
      </c>
      <c r="H795" s="53" t="s">
        <v>7303</v>
      </c>
      <c r="I795" s="53" t="s">
        <v>275</v>
      </c>
      <c r="J795" s="45" t="s">
        <v>5530</v>
      </c>
      <c r="K795" s="71">
        <v>46229.922222222223</v>
      </c>
      <c r="L795" s="71">
        <v>46231.354166666664</v>
      </c>
      <c r="M795" s="71">
        <v>46231.436111111114</v>
      </c>
      <c r="N795" s="71">
        <v>46232.302083333336</v>
      </c>
      <c r="O795" s="71">
        <v>46231.503472222219</v>
      </c>
      <c r="P795" s="71">
        <v>46232.302083333336</v>
      </c>
      <c r="Q795" s="53" t="s">
        <v>7304</v>
      </c>
      <c r="R795" s="53" t="s">
        <v>272</v>
      </c>
      <c r="S795" s="53" t="s">
        <v>175</v>
      </c>
      <c r="T795" s="53" t="s">
        <v>268</v>
      </c>
      <c r="U795" s="53" t="s">
        <v>5531</v>
      </c>
      <c r="X795" s="53" t="s">
        <v>5531</v>
      </c>
      <c r="Y795" s="53" t="s">
        <v>5896</v>
      </c>
    </row>
    <row r="796" spans="2:25" ht="15" customHeight="1">
      <c r="B796" s="45" t="s">
        <v>26</v>
      </c>
      <c r="C796" s="45" t="s">
        <v>44</v>
      </c>
      <c r="D796" s="53" t="s">
        <v>208</v>
      </c>
      <c r="E796" s="45" t="s">
        <v>7305</v>
      </c>
      <c r="F796" s="45" t="s">
        <v>312</v>
      </c>
      <c r="G796" s="53" t="s">
        <v>208</v>
      </c>
      <c r="H796" s="53" t="s">
        <v>7306</v>
      </c>
      <c r="I796" s="53" t="s">
        <v>275</v>
      </c>
      <c r="J796" s="45" t="s">
        <v>5530</v>
      </c>
      <c r="K796" s="71">
        <v>46184.450694444444</v>
      </c>
      <c r="L796" s="71">
        <v>46230.393750000003</v>
      </c>
      <c r="M796" s="71">
        <v>46230.423611111109</v>
      </c>
      <c r="N796" s="71">
        <v>46230.474999999999</v>
      </c>
      <c r="O796" s="71"/>
      <c r="P796" s="71"/>
      <c r="Q796" s="53" t="s">
        <v>5534</v>
      </c>
      <c r="R796" s="53" t="s">
        <v>272</v>
      </c>
      <c r="S796" s="53" t="s">
        <v>175</v>
      </c>
      <c r="T796" s="53" t="s">
        <v>268</v>
      </c>
      <c r="U796" s="53" t="s">
        <v>5531</v>
      </c>
      <c r="X796" s="53" t="s">
        <v>5531</v>
      </c>
      <c r="Y796" s="53" t="s">
        <v>5585</v>
      </c>
    </row>
    <row r="797" spans="2:25" ht="15" customHeight="1">
      <c r="B797" s="45" t="s">
        <v>26</v>
      </c>
      <c r="C797" s="45" t="s">
        <v>44</v>
      </c>
      <c r="D797" s="53" t="s">
        <v>207</v>
      </c>
      <c r="E797" s="45" t="s">
        <v>7307</v>
      </c>
      <c r="F797" s="45" t="s">
        <v>312</v>
      </c>
      <c r="G797" s="53">
        <v>3</v>
      </c>
      <c r="H797" s="53" t="s">
        <v>7308</v>
      </c>
      <c r="I797" s="53" t="s">
        <v>271</v>
      </c>
      <c r="J797" s="45" t="s">
        <v>5530</v>
      </c>
      <c r="K797" s="71">
        <v>46230.478472222225</v>
      </c>
      <c r="L797" s="71">
        <v>46230.486805555556</v>
      </c>
      <c r="M797" s="71">
        <v>46230.517361111109</v>
      </c>
      <c r="N797" s="71">
        <v>46234.277777777781</v>
      </c>
      <c r="O797" s="71">
        <v>46231.289583333331</v>
      </c>
      <c r="P797" s="71">
        <v>46234.277777777781</v>
      </c>
      <c r="Q797" s="53" t="s">
        <v>5534</v>
      </c>
      <c r="R797" s="53" t="s">
        <v>272</v>
      </c>
      <c r="S797" s="53" t="s">
        <v>175</v>
      </c>
      <c r="T797" s="53" t="s">
        <v>268</v>
      </c>
      <c r="U797" s="53" t="s">
        <v>5531</v>
      </c>
      <c r="X797" s="53" t="s">
        <v>5531</v>
      </c>
      <c r="Y797" s="53" t="s">
        <v>7291</v>
      </c>
    </row>
    <row r="798" spans="2:25" ht="15" customHeight="1">
      <c r="B798" s="45" t="s">
        <v>26</v>
      </c>
      <c r="C798" s="45" t="s">
        <v>44</v>
      </c>
      <c r="D798" s="53" t="s">
        <v>207</v>
      </c>
      <c r="E798" s="45" t="s">
        <v>7309</v>
      </c>
      <c r="F798" s="45" t="s">
        <v>312</v>
      </c>
      <c r="G798" s="53">
        <v>3</v>
      </c>
      <c r="H798" s="53" t="s">
        <v>7310</v>
      </c>
      <c r="I798" s="53" t="s">
        <v>271</v>
      </c>
      <c r="J798" s="45" t="s">
        <v>5530</v>
      </c>
      <c r="K798" s="71">
        <v>46231.39166666667</v>
      </c>
      <c r="L798" s="71">
        <v>46231.39166666667</v>
      </c>
      <c r="M798" s="71">
        <v>46231.4375</v>
      </c>
      <c r="N798" s="71">
        <v>46233.272222222222</v>
      </c>
      <c r="O798" s="71">
        <v>46231.515972222223</v>
      </c>
      <c r="P798" s="71">
        <v>46233.272222222222</v>
      </c>
      <c r="Q798" s="53" t="s">
        <v>5534</v>
      </c>
      <c r="R798" s="53" t="s">
        <v>261</v>
      </c>
      <c r="S798" s="53" t="s">
        <v>175</v>
      </c>
      <c r="T798" s="53" t="s">
        <v>268</v>
      </c>
      <c r="U798" s="53" t="s">
        <v>5531</v>
      </c>
      <c r="X798" s="53" t="s">
        <v>5531</v>
      </c>
      <c r="Y798" s="53" t="s">
        <v>7311</v>
      </c>
    </row>
    <row r="799" spans="2:25" ht="15" customHeight="1">
      <c r="B799" s="45" t="s">
        <v>26</v>
      </c>
      <c r="C799" s="45" t="s">
        <v>44</v>
      </c>
      <c r="D799" s="53" t="s">
        <v>208</v>
      </c>
      <c r="E799" s="45" t="s">
        <v>7312</v>
      </c>
      <c r="F799" s="45" t="s">
        <v>312</v>
      </c>
      <c r="G799" s="53" t="s">
        <v>208</v>
      </c>
      <c r="H799" s="53" t="s">
        <v>7313</v>
      </c>
      <c r="I799" s="53" t="s">
        <v>271</v>
      </c>
      <c r="J799" s="45" t="s">
        <v>5530</v>
      </c>
      <c r="K799" s="71">
        <v>46226.54791666667</v>
      </c>
      <c r="L799" s="71">
        <v>46226.548611111109</v>
      </c>
      <c r="M799" s="71">
        <v>46227.295138888891</v>
      </c>
      <c r="N799" s="71">
        <v>46235.313194444447</v>
      </c>
      <c r="O799" s="71">
        <v>46231.518055555556</v>
      </c>
      <c r="P799" s="71">
        <v>46235.313194444447</v>
      </c>
      <c r="Q799" s="53" t="s">
        <v>7120</v>
      </c>
      <c r="R799" s="53" t="s">
        <v>261</v>
      </c>
      <c r="S799" s="53" t="s">
        <v>175</v>
      </c>
      <c r="T799" s="53" t="s">
        <v>268</v>
      </c>
      <c r="U799" s="53" t="s">
        <v>5531</v>
      </c>
      <c r="X799" s="53" t="s">
        <v>5531</v>
      </c>
      <c r="Y799" s="53" t="s">
        <v>6720</v>
      </c>
    </row>
    <row r="800" spans="2:25" ht="15" customHeight="1">
      <c r="B800" s="45" t="s">
        <v>26</v>
      </c>
      <c r="C800" s="45" t="s">
        <v>44</v>
      </c>
      <c r="D800" s="53" t="s">
        <v>208</v>
      </c>
      <c r="E800" s="45" t="s">
        <v>7314</v>
      </c>
      <c r="F800" s="45" t="s">
        <v>312</v>
      </c>
      <c r="G800" s="53" t="s">
        <v>208</v>
      </c>
      <c r="H800" s="53" t="s">
        <v>7315</v>
      </c>
      <c r="I800" s="53" t="s">
        <v>271</v>
      </c>
      <c r="J800" s="45" t="s">
        <v>5530</v>
      </c>
      <c r="K800" s="71">
        <v>46226.545138888891</v>
      </c>
      <c r="L800" s="71">
        <v>46226.54791666667</v>
      </c>
      <c r="M800" s="71">
        <v>46227.291666666664</v>
      </c>
      <c r="N800" s="71">
        <v>46235.313194444447</v>
      </c>
      <c r="O800" s="71">
        <v>46231.518055555556</v>
      </c>
      <c r="P800" s="71">
        <v>46235.313194444447</v>
      </c>
      <c r="Q800" s="53" t="s">
        <v>44</v>
      </c>
      <c r="R800" s="53" t="s">
        <v>261</v>
      </c>
      <c r="S800" s="53" t="s">
        <v>175</v>
      </c>
      <c r="T800" s="53" t="s">
        <v>268</v>
      </c>
      <c r="U800" s="53" t="s">
        <v>5531</v>
      </c>
      <c r="X800" s="53" t="s">
        <v>5531</v>
      </c>
      <c r="Y800" s="53" t="s">
        <v>6720</v>
      </c>
    </row>
    <row r="801" spans="2:25" ht="15" customHeight="1">
      <c r="B801" s="45" t="s">
        <v>26</v>
      </c>
      <c r="C801" s="45" t="s">
        <v>44</v>
      </c>
      <c r="D801" s="53" t="s">
        <v>207</v>
      </c>
      <c r="E801" s="45" t="s">
        <v>7316</v>
      </c>
      <c r="F801" s="45" t="s">
        <v>312</v>
      </c>
      <c r="G801" s="53">
        <v>3</v>
      </c>
      <c r="H801" s="53" t="s">
        <v>7317</v>
      </c>
      <c r="I801" s="53" t="s">
        <v>271</v>
      </c>
      <c r="J801" s="45" t="s">
        <v>5530</v>
      </c>
      <c r="K801" s="71">
        <v>46231.676388888889</v>
      </c>
      <c r="L801" s="71">
        <v>46231.698611111111</v>
      </c>
      <c r="M801" s="71">
        <v>46232.291666666664</v>
      </c>
      <c r="N801" s="71">
        <v>46237.315972222219</v>
      </c>
      <c r="O801" s="71">
        <v>46232.291666666664</v>
      </c>
      <c r="P801" s="71">
        <v>46237.315972222219</v>
      </c>
      <c r="Q801" s="53" t="s">
        <v>5534</v>
      </c>
      <c r="R801" s="53" t="s">
        <v>261</v>
      </c>
      <c r="S801" s="53" t="s">
        <v>175</v>
      </c>
      <c r="T801" s="53" t="s">
        <v>268</v>
      </c>
      <c r="U801" s="53" t="s">
        <v>5531</v>
      </c>
      <c r="X801" s="53" t="s">
        <v>5531</v>
      </c>
      <c r="Y801" s="53" t="s">
        <v>7291</v>
      </c>
    </row>
    <row r="802" spans="2:25" ht="15" customHeight="1">
      <c r="B802" s="45" t="s">
        <v>26</v>
      </c>
      <c r="C802" s="45" t="s">
        <v>44</v>
      </c>
      <c r="D802" s="53" t="s">
        <v>207</v>
      </c>
      <c r="E802" s="45" t="s">
        <v>7318</v>
      </c>
      <c r="F802" s="45" t="s">
        <v>312</v>
      </c>
      <c r="G802" s="53">
        <v>4</v>
      </c>
      <c r="H802" s="53" t="s">
        <v>7319</v>
      </c>
      <c r="I802" s="53" t="s">
        <v>271</v>
      </c>
      <c r="J802" s="45" t="s">
        <v>5530</v>
      </c>
      <c r="K802" s="71">
        <v>46231.618055555555</v>
      </c>
      <c r="L802" s="71">
        <v>46231.670138888891</v>
      </c>
      <c r="M802" s="71">
        <v>46232.293055555558</v>
      </c>
      <c r="N802" s="71">
        <v>46234.279861111114</v>
      </c>
      <c r="O802" s="71">
        <v>46232.305555555555</v>
      </c>
      <c r="P802" s="71">
        <v>46234.279861111114</v>
      </c>
      <c r="Q802" s="53" t="s">
        <v>5534</v>
      </c>
      <c r="R802" s="53" t="s">
        <v>261</v>
      </c>
      <c r="S802" s="53" t="s">
        <v>175</v>
      </c>
      <c r="T802" s="53" t="s">
        <v>268</v>
      </c>
      <c r="U802" s="53" t="s">
        <v>5531</v>
      </c>
      <c r="X802" s="53" t="s">
        <v>5531</v>
      </c>
      <c r="Y802" s="53" t="s">
        <v>7320</v>
      </c>
    </row>
    <row r="803" spans="2:25" ht="15" customHeight="1">
      <c r="B803" s="45" t="s">
        <v>26</v>
      </c>
      <c r="C803" s="45" t="s">
        <v>44</v>
      </c>
      <c r="D803" s="53" t="s">
        <v>207</v>
      </c>
      <c r="E803" s="45" t="s">
        <v>7321</v>
      </c>
      <c r="F803" s="45" t="s">
        <v>312</v>
      </c>
      <c r="G803" s="53">
        <v>3</v>
      </c>
      <c r="H803" s="53" t="s">
        <v>7322</v>
      </c>
      <c r="I803" s="53" t="s">
        <v>275</v>
      </c>
      <c r="J803" s="45" t="s">
        <v>5530</v>
      </c>
      <c r="K803" s="71">
        <v>46231.279166666667</v>
      </c>
      <c r="L803" s="71">
        <v>46231.488194444442</v>
      </c>
      <c r="M803" s="71">
        <v>46232.292361111111</v>
      </c>
      <c r="N803" s="71">
        <v>46232.30972222222</v>
      </c>
      <c r="O803" s="71"/>
      <c r="P803" s="71"/>
      <c r="Q803" s="53" t="s">
        <v>5534</v>
      </c>
      <c r="R803" s="53" t="s">
        <v>261</v>
      </c>
      <c r="S803" s="53" t="s">
        <v>175</v>
      </c>
      <c r="T803" s="53" t="s">
        <v>268</v>
      </c>
      <c r="U803" s="53" t="s">
        <v>5531</v>
      </c>
      <c r="X803" s="53" t="s">
        <v>5531</v>
      </c>
      <c r="Y803" s="53" t="s">
        <v>7323</v>
      </c>
    </row>
    <row r="804" spans="2:25" ht="15" customHeight="1">
      <c r="B804" s="45" t="s">
        <v>26</v>
      </c>
      <c r="C804" s="45" t="s">
        <v>44</v>
      </c>
      <c r="D804" s="53" t="s">
        <v>207</v>
      </c>
      <c r="E804" s="45" t="s">
        <v>7324</v>
      </c>
      <c r="F804" s="45" t="s">
        <v>312</v>
      </c>
      <c r="G804" s="53">
        <v>3</v>
      </c>
      <c r="H804" s="53" t="s">
        <v>7325</v>
      </c>
      <c r="I804" s="53" t="s">
        <v>271</v>
      </c>
      <c r="J804" s="45" t="s">
        <v>5530</v>
      </c>
      <c r="K804" s="71">
        <v>46231.837500000001</v>
      </c>
      <c r="L804" s="71">
        <v>46232.386111111111</v>
      </c>
      <c r="M804" s="71">
        <v>46232.691666666666</v>
      </c>
      <c r="N804" s="71">
        <v>46237.318055555559</v>
      </c>
      <c r="O804" s="71">
        <v>46233.287499999999</v>
      </c>
      <c r="P804" s="71">
        <v>46237.318055555559</v>
      </c>
      <c r="Q804" s="53" t="s">
        <v>5534</v>
      </c>
      <c r="R804" s="53" t="s">
        <v>261</v>
      </c>
      <c r="S804" s="53" t="s">
        <v>175</v>
      </c>
      <c r="T804" s="53" t="s">
        <v>268</v>
      </c>
      <c r="U804" s="53" t="s">
        <v>5531</v>
      </c>
      <c r="X804" s="53" t="s">
        <v>5531</v>
      </c>
      <c r="Y804" s="53" t="s">
        <v>7326</v>
      </c>
    </row>
    <row r="805" spans="2:25" ht="15" customHeight="1">
      <c r="B805" s="45" t="s">
        <v>26</v>
      </c>
      <c r="C805" s="45" t="s">
        <v>44</v>
      </c>
      <c r="D805" s="53" t="s">
        <v>207</v>
      </c>
      <c r="E805" s="45" t="s">
        <v>7327</v>
      </c>
      <c r="F805" s="45" t="s">
        <v>312</v>
      </c>
      <c r="G805" s="53">
        <v>3</v>
      </c>
      <c r="H805" s="53" t="s">
        <v>7328</v>
      </c>
      <c r="I805" s="53" t="s">
        <v>275</v>
      </c>
      <c r="J805" s="45" t="s">
        <v>5530</v>
      </c>
      <c r="K805" s="71">
        <v>46232.570833333331</v>
      </c>
      <c r="L805" s="71">
        <v>46232.589583333334</v>
      </c>
      <c r="M805" s="71">
        <v>46232.695138888892</v>
      </c>
      <c r="N805" s="71">
        <v>46237.474999999999</v>
      </c>
      <c r="O805" s="71">
        <v>46233.291666666664</v>
      </c>
      <c r="P805" s="71">
        <v>46237.474999999999</v>
      </c>
      <c r="Q805" s="53" t="s">
        <v>6272</v>
      </c>
      <c r="R805" s="53" t="s">
        <v>272</v>
      </c>
      <c r="S805" s="53" t="s">
        <v>175</v>
      </c>
      <c r="T805" s="53" t="s">
        <v>268</v>
      </c>
      <c r="U805" s="53" t="s">
        <v>5531</v>
      </c>
      <c r="X805" s="53" t="s">
        <v>5531</v>
      </c>
      <c r="Y805" s="53" t="s">
        <v>7329</v>
      </c>
    </row>
    <row r="806" spans="2:25" ht="15" customHeight="1">
      <c r="B806" s="45" t="s">
        <v>26</v>
      </c>
      <c r="C806" s="45" t="s">
        <v>44</v>
      </c>
      <c r="D806" s="53" t="s">
        <v>208</v>
      </c>
      <c r="E806" s="45" t="s">
        <v>7330</v>
      </c>
      <c r="F806" s="45" t="s">
        <v>312</v>
      </c>
      <c r="G806" s="53" t="s">
        <v>208</v>
      </c>
      <c r="H806" s="53" t="s">
        <v>7331</v>
      </c>
      <c r="I806" s="53" t="s">
        <v>271</v>
      </c>
      <c r="J806" s="45" t="s">
        <v>5530</v>
      </c>
      <c r="K806" s="71">
        <v>46232.506944444445</v>
      </c>
      <c r="L806" s="71">
        <v>46232.509027777778</v>
      </c>
      <c r="M806" s="71">
        <v>46232.699305555558</v>
      </c>
      <c r="N806" s="71">
        <v>46237.338194444441</v>
      </c>
      <c r="O806" s="71">
        <v>46233.29791666667</v>
      </c>
      <c r="P806" s="71">
        <v>46237.338194444441</v>
      </c>
      <c r="Q806" s="53" t="s">
        <v>44</v>
      </c>
      <c r="R806" s="53" t="s">
        <v>272</v>
      </c>
      <c r="S806" s="53" t="s">
        <v>175</v>
      </c>
      <c r="T806" s="53" t="s">
        <v>268</v>
      </c>
      <c r="U806" s="53" t="s">
        <v>5531</v>
      </c>
      <c r="X806" s="53" t="s">
        <v>5531</v>
      </c>
      <c r="Y806" s="53" t="s">
        <v>7332</v>
      </c>
    </row>
    <row r="807" spans="2:25" ht="15" customHeight="1">
      <c r="B807" s="45" t="s">
        <v>26</v>
      </c>
      <c r="C807" s="45" t="s">
        <v>44</v>
      </c>
      <c r="D807" s="53" t="s">
        <v>208</v>
      </c>
      <c r="E807" s="45" t="s">
        <v>7333</v>
      </c>
      <c r="F807" s="45" t="s">
        <v>312</v>
      </c>
      <c r="G807" s="53" t="s">
        <v>208</v>
      </c>
      <c r="H807" s="53" t="s">
        <v>7331</v>
      </c>
      <c r="I807" s="53" t="s">
        <v>271</v>
      </c>
      <c r="J807" s="45" t="s">
        <v>5530</v>
      </c>
      <c r="K807" s="71">
        <v>46232.5</v>
      </c>
      <c r="L807" s="71">
        <v>46232.5</v>
      </c>
      <c r="M807" s="71">
        <v>46232.699305555558</v>
      </c>
      <c r="N807" s="71">
        <v>46237.493750000001</v>
      </c>
      <c r="O807" s="71">
        <v>46233.296527777777</v>
      </c>
      <c r="P807" s="71">
        <v>46237.493750000001</v>
      </c>
      <c r="Q807" s="53" t="s">
        <v>44</v>
      </c>
      <c r="R807" s="53" t="s">
        <v>272</v>
      </c>
      <c r="S807" s="53" t="s">
        <v>175</v>
      </c>
      <c r="T807" s="53" t="s">
        <v>268</v>
      </c>
      <c r="U807" s="53" t="s">
        <v>5531</v>
      </c>
      <c r="X807" s="53" t="s">
        <v>5531</v>
      </c>
      <c r="Y807" s="53" t="s">
        <v>7332</v>
      </c>
    </row>
    <row r="808" spans="2:25" ht="15" customHeight="1">
      <c r="B808" s="45" t="s">
        <v>26</v>
      </c>
      <c r="C808" s="45" t="s">
        <v>44</v>
      </c>
      <c r="D808" s="53" t="s">
        <v>207</v>
      </c>
      <c r="E808" s="45" t="s">
        <v>7334</v>
      </c>
      <c r="F808" s="45" t="s">
        <v>312</v>
      </c>
      <c r="G808" s="53">
        <v>3</v>
      </c>
      <c r="H808" s="53" t="s">
        <v>7335</v>
      </c>
      <c r="I808" s="53" t="s">
        <v>275</v>
      </c>
      <c r="J808" s="45" t="s">
        <v>5530</v>
      </c>
      <c r="K808" s="71">
        <v>46231.854861111111</v>
      </c>
      <c r="L808" s="71">
        <v>46233.384027777778</v>
      </c>
      <c r="M808" s="71">
        <v>46233.599305555559</v>
      </c>
      <c r="N808" s="71">
        <v>46234.298611111109</v>
      </c>
      <c r="O808" s="71"/>
      <c r="P808" s="71"/>
      <c r="Q808" s="53" t="s">
        <v>5534</v>
      </c>
      <c r="R808" s="53" t="s">
        <v>261</v>
      </c>
      <c r="S808" s="53" t="s">
        <v>175</v>
      </c>
      <c r="T808" s="53" t="s">
        <v>268</v>
      </c>
      <c r="U808" s="53" t="s">
        <v>5531</v>
      </c>
      <c r="X808" s="53" t="s">
        <v>5531</v>
      </c>
      <c r="Y808" s="53" t="s">
        <v>7336</v>
      </c>
    </row>
    <row r="809" spans="2:25" ht="15" customHeight="1">
      <c r="B809" s="45" t="s">
        <v>26</v>
      </c>
      <c r="C809" s="45" t="s">
        <v>44</v>
      </c>
      <c r="D809" s="53" t="s">
        <v>208</v>
      </c>
      <c r="E809" s="45" t="s">
        <v>7337</v>
      </c>
      <c r="F809" s="45" t="s">
        <v>312</v>
      </c>
      <c r="G809" s="53" t="s">
        <v>208</v>
      </c>
      <c r="H809" s="53" t="s">
        <v>7338</v>
      </c>
      <c r="I809" s="53" t="s">
        <v>275</v>
      </c>
      <c r="J809" s="45" t="s">
        <v>5530</v>
      </c>
      <c r="K809" s="71">
        <v>46233.635416666664</v>
      </c>
      <c r="L809" s="71">
        <v>46233.643750000003</v>
      </c>
      <c r="M809" s="71">
        <v>46234.311111111114</v>
      </c>
      <c r="N809" s="71">
        <v>46234.488194444442</v>
      </c>
      <c r="O809" s="71"/>
      <c r="P809" s="71"/>
      <c r="Q809" s="53" t="s">
        <v>5534</v>
      </c>
      <c r="R809" s="53" t="s">
        <v>272</v>
      </c>
      <c r="S809" s="53" t="s">
        <v>175</v>
      </c>
      <c r="T809" s="53" t="s">
        <v>268</v>
      </c>
      <c r="U809" s="53" t="s">
        <v>5531</v>
      </c>
      <c r="X809" s="53" t="s">
        <v>5531</v>
      </c>
      <c r="Y809" s="53" t="s">
        <v>7323</v>
      </c>
    </row>
    <row r="810" spans="2:25" ht="15" customHeight="1">
      <c r="B810" s="45" t="s">
        <v>26</v>
      </c>
      <c r="C810" s="45" t="s">
        <v>44</v>
      </c>
      <c r="D810" s="53" t="s">
        <v>208</v>
      </c>
      <c r="E810" s="45" t="s">
        <v>7339</v>
      </c>
      <c r="F810" s="45" t="s">
        <v>312</v>
      </c>
      <c r="G810" s="53" t="s">
        <v>208</v>
      </c>
      <c r="H810" s="53" t="s">
        <v>7340</v>
      </c>
      <c r="I810" s="53" t="s">
        <v>275</v>
      </c>
      <c r="J810" s="45" t="s">
        <v>5530</v>
      </c>
      <c r="K810" s="71">
        <v>46233.409722222219</v>
      </c>
      <c r="L810" s="71">
        <v>46233.668749999997</v>
      </c>
      <c r="M810" s="71">
        <v>46234.309027777781</v>
      </c>
      <c r="N810" s="71">
        <v>46234.490277777775</v>
      </c>
      <c r="O810" s="71"/>
      <c r="P810" s="71"/>
      <c r="Q810" s="53" t="s">
        <v>5534</v>
      </c>
      <c r="R810" s="53" t="s">
        <v>272</v>
      </c>
      <c r="S810" s="53" t="s">
        <v>175</v>
      </c>
      <c r="T810" s="53" t="s">
        <v>268</v>
      </c>
      <c r="U810" s="53" t="s">
        <v>5531</v>
      </c>
      <c r="X810" s="53" t="s">
        <v>5531</v>
      </c>
      <c r="Y810" s="53" t="s">
        <v>7341</v>
      </c>
    </row>
    <row r="811" spans="2:25" ht="15" customHeight="1">
      <c r="B811" s="45" t="s">
        <v>26</v>
      </c>
      <c r="C811" s="45" t="s">
        <v>44</v>
      </c>
      <c r="D811" s="53" t="s">
        <v>207</v>
      </c>
      <c r="E811" s="45" t="s">
        <v>7342</v>
      </c>
      <c r="F811" s="45" t="s">
        <v>312</v>
      </c>
      <c r="G811" s="53">
        <v>4</v>
      </c>
      <c r="H811" s="53" t="s">
        <v>7343</v>
      </c>
      <c r="I811" s="53" t="s">
        <v>266</v>
      </c>
      <c r="J811" s="45" t="s">
        <v>5530</v>
      </c>
      <c r="K811" s="71">
        <v>46234.536805555559</v>
      </c>
      <c r="L811" s="124">
        <v>46234.538194444445</v>
      </c>
      <c r="M811" s="71">
        <v>46237.265972222223</v>
      </c>
      <c r="N811" s="71"/>
      <c r="O811" s="71">
        <v>46237.325694444444</v>
      </c>
      <c r="P811" s="71"/>
      <c r="Q811" s="53" t="s">
        <v>5534</v>
      </c>
      <c r="R811" s="53" t="s">
        <v>261</v>
      </c>
      <c r="S811" s="53" t="s">
        <v>175</v>
      </c>
      <c r="T811" s="53" t="s">
        <v>268</v>
      </c>
      <c r="U811" s="53" t="s">
        <v>5531</v>
      </c>
      <c r="X811" s="53" t="s">
        <v>5531</v>
      </c>
      <c r="Y811" s="53" t="s">
        <v>7326</v>
      </c>
    </row>
    <row r="812" spans="2:25" ht="15" customHeight="1">
      <c r="B812" s="45" t="s">
        <v>26</v>
      </c>
      <c r="C812" s="45" t="s">
        <v>44</v>
      </c>
      <c r="D812" s="53" t="s">
        <v>207</v>
      </c>
      <c r="E812" s="45" t="s">
        <v>7344</v>
      </c>
      <c r="F812" s="45" t="s">
        <v>312</v>
      </c>
      <c r="G812" s="53">
        <v>3</v>
      </c>
      <c r="H812" s="53" t="s">
        <v>7345</v>
      </c>
      <c r="I812" s="53" t="s">
        <v>275</v>
      </c>
      <c r="J812" s="45" t="s">
        <v>5530</v>
      </c>
      <c r="K812" s="71">
        <v>46233.686805555553</v>
      </c>
      <c r="L812" s="71">
        <v>46234.218055555553</v>
      </c>
      <c r="M812" s="71">
        <v>46234.306944444441</v>
      </c>
      <c r="N812" s="71">
        <v>46237.335416666669</v>
      </c>
      <c r="O812" s="71">
        <v>46234.57916666667</v>
      </c>
      <c r="P812" s="71">
        <v>46237.335416666669</v>
      </c>
      <c r="Q812" s="53" t="s">
        <v>6466</v>
      </c>
      <c r="R812" s="53" t="s">
        <v>272</v>
      </c>
      <c r="S812" s="53" t="s">
        <v>175</v>
      </c>
      <c r="T812" s="53" t="s">
        <v>268</v>
      </c>
      <c r="U812" s="53" t="s">
        <v>5531</v>
      </c>
      <c r="X812" s="53" t="s">
        <v>5531</v>
      </c>
      <c r="Y812" s="53" t="s">
        <v>7346</v>
      </c>
    </row>
    <row r="813" spans="2:25" ht="15" customHeight="1">
      <c r="B813" s="45" t="s">
        <v>26</v>
      </c>
      <c r="C813" s="45" t="s">
        <v>44</v>
      </c>
      <c r="D813" s="53" t="s">
        <v>208</v>
      </c>
      <c r="E813" s="45" t="s">
        <v>7347</v>
      </c>
      <c r="F813" s="45" t="s">
        <v>312</v>
      </c>
      <c r="G813" s="53" t="s">
        <v>208</v>
      </c>
      <c r="H813" s="53" t="s">
        <v>5894</v>
      </c>
      <c r="I813" s="53" t="s">
        <v>275</v>
      </c>
      <c r="J813" s="45" t="s">
        <v>5530</v>
      </c>
      <c r="K813" s="71">
        <v>46232.453472222223</v>
      </c>
      <c r="L813" s="71">
        <v>46234.525000000001</v>
      </c>
      <c r="M813" s="71">
        <v>46237.272222222222</v>
      </c>
      <c r="N813" s="71">
        <v>46237.340277777781</v>
      </c>
      <c r="O813" s="71"/>
      <c r="P813" s="71"/>
      <c r="Q813" s="53" t="s">
        <v>5534</v>
      </c>
      <c r="R813" s="53" t="s">
        <v>272</v>
      </c>
      <c r="S813" s="53" t="s">
        <v>175</v>
      </c>
      <c r="T813" s="53" t="s">
        <v>268</v>
      </c>
      <c r="U813" s="53" t="s">
        <v>5531</v>
      </c>
      <c r="X813" s="53" t="s">
        <v>5531</v>
      </c>
      <c r="Y813" s="53" t="s">
        <v>7348</v>
      </c>
    </row>
    <row r="816" spans="2:25" ht="15" customHeight="1">
      <c r="B816" s="45" t="s">
        <v>26</v>
      </c>
      <c r="C816" s="45" t="s">
        <v>44</v>
      </c>
      <c r="D816" s="45" t="s">
        <v>207</v>
      </c>
      <c r="E816" s="45" t="s">
        <v>7349</v>
      </c>
      <c r="F816" s="45" t="s">
        <v>312</v>
      </c>
      <c r="G816" s="45">
        <v>4</v>
      </c>
      <c r="H816" s="45" t="s">
        <v>7350</v>
      </c>
      <c r="I816" s="45" t="s">
        <v>275</v>
      </c>
      <c r="J816" s="45" t="s">
        <v>5391</v>
      </c>
      <c r="K816" s="47">
        <v>46202.549814814818</v>
      </c>
      <c r="L816" s="47">
        <v>46206.358935185184</v>
      </c>
      <c r="M816" s="47">
        <v>46206.526203703703</v>
      </c>
      <c r="N816" s="47">
        <v>46209.421215277776</v>
      </c>
      <c r="P816" s="47">
        <v>46209.421215277776</v>
      </c>
      <c r="Q816" s="45" t="s">
        <v>5750</v>
      </c>
      <c r="R816" s="45" t="s">
        <v>272</v>
      </c>
      <c r="S816" s="45" t="s">
        <v>175</v>
      </c>
      <c r="T816" s="45" t="s">
        <v>268</v>
      </c>
      <c r="U816" s="45" t="s">
        <v>5531</v>
      </c>
      <c r="X816" s="45" t="s">
        <v>5531</v>
      </c>
      <c r="Y816" s="45" t="s">
        <v>6758</v>
      </c>
    </row>
    <row r="817" spans="2:25" ht="15" customHeight="1">
      <c r="B817" s="45" t="s">
        <v>26</v>
      </c>
      <c r="C817" s="45" t="s">
        <v>44</v>
      </c>
      <c r="D817" s="45" t="s">
        <v>207</v>
      </c>
      <c r="E817" s="45" t="s">
        <v>7351</v>
      </c>
      <c r="F817" s="45" t="s">
        <v>312</v>
      </c>
      <c r="G817" s="45">
        <v>4</v>
      </c>
      <c r="H817" s="45" t="s">
        <v>7352</v>
      </c>
      <c r="I817" s="45" t="s">
        <v>275</v>
      </c>
      <c r="J817" s="45" t="s">
        <v>5391</v>
      </c>
      <c r="K817" s="47">
        <v>46205.476898148147</v>
      </c>
      <c r="L817" s="47">
        <v>46205.49318287037</v>
      </c>
      <c r="M817" s="47">
        <v>46205.515428240738</v>
      </c>
      <c r="N817" s="47">
        <v>46205.517118055555</v>
      </c>
      <c r="P817" s="47">
        <v>46205.517118055555</v>
      </c>
      <c r="Q817" s="45" t="s">
        <v>7353</v>
      </c>
      <c r="R817" s="45" t="s">
        <v>272</v>
      </c>
      <c r="S817" s="45" t="s">
        <v>5699</v>
      </c>
      <c r="T817" s="45" t="s">
        <v>268</v>
      </c>
      <c r="U817" s="45" t="s">
        <v>5531</v>
      </c>
      <c r="X817" s="45" t="s">
        <v>5531</v>
      </c>
      <c r="Y817" s="45" t="s">
        <v>6758</v>
      </c>
    </row>
    <row r="818" spans="2:25" ht="15" customHeight="1">
      <c r="B818" s="45" t="s">
        <v>26</v>
      </c>
      <c r="C818" s="45" t="s">
        <v>44</v>
      </c>
      <c r="D818" s="45" t="s">
        <v>207</v>
      </c>
      <c r="E818" s="45" t="s">
        <v>7354</v>
      </c>
      <c r="F818" s="45" t="s">
        <v>312</v>
      </c>
      <c r="G818" s="45">
        <v>4</v>
      </c>
      <c r="H818" s="45" t="s">
        <v>7355</v>
      </c>
      <c r="I818" s="45" t="s">
        <v>271</v>
      </c>
      <c r="J818" s="45" t="s">
        <v>5391</v>
      </c>
      <c r="K818" s="47">
        <v>46208.929722222223</v>
      </c>
      <c r="L818" s="47">
        <v>46209.395312499997</v>
      </c>
      <c r="M818" s="47">
        <v>46209.40016203704</v>
      </c>
      <c r="N818" s="47">
        <v>46213.298148148147</v>
      </c>
      <c r="O818" s="47">
        <v>46209.435995370368</v>
      </c>
      <c r="P818" s="47">
        <v>46213.298148148147</v>
      </c>
      <c r="Q818" s="45" t="s">
        <v>5534</v>
      </c>
      <c r="R818" s="45" t="s">
        <v>272</v>
      </c>
      <c r="S818" s="45" t="s">
        <v>175</v>
      </c>
      <c r="T818" s="45" t="s">
        <v>268</v>
      </c>
      <c r="U818" s="45" t="s">
        <v>5531</v>
      </c>
      <c r="X818" s="45" t="s">
        <v>5531</v>
      </c>
      <c r="Y818" s="45" t="s">
        <v>7356</v>
      </c>
    </row>
    <row r="819" spans="2:25" ht="15" customHeight="1">
      <c r="B819" s="45" t="s">
        <v>26</v>
      </c>
      <c r="C819" s="45" t="s">
        <v>44</v>
      </c>
      <c r="D819" s="45" t="s">
        <v>208</v>
      </c>
      <c r="E819" s="45" t="s">
        <v>7357</v>
      </c>
      <c r="F819" s="45" t="s">
        <v>312</v>
      </c>
      <c r="G819" s="45" t="s">
        <v>208</v>
      </c>
      <c r="H819" s="45" t="s">
        <v>7358</v>
      </c>
      <c r="I819" s="45" t="s">
        <v>271</v>
      </c>
      <c r="J819" s="45" t="s">
        <v>5391</v>
      </c>
      <c r="K819" s="47">
        <v>46204.57240740741</v>
      </c>
      <c r="L819" s="47">
        <v>46205.484791666669</v>
      </c>
      <c r="M819" s="47">
        <v>46205.529502314814</v>
      </c>
      <c r="N819" s="47">
        <v>46210.55</v>
      </c>
      <c r="P819" s="47">
        <v>46210.55</v>
      </c>
      <c r="Q819" s="45" t="s">
        <v>6772</v>
      </c>
      <c r="R819" s="45" t="s">
        <v>5693</v>
      </c>
      <c r="S819" s="45" t="s">
        <v>175</v>
      </c>
      <c r="T819" s="45" t="s">
        <v>268</v>
      </c>
      <c r="U819" s="45" t="s">
        <v>5531</v>
      </c>
      <c r="X819" s="45" t="s">
        <v>5531</v>
      </c>
      <c r="Y819" s="45" t="s">
        <v>6773</v>
      </c>
    </row>
    <row r="820" spans="2:25" ht="15" customHeight="1">
      <c r="B820" s="45" t="s">
        <v>26</v>
      </c>
      <c r="C820" s="45" t="s">
        <v>44</v>
      </c>
      <c r="D820" s="45" t="s">
        <v>208</v>
      </c>
      <c r="E820" s="45" t="s">
        <v>7359</v>
      </c>
      <c r="F820" s="45" t="s">
        <v>312</v>
      </c>
      <c r="G820" s="45" t="s">
        <v>208</v>
      </c>
      <c r="H820" s="45" t="s">
        <v>7360</v>
      </c>
      <c r="I820" s="45" t="s">
        <v>271</v>
      </c>
      <c r="J820" s="45" t="s">
        <v>5391</v>
      </c>
      <c r="K820" s="47">
        <v>46206.365532407406</v>
      </c>
      <c r="L820" s="47">
        <v>46206.370219907411</v>
      </c>
      <c r="M820" s="47">
        <v>46206.525000000001</v>
      </c>
      <c r="N820" s="47">
        <v>46213.574259259258</v>
      </c>
      <c r="P820" s="47">
        <v>46213.574259259258</v>
      </c>
      <c r="Q820" s="45" t="s">
        <v>3452</v>
      </c>
      <c r="R820" s="45" t="s">
        <v>272</v>
      </c>
      <c r="S820" s="45" t="s">
        <v>175</v>
      </c>
      <c r="T820" s="45" t="s">
        <v>268</v>
      </c>
      <c r="U820" s="45" t="s">
        <v>5531</v>
      </c>
      <c r="X820" s="45" t="s">
        <v>5531</v>
      </c>
      <c r="Y820" s="45" t="s">
        <v>7361</v>
      </c>
    </row>
    <row r="821" spans="2:25" ht="15" customHeight="1">
      <c r="B821" s="45" t="s">
        <v>26</v>
      </c>
      <c r="C821" s="45" t="s">
        <v>44</v>
      </c>
      <c r="D821" s="45" t="s">
        <v>208</v>
      </c>
      <c r="E821" s="45" t="s">
        <v>7362</v>
      </c>
      <c r="F821" s="45" t="s">
        <v>312</v>
      </c>
      <c r="G821" s="45" t="s">
        <v>208</v>
      </c>
      <c r="H821" s="45" t="s">
        <v>5815</v>
      </c>
      <c r="I821" s="45" t="s">
        <v>275</v>
      </c>
      <c r="J821" s="45" t="s">
        <v>5391</v>
      </c>
      <c r="K821" s="47">
        <v>46205.75104166667</v>
      </c>
      <c r="L821" s="47">
        <v>46206.381377314814</v>
      </c>
      <c r="M821" s="47">
        <v>46206.523344907408</v>
      </c>
      <c r="N821" s="47">
        <v>46210.369328703702</v>
      </c>
      <c r="P821" s="47">
        <v>46210.369328703702</v>
      </c>
      <c r="Q821" s="45" t="s">
        <v>6772</v>
      </c>
      <c r="R821" s="45" t="s">
        <v>5693</v>
      </c>
      <c r="S821" s="45" t="s">
        <v>175</v>
      </c>
      <c r="T821" s="45" t="s">
        <v>268</v>
      </c>
      <c r="U821" s="45" t="s">
        <v>5531</v>
      </c>
      <c r="X821" s="45" t="s">
        <v>5531</v>
      </c>
      <c r="Y821" s="45" t="s">
        <v>6773</v>
      </c>
    </row>
    <row r="822" spans="2:25" ht="15" customHeight="1">
      <c r="B822" s="45" t="s">
        <v>26</v>
      </c>
      <c r="C822" s="45" t="s">
        <v>44</v>
      </c>
      <c r="D822" s="45" t="s">
        <v>207</v>
      </c>
      <c r="E822" s="45" t="s">
        <v>7363</v>
      </c>
      <c r="F822" s="45" t="s">
        <v>312</v>
      </c>
      <c r="G822" s="45">
        <v>4</v>
      </c>
      <c r="H822" s="45" t="s">
        <v>7364</v>
      </c>
      <c r="I822" s="45" t="s">
        <v>275</v>
      </c>
      <c r="J822" s="45" t="s">
        <v>5391</v>
      </c>
      <c r="K822" s="47">
        <v>46208.015393518515</v>
      </c>
      <c r="L822" s="47">
        <v>46208.021041666667</v>
      </c>
      <c r="M822" s="47">
        <v>46209.284004629626</v>
      </c>
      <c r="N822" s="47">
        <v>46210.517685185187</v>
      </c>
      <c r="P822" s="47">
        <v>46210.517685185187</v>
      </c>
      <c r="Q822" s="45" t="s">
        <v>7365</v>
      </c>
      <c r="R822" s="45" t="s">
        <v>272</v>
      </c>
      <c r="S822" s="45" t="s">
        <v>175</v>
      </c>
      <c r="T822" s="45" t="s">
        <v>268</v>
      </c>
      <c r="U822" s="45" t="s">
        <v>5531</v>
      </c>
      <c r="X822" s="45" t="s">
        <v>5531</v>
      </c>
      <c r="Y822" s="45" t="s">
        <v>7366</v>
      </c>
    </row>
    <row r="823" spans="2:25" ht="15" customHeight="1">
      <c r="B823" s="45" t="s">
        <v>26</v>
      </c>
      <c r="C823" s="45" t="s">
        <v>44</v>
      </c>
      <c r="D823" s="45" t="s">
        <v>207</v>
      </c>
      <c r="E823" s="45" t="s">
        <v>7367</v>
      </c>
      <c r="F823" s="45" t="s">
        <v>312</v>
      </c>
      <c r="G823" s="45">
        <v>3</v>
      </c>
      <c r="H823" s="45" t="s">
        <v>7368</v>
      </c>
      <c r="I823" s="45" t="s">
        <v>275</v>
      </c>
      <c r="J823" s="45" t="s">
        <v>5391</v>
      </c>
      <c r="K823" s="47">
        <v>46206.509780092594</v>
      </c>
      <c r="L823" s="47">
        <v>46209.520567129628</v>
      </c>
      <c r="M823" s="47">
        <v>46209.53628472222</v>
      </c>
      <c r="N823" s="47">
        <v>46210.329467592594</v>
      </c>
      <c r="P823" s="47">
        <v>46210.329467592594</v>
      </c>
      <c r="Q823" s="45" t="s">
        <v>7369</v>
      </c>
      <c r="R823" s="45" t="s">
        <v>272</v>
      </c>
      <c r="S823" s="45" t="s">
        <v>175</v>
      </c>
      <c r="T823" s="45" t="s">
        <v>268</v>
      </c>
      <c r="U823" s="45" t="s">
        <v>5531</v>
      </c>
      <c r="X823" s="45" t="s">
        <v>5531</v>
      </c>
      <c r="Y823" s="45" t="s">
        <v>7370</v>
      </c>
    </row>
    <row r="824" spans="2:25" ht="15" customHeight="1">
      <c r="B824" s="45" t="s">
        <v>26</v>
      </c>
      <c r="C824" s="45" t="s">
        <v>44</v>
      </c>
      <c r="D824" s="45" t="s">
        <v>207</v>
      </c>
      <c r="E824" s="45" t="s">
        <v>2606</v>
      </c>
      <c r="F824" s="45" t="s">
        <v>312</v>
      </c>
      <c r="G824" s="45">
        <v>4</v>
      </c>
      <c r="H824" s="45" t="s">
        <v>2607</v>
      </c>
      <c r="I824" s="45" t="s">
        <v>275</v>
      </c>
      <c r="J824" s="45" t="s">
        <v>5391</v>
      </c>
      <c r="K824" s="47">
        <v>46208.671342592592</v>
      </c>
      <c r="L824" s="47">
        <v>46209.549166666664</v>
      </c>
      <c r="M824" s="47">
        <v>46209.549953703703</v>
      </c>
      <c r="N824" s="47">
        <v>46210.330625000002</v>
      </c>
      <c r="P824" s="47">
        <v>46210.330625000002</v>
      </c>
      <c r="Q824" s="45" t="s">
        <v>7353</v>
      </c>
      <c r="R824" s="45" t="s">
        <v>272</v>
      </c>
      <c r="S824" s="45" t="s">
        <v>5699</v>
      </c>
      <c r="T824" s="45" t="s">
        <v>268</v>
      </c>
      <c r="U824" s="45" t="s">
        <v>5531</v>
      </c>
      <c r="X824" s="45" t="s">
        <v>5531</v>
      </c>
      <c r="Y824" s="45" t="s">
        <v>6758</v>
      </c>
    </row>
    <row r="825" spans="2:25" ht="15" customHeight="1">
      <c r="B825" s="45" t="s">
        <v>26</v>
      </c>
      <c r="C825" s="45" t="s">
        <v>44</v>
      </c>
      <c r="D825" s="45" t="s">
        <v>208</v>
      </c>
      <c r="E825" s="45" t="s">
        <v>7371</v>
      </c>
      <c r="F825" s="45" t="s">
        <v>312</v>
      </c>
      <c r="G825" s="45" t="s">
        <v>208</v>
      </c>
      <c r="H825" s="45" t="s">
        <v>7372</v>
      </c>
      <c r="I825" s="45" t="s">
        <v>275</v>
      </c>
      <c r="J825" s="45" t="s">
        <v>5391</v>
      </c>
      <c r="K825" s="47">
        <v>46209.4218287037</v>
      </c>
      <c r="L825" s="47">
        <v>46209.433831018519</v>
      </c>
      <c r="M825" s="47">
        <v>46209.55097222222</v>
      </c>
      <c r="N825" s="47">
        <v>46210.570486111108</v>
      </c>
      <c r="P825" s="47">
        <v>46210.570486111108</v>
      </c>
      <c r="Q825" s="45" t="s">
        <v>6772</v>
      </c>
      <c r="R825" s="45" t="s">
        <v>272</v>
      </c>
      <c r="S825" s="45" t="s">
        <v>5699</v>
      </c>
      <c r="T825" s="45" t="s">
        <v>268</v>
      </c>
      <c r="U825" s="45" t="s">
        <v>5531</v>
      </c>
      <c r="X825" s="45" t="s">
        <v>5531</v>
      </c>
      <c r="Y825" s="45" t="s">
        <v>6773</v>
      </c>
    </row>
    <row r="826" spans="2:25" ht="15" customHeight="1">
      <c r="B826" s="45" t="s">
        <v>26</v>
      </c>
      <c r="C826" s="45" t="s">
        <v>44</v>
      </c>
      <c r="D826" s="45" t="s">
        <v>208</v>
      </c>
      <c r="E826" s="45" t="s">
        <v>7373</v>
      </c>
      <c r="F826" s="45" t="s">
        <v>312</v>
      </c>
      <c r="G826" s="45" t="s">
        <v>208</v>
      </c>
      <c r="H826" s="45" t="s">
        <v>7374</v>
      </c>
      <c r="I826" s="45" t="s">
        <v>271</v>
      </c>
      <c r="J826" s="45" t="s">
        <v>5391</v>
      </c>
      <c r="K826" s="47">
        <v>46209.525266203702</v>
      </c>
      <c r="L826" s="47">
        <v>46209.527094907404</v>
      </c>
      <c r="M826" s="47">
        <v>46209.552951388891</v>
      </c>
      <c r="N826" s="47">
        <v>46213.413194444445</v>
      </c>
      <c r="O826" s="47">
        <v>46210.565034722225</v>
      </c>
      <c r="P826" s="47">
        <v>46213.413194444445</v>
      </c>
      <c r="Q826" s="45" t="s">
        <v>44</v>
      </c>
      <c r="R826" s="45" t="s">
        <v>272</v>
      </c>
      <c r="S826" s="45" t="s">
        <v>175</v>
      </c>
      <c r="T826" s="45" t="s">
        <v>268</v>
      </c>
      <c r="U826" s="45" t="s">
        <v>5531</v>
      </c>
      <c r="X826" s="45" t="s">
        <v>5531</v>
      </c>
      <c r="Y826" s="45" t="s">
        <v>7375</v>
      </c>
    </row>
    <row r="827" spans="2:25" ht="15" customHeight="1">
      <c r="B827" s="45" t="s">
        <v>26</v>
      </c>
      <c r="C827" s="45" t="s">
        <v>44</v>
      </c>
      <c r="D827" s="45" t="s">
        <v>207</v>
      </c>
      <c r="E827" s="45" t="s">
        <v>7376</v>
      </c>
      <c r="F827" s="45" t="s">
        <v>312</v>
      </c>
      <c r="G827" s="45">
        <v>4</v>
      </c>
      <c r="H827" s="45" t="s">
        <v>7377</v>
      </c>
      <c r="I827" s="45" t="s">
        <v>271</v>
      </c>
      <c r="J827" s="45" t="s">
        <v>5391</v>
      </c>
      <c r="K827" s="47">
        <v>46205.770416666666</v>
      </c>
      <c r="L827" s="47">
        <v>46209.608483796299</v>
      </c>
      <c r="M827" s="47">
        <v>46209.622847222221</v>
      </c>
      <c r="N827" s="47">
        <v>46213.299189814818</v>
      </c>
      <c r="O827" s="47">
        <v>46210.318888888891</v>
      </c>
      <c r="P827" s="47">
        <v>46213.299189814818</v>
      </c>
      <c r="Q827" s="45" t="s">
        <v>7378</v>
      </c>
      <c r="R827" s="45" t="s">
        <v>272</v>
      </c>
      <c r="S827" s="45" t="s">
        <v>175</v>
      </c>
      <c r="T827" s="45" t="s">
        <v>268</v>
      </c>
      <c r="U827" s="45" t="s">
        <v>5531</v>
      </c>
      <c r="X827" s="45" t="s">
        <v>5531</v>
      </c>
      <c r="Y827" s="45" t="s">
        <v>6664</v>
      </c>
    </row>
    <row r="828" spans="2:25" ht="15" customHeight="1">
      <c r="B828" s="45" t="s">
        <v>26</v>
      </c>
      <c r="C828" s="45" t="s">
        <v>44</v>
      </c>
      <c r="D828" s="45" t="s">
        <v>207</v>
      </c>
      <c r="E828" s="45" t="s">
        <v>7379</v>
      </c>
      <c r="F828" s="45" t="s">
        <v>312</v>
      </c>
      <c r="G828" s="45">
        <v>4</v>
      </c>
      <c r="H828" s="45" t="s">
        <v>7380</v>
      </c>
      <c r="I828" s="45" t="s">
        <v>271</v>
      </c>
      <c r="J828" s="45" t="s">
        <v>5391</v>
      </c>
      <c r="K828" s="47">
        <v>46209.402916666666</v>
      </c>
      <c r="L828" s="47">
        <v>46209.429629629631</v>
      </c>
      <c r="M828" s="47">
        <v>46209.436585648145</v>
      </c>
      <c r="N828" s="47">
        <v>46213.298703703702</v>
      </c>
      <c r="O828" s="47">
        <v>46210.370520833334</v>
      </c>
      <c r="P828" s="47">
        <v>46213.298703703702</v>
      </c>
      <c r="Q828" s="45" t="s">
        <v>7381</v>
      </c>
      <c r="R828" s="45" t="s">
        <v>272</v>
      </c>
      <c r="S828" s="45" t="s">
        <v>175</v>
      </c>
      <c r="T828" s="45" t="s">
        <v>268</v>
      </c>
      <c r="U828" s="45" t="s">
        <v>5531</v>
      </c>
      <c r="X828" s="45" t="s">
        <v>5531</v>
      </c>
      <c r="Y828" s="45" t="s">
        <v>6664</v>
      </c>
    </row>
    <row r="829" spans="2:25" ht="15" customHeight="1">
      <c r="B829" s="45" t="s">
        <v>26</v>
      </c>
      <c r="C829" s="45" t="s">
        <v>44</v>
      </c>
      <c r="D829" s="45" t="s">
        <v>207</v>
      </c>
      <c r="E829" s="45" t="s">
        <v>7382</v>
      </c>
      <c r="F829" s="45" t="s">
        <v>312</v>
      </c>
      <c r="G829" s="45">
        <v>3</v>
      </c>
      <c r="H829" s="45" t="s">
        <v>7383</v>
      </c>
      <c r="I829" s="45" t="s">
        <v>271</v>
      </c>
      <c r="J829" s="45" t="s">
        <v>5391</v>
      </c>
      <c r="K829" s="47">
        <v>46198.648090277777</v>
      </c>
      <c r="L829" s="47">
        <v>46209.634988425925</v>
      </c>
      <c r="M829" s="47">
        <v>46210.246192129627</v>
      </c>
      <c r="N829" s="47">
        <v>46213.301944444444</v>
      </c>
      <c r="O829" s="47">
        <v>46210.331238425926</v>
      </c>
      <c r="P829" s="47">
        <v>46213.301944444444</v>
      </c>
      <c r="Q829" s="45" t="s">
        <v>7384</v>
      </c>
      <c r="R829" s="45" t="s">
        <v>272</v>
      </c>
      <c r="S829" s="45" t="s">
        <v>5699</v>
      </c>
      <c r="T829" s="45" t="s">
        <v>268</v>
      </c>
      <c r="U829" s="45" t="s">
        <v>5531</v>
      </c>
      <c r="X829" s="45" t="s">
        <v>5531</v>
      </c>
      <c r="Y829" s="45" t="s">
        <v>7361</v>
      </c>
    </row>
    <row r="830" spans="2:25" ht="15" customHeight="1">
      <c r="B830" s="45" t="s">
        <v>26</v>
      </c>
      <c r="C830" s="45" t="s">
        <v>44</v>
      </c>
      <c r="D830" s="45" t="s">
        <v>208</v>
      </c>
      <c r="E830" s="45" t="s">
        <v>7385</v>
      </c>
      <c r="F830" s="45" t="s">
        <v>312</v>
      </c>
      <c r="G830" s="45" t="s">
        <v>208</v>
      </c>
      <c r="H830" s="45" t="s">
        <v>7386</v>
      </c>
      <c r="I830" s="45" t="s">
        <v>275</v>
      </c>
      <c r="J830" s="45" t="s">
        <v>5391</v>
      </c>
      <c r="K830" s="47">
        <v>46210.481805555559</v>
      </c>
      <c r="L830" s="47">
        <v>46210.510462962964</v>
      </c>
      <c r="M830" s="47">
        <v>46210.514918981484</v>
      </c>
      <c r="N830" s="47">
        <v>46211.364282407405</v>
      </c>
      <c r="P830" s="47">
        <v>46211.364282407405</v>
      </c>
      <c r="Q830" s="45" t="s">
        <v>6772</v>
      </c>
      <c r="R830" s="45" t="s">
        <v>5693</v>
      </c>
      <c r="S830" s="45" t="s">
        <v>175</v>
      </c>
      <c r="T830" s="45" t="s">
        <v>268</v>
      </c>
      <c r="U830" s="45" t="s">
        <v>5531</v>
      </c>
      <c r="X830" s="45" t="s">
        <v>5531</v>
      </c>
      <c r="Y830" s="45" t="s">
        <v>6773</v>
      </c>
    </row>
    <row r="831" spans="2:25" ht="15" customHeight="1">
      <c r="B831" s="45" t="s">
        <v>26</v>
      </c>
      <c r="C831" s="45" t="s">
        <v>44</v>
      </c>
      <c r="D831" s="45" t="s">
        <v>208</v>
      </c>
      <c r="E831" s="45" t="s">
        <v>7387</v>
      </c>
      <c r="F831" s="45" t="s">
        <v>312</v>
      </c>
      <c r="G831" s="45" t="s">
        <v>208</v>
      </c>
      <c r="H831" s="45" t="s">
        <v>7388</v>
      </c>
      <c r="I831" s="45" t="s">
        <v>275</v>
      </c>
      <c r="J831" s="45" t="s">
        <v>5391</v>
      </c>
      <c r="K831" s="47">
        <v>46206.65766203704</v>
      </c>
      <c r="L831" s="47">
        <v>46210.509988425925</v>
      </c>
      <c r="M831" s="47">
        <v>46210.515081018515</v>
      </c>
      <c r="N831" s="47">
        <v>46211.363067129627</v>
      </c>
      <c r="P831" s="47">
        <v>46211.363067129627</v>
      </c>
      <c r="Q831" s="45" t="s">
        <v>6772</v>
      </c>
      <c r="R831" s="45" t="s">
        <v>5693</v>
      </c>
      <c r="S831" s="45" t="s">
        <v>175</v>
      </c>
      <c r="T831" s="45" t="s">
        <v>268</v>
      </c>
      <c r="U831" s="45" t="s">
        <v>5531</v>
      </c>
      <c r="X831" s="45" t="s">
        <v>5531</v>
      </c>
      <c r="Y831" s="45" t="s">
        <v>6773</v>
      </c>
    </row>
    <row r="832" spans="2:25" ht="15" customHeight="1">
      <c r="B832" s="45" t="s">
        <v>26</v>
      </c>
      <c r="C832" s="45" t="s">
        <v>44</v>
      </c>
      <c r="D832" s="45" t="s">
        <v>208</v>
      </c>
      <c r="E832" s="45" t="s">
        <v>7389</v>
      </c>
      <c r="F832" s="45" t="s">
        <v>312</v>
      </c>
      <c r="G832" s="45" t="s">
        <v>208</v>
      </c>
      <c r="H832" s="45" t="s">
        <v>7390</v>
      </c>
      <c r="I832" s="45" t="s">
        <v>271</v>
      </c>
      <c r="J832" s="45" t="s">
        <v>5391</v>
      </c>
      <c r="K832" s="47">
        <v>46210.478344907409</v>
      </c>
      <c r="L832" s="47">
        <v>46210.479583333334</v>
      </c>
      <c r="M832" s="47">
        <v>46210.515532407408</v>
      </c>
      <c r="N832" s="47">
        <v>46213.412881944445</v>
      </c>
      <c r="O832" s="47">
        <v>46210.567303240743</v>
      </c>
      <c r="P832" s="47">
        <v>46213.412881944445</v>
      </c>
      <c r="Q832" s="45" t="s">
        <v>5534</v>
      </c>
      <c r="R832" s="45" t="s">
        <v>272</v>
      </c>
      <c r="S832" s="45" t="s">
        <v>5699</v>
      </c>
      <c r="T832" s="45" t="s">
        <v>268</v>
      </c>
      <c r="U832" s="45" t="s">
        <v>5531</v>
      </c>
      <c r="X832" s="45" t="s">
        <v>5531</v>
      </c>
      <c r="Y832" s="45" t="s">
        <v>7391</v>
      </c>
    </row>
    <row r="833" spans="2:25" ht="15" customHeight="1">
      <c r="B833" s="45" t="s">
        <v>26</v>
      </c>
      <c r="C833" s="45" t="s">
        <v>44</v>
      </c>
      <c r="D833" s="45" t="s">
        <v>207</v>
      </c>
      <c r="E833" s="45" t="s">
        <v>5275</v>
      </c>
      <c r="F833" s="45" t="s">
        <v>312</v>
      </c>
      <c r="G833" s="45">
        <v>4</v>
      </c>
      <c r="H833" s="45" t="s">
        <v>5276</v>
      </c>
      <c r="I833" s="45" t="s">
        <v>275</v>
      </c>
      <c r="J833" s="45" t="s">
        <v>5391</v>
      </c>
      <c r="K833" s="47">
        <v>46209.918229166666</v>
      </c>
      <c r="L833" s="47">
        <v>46210.467303240737</v>
      </c>
      <c r="M833" s="47">
        <v>46210.493506944447</v>
      </c>
      <c r="N833" s="47">
        <v>46211.572268518517</v>
      </c>
      <c r="P833" s="47">
        <v>46211.572268518517</v>
      </c>
      <c r="Q833" s="45" t="s">
        <v>6407</v>
      </c>
      <c r="R833" s="45" t="s">
        <v>272</v>
      </c>
      <c r="S833" s="45" t="s">
        <v>175</v>
      </c>
      <c r="T833" s="45" t="s">
        <v>268</v>
      </c>
      <c r="U833" s="45" t="s">
        <v>5531</v>
      </c>
      <c r="X833" s="45" t="s">
        <v>5531</v>
      </c>
      <c r="Y833" s="45" t="s">
        <v>7370</v>
      </c>
    </row>
    <row r="834" spans="2:25" ht="15" customHeight="1">
      <c r="B834" s="45" t="s">
        <v>26</v>
      </c>
      <c r="C834" s="45" t="s">
        <v>44</v>
      </c>
      <c r="D834" s="45" t="s">
        <v>207</v>
      </c>
      <c r="E834" s="45" t="s">
        <v>7392</v>
      </c>
      <c r="F834" s="45" t="s">
        <v>312</v>
      </c>
      <c r="G834" s="45">
        <v>4</v>
      </c>
      <c r="H834" s="45" t="s">
        <v>7393</v>
      </c>
      <c r="I834" s="45" t="s">
        <v>271</v>
      </c>
      <c r="J834" s="45" t="s">
        <v>5391</v>
      </c>
      <c r="K834" s="47">
        <v>46210.46802083333</v>
      </c>
      <c r="L834" s="47">
        <v>46210.472280092596</v>
      </c>
      <c r="M834" s="47">
        <v>46210.493032407408</v>
      </c>
      <c r="N834" s="47">
        <v>46213.300416666665</v>
      </c>
      <c r="O834" s="47">
        <v>46211.367581018516</v>
      </c>
      <c r="P834" s="47">
        <v>46213.300416666665</v>
      </c>
      <c r="Q834" s="45" t="s">
        <v>5686</v>
      </c>
      <c r="R834" s="45" t="s">
        <v>272</v>
      </c>
      <c r="S834" s="45" t="s">
        <v>175</v>
      </c>
      <c r="T834" s="45" t="s">
        <v>268</v>
      </c>
      <c r="U834" s="45" t="s">
        <v>5531</v>
      </c>
      <c r="X834" s="45" t="s">
        <v>5531</v>
      </c>
      <c r="Y834" s="45" t="s">
        <v>5713</v>
      </c>
    </row>
    <row r="835" spans="2:25" ht="15" customHeight="1">
      <c r="B835" s="45" t="s">
        <v>26</v>
      </c>
      <c r="C835" s="45" t="s">
        <v>44</v>
      </c>
      <c r="D835" s="45" t="s">
        <v>207</v>
      </c>
      <c r="E835" s="45" t="s">
        <v>2608</v>
      </c>
      <c r="F835" s="45" t="s">
        <v>312</v>
      </c>
      <c r="G835" s="45">
        <v>4</v>
      </c>
      <c r="H835" s="45" t="s">
        <v>2609</v>
      </c>
      <c r="I835" s="45" t="s">
        <v>275</v>
      </c>
      <c r="J835" s="45" t="s">
        <v>5391</v>
      </c>
      <c r="K835" s="47">
        <v>46209.920578703706</v>
      </c>
      <c r="L835" s="47">
        <v>46210.450231481482</v>
      </c>
      <c r="M835" s="47">
        <v>46210.4921412037</v>
      </c>
      <c r="N835" s="47">
        <v>46211.573333333334</v>
      </c>
      <c r="P835" s="47">
        <v>46211.573333333334</v>
      </c>
      <c r="Q835" s="45" t="s">
        <v>7353</v>
      </c>
      <c r="R835" s="45" t="s">
        <v>272</v>
      </c>
      <c r="S835" s="45" t="s">
        <v>5699</v>
      </c>
      <c r="T835" s="45" t="s">
        <v>268</v>
      </c>
      <c r="U835" s="45" t="s">
        <v>5531</v>
      </c>
      <c r="X835" s="45" t="s">
        <v>5531</v>
      </c>
      <c r="Y835" s="45" t="s">
        <v>7370</v>
      </c>
    </row>
    <row r="836" spans="2:25" ht="15" customHeight="1">
      <c r="B836" s="45" t="s">
        <v>26</v>
      </c>
      <c r="C836" s="45" t="s">
        <v>44</v>
      </c>
      <c r="D836" s="45" t="s">
        <v>207</v>
      </c>
      <c r="E836" s="45" t="s">
        <v>7394</v>
      </c>
      <c r="F836" s="45" t="s">
        <v>312</v>
      </c>
      <c r="G836" s="45">
        <v>4</v>
      </c>
      <c r="H836" s="45" t="s">
        <v>7395</v>
      </c>
      <c r="I836" s="45" t="s">
        <v>275</v>
      </c>
      <c r="J836" s="45" t="s">
        <v>5391</v>
      </c>
      <c r="K836" s="47">
        <v>46212.397361111114</v>
      </c>
      <c r="L836" s="47">
        <v>46212.40148148148</v>
      </c>
      <c r="M836" s="47">
        <v>46212.416759259257</v>
      </c>
      <c r="N836" s="47">
        <v>46212.529594907406</v>
      </c>
      <c r="P836" s="47">
        <v>46212.529594907406</v>
      </c>
      <c r="Q836" s="45" t="s">
        <v>6786</v>
      </c>
      <c r="R836" s="45" t="s">
        <v>272</v>
      </c>
      <c r="S836" s="45" t="s">
        <v>175</v>
      </c>
      <c r="T836" s="45" t="s">
        <v>268</v>
      </c>
      <c r="U836" s="45" t="s">
        <v>5531</v>
      </c>
      <c r="X836" s="45" t="s">
        <v>5531</v>
      </c>
      <c r="Y836" s="45" t="s">
        <v>7396</v>
      </c>
    </row>
    <row r="837" spans="2:25" ht="15" customHeight="1">
      <c r="B837" s="45" t="s">
        <v>26</v>
      </c>
      <c r="C837" s="45" t="s">
        <v>44</v>
      </c>
      <c r="D837" s="45" t="s">
        <v>207</v>
      </c>
      <c r="E837" s="45" t="s">
        <v>7397</v>
      </c>
      <c r="F837" s="45" t="s">
        <v>312</v>
      </c>
      <c r="G837" s="45">
        <v>4</v>
      </c>
      <c r="H837" s="45" t="s">
        <v>7398</v>
      </c>
      <c r="I837" s="45" t="s">
        <v>275</v>
      </c>
      <c r="J837" s="45" t="s">
        <v>5391</v>
      </c>
      <c r="K837" s="47">
        <v>46212.251331018517</v>
      </c>
      <c r="L837" s="47">
        <v>46212.317245370374</v>
      </c>
      <c r="M837" s="47">
        <v>46212.325648148151</v>
      </c>
      <c r="N837" s="47">
        <v>46212.585011574076</v>
      </c>
      <c r="P837" s="47">
        <v>46212.585011574076</v>
      </c>
      <c r="Q837" s="45" t="s">
        <v>6786</v>
      </c>
      <c r="R837" s="45" t="s">
        <v>272</v>
      </c>
      <c r="S837" s="45" t="s">
        <v>175</v>
      </c>
      <c r="T837" s="45" t="s">
        <v>268</v>
      </c>
      <c r="U837" s="45" t="s">
        <v>5531</v>
      </c>
      <c r="X837" s="45" t="s">
        <v>5531</v>
      </c>
      <c r="Y837" s="45" t="s">
        <v>7396</v>
      </c>
    </row>
    <row r="838" spans="2:25" ht="15" customHeight="1">
      <c r="B838" s="45" t="s">
        <v>26</v>
      </c>
      <c r="C838" s="45" t="s">
        <v>44</v>
      </c>
      <c r="D838" s="45" t="s">
        <v>207</v>
      </c>
      <c r="E838" s="45" t="s">
        <v>7399</v>
      </c>
      <c r="F838" s="45" t="s">
        <v>312</v>
      </c>
      <c r="G838" s="45">
        <v>3</v>
      </c>
      <c r="H838" s="45" t="s">
        <v>7400</v>
      </c>
      <c r="I838" s="45" t="s">
        <v>271</v>
      </c>
      <c r="J838" s="45" t="s">
        <v>5391</v>
      </c>
      <c r="K838" s="47">
        <v>46211.4377662037</v>
      </c>
      <c r="L838" s="47">
        <v>46212.340474537035</v>
      </c>
      <c r="M838" s="47">
        <v>46212.360393518517</v>
      </c>
      <c r="N838" s="47">
        <v>46216.319733796299</v>
      </c>
      <c r="O838" s="47">
        <v>46212.535057870373</v>
      </c>
      <c r="P838" s="47">
        <v>46216.319733796299</v>
      </c>
      <c r="Q838" s="45" t="s">
        <v>5534</v>
      </c>
      <c r="R838" s="45" t="s">
        <v>272</v>
      </c>
      <c r="S838" s="45" t="s">
        <v>5699</v>
      </c>
      <c r="T838" s="45" t="s">
        <v>268</v>
      </c>
      <c r="U838" s="45" t="s">
        <v>5531</v>
      </c>
      <c r="X838" s="45" t="s">
        <v>5531</v>
      </c>
      <c r="Y838" s="45" t="s">
        <v>7391</v>
      </c>
    </row>
    <row r="839" spans="2:25" ht="15" customHeight="1">
      <c r="B839" s="45" t="s">
        <v>26</v>
      </c>
      <c r="C839" s="45" t="s">
        <v>44</v>
      </c>
      <c r="D839" s="45" t="s">
        <v>207</v>
      </c>
      <c r="E839" s="45" t="s">
        <v>7401</v>
      </c>
      <c r="F839" s="45" t="s">
        <v>312</v>
      </c>
      <c r="G839" s="45">
        <v>4</v>
      </c>
      <c r="H839" s="45" t="s">
        <v>7402</v>
      </c>
      <c r="I839" s="45" t="s">
        <v>271</v>
      </c>
      <c r="J839" s="45" t="s">
        <v>5391</v>
      </c>
      <c r="K839" s="47">
        <v>46213.440416666665</v>
      </c>
      <c r="L839" s="47">
        <v>46213.440416666665</v>
      </c>
      <c r="M839" s="47">
        <v>46213.456099537034</v>
      </c>
      <c r="N839" s="47">
        <v>46216.320601851854</v>
      </c>
      <c r="O839" s="47">
        <v>46213.514490740738</v>
      </c>
      <c r="P839" s="47">
        <v>46216.320601851854</v>
      </c>
      <c r="Q839" s="45" t="s">
        <v>5686</v>
      </c>
      <c r="R839" s="45" t="s">
        <v>272</v>
      </c>
      <c r="S839" s="45" t="s">
        <v>175</v>
      </c>
      <c r="T839" s="45" t="s">
        <v>268</v>
      </c>
      <c r="U839" s="45" t="s">
        <v>5531</v>
      </c>
      <c r="X839" s="45" t="s">
        <v>5531</v>
      </c>
      <c r="Y839" s="45" t="s">
        <v>5713</v>
      </c>
    </row>
    <row r="840" spans="2:25" ht="15" customHeight="1">
      <c r="B840" s="45" t="s">
        <v>26</v>
      </c>
      <c r="C840" s="45" t="s">
        <v>44</v>
      </c>
      <c r="D840" s="45" t="s">
        <v>207</v>
      </c>
      <c r="E840" s="45" t="s">
        <v>7403</v>
      </c>
      <c r="F840" s="45" t="s">
        <v>312</v>
      </c>
      <c r="G840" s="45">
        <v>4</v>
      </c>
      <c r="H840" s="45" t="s">
        <v>7404</v>
      </c>
      <c r="I840" s="45" t="s">
        <v>275</v>
      </c>
      <c r="J840" s="45" t="s">
        <v>5391</v>
      </c>
      <c r="K840" s="47">
        <v>46212.605613425927</v>
      </c>
      <c r="L840" s="47">
        <v>46213.454108796293</v>
      </c>
      <c r="M840" s="47">
        <v>46213.45652777778</v>
      </c>
      <c r="N840" s="47">
        <v>46216.441168981481</v>
      </c>
      <c r="P840" s="47">
        <v>46216.441168981481</v>
      </c>
      <c r="Q840" s="45" t="s">
        <v>7353</v>
      </c>
      <c r="R840" s="45" t="s">
        <v>272</v>
      </c>
      <c r="S840" s="45" t="s">
        <v>5699</v>
      </c>
      <c r="T840" s="45" t="s">
        <v>268</v>
      </c>
      <c r="U840" s="45" t="s">
        <v>5531</v>
      </c>
      <c r="X840" s="45" t="s">
        <v>5531</v>
      </c>
      <c r="Y840" s="45" t="s">
        <v>7370</v>
      </c>
    </row>
    <row r="841" spans="2:25" ht="15" customHeight="1">
      <c r="B841" s="45" t="s">
        <v>26</v>
      </c>
      <c r="C841" s="45" t="s">
        <v>44</v>
      </c>
      <c r="D841" s="45" t="s">
        <v>208</v>
      </c>
      <c r="E841" s="45" t="s">
        <v>7405</v>
      </c>
      <c r="F841" s="45" t="s">
        <v>312</v>
      </c>
      <c r="G841" s="45" t="s">
        <v>208</v>
      </c>
      <c r="H841" s="45" t="s">
        <v>7406</v>
      </c>
      <c r="I841" s="45" t="s">
        <v>271</v>
      </c>
      <c r="J841" s="45" t="s">
        <v>5391</v>
      </c>
      <c r="K841" s="47">
        <v>46213.718298611115</v>
      </c>
      <c r="L841" s="47">
        <v>46213.828703703701</v>
      </c>
      <c r="M841" s="47">
        <v>46216.318749999999</v>
      </c>
      <c r="N841" s="47">
        <v>46223.345879629633</v>
      </c>
      <c r="O841" s="47">
        <v>46216.468171296299</v>
      </c>
      <c r="P841" s="47">
        <v>46223.345879629633</v>
      </c>
      <c r="Q841" s="45" t="s">
        <v>5686</v>
      </c>
      <c r="R841" s="45" t="s">
        <v>272</v>
      </c>
      <c r="S841" s="45" t="s">
        <v>175</v>
      </c>
      <c r="T841" s="45" t="s">
        <v>268</v>
      </c>
      <c r="U841" s="45" t="s">
        <v>5531</v>
      </c>
      <c r="X841" s="45" t="s">
        <v>5531</v>
      </c>
      <c r="Y841" s="45" t="s">
        <v>7407</v>
      </c>
    </row>
    <row r="842" spans="2:25" ht="15" customHeight="1">
      <c r="B842" s="45" t="s">
        <v>26</v>
      </c>
      <c r="C842" s="45" t="s">
        <v>44</v>
      </c>
      <c r="D842" s="45" t="s">
        <v>208</v>
      </c>
      <c r="E842" s="45" t="s">
        <v>7408</v>
      </c>
      <c r="F842" s="45" t="s">
        <v>312</v>
      </c>
      <c r="G842" s="45" t="s">
        <v>208</v>
      </c>
      <c r="H842" s="45" t="s">
        <v>7409</v>
      </c>
      <c r="I842" s="45" t="s">
        <v>271</v>
      </c>
      <c r="J842" s="45" t="s">
        <v>5391</v>
      </c>
      <c r="K842" s="47">
        <v>46213.59207175926</v>
      </c>
      <c r="L842" s="47">
        <v>46216.450601851851</v>
      </c>
      <c r="M842" s="47">
        <v>46216.578923611109</v>
      </c>
      <c r="N842" s="47">
        <v>46223.344930555555</v>
      </c>
      <c r="O842" s="47">
        <v>46217.321087962962</v>
      </c>
      <c r="P842" s="47">
        <v>46223.344930555555</v>
      </c>
      <c r="Q842" s="45" t="s">
        <v>3452</v>
      </c>
      <c r="R842" s="45" t="s">
        <v>272</v>
      </c>
      <c r="S842" s="45" t="s">
        <v>175</v>
      </c>
      <c r="T842" s="45" t="s">
        <v>268</v>
      </c>
      <c r="U842" s="45" t="s">
        <v>5531</v>
      </c>
      <c r="X842" s="45" t="s">
        <v>5531</v>
      </c>
      <c r="Y842" s="45" t="s">
        <v>7410</v>
      </c>
    </row>
    <row r="843" spans="2:25" ht="15" customHeight="1">
      <c r="B843" s="45" t="s">
        <v>26</v>
      </c>
      <c r="C843" s="45" t="s">
        <v>44</v>
      </c>
      <c r="D843" s="45" t="s">
        <v>207</v>
      </c>
      <c r="E843" s="45" t="s">
        <v>7411</v>
      </c>
      <c r="F843" s="45" t="s">
        <v>312</v>
      </c>
      <c r="G843" s="45">
        <v>4</v>
      </c>
      <c r="H843" s="45" t="s">
        <v>5967</v>
      </c>
      <c r="I843" s="45" t="s">
        <v>271</v>
      </c>
      <c r="J843" s="45" t="s">
        <v>5391</v>
      </c>
      <c r="K843" s="47">
        <v>46216.529328703706</v>
      </c>
      <c r="L843" s="47">
        <v>46216.532523148147</v>
      </c>
      <c r="M843" s="47">
        <v>46216.576354166667</v>
      </c>
      <c r="N843" s="47">
        <v>46219.33320601852</v>
      </c>
      <c r="O843" s="47">
        <v>46217.348854166667</v>
      </c>
      <c r="P843" s="47">
        <v>46219.33320601852</v>
      </c>
      <c r="Q843" s="45" t="s">
        <v>5692</v>
      </c>
      <c r="R843" s="45" t="s">
        <v>272</v>
      </c>
      <c r="S843" s="45" t="s">
        <v>175</v>
      </c>
      <c r="T843" s="45" t="s">
        <v>268</v>
      </c>
      <c r="U843" s="45" t="s">
        <v>5531</v>
      </c>
      <c r="X843" s="45" t="s">
        <v>5531</v>
      </c>
      <c r="Y843" s="45" t="s">
        <v>7412</v>
      </c>
    </row>
    <row r="844" spans="2:25" ht="15" customHeight="1">
      <c r="B844" s="45" t="s">
        <v>26</v>
      </c>
      <c r="C844" s="45" t="s">
        <v>44</v>
      </c>
      <c r="D844" s="45" t="s">
        <v>207</v>
      </c>
      <c r="E844" s="45" t="s">
        <v>2487</v>
      </c>
      <c r="F844" s="45" t="s">
        <v>312</v>
      </c>
      <c r="G844" s="45">
        <v>4</v>
      </c>
      <c r="H844" s="45" t="s">
        <v>2488</v>
      </c>
      <c r="I844" s="45" t="s">
        <v>275</v>
      </c>
      <c r="J844" s="45" t="s">
        <v>5391</v>
      </c>
      <c r="K844" s="47">
        <v>46213.629861111112</v>
      </c>
      <c r="L844" s="47">
        <v>46217.334062499998</v>
      </c>
      <c r="M844" s="47">
        <v>46217.352812500001</v>
      </c>
      <c r="N844" s="47">
        <v>46218.324108796296</v>
      </c>
      <c r="P844" s="47">
        <v>46218.324108796296</v>
      </c>
      <c r="Q844" s="45" t="s">
        <v>7353</v>
      </c>
      <c r="R844" s="45" t="s">
        <v>272</v>
      </c>
      <c r="S844" s="45" t="s">
        <v>5699</v>
      </c>
      <c r="T844" s="45" t="s">
        <v>268</v>
      </c>
      <c r="U844" s="45" t="s">
        <v>5531</v>
      </c>
      <c r="X844" s="45" t="s">
        <v>5531</v>
      </c>
      <c r="Y844" s="45" t="s">
        <v>7370</v>
      </c>
    </row>
    <row r="845" spans="2:25" ht="15" customHeight="1">
      <c r="B845" s="45" t="s">
        <v>26</v>
      </c>
      <c r="C845" s="45" t="s">
        <v>44</v>
      </c>
      <c r="D845" s="45" t="s">
        <v>207</v>
      </c>
      <c r="E845" s="45" t="s">
        <v>2489</v>
      </c>
      <c r="F845" s="45" t="s">
        <v>312</v>
      </c>
      <c r="G845" s="45">
        <v>4</v>
      </c>
      <c r="H845" s="45" t="s">
        <v>2490</v>
      </c>
      <c r="I845" s="45" t="s">
        <v>275</v>
      </c>
      <c r="J845" s="45" t="s">
        <v>5391</v>
      </c>
      <c r="K845" s="47">
        <v>46205.553703703707</v>
      </c>
      <c r="L845" s="47">
        <v>46217.455405092594</v>
      </c>
      <c r="M845" s="47">
        <v>46217.466215277775</v>
      </c>
      <c r="N845" s="47">
        <v>46218.325289351851</v>
      </c>
      <c r="P845" s="47">
        <v>46218.325289351851</v>
      </c>
      <c r="Q845" s="45" t="s">
        <v>7353</v>
      </c>
      <c r="R845" s="45" t="s">
        <v>272</v>
      </c>
      <c r="S845" s="45" t="s">
        <v>5699</v>
      </c>
      <c r="T845" s="45" t="s">
        <v>268</v>
      </c>
      <c r="U845" s="45" t="s">
        <v>5531</v>
      </c>
      <c r="X845" s="45" t="s">
        <v>5531</v>
      </c>
      <c r="Y845" s="45" t="s">
        <v>7370</v>
      </c>
    </row>
    <row r="846" spans="2:25" ht="15" customHeight="1">
      <c r="B846" s="45" t="s">
        <v>26</v>
      </c>
      <c r="C846" s="45" t="s">
        <v>44</v>
      </c>
      <c r="D846" s="45" t="s">
        <v>207</v>
      </c>
      <c r="E846" s="45" t="s">
        <v>7413</v>
      </c>
      <c r="F846" s="45" t="s">
        <v>312</v>
      </c>
      <c r="G846" s="45">
        <v>4</v>
      </c>
      <c r="H846" s="45" t="s">
        <v>7414</v>
      </c>
      <c r="I846" s="45" t="s">
        <v>275</v>
      </c>
      <c r="J846" s="45" t="s">
        <v>5391</v>
      </c>
      <c r="K846" s="47">
        <v>46216.651122685187</v>
      </c>
      <c r="L846" s="47">
        <v>46217.615081018521</v>
      </c>
      <c r="M846" s="47">
        <v>46218.305636574078</v>
      </c>
      <c r="N846" s="47">
        <v>46219.471134259256</v>
      </c>
      <c r="P846" s="47">
        <v>46219.471134259256</v>
      </c>
      <c r="Q846" s="45" t="s">
        <v>7415</v>
      </c>
      <c r="R846" s="45" t="s">
        <v>272</v>
      </c>
      <c r="S846" s="45" t="s">
        <v>5699</v>
      </c>
      <c r="T846" s="45" t="s">
        <v>268</v>
      </c>
      <c r="U846" s="45" t="s">
        <v>5531</v>
      </c>
      <c r="X846" s="45" t="s">
        <v>5531</v>
      </c>
      <c r="Y846" s="45" t="s">
        <v>6758</v>
      </c>
    </row>
    <row r="847" spans="2:25" ht="15" customHeight="1">
      <c r="B847" s="45" t="s">
        <v>26</v>
      </c>
      <c r="C847" s="45" t="s">
        <v>44</v>
      </c>
      <c r="D847" s="45" t="s">
        <v>207</v>
      </c>
      <c r="E847" s="45" t="s">
        <v>7416</v>
      </c>
      <c r="F847" s="45" t="s">
        <v>312</v>
      </c>
      <c r="G847" s="45">
        <v>4</v>
      </c>
      <c r="H847" s="45" t="s">
        <v>7417</v>
      </c>
      <c r="I847" s="45" t="s">
        <v>271</v>
      </c>
      <c r="J847" s="45" t="s">
        <v>5391</v>
      </c>
      <c r="K847" s="47">
        <v>46217.629374999997</v>
      </c>
      <c r="L847" s="47">
        <v>46217.632222222222</v>
      </c>
      <c r="M847" s="47">
        <v>46218.306238425925</v>
      </c>
      <c r="N847" s="47">
        <v>46220.317893518521</v>
      </c>
      <c r="O847" s="47">
        <v>46218.346863425926</v>
      </c>
      <c r="P847" s="47">
        <v>46220.317893518521</v>
      </c>
      <c r="Q847" s="45" t="s">
        <v>5686</v>
      </c>
      <c r="R847" s="45" t="s">
        <v>272</v>
      </c>
      <c r="S847" s="45" t="s">
        <v>175</v>
      </c>
      <c r="T847" s="45" t="s">
        <v>268</v>
      </c>
      <c r="U847" s="45" t="s">
        <v>5531</v>
      </c>
      <c r="X847" s="45" t="s">
        <v>5531</v>
      </c>
      <c r="Y847" s="45" t="s">
        <v>5713</v>
      </c>
    </row>
    <row r="848" spans="2:25" ht="15" customHeight="1">
      <c r="B848" s="45" t="s">
        <v>26</v>
      </c>
      <c r="C848" s="45" t="s">
        <v>44</v>
      </c>
      <c r="D848" s="45" t="s">
        <v>207</v>
      </c>
      <c r="E848" s="45" t="s">
        <v>7418</v>
      </c>
      <c r="F848" s="45" t="s">
        <v>312</v>
      </c>
      <c r="G848" s="45">
        <v>4</v>
      </c>
      <c r="H848" s="45" t="s">
        <v>7419</v>
      </c>
      <c r="I848" s="45" t="s">
        <v>271</v>
      </c>
      <c r="J848" s="45" t="s">
        <v>5391</v>
      </c>
      <c r="K848" s="47">
        <v>46217.489317129628</v>
      </c>
      <c r="L848" s="47">
        <v>46217.497604166667</v>
      </c>
      <c r="M848" s="47">
        <v>46217.585439814815</v>
      </c>
      <c r="N848" s="47">
        <v>46219.334641203706</v>
      </c>
      <c r="O848" s="47">
        <v>46218.45484953704</v>
      </c>
      <c r="P848" s="47">
        <v>46219.334641203706</v>
      </c>
      <c r="Q848" s="45" t="s">
        <v>7420</v>
      </c>
      <c r="R848" s="45" t="s">
        <v>5693</v>
      </c>
      <c r="S848" s="45" t="s">
        <v>175</v>
      </c>
      <c r="T848" s="45" t="s">
        <v>268</v>
      </c>
      <c r="U848" s="45" t="s">
        <v>5531</v>
      </c>
      <c r="X848" s="45" t="s">
        <v>5531</v>
      </c>
      <c r="Y848" s="45" t="s">
        <v>5694</v>
      </c>
    </row>
    <row r="849" spans="2:25" ht="15" customHeight="1">
      <c r="B849" s="45" t="s">
        <v>26</v>
      </c>
      <c r="C849" s="45" t="s">
        <v>44</v>
      </c>
      <c r="D849" s="45" t="s">
        <v>207</v>
      </c>
      <c r="E849" s="45" t="s">
        <v>7421</v>
      </c>
      <c r="F849" s="45" t="s">
        <v>312</v>
      </c>
      <c r="G849" s="45">
        <v>4</v>
      </c>
      <c r="H849" s="45" t="s">
        <v>7422</v>
      </c>
      <c r="I849" s="45" t="s">
        <v>271</v>
      </c>
      <c r="J849" s="45" t="s">
        <v>5391</v>
      </c>
      <c r="K849" s="47">
        <v>46217.931990740741</v>
      </c>
      <c r="L849" s="47">
        <v>46217.939826388887</v>
      </c>
      <c r="M849" s="47">
        <v>46218.302881944444</v>
      </c>
      <c r="N849" s="47">
        <v>46220.349756944444</v>
      </c>
      <c r="O849" s="47">
        <v>46218.334548611114</v>
      </c>
      <c r="P849" s="47">
        <v>46220.349756944444</v>
      </c>
      <c r="Q849" s="45" t="s">
        <v>5686</v>
      </c>
      <c r="R849" s="45" t="s">
        <v>272</v>
      </c>
      <c r="S849" s="45" t="s">
        <v>175</v>
      </c>
      <c r="T849" s="45" t="s">
        <v>268</v>
      </c>
      <c r="U849" s="45" t="s">
        <v>5531</v>
      </c>
      <c r="X849" s="45" t="s">
        <v>5531</v>
      </c>
      <c r="Y849" s="45" t="s">
        <v>5713</v>
      </c>
    </row>
    <row r="850" spans="2:25" ht="15" customHeight="1">
      <c r="B850" s="45" t="s">
        <v>26</v>
      </c>
      <c r="C850" s="45" t="s">
        <v>44</v>
      </c>
      <c r="D850" s="45" t="s">
        <v>207</v>
      </c>
      <c r="E850" s="45" t="s">
        <v>7423</v>
      </c>
      <c r="F850" s="45" t="s">
        <v>312</v>
      </c>
      <c r="G850" s="45">
        <v>3</v>
      </c>
      <c r="H850" s="45" t="s">
        <v>7424</v>
      </c>
      <c r="I850" s="45" t="s">
        <v>271</v>
      </c>
      <c r="J850" s="45" t="s">
        <v>5391</v>
      </c>
      <c r="K850" s="47">
        <v>46218.4065162037</v>
      </c>
      <c r="L850" s="47">
        <v>46218.410798611112</v>
      </c>
      <c r="M850" s="47">
        <v>46218.411990740744</v>
      </c>
      <c r="N850" s="47">
        <v>46220.348680555559</v>
      </c>
      <c r="O850" s="47">
        <v>46218.465671296297</v>
      </c>
      <c r="P850" s="47">
        <v>46220.348680555559</v>
      </c>
      <c r="Q850" s="45" t="s">
        <v>5686</v>
      </c>
      <c r="R850" s="45" t="s">
        <v>272</v>
      </c>
      <c r="S850" s="45" t="s">
        <v>175</v>
      </c>
      <c r="T850" s="45" t="s">
        <v>268</v>
      </c>
      <c r="U850" s="45" t="s">
        <v>5531</v>
      </c>
      <c r="X850" s="45" t="s">
        <v>5531</v>
      </c>
      <c r="Y850" s="45" t="s">
        <v>5713</v>
      </c>
    </row>
    <row r="851" spans="2:25" ht="15" customHeight="1">
      <c r="B851" s="45" t="s">
        <v>26</v>
      </c>
      <c r="C851" s="45" t="s">
        <v>44</v>
      </c>
      <c r="D851" s="45" t="s">
        <v>207</v>
      </c>
      <c r="E851" s="45" t="s">
        <v>7425</v>
      </c>
      <c r="F851" s="45" t="s">
        <v>312</v>
      </c>
      <c r="G851" s="45">
        <v>4</v>
      </c>
      <c r="H851" s="45" t="s">
        <v>7426</v>
      </c>
      <c r="I851" s="45" t="s">
        <v>271</v>
      </c>
      <c r="J851" s="45" t="s">
        <v>5391</v>
      </c>
      <c r="K851" s="47">
        <v>46218.501018518517</v>
      </c>
      <c r="L851" s="47">
        <v>46218.501030092593</v>
      </c>
      <c r="M851" s="47">
        <v>46218.567083333335</v>
      </c>
      <c r="N851" s="47">
        <v>46220.349236111113</v>
      </c>
      <c r="O851" s="47">
        <v>46218.602650462963</v>
      </c>
      <c r="P851" s="47">
        <v>46220.349236111113</v>
      </c>
      <c r="Q851" s="45" t="s">
        <v>5686</v>
      </c>
      <c r="R851" s="45" t="s">
        <v>272</v>
      </c>
      <c r="S851" s="45" t="s">
        <v>175</v>
      </c>
      <c r="T851" s="45" t="s">
        <v>268</v>
      </c>
      <c r="U851" s="45" t="s">
        <v>5531</v>
      </c>
      <c r="X851" s="45" t="s">
        <v>5531</v>
      </c>
      <c r="Y851" s="45" t="s">
        <v>5713</v>
      </c>
    </row>
    <row r="852" spans="2:25" ht="15" customHeight="1">
      <c r="B852" s="45" t="s">
        <v>26</v>
      </c>
      <c r="C852" s="45" t="s">
        <v>44</v>
      </c>
      <c r="D852" s="45" t="s">
        <v>207</v>
      </c>
      <c r="E852" s="45" t="s">
        <v>7427</v>
      </c>
      <c r="F852" s="45" t="s">
        <v>312</v>
      </c>
      <c r="G852" s="45">
        <v>4</v>
      </c>
      <c r="H852" s="45" t="s">
        <v>7428</v>
      </c>
      <c r="I852" s="45" t="s">
        <v>275</v>
      </c>
      <c r="J852" s="45" t="s">
        <v>5391</v>
      </c>
      <c r="K852" s="47">
        <v>46212.418877314813</v>
      </c>
      <c r="L852" s="47">
        <v>46218.508981481478</v>
      </c>
      <c r="M852" s="47">
        <v>46218.569016203706</v>
      </c>
      <c r="N852" s="47">
        <v>46219.338414351849</v>
      </c>
      <c r="P852" s="47">
        <v>46219.338414351849</v>
      </c>
      <c r="Q852" s="45" t="s">
        <v>7415</v>
      </c>
      <c r="R852" s="45" t="s">
        <v>272</v>
      </c>
      <c r="S852" s="45" t="s">
        <v>5699</v>
      </c>
      <c r="T852" s="45" t="s">
        <v>268</v>
      </c>
      <c r="U852" s="45" t="s">
        <v>5531</v>
      </c>
      <c r="X852" s="45" t="s">
        <v>5531</v>
      </c>
      <c r="Y852" s="45" t="s">
        <v>6758</v>
      </c>
    </row>
    <row r="853" spans="2:25" ht="15" customHeight="1">
      <c r="B853" s="45" t="s">
        <v>26</v>
      </c>
      <c r="C853" s="45" t="s">
        <v>44</v>
      </c>
      <c r="D853" s="45" t="s">
        <v>207</v>
      </c>
      <c r="E853" s="45" t="s">
        <v>2377</v>
      </c>
      <c r="F853" s="45" t="s">
        <v>312</v>
      </c>
      <c r="G853" s="45">
        <v>4</v>
      </c>
      <c r="H853" s="45" t="s">
        <v>1598</v>
      </c>
      <c r="I853" s="45" t="s">
        <v>275</v>
      </c>
      <c r="J853" s="45" t="s">
        <v>5391</v>
      </c>
      <c r="K853" s="47">
        <v>46215.362060185187</v>
      </c>
      <c r="L853" s="47">
        <v>46218.517766203702</v>
      </c>
      <c r="M853" s="47">
        <v>46218.564270833333</v>
      </c>
      <c r="N853" s="47">
        <v>46219.476018518515</v>
      </c>
      <c r="P853" s="47">
        <v>46219.476018518515</v>
      </c>
      <c r="Q853" s="45" t="s">
        <v>7353</v>
      </c>
      <c r="R853" s="45" t="s">
        <v>272</v>
      </c>
      <c r="S853" s="45" t="s">
        <v>5699</v>
      </c>
      <c r="T853" s="45" t="s">
        <v>268</v>
      </c>
      <c r="U853" s="45" t="s">
        <v>5531</v>
      </c>
      <c r="X853" s="45" t="s">
        <v>5531</v>
      </c>
      <c r="Y853" s="45" t="s">
        <v>7370</v>
      </c>
    </row>
    <row r="854" spans="2:25" ht="15" customHeight="1">
      <c r="B854" s="45" t="s">
        <v>26</v>
      </c>
      <c r="C854" s="45" t="s">
        <v>44</v>
      </c>
      <c r="D854" s="45" t="s">
        <v>207</v>
      </c>
      <c r="E854" s="45" t="s">
        <v>7429</v>
      </c>
      <c r="F854" s="45" t="s">
        <v>312</v>
      </c>
      <c r="G854" s="45">
        <v>4</v>
      </c>
      <c r="H854" s="45" t="s">
        <v>7430</v>
      </c>
      <c r="I854" s="45" t="s">
        <v>275</v>
      </c>
      <c r="J854" s="45" t="s">
        <v>5391</v>
      </c>
      <c r="K854" s="47">
        <v>46213.561921296299</v>
      </c>
      <c r="L854" s="47">
        <v>46219.415393518517</v>
      </c>
      <c r="M854" s="47">
        <v>46219.452013888891</v>
      </c>
      <c r="N854" s="47">
        <v>46220.362719907411</v>
      </c>
      <c r="P854" s="47">
        <v>46220.362719907411</v>
      </c>
      <c r="Q854" s="45" t="s">
        <v>7353</v>
      </c>
      <c r="R854" s="45" t="s">
        <v>272</v>
      </c>
      <c r="S854" s="45" t="s">
        <v>5699</v>
      </c>
      <c r="T854" s="45" t="s">
        <v>268</v>
      </c>
      <c r="U854" s="45" t="s">
        <v>5531</v>
      </c>
      <c r="X854" s="45" t="s">
        <v>5531</v>
      </c>
      <c r="Y854" s="45" t="s">
        <v>7370</v>
      </c>
    </row>
    <row r="855" spans="2:25" ht="15" customHeight="1">
      <c r="B855" s="45" t="s">
        <v>26</v>
      </c>
      <c r="C855" s="45" t="s">
        <v>44</v>
      </c>
      <c r="D855" s="45" t="s">
        <v>207</v>
      </c>
      <c r="E855" s="45" t="s">
        <v>7431</v>
      </c>
      <c r="F855" s="45" t="s">
        <v>312</v>
      </c>
      <c r="G855" s="45">
        <v>4</v>
      </c>
      <c r="H855" s="45" t="s">
        <v>7432</v>
      </c>
      <c r="I855" s="45" t="s">
        <v>275</v>
      </c>
      <c r="J855" s="45" t="s">
        <v>5391</v>
      </c>
      <c r="K855" s="47">
        <v>46218.518252314818</v>
      </c>
      <c r="L855" s="47">
        <v>46219.439768518518</v>
      </c>
      <c r="M855" s="47">
        <v>46219.460428240738</v>
      </c>
      <c r="N855" s="47">
        <v>46220.361886574072</v>
      </c>
      <c r="P855" s="47">
        <v>46220.361886574072</v>
      </c>
      <c r="Q855" s="45" t="s">
        <v>7353</v>
      </c>
      <c r="R855" s="45" t="s">
        <v>272</v>
      </c>
      <c r="S855" s="45" t="s">
        <v>5699</v>
      </c>
      <c r="T855" s="45" t="s">
        <v>268</v>
      </c>
      <c r="U855" s="45" t="s">
        <v>5531</v>
      </c>
      <c r="X855" s="45" t="s">
        <v>5531</v>
      </c>
      <c r="Y855" s="45" t="s">
        <v>7370</v>
      </c>
    </row>
    <row r="856" spans="2:25" ht="15" customHeight="1">
      <c r="B856" s="45" t="s">
        <v>26</v>
      </c>
      <c r="C856" s="45" t="s">
        <v>44</v>
      </c>
      <c r="D856" s="45" t="s">
        <v>207</v>
      </c>
      <c r="E856" s="45" t="s">
        <v>7433</v>
      </c>
      <c r="F856" s="45" t="s">
        <v>312</v>
      </c>
      <c r="G856" s="45">
        <v>4</v>
      </c>
      <c r="H856" s="45" t="s">
        <v>7434</v>
      </c>
      <c r="I856" s="45" t="s">
        <v>271</v>
      </c>
      <c r="J856" s="45" t="s">
        <v>5391</v>
      </c>
      <c r="K856" s="47">
        <v>46219.385983796295</v>
      </c>
      <c r="L856" s="47">
        <v>46219.389444444445</v>
      </c>
      <c r="M856" s="47">
        <v>46219.462233796294</v>
      </c>
      <c r="N856" s="47">
        <v>46223.310428240744</v>
      </c>
      <c r="O856" s="47">
        <v>46220.355706018519</v>
      </c>
      <c r="P856" s="47">
        <v>46223.310428240744</v>
      </c>
      <c r="Q856" s="45" t="s">
        <v>7420</v>
      </c>
      <c r="R856" s="45" t="s">
        <v>5693</v>
      </c>
      <c r="S856" s="45" t="s">
        <v>175</v>
      </c>
      <c r="T856" s="45" t="s">
        <v>268</v>
      </c>
      <c r="U856" s="45" t="s">
        <v>5531</v>
      </c>
      <c r="X856" s="45" t="s">
        <v>5531</v>
      </c>
      <c r="Y856" s="45" t="s">
        <v>5694</v>
      </c>
    </row>
    <row r="857" spans="2:25" ht="15" customHeight="1">
      <c r="B857" s="45" t="s">
        <v>26</v>
      </c>
      <c r="C857" s="45" t="s">
        <v>44</v>
      </c>
      <c r="D857" s="45" t="s">
        <v>207</v>
      </c>
      <c r="E857" s="45" t="s">
        <v>7435</v>
      </c>
      <c r="F857" s="45" t="s">
        <v>312</v>
      </c>
      <c r="G857" s="45">
        <v>4</v>
      </c>
      <c r="H857" s="45" t="s">
        <v>7436</v>
      </c>
      <c r="I857" s="45" t="s">
        <v>271</v>
      </c>
      <c r="J857" s="45" t="s">
        <v>5391</v>
      </c>
      <c r="K857" s="47">
        <v>46218.606249999997</v>
      </c>
      <c r="L857" s="47">
        <v>46218.609259259261</v>
      </c>
      <c r="M857" s="47">
        <v>46219.312858796293</v>
      </c>
      <c r="N857" s="47">
        <v>46223.309930555559</v>
      </c>
      <c r="O857" s="47">
        <v>46220.360833333332</v>
      </c>
      <c r="P857" s="47">
        <v>46223.309930555559</v>
      </c>
      <c r="Q857" s="45" t="s">
        <v>7420</v>
      </c>
      <c r="R857" s="45" t="s">
        <v>5693</v>
      </c>
      <c r="S857" s="45" t="s">
        <v>175</v>
      </c>
      <c r="T857" s="45" t="s">
        <v>268</v>
      </c>
      <c r="U857" s="45" t="s">
        <v>5531</v>
      </c>
      <c r="X857" s="45" t="s">
        <v>5531</v>
      </c>
      <c r="Y857" s="45" t="s">
        <v>5694</v>
      </c>
    </row>
    <row r="858" spans="2:25" ht="15" customHeight="1">
      <c r="B858" s="45" t="s">
        <v>26</v>
      </c>
      <c r="C858" s="45" t="s">
        <v>44</v>
      </c>
      <c r="D858" s="45" t="s">
        <v>207</v>
      </c>
      <c r="E858" s="45" t="s">
        <v>7437</v>
      </c>
      <c r="F858" s="45" t="s">
        <v>312</v>
      </c>
      <c r="G858" s="45">
        <v>3</v>
      </c>
      <c r="H858" s="45" t="s">
        <v>7438</v>
      </c>
      <c r="I858" s="45" t="s">
        <v>275</v>
      </c>
      <c r="J858" s="45" t="s">
        <v>5391</v>
      </c>
      <c r="K858" s="47">
        <v>46218.505949074075</v>
      </c>
      <c r="L858" s="47">
        <v>46219.51971064815</v>
      </c>
      <c r="M858" s="47">
        <v>46219.547118055554</v>
      </c>
      <c r="N858" s="47">
        <v>46220.514120370368</v>
      </c>
      <c r="P858" s="47">
        <v>46220.514120370368</v>
      </c>
      <c r="Q858" s="45" t="s">
        <v>7353</v>
      </c>
      <c r="R858" s="45" t="s">
        <v>272</v>
      </c>
      <c r="S858" s="45" t="s">
        <v>5699</v>
      </c>
      <c r="T858" s="45" t="s">
        <v>268</v>
      </c>
      <c r="U858" s="45" t="s">
        <v>5531</v>
      </c>
      <c r="X858" s="45" t="s">
        <v>5531</v>
      </c>
      <c r="Y858" s="45" t="s">
        <v>7370</v>
      </c>
    </row>
    <row r="859" spans="2:25" ht="15" customHeight="1">
      <c r="B859" s="45" t="s">
        <v>26</v>
      </c>
      <c r="C859" s="45" t="s">
        <v>44</v>
      </c>
      <c r="D859" s="45" t="s">
        <v>207</v>
      </c>
      <c r="E859" s="45" t="s">
        <v>7439</v>
      </c>
      <c r="F859" s="45" t="s">
        <v>312</v>
      </c>
      <c r="G859" s="45">
        <v>3</v>
      </c>
      <c r="H859" s="45" t="s">
        <v>7440</v>
      </c>
      <c r="I859" s="45" t="s">
        <v>271</v>
      </c>
      <c r="J859" s="45" t="s">
        <v>5391</v>
      </c>
      <c r="K859" s="47">
        <v>46220.379479166666</v>
      </c>
      <c r="L859" s="47">
        <v>46220.383356481485</v>
      </c>
      <c r="M859" s="47">
        <v>46220.437939814816</v>
      </c>
      <c r="N859" s="47">
        <v>46226.301585648151</v>
      </c>
      <c r="O859" s="47">
        <v>46220.51</v>
      </c>
      <c r="P859" s="47">
        <v>46226.301585648151</v>
      </c>
      <c r="Q859" s="45" t="s">
        <v>44</v>
      </c>
      <c r="R859" s="45" t="s">
        <v>272</v>
      </c>
      <c r="S859" s="45" t="s">
        <v>5699</v>
      </c>
      <c r="T859" s="45" t="s">
        <v>268</v>
      </c>
      <c r="U859" s="45" t="s">
        <v>5531</v>
      </c>
      <c r="X859" s="45" t="s">
        <v>5531</v>
      </c>
      <c r="Y859" s="45" t="s">
        <v>7361</v>
      </c>
    </row>
    <row r="860" spans="2:25" ht="15" customHeight="1">
      <c r="B860" s="45" t="s">
        <v>26</v>
      </c>
      <c r="C860" s="45" t="s">
        <v>44</v>
      </c>
      <c r="D860" s="45" t="s">
        <v>207</v>
      </c>
      <c r="E860" s="45" t="s">
        <v>7441</v>
      </c>
      <c r="F860" s="45" t="s">
        <v>312</v>
      </c>
      <c r="G860" s="45">
        <v>3</v>
      </c>
      <c r="H860" s="45" t="s">
        <v>7442</v>
      </c>
      <c r="I860" s="45" t="s">
        <v>275</v>
      </c>
      <c r="J860" s="45" t="s">
        <v>5391</v>
      </c>
      <c r="K860" s="47">
        <v>46214.626574074071</v>
      </c>
      <c r="L860" s="47">
        <v>46220.638877314814</v>
      </c>
      <c r="M860" s="47">
        <v>46223.302997685183</v>
      </c>
      <c r="N860" s="47">
        <v>46223.327002314814</v>
      </c>
      <c r="P860" s="47">
        <v>46223.327002314814</v>
      </c>
      <c r="Q860" s="45" t="s">
        <v>7353</v>
      </c>
      <c r="R860" s="45" t="s">
        <v>272</v>
      </c>
      <c r="S860" s="45" t="s">
        <v>5699</v>
      </c>
      <c r="T860" s="45" t="s">
        <v>268</v>
      </c>
      <c r="U860" s="45" t="s">
        <v>5531</v>
      </c>
      <c r="X860" s="45" t="s">
        <v>5531</v>
      </c>
      <c r="Y860" s="45" t="s">
        <v>7370</v>
      </c>
    </row>
    <row r="861" spans="2:25" ht="15" customHeight="1">
      <c r="B861" s="45" t="s">
        <v>26</v>
      </c>
      <c r="C861" s="45" t="s">
        <v>44</v>
      </c>
      <c r="D861" s="45" t="s">
        <v>207</v>
      </c>
      <c r="E861" s="45" t="s">
        <v>7443</v>
      </c>
      <c r="F861" s="45" t="s">
        <v>312</v>
      </c>
      <c r="G861" s="45">
        <v>3</v>
      </c>
      <c r="H861" s="45" t="s">
        <v>7444</v>
      </c>
      <c r="I861" s="45" t="s">
        <v>271</v>
      </c>
      <c r="J861" s="45" t="s">
        <v>5391</v>
      </c>
      <c r="K861" s="47">
        <v>46220.457372685189</v>
      </c>
      <c r="L861" s="47">
        <v>46220.544895833336</v>
      </c>
      <c r="M861" s="47">
        <v>46223.304456018515</v>
      </c>
      <c r="N861" s="47">
        <v>46223.325277777774</v>
      </c>
      <c r="P861" s="47">
        <v>46223.325277777774</v>
      </c>
      <c r="Q861" s="45" t="s">
        <v>7445</v>
      </c>
      <c r="R861" s="45" t="s">
        <v>272</v>
      </c>
      <c r="S861" s="45" t="s">
        <v>5699</v>
      </c>
      <c r="T861" s="45" t="s">
        <v>268</v>
      </c>
      <c r="U861" s="45" t="s">
        <v>5531</v>
      </c>
      <c r="X861" s="45" t="s">
        <v>5531</v>
      </c>
      <c r="Y861" s="45" t="s">
        <v>7446</v>
      </c>
    </row>
    <row r="862" spans="2:25" ht="15" customHeight="1">
      <c r="B862" s="45" t="s">
        <v>26</v>
      </c>
      <c r="C862" s="45" t="s">
        <v>44</v>
      </c>
      <c r="D862" s="45" t="s">
        <v>207</v>
      </c>
      <c r="E862" s="45" t="s">
        <v>7447</v>
      </c>
      <c r="F862" s="45" t="s">
        <v>312</v>
      </c>
      <c r="G862" s="45">
        <v>4</v>
      </c>
      <c r="H862" s="45" t="s">
        <v>7448</v>
      </c>
      <c r="I862" s="45" t="s">
        <v>271</v>
      </c>
      <c r="J862" s="45" t="s">
        <v>5391</v>
      </c>
      <c r="K862" s="47">
        <v>46220.358946759261</v>
      </c>
      <c r="L862" s="47">
        <v>46221.090196759258</v>
      </c>
      <c r="M862" s="47">
        <v>46223.306597222225</v>
      </c>
      <c r="N862" s="47">
        <v>46225.302777777775</v>
      </c>
      <c r="O862" s="47">
        <v>46223.337071759262</v>
      </c>
      <c r="P862" s="47">
        <v>46225.302777777775</v>
      </c>
      <c r="Q862" s="45" t="s">
        <v>5686</v>
      </c>
      <c r="R862" s="45" t="s">
        <v>272</v>
      </c>
      <c r="S862" s="45" t="s">
        <v>175</v>
      </c>
      <c r="T862" s="45" t="s">
        <v>268</v>
      </c>
      <c r="U862" s="45" t="s">
        <v>5531</v>
      </c>
      <c r="X862" s="45" t="s">
        <v>5531</v>
      </c>
      <c r="Y862" s="45" t="s">
        <v>5713</v>
      </c>
    </row>
    <row r="863" spans="2:25" ht="15" customHeight="1">
      <c r="B863" s="45" t="s">
        <v>26</v>
      </c>
      <c r="C863" s="45" t="s">
        <v>44</v>
      </c>
      <c r="D863" s="45" t="s">
        <v>207</v>
      </c>
      <c r="E863" s="45" t="s">
        <v>7449</v>
      </c>
      <c r="F863" s="45" t="s">
        <v>312</v>
      </c>
      <c r="G863" s="45">
        <v>3</v>
      </c>
      <c r="H863" s="45" t="s">
        <v>7450</v>
      </c>
      <c r="I863" s="45" t="s">
        <v>271</v>
      </c>
      <c r="J863" s="45" t="s">
        <v>5391</v>
      </c>
      <c r="K863" s="47">
        <v>46218.589259259257</v>
      </c>
      <c r="L863" s="47">
        <v>46218.589259259257</v>
      </c>
      <c r="M863" s="47">
        <v>46218.591053240743</v>
      </c>
      <c r="N863" s="47">
        <v>46223.329131944447</v>
      </c>
      <c r="O863" s="47">
        <v>46218.595081018517</v>
      </c>
      <c r="P863" s="47">
        <v>46223.329131944447</v>
      </c>
      <c r="Q863" s="45" t="s">
        <v>3452</v>
      </c>
      <c r="R863" s="45" t="s">
        <v>272</v>
      </c>
      <c r="S863" s="45" t="s">
        <v>175</v>
      </c>
      <c r="T863" s="45" t="s">
        <v>268</v>
      </c>
      <c r="U863" s="45" t="s">
        <v>5531</v>
      </c>
      <c r="X863" s="45" t="s">
        <v>5531</v>
      </c>
      <c r="Y863" s="45" t="s">
        <v>7410</v>
      </c>
    </row>
    <row r="864" spans="2:25" ht="15" customHeight="1">
      <c r="B864" s="45" t="s">
        <v>26</v>
      </c>
      <c r="C864" s="45" t="s">
        <v>44</v>
      </c>
      <c r="D864" s="45" t="s">
        <v>207</v>
      </c>
      <c r="E864" s="45" t="s">
        <v>7451</v>
      </c>
      <c r="F864" s="45" t="s">
        <v>312</v>
      </c>
      <c r="G864" s="45">
        <v>4</v>
      </c>
      <c r="H864" s="45" t="s">
        <v>7452</v>
      </c>
      <c r="I864" s="45" t="s">
        <v>271</v>
      </c>
      <c r="J864" s="45" t="s">
        <v>5391</v>
      </c>
      <c r="K864" s="47">
        <v>46220.423425925925</v>
      </c>
      <c r="L864" s="47">
        <v>46220.466192129628</v>
      </c>
      <c r="M864" s="47">
        <v>46220.474895833337</v>
      </c>
      <c r="N864" s="47">
        <v>46225.304560185185</v>
      </c>
      <c r="O864" s="47">
        <v>46223.343206018515</v>
      </c>
      <c r="P864" s="47">
        <v>46225.304560185185</v>
      </c>
      <c r="Q864" s="45" t="s">
        <v>7381</v>
      </c>
      <c r="R864" s="45" t="s">
        <v>272</v>
      </c>
      <c r="S864" s="45" t="s">
        <v>175</v>
      </c>
      <c r="T864" s="45" t="s">
        <v>268</v>
      </c>
      <c r="U864" s="45" t="s">
        <v>5531</v>
      </c>
      <c r="X864" s="45" t="s">
        <v>5531</v>
      </c>
      <c r="Y864" s="45" t="s">
        <v>6664</v>
      </c>
    </row>
    <row r="865" spans="2:25" ht="15" customHeight="1">
      <c r="B865" s="45" t="s">
        <v>26</v>
      </c>
      <c r="C865" s="45" t="s">
        <v>44</v>
      </c>
      <c r="D865" s="45" t="s">
        <v>207</v>
      </c>
      <c r="E865" s="45" t="s">
        <v>7453</v>
      </c>
      <c r="F865" s="45" t="s">
        <v>312</v>
      </c>
      <c r="G865" s="45">
        <v>4</v>
      </c>
      <c r="H865" s="45" t="s">
        <v>5967</v>
      </c>
      <c r="I865" s="45" t="s">
        <v>271</v>
      </c>
      <c r="J865" s="45" t="s">
        <v>5391</v>
      </c>
      <c r="K865" s="47">
        <v>46223.356064814812</v>
      </c>
      <c r="L865" s="47">
        <v>46223.360682870371</v>
      </c>
      <c r="M865" s="47">
        <v>46223.406226851854</v>
      </c>
      <c r="N865" s="47">
        <v>46226.300011574072</v>
      </c>
      <c r="O865" s="47">
        <v>46224.605358796296</v>
      </c>
      <c r="P865" s="47">
        <v>46226.300011574072</v>
      </c>
      <c r="Q865" s="45" t="s">
        <v>5692</v>
      </c>
      <c r="R865" s="45" t="s">
        <v>5693</v>
      </c>
      <c r="S865" s="45" t="s">
        <v>175</v>
      </c>
      <c r="T865" s="45" t="s">
        <v>268</v>
      </c>
      <c r="U865" s="45" t="s">
        <v>5531</v>
      </c>
      <c r="X865" s="45" t="s">
        <v>5531</v>
      </c>
      <c r="Y865" s="45" t="s">
        <v>5694</v>
      </c>
    </row>
    <row r="866" spans="2:25" ht="15" customHeight="1">
      <c r="B866" s="45" t="s">
        <v>26</v>
      </c>
      <c r="C866" s="45" t="s">
        <v>44</v>
      </c>
      <c r="D866" s="45" t="s">
        <v>207</v>
      </c>
      <c r="E866" s="45" t="s">
        <v>7454</v>
      </c>
      <c r="F866" s="45" t="s">
        <v>312</v>
      </c>
      <c r="G866" s="45">
        <v>3</v>
      </c>
      <c r="H866" s="45" t="s">
        <v>7455</v>
      </c>
      <c r="I866" s="45" t="s">
        <v>271</v>
      </c>
      <c r="J866" s="45" t="s">
        <v>5391</v>
      </c>
      <c r="K866" s="47">
        <v>46223.384745370371</v>
      </c>
      <c r="L866" s="47">
        <v>46223.387465277781</v>
      </c>
      <c r="M866" s="47">
        <v>46223.411921296298</v>
      </c>
      <c r="N866" s="47">
        <v>46226.302291666667</v>
      </c>
      <c r="O866" s="47">
        <v>46224.496238425927</v>
      </c>
      <c r="P866" s="47">
        <v>46226.302291666667</v>
      </c>
      <c r="Q866" s="45" t="s">
        <v>44</v>
      </c>
      <c r="R866" s="45" t="s">
        <v>272</v>
      </c>
      <c r="S866" s="45" t="s">
        <v>175</v>
      </c>
      <c r="T866" s="45" t="s">
        <v>268</v>
      </c>
      <c r="U866" s="45" t="s">
        <v>5531</v>
      </c>
      <c r="X866" s="45" t="s">
        <v>5531</v>
      </c>
      <c r="Y866" s="45" t="s">
        <v>7456</v>
      </c>
    </row>
    <row r="867" spans="2:25" ht="15" customHeight="1">
      <c r="B867" s="45" t="s">
        <v>26</v>
      </c>
      <c r="C867" s="45" t="s">
        <v>44</v>
      </c>
      <c r="D867" s="45" t="s">
        <v>207</v>
      </c>
      <c r="E867" s="45" t="s">
        <v>2456</v>
      </c>
      <c r="F867" s="45" t="s">
        <v>312</v>
      </c>
      <c r="G867" s="45">
        <v>4</v>
      </c>
      <c r="H867" s="45" t="s">
        <v>2457</v>
      </c>
      <c r="I867" s="45" t="s">
        <v>275</v>
      </c>
      <c r="J867" s="45" t="s">
        <v>5391</v>
      </c>
      <c r="K867" s="47">
        <v>46219.718310185184</v>
      </c>
      <c r="L867" s="47">
        <v>46223.49077546296</v>
      </c>
      <c r="M867" s="47">
        <v>46223.500069444446</v>
      </c>
      <c r="N867" s="47">
        <v>46224.598923611113</v>
      </c>
      <c r="P867" s="47">
        <v>46224.598923611113</v>
      </c>
      <c r="Q867" s="45" t="s">
        <v>7353</v>
      </c>
      <c r="R867" s="45" t="s">
        <v>272</v>
      </c>
      <c r="S867" s="45" t="s">
        <v>5699</v>
      </c>
      <c r="T867" s="45" t="s">
        <v>268</v>
      </c>
      <c r="U867" s="45" t="s">
        <v>5531</v>
      </c>
      <c r="X867" s="45" t="s">
        <v>5531</v>
      </c>
      <c r="Y867" s="45" t="s">
        <v>7370</v>
      </c>
    </row>
    <row r="868" spans="2:25" ht="15" customHeight="1">
      <c r="B868" s="45" t="s">
        <v>26</v>
      </c>
      <c r="C868" s="45" t="s">
        <v>44</v>
      </c>
      <c r="D868" s="45" t="s">
        <v>208</v>
      </c>
      <c r="E868" s="45" t="s">
        <v>7457</v>
      </c>
      <c r="F868" s="45" t="s">
        <v>312</v>
      </c>
      <c r="G868" s="45" t="s">
        <v>208</v>
      </c>
      <c r="H868" s="45" t="s">
        <v>7458</v>
      </c>
      <c r="I868" s="45" t="s">
        <v>271</v>
      </c>
      <c r="J868" s="45" t="s">
        <v>5391</v>
      </c>
      <c r="K868" s="47">
        <v>46223.489050925928</v>
      </c>
      <c r="L868" s="47">
        <v>46223.489050925928</v>
      </c>
      <c r="M868" s="47">
        <v>46223.501574074071</v>
      </c>
      <c r="N868" s="47">
        <v>46230.308356481481</v>
      </c>
      <c r="O868" s="47">
        <v>46224.589629629627</v>
      </c>
      <c r="P868" s="47">
        <v>46230.308356481481</v>
      </c>
      <c r="Q868" s="45" t="s">
        <v>44</v>
      </c>
      <c r="R868" s="45" t="s">
        <v>272</v>
      </c>
      <c r="S868" s="45" t="s">
        <v>5699</v>
      </c>
      <c r="T868" s="45" t="s">
        <v>268</v>
      </c>
      <c r="U868" s="45" t="s">
        <v>5531</v>
      </c>
      <c r="X868" s="45" t="s">
        <v>5531</v>
      </c>
      <c r="Y868" s="45" t="s">
        <v>7459</v>
      </c>
    </row>
    <row r="869" spans="2:25" ht="15" customHeight="1">
      <c r="B869" s="45" t="s">
        <v>26</v>
      </c>
      <c r="C869" s="45" t="s">
        <v>44</v>
      </c>
      <c r="D869" s="45" t="s">
        <v>208</v>
      </c>
      <c r="E869" s="45" t="s">
        <v>7460</v>
      </c>
      <c r="F869" s="45" t="s">
        <v>312</v>
      </c>
      <c r="G869" s="45" t="s">
        <v>208</v>
      </c>
      <c r="H869" s="45" t="s">
        <v>7461</v>
      </c>
      <c r="I869" s="45" t="s">
        <v>275</v>
      </c>
      <c r="J869" s="45" t="s">
        <v>5391</v>
      </c>
      <c r="K869" s="47">
        <v>46221.608055555553</v>
      </c>
      <c r="L869" s="47">
        <v>46221.608055555553</v>
      </c>
      <c r="M869" s="47">
        <v>46223.316666666666</v>
      </c>
      <c r="N869" s="47">
        <v>46226.309629629628</v>
      </c>
      <c r="O869" s="47">
        <v>46224.595092592594</v>
      </c>
      <c r="P869" s="47">
        <v>46226.309629629628</v>
      </c>
      <c r="Q869" s="45" t="s">
        <v>6772</v>
      </c>
      <c r="R869" s="45" t="s">
        <v>5693</v>
      </c>
      <c r="S869" s="45" t="s">
        <v>175</v>
      </c>
      <c r="T869" s="45" t="s">
        <v>268</v>
      </c>
      <c r="U869" s="45" t="s">
        <v>5531</v>
      </c>
      <c r="X869" s="45" t="s">
        <v>5531</v>
      </c>
      <c r="Y869" s="45" t="s">
        <v>6773</v>
      </c>
    </row>
    <row r="870" spans="2:25" ht="15" customHeight="1">
      <c r="B870" s="45" t="s">
        <v>26</v>
      </c>
      <c r="C870" s="45" t="s">
        <v>44</v>
      </c>
      <c r="D870" s="45" t="s">
        <v>207</v>
      </c>
      <c r="E870" s="45" t="s">
        <v>7462</v>
      </c>
      <c r="F870" s="45" t="s">
        <v>312</v>
      </c>
      <c r="G870" s="45">
        <v>4</v>
      </c>
      <c r="H870" s="45" t="s">
        <v>7463</v>
      </c>
      <c r="I870" s="45" t="s">
        <v>275</v>
      </c>
      <c r="J870" s="45" t="s">
        <v>5391</v>
      </c>
      <c r="K870" s="47">
        <v>46223.888564814813</v>
      </c>
      <c r="L870" s="47">
        <v>46224.381226851852</v>
      </c>
      <c r="M870" s="47">
        <v>46224.415555555555</v>
      </c>
      <c r="N870" s="47">
        <v>46225.477280092593</v>
      </c>
      <c r="P870" s="47">
        <v>46225.477280092593</v>
      </c>
      <c r="Q870" s="45" t="s">
        <v>7445</v>
      </c>
      <c r="R870" s="45" t="s">
        <v>272</v>
      </c>
      <c r="S870" s="45" t="s">
        <v>5699</v>
      </c>
      <c r="T870" s="45" t="s">
        <v>268</v>
      </c>
      <c r="U870" s="45" t="s">
        <v>5531</v>
      </c>
      <c r="X870" s="45" t="s">
        <v>5531</v>
      </c>
      <c r="Y870" s="45" t="s">
        <v>7370</v>
      </c>
    </row>
    <row r="871" spans="2:25" ht="15" customHeight="1">
      <c r="B871" s="45" t="s">
        <v>26</v>
      </c>
      <c r="C871" s="45" t="s">
        <v>44</v>
      </c>
      <c r="D871" s="45" t="s">
        <v>207</v>
      </c>
      <c r="E871" s="45" t="s">
        <v>7464</v>
      </c>
      <c r="F871" s="45" t="s">
        <v>312</v>
      </c>
      <c r="G871" s="45">
        <v>4</v>
      </c>
      <c r="H871" s="45" t="s">
        <v>7465</v>
      </c>
      <c r="I871" s="45" t="s">
        <v>271</v>
      </c>
      <c r="J871" s="45" t="s">
        <v>5391</v>
      </c>
      <c r="K871" s="47">
        <v>46224.506643518522</v>
      </c>
      <c r="L871" s="47">
        <v>46224.512511574074</v>
      </c>
      <c r="M871" s="47">
        <v>46224.539525462962</v>
      </c>
      <c r="N871" s="47">
        <v>46226.300729166665</v>
      </c>
      <c r="O871" s="47">
        <v>46224.604675925926</v>
      </c>
      <c r="P871" s="47">
        <v>46226.300729166665</v>
      </c>
      <c r="Q871" s="45" t="s">
        <v>5686</v>
      </c>
      <c r="R871" s="45" t="s">
        <v>272</v>
      </c>
      <c r="S871" s="45" t="s">
        <v>175</v>
      </c>
      <c r="T871" s="45" t="s">
        <v>268</v>
      </c>
      <c r="U871" s="45" t="s">
        <v>5531</v>
      </c>
      <c r="X871" s="45" t="s">
        <v>5531</v>
      </c>
      <c r="Y871" s="45" t="s">
        <v>5713</v>
      </c>
    </row>
    <row r="872" spans="2:25" ht="15" customHeight="1">
      <c r="B872" s="45" t="s">
        <v>26</v>
      </c>
      <c r="C872" s="45" t="s">
        <v>44</v>
      </c>
      <c r="D872" s="45" t="s">
        <v>207</v>
      </c>
      <c r="E872" s="45" t="s">
        <v>7466</v>
      </c>
      <c r="F872" s="45" t="s">
        <v>312</v>
      </c>
      <c r="G872" s="45">
        <v>4</v>
      </c>
      <c r="H872" s="45" t="s">
        <v>7467</v>
      </c>
      <c r="I872" s="45" t="s">
        <v>271</v>
      </c>
      <c r="J872" s="45" t="s">
        <v>5391</v>
      </c>
      <c r="K872" s="47">
        <v>46224.593344907407</v>
      </c>
      <c r="L872" s="47">
        <v>46224.624143518522</v>
      </c>
      <c r="M872" s="47">
        <v>46224.644479166665</v>
      </c>
      <c r="N872" s="47">
        <v>46230.30159722222</v>
      </c>
      <c r="O872" s="47">
        <v>46225.289560185185</v>
      </c>
      <c r="P872" s="47">
        <v>46230.30159722222</v>
      </c>
      <c r="Q872" s="45" t="s">
        <v>7381</v>
      </c>
      <c r="R872" s="45" t="s">
        <v>272</v>
      </c>
      <c r="S872" s="45" t="s">
        <v>175</v>
      </c>
      <c r="T872" s="45" t="s">
        <v>268</v>
      </c>
      <c r="U872" s="45" t="s">
        <v>5531</v>
      </c>
      <c r="X872" s="45" t="s">
        <v>5531</v>
      </c>
      <c r="Y872" s="45" t="s">
        <v>6664</v>
      </c>
    </row>
    <row r="873" spans="2:25" ht="15" customHeight="1">
      <c r="B873" s="45" t="s">
        <v>26</v>
      </c>
      <c r="C873" s="45" t="s">
        <v>44</v>
      </c>
      <c r="D873" s="45" t="s">
        <v>207</v>
      </c>
      <c r="E873" s="45" t="s">
        <v>7468</v>
      </c>
      <c r="F873" s="45" t="s">
        <v>312</v>
      </c>
      <c r="G873" s="45">
        <v>4</v>
      </c>
      <c r="H873" s="45" t="s">
        <v>7469</v>
      </c>
      <c r="I873" s="45" t="s">
        <v>271</v>
      </c>
      <c r="J873" s="45" t="s">
        <v>5391</v>
      </c>
      <c r="K873" s="47">
        <v>46217.364907407406</v>
      </c>
      <c r="L873" s="47">
        <v>46225.35665509259</v>
      </c>
      <c r="M873" s="47">
        <v>46225.420138888891</v>
      </c>
      <c r="N873" s="47">
        <v>46230.347118055557</v>
      </c>
      <c r="O873" s="47">
        <v>46225.444004629629</v>
      </c>
      <c r="P873" s="47">
        <v>46230.347118055557</v>
      </c>
      <c r="Q873" s="45" t="s">
        <v>7470</v>
      </c>
      <c r="R873" s="45" t="s">
        <v>272</v>
      </c>
      <c r="S873" s="45" t="s">
        <v>175</v>
      </c>
      <c r="T873" s="45" t="s">
        <v>268</v>
      </c>
      <c r="U873" s="45" t="s">
        <v>5531</v>
      </c>
      <c r="X873" s="45" t="s">
        <v>5531</v>
      </c>
      <c r="Y873" s="45" t="s">
        <v>6664</v>
      </c>
    </row>
    <row r="874" spans="2:25" ht="15" customHeight="1">
      <c r="B874" s="45" t="s">
        <v>26</v>
      </c>
      <c r="C874" s="45" t="s">
        <v>44</v>
      </c>
      <c r="D874" s="45" t="s">
        <v>207</v>
      </c>
      <c r="E874" s="45" t="s">
        <v>4291</v>
      </c>
      <c r="F874" s="45" t="s">
        <v>312</v>
      </c>
      <c r="G874" s="45">
        <v>3</v>
      </c>
      <c r="H874" s="45" t="s">
        <v>4292</v>
      </c>
      <c r="I874" s="45" t="s">
        <v>275</v>
      </c>
      <c r="J874" s="45" t="s">
        <v>5391</v>
      </c>
      <c r="K874" s="47">
        <v>46225.395335648151</v>
      </c>
      <c r="L874" s="47">
        <v>46225.457962962966</v>
      </c>
      <c r="M874" s="47">
        <v>46225.491307870368</v>
      </c>
      <c r="N874" s="47">
        <v>46226.304062499999</v>
      </c>
      <c r="P874" s="47">
        <v>46226.304062499999</v>
      </c>
      <c r="Q874" s="45" t="s">
        <v>7353</v>
      </c>
      <c r="R874" s="45" t="s">
        <v>272</v>
      </c>
      <c r="S874" s="45" t="s">
        <v>5699</v>
      </c>
      <c r="T874" s="45" t="s">
        <v>268</v>
      </c>
      <c r="U874" s="45" t="s">
        <v>5531</v>
      </c>
      <c r="X874" s="45" t="s">
        <v>5531</v>
      </c>
      <c r="Y874" s="45" t="s">
        <v>7370</v>
      </c>
    </row>
    <row r="875" spans="2:25" ht="15" customHeight="1">
      <c r="B875" s="45" t="s">
        <v>26</v>
      </c>
      <c r="C875" s="45" t="s">
        <v>44</v>
      </c>
      <c r="D875" s="45" t="s">
        <v>207</v>
      </c>
      <c r="E875" s="45" t="s">
        <v>7471</v>
      </c>
      <c r="F875" s="45" t="s">
        <v>312</v>
      </c>
      <c r="G875" s="45">
        <v>3</v>
      </c>
      <c r="H875" s="45" t="s">
        <v>7472</v>
      </c>
      <c r="I875" s="45" t="s">
        <v>271</v>
      </c>
      <c r="J875" s="45" t="s">
        <v>5391</v>
      </c>
      <c r="K875" s="47">
        <v>46230.247627314813</v>
      </c>
      <c r="L875" s="47">
        <v>46230.250023148146</v>
      </c>
      <c r="M875" s="47">
        <v>46230.310428240744</v>
      </c>
      <c r="N875" s="47">
        <v>46234.414236111108</v>
      </c>
      <c r="O875" s="47">
        <v>46231.601597222223</v>
      </c>
      <c r="P875" s="47">
        <v>46234.414236111108</v>
      </c>
      <c r="Q875" s="45" t="s">
        <v>5686</v>
      </c>
      <c r="R875" s="45" t="s">
        <v>272</v>
      </c>
      <c r="S875" s="45" t="s">
        <v>175</v>
      </c>
      <c r="T875" s="45" t="s">
        <v>268</v>
      </c>
      <c r="U875" s="45" t="s">
        <v>5531</v>
      </c>
      <c r="X875" s="45" t="s">
        <v>5531</v>
      </c>
      <c r="Y875" s="45" t="s">
        <v>5713</v>
      </c>
    </row>
    <row r="876" spans="2:25" ht="15" customHeight="1">
      <c r="B876" s="45" t="s">
        <v>26</v>
      </c>
      <c r="C876" s="45" t="s">
        <v>44</v>
      </c>
      <c r="D876" s="45" t="s">
        <v>208</v>
      </c>
      <c r="E876" s="45" t="s">
        <v>7473</v>
      </c>
      <c r="F876" s="45" t="s">
        <v>312</v>
      </c>
      <c r="G876" s="45" t="s">
        <v>208</v>
      </c>
      <c r="H876" s="45" t="s">
        <v>7474</v>
      </c>
      <c r="I876" s="45" t="s">
        <v>271</v>
      </c>
      <c r="J876" s="45" t="s">
        <v>5391</v>
      </c>
      <c r="K876" s="47">
        <v>46226.447870370372</v>
      </c>
      <c r="L876" s="47">
        <v>46226.447870370372</v>
      </c>
      <c r="M876" s="47">
        <v>46226.46025462963</v>
      </c>
      <c r="N876" s="47">
        <v>46231.445787037039</v>
      </c>
      <c r="O876" s="47">
        <v>46226.503576388888</v>
      </c>
      <c r="P876" s="47">
        <v>46231.445787037039</v>
      </c>
      <c r="Q876" s="45" t="s">
        <v>5686</v>
      </c>
      <c r="R876" s="45" t="s">
        <v>272</v>
      </c>
      <c r="S876" s="45" t="s">
        <v>175</v>
      </c>
      <c r="T876" s="45" t="s">
        <v>268</v>
      </c>
      <c r="U876" s="45" t="s">
        <v>5531</v>
      </c>
      <c r="X876" s="45" t="s">
        <v>5531</v>
      </c>
      <c r="Y876" s="45" t="s">
        <v>7475</v>
      </c>
    </row>
    <row r="877" spans="2:25" ht="15" customHeight="1">
      <c r="B877" s="45" t="s">
        <v>26</v>
      </c>
      <c r="C877" s="45" t="s">
        <v>44</v>
      </c>
      <c r="D877" s="45" t="s">
        <v>208</v>
      </c>
      <c r="E877" s="45" t="s">
        <v>7476</v>
      </c>
      <c r="F877" s="45" t="s">
        <v>312</v>
      </c>
      <c r="G877" s="45" t="s">
        <v>208</v>
      </c>
      <c r="H877" s="45" t="s">
        <v>7477</v>
      </c>
      <c r="I877" s="45" t="s">
        <v>271</v>
      </c>
      <c r="J877" s="45" t="s">
        <v>5391</v>
      </c>
      <c r="K877" s="47">
        <v>46228.646736111114</v>
      </c>
      <c r="L877" s="47">
        <v>46230.389756944445</v>
      </c>
      <c r="M877" s="47">
        <v>46230.426053240742</v>
      </c>
      <c r="N877" s="47">
        <v>46232.685416666667</v>
      </c>
      <c r="O877" s="47">
        <v>46231.447951388887</v>
      </c>
      <c r="P877" s="47">
        <v>46232.685416666667</v>
      </c>
      <c r="Q877" s="45" t="s">
        <v>5686</v>
      </c>
      <c r="R877" s="45" t="s">
        <v>272</v>
      </c>
      <c r="S877" s="45" t="s">
        <v>175</v>
      </c>
      <c r="T877" s="45" t="s">
        <v>268</v>
      </c>
      <c r="U877" s="45" t="s">
        <v>5531</v>
      </c>
      <c r="X877" s="45" t="s">
        <v>5531</v>
      </c>
      <c r="Y877" s="45" t="s">
        <v>5713</v>
      </c>
    </row>
    <row r="878" spans="2:25" ht="15" customHeight="1">
      <c r="B878" s="45" t="s">
        <v>26</v>
      </c>
      <c r="C878" s="45" t="s">
        <v>44</v>
      </c>
      <c r="D878" s="45" t="s">
        <v>208</v>
      </c>
      <c r="E878" s="45" t="s">
        <v>7478</v>
      </c>
      <c r="F878" s="45" t="s">
        <v>312</v>
      </c>
      <c r="G878" s="45" t="s">
        <v>208</v>
      </c>
      <c r="H878" s="45" t="s">
        <v>7479</v>
      </c>
      <c r="I878" s="45" t="s">
        <v>275</v>
      </c>
      <c r="J878" s="45" t="s">
        <v>5391</v>
      </c>
      <c r="K878" s="47">
        <v>46227.460740740738</v>
      </c>
      <c r="L878" s="47">
        <v>46227.493738425925</v>
      </c>
      <c r="M878" s="47">
        <v>46227.506249999999</v>
      </c>
      <c r="N878" s="47">
        <v>46232.325706018521</v>
      </c>
      <c r="P878" s="47">
        <v>46232.325706018521</v>
      </c>
      <c r="Q878" s="45" t="s">
        <v>6772</v>
      </c>
      <c r="R878" s="45" t="s">
        <v>5693</v>
      </c>
      <c r="S878" s="45" t="s">
        <v>175</v>
      </c>
      <c r="T878" s="45" t="s">
        <v>268</v>
      </c>
      <c r="U878" s="45" t="s">
        <v>5531</v>
      </c>
      <c r="X878" s="45" t="s">
        <v>5531</v>
      </c>
      <c r="Y878" s="45" t="s">
        <v>6773</v>
      </c>
    </row>
    <row r="879" spans="2:25" ht="15" customHeight="1">
      <c r="B879" s="45" t="s">
        <v>26</v>
      </c>
      <c r="C879" s="45" t="s">
        <v>44</v>
      </c>
      <c r="D879" s="45" t="s">
        <v>208</v>
      </c>
      <c r="E879" s="45" t="s">
        <v>7480</v>
      </c>
      <c r="F879" s="45" t="s">
        <v>312</v>
      </c>
      <c r="G879" s="45" t="s">
        <v>208</v>
      </c>
      <c r="H879" s="45" t="s">
        <v>7481</v>
      </c>
      <c r="I879" s="45" t="s">
        <v>275</v>
      </c>
      <c r="J879" s="45" t="s">
        <v>5391</v>
      </c>
      <c r="K879" s="47">
        <v>46231.222488425927</v>
      </c>
      <c r="L879" s="47">
        <v>46231.222488425927</v>
      </c>
      <c r="M879" s="47">
        <v>46231.303888888891</v>
      </c>
      <c r="N879" s="47">
        <v>46234.471909722219</v>
      </c>
      <c r="P879" s="47">
        <v>46234.471909722219</v>
      </c>
      <c r="Q879" s="45" t="s">
        <v>6772</v>
      </c>
      <c r="R879" s="45" t="s">
        <v>5693</v>
      </c>
      <c r="S879" s="45" t="s">
        <v>175</v>
      </c>
      <c r="T879" s="45" t="s">
        <v>268</v>
      </c>
      <c r="U879" s="45" t="s">
        <v>5531</v>
      </c>
      <c r="X879" s="45" t="s">
        <v>5531</v>
      </c>
      <c r="Y879" s="45" t="s">
        <v>6773</v>
      </c>
    </row>
    <row r="880" spans="2:25" ht="15" customHeight="1">
      <c r="B880" s="45" t="s">
        <v>26</v>
      </c>
      <c r="C880" s="45" t="s">
        <v>44</v>
      </c>
      <c r="D880" s="45" t="s">
        <v>208</v>
      </c>
      <c r="E880" s="45" t="s">
        <v>7482</v>
      </c>
      <c r="F880" s="45" t="s">
        <v>312</v>
      </c>
      <c r="G880" s="45" t="s">
        <v>208</v>
      </c>
      <c r="H880" s="45" t="s">
        <v>7483</v>
      </c>
      <c r="I880" s="45" t="s">
        <v>275</v>
      </c>
      <c r="J880" s="45" t="s">
        <v>5391</v>
      </c>
      <c r="K880" s="47">
        <v>46223.356944444444</v>
      </c>
      <c r="L880" s="47">
        <v>46231.585335648146</v>
      </c>
      <c r="M880" s="47">
        <v>46231.587719907409</v>
      </c>
      <c r="N880" s="47">
        <v>46231.593819444446</v>
      </c>
      <c r="P880" s="47">
        <v>46231.593819444446</v>
      </c>
      <c r="Q880" s="45" t="s">
        <v>7445</v>
      </c>
      <c r="R880" s="45" t="s">
        <v>272</v>
      </c>
      <c r="S880" s="45" t="s">
        <v>175</v>
      </c>
      <c r="T880" s="45" t="s">
        <v>268</v>
      </c>
      <c r="U880" s="45" t="s">
        <v>5531</v>
      </c>
      <c r="X880" s="45" t="s">
        <v>5531</v>
      </c>
      <c r="Y880" s="45" t="s">
        <v>7484</v>
      </c>
    </row>
    <row r="881" spans="2:25" ht="15" customHeight="1">
      <c r="B881" s="45" t="s">
        <v>26</v>
      </c>
      <c r="C881" s="45" t="s">
        <v>44</v>
      </c>
      <c r="D881" s="45" t="s">
        <v>208</v>
      </c>
      <c r="E881" s="45" t="s">
        <v>7485</v>
      </c>
      <c r="F881" s="45" t="s">
        <v>312</v>
      </c>
      <c r="G881" s="45" t="s">
        <v>208</v>
      </c>
      <c r="H881" s="45" t="s">
        <v>7486</v>
      </c>
      <c r="I881" s="45" t="s">
        <v>275</v>
      </c>
      <c r="J881" s="45" t="s">
        <v>5391</v>
      </c>
      <c r="K881" s="47">
        <v>46231.513692129629</v>
      </c>
      <c r="L881" s="47">
        <v>46231.513692129629</v>
      </c>
      <c r="M881" s="47">
        <v>46232.300717592596</v>
      </c>
      <c r="N881" s="47">
        <v>46234.478182870371</v>
      </c>
      <c r="P881" s="47">
        <v>46234.478182870371</v>
      </c>
      <c r="Q881" s="45" t="s">
        <v>6772</v>
      </c>
      <c r="R881" s="45" t="s">
        <v>5693</v>
      </c>
      <c r="S881" s="45" t="s">
        <v>175</v>
      </c>
      <c r="T881" s="45" t="s">
        <v>268</v>
      </c>
      <c r="U881" s="45" t="s">
        <v>5531</v>
      </c>
      <c r="X881" s="45" t="s">
        <v>5531</v>
      </c>
      <c r="Y881" s="45" t="s">
        <v>6773</v>
      </c>
    </row>
    <row r="882" spans="2:25" ht="15" customHeight="1">
      <c r="B882" s="45" t="s">
        <v>26</v>
      </c>
      <c r="C882" s="45" t="s">
        <v>44</v>
      </c>
      <c r="D882" s="45" t="s">
        <v>207</v>
      </c>
      <c r="E882" s="45" t="s">
        <v>7487</v>
      </c>
      <c r="F882" s="45" t="s">
        <v>312</v>
      </c>
      <c r="G882" s="45">
        <v>4</v>
      </c>
      <c r="H882" s="45" t="s">
        <v>7488</v>
      </c>
      <c r="I882" s="45" t="s">
        <v>275</v>
      </c>
      <c r="J882" s="45" t="s">
        <v>5391</v>
      </c>
      <c r="K882" s="47">
        <v>46232.512685185182</v>
      </c>
      <c r="L882" s="47">
        <v>46232.53633101852</v>
      </c>
      <c r="M882" s="47">
        <v>46232.54246527778</v>
      </c>
      <c r="N882" s="47">
        <v>46232.547268518516</v>
      </c>
      <c r="P882" s="47">
        <v>46232.547268518516</v>
      </c>
      <c r="Q882" s="45" t="s">
        <v>6407</v>
      </c>
      <c r="R882" s="45" t="s">
        <v>272</v>
      </c>
      <c r="S882" s="45" t="s">
        <v>175</v>
      </c>
      <c r="T882" s="45" t="s">
        <v>268</v>
      </c>
      <c r="U882" s="45" t="s">
        <v>5531</v>
      </c>
      <c r="X882" s="45" t="s">
        <v>5531</v>
      </c>
      <c r="Y882" s="45" t="s">
        <v>7370</v>
      </c>
    </row>
    <row r="883" spans="2:25" ht="15" customHeight="1">
      <c r="B883" s="45" t="s">
        <v>26</v>
      </c>
      <c r="C883" s="45" t="s">
        <v>44</v>
      </c>
      <c r="D883" s="45" t="s">
        <v>207</v>
      </c>
      <c r="E883" s="45" t="s">
        <v>7489</v>
      </c>
      <c r="F883" s="45" t="s">
        <v>312</v>
      </c>
      <c r="G883" s="45">
        <v>3</v>
      </c>
      <c r="H883" s="45" t="s">
        <v>7490</v>
      </c>
      <c r="I883" s="45" t="s">
        <v>275</v>
      </c>
      <c r="J883" s="45" t="s">
        <v>5391</v>
      </c>
      <c r="K883" s="47">
        <v>46232.654247685183</v>
      </c>
      <c r="L883" s="47">
        <v>46232.686180555553</v>
      </c>
      <c r="M883" s="47">
        <v>46232.691631944443</v>
      </c>
      <c r="N883" s="47">
        <v>46234.446435185186</v>
      </c>
      <c r="P883" s="47">
        <v>46234.446435185186</v>
      </c>
      <c r="Q883" s="45" t="s">
        <v>7353</v>
      </c>
      <c r="R883" s="45" t="s">
        <v>272</v>
      </c>
      <c r="S883" s="45" t="s">
        <v>5699</v>
      </c>
      <c r="T883" s="45" t="s">
        <v>268</v>
      </c>
      <c r="U883" s="45" t="s">
        <v>5531</v>
      </c>
      <c r="X883" s="45" t="s">
        <v>5531</v>
      </c>
      <c r="Y883" s="45" t="s">
        <v>7370</v>
      </c>
    </row>
    <row r="884" spans="2:25" ht="15" customHeight="1">
      <c r="B884" s="45" t="s">
        <v>26</v>
      </c>
      <c r="C884" s="45" t="s">
        <v>44</v>
      </c>
      <c r="D884" s="45" t="s">
        <v>207</v>
      </c>
      <c r="E884" s="45" t="s">
        <v>7491</v>
      </c>
      <c r="F884" s="45" t="s">
        <v>312</v>
      </c>
      <c r="G884" s="45">
        <v>4</v>
      </c>
      <c r="H884" s="45" t="s">
        <v>7492</v>
      </c>
      <c r="I884" s="45" t="s">
        <v>271</v>
      </c>
      <c r="J884" s="45" t="s">
        <v>5963</v>
      </c>
      <c r="K884" s="47">
        <v>46225.192060185182</v>
      </c>
      <c r="L884" s="47">
        <v>46225.28979166667</v>
      </c>
      <c r="M884" s="47">
        <v>46225.28979166667</v>
      </c>
      <c r="N884" s="47">
        <v>46232.504606481481</v>
      </c>
      <c r="P884" s="47">
        <v>46232.504606481481</v>
      </c>
      <c r="Q884" s="45" t="s">
        <v>7493</v>
      </c>
      <c r="R884" s="45" t="s">
        <v>272</v>
      </c>
      <c r="S884" s="45" t="s">
        <v>175</v>
      </c>
      <c r="T884" s="45" t="s">
        <v>268</v>
      </c>
      <c r="U884" s="45" t="s">
        <v>5531</v>
      </c>
      <c r="X884" s="45" t="s">
        <v>5531</v>
      </c>
      <c r="Y884" s="45" t="s">
        <v>7494</v>
      </c>
    </row>
    <row r="885" spans="2:25" ht="15" customHeight="1">
      <c r="B885" s="45" t="s">
        <v>26</v>
      </c>
      <c r="C885" s="45" t="s">
        <v>44</v>
      </c>
      <c r="D885" s="45" t="s">
        <v>207</v>
      </c>
      <c r="E885" s="45" t="s">
        <v>7495</v>
      </c>
      <c r="F885" s="45" t="s">
        <v>312</v>
      </c>
      <c r="G885" s="45">
        <v>4</v>
      </c>
      <c r="H885" s="45" t="s">
        <v>7496</v>
      </c>
      <c r="I885" s="45" t="s">
        <v>275</v>
      </c>
      <c r="J885" s="45" t="s">
        <v>5963</v>
      </c>
      <c r="K885" s="47">
        <v>46232.476585648146</v>
      </c>
      <c r="L885" s="47">
        <v>46233.330405092594</v>
      </c>
      <c r="M885" s="47">
        <v>46233.330405092594</v>
      </c>
      <c r="N885" s="47">
        <v>46233.451377314814</v>
      </c>
      <c r="P885" s="47">
        <v>46233.451377314814</v>
      </c>
      <c r="Q885" s="45" t="s">
        <v>6748</v>
      </c>
      <c r="R885" s="45" t="s">
        <v>272</v>
      </c>
      <c r="S885" s="45" t="s">
        <v>175</v>
      </c>
      <c r="T885" s="45" t="s">
        <v>268</v>
      </c>
      <c r="U885" s="45" t="s">
        <v>5531</v>
      </c>
      <c r="X885" s="45" t="s">
        <v>5531</v>
      </c>
      <c r="Y885" s="45" t="s">
        <v>6758</v>
      </c>
    </row>
    <row r="886" spans="2:25" ht="15" customHeight="1">
      <c r="B886" s="45" t="s">
        <v>26</v>
      </c>
      <c r="C886" s="45" t="s">
        <v>44</v>
      </c>
      <c r="D886" s="45" t="s">
        <v>207</v>
      </c>
      <c r="E886" s="45" t="s">
        <v>7497</v>
      </c>
      <c r="F886" s="45" t="s">
        <v>312</v>
      </c>
      <c r="G886" s="45">
        <v>4</v>
      </c>
      <c r="H886" s="45" t="s">
        <v>7498</v>
      </c>
      <c r="I886" s="45" t="s">
        <v>271</v>
      </c>
      <c r="J886" s="45" t="s">
        <v>5963</v>
      </c>
      <c r="K886" s="47">
        <v>46227.59752314815</v>
      </c>
      <c r="L886" s="47">
        <v>46230.311145833337</v>
      </c>
      <c r="M886" s="47">
        <v>46230.311145833337</v>
      </c>
      <c r="N886" s="47">
        <v>46237.311388888891</v>
      </c>
      <c r="P886" s="47">
        <v>46237.311388888891</v>
      </c>
      <c r="Q886" s="45" t="s">
        <v>7499</v>
      </c>
      <c r="R886" s="45" t="s">
        <v>272</v>
      </c>
      <c r="S886" s="45" t="s">
        <v>175</v>
      </c>
      <c r="T886" s="45" t="s">
        <v>268</v>
      </c>
      <c r="U886" s="45" t="s">
        <v>5531</v>
      </c>
      <c r="X886" s="45" t="s">
        <v>5531</v>
      </c>
      <c r="Y886" s="45" t="s">
        <v>7494</v>
      </c>
    </row>
    <row r="887" spans="2:25" ht="15" customHeight="1">
      <c r="B887" s="45" t="s">
        <v>26</v>
      </c>
      <c r="C887" s="45" t="s">
        <v>44</v>
      </c>
      <c r="D887" s="45" t="s">
        <v>207</v>
      </c>
      <c r="E887" s="45" t="s">
        <v>7500</v>
      </c>
      <c r="F887" s="45" t="s">
        <v>312</v>
      </c>
      <c r="G887" s="45">
        <v>3</v>
      </c>
      <c r="H887" s="45" t="s">
        <v>7501</v>
      </c>
      <c r="I887" s="45" t="s">
        <v>266</v>
      </c>
      <c r="J887" s="45" t="s">
        <v>5963</v>
      </c>
      <c r="K887" s="47">
        <v>46237.29347222222</v>
      </c>
      <c r="L887" s="47">
        <v>46237.332766203705</v>
      </c>
      <c r="M887" s="47">
        <v>46237.332766203705</v>
      </c>
      <c r="O887" s="47">
        <v>46237.414317129631</v>
      </c>
      <c r="Q887" s="45" t="s">
        <v>44</v>
      </c>
      <c r="R887" s="45" t="s">
        <v>272</v>
      </c>
      <c r="S887" s="45" t="s">
        <v>175</v>
      </c>
      <c r="T887" s="45" t="s">
        <v>268</v>
      </c>
      <c r="U887" s="45" t="s">
        <v>5531</v>
      </c>
      <c r="X887" s="45" t="s">
        <v>5531</v>
      </c>
      <c r="Y887" s="45" t="s">
        <v>7502</v>
      </c>
    </row>
    <row r="888" spans="2:25" ht="15" customHeight="1">
      <c r="B888" s="45" t="s">
        <v>26</v>
      </c>
      <c r="C888" s="45" t="s">
        <v>44</v>
      </c>
      <c r="D888" s="45" t="s">
        <v>208</v>
      </c>
      <c r="E888" s="45" t="s">
        <v>7503</v>
      </c>
      <c r="F888" s="45" t="s">
        <v>312</v>
      </c>
      <c r="G888" s="45" t="s">
        <v>208</v>
      </c>
      <c r="H888" s="45" t="s">
        <v>7504</v>
      </c>
      <c r="I888" s="45" t="s">
        <v>275</v>
      </c>
      <c r="J888" s="45" t="s">
        <v>5963</v>
      </c>
      <c r="K888" s="47">
        <v>46232.269421296296</v>
      </c>
      <c r="L888" s="47">
        <v>46233.611041666663</v>
      </c>
      <c r="M888" s="47">
        <v>46233.611041666663</v>
      </c>
      <c r="N888" s="47">
        <v>46237.483113425929</v>
      </c>
      <c r="P888" s="47">
        <v>46237.483113425929</v>
      </c>
      <c r="Q888" s="45" t="s">
        <v>44</v>
      </c>
      <c r="R888" s="45" t="s">
        <v>261</v>
      </c>
      <c r="S888" s="45" t="s">
        <v>175</v>
      </c>
      <c r="T888" s="45" t="s">
        <v>268</v>
      </c>
      <c r="U888" s="45" t="s">
        <v>5531</v>
      </c>
      <c r="X888" s="45" t="s">
        <v>5531</v>
      </c>
      <c r="Y888" s="45" t="s">
        <v>7505</v>
      </c>
    </row>
    <row r="889" spans="2:25" ht="15" customHeight="1">
      <c r="B889" s="45" t="s">
        <v>26</v>
      </c>
      <c r="C889" s="45" t="s">
        <v>44</v>
      </c>
      <c r="D889" s="45" t="s">
        <v>208</v>
      </c>
      <c r="E889" s="45" t="s">
        <v>7506</v>
      </c>
      <c r="F889" s="45" t="s">
        <v>312</v>
      </c>
      <c r="G889" s="45" t="s">
        <v>208</v>
      </c>
      <c r="H889" s="45" t="s">
        <v>7507</v>
      </c>
      <c r="I889" s="45" t="s">
        <v>275</v>
      </c>
      <c r="J889" s="45" t="s">
        <v>5963</v>
      </c>
      <c r="K889" s="47">
        <v>46231.651377314818</v>
      </c>
      <c r="L889" s="47">
        <v>46232.300509259258</v>
      </c>
      <c r="M889" s="47">
        <v>46232.300509259258</v>
      </c>
      <c r="N889" s="47">
        <v>46237.344537037039</v>
      </c>
      <c r="P889" s="47">
        <v>46237.344537037039</v>
      </c>
      <c r="Q889" s="45" t="s">
        <v>44</v>
      </c>
      <c r="R889" s="45" t="s">
        <v>261</v>
      </c>
      <c r="S889" s="45" t="s">
        <v>175</v>
      </c>
      <c r="T889" s="45" t="s">
        <v>268</v>
      </c>
      <c r="U889" s="45" t="s">
        <v>5531</v>
      </c>
      <c r="X889" s="45" t="s">
        <v>5531</v>
      </c>
      <c r="Y889" s="45" t="s">
        <v>7505</v>
      </c>
    </row>
    <row r="890" spans="2:25" ht="15" customHeight="1">
      <c r="B890" s="45" t="s">
        <v>26</v>
      </c>
      <c r="C890" s="45" t="s">
        <v>44</v>
      </c>
      <c r="D890" s="45" t="s">
        <v>208</v>
      </c>
      <c r="E890" s="45" t="s">
        <v>7508</v>
      </c>
      <c r="F890" s="45" t="s">
        <v>312</v>
      </c>
      <c r="G890" s="45" t="s">
        <v>208</v>
      </c>
      <c r="H890" s="45" t="s">
        <v>7509</v>
      </c>
      <c r="I890" s="45" t="s">
        <v>266</v>
      </c>
      <c r="J890" s="45" t="s">
        <v>5963</v>
      </c>
      <c r="K890" s="47">
        <v>46234.592951388891</v>
      </c>
      <c r="L890" s="47">
        <v>46237.273518518516</v>
      </c>
      <c r="M890" s="47">
        <v>46237.273518518516</v>
      </c>
      <c r="O890" s="47">
        <v>46237.313726851855</v>
      </c>
      <c r="Q890" s="45" t="s">
        <v>44</v>
      </c>
      <c r="R890" s="45" t="s">
        <v>261</v>
      </c>
      <c r="S890" s="45" t="s">
        <v>175</v>
      </c>
      <c r="T890" s="45" t="s">
        <v>268</v>
      </c>
      <c r="U890" s="45" t="s">
        <v>5531</v>
      </c>
      <c r="X890" s="45" t="s">
        <v>5531</v>
      </c>
      <c r="Y890" s="45" t="s">
        <v>7510</v>
      </c>
    </row>
    <row r="891" spans="2:25" ht="15" customHeight="1">
      <c r="B891" s="45" t="s">
        <v>26</v>
      </c>
      <c r="C891" s="45" t="s">
        <v>44</v>
      </c>
      <c r="D891" s="45" t="s">
        <v>208</v>
      </c>
      <c r="E891" s="45" t="s">
        <v>7511</v>
      </c>
      <c r="F891" s="45" t="s">
        <v>312</v>
      </c>
      <c r="G891" s="45" t="s">
        <v>208</v>
      </c>
      <c r="H891" s="45" t="s">
        <v>7331</v>
      </c>
      <c r="I891" s="45" t="s">
        <v>271</v>
      </c>
      <c r="J891" s="45" t="s">
        <v>5963</v>
      </c>
      <c r="K891" s="47">
        <v>46227.492777777778</v>
      </c>
      <c r="L891" s="47">
        <v>46227.507418981484</v>
      </c>
      <c r="M891" s="47">
        <v>46227.507418981484</v>
      </c>
      <c r="N891" s="47">
        <v>46233.435115740744</v>
      </c>
      <c r="P891" s="47">
        <v>46233.435115740744</v>
      </c>
      <c r="Q891" s="45" t="s">
        <v>44</v>
      </c>
      <c r="R891" s="45" t="s">
        <v>261</v>
      </c>
      <c r="S891" s="45" t="s">
        <v>175</v>
      </c>
      <c r="T891" s="45" t="s">
        <v>268</v>
      </c>
      <c r="U891" s="45" t="s">
        <v>5531</v>
      </c>
      <c r="X891" s="45" t="s">
        <v>5531</v>
      </c>
      <c r="Y891" s="45" t="s">
        <v>7512</v>
      </c>
    </row>
    <row r="892" spans="2:25" ht="15" customHeight="1">
      <c r="B892" s="45" t="s">
        <v>26</v>
      </c>
      <c r="C892" s="45" t="s">
        <v>44</v>
      </c>
      <c r="D892" s="45" t="s">
        <v>208</v>
      </c>
      <c r="E892" s="45" t="s">
        <v>7513</v>
      </c>
      <c r="F892" s="45" t="s">
        <v>312</v>
      </c>
      <c r="G892" s="45" t="s">
        <v>208</v>
      </c>
      <c r="H892" s="45" t="s">
        <v>7514</v>
      </c>
      <c r="I892" s="45" t="s">
        <v>275</v>
      </c>
      <c r="J892" s="45" t="s">
        <v>5963</v>
      </c>
      <c r="K892" s="47">
        <v>46224.540590277778</v>
      </c>
      <c r="L892" s="47">
        <v>46225.493078703701</v>
      </c>
      <c r="M892" s="47">
        <v>46225.493078703701</v>
      </c>
      <c r="N892" s="47">
        <v>46232.325648148151</v>
      </c>
      <c r="P892" s="47">
        <v>46232.325648148151</v>
      </c>
      <c r="Q892" s="45" t="s">
        <v>44</v>
      </c>
      <c r="R892" s="45" t="s">
        <v>272</v>
      </c>
      <c r="S892" s="45" t="s">
        <v>175</v>
      </c>
      <c r="T892" s="45" t="s">
        <v>268</v>
      </c>
      <c r="U892" s="45" t="s">
        <v>5531</v>
      </c>
      <c r="X892" s="45" t="s">
        <v>5531</v>
      </c>
      <c r="Y892" s="45" t="s">
        <v>7515</v>
      </c>
    </row>
    <row r="893" spans="2:25" ht="15" customHeight="1">
      <c r="B893" s="45" t="s">
        <v>26</v>
      </c>
      <c r="C893" s="45" t="s">
        <v>44</v>
      </c>
      <c r="D893" s="45" t="s">
        <v>208</v>
      </c>
      <c r="E893" s="45" t="s">
        <v>7516</v>
      </c>
      <c r="F893" s="45" t="s">
        <v>312</v>
      </c>
      <c r="G893" s="45" t="s">
        <v>208</v>
      </c>
      <c r="H893" s="45" t="s">
        <v>7517</v>
      </c>
      <c r="I893" s="45" t="s">
        <v>271</v>
      </c>
      <c r="J893" s="45" t="s">
        <v>5963</v>
      </c>
      <c r="K893" s="47">
        <v>46224.481030092589</v>
      </c>
      <c r="L893" s="47">
        <v>46225.628506944442</v>
      </c>
      <c r="M893" s="47">
        <v>46225.628506944442</v>
      </c>
      <c r="N893" s="47">
        <v>46232.3280787037</v>
      </c>
      <c r="P893" s="47">
        <v>46232.3280787037</v>
      </c>
      <c r="Q893" s="45" t="s">
        <v>7518</v>
      </c>
      <c r="R893" s="45" t="s">
        <v>272</v>
      </c>
      <c r="S893" s="45" t="s">
        <v>175</v>
      </c>
      <c r="T893" s="45" t="s">
        <v>268</v>
      </c>
      <c r="U893" s="45" t="s">
        <v>5531</v>
      </c>
      <c r="X893" s="45" t="s">
        <v>5531</v>
      </c>
      <c r="Y893" s="45" t="s">
        <v>7519</v>
      </c>
    </row>
    <row r="894" spans="2:25" ht="15" customHeight="1">
      <c r="B894" s="45" t="s">
        <v>26</v>
      </c>
      <c r="C894" s="45" t="s">
        <v>44</v>
      </c>
      <c r="D894" s="45" t="s">
        <v>208</v>
      </c>
      <c r="E894" s="45" t="s">
        <v>7520</v>
      </c>
      <c r="F894" s="45" t="s">
        <v>312</v>
      </c>
      <c r="G894" s="45" t="s">
        <v>208</v>
      </c>
      <c r="H894" s="45" t="s">
        <v>7521</v>
      </c>
      <c r="I894" s="45" t="s">
        <v>266</v>
      </c>
      <c r="J894" s="45" t="s">
        <v>5963</v>
      </c>
      <c r="K894" s="47">
        <v>46226.607847222222</v>
      </c>
      <c r="L894" s="47">
        <v>46226.633032407408</v>
      </c>
      <c r="M894" s="47">
        <v>46226.633032407408</v>
      </c>
      <c r="O894" s="47">
        <v>46230.307384259257</v>
      </c>
      <c r="Q894" s="45" t="s">
        <v>44</v>
      </c>
      <c r="R894" s="45" t="s">
        <v>261</v>
      </c>
      <c r="S894" s="45" t="s">
        <v>175</v>
      </c>
      <c r="T894" s="45" t="s">
        <v>268</v>
      </c>
      <c r="U894" s="45" t="s">
        <v>5531</v>
      </c>
      <c r="X894" s="45" t="s">
        <v>5531</v>
      </c>
      <c r="Y894" s="45" t="s">
        <v>5713</v>
      </c>
    </row>
    <row r="895" spans="2:25" ht="15" customHeight="1">
      <c r="B895" s="45" t="s">
        <v>26</v>
      </c>
      <c r="C895" s="45" t="s">
        <v>44</v>
      </c>
      <c r="D895" s="45" t="s">
        <v>208</v>
      </c>
      <c r="E895" s="45" t="s">
        <v>7522</v>
      </c>
      <c r="F895" s="45" t="s">
        <v>312</v>
      </c>
      <c r="G895" s="45" t="s">
        <v>208</v>
      </c>
      <c r="H895" s="45" t="s">
        <v>7523</v>
      </c>
      <c r="I895" s="45" t="s">
        <v>275</v>
      </c>
      <c r="J895" s="45" t="s">
        <v>5963</v>
      </c>
      <c r="K895" s="47">
        <v>46227.415347222224</v>
      </c>
      <c r="L895" s="47">
        <v>46227.450624999998</v>
      </c>
      <c r="M895" s="47">
        <v>46227.450624999998</v>
      </c>
      <c r="N895" s="47">
        <v>46230.545844907407</v>
      </c>
      <c r="P895" s="47">
        <v>46230.545844907407</v>
      </c>
      <c r="Q895" s="45" t="s">
        <v>44</v>
      </c>
      <c r="R895" s="45" t="s">
        <v>261</v>
      </c>
      <c r="S895" s="45" t="s">
        <v>175</v>
      </c>
      <c r="T895" s="45" t="s">
        <v>268</v>
      </c>
      <c r="U895" s="45" t="s">
        <v>5531</v>
      </c>
      <c r="X895" s="45" t="s">
        <v>5531</v>
      </c>
      <c r="Y895" s="45" t="s">
        <v>7505</v>
      </c>
    </row>
    <row r="896" spans="2:25" ht="15" customHeight="1">
      <c r="B896" s="45" t="s">
        <v>26</v>
      </c>
      <c r="C896" s="45" t="s">
        <v>44</v>
      </c>
      <c r="D896" s="45" t="s">
        <v>208</v>
      </c>
      <c r="E896" s="45" t="s">
        <v>7524</v>
      </c>
      <c r="F896" s="45" t="s">
        <v>312</v>
      </c>
      <c r="G896" s="45" t="s">
        <v>208</v>
      </c>
      <c r="H896" s="45" t="s">
        <v>7525</v>
      </c>
      <c r="I896" s="45" t="s">
        <v>275</v>
      </c>
      <c r="J896" s="45" t="s">
        <v>5963</v>
      </c>
      <c r="K896" s="47">
        <v>46226.481736111113</v>
      </c>
      <c r="L896" s="47">
        <v>46226.580983796295</v>
      </c>
      <c r="M896" s="47">
        <v>46226.580983796295</v>
      </c>
      <c r="N896" s="47">
        <v>46230.54241898148</v>
      </c>
      <c r="P896" s="47">
        <v>46230.54241898148</v>
      </c>
      <c r="Q896" s="45" t="s">
        <v>44</v>
      </c>
      <c r="R896" s="45" t="s">
        <v>261</v>
      </c>
      <c r="S896" s="45" t="s">
        <v>175</v>
      </c>
      <c r="T896" s="45" t="s">
        <v>268</v>
      </c>
      <c r="U896" s="45" t="s">
        <v>5531</v>
      </c>
      <c r="X896" s="45" t="s">
        <v>5531</v>
      </c>
      <c r="Y896" s="45" t="s">
        <v>7505</v>
      </c>
    </row>
    <row r="897" spans="2:25" ht="15" customHeight="1">
      <c r="B897" s="45" t="s">
        <v>26</v>
      </c>
      <c r="C897" s="45" t="s">
        <v>44</v>
      </c>
      <c r="D897" s="45" t="s">
        <v>208</v>
      </c>
      <c r="E897" s="45" t="s">
        <v>7526</v>
      </c>
      <c r="F897" s="45" t="s">
        <v>312</v>
      </c>
      <c r="G897" s="45" t="s">
        <v>208</v>
      </c>
      <c r="H897" s="45" t="s">
        <v>2251</v>
      </c>
      <c r="I897" s="45" t="s">
        <v>275</v>
      </c>
      <c r="J897" s="45" t="s">
        <v>5963</v>
      </c>
      <c r="K897" s="47">
        <v>46218.478263888886</v>
      </c>
      <c r="L897" s="47">
        <v>46224.551238425927</v>
      </c>
      <c r="M897" s="47">
        <v>46224.551238425927</v>
      </c>
      <c r="N897" s="47">
        <v>46230.286724537036</v>
      </c>
      <c r="P897" s="47">
        <v>46230.286724537036</v>
      </c>
      <c r="Q897" s="45" t="s">
        <v>7527</v>
      </c>
      <c r="R897" s="45" t="s">
        <v>272</v>
      </c>
      <c r="S897" s="45" t="s">
        <v>175</v>
      </c>
      <c r="T897" s="45" t="s">
        <v>268</v>
      </c>
      <c r="U897" s="45" t="s">
        <v>5531</v>
      </c>
      <c r="X897" s="45" t="s">
        <v>5531</v>
      </c>
      <c r="Y897" s="45" t="s">
        <v>7528</v>
      </c>
    </row>
    <row r="898" spans="2:25" ht="15" customHeight="1">
      <c r="B898" s="45" t="s">
        <v>26</v>
      </c>
      <c r="C898" s="45" t="s">
        <v>44</v>
      </c>
      <c r="D898" s="45" t="s">
        <v>208</v>
      </c>
      <c r="E898" s="45" t="s">
        <v>7529</v>
      </c>
      <c r="F898" s="45" t="s">
        <v>312</v>
      </c>
      <c r="G898" s="45" t="s">
        <v>208</v>
      </c>
      <c r="H898" s="45" t="s">
        <v>7530</v>
      </c>
      <c r="I898" s="45" t="s">
        <v>271</v>
      </c>
      <c r="J898" s="45" t="s">
        <v>5963</v>
      </c>
      <c r="K898" s="47">
        <v>46219.420347222222</v>
      </c>
      <c r="L898" s="47">
        <v>46219.467037037037</v>
      </c>
      <c r="M898" s="47">
        <v>46219.467037037037</v>
      </c>
      <c r="N898" s="47">
        <v>46225.319884259261</v>
      </c>
      <c r="P898" s="47">
        <v>46225.319884259261</v>
      </c>
      <c r="Q898" s="45" t="s">
        <v>44</v>
      </c>
      <c r="R898" s="45" t="s">
        <v>272</v>
      </c>
      <c r="S898" s="45" t="s">
        <v>175</v>
      </c>
      <c r="T898" s="45" t="s">
        <v>268</v>
      </c>
      <c r="U898" s="45" t="s">
        <v>5531</v>
      </c>
      <c r="X898" s="45" t="s">
        <v>5531</v>
      </c>
      <c r="Y898" s="45" t="s">
        <v>6908</v>
      </c>
    </row>
    <row r="899" spans="2:25" ht="15" customHeight="1">
      <c r="B899" s="45" t="s">
        <v>26</v>
      </c>
      <c r="C899" s="45" t="s">
        <v>44</v>
      </c>
      <c r="D899" s="45" t="s">
        <v>208</v>
      </c>
      <c r="E899" s="45" t="s">
        <v>7531</v>
      </c>
      <c r="F899" s="45" t="s">
        <v>312</v>
      </c>
      <c r="G899" s="45" t="s">
        <v>208</v>
      </c>
      <c r="H899" s="45" t="s">
        <v>7532</v>
      </c>
      <c r="I899" s="45" t="s">
        <v>275</v>
      </c>
      <c r="J899" s="45" t="s">
        <v>5963</v>
      </c>
      <c r="K899" s="47">
        <v>46225.868738425925</v>
      </c>
      <c r="L899" s="47">
        <v>46226.460497685184</v>
      </c>
      <c r="M899" s="47">
        <v>46226.460497685184</v>
      </c>
      <c r="N899" s="47">
        <v>46227.31354166667</v>
      </c>
      <c r="P899" s="47">
        <v>46227.31354166667</v>
      </c>
      <c r="Q899" s="45" t="s">
        <v>5750</v>
      </c>
      <c r="R899" s="45" t="s">
        <v>272</v>
      </c>
      <c r="S899" s="45" t="s">
        <v>175</v>
      </c>
      <c r="T899" s="45" t="s">
        <v>268</v>
      </c>
      <c r="U899" s="45" t="s">
        <v>5531</v>
      </c>
      <c r="X899" s="45" t="s">
        <v>5531</v>
      </c>
      <c r="Y899" s="45" t="s">
        <v>7370</v>
      </c>
    </row>
    <row r="900" spans="2:25" ht="15" customHeight="1">
      <c r="B900" s="45" t="s">
        <v>26</v>
      </c>
      <c r="C900" s="45" t="s">
        <v>44</v>
      </c>
      <c r="D900" s="45" t="s">
        <v>208</v>
      </c>
      <c r="E900" s="45" t="s">
        <v>7533</v>
      </c>
      <c r="F900" s="45" t="s">
        <v>312</v>
      </c>
      <c r="G900" s="45" t="s">
        <v>208</v>
      </c>
      <c r="H900" s="45" t="s">
        <v>7534</v>
      </c>
      <c r="I900" s="45" t="s">
        <v>271</v>
      </c>
      <c r="J900" s="45" t="s">
        <v>5963</v>
      </c>
      <c r="K900" s="47">
        <v>46215.368159722224</v>
      </c>
      <c r="L900" s="47">
        <v>46218.321944444448</v>
      </c>
      <c r="M900" s="47">
        <v>46218.321944444448</v>
      </c>
      <c r="N900" s="47">
        <v>46226.33284722222</v>
      </c>
      <c r="P900" s="47">
        <v>46226.33284722222</v>
      </c>
      <c r="Q900" s="45" t="s">
        <v>7535</v>
      </c>
      <c r="R900" s="45" t="s">
        <v>272</v>
      </c>
      <c r="S900" s="45" t="s">
        <v>175</v>
      </c>
      <c r="T900" s="45" t="s">
        <v>268</v>
      </c>
      <c r="U900" s="45" t="s">
        <v>5531</v>
      </c>
      <c r="X900" s="45" t="s">
        <v>5531</v>
      </c>
      <c r="Y900" s="45" t="s">
        <v>6908</v>
      </c>
    </row>
    <row r="901" spans="2:25" ht="15" customHeight="1">
      <c r="B901" s="45" t="s">
        <v>26</v>
      </c>
      <c r="C901" s="45" t="s">
        <v>44</v>
      </c>
      <c r="D901" s="45" t="s">
        <v>208</v>
      </c>
      <c r="E901" s="45" t="s">
        <v>7536</v>
      </c>
      <c r="F901" s="45" t="s">
        <v>312</v>
      </c>
      <c r="G901" s="45" t="s">
        <v>208</v>
      </c>
      <c r="H901" s="45" t="s">
        <v>7537</v>
      </c>
      <c r="I901" s="45" t="s">
        <v>271</v>
      </c>
      <c r="J901" s="45" t="s">
        <v>5963</v>
      </c>
      <c r="K901" s="47">
        <v>46219.612384259257</v>
      </c>
      <c r="L901" s="47">
        <v>46220.315775462965</v>
      </c>
      <c r="M901" s="47">
        <v>46220.315775462965</v>
      </c>
      <c r="N901" s="47">
        <v>46225.615532407406</v>
      </c>
      <c r="P901" s="47">
        <v>46225.615532407406</v>
      </c>
      <c r="Q901" s="45" t="s">
        <v>44</v>
      </c>
      <c r="R901" s="45" t="s">
        <v>261</v>
      </c>
      <c r="S901" s="45" t="s">
        <v>175</v>
      </c>
      <c r="T901" s="45" t="s">
        <v>268</v>
      </c>
      <c r="U901" s="45" t="s">
        <v>5531</v>
      </c>
      <c r="X901" s="45" t="s">
        <v>5531</v>
      </c>
      <c r="Y901" s="45" t="s">
        <v>7538</v>
      </c>
    </row>
    <row r="902" spans="2:25" ht="15" customHeight="1">
      <c r="B902" s="45" t="s">
        <v>26</v>
      </c>
      <c r="C902" s="45" t="s">
        <v>44</v>
      </c>
      <c r="D902" s="45" t="s">
        <v>208</v>
      </c>
      <c r="E902" s="45" t="s">
        <v>7539</v>
      </c>
      <c r="F902" s="45" t="s">
        <v>312</v>
      </c>
      <c r="G902" s="45" t="s">
        <v>208</v>
      </c>
      <c r="H902" s="45" t="s">
        <v>7540</v>
      </c>
      <c r="I902" s="45" t="s">
        <v>271</v>
      </c>
      <c r="J902" s="45" t="s">
        <v>5963</v>
      </c>
      <c r="K902" s="47">
        <v>46224.440949074073</v>
      </c>
      <c r="L902" s="47">
        <v>46224.444918981484</v>
      </c>
      <c r="M902" s="47">
        <v>46224.444918981484</v>
      </c>
      <c r="N902" s="47">
        <v>46224.446377314816</v>
      </c>
      <c r="P902" s="47">
        <v>46224.446377314816</v>
      </c>
      <c r="Q902" s="45" t="s">
        <v>44</v>
      </c>
      <c r="R902" s="45" t="s">
        <v>272</v>
      </c>
      <c r="S902" s="45" t="s">
        <v>175</v>
      </c>
      <c r="T902" s="45" t="s">
        <v>268</v>
      </c>
      <c r="U902" s="45" t="s">
        <v>5531</v>
      </c>
      <c r="X902" s="45" t="s">
        <v>5531</v>
      </c>
      <c r="Y902" s="45" t="s">
        <v>5974</v>
      </c>
    </row>
    <row r="903" spans="2:25" ht="15" customHeight="1">
      <c r="B903" s="45" t="s">
        <v>26</v>
      </c>
      <c r="C903" s="45" t="s">
        <v>44</v>
      </c>
      <c r="D903" s="45" t="s">
        <v>208</v>
      </c>
      <c r="E903" s="45" t="s">
        <v>7541</v>
      </c>
      <c r="F903" s="45" t="s">
        <v>312</v>
      </c>
      <c r="G903" s="45" t="s">
        <v>208</v>
      </c>
      <c r="H903" s="45" t="s">
        <v>7542</v>
      </c>
      <c r="I903" s="45" t="s">
        <v>275</v>
      </c>
      <c r="J903" s="45" t="s">
        <v>5963</v>
      </c>
      <c r="K903" s="47">
        <v>46223.485069444447</v>
      </c>
      <c r="L903" s="47">
        <v>46224.278425925928</v>
      </c>
      <c r="M903" s="47">
        <v>46224.278425925928</v>
      </c>
      <c r="N903" s="47">
        <v>46225.60392361111</v>
      </c>
      <c r="P903" s="47">
        <v>46225.60392361111</v>
      </c>
      <c r="Q903" s="45" t="s">
        <v>44</v>
      </c>
      <c r="R903" s="45" t="s">
        <v>261</v>
      </c>
      <c r="S903" s="45" t="s">
        <v>175</v>
      </c>
      <c r="T903" s="45" t="s">
        <v>268</v>
      </c>
      <c r="U903" s="45" t="s">
        <v>5531</v>
      </c>
      <c r="X903" s="45" t="s">
        <v>5531</v>
      </c>
      <c r="Y903" s="45" t="s">
        <v>7505</v>
      </c>
    </row>
    <row r="904" spans="2:25" ht="15" customHeight="1">
      <c r="B904" s="45" t="s">
        <v>26</v>
      </c>
      <c r="C904" s="45" t="s">
        <v>44</v>
      </c>
      <c r="D904" s="45" t="s">
        <v>208</v>
      </c>
      <c r="E904" s="45" t="s">
        <v>7543</v>
      </c>
      <c r="F904" s="45" t="s">
        <v>312</v>
      </c>
      <c r="G904" s="45" t="s">
        <v>208</v>
      </c>
      <c r="H904" s="45" t="s">
        <v>7544</v>
      </c>
      <c r="I904" s="45" t="s">
        <v>271</v>
      </c>
      <c r="J904" s="45" t="s">
        <v>5963</v>
      </c>
      <c r="K904" s="47">
        <v>46211.4690625</v>
      </c>
      <c r="L904" s="47">
        <v>46213.291562500002</v>
      </c>
      <c r="M904" s="47">
        <v>46213.291562500002</v>
      </c>
      <c r="N904" s="47">
        <v>46218.584618055553</v>
      </c>
      <c r="P904" s="47">
        <v>46218.584618055553</v>
      </c>
      <c r="Q904" s="45" t="s">
        <v>44</v>
      </c>
      <c r="R904" s="45" t="s">
        <v>261</v>
      </c>
      <c r="S904" s="45" t="s">
        <v>175</v>
      </c>
      <c r="T904" s="45" t="s">
        <v>268</v>
      </c>
      <c r="U904" s="45" t="s">
        <v>5531</v>
      </c>
      <c r="X904" s="45" t="s">
        <v>5531</v>
      </c>
      <c r="Y904" s="45" t="s">
        <v>6908</v>
      </c>
    </row>
    <row r="905" spans="2:25" ht="15" customHeight="1">
      <c r="B905" s="45" t="s">
        <v>26</v>
      </c>
      <c r="C905" s="45" t="s">
        <v>44</v>
      </c>
      <c r="D905" s="45" t="s">
        <v>208</v>
      </c>
      <c r="E905" s="45" t="s">
        <v>7545</v>
      </c>
      <c r="F905" s="45" t="s">
        <v>312</v>
      </c>
      <c r="G905" s="45" t="s">
        <v>208</v>
      </c>
      <c r="H905" s="45" t="s">
        <v>7546</v>
      </c>
      <c r="I905" s="45" t="s">
        <v>275</v>
      </c>
      <c r="J905" s="45" t="s">
        <v>5963</v>
      </c>
      <c r="K905" s="47">
        <v>46219.567939814813</v>
      </c>
      <c r="L905" s="47">
        <v>46220.314479166664</v>
      </c>
      <c r="M905" s="47">
        <v>46220.314479166664</v>
      </c>
      <c r="N905" s="47">
        <v>46224.504687499997</v>
      </c>
      <c r="P905" s="47">
        <v>46224.504687499997</v>
      </c>
      <c r="Q905" s="45" t="s">
        <v>44</v>
      </c>
      <c r="R905" s="45" t="s">
        <v>261</v>
      </c>
      <c r="S905" s="45" t="s">
        <v>175</v>
      </c>
      <c r="T905" s="45" t="s">
        <v>268</v>
      </c>
      <c r="U905" s="45" t="s">
        <v>5531</v>
      </c>
      <c r="X905" s="45" t="s">
        <v>5531</v>
      </c>
      <c r="Y905" s="45" t="s">
        <v>7505</v>
      </c>
    </row>
    <row r="906" spans="2:25" ht="15" customHeight="1">
      <c r="B906" s="45" t="s">
        <v>26</v>
      </c>
      <c r="C906" s="45" t="s">
        <v>44</v>
      </c>
      <c r="D906" s="45" t="s">
        <v>208</v>
      </c>
      <c r="E906" s="45" t="s">
        <v>7547</v>
      </c>
      <c r="F906" s="45" t="s">
        <v>312</v>
      </c>
      <c r="G906" s="45" t="s">
        <v>208</v>
      </c>
      <c r="H906" s="45" t="s">
        <v>7548</v>
      </c>
      <c r="I906" s="45" t="s">
        <v>271</v>
      </c>
      <c r="J906" s="45" t="s">
        <v>5963</v>
      </c>
      <c r="K906" s="47">
        <v>46210.508553240739</v>
      </c>
      <c r="L906" s="47">
        <v>46212.420601851853</v>
      </c>
      <c r="M906" s="47">
        <v>46212.420601851853</v>
      </c>
      <c r="N906" s="47">
        <v>46218.588449074072</v>
      </c>
      <c r="P906" s="47">
        <v>46218.588449074072</v>
      </c>
      <c r="Q906" s="45" t="s">
        <v>44</v>
      </c>
      <c r="R906" s="45" t="s">
        <v>261</v>
      </c>
      <c r="S906" s="45" t="s">
        <v>175</v>
      </c>
      <c r="T906" s="45" t="s">
        <v>268</v>
      </c>
      <c r="U906" s="45" t="s">
        <v>5531</v>
      </c>
      <c r="X906" s="45" t="s">
        <v>5531</v>
      </c>
      <c r="Y906" s="45" t="s">
        <v>5713</v>
      </c>
    </row>
    <row r="907" spans="2:25" ht="15" customHeight="1">
      <c r="B907" s="45" t="s">
        <v>26</v>
      </c>
      <c r="C907" s="45" t="s">
        <v>44</v>
      </c>
      <c r="D907" s="45" t="s">
        <v>208</v>
      </c>
      <c r="E907" s="45" t="s">
        <v>7549</v>
      </c>
      <c r="F907" s="45" t="s">
        <v>312</v>
      </c>
      <c r="G907" s="45" t="s">
        <v>208</v>
      </c>
      <c r="H907" s="45" t="s">
        <v>7550</v>
      </c>
      <c r="I907" s="45" t="s">
        <v>271</v>
      </c>
      <c r="J907" s="45" t="s">
        <v>5963</v>
      </c>
      <c r="K907" s="47">
        <v>46211.676053240742</v>
      </c>
      <c r="L907" s="47">
        <v>46212.278321759259</v>
      </c>
      <c r="M907" s="47">
        <v>46212.278321759259</v>
      </c>
      <c r="N907" s="47">
        <v>46217.285925925928</v>
      </c>
      <c r="P907" s="47">
        <v>46217.285925925928</v>
      </c>
      <c r="Q907" s="45" t="s">
        <v>44</v>
      </c>
      <c r="R907" s="45" t="s">
        <v>261</v>
      </c>
      <c r="S907" s="45" t="s">
        <v>175</v>
      </c>
      <c r="T907" s="45" t="s">
        <v>268</v>
      </c>
      <c r="U907" s="45" t="s">
        <v>5531</v>
      </c>
      <c r="X907" s="45" t="s">
        <v>5531</v>
      </c>
      <c r="Y907" s="45" t="s">
        <v>6908</v>
      </c>
    </row>
    <row r="908" spans="2:25" ht="15" customHeight="1">
      <c r="B908" s="45" t="s">
        <v>26</v>
      </c>
      <c r="C908" s="45" t="s">
        <v>44</v>
      </c>
      <c r="D908" s="45" t="s">
        <v>208</v>
      </c>
      <c r="E908" s="45" t="s">
        <v>7551</v>
      </c>
      <c r="F908" s="45" t="s">
        <v>312</v>
      </c>
      <c r="G908" s="45" t="s">
        <v>208</v>
      </c>
      <c r="H908" s="45" t="s">
        <v>7552</v>
      </c>
      <c r="I908" s="45" t="s">
        <v>271</v>
      </c>
      <c r="J908" s="45" t="s">
        <v>5963</v>
      </c>
      <c r="K908" s="47">
        <v>46204.505682870367</v>
      </c>
      <c r="L908" s="47">
        <v>46204.516597222224</v>
      </c>
      <c r="M908" s="47">
        <v>46204.516597222224</v>
      </c>
      <c r="N908" s="47">
        <v>46205.277106481481</v>
      </c>
      <c r="P908" s="47">
        <v>46205.277106481481</v>
      </c>
      <c r="Q908" s="45" t="s">
        <v>44</v>
      </c>
      <c r="R908" s="45" t="s">
        <v>261</v>
      </c>
      <c r="S908" s="45" t="s">
        <v>175</v>
      </c>
      <c r="T908" s="45" t="s">
        <v>268</v>
      </c>
      <c r="U908" s="45" t="s">
        <v>5531</v>
      </c>
      <c r="X908" s="45" t="s">
        <v>5531</v>
      </c>
      <c r="Y908" s="45" t="s">
        <v>7505</v>
      </c>
    </row>
    <row r="909" spans="2:25" ht="15" customHeight="1">
      <c r="B909" s="45" t="s">
        <v>26</v>
      </c>
      <c r="C909" s="45" t="s">
        <v>44</v>
      </c>
      <c r="D909" s="45" t="s">
        <v>208</v>
      </c>
      <c r="E909" s="45" t="s">
        <v>7553</v>
      </c>
      <c r="F909" s="45" t="s">
        <v>312</v>
      </c>
      <c r="G909" s="45" t="s">
        <v>208</v>
      </c>
      <c r="H909" s="45" t="s">
        <v>7554</v>
      </c>
      <c r="I909" s="45" t="s">
        <v>275</v>
      </c>
      <c r="J909" s="45" t="s">
        <v>5963</v>
      </c>
      <c r="K909" s="47">
        <v>46203.618611111109</v>
      </c>
      <c r="L909" s="47">
        <v>46204.291331018518</v>
      </c>
      <c r="M909" s="47">
        <v>46204.291331018518</v>
      </c>
      <c r="N909" s="47">
        <v>46205.345405092594</v>
      </c>
      <c r="P909" s="47">
        <v>46205.345405092594</v>
      </c>
      <c r="Q909" s="45" t="s">
        <v>44</v>
      </c>
      <c r="R909" s="45" t="s">
        <v>261</v>
      </c>
      <c r="S909" s="45" t="s">
        <v>175</v>
      </c>
      <c r="T909" s="45" t="s">
        <v>268</v>
      </c>
      <c r="U909" s="45" t="s">
        <v>5531</v>
      </c>
      <c r="X909" s="45" t="s">
        <v>5531</v>
      </c>
      <c r="Y909" s="45" t="s">
        <v>7505</v>
      </c>
    </row>
    <row r="910" spans="2:25" ht="15" customHeight="1">
      <c r="B910" s="45" t="s">
        <v>26</v>
      </c>
      <c r="C910" s="45" t="s">
        <v>44</v>
      </c>
      <c r="D910" s="45" t="s">
        <v>208</v>
      </c>
      <c r="E910" s="45" t="s">
        <v>7555</v>
      </c>
      <c r="F910" s="45" t="s">
        <v>312</v>
      </c>
      <c r="G910" s="45" t="s">
        <v>208</v>
      </c>
      <c r="H910" s="45" t="s">
        <v>7556</v>
      </c>
      <c r="I910" s="45" t="s">
        <v>271</v>
      </c>
      <c r="J910" s="45" t="s">
        <v>5963</v>
      </c>
      <c r="K910" s="47">
        <v>46197.511921296296</v>
      </c>
      <c r="L910" s="47">
        <v>46197.557268518518</v>
      </c>
      <c r="M910" s="47">
        <v>46197.557268518518</v>
      </c>
      <c r="N910" s="47">
        <v>46209.344861111109</v>
      </c>
      <c r="P910" s="47">
        <v>46209.344861111109</v>
      </c>
      <c r="Q910" s="45" t="s">
        <v>6083</v>
      </c>
      <c r="R910" s="45" t="s">
        <v>272</v>
      </c>
      <c r="S910" s="45" t="s">
        <v>175</v>
      </c>
      <c r="T910" s="45" t="s">
        <v>268</v>
      </c>
      <c r="U910" s="45" t="s">
        <v>5531</v>
      </c>
      <c r="X910" s="45" t="s">
        <v>5531</v>
      </c>
      <c r="Y910" s="45" t="s">
        <v>6908</v>
      </c>
    </row>
    <row r="911" spans="2:25" ht="15" customHeight="1">
      <c r="B911" s="45" t="s">
        <v>26</v>
      </c>
      <c r="C911" s="45" t="s">
        <v>44</v>
      </c>
      <c r="D911" s="45" t="s">
        <v>208</v>
      </c>
      <c r="E911" s="45" t="s">
        <v>7557</v>
      </c>
      <c r="F911" s="45" t="s">
        <v>312</v>
      </c>
      <c r="G911" s="45" t="s">
        <v>208</v>
      </c>
      <c r="H911" s="45" t="s">
        <v>7558</v>
      </c>
      <c r="I911" s="45" t="s">
        <v>275</v>
      </c>
      <c r="J911" s="45" t="s">
        <v>5963</v>
      </c>
      <c r="K911" s="47">
        <v>46205.467361111114</v>
      </c>
      <c r="L911" s="47">
        <v>46205.483055555553</v>
      </c>
      <c r="M911" s="47">
        <v>46205.483055555553</v>
      </c>
      <c r="N911" s="47">
        <v>46211.367384259262</v>
      </c>
      <c r="P911" s="71">
        <v>46211.367384259262</v>
      </c>
      <c r="Q911" s="45" t="s">
        <v>44</v>
      </c>
      <c r="R911" s="45" t="s">
        <v>261</v>
      </c>
      <c r="S911" s="45" t="s">
        <v>175</v>
      </c>
      <c r="T911" s="45" t="s">
        <v>268</v>
      </c>
      <c r="U911" s="45" t="s">
        <v>5531</v>
      </c>
      <c r="X911" s="45" t="s">
        <v>5531</v>
      </c>
      <c r="Y911" s="45" t="s">
        <v>7505</v>
      </c>
    </row>
    <row r="912" spans="2:25" ht="15" customHeight="1">
      <c r="B912" s="45" t="s">
        <v>26</v>
      </c>
      <c r="C912" s="45" t="s">
        <v>44</v>
      </c>
      <c r="D912" s="45" t="s">
        <v>208</v>
      </c>
      <c r="E912" s="45" t="s">
        <v>7559</v>
      </c>
      <c r="F912" s="45" t="s">
        <v>312</v>
      </c>
      <c r="G912" s="45" t="s">
        <v>208</v>
      </c>
      <c r="H912" s="45" t="s">
        <v>7560</v>
      </c>
      <c r="I912" s="45" t="s">
        <v>275</v>
      </c>
      <c r="J912" s="45" t="s">
        <v>5963</v>
      </c>
      <c r="K912" s="47">
        <v>46205.466516203705</v>
      </c>
      <c r="L912" s="47">
        <v>46205.483368055553</v>
      </c>
      <c r="M912" s="47">
        <v>46205.483368055553</v>
      </c>
      <c r="N912" s="47">
        <v>46211.370023148149</v>
      </c>
      <c r="P912" s="47">
        <v>46211.370023148149</v>
      </c>
      <c r="Q912" s="45" t="s">
        <v>44</v>
      </c>
      <c r="R912" s="45" t="s">
        <v>261</v>
      </c>
      <c r="S912" s="45" t="s">
        <v>175</v>
      </c>
      <c r="T912" s="45" t="s">
        <v>268</v>
      </c>
      <c r="U912" s="45" t="s">
        <v>5531</v>
      </c>
      <c r="X912" s="45" t="s">
        <v>5531</v>
      </c>
      <c r="Y912" s="45" t="s">
        <v>7505</v>
      </c>
    </row>
    <row r="913" spans="2:25" ht="15" customHeight="1">
      <c r="B913" s="45" t="s">
        <v>26</v>
      </c>
      <c r="C913" s="45" t="s">
        <v>44</v>
      </c>
      <c r="D913" s="45" t="s">
        <v>208</v>
      </c>
      <c r="E913" s="45" t="s">
        <v>7561</v>
      </c>
      <c r="F913" s="45" t="s">
        <v>312</v>
      </c>
      <c r="G913" s="45" t="s">
        <v>208</v>
      </c>
      <c r="H913" s="45" t="s">
        <v>7562</v>
      </c>
      <c r="I913" s="45" t="s">
        <v>275</v>
      </c>
      <c r="J913" s="45" t="s">
        <v>5963</v>
      </c>
      <c r="K913" s="47">
        <v>46206.620694444442</v>
      </c>
      <c r="L913" s="47">
        <v>46209.296724537038</v>
      </c>
      <c r="M913" s="47">
        <v>46209.296724537038</v>
      </c>
      <c r="N913" s="47">
        <v>46211.375590277778</v>
      </c>
      <c r="P913" s="47">
        <v>46211.375590277778</v>
      </c>
      <c r="Q913" s="45" t="s">
        <v>44</v>
      </c>
      <c r="R913" s="45" t="s">
        <v>261</v>
      </c>
      <c r="S913" s="45" t="s">
        <v>175</v>
      </c>
      <c r="T913" s="45" t="s">
        <v>268</v>
      </c>
      <c r="U913" s="45" t="s">
        <v>5531</v>
      </c>
      <c r="X913" s="45" t="s">
        <v>5531</v>
      </c>
      <c r="Y913" s="45" t="s">
        <v>7505</v>
      </c>
    </row>
    <row r="914" spans="2:25" ht="15" customHeight="1">
      <c r="B914" s="45" t="s">
        <v>26</v>
      </c>
      <c r="C914" s="45" t="s">
        <v>44</v>
      </c>
      <c r="D914" s="45" t="s">
        <v>208</v>
      </c>
      <c r="E914" s="45" t="s">
        <v>7563</v>
      </c>
      <c r="F914" s="45" t="s">
        <v>312</v>
      </c>
      <c r="G914" s="45" t="s">
        <v>208</v>
      </c>
      <c r="H914" s="45" t="s">
        <v>7564</v>
      </c>
      <c r="I914" s="45" t="s">
        <v>271</v>
      </c>
      <c r="J914" s="45" t="s">
        <v>5963</v>
      </c>
      <c r="K914" s="47">
        <v>46210.433969907404</v>
      </c>
      <c r="L914" s="47">
        <v>46210.515902777777</v>
      </c>
      <c r="M914" s="47">
        <v>46210.515902777777</v>
      </c>
      <c r="N914" s="47">
        <v>46217.288310185184</v>
      </c>
      <c r="P914" s="47">
        <v>46217.288310185184</v>
      </c>
      <c r="Q914" s="45" t="s">
        <v>44</v>
      </c>
      <c r="R914" s="45" t="s">
        <v>272</v>
      </c>
      <c r="S914" s="45" t="s">
        <v>175</v>
      </c>
      <c r="T914" s="45" t="s">
        <v>268</v>
      </c>
      <c r="U914" s="45" t="s">
        <v>5531</v>
      </c>
      <c r="X914" s="45" t="s">
        <v>5531</v>
      </c>
      <c r="Y914" s="45" t="s">
        <v>7505</v>
      </c>
    </row>
    <row r="915" spans="2:25" ht="15" customHeight="1">
      <c r="B915" s="45" t="s">
        <v>26</v>
      </c>
      <c r="C915" s="45" t="s">
        <v>44</v>
      </c>
      <c r="D915" s="45" t="s">
        <v>208</v>
      </c>
      <c r="E915" s="45" t="s">
        <v>7565</v>
      </c>
      <c r="F915" s="45" t="s">
        <v>312</v>
      </c>
      <c r="G915" s="45" t="s">
        <v>208</v>
      </c>
      <c r="H915" s="45" t="s">
        <v>7566</v>
      </c>
      <c r="I915" s="45" t="s">
        <v>275</v>
      </c>
      <c r="J915" s="45" t="s">
        <v>5963</v>
      </c>
      <c r="K915" s="47">
        <v>46205.523946759262</v>
      </c>
      <c r="L915" s="47">
        <v>46206.298194444447</v>
      </c>
      <c r="M915" s="47">
        <v>46206.298194444447</v>
      </c>
      <c r="N915" s="47">
        <v>46211.37909722222</v>
      </c>
      <c r="P915" s="47">
        <v>46211.37909722222</v>
      </c>
      <c r="Q915" s="45" t="s">
        <v>44</v>
      </c>
      <c r="R915" s="45" t="s">
        <v>261</v>
      </c>
      <c r="S915" s="45" t="s">
        <v>175</v>
      </c>
      <c r="T915" s="45" t="s">
        <v>268</v>
      </c>
      <c r="U915" s="45" t="s">
        <v>5531</v>
      </c>
      <c r="X915" s="45" t="s">
        <v>5531</v>
      </c>
      <c r="Y915" s="45" t="s">
        <v>6908</v>
      </c>
    </row>
    <row r="916" spans="2:25" ht="15" customHeight="1">
      <c r="B916" s="45" t="s">
        <v>26</v>
      </c>
      <c r="C916" s="45" t="s">
        <v>44</v>
      </c>
      <c r="D916" s="45" t="s">
        <v>208</v>
      </c>
      <c r="E916" s="45" t="s">
        <v>7567</v>
      </c>
      <c r="F916" s="45" t="s">
        <v>312</v>
      </c>
      <c r="G916" s="45" t="s">
        <v>208</v>
      </c>
      <c r="H916" s="45" t="s">
        <v>7568</v>
      </c>
      <c r="I916" s="45" t="s">
        <v>275</v>
      </c>
      <c r="J916" s="45" t="s">
        <v>5963</v>
      </c>
      <c r="K916" s="47">
        <v>46212.418854166666</v>
      </c>
      <c r="L916" s="47">
        <v>46212.524780092594</v>
      </c>
      <c r="M916" s="47">
        <v>46212.524780092594</v>
      </c>
      <c r="N916" s="47">
        <v>46213.488576388889</v>
      </c>
      <c r="P916" s="47">
        <v>46213.488576388889</v>
      </c>
      <c r="Q916" s="45" t="s">
        <v>44</v>
      </c>
      <c r="R916" s="45" t="s">
        <v>261</v>
      </c>
      <c r="S916" s="45" t="s">
        <v>175</v>
      </c>
      <c r="T916" s="45" t="s">
        <v>268</v>
      </c>
      <c r="U916" s="45" t="s">
        <v>5531</v>
      </c>
      <c r="X916" s="45" t="s">
        <v>5531</v>
      </c>
      <c r="Y916" s="45" t="s">
        <v>7505</v>
      </c>
    </row>
    <row r="917" spans="2:25" ht="15" customHeight="1">
      <c r="B917" s="45" t="s">
        <v>26</v>
      </c>
      <c r="C917" s="45" t="s">
        <v>44</v>
      </c>
      <c r="D917" s="45" t="s">
        <v>208</v>
      </c>
      <c r="E917" s="45" t="s">
        <v>7569</v>
      </c>
      <c r="F917" s="45" t="s">
        <v>312</v>
      </c>
      <c r="G917" s="45" t="s">
        <v>208</v>
      </c>
      <c r="H917" s="45" t="s">
        <v>7570</v>
      </c>
      <c r="I917" s="45" t="s">
        <v>271</v>
      </c>
      <c r="J917" s="45" t="s">
        <v>5963</v>
      </c>
      <c r="K917" s="47">
        <v>46209.499120370368</v>
      </c>
      <c r="L917" s="47">
        <v>46209.55263888889</v>
      </c>
      <c r="M917" s="47">
        <v>46209.55263888889</v>
      </c>
      <c r="N917" s="47">
        <v>46217.289178240739</v>
      </c>
      <c r="P917" s="47">
        <v>46217.289178240739</v>
      </c>
      <c r="Q917" s="45" t="s">
        <v>7571</v>
      </c>
      <c r="R917" s="45" t="s">
        <v>272</v>
      </c>
      <c r="S917" s="45" t="s">
        <v>175</v>
      </c>
      <c r="T917" s="45" t="s">
        <v>268</v>
      </c>
      <c r="U917" s="45" t="s">
        <v>5531</v>
      </c>
      <c r="X917" s="45" t="s">
        <v>5531</v>
      </c>
      <c r="Y917" s="45" t="s">
        <v>6908</v>
      </c>
    </row>
    <row r="918" spans="2:25" ht="15" customHeight="1">
      <c r="B918" s="45" t="s">
        <v>26</v>
      </c>
      <c r="C918" s="45" t="s">
        <v>44</v>
      </c>
      <c r="D918" s="45" t="s">
        <v>208</v>
      </c>
      <c r="E918" s="45" t="s">
        <v>7572</v>
      </c>
      <c r="F918" s="45" t="s">
        <v>312</v>
      </c>
      <c r="G918" s="45" t="s">
        <v>208</v>
      </c>
      <c r="H918" s="45" t="s">
        <v>7573</v>
      </c>
      <c r="I918" s="45" t="s">
        <v>271</v>
      </c>
      <c r="J918" s="45" t="s">
        <v>5963</v>
      </c>
      <c r="K918" s="47">
        <v>46206.586481481485</v>
      </c>
      <c r="L918" s="47">
        <v>46209.296527777777</v>
      </c>
      <c r="M918" s="47">
        <v>46209.296527777777</v>
      </c>
      <c r="N918" s="47">
        <v>46217.290497685186</v>
      </c>
      <c r="P918" s="47">
        <v>46217.290497685186</v>
      </c>
      <c r="Q918" s="45" t="s">
        <v>44</v>
      </c>
      <c r="R918" s="45" t="s">
        <v>261</v>
      </c>
      <c r="S918" s="45" t="s">
        <v>175</v>
      </c>
      <c r="T918" s="45" t="s">
        <v>268</v>
      </c>
      <c r="U918" s="45" t="s">
        <v>5531</v>
      </c>
      <c r="X918" s="45" t="s">
        <v>5531</v>
      </c>
      <c r="Y918" s="45" t="s">
        <v>6908</v>
      </c>
    </row>
    <row r="919" spans="2:25" ht="15" customHeight="1">
      <c r="B919" s="45" t="s">
        <v>26</v>
      </c>
      <c r="C919" s="45" t="s">
        <v>44</v>
      </c>
      <c r="D919" s="45" t="s">
        <v>208</v>
      </c>
      <c r="E919" s="45" t="s">
        <v>7574</v>
      </c>
      <c r="F919" s="45" t="s">
        <v>312</v>
      </c>
      <c r="G919" s="45" t="s">
        <v>208</v>
      </c>
      <c r="H919" s="45" t="s">
        <v>7575</v>
      </c>
      <c r="I919" s="45" t="s">
        <v>275</v>
      </c>
      <c r="J919" s="45" t="s">
        <v>5963</v>
      </c>
      <c r="K919" s="47">
        <v>46232.4065162037</v>
      </c>
      <c r="L919" s="47">
        <v>46233.611458333333</v>
      </c>
      <c r="M919" s="47">
        <v>46233.611458333333</v>
      </c>
      <c r="N919" s="47">
        <v>46237.357615740744</v>
      </c>
      <c r="P919" s="47">
        <v>46237.357615740744</v>
      </c>
      <c r="Q919" s="45" t="s">
        <v>44</v>
      </c>
      <c r="R919" s="45" t="s">
        <v>261</v>
      </c>
      <c r="S919" s="45" t="s">
        <v>175</v>
      </c>
      <c r="T919" s="45" t="s">
        <v>268</v>
      </c>
      <c r="U919" s="45" t="s">
        <v>5531</v>
      </c>
      <c r="X919" s="45" t="s">
        <v>5531</v>
      </c>
      <c r="Y919" s="45" t="s">
        <v>7505</v>
      </c>
    </row>
    <row r="920" spans="2:25" ht="15" customHeight="1">
      <c r="B920" s="45" t="s">
        <v>26</v>
      </c>
      <c r="C920" s="45" t="s">
        <v>44</v>
      </c>
      <c r="D920" s="45" t="s">
        <v>207</v>
      </c>
      <c r="E920" s="45" t="s">
        <v>4489</v>
      </c>
      <c r="F920" s="45" t="s">
        <v>312</v>
      </c>
      <c r="G920" s="45">
        <v>4</v>
      </c>
      <c r="H920" s="45" t="s">
        <v>4490</v>
      </c>
      <c r="I920" s="45" t="s">
        <v>275</v>
      </c>
      <c r="J920" s="45" t="s">
        <v>5655</v>
      </c>
      <c r="K920" s="47">
        <v>46233.45349537037</v>
      </c>
      <c r="L920" s="47">
        <v>46237.267118055555</v>
      </c>
      <c r="M920" s="47">
        <v>46237.267118055555</v>
      </c>
      <c r="N920" s="47">
        <v>46237.30195601852</v>
      </c>
      <c r="P920" s="47">
        <v>46237.30195601852</v>
      </c>
      <c r="Q920" s="45" t="s">
        <v>5853</v>
      </c>
      <c r="R920" s="45" t="s">
        <v>261</v>
      </c>
      <c r="S920" s="45" t="s">
        <v>175</v>
      </c>
      <c r="T920" s="45" t="s">
        <v>268</v>
      </c>
      <c r="U920" s="45" t="s">
        <v>5531</v>
      </c>
      <c r="X920" s="45" t="s">
        <v>5531</v>
      </c>
      <c r="Y920" s="45" t="s">
        <v>7576</v>
      </c>
    </row>
    <row r="921" spans="2:25" ht="15" customHeight="1">
      <c r="B921" s="45" t="s">
        <v>26</v>
      </c>
      <c r="C921" s="45" t="s">
        <v>44</v>
      </c>
      <c r="D921" s="45" t="s">
        <v>207</v>
      </c>
      <c r="E921" s="45" t="s">
        <v>4457</v>
      </c>
      <c r="F921" s="45" t="s">
        <v>312</v>
      </c>
      <c r="G921" s="45">
        <v>3</v>
      </c>
      <c r="H921" s="45" t="s">
        <v>4458</v>
      </c>
      <c r="I921" s="45" t="s">
        <v>275</v>
      </c>
      <c r="J921" s="45" t="s">
        <v>5655</v>
      </c>
      <c r="K921" s="47">
        <v>46233.498888888891</v>
      </c>
      <c r="L921" s="47">
        <v>46237.26766203704</v>
      </c>
      <c r="M921" s="47">
        <v>46237.26766203704</v>
      </c>
      <c r="N921" s="47">
        <v>46237.298900462964</v>
      </c>
      <c r="P921" s="47">
        <v>46237.298900462964</v>
      </c>
      <c r="Q921" s="45" t="s">
        <v>5853</v>
      </c>
      <c r="R921" s="45" t="s">
        <v>261</v>
      </c>
      <c r="S921" s="45" t="s">
        <v>175</v>
      </c>
      <c r="T921" s="45" t="s">
        <v>268</v>
      </c>
      <c r="U921" s="45" t="s">
        <v>5531</v>
      </c>
      <c r="X921" s="45" t="s">
        <v>5531</v>
      </c>
      <c r="Y921" s="45" t="s">
        <v>7577</v>
      </c>
    </row>
    <row r="922" spans="2:25" ht="15" customHeight="1">
      <c r="B922" s="45" t="s">
        <v>26</v>
      </c>
      <c r="C922" s="45" t="s">
        <v>44</v>
      </c>
      <c r="D922" s="45" t="s">
        <v>207</v>
      </c>
      <c r="E922" s="45" t="s">
        <v>4423</v>
      </c>
      <c r="F922" s="45" t="s">
        <v>312</v>
      </c>
      <c r="G922" s="45">
        <v>4</v>
      </c>
      <c r="H922" s="45" t="s">
        <v>4424</v>
      </c>
      <c r="I922" s="45" t="s">
        <v>275</v>
      </c>
      <c r="J922" s="45" t="s">
        <v>5655</v>
      </c>
      <c r="K922" s="47">
        <v>46229.362280092595</v>
      </c>
      <c r="L922" s="47">
        <v>46232.293321759258</v>
      </c>
      <c r="M922" s="47">
        <v>46232.293321759258</v>
      </c>
      <c r="N922" s="47">
        <v>46232.320219907408</v>
      </c>
      <c r="P922" s="47">
        <v>46232.320219907408</v>
      </c>
      <c r="Q922" s="45" t="s">
        <v>5853</v>
      </c>
      <c r="R922" s="45" t="s">
        <v>261</v>
      </c>
      <c r="S922" s="45" t="s">
        <v>175</v>
      </c>
      <c r="T922" s="45" t="s">
        <v>268</v>
      </c>
      <c r="U922" s="45" t="s">
        <v>5531</v>
      </c>
      <c r="X922" s="45" t="s">
        <v>5531</v>
      </c>
      <c r="Y922" s="45" t="s">
        <v>7578</v>
      </c>
    </row>
    <row r="923" spans="2:25" ht="15" customHeight="1">
      <c r="B923" s="45" t="s">
        <v>26</v>
      </c>
      <c r="C923" s="45" t="s">
        <v>44</v>
      </c>
      <c r="D923" s="45" t="s">
        <v>207</v>
      </c>
      <c r="E923" s="45" t="s">
        <v>4276</v>
      </c>
      <c r="F923" s="45" t="s">
        <v>312</v>
      </c>
      <c r="G923" s="45">
        <v>3</v>
      </c>
      <c r="H923" s="45" t="s">
        <v>4277</v>
      </c>
      <c r="I923" s="45" t="s">
        <v>275</v>
      </c>
      <c r="J923" s="45" t="s">
        <v>5655</v>
      </c>
      <c r="K923" s="47">
        <v>46225.472962962966</v>
      </c>
      <c r="L923" s="47">
        <v>46226.277418981481</v>
      </c>
      <c r="M923" s="47">
        <v>46226.277418981481</v>
      </c>
      <c r="N923" s="47">
        <v>46226.326944444445</v>
      </c>
      <c r="P923" s="47">
        <v>46226.326944444445</v>
      </c>
      <c r="Q923" s="45" t="s">
        <v>5672</v>
      </c>
      <c r="R923" s="45" t="s">
        <v>272</v>
      </c>
      <c r="S923" s="45" t="s">
        <v>175</v>
      </c>
      <c r="T923" s="45" t="s">
        <v>268</v>
      </c>
      <c r="U923" s="45" t="s">
        <v>5531</v>
      </c>
      <c r="X923" s="45" t="s">
        <v>5531</v>
      </c>
      <c r="Y923" s="45" t="s">
        <v>7579</v>
      </c>
    </row>
    <row r="924" spans="2:25" ht="15" customHeight="1">
      <c r="B924" s="45" t="s">
        <v>26</v>
      </c>
      <c r="C924" s="45" t="s">
        <v>44</v>
      </c>
      <c r="D924" s="45" t="s">
        <v>207</v>
      </c>
      <c r="E924" s="45" t="s">
        <v>7580</v>
      </c>
      <c r="F924" s="45" t="s">
        <v>312</v>
      </c>
      <c r="G924" s="45">
        <v>3</v>
      </c>
      <c r="H924" s="45" t="s">
        <v>7581</v>
      </c>
      <c r="I924" s="45" t="s">
        <v>275</v>
      </c>
      <c r="J924" s="45" t="s">
        <v>5655</v>
      </c>
      <c r="K924" s="47">
        <v>46226.173807870371</v>
      </c>
      <c r="L924" s="47">
        <v>46226.408136574071</v>
      </c>
      <c r="M924" s="47">
        <v>46226.408136574071</v>
      </c>
      <c r="N924" s="47">
        <v>46227.398854166669</v>
      </c>
      <c r="P924" s="47">
        <v>46227.398854166669</v>
      </c>
      <c r="Q924" s="45" t="s">
        <v>5672</v>
      </c>
      <c r="R924" s="45" t="s">
        <v>272</v>
      </c>
      <c r="S924" s="45" t="s">
        <v>175</v>
      </c>
      <c r="T924" s="45" t="s">
        <v>268</v>
      </c>
      <c r="U924" s="45" t="s">
        <v>5531</v>
      </c>
      <c r="X924" s="45" t="s">
        <v>5531</v>
      </c>
      <c r="Y924" s="45" t="s">
        <v>6908</v>
      </c>
    </row>
    <row r="925" spans="2:25" ht="15" customHeight="1">
      <c r="B925" s="45" t="s">
        <v>26</v>
      </c>
      <c r="C925" s="45" t="s">
        <v>44</v>
      </c>
      <c r="D925" s="45" t="s">
        <v>207</v>
      </c>
      <c r="E925" s="45" t="s">
        <v>7582</v>
      </c>
      <c r="F925" s="45" t="s">
        <v>312</v>
      </c>
      <c r="G925" s="45">
        <v>3</v>
      </c>
      <c r="H925" s="45" t="s">
        <v>7583</v>
      </c>
      <c r="I925" s="45" t="s">
        <v>275</v>
      </c>
      <c r="J925" s="45" t="s">
        <v>5655</v>
      </c>
      <c r="K925" s="47">
        <v>46226.706018518518</v>
      </c>
      <c r="L925" s="47">
        <v>46227.284884259258</v>
      </c>
      <c r="M925" s="47">
        <v>46227.284884259258</v>
      </c>
      <c r="N925" s="47">
        <v>46227.405451388891</v>
      </c>
      <c r="P925" s="47">
        <v>46227.405451388891</v>
      </c>
      <c r="Q925" s="45" t="s">
        <v>5672</v>
      </c>
      <c r="R925" s="45" t="s">
        <v>272</v>
      </c>
      <c r="S925" s="45" t="s">
        <v>175</v>
      </c>
      <c r="T925" s="45" t="s">
        <v>268</v>
      </c>
      <c r="U925" s="45" t="s">
        <v>5531</v>
      </c>
      <c r="X925" s="45" t="s">
        <v>5531</v>
      </c>
      <c r="Y925" s="45" t="s">
        <v>7579</v>
      </c>
    </row>
    <row r="926" spans="2:25" ht="15" customHeight="1">
      <c r="B926" s="45" t="s">
        <v>26</v>
      </c>
      <c r="C926" s="45" t="s">
        <v>44</v>
      </c>
      <c r="D926" s="45" t="s">
        <v>207</v>
      </c>
      <c r="E926" s="45" t="s">
        <v>7580</v>
      </c>
      <c r="F926" s="45" t="s">
        <v>312</v>
      </c>
      <c r="G926" s="45">
        <v>3</v>
      </c>
      <c r="H926" s="45" t="s">
        <v>7581</v>
      </c>
      <c r="I926" s="45" t="s">
        <v>275</v>
      </c>
      <c r="J926" s="45" t="s">
        <v>5655</v>
      </c>
      <c r="K926" s="47">
        <v>46226.173807870371</v>
      </c>
      <c r="L926" s="47">
        <v>46227.506030092591</v>
      </c>
      <c r="M926" s="47">
        <v>46227.506030092591</v>
      </c>
      <c r="N926" s="47">
        <v>46230.31689814815</v>
      </c>
      <c r="P926" s="47">
        <v>46230.31689814815</v>
      </c>
      <c r="Q926" s="45" t="s">
        <v>5672</v>
      </c>
      <c r="R926" s="45" t="s">
        <v>272</v>
      </c>
      <c r="S926" s="45" t="s">
        <v>175</v>
      </c>
      <c r="T926" s="45" t="s">
        <v>268</v>
      </c>
      <c r="U926" s="45" t="s">
        <v>5531</v>
      </c>
      <c r="X926" s="45" t="s">
        <v>5531</v>
      </c>
      <c r="Y926" s="45" t="s">
        <v>7579</v>
      </c>
    </row>
    <row r="927" spans="2:25" ht="15" customHeight="1">
      <c r="B927" s="45" t="s">
        <v>26</v>
      </c>
      <c r="C927" s="45" t="s">
        <v>44</v>
      </c>
      <c r="D927" s="45" t="s">
        <v>207</v>
      </c>
      <c r="E927" s="45" t="s">
        <v>4366</v>
      </c>
      <c r="F927" s="45" t="s">
        <v>312</v>
      </c>
      <c r="G927" s="45">
        <v>4</v>
      </c>
      <c r="H927" s="46" t="s">
        <v>7584</v>
      </c>
      <c r="I927" s="45" t="s">
        <v>275</v>
      </c>
      <c r="J927" s="45" t="s">
        <v>5655</v>
      </c>
      <c r="K927" s="47">
        <v>46230.337500000001</v>
      </c>
      <c r="L927" s="47">
        <v>46231.290567129632</v>
      </c>
      <c r="M927" s="47">
        <v>46231.290567129632</v>
      </c>
      <c r="N927" s="47">
        <v>46232.323101851849</v>
      </c>
      <c r="P927" s="47">
        <v>46232.323101851849</v>
      </c>
      <c r="Q927" s="45" t="s">
        <v>5672</v>
      </c>
      <c r="R927" s="45" t="s">
        <v>272</v>
      </c>
      <c r="S927" s="45" t="s">
        <v>175</v>
      </c>
      <c r="T927" s="45" t="s">
        <v>268</v>
      </c>
      <c r="U927" s="45" t="s">
        <v>5531</v>
      </c>
      <c r="X927" s="45" t="s">
        <v>5531</v>
      </c>
      <c r="Y927" s="45" t="s">
        <v>6908</v>
      </c>
    </row>
    <row r="928" spans="2:25" ht="15" customHeight="1">
      <c r="B928" s="45" t="s">
        <v>26</v>
      </c>
      <c r="C928" s="45" t="s">
        <v>44</v>
      </c>
      <c r="D928" s="45" t="s">
        <v>208</v>
      </c>
      <c r="E928" s="45" t="s">
        <v>7585</v>
      </c>
      <c r="F928" s="45" t="s">
        <v>312</v>
      </c>
      <c r="G928" s="45" t="s">
        <v>208</v>
      </c>
      <c r="H928" s="45" t="s">
        <v>7586</v>
      </c>
      <c r="I928" s="45" t="s">
        <v>271</v>
      </c>
      <c r="J928" s="45" t="s">
        <v>7587</v>
      </c>
      <c r="K928" s="47">
        <v>46211.571157407408</v>
      </c>
      <c r="L928" s="47">
        <v>46213.572245370371</v>
      </c>
      <c r="M928" s="47">
        <v>46213.572245370371</v>
      </c>
      <c r="N928" s="47">
        <v>46230.383344907408</v>
      </c>
      <c r="P928" s="47">
        <v>46230.383344907408</v>
      </c>
      <c r="Q928" s="45" t="s">
        <v>44</v>
      </c>
      <c r="R928" s="45" t="s">
        <v>272</v>
      </c>
      <c r="S928" s="45" t="s">
        <v>175</v>
      </c>
      <c r="T928" s="45" t="s">
        <v>268</v>
      </c>
      <c r="U928" s="45" t="s">
        <v>5531</v>
      </c>
      <c r="X928" s="45" t="s">
        <v>5531</v>
      </c>
      <c r="Y928" s="45" t="s">
        <v>6908</v>
      </c>
    </row>
    <row r="929" spans="2:25" ht="15" customHeight="1">
      <c r="B929" s="45" t="s">
        <v>26</v>
      </c>
      <c r="C929" s="45" t="s">
        <v>44</v>
      </c>
      <c r="D929" s="45" t="s">
        <v>208</v>
      </c>
      <c r="E929" s="45" t="s">
        <v>7588</v>
      </c>
      <c r="F929" s="45" t="s">
        <v>312</v>
      </c>
      <c r="G929" s="45" t="s">
        <v>208</v>
      </c>
      <c r="H929" s="45" t="s">
        <v>7589</v>
      </c>
      <c r="I929" s="45" t="s">
        <v>271</v>
      </c>
      <c r="J929" s="45" t="s">
        <v>7587</v>
      </c>
      <c r="K929" s="47">
        <v>46204.360231481478</v>
      </c>
      <c r="L929" s="47">
        <v>46204.431701388887</v>
      </c>
      <c r="M929" s="47">
        <v>46204.431701388887</v>
      </c>
      <c r="N929" s="47">
        <v>46212.614988425928</v>
      </c>
      <c r="P929" s="47">
        <v>46212.614988425928</v>
      </c>
      <c r="Q929" s="45" t="s">
        <v>44</v>
      </c>
      <c r="R929" s="45" t="s">
        <v>261</v>
      </c>
      <c r="S929" s="45" t="s">
        <v>175</v>
      </c>
      <c r="T929" s="45" t="s">
        <v>268</v>
      </c>
      <c r="U929" s="45" t="s">
        <v>5531</v>
      </c>
      <c r="X929" s="45" t="s">
        <v>5531</v>
      </c>
      <c r="Y929" s="45" t="s">
        <v>7590</v>
      </c>
    </row>
    <row r="930" spans="2:25" ht="15" customHeight="1">
      <c r="B930" s="45" t="s">
        <v>26</v>
      </c>
      <c r="C930" s="45" t="s">
        <v>44</v>
      </c>
      <c r="D930" s="45" t="s">
        <v>208</v>
      </c>
      <c r="E930" s="45" t="s">
        <v>7016</v>
      </c>
      <c r="F930" s="45" t="s">
        <v>312</v>
      </c>
      <c r="G930" s="45" t="s">
        <v>208</v>
      </c>
      <c r="H930" s="45" t="s">
        <v>7017</v>
      </c>
      <c r="I930" s="45" t="s">
        <v>271</v>
      </c>
      <c r="J930" s="45" t="s">
        <v>7587</v>
      </c>
      <c r="K930" s="47">
        <v>46202.285914351851</v>
      </c>
      <c r="L930" s="47">
        <v>46202.309953703705</v>
      </c>
      <c r="M930" s="47">
        <v>46202.309953703705</v>
      </c>
      <c r="N930" s="47">
        <v>46212.615590277775</v>
      </c>
      <c r="P930" s="47">
        <v>46212.615590277775</v>
      </c>
      <c r="Q930" s="45" t="s">
        <v>44</v>
      </c>
      <c r="R930" s="45" t="s">
        <v>261</v>
      </c>
      <c r="S930" s="45" t="s">
        <v>175</v>
      </c>
      <c r="T930" s="45" t="s">
        <v>268</v>
      </c>
      <c r="U930" s="45" t="s">
        <v>5531</v>
      </c>
      <c r="X930" s="45" t="s">
        <v>5531</v>
      </c>
      <c r="Y930" s="45" t="s">
        <v>7590</v>
      </c>
    </row>
    <row r="931" spans="2:25" ht="15" customHeight="1">
      <c r="B931" s="45" t="s">
        <v>26</v>
      </c>
      <c r="C931" s="45" t="s">
        <v>44</v>
      </c>
      <c r="D931" s="45" t="s">
        <v>208</v>
      </c>
      <c r="E931" s="45" t="s">
        <v>7591</v>
      </c>
      <c r="F931" s="45" t="s">
        <v>312</v>
      </c>
      <c r="G931" s="45" t="s">
        <v>208</v>
      </c>
      <c r="H931" s="45" t="s">
        <v>7592</v>
      </c>
      <c r="I931" s="45" t="s">
        <v>271</v>
      </c>
      <c r="J931" s="45" t="s">
        <v>7587</v>
      </c>
      <c r="K931" s="47">
        <v>46211.672800925924</v>
      </c>
      <c r="L931" s="47">
        <v>46212.269282407404</v>
      </c>
      <c r="M931" s="47">
        <v>46212.269282407404</v>
      </c>
      <c r="N931" s="47">
        <v>46219.43105324074</v>
      </c>
      <c r="P931" s="47">
        <v>46219.430555555555</v>
      </c>
      <c r="Q931" s="45" t="s">
        <v>7593</v>
      </c>
      <c r="R931" s="45" t="s">
        <v>261</v>
      </c>
      <c r="S931" s="45" t="s">
        <v>175</v>
      </c>
      <c r="T931" s="45" t="s">
        <v>268</v>
      </c>
      <c r="U931" s="45" t="s">
        <v>5531</v>
      </c>
      <c r="X931" s="45" t="s">
        <v>5531</v>
      </c>
      <c r="Y931" s="45" t="s">
        <v>7590</v>
      </c>
    </row>
    <row r="932" spans="2:25" ht="15" customHeight="1">
      <c r="B932" s="45" t="s">
        <v>26</v>
      </c>
      <c r="C932" s="45" t="s">
        <v>44</v>
      </c>
      <c r="D932" s="45" t="s">
        <v>208</v>
      </c>
      <c r="E932" s="45" t="s">
        <v>7594</v>
      </c>
      <c r="F932" s="45" t="s">
        <v>312</v>
      </c>
      <c r="G932" s="45" t="s">
        <v>208</v>
      </c>
      <c r="H932" s="45" t="s">
        <v>7595</v>
      </c>
      <c r="I932" s="45" t="s">
        <v>271</v>
      </c>
      <c r="J932" s="45" t="s">
        <v>7587</v>
      </c>
      <c r="K932" s="47">
        <v>46223.696400462963</v>
      </c>
      <c r="L932" s="47">
        <v>46224.279687499999</v>
      </c>
      <c r="M932" s="47">
        <v>46224.279687499999</v>
      </c>
      <c r="N932" s="47">
        <v>46230.380682870367</v>
      </c>
      <c r="P932" s="47">
        <v>46230.380682870367</v>
      </c>
      <c r="Q932" s="45" t="s">
        <v>7596</v>
      </c>
      <c r="R932" s="45" t="s">
        <v>272</v>
      </c>
      <c r="S932" s="45" t="s">
        <v>175</v>
      </c>
      <c r="T932" s="45" t="s">
        <v>268</v>
      </c>
      <c r="U932" s="45" t="s">
        <v>5531</v>
      </c>
      <c r="X932" s="45" t="s">
        <v>5531</v>
      </c>
      <c r="Y932" s="45" t="s">
        <v>7590</v>
      </c>
    </row>
    <row r="933" spans="2:25" ht="15" customHeight="1">
      <c r="B933" s="45" t="s">
        <v>26</v>
      </c>
      <c r="C933" s="45" t="s">
        <v>44</v>
      </c>
      <c r="D933" s="45" t="s">
        <v>208</v>
      </c>
      <c r="E933" s="45" t="s">
        <v>855</v>
      </c>
      <c r="F933" s="45" t="s">
        <v>312</v>
      </c>
      <c r="G933" s="45" t="s">
        <v>208</v>
      </c>
      <c r="H933" s="45" t="s">
        <v>856</v>
      </c>
      <c r="I933" s="45" t="s">
        <v>275</v>
      </c>
      <c r="J933" s="45" t="s">
        <v>7587</v>
      </c>
      <c r="K933" s="47">
        <v>46218.691354166665</v>
      </c>
      <c r="L933" s="47">
        <v>46219.321296296293</v>
      </c>
      <c r="M933" s="47">
        <v>46219.321296296293</v>
      </c>
      <c r="N933" s="47">
        <v>46225.624259259261</v>
      </c>
      <c r="P933" s="47">
        <v>46225.624259259261</v>
      </c>
      <c r="Q933" s="45" t="s">
        <v>7597</v>
      </c>
      <c r="R933" s="45" t="s">
        <v>261</v>
      </c>
      <c r="S933" s="45" t="s">
        <v>175</v>
      </c>
      <c r="T933" s="45" t="s">
        <v>268</v>
      </c>
      <c r="U933" s="45" t="s">
        <v>5531</v>
      </c>
      <c r="X933" s="45" t="s">
        <v>5531</v>
      </c>
      <c r="Y933" s="45" t="s">
        <v>7598</v>
      </c>
    </row>
    <row r="934" spans="2:25" ht="15" customHeight="1">
      <c r="B934" s="45" t="s">
        <v>26</v>
      </c>
      <c r="C934" s="45" t="s">
        <v>44</v>
      </c>
      <c r="D934" s="45" t="s">
        <v>208</v>
      </c>
      <c r="E934" s="45" t="s">
        <v>7599</v>
      </c>
      <c r="F934" s="45" t="s">
        <v>312</v>
      </c>
      <c r="G934" s="45" t="s">
        <v>208</v>
      </c>
      <c r="H934" s="45" t="s">
        <v>7600</v>
      </c>
      <c r="I934" s="45" t="s">
        <v>271</v>
      </c>
      <c r="J934" s="45" t="s">
        <v>7587</v>
      </c>
      <c r="K934" s="47">
        <v>46226.540949074071</v>
      </c>
      <c r="L934" s="47">
        <v>46227.291817129626</v>
      </c>
      <c r="M934" s="47">
        <v>46227.291817129626</v>
      </c>
      <c r="N934" s="47">
        <v>46231.581574074073</v>
      </c>
      <c r="P934" s="47">
        <v>46231.581574074073</v>
      </c>
      <c r="Q934" s="45" t="s">
        <v>7601</v>
      </c>
      <c r="R934" s="45" t="s">
        <v>261</v>
      </c>
      <c r="S934" s="45" t="s">
        <v>175</v>
      </c>
      <c r="T934" s="45" t="s">
        <v>268</v>
      </c>
      <c r="U934" s="45" t="s">
        <v>5531</v>
      </c>
      <c r="X934" s="45" t="s">
        <v>5531</v>
      </c>
      <c r="Y934" s="45" t="s">
        <v>7590</v>
      </c>
    </row>
    <row r="935" spans="2:25" ht="15" customHeight="1">
      <c r="B935" s="45" t="s">
        <v>26</v>
      </c>
      <c r="C935" s="45" t="s">
        <v>44</v>
      </c>
      <c r="D935" s="45" t="s">
        <v>208</v>
      </c>
      <c r="E935" s="45" t="s">
        <v>7602</v>
      </c>
      <c r="F935" s="45" t="s">
        <v>312</v>
      </c>
      <c r="G935" s="45" t="s">
        <v>208</v>
      </c>
      <c r="H935" s="45" t="s">
        <v>7603</v>
      </c>
      <c r="I935" s="45" t="s">
        <v>271</v>
      </c>
      <c r="J935" s="45" t="s">
        <v>7587</v>
      </c>
      <c r="K935" s="47">
        <v>46220.697152777779</v>
      </c>
      <c r="L935" s="47">
        <v>46223.316319444442</v>
      </c>
      <c r="M935" s="47">
        <v>46223.316319444442</v>
      </c>
      <c r="N935" s="47">
        <v>46231.584085648145</v>
      </c>
      <c r="P935" s="47">
        <v>46231.584085648145</v>
      </c>
      <c r="Q935" s="45" t="s">
        <v>7604</v>
      </c>
      <c r="R935" s="45" t="s">
        <v>261</v>
      </c>
      <c r="S935" s="45" t="s">
        <v>175</v>
      </c>
      <c r="T935" s="45" t="s">
        <v>268</v>
      </c>
      <c r="U935" s="45" t="s">
        <v>5531</v>
      </c>
      <c r="X935" s="45" t="s">
        <v>5531</v>
      </c>
      <c r="Y935" s="45" t="s">
        <v>7590</v>
      </c>
    </row>
    <row r="936" spans="2:25" ht="15" customHeight="1">
      <c r="B936" s="45" t="s">
        <v>26</v>
      </c>
      <c r="C936" s="45" t="s">
        <v>44</v>
      </c>
      <c r="D936" s="45" t="s">
        <v>208</v>
      </c>
      <c r="E936" s="45" t="s">
        <v>7605</v>
      </c>
      <c r="F936" s="45" t="s">
        <v>312</v>
      </c>
      <c r="G936" s="45" t="s">
        <v>208</v>
      </c>
      <c r="H936" s="45" t="s">
        <v>7606</v>
      </c>
      <c r="I936" s="45" t="s">
        <v>266</v>
      </c>
      <c r="J936" s="45" t="s">
        <v>7587</v>
      </c>
      <c r="K936" s="47">
        <v>46213.413298611114</v>
      </c>
      <c r="L936" s="47">
        <v>46213.423506944448</v>
      </c>
      <c r="M936" s="47">
        <v>46213.423506944448</v>
      </c>
      <c r="O936" s="47">
        <v>46223.36341435185</v>
      </c>
      <c r="Q936" s="45" t="s">
        <v>44</v>
      </c>
      <c r="R936" s="45" t="s">
        <v>272</v>
      </c>
      <c r="S936" s="45" t="s">
        <v>175</v>
      </c>
      <c r="T936" s="45" t="s">
        <v>268</v>
      </c>
      <c r="U936" s="45" t="s">
        <v>5531</v>
      </c>
      <c r="X936" s="45" t="s">
        <v>5531</v>
      </c>
      <c r="Y936" s="45" t="s">
        <v>6594</v>
      </c>
    </row>
    <row r="937" spans="2:25" ht="15" customHeight="1">
      <c r="B937" s="45" t="s">
        <v>26</v>
      </c>
      <c r="C937" s="45" t="s">
        <v>44</v>
      </c>
      <c r="D937" s="45" t="s">
        <v>208</v>
      </c>
      <c r="E937" s="45" t="s">
        <v>7607</v>
      </c>
      <c r="F937" s="45" t="s">
        <v>312</v>
      </c>
      <c r="G937" s="45" t="s">
        <v>208</v>
      </c>
      <c r="H937" s="45" t="s">
        <v>6431</v>
      </c>
      <c r="I937" s="45" t="s">
        <v>266</v>
      </c>
      <c r="J937" s="45" t="s">
        <v>7587</v>
      </c>
      <c r="K937" s="47">
        <v>46219.357743055552</v>
      </c>
      <c r="L937" s="47">
        <v>46231.671886574077</v>
      </c>
      <c r="M937" s="47">
        <v>46231.671886574077</v>
      </c>
      <c r="O937" s="47">
        <v>46231.671886574077</v>
      </c>
      <c r="Q937" s="45" t="s">
        <v>7608</v>
      </c>
      <c r="R937" s="45" t="s">
        <v>272</v>
      </c>
      <c r="S937" s="45" t="s">
        <v>175</v>
      </c>
      <c r="T937" s="45" t="s">
        <v>268</v>
      </c>
      <c r="U937" s="45" t="s">
        <v>5531</v>
      </c>
      <c r="X937" s="45" t="s">
        <v>5531</v>
      </c>
      <c r="Y937" s="45" t="s">
        <v>6594</v>
      </c>
    </row>
    <row r="938" spans="2:25" ht="15" customHeight="1">
      <c r="B938" s="45" t="s">
        <v>26</v>
      </c>
      <c r="C938" s="45" t="s">
        <v>44</v>
      </c>
      <c r="D938" s="45" t="s">
        <v>208</v>
      </c>
      <c r="E938" s="45" t="s">
        <v>7609</v>
      </c>
      <c r="F938" s="45" t="s">
        <v>312</v>
      </c>
      <c r="G938" s="45" t="s">
        <v>208</v>
      </c>
      <c r="H938" s="45" t="s">
        <v>7610</v>
      </c>
      <c r="I938" s="45" t="s">
        <v>266</v>
      </c>
      <c r="J938" s="45" t="s">
        <v>7587</v>
      </c>
      <c r="K938" s="47">
        <v>46226.585810185185</v>
      </c>
      <c r="L938" s="47">
        <v>46226.594664351855</v>
      </c>
      <c r="M938" s="47">
        <v>46226.594664351855</v>
      </c>
      <c r="O938" s="47">
        <v>46227.647488425922</v>
      </c>
      <c r="Q938" s="45" t="s">
        <v>44</v>
      </c>
      <c r="R938" s="45" t="s">
        <v>261</v>
      </c>
      <c r="S938" s="45" t="s">
        <v>175</v>
      </c>
      <c r="T938" s="45" t="s">
        <v>268</v>
      </c>
      <c r="U938" s="45" t="s">
        <v>5531</v>
      </c>
      <c r="X938" s="45" t="s">
        <v>5531</v>
      </c>
      <c r="Y938" s="45" t="s">
        <v>6594</v>
      </c>
    </row>
    <row r="939" spans="2:25" ht="15" customHeight="1">
      <c r="B939" s="45" t="s">
        <v>26</v>
      </c>
      <c r="C939" s="45" t="s">
        <v>44</v>
      </c>
      <c r="D939" s="45" t="s">
        <v>208</v>
      </c>
      <c r="E939" s="45" t="s">
        <v>7611</v>
      </c>
      <c r="F939" s="45" t="s">
        <v>312</v>
      </c>
      <c r="G939" s="45" t="s">
        <v>208</v>
      </c>
      <c r="H939" s="45" t="s">
        <v>7612</v>
      </c>
      <c r="I939" s="45" t="s">
        <v>266</v>
      </c>
      <c r="J939" s="45" t="s">
        <v>7587</v>
      </c>
      <c r="K939" s="47">
        <v>46231.64435185185</v>
      </c>
      <c r="L939" s="47">
        <v>46232.301840277774</v>
      </c>
      <c r="M939" s="47">
        <v>46232.301840277774</v>
      </c>
      <c r="O939" s="47">
        <v>46233.634756944448</v>
      </c>
      <c r="Q939" s="45" t="s">
        <v>44</v>
      </c>
      <c r="R939" s="45" t="s">
        <v>272</v>
      </c>
      <c r="S939" s="45" t="s">
        <v>175</v>
      </c>
      <c r="T939" s="45" t="s">
        <v>268</v>
      </c>
      <c r="U939" s="45" t="s">
        <v>5531</v>
      </c>
      <c r="X939" s="45" t="s">
        <v>5531</v>
      </c>
      <c r="Y939" s="45" t="s">
        <v>6594</v>
      </c>
    </row>
    <row r="940" spans="2:25" ht="15" customHeight="1">
      <c r="B940" s="45" t="s">
        <v>26</v>
      </c>
      <c r="C940" s="45" t="s">
        <v>44</v>
      </c>
      <c r="D940" s="45" t="s">
        <v>208</v>
      </c>
      <c r="E940" s="45" t="s">
        <v>7613</v>
      </c>
      <c r="F940" s="45" t="s">
        <v>312</v>
      </c>
      <c r="G940" s="45" t="s">
        <v>208</v>
      </c>
      <c r="H940" s="45" t="s">
        <v>7614</v>
      </c>
      <c r="I940" s="45" t="s">
        <v>266</v>
      </c>
      <c r="J940" s="45" t="s">
        <v>7587</v>
      </c>
      <c r="K940" s="47">
        <v>46216.619722222225</v>
      </c>
      <c r="L940" s="47">
        <v>46216.619722222225</v>
      </c>
      <c r="M940" s="47">
        <v>46216.619722222225</v>
      </c>
      <c r="O940" s="47">
        <v>46220.634548611109</v>
      </c>
      <c r="Q940" s="45" t="s">
        <v>44</v>
      </c>
      <c r="R940" s="45" t="s">
        <v>272</v>
      </c>
      <c r="S940" s="45" t="s">
        <v>175</v>
      </c>
      <c r="T940" s="45" t="s">
        <v>268</v>
      </c>
      <c r="U940" s="45" t="s">
        <v>5531</v>
      </c>
      <c r="X940" s="45" t="s">
        <v>5531</v>
      </c>
      <c r="Y940" s="45" t="s">
        <v>6594</v>
      </c>
    </row>
    <row r="941" spans="2:25" ht="15" customHeight="1">
      <c r="B941" s="45" t="s">
        <v>26</v>
      </c>
      <c r="C941" s="45" t="s">
        <v>44</v>
      </c>
      <c r="D941" s="45" t="s">
        <v>208</v>
      </c>
      <c r="E941" s="45" t="s">
        <v>7615</v>
      </c>
      <c r="F941" s="45" t="s">
        <v>312</v>
      </c>
      <c r="G941" s="45" t="s">
        <v>208</v>
      </c>
      <c r="H941" s="45" t="s">
        <v>7616</v>
      </c>
      <c r="I941" s="45" t="s">
        <v>266</v>
      </c>
      <c r="J941" s="45" t="s">
        <v>7587</v>
      </c>
      <c r="K941" s="47">
        <v>46216.374305555553</v>
      </c>
      <c r="L941" s="47">
        <v>46216.421863425923</v>
      </c>
      <c r="M941" s="47">
        <v>46216.421863425923</v>
      </c>
      <c r="O941" s="47">
        <v>46220.634965277779</v>
      </c>
      <c r="Q941" s="45" t="s">
        <v>44</v>
      </c>
      <c r="R941" s="45" t="s">
        <v>272</v>
      </c>
      <c r="S941" s="45" t="s">
        <v>175</v>
      </c>
      <c r="T941" s="45" t="s">
        <v>268</v>
      </c>
      <c r="U941" s="45" t="s">
        <v>5531</v>
      </c>
      <c r="X941" s="45" t="s">
        <v>5531</v>
      </c>
      <c r="Y941" s="45" t="s">
        <v>6594</v>
      </c>
    </row>
    <row r="942" spans="2:25" ht="15" customHeight="1">
      <c r="B942" s="45" t="s">
        <v>26</v>
      </c>
      <c r="C942" s="45" t="s">
        <v>44</v>
      </c>
      <c r="D942" s="45" t="s">
        <v>208</v>
      </c>
      <c r="E942" s="45" t="s">
        <v>7617</v>
      </c>
      <c r="F942" s="45" t="s">
        <v>312</v>
      </c>
      <c r="G942" s="45" t="s">
        <v>208</v>
      </c>
      <c r="H942" s="45" t="s">
        <v>7618</v>
      </c>
      <c r="I942" s="45" t="s">
        <v>266</v>
      </c>
      <c r="J942" s="45" t="s">
        <v>7587</v>
      </c>
      <c r="K942" s="47">
        <v>46232.484583333331</v>
      </c>
      <c r="L942" s="47">
        <v>46232.699918981481</v>
      </c>
      <c r="M942" s="47">
        <v>46232.699918981481</v>
      </c>
      <c r="O942" s="47">
        <v>46233.644305555557</v>
      </c>
      <c r="Q942" s="45" t="s">
        <v>44</v>
      </c>
      <c r="R942" s="45" t="s">
        <v>272</v>
      </c>
      <c r="S942" s="45" t="s">
        <v>175</v>
      </c>
      <c r="T942" s="45" t="s">
        <v>268</v>
      </c>
      <c r="U942" s="45" t="s">
        <v>5531</v>
      </c>
      <c r="X942" s="45" t="s">
        <v>5531</v>
      </c>
      <c r="Y942" s="45" t="s">
        <v>6594</v>
      </c>
    </row>
    <row r="943" spans="2:25" ht="15" customHeight="1">
      <c r="B943" s="45" t="s">
        <v>26</v>
      </c>
      <c r="C943" s="45" t="s">
        <v>44</v>
      </c>
      <c r="D943" s="45" t="s">
        <v>208</v>
      </c>
      <c r="E943" s="45" t="s">
        <v>7619</v>
      </c>
      <c r="F943" s="45" t="s">
        <v>312</v>
      </c>
      <c r="G943" s="45" t="s">
        <v>208</v>
      </c>
      <c r="H943" s="45" t="s">
        <v>7620</v>
      </c>
      <c r="I943" s="45" t="s">
        <v>260</v>
      </c>
      <c r="J943" s="45" t="s">
        <v>7621</v>
      </c>
      <c r="K943" s="47">
        <v>46192.656840277778</v>
      </c>
      <c r="L943" s="47">
        <v>46233.608807870369</v>
      </c>
      <c r="M943" s="47">
        <v>46233.608807870369</v>
      </c>
      <c r="O943" s="47">
        <v>46233.608807870369</v>
      </c>
      <c r="Q943" s="45" t="s">
        <v>5534</v>
      </c>
      <c r="R943" s="45" t="s">
        <v>272</v>
      </c>
      <c r="S943" s="45" t="s">
        <v>175</v>
      </c>
      <c r="T943" s="45" t="s">
        <v>268</v>
      </c>
      <c r="U943" s="45" t="s">
        <v>5531</v>
      </c>
      <c r="X943" s="45" t="s">
        <v>5531</v>
      </c>
      <c r="Y943" s="45" t="s">
        <v>7008</v>
      </c>
    </row>
    <row r="944" spans="2:25" ht="15" customHeight="1">
      <c r="B944" s="45" t="s">
        <v>26</v>
      </c>
      <c r="C944" s="45" t="s">
        <v>44</v>
      </c>
      <c r="D944" s="45" t="s">
        <v>208</v>
      </c>
      <c r="E944" s="45" t="s">
        <v>7622</v>
      </c>
      <c r="F944" s="45" t="s">
        <v>312</v>
      </c>
      <c r="G944" s="45" t="s">
        <v>208</v>
      </c>
      <c r="H944" s="45" t="s">
        <v>7623</v>
      </c>
      <c r="I944" s="45" t="s">
        <v>260</v>
      </c>
      <c r="J944" s="45" t="s">
        <v>7621</v>
      </c>
      <c r="K944" s="47">
        <v>46209.287395833337</v>
      </c>
      <c r="L944" s="47">
        <v>46219.549756944441</v>
      </c>
      <c r="M944" s="47">
        <v>46219.549756944441</v>
      </c>
      <c r="O944" s="47">
        <v>46230.423888888887</v>
      </c>
      <c r="Q944" s="45" t="s">
        <v>5705</v>
      </c>
      <c r="R944" s="45" t="s">
        <v>272</v>
      </c>
      <c r="S944" s="45" t="s">
        <v>175</v>
      </c>
      <c r="T944" s="45" t="s">
        <v>268</v>
      </c>
      <c r="U944" s="45" t="s">
        <v>5531</v>
      </c>
      <c r="X944" s="45" t="s">
        <v>5531</v>
      </c>
      <c r="Y944" s="45" t="s">
        <v>6594</v>
      </c>
    </row>
    <row r="945" spans="2:25" ht="15" customHeight="1">
      <c r="B945" s="45" t="s">
        <v>26</v>
      </c>
      <c r="C945" s="45" t="s">
        <v>44</v>
      </c>
      <c r="D945" s="45" t="s">
        <v>208</v>
      </c>
      <c r="E945" s="45" t="s">
        <v>7624</v>
      </c>
      <c r="F945" s="45" t="s">
        <v>312</v>
      </c>
      <c r="G945" s="45" t="s">
        <v>208</v>
      </c>
      <c r="H945" s="45" t="s">
        <v>7625</v>
      </c>
      <c r="I945" s="45" t="s">
        <v>260</v>
      </c>
      <c r="J945" s="45" t="s">
        <v>7621</v>
      </c>
      <c r="K945" s="47">
        <v>46213.354108796295</v>
      </c>
      <c r="L945" s="47">
        <v>46219.320810185185</v>
      </c>
      <c r="M945" s="47">
        <v>46219.320810185185</v>
      </c>
      <c r="O945" s="47">
        <v>46230.433020833334</v>
      </c>
      <c r="Q945" s="45" t="s">
        <v>6442</v>
      </c>
      <c r="R945" s="45" t="s">
        <v>272</v>
      </c>
      <c r="S945" s="45" t="s">
        <v>175</v>
      </c>
      <c r="T945" s="45" t="s">
        <v>268</v>
      </c>
      <c r="U945" s="45" t="s">
        <v>5531</v>
      </c>
      <c r="X945" s="45" t="s">
        <v>5531</v>
      </c>
      <c r="Y945" s="45" t="s">
        <v>6594</v>
      </c>
    </row>
    <row r="946" spans="2:25" ht="15" customHeight="1">
      <c r="B946" s="45" t="s">
        <v>26</v>
      </c>
      <c r="C946" s="45" t="s">
        <v>44</v>
      </c>
      <c r="D946" s="45" t="s">
        <v>208</v>
      </c>
      <c r="E946" s="45" t="s">
        <v>7626</v>
      </c>
      <c r="F946" s="45" t="s">
        <v>312</v>
      </c>
      <c r="G946" s="45" t="s">
        <v>208</v>
      </c>
      <c r="H946" s="45" t="s">
        <v>7627</v>
      </c>
      <c r="I946" s="45" t="s">
        <v>266</v>
      </c>
      <c r="J946" s="45" t="s">
        <v>7621</v>
      </c>
      <c r="K946" s="47">
        <v>46219.626122685186</v>
      </c>
      <c r="L946" s="47">
        <v>46220.314872685187</v>
      </c>
      <c r="M946" s="47">
        <v>46220.314872685187</v>
      </c>
      <c r="O946" s="47">
        <v>46230.426874999997</v>
      </c>
      <c r="Q946" s="45" t="s">
        <v>44</v>
      </c>
      <c r="R946" s="45" t="s">
        <v>272</v>
      </c>
      <c r="S946" s="45" t="s">
        <v>175</v>
      </c>
      <c r="T946" s="45" t="s">
        <v>268</v>
      </c>
      <c r="U946" s="45" t="s">
        <v>5531</v>
      </c>
      <c r="X946" s="45" t="s">
        <v>5531</v>
      </c>
      <c r="Y946" s="45" t="s">
        <v>6594</v>
      </c>
    </row>
    <row r="947" spans="2:25" ht="15" customHeight="1">
      <c r="B947" s="45" t="s">
        <v>26</v>
      </c>
      <c r="C947" s="45" t="s">
        <v>44</v>
      </c>
      <c r="D947" s="45" t="s">
        <v>208</v>
      </c>
      <c r="E947" s="45" t="s">
        <v>7628</v>
      </c>
      <c r="F947" s="45" t="s">
        <v>312</v>
      </c>
      <c r="G947" s="45" t="s">
        <v>208</v>
      </c>
      <c r="H947" s="45" t="s">
        <v>7629</v>
      </c>
      <c r="I947" s="45" t="s">
        <v>266</v>
      </c>
      <c r="J947" s="45" t="s">
        <v>7621</v>
      </c>
      <c r="K947" s="47">
        <v>46224.71366898148</v>
      </c>
      <c r="L947" s="47">
        <v>46225.290798611109</v>
      </c>
      <c r="M947" s="47">
        <v>46225.290798611109</v>
      </c>
      <c r="O947" s="47">
        <v>46232.61482638889</v>
      </c>
      <c r="Q947" s="45" t="s">
        <v>44</v>
      </c>
      <c r="R947" s="45" t="s">
        <v>272</v>
      </c>
      <c r="S947" s="45" t="s">
        <v>175</v>
      </c>
      <c r="T947" s="45" t="s">
        <v>268</v>
      </c>
      <c r="U947" s="45" t="s">
        <v>5531</v>
      </c>
      <c r="X947" s="45" t="s">
        <v>5531</v>
      </c>
      <c r="Y947" s="45" t="s">
        <v>6594</v>
      </c>
    </row>
    <row r="948" spans="2:25" ht="15" customHeight="1">
      <c r="B948" s="45" t="s">
        <v>26</v>
      </c>
      <c r="C948" s="45" t="s">
        <v>44</v>
      </c>
      <c r="D948" s="45" t="s">
        <v>208</v>
      </c>
      <c r="E948" s="45" t="s">
        <v>7630</v>
      </c>
      <c r="F948" s="45" t="s">
        <v>312</v>
      </c>
      <c r="G948" s="45" t="s">
        <v>208</v>
      </c>
      <c r="H948" s="45" t="s">
        <v>7631</v>
      </c>
      <c r="I948" s="45" t="s">
        <v>260</v>
      </c>
      <c r="J948" s="45" t="s">
        <v>7621</v>
      </c>
      <c r="K948" s="47">
        <v>46225.46638888889</v>
      </c>
      <c r="L948" s="47">
        <v>46225.591608796298</v>
      </c>
      <c r="M948" s="47">
        <v>46225.59097222222</v>
      </c>
      <c r="O948" s="47">
        <v>46225.591608796298</v>
      </c>
      <c r="Q948" s="45" t="s">
        <v>44</v>
      </c>
      <c r="R948" s="45" t="s">
        <v>272</v>
      </c>
      <c r="S948" s="45" t="s">
        <v>175</v>
      </c>
      <c r="T948" s="45" t="s">
        <v>268</v>
      </c>
      <c r="U948" s="45" t="s">
        <v>5531</v>
      </c>
      <c r="X948" s="45" t="s">
        <v>5531</v>
      </c>
      <c r="Y948" s="45" t="s">
        <v>7008</v>
      </c>
    </row>
    <row r="949" spans="2:25" ht="15" customHeight="1">
      <c r="B949" s="45" t="s">
        <v>26</v>
      </c>
      <c r="C949" s="45" t="s">
        <v>44</v>
      </c>
      <c r="D949" s="45" t="s">
        <v>208</v>
      </c>
      <c r="E949" s="45" t="s">
        <v>7632</v>
      </c>
      <c r="F949" s="45" t="s">
        <v>312</v>
      </c>
      <c r="G949" s="45" t="s">
        <v>208</v>
      </c>
      <c r="H949" s="45" t="s">
        <v>7633</v>
      </c>
      <c r="I949" s="45" t="s">
        <v>266</v>
      </c>
      <c r="J949" s="45" t="s">
        <v>7621</v>
      </c>
      <c r="K949" s="47">
        <v>46225.645891203705</v>
      </c>
      <c r="L949" s="47">
        <v>46226.288124999999</v>
      </c>
      <c r="M949" s="47">
        <v>46226.288124999999</v>
      </c>
      <c r="O949" s="47">
        <v>46237.417395833334</v>
      </c>
      <c r="Q949" s="45" t="s">
        <v>44</v>
      </c>
      <c r="R949" s="45" t="s">
        <v>272</v>
      </c>
      <c r="S949" s="45" t="s">
        <v>175</v>
      </c>
      <c r="T949" s="45" t="s">
        <v>268</v>
      </c>
      <c r="U949" s="45" t="s">
        <v>5531</v>
      </c>
      <c r="X949" s="45" t="s">
        <v>5531</v>
      </c>
      <c r="Y949" s="45" t="s">
        <v>6594</v>
      </c>
    </row>
    <row r="950" spans="2:25" ht="15" customHeight="1">
      <c r="B950" s="45" t="s">
        <v>26</v>
      </c>
      <c r="C950" s="45" t="s">
        <v>44</v>
      </c>
      <c r="D950" s="45" t="s">
        <v>208</v>
      </c>
      <c r="E950" s="45" t="s">
        <v>7634</v>
      </c>
      <c r="F950" s="45" t="s">
        <v>312</v>
      </c>
      <c r="G950" s="45" t="s">
        <v>208</v>
      </c>
      <c r="H950" s="45" t="s">
        <v>7635</v>
      </c>
      <c r="I950" s="45" t="s">
        <v>266</v>
      </c>
      <c r="J950" s="45" t="s">
        <v>7621</v>
      </c>
      <c r="K950" s="47">
        <v>46226.395520833335</v>
      </c>
      <c r="L950" s="47">
        <v>46226.459502314814</v>
      </c>
      <c r="M950" s="47">
        <v>46226.459502314814</v>
      </c>
      <c r="O950" s="47">
        <v>46232.634895833333</v>
      </c>
      <c r="Q950" s="45" t="s">
        <v>44</v>
      </c>
      <c r="R950" s="45" t="s">
        <v>272</v>
      </c>
      <c r="S950" s="45" t="s">
        <v>175</v>
      </c>
      <c r="T950" s="45" t="s">
        <v>268</v>
      </c>
      <c r="U950" s="45" t="s">
        <v>5531</v>
      </c>
      <c r="X950" s="45" t="s">
        <v>5531</v>
      </c>
      <c r="Y950" s="45" t="s">
        <v>6594</v>
      </c>
    </row>
    <row r="951" spans="2:25" ht="15" customHeight="1">
      <c r="B951" s="45" t="s">
        <v>26</v>
      </c>
      <c r="C951" s="45" t="s">
        <v>44</v>
      </c>
      <c r="D951" s="45" t="s">
        <v>208</v>
      </c>
      <c r="E951" s="45" t="s">
        <v>7636</v>
      </c>
      <c r="F951" s="45" t="s">
        <v>312</v>
      </c>
      <c r="G951" s="45" t="s">
        <v>208</v>
      </c>
      <c r="H951" s="45" t="s">
        <v>7637</v>
      </c>
      <c r="I951" s="45" t="s">
        <v>266</v>
      </c>
      <c r="J951" s="45" t="s">
        <v>7621</v>
      </c>
      <c r="K951" s="47">
        <v>46230.423472222225</v>
      </c>
      <c r="L951" s="47">
        <v>46230.424317129633</v>
      </c>
      <c r="M951" s="47">
        <v>46230.424317129633</v>
      </c>
      <c r="O951" s="47">
        <v>46232.644803240742</v>
      </c>
      <c r="Q951" s="45" t="s">
        <v>44</v>
      </c>
      <c r="R951" s="45" t="s">
        <v>272</v>
      </c>
      <c r="S951" s="45" t="s">
        <v>175</v>
      </c>
      <c r="T951" s="45" t="s">
        <v>268</v>
      </c>
      <c r="U951" s="45" t="s">
        <v>5531</v>
      </c>
      <c r="X951" s="45" t="s">
        <v>5531</v>
      </c>
      <c r="Y951" s="45" t="s">
        <v>6594</v>
      </c>
    </row>
    <row r="952" spans="2:25" ht="15" customHeight="1">
      <c r="B952" s="45" t="s">
        <v>26</v>
      </c>
      <c r="C952" s="45" t="s">
        <v>44</v>
      </c>
      <c r="D952" s="45" t="s">
        <v>207</v>
      </c>
      <c r="E952" s="45" t="s">
        <v>7638</v>
      </c>
      <c r="F952" s="45" t="s">
        <v>312</v>
      </c>
      <c r="G952" s="45">
        <v>4</v>
      </c>
      <c r="H952" s="45" t="s">
        <v>6132</v>
      </c>
      <c r="I952" s="45" t="s">
        <v>266</v>
      </c>
      <c r="J952" s="45" t="s">
        <v>7621</v>
      </c>
      <c r="K952" s="47">
        <v>46231.118611111109</v>
      </c>
      <c r="L952" s="47">
        <v>46231.302349537036</v>
      </c>
      <c r="M952" s="47">
        <v>46231.302349537036</v>
      </c>
      <c r="O952" s="47">
        <v>46232.593402777777</v>
      </c>
      <c r="Q952" s="45" t="s">
        <v>6381</v>
      </c>
      <c r="R952" s="45" t="s">
        <v>272</v>
      </c>
      <c r="S952" s="45" t="s">
        <v>175</v>
      </c>
      <c r="T952" s="45" t="s">
        <v>268</v>
      </c>
      <c r="U952" s="45" t="s">
        <v>5531</v>
      </c>
      <c r="X952" s="45" t="s">
        <v>5531</v>
      </c>
      <c r="Y952" s="45" t="s">
        <v>6594</v>
      </c>
    </row>
    <row r="953" spans="2:25" ht="15" customHeight="1">
      <c r="B953" s="45" t="s">
        <v>26</v>
      </c>
      <c r="C953" s="45" t="s">
        <v>44</v>
      </c>
      <c r="D953" s="45" t="s">
        <v>207</v>
      </c>
      <c r="E953" s="45" t="s">
        <v>7639</v>
      </c>
      <c r="F953" s="45" t="s">
        <v>312</v>
      </c>
      <c r="G953" s="45">
        <v>4</v>
      </c>
      <c r="H953" s="45" t="s">
        <v>7640</v>
      </c>
      <c r="I953" s="45" t="s">
        <v>260</v>
      </c>
      <c r="J953" s="45" t="s">
        <v>7621</v>
      </c>
      <c r="K953" s="47">
        <v>46237.033252314817</v>
      </c>
      <c r="L953" s="47">
        <v>46237.291296296295</v>
      </c>
      <c r="M953" s="47">
        <v>46237.291296296295</v>
      </c>
      <c r="O953" s="47">
        <v>46237.291296296295</v>
      </c>
      <c r="Q953" s="45" t="s">
        <v>6381</v>
      </c>
      <c r="R953" s="45" t="s">
        <v>272</v>
      </c>
      <c r="S953" s="45" t="s">
        <v>175</v>
      </c>
      <c r="T953" s="45" t="s">
        <v>268</v>
      </c>
      <c r="U953" s="45" t="s">
        <v>5531</v>
      </c>
      <c r="X953" s="45" t="s">
        <v>5531</v>
      </c>
      <c r="Y953" s="45" t="s">
        <v>7008</v>
      </c>
    </row>
    <row r="954" spans="2:25" ht="15" customHeight="1">
      <c r="B954" s="45" t="s">
        <v>26</v>
      </c>
      <c r="C954" s="45" t="s">
        <v>44</v>
      </c>
      <c r="D954" s="45" t="s">
        <v>207</v>
      </c>
      <c r="E954" s="45" t="s">
        <v>7641</v>
      </c>
      <c r="F954" s="45" t="s">
        <v>312</v>
      </c>
      <c r="G954" s="45">
        <v>4</v>
      </c>
      <c r="H954" s="45" t="s">
        <v>6231</v>
      </c>
      <c r="I954" s="45" t="s">
        <v>260</v>
      </c>
      <c r="J954" s="45" t="s">
        <v>7621</v>
      </c>
      <c r="K954" s="47">
        <v>46235.202233796299</v>
      </c>
      <c r="L954" s="47">
        <v>46237.287766203706</v>
      </c>
      <c r="M954" s="47">
        <v>46237.287766203706</v>
      </c>
      <c r="O954" s="47">
        <v>46237.287766203706</v>
      </c>
      <c r="Q954" s="45" t="s">
        <v>6381</v>
      </c>
      <c r="R954" s="45" t="s">
        <v>272</v>
      </c>
      <c r="S954" s="45" t="s">
        <v>175</v>
      </c>
      <c r="T954" s="45" t="s">
        <v>268</v>
      </c>
      <c r="U954" s="45" t="s">
        <v>5531</v>
      </c>
      <c r="X954" s="45" t="s">
        <v>5531</v>
      </c>
      <c r="Y954" s="45" t="s">
        <v>7008</v>
      </c>
    </row>
    <row r="955" spans="2:25" ht="15" customHeight="1">
      <c r="B955" s="45" t="s">
        <v>26</v>
      </c>
      <c r="C955" s="45" t="s">
        <v>44</v>
      </c>
      <c r="D955" s="45" t="s">
        <v>207</v>
      </c>
      <c r="E955" s="45" t="s">
        <v>7642</v>
      </c>
      <c r="F955" s="45" t="s">
        <v>312</v>
      </c>
      <c r="G955" s="45">
        <v>4</v>
      </c>
      <c r="H955" s="45" t="s">
        <v>6231</v>
      </c>
      <c r="I955" s="45" t="s">
        <v>266</v>
      </c>
      <c r="J955" s="45" t="s">
        <v>7621</v>
      </c>
      <c r="K955" s="47">
        <v>46231.202418981484</v>
      </c>
      <c r="L955" s="47">
        <v>46231.302615740744</v>
      </c>
      <c r="M955" s="47">
        <v>46231.302615740744</v>
      </c>
      <c r="O955" s="47">
        <v>46232.589201388888</v>
      </c>
      <c r="Q955" s="45" t="s">
        <v>6381</v>
      </c>
      <c r="R955" s="45" t="s">
        <v>272</v>
      </c>
      <c r="S955" s="45" t="s">
        <v>175</v>
      </c>
      <c r="T955" s="45" t="s">
        <v>268</v>
      </c>
      <c r="U955" s="45" t="s">
        <v>5531</v>
      </c>
      <c r="X955" s="45" t="s">
        <v>5531</v>
      </c>
      <c r="Y955" s="45" t="s">
        <v>7008</v>
      </c>
    </row>
    <row r="956" spans="2:25" ht="15" customHeight="1">
      <c r="B956" s="45" t="s">
        <v>26</v>
      </c>
      <c r="C956" s="45" t="s">
        <v>44</v>
      </c>
      <c r="D956" s="45" t="s">
        <v>207</v>
      </c>
      <c r="E956" s="45" t="s">
        <v>7643</v>
      </c>
      <c r="F956" s="45" t="s">
        <v>312</v>
      </c>
      <c r="G956" s="45">
        <v>4</v>
      </c>
      <c r="H956" s="45" t="s">
        <v>7644</v>
      </c>
      <c r="I956" s="45" t="s">
        <v>260</v>
      </c>
      <c r="J956" s="45" t="s">
        <v>7621</v>
      </c>
      <c r="K956" s="47">
        <v>46219.385000000002</v>
      </c>
      <c r="L956" s="47">
        <v>46233.329988425925</v>
      </c>
      <c r="M956" s="47">
        <v>46233.329988425925</v>
      </c>
      <c r="O956" s="47">
        <v>46233.329988425925</v>
      </c>
      <c r="Q956" s="45" t="s">
        <v>5534</v>
      </c>
      <c r="R956" s="45" t="s">
        <v>272</v>
      </c>
      <c r="S956" s="45" t="s">
        <v>175</v>
      </c>
      <c r="T956" s="45" t="s">
        <v>268</v>
      </c>
      <c r="U956" s="45" t="s">
        <v>5531</v>
      </c>
      <c r="X956" s="45" t="s">
        <v>5531</v>
      </c>
      <c r="Y956" s="45" t="s">
        <v>7008</v>
      </c>
    </row>
    <row r="957" spans="2:25" ht="15" customHeight="1">
      <c r="B957" s="45" t="s">
        <v>26</v>
      </c>
      <c r="C957" s="45" t="s">
        <v>44</v>
      </c>
      <c r="D957" s="45" t="s">
        <v>207</v>
      </c>
      <c r="E957" s="45" t="s">
        <v>7645</v>
      </c>
      <c r="F957" s="45" t="s">
        <v>312</v>
      </c>
      <c r="G957" s="45">
        <v>4</v>
      </c>
      <c r="H957" s="45" t="s">
        <v>728</v>
      </c>
      <c r="I957" s="45" t="s">
        <v>260</v>
      </c>
      <c r="J957" s="45" t="s">
        <v>7621</v>
      </c>
      <c r="K957" s="47">
        <v>46233.659039351849</v>
      </c>
      <c r="L957" s="47">
        <v>46234.307800925926</v>
      </c>
      <c r="M957" s="47">
        <v>46234.307800925926</v>
      </c>
      <c r="O957" s="47">
        <v>46234.307800925926</v>
      </c>
      <c r="Q957" s="45" t="s">
        <v>6381</v>
      </c>
      <c r="R957" s="45" t="s">
        <v>272</v>
      </c>
      <c r="S957" s="45" t="s">
        <v>175</v>
      </c>
      <c r="T957" s="45" t="s">
        <v>268</v>
      </c>
      <c r="U957" s="45" t="s">
        <v>5531</v>
      </c>
      <c r="X957" s="45" t="s">
        <v>5531</v>
      </c>
      <c r="Y957" s="45" t="s">
        <v>7008</v>
      </c>
    </row>
    <row r="958" spans="2:25" ht="15" customHeight="1">
      <c r="B958" s="45" t="s">
        <v>26</v>
      </c>
      <c r="C958" s="45" t="s">
        <v>44</v>
      </c>
      <c r="D958" s="45" t="s">
        <v>207</v>
      </c>
      <c r="E958" s="45" t="s">
        <v>7646</v>
      </c>
      <c r="F958" s="45" t="s">
        <v>312</v>
      </c>
      <c r="G958" s="45">
        <v>3</v>
      </c>
      <c r="H958" s="45" t="s">
        <v>7647</v>
      </c>
      <c r="I958" s="45" t="s">
        <v>266</v>
      </c>
      <c r="J958" s="45" t="s">
        <v>7621</v>
      </c>
      <c r="K958" s="47">
        <v>46224.34648148148</v>
      </c>
      <c r="L958" s="47">
        <v>46230.516851851855</v>
      </c>
      <c r="M958" s="47">
        <v>46230.516851851855</v>
      </c>
      <c r="O958" s="47">
        <v>46232.578125</v>
      </c>
      <c r="Q958" s="45" t="s">
        <v>5534</v>
      </c>
      <c r="R958" s="45" t="s">
        <v>272</v>
      </c>
      <c r="S958" s="45" t="s">
        <v>175</v>
      </c>
      <c r="T958" s="45" t="s">
        <v>268</v>
      </c>
      <c r="U958" s="45" t="s">
        <v>5531</v>
      </c>
      <c r="X958" s="45" t="s">
        <v>5531</v>
      </c>
      <c r="Y958" s="45" t="s">
        <v>6594</v>
      </c>
    </row>
    <row r="959" spans="2:25" ht="15" customHeight="1">
      <c r="B959" s="45" t="s">
        <v>26</v>
      </c>
      <c r="C959" s="45" t="s">
        <v>44</v>
      </c>
      <c r="D959" s="45" t="s">
        <v>207</v>
      </c>
      <c r="E959" s="45" t="s">
        <v>7648</v>
      </c>
      <c r="F959" s="45" t="s">
        <v>312</v>
      </c>
      <c r="G959" s="45">
        <v>4</v>
      </c>
      <c r="H959" s="45" t="s">
        <v>7649</v>
      </c>
      <c r="I959" s="45" t="s">
        <v>266</v>
      </c>
      <c r="J959" s="45" t="s">
        <v>7621</v>
      </c>
      <c r="K959" s="47">
        <v>46219.571539351855</v>
      </c>
      <c r="L959" s="47">
        <v>46220.3047337963</v>
      </c>
      <c r="M959" s="47">
        <v>46220.3047337963</v>
      </c>
      <c r="O959" s="47">
        <v>46230.420138888891</v>
      </c>
      <c r="Q959" s="45" t="s">
        <v>44</v>
      </c>
      <c r="R959" s="45" t="s">
        <v>272</v>
      </c>
      <c r="S959" s="45" t="s">
        <v>175</v>
      </c>
      <c r="T959" s="45" t="s">
        <v>268</v>
      </c>
      <c r="U959" s="45" t="s">
        <v>5531</v>
      </c>
      <c r="X959" s="45" t="s">
        <v>5531</v>
      </c>
      <c r="Y959" s="45" t="s">
        <v>6594</v>
      </c>
    </row>
    <row r="960" spans="2:25" ht="15" customHeight="1">
      <c r="B960" s="45" t="s">
        <v>26</v>
      </c>
      <c r="C960" s="45" t="s">
        <v>44</v>
      </c>
      <c r="D960" s="45" t="s">
        <v>207</v>
      </c>
      <c r="E960" s="45" t="s">
        <v>7650</v>
      </c>
      <c r="F960" s="45" t="s">
        <v>312</v>
      </c>
      <c r="G960" s="45">
        <v>4</v>
      </c>
      <c r="H960" s="45" t="s">
        <v>7651</v>
      </c>
      <c r="I960" s="45" t="s">
        <v>260</v>
      </c>
      <c r="J960" s="45" t="s">
        <v>7621</v>
      </c>
      <c r="K960" s="47">
        <v>46237.046226851853</v>
      </c>
      <c r="L960" s="47">
        <v>46237.295300925929</v>
      </c>
      <c r="M960" s="47">
        <v>46237.295300925929</v>
      </c>
      <c r="O960" s="47">
        <v>46237.295300925929</v>
      </c>
      <c r="Q960" s="45" t="s">
        <v>44</v>
      </c>
      <c r="R960" s="45" t="s">
        <v>272</v>
      </c>
      <c r="S960" s="45" t="s">
        <v>175</v>
      </c>
      <c r="T960" s="45" t="s">
        <v>268</v>
      </c>
      <c r="U960" s="45" t="s">
        <v>5531</v>
      </c>
      <c r="X960" s="45" t="s">
        <v>5531</v>
      </c>
      <c r="Y960" s="45" t="s">
        <v>7008</v>
      </c>
    </row>
    <row r="961" spans="2:25" ht="15" customHeight="1">
      <c r="B961" s="45" t="s">
        <v>26</v>
      </c>
      <c r="C961" s="45" t="s">
        <v>44</v>
      </c>
      <c r="D961" s="45" t="s">
        <v>207</v>
      </c>
      <c r="E961" s="45" t="s">
        <v>4251</v>
      </c>
      <c r="F961" s="45" t="s">
        <v>312</v>
      </c>
      <c r="G961" s="45">
        <v>3</v>
      </c>
      <c r="H961" s="45" t="s">
        <v>4252</v>
      </c>
      <c r="I961" s="45" t="s">
        <v>275</v>
      </c>
      <c r="J961" s="45" t="s">
        <v>5655</v>
      </c>
      <c r="K961" s="47">
        <v>46220.475266203706</v>
      </c>
      <c r="L961" s="47">
        <v>46220.521273148152</v>
      </c>
      <c r="M961" s="47">
        <v>46220.521273148152</v>
      </c>
      <c r="N961" s="47">
        <v>46223.368449074071</v>
      </c>
      <c r="P961" s="47">
        <v>46223.368449074071</v>
      </c>
      <c r="Q961" s="45" t="s">
        <v>5672</v>
      </c>
      <c r="R961" s="45" t="s">
        <v>272</v>
      </c>
      <c r="S961" s="45" t="s">
        <v>175</v>
      </c>
      <c r="T961" s="45" t="s">
        <v>268</v>
      </c>
      <c r="U961" s="45" t="s">
        <v>5531</v>
      </c>
      <c r="X961" s="45" t="s">
        <v>5531</v>
      </c>
      <c r="Y961" s="45" t="s">
        <v>7652</v>
      </c>
    </row>
    <row r="962" spans="2:25" ht="15" customHeight="1">
      <c r="B962" s="45" t="s">
        <v>26</v>
      </c>
      <c r="C962" s="45" t="s">
        <v>44</v>
      </c>
      <c r="D962" s="45" t="s">
        <v>207</v>
      </c>
      <c r="E962" s="45" t="s">
        <v>7653</v>
      </c>
      <c r="F962" s="45" t="s">
        <v>312</v>
      </c>
      <c r="G962" s="45">
        <v>3</v>
      </c>
      <c r="H962" s="45" t="s">
        <v>7654</v>
      </c>
      <c r="I962" s="45" t="s">
        <v>275</v>
      </c>
      <c r="J962" s="45" t="s">
        <v>5655</v>
      </c>
      <c r="K962" s="47">
        <v>46220.384502314817</v>
      </c>
      <c r="L962" s="47">
        <v>46220.438206018516</v>
      </c>
      <c r="M962" s="47">
        <v>46220.438206018516</v>
      </c>
      <c r="N962" s="47">
        <v>46223.372210648151</v>
      </c>
      <c r="P962" s="47">
        <v>46223.372210648151</v>
      </c>
      <c r="Q962" s="45" t="s">
        <v>5672</v>
      </c>
      <c r="R962" s="45" t="s">
        <v>272</v>
      </c>
      <c r="S962" s="45" t="s">
        <v>175</v>
      </c>
      <c r="T962" s="45" t="s">
        <v>268</v>
      </c>
      <c r="U962" s="45" t="s">
        <v>5531</v>
      </c>
      <c r="X962" s="45" t="s">
        <v>5531</v>
      </c>
      <c r="Y962" s="45" t="s">
        <v>6908</v>
      </c>
    </row>
    <row r="963" spans="2:25" ht="15" customHeight="1">
      <c r="B963" s="45" t="s">
        <v>26</v>
      </c>
      <c r="C963" s="45" t="s">
        <v>44</v>
      </c>
      <c r="D963" s="45" t="s">
        <v>207</v>
      </c>
      <c r="E963" s="45" t="s">
        <v>7655</v>
      </c>
      <c r="F963" s="45" t="s">
        <v>312</v>
      </c>
      <c r="G963" s="45">
        <v>4</v>
      </c>
      <c r="H963" s="45" t="s">
        <v>7656</v>
      </c>
      <c r="I963" s="45" t="s">
        <v>275</v>
      </c>
      <c r="J963" s="45" t="s">
        <v>5655</v>
      </c>
      <c r="K963" s="47">
        <v>46220.469305555554</v>
      </c>
      <c r="L963" s="47">
        <v>46220.52065972222</v>
      </c>
      <c r="M963" s="47">
        <v>46220.52065972222</v>
      </c>
      <c r="N963" s="47">
        <v>46223.374212962961</v>
      </c>
      <c r="P963" s="47">
        <v>46223.374212962961</v>
      </c>
      <c r="Q963" s="45" t="s">
        <v>5672</v>
      </c>
      <c r="R963" s="45" t="s">
        <v>272</v>
      </c>
      <c r="S963" s="45" t="s">
        <v>175</v>
      </c>
      <c r="T963" s="45" t="s">
        <v>268</v>
      </c>
      <c r="U963" s="45" t="s">
        <v>5531</v>
      </c>
      <c r="X963" s="45" t="s">
        <v>5531</v>
      </c>
      <c r="Y963" s="45" t="s">
        <v>7657</v>
      </c>
    </row>
    <row r="964" spans="2:25" ht="15" customHeight="1">
      <c r="B964" s="45" t="s">
        <v>26</v>
      </c>
      <c r="C964" s="45" t="s">
        <v>44</v>
      </c>
      <c r="D964" s="45" t="s">
        <v>207</v>
      </c>
      <c r="E964" s="45" t="s">
        <v>7658</v>
      </c>
      <c r="F964" s="45" t="s">
        <v>312</v>
      </c>
      <c r="G964" s="45">
        <v>4</v>
      </c>
      <c r="H964" s="45" t="s">
        <v>7659</v>
      </c>
      <c r="I964" s="45" t="s">
        <v>275</v>
      </c>
      <c r="J964" s="45" t="s">
        <v>5655</v>
      </c>
      <c r="K964" s="47">
        <v>46220.452476851853</v>
      </c>
      <c r="L964" s="47">
        <v>46220.520844907405</v>
      </c>
      <c r="M964" s="47">
        <v>46220.520844907405</v>
      </c>
      <c r="N964" s="47">
        <v>46223.381018518521</v>
      </c>
      <c r="P964" s="47">
        <v>46223.381018518521</v>
      </c>
      <c r="Q964" s="45" t="s">
        <v>5672</v>
      </c>
      <c r="R964" s="45" t="s">
        <v>272</v>
      </c>
      <c r="S964" s="45" t="s">
        <v>175</v>
      </c>
      <c r="T964" s="45" t="s">
        <v>268</v>
      </c>
      <c r="U964" s="45" t="s">
        <v>5531</v>
      </c>
      <c r="X964" s="45" t="s">
        <v>5531</v>
      </c>
      <c r="Y964" s="45" t="s">
        <v>6908</v>
      </c>
    </row>
    <row r="965" spans="2:25" ht="15" customHeight="1">
      <c r="B965" s="45" t="s">
        <v>26</v>
      </c>
      <c r="C965" s="45" t="s">
        <v>44</v>
      </c>
      <c r="D965" s="45" t="s">
        <v>207</v>
      </c>
      <c r="E965" s="45" t="s">
        <v>7660</v>
      </c>
      <c r="F965" s="45" t="s">
        <v>312</v>
      </c>
      <c r="G965" s="45">
        <v>3</v>
      </c>
      <c r="H965" s="45" t="s">
        <v>7661</v>
      </c>
      <c r="I965" s="45" t="s">
        <v>275</v>
      </c>
      <c r="J965" s="45" t="s">
        <v>5655</v>
      </c>
      <c r="K965" s="47">
        <v>46218.347916666666</v>
      </c>
      <c r="L965" s="47">
        <v>46218.348171296297</v>
      </c>
      <c r="M965" s="47">
        <v>46218.348171296297</v>
      </c>
      <c r="N965" s="47">
        <v>46218.355902777781</v>
      </c>
      <c r="P965" s="47">
        <v>46218.355902777781</v>
      </c>
      <c r="Q965" s="45" t="s">
        <v>5672</v>
      </c>
      <c r="R965" s="45" t="s">
        <v>272</v>
      </c>
      <c r="S965" s="45" t="s">
        <v>175</v>
      </c>
      <c r="T965" s="45" t="s">
        <v>268</v>
      </c>
      <c r="U965" s="45" t="s">
        <v>5531</v>
      </c>
      <c r="X965" s="45" t="s">
        <v>5531</v>
      </c>
      <c r="Y965" s="45" t="s">
        <v>6908</v>
      </c>
    </row>
    <row r="966" spans="2:25" ht="15" customHeight="1">
      <c r="B966" s="45" t="s">
        <v>26</v>
      </c>
      <c r="C966" s="45" t="s">
        <v>44</v>
      </c>
      <c r="D966" s="45" t="s">
        <v>208</v>
      </c>
      <c r="E966" s="45" t="s">
        <v>7662</v>
      </c>
      <c r="F966" s="45" t="s">
        <v>312</v>
      </c>
      <c r="G966" s="45" t="s">
        <v>208</v>
      </c>
      <c r="H966" s="45" t="s">
        <v>7663</v>
      </c>
      <c r="I966" s="45" t="s">
        <v>271</v>
      </c>
      <c r="J966" s="45" t="s">
        <v>5655</v>
      </c>
      <c r="K966" s="47">
        <v>46216.506608796299</v>
      </c>
      <c r="L966" s="47">
        <v>46216.579444444447</v>
      </c>
      <c r="M966" s="47">
        <v>46216.579444444447</v>
      </c>
      <c r="N966" s="47">
        <v>46226.327673611115</v>
      </c>
      <c r="P966" s="47">
        <v>46226.327673611115</v>
      </c>
      <c r="Q966" s="45" t="s">
        <v>7015</v>
      </c>
      <c r="R966" s="45" t="s">
        <v>272</v>
      </c>
      <c r="S966" s="45" t="s">
        <v>175</v>
      </c>
      <c r="T966" s="45" t="s">
        <v>268</v>
      </c>
      <c r="U966" s="45" t="s">
        <v>5531</v>
      </c>
      <c r="X966" s="45" t="s">
        <v>5531</v>
      </c>
      <c r="Y966" s="45" t="s">
        <v>7590</v>
      </c>
    </row>
    <row r="967" spans="2:25" ht="15" customHeight="1">
      <c r="B967" s="45" t="s">
        <v>26</v>
      </c>
      <c r="C967" s="45" t="s">
        <v>44</v>
      </c>
      <c r="D967" s="45" t="s">
        <v>207</v>
      </c>
      <c r="E967" s="45" t="s">
        <v>7664</v>
      </c>
      <c r="F967" s="45" t="s">
        <v>312</v>
      </c>
      <c r="G967" s="45">
        <v>3</v>
      </c>
      <c r="H967" s="45" t="s">
        <v>7665</v>
      </c>
      <c r="I967" s="45" t="s">
        <v>275</v>
      </c>
      <c r="J967" s="45" t="s">
        <v>5655</v>
      </c>
      <c r="K967" s="47">
        <v>46218.345057870371</v>
      </c>
      <c r="L967" s="47">
        <v>46219.460219907407</v>
      </c>
      <c r="M967" s="47">
        <v>46219.460219907407</v>
      </c>
      <c r="N967" s="47">
        <v>46220.276886574073</v>
      </c>
      <c r="P967" s="47">
        <v>46220.276886574073</v>
      </c>
      <c r="Q967" s="45" t="s">
        <v>5672</v>
      </c>
      <c r="R967" s="45" t="s">
        <v>272</v>
      </c>
      <c r="S967" s="45" t="s">
        <v>175</v>
      </c>
      <c r="T967" s="45" t="s">
        <v>268</v>
      </c>
      <c r="U967" s="45" t="s">
        <v>5531</v>
      </c>
      <c r="X967" s="45" t="s">
        <v>5531</v>
      </c>
      <c r="Y967" s="45" t="s">
        <v>7666</v>
      </c>
    </row>
    <row r="968" spans="2:25" ht="15" customHeight="1">
      <c r="B968" s="45" t="s">
        <v>26</v>
      </c>
      <c r="C968" s="45" t="s">
        <v>44</v>
      </c>
      <c r="D968" s="45" t="s">
        <v>207</v>
      </c>
      <c r="E968" s="45" t="s">
        <v>3749</v>
      </c>
      <c r="F968" s="45" t="s">
        <v>312</v>
      </c>
      <c r="G968" s="45">
        <v>3</v>
      </c>
      <c r="H968" s="45" t="s">
        <v>3750</v>
      </c>
      <c r="I968" s="45" t="s">
        <v>275</v>
      </c>
      <c r="J968" s="45" t="s">
        <v>5655</v>
      </c>
      <c r="K968" s="47">
        <v>46202.350613425922</v>
      </c>
      <c r="L968" s="47">
        <v>46213.290590277778</v>
      </c>
      <c r="M968" s="47">
        <v>46213.290590277778</v>
      </c>
      <c r="N968" s="47">
        <v>46216.326909722222</v>
      </c>
      <c r="P968" s="47">
        <v>46216.326909722222</v>
      </c>
      <c r="Q968" s="45" t="s">
        <v>54</v>
      </c>
      <c r="R968" s="45" t="s">
        <v>272</v>
      </c>
      <c r="S968" s="45" t="s">
        <v>175</v>
      </c>
      <c r="T968" s="45" t="s">
        <v>268</v>
      </c>
      <c r="U968" s="45" t="s">
        <v>5531</v>
      </c>
      <c r="X968" s="45" t="s">
        <v>5531</v>
      </c>
      <c r="Y968" s="45" t="s">
        <v>7667</v>
      </c>
    </row>
    <row r="969" spans="2:25" ht="15" customHeight="1">
      <c r="B969" s="45" t="s">
        <v>26</v>
      </c>
      <c r="C969" s="45" t="s">
        <v>44</v>
      </c>
      <c r="D969" s="45" t="s">
        <v>207</v>
      </c>
      <c r="E969" s="45" t="s">
        <v>7668</v>
      </c>
      <c r="F969" s="45" t="s">
        <v>312</v>
      </c>
      <c r="G969" s="45">
        <v>3</v>
      </c>
      <c r="H969" s="45" t="s">
        <v>7669</v>
      </c>
      <c r="I969" s="45" t="s">
        <v>275</v>
      </c>
      <c r="J969" s="45" t="s">
        <v>5655</v>
      </c>
      <c r="K969" s="47">
        <v>46210.309270833335</v>
      </c>
      <c r="L969" s="47">
        <v>46210.410196759258</v>
      </c>
      <c r="M969" s="47">
        <v>46210.410196759258</v>
      </c>
      <c r="N969" s="47">
        <v>46211.285300925927</v>
      </c>
      <c r="P969" s="47">
        <v>46211.285300925927</v>
      </c>
      <c r="Q969" s="45" t="s">
        <v>7253</v>
      </c>
      <c r="R969" s="45" t="s">
        <v>272</v>
      </c>
      <c r="S969" s="45" t="s">
        <v>175</v>
      </c>
      <c r="T969" s="45" t="s">
        <v>268</v>
      </c>
      <c r="U969" s="45" t="s">
        <v>5531</v>
      </c>
      <c r="X969" s="45" t="s">
        <v>5531</v>
      </c>
      <c r="Y969" s="45" t="s">
        <v>7670</v>
      </c>
    </row>
    <row r="970" spans="2:25" ht="15" customHeight="1">
      <c r="B970" s="45" t="s">
        <v>26</v>
      </c>
      <c r="C970" s="45" t="s">
        <v>44</v>
      </c>
      <c r="D970" s="45" t="s">
        <v>207</v>
      </c>
      <c r="E970" s="45" t="s">
        <v>3178</v>
      </c>
      <c r="F970" s="45" t="s">
        <v>312</v>
      </c>
      <c r="G970" s="45">
        <v>4</v>
      </c>
      <c r="H970" s="45" t="s">
        <v>4410</v>
      </c>
      <c r="I970" s="45" t="s">
        <v>275</v>
      </c>
      <c r="J970" s="45" t="s">
        <v>5655</v>
      </c>
      <c r="K970" s="47">
        <v>46163.897951388892</v>
      </c>
      <c r="L970" s="47">
        <v>46226.591990740744</v>
      </c>
      <c r="M970" s="47">
        <v>46226.591990740744</v>
      </c>
      <c r="N970" s="47">
        <v>46227.401145833333</v>
      </c>
      <c r="P970" s="47">
        <v>46227.401145833333</v>
      </c>
      <c r="Q970" s="45" t="s">
        <v>5672</v>
      </c>
      <c r="R970" s="45" t="s">
        <v>272</v>
      </c>
      <c r="S970" s="45" t="s">
        <v>175</v>
      </c>
      <c r="T970" s="45" t="s">
        <v>268</v>
      </c>
      <c r="U970" s="45" t="s">
        <v>5531</v>
      </c>
      <c r="X970" s="45" t="s">
        <v>5531</v>
      </c>
      <c r="Y970" s="45" t="s">
        <v>6908</v>
      </c>
    </row>
    <row r="971" spans="2:25" ht="15" customHeight="1">
      <c r="B971" s="45" t="s">
        <v>26</v>
      </c>
      <c r="C971" s="45" t="s">
        <v>44</v>
      </c>
      <c r="D971" s="45" t="s">
        <v>207</v>
      </c>
      <c r="E971" s="45" t="s">
        <v>7671</v>
      </c>
      <c r="F971" s="45" t="s">
        <v>312</v>
      </c>
      <c r="G971" s="45">
        <v>3</v>
      </c>
      <c r="H971" s="45" t="s">
        <v>7672</v>
      </c>
      <c r="I971" s="45" t="s">
        <v>275</v>
      </c>
      <c r="J971" s="45" t="s">
        <v>5378</v>
      </c>
      <c r="K971" s="47">
        <v>46211.642187500001</v>
      </c>
      <c r="L971" s="147">
        <v>46225.536249999997</v>
      </c>
      <c r="M971" s="147">
        <v>46225.607187499998</v>
      </c>
      <c r="N971" s="47">
        <v>46225.686689814815</v>
      </c>
      <c r="Q971" s="45" t="s">
        <v>7381</v>
      </c>
      <c r="R971" s="45" t="s">
        <v>272</v>
      </c>
      <c r="S971" s="45" t="s">
        <v>190</v>
      </c>
      <c r="T971" s="45" t="s">
        <v>268</v>
      </c>
      <c r="U971" s="45" t="s">
        <v>5531</v>
      </c>
      <c r="X971" s="45" t="s">
        <v>5531</v>
      </c>
      <c r="Y971" s="45" t="s">
        <v>7673</v>
      </c>
    </row>
    <row r="972" spans="2:25" ht="15" customHeight="1">
      <c r="B972" s="45" t="s">
        <v>26</v>
      </c>
      <c r="C972" s="45" t="s">
        <v>44</v>
      </c>
      <c r="D972" s="45" t="s">
        <v>207</v>
      </c>
      <c r="E972" s="45" t="s">
        <v>7674</v>
      </c>
      <c r="F972" s="45" t="s">
        <v>312</v>
      </c>
      <c r="G972" s="45">
        <v>4</v>
      </c>
      <c r="H972" s="45" t="s">
        <v>7675</v>
      </c>
      <c r="I972" s="45" t="s">
        <v>275</v>
      </c>
      <c r="J972" s="45" t="s">
        <v>5378</v>
      </c>
      <c r="K972" s="47">
        <v>46217.387175925927</v>
      </c>
      <c r="L972" s="47">
        <v>46219.650648148148</v>
      </c>
      <c r="M972" s="47">
        <v>46219.650648148148</v>
      </c>
      <c r="N972" s="47">
        <v>46223.462210648147</v>
      </c>
      <c r="Q972" s="45" t="s">
        <v>5869</v>
      </c>
      <c r="R972" s="45" t="s">
        <v>272</v>
      </c>
      <c r="S972" s="45" t="s">
        <v>190</v>
      </c>
      <c r="T972" s="45" t="s">
        <v>268</v>
      </c>
      <c r="U972" s="45" t="s">
        <v>5531</v>
      </c>
      <c r="X972" s="45" t="s">
        <v>5531</v>
      </c>
      <c r="Y972" s="45" t="s">
        <v>7676</v>
      </c>
    </row>
    <row r="973" spans="2:25" ht="15" customHeight="1">
      <c r="B973" s="45" t="s">
        <v>26</v>
      </c>
      <c r="C973" s="45" t="s">
        <v>44</v>
      </c>
      <c r="D973" s="45" t="s">
        <v>207</v>
      </c>
      <c r="E973" s="45" t="s">
        <v>7677</v>
      </c>
      <c r="F973" s="45" t="s">
        <v>312</v>
      </c>
      <c r="G973" s="45">
        <v>4</v>
      </c>
      <c r="H973" s="45" t="s">
        <v>7678</v>
      </c>
      <c r="I973" s="45" t="s">
        <v>271</v>
      </c>
      <c r="J973" s="45" t="s">
        <v>5378</v>
      </c>
      <c r="K973" s="47">
        <v>46216.479432870372</v>
      </c>
      <c r="L973" s="47">
        <v>46216.603993055556</v>
      </c>
      <c r="M973" s="47">
        <v>46216.603993055556</v>
      </c>
      <c r="N973" s="47">
        <v>46218.470208333332</v>
      </c>
      <c r="Q973" s="45" t="s">
        <v>6119</v>
      </c>
      <c r="R973" s="45" t="s">
        <v>272</v>
      </c>
      <c r="S973" s="45" t="s">
        <v>175</v>
      </c>
      <c r="T973" s="45" t="s">
        <v>268</v>
      </c>
      <c r="U973" s="45" t="s">
        <v>5531</v>
      </c>
      <c r="X973" s="45" t="s">
        <v>5531</v>
      </c>
      <c r="Y973" s="45" t="s">
        <v>7679</v>
      </c>
    </row>
    <row r="974" spans="2:25" ht="15" customHeight="1">
      <c r="B974" s="45" t="s">
        <v>26</v>
      </c>
      <c r="C974" s="45" t="s">
        <v>44</v>
      </c>
      <c r="D974" s="45" t="s">
        <v>208</v>
      </c>
      <c r="E974" s="45" t="s">
        <v>7680</v>
      </c>
      <c r="F974" s="45" t="s">
        <v>312</v>
      </c>
      <c r="G974" s="45" t="s">
        <v>208</v>
      </c>
      <c r="H974" s="45" t="s">
        <v>7681</v>
      </c>
      <c r="I974" s="45" t="s">
        <v>271</v>
      </c>
      <c r="J974" s="45" t="s">
        <v>5378</v>
      </c>
      <c r="K974" s="47">
        <v>46217.867222222223</v>
      </c>
      <c r="L974" s="47">
        <v>46218.508703703701</v>
      </c>
      <c r="M974" s="47">
        <v>46218.508703703701</v>
      </c>
      <c r="N974" s="47">
        <v>46220.483055555553</v>
      </c>
      <c r="Q974" s="45" t="s">
        <v>44</v>
      </c>
      <c r="R974" s="45" t="s">
        <v>272</v>
      </c>
      <c r="S974" s="45" t="s">
        <v>190</v>
      </c>
      <c r="T974" s="45" t="s">
        <v>268</v>
      </c>
      <c r="U974" s="45" t="s">
        <v>5531</v>
      </c>
      <c r="X974" s="45" t="s">
        <v>5531</v>
      </c>
      <c r="Y974" s="45" t="s">
        <v>7682</v>
      </c>
    </row>
    <row r="975" spans="2:25" ht="15" customHeight="1">
      <c r="B975" s="45" t="s">
        <v>26</v>
      </c>
      <c r="C975" s="45" t="s">
        <v>44</v>
      </c>
      <c r="D975" s="45" t="s">
        <v>208</v>
      </c>
      <c r="E975" s="45" t="s">
        <v>7683</v>
      </c>
      <c r="F975" s="45" t="s">
        <v>312</v>
      </c>
      <c r="G975" s="45" t="s">
        <v>208</v>
      </c>
      <c r="H975" s="45" t="s">
        <v>7684</v>
      </c>
      <c r="I975" s="45" t="s">
        <v>271</v>
      </c>
      <c r="J975" s="45" t="s">
        <v>5378</v>
      </c>
      <c r="K975" s="47">
        <v>46212.564710648148</v>
      </c>
      <c r="L975" s="47">
        <v>46217.842766203707</v>
      </c>
      <c r="M975" s="47">
        <v>46218.502476851849</v>
      </c>
      <c r="N975" s="47">
        <v>46223.493726851855</v>
      </c>
      <c r="Q975" s="45" t="s">
        <v>7685</v>
      </c>
      <c r="R975" s="45" t="s">
        <v>272</v>
      </c>
      <c r="S975" s="45" t="s">
        <v>190</v>
      </c>
      <c r="T975" s="45" t="s">
        <v>268</v>
      </c>
      <c r="U975" s="45" t="s">
        <v>5531</v>
      </c>
      <c r="X975" s="45" t="s">
        <v>5531</v>
      </c>
      <c r="Y975" s="45" t="s">
        <v>6841</v>
      </c>
    </row>
    <row r="976" spans="2:25" ht="15" customHeight="1">
      <c r="B976" s="45" t="s">
        <v>26</v>
      </c>
      <c r="C976" s="45" t="s">
        <v>44</v>
      </c>
      <c r="D976" s="45" t="s">
        <v>208</v>
      </c>
      <c r="E976" s="45" t="s">
        <v>7686</v>
      </c>
      <c r="F976" s="45" t="s">
        <v>312</v>
      </c>
      <c r="G976" s="45" t="s">
        <v>208</v>
      </c>
      <c r="H976" s="45" t="s">
        <v>7687</v>
      </c>
      <c r="I976" s="45" t="s">
        <v>275</v>
      </c>
      <c r="J976" s="45" t="s">
        <v>5378</v>
      </c>
      <c r="K976" s="47">
        <v>46213.474293981482</v>
      </c>
      <c r="L976" s="47">
        <v>46213.488668981481</v>
      </c>
      <c r="M976" s="47">
        <v>46213.530428240738</v>
      </c>
      <c r="N976" s="47">
        <v>46215.532673611109</v>
      </c>
      <c r="Q976" s="45" t="s">
        <v>44</v>
      </c>
      <c r="R976" s="45" t="s">
        <v>272</v>
      </c>
      <c r="S976" s="45" t="s">
        <v>175</v>
      </c>
      <c r="T976" s="45" t="s">
        <v>268</v>
      </c>
      <c r="U976" s="45" t="s">
        <v>5531</v>
      </c>
      <c r="X976" s="45" t="s">
        <v>5531</v>
      </c>
      <c r="Y976" s="45" t="s">
        <v>7688</v>
      </c>
    </row>
    <row r="977" spans="2:25" ht="15" customHeight="1">
      <c r="B977" s="45" t="s">
        <v>26</v>
      </c>
      <c r="C977" s="45" t="s">
        <v>44</v>
      </c>
      <c r="D977" s="45" t="s">
        <v>208</v>
      </c>
      <c r="E977" s="45" t="s">
        <v>7689</v>
      </c>
      <c r="F977" s="45" t="s">
        <v>312</v>
      </c>
      <c r="G977" s="45" t="s">
        <v>208</v>
      </c>
      <c r="H977" s="45" t="s">
        <v>7690</v>
      </c>
      <c r="I977" s="45" t="s">
        <v>271</v>
      </c>
      <c r="J977" s="45" t="s">
        <v>5378</v>
      </c>
      <c r="K977" s="47">
        <v>46216.590243055558</v>
      </c>
      <c r="L977" s="47">
        <v>46216.59039351852</v>
      </c>
      <c r="M977" s="47">
        <v>46216.605624999997</v>
      </c>
      <c r="N977" s="47">
        <v>46218.559629629628</v>
      </c>
      <c r="Q977" s="45" t="s">
        <v>5869</v>
      </c>
      <c r="R977" s="45" t="s">
        <v>272</v>
      </c>
      <c r="S977" s="45" t="s">
        <v>175</v>
      </c>
      <c r="T977" s="45" t="s">
        <v>268</v>
      </c>
      <c r="U977" s="45" t="s">
        <v>5531</v>
      </c>
      <c r="X977" s="45" t="s">
        <v>5531</v>
      </c>
      <c r="Y977" s="45" t="s">
        <v>7691</v>
      </c>
    </row>
    <row r="978" spans="2:25" ht="15" customHeight="1">
      <c r="B978" s="45" t="s">
        <v>26</v>
      </c>
      <c r="C978" s="45" t="s">
        <v>44</v>
      </c>
      <c r="D978" s="45" t="s">
        <v>208</v>
      </c>
      <c r="E978" s="45" t="s">
        <v>7692</v>
      </c>
      <c r="F978" s="45" t="s">
        <v>312</v>
      </c>
      <c r="G978" s="45" t="s">
        <v>208</v>
      </c>
      <c r="H978" s="45" t="s">
        <v>7693</v>
      </c>
      <c r="I978" s="45" t="s">
        <v>271</v>
      </c>
      <c r="J978" s="45" t="s">
        <v>5378</v>
      </c>
      <c r="K978" s="47">
        <v>46216.6169212963</v>
      </c>
      <c r="L978" s="47">
        <v>46216.6169212963</v>
      </c>
      <c r="M978" s="47">
        <v>46216.647974537038</v>
      </c>
      <c r="N978" s="147">
        <v>46219.561331018522</v>
      </c>
      <c r="Q978" s="45" t="s">
        <v>44</v>
      </c>
      <c r="R978" s="45" t="s">
        <v>272</v>
      </c>
      <c r="S978" s="45" t="s">
        <v>175</v>
      </c>
      <c r="T978" s="45" t="s">
        <v>268</v>
      </c>
      <c r="U978" s="45" t="s">
        <v>5531</v>
      </c>
      <c r="X978" s="45" t="s">
        <v>5531</v>
      </c>
      <c r="Y978" s="45" t="s">
        <v>7694</v>
      </c>
    </row>
    <row r="979" spans="2:25" ht="15" customHeight="1">
      <c r="B979" s="45" t="s">
        <v>26</v>
      </c>
      <c r="C979" s="45" t="s">
        <v>44</v>
      </c>
      <c r="D979" s="45" t="s">
        <v>208</v>
      </c>
      <c r="E979" s="45" t="s">
        <v>7695</v>
      </c>
      <c r="F979" s="45" t="s">
        <v>312</v>
      </c>
      <c r="G979" s="45" t="s">
        <v>208</v>
      </c>
      <c r="H979" s="45" t="s">
        <v>7696</v>
      </c>
      <c r="I979" s="45" t="s">
        <v>271</v>
      </c>
      <c r="J979" s="45" t="s">
        <v>5378</v>
      </c>
      <c r="K979" s="47">
        <v>46211.782511574071</v>
      </c>
      <c r="L979" s="47">
        <v>46211.782511574071</v>
      </c>
      <c r="M979" s="47">
        <v>46211.818495370368</v>
      </c>
      <c r="N979" s="47">
        <v>46213.743090277778</v>
      </c>
      <c r="Q979" s="45" t="s">
        <v>44</v>
      </c>
      <c r="R979" s="45" t="s">
        <v>272</v>
      </c>
      <c r="S979" s="45" t="s">
        <v>175</v>
      </c>
      <c r="T979" s="45" t="s">
        <v>268</v>
      </c>
      <c r="U979" s="45" t="s">
        <v>5531</v>
      </c>
      <c r="X979" s="45" t="s">
        <v>5531</v>
      </c>
      <c r="Y979" s="45" t="s">
        <v>7697</v>
      </c>
    </row>
    <row r="980" spans="2:25" ht="15" customHeight="1">
      <c r="B980" s="45" t="s">
        <v>26</v>
      </c>
      <c r="C980" s="45" t="s">
        <v>44</v>
      </c>
      <c r="D980" s="45" t="s">
        <v>207</v>
      </c>
      <c r="E980" s="45" t="s">
        <v>7698</v>
      </c>
      <c r="F980" s="45" t="s">
        <v>312</v>
      </c>
      <c r="G980" s="45">
        <v>3</v>
      </c>
      <c r="H980" s="45" t="s">
        <v>7255</v>
      </c>
      <c r="I980" s="45" t="s">
        <v>271</v>
      </c>
      <c r="J980" s="45" t="s">
        <v>5378</v>
      </c>
      <c r="K980" s="47">
        <v>46226.022152777776</v>
      </c>
      <c r="L980" s="147">
        <v>46226.022152777776</v>
      </c>
      <c r="M980" s="47">
        <v>46226.474236111113</v>
      </c>
      <c r="N980" s="47">
        <v>46226.741226851853</v>
      </c>
      <c r="Q980" s="45" t="s">
        <v>7699</v>
      </c>
      <c r="R980" s="45" t="s">
        <v>272</v>
      </c>
      <c r="S980" s="45" t="s">
        <v>175</v>
      </c>
      <c r="T980" s="45" t="s">
        <v>268</v>
      </c>
      <c r="U980" s="45" t="s">
        <v>5531</v>
      </c>
      <c r="X980" s="45" t="s">
        <v>5531</v>
      </c>
      <c r="Y980" s="45" t="s">
        <v>7700</v>
      </c>
    </row>
    <row r="981" spans="2:25" ht="15" customHeight="1">
      <c r="B981" s="45" t="s">
        <v>26</v>
      </c>
      <c r="C981" s="45" t="s">
        <v>44</v>
      </c>
      <c r="D981" s="45" t="s">
        <v>207</v>
      </c>
      <c r="E981" s="45" t="s">
        <v>7701</v>
      </c>
      <c r="F981" s="45" t="s">
        <v>312</v>
      </c>
      <c r="G981" s="45">
        <v>4</v>
      </c>
      <c r="H981" s="45" t="s">
        <v>7702</v>
      </c>
      <c r="I981" s="45" t="s">
        <v>271</v>
      </c>
      <c r="J981" s="45" t="s">
        <v>5378</v>
      </c>
      <c r="K981" s="47">
        <v>46223.575624999998</v>
      </c>
      <c r="L981" s="47">
        <v>46223.579131944447</v>
      </c>
      <c r="M981" s="47">
        <v>46223.601157407407</v>
      </c>
      <c r="N981" s="47">
        <v>46225.56422453704</v>
      </c>
      <c r="Q981" s="45" t="s">
        <v>44</v>
      </c>
      <c r="R981" s="45" t="s">
        <v>272</v>
      </c>
      <c r="S981" s="45" t="s">
        <v>175</v>
      </c>
      <c r="T981" s="45" t="s">
        <v>268</v>
      </c>
      <c r="U981" s="45" t="s">
        <v>5531</v>
      </c>
      <c r="X981" s="45" t="s">
        <v>5531</v>
      </c>
      <c r="Y981" s="45" t="s">
        <v>7703</v>
      </c>
    </row>
    <row r="982" spans="2:25" ht="15" customHeight="1">
      <c r="B982" s="45" t="s">
        <v>26</v>
      </c>
      <c r="C982" s="45" t="s">
        <v>44</v>
      </c>
      <c r="D982" s="45" t="s">
        <v>207</v>
      </c>
      <c r="E982" s="45" t="s">
        <v>7704</v>
      </c>
      <c r="F982" s="45" t="s">
        <v>312</v>
      </c>
      <c r="G982" s="45">
        <v>4</v>
      </c>
      <c r="H982" s="45" t="s">
        <v>7705</v>
      </c>
      <c r="I982" s="45" t="s">
        <v>275</v>
      </c>
      <c r="J982" s="45" t="s">
        <v>5378</v>
      </c>
      <c r="K982" s="47">
        <v>46221.690439814818</v>
      </c>
      <c r="L982" s="47">
        <v>46223.495497685188</v>
      </c>
      <c r="M982" s="47">
        <v>46223.495497685188</v>
      </c>
      <c r="N982" s="47">
        <v>46225.690625000003</v>
      </c>
      <c r="Q982" s="45" t="s">
        <v>44</v>
      </c>
      <c r="R982" s="45" t="s">
        <v>272</v>
      </c>
      <c r="S982" s="45" t="s">
        <v>175</v>
      </c>
      <c r="T982" s="45" t="s">
        <v>268</v>
      </c>
      <c r="U982" s="45" t="s">
        <v>5531</v>
      </c>
      <c r="X982" s="45" t="s">
        <v>5531</v>
      </c>
      <c r="Y982" s="45" t="s">
        <v>7706</v>
      </c>
    </row>
    <row r="983" spans="2:25" ht="15" customHeight="1">
      <c r="B983" s="45" t="s">
        <v>26</v>
      </c>
      <c r="C983" s="45" t="s">
        <v>44</v>
      </c>
      <c r="D983" s="45" t="s">
        <v>207</v>
      </c>
      <c r="E983" s="45" t="s">
        <v>7707</v>
      </c>
      <c r="F983" s="45" t="s">
        <v>312</v>
      </c>
      <c r="G983" s="45">
        <v>4</v>
      </c>
      <c r="H983" s="45" t="s">
        <v>7708</v>
      </c>
      <c r="I983" s="45" t="s">
        <v>275</v>
      </c>
      <c r="J983" s="45" t="s">
        <v>5378</v>
      </c>
      <c r="K983" s="47">
        <v>46219.569097222222</v>
      </c>
      <c r="L983" s="47">
        <v>46219.677002314813</v>
      </c>
      <c r="M983" s="47">
        <v>46219.735729166663</v>
      </c>
      <c r="N983" s="47">
        <v>46223.805879629632</v>
      </c>
      <c r="Q983" s="45" t="s">
        <v>44</v>
      </c>
      <c r="R983" s="45" t="s">
        <v>272</v>
      </c>
      <c r="S983" s="45" t="s">
        <v>175</v>
      </c>
      <c r="T983" s="45" t="s">
        <v>268</v>
      </c>
      <c r="U983" s="45" t="s">
        <v>5531</v>
      </c>
      <c r="X983" s="45" t="s">
        <v>5531</v>
      </c>
      <c r="Y983" s="45" t="s">
        <v>7709</v>
      </c>
    </row>
    <row r="984" spans="2:25" ht="15" customHeight="1">
      <c r="B984" s="45" t="s">
        <v>26</v>
      </c>
      <c r="C984" s="45" t="s">
        <v>44</v>
      </c>
      <c r="D984" s="45" t="s">
        <v>207</v>
      </c>
      <c r="E984" s="45" t="s">
        <v>7710</v>
      </c>
      <c r="F984" s="45" t="s">
        <v>312</v>
      </c>
      <c r="G984" s="45">
        <v>4</v>
      </c>
      <c r="H984" s="45" t="s">
        <v>7711</v>
      </c>
      <c r="I984" s="45" t="s">
        <v>271</v>
      </c>
      <c r="J984" s="45" t="s">
        <v>5378</v>
      </c>
      <c r="K984" s="47">
        <v>46220.857673611114</v>
      </c>
      <c r="L984" s="47">
        <v>46220.866828703707</v>
      </c>
      <c r="M984" s="47">
        <v>46221.49695601852</v>
      </c>
      <c r="N984" s="47">
        <v>46223.697210648148</v>
      </c>
      <c r="Q984" s="45" t="s">
        <v>7712</v>
      </c>
      <c r="R984" s="45" t="s">
        <v>272</v>
      </c>
      <c r="S984" s="45" t="s">
        <v>175</v>
      </c>
      <c r="T984" s="45" t="s">
        <v>268</v>
      </c>
      <c r="U984" s="45" t="s">
        <v>5531</v>
      </c>
      <c r="X984" s="45" t="s">
        <v>5531</v>
      </c>
      <c r="Y984" s="45" t="s">
        <v>7713</v>
      </c>
    </row>
    <row r="985" spans="2:25" ht="15" customHeight="1">
      <c r="B985" s="45" t="s">
        <v>26</v>
      </c>
      <c r="C985" s="45" t="s">
        <v>44</v>
      </c>
      <c r="D985" s="45" t="s">
        <v>208</v>
      </c>
      <c r="E985" s="45" t="s">
        <v>7714</v>
      </c>
      <c r="F985" s="45" t="s">
        <v>312</v>
      </c>
      <c r="G985" s="45" t="s">
        <v>208</v>
      </c>
      <c r="H985" s="45" t="s">
        <v>7715</v>
      </c>
      <c r="I985" s="45" t="s">
        <v>271</v>
      </c>
      <c r="J985" s="45" t="s">
        <v>5378</v>
      </c>
      <c r="K985" s="47">
        <v>46223.740995370368</v>
      </c>
      <c r="L985" s="47">
        <v>46223.767650462964</v>
      </c>
      <c r="M985" s="47">
        <v>46226.745752314811</v>
      </c>
      <c r="N985" s="47">
        <v>46230.495474537034</v>
      </c>
      <c r="Q985" s="45" t="s">
        <v>7685</v>
      </c>
      <c r="R985" s="45" t="s">
        <v>272</v>
      </c>
      <c r="S985" s="45" t="s">
        <v>175</v>
      </c>
      <c r="T985" s="45" t="s">
        <v>268</v>
      </c>
      <c r="U985" s="45" t="s">
        <v>5531</v>
      </c>
      <c r="X985" s="45" t="s">
        <v>5531</v>
      </c>
      <c r="Y985" s="45" t="s">
        <v>7716</v>
      </c>
    </row>
    <row r="986" spans="2:25" ht="15" customHeight="1">
      <c r="B986" s="45" t="s">
        <v>26</v>
      </c>
      <c r="C986" s="45" t="s">
        <v>44</v>
      </c>
      <c r="D986" s="45" t="s">
        <v>207</v>
      </c>
      <c r="E986" s="45" t="s">
        <v>7717</v>
      </c>
      <c r="F986" s="45" t="s">
        <v>312</v>
      </c>
      <c r="G986" s="45">
        <v>4</v>
      </c>
      <c r="H986" s="45" t="s">
        <v>7718</v>
      </c>
      <c r="I986" s="45" t="s">
        <v>271</v>
      </c>
      <c r="J986" s="45" t="s">
        <v>5378</v>
      </c>
      <c r="K986" s="147">
        <v>46225.749502314815</v>
      </c>
      <c r="L986" s="47">
        <v>46226.850081018521</v>
      </c>
      <c r="M986" s="147">
        <v>46226.850081018521</v>
      </c>
      <c r="N986" s="47">
        <v>46230.496574074074</v>
      </c>
      <c r="Q986" s="45" t="s">
        <v>44</v>
      </c>
      <c r="R986" s="45" t="s">
        <v>272</v>
      </c>
      <c r="S986" s="45" t="s">
        <v>5699</v>
      </c>
      <c r="T986" s="45" t="s">
        <v>268</v>
      </c>
      <c r="U986" s="45" t="s">
        <v>5531</v>
      </c>
      <c r="X986" s="45" t="s">
        <v>5531</v>
      </c>
      <c r="Y986" s="45" t="s">
        <v>7719</v>
      </c>
    </row>
    <row r="987" spans="2:25" ht="15" customHeight="1">
      <c r="B987" s="45" t="s">
        <v>26</v>
      </c>
      <c r="C987" s="45" t="s">
        <v>44</v>
      </c>
      <c r="D987" s="45" t="s">
        <v>207</v>
      </c>
      <c r="E987" s="45" t="s">
        <v>7720</v>
      </c>
      <c r="F987" s="45" t="s">
        <v>312</v>
      </c>
      <c r="G987" s="45">
        <v>4</v>
      </c>
      <c r="H987" s="45" t="s">
        <v>7721</v>
      </c>
      <c r="I987" s="45" t="s">
        <v>275</v>
      </c>
      <c r="J987" s="45" t="s">
        <v>5378</v>
      </c>
      <c r="K987" s="47">
        <v>46227.727025462962</v>
      </c>
      <c r="L987" s="47">
        <v>46227.727025462962</v>
      </c>
      <c r="M987" s="47">
        <v>46227.754710648151</v>
      </c>
      <c r="N987" s="47">
        <v>46230.504479166666</v>
      </c>
      <c r="Q987" s="45" t="s">
        <v>7699</v>
      </c>
      <c r="R987" s="45" t="s">
        <v>272</v>
      </c>
      <c r="S987" s="45" t="s">
        <v>5699</v>
      </c>
      <c r="T987" s="45" t="s">
        <v>268</v>
      </c>
      <c r="U987" s="45" t="s">
        <v>5531</v>
      </c>
      <c r="X987" s="45" t="s">
        <v>5531</v>
      </c>
      <c r="Y987" s="45" t="s">
        <v>7722</v>
      </c>
    </row>
    <row r="988" spans="2:25" ht="15" customHeight="1">
      <c r="B988" s="45" t="s">
        <v>26</v>
      </c>
      <c r="C988" s="45" t="s">
        <v>44</v>
      </c>
      <c r="D988" s="45" t="s">
        <v>208</v>
      </c>
      <c r="E988" s="45" t="s">
        <v>7723</v>
      </c>
      <c r="F988" s="45" t="s">
        <v>312</v>
      </c>
      <c r="G988" s="45" t="s">
        <v>208</v>
      </c>
      <c r="H988" s="45" t="s">
        <v>7724</v>
      </c>
      <c r="I988" s="45" t="s">
        <v>271</v>
      </c>
      <c r="J988" s="45" t="s">
        <v>5378</v>
      </c>
      <c r="K988" s="47">
        <v>46219.660451388889</v>
      </c>
      <c r="L988" s="47">
        <v>46220.522106481483</v>
      </c>
      <c r="M988" s="47">
        <v>46220.522106481483</v>
      </c>
      <c r="N988" s="47">
        <v>46230.369710648149</v>
      </c>
      <c r="P988" s="47">
        <v>46230.369710648149</v>
      </c>
      <c r="Q988" s="45" t="s">
        <v>5866</v>
      </c>
      <c r="R988" s="45" t="s">
        <v>272</v>
      </c>
      <c r="S988" s="45" t="s">
        <v>5699</v>
      </c>
      <c r="T988" s="45" t="s">
        <v>268</v>
      </c>
      <c r="U988" s="45" t="s">
        <v>5531</v>
      </c>
      <c r="X988" s="45" t="s">
        <v>5531</v>
      </c>
      <c r="Y988" s="45" t="s">
        <v>7725</v>
      </c>
    </row>
    <row r="989" spans="2:25" ht="15" customHeight="1">
      <c r="B989" s="45" t="s">
        <v>26</v>
      </c>
      <c r="C989" s="45" t="s">
        <v>44</v>
      </c>
      <c r="D989" s="45" t="s">
        <v>208</v>
      </c>
      <c r="E989" s="45" t="s">
        <v>7726</v>
      </c>
      <c r="F989" s="45" t="s">
        <v>312</v>
      </c>
      <c r="G989" s="45" t="s">
        <v>208</v>
      </c>
      <c r="H989" s="45" t="s">
        <v>7727</v>
      </c>
      <c r="I989" s="45" t="s">
        <v>271</v>
      </c>
      <c r="J989" s="45" t="s">
        <v>5378</v>
      </c>
      <c r="K989" s="47">
        <v>46220.548437500001</v>
      </c>
      <c r="L989" s="47">
        <v>46223.31113425926</v>
      </c>
      <c r="M989" s="47">
        <v>46223.31113425926</v>
      </c>
      <c r="N989" s="47">
        <v>46230.420138888891</v>
      </c>
      <c r="P989" s="47">
        <v>46230.420138888891</v>
      </c>
      <c r="Q989" s="45" t="s">
        <v>7728</v>
      </c>
      <c r="R989" s="45" t="s">
        <v>272</v>
      </c>
      <c r="S989" s="45" t="s">
        <v>5699</v>
      </c>
      <c r="T989" s="45" t="s">
        <v>268</v>
      </c>
      <c r="U989" s="45" t="s">
        <v>5531</v>
      </c>
      <c r="X989" s="45" t="s">
        <v>5531</v>
      </c>
      <c r="Y989" s="45" t="s">
        <v>7729</v>
      </c>
    </row>
    <row r="990" spans="2:25" ht="15" customHeight="1">
      <c r="B990" s="45" t="s">
        <v>26</v>
      </c>
      <c r="C990" s="45" t="s">
        <v>44</v>
      </c>
      <c r="D990" s="45" t="s">
        <v>207</v>
      </c>
      <c r="E990" s="45" t="s">
        <v>7730</v>
      </c>
      <c r="F990" s="45" t="s">
        <v>312</v>
      </c>
      <c r="G990" s="45">
        <v>4</v>
      </c>
      <c r="H990" s="45" t="s">
        <v>7731</v>
      </c>
      <c r="I990" s="45" t="s">
        <v>271</v>
      </c>
      <c r="J990" s="45" t="s">
        <v>5378</v>
      </c>
      <c r="K990" s="47">
        <v>46227.368819444448</v>
      </c>
      <c r="L990" s="47">
        <v>46227.404224537036</v>
      </c>
      <c r="M990" s="47">
        <v>46227.404224537036</v>
      </c>
      <c r="N990" s="47">
        <v>46231.254305555558</v>
      </c>
      <c r="P990" s="47">
        <v>46231.254305555558</v>
      </c>
      <c r="Q990" s="45" t="s">
        <v>44</v>
      </c>
      <c r="R990" s="45" t="s">
        <v>272</v>
      </c>
      <c r="S990" s="45" t="s">
        <v>5699</v>
      </c>
      <c r="T990" s="45" t="s">
        <v>268</v>
      </c>
      <c r="U990" s="45" t="s">
        <v>5531</v>
      </c>
      <c r="X990" s="45" t="s">
        <v>5531</v>
      </c>
      <c r="Y990" s="45" t="s">
        <v>7732</v>
      </c>
    </row>
    <row r="991" spans="2:25" ht="15" customHeight="1">
      <c r="B991" s="45" t="s">
        <v>26</v>
      </c>
      <c r="C991" s="45" t="s">
        <v>44</v>
      </c>
      <c r="D991" s="45" t="s">
        <v>207</v>
      </c>
      <c r="E991" s="45" t="s">
        <v>7733</v>
      </c>
      <c r="F991" s="45" t="s">
        <v>312</v>
      </c>
      <c r="G991" s="45">
        <v>4</v>
      </c>
      <c r="H991" s="45" t="s">
        <v>7734</v>
      </c>
      <c r="I991" s="45" t="s">
        <v>275</v>
      </c>
      <c r="J991" s="45" t="s">
        <v>5378</v>
      </c>
      <c r="K991" s="47">
        <v>46230.486006944448</v>
      </c>
      <c r="L991" s="47">
        <v>46230.518877314818</v>
      </c>
      <c r="M991" s="47">
        <v>46230.518877314818</v>
      </c>
      <c r="N991" s="47">
        <v>46231.303518518522</v>
      </c>
      <c r="P991" s="47">
        <v>46231.303518518522</v>
      </c>
      <c r="Q991" s="45" t="s">
        <v>44</v>
      </c>
      <c r="R991" s="45" t="s">
        <v>272</v>
      </c>
      <c r="S991" s="45" t="s">
        <v>5699</v>
      </c>
      <c r="T991" s="45" t="s">
        <v>268</v>
      </c>
      <c r="U991" s="45" t="s">
        <v>5531</v>
      </c>
      <c r="X991" s="45" t="s">
        <v>5531</v>
      </c>
      <c r="Y991" s="45" t="s">
        <v>7253</v>
      </c>
    </row>
    <row r="992" spans="2:25" ht="15" customHeight="1">
      <c r="B992" s="45" t="s">
        <v>26</v>
      </c>
      <c r="C992" s="45" t="s">
        <v>44</v>
      </c>
      <c r="D992" s="45" t="s">
        <v>208</v>
      </c>
      <c r="E992" s="45" t="s">
        <v>7735</v>
      </c>
      <c r="F992" s="45" t="s">
        <v>312</v>
      </c>
      <c r="G992" s="45" t="s">
        <v>208</v>
      </c>
      <c r="H992" s="45" t="s">
        <v>7736</v>
      </c>
      <c r="I992" s="45" t="s">
        <v>271</v>
      </c>
      <c r="J992" s="45" t="s">
        <v>5378</v>
      </c>
      <c r="K992" s="47">
        <v>46223.536076388889</v>
      </c>
      <c r="L992" s="47">
        <v>46224.275914351849</v>
      </c>
      <c r="M992" s="47">
        <v>46224.275914351849</v>
      </c>
      <c r="N992" s="47">
        <v>46231.304560185185</v>
      </c>
      <c r="P992" s="47">
        <v>46231.304560185185</v>
      </c>
      <c r="Q992" s="45" t="s">
        <v>44</v>
      </c>
      <c r="R992" s="45" t="s">
        <v>272</v>
      </c>
      <c r="S992" s="45" t="s">
        <v>5699</v>
      </c>
      <c r="T992" s="45" t="s">
        <v>268</v>
      </c>
      <c r="U992" s="45" t="s">
        <v>5531</v>
      </c>
      <c r="X992" s="45" t="s">
        <v>5531</v>
      </c>
      <c r="Y992" s="45" t="s">
        <v>7732</v>
      </c>
    </row>
    <row r="993" spans="2:25" ht="15" customHeight="1">
      <c r="B993" s="45" t="s">
        <v>26</v>
      </c>
      <c r="C993" s="45" t="s">
        <v>44</v>
      </c>
      <c r="D993" s="45" t="s">
        <v>207</v>
      </c>
      <c r="E993" s="45" t="s">
        <v>7737</v>
      </c>
      <c r="F993" s="45" t="s">
        <v>312</v>
      </c>
      <c r="G993" s="45">
        <v>4</v>
      </c>
      <c r="H993" s="45" t="s">
        <v>7738</v>
      </c>
      <c r="I993" s="45" t="s">
        <v>275</v>
      </c>
      <c r="J993" s="45" t="s">
        <v>5378</v>
      </c>
      <c r="K993" s="47">
        <v>46230.432118055556</v>
      </c>
      <c r="L993" s="47">
        <v>46234.307546296295</v>
      </c>
      <c r="M993" s="47">
        <v>46234.307546296295</v>
      </c>
      <c r="N993" s="47">
        <v>46234.451747685183</v>
      </c>
      <c r="P993" s="47">
        <v>46234.451747685183</v>
      </c>
      <c r="Q993" s="45" t="s">
        <v>6508</v>
      </c>
      <c r="R993" s="45" t="s">
        <v>272</v>
      </c>
      <c r="S993" s="45" t="s">
        <v>5699</v>
      </c>
      <c r="T993" s="45" t="s">
        <v>268</v>
      </c>
      <c r="U993" s="45" t="s">
        <v>5531</v>
      </c>
      <c r="X993" s="45" t="s">
        <v>5531</v>
      </c>
      <c r="Y993" s="45" t="s">
        <v>7739</v>
      </c>
    </row>
    <row r="994" spans="2:25" ht="15" customHeight="1">
      <c r="B994" s="45" t="s">
        <v>26</v>
      </c>
      <c r="C994" s="45" t="s">
        <v>44</v>
      </c>
      <c r="D994" s="45" t="s">
        <v>207</v>
      </c>
      <c r="E994" s="45" t="s">
        <v>7740</v>
      </c>
      <c r="F994" s="45" t="s">
        <v>312</v>
      </c>
      <c r="G994" s="45">
        <v>4</v>
      </c>
      <c r="H994" s="45" t="s">
        <v>7741</v>
      </c>
      <c r="I994" s="45" t="s">
        <v>275</v>
      </c>
      <c r="J994" s="45" t="s">
        <v>5378</v>
      </c>
      <c r="K994" s="47">
        <v>46224.506215277775</v>
      </c>
      <c r="L994" s="47">
        <v>46232.291273148148</v>
      </c>
      <c r="M994" s="47">
        <v>46232.291273148148</v>
      </c>
      <c r="N994" s="47">
        <v>46233.58252314815</v>
      </c>
      <c r="P994" s="47">
        <v>46233.58252314815</v>
      </c>
      <c r="Q994" s="45" t="s">
        <v>7742</v>
      </c>
      <c r="R994" s="45" t="s">
        <v>272</v>
      </c>
      <c r="S994" s="45" t="s">
        <v>5699</v>
      </c>
      <c r="T994" s="45" t="s">
        <v>268</v>
      </c>
      <c r="U994" s="45" t="s">
        <v>5531</v>
      </c>
      <c r="X994" s="45" t="s">
        <v>5531</v>
      </c>
      <c r="Y994" s="45" t="s">
        <v>6908</v>
      </c>
    </row>
    <row r="995" spans="2:25" ht="15" customHeight="1">
      <c r="B995" s="45" t="s">
        <v>26</v>
      </c>
      <c r="C995" s="45" t="s">
        <v>44</v>
      </c>
      <c r="D995" s="45" t="s">
        <v>207</v>
      </c>
      <c r="E995" s="45" t="s">
        <v>7743</v>
      </c>
      <c r="F995" s="45" t="s">
        <v>312</v>
      </c>
      <c r="G995" s="45">
        <v>3</v>
      </c>
      <c r="H995" s="45" t="s">
        <v>7744</v>
      </c>
      <c r="I995" s="45" t="s">
        <v>275</v>
      </c>
      <c r="J995" s="45" t="s">
        <v>5378</v>
      </c>
      <c r="K995" s="47">
        <v>46231.633240740739</v>
      </c>
      <c r="L995" s="47">
        <v>46233.606261574074</v>
      </c>
      <c r="M995" s="47">
        <v>46233.606261574074</v>
      </c>
      <c r="N995" s="47">
        <v>46237.418842592589</v>
      </c>
      <c r="P995" s="47">
        <v>46237.418842592589</v>
      </c>
      <c r="Q995" s="45" t="s">
        <v>5866</v>
      </c>
      <c r="R995" s="45" t="s">
        <v>272</v>
      </c>
      <c r="S995" s="45" t="s">
        <v>5699</v>
      </c>
      <c r="T995" s="45" t="s">
        <v>268</v>
      </c>
      <c r="U995" s="45" t="s">
        <v>5531</v>
      </c>
      <c r="X995" s="45" t="s">
        <v>5531</v>
      </c>
      <c r="Y995" s="45" t="s">
        <v>6908</v>
      </c>
    </row>
    <row r="996" spans="2:25" ht="15" customHeight="1">
      <c r="B996" s="45" t="s">
        <v>26</v>
      </c>
      <c r="C996" s="45" t="s">
        <v>44</v>
      </c>
      <c r="D996" s="45" t="s">
        <v>207</v>
      </c>
      <c r="E996" s="45" t="s">
        <v>7745</v>
      </c>
      <c r="F996" s="45" t="s">
        <v>312</v>
      </c>
      <c r="G996" s="45">
        <v>3</v>
      </c>
      <c r="H996" s="45" t="s">
        <v>7746</v>
      </c>
      <c r="I996" s="45" t="s">
        <v>271</v>
      </c>
      <c r="J996" s="45" t="s">
        <v>5378</v>
      </c>
      <c r="K996" s="47">
        <v>46231.529768518521</v>
      </c>
      <c r="L996" s="47">
        <v>46232.294745370367</v>
      </c>
      <c r="M996" s="47">
        <v>46232.294745370367</v>
      </c>
      <c r="N996" s="47">
        <v>46234.428819444445</v>
      </c>
      <c r="P996" s="47">
        <v>46234.428819444445</v>
      </c>
      <c r="Q996" s="45" t="s">
        <v>5866</v>
      </c>
      <c r="R996" s="45" t="s">
        <v>272</v>
      </c>
      <c r="S996" s="45" t="s">
        <v>5699</v>
      </c>
      <c r="T996" s="45" t="s">
        <v>268</v>
      </c>
      <c r="U996" s="45" t="s">
        <v>5531</v>
      </c>
      <c r="X996" s="45" t="s">
        <v>5531</v>
      </c>
      <c r="Y996" s="45" t="s">
        <v>6908</v>
      </c>
    </row>
    <row r="997" spans="2:25" ht="15" customHeight="1">
      <c r="B997" s="45" t="s">
        <v>26</v>
      </c>
      <c r="C997" s="45" t="s">
        <v>44</v>
      </c>
      <c r="D997" s="45" t="s">
        <v>207</v>
      </c>
      <c r="E997" s="45" t="s">
        <v>7747</v>
      </c>
      <c r="F997" s="45" t="s">
        <v>312</v>
      </c>
      <c r="G997" s="45">
        <v>3</v>
      </c>
      <c r="H997" s="45" t="s">
        <v>7748</v>
      </c>
      <c r="I997" s="45" t="s">
        <v>275</v>
      </c>
      <c r="J997" s="45" t="s">
        <v>5378</v>
      </c>
      <c r="K997" s="47">
        <v>46232.441886574074</v>
      </c>
      <c r="L997" s="47">
        <v>46232.696793981479</v>
      </c>
      <c r="M997" s="47">
        <v>46232.696793981479</v>
      </c>
      <c r="N997" s="47">
        <v>46234.436493055553</v>
      </c>
      <c r="P997" s="47">
        <v>46234.436493055553</v>
      </c>
      <c r="Q997" s="45" t="s">
        <v>6293</v>
      </c>
      <c r="R997" s="45" t="s">
        <v>272</v>
      </c>
      <c r="S997" s="45" t="s">
        <v>5699</v>
      </c>
      <c r="T997" s="45" t="s">
        <v>268</v>
      </c>
      <c r="U997" s="45" t="s">
        <v>5531</v>
      </c>
      <c r="X997" s="45" t="s">
        <v>5531</v>
      </c>
      <c r="Y997" s="45" t="s">
        <v>7739</v>
      </c>
    </row>
    <row r="998" spans="2:25" ht="15" customHeight="1">
      <c r="B998" s="45" t="s">
        <v>26</v>
      </c>
      <c r="C998" s="45" t="s">
        <v>44</v>
      </c>
      <c r="D998" s="45" t="s">
        <v>207</v>
      </c>
      <c r="E998" s="45" t="s">
        <v>4383</v>
      </c>
      <c r="F998" s="45" t="s">
        <v>312</v>
      </c>
      <c r="G998" s="45">
        <v>3</v>
      </c>
      <c r="H998" s="45" t="s">
        <v>4384</v>
      </c>
      <c r="I998" s="45" t="s">
        <v>275</v>
      </c>
      <c r="J998" s="45" t="s">
        <v>5378</v>
      </c>
      <c r="K998" s="47">
        <v>46231.39135416667</v>
      </c>
      <c r="L998" s="47">
        <v>46232.284814814811</v>
      </c>
      <c r="M998" s="47">
        <v>46232.284814814811</v>
      </c>
      <c r="N998" s="47">
        <v>46234.442546296297</v>
      </c>
      <c r="P998" s="47">
        <v>46234.442546296297</v>
      </c>
      <c r="Q998" s="45" t="s">
        <v>44</v>
      </c>
      <c r="R998" s="45" t="s">
        <v>272</v>
      </c>
      <c r="S998" s="45" t="s">
        <v>5699</v>
      </c>
      <c r="T998" s="45" t="s">
        <v>268</v>
      </c>
      <c r="U998" s="45" t="s">
        <v>5531</v>
      </c>
      <c r="X998" s="45" t="s">
        <v>5531</v>
      </c>
      <c r="Y998" s="45" t="s">
        <v>7739</v>
      </c>
    </row>
    <row r="999" spans="2:25" ht="15" customHeight="1">
      <c r="B999" s="45" t="s">
        <v>26</v>
      </c>
      <c r="C999" s="45" t="s">
        <v>44</v>
      </c>
      <c r="D999" s="45" t="s">
        <v>208</v>
      </c>
      <c r="E999" s="45" t="s">
        <v>7749</v>
      </c>
      <c r="F999" s="45" t="s">
        <v>312</v>
      </c>
      <c r="G999" s="45" t="s">
        <v>208</v>
      </c>
      <c r="H999" s="45" t="s">
        <v>7750</v>
      </c>
      <c r="I999" s="45" t="s">
        <v>271</v>
      </c>
      <c r="J999" s="45" t="s">
        <v>5378</v>
      </c>
      <c r="K999" s="47">
        <v>46233.705914351849</v>
      </c>
      <c r="L999" s="47">
        <v>46234.263136574074</v>
      </c>
      <c r="M999" s="47">
        <v>46234.263136574074</v>
      </c>
      <c r="N999" s="47">
        <v>46234.453252314815</v>
      </c>
      <c r="P999" s="47">
        <v>46234.453252314815</v>
      </c>
      <c r="Q999" s="45" t="s">
        <v>44</v>
      </c>
      <c r="R999" s="45" t="s">
        <v>272</v>
      </c>
      <c r="S999" s="45" t="s">
        <v>5699</v>
      </c>
      <c r="T999" s="45" t="s">
        <v>268</v>
      </c>
      <c r="U999" s="45" t="s">
        <v>5531</v>
      </c>
      <c r="X999" s="45" t="s">
        <v>5531</v>
      </c>
      <c r="Y999" s="45" t="s">
        <v>7253</v>
      </c>
    </row>
    <row r="1000" spans="2:25" ht="15" customHeight="1">
      <c r="B1000" s="45" t="s">
        <v>26</v>
      </c>
      <c r="C1000" s="45" t="s">
        <v>44</v>
      </c>
      <c r="D1000" s="45" t="s">
        <v>208</v>
      </c>
      <c r="E1000" s="45" t="s">
        <v>7751</v>
      </c>
      <c r="F1000" s="45" t="s">
        <v>312</v>
      </c>
      <c r="G1000" s="45" t="s">
        <v>208</v>
      </c>
      <c r="H1000" s="45" t="s">
        <v>7752</v>
      </c>
      <c r="I1000" s="45" t="s">
        <v>271</v>
      </c>
      <c r="J1000" s="45" t="s">
        <v>5378</v>
      </c>
      <c r="K1000" s="47">
        <v>46227.676076388889</v>
      </c>
      <c r="L1000" s="47">
        <v>46230.425381944442</v>
      </c>
      <c r="M1000" s="47">
        <v>46230.425381944442</v>
      </c>
      <c r="N1000" s="47">
        <v>46237.420358796298</v>
      </c>
      <c r="P1000" s="47">
        <v>46237.420358796298</v>
      </c>
      <c r="Q1000" s="45" t="s">
        <v>7753</v>
      </c>
      <c r="R1000" s="45" t="s">
        <v>272</v>
      </c>
      <c r="S1000" s="45" t="s">
        <v>5699</v>
      </c>
      <c r="T1000" s="45" t="s">
        <v>268</v>
      </c>
      <c r="U1000" s="45" t="s">
        <v>5531</v>
      </c>
      <c r="X1000" s="45" t="s">
        <v>5531</v>
      </c>
      <c r="Y1000" s="45" t="s">
        <v>6908</v>
      </c>
    </row>
    <row r="1001" spans="2:25" ht="15" customHeight="1">
      <c r="B1001" s="45" t="s">
        <v>26</v>
      </c>
      <c r="C1001" s="45" t="s">
        <v>44</v>
      </c>
      <c r="D1001" s="45" t="s">
        <v>208</v>
      </c>
      <c r="E1001" s="45" t="s">
        <v>7754</v>
      </c>
      <c r="F1001" s="45" t="s">
        <v>312</v>
      </c>
      <c r="G1001" s="45" t="s">
        <v>208</v>
      </c>
      <c r="H1001" s="45" t="s">
        <v>7755</v>
      </c>
      <c r="I1001" s="45" t="s">
        <v>271</v>
      </c>
      <c r="J1001" s="45" t="s">
        <v>5378</v>
      </c>
      <c r="K1001" s="47">
        <v>46216.533055555556</v>
      </c>
      <c r="L1001" s="47">
        <v>46227.329131944447</v>
      </c>
      <c r="M1001" s="47">
        <v>46227.329131944447</v>
      </c>
      <c r="N1001" s="47">
        <v>46237.421747685185</v>
      </c>
      <c r="P1001" s="47">
        <v>46237.421747685185</v>
      </c>
      <c r="Q1001" s="45" t="s">
        <v>44</v>
      </c>
      <c r="R1001" s="45" t="s">
        <v>272</v>
      </c>
      <c r="S1001" s="45" t="s">
        <v>5699</v>
      </c>
      <c r="T1001" s="45" t="s">
        <v>268</v>
      </c>
      <c r="U1001" s="45" t="s">
        <v>5531</v>
      </c>
      <c r="X1001" s="45" t="s">
        <v>5531</v>
      </c>
      <c r="Y1001" s="45" t="s">
        <v>7732</v>
      </c>
    </row>
    <row r="1002" spans="2:25" ht="15" customHeight="1">
      <c r="B1002" s="45" t="s">
        <v>26</v>
      </c>
      <c r="C1002" s="45" t="s">
        <v>44</v>
      </c>
      <c r="D1002" s="45" t="s">
        <v>208</v>
      </c>
      <c r="E1002" s="45" t="s">
        <v>7756</v>
      </c>
      <c r="F1002" s="45" t="s">
        <v>312</v>
      </c>
      <c r="G1002" s="45" t="s">
        <v>208</v>
      </c>
      <c r="H1002" s="45" t="s">
        <v>7757</v>
      </c>
      <c r="I1002" s="45" t="s">
        <v>275</v>
      </c>
      <c r="J1002" s="45" t="s">
        <v>5378</v>
      </c>
      <c r="K1002" s="47">
        <v>46226.576851851853</v>
      </c>
      <c r="L1002" s="47">
        <v>46226.581863425927</v>
      </c>
      <c r="M1002" s="47">
        <v>46226.581863425927</v>
      </c>
      <c r="N1002" s="47">
        <v>46237.424062500002</v>
      </c>
      <c r="P1002" s="47">
        <v>46237.424062500002</v>
      </c>
      <c r="Q1002" s="45" t="s">
        <v>7758</v>
      </c>
      <c r="R1002" s="45" t="s">
        <v>272</v>
      </c>
      <c r="S1002" s="45" t="s">
        <v>5699</v>
      </c>
      <c r="T1002" s="45" t="s">
        <v>268</v>
      </c>
      <c r="U1002" s="45" t="s">
        <v>5531</v>
      </c>
      <c r="X1002" s="45" t="s">
        <v>5531</v>
      </c>
      <c r="Y1002" s="45" t="s">
        <v>7253</v>
      </c>
    </row>
    <row r="1003" spans="2:25" ht="15" customHeight="1">
      <c r="B1003" s="45" t="s">
        <v>26</v>
      </c>
      <c r="C1003" s="45" t="s">
        <v>44</v>
      </c>
      <c r="D1003" s="45" t="s">
        <v>208</v>
      </c>
      <c r="E1003" s="45" t="s">
        <v>7759</v>
      </c>
      <c r="F1003" s="45" t="s">
        <v>312</v>
      </c>
      <c r="G1003" s="45" t="s">
        <v>208</v>
      </c>
      <c r="H1003" s="46" t="s">
        <v>7757</v>
      </c>
      <c r="I1003" s="45" t="s">
        <v>260</v>
      </c>
      <c r="J1003" s="45" t="s">
        <v>5378</v>
      </c>
      <c r="K1003" s="47">
        <v>46220.4690162037</v>
      </c>
      <c r="L1003" s="47">
        <v>46232.457118055558</v>
      </c>
      <c r="M1003" s="47">
        <v>46232.457118055558</v>
      </c>
      <c r="O1003" s="47">
        <v>46237.424884259257</v>
      </c>
      <c r="Q1003" s="45" t="s">
        <v>44</v>
      </c>
      <c r="R1003" s="45" t="s">
        <v>272</v>
      </c>
      <c r="S1003" s="45" t="s">
        <v>5699</v>
      </c>
      <c r="T1003" s="45" t="s">
        <v>268</v>
      </c>
      <c r="U1003" s="45" t="s">
        <v>5531</v>
      </c>
      <c r="X1003" s="45" t="s">
        <v>5531</v>
      </c>
      <c r="Y1003" s="45" t="s">
        <v>7760</v>
      </c>
    </row>
    <row r="1004" spans="2:25" ht="15" customHeight="1">
      <c r="B1004" s="45" t="s">
        <v>26</v>
      </c>
      <c r="C1004" s="45" t="s">
        <v>44</v>
      </c>
      <c r="D1004" s="45" t="s">
        <v>207</v>
      </c>
      <c r="E1004" s="45" t="s">
        <v>7761</v>
      </c>
      <c r="F1004" s="45" t="s">
        <v>312</v>
      </c>
      <c r="G1004" s="45">
        <v>4</v>
      </c>
      <c r="H1004" s="45" t="s">
        <v>6915</v>
      </c>
      <c r="I1004" s="45" t="s">
        <v>275</v>
      </c>
      <c r="J1004" s="45" t="s">
        <v>5378</v>
      </c>
      <c r="K1004" s="47">
        <v>46231.35255787037</v>
      </c>
      <c r="L1004" s="47">
        <v>46237.42465277778</v>
      </c>
      <c r="M1004" s="47">
        <v>46237.42465277778</v>
      </c>
      <c r="N1004" s="47">
        <v>46237.543113425927</v>
      </c>
      <c r="P1004" s="47">
        <v>46237.543113425927</v>
      </c>
      <c r="Q1004" s="45" t="s">
        <v>7762</v>
      </c>
      <c r="R1004" s="45" t="s">
        <v>272</v>
      </c>
      <c r="S1004" s="45" t="s">
        <v>5699</v>
      </c>
      <c r="T1004" s="45" t="s">
        <v>268</v>
      </c>
      <c r="U1004" s="45" t="s">
        <v>5531</v>
      </c>
      <c r="X1004" s="45" t="s">
        <v>5531</v>
      </c>
      <c r="Y1004" s="45" t="s">
        <v>7739</v>
      </c>
    </row>
    <row r="1005" spans="2:25" ht="15" customHeight="1">
      <c r="B1005" s="45" t="s">
        <v>26</v>
      </c>
      <c r="C1005" s="45" t="s">
        <v>44</v>
      </c>
      <c r="D1005" s="45" t="s">
        <v>208</v>
      </c>
      <c r="E1005" s="45" t="s">
        <v>7763</v>
      </c>
      <c r="F1005" s="45" t="s">
        <v>312</v>
      </c>
      <c r="G1005" s="45" t="s">
        <v>208</v>
      </c>
      <c r="H1005" s="45" t="s">
        <v>7764</v>
      </c>
      <c r="I1005" s="45" t="s">
        <v>275</v>
      </c>
      <c r="J1005" s="45" t="s">
        <v>5378</v>
      </c>
      <c r="K1005" s="47">
        <v>46219.654745370368</v>
      </c>
      <c r="L1005" s="47">
        <v>46237.609097222223</v>
      </c>
      <c r="M1005" s="47">
        <v>46237.609097222223</v>
      </c>
      <c r="N1005" s="47">
        <v>46237.609097222223</v>
      </c>
      <c r="P1005" s="47">
        <v>46237.609097222223</v>
      </c>
      <c r="Q1005" s="45" t="s">
        <v>7765</v>
      </c>
      <c r="R1005" s="45" t="s">
        <v>272</v>
      </c>
      <c r="S1005" s="45" t="s">
        <v>5699</v>
      </c>
      <c r="T1005" s="45" t="s">
        <v>268</v>
      </c>
      <c r="U1005" s="45" t="s">
        <v>5531</v>
      </c>
      <c r="X1005" s="45" t="s">
        <v>5531</v>
      </c>
      <c r="Y1005" s="45" t="s">
        <v>7739</v>
      </c>
    </row>
    <row r="1006" spans="2:25" ht="15" customHeight="1">
      <c r="B1006" s="338" t="s">
        <v>26</v>
      </c>
      <c r="C1006" s="338" t="s">
        <v>5686</v>
      </c>
      <c r="D1006" s="339" t="s">
        <v>207</v>
      </c>
      <c r="E1006" s="340" t="s">
        <v>7766</v>
      </c>
      <c r="F1006" s="338" t="s">
        <v>312</v>
      </c>
      <c r="G1006" s="339">
        <v>3</v>
      </c>
      <c r="H1006" s="340" t="s">
        <v>7767</v>
      </c>
      <c r="I1006" s="340" t="s">
        <v>275</v>
      </c>
      <c r="J1006" s="340" t="s">
        <v>7019</v>
      </c>
      <c r="K1006" s="341">
        <v>46192.546527777777</v>
      </c>
      <c r="L1006" s="342">
        <v>46209.831944444442</v>
      </c>
      <c r="M1006" s="342">
        <v>46210.434027777781</v>
      </c>
      <c r="N1006" s="343">
        <v>46210.511111111111</v>
      </c>
      <c r="O1006" s="341" t="s">
        <v>5697</v>
      </c>
      <c r="P1006" s="342" t="s">
        <v>5697</v>
      </c>
      <c r="Q1006" s="340" t="s">
        <v>5873</v>
      </c>
      <c r="R1006" s="344" t="s">
        <v>6120</v>
      </c>
      <c r="S1006" s="339" t="s">
        <v>5699</v>
      </c>
      <c r="T1006" s="339" t="s">
        <v>268</v>
      </c>
      <c r="U1006" s="340" t="s">
        <v>5531</v>
      </c>
      <c r="X1006" s="45" t="s">
        <v>5531</v>
      </c>
      <c r="Y1006" s="339" t="s">
        <v>7768</v>
      </c>
    </row>
    <row r="1007" spans="2:25" ht="15" customHeight="1">
      <c r="B1007" s="338" t="s">
        <v>26</v>
      </c>
      <c r="C1007" s="338" t="s">
        <v>5686</v>
      </c>
      <c r="D1007" s="339" t="s">
        <v>207</v>
      </c>
      <c r="E1007" s="340" t="s">
        <v>7769</v>
      </c>
      <c r="F1007" s="338" t="s">
        <v>312</v>
      </c>
      <c r="G1007" s="339">
        <v>3</v>
      </c>
      <c r="H1007" s="340" t="s">
        <v>7770</v>
      </c>
      <c r="I1007" s="340" t="s">
        <v>275</v>
      </c>
      <c r="J1007" s="340" t="s">
        <v>7019</v>
      </c>
      <c r="K1007" s="341">
        <v>46204.539583333331</v>
      </c>
      <c r="L1007" s="342">
        <v>46205.76666666667</v>
      </c>
      <c r="M1007" s="342">
        <v>46206.443749999999</v>
      </c>
      <c r="N1007" s="343">
        <v>46209.688888888886</v>
      </c>
      <c r="O1007" s="341" t="s">
        <v>5697</v>
      </c>
      <c r="P1007" s="342" t="s">
        <v>5697</v>
      </c>
      <c r="Q1007" s="340" t="s">
        <v>7771</v>
      </c>
      <c r="R1007" s="344" t="s">
        <v>6120</v>
      </c>
      <c r="S1007" s="339" t="s">
        <v>5699</v>
      </c>
      <c r="T1007" s="339" t="s">
        <v>268</v>
      </c>
      <c r="U1007" s="340" t="s">
        <v>5531</v>
      </c>
      <c r="X1007" s="45" t="s">
        <v>5531</v>
      </c>
      <c r="Y1007" s="339" t="s">
        <v>7772</v>
      </c>
    </row>
    <row r="1008" spans="2:25" ht="15" customHeight="1">
      <c r="B1008" s="338" t="s">
        <v>26</v>
      </c>
      <c r="C1008" s="338" t="s">
        <v>5686</v>
      </c>
      <c r="D1008" s="339" t="s">
        <v>207</v>
      </c>
      <c r="E1008" s="340" t="s">
        <v>3854</v>
      </c>
      <c r="F1008" s="338" t="s">
        <v>312</v>
      </c>
      <c r="G1008" s="339">
        <v>3</v>
      </c>
      <c r="H1008" s="340" t="s">
        <v>3855</v>
      </c>
      <c r="I1008" s="340" t="s">
        <v>275</v>
      </c>
      <c r="J1008" s="340" t="s">
        <v>7019</v>
      </c>
      <c r="K1008" s="341">
        <v>46205.712500000001</v>
      </c>
      <c r="L1008" s="342">
        <v>46210.64166666667</v>
      </c>
      <c r="M1008" s="342">
        <v>46210.657638888886</v>
      </c>
      <c r="N1008" s="343">
        <v>46211.72152777778</v>
      </c>
      <c r="O1008" s="341" t="s">
        <v>5697</v>
      </c>
      <c r="P1008" s="342" t="s">
        <v>5697</v>
      </c>
      <c r="Q1008" s="340" t="s">
        <v>5873</v>
      </c>
      <c r="R1008" s="344" t="s">
        <v>6120</v>
      </c>
      <c r="S1008" s="339" t="s">
        <v>5699</v>
      </c>
      <c r="T1008" s="339" t="s">
        <v>268</v>
      </c>
      <c r="U1008" s="340" t="s">
        <v>5531</v>
      </c>
      <c r="X1008" s="45" t="s">
        <v>5531</v>
      </c>
      <c r="Y1008" s="339" t="s">
        <v>7773</v>
      </c>
    </row>
    <row r="1009" spans="2:25" ht="15" customHeight="1">
      <c r="B1009" s="338" t="s">
        <v>26</v>
      </c>
      <c r="C1009" s="338" t="s">
        <v>5686</v>
      </c>
      <c r="D1009" s="339" t="s">
        <v>207</v>
      </c>
      <c r="E1009" s="340" t="s">
        <v>3868</v>
      </c>
      <c r="F1009" s="338" t="s">
        <v>312</v>
      </c>
      <c r="G1009" s="339">
        <v>4</v>
      </c>
      <c r="H1009" s="340" t="s">
        <v>3869</v>
      </c>
      <c r="I1009" s="340" t="s">
        <v>275</v>
      </c>
      <c r="J1009" s="340" t="s">
        <v>7019</v>
      </c>
      <c r="K1009" s="341">
        <v>46205.805555555555</v>
      </c>
      <c r="L1009" s="342">
        <v>46211.645833333336</v>
      </c>
      <c r="M1009" s="342">
        <v>46211.680555555555</v>
      </c>
      <c r="N1009" s="343">
        <v>46211.845833333333</v>
      </c>
      <c r="O1009" s="341" t="s">
        <v>5697</v>
      </c>
      <c r="P1009" s="342" t="s">
        <v>5697</v>
      </c>
      <c r="Q1009" s="340" t="s">
        <v>5873</v>
      </c>
      <c r="R1009" s="344" t="s">
        <v>6120</v>
      </c>
      <c r="S1009" s="339" t="s">
        <v>5699</v>
      </c>
      <c r="T1009" s="339" t="s">
        <v>268</v>
      </c>
      <c r="U1009" s="340" t="s">
        <v>5531</v>
      </c>
      <c r="X1009" s="45" t="s">
        <v>5531</v>
      </c>
      <c r="Y1009" s="339" t="s">
        <v>7773</v>
      </c>
    </row>
    <row r="1010" spans="2:25" ht="15" customHeight="1">
      <c r="B1010" s="338" t="s">
        <v>26</v>
      </c>
      <c r="C1010" s="338" t="s">
        <v>5686</v>
      </c>
      <c r="D1010" s="339" t="s">
        <v>207</v>
      </c>
      <c r="E1010" s="340" t="s">
        <v>3950</v>
      </c>
      <c r="F1010" s="338" t="s">
        <v>312</v>
      </c>
      <c r="G1010" s="339">
        <v>3</v>
      </c>
      <c r="H1010" s="340" t="s">
        <v>3951</v>
      </c>
      <c r="I1010" s="340" t="s">
        <v>275</v>
      </c>
      <c r="J1010" s="340" t="s">
        <v>7019</v>
      </c>
      <c r="K1010" s="341">
        <v>46206.602777777778</v>
      </c>
      <c r="L1010" s="342">
        <v>46210.613194444442</v>
      </c>
      <c r="M1010" s="342">
        <v>46210.657638888886</v>
      </c>
      <c r="N1010" s="343">
        <v>46211.843055555553</v>
      </c>
      <c r="O1010" s="341" t="s">
        <v>5697</v>
      </c>
      <c r="P1010" s="342" t="s">
        <v>5697</v>
      </c>
      <c r="Q1010" s="340" t="s">
        <v>5873</v>
      </c>
      <c r="R1010" s="344" t="s">
        <v>6120</v>
      </c>
      <c r="S1010" s="339" t="s">
        <v>5699</v>
      </c>
      <c r="T1010" s="339" t="s">
        <v>268</v>
      </c>
      <c r="U1010" s="340" t="s">
        <v>5531</v>
      </c>
      <c r="X1010" s="45" t="s">
        <v>5531</v>
      </c>
      <c r="Y1010" s="339" t="s">
        <v>7773</v>
      </c>
    </row>
    <row r="1011" spans="2:25" ht="15" customHeight="1">
      <c r="B1011" s="338" t="s">
        <v>26</v>
      </c>
      <c r="C1011" s="338" t="s">
        <v>5686</v>
      </c>
      <c r="D1011" s="339" t="s">
        <v>207</v>
      </c>
      <c r="E1011" s="340" t="s">
        <v>7774</v>
      </c>
      <c r="F1011" s="338" t="s">
        <v>312</v>
      </c>
      <c r="G1011" s="339">
        <v>3</v>
      </c>
      <c r="H1011" s="340" t="s">
        <v>7775</v>
      </c>
      <c r="I1011" s="340" t="s">
        <v>271</v>
      </c>
      <c r="J1011" s="340" t="s">
        <v>7019</v>
      </c>
      <c r="K1011" s="341">
        <v>46213.65347222222</v>
      </c>
      <c r="L1011" s="342">
        <v>46213.71597222222</v>
      </c>
      <c r="M1011" s="342">
        <v>46213.740277777775</v>
      </c>
      <c r="N1011" s="343">
        <v>46218.5</v>
      </c>
      <c r="O1011" s="341" t="s">
        <v>5697</v>
      </c>
      <c r="P1011" s="342" t="s">
        <v>5697</v>
      </c>
      <c r="Q1011" s="340" t="s">
        <v>5869</v>
      </c>
      <c r="R1011" s="344" t="s">
        <v>6120</v>
      </c>
      <c r="S1011" s="339" t="s">
        <v>175</v>
      </c>
      <c r="T1011" s="339" t="s">
        <v>268</v>
      </c>
      <c r="U1011" s="340" t="s">
        <v>5531</v>
      </c>
      <c r="X1011" s="45" t="s">
        <v>5531</v>
      </c>
      <c r="Y1011" s="339" t="s">
        <v>7776</v>
      </c>
    </row>
    <row r="1012" spans="2:25" ht="15" customHeight="1">
      <c r="B1012" s="338" t="s">
        <v>26</v>
      </c>
      <c r="C1012" s="338" t="s">
        <v>5686</v>
      </c>
      <c r="D1012" s="339" t="s">
        <v>208</v>
      </c>
      <c r="E1012" s="340" t="s">
        <v>7777</v>
      </c>
      <c r="F1012" s="338" t="s">
        <v>312</v>
      </c>
      <c r="G1012" s="339" t="s">
        <v>208</v>
      </c>
      <c r="H1012" s="340" t="s">
        <v>7778</v>
      </c>
      <c r="I1012" s="340" t="s">
        <v>275</v>
      </c>
      <c r="J1012" s="340" t="s">
        <v>7019</v>
      </c>
      <c r="K1012" s="341">
        <v>46213.78402777778</v>
      </c>
      <c r="L1012" s="342">
        <v>46216.638888888891</v>
      </c>
      <c r="M1012" s="342">
        <v>46216.765972222223</v>
      </c>
      <c r="N1012" s="343">
        <v>46224.575694444444</v>
      </c>
      <c r="O1012" s="341" t="s">
        <v>5697</v>
      </c>
      <c r="P1012" s="342" t="s">
        <v>5697</v>
      </c>
      <c r="Q1012" s="340" t="s">
        <v>44</v>
      </c>
      <c r="R1012" s="344" t="s">
        <v>7779</v>
      </c>
      <c r="S1012" s="339" t="s">
        <v>175</v>
      </c>
      <c r="T1012" s="339" t="s">
        <v>268</v>
      </c>
      <c r="U1012" s="340" t="s">
        <v>5531</v>
      </c>
      <c r="X1012" s="45" t="s">
        <v>5531</v>
      </c>
      <c r="Y1012" s="339" t="s">
        <v>7780</v>
      </c>
    </row>
    <row r="1013" spans="2:25" ht="15" customHeight="1">
      <c r="B1013" s="338" t="s">
        <v>26</v>
      </c>
      <c r="C1013" s="338" t="s">
        <v>5686</v>
      </c>
      <c r="D1013" s="339" t="s">
        <v>207</v>
      </c>
      <c r="E1013" s="340" t="s">
        <v>7781</v>
      </c>
      <c r="F1013" s="338" t="s">
        <v>312</v>
      </c>
      <c r="G1013" s="339">
        <v>3</v>
      </c>
      <c r="H1013" s="340" t="s">
        <v>7782</v>
      </c>
      <c r="I1013" s="340" t="s">
        <v>275</v>
      </c>
      <c r="J1013" s="340" t="s">
        <v>7019</v>
      </c>
      <c r="K1013" s="341">
        <v>46217.706250000003</v>
      </c>
      <c r="L1013" s="342">
        <v>46217.711805555555</v>
      </c>
      <c r="M1013" s="342">
        <v>46217.771527777775</v>
      </c>
      <c r="N1013" s="343">
        <v>46218.474999999999</v>
      </c>
      <c r="O1013" s="341" t="s">
        <v>5697</v>
      </c>
      <c r="P1013" s="342" t="s">
        <v>5697</v>
      </c>
      <c r="Q1013" s="340" t="s">
        <v>5869</v>
      </c>
      <c r="R1013" s="344" t="s">
        <v>7779</v>
      </c>
      <c r="S1013" s="339" t="s">
        <v>5699</v>
      </c>
      <c r="T1013" s="339" t="s">
        <v>268</v>
      </c>
      <c r="U1013" s="340" t="s">
        <v>5531</v>
      </c>
      <c r="X1013" s="45" t="s">
        <v>5531</v>
      </c>
      <c r="Y1013" s="339" t="s">
        <v>7783</v>
      </c>
    </row>
    <row r="1014" spans="2:25" ht="15" customHeight="1">
      <c r="B1014" s="338" t="s">
        <v>26</v>
      </c>
      <c r="C1014" s="338" t="s">
        <v>5686</v>
      </c>
      <c r="D1014" s="339" t="s">
        <v>208</v>
      </c>
      <c r="E1014" s="340" t="s">
        <v>7784</v>
      </c>
      <c r="F1014" s="338" t="s">
        <v>312</v>
      </c>
      <c r="G1014" s="339" t="s">
        <v>208</v>
      </c>
      <c r="H1014" s="340" t="s">
        <v>7785</v>
      </c>
      <c r="I1014" s="340" t="s">
        <v>271</v>
      </c>
      <c r="J1014" s="340" t="s">
        <v>7019</v>
      </c>
      <c r="K1014" s="341">
        <v>46217.713194444441</v>
      </c>
      <c r="L1014" s="342">
        <v>46218.73541666667</v>
      </c>
      <c r="M1014" s="342">
        <v>46218.756944444445</v>
      </c>
      <c r="N1014" s="343">
        <v>46230.609722222223</v>
      </c>
      <c r="O1014" s="341" t="s">
        <v>5697</v>
      </c>
      <c r="P1014" s="342" t="s">
        <v>5697</v>
      </c>
      <c r="Q1014" s="340" t="s">
        <v>5869</v>
      </c>
      <c r="R1014" s="344" t="s">
        <v>6120</v>
      </c>
      <c r="S1014" s="339" t="s">
        <v>175</v>
      </c>
      <c r="T1014" s="339" t="s">
        <v>268</v>
      </c>
      <c r="U1014" s="340" t="s">
        <v>5531</v>
      </c>
      <c r="X1014" s="45" t="s">
        <v>5531</v>
      </c>
      <c r="Y1014" s="339" t="s">
        <v>7780</v>
      </c>
    </row>
    <row r="1015" spans="2:25" ht="15" customHeight="1">
      <c r="B1015" s="338" t="s">
        <v>26</v>
      </c>
      <c r="C1015" s="338" t="s">
        <v>5686</v>
      </c>
      <c r="D1015" s="339" t="s">
        <v>207</v>
      </c>
      <c r="E1015" s="340" t="s">
        <v>7786</v>
      </c>
      <c r="F1015" s="338" t="s">
        <v>312</v>
      </c>
      <c r="G1015" s="339">
        <v>3</v>
      </c>
      <c r="H1015" s="340" t="s">
        <v>7787</v>
      </c>
      <c r="I1015" s="340" t="s">
        <v>275</v>
      </c>
      <c r="J1015" s="340" t="s">
        <v>7019</v>
      </c>
      <c r="K1015" s="341">
        <v>46226.868750000001</v>
      </c>
      <c r="L1015" s="342">
        <v>46226.868750000001</v>
      </c>
      <c r="M1015" s="342">
        <v>46227.47152777778</v>
      </c>
      <c r="N1015" s="343">
        <v>46232.536111111112</v>
      </c>
      <c r="O1015" s="341" t="s">
        <v>5697</v>
      </c>
      <c r="P1015" s="342" t="s">
        <v>5697</v>
      </c>
      <c r="Q1015" s="340" t="s">
        <v>44</v>
      </c>
      <c r="R1015" s="344" t="s">
        <v>7788</v>
      </c>
      <c r="S1015" s="339" t="s">
        <v>175</v>
      </c>
      <c r="T1015" s="339" t="s">
        <v>268</v>
      </c>
      <c r="U1015" s="340" t="s">
        <v>5531</v>
      </c>
      <c r="X1015" s="45" t="s">
        <v>5531</v>
      </c>
      <c r="Y1015" s="339" t="s">
        <v>7789</v>
      </c>
    </row>
    <row r="1016" spans="2:25" ht="15" customHeight="1">
      <c r="B1016" s="45" t="s">
        <v>26</v>
      </c>
      <c r="C1016" s="45" t="s">
        <v>5686</v>
      </c>
      <c r="D1016" s="345" t="s">
        <v>207</v>
      </c>
      <c r="E1016" s="346" t="s">
        <v>3757</v>
      </c>
      <c r="F1016" s="346" t="s">
        <v>312</v>
      </c>
      <c r="G1016" s="345">
        <v>3</v>
      </c>
      <c r="H1016" s="346" t="s">
        <v>7790</v>
      </c>
      <c r="I1016" s="346" t="s">
        <v>275</v>
      </c>
      <c r="J1016" s="346" t="s">
        <v>6221</v>
      </c>
      <c r="K1016" s="349">
        <v>46202.706250000003</v>
      </c>
      <c r="L1016" s="349">
        <v>46203.700694444444</v>
      </c>
      <c r="M1016" s="349">
        <v>46203.706944444442</v>
      </c>
      <c r="N1016" s="349">
        <v>46204.553472222222</v>
      </c>
      <c r="Q1016" s="345" t="s">
        <v>7791</v>
      </c>
      <c r="R1016" s="45" t="s">
        <v>7788</v>
      </c>
      <c r="S1016" s="345" t="s">
        <v>6121</v>
      </c>
      <c r="T1016" s="45" t="s">
        <v>268</v>
      </c>
      <c r="U1016" s="45" t="s">
        <v>5531</v>
      </c>
      <c r="X1016" s="45" t="s">
        <v>5531</v>
      </c>
      <c r="Y1016" s="345" t="s">
        <v>7792</v>
      </c>
    </row>
    <row r="1017" spans="2:25" ht="15" customHeight="1">
      <c r="B1017" s="45" t="s">
        <v>26</v>
      </c>
      <c r="C1017" s="45" t="s">
        <v>5686</v>
      </c>
      <c r="D1017" s="347" t="s">
        <v>207</v>
      </c>
      <c r="E1017" s="348" t="s">
        <v>7793</v>
      </c>
      <c r="F1017" s="348" t="s">
        <v>312</v>
      </c>
      <c r="G1017" s="347">
        <v>4</v>
      </c>
      <c r="H1017" s="348" t="s">
        <v>7794</v>
      </c>
      <c r="I1017" s="348" t="s">
        <v>271</v>
      </c>
      <c r="J1017" s="348" t="s">
        <v>6221</v>
      </c>
      <c r="K1017" s="350">
        <v>46196.945138888892</v>
      </c>
      <c r="L1017" s="350">
        <v>46196.951388888891</v>
      </c>
      <c r="M1017" s="350">
        <v>46197.484722222223</v>
      </c>
      <c r="N1017" s="350">
        <v>46204.81527777778</v>
      </c>
      <c r="Q1017" s="347" t="s">
        <v>6119</v>
      </c>
      <c r="R1017" s="45" t="s">
        <v>7788</v>
      </c>
      <c r="S1017" s="347" t="s">
        <v>6121</v>
      </c>
      <c r="T1017" s="45" t="s">
        <v>268</v>
      </c>
      <c r="U1017" s="45" t="s">
        <v>5531</v>
      </c>
      <c r="X1017" s="45" t="s">
        <v>5531</v>
      </c>
      <c r="Y1017" s="347" t="s">
        <v>7795</v>
      </c>
    </row>
    <row r="1018" spans="2:25" ht="15" customHeight="1">
      <c r="B1018" s="45" t="s">
        <v>26</v>
      </c>
      <c r="C1018" s="45" t="s">
        <v>5686</v>
      </c>
      <c r="D1018" s="347" t="s">
        <v>207</v>
      </c>
      <c r="E1018" s="348" t="s">
        <v>7796</v>
      </c>
      <c r="F1018" s="348" t="s">
        <v>312</v>
      </c>
      <c r="G1018" s="347">
        <v>4</v>
      </c>
      <c r="H1018" s="348" t="s">
        <v>7797</v>
      </c>
      <c r="I1018" s="348" t="s">
        <v>275</v>
      </c>
      <c r="J1018" s="348" t="s">
        <v>6221</v>
      </c>
      <c r="K1018" s="350">
        <v>46209.62777777778</v>
      </c>
      <c r="L1018" s="350">
        <v>46209.669444444444</v>
      </c>
      <c r="M1018" s="350">
        <v>46209.736111111109</v>
      </c>
      <c r="N1018" s="350">
        <v>46211.813194444447</v>
      </c>
      <c r="Q1018" s="347" t="s">
        <v>7798</v>
      </c>
      <c r="R1018" s="45" t="s">
        <v>7788</v>
      </c>
      <c r="S1018" s="347" t="s">
        <v>6121</v>
      </c>
      <c r="T1018" s="45" t="s">
        <v>268</v>
      </c>
      <c r="U1018" s="45" t="s">
        <v>5531</v>
      </c>
      <c r="X1018" s="45" t="s">
        <v>5531</v>
      </c>
      <c r="Y1018" s="347" t="s">
        <v>7799</v>
      </c>
    </row>
    <row r="1019" spans="2:25" ht="15" customHeight="1">
      <c r="B1019" s="45" t="s">
        <v>26</v>
      </c>
      <c r="C1019" s="45" t="s">
        <v>5686</v>
      </c>
      <c r="D1019" s="347" t="s">
        <v>207</v>
      </c>
      <c r="E1019" s="348" t="s">
        <v>7800</v>
      </c>
      <c r="F1019" s="348" t="s">
        <v>312</v>
      </c>
      <c r="G1019" s="347">
        <v>4</v>
      </c>
      <c r="H1019" s="348" t="s">
        <v>7801</v>
      </c>
      <c r="I1019" s="348" t="s">
        <v>271</v>
      </c>
      <c r="J1019" s="348" t="s">
        <v>6221</v>
      </c>
      <c r="K1019" s="350">
        <v>46200.151388888888</v>
      </c>
      <c r="L1019" s="350">
        <v>46216.720833333333</v>
      </c>
      <c r="M1019" s="350">
        <v>46216.763194444444</v>
      </c>
      <c r="N1019" s="350">
        <v>46225.643750000003</v>
      </c>
      <c r="Q1019" s="347" t="s">
        <v>7802</v>
      </c>
      <c r="R1019" s="45" t="s">
        <v>7788</v>
      </c>
      <c r="S1019" s="347" t="s">
        <v>6121</v>
      </c>
      <c r="T1019" s="45" t="s">
        <v>268</v>
      </c>
      <c r="U1019" s="45" t="s">
        <v>5531</v>
      </c>
      <c r="X1019" s="45" t="s">
        <v>5531</v>
      </c>
      <c r="Y1019" s="347" t="s">
        <v>7803</v>
      </c>
    </row>
    <row r="1020" spans="2:25" ht="15" customHeight="1">
      <c r="B1020" s="45" t="s">
        <v>26</v>
      </c>
      <c r="C1020" s="45" t="s">
        <v>5686</v>
      </c>
      <c r="D1020" s="347" t="s">
        <v>207</v>
      </c>
      <c r="E1020" s="348" t="s">
        <v>7804</v>
      </c>
      <c r="F1020" s="348" t="s">
        <v>312</v>
      </c>
      <c r="G1020" s="347">
        <v>3</v>
      </c>
      <c r="H1020" s="348" t="s">
        <v>7805</v>
      </c>
      <c r="I1020" s="348" t="s">
        <v>271</v>
      </c>
      <c r="J1020" s="348" t="s">
        <v>6221</v>
      </c>
      <c r="K1020" s="350">
        <v>46204.904166666667</v>
      </c>
      <c r="L1020" s="350">
        <v>46204.95</v>
      </c>
      <c r="M1020" s="350">
        <v>46205.490277777775</v>
      </c>
      <c r="N1020" s="350">
        <v>46237.426388888889</v>
      </c>
      <c r="Q1020" s="347" t="s">
        <v>7806</v>
      </c>
      <c r="R1020" s="45" t="s">
        <v>7788</v>
      </c>
      <c r="S1020" s="347" t="s">
        <v>6121</v>
      </c>
      <c r="T1020" s="45" t="s">
        <v>268</v>
      </c>
      <c r="U1020" s="45" t="s">
        <v>5531</v>
      </c>
      <c r="X1020" s="45" t="s">
        <v>5531</v>
      </c>
      <c r="Y1020" s="347" t="s">
        <v>7807</v>
      </c>
    </row>
    <row r="1021" spans="2:25" ht="15" customHeight="1">
      <c r="B1021" s="45" t="s">
        <v>26</v>
      </c>
      <c r="C1021" s="45" t="s">
        <v>5686</v>
      </c>
      <c r="D1021" s="347" t="s">
        <v>207</v>
      </c>
      <c r="E1021" s="348" t="s">
        <v>7808</v>
      </c>
      <c r="F1021" s="348" t="s">
        <v>312</v>
      </c>
      <c r="G1021" s="347">
        <v>4</v>
      </c>
      <c r="H1021" s="348" t="s">
        <v>6225</v>
      </c>
      <c r="I1021" s="348" t="s">
        <v>271</v>
      </c>
      <c r="J1021" s="348" t="s">
        <v>6221</v>
      </c>
      <c r="K1021" s="350">
        <v>46213.604861111111</v>
      </c>
      <c r="L1021" s="350">
        <v>46216.833333333336</v>
      </c>
      <c r="M1021" s="350">
        <v>46217.476388888892</v>
      </c>
      <c r="N1021" s="350">
        <v>46223.52847222222</v>
      </c>
      <c r="Q1021" s="347" t="s">
        <v>6119</v>
      </c>
      <c r="R1021" s="45" t="s">
        <v>7788</v>
      </c>
      <c r="S1021" s="347" t="s">
        <v>6121</v>
      </c>
      <c r="T1021" s="45" t="s">
        <v>268</v>
      </c>
      <c r="U1021" s="45" t="s">
        <v>5531</v>
      </c>
      <c r="X1021" s="45" t="s">
        <v>5531</v>
      </c>
      <c r="Y1021" s="347" t="s">
        <v>7809</v>
      </c>
    </row>
    <row r="1022" spans="2:25" ht="15" customHeight="1">
      <c r="B1022" s="45" t="s">
        <v>26</v>
      </c>
      <c r="C1022" s="45" t="s">
        <v>5686</v>
      </c>
      <c r="D1022" s="347" t="s">
        <v>207</v>
      </c>
      <c r="E1022" s="348" t="s">
        <v>7810</v>
      </c>
      <c r="F1022" s="348" t="s">
        <v>312</v>
      </c>
      <c r="G1022" s="347">
        <v>4</v>
      </c>
      <c r="H1022" s="348" t="s">
        <v>7811</v>
      </c>
      <c r="I1022" s="348" t="s">
        <v>271</v>
      </c>
      <c r="J1022" s="348" t="s">
        <v>6221</v>
      </c>
      <c r="K1022" s="350">
        <v>46206.826388888891</v>
      </c>
      <c r="L1022" s="350">
        <v>46206.826388888891</v>
      </c>
      <c r="M1022" s="350">
        <v>46209.47152777778</v>
      </c>
      <c r="N1022" s="350">
        <v>46224.820138888892</v>
      </c>
      <c r="Q1022" s="347" t="s">
        <v>7812</v>
      </c>
      <c r="R1022" s="45" t="s">
        <v>7788</v>
      </c>
      <c r="S1022" s="347" t="s">
        <v>6121</v>
      </c>
      <c r="T1022" s="45" t="s">
        <v>268</v>
      </c>
      <c r="U1022" s="45" t="s">
        <v>5531</v>
      </c>
      <c r="X1022" s="45" t="s">
        <v>5531</v>
      </c>
      <c r="Y1022" s="347" t="s">
        <v>7813</v>
      </c>
    </row>
    <row r="1023" spans="2:25" ht="15" customHeight="1">
      <c r="B1023" s="45" t="s">
        <v>26</v>
      </c>
      <c r="C1023" s="45" t="s">
        <v>5686</v>
      </c>
      <c r="D1023" s="347" t="s">
        <v>207</v>
      </c>
      <c r="E1023" s="348" t="s">
        <v>7814</v>
      </c>
      <c r="F1023" s="348" t="s">
        <v>312</v>
      </c>
      <c r="G1023" s="347">
        <v>4</v>
      </c>
      <c r="H1023" s="348" t="s">
        <v>7815</v>
      </c>
      <c r="I1023" s="348" t="s">
        <v>271</v>
      </c>
      <c r="J1023" s="348" t="s">
        <v>6221</v>
      </c>
      <c r="K1023" s="350">
        <v>46225.410416666666</v>
      </c>
      <c r="L1023" s="350">
        <v>46225.410416666666</v>
      </c>
      <c r="M1023" s="350">
        <v>46225.777083333334</v>
      </c>
      <c r="N1023" s="350">
        <v>46230.576388888891</v>
      </c>
      <c r="Q1023" s="352" t="s">
        <v>7816</v>
      </c>
      <c r="R1023" s="45" t="s">
        <v>7788</v>
      </c>
      <c r="S1023" s="347" t="s">
        <v>6121</v>
      </c>
      <c r="T1023" s="45" t="s">
        <v>268</v>
      </c>
      <c r="U1023" s="45" t="s">
        <v>5531</v>
      </c>
      <c r="X1023" s="45" t="s">
        <v>5531</v>
      </c>
      <c r="Y1023" s="347" t="s">
        <v>7803</v>
      </c>
    </row>
    <row r="1024" spans="2:25" ht="15" customHeight="1">
      <c r="B1024" s="45" t="s">
        <v>26</v>
      </c>
      <c r="C1024" s="45" t="s">
        <v>5686</v>
      </c>
      <c r="D1024" s="347" t="s">
        <v>207</v>
      </c>
      <c r="E1024" s="348" t="s">
        <v>7817</v>
      </c>
      <c r="F1024" s="348" t="s">
        <v>312</v>
      </c>
      <c r="G1024" s="347">
        <v>4</v>
      </c>
      <c r="H1024" s="348" t="s">
        <v>6225</v>
      </c>
      <c r="I1024" s="348" t="s">
        <v>271</v>
      </c>
      <c r="J1024" s="348" t="s">
        <v>6221</v>
      </c>
      <c r="K1024" s="350">
        <v>46223.810416666667</v>
      </c>
      <c r="L1024" s="350">
        <v>46223.836805555555</v>
      </c>
      <c r="M1024" s="350">
        <v>46225.481249999997</v>
      </c>
      <c r="N1024" s="350">
        <v>46227.837500000001</v>
      </c>
      <c r="Q1024" s="345" t="s">
        <v>6119</v>
      </c>
      <c r="R1024" s="45" t="s">
        <v>7788</v>
      </c>
      <c r="S1024" s="347" t="s">
        <v>6121</v>
      </c>
      <c r="T1024" s="45" t="s">
        <v>268</v>
      </c>
      <c r="U1024" s="45" t="s">
        <v>5531</v>
      </c>
      <c r="X1024" s="45" t="s">
        <v>5531</v>
      </c>
      <c r="Y1024" s="347" t="s">
        <v>7809</v>
      </c>
    </row>
    <row r="1025" spans="2:25" ht="15" customHeight="1">
      <c r="B1025" s="45" t="s">
        <v>26</v>
      </c>
      <c r="C1025" s="45" t="s">
        <v>5686</v>
      </c>
      <c r="D1025" s="347" t="s">
        <v>207</v>
      </c>
      <c r="E1025" s="348" t="s">
        <v>7818</v>
      </c>
      <c r="F1025" s="348" t="s">
        <v>312</v>
      </c>
      <c r="G1025" s="347">
        <v>4</v>
      </c>
      <c r="H1025" s="348" t="s">
        <v>6132</v>
      </c>
      <c r="I1025" s="348" t="s">
        <v>271</v>
      </c>
      <c r="J1025" s="348" t="s">
        <v>6221</v>
      </c>
      <c r="K1025" s="350">
        <v>46222.305555555555</v>
      </c>
      <c r="L1025" s="350">
        <v>46222.305555555555</v>
      </c>
      <c r="M1025" s="350">
        <v>46223.541666666664</v>
      </c>
      <c r="N1025" s="350">
        <v>46230.586111111108</v>
      </c>
      <c r="Q1025" s="347" t="s">
        <v>6119</v>
      </c>
      <c r="R1025" s="45" t="s">
        <v>7788</v>
      </c>
      <c r="S1025" s="347" t="s">
        <v>6121</v>
      </c>
      <c r="T1025" s="45" t="s">
        <v>268</v>
      </c>
      <c r="U1025" s="45" t="s">
        <v>5531</v>
      </c>
      <c r="X1025" s="45" t="s">
        <v>5531</v>
      </c>
      <c r="Y1025" s="347" t="s">
        <v>7809</v>
      </c>
    </row>
    <row r="1026" spans="2:25" ht="15" customHeight="1">
      <c r="B1026" s="45" t="s">
        <v>26</v>
      </c>
      <c r="C1026" s="45" t="s">
        <v>5686</v>
      </c>
      <c r="D1026" s="347" t="s">
        <v>207</v>
      </c>
      <c r="E1026" s="348" t="s">
        <v>7819</v>
      </c>
      <c r="F1026" s="348" t="s">
        <v>312</v>
      </c>
      <c r="G1026" s="347">
        <v>4</v>
      </c>
      <c r="H1026" s="348" t="s">
        <v>7820</v>
      </c>
      <c r="I1026" s="348" t="s">
        <v>266</v>
      </c>
      <c r="J1026" s="348" t="s">
        <v>6221</v>
      </c>
      <c r="K1026" s="350">
        <v>46224.354166666664</v>
      </c>
      <c r="L1026" s="350">
        <v>46224.366666666669</v>
      </c>
      <c r="M1026" s="350">
        <v>46225.481249999997</v>
      </c>
      <c r="N1026" s="350" t="s">
        <v>5697</v>
      </c>
      <c r="O1026" s="351">
        <v>46237.429861111108</v>
      </c>
      <c r="Q1026" s="347" t="s">
        <v>6119</v>
      </c>
      <c r="R1026" s="45" t="s">
        <v>7788</v>
      </c>
      <c r="S1026" s="347" t="s">
        <v>6121</v>
      </c>
      <c r="T1026" s="45" t="s">
        <v>268</v>
      </c>
      <c r="U1026" s="45" t="s">
        <v>5531</v>
      </c>
      <c r="X1026" s="45" t="s">
        <v>5531</v>
      </c>
      <c r="Y1026" s="347" t="s">
        <v>7821</v>
      </c>
    </row>
    <row r="1027" spans="2:25" ht="15" customHeight="1">
      <c r="B1027" s="45" t="s">
        <v>26</v>
      </c>
      <c r="C1027" s="45" t="s">
        <v>5686</v>
      </c>
      <c r="D1027" s="347" t="s">
        <v>207</v>
      </c>
      <c r="E1027" s="348" t="s">
        <v>7822</v>
      </c>
      <c r="F1027" s="348" t="s">
        <v>312</v>
      </c>
      <c r="G1027" s="347">
        <v>3</v>
      </c>
      <c r="H1027" s="348" t="s">
        <v>7823</v>
      </c>
      <c r="I1027" s="348" t="s">
        <v>275</v>
      </c>
      <c r="J1027" s="348" t="s">
        <v>6221</v>
      </c>
      <c r="K1027" s="350">
        <v>46231.020138888889</v>
      </c>
      <c r="L1027" s="350">
        <v>46231.49722222222</v>
      </c>
      <c r="M1027" s="350">
        <v>46231.623611111114</v>
      </c>
      <c r="N1027" s="350">
        <v>46231.861805555556</v>
      </c>
      <c r="Q1027" s="347" t="s">
        <v>44</v>
      </c>
      <c r="R1027" s="45" t="s">
        <v>7788</v>
      </c>
      <c r="S1027" s="347" t="s">
        <v>175</v>
      </c>
      <c r="T1027" s="45" t="s">
        <v>268</v>
      </c>
      <c r="U1027" s="45" t="s">
        <v>5531</v>
      </c>
      <c r="X1027" s="45" t="s">
        <v>5531</v>
      </c>
      <c r="Y1027" s="347" t="s">
        <v>7824</v>
      </c>
    </row>
    <row r="1028" spans="2:25" ht="15" customHeight="1">
      <c r="B1028" s="353" t="s">
        <v>26</v>
      </c>
      <c r="C1028" s="353" t="s">
        <v>44</v>
      </c>
      <c r="D1028" s="353" t="s">
        <v>207</v>
      </c>
      <c r="E1028" s="353" t="s">
        <v>7825</v>
      </c>
      <c r="F1028" s="53" t="s">
        <v>312</v>
      </c>
      <c r="G1028" s="353">
        <v>4</v>
      </c>
      <c r="H1028" s="353" t="s">
        <v>7826</v>
      </c>
      <c r="I1028" s="353" t="s">
        <v>275</v>
      </c>
      <c r="J1028" s="353" t="s">
        <v>5378</v>
      </c>
      <c r="K1028" s="354">
        <v>46197.376388888886</v>
      </c>
      <c r="L1028" s="354">
        <v>46204.676388888889</v>
      </c>
      <c r="M1028" s="354">
        <v>46205.303472222222</v>
      </c>
      <c r="N1028" s="354">
        <v>46206.290277777778</v>
      </c>
      <c r="O1028" s="354"/>
      <c r="P1028" s="354">
        <v>46206.290277777778</v>
      </c>
      <c r="Q1028" s="353" t="s">
        <v>7420</v>
      </c>
      <c r="R1028" s="353" t="s">
        <v>272</v>
      </c>
      <c r="S1028" s="353" t="s">
        <v>175</v>
      </c>
      <c r="T1028" s="353" t="s">
        <v>268</v>
      </c>
      <c r="U1028" s="353" t="s">
        <v>5531</v>
      </c>
      <c r="V1028" s="353"/>
      <c r="W1028" s="353"/>
      <c r="X1028" s="353" t="s">
        <v>5531</v>
      </c>
      <c r="Y1028" s="353" t="s">
        <v>7827</v>
      </c>
    </row>
    <row r="1029" spans="2:25" ht="15" customHeight="1">
      <c r="B1029" s="353" t="s">
        <v>26</v>
      </c>
      <c r="C1029" s="353" t="s">
        <v>44</v>
      </c>
      <c r="D1029" s="353" t="s">
        <v>207</v>
      </c>
      <c r="E1029" s="353" t="s">
        <v>7828</v>
      </c>
      <c r="F1029" s="53" t="s">
        <v>312</v>
      </c>
      <c r="G1029" s="353">
        <v>4</v>
      </c>
      <c r="H1029" s="353" t="s">
        <v>7829</v>
      </c>
      <c r="I1029" s="353" t="s">
        <v>275</v>
      </c>
      <c r="J1029" s="353" t="s">
        <v>5378</v>
      </c>
      <c r="K1029" s="354">
        <v>46205.633333333331</v>
      </c>
      <c r="L1029" s="354">
        <v>46205.668749999997</v>
      </c>
      <c r="M1029" s="354">
        <v>46206.255555555559</v>
      </c>
      <c r="N1029" s="354">
        <v>46209.238888888889</v>
      </c>
      <c r="O1029" s="354">
        <v>46206.293749999997</v>
      </c>
      <c r="P1029" s="354">
        <v>46209.238888888889</v>
      </c>
      <c r="Q1029" s="353" t="s">
        <v>7830</v>
      </c>
      <c r="R1029" s="353" t="s">
        <v>272</v>
      </c>
      <c r="S1029" s="353" t="s">
        <v>175</v>
      </c>
      <c r="T1029" s="353" t="s">
        <v>268</v>
      </c>
      <c r="U1029" s="353" t="s">
        <v>5531</v>
      </c>
      <c r="V1029" s="353"/>
      <c r="W1029" s="353"/>
      <c r="X1029" s="353" t="s">
        <v>5531</v>
      </c>
      <c r="Y1029" s="353" t="s">
        <v>7831</v>
      </c>
    </row>
    <row r="1030" spans="2:25" ht="15" customHeight="1">
      <c r="B1030" s="353" t="s">
        <v>26</v>
      </c>
      <c r="C1030" s="353" t="s">
        <v>44</v>
      </c>
      <c r="D1030" s="353" t="s">
        <v>207</v>
      </c>
      <c r="E1030" s="353" t="s">
        <v>7832</v>
      </c>
      <c r="F1030" s="53" t="s">
        <v>312</v>
      </c>
      <c r="G1030" s="353">
        <v>4</v>
      </c>
      <c r="H1030" s="353" t="s">
        <v>7833</v>
      </c>
      <c r="I1030" s="353" t="s">
        <v>275</v>
      </c>
      <c r="J1030" s="353" t="s">
        <v>5378</v>
      </c>
      <c r="K1030" s="354">
        <v>46199.798611111109</v>
      </c>
      <c r="L1030" s="354">
        <v>46202.410416666666</v>
      </c>
      <c r="M1030" s="354">
        <v>46202.417361111111</v>
      </c>
      <c r="N1030" s="354">
        <v>46206.29583333333</v>
      </c>
      <c r="O1030" s="354"/>
      <c r="P1030" s="354">
        <v>46206.29583333333</v>
      </c>
      <c r="Q1030" s="353" t="s">
        <v>7834</v>
      </c>
      <c r="R1030" s="353" t="s">
        <v>272</v>
      </c>
      <c r="S1030" s="353" t="s">
        <v>175</v>
      </c>
      <c r="T1030" s="353" t="s">
        <v>268</v>
      </c>
      <c r="U1030" s="353" t="s">
        <v>5531</v>
      </c>
      <c r="V1030" s="353"/>
      <c r="W1030" s="353"/>
      <c r="X1030" s="353" t="s">
        <v>5531</v>
      </c>
      <c r="Y1030" s="353" t="s">
        <v>7835</v>
      </c>
    </row>
    <row r="1031" spans="2:25" ht="15" customHeight="1">
      <c r="B1031" s="353" t="s">
        <v>26</v>
      </c>
      <c r="C1031" s="353" t="s">
        <v>44</v>
      </c>
      <c r="D1031" s="353" t="s">
        <v>207</v>
      </c>
      <c r="E1031" s="353" t="s">
        <v>5247</v>
      </c>
      <c r="F1031" s="53" t="s">
        <v>312</v>
      </c>
      <c r="G1031" s="353">
        <v>4</v>
      </c>
      <c r="H1031" s="353" t="s">
        <v>5248</v>
      </c>
      <c r="I1031" s="353" t="s">
        <v>275</v>
      </c>
      <c r="J1031" s="353" t="s">
        <v>5378</v>
      </c>
      <c r="K1031" s="354">
        <v>46201.741666666669</v>
      </c>
      <c r="L1031" s="354">
        <v>46203.50277777778</v>
      </c>
      <c r="M1031" s="354">
        <v>46203.520833333336</v>
      </c>
      <c r="N1031" s="354">
        <v>46206.298611111109</v>
      </c>
      <c r="O1031" s="354"/>
      <c r="P1031" s="354">
        <v>46206.298611111109</v>
      </c>
      <c r="Q1031" s="353" t="s">
        <v>7353</v>
      </c>
      <c r="R1031" s="353" t="s">
        <v>272</v>
      </c>
      <c r="S1031" s="353" t="s">
        <v>5699</v>
      </c>
      <c r="T1031" s="353" t="s">
        <v>268</v>
      </c>
      <c r="U1031" s="353" t="s">
        <v>5531</v>
      </c>
      <c r="V1031" s="353"/>
      <c r="W1031" s="353"/>
      <c r="X1031" s="353" t="s">
        <v>5531</v>
      </c>
      <c r="Y1031" s="353" t="s">
        <v>7370</v>
      </c>
    </row>
    <row r="1032" spans="2:25" ht="15" customHeight="1">
      <c r="B1032" s="353" t="s">
        <v>26</v>
      </c>
      <c r="C1032" s="353" t="s">
        <v>44</v>
      </c>
      <c r="D1032" s="353" t="s">
        <v>207</v>
      </c>
      <c r="E1032" s="353" t="s">
        <v>7836</v>
      </c>
      <c r="F1032" s="53" t="s">
        <v>312</v>
      </c>
      <c r="G1032" s="353">
        <v>3</v>
      </c>
      <c r="H1032" s="353" t="s">
        <v>7837</v>
      </c>
      <c r="I1032" s="353" t="s">
        <v>275</v>
      </c>
      <c r="J1032" s="353" t="s">
        <v>5378</v>
      </c>
      <c r="K1032" s="354">
        <v>46196.634027777778</v>
      </c>
      <c r="L1032" s="354">
        <v>46206.371527777781</v>
      </c>
      <c r="M1032" s="354">
        <v>46206.376388888886</v>
      </c>
      <c r="N1032" s="354">
        <v>46209.245138888888</v>
      </c>
      <c r="O1032" s="354"/>
      <c r="P1032" s="354">
        <v>46209.245138888888</v>
      </c>
      <c r="Q1032" s="353" t="s">
        <v>5866</v>
      </c>
      <c r="R1032" s="353" t="s">
        <v>272</v>
      </c>
      <c r="S1032" s="353" t="s">
        <v>175</v>
      </c>
      <c r="T1032" s="353" t="s">
        <v>268</v>
      </c>
      <c r="U1032" s="353" t="s">
        <v>5531</v>
      </c>
      <c r="V1032" s="353"/>
      <c r="W1032" s="353"/>
      <c r="X1032" s="353" t="s">
        <v>5531</v>
      </c>
      <c r="Y1032" s="353" t="s">
        <v>7831</v>
      </c>
    </row>
    <row r="1033" spans="2:25" ht="15" customHeight="1">
      <c r="B1033" s="353" t="s">
        <v>26</v>
      </c>
      <c r="C1033" s="353" t="s">
        <v>44</v>
      </c>
      <c r="D1033" s="353" t="s">
        <v>207</v>
      </c>
      <c r="E1033" s="353" t="s">
        <v>7838</v>
      </c>
      <c r="F1033" s="53" t="s">
        <v>312</v>
      </c>
      <c r="G1033" s="353">
        <v>4</v>
      </c>
      <c r="H1033" s="353" t="s">
        <v>7839</v>
      </c>
      <c r="I1033" s="353" t="s">
        <v>275</v>
      </c>
      <c r="J1033" s="353" t="s">
        <v>5378</v>
      </c>
      <c r="K1033" s="354">
        <v>46200.35833333333</v>
      </c>
      <c r="L1033" s="354">
        <v>46202.323611111111</v>
      </c>
      <c r="M1033" s="354">
        <v>46202.365277777775</v>
      </c>
      <c r="N1033" s="354">
        <v>46206.309027777781</v>
      </c>
      <c r="O1033" s="354"/>
      <c r="P1033" s="354">
        <v>46206.309027777781</v>
      </c>
      <c r="Q1033" s="353" t="s">
        <v>7840</v>
      </c>
      <c r="R1033" s="353" t="s">
        <v>272</v>
      </c>
      <c r="S1033" s="353" t="s">
        <v>175</v>
      </c>
      <c r="T1033" s="353" t="s">
        <v>268</v>
      </c>
      <c r="U1033" s="353" t="s">
        <v>5531</v>
      </c>
      <c r="V1033" s="353"/>
      <c r="W1033" s="353"/>
      <c r="X1033" s="353" t="s">
        <v>5531</v>
      </c>
      <c r="Y1033" s="353" t="s">
        <v>7841</v>
      </c>
    </row>
    <row r="1034" spans="2:25" ht="15" customHeight="1">
      <c r="B1034" s="353" t="s">
        <v>26</v>
      </c>
      <c r="C1034" s="353" t="s">
        <v>44</v>
      </c>
      <c r="D1034" s="353" t="s">
        <v>207</v>
      </c>
      <c r="E1034" s="353" t="s">
        <v>7842</v>
      </c>
      <c r="F1034" s="53" t="s">
        <v>312</v>
      </c>
      <c r="G1034" s="353">
        <v>4</v>
      </c>
      <c r="H1034" s="353" t="s">
        <v>7426</v>
      </c>
      <c r="I1034" s="353" t="s">
        <v>271</v>
      </c>
      <c r="J1034" s="353" t="s">
        <v>5378</v>
      </c>
      <c r="K1034" s="354">
        <v>46205.633333333331</v>
      </c>
      <c r="L1034" s="354">
        <v>46205.668749999997</v>
      </c>
      <c r="M1034" s="354">
        <v>46206.255555555559</v>
      </c>
      <c r="N1034" s="354">
        <v>46209.238888888889</v>
      </c>
      <c r="O1034" s="354">
        <v>46206.293749999997</v>
      </c>
      <c r="P1034" s="354">
        <v>46209.238888888889</v>
      </c>
      <c r="Q1034" s="353" t="s">
        <v>5686</v>
      </c>
      <c r="R1034" s="353" t="s">
        <v>272</v>
      </c>
      <c r="S1034" s="353" t="s">
        <v>175</v>
      </c>
      <c r="T1034" s="353" t="s">
        <v>268</v>
      </c>
      <c r="U1034" s="353" t="s">
        <v>5531</v>
      </c>
      <c r="V1034" s="353"/>
      <c r="W1034" s="353"/>
      <c r="X1034" s="353" t="s">
        <v>5531</v>
      </c>
      <c r="Y1034" s="353" t="s">
        <v>5713</v>
      </c>
    </row>
    <row r="1035" spans="2:25" ht="15" customHeight="1">
      <c r="B1035" s="353" t="s">
        <v>26</v>
      </c>
      <c r="C1035" s="353" t="s">
        <v>44</v>
      </c>
      <c r="D1035" s="353" t="s">
        <v>207</v>
      </c>
      <c r="E1035" s="353" t="s">
        <v>7843</v>
      </c>
      <c r="F1035" s="53" t="s">
        <v>312</v>
      </c>
      <c r="G1035" s="353">
        <v>4</v>
      </c>
      <c r="H1035" s="353" t="s">
        <v>7428</v>
      </c>
      <c r="I1035" s="353" t="s">
        <v>275</v>
      </c>
      <c r="J1035" s="353" t="s">
        <v>5378</v>
      </c>
      <c r="K1035" s="354">
        <v>46200.35833333333</v>
      </c>
      <c r="L1035" s="354">
        <v>46202.323611111111</v>
      </c>
      <c r="M1035" s="354">
        <v>46202.365277777775</v>
      </c>
      <c r="N1035" s="354">
        <v>46206.309027777781</v>
      </c>
      <c r="O1035" s="354"/>
      <c r="P1035" s="354">
        <v>46206.309027777781</v>
      </c>
      <c r="Q1035" s="353" t="s">
        <v>7415</v>
      </c>
      <c r="R1035" s="353" t="s">
        <v>272</v>
      </c>
      <c r="S1035" s="353" t="s">
        <v>5699</v>
      </c>
      <c r="T1035" s="353" t="s">
        <v>268</v>
      </c>
      <c r="U1035" s="353" t="s">
        <v>5531</v>
      </c>
      <c r="V1035" s="353"/>
      <c r="W1035" s="353"/>
      <c r="X1035" s="353" t="s">
        <v>5531</v>
      </c>
      <c r="Y1035" s="353" t="s">
        <v>6758</v>
      </c>
    </row>
    <row r="1036" spans="2:25" ht="15" customHeight="1">
      <c r="B1036" s="353" t="s">
        <v>26</v>
      </c>
      <c r="C1036" s="353" t="s">
        <v>44</v>
      </c>
      <c r="D1036" s="353" t="s">
        <v>207</v>
      </c>
      <c r="E1036" s="353" t="s">
        <v>7844</v>
      </c>
      <c r="F1036" s="53" t="s">
        <v>312</v>
      </c>
      <c r="G1036" s="353">
        <v>4</v>
      </c>
      <c r="H1036" s="353" t="s">
        <v>1598</v>
      </c>
      <c r="I1036" s="353" t="s">
        <v>275</v>
      </c>
      <c r="J1036" s="353" t="s">
        <v>5378</v>
      </c>
      <c r="K1036" s="354">
        <v>46197.453472222223</v>
      </c>
      <c r="L1036" s="354">
        <v>46197.51458333333</v>
      </c>
      <c r="M1036" s="354">
        <v>46197.588888888888</v>
      </c>
      <c r="N1036" s="354">
        <v>46206.310416666667</v>
      </c>
      <c r="O1036" s="354"/>
      <c r="P1036" s="354">
        <v>46206.310416666667</v>
      </c>
      <c r="Q1036" s="353" t="s">
        <v>7353</v>
      </c>
      <c r="R1036" s="353" t="s">
        <v>272</v>
      </c>
      <c r="S1036" s="353" t="s">
        <v>5699</v>
      </c>
      <c r="T1036" s="353" t="s">
        <v>268</v>
      </c>
      <c r="U1036" s="353" t="s">
        <v>5531</v>
      </c>
      <c r="V1036" s="353"/>
      <c r="W1036" s="353"/>
      <c r="X1036" s="353" t="s">
        <v>5531</v>
      </c>
      <c r="Y1036" s="353" t="s">
        <v>7370</v>
      </c>
    </row>
    <row r="1037" spans="2:25" ht="15" customHeight="1">
      <c r="B1037" s="353" t="s">
        <v>26</v>
      </c>
      <c r="C1037" s="353" t="s">
        <v>44</v>
      </c>
      <c r="D1037" s="353" t="s">
        <v>208</v>
      </c>
      <c r="E1037" s="353" t="s">
        <v>7845</v>
      </c>
      <c r="F1037" s="53" t="s">
        <v>312</v>
      </c>
      <c r="G1037" s="353" t="s">
        <v>208</v>
      </c>
      <c r="H1037" s="353" t="s">
        <v>7846</v>
      </c>
      <c r="I1037" s="353" t="s">
        <v>271</v>
      </c>
      <c r="J1037" s="353" t="s">
        <v>5378</v>
      </c>
      <c r="K1037" s="354">
        <v>46197.453472222223</v>
      </c>
      <c r="L1037" s="354">
        <v>46197.51458333333</v>
      </c>
      <c r="M1037" s="354">
        <v>46197.588888888888</v>
      </c>
      <c r="N1037" s="354">
        <v>46206.310416666667</v>
      </c>
      <c r="O1037" s="354">
        <v>46198.349305555559</v>
      </c>
      <c r="P1037" s="354">
        <v>46206.310416666667</v>
      </c>
      <c r="Q1037" s="353" t="s">
        <v>7847</v>
      </c>
      <c r="R1037" s="353" t="s">
        <v>272</v>
      </c>
      <c r="S1037" s="353" t="s">
        <v>175</v>
      </c>
      <c r="T1037" s="353" t="s">
        <v>268</v>
      </c>
      <c r="U1037" s="353" t="s">
        <v>5531</v>
      </c>
      <c r="V1037" s="353"/>
      <c r="W1037" s="353"/>
      <c r="X1037" s="353" t="s">
        <v>5531</v>
      </c>
      <c r="Y1037" s="353" t="s">
        <v>7848</v>
      </c>
    </row>
    <row r="1038" spans="2:25" ht="15" customHeight="1">
      <c r="B1038" s="353" t="s">
        <v>26</v>
      </c>
      <c r="C1038" s="353" t="s">
        <v>44</v>
      </c>
      <c r="D1038" s="353" t="s">
        <v>208</v>
      </c>
      <c r="E1038" s="353" t="s">
        <v>7849</v>
      </c>
      <c r="F1038" s="53" t="s">
        <v>312</v>
      </c>
      <c r="G1038" s="353" t="s">
        <v>208</v>
      </c>
      <c r="H1038" s="353" t="s">
        <v>7850</v>
      </c>
      <c r="I1038" s="353" t="s">
        <v>275</v>
      </c>
      <c r="J1038" s="353" t="s">
        <v>5378</v>
      </c>
      <c r="K1038" s="355">
        <v>46202.289583333331</v>
      </c>
      <c r="L1038" s="354">
        <v>46202.289583333331</v>
      </c>
      <c r="M1038" s="354">
        <v>46202.309027777781</v>
      </c>
      <c r="N1038" s="354">
        <v>46209.254861111112</v>
      </c>
      <c r="O1038" s="354"/>
      <c r="P1038" s="354">
        <v>46209.254861111112</v>
      </c>
      <c r="Q1038" s="353" t="s">
        <v>5534</v>
      </c>
      <c r="R1038" s="353" t="s">
        <v>272</v>
      </c>
      <c r="S1038" s="353" t="s">
        <v>175</v>
      </c>
      <c r="T1038" s="353" t="s">
        <v>268</v>
      </c>
      <c r="U1038" s="353" t="s">
        <v>5531</v>
      </c>
      <c r="V1038" s="353"/>
      <c r="W1038" s="353"/>
      <c r="X1038" s="353" t="s">
        <v>5531</v>
      </c>
      <c r="Y1038" s="353" t="s">
        <v>7831</v>
      </c>
    </row>
    <row r="1039" spans="2:25" ht="15" customHeight="1">
      <c r="B1039" s="353" t="s">
        <v>26</v>
      </c>
      <c r="C1039" s="353" t="s">
        <v>44</v>
      </c>
      <c r="D1039" s="353" t="s">
        <v>207</v>
      </c>
      <c r="E1039" s="353" t="s">
        <v>7851</v>
      </c>
      <c r="F1039" s="53" t="s">
        <v>312</v>
      </c>
      <c r="G1039" s="353">
        <v>4</v>
      </c>
      <c r="H1039" s="353" t="s">
        <v>7852</v>
      </c>
      <c r="I1039" s="353" t="s">
        <v>275</v>
      </c>
      <c r="J1039" s="353" t="s">
        <v>5378</v>
      </c>
      <c r="K1039" s="354">
        <v>46209.722916666666</v>
      </c>
      <c r="L1039" s="354">
        <v>46210.295138888891</v>
      </c>
      <c r="M1039" s="354">
        <v>46210.304166666669</v>
      </c>
      <c r="N1039" s="354">
        <v>46210.355555555558</v>
      </c>
      <c r="O1039" s="354"/>
      <c r="P1039" s="354">
        <v>46210.355555555558</v>
      </c>
      <c r="Q1039" s="353" t="s">
        <v>5750</v>
      </c>
      <c r="R1039" s="353" t="s">
        <v>272</v>
      </c>
      <c r="S1039" s="353" t="s">
        <v>5699</v>
      </c>
      <c r="T1039" s="353" t="s">
        <v>268</v>
      </c>
      <c r="U1039" s="353" t="s">
        <v>5531</v>
      </c>
      <c r="V1039" s="353"/>
      <c r="W1039" s="353"/>
      <c r="X1039" s="353" t="s">
        <v>5531</v>
      </c>
      <c r="Y1039" s="353" t="s">
        <v>7370</v>
      </c>
    </row>
    <row r="1040" spans="2:25" ht="15" customHeight="1">
      <c r="B1040" s="353" t="s">
        <v>26</v>
      </c>
      <c r="C1040" s="353" t="s">
        <v>44</v>
      </c>
      <c r="D1040" s="353" t="s">
        <v>207</v>
      </c>
      <c r="E1040" s="353" t="s">
        <v>7853</v>
      </c>
      <c r="F1040" s="53" t="s">
        <v>312</v>
      </c>
      <c r="G1040" s="353">
        <v>4</v>
      </c>
      <c r="H1040" s="353" t="s">
        <v>7854</v>
      </c>
      <c r="I1040" s="353" t="s">
        <v>271</v>
      </c>
      <c r="J1040" s="353" t="s">
        <v>5378</v>
      </c>
      <c r="K1040" s="354">
        <v>46210.701388888891</v>
      </c>
      <c r="L1040" s="354">
        <v>46210.704861111109</v>
      </c>
      <c r="M1040" s="354">
        <v>46211.300694444442</v>
      </c>
      <c r="N1040" s="354">
        <v>46212.211805555555</v>
      </c>
      <c r="O1040" s="354">
        <v>46211.365277777775</v>
      </c>
      <c r="P1040" s="354">
        <v>46212.211805555555</v>
      </c>
      <c r="Q1040" s="353" t="s">
        <v>5692</v>
      </c>
      <c r="R1040" s="353" t="s">
        <v>5693</v>
      </c>
      <c r="S1040" s="353" t="s">
        <v>175</v>
      </c>
      <c r="T1040" s="353" t="s">
        <v>268</v>
      </c>
      <c r="U1040" s="353" t="s">
        <v>5531</v>
      </c>
      <c r="V1040" s="353"/>
      <c r="W1040" s="353"/>
      <c r="X1040" s="353" t="s">
        <v>5531</v>
      </c>
      <c r="Y1040" s="353" t="s">
        <v>5694</v>
      </c>
    </row>
    <row r="1041" spans="2:25" ht="15" customHeight="1">
      <c r="B1041" s="353" t="s">
        <v>26</v>
      </c>
      <c r="C1041" s="353" t="s">
        <v>44</v>
      </c>
      <c r="D1041" s="353" t="s">
        <v>207</v>
      </c>
      <c r="E1041" s="353" t="s">
        <v>7855</v>
      </c>
      <c r="F1041" s="53" t="s">
        <v>312</v>
      </c>
      <c r="G1041" s="353">
        <v>4</v>
      </c>
      <c r="H1041" s="353" t="s">
        <v>7856</v>
      </c>
      <c r="I1041" s="353" t="s">
        <v>275</v>
      </c>
      <c r="J1041" s="353" t="s">
        <v>5378</v>
      </c>
      <c r="K1041" s="354">
        <v>46210.433333333334</v>
      </c>
      <c r="L1041" s="354">
        <v>46210.436805555553</v>
      </c>
      <c r="M1041" s="354">
        <v>46210.493750000001</v>
      </c>
      <c r="N1041" s="354">
        <v>46216.356249999997</v>
      </c>
      <c r="O1041" s="354"/>
      <c r="P1041" s="354">
        <v>46216.356249999997</v>
      </c>
      <c r="Q1041" s="353" t="s">
        <v>7830</v>
      </c>
      <c r="R1041" s="353" t="s">
        <v>272</v>
      </c>
      <c r="S1041" s="353" t="s">
        <v>5699</v>
      </c>
      <c r="T1041" s="353" t="s">
        <v>268</v>
      </c>
      <c r="U1041" s="353" t="s">
        <v>5531</v>
      </c>
      <c r="V1041" s="353"/>
      <c r="W1041" s="353"/>
      <c r="X1041" s="353" t="s">
        <v>5531</v>
      </c>
      <c r="Y1041" s="353" t="s">
        <v>7857</v>
      </c>
    </row>
    <row r="1042" spans="2:25" ht="15" customHeight="1">
      <c r="B1042" s="353" t="s">
        <v>26</v>
      </c>
      <c r="C1042" s="353" t="s">
        <v>44</v>
      </c>
      <c r="D1042" s="353" t="s">
        <v>207</v>
      </c>
      <c r="E1042" s="353" t="s">
        <v>7858</v>
      </c>
      <c r="F1042" s="53" t="s">
        <v>312</v>
      </c>
      <c r="G1042" s="353">
        <v>3</v>
      </c>
      <c r="H1042" s="353" t="s">
        <v>7859</v>
      </c>
      <c r="I1042" s="353" t="s">
        <v>271</v>
      </c>
      <c r="J1042" s="353" t="s">
        <v>5378</v>
      </c>
      <c r="K1042" s="354">
        <v>46211.597916666666</v>
      </c>
      <c r="L1042" s="354">
        <v>46212.802777777775</v>
      </c>
      <c r="M1042" s="354">
        <v>46213.289583333331</v>
      </c>
      <c r="N1042" s="354">
        <v>46218.304166666669</v>
      </c>
      <c r="O1042" s="354">
        <v>46213.302083333336</v>
      </c>
      <c r="P1042" s="354">
        <v>46218.304166666669</v>
      </c>
      <c r="Q1042" s="353" t="s">
        <v>6293</v>
      </c>
      <c r="R1042" s="353" t="s">
        <v>272</v>
      </c>
      <c r="S1042" s="353" t="s">
        <v>5699</v>
      </c>
      <c r="T1042" s="353" t="s">
        <v>268</v>
      </c>
      <c r="U1042" s="353" t="s">
        <v>5531</v>
      </c>
      <c r="V1042" s="353"/>
      <c r="W1042" s="353"/>
      <c r="X1042" s="353" t="s">
        <v>5531</v>
      </c>
      <c r="Y1042" s="353" t="s">
        <v>7860</v>
      </c>
    </row>
    <row r="1043" spans="2:25" ht="15" customHeight="1">
      <c r="B1043" s="353" t="s">
        <v>26</v>
      </c>
      <c r="C1043" s="353" t="s">
        <v>44</v>
      </c>
      <c r="D1043" s="353" t="s">
        <v>208</v>
      </c>
      <c r="E1043" s="353" t="s">
        <v>7861</v>
      </c>
      <c r="F1043" s="53" t="s">
        <v>312</v>
      </c>
      <c r="G1043" s="353" t="s">
        <v>208</v>
      </c>
      <c r="H1043" s="353" t="s">
        <v>7862</v>
      </c>
      <c r="I1043" s="353" t="s">
        <v>271</v>
      </c>
      <c r="J1043" s="353" t="s">
        <v>5378</v>
      </c>
      <c r="K1043" s="354">
        <v>46209.461805555555</v>
      </c>
      <c r="L1043" s="354">
        <v>46209.461805555555</v>
      </c>
      <c r="M1043" s="354">
        <v>46209.551388888889</v>
      </c>
      <c r="N1043" s="354">
        <v>46216.363194444442</v>
      </c>
      <c r="O1043" s="354">
        <v>46212.349305555559</v>
      </c>
      <c r="P1043" s="354">
        <v>46216.363194444442</v>
      </c>
      <c r="Q1043" s="353" t="s">
        <v>7863</v>
      </c>
      <c r="R1043" s="353" t="s">
        <v>272</v>
      </c>
      <c r="S1043" s="353" t="s">
        <v>175</v>
      </c>
      <c r="T1043" s="353" t="s">
        <v>268</v>
      </c>
      <c r="U1043" s="353" t="s">
        <v>5531</v>
      </c>
      <c r="V1043" s="353"/>
      <c r="W1043" s="353"/>
      <c r="X1043" s="353" t="s">
        <v>5531</v>
      </c>
      <c r="Y1043" s="353" t="s">
        <v>7864</v>
      </c>
    </row>
    <row r="1044" spans="2:25" ht="15" customHeight="1">
      <c r="B1044" s="353" t="s">
        <v>26</v>
      </c>
      <c r="C1044" s="353" t="s">
        <v>44</v>
      </c>
      <c r="D1044" s="353" t="s">
        <v>208</v>
      </c>
      <c r="E1044" s="353" t="s">
        <v>7865</v>
      </c>
      <c r="F1044" s="53" t="s">
        <v>312</v>
      </c>
      <c r="G1044" s="353" t="s">
        <v>208</v>
      </c>
      <c r="H1044" s="353" t="s">
        <v>5868</v>
      </c>
      <c r="I1044" s="353" t="s">
        <v>271</v>
      </c>
      <c r="J1044" s="353" t="s">
        <v>5378</v>
      </c>
      <c r="K1044" s="354">
        <v>46209.667361111111</v>
      </c>
      <c r="L1044" s="354">
        <v>46216.415277777778</v>
      </c>
      <c r="M1044" s="354">
        <v>46216.415972222225</v>
      </c>
      <c r="N1044" s="354">
        <v>46217.472916666666</v>
      </c>
      <c r="O1044" s="354">
        <v>46216.418749999997</v>
      </c>
      <c r="P1044" s="354">
        <v>46217.472916666666</v>
      </c>
      <c r="Q1044" s="353" t="s">
        <v>6786</v>
      </c>
      <c r="R1044" s="353" t="s">
        <v>272</v>
      </c>
      <c r="S1044" s="353" t="s">
        <v>175</v>
      </c>
      <c r="T1044" s="353" t="s">
        <v>268</v>
      </c>
      <c r="U1044" s="353" t="s">
        <v>5531</v>
      </c>
      <c r="V1044" s="353"/>
      <c r="W1044" s="353"/>
      <c r="X1044" s="353" t="s">
        <v>5531</v>
      </c>
      <c r="Y1044" s="353" t="s">
        <v>7866</v>
      </c>
    </row>
    <row r="1045" spans="2:25" ht="15" customHeight="1">
      <c r="B1045" s="353" t="s">
        <v>26</v>
      </c>
      <c r="C1045" s="353" t="s">
        <v>44</v>
      </c>
      <c r="D1045" s="353" t="s">
        <v>208</v>
      </c>
      <c r="E1045" s="353" t="s">
        <v>7867</v>
      </c>
      <c r="F1045" s="53" t="s">
        <v>312</v>
      </c>
      <c r="G1045" s="353" t="s">
        <v>208</v>
      </c>
      <c r="H1045" s="353" t="s">
        <v>6946</v>
      </c>
      <c r="I1045" s="353" t="s">
        <v>271</v>
      </c>
      <c r="J1045" s="353" t="s">
        <v>5378</v>
      </c>
      <c r="K1045" s="354">
        <v>46205.831250000003</v>
      </c>
      <c r="L1045" s="354">
        <v>46206.327777777777</v>
      </c>
      <c r="M1045" s="354">
        <v>46206.32916666667</v>
      </c>
      <c r="N1045" s="354">
        <v>46216.419444444444</v>
      </c>
      <c r="O1045" s="354">
        <v>46216.419444444444</v>
      </c>
      <c r="P1045" s="354">
        <v>46216.419444444444</v>
      </c>
      <c r="Q1045" s="353" t="s">
        <v>7868</v>
      </c>
      <c r="R1045" s="353" t="s">
        <v>272</v>
      </c>
      <c r="S1045" s="353" t="s">
        <v>175</v>
      </c>
      <c r="T1045" s="353" t="s">
        <v>268</v>
      </c>
      <c r="U1045" s="353" t="s">
        <v>5531</v>
      </c>
      <c r="V1045" s="353"/>
      <c r="W1045" s="353"/>
      <c r="X1045" s="353" t="s">
        <v>5531</v>
      </c>
      <c r="Y1045" s="353" t="s">
        <v>7866</v>
      </c>
    </row>
    <row r="1046" spans="2:25" ht="15" customHeight="1">
      <c r="B1046" s="353" t="s">
        <v>26</v>
      </c>
      <c r="C1046" s="353" t="s">
        <v>44</v>
      </c>
      <c r="D1046" s="353" t="s">
        <v>208</v>
      </c>
      <c r="E1046" s="353" t="s">
        <v>7869</v>
      </c>
      <c r="F1046" s="53" t="s">
        <v>312</v>
      </c>
      <c r="G1046" s="353" t="s">
        <v>208</v>
      </c>
      <c r="H1046" s="353" t="s">
        <v>7870</v>
      </c>
      <c r="I1046" s="353" t="s">
        <v>271</v>
      </c>
      <c r="J1046" s="353" t="s">
        <v>5378</v>
      </c>
      <c r="K1046" s="354">
        <v>46210.70208333333</v>
      </c>
      <c r="L1046" s="354">
        <v>46210.712500000001</v>
      </c>
      <c r="M1046" s="354">
        <v>46211.334027777775</v>
      </c>
      <c r="N1046" s="354">
        <v>46217.484722222223</v>
      </c>
      <c r="O1046" s="354">
        <v>46212.363888888889</v>
      </c>
      <c r="P1046" s="354">
        <v>46217.484722222223</v>
      </c>
      <c r="Q1046" s="356" t="s">
        <v>7871</v>
      </c>
      <c r="R1046" s="353" t="s">
        <v>272</v>
      </c>
      <c r="S1046" s="353" t="s">
        <v>175</v>
      </c>
      <c r="T1046" s="353" t="s">
        <v>268</v>
      </c>
      <c r="U1046" s="353" t="s">
        <v>5531</v>
      </c>
      <c r="V1046" s="353"/>
      <c r="W1046" s="353"/>
      <c r="X1046" s="353" t="s">
        <v>5531</v>
      </c>
      <c r="Y1046" s="353" t="s">
        <v>7860</v>
      </c>
    </row>
    <row r="1047" spans="2:25" ht="15" customHeight="1">
      <c r="B1047" s="353" t="s">
        <v>26</v>
      </c>
      <c r="C1047" s="353" t="s">
        <v>44</v>
      </c>
      <c r="D1047" s="353" t="s">
        <v>208</v>
      </c>
      <c r="E1047" s="353" t="s">
        <v>7872</v>
      </c>
      <c r="F1047" s="53" t="s">
        <v>312</v>
      </c>
      <c r="G1047" s="353" t="s">
        <v>208</v>
      </c>
      <c r="H1047" s="353" t="s">
        <v>7873</v>
      </c>
      <c r="I1047" s="353" t="s">
        <v>271</v>
      </c>
      <c r="J1047" s="353" t="s">
        <v>5378</v>
      </c>
      <c r="K1047" s="354">
        <v>46216.453472222223</v>
      </c>
      <c r="L1047" s="354">
        <v>46216.453472222223</v>
      </c>
      <c r="M1047" s="354">
        <v>46216.499305555553</v>
      </c>
      <c r="N1047" s="354">
        <v>46217.486111111109</v>
      </c>
      <c r="O1047" s="354"/>
      <c r="P1047" s="354">
        <v>46217.486111111109</v>
      </c>
      <c r="Q1047" s="353" t="s">
        <v>7874</v>
      </c>
      <c r="R1047" s="353" t="s">
        <v>272</v>
      </c>
      <c r="S1047" s="353" t="s">
        <v>175</v>
      </c>
      <c r="T1047" s="353" t="s">
        <v>268</v>
      </c>
      <c r="U1047" s="353" t="s">
        <v>5531</v>
      </c>
      <c r="V1047" s="353"/>
      <c r="W1047" s="353"/>
      <c r="X1047" s="353" t="s">
        <v>5531</v>
      </c>
      <c r="Y1047" s="353" t="s">
        <v>7875</v>
      </c>
    </row>
    <row r="1048" spans="2:25" ht="15" customHeight="1">
      <c r="B1048" s="353" t="s">
        <v>26</v>
      </c>
      <c r="C1048" s="353" t="s">
        <v>44</v>
      </c>
      <c r="D1048" s="353" t="s">
        <v>208</v>
      </c>
      <c r="E1048" s="353" t="s">
        <v>7876</v>
      </c>
      <c r="F1048" s="53" t="s">
        <v>312</v>
      </c>
      <c r="G1048" s="353" t="s">
        <v>208</v>
      </c>
      <c r="H1048" s="353" t="s">
        <v>6870</v>
      </c>
      <c r="I1048" s="353" t="s">
        <v>275</v>
      </c>
      <c r="J1048" s="353" t="s">
        <v>5378</v>
      </c>
      <c r="K1048" s="354">
        <v>46217.431944444441</v>
      </c>
      <c r="L1048" s="354">
        <v>46217.431944444441</v>
      </c>
      <c r="M1048" s="354">
        <v>46217.468055555553</v>
      </c>
      <c r="N1048" s="354">
        <v>46217.620138888888</v>
      </c>
      <c r="O1048" s="354"/>
      <c r="P1048" s="354">
        <v>46217.620138888888</v>
      </c>
      <c r="Q1048" s="353" t="s">
        <v>6772</v>
      </c>
      <c r="R1048" s="353" t="s">
        <v>5693</v>
      </c>
      <c r="S1048" s="353" t="s">
        <v>175</v>
      </c>
      <c r="T1048" s="353" t="s">
        <v>268</v>
      </c>
      <c r="U1048" s="353" t="s">
        <v>5531</v>
      </c>
      <c r="V1048" s="353"/>
      <c r="W1048" s="353"/>
      <c r="X1048" s="353" t="s">
        <v>5531</v>
      </c>
      <c r="Y1048" s="353" t="s">
        <v>6773</v>
      </c>
    </row>
    <row r="1049" spans="2:25" ht="15" customHeight="1">
      <c r="B1049" s="353" t="s">
        <v>26</v>
      </c>
      <c r="C1049" s="353" t="s">
        <v>44</v>
      </c>
      <c r="D1049" s="353" t="s">
        <v>208</v>
      </c>
      <c r="E1049" s="353" t="s">
        <v>7877</v>
      </c>
      <c r="F1049" s="53" t="s">
        <v>312</v>
      </c>
      <c r="G1049" s="353" t="s">
        <v>208</v>
      </c>
      <c r="H1049" s="353" t="s">
        <v>5276</v>
      </c>
      <c r="I1049" s="353" t="s">
        <v>275</v>
      </c>
      <c r="J1049" s="353" t="s">
        <v>5378</v>
      </c>
      <c r="K1049" s="354">
        <v>46232.512499999997</v>
      </c>
      <c r="L1049" s="354">
        <v>46232.536111111112</v>
      </c>
      <c r="M1049" s="354">
        <v>46232.542361111111</v>
      </c>
      <c r="N1049" s="354">
        <v>46232.547222222223</v>
      </c>
      <c r="O1049" s="354"/>
      <c r="P1049" s="354">
        <v>46232.547222222223</v>
      </c>
      <c r="Q1049" s="353" t="s">
        <v>6407</v>
      </c>
      <c r="R1049" s="353" t="s">
        <v>272</v>
      </c>
      <c r="S1049" s="353" t="s">
        <v>175</v>
      </c>
      <c r="T1049" s="353" t="s">
        <v>268</v>
      </c>
      <c r="U1049" s="353" t="s">
        <v>5531</v>
      </c>
      <c r="V1049" s="353"/>
      <c r="W1049" s="353"/>
      <c r="X1049" s="353" t="s">
        <v>5531</v>
      </c>
      <c r="Y1049" s="353" t="s">
        <v>7370</v>
      </c>
    </row>
    <row r="1050" spans="2:25" ht="15" customHeight="1">
      <c r="B1050" s="353" t="s">
        <v>26</v>
      </c>
      <c r="C1050" s="353" t="s">
        <v>44</v>
      </c>
      <c r="D1050" s="353" t="s">
        <v>207</v>
      </c>
      <c r="E1050" s="353" t="s">
        <v>7878</v>
      </c>
      <c r="F1050" s="53" t="s">
        <v>312</v>
      </c>
      <c r="G1050" s="353">
        <v>4</v>
      </c>
      <c r="H1050" s="353" t="s">
        <v>5967</v>
      </c>
      <c r="I1050" s="353" t="s">
        <v>271</v>
      </c>
      <c r="J1050" s="353" t="s">
        <v>5378</v>
      </c>
      <c r="K1050" s="354">
        <v>46210.49722222222</v>
      </c>
      <c r="L1050" s="354">
        <v>46216.875</v>
      </c>
      <c r="M1050" s="354">
        <v>46217.286111111112</v>
      </c>
      <c r="N1050" s="354">
        <v>46219.298611111109</v>
      </c>
      <c r="O1050" s="354"/>
      <c r="P1050" s="354">
        <v>46219.298611111109</v>
      </c>
      <c r="Q1050" s="353" t="s">
        <v>5692</v>
      </c>
      <c r="R1050" s="353" t="s">
        <v>5693</v>
      </c>
      <c r="S1050" s="353" t="s">
        <v>175</v>
      </c>
      <c r="T1050" s="353" t="s">
        <v>268</v>
      </c>
      <c r="U1050" s="353" t="s">
        <v>5531</v>
      </c>
      <c r="V1050" s="353"/>
      <c r="W1050" s="353"/>
      <c r="X1050" s="353" t="s">
        <v>5531</v>
      </c>
      <c r="Y1050" s="353" t="s">
        <v>5694</v>
      </c>
    </row>
    <row r="1051" spans="2:25" ht="15" customHeight="1">
      <c r="B1051" s="353" t="s">
        <v>26</v>
      </c>
      <c r="C1051" s="353" t="s">
        <v>44</v>
      </c>
      <c r="D1051" s="353" t="s">
        <v>207</v>
      </c>
      <c r="E1051" s="353" t="s">
        <v>7879</v>
      </c>
      <c r="F1051" s="53" t="s">
        <v>312</v>
      </c>
      <c r="G1051" s="353">
        <v>4</v>
      </c>
      <c r="H1051" s="353" t="s">
        <v>7880</v>
      </c>
      <c r="I1051" s="353" t="s">
        <v>275</v>
      </c>
      <c r="J1051" s="353" t="s">
        <v>5378</v>
      </c>
      <c r="K1051" s="354">
        <v>46205.379861111112</v>
      </c>
      <c r="L1051" s="354">
        <v>46216.638194444444</v>
      </c>
      <c r="M1051" s="354">
        <v>46217.285416666666</v>
      </c>
      <c r="N1051" s="354">
        <v>46219.317361111112</v>
      </c>
      <c r="O1051" s="354"/>
      <c r="P1051" s="354">
        <v>46219.317361111112</v>
      </c>
      <c r="Q1051" s="353" t="s">
        <v>7881</v>
      </c>
      <c r="R1051" s="353" t="s">
        <v>272</v>
      </c>
      <c r="S1051" s="353" t="s">
        <v>175</v>
      </c>
      <c r="T1051" s="353" t="s">
        <v>268</v>
      </c>
      <c r="U1051" s="353" t="s">
        <v>5531</v>
      </c>
      <c r="V1051" s="353"/>
      <c r="W1051" s="353"/>
      <c r="X1051" s="353" t="s">
        <v>5531</v>
      </c>
      <c r="Y1051" s="353" t="s">
        <v>7831</v>
      </c>
    </row>
    <row r="1052" spans="2:25" ht="15" customHeight="1">
      <c r="B1052" s="353" t="s">
        <v>26</v>
      </c>
      <c r="C1052" s="353" t="s">
        <v>44</v>
      </c>
      <c r="D1052" s="353" t="s">
        <v>207</v>
      </c>
      <c r="E1052" s="353" t="s">
        <v>7882</v>
      </c>
      <c r="F1052" s="53" t="s">
        <v>312</v>
      </c>
      <c r="G1052" s="353">
        <v>3</v>
      </c>
      <c r="H1052" s="353" t="s">
        <v>7448</v>
      </c>
      <c r="I1052" s="353" t="s">
        <v>271</v>
      </c>
      <c r="J1052" s="353" t="s">
        <v>5378</v>
      </c>
      <c r="K1052" s="354">
        <v>46209.461805555555</v>
      </c>
      <c r="L1052" s="354">
        <v>46209.461805555555</v>
      </c>
      <c r="M1052" s="354">
        <v>46216.415972222225</v>
      </c>
      <c r="N1052" s="354">
        <v>46217.472916666666</v>
      </c>
      <c r="O1052" s="354">
        <v>46216.336805555555</v>
      </c>
      <c r="P1052" s="354">
        <v>46217.472916666666</v>
      </c>
      <c r="Q1052" s="353" t="s">
        <v>5686</v>
      </c>
      <c r="R1052" s="353" t="s">
        <v>272</v>
      </c>
      <c r="S1052" s="353" t="s">
        <v>175</v>
      </c>
      <c r="T1052" s="353" t="s">
        <v>268</v>
      </c>
      <c r="U1052" s="353" t="s">
        <v>5531</v>
      </c>
      <c r="V1052" s="353"/>
      <c r="W1052" s="353"/>
      <c r="X1052" s="353" t="s">
        <v>5531</v>
      </c>
      <c r="Y1052" s="353" t="s">
        <v>5713</v>
      </c>
    </row>
    <row r="1053" spans="2:25" ht="15" customHeight="1">
      <c r="B1053" s="353" t="s">
        <v>26</v>
      </c>
      <c r="C1053" s="353" t="s">
        <v>44</v>
      </c>
      <c r="D1053" s="353" t="s">
        <v>207</v>
      </c>
      <c r="E1053" s="353" t="s">
        <v>7883</v>
      </c>
      <c r="F1053" s="53" t="s">
        <v>312</v>
      </c>
      <c r="G1053" s="353">
        <v>4</v>
      </c>
      <c r="H1053" s="353" t="s">
        <v>7450</v>
      </c>
      <c r="I1053" s="353" t="s">
        <v>271</v>
      </c>
      <c r="J1053" s="353" t="s">
        <v>5378</v>
      </c>
      <c r="K1053" s="354">
        <v>46216.453472222223</v>
      </c>
      <c r="L1053" s="354">
        <v>46216.453472222223</v>
      </c>
      <c r="M1053" s="354">
        <v>46217.468055555553</v>
      </c>
      <c r="N1053" s="354">
        <v>46217.620138888888</v>
      </c>
      <c r="O1053" s="354">
        <v>46216.594444444447</v>
      </c>
      <c r="P1053" s="354">
        <v>46217.620138888888</v>
      </c>
      <c r="Q1053" s="353" t="s">
        <v>3452</v>
      </c>
      <c r="R1053" s="353" t="s">
        <v>272</v>
      </c>
      <c r="S1053" s="353" t="s">
        <v>175</v>
      </c>
      <c r="T1053" s="353" t="s">
        <v>268</v>
      </c>
      <c r="U1053" s="353" t="s">
        <v>5531</v>
      </c>
      <c r="V1053" s="353"/>
      <c r="W1053" s="353"/>
      <c r="X1053" s="353" t="s">
        <v>5531</v>
      </c>
      <c r="Y1053" s="353" t="s">
        <v>7410</v>
      </c>
    </row>
    <row r="1054" spans="2:25" ht="15" customHeight="1">
      <c r="B1054" s="353" t="s">
        <v>26</v>
      </c>
      <c r="C1054" s="353" t="s">
        <v>44</v>
      </c>
      <c r="D1054" s="353" t="s">
        <v>207</v>
      </c>
      <c r="E1054" s="353" t="s">
        <v>7884</v>
      </c>
      <c r="F1054" s="53" t="s">
        <v>312</v>
      </c>
      <c r="G1054" s="353">
        <v>4</v>
      </c>
      <c r="H1054" s="353" t="s">
        <v>7885</v>
      </c>
      <c r="I1054" s="353" t="s">
        <v>271</v>
      </c>
      <c r="J1054" s="353" t="s">
        <v>5378</v>
      </c>
      <c r="K1054" s="354">
        <v>46219.460416666669</v>
      </c>
      <c r="L1054" s="354">
        <v>46223.847916666666</v>
      </c>
      <c r="M1054" s="354">
        <v>46224.290277777778</v>
      </c>
      <c r="N1054" s="354">
        <v>46225.347222222219</v>
      </c>
      <c r="O1054" s="354"/>
      <c r="P1054" s="354">
        <v>46225.347222222219</v>
      </c>
      <c r="Q1054" s="353" t="s">
        <v>5692</v>
      </c>
      <c r="R1054" s="353" t="s">
        <v>5693</v>
      </c>
      <c r="S1054" s="353" t="s">
        <v>175</v>
      </c>
      <c r="T1054" s="353" t="s">
        <v>268</v>
      </c>
      <c r="U1054" s="353" t="s">
        <v>5531</v>
      </c>
      <c r="V1054" s="353"/>
      <c r="W1054" s="353"/>
      <c r="X1054" s="353" t="s">
        <v>5531</v>
      </c>
      <c r="Y1054" s="353" t="s">
        <v>5694</v>
      </c>
    </row>
    <row r="1055" spans="2:25" ht="15" customHeight="1">
      <c r="B1055" s="45" t="s">
        <v>26</v>
      </c>
      <c r="C1055" s="45" t="s">
        <v>44</v>
      </c>
      <c r="D1055" s="45" t="s">
        <v>207</v>
      </c>
      <c r="E1055" s="45" t="s">
        <v>7886</v>
      </c>
      <c r="F1055" s="45" t="s">
        <v>312</v>
      </c>
      <c r="G1055" s="45">
        <v>3</v>
      </c>
      <c r="H1055" s="45" t="s">
        <v>7887</v>
      </c>
      <c r="I1055" s="45" t="s">
        <v>271</v>
      </c>
      <c r="J1055" s="45" t="s">
        <v>5963</v>
      </c>
      <c r="K1055" s="47">
        <v>46237.199849537035</v>
      </c>
      <c r="L1055" s="47">
        <v>46237.283043981479</v>
      </c>
      <c r="M1055" s="47">
        <v>46237.283043981479</v>
      </c>
      <c r="N1055" s="47">
        <v>46238.567893518521</v>
      </c>
      <c r="P1055" s="47">
        <v>46238.567893518521</v>
      </c>
      <c r="Q1055" s="45" t="s">
        <v>44</v>
      </c>
      <c r="R1055" s="45" t="s">
        <v>272</v>
      </c>
      <c r="S1055" s="45" t="s">
        <v>175</v>
      </c>
      <c r="T1055" s="45" t="s">
        <v>268</v>
      </c>
      <c r="U1055" s="45" t="s">
        <v>5531</v>
      </c>
      <c r="X1055" s="45" t="s">
        <v>5531</v>
      </c>
      <c r="Y1055" s="45" t="s">
        <v>6388</v>
      </c>
    </row>
    <row r="1056" spans="2:25" ht="15" customHeight="1">
      <c r="B1056" s="45" t="s">
        <v>26</v>
      </c>
      <c r="C1056" s="45" t="s">
        <v>44</v>
      </c>
      <c r="D1056" s="45" t="s">
        <v>207</v>
      </c>
      <c r="E1056" s="45" t="s">
        <v>7888</v>
      </c>
      <c r="F1056" s="45" t="s">
        <v>312</v>
      </c>
      <c r="J1056" s="45" t="s">
        <v>5963</v>
      </c>
      <c r="R1056" s="45" t="s">
        <v>272</v>
      </c>
      <c r="S1056" s="45" t="s">
        <v>175</v>
      </c>
      <c r="T1056" s="45" t="s">
        <v>268</v>
      </c>
      <c r="U1056" s="45" t="s">
        <v>5531</v>
      </c>
      <c r="X1056" s="45" t="s">
        <v>5531</v>
      </c>
    </row>
    <row r="1057" spans="2:24" ht="15" customHeight="1">
      <c r="B1057" s="45" t="s">
        <v>26</v>
      </c>
      <c r="C1057" s="45" t="s">
        <v>44</v>
      </c>
      <c r="D1057" s="45" t="s">
        <v>207</v>
      </c>
      <c r="E1057" s="45" t="s">
        <v>7889</v>
      </c>
      <c r="F1057" s="45" t="s">
        <v>312</v>
      </c>
      <c r="J1057" s="45" t="s">
        <v>5963</v>
      </c>
      <c r="R1057" s="45" t="s">
        <v>272</v>
      </c>
      <c r="S1057" s="45" t="s">
        <v>175</v>
      </c>
      <c r="T1057" s="45" t="s">
        <v>268</v>
      </c>
      <c r="U1057" s="45" t="s">
        <v>5531</v>
      </c>
      <c r="X1057" s="45" t="s">
        <v>5531</v>
      </c>
    </row>
    <row r="1058" spans="2:24" ht="15" customHeight="1">
      <c r="B1058" s="45" t="s">
        <v>26</v>
      </c>
      <c r="C1058" s="45" t="s">
        <v>44</v>
      </c>
      <c r="D1058" s="45" t="s">
        <v>207</v>
      </c>
      <c r="E1058" s="45" t="s">
        <v>7890</v>
      </c>
      <c r="F1058" s="45" t="s">
        <v>312</v>
      </c>
      <c r="J1058" s="45" t="s">
        <v>5963</v>
      </c>
      <c r="R1058" s="45" t="s">
        <v>272</v>
      </c>
      <c r="S1058" s="45" t="s">
        <v>175</v>
      </c>
      <c r="T1058" s="45" t="s">
        <v>268</v>
      </c>
      <c r="U1058" s="45" t="s">
        <v>5531</v>
      </c>
      <c r="X1058" s="45" t="s">
        <v>5531</v>
      </c>
    </row>
    <row r="1059" spans="2:24" ht="15" customHeight="1">
      <c r="B1059" s="45" t="s">
        <v>26</v>
      </c>
      <c r="C1059" s="45" t="s">
        <v>44</v>
      </c>
      <c r="D1059" s="45" t="s">
        <v>207</v>
      </c>
      <c r="E1059" s="45" t="s">
        <v>7891</v>
      </c>
      <c r="F1059" s="45" t="s">
        <v>312</v>
      </c>
      <c r="J1059" s="45" t="s">
        <v>5963</v>
      </c>
      <c r="R1059" s="45" t="s">
        <v>272</v>
      </c>
      <c r="S1059" s="45" t="s">
        <v>175</v>
      </c>
      <c r="T1059" s="45" t="s">
        <v>268</v>
      </c>
      <c r="U1059" s="45" t="s">
        <v>5531</v>
      </c>
      <c r="X1059" s="45" t="s">
        <v>5531</v>
      </c>
    </row>
    <row r="1060" spans="2:24" ht="15" customHeight="1">
      <c r="B1060" s="45" t="s">
        <v>26</v>
      </c>
      <c r="C1060" s="45" t="s">
        <v>44</v>
      </c>
      <c r="D1060" s="45" t="s">
        <v>207</v>
      </c>
      <c r="E1060" s="45" t="s">
        <v>7892</v>
      </c>
      <c r="F1060" s="45" t="s">
        <v>312</v>
      </c>
      <c r="J1060" s="45" t="s">
        <v>5963</v>
      </c>
      <c r="R1060" s="45" t="s">
        <v>272</v>
      </c>
      <c r="S1060" s="45" t="s">
        <v>175</v>
      </c>
      <c r="T1060" s="45" t="s">
        <v>268</v>
      </c>
      <c r="U1060" s="45" t="s">
        <v>5531</v>
      </c>
      <c r="X1060" s="45" t="s">
        <v>5531</v>
      </c>
    </row>
    <row r="1061" spans="2:24" ht="15" customHeight="1">
      <c r="B1061" s="45" t="s">
        <v>26</v>
      </c>
      <c r="C1061" s="45" t="s">
        <v>44</v>
      </c>
      <c r="D1061" s="45" t="s">
        <v>207</v>
      </c>
      <c r="E1061" s="45" t="s">
        <v>7893</v>
      </c>
      <c r="F1061" s="45" t="s">
        <v>312</v>
      </c>
      <c r="J1061" s="45" t="s">
        <v>5963</v>
      </c>
      <c r="R1061" s="45" t="s">
        <v>272</v>
      </c>
      <c r="S1061" s="45" t="s">
        <v>175</v>
      </c>
      <c r="T1061" s="45" t="s">
        <v>268</v>
      </c>
      <c r="U1061" s="45" t="s">
        <v>5531</v>
      </c>
      <c r="X1061" s="45" t="s">
        <v>5531</v>
      </c>
    </row>
    <row r="1062" spans="2:24" ht="15" customHeight="1">
      <c r="B1062" s="45" t="s">
        <v>26</v>
      </c>
      <c r="C1062" s="45" t="s">
        <v>44</v>
      </c>
      <c r="D1062" s="45" t="s">
        <v>207</v>
      </c>
      <c r="E1062" s="45" t="s">
        <v>7894</v>
      </c>
      <c r="F1062" s="45" t="s">
        <v>312</v>
      </c>
      <c r="J1062" s="45" t="s">
        <v>5963</v>
      </c>
      <c r="R1062" s="45" t="s">
        <v>272</v>
      </c>
      <c r="S1062" s="45" t="s">
        <v>175</v>
      </c>
      <c r="T1062" s="45" t="s">
        <v>268</v>
      </c>
      <c r="U1062" s="45" t="s">
        <v>5531</v>
      </c>
      <c r="X1062" s="45" t="s">
        <v>5531</v>
      </c>
    </row>
    <row r="1063" spans="2:24" ht="15" customHeight="1">
      <c r="B1063" s="45" t="s">
        <v>26</v>
      </c>
      <c r="C1063" s="45" t="s">
        <v>44</v>
      </c>
      <c r="D1063" s="45" t="s">
        <v>207</v>
      </c>
      <c r="E1063" s="45" t="s">
        <v>7895</v>
      </c>
      <c r="F1063" s="45" t="s">
        <v>312</v>
      </c>
      <c r="J1063" s="45" t="s">
        <v>5963</v>
      </c>
      <c r="R1063" s="45" t="s">
        <v>272</v>
      </c>
      <c r="S1063" s="45" t="s">
        <v>175</v>
      </c>
      <c r="T1063" s="45" t="s">
        <v>268</v>
      </c>
      <c r="U1063" s="45" t="s">
        <v>5531</v>
      </c>
      <c r="X1063" s="45" t="s">
        <v>5531</v>
      </c>
    </row>
    <row r="1064" spans="2:24" ht="15" customHeight="1">
      <c r="B1064" s="45" t="s">
        <v>26</v>
      </c>
      <c r="C1064" s="45" t="s">
        <v>44</v>
      </c>
      <c r="D1064" s="45" t="s">
        <v>207</v>
      </c>
      <c r="E1064" s="45" t="s">
        <v>7896</v>
      </c>
      <c r="F1064" s="45" t="s">
        <v>312</v>
      </c>
      <c r="J1064" s="45" t="s">
        <v>5963</v>
      </c>
      <c r="R1064" s="45" t="s">
        <v>272</v>
      </c>
      <c r="S1064" s="45" t="s">
        <v>175</v>
      </c>
      <c r="T1064" s="45" t="s">
        <v>268</v>
      </c>
      <c r="U1064" s="45" t="s">
        <v>5531</v>
      </c>
      <c r="X1064" s="45" t="s">
        <v>5531</v>
      </c>
    </row>
    <row r="1065" spans="2:24" ht="15" customHeight="1">
      <c r="B1065" s="45" t="s">
        <v>26</v>
      </c>
      <c r="C1065" s="45" t="s">
        <v>44</v>
      </c>
      <c r="D1065" s="45" t="s">
        <v>207</v>
      </c>
      <c r="E1065" s="45" t="s">
        <v>7897</v>
      </c>
      <c r="F1065" s="45" t="s">
        <v>312</v>
      </c>
      <c r="J1065" s="45" t="s">
        <v>5963</v>
      </c>
      <c r="R1065" s="45" t="s">
        <v>272</v>
      </c>
      <c r="S1065" s="45" t="s">
        <v>175</v>
      </c>
      <c r="T1065" s="45" t="s">
        <v>268</v>
      </c>
      <c r="U1065" s="45" t="s">
        <v>5531</v>
      </c>
      <c r="X1065" s="45" t="s">
        <v>5531</v>
      </c>
    </row>
    <row r="1066" spans="2:24" ht="15" customHeight="1">
      <c r="B1066" s="45" t="s">
        <v>26</v>
      </c>
      <c r="C1066" s="45" t="s">
        <v>44</v>
      </c>
      <c r="D1066" s="45" t="s">
        <v>207</v>
      </c>
      <c r="E1066" s="45" t="s">
        <v>7898</v>
      </c>
      <c r="F1066" s="45" t="s">
        <v>312</v>
      </c>
      <c r="J1066" s="45" t="s">
        <v>5963</v>
      </c>
      <c r="R1066" s="45" t="s">
        <v>272</v>
      </c>
      <c r="S1066" s="45" t="s">
        <v>175</v>
      </c>
      <c r="T1066" s="45" t="s">
        <v>268</v>
      </c>
      <c r="U1066" s="45" t="s">
        <v>5531</v>
      </c>
      <c r="X1066" s="45" t="s">
        <v>5531</v>
      </c>
    </row>
    <row r="1067" spans="2:24" ht="15" customHeight="1">
      <c r="B1067" s="45" t="s">
        <v>26</v>
      </c>
      <c r="C1067" s="45" t="s">
        <v>44</v>
      </c>
      <c r="D1067" s="45" t="s">
        <v>208</v>
      </c>
      <c r="E1067" s="45" t="s">
        <v>7899</v>
      </c>
      <c r="F1067" s="45" t="s">
        <v>312</v>
      </c>
      <c r="J1067" s="45" t="s">
        <v>5963</v>
      </c>
      <c r="R1067" s="45" t="s">
        <v>272</v>
      </c>
      <c r="S1067" s="45" t="s">
        <v>175</v>
      </c>
      <c r="T1067" s="45" t="s">
        <v>268</v>
      </c>
      <c r="U1067" s="45" t="s">
        <v>5531</v>
      </c>
      <c r="X1067" s="45" t="s">
        <v>5531</v>
      </c>
    </row>
    <row r="1068" spans="2:24" ht="15" customHeight="1">
      <c r="B1068" s="45" t="s">
        <v>26</v>
      </c>
      <c r="C1068" s="45" t="s">
        <v>44</v>
      </c>
      <c r="D1068" s="45" t="s">
        <v>208</v>
      </c>
      <c r="E1068" s="45" t="s">
        <v>7900</v>
      </c>
      <c r="F1068" s="45" t="s">
        <v>312</v>
      </c>
      <c r="J1068" s="45" t="s">
        <v>5963</v>
      </c>
      <c r="R1068" s="45" t="s">
        <v>272</v>
      </c>
      <c r="S1068" s="45" t="s">
        <v>175</v>
      </c>
      <c r="T1068" s="45" t="s">
        <v>268</v>
      </c>
      <c r="U1068" s="45" t="s">
        <v>5531</v>
      </c>
      <c r="X1068" s="45" t="s">
        <v>5531</v>
      </c>
    </row>
    <row r="1069" spans="2:24" ht="15" customHeight="1">
      <c r="B1069" s="45" t="s">
        <v>26</v>
      </c>
      <c r="C1069" s="45" t="s">
        <v>44</v>
      </c>
      <c r="D1069" s="45" t="s">
        <v>208</v>
      </c>
      <c r="E1069" s="45" t="s">
        <v>7901</v>
      </c>
      <c r="F1069" s="45" t="s">
        <v>312</v>
      </c>
      <c r="J1069" s="45" t="s">
        <v>5963</v>
      </c>
      <c r="R1069" s="45" t="s">
        <v>272</v>
      </c>
      <c r="S1069" s="45" t="s">
        <v>175</v>
      </c>
      <c r="T1069" s="45" t="s">
        <v>268</v>
      </c>
      <c r="U1069" s="45" t="s">
        <v>5531</v>
      </c>
      <c r="X1069" s="45" t="s">
        <v>5531</v>
      </c>
    </row>
    <row r="1070" spans="2:24" ht="15" customHeight="1">
      <c r="B1070" s="45" t="s">
        <v>26</v>
      </c>
      <c r="C1070" s="45" t="s">
        <v>44</v>
      </c>
      <c r="D1070" s="45" t="s">
        <v>208</v>
      </c>
      <c r="E1070" s="45" t="s">
        <v>7902</v>
      </c>
      <c r="F1070" s="45" t="s">
        <v>312</v>
      </c>
      <c r="J1070" s="45" t="s">
        <v>5963</v>
      </c>
      <c r="R1070" s="45" t="s">
        <v>272</v>
      </c>
      <c r="S1070" s="45" t="s">
        <v>175</v>
      </c>
      <c r="T1070" s="45" t="s">
        <v>268</v>
      </c>
      <c r="U1070" s="45" t="s">
        <v>5531</v>
      </c>
      <c r="X1070" s="45" t="s">
        <v>5531</v>
      </c>
    </row>
    <row r="1071" spans="2:24" ht="15" customHeight="1">
      <c r="B1071" s="45" t="s">
        <v>26</v>
      </c>
      <c r="C1071" s="45" t="s">
        <v>44</v>
      </c>
      <c r="D1071" s="45" t="s">
        <v>208</v>
      </c>
      <c r="E1071" s="45" t="s">
        <v>7903</v>
      </c>
      <c r="F1071" s="45" t="s">
        <v>312</v>
      </c>
      <c r="J1071" s="45" t="s">
        <v>5963</v>
      </c>
      <c r="R1071" s="45" t="s">
        <v>272</v>
      </c>
      <c r="S1071" s="45" t="s">
        <v>175</v>
      </c>
      <c r="T1071" s="45" t="s">
        <v>268</v>
      </c>
      <c r="U1071" s="45" t="s">
        <v>5531</v>
      </c>
      <c r="X1071" s="45" t="s">
        <v>5531</v>
      </c>
    </row>
    <row r="1072" spans="2:24" ht="15" customHeight="1">
      <c r="B1072" s="45" t="s">
        <v>26</v>
      </c>
      <c r="C1072" s="45" t="s">
        <v>44</v>
      </c>
      <c r="D1072" s="45" t="s">
        <v>208</v>
      </c>
      <c r="E1072" s="45" t="s">
        <v>7904</v>
      </c>
      <c r="F1072" s="45" t="s">
        <v>312</v>
      </c>
      <c r="J1072" s="45" t="s">
        <v>5963</v>
      </c>
      <c r="R1072" s="45" t="s">
        <v>272</v>
      </c>
      <c r="S1072" s="45" t="s">
        <v>175</v>
      </c>
      <c r="U1072" s="45" t="s">
        <v>5531</v>
      </c>
      <c r="X1072" s="45" t="s">
        <v>5531</v>
      </c>
    </row>
    <row r="1073" spans="2:24" ht="15" customHeight="1">
      <c r="B1073" s="45" t="s">
        <v>26</v>
      </c>
      <c r="C1073" s="45" t="s">
        <v>44</v>
      </c>
      <c r="D1073" s="45" t="s">
        <v>208</v>
      </c>
      <c r="E1073" s="45" t="s">
        <v>7905</v>
      </c>
      <c r="F1073" s="45" t="s">
        <v>312</v>
      </c>
      <c r="J1073" s="45" t="s">
        <v>5963</v>
      </c>
      <c r="R1073" s="45" t="s">
        <v>272</v>
      </c>
      <c r="S1073" s="45" t="s">
        <v>175</v>
      </c>
      <c r="U1073" s="45" t="s">
        <v>5531</v>
      </c>
      <c r="X1073" s="45" t="s">
        <v>5531</v>
      </c>
    </row>
    <row r="1074" spans="2:24" ht="15" customHeight="1">
      <c r="B1074" s="45" t="s">
        <v>26</v>
      </c>
      <c r="C1074" s="45" t="s">
        <v>44</v>
      </c>
      <c r="D1074" s="45" t="s">
        <v>208</v>
      </c>
      <c r="E1074" s="45" t="s">
        <v>7906</v>
      </c>
      <c r="F1074" s="45" t="s">
        <v>312</v>
      </c>
      <c r="J1074" s="45" t="s">
        <v>5963</v>
      </c>
      <c r="R1074" s="45" t="s">
        <v>272</v>
      </c>
      <c r="S1074" s="45" t="s">
        <v>175</v>
      </c>
      <c r="U1074" s="45" t="s">
        <v>5531</v>
      </c>
      <c r="X1074" s="45" t="s">
        <v>5531</v>
      </c>
    </row>
    <row r="1075" spans="2:24" ht="15" customHeight="1">
      <c r="B1075" s="45" t="s">
        <v>26</v>
      </c>
      <c r="C1075" s="45" t="s">
        <v>44</v>
      </c>
      <c r="D1075" s="45" t="s">
        <v>208</v>
      </c>
      <c r="E1075" s="45" t="s">
        <v>7907</v>
      </c>
      <c r="F1075" s="45" t="s">
        <v>312</v>
      </c>
      <c r="J1075" s="45" t="s">
        <v>5963</v>
      </c>
      <c r="R1075" s="45" t="s">
        <v>272</v>
      </c>
      <c r="S1075" s="45" t="s">
        <v>175</v>
      </c>
      <c r="U1075" s="45" t="s">
        <v>5531</v>
      </c>
      <c r="X1075" s="45" t="s">
        <v>5531</v>
      </c>
    </row>
    <row r="1076" spans="2:24" ht="15" customHeight="1">
      <c r="B1076" s="45" t="s">
        <v>26</v>
      </c>
      <c r="C1076" s="45" t="s">
        <v>44</v>
      </c>
      <c r="D1076" s="45" t="s">
        <v>208</v>
      </c>
      <c r="E1076" s="45" t="s">
        <v>7908</v>
      </c>
      <c r="F1076" s="45" t="s">
        <v>312</v>
      </c>
      <c r="J1076" s="45" t="s">
        <v>5963</v>
      </c>
      <c r="R1076" s="45" t="s">
        <v>272</v>
      </c>
      <c r="S1076" s="45" t="s">
        <v>175</v>
      </c>
      <c r="U1076" s="45" t="s">
        <v>5531</v>
      </c>
      <c r="X1076" s="45" t="s">
        <v>5531</v>
      </c>
    </row>
    <row r="1077" spans="2:24" ht="15" customHeight="1">
      <c r="B1077" s="45" t="s">
        <v>26</v>
      </c>
      <c r="C1077" s="45" t="s">
        <v>44</v>
      </c>
      <c r="D1077" s="45" t="s">
        <v>208</v>
      </c>
      <c r="E1077" s="45" t="s">
        <v>7909</v>
      </c>
      <c r="F1077" s="45" t="s">
        <v>312</v>
      </c>
      <c r="J1077" s="45" t="s">
        <v>5963</v>
      </c>
    </row>
    <row r="1078" spans="2:24" ht="15" customHeight="1">
      <c r="B1078" s="45" t="s">
        <v>26</v>
      </c>
      <c r="C1078" s="45" t="s">
        <v>44</v>
      </c>
      <c r="D1078" s="45" t="s">
        <v>208</v>
      </c>
      <c r="E1078" s="45" t="s">
        <v>7910</v>
      </c>
      <c r="F1078" s="45" t="s">
        <v>312</v>
      </c>
      <c r="G1078" s="45" t="s">
        <v>208</v>
      </c>
      <c r="H1078" s="45" t="s">
        <v>6281</v>
      </c>
      <c r="I1078" s="45" t="s">
        <v>275</v>
      </c>
      <c r="J1078" s="45" t="s">
        <v>6738</v>
      </c>
      <c r="K1078" s="47">
        <v>46223.570925925924</v>
      </c>
      <c r="L1078" s="47">
        <v>46237.614085648151</v>
      </c>
      <c r="M1078" s="47">
        <v>46237.721689814818</v>
      </c>
      <c r="N1078" s="47">
        <v>46246.670208333337</v>
      </c>
      <c r="Q1078" s="45" t="s">
        <v>5856</v>
      </c>
      <c r="R1078" s="45" t="s">
        <v>272</v>
      </c>
      <c r="S1078" s="45" t="s">
        <v>175</v>
      </c>
      <c r="T1078" s="45" t="s">
        <v>268</v>
      </c>
      <c r="U1078" s="45" t="s">
        <v>371</v>
      </c>
      <c r="X1078" s="45" t="s">
        <v>5531</v>
      </c>
    </row>
    <row r="1079" spans="2:24" ht="15" customHeight="1">
      <c r="B1079" s="45" t="s">
        <v>26</v>
      </c>
      <c r="C1079" s="45" t="s">
        <v>44</v>
      </c>
      <c r="D1079" s="45" t="s">
        <v>208</v>
      </c>
      <c r="E1079" s="45" t="s">
        <v>7911</v>
      </c>
      <c r="F1079" s="45" t="s">
        <v>312</v>
      </c>
      <c r="G1079" s="45" t="s">
        <v>208</v>
      </c>
      <c r="H1079" s="45" t="s">
        <v>7912</v>
      </c>
      <c r="I1079" s="45" t="s">
        <v>260</v>
      </c>
      <c r="J1079" s="45" t="s">
        <v>6738</v>
      </c>
      <c r="K1079" s="47">
        <v>46239.56559027778</v>
      </c>
      <c r="L1079" s="47">
        <v>46239.56559027778</v>
      </c>
      <c r="M1079" s="47">
        <v>46239.61986111111</v>
      </c>
      <c r="Q1079" s="45" t="s">
        <v>5856</v>
      </c>
      <c r="R1079" s="45" t="s">
        <v>272</v>
      </c>
      <c r="S1079" s="45" t="s">
        <v>175</v>
      </c>
      <c r="T1079" s="45" t="s">
        <v>268</v>
      </c>
      <c r="U1079" s="45" t="s">
        <v>371</v>
      </c>
      <c r="X1079" s="45" t="s">
        <v>5531</v>
      </c>
    </row>
    <row r="1080" spans="2:24" ht="15" customHeight="1">
      <c r="B1080" s="45" t="s">
        <v>26</v>
      </c>
      <c r="C1080" s="45" t="s">
        <v>44</v>
      </c>
      <c r="D1080" s="45" t="s">
        <v>208</v>
      </c>
      <c r="E1080" s="45" t="s">
        <v>7913</v>
      </c>
      <c r="F1080" s="45" t="s">
        <v>312</v>
      </c>
      <c r="G1080" s="45" t="s">
        <v>208</v>
      </c>
      <c r="H1080" s="45" t="s">
        <v>7914</v>
      </c>
      <c r="I1080" s="45" t="s">
        <v>260</v>
      </c>
      <c r="J1080" s="45" t="s">
        <v>6738</v>
      </c>
      <c r="K1080" s="47">
        <v>46245.85974537037</v>
      </c>
      <c r="L1080" s="47">
        <v>46246.602152777778</v>
      </c>
      <c r="M1080" s="47">
        <v>46246.63113425926</v>
      </c>
      <c r="Q1080" s="45" t="s">
        <v>5853</v>
      </c>
      <c r="R1080" s="45" t="s">
        <v>272</v>
      </c>
      <c r="S1080" s="45" t="s">
        <v>175</v>
      </c>
      <c r="T1080" s="45" t="s">
        <v>268</v>
      </c>
      <c r="U1080" s="45" t="s">
        <v>371</v>
      </c>
      <c r="X1080" s="45" t="s">
        <v>5531</v>
      </c>
    </row>
    <row r="1081" spans="2:24" ht="15" customHeight="1">
      <c r="B1081" s="45" t="s">
        <v>26</v>
      </c>
      <c r="C1081" s="45" t="s">
        <v>44</v>
      </c>
      <c r="D1081" s="45" t="s">
        <v>207</v>
      </c>
      <c r="E1081" s="45" t="s">
        <v>7915</v>
      </c>
      <c r="F1081" s="45" t="s">
        <v>312</v>
      </c>
      <c r="G1081" s="45">
        <v>3</v>
      </c>
      <c r="H1081" s="45" t="s">
        <v>7916</v>
      </c>
      <c r="I1081" s="45" t="s">
        <v>266</v>
      </c>
      <c r="J1081" s="45" t="s">
        <v>6738</v>
      </c>
      <c r="K1081" s="47">
        <v>46231.771793981483</v>
      </c>
      <c r="L1081" s="47">
        <v>46231.778506944444</v>
      </c>
      <c r="M1081" s="47">
        <v>46232.478437500002</v>
      </c>
      <c r="O1081" s="47">
        <v>46237.590543981481</v>
      </c>
      <c r="P1081" s="47">
        <v>46237.680266203701</v>
      </c>
      <c r="Q1081" s="45" t="s">
        <v>5571</v>
      </c>
      <c r="R1081" s="45" t="s">
        <v>272</v>
      </c>
      <c r="S1081" s="45" t="s">
        <v>175</v>
      </c>
      <c r="T1081" s="45" t="s">
        <v>268</v>
      </c>
      <c r="U1081" s="45" t="s">
        <v>371</v>
      </c>
      <c r="X1081" s="45" t="s">
        <v>5531</v>
      </c>
    </row>
    <row r="1082" spans="2:24" ht="15" customHeight="1">
      <c r="B1082" s="45" t="s">
        <v>26</v>
      </c>
      <c r="C1082" s="45" t="s">
        <v>44</v>
      </c>
      <c r="D1082" s="45" t="s">
        <v>207</v>
      </c>
      <c r="E1082" s="45" t="s">
        <v>7917</v>
      </c>
      <c r="F1082" s="45" t="s">
        <v>312</v>
      </c>
      <c r="G1082" s="45">
        <v>4</v>
      </c>
    </row>
    <row r="1083" spans="2:24" ht="15" customHeight="1">
      <c r="B1083" s="45" t="s">
        <v>26</v>
      </c>
      <c r="C1083" s="45" t="s">
        <v>44</v>
      </c>
      <c r="D1083" s="45" t="s">
        <v>207</v>
      </c>
      <c r="E1083" s="45" t="s">
        <v>7918</v>
      </c>
      <c r="F1083" s="45" t="s">
        <v>312</v>
      </c>
      <c r="G1083" s="45">
        <v>4</v>
      </c>
    </row>
    <row r="1084" spans="2:24" ht="15" customHeight="1">
      <c r="B1084" s="45" t="s">
        <v>26</v>
      </c>
      <c r="C1084" s="45" t="s">
        <v>44</v>
      </c>
      <c r="D1084" s="45" t="s">
        <v>207</v>
      </c>
      <c r="E1084" s="45" t="s">
        <v>7919</v>
      </c>
      <c r="F1084" s="45" t="s">
        <v>312</v>
      </c>
      <c r="G1084" s="45">
        <v>4</v>
      </c>
    </row>
    <row r="1085" spans="2:24" ht="15" customHeight="1">
      <c r="B1085" s="45" t="s">
        <v>26</v>
      </c>
      <c r="C1085" s="45" t="s">
        <v>44</v>
      </c>
      <c r="D1085" s="45" t="s">
        <v>207</v>
      </c>
      <c r="E1085" s="45" t="s">
        <v>7920</v>
      </c>
      <c r="F1085" s="45" t="s">
        <v>312</v>
      </c>
      <c r="G1085" s="45">
        <v>4</v>
      </c>
    </row>
  </sheetData>
  <sheetProtection algorithmName="SHA-512" hashValue="hzhSbYb3FSwq0GEFlvf1Waxwk4I6lkQgpGedQlKqdBCNt5mVQWgt/1KsYhNFmzF1/jDEoopWG3aZQfupkzm8lw==" saltValue="5fDm1VwY/AP3HSLPgWPNrA==" spinCount="100000" sheet="1" objects="1" scenarios="1" deleteRows="0" autoFilter="0"/>
  <protectedRanges>
    <protectedRange algorithmName="SHA-512" hashValue="99OQ+VOyYeTgkyp5V2h7IJuhOY+ByGUUH4Kc0xKuZgn2w66Z/zb6NCagB6+bjIBmhadenmL7/H2PSKzd599e6Q==" saltValue="s8mGfn7WVHJZXEYeB6j8Yw==" spinCount="100000" sqref="U1 AB1:AJ1" name="Formula Cells"/>
  </protectedRanges>
  <autoFilter ref="A1:AJ813" xr:uid="{1643A4DE-ED59-4E2A-891C-2DA1C5EDB754}"/>
  <conditionalFormatting sqref="E1">
    <cfRule type="duplicateValues" dxfId="20" priority="2"/>
  </conditionalFormatting>
  <conditionalFormatting sqref="E1:E120 E1087:E1048576 E1081:E1085 E945:E1077 E925:E942 E890:E920 E792:E888 E687:E783 E677:E685 E482:E675 E444:E480 E436 E371:E434 E337:E369 E335 E269:E333 E261:E267 E144:E257">
    <cfRule type="duplicateValues" dxfId="19" priority="74"/>
  </conditionalFormatting>
  <dataValidations count="18">
    <dataValidation allowBlank="1" showInputMessage="1" showErrorMessage="1" sqref="S1" xr:uid="{D7122795-119A-4CB9-B62D-77AD1FEF38EF}"/>
    <dataValidation type="date" allowBlank="1" showInputMessage="1" showErrorMessage="1" sqref="K1:N3 O1:P6 K5:N19 M54:M55 L49:N49 L55:L58 M57:M58 N54:N58 K48:K59 K71:N122 K123 M123:N123 K124:N142 L167:L192 L194:L224 M167:N224 K167:K224 K256:M257 N257 K249:N255 K312:L312 M312:N313 N315:N341 N350:N371 P388 M382:M387 K474:K494 N343:N347 L324:L387 L313:L322 M315:M380 P348 K315:K449 L389:M449 N373:N449 L481:M481 L474:N480 L482:N494" xr:uid="{B87A28E9-D28B-486F-AA5C-C1D4BBEDA760}">
      <formula1>36526</formula1>
      <formula2>73050</formula2>
    </dataValidation>
    <dataValidation type="list" allowBlank="1" showInputMessage="1" showErrorMessage="1" sqref="U1 T1:T19 T474:T559 S71:S120 T48:T70 T121:T142 T167:T224 T257 T249:T255 T267 T310:T449 T583:T685 T736:T783 T814:T1005 T1016:T1027 T1055:T1048576" xr:uid="{A8B4AA51-9DC2-47F8-907A-29D386BECD1D}">
      <formula1>SubCategory</formula1>
    </dataValidation>
    <dataValidation type="list" allowBlank="1" showInputMessage="1" showErrorMessage="1" sqref="I1:I19 I48:I59 I70:I142 I167:I224 I61 I249:I257 I65 I63 I310:I449 I474:I559 I583:I685 I736:I783 I814:I1005 I1055:I1048576" xr:uid="{B073E2CB-D83E-4FFE-925C-13CFCD21258C}">
      <formula1>Status_List</formula1>
    </dataValidation>
    <dataValidation type="list" allowBlank="1" showInputMessage="1" showErrorMessage="1" sqref="D1:D19 D50:D120 E121:E142 D167:D224 D249:D257 D310:D449 D474:D685 D736:D783 D814:D1005 D1055:D1048576" xr:uid="{88282B9B-99F4-4928-AF5C-6BEEF6FA1EAC}">
      <formula1>Type_List</formula1>
    </dataValidation>
    <dataValidation type="list" allowBlank="1" showInputMessage="1" showErrorMessage="1" sqref="R1:R19 R48:R59 R503:R559 R71:R142 R167:R224 R249:R255 R257 R310:R449 R474:R500 T607 R583:R606 R608:R685 R736:R783 R814:R1005 R1016:R1027 R1055:R1048576" xr:uid="{93DE17E3-36A1-4CD7-BD3D-152B66F4AA94}">
      <formula1>Resolution_List</formula1>
    </dataValidation>
    <dataValidation type="list" allowBlank="1" showInputMessage="1" showErrorMessage="1" sqref="U1:U19 U48:U59 U474:U500 U533:U559 U71:U142 U167:U224 U257 U249:U255 U310:U449 U583:U685 U736:U783 U814:U1005 U1016:U1027 U1055:U1048576" xr:uid="{7E685A67-10B2-491C-917C-80B7D99E0F6C}">
      <formula1>"Yes,No"</formula1>
    </dataValidation>
    <dataValidation allowBlank="1" showInputMessage="1" showErrorMessage="1" errorTitle="Assigned to" error="dont type idiot" sqref="J1:J6" xr:uid="{AC9B248F-00D3-4150-9E16-2B8A4376A3B2}"/>
    <dataValidation type="list" allowBlank="1" showInputMessage="1" showErrorMessage="1" sqref="S2:S19 S48:S59 S503:S559 S583:S685 S736:S783 S814:S1005 S1055:S1048576" xr:uid="{69112412-AFAE-41EC-9F3C-97A078CDC309}">
      <formula1>IF(D2="","",INDIRECT(D2))</formula1>
    </dataValidation>
    <dataValidation type="list" showInputMessage="1" showErrorMessage="1" errorTitle="Invalid Entry" error="Please select a value in TYPE before entering Priority" sqref="G51 G129:G142" xr:uid="{88DCB11A-2312-424A-B040-D301EAC4E32E}">
      <formula1>IF(D52="","",INDIRECT(D52&amp;"_PR"))</formula1>
    </dataValidation>
    <dataValidation type="list" allowBlank="1" showInputMessage="1" showErrorMessage="1" sqref="B1:B224 B249:B258 X600 B269:B599 B601:B685 B687:B1005 B1016:B1027 B1055:B1048576" xr:uid="{107AB284-FF33-4E7B-A32E-2A53A9BDB7FB}">
      <formula1>OpCo_List</formula1>
    </dataValidation>
    <dataValidation type="list" allowBlank="1" showInputMessage="1" showErrorMessage="1" sqref="C1:C224 C249:C257 X661 C269:C659 C661:C685 C687:C1005 C1016:C1027 C1055:C1048576" xr:uid="{5B07C378-22DF-4C1A-819A-D264282BB8C8}">
      <formula1>Domain_List</formula1>
    </dataValidation>
    <dataValidation type="list" allowBlank="1" showInputMessage="1" showErrorMessage="1" sqref="F1:F59 F538:F559 F71:F142 F144:F224 F269:F500 F249:F257 F583:F685 F687:F1005 F1055:F1048576" xr:uid="{79FCA0FE-E977-41E6-8FAD-5D585982B515}">
      <formula1>Queue_List</formula1>
    </dataValidation>
    <dataValidation type="list" showInputMessage="1" showErrorMessage="1" errorTitle="Invalid Entry" error="Please select a value in TYPE before entering Priority" sqref="G1:G50 G53:G59 G70:G128 G167:G224 G249:G256 G149 G65 G63 G61 G310:G449 G474:G559 G583:G685 G736:G783 G814:G1005 G1055:G1048576" xr:uid="{0E2FB9B3-7640-462A-8C98-ED28DD6EC8FA}">
      <formula1>IF(D1="","",INDIRECT(D1&amp;"_PR"))</formula1>
    </dataValidation>
    <dataValidation type="list" allowBlank="1" showInputMessage="1" showErrorMessage="1" sqref="R71:R120 S121:S142 S209 S167:S207 S211:S224" xr:uid="{F78EFF11-9CF4-4446-BA45-D877EE51B74D}">
      <formula1>IF(D71="","",INDIRECT(D71))</formula1>
    </dataValidation>
    <dataValidation type="list" allowBlank="1" showInputMessage="1" showErrorMessage="1" sqref="S210" xr:uid="{441814D1-9BB8-4F97-8104-5A47EDE49D75}">
      <formula1>IF(E208="","",INDIRECT(E208))</formula1>
    </dataValidation>
    <dataValidation type="list" allowBlank="1" showInputMessage="1" showErrorMessage="1" sqref="S257 S249:S255 S310:S449 S474:S500" xr:uid="{5994AFEA-9143-4394-987F-60ADF21F4292}">
      <formula1>IF(#REF!="","",INDIRECT(#REF!))</formula1>
    </dataValidation>
    <dataValidation type="list" showInputMessage="1" showErrorMessage="1" errorTitle="Invalid Entry" error="Please select a value in TYPE before entering Priority" sqref="G257" xr:uid="{EBB80A4B-3D11-4EEB-9639-9621809EEC4B}">
      <formula1>IF(#REF!="","",INDIRECT(#REF!&amp;"_PR"))</formula1>
    </dataValidation>
  </dataValidations>
  <hyperlinks>
    <hyperlink ref="E62" r:id="rId1" xr:uid="{FECA19BA-D48F-45CB-BA2D-6C63A93B0661}"/>
    <hyperlink ref="E64" r:id="rId2" xr:uid="{F911732D-877C-44D5-A6C9-62419EAF0EC1}"/>
    <hyperlink ref="E66" r:id="rId3" xr:uid="{C44940CC-07CB-493F-87D9-0D9C379357C5}"/>
    <hyperlink ref="E67" r:id="rId4" xr:uid="{B1312779-498A-4C98-A0B1-8361317E839D}"/>
    <hyperlink ref="E68" r:id="rId5" xr:uid="{8DFF6839-4811-49CC-8DE2-87F19AB0B159}"/>
    <hyperlink ref="E69" r:id="rId6" xr:uid="{3375243C-E9E4-4EF4-ADB1-E2D4CD9F7215}"/>
  </hyperlinks>
  <pageMargins left="0.7" right="0.7" top="0.75" bottom="0.75" header="0.3" footer="0.3"/>
  <pageSetup paperSize="9" orientation="portrait" r:id="rId7"/>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CD3C5-60A1-4AAF-B323-39A2ED690552}">
  <dimension ref="A1:AK409"/>
  <sheetViews>
    <sheetView zoomScaleNormal="100" workbookViewId="0">
      <pane ySplit="1" topLeftCell="A2" activePane="bottomLeft" state="frozen"/>
      <selection pane="bottomLeft" activeCell="G7" sqref="G7"/>
    </sheetView>
  </sheetViews>
  <sheetFormatPr defaultColWidth="9.140625" defaultRowHeight="15" customHeight="1"/>
  <cols>
    <col min="1" max="1" width="6.42578125" style="45" customWidth="1"/>
    <col min="2" max="2" width="7.85546875" style="45" customWidth="1"/>
    <col min="3" max="3" width="10.42578125" style="45" customWidth="1"/>
    <col min="4" max="4" width="9.140625" style="45" customWidth="1"/>
    <col min="5" max="5" width="15.42578125" style="45" customWidth="1"/>
    <col min="6" max="6" width="17.42578125" style="45" customWidth="1"/>
    <col min="7" max="7" width="9.140625" style="45" customWidth="1"/>
    <col min="8" max="8" width="34.7109375" style="58" customWidth="1"/>
    <col min="9" max="9" width="11.7109375" style="45" customWidth="1"/>
    <col min="10" max="10" width="24" style="58" customWidth="1"/>
    <col min="11" max="11" width="20.140625" style="281" customWidth="1"/>
    <col min="12" max="12" width="16.42578125" style="281" customWidth="1"/>
    <col min="13" max="13" width="24.7109375" style="281" customWidth="1"/>
    <col min="14" max="14" width="23.42578125" style="281" customWidth="1"/>
    <col min="15" max="15" width="21.42578125" style="47" customWidth="1"/>
    <col min="16" max="16" width="18.42578125" style="47" customWidth="1"/>
    <col min="17" max="17" width="31.140625" style="45" customWidth="1"/>
    <col min="18" max="18" width="16.140625" style="45" customWidth="1"/>
    <col min="19" max="19" width="26.140625" style="45" customWidth="1"/>
    <col min="20" max="20" width="13.85546875" style="45" customWidth="1"/>
    <col min="21" max="21" width="9.140625" style="45" customWidth="1"/>
    <col min="22" max="22" width="17.85546875" style="45" customWidth="1"/>
    <col min="23" max="23" width="15.42578125" style="45" customWidth="1"/>
    <col min="24" max="24" width="25" style="45" customWidth="1"/>
    <col min="25" max="25" width="10.42578125" style="45" customWidth="1"/>
    <col min="26" max="26" width="11.42578125" customWidth="1"/>
    <col min="27" max="27" width="16.42578125" customWidth="1"/>
    <col min="28" max="28" width="21.85546875" customWidth="1"/>
    <col min="29" max="29" width="19.85546875" customWidth="1"/>
    <col min="30" max="30" width="13.42578125" style="192" customWidth="1"/>
    <col min="31" max="31" width="14" customWidth="1"/>
    <col min="32" max="32" width="18.85546875" customWidth="1"/>
    <col min="33" max="33" width="21" style="75" customWidth="1"/>
    <col min="34" max="34" width="17.85546875" bestFit="1" customWidth="1"/>
    <col min="35" max="35" width="28.28515625" bestFit="1" customWidth="1"/>
    <col min="36" max="36" width="28.7109375" bestFit="1" customWidth="1"/>
    <col min="37" max="16384" width="9.140625" style="45"/>
  </cols>
  <sheetData>
    <row r="1" spans="1:37" s="44" customFormat="1" ht="15" customHeight="1">
      <c r="A1" s="87" t="s">
        <v>347</v>
      </c>
      <c r="B1" s="87" t="s">
        <v>2</v>
      </c>
      <c r="C1" s="87" t="s">
        <v>3</v>
      </c>
      <c r="D1" s="87" t="s">
        <v>253</v>
      </c>
      <c r="E1" s="87" t="s">
        <v>348</v>
      </c>
      <c r="F1" s="87" t="s">
        <v>1</v>
      </c>
      <c r="G1" s="87" t="s">
        <v>324</v>
      </c>
      <c r="H1" s="88" t="s">
        <v>349</v>
      </c>
      <c r="I1" s="87" t="s">
        <v>254</v>
      </c>
      <c r="J1" s="88" t="s">
        <v>350</v>
      </c>
      <c r="K1" s="276" t="s">
        <v>351</v>
      </c>
      <c r="L1" s="276" t="s">
        <v>352</v>
      </c>
      <c r="M1" s="276" t="s">
        <v>353</v>
      </c>
      <c r="N1" s="276" t="s">
        <v>354</v>
      </c>
      <c r="O1" s="89" t="s">
        <v>355</v>
      </c>
      <c r="P1" s="89" t="s">
        <v>356</v>
      </c>
      <c r="Q1" s="87" t="s">
        <v>357</v>
      </c>
      <c r="R1" s="87" t="s">
        <v>358</v>
      </c>
      <c r="S1" s="87" t="s">
        <v>359</v>
      </c>
      <c r="T1" s="87" t="s">
        <v>258</v>
      </c>
      <c r="U1" s="87" t="s">
        <v>360</v>
      </c>
      <c r="V1" s="87" t="s">
        <v>361</v>
      </c>
      <c r="W1" s="87" t="s">
        <v>362</v>
      </c>
      <c r="X1" s="87" t="s">
        <v>363</v>
      </c>
      <c r="Y1" s="87" t="s">
        <v>364</v>
      </c>
      <c r="Z1" s="90" t="s">
        <v>82</v>
      </c>
      <c r="AA1" s="90" t="s">
        <v>90</v>
      </c>
      <c r="AB1" s="90" t="s">
        <v>84</v>
      </c>
      <c r="AC1" s="90" t="s">
        <v>92</v>
      </c>
      <c r="AD1" s="190" t="s">
        <v>86</v>
      </c>
      <c r="AE1" s="90" t="s">
        <v>88</v>
      </c>
      <c r="AF1" s="90" t="s">
        <v>365</v>
      </c>
      <c r="AG1" s="175" t="s">
        <v>366</v>
      </c>
      <c r="AH1" s="90" t="s">
        <v>94</v>
      </c>
      <c r="AI1" s="90" t="s">
        <v>96</v>
      </c>
      <c r="AJ1" s="90" t="s">
        <v>98</v>
      </c>
    </row>
    <row r="2" spans="1:37" ht="15" customHeight="1">
      <c r="A2" s="78"/>
      <c r="B2" s="78"/>
      <c r="C2" s="78"/>
      <c r="D2" s="78"/>
      <c r="E2" s="78"/>
      <c r="F2" s="78"/>
      <c r="G2" s="78"/>
      <c r="H2" s="86"/>
      <c r="I2" s="78"/>
      <c r="J2" s="86"/>
      <c r="K2" s="277"/>
      <c r="L2" s="277"/>
      <c r="M2" s="277"/>
      <c r="N2" s="277"/>
      <c r="O2" s="80"/>
      <c r="P2" s="80"/>
      <c r="Q2" s="78"/>
      <c r="R2" s="78"/>
      <c r="S2" s="78"/>
      <c r="T2" s="78"/>
      <c r="U2" s="78"/>
      <c r="V2" s="78"/>
      <c r="W2" s="78"/>
      <c r="X2" s="78"/>
      <c r="Y2" s="78"/>
      <c r="Z2" s="167" t="e">
        <f t="shared" ref="Z2:Z65" ca="1" si="0">IF(NOT(OR(G2=1,G2=2)),MAX(0,_xlfn.IFS(AND(K2&lt;&gt;"",N2&lt;&gt;""),((MAX(NETWORKDAYS(K2,N2,UKBankHolidays)-1,0))*(TIME(17,0,0)-TIME(8,0,0))+IF(NETWORKDAYS(N2,N2,UKBankHolidays)&gt;0,MEDIAN(TIME(8,0,0),MOD(N2,1),TIME(17,0,0)),TIME(8,0,0))-IF(NETWORKDAYS(K2,K2,UKBankHolidays)&gt;0,MEDIAN(TIME(8,0,0),MOD(K2,1),TIME(17,0,0)),TIME(8,0,0)))-IF(AND(O2&lt;&gt;"",P2&lt;&gt;""),((MAX(NETWORKDAYS(O2,P2,UKBankHolidays)-1,0))*(TIME(17,0,0)-TIME(8,0,0))+IF(NETWORKDAYS(P2,P2,UKBankHolidays)&gt;0,MEDIAN(TIME(8,0,0),MOD(P2,1),TIME(17,0,0)),TIME(8,0,0))-IF(NETWORKDAYS(O2,O2,UKBankHolidays)&gt;0,MEDIAN(TIME(8,0,0),MOD(O2,1),TIME(17,0,0)),TIME(8,0,0))),0),AND(K2&lt;&gt;"",N2=""),((MAX(NETWORKDAYS(K2,NOW(),UKBankHolidays)-1,0))*(TIME(17,0,0)-TIME(8,0,0))+IF(NETWORKDAYS(NOW(),NOW(),UKBankHolidays)&gt;0,MEDIAN(TIME(8,0,0),MOD(NOW(),1),TIME(17,0,0)),TIME(8,0,0))-IF(NETWORKDAYS(K2,K2,UKBankHolidays)&gt;0,MEDIAN(TIME(8,0,0),MOD(K2,1),TIME(17,0,0)),TIME(8,0,0))))),IF(N2="",NOW()-K2,N2-K2))</f>
        <v>#N/A</v>
      </c>
      <c r="AA2" s="168" t="e">
        <f t="shared" ref="AA2:AA65" ca="1" si="1">(Z2*24)/9</f>
        <v>#N/A</v>
      </c>
      <c r="AB2" s="167">
        <f t="shared" ref="AB2:AB65" ca="1" si="2">IF(NOT(OR(G2=1,G2=2)),MAX(0,_xlfn.IFS(AND(K2&lt;&gt;"",N2&lt;&gt;""),(((MAX(NETWORKDAYS(L2,N2,UKBankHolidays)-1,0))*(TIME(17,0,0)-TIME(8,0,0)))+IF(NETWORKDAYS(N2,N2,UKBankHolidays)&gt;0,MEDIAN(TIME(8,0,0),MOD(N2,1),TIME(17,0,0)),TIME(8,0,0))-IF(NETWORKDAYS(L2,L2,UKBankHolidays)&gt;0,MEDIAN(TIME(8,0,0),MOD(L2,1),TIME(17,0,0)),TIME(8,0,0)))-IF(AND(O2&lt;&gt;"",P2&lt;&gt;""),(((MAX(NETWORKDAYS(O2,P2,UKBankHolidays)-1,0))*(TIME(17,0,0)-TIME(8,0,0)))+IF(NETWORKDAYS(P2,P2,UKBankHolidays)&gt;0,MEDIAN(TIME(8,0,0),MOD(P2,1),TIME(17,0,0)),TIME(8,0,0))-IF(NETWORKDAYS(O2,O2,UKBankHolidays)&gt;0,MEDIAN(TIME(8,0,0),MOD(O2,1),TIME(17,0,0)),TIME(8,0,0))),0),AND(L2&lt;&gt;"",N2="",O2=""),(((MAX(NETWORKDAYS(L2,NOW(),UKBankHolidays)-1,0))*(TIME(17,0,0)-TIME(8,0,0)))+IF(NETWORKDAYS(NOW(),NOW(),UKBankHolidays)&gt;0,MEDIAN(TIME(8,0,0),MOD(NOW(),1),TIME(17,0,0)),TIME(8,0,0))-IF(NETWORKDAYS(L2,L2,UKBankHolidays)&gt;0,MEDIAN(TIME(8,0,0),MOD(L2,1),TIME(17,0,0)),TIME(8,0,0)))-IF(AND(O2&lt;&gt;"",P2&lt;&gt;""),(((MAX(NETWORKDAYS(O2,P2,UKBankHolidays)-1,0))*(TIME(17,0,0)-TIME(8,0,0)))+IF(NETWORKDAYS(P2,P2,UKBankHolidays)&gt;0,MEDIAN(TIME(8,0,0),MOD(P2,1),TIME(17,0,0)),TIME(8,0,0))-IF(NETWORKDAYS(O2,O2,UKBankHolidays)&gt;0,MEDIAN(TIME(8,0,0),MOD(O2,1),TIME(17,0,0)),TIME(8,0,0))),0),AND(L2&lt;&gt;"",N2="",P2="",O2&lt;&gt;""),(((MAX(NETWORKDAYS(L2,O2,UKBankHolidays)-1,0))*(TIME(17,0,0)-TIME(8,0,0)))+IF(NETWORKDAYS(O2,O2,UKBankHolidays)&gt;0,MEDIAN(TIME(8,0,0),MOD(O2,1),TIME(17,0,0)),TIME(8,0,0))-IF(NETWORKDAYS(L2,L2,UKBankHolidays)&gt;0,MEDIAN(TIME(8,0,0),MOD(L2,1),TIME(17,0,0)),TIME(8,0,0))),ISBLANK(K2),"0")),IF(ISBLANK(N2),NOW()-L2,N2-L2))</f>
        <v>0</v>
      </c>
      <c r="AC2" s="168">
        <f t="shared" ref="AC2:AC65" ca="1" si="3">(AB2*24)/9</f>
        <v>0</v>
      </c>
      <c r="AD2" s="191">
        <f t="shared" ref="AD2:AD65" ca="1" si="4">MAX(0,
IF(
OR(G2=1,G2=2),
IF(M2&lt;&gt;"",M2-L2,NOW()-L2),
IF(
M2&lt;&gt;"",
IF(
INT(L2)=INT(M2),
IF(
NETWORKDAYS(L2,L2,UKBankHolidays)=0,
0,
MAX(
0,
MIN(MOD(M2,1),TIME(17,0,0))
-
MAX(MOD(L2,1),TIME(8,0,0))
)
),
MAX(
0,
IF(
NETWORKDAYS(L2,L2,UKBankHolidays)&gt;0,
TIME(17,0,0)-MAX(MOD(L2,1),TIME(8,0,0)),
0
)
)
+
MAX(
0,
NETWORKDAYS(INT(L2)+1,INT(M2)-1,UKBankHolidays)
*(TIME(17,0,0)-TIME(8,0,0))
)
+
MAX(
0,
IF(
NETWORKDAYS(M2,M2,UKBankHolidays)&gt;0,
MIN(MOD(M2,1),TIME(17,0,0))-TIME(8,0,0),
0
)
)
),
IF(M2&lt;&gt;"",M2-L2,NOW()-L2)
)
)
)</f>
        <v>46259.633973495373</v>
      </c>
      <c r="AE2" s="167">
        <f t="shared" ref="AE2:AE65" si="5">SUMIFS(AB:AB,E:E,E2)</f>
        <v>0</v>
      </c>
      <c r="AF2" s="168">
        <f t="shared" ref="AF2:AF65" si="6">(AE2*24)/9</f>
        <v>0</v>
      </c>
      <c r="AG2" s="168">
        <f t="shared" ref="AG2:AG65" si="7">AF2</f>
        <v>0</v>
      </c>
      <c r="AH2" s="81" t="e" cm="1">
        <f t="array" aca="1" ref="AH2" ca="1">IF((AD2) &lt; (INDEX(ResponseSLA[#All],(MATCH((G2),ResponseSLA[Priority],0))+1,3)),"YES","No")</f>
        <v>#N/A</v>
      </c>
      <c r="AI2" s="81" t="str">
        <f>_xlfn.IFNA(IF(AE2 &lt; (INDEX(SLATable[Minimum SLA],MATCH(G2,SLATable[Priority],0))),"YES","NO"),"")</f>
        <v/>
      </c>
      <c r="AJ2" s="19" t="str">
        <f>_xlfn.IFNA(IF(AE2 &lt; (INDEX(SLATable[Maximum SLA],MATCH(G2,SLATable[Priority],0))),"YES","NO"),"")</f>
        <v/>
      </c>
    </row>
    <row r="3" spans="1:37" ht="15" customHeight="1">
      <c r="A3" s="78"/>
      <c r="B3" s="78"/>
      <c r="C3" s="78"/>
      <c r="D3" s="78"/>
      <c r="E3" s="78"/>
      <c r="F3" s="78"/>
      <c r="G3" s="78"/>
      <c r="H3" s="86"/>
      <c r="I3" s="78"/>
      <c r="J3" s="86"/>
      <c r="K3" s="277"/>
      <c r="L3" s="277"/>
      <c r="M3" s="277"/>
      <c r="N3" s="277"/>
      <c r="O3" s="80"/>
      <c r="P3" s="80"/>
      <c r="Q3" s="78"/>
      <c r="R3" s="78"/>
      <c r="S3" s="78"/>
      <c r="T3" s="78"/>
      <c r="U3" s="78"/>
      <c r="V3" s="78"/>
      <c r="W3" s="78"/>
      <c r="X3" s="78"/>
      <c r="Y3" s="78"/>
      <c r="Z3" s="167" t="e">
        <f t="shared" ca="1" si="0"/>
        <v>#N/A</v>
      </c>
      <c r="AA3" s="168" t="e">
        <f t="shared" ca="1" si="1"/>
        <v>#N/A</v>
      </c>
      <c r="AB3" s="167">
        <f t="shared" ca="1" si="2"/>
        <v>0</v>
      </c>
      <c r="AC3" s="168">
        <f t="shared" ca="1" si="3"/>
        <v>0</v>
      </c>
      <c r="AD3" s="191">
        <f t="shared" ca="1" si="4"/>
        <v>46259.633973495373</v>
      </c>
      <c r="AE3" s="167">
        <f t="shared" si="5"/>
        <v>0</v>
      </c>
      <c r="AF3" s="168">
        <f t="shared" si="6"/>
        <v>0</v>
      </c>
      <c r="AG3" s="168">
        <f t="shared" si="7"/>
        <v>0</v>
      </c>
      <c r="AH3" s="81" t="e" cm="1">
        <f t="array" aca="1" ref="AH3" ca="1">IF((AD3) &lt; (INDEX(ResponseSLA[#All],(MATCH((G3),ResponseSLA[Priority],0))+1,3)),"YES","No")</f>
        <v>#N/A</v>
      </c>
      <c r="AI3" s="81" t="str">
        <f>_xlfn.IFNA(IF(AE3 &lt; (INDEX(SLATable[Minimum SLA],MATCH(G3,SLATable[Priority],0))),"YES","NO"),"")</f>
        <v/>
      </c>
      <c r="AJ3" s="19" t="str">
        <f>_xlfn.IFNA(IF(AE3 &lt; (INDEX(SLATable[Maximum SLA],MATCH(G3,SLATable[Priority],0))),"YES","NO"),"")</f>
        <v/>
      </c>
    </row>
    <row r="4" spans="1:37" ht="15" customHeight="1">
      <c r="A4" s="78"/>
      <c r="B4" s="78"/>
      <c r="C4" s="78"/>
      <c r="D4" s="78"/>
      <c r="E4" s="93"/>
      <c r="F4" s="93"/>
      <c r="G4" s="78"/>
      <c r="H4" s="93"/>
      <c r="I4" s="78"/>
      <c r="J4" s="94"/>
      <c r="K4" s="283"/>
      <c r="L4" s="277"/>
      <c r="M4" s="277"/>
      <c r="N4" s="283"/>
      <c r="O4" s="80"/>
      <c r="P4" s="95"/>
      <c r="Q4" s="78"/>
      <c r="R4" s="78"/>
      <c r="S4" s="78"/>
      <c r="T4" s="78"/>
      <c r="U4" s="78"/>
      <c r="V4" s="78"/>
      <c r="W4" s="78"/>
      <c r="X4" s="78"/>
      <c r="Y4" s="78"/>
      <c r="Z4" s="167" t="e">
        <f t="shared" ca="1" si="0"/>
        <v>#N/A</v>
      </c>
      <c r="AA4" s="168" t="e">
        <f t="shared" ca="1" si="1"/>
        <v>#N/A</v>
      </c>
      <c r="AB4" s="167">
        <f t="shared" ca="1" si="2"/>
        <v>0</v>
      </c>
      <c r="AC4" s="168">
        <f t="shared" ca="1" si="3"/>
        <v>0</v>
      </c>
      <c r="AD4" s="191">
        <f t="shared" ca="1" si="4"/>
        <v>46259.633973495373</v>
      </c>
      <c r="AE4" s="167">
        <f t="shared" si="5"/>
        <v>0</v>
      </c>
      <c r="AF4" s="168">
        <f t="shared" si="6"/>
        <v>0</v>
      </c>
      <c r="AG4" s="168">
        <f t="shared" si="7"/>
        <v>0</v>
      </c>
      <c r="AH4" s="81" t="e" cm="1">
        <f t="array" aca="1" ref="AH4" ca="1">IF((AD4) &lt; (INDEX(ResponseSLA[#All],(MATCH((G4),ResponseSLA[Priority],0))+1,3)),"YES","No")</f>
        <v>#N/A</v>
      </c>
      <c r="AI4" s="81" t="str">
        <f>_xlfn.IFNA(IF(AE4 &lt; (INDEX(SLATable[Minimum SLA],MATCH(G4,SLATable[Priority],0))),"YES","NO"),"")</f>
        <v/>
      </c>
      <c r="AJ4" s="19" t="str">
        <f>_xlfn.IFNA(IF(AE4 &lt; (INDEX(SLATable[Maximum SLA],MATCH(G4,SLATable[Priority],0))),"YES","NO"),"")</f>
        <v/>
      </c>
      <c r="AK4" s="19" t="str">
        <f>_xlfn.IFNA(IF(AF4 &lt; (INDEX(SLATable[Priority],MATCH(H4,SLATable[Minimum SLA],0))),"YES","NO"),"")</f>
        <v/>
      </c>
    </row>
    <row r="5" spans="1:37" ht="15" customHeight="1">
      <c r="A5" s="78"/>
      <c r="B5" s="78"/>
      <c r="C5" s="78"/>
      <c r="D5" s="78"/>
      <c r="E5" s="93"/>
      <c r="F5" s="93"/>
      <c r="G5" s="78"/>
      <c r="H5" s="93"/>
      <c r="I5" s="78"/>
      <c r="J5" s="94"/>
      <c r="K5" s="283"/>
      <c r="L5" s="277"/>
      <c r="M5" s="277"/>
      <c r="N5" s="283"/>
      <c r="O5" s="80"/>
      <c r="P5" s="95"/>
      <c r="Q5" s="78"/>
      <c r="R5" s="78"/>
      <c r="S5" s="78"/>
      <c r="T5" s="78"/>
      <c r="U5" s="78"/>
      <c r="V5" s="78"/>
      <c r="W5" s="78"/>
      <c r="X5" s="78"/>
      <c r="Y5" s="78"/>
      <c r="Z5" s="167" t="e">
        <f t="shared" ca="1" si="0"/>
        <v>#N/A</v>
      </c>
      <c r="AA5" s="168" t="e">
        <f t="shared" ca="1" si="1"/>
        <v>#N/A</v>
      </c>
      <c r="AB5" s="167">
        <f t="shared" ca="1" si="2"/>
        <v>0</v>
      </c>
      <c r="AC5" s="168">
        <f t="shared" ca="1" si="3"/>
        <v>0</v>
      </c>
      <c r="AD5" s="191">
        <f t="shared" ca="1" si="4"/>
        <v>46259.633973495373</v>
      </c>
      <c r="AE5" s="167">
        <f t="shared" si="5"/>
        <v>0</v>
      </c>
      <c r="AF5" s="168">
        <f t="shared" si="6"/>
        <v>0</v>
      </c>
      <c r="AG5" s="168">
        <f t="shared" si="7"/>
        <v>0</v>
      </c>
      <c r="AH5" s="81" t="e" cm="1">
        <f t="array" aca="1" ref="AH5" ca="1">IF((AD5) &lt; (INDEX(ResponseSLA[#All],(MATCH((G5),ResponseSLA[Priority],0))+1,3)),"YES","No")</f>
        <v>#N/A</v>
      </c>
      <c r="AI5" s="81" t="str">
        <f>_xlfn.IFNA(IF(AE5 &lt; (INDEX(SLATable[Minimum SLA],MATCH(G5,SLATable[Priority],0))),"YES","NO"),"")</f>
        <v/>
      </c>
      <c r="AJ5" s="19" t="str">
        <f>_xlfn.IFNA(IF(AE5 &lt; (INDEX(SLATable[Maximum SLA],MATCH(G5,SLATable[Priority],0))),"YES","NO"),"")</f>
        <v/>
      </c>
    </row>
    <row r="6" spans="1:37" ht="15" customHeight="1">
      <c r="A6" s="78"/>
      <c r="B6" s="78"/>
      <c r="C6" s="78"/>
      <c r="D6" s="78"/>
      <c r="E6" s="93"/>
      <c r="F6" s="93"/>
      <c r="G6" s="78"/>
      <c r="H6" s="93"/>
      <c r="I6" s="78"/>
      <c r="J6" s="94"/>
      <c r="K6" s="283"/>
      <c r="L6" s="277"/>
      <c r="M6" s="277"/>
      <c r="N6" s="283"/>
      <c r="O6" s="80"/>
      <c r="P6" s="95"/>
      <c r="Q6" s="78"/>
      <c r="R6" s="78"/>
      <c r="S6" s="78"/>
      <c r="T6" s="78"/>
      <c r="U6" s="78"/>
      <c r="V6" s="78"/>
      <c r="W6" s="78"/>
      <c r="X6" s="78"/>
      <c r="Y6" s="78"/>
      <c r="Z6" s="167" t="e">
        <f t="shared" ca="1" si="0"/>
        <v>#N/A</v>
      </c>
      <c r="AA6" s="168" t="e">
        <f t="shared" ca="1" si="1"/>
        <v>#N/A</v>
      </c>
      <c r="AB6" s="167">
        <f t="shared" ca="1" si="2"/>
        <v>0</v>
      </c>
      <c r="AC6" s="168">
        <f t="shared" ca="1" si="3"/>
        <v>0</v>
      </c>
      <c r="AD6" s="191">
        <f t="shared" ca="1" si="4"/>
        <v>46259.633973495373</v>
      </c>
      <c r="AE6" s="167">
        <f t="shared" si="5"/>
        <v>0</v>
      </c>
      <c r="AF6" s="168">
        <f t="shared" si="6"/>
        <v>0</v>
      </c>
      <c r="AG6" s="168">
        <f t="shared" si="7"/>
        <v>0</v>
      </c>
      <c r="AH6" s="81" t="e" cm="1">
        <f t="array" aca="1" ref="AH6" ca="1">IF((AD6) &lt; (INDEX(ResponseSLA[#All],(MATCH((G6),ResponseSLA[Priority],0))+1,3)),"YES","No")</f>
        <v>#N/A</v>
      </c>
      <c r="AI6" s="81" t="str">
        <f>_xlfn.IFNA(IF(AE6 &lt; (INDEX(SLATable[Minimum SLA],MATCH(G6,SLATable[Priority],0))),"YES","NO"),"")</f>
        <v/>
      </c>
      <c r="AJ6" s="19" t="str">
        <f>_xlfn.IFNA(IF(AE6 &lt; (INDEX(SLATable[Maximum SLA],MATCH(G6,SLATable[Priority],0))),"YES","NO"),"")</f>
        <v/>
      </c>
    </row>
    <row r="7" spans="1:37" ht="15" customHeight="1">
      <c r="A7" s="78"/>
      <c r="B7" s="78"/>
      <c r="C7" s="78"/>
      <c r="D7" s="78"/>
      <c r="E7" s="78"/>
      <c r="F7" s="78"/>
      <c r="G7" s="78"/>
      <c r="H7" s="86"/>
      <c r="I7" s="78"/>
      <c r="J7" s="86"/>
      <c r="K7" s="277"/>
      <c r="L7" s="277"/>
      <c r="M7" s="277"/>
      <c r="N7" s="277"/>
      <c r="O7" s="80"/>
      <c r="P7" s="80"/>
      <c r="Q7" s="78"/>
      <c r="R7" s="78"/>
      <c r="S7" s="78"/>
      <c r="T7" s="78"/>
      <c r="U7" s="78"/>
      <c r="V7" s="78"/>
      <c r="W7" s="78"/>
      <c r="X7" s="78"/>
      <c r="Y7" s="78"/>
      <c r="Z7" s="167" t="e">
        <f t="shared" ca="1" si="0"/>
        <v>#N/A</v>
      </c>
      <c r="AA7" s="168" t="e">
        <f t="shared" ca="1" si="1"/>
        <v>#N/A</v>
      </c>
      <c r="AB7" s="167">
        <f t="shared" ca="1" si="2"/>
        <v>0</v>
      </c>
      <c r="AC7" s="168">
        <f t="shared" ca="1" si="3"/>
        <v>0</v>
      </c>
      <c r="AD7" s="191">
        <f t="shared" ca="1" si="4"/>
        <v>46259.633973495373</v>
      </c>
      <c r="AE7" s="167">
        <f t="shared" si="5"/>
        <v>0</v>
      </c>
      <c r="AF7" s="168">
        <f t="shared" si="6"/>
        <v>0</v>
      </c>
      <c r="AG7" s="168">
        <f t="shared" si="7"/>
        <v>0</v>
      </c>
      <c r="AH7" s="81" t="e" cm="1">
        <f t="array" aca="1" ref="AH7" ca="1">IF((AD7) &lt; (INDEX(ResponseSLA[#All],(MATCH((G7),ResponseSLA[Priority],0))+1,3)),"YES","No")</f>
        <v>#N/A</v>
      </c>
      <c r="AI7" s="81" t="str">
        <f>_xlfn.IFNA(IF(AE7 &lt; (INDEX(SLATable[Minimum SLA],MATCH(G7,SLATable[Priority],0))),"YES","NO"),"")</f>
        <v/>
      </c>
      <c r="AJ7" s="19" t="str">
        <f>_xlfn.IFNA(IF(AE7 &lt; (INDEX(SLATable[Maximum SLA],MATCH(G7,SLATable[Priority],0))),"YES","NO"),"")</f>
        <v/>
      </c>
    </row>
    <row r="8" spans="1:37" ht="15" customHeight="1">
      <c r="A8" s="78"/>
      <c r="B8" s="78"/>
      <c r="C8" s="78"/>
      <c r="D8" s="78"/>
      <c r="E8" s="78"/>
      <c r="F8" s="78"/>
      <c r="G8" s="78"/>
      <c r="H8" s="86"/>
      <c r="I8" s="78"/>
      <c r="J8" s="86"/>
      <c r="K8" s="277"/>
      <c r="L8" s="277"/>
      <c r="M8" s="277"/>
      <c r="N8" s="277"/>
      <c r="O8" s="80"/>
      <c r="P8" s="80"/>
      <c r="Q8" s="78"/>
      <c r="R8" s="78"/>
      <c r="S8" s="78"/>
      <c r="T8" s="78"/>
      <c r="U8" s="78"/>
      <c r="V8" s="78"/>
      <c r="W8" s="78"/>
      <c r="X8" s="78"/>
      <c r="Y8" s="78"/>
      <c r="Z8" s="167" t="e">
        <f t="shared" ca="1" si="0"/>
        <v>#N/A</v>
      </c>
      <c r="AA8" s="168" t="e">
        <f t="shared" ca="1" si="1"/>
        <v>#N/A</v>
      </c>
      <c r="AB8" s="167">
        <f t="shared" ca="1" si="2"/>
        <v>0</v>
      </c>
      <c r="AC8" s="168">
        <f t="shared" ca="1" si="3"/>
        <v>0</v>
      </c>
      <c r="AD8" s="191">
        <f t="shared" ca="1" si="4"/>
        <v>46259.633973495373</v>
      </c>
      <c r="AE8" s="167">
        <f t="shared" si="5"/>
        <v>0</v>
      </c>
      <c r="AF8" s="168">
        <f t="shared" si="6"/>
        <v>0</v>
      </c>
      <c r="AG8" s="168">
        <f t="shared" si="7"/>
        <v>0</v>
      </c>
      <c r="AH8" s="81" t="e" cm="1">
        <f t="array" aca="1" ref="AH8" ca="1">IF((AD8) &lt; (INDEX(ResponseSLA[#All],(MATCH((G8),ResponseSLA[Priority],0))+1,3)),"YES","No")</f>
        <v>#N/A</v>
      </c>
      <c r="AI8" s="81" t="str">
        <f>_xlfn.IFNA(IF(AE8 &lt; (INDEX(SLATable[Minimum SLA],MATCH(G8,SLATable[Priority],0))),"YES","NO"),"")</f>
        <v/>
      </c>
      <c r="AJ8" s="19" t="str">
        <f>_xlfn.IFNA(IF(AE8 &lt; (INDEX(SLATable[Maximum SLA],MATCH(G8,SLATable[Priority],0))),"YES","NO"),"")</f>
        <v/>
      </c>
    </row>
    <row r="9" spans="1:37" ht="15" customHeight="1">
      <c r="A9" s="78"/>
      <c r="B9" s="78"/>
      <c r="C9" s="78"/>
      <c r="D9" s="78"/>
      <c r="E9" s="78"/>
      <c r="F9" s="78"/>
      <c r="G9" s="78"/>
      <c r="H9" s="86"/>
      <c r="I9" s="78"/>
      <c r="J9" s="86"/>
      <c r="K9" s="277"/>
      <c r="L9" s="277"/>
      <c r="M9" s="277"/>
      <c r="N9" s="277"/>
      <c r="O9" s="80"/>
      <c r="P9" s="80"/>
      <c r="Q9" s="78"/>
      <c r="R9" s="78"/>
      <c r="S9" s="78"/>
      <c r="T9" s="78"/>
      <c r="U9" s="78"/>
      <c r="V9" s="78"/>
      <c r="W9" s="78"/>
      <c r="X9" s="78"/>
      <c r="Y9" s="78"/>
      <c r="Z9" s="167" t="e">
        <f t="shared" ca="1" si="0"/>
        <v>#N/A</v>
      </c>
      <c r="AA9" s="168" t="e">
        <f t="shared" ca="1" si="1"/>
        <v>#N/A</v>
      </c>
      <c r="AB9" s="167">
        <f t="shared" ca="1" si="2"/>
        <v>0</v>
      </c>
      <c r="AC9" s="168">
        <f t="shared" ca="1" si="3"/>
        <v>0</v>
      </c>
      <c r="AD9" s="191">
        <f t="shared" ca="1" si="4"/>
        <v>46259.633973495373</v>
      </c>
      <c r="AE9" s="167">
        <f t="shared" si="5"/>
        <v>0</v>
      </c>
      <c r="AF9" s="168">
        <f t="shared" si="6"/>
        <v>0</v>
      </c>
      <c r="AG9" s="168">
        <f t="shared" si="7"/>
        <v>0</v>
      </c>
      <c r="AH9" s="81" t="e" cm="1">
        <f t="array" aca="1" ref="AH9" ca="1">IF((AD9) &lt; (INDEX(ResponseSLA[#All],(MATCH((G9),ResponseSLA[Priority],0))+1,3)),"YES","No")</f>
        <v>#N/A</v>
      </c>
      <c r="AI9" s="81" t="str">
        <f>_xlfn.IFNA(IF(AE9 &lt; (INDEX(SLATable[Minimum SLA],MATCH(G9,SLATable[Priority],0))),"YES","NO"),"")</f>
        <v/>
      </c>
      <c r="AJ9" s="19" t="str">
        <f>_xlfn.IFNA(IF(AE9 &lt; (INDEX(SLATable[Maximum SLA],MATCH(G9,SLATable[Priority],0))),"YES","NO"),"")</f>
        <v/>
      </c>
    </row>
    <row r="10" spans="1:37" ht="15" customHeight="1">
      <c r="A10" s="78"/>
      <c r="B10" s="78"/>
      <c r="C10" s="78"/>
      <c r="D10" s="78"/>
      <c r="E10" s="91"/>
      <c r="F10" s="78"/>
      <c r="G10" s="78"/>
      <c r="H10" s="92"/>
      <c r="I10" s="78"/>
      <c r="J10" s="86"/>
      <c r="K10" s="282"/>
      <c r="L10" s="277"/>
      <c r="M10" s="277"/>
      <c r="N10" s="282"/>
      <c r="O10" s="80"/>
      <c r="P10" s="80"/>
      <c r="Q10" s="78"/>
      <c r="R10" s="78"/>
      <c r="S10" s="78"/>
      <c r="T10" s="78"/>
      <c r="U10" s="78"/>
      <c r="V10" s="78"/>
      <c r="W10" s="78"/>
      <c r="X10" s="78"/>
      <c r="Y10" s="78"/>
      <c r="Z10" s="167" t="e">
        <f t="shared" ca="1" si="0"/>
        <v>#N/A</v>
      </c>
      <c r="AA10" s="168" t="e">
        <f t="shared" ca="1" si="1"/>
        <v>#N/A</v>
      </c>
      <c r="AB10" s="167">
        <f t="shared" ca="1" si="2"/>
        <v>0</v>
      </c>
      <c r="AC10" s="168">
        <f t="shared" ca="1" si="3"/>
        <v>0</v>
      </c>
      <c r="AD10" s="191">
        <f t="shared" ca="1" si="4"/>
        <v>46259.633973495373</v>
      </c>
      <c r="AE10" s="167">
        <f t="shared" si="5"/>
        <v>0</v>
      </c>
      <c r="AF10" s="168">
        <f t="shared" si="6"/>
        <v>0</v>
      </c>
      <c r="AG10" s="168">
        <f t="shared" si="7"/>
        <v>0</v>
      </c>
      <c r="AH10" s="81" t="e" cm="1">
        <f t="array" aca="1" ref="AH10" ca="1">IF((AD10) &lt; (INDEX(ResponseSLA[#All],(MATCH((G10),ResponseSLA[Priority],0))+1,3)),"YES","No")</f>
        <v>#N/A</v>
      </c>
      <c r="AI10" s="81" t="str">
        <f>_xlfn.IFNA(IF(AE10 &lt; (INDEX(SLATable[Minimum SLA],MATCH(G10,SLATable[Priority],0))),"YES","NO"),"")</f>
        <v/>
      </c>
      <c r="AJ10" s="19" t="str">
        <f>_xlfn.IFNA(IF(AE10 &lt; (INDEX(SLATable[Maximum SLA],MATCH(G10,SLATable[Priority],0))),"YES","NO"),"")</f>
        <v/>
      </c>
    </row>
    <row r="11" spans="1:37" ht="15" customHeight="1">
      <c r="A11" s="78"/>
      <c r="B11" s="78"/>
      <c r="C11" s="78"/>
      <c r="D11" s="78"/>
      <c r="E11" s="91"/>
      <c r="F11" s="78"/>
      <c r="G11" s="78"/>
      <c r="H11" s="92"/>
      <c r="I11" s="78"/>
      <c r="J11" s="86"/>
      <c r="K11" s="282"/>
      <c r="L11" s="277"/>
      <c r="M11" s="277"/>
      <c r="N11" s="282"/>
      <c r="O11" s="80"/>
      <c r="P11" s="80"/>
      <c r="Q11" s="78"/>
      <c r="R11" s="78"/>
      <c r="S11" s="78"/>
      <c r="T11" s="78"/>
      <c r="U11" s="78"/>
      <c r="V11" s="78"/>
      <c r="W11" s="78"/>
      <c r="X11" s="78"/>
      <c r="Y11" s="78"/>
      <c r="Z11" s="167" t="e">
        <f t="shared" ca="1" si="0"/>
        <v>#N/A</v>
      </c>
      <c r="AA11" s="168" t="e">
        <f t="shared" ca="1" si="1"/>
        <v>#N/A</v>
      </c>
      <c r="AB11" s="167">
        <f t="shared" ca="1" si="2"/>
        <v>0</v>
      </c>
      <c r="AC11" s="168">
        <f t="shared" ca="1" si="3"/>
        <v>0</v>
      </c>
      <c r="AD11" s="191">
        <f t="shared" ca="1" si="4"/>
        <v>46259.633973495373</v>
      </c>
      <c r="AE11" s="167">
        <f t="shared" si="5"/>
        <v>0</v>
      </c>
      <c r="AF11" s="168">
        <f t="shared" si="6"/>
        <v>0</v>
      </c>
      <c r="AG11" s="168">
        <f t="shared" si="7"/>
        <v>0</v>
      </c>
      <c r="AH11" s="81" t="e" cm="1">
        <f t="array" aca="1" ref="AH11" ca="1">IF((AD11) &lt; (INDEX(ResponseSLA[#All],(MATCH((G11),ResponseSLA[Priority],0))+1,3)),"YES","No")</f>
        <v>#N/A</v>
      </c>
      <c r="AI11" s="81" t="str">
        <f>_xlfn.IFNA(IF(AE11 &lt; (INDEX(SLATable[Minimum SLA],MATCH(G11,SLATable[Priority],0))),"YES","NO"),"")</f>
        <v/>
      </c>
      <c r="AJ11" s="19" t="str">
        <f>_xlfn.IFNA(IF(AE11 &lt; (INDEX(SLATable[Maximum SLA],MATCH(G11,SLATable[Priority],0))),"YES","NO"),"")</f>
        <v/>
      </c>
    </row>
    <row r="12" spans="1:37" ht="15" customHeight="1">
      <c r="A12" s="78"/>
      <c r="B12" s="78"/>
      <c r="C12" s="78"/>
      <c r="D12" s="78"/>
      <c r="E12" s="93"/>
      <c r="F12" s="93"/>
      <c r="G12" s="78"/>
      <c r="H12" s="93"/>
      <c r="I12" s="78"/>
      <c r="J12" s="94"/>
      <c r="K12" s="283"/>
      <c r="L12" s="277"/>
      <c r="M12" s="277"/>
      <c r="N12" s="283"/>
      <c r="O12" s="80"/>
      <c r="P12" s="95"/>
      <c r="Q12" s="78"/>
      <c r="R12" s="78"/>
      <c r="S12" s="78"/>
      <c r="T12" s="78"/>
      <c r="U12" s="78"/>
      <c r="V12" s="78"/>
      <c r="W12" s="78"/>
      <c r="X12" s="78"/>
      <c r="Y12" s="78"/>
      <c r="Z12" s="167" t="e">
        <f t="shared" ca="1" si="0"/>
        <v>#N/A</v>
      </c>
      <c r="AA12" s="168" t="e">
        <f t="shared" ca="1" si="1"/>
        <v>#N/A</v>
      </c>
      <c r="AB12" s="167">
        <f t="shared" ca="1" si="2"/>
        <v>0</v>
      </c>
      <c r="AC12" s="168">
        <f t="shared" ca="1" si="3"/>
        <v>0</v>
      </c>
      <c r="AD12" s="191">
        <f t="shared" ca="1" si="4"/>
        <v>46259.633973495373</v>
      </c>
      <c r="AE12" s="167">
        <f t="shared" si="5"/>
        <v>0</v>
      </c>
      <c r="AF12" s="168">
        <f t="shared" si="6"/>
        <v>0</v>
      </c>
      <c r="AG12" s="168">
        <f t="shared" si="7"/>
        <v>0</v>
      </c>
      <c r="AH12" s="81" t="e" cm="1">
        <f t="array" aca="1" ref="AH12" ca="1">IF((AD12) &lt; (INDEX(ResponseSLA[#All],(MATCH((G12),ResponseSLA[Priority],0))+1,3)),"YES","No")</f>
        <v>#N/A</v>
      </c>
      <c r="AI12" s="81" t="str">
        <f>_xlfn.IFNA(IF(AE12 &lt; (INDEX(SLATable[Minimum SLA],MATCH(G12,SLATable[Priority],0))),"YES","NO"),"")</f>
        <v/>
      </c>
      <c r="AJ12" s="19" t="str">
        <f>_xlfn.IFNA(IF(AE12 &lt; (INDEX(SLATable[Maximum SLA],MATCH(G12,SLATable[Priority],0))),"YES","NO"),"")</f>
        <v/>
      </c>
    </row>
    <row r="13" spans="1:37" ht="15" customHeight="1">
      <c r="A13" s="78"/>
      <c r="B13" s="78"/>
      <c r="C13" s="78"/>
      <c r="D13" s="78"/>
      <c r="E13" s="93"/>
      <c r="F13" s="93"/>
      <c r="G13" s="78"/>
      <c r="H13" s="93"/>
      <c r="I13" s="78"/>
      <c r="J13" s="94"/>
      <c r="K13" s="283"/>
      <c r="L13" s="277"/>
      <c r="M13" s="277"/>
      <c r="N13" s="283"/>
      <c r="O13" s="80"/>
      <c r="P13" s="95"/>
      <c r="Q13" s="78"/>
      <c r="R13" s="78"/>
      <c r="S13" s="78"/>
      <c r="T13" s="78"/>
      <c r="U13" s="78"/>
      <c r="V13" s="78"/>
      <c r="W13" s="78"/>
      <c r="X13" s="78"/>
      <c r="Y13" s="78"/>
      <c r="Z13" s="167" t="e">
        <f t="shared" ca="1" si="0"/>
        <v>#N/A</v>
      </c>
      <c r="AA13" s="168" t="e">
        <f t="shared" ca="1" si="1"/>
        <v>#N/A</v>
      </c>
      <c r="AB13" s="167">
        <f t="shared" ca="1" si="2"/>
        <v>0</v>
      </c>
      <c r="AC13" s="168">
        <f t="shared" ca="1" si="3"/>
        <v>0</v>
      </c>
      <c r="AD13" s="191">
        <f t="shared" ca="1" si="4"/>
        <v>46259.633973495373</v>
      </c>
      <c r="AE13" s="167">
        <f t="shared" si="5"/>
        <v>0</v>
      </c>
      <c r="AF13" s="168">
        <f t="shared" si="6"/>
        <v>0</v>
      </c>
      <c r="AG13" s="168">
        <f t="shared" si="7"/>
        <v>0</v>
      </c>
      <c r="AH13" s="81" t="e" cm="1">
        <f t="array" aca="1" ref="AH13" ca="1">IF((AD13) &lt; (INDEX(ResponseSLA[#All],(MATCH((G13),ResponseSLA[Priority],0))+1,3)),"YES","No")</f>
        <v>#N/A</v>
      </c>
      <c r="AI13" s="81" t="str">
        <f>_xlfn.IFNA(IF(AE13 &lt; (INDEX(SLATable[Minimum SLA],MATCH(G13,SLATable[Priority],0))),"YES","NO"),"")</f>
        <v/>
      </c>
      <c r="AJ13" s="19" t="str">
        <f>_xlfn.IFNA(IF(AE13 &lt; (INDEX(SLATable[Maximum SLA],MATCH(G13,SLATable[Priority],0))),"YES","NO"),"")</f>
        <v/>
      </c>
    </row>
    <row r="14" spans="1:37" ht="15" customHeight="1">
      <c r="A14" s="78"/>
      <c r="B14" s="78"/>
      <c r="C14" s="78"/>
      <c r="D14" s="78"/>
      <c r="E14" s="93"/>
      <c r="F14" s="93"/>
      <c r="G14" s="78"/>
      <c r="H14" s="93"/>
      <c r="I14" s="78"/>
      <c r="J14" s="94"/>
      <c r="K14" s="283"/>
      <c r="L14" s="277"/>
      <c r="M14" s="277"/>
      <c r="N14" s="283"/>
      <c r="O14" s="80"/>
      <c r="P14" s="95"/>
      <c r="Q14" s="78"/>
      <c r="R14" s="78"/>
      <c r="S14" s="78"/>
      <c r="T14" s="78"/>
      <c r="U14" s="78"/>
      <c r="V14" s="78"/>
      <c r="W14" s="78"/>
      <c r="X14" s="78"/>
      <c r="Y14" s="78"/>
      <c r="Z14" s="167" t="e">
        <f t="shared" ca="1" si="0"/>
        <v>#N/A</v>
      </c>
      <c r="AA14" s="168" t="e">
        <f t="shared" ca="1" si="1"/>
        <v>#N/A</v>
      </c>
      <c r="AB14" s="167">
        <f t="shared" ca="1" si="2"/>
        <v>0</v>
      </c>
      <c r="AC14" s="168">
        <f t="shared" ca="1" si="3"/>
        <v>0</v>
      </c>
      <c r="AD14" s="191">
        <f t="shared" ca="1" si="4"/>
        <v>46259.633973495373</v>
      </c>
      <c r="AE14" s="167">
        <f t="shared" si="5"/>
        <v>0</v>
      </c>
      <c r="AF14" s="168">
        <f t="shared" si="6"/>
        <v>0</v>
      </c>
      <c r="AG14" s="168">
        <f t="shared" si="7"/>
        <v>0</v>
      </c>
      <c r="AH14" s="81" t="e" cm="1">
        <f t="array" aca="1" ref="AH14" ca="1">IF((AD14) &lt; (INDEX(ResponseSLA[#All],(MATCH((G14),ResponseSLA[Priority],0))+1,3)),"YES","No")</f>
        <v>#N/A</v>
      </c>
      <c r="AI14" s="81" t="str">
        <f>_xlfn.IFNA(IF(AE14 &lt; (INDEX(SLATable[Minimum SLA],MATCH(G14,SLATable[Priority],0))),"YES","NO"),"")</f>
        <v/>
      </c>
      <c r="AJ14" s="19" t="str">
        <f>_xlfn.IFNA(IF(AE14 &lt; (INDEX(SLATable[Maximum SLA],MATCH(G14,SLATable[Priority],0))),"YES","NO"),"")</f>
        <v/>
      </c>
    </row>
    <row r="15" spans="1:37" ht="15" customHeight="1">
      <c r="A15" s="78"/>
      <c r="B15" s="78"/>
      <c r="C15" s="78"/>
      <c r="D15" s="78"/>
      <c r="E15" s="93"/>
      <c r="F15" s="93"/>
      <c r="G15" s="78"/>
      <c r="H15" s="93"/>
      <c r="I15" s="78"/>
      <c r="J15" s="94"/>
      <c r="K15" s="283"/>
      <c r="L15" s="277"/>
      <c r="M15" s="277"/>
      <c r="N15" s="283"/>
      <c r="O15" s="96"/>
      <c r="P15" s="95"/>
      <c r="Q15" s="78"/>
      <c r="R15" s="78"/>
      <c r="S15" s="78"/>
      <c r="T15" s="78"/>
      <c r="U15" s="78"/>
      <c r="V15" s="78"/>
      <c r="W15" s="78"/>
      <c r="X15" s="78"/>
      <c r="Y15" s="78"/>
      <c r="Z15" s="167" t="e">
        <f t="shared" ca="1" si="0"/>
        <v>#N/A</v>
      </c>
      <c r="AA15" s="168" t="e">
        <f t="shared" ca="1" si="1"/>
        <v>#N/A</v>
      </c>
      <c r="AB15" s="167">
        <f t="shared" ca="1" si="2"/>
        <v>0</v>
      </c>
      <c r="AC15" s="168">
        <f t="shared" ca="1" si="3"/>
        <v>0</v>
      </c>
      <c r="AD15" s="191">
        <f t="shared" ca="1" si="4"/>
        <v>46259.633973495373</v>
      </c>
      <c r="AE15" s="167">
        <f t="shared" si="5"/>
        <v>0</v>
      </c>
      <c r="AF15" s="168">
        <f t="shared" si="6"/>
        <v>0</v>
      </c>
      <c r="AG15" s="168">
        <f t="shared" si="7"/>
        <v>0</v>
      </c>
      <c r="AH15" s="81" t="e" cm="1">
        <f t="array" aca="1" ref="AH15" ca="1">IF((AD15) &lt; (INDEX(ResponseSLA[#All],(MATCH((G15),ResponseSLA[Priority],0))+1,3)),"YES","No")</f>
        <v>#N/A</v>
      </c>
      <c r="AI15" s="81" t="str">
        <f>_xlfn.IFNA(IF(AE15 &lt; (INDEX(SLATable[Minimum SLA],MATCH(G15,SLATable[Priority],0))),"YES","NO"),"")</f>
        <v/>
      </c>
      <c r="AJ15" s="19" t="str">
        <f>_xlfn.IFNA(IF(AE15 &lt; (INDEX(SLATable[Maximum SLA],MATCH(G15,SLATable[Priority],0))),"YES","NO"),"")</f>
        <v/>
      </c>
    </row>
    <row r="16" spans="1:37" ht="15" customHeight="1">
      <c r="A16" s="78"/>
      <c r="B16" s="78"/>
      <c r="C16" s="78"/>
      <c r="D16" s="78"/>
      <c r="E16" s="93"/>
      <c r="F16" s="93"/>
      <c r="G16" s="78"/>
      <c r="H16" s="93"/>
      <c r="I16" s="78"/>
      <c r="J16" s="94"/>
      <c r="K16" s="283"/>
      <c r="L16" s="277"/>
      <c r="M16" s="277"/>
      <c r="N16" s="283"/>
      <c r="O16" s="80"/>
      <c r="P16" s="95"/>
      <c r="Q16" s="78"/>
      <c r="R16" s="78"/>
      <c r="S16" s="78"/>
      <c r="T16" s="78"/>
      <c r="U16" s="78"/>
      <c r="V16" s="78"/>
      <c r="W16" s="78"/>
      <c r="X16" s="78"/>
      <c r="Y16" s="78"/>
      <c r="Z16" s="167" t="e">
        <f t="shared" ca="1" si="0"/>
        <v>#N/A</v>
      </c>
      <c r="AA16" s="168" t="e">
        <f t="shared" ca="1" si="1"/>
        <v>#N/A</v>
      </c>
      <c r="AB16" s="167">
        <f t="shared" ca="1" si="2"/>
        <v>0</v>
      </c>
      <c r="AC16" s="168">
        <f t="shared" ca="1" si="3"/>
        <v>0</v>
      </c>
      <c r="AD16" s="191">
        <f t="shared" ca="1" si="4"/>
        <v>46259.633973495373</v>
      </c>
      <c r="AE16" s="167">
        <f t="shared" si="5"/>
        <v>0</v>
      </c>
      <c r="AF16" s="168">
        <f t="shared" si="6"/>
        <v>0</v>
      </c>
      <c r="AG16" s="168">
        <f t="shared" si="7"/>
        <v>0</v>
      </c>
      <c r="AH16" s="81" t="e" cm="1">
        <f t="array" aca="1" ref="AH16" ca="1">IF((AD16) &lt; (INDEX(ResponseSLA[#All],(MATCH((G16),ResponseSLA[Priority],0))+1,3)),"YES","No")</f>
        <v>#N/A</v>
      </c>
      <c r="AI16" s="81" t="str">
        <f>_xlfn.IFNA(IF(AE16 &lt; (INDEX(SLATable[Minimum SLA],MATCH(G16,SLATable[Priority],0))),"YES","NO"),"")</f>
        <v/>
      </c>
      <c r="AJ16" s="19" t="str">
        <f>_xlfn.IFNA(IF(AE16 &lt; (INDEX(SLATable[Maximum SLA],MATCH(G16,SLATable[Priority],0))),"YES","NO"),"")</f>
        <v/>
      </c>
    </row>
    <row r="17" spans="1:36" ht="15" customHeight="1">
      <c r="A17" s="78"/>
      <c r="B17" s="78"/>
      <c r="C17" s="78"/>
      <c r="D17" s="78"/>
      <c r="E17" s="93"/>
      <c r="F17" s="93"/>
      <c r="G17" s="78"/>
      <c r="H17" s="93"/>
      <c r="I17" s="78"/>
      <c r="J17" s="94"/>
      <c r="K17" s="283"/>
      <c r="L17" s="277"/>
      <c r="M17" s="277"/>
      <c r="N17" s="283"/>
      <c r="O17" s="80"/>
      <c r="P17" s="95"/>
      <c r="Q17" s="78"/>
      <c r="R17" s="78"/>
      <c r="S17" s="78"/>
      <c r="T17" s="78"/>
      <c r="U17" s="78"/>
      <c r="V17" s="78"/>
      <c r="W17" s="78"/>
      <c r="X17" s="78"/>
      <c r="Y17" s="78"/>
      <c r="Z17" s="167" t="e">
        <f t="shared" ca="1" si="0"/>
        <v>#N/A</v>
      </c>
      <c r="AA17" s="168" t="e">
        <f t="shared" ca="1" si="1"/>
        <v>#N/A</v>
      </c>
      <c r="AB17" s="167">
        <f t="shared" ca="1" si="2"/>
        <v>0</v>
      </c>
      <c r="AC17" s="168">
        <f t="shared" ca="1" si="3"/>
        <v>0</v>
      </c>
      <c r="AD17" s="191">
        <f t="shared" ca="1" si="4"/>
        <v>46259.633973495373</v>
      </c>
      <c r="AE17" s="167">
        <f t="shared" si="5"/>
        <v>0</v>
      </c>
      <c r="AF17" s="168">
        <f t="shared" si="6"/>
        <v>0</v>
      </c>
      <c r="AG17" s="168">
        <f t="shared" si="7"/>
        <v>0</v>
      </c>
      <c r="AH17" s="81" t="e" cm="1">
        <f t="array" aca="1" ref="AH17" ca="1">IF((AD17) &lt; (INDEX(ResponseSLA[#All],(MATCH((G17),ResponseSLA[Priority],0))+1,3)),"YES","No")</f>
        <v>#N/A</v>
      </c>
      <c r="AI17" s="81" t="str">
        <f>_xlfn.IFNA(IF(AE17 &lt; (INDEX(SLATable[Minimum SLA],MATCH(G17,SLATable[Priority],0))),"YES","NO"),"")</f>
        <v/>
      </c>
      <c r="AJ17" s="19" t="str">
        <f>_xlfn.IFNA(IF(AE17 &lt; (INDEX(SLATable[Maximum SLA],MATCH(G17,SLATable[Priority],0))),"YES","NO"),"")</f>
        <v/>
      </c>
    </row>
    <row r="18" spans="1:36" ht="15" customHeight="1">
      <c r="A18" s="78"/>
      <c r="B18" s="78"/>
      <c r="C18" s="78"/>
      <c r="D18" s="78"/>
      <c r="E18" s="93"/>
      <c r="F18" s="93"/>
      <c r="G18" s="78"/>
      <c r="H18" s="93"/>
      <c r="I18" s="78"/>
      <c r="J18" s="94"/>
      <c r="K18" s="283"/>
      <c r="L18" s="277"/>
      <c r="M18" s="277"/>
      <c r="N18" s="283"/>
      <c r="O18" s="80"/>
      <c r="P18" s="97"/>
      <c r="Q18" s="78"/>
      <c r="R18" s="78"/>
      <c r="S18" s="78"/>
      <c r="T18" s="78"/>
      <c r="U18" s="78"/>
      <c r="V18" s="78"/>
      <c r="W18" s="78"/>
      <c r="X18" s="78"/>
      <c r="Y18" s="78"/>
      <c r="Z18" s="167" t="e">
        <f t="shared" ca="1" si="0"/>
        <v>#N/A</v>
      </c>
      <c r="AA18" s="168" t="e">
        <f t="shared" ca="1" si="1"/>
        <v>#N/A</v>
      </c>
      <c r="AB18" s="167">
        <f t="shared" ca="1" si="2"/>
        <v>0</v>
      </c>
      <c r="AC18" s="168">
        <f t="shared" ca="1" si="3"/>
        <v>0</v>
      </c>
      <c r="AD18" s="191">
        <f t="shared" ca="1" si="4"/>
        <v>46259.633973495373</v>
      </c>
      <c r="AE18" s="167">
        <f t="shared" si="5"/>
        <v>0</v>
      </c>
      <c r="AF18" s="168">
        <f t="shared" si="6"/>
        <v>0</v>
      </c>
      <c r="AG18" s="168">
        <f t="shared" si="7"/>
        <v>0</v>
      </c>
      <c r="AH18" s="81" t="e" cm="1">
        <f t="array" aca="1" ref="AH18" ca="1">IF((AD18) &lt; (INDEX(ResponseSLA[#All],(MATCH((G18),ResponseSLA[Priority],0))+1,3)),"YES","No")</f>
        <v>#N/A</v>
      </c>
      <c r="AI18" s="81" t="str">
        <f>_xlfn.IFNA(IF(AE18 &lt; (INDEX(SLATable[Minimum SLA],MATCH(G18,SLATable[Priority],0))),"YES","NO"),"")</f>
        <v/>
      </c>
      <c r="AJ18" s="19" t="str">
        <f>_xlfn.IFNA(IF(AE18 &lt; (INDEX(SLATable[Maximum SLA],MATCH(G18,SLATable[Priority],0))),"YES","NO"),"")</f>
        <v/>
      </c>
    </row>
    <row r="19" spans="1:36" ht="15" customHeight="1">
      <c r="A19" s="78"/>
      <c r="B19" s="78"/>
      <c r="C19" s="78"/>
      <c r="D19" s="78"/>
      <c r="E19" s="91"/>
      <c r="F19" s="78"/>
      <c r="G19" s="78"/>
      <c r="H19" s="92"/>
      <c r="I19" s="78"/>
      <c r="J19" s="86"/>
      <c r="K19" s="282"/>
      <c r="L19" s="277"/>
      <c r="M19" s="277"/>
      <c r="N19" s="282"/>
      <c r="O19" s="80"/>
      <c r="P19" s="80"/>
      <c r="Q19" s="78"/>
      <c r="R19" s="78"/>
      <c r="S19" s="78"/>
      <c r="T19" s="78"/>
      <c r="U19" s="78"/>
      <c r="V19" s="78"/>
      <c r="W19" s="78"/>
      <c r="X19" s="78"/>
      <c r="Y19" s="78"/>
      <c r="Z19" s="167" t="e">
        <f t="shared" ca="1" si="0"/>
        <v>#N/A</v>
      </c>
      <c r="AA19" s="168" t="e">
        <f t="shared" ca="1" si="1"/>
        <v>#N/A</v>
      </c>
      <c r="AB19" s="167">
        <f t="shared" ca="1" si="2"/>
        <v>0</v>
      </c>
      <c r="AC19" s="168">
        <f t="shared" ca="1" si="3"/>
        <v>0</v>
      </c>
      <c r="AD19" s="191">
        <f t="shared" ca="1" si="4"/>
        <v>46259.633973495373</v>
      </c>
      <c r="AE19" s="167">
        <f t="shared" si="5"/>
        <v>0</v>
      </c>
      <c r="AF19" s="168">
        <f t="shared" si="6"/>
        <v>0</v>
      </c>
      <c r="AG19" s="168">
        <f t="shared" si="7"/>
        <v>0</v>
      </c>
      <c r="AH19" s="81" t="e" cm="1">
        <f t="array" aca="1" ref="AH19" ca="1">IF((AD19) &lt; (INDEX(ResponseSLA[#All],(MATCH((G19),ResponseSLA[Priority],0))+1,3)),"YES","No")</f>
        <v>#N/A</v>
      </c>
      <c r="AI19" s="81" t="str">
        <f>_xlfn.IFNA(IF(AE19 &lt; (INDEX(SLATable[Minimum SLA],MATCH(G19,SLATable[Priority],0))),"YES","NO"),"")</f>
        <v/>
      </c>
      <c r="AJ19" s="19" t="str">
        <f>_xlfn.IFNA(IF(AE19 &lt; (INDEX(SLATable[Maximum SLA],MATCH(G19,SLATable[Priority],0))),"YES","NO"),"")</f>
        <v/>
      </c>
    </row>
    <row r="20" spans="1:36" ht="15" customHeight="1">
      <c r="A20" s="78"/>
      <c r="B20" s="78"/>
      <c r="C20" s="78"/>
      <c r="D20" s="78"/>
      <c r="E20" s="91"/>
      <c r="F20" s="78"/>
      <c r="G20" s="78"/>
      <c r="H20" s="92"/>
      <c r="I20" s="78"/>
      <c r="J20" s="86"/>
      <c r="K20" s="282"/>
      <c r="L20" s="277"/>
      <c r="M20" s="277"/>
      <c r="N20" s="282"/>
      <c r="O20" s="80"/>
      <c r="P20" s="80"/>
      <c r="Q20" s="78"/>
      <c r="R20" s="78"/>
      <c r="S20" s="78"/>
      <c r="T20" s="78"/>
      <c r="U20" s="78"/>
      <c r="V20" s="78"/>
      <c r="W20" s="78"/>
      <c r="X20" s="78"/>
      <c r="Y20" s="78"/>
      <c r="Z20" s="167" t="e">
        <f t="shared" ca="1" si="0"/>
        <v>#N/A</v>
      </c>
      <c r="AA20" s="168" t="e">
        <f t="shared" ca="1" si="1"/>
        <v>#N/A</v>
      </c>
      <c r="AB20" s="167">
        <f t="shared" ca="1" si="2"/>
        <v>0</v>
      </c>
      <c r="AC20" s="168">
        <f t="shared" ca="1" si="3"/>
        <v>0</v>
      </c>
      <c r="AD20" s="191">
        <f t="shared" ca="1" si="4"/>
        <v>46259.633973495373</v>
      </c>
      <c r="AE20" s="167">
        <f t="shared" si="5"/>
        <v>0</v>
      </c>
      <c r="AF20" s="168">
        <f t="shared" si="6"/>
        <v>0</v>
      </c>
      <c r="AG20" s="168">
        <f t="shared" si="7"/>
        <v>0</v>
      </c>
      <c r="AH20" s="81" t="e" cm="1">
        <f t="array" aca="1" ref="AH20" ca="1">IF((AD20) &lt; (INDEX(ResponseSLA[#All],(MATCH((G20),ResponseSLA[Priority],0))+1,3)),"YES","No")</f>
        <v>#N/A</v>
      </c>
      <c r="AI20" s="81" t="str">
        <f>_xlfn.IFNA(IF(AE20 &lt; (INDEX(SLATable[Minimum SLA],MATCH(G20,SLATable[Priority],0))),"YES","NO"),"")</f>
        <v/>
      </c>
      <c r="AJ20" s="19" t="str">
        <f>_xlfn.IFNA(IF(AE20 &lt; (INDEX(SLATable[Maximum SLA],MATCH(G20,SLATable[Priority],0))),"YES","NO"),"")</f>
        <v/>
      </c>
    </row>
    <row r="21" spans="1:36" ht="15" customHeight="1">
      <c r="A21" s="78"/>
      <c r="B21" s="78"/>
      <c r="C21" s="78"/>
      <c r="D21" s="78"/>
      <c r="E21" s="91"/>
      <c r="F21" s="78"/>
      <c r="G21" s="78"/>
      <c r="H21" s="92"/>
      <c r="I21" s="78"/>
      <c r="J21" s="86"/>
      <c r="K21" s="282"/>
      <c r="L21" s="277"/>
      <c r="M21" s="277"/>
      <c r="N21" s="277"/>
      <c r="O21" s="80"/>
      <c r="P21" s="80"/>
      <c r="Q21" s="78"/>
      <c r="R21" s="78"/>
      <c r="S21" s="78"/>
      <c r="T21" s="78"/>
      <c r="U21" s="78"/>
      <c r="V21" s="78"/>
      <c r="W21" s="78"/>
      <c r="X21" s="78"/>
      <c r="Y21" s="78"/>
      <c r="Z21" s="167" t="e">
        <f t="shared" ca="1" si="0"/>
        <v>#N/A</v>
      </c>
      <c r="AA21" s="168" t="e">
        <f t="shared" ca="1" si="1"/>
        <v>#N/A</v>
      </c>
      <c r="AB21" s="167">
        <f t="shared" ca="1" si="2"/>
        <v>0</v>
      </c>
      <c r="AC21" s="168">
        <f t="shared" ca="1" si="3"/>
        <v>0</v>
      </c>
      <c r="AD21" s="191">
        <f t="shared" ca="1" si="4"/>
        <v>46259.633973495373</v>
      </c>
      <c r="AE21" s="167">
        <f t="shared" si="5"/>
        <v>0</v>
      </c>
      <c r="AF21" s="168">
        <f t="shared" si="6"/>
        <v>0</v>
      </c>
      <c r="AG21" s="168">
        <f t="shared" si="7"/>
        <v>0</v>
      </c>
      <c r="AH21" s="81" t="e" cm="1">
        <f t="array" aca="1" ref="AH21" ca="1">IF((AD21) &lt; (INDEX(ResponseSLA[#All],(MATCH((G21),ResponseSLA[Priority],0))+1,3)),"YES","No")</f>
        <v>#N/A</v>
      </c>
      <c r="AI21" s="81" t="str">
        <f>_xlfn.IFNA(IF(AE21 &lt; (INDEX(SLATable[Minimum SLA],MATCH(G21,SLATable[Priority],0))),"YES","NO"),"")</f>
        <v/>
      </c>
      <c r="AJ21" s="19" t="str">
        <f>_xlfn.IFNA(IF(AE21 &lt; (INDEX(SLATable[Maximum SLA],MATCH(G21,SLATable[Priority],0))),"YES","NO"),"")</f>
        <v/>
      </c>
    </row>
    <row r="22" spans="1:36" ht="15" customHeight="1">
      <c r="A22" s="78"/>
      <c r="B22" s="78"/>
      <c r="C22" s="78"/>
      <c r="D22" s="78"/>
      <c r="E22" s="93"/>
      <c r="F22" s="93"/>
      <c r="G22" s="78"/>
      <c r="H22" s="93"/>
      <c r="I22" s="78"/>
      <c r="J22" s="94"/>
      <c r="K22" s="283"/>
      <c r="L22" s="277"/>
      <c r="M22" s="277"/>
      <c r="N22" s="283"/>
      <c r="O22" s="80"/>
      <c r="P22" s="80"/>
      <c r="Q22" s="78"/>
      <c r="R22" s="78"/>
      <c r="S22" s="78"/>
      <c r="T22" s="78"/>
      <c r="U22" s="78"/>
      <c r="V22" s="78"/>
      <c r="W22" s="78"/>
      <c r="X22" s="78"/>
      <c r="Y22" s="78"/>
      <c r="Z22" s="167" t="e">
        <f t="shared" ca="1" si="0"/>
        <v>#N/A</v>
      </c>
      <c r="AA22" s="168" t="e">
        <f t="shared" ca="1" si="1"/>
        <v>#N/A</v>
      </c>
      <c r="AB22" s="167">
        <f t="shared" ca="1" si="2"/>
        <v>0</v>
      </c>
      <c r="AC22" s="168">
        <f t="shared" ca="1" si="3"/>
        <v>0</v>
      </c>
      <c r="AD22" s="191">
        <f t="shared" ca="1" si="4"/>
        <v>46259.633973495373</v>
      </c>
      <c r="AE22" s="167">
        <f t="shared" si="5"/>
        <v>0</v>
      </c>
      <c r="AF22" s="168">
        <f t="shared" si="6"/>
        <v>0</v>
      </c>
      <c r="AG22" s="168">
        <f t="shared" si="7"/>
        <v>0</v>
      </c>
      <c r="AH22" s="81" t="e" cm="1">
        <f t="array" aca="1" ref="AH22" ca="1">IF((AD22) &lt; (INDEX(ResponseSLA[#All],(MATCH((G22),ResponseSLA[Priority],0))+1,3)),"YES","No")</f>
        <v>#N/A</v>
      </c>
      <c r="AI22" s="81" t="str">
        <f>_xlfn.IFNA(IF(AE22 &lt; (INDEX(SLATable[Minimum SLA],MATCH(G22,SLATable[Priority],0))),"YES","NO"),"")</f>
        <v/>
      </c>
      <c r="AJ22" s="19" t="str">
        <f>_xlfn.IFNA(IF(AE22 &lt; (INDEX(SLATable[Maximum SLA],MATCH(G22,SLATable[Priority],0))),"YES","NO"),"")</f>
        <v/>
      </c>
    </row>
    <row r="23" spans="1:36" ht="15" customHeight="1">
      <c r="A23" s="78"/>
      <c r="B23" s="78"/>
      <c r="C23" s="78"/>
      <c r="D23" s="78"/>
      <c r="E23" s="79"/>
      <c r="F23" s="79"/>
      <c r="G23" s="78"/>
      <c r="H23" s="79"/>
      <c r="I23" s="78"/>
      <c r="J23" s="79"/>
      <c r="K23" s="284"/>
      <c r="L23" s="277"/>
      <c r="M23" s="277"/>
      <c r="N23" s="284"/>
      <c r="O23" s="80"/>
      <c r="P23" s="80"/>
      <c r="Q23" s="78"/>
      <c r="R23" s="78"/>
      <c r="S23" s="78"/>
      <c r="T23" s="78"/>
      <c r="U23" s="78"/>
      <c r="V23" s="78"/>
      <c r="W23" s="78"/>
      <c r="X23" s="78"/>
      <c r="Y23" s="78"/>
      <c r="Z23" s="167" t="e">
        <f t="shared" ca="1" si="0"/>
        <v>#N/A</v>
      </c>
      <c r="AA23" s="168" t="e">
        <f t="shared" ca="1" si="1"/>
        <v>#N/A</v>
      </c>
      <c r="AB23" s="167">
        <f t="shared" ca="1" si="2"/>
        <v>0</v>
      </c>
      <c r="AC23" s="168">
        <f t="shared" ca="1" si="3"/>
        <v>0</v>
      </c>
      <c r="AD23" s="191">
        <f t="shared" ca="1" si="4"/>
        <v>46259.633973495373</v>
      </c>
      <c r="AE23" s="167">
        <f t="shared" si="5"/>
        <v>0</v>
      </c>
      <c r="AF23" s="168">
        <f t="shared" si="6"/>
        <v>0</v>
      </c>
      <c r="AG23" s="168">
        <f t="shared" si="7"/>
        <v>0</v>
      </c>
      <c r="AH23" s="81" t="e" cm="1">
        <f t="array" aca="1" ref="AH23" ca="1">IF((AD23) &lt; (INDEX(ResponseSLA[#All],(MATCH((G23),ResponseSLA[Priority],0))+1,3)),"YES","No")</f>
        <v>#N/A</v>
      </c>
      <c r="AI23" s="81" t="str">
        <f>_xlfn.IFNA(IF(AE23 &lt; (INDEX(SLATable[Minimum SLA],MATCH(G23,SLATable[Priority],0))),"YES","NO"),"")</f>
        <v/>
      </c>
      <c r="AJ23" s="19" t="str">
        <f>_xlfn.IFNA(IF(AE23 &lt; (INDEX(SLATable[Maximum SLA],MATCH(G23,SLATable[Priority],0))),"YES","NO"),"")</f>
        <v/>
      </c>
    </row>
    <row r="24" spans="1:36" ht="15" customHeight="1">
      <c r="A24" s="78"/>
      <c r="B24" s="78"/>
      <c r="C24" s="78"/>
      <c r="D24" s="78"/>
      <c r="E24" s="78"/>
      <c r="F24" s="78"/>
      <c r="G24" s="78"/>
      <c r="H24" s="86"/>
      <c r="I24" s="78"/>
      <c r="J24" s="86"/>
      <c r="K24" s="277"/>
      <c r="L24" s="277"/>
      <c r="M24" s="277"/>
      <c r="N24" s="277"/>
      <c r="O24" s="80"/>
      <c r="P24" s="80"/>
      <c r="Q24" s="78"/>
      <c r="R24" s="78"/>
      <c r="S24" s="78"/>
      <c r="T24" s="78"/>
      <c r="U24" s="78"/>
      <c r="V24" s="78"/>
      <c r="W24" s="78"/>
      <c r="X24" s="78"/>
      <c r="Y24" s="78"/>
      <c r="Z24" s="167" t="e">
        <f t="shared" ca="1" si="0"/>
        <v>#N/A</v>
      </c>
      <c r="AA24" s="168" t="e">
        <f t="shared" ca="1" si="1"/>
        <v>#N/A</v>
      </c>
      <c r="AB24" s="167">
        <f t="shared" ca="1" si="2"/>
        <v>0</v>
      </c>
      <c r="AC24" s="168">
        <f t="shared" ca="1" si="3"/>
        <v>0</v>
      </c>
      <c r="AD24" s="191">
        <f t="shared" ca="1" si="4"/>
        <v>46259.633973495373</v>
      </c>
      <c r="AE24" s="167">
        <f t="shared" si="5"/>
        <v>0</v>
      </c>
      <c r="AF24" s="168">
        <f t="shared" si="6"/>
        <v>0</v>
      </c>
      <c r="AG24" s="168">
        <f t="shared" si="7"/>
        <v>0</v>
      </c>
      <c r="AH24" s="81" t="e" cm="1">
        <f t="array" aca="1" ref="AH24" ca="1">IF((AD24) &lt; (INDEX(ResponseSLA[#All],(MATCH((G24),ResponseSLA[Priority],0))+1,3)),"YES","No")</f>
        <v>#N/A</v>
      </c>
      <c r="AI24" s="81" t="str">
        <f>_xlfn.IFNA(IF(AE24 &lt; (INDEX(SLATable[Minimum SLA],MATCH(G24,SLATable[Priority],0))),"YES","NO"),"")</f>
        <v/>
      </c>
      <c r="AJ24" s="19" t="str">
        <f>_xlfn.IFNA(IF(AE24 &lt; (INDEX(SLATable[Maximum SLA],MATCH(G24,SLATable[Priority],0))),"YES","NO"),"")</f>
        <v/>
      </c>
    </row>
    <row r="25" spans="1:36" ht="15" customHeight="1">
      <c r="A25" s="78"/>
      <c r="B25" s="78"/>
      <c r="C25" s="78"/>
      <c r="D25" s="78"/>
      <c r="E25" s="78"/>
      <c r="F25" s="78"/>
      <c r="G25" s="78"/>
      <c r="H25" s="86"/>
      <c r="I25" s="78"/>
      <c r="J25" s="86"/>
      <c r="K25" s="277"/>
      <c r="L25" s="277"/>
      <c r="M25" s="277"/>
      <c r="N25" s="277"/>
      <c r="O25" s="80"/>
      <c r="P25" s="80"/>
      <c r="Q25" s="78"/>
      <c r="R25" s="78"/>
      <c r="S25" s="78"/>
      <c r="T25" s="78"/>
      <c r="U25" s="78"/>
      <c r="V25" s="78"/>
      <c r="W25" s="78"/>
      <c r="X25" s="78"/>
      <c r="Y25" s="78"/>
      <c r="Z25" s="167" t="e">
        <f t="shared" ca="1" si="0"/>
        <v>#N/A</v>
      </c>
      <c r="AA25" s="168" t="e">
        <f t="shared" ca="1" si="1"/>
        <v>#N/A</v>
      </c>
      <c r="AB25" s="167">
        <f t="shared" ca="1" si="2"/>
        <v>0</v>
      </c>
      <c r="AC25" s="168">
        <f t="shared" ca="1" si="3"/>
        <v>0</v>
      </c>
      <c r="AD25" s="191">
        <f t="shared" ca="1" si="4"/>
        <v>46259.633973495373</v>
      </c>
      <c r="AE25" s="167">
        <f t="shared" si="5"/>
        <v>0</v>
      </c>
      <c r="AF25" s="168">
        <f t="shared" si="6"/>
        <v>0</v>
      </c>
      <c r="AG25" s="168">
        <f t="shared" si="7"/>
        <v>0</v>
      </c>
      <c r="AH25" s="81" t="e" cm="1">
        <f t="array" aca="1" ref="AH25" ca="1">IF((AD25) &lt; (INDEX(ResponseSLA[#All],(MATCH((G25),ResponseSLA[Priority],0))+1,3)),"YES","No")</f>
        <v>#N/A</v>
      </c>
      <c r="AI25" s="81" t="str">
        <f>_xlfn.IFNA(IF(AE25 &lt; (INDEX(SLATable[Minimum SLA],MATCH(G25,SLATable[Priority],0))),"YES","NO"),"")</f>
        <v/>
      </c>
      <c r="AJ25" s="19" t="str">
        <f>_xlfn.IFNA(IF(AE25 &lt; (INDEX(SLATable[Maximum SLA],MATCH(G25,SLATable[Priority],0))),"YES","NO"),"")</f>
        <v/>
      </c>
    </row>
    <row r="26" spans="1:36" ht="15" customHeight="1">
      <c r="A26" s="78"/>
      <c r="B26" s="78"/>
      <c r="C26" s="78"/>
      <c r="D26" s="78"/>
      <c r="E26" s="78"/>
      <c r="F26" s="78"/>
      <c r="G26" s="78"/>
      <c r="H26" s="86"/>
      <c r="I26" s="78"/>
      <c r="J26" s="86"/>
      <c r="K26" s="277"/>
      <c r="L26" s="277"/>
      <c r="M26" s="277"/>
      <c r="N26" s="277"/>
      <c r="O26" s="80"/>
      <c r="P26" s="80"/>
      <c r="Q26" s="78"/>
      <c r="R26" s="78"/>
      <c r="S26" s="78"/>
      <c r="T26" s="78"/>
      <c r="U26" s="78"/>
      <c r="V26" s="78"/>
      <c r="W26" s="78"/>
      <c r="X26" s="78"/>
      <c r="Y26" s="78"/>
      <c r="Z26" s="167" t="e">
        <f t="shared" ca="1" si="0"/>
        <v>#N/A</v>
      </c>
      <c r="AA26" s="168" t="e">
        <f t="shared" ca="1" si="1"/>
        <v>#N/A</v>
      </c>
      <c r="AB26" s="167">
        <f t="shared" ca="1" si="2"/>
        <v>0</v>
      </c>
      <c r="AC26" s="168">
        <f t="shared" ca="1" si="3"/>
        <v>0</v>
      </c>
      <c r="AD26" s="191">
        <f t="shared" ca="1" si="4"/>
        <v>46259.633973495373</v>
      </c>
      <c r="AE26" s="167">
        <f t="shared" si="5"/>
        <v>0</v>
      </c>
      <c r="AF26" s="168">
        <f t="shared" si="6"/>
        <v>0</v>
      </c>
      <c r="AG26" s="168">
        <f t="shared" si="7"/>
        <v>0</v>
      </c>
      <c r="AH26" s="81" t="e" cm="1">
        <f t="array" aca="1" ref="AH26" ca="1">IF((AD26) &lt; (INDEX(ResponseSLA[#All],(MATCH((G26),ResponseSLA[Priority],0))+1,3)),"YES","No")</f>
        <v>#N/A</v>
      </c>
      <c r="AI26" s="81" t="str">
        <f>_xlfn.IFNA(IF(AE26 &lt; (INDEX(SLATable[Minimum SLA],MATCH(G26,SLATable[Priority],0))),"YES","NO"),"")</f>
        <v/>
      </c>
      <c r="AJ26" s="19" t="str">
        <f>_xlfn.IFNA(IF(AE26 &lt; (INDEX(SLATable[Maximum SLA],MATCH(G26,SLATable[Priority],0))),"YES","NO"),"")</f>
        <v/>
      </c>
    </row>
    <row r="27" spans="1:36" ht="15" customHeight="1">
      <c r="A27" s="78"/>
      <c r="B27" s="78"/>
      <c r="C27" s="78"/>
      <c r="D27" s="78"/>
      <c r="E27" s="78"/>
      <c r="F27" s="78"/>
      <c r="G27" s="78"/>
      <c r="H27" s="86"/>
      <c r="I27" s="78"/>
      <c r="J27" s="86"/>
      <c r="K27" s="277"/>
      <c r="L27" s="277"/>
      <c r="M27" s="277"/>
      <c r="N27" s="277"/>
      <c r="O27" s="80"/>
      <c r="P27" s="80"/>
      <c r="Q27" s="78"/>
      <c r="R27" s="78"/>
      <c r="S27" s="78"/>
      <c r="T27" s="78"/>
      <c r="U27" s="78"/>
      <c r="V27" s="78"/>
      <c r="W27" s="78"/>
      <c r="X27" s="78"/>
      <c r="Y27" s="78"/>
      <c r="Z27" s="167" t="e">
        <f t="shared" ca="1" si="0"/>
        <v>#N/A</v>
      </c>
      <c r="AA27" s="168" t="e">
        <f t="shared" ca="1" si="1"/>
        <v>#N/A</v>
      </c>
      <c r="AB27" s="167">
        <f t="shared" ca="1" si="2"/>
        <v>0</v>
      </c>
      <c r="AC27" s="168">
        <f t="shared" ca="1" si="3"/>
        <v>0</v>
      </c>
      <c r="AD27" s="191">
        <f t="shared" ca="1" si="4"/>
        <v>46259.633973495373</v>
      </c>
      <c r="AE27" s="167">
        <f t="shared" si="5"/>
        <v>0</v>
      </c>
      <c r="AF27" s="168">
        <f t="shared" si="6"/>
        <v>0</v>
      </c>
      <c r="AG27" s="168">
        <f t="shared" si="7"/>
        <v>0</v>
      </c>
      <c r="AH27" s="81" t="e" cm="1">
        <f t="array" aca="1" ref="AH27" ca="1">IF((AD27) &lt; (INDEX(ResponseSLA[#All],(MATCH((G27),ResponseSLA[Priority],0))+1,3)),"YES","No")</f>
        <v>#N/A</v>
      </c>
      <c r="AI27" s="81" t="str">
        <f>_xlfn.IFNA(IF(AE27 &lt; (INDEX(SLATable[Minimum SLA],MATCH(G27,SLATable[Priority],0))),"YES","NO"),"")</f>
        <v/>
      </c>
      <c r="AJ27" s="19" t="str">
        <f>_xlfn.IFNA(IF(AE27 &lt; (INDEX(SLATable[Maximum SLA],MATCH(G27,SLATable[Priority],0))),"YES","NO"),"")</f>
        <v/>
      </c>
    </row>
    <row r="28" spans="1:36" ht="15" customHeight="1">
      <c r="A28" s="78"/>
      <c r="B28" s="78"/>
      <c r="C28" s="78"/>
      <c r="D28" s="78"/>
      <c r="E28" s="78"/>
      <c r="F28" s="78"/>
      <c r="G28" s="78"/>
      <c r="H28" s="86"/>
      <c r="I28" s="78"/>
      <c r="J28" s="86"/>
      <c r="K28" s="277"/>
      <c r="L28" s="277"/>
      <c r="M28" s="277"/>
      <c r="N28" s="277"/>
      <c r="O28" s="80"/>
      <c r="P28" s="80"/>
      <c r="Q28" s="78"/>
      <c r="R28" s="78"/>
      <c r="S28" s="78"/>
      <c r="T28" s="78"/>
      <c r="U28" s="78"/>
      <c r="V28" s="78"/>
      <c r="W28" s="78"/>
      <c r="X28" s="78"/>
      <c r="Y28" s="78"/>
      <c r="Z28" s="167" t="e">
        <f t="shared" ca="1" si="0"/>
        <v>#N/A</v>
      </c>
      <c r="AA28" s="168" t="e">
        <f t="shared" ca="1" si="1"/>
        <v>#N/A</v>
      </c>
      <c r="AB28" s="167">
        <f t="shared" ca="1" si="2"/>
        <v>0</v>
      </c>
      <c r="AC28" s="168">
        <f t="shared" ca="1" si="3"/>
        <v>0</v>
      </c>
      <c r="AD28" s="191">
        <f t="shared" ca="1" si="4"/>
        <v>46259.633973495373</v>
      </c>
      <c r="AE28" s="167">
        <f t="shared" si="5"/>
        <v>0</v>
      </c>
      <c r="AF28" s="168">
        <f t="shared" si="6"/>
        <v>0</v>
      </c>
      <c r="AG28" s="168">
        <f t="shared" si="7"/>
        <v>0</v>
      </c>
      <c r="AH28" s="81" t="e" cm="1">
        <f t="array" aca="1" ref="AH28" ca="1">IF((AD28) &lt; (INDEX(ResponseSLA[#All],(MATCH((G28),ResponseSLA[Priority],0))+1,3)),"YES","No")</f>
        <v>#N/A</v>
      </c>
      <c r="AI28" s="81" t="str">
        <f>_xlfn.IFNA(IF(AE28 &lt; (INDEX(SLATable[Minimum SLA],MATCH(G28,SLATable[Priority],0))),"YES","NO"),"")</f>
        <v/>
      </c>
      <c r="AJ28" s="19" t="str">
        <f>_xlfn.IFNA(IF(AE28 &lt; (INDEX(SLATable[Maximum SLA],MATCH(G28,SLATable[Priority],0))),"YES","NO"),"")</f>
        <v/>
      </c>
    </row>
    <row r="29" spans="1:36" ht="15" customHeight="1">
      <c r="A29" s="78"/>
      <c r="B29" s="78"/>
      <c r="C29" s="78"/>
      <c r="D29" s="78"/>
      <c r="E29" s="79"/>
      <c r="F29" s="79"/>
      <c r="G29" s="78"/>
      <c r="H29" s="79"/>
      <c r="I29" s="78"/>
      <c r="J29" s="79"/>
      <c r="K29" s="284"/>
      <c r="L29" s="277"/>
      <c r="M29" s="277"/>
      <c r="N29" s="284"/>
      <c r="O29" s="80"/>
      <c r="P29" s="80"/>
      <c r="Q29" s="78"/>
      <c r="R29" s="78"/>
      <c r="S29" s="78"/>
      <c r="T29" s="78"/>
      <c r="U29" s="78"/>
      <c r="V29" s="78"/>
      <c r="W29" s="78"/>
      <c r="X29" s="78"/>
      <c r="Y29" s="78"/>
      <c r="Z29" s="167" t="e">
        <f t="shared" ca="1" si="0"/>
        <v>#N/A</v>
      </c>
      <c r="AA29" s="168" t="e">
        <f t="shared" ca="1" si="1"/>
        <v>#N/A</v>
      </c>
      <c r="AB29" s="167">
        <f t="shared" ca="1" si="2"/>
        <v>0</v>
      </c>
      <c r="AC29" s="168">
        <f t="shared" ca="1" si="3"/>
        <v>0</v>
      </c>
      <c r="AD29" s="191">
        <f t="shared" ca="1" si="4"/>
        <v>46259.633973495373</v>
      </c>
      <c r="AE29" s="167">
        <f t="shared" si="5"/>
        <v>0</v>
      </c>
      <c r="AF29" s="168">
        <f t="shared" si="6"/>
        <v>0</v>
      </c>
      <c r="AG29" s="168">
        <f t="shared" si="7"/>
        <v>0</v>
      </c>
      <c r="AH29" s="81" t="e" cm="1">
        <f t="array" aca="1" ref="AH29" ca="1">IF((AD29) &lt; (INDEX(ResponseSLA[#All],(MATCH((G29),ResponseSLA[Priority],0))+1,3)),"YES","No")</f>
        <v>#N/A</v>
      </c>
      <c r="AI29" s="81" t="str">
        <f>_xlfn.IFNA(IF(AE29 &lt; (INDEX(SLATable[Minimum SLA],MATCH(G29,SLATable[Priority],0))),"YES","NO"),"")</f>
        <v/>
      </c>
      <c r="AJ29" s="19" t="str">
        <f>_xlfn.IFNA(IF(AE29 &lt; (INDEX(SLATable[Maximum SLA],MATCH(G29,SLATable[Priority],0))),"YES","NO"),"")</f>
        <v/>
      </c>
    </row>
    <row r="30" spans="1:36" ht="15" customHeight="1">
      <c r="A30" s="78"/>
      <c r="B30" s="78"/>
      <c r="C30" s="78"/>
      <c r="D30" s="78"/>
      <c r="E30" s="79"/>
      <c r="F30" s="79"/>
      <c r="G30" s="78"/>
      <c r="H30" s="79"/>
      <c r="I30" s="78"/>
      <c r="J30" s="79"/>
      <c r="K30" s="284"/>
      <c r="L30" s="277"/>
      <c r="M30" s="277"/>
      <c r="N30" s="284"/>
      <c r="O30" s="80"/>
      <c r="P30" s="80"/>
      <c r="Q30" s="78"/>
      <c r="R30" s="78"/>
      <c r="S30" s="78"/>
      <c r="T30" s="78"/>
      <c r="U30" s="78"/>
      <c r="V30" s="78"/>
      <c r="W30" s="78"/>
      <c r="X30" s="78"/>
      <c r="Y30" s="78"/>
      <c r="Z30" s="167" t="e">
        <f t="shared" ca="1" si="0"/>
        <v>#N/A</v>
      </c>
      <c r="AA30" s="168" t="e">
        <f t="shared" ca="1" si="1"/>
        <v>#N/A</v>
      </c>
      <c r="AB30" s="167">
        <f t="shared" ca="1" si="2"/>
        <v>0</v>
      </c>
      <c r="AC30" s="168">
        <f t="shared" ca="1" si="3"/>
        <v>0</v>
      </c>
      <c r="AD30" s="191">
        <f t="shared" ca="1" si="4"/>
        <v>46259.633973495373</v>
      </c>
      <c r="AE30" s="167">
        <f t="shared" si="5"/>
        <v>0</v>
      </c>
      <c r="AF30" s="168">
        <f t="shared" si="6"/>
        <v>0</v>
      </c>
      <c r="AG30" s="168">
        <f t="shared" si="7"/>
        <v>0</v>
      </c>
      <c r="AH30" s="81" t="e" cm="1">
        <f t="array" aca="1" ref="AH30" ca="1">IF((AD30) &lt; (INDEX(ResponseSLA[#All],(MATCH((G30),ResponseSLA[Priority],0))+1,3)),"YES","No")</f>
        <v>#N/A</v>
      </c>
      <c r="AI30" s="81" t="str">
        <f>_xlfn.IFNA(IF(AE30 &lt; (INDEX(SLATable[Minimum SLA],MATCH(G30,SLATable[Priority],0))),"YES","NO"),"")</f>
        <v/>
      </c>
      <c r="AJ30" s="19" t="str">
        <f>_xlfn.IFNA(IF(AE30 &lt; (INDEX(SLATable[Maximum SLA],MATCH(G30,SLATable[Priority],0))),"YES","NO"),"")</f>
        <v/>
      </c>
    </row>
    <row r="31" spans="1:36" ht="15" customHeight="1">
      <c r="A31" s="78"/>
      <c r="B31" s="78"/>
      <c r="C31" s="78"/>
      <c r="D31" s="78"/>
      <c r="E31" s="78"/>
      <c r="F31" s="78"/>
      <c r="G31" s="78"/>
      <c r="H31" s="86"/>
      <c r="I31" s="78"/>
      <c r="J31" s="86"/>
      <c r="K31" s="277"/>
      <c r="L31" s="277"/>
      <c r="M31" s="277"/>
      <c r="N31" s="277"/>
      <c r="O31" s="80"/>
      <c r="P31" s="80"/>
      <c r="Q31" s="78"/>
      <c r="R31" s="78"/>
      <c r="S31" s="78"/>
      <c r="T31" s="78"/>
      <c r="U31" s="78"/>
      <c r="V31" s="78"/>
      <c r="W31" s="78"/>
      <c r="X31" s="78"/>
      <c r="Y31" s="78"/>
      <c r="Z31" s="167" t="e">
        <f t="shared" ca="1" si="0"/>
        <v>#N/A</v>
      </c>
      <c r="AA31" s="168" t="e">
        <f t="shared" ca="1" si="1"/>
        <v>#N/A</v>
      </c>
      <c r="AB31" s="167">
        <f t="shared" ca="1" si="2"/>
        <v>0</v>
      </c>
      <c r="AC31" s="168">
        <f t="shared" ca="1" si="3"/>
        <v>0</v>
      </c>
      <c r="AD31" s="191">
        <f t="shared" ca="1" si="4"/>
        <v>46259.633973495373</v>
      </c>
      <c r="AE31" s="167">
        <f t="shared" si="5"/>
        <v>0</v>
      </c>
      <c r="AF31" s="168">
        <f t="shared" si="6"/>
        <v>0</v>
      </c>
      <c r="AG31" s="168">
        <f t="shared" si="7"/>
        <v>0</v>
      </c>
      <c r="AH31" s="81" t="e" cm="1">
        <f t="array" aca="1" ref="AH31" ca="1">IF((AD31) &lt; (INDEX(ResponseSLA[#All],(MATCH((G31),ResponseSLA[Priority],0))+1,3)),"YES","No")</f>
        <v>#N/A</v>
      </c>
      <c r="AI31" s="81" t="str">
        <f>_xlfn.IFNA(IF(AE31 &lt; (INDEX(SLATable[Minimum SLA],MATCH(G31,SLATable[Priority],0))),"YES","NO"),"")</f>
        <v/>
      </c>
      <c r="AJ31" s="19" t="str">
        <f>_xlfn.IFNA(IF(AE31 &lt; (INDEX(SLATable[Maximum SLA],MATCH(G31,SLATable[Priority],0))),"YES","NO"),"")</f>
        <v/>
      </c>
    </row>
    <row r="32" spans="1:36" ht="15" customHeight="1">
      <c r="A32" s="78"/>
      <c r="B32" s="78"/>
      <c r="C32" s="78"/>
      <c r="D32" s="78"/>
      <c r="E32" s="78"/>
      <c r="F32" s="78"/>
      <c r="G32" s="78"/>
      <c r="H32" s="86"/>
      <c r="I32" s="78"/>
      <c r="J32" s="86"/>
      <c r="K32" s="277"/>
      <c r="L32" s="277"/>
      <c r="M32" s="277"/>
      <c r="N32" s="277"/>
      <c r="O32" s="80"/>
      <c r="P32" s="80"/>
      <c r="Q32" s="78"/>
      <c r="R32" s="78"/>
      <c r="S32" s="78"/>
      <c r="T32" s="78"/>
      <c r="U32" s="78"/>
      <c r="V32" s="78"/>
      <c r="W32" s="78"/>
      <c r="X32" s="78"/>
      <c r="Y32" s="78"/>
      <c r="Z32" s="167" t="e">
        <f t="shared" ca="1" si="0"/>
        <v>#N/A</v>
      </c>
      <c r="AA32" s="168" t="e">
        <f t="shared" ca="1" si="1"/>
        <v>#N/A</v>
      </c>
      <c r="AB32" s="167">
        <f t="shared" ca="1" si="2"/>
        <v>0</v>
      </c>
      <c r="AC32" s="168">
        <f t="shared" ca="1" si="3"/>
        <v>0</v>
      </c>
      <c r="AD32" s="191">
        <f t="shared" ca="1" si="4"/>
        <v>46259.633973495373</v>
      </c>
      <c r="AE32" s="167">
        <f t="shared" si="5"/>
        <v>0</v>
      </c>
      <c r="AF32" s="168">
        <f t="shared" si="6"/>
        <v>0</v>
      </c>
      <c r="AG32" s="168">
        <f t="shared" si="7"/>
        <v>0</v>
      </c>
      <c r="AH32" s="81" t="e" cm="1">
        <f t="array" aca="1" ref="AH32" ca="1">IF((AD32) &lt; (INDEX(ResponseSLA[#All],(MATCH((G32),ResponseSLA[Priority],0))+1,3)),"YES","No")</f>
        <v>#N/A</v>
      </c>
      <c r="AI32" s="81" t="str">
        <f>_xlfn.IFNA(IF(AE32 &lt; (INDEX(SLATable[Minimum SLA],MATCH(G32,SLATable[Priority],0))),"YES","NO"),"")</f>
        <v/>
      </c>
      <c r="AJ32" s="19" t="str">
        <f>_xlfn.IFNA(IF(AE32 &lt; (INDEX(SLATable[Maximum SLA],MATCH(G32,SLATable[Priority],0))),"YES","NO"),"")</f>
        <v/>
      </c>
    </row>
    <row r="33" spans="1:36" ht="15" customHeight="1">
      <c r="A33" s="78"/>
      <c r="B33" s="78"/>
      <c r="C33" s="78"/>
      <c r="D33" s="78"/>
      <c r="E33" s="79"/>
      <c r="F33" s="79"/>
      <c r="G33" s="78"/>
      <c r="H33" s="79"/>
      <c r="I33" s="78"/>
      <c r="J33" s="79"/>
      <c r="K33" s="284"/>
      <c r="L33" s="277"/>
      <c r="M33" s="277"/>
      <c r="N33" s="284"/>
      <c r="O33" s="80"/>
      <c r="P33" s="80"/>
      <c r="Q33" s="78"/>
      <c r="R33" s="78"/>
      <c r="S33" s="78"/>
      <c r="T33" s="78"/>
      <c r="U33" s="78"/>
      <c r="V33" s="78"/>
      <c r="W33" s="78"/>
      <c r="X33" s="78"/>
      <c r="Y33" s="78"/>
      <c r="Z33" s="167" t="e">
        <f t="shared" ca="1" si="0"/>
        <v>#N/A</v>
      </c>
      <c r="AA33" s="168" t="e">
        <f t="shared" ca="1" si="1"/>
        <v>#N/A</v>
      </c>
      <c r="AB33" s="167">
        <f t="shared" ca="1" si="2"/>
        <v>0</v>
      </c>
      <c r="AC33" s="168">
        <f t="shared" ca="1" si="3"/>
        <v>0</v>
      </c>
      <c r="AD33" s="191">
        <f t="shared" ca="1" si="4"/>
        <v>46259.633973495373</v>
      </c>
      <c r="AE33" s="167">
        <f t="shared" si="5"/>
        <v>0</v>
      </c>
      <c r="AF33" s="168">
        <f t="shared" si="6"/>
        <v>0</v>
      </c>
      <c r="AG33" s="168">
        <f t="shared" si="7"/>
        <v>0</v>
      </c>
      <c r="AH33" s="81" t="e" cm="1">
        <f t="array" aca="1" ref="AH33" ca="1">IF((AD33) &lt; (INDEX(ResponseSLA[#All],(MATCH((G33),ResponseSLA[Priority],0))+1,3)),"YES","No")</f>
        <v>#N/A</v>
      </c>
      <c r="AI33" s="81" t="str">
        <f>_xlfn.IFNA(IF(AE33 &lt; (INDEX(SLATable[Minimum SLA],MATCH(G33,SLATable[Priority],0))),"YES","NO"),"")</f>
        <v/>
      </c>
      <c r="AJ33" s="19" t="str">
        <f>_xlfn.IFNA(IF(AE33 &lt; (INDEX(SLATable[Maximum SLA],MATCH(G33,SLATable[Priority],0))),"YES","NO"),"")</f>
        <v/>
      </c>
    </row>
    <row r="34" spans="1:36" ht="15" customHeight="1">
      <c r="A34" s="78"/>
      <c r="B34" s="78"/>
      <c r="C34" s="78"/>
      <c r="D34" s="78"/>
      <c r="E34" s="78"/>
      <c r="F34" s="78"/>
      <c r="G34" s="78"/>
      <c r="H34" s="86"/>
      <c r="I34" s="78"/>
      <c r="J34" s="86"/>
      <c r="K34" s="277"/>
      <c r="L34" s="277"/>
      <c r="M34" s="277"/>
      <c r="N34" s="277"/>
      <c r="O34" s="80"/>
      <c r="P34" s="80"/>
      <c r="Q34" s="78"/>
      <c r="R34" s="78"/>
      <c r="S34" s="78"/>
      <c r="T34" s="78"/>
      <c r="U34" s="78"/>
      <c r="V34" s="78"/>
      <c r="W34" s="78"/>
      <c r="X34" s="78"/>
      <c r="Y34" s="78"/>
      <c r="Z34" s="167" t="e">
        <f t="shared" ca="1" si="0"/>
        <v>#N/A</v>
      </c>
      <c r="AA34" s="168" t="e">
        <f t="shared" ca="1" si="1"/>
        <v>#N/A</v>
      </c>
      <c r="AB34" s="167">
        <f t="shared" ca="1" si="2"/>
        <v>0</v>
      </c>
      <c r="AC34" s="168">
        <f t="shared" ca="1" si="3"/>
        <v>0</v>
      </c>
      <c r="AD34" s="191">
        <f t="shared" ca="1" si="4"/>
        <v>46259.633973495373</v>
      </c>
      <c r="AE34" s="167">
        <f t="shared" si="5"/>
        <v>0</v>
      </c>
      <c r="AF34" s="168">
        <f t="shared" si="6"/>
        <v>0</v>
      </c>
      <c r="AG34" s="168">
        <f t="shared" si="7"/>
        <v>0</v>
      </c>
      <c r="AH34" s="81" t="e" cm="1">
        <f t="array" aca="1" ref="AH34" ca="1">IF((AD34) &lt; (INDEX(ResponseSLA[#All],(MATCH((G34),ResponseSLA[Priority],0))+1,3)),"YES","No")</f>
        <v>#N/A</v>
      </c>
      <c r="AI34" s="81" t="str">
        <f>_xlfn.IFNA(IF(AE34 &lt; (INDEX(SLATable[Minimum SLA],MATCH(G34,SLATable[Priority],0))),"YES","NO"),"")</f>
        <v/>
      </c>
      <c r="AJ34" s="19" t="str">
        <f>_xlfn.IFNA(IF(AE34 &lt; (INDEX(SLATable[Maximum SLA],MATCH(G34,SLATable[Priority],0))),"YES","NO"),"")</f>
        <v/>
      </c>
    </row>
    <row r="35" spans="1:36" ht="15" customHeight="1">
      <c r="A35" s="78"/>
      <c r="B35" s="78"/>
      <c r="C35" s="78"/>
      <c r="D35" s="78"/>
      <c r="E35" s="79"/>
      <c r="F35" s="79"/>
      <c r="G35" s="78"/>
      <c r="H35" s="79"/>
      <c r="I35" s="78"/>
      <c r="J35" s="79"/>
      <c r="K35" s="284"/>
      <c r="L35" s="277"/>
      <c r="M35" s="277"/>
      <c r="N35" s="284"/>
      <c r="O35" s="80"/>
      <c r="P35" s="80"/>
      <c r="Q35" s="78"/>
      <c r="R35" s="78"/>
      <c r="S35" s="78"/>
      <c r="T35" s="78"/>
      <c r="U35" s="78"/>
      <c r="V35" s="78"/>
      <c r="W35" s="78"/>
      <c r="X35" s="78"/>
      <c r="Y35" s="78"/>
      <c r="Z35" s="167" t="e">
        <f t="shared" ca="1" si="0"/>
        <v>#N/A</v>
      </c>
      <c r="AA35" s="168" t="e">
        <f t="shared" ca="1" si="1"/>
        <v>#N/A</v>
      </c>
      <c r="AB35" s="167">
        <f t="shared" ca="1" si="2"/>
        <v>0</v>
      </c>
      <c r="AC35" s="168">
        <f t="shared" ca="1" si="3"/>
        <v>0</v>
      </c>
      <c r="AD35" s="191">
        <f t="shared" ca="1" si="4"/>
        <v>46259.633973495373</v>
      </c>
      <c r="AE35" s="167">
        <f t="shared" si="5"/>
        <v>0</v>
      </c>
      <c r="AF35" s="168">
        <f t="shared" si="6"/>
        <v>0</v>
      </c>
      <c r="AG35" s="168">
        <f t="shared" si="7"/>
        <v>0</v>
      </c>
      <c r="AH35" s="81" t="e" cm="1">
        <f t="array" aca="1" ref="AH35" ca="1">IF((AD35) &lt; (INDEX(ResponseSLA[#All],(MATCH((G35),ResponseSLA[Priority],0))+1,3)),"YES","No")</f>
        <v>#N/A</v>
      </c>
      <c r="AI35" s="81" t="str">
        <f>_xlfn.IFNA(IF(AE35 &lt; (INDEX(SLATable[Minimum SLA],MATCH(G35,SLATable[Priority],0))),"YES","NO"),"")</f>
        <v/>
      </c>
      <c r="AJ35" s="19" t="str">
        <f>_xlfn.IFNA(IF(AE35 &lt; (INDEX(SLATable[Maximum SLA],MATCH(G35,SLATable[Priority],0))),"YES","NO"),"")</f>
        <v/>
      </c>
    </row>
    <row r="36" spans="1:36" ht="15" customHeight="1">
      <c r="A36" s="78"/>
      <c r="B36" s="78"/>
      <c r="C36" s="78"/>
      <c r="D36" s="78"/>
      <c r="E36" s="79"/>
      <c r="F36" s="79"/>
      <c r="G36" s="78"/>
      <c r="H36" s="79"/>
      <c r="I36" s="78"/>
      <c r="J36" s="79"/>
      <c r="K36" s="284"/>
      <c r="L36" s="277"/>
      <c r="M36" s="277"/>
      <c r="N36" s="284"/>
      <c r="O36" s="80"/>
      <c r="P36" s="80"/>
      <c r="Q36" s="78"/>
      <c r="R36" s="78"/>
      <c r="S36" s="78"/>
      <c r="T36" s="78"/>
      <c r="U36" s="78"/>
      <c r="V36" s="78"/>
      <c r="W36" s="78"/>
      <c r="X36" s="78"/>
      <c r="Y36" s="78"/>
      <c r="Z36" s="167" t="e">
        <f t="shared" ca="1" si="0"/>
        <v>#N/A</v>
      </c>
      <c r="AA36" s="168" t="e">
        <f t="shared" ca="1" si="1"/>
        <v>#N/A</v>
      </c>
      <c r="AB36" s="167">
        <f t="shared" ca="1" si="2"/>
        <v>0</v>
      </c>
      <c r="AC36" s="168">
        <f t="shared" ca="1" si="3"/>
        <v>0</v>
      </c>
      <c r="AD36" s="191">
        <f t="shared" ca="1" si="4"/>
        <v>46259.633973495373</v>
      </c>
      <c r="AE36" s="167">
        <f t="shared" si="5"/>
        <v>0</v>
      </c>
      <c r="AF36" s="168">
        <f t="shared" si="6"/>
        <v>0</v>
      </c>
      <c r="AG36" s="168">
        <f t="shared" si="7"/>
        <v>0</v>
      </c>
      <c r="AH36" s="81" t="e" cm="1">
        <f t="array" aca="1" ref="AH36" ca="1">IF((AD36) &lt; (INDEX(ResponseSLA[#All],(MATCH((G36),ResponseSLA[Priority],0))+1,3)),"YES","No")</f>
        <v>#N/A</v>
      </c>
      <c r="AI36" s="81" t="str">
        <f>_xlfn.IFNA(IF(AE36 &lt; (INDEX(SLATable[Minimum SLA],MATCH(G36,SLATable[Priority],0))),"YES","NO"),"")</f>
        <v/>
      </c>
      <c r="AJ36" s="19" t="str">
        <f>_xlfn.IFNA(IF(AE36 &lt; (INDEX(SLATable[Maximum SLA],MATCH(G36,SLATable[Priority],0))),"YES","NO"),"")</f>
        <v/>
      </c>
    </row>
    <row r="37" spans="1:36" ht="15" customHeight="1">
      <c r="A37" s="78"/>
      <c r="B37" s="78"/>
      <c r="C37" s="78"/>
      <c r="D37" s="78"/>
      <c r="E37" s="79"/>
      <c r="F37" s="79"/>
      <c r="G37" s="78"/>
      <c r="H37" s="79"/>
      <c r="I37" s="78"/>
      <c r="J37" s="79"/>
      <c r="K37" s="284"/>
      <c r="L37" s="277"/>
      <c r="M37" s="277"/>
      <c r="N37" s="284"/>
      <c r="O37" s="80"/>
      <c r="P37" s="80"/>
      <c r="Q37" s="78"/>
      <c r="R37" s="78"/>
      <c r="S37" s="78"/>
      <c r="T37" s="78"/>
      <c r="U37" s="78"/>
      <c r="V37" s="78"/>
      <c r="W37" s="78"/>
      <c r="X37" s="78"/>
      <c r="Y37" s="78"/>
      <c r="Z37" s="167" t="e">
        <f t="shared" ca="1" si="0"/>
        <v>#N/A</v>
      </c>
      <c r="AA37" s="168" t="e">
        <f t="shared" ca="1" si="1"/>
        <v>#N/A</v>
      </c>
      <c r="AB37" s="167">
        <f t="shared" ca="1" si="2"/>
        <v>0</v>
      </c>
      <c r="AC37" s="168">
        <f t="shared" ca="1" si="3"/>
        <v>0</v>
      </c>
      <c r="AD37" s="191">
        <f t="shared" ca="1" si="4"/>
        <v>46259.633973495373</v>
      </c>
      <c r="AE37" s="167">
        <f t="shared" si="5"/>
        <v>0</v>
      </c>
      <c r="AF37" s="168">
        <f t="shared" si="6"/>
        <v>0</v>
      </c>
      <c r="AG37" s="168">
        <f t="shared" si="7"/>
        <v>0</v>
      </c>
      <c r="AH37" s="81" t="e" cm="1">
        <f t="array" aca="1" ref="AH37" ca="1">IF((AD37) &lt; (INDEX(ResponseSLA[#All],(MATCH((G37),ResponseSLA[Priority],0))+1,3)),"YES","No")</f>
        <v>#N/A</v>
      </c>
      <c r="AI37" s="81" t="str">
        <f>_xlfn.IFNA(IF(AE37 &lt; (INDEX(SLATable[Minimum SLA],MATCH(G37,SLATable[Priority],0))),"YES","NO"),"")</f>
        <v/>
      </c>
      <c r="AJ37" s="19" t="str">
        <f>_xlfn.IFNA(IF(AE37 &lt; (INDEX(SLATable[Maximum SLA],MATCH(G37,SLATable[Priority],0))),"YES","NO"),"")</f>
        <v/>
      </c>
    </row>
    <row r="38" spans="1:36" ht="15" customHeight="1">
      <c r="A38" s="78"/>
      <c r="B38" s="78"/>
      <c r="C38" s="78"/>
      <c r="D38" s="78"/>
      <c r="E38" s="79"/>
      <c r="F38" s="79"/>
      <c r="G38" s="78"/>
      <c r="H38" s="79"/>
      <c r="I38" s="78"/>
      <c r="J38" s="79"/>
      <c r="K38" s="284"/>
      <c r="L38" s="277"/>
      <c r="M38" s="277"/>
      <c r="N38" s="284"/>
      <c r="O38" s="80"/>
      <c r="P38" s="80"/>
      <c r="Q38" s="78"/>
      <c r="R38" s="78"/>
      <c r="S38" s="78"/>
      <c r="T38" s="78"/>
      <c r="U38" s="78"/>
      <c r="V38" s="78"/>
      <c r="W38" s="78"/>
      <c r="X38" s="78"/>
      <c r="Y38" s="78"/>
      <c r="Z38" s="167" t="e">
        <f t="shared" ca="1" si="0"/>
        <v>#N/A</v>
      </c>
      <c r="AA38" s="168" t="e">
        <f t="shared" ca="1" si="1"/>
        <v>#N/A</v>
      </c>
      <c r="AB38" s="167">
        <f t="shared" ca="1" si="2"/>
        <v>0</v>
      </c>
      <c r="AC38" s="168">
        <f t="shared" ca="1" si="3"/>
        <v>0</v>
      </c>
      <c r="AD38" s="191">
        <f t="shared" ca="1" si="4"/>
        <v>46259.633973495373</v>
      </c>
      <c r="AE38" s="167">
        <f t="shared" si="5"/>
        <v>0</v>
      </c>
      <c r="AF38" s="168">
        <f t="shared" si="6"/>
        <v>0</v>
      </c>
      <c r="AG38" s="168">
        <f t="shared" si="7"/>
        <v>0</v>
      </c>
      <c r="AH38" s="81" t="e" cm="1">
        <f t="array" aca="1" ref="AH38" ca="1">IF((AD38) &lt; (INDEX(ResponseSLA[#All],(MATCH((G38),ResponseSLA[Priority],0))+1,3)),"YES","No")</f>
        <v>#N/A</v>
      </c>
      <c r="AI38" s="81" t="str">
        <f>_xlfn.IFNA(IF(AE38 &lt; (INDEX(SLATable[Minimum SLA],MATCH(G38,SLATable[Priority],0))),"YES","NO"),"")</f>
        <v/>
      </c>
      <c r="AJ38" s="19" t="str">
        <f>_xlfn.IFNA(IF(AE38 &lt; (INDEX(SLATable[Maximum SLA],MATCH(G38,SLATable[Priority],0))),"YES","NO"),"")</f>
        <v/>
      </c>
    </row>
    <row r="39" spans="1:36" ht="15" customHeight="1">
      <c r="A39" s="78"/>
      <c r="B39" s="78"/>
      <c r="C39" s="78"/>
      <c r="D39" s="78"/>
      <c r="E39" s="78"/>
      <c r="F39" s="78"/>
      <c r="G39" s="78"/>
      <c r="H39" s="86"/>
      <c r="I39" s="78"/>
      <c r="J39" s="86"/>
      <c r="K39" s="277"/>
      <c r="L39" s="277"/>
      <c r="M39" s="277"/>
      <c r="N39" s="277"/>
      <c r="O39" s="80"/>
      <c r="P39" s="80"/>
      <c r="Q39" s="78"/>
      <c r="R39" s="78"/>
      <c r="S39" s="78"/>
      <c r="T39" s="78"/>
      <c r="U39" s="78"/>
      <c r="V39" s="78"/>
      <c r="W39" s="78"/>
      <c r="X39" s="78"/>
      <c r="Y39" s="78"/>
      <c r="Z39" s="167" t="e">
        <f t="shared" ca="1" si="0"/>
        <v>#N/A</v>
      </c>
      <c r="AA39" s="168" t="e">
        <f t="shared" ca="1" si="1"/>
        <v>#N/A</v>
      </c>
      <c r="AB39" s="167">
        <f t="shared" ca="1" si="2"/>
        <v>0</v>
      </c>
      <c r="AC39" s="168">
        <f t="shared" ca="1" si="3"/>
        <v>0</v>
      </c>
      <c r="AD39" s="191">
        <f t="shared" ca="1" si="4"/>
        <v>46259.633973495373</v>
      </c>
      <c r="AE39" s="167">
        <f t="shared" si="5"/>
        <v>0</v>
      </c>
      <c r="AF39" s="168">
        <f t="shared" si="6"/>
        <v>0</v>
      </c>
      <c r="AG39" s="168">
        <f t="shared" si="7"/>
        <v>0</v>
      </c>
      <c r="AH39" s="81" t="e" cm="1">
        <f t="array" aca="1" ref="AH39" ca="1">IF((AD39) &lt; (INDEX(ResponseSLA[#All],(MATCH((G39),ResponseSLA[Priority],0))+1,3)),"YES","No")</f>
        <v>#N/A</v>
      </c>
      <c r="AI39" s="81" t="str">
        <f>_xlfn.IFNA(IF(AE39 &lt; (INDEX(SLATable[Minimum SLA],MATCH(G39,SLATable[Priority],0))),"YES","NO"),"")</f>
        <v/>
      </c>
      <c r="AJ39" s="19" t="str">
        <f>_xlfn.IFNA(IF(AE39 &lt; (INDEX(SLATable[Maximum SLA],MATCH(G39,SLATable[Priority],0))),"YES","NO"),"")</f>
        <v/>
      </c>
    </row>
    <row r="40" spans="1:36" ht="15" customHeight="1">
      <c r="A40" s="78"/>
      <c r="B40" s="78"/>
      <c r="C40" s="78"/>
      <c r="D40" s="78"/>
      <c r="E40" s="79"/>
      <c r="F40" s="79"/>
      <c r="G40" s="78"/>
      <c r="H40" s="79"/>
      <c r="I40" s="78"/>
      <c r="J40" s="79"/>
      <c r="K40" s="284"/>
      <c r="L40" s="277"/>
      <c r="M40" s="277"/>
      <c r="N40" s="284"/>
      <c r="O40" s="80"/>
      <c r="P40" s="80"/>
      <c r="Q40" s="78"/>
      <c r="R40" s="78"/>
      <c r="S40" s="78"/>
      <c r="T40" s="78"/>
      <c r="U40" s="78"/>
      <c r="V40" s="78"/>
      <c r="W40" s="78"/>
      <c r="X40" s="78"/>
      <c r="Y40" s="78"/>
      <c r="Z40" s="167" t="e">
        <f t="shared" ca="1" si="0"/>
        <v>#N/A</v>
      </c>
      <c r="AA40" s="168" t="e">
        <f t="shared" ca="1" si="1"/>
        <v>#N/A</v>
      </c>
      <c r="AB40" s="167">
        <f t="shared" ca="1" si="2"/>
        <v>0</v>
      </c>
      <c r="AC40" s="168">
        <f t="shared" ca="1" si="3"/>
        <v>0</v>
      </c>
      <c r="AD40" s="191">
        <f t="shared" ca="1" si="4"/>
        <v>46259.633973495373</v>
      </c>
      <c r="AE40" s="167">
        <f t="shared" si="5"/>
        <v>0</v>
      </c>
      <c r="AF40" s="168">
        <f t="shared" si="6"/>
        <v>0</v>
      </c>
      <c r="AG40" s="168">
        <f t="shared" si="7"/>
        <v>0</v>
      </c>
      <c r="AH40" s="81" t="e" cm="1">
        <f t="array" aca="1" ref="AH40" ca="1">IF((AD40) &lt; (INDEX(ResponseSLA[#All],(MATCH((G40),ResponseSLA[Priority],0))+1,3)),"YES","No")</f>
        <v>#N/A</v>
      </c>
      <c r="AI40" s="81" t="str">
        <f>_xlfn.IFNA(IF(AE40 &lt; (INDEX(SLATable[Minimum SLA],MATCH(G40,SLATable[Priority],0))),"YES","NO"),"")</f>
        <v/>
      </c>
      <c r="AJ40" s="19" t="str">
        <f>_xlfn.IFNA(IF(AE40 &lt; (INDEX(SLATable[Maximum SLA],MATCH(G40,SLATable[Priority],0))),"YES","NO"),"")</f>
        <v/>
      </c>
    </row>
    <row r="41" spans="1:36" ht="15" customHeight="1">
      <c r="A41" s="78"/>
      <c r="B41" s="78"/>
      <c r="C41" s="78"/>
      <c r="D41" s="78"/>
      <c r="E41" s="79"/>
      <c r="F41" s="79"/>
      <c r="G41" s="78"/>
      <c r="H41" s="79"/>
      <c r="I41" s="78"/>
      <c r="J41" s="79"/>
      <c r="K41" s="284"/>
      <c r="L41" s="284"/>
      <c r="M41" s="277"/>
      <c r="N41" s="284"/>
      <c r="O41" s="80"/>
      <c r="P41" s="80"/>
      <c r="Q41" s="78"/>
      <c r="R41" s="78"/>
      <c r="S41" s="78"/>
      <c r="T41" s="78"/>
      <c r="U41" s="78"/>
      <c r="V41" s="78"/>
      <c r="W41" s="78"/>
      <c r="X41" s="78"/>
      <c r="Y41" s="78"/>
      <c r="Z41" s="167" t="e">
        <f t="shared" ca="1" si="0"/>
        <v>#N/A</v>
      </c>
      <c r="AA41" s="168" t="e">
        <f t="shared" ca="1" si="1"/>
        <v>#N/A</v>
      </c>
      <c r="AB41" s="167">
        <f t="shared" ca="1" si="2"/>
        <v>0</v>
      </c>
      <c r="AC41" s="168">
        <f t="shared" ca="1" si="3"/>
        <v>0</v>
      </c>
      <c r="AD41" s="191">
        <f t="shared" ca="1" si="4"/>
        <v>46259.633973495373</v>
      </c>
      <c r="AE41" s="167">
        <f t="shared" si="5"/>
        <v>0</v>
      </c>
      <c r="AF41" s="168">
        <f t="shared" si="6"/>
        <v>0</v>
      </c>
      <c r="AG41" s="168">
        <f t="shared" si="7"/>
        <v>0</v>
      </c>
      <c r="AH41" s="81" t="e" cm="1">
        <f t="array" aca="1" ref="AH41" ca="1">IF((AD41) &lt; (INDEX(ResponseSLA[#All],(MATCH((G41),ResponseSLA[Priority],0))+1,3)),"YES","No")</f>
        <v>#N/A</v>
      </c>
      <c r="AI41" s="81" t="str">
        <f>_xlfn.IFNA(IF(AE41 &lt; (INDEX(SLATable[Minimum SLA],MATCH(G41,SLATable[Priority],0))),"YES","NO"),"")</f>
        <v/>
      </c>
      <c r="AJ41" s="19" t="str">
        <f>_xlfn.IFNA(IF(AE41 &lt; (INDEX(SLATable[Maximum SLA],MATCH(G41,SLATable[Priority],0))),"YES","NO"),"")</f>
        <v/>
      </c>
    </row>
    <row r="42" spans="1:36" ht="15" customHeight="1">
      <c r="A42" s="78"/>
      <c r="B42" s="78"/>
      <c r="C42" s="78"/>
      <c r="D42" s="78"/>
      <c r="E42" s="85"/>
      <c r="F42" s="78"/>
      <c r="G42" s="78"/>
      <c r="H42" s="79"/>
      <c r="I42" s="78"/>
      <c r="J42" s="86"/>
      <c r="K42" s="279"/>
      <c r="L42" s="278"/>
      <c r="M42" s="278"/>
      <c r="N42" s="279"/>
      <c r="O42" s="80"/>
      <c r="P42" s="80"/>
      <c r="Q42" s="78"/>
      <c r="R42" s="78"/>
      <c r="S42" s="78"/>
      <c r="T42" s="78"/>
      <c r="U42" s="78"/>
      <c r="V42" s="78"/>
      <c r="W42" s="78"/>
      <c r="X42" s="78"/>
      <c r="Y42" s="78"/>
      <c r="Z42" s="167" t="e">
        <f t="shared" ca="1" si="0"/>
        <v>#N/A</v>
      </c>
      <c r="AA42" s="168" t="e">
        <f t="shared" ca="1" si="1"/>
        <v>#N/A</v>
      </c>
      <c r="AB42" s="167">
        <f t="shared" ca="1" si="2"/>
        <v>0</v>
      </c>
      <c r="AC42" s="168">
        <f t="shared" ca="1" si="3"/>
        <v>0</v>
      </c>
      <c r="AD42" s="191">
        <f t="shared" ca="1" si="4"/>
        <v>46259.633973495373</v>
      </c>
      <c r="AE42" s="167">
        <f t="shared" si="5"/>
        <v>0</v>
      </c>
      <c r="AF42" s="168">
        <f t="shared" si="6"/>
        <v>0</v>
      </c>
      <c r="AG42" s="168">
        <f t="shared" si="7"/>
        <v>0</v>
      </c>
      <c r="AH42" s="81" t="e" cm="1">
        <f t="array" aca="1" ref="AH42" ca="1">IF((AD42) &lt; (INDEX(ResponseSLA[#All],(MATCH((G42),ResponseSLA[Priority],0))+1,3)),"YES","No")</f>
        <v>#N/A</v>
      </c>
      <c r="AI42" s="81" t="str">
        <f>_xlfn.IFNA(IF(AE42 &lt; (INDEX(SLATable[Minimum SLA],MATCH(G42,SLATable[Priority],0))),"YES","NO"),"")</f>
        <v/>
      </c>
      <c r="AJ42" s="19" t="str">
        <f>_xlfn.IFNA(IF(AE42 &lt; (INDEX(SLATable[Maximum SLA],MATCH(G42,SLATable[Priority],0))),"YES","NO"),"")</f>
        <v/>
      </c>
    </row>
    <row r="43" spans="1:36" ht="15" customHeight="1">
      <c r="A43" s="78"/>
      <c r="B43" s="78"/>
      <c r="C43" s="78"/>
      <c r="D43" s="78"/>
      <c r="E43" s="85"/>
      <c r="F43" s="78"/>
      <c r="G43" s="78"/>
      <c r="H43" s="79"/>
      <c r="I43" s="78"/>
      <c r="J43" s="86"/>
      <c r="K43" s="279"/>
      <c r="L43" s="278"/>
      <c r="M43" s="278"/>
      <c r="N43" s="279"/>
      <c r="O43" s="80"/>
      <c r="P43" s="80"/>
      <c r="Q43" s="78"/>
      <c r="R43" s="78"/>
      <c r="S43" s="78"/>
      <c r="T43" s="78"/>
      <c r="U43" s="78"/>
      <c r="V43" s="78"/>
      <c r="W43" s="78"/>
      <c r="X43" s="78"/>
      <c r="Y43" s="78"/>
      <c r="Z43" s="167" t="e">
        <f t="shared" ca="1" si="0"/>
        <v>#N/A</v>
      </c>
      <c r="AA43" s="168" t="e">
        <f t="shared" ca="1" si="1"/>
        <v>#N/A</v>
      </c>
      <c r="AB43" s="167">
        <f t="shared" ca="1" si="2"/>
        <v>0</v>
      </c>
      <c r="AC43" s="168">
        <f t="shared" ca="1" si="3"/>
        <v>0</v>
      </c>
      <c r="AD43" s="191">
        <f t="shared" ca="1" si="4"/>
        <v>46259.633973495373</v>
      </c>
      <c r="AE43" s="167">
        <f t="shared" si="5"/>
        <v>0</v>
      </c>
      <c r="AF43" s="168">
        <f t="shared" si="6"/>
        <v>0</v>
      </c>
      <c r="AG43" s="168">
        <f t="shared" si="7"/>
        <v>0</v>
      </c>
      <c r="AH43" s="81" t="e" cm="1">
        <f t="array" aca="1" ref="AH43" ca="1">IF((AD43) &lt; (INDEX(ResponseSLA[#All],(MATCH((G43),ResponseSLA[Priority],0))+1,3)),"YES","No")</f>
        <v>#N/A</v>
      </c>
      <c r="AI43" s="81" t="str">
        <f>_xlfn.IFNA(IF(AE43 &lt; (INDEX(SLATable[Minimum SLA],MATCH(G43,SLATable[Priority],0))),"YES","NO"),"")</f>
        <v/>
      </c>
      <c r="AJ43" s="19" t="str">
        <f>_xlfn.IFNA(IF(AE43 &lt; (INDEX(SLATable[Maximum SLA],MATCH(G43,SLATable[Priority],0))),"YES","NO"),"")</f>
        <v/>
      </c>
    </row>
    <row r="44" spans="1:36" ht="15" customHeight="1">
      <c r="A44" s="78"/>
      <c r="B44" s="78"/>
      <c r="C44" s="78"/>
      <c r="D44" s="78"/>
      <c r="E44" s="85"/>
      <c r="F44" s="78"/>
      <c r="G44" s="78"/>
      <c r="H44" s="79"/>
      <c r="I44" s="78"/>
      <c r="J44" s="86"/>
      <c r="K44" s="277"/>
      <c r="L44" s="277"/>
      <c r="M44" s="277"/>
      <c r="N44" s="277"/>
      <c r="O44" s="80"/>
      <c r="P44" s="80"/>
      <c r="Q44" s="78"/>
      <c r="R44" s="78"/>
      <c r="S44" s="78"/>
      <c r="T44" s="78"/>
      <c r="U44" s="78"/>
      <c r="V44" s="78"/>
      <c r="W44" s="78"/>
      <c r="X44" s="78"/>
      <c r="Y44" s="78"/>
      <c r="Z44" s="167" t="e">
        <f t="shared" ca="1" si="0"/>
        <v>#N/A</v>
      </c>
      <c r="AA44" s="168" t="e">
        <f t="shared" ca="1" si="1"/>
        <v>#N/A</v>
      </c>
      <c r="AB44" s="167">
        <f t="shared" ca="1" si="2"/>
        <v>0</v>
      </c>
      <c r="AC44" s="168">
        <f t="shared" ca="1" si="3"/>
        <v>0</v>
      </c>
      <c r="AD44" s="191">
        <f t="shared" ca="1" si="4"/>
        <v>46259.633973495373</v>
      </c>
      <c r="AE44" s="167">
        <f t="shared" si="5"/>
        <v>0</v>
      </c>
      <c r="AF44" s="168">
        <f t="shared" si="6"/>
        <v>0</v>
      </c>
      <c r="AG44" s="168">
        <f t="shared" si="7"/>
        <v>0</v>
      </c>
      <c r="AH44" s="81" t="e" cm="1">
        <f t="array" aca="1" ref="AH44" ca="1">IF((AD44) &lt; (INDEX(ResponseSLA[#All],(MATCH((G44),ResponseSLA[Priority],0))+1,3)),"YES","No")</f>
        <v>#N/A</v>
      </c>
      <c r="AI44" s="81" t="str">
        <f>_xlfn.IFNA(IF(AE44 &lt; (INDEX(SLATable[Minimum SLA],MATCH(G44,SLATable[Priority],0))),"YES","NO"),"")</f>
        <v/>
      </c>
      <c r="AJ44" s="19" t="str">
        <f>_xlfn.IFNA(IF(AE44 &lt; (INDEX(SLATable[Maximum SLA],MATCH(G44,SLATable[Priority],0))),"YES","NO"),"")</f>
        <v/>
      </c>
    </row>
    <row r="45" spans="1:36" ht="15" customHeight="1">
      <c r="A45" s="78"/>
      <c r="B45" s="78"/>
      <c r="C45" s="78"/>
      <c r="D45" s="78"/>
      <c r="E45" s="85"/>
      <c r="F45" s="78"/>
      <c r="G45" s="78"/>
      <c r="H45" s="79"/>
      <c r="I45" s="78"/>
      <c r="J45" s="86"/>
      <c r="K45" s="277"/>
      <c r="L45" s="277"/>
      <c r="M45" s="277"/>
      <c r="N45" s="277"/>
      <c r="O45" s="80"/>
      <c r="P45" s="80"/>
      <c r="Q45" s="78"/>
      <c r="R45" s="78"/>
      <c r="S45" s="78"/>
      <c r="T45" s="78"/>
      <c r="U45" s="78"/>
      <c r="V45" s="78"/>
      <c r="W45" s="78"/>
      <c r="X45" s="78"/>
      <c r="Y45" s="78"/>
      <c r="Z45" s="167" t="e">
        <f t="shared" ca="1" si="0"/>
        <v>#N/A</v>
      </c>
      <c r="AA45" s="168" t="e">
        <f t="shared" ca="1" si="1"/>
        <v>#N/A</v>
      </c>
      <c r="AB45" s="167">
        <f t="shared" ca="1" si="2"/>
        <v>0</v>
      </c>
      <c r="AC45" s="168">
        <f t="shared" ca="1" si="3"/>
        <v>0</v>
      </c>
      <c r="AD45" s="191">
        <f t="shared" ca="1" si="4"/>
        <v>46259.633973495373</v>
      </c>
      <c r="AE45" s="167">
        <f t="shared" si="5"/>
        <v>0</v>
      </c>
      <c r="AF45" s="168">
        <f t="shared" si="6"/>
        <v>0</v>
      </c>
      <c r="AG45" s="168">
        <f t="shared" si="7"/>
        <v>0</v>
      </c>
      <c r="AH45" s="81" t="e" cm="1">
        <f t="array" aca="1" ref="AH45" ca="1">IF((AD45) &lt; (INDEX(ResponseSLA[#All],(MATCH((G45),ResponseSLA[Priority],0))+1,3)),"YES","No")</f>
        <v>#N/A</v>
      </c>
      <c r="AI45" s="81" t="str">
        <f>_xlfn.IFNA(IF(AE45 &lt; (INDEX(SLATable[Minimum SLA],MATCH(G45,SLATable[Priority],0))),"YES","NO"),"")</f>
        <v/>
      </c>
      <c r="AJ45" s="19" t="str">
        <f>_xlfn.IFNA(IF(AE45 &lt; (INDEX(SLATable[Maximum SLA],MATCH(G45,SLATable[Priority],0))),"YES","NO"),"")</f>
        <v/>
      </c>
    </row>
    <row r="46" spans="1:36" ht="15" customHeight="1">
      <c r="A46" s="78"/>
      <c r="B46" s="78"/>
      <c r="C46" s="78"/>
      <c r="D46" s="78"/>
      <c r="E46" s="85"/>
      <c r="F46" s="78"/>
      <c r="G46" s="78"/>
      <c r="H46" s="98"/>
      <c r="I46" s="78"/>
      <c r="J46" s="86"/>
      <c r="K46" s="277"/>
      <c r="L46" s="277"/>
      <c r="M46" s="277"/>
      <c r="N46" s="277"/>
      <c r="O46" s="80"/>
      <c r="P46" s="80"/>
      <c r="Q46" s="78"/>
      <c r="R46" s="78"/>
      <c r="S46" s="78"/>
      <c r="T46" s="78"/>
      <c r="U46" s="78"/>
      <c r="V46" s="78"/>
      <c r="W46" s="78"/>
      <c r="X46" s="78"/>
      <c r="Y46" s="78"/>
      <c r="Z46" s="167" t="e">
        <f t="shared" ca="1" si="0"/>
        <v>#N/A</v>
      </c>
      <c r="AA46" s="168" t="e">
        <f t="shared" ca="1" si="1"/>
        <v>#N/A</v>
      </c>
      <c r="AB46" s="167">
        <f t="shared" ca="1" si="2"/>
        <v>0</v>
      </c>
      <c r="AC46" s="168">
        <f t="shared" ca="1" si="3"/>
        <v>0</v>
      </c>
      <c r="AD46" s="191">
        <f t="shared" ca="1" si="4"/>
        <v>46259.633973495373</v>
      </c>
      <c r="AE46" s="167">
        <f t="shared" si="5"/>
        <v>0</v>
      </c>
      <c r="AF46" s="168">
        <f t="shared" si="6"/>
        <v>0</v>
      </c>
      <c r="AG46" s="168">
        <f t="shared" si="7"/>
        <v>0</v>
      </c>
      <c r="AH46" s="81" t="e" cm="1">
        <f t="array" aca="1" ref="AH46" ca="1">IF((AD46) &lt; (INDEX(ResponseSLA[#All],(MATCH((G46),ResponseSLA[Priority],0))+1,3)),"YES","No")</f>
        <v>#N/A</v>
      </c>
      <c r="AI46" s="81" t="str">
        <f>_xlfn.IFNA(IF(AE46 &lt; (INDEX(SLATable[Minimum SLA],MATCH(G46,SLATable[Priority],0))),"YES","NO"),"")</f>
        <v/>
      </c>
      <c r="AJ46" s="19" t="str">
        <f>_xlfn.IFNA(IF(AE46 &lt; (INDEX(SLATable[Maximum SLA],MATCH(G46,SLATable[Priority],0))),"YES","NO"),"")</f>
        <v/>
      </c>
    </row>
    <row r="47" spans="1:36" ht="15" customHeight="1">
      <c r="A47" s="78"/>
      <c r="B47" s="78"/>
      <c r="C47" s="78"/>
      <c r="D47" s="78"/>
      <c r="E47" s="85"/>
      <c r="F47" s="78"/>
      <c r="G47" s="78"/>
      <c r="H47" s="98"/>
      <c r="I47" s="78"/>
      <c r="J47" s="86"/>
      <c r="K47" s="279"/>
      <c r="L47" s="279"/>
      <c r="M47" s="279"/>
      <c r="N47" s="279"/>
      <c r="O47" s="80"/>
      <c r="P47" s="80"/>
      <c r="Q47" s="78"/>
      <c r="R47" s="78"/>
      <c r="S47" s="78"/>
      <c r="T47" s="78"/>
      <c r="U47" s="78"/>
      <c r="V47" s="78"/>
      <c r="W47" s="78"/>
      <c r="X47" s="78"/>
      <c r="Y47" s="78"/>
      <c r="Z47" s="167" t="e">
        <f t="shared" ca="1" si="0"/>
        <v>#N/A</v>
      </c>
      <c r="AA47" s="168" t="e">
        <f t="shared" ca="1" si="1"/>
        <v>#N/A</v>
      </c>
      <c r="AB47" s="167">
        <f t="shared" ca="1" si="2"/>
        <v>0</v>
      </c>
      <c r="AC47" s="168">
        <f t="shared" ca="1" si="3"/>
        <v>0</v>
      </c>
      <c r="AD47" s="191">
        <f t="shared" ca="1" si="4"/>
        <v>46259.633973495373</v>
      </c>
      <c r="AE47" s="167">
        <f t="shared" si="5"/>
        <v>0</v>
      </c>
      <c r="AF47" s="168">
        <f t="shared" si="6"/>
        <v>0</v>
      </c>
      <c r="AG47" s="168">
        <f t="shared" si="7"/>
        <v>0</v>
      </c>
      <c r="AH47" s="81" t="e" cm="1">
        <f t="array" aca="1" ref="AH47" ca="1">IF((AD47) &lt; (INDEX(ResponseSLA[#All],(MATCH((G47),ResponseSLA[Priority],0))+1,3)),"YES","No")</f>
        <v>#N/A</v>
      </c>
      <c r="AI47" s="81" t="str">
        <f>_xlfn.IFNA(IF(AE47 &lt; (INDEX(SLATable[Minimum SLA],MATCH(G47,SLATable[Priority],0))),"YES","NO"),"")</f>
        <v/>
      </c>
      <c r="AJ47" s="19" t="str">
        <f>_xlfn.IFNA(IF(AE47 &lt; (INDEX(SLATable[Maximum SLA],MATCH(G47,SLATable[Priority],0))),"YES","NO"),"")</f>
        <v/>
      </c>
    </row>
    <row r="48" spans="1:36" ht="15" customHeight="1">
      <c r="A48" s="78"/>
      <c r="B48" s="78"/>
      <c r="C48" s="78"/>
      <c r="D48" s="78"/>
      <c r="E48" s="85"/>
      <c r="F48" s="78"/>
      <c r="G48" s="78"/>
      <c r="H48" s="85"/>
      <c r="I48" s="78"/>
      <c r="J48" s="86"/>
      <c r="K48" s="279"/>
      <c r="L48" s="279"/>
      <c r="M48" s="279"/>
      <c r="N48" s="279"/>
      <c r="O48" s="80"/>
      <c r="P48" s="80"/>
      <c r="Q48" s="78"/>
      <c r="R48" s="78"/>
      <c r="S48" s="78"/>
      <c r="T48" s="78"/>
      <c r="U48" s="78"/>
      <c r="V48" s="78"/>
      <c r="W48" s="78"/>
      <c r="X48" s="78"/>
      <c r="Y48" s="78"/>
      <c r="Z48" s="167" t="e">
        <f t="shared" ca="1" si="0"/>
        <v>#N/A</v>
      </c>
      <c r="AA48" s="168" t="e">
        <f t="shared" ca="1" si="1"/>
        <v>#N/A</v>
      </c>
      <c r="AB48" s="167">
        <f t="shared" ca="1" si="2"/>
        <v>0</v>
      </c>
      <c r="AC48" s="168">
        <f t="shared" ca="1" si="3"/>
        <v>0</v>
      </c>
      <c r="AD48" s="191">
        <f t="shared" ca="1" si="4"/>
        <v>46259.633973495373</v>
      </c>
      <c r="AE48" s="167">
        <f t="shared" si="5"/>
        <v>0</v>
      </c>
      <c r="AF48" s="168">
        <f t="shared" si="6"/>
        <v>0</v>
      </c>
      <c r="AG48" s="168">
        <f t="shared" si="7"/>
        <v>0</v>
      </c>
      <c r="AH48" s="81" t="e" cm="1">
        <f t="array" aca="1" ref="AH48" ca="1">IF((AD48) &lt; (INDEX(ResponseSLA[#All],(MATCH((G48),ResponseSLA[Priority],0))+1,3)),"YES","No")</f>
        <v>#N/A</v>
      </c>
      <c r="AI48" s="81" t="str">
        <f>_xlfn.IFNA(IF(AE48 &lt; (INDEX(SLATable[Minimum SLA],MATCH(G48,SLATable[Priority],0))),"YES","NO"),"")</f>
        <v/>
      </c>
      <c r="AJ48" s="19" t="str">
        <f>_xlfn.IFNA(IF(AE48 &lt; (INDEX(SLATable[Maximum SLA],MATCH(G48,SLATable[Priority],0))),"YES","NO"),"")</f>
        <v/>
      </c>
    </row>
    <row r="49" spans="1:36" ht="15" customHeight="1">
      <c r="A49" s="78"/>
      <c r="B49" s="78"/>
      <c r="C49" s="78"/>
      <c r="D49" s="78"/>
      <c r="E49" s="85"/>
      <c r="F49" s="78"/>
      <c r="G49" s="78"/>
      <c r="H49" s="85"/>
      <c r="I49" s="78"/>
      <c r="J49" s="86"/>
      <c r="K49" s="279"/>
      <c r="L49" s="279"/>
      <c r="M49" s="279"/>
      <c r="N49" s="279"/>
      <c r="O49" s="80"/>
      <c r="P49" s="80"/>
      <c r="Q49" s="78"/>
      <c r="R49" s="78"/>
      <c r="S49" s="78"/>
      <c r="T49" s="78"/>
      <c r="U49" s="78"/>
      <c r="V49" s="78"/>
      <c r="W49" s="78"/>
      <c r="X49" s="78"/>
      <c r="Y49" s="78"/>
      <c r="Z49" s="167" t="e">
        <f t="shared" ca="1" si="0"/>
        <v>#N/A</v>
      </c>
      <c r="AA49" s="168" t="e">
        <f t="shared" ca="1" si="1"/>
        <v>#N/A</v>
      </c>
      <c r="AB49" s="167">
        <f t="shared" ca="1" si="2"/>
        <v>0</v>
      </c>
      <c r="AC49" s="168">
        <f t="shared" ca="1" si="3"/>
        <v>0</v>
      </c>
      <c r="AD49" s="191">
        <f t="shared" ca="1" si="4"/>
        <v>46259.633973495373</v>
      </c>
      <c r="AE49" s="167">
        <f t="shared" si="5"/>
        <v>0</v>
      </c>
      <c r="AF49" s="168">
        <f t="shared" si="6"/>
        <v>0</v>
      </c>
      <c r="AG49" s="168">
        <f t="shared" si="7"/>
        <v>0</v>
      </c>
      <c r="AH49" s="81" t="e" cm="1">
        <f t="array" aca="1" ref="AH49" ca="1">IF((AD49) &lt; (INDEX(ResponseSLA[#All],(MATCH((G49),ResponseSLA[Priority],0))+1,3)),"YES","No")</f>
        <v>#N/A</v>
      </c>
      <c r="AI49" s="81" t="str">
        <f>_xlfn.IFNA(IF(AE49 &lt; (INDEX(SLATable[Minimum SLA],MATCH(G49,SLATable[Priority],0))),"YES","NO"),"")</f>
        <v/>
      </c>
      <c r="AJ49" s="19" t="str">
        <f>_xlfn.IFNA(IF(AE49 &lt; (INDEX(SLATable[Maximum SLA],MATCH(G49,SLATable[Priority],0))),"YES","NO"),"")</f>
        <v/>
      </c>
    </row>
    <row r="50" spans="1:36" s="77" customFormat="1" ht="15" customHeight="1">
      <c r="A50" s="78"/>
      <c r="B50" s="82"/>
      <c r="C50" s="82"/>
      <c r="D50" s="82"/>
      <c r="E50" s="117"/>
      <c r="F50" s="82"/>
      <c r="G50" s="82"/>
      <c r="H50" s="118"/>
      <c r="I50" s="82"/>
      <c r="J50" s="83"/>
      <c r="K50" s="280"/>
      <c r="L50" s="280"/>
      <c r="M50" s="280"/>
      <c r="N50" s="285"/>
      <c r="O50" s="84"/>
      <c r="P50" s="84"/>
      <c r="Q50" s="82"/>
      <c r="R50" s="82"/>
      <c r="S50" s="82"/>
      <c r="T50" s="82"/>
      <c r="U50" s="82"/>
      <c r="V50" s="82"/>
      <c r="W50" s="82"/>
      <c r="X50" s="82"/>
      <c r="Y50" s="82"/>
      <c r="Z50" s="167" t="e">
        <f t="shared" ca="1" si="0"/>
        <v>#N/A</v>
      </c>
      <c r="AA50" s="168" t="e">
        <f t="shared" ca="1" si="1"/>
        <v>#N/A</v>
      </c>
      <c r="AB50" s="167">
        <f t="shared" ca="1" si="2"/>
        <v>0</v>
      </c>
      <c r="AC50" s="168">
        <f t="shared" ca="1" si="3"/>
        <v>0</v>
      </c>
      <c r="AD50" s="191">
        <f t="shared" ca="1" si="4"/>
        <v>46259.633973495373</v>
      </c>
      <c r="AE50" s="167">
        <f t="shared" si="5"/>
        <v>0</v>
      </c>
      <c r="AF50" s="168">
        <f t="shared" si="6"/>
        <v>0</v>
      </c>
      <c r="AG50" s="168">
        <f t="shared" si="7"/>
        <v>0</v>
      </c>
      <c r="AH50" s="81" t="e" cm="1">
        <f t="array" aca="1" ref="AH50" ca="1">IF((AD50) &lt; (INDEX(ResponseSLA[#All],(MATCH((G50),ResponseSLA[Priority],0))+1,3)),"YES","No")</f>
        <v>#N/A</v>
      </c>
      <c r="AI50" s="81" t="str">
        <f>_xlfn.IFNA(IF(AE50 &lt; (INDEX(SLATable[Minimum SLA],MATCH(G50,SLATable[Priority],0))),"YES","NO"),"")</f>
        <v/>
      </c>
      <c r="AJ50" s="19" t="str">
        <f>_xlfn.IFNA(IF(AE50 &lt; (INDEX(SLATable[Maximum SLA],MATCH(G50,SLATable[Priority],0))),"YES","NO"),"")</f>
        <v/>
      </c>
    </row>
    <row r="51" spans="1:36" s="77" customFormat="1" ht="15" customHeight="1">
      <c r="A51" s="78"/>
      <c r="B51" s="82"/>
      <c r="C51" s="82"/>
      <c r="D51" s="82"/>
      <c r="E51" s="117"/>
      <c r="F51" s="82"/>
      <c r="G51" s="82"/>
      <c r="H51" s="119"/>
      <c r="I51" s="82"/>
      <c r="J51" s="83"/>
      <c r="K51" s="280"/>
      <c r="L51" s="280"/>
      <c r="M51" s="280"/>
      <c r="N51" s="285"/>
      <c r="O51" s="84"/>
      <c r="P51" s="84"/>
      <c r="Q51" s="82"/>
      <c r="R51" s="82"/>
      <c r="S51" s="82"/>
      <c r="T51" s="82"/>
      <c r="U51" s="82"/>
      <c r="V51" s="82"/>
      <c r="W51" s="82"/>
      <c r="X51" s="82"/>
      <c r="Y51" s="82"/>
      <c r="Z51" s="167" t="e">
        <f t="shared" ca="1" si="0"/>
        <v>#N/A</v>
      </c>
      <c r="AA51" s="168" t="e">
        <f t="shared" ca="1" si="1"/>
        <v>#N/A</v>
      </c>
      <c r="AB51" s="167">
        <f t="shared" ca="1" si="2"/>
        <v>0</v>
      </c>
      <c r="AC51" s="168">
        <f t="shared" ca="1" si="3"/>
        <v>0</v>
      </c>
      <c r="AD51" s="191">
        <f t="shared" ca="1" si="4"/>
        <v>46259.633973495373</v>
      </c>
      <c r="AE51" s="167">
        <f t="shared" si="5"/>
        <v>0</v>
      </c>
      <c r="AF51" s="168">
        <f t="shared" si="6"/>
        <v>0</v>
      </c>
      <c r="AG51" s="168">
        <f t="shared" si="7"/>
        <v>0</v>
      </c>
      <c r="AH51" s="81" t="e" cm="1">
        <f t="array" aca="1" ref="AH51" ca="1">IF((AD51) &lt; (INDEX(ResponseSLA[#All],(MATCH((G51),ResponseSLA[Priority],0))+1,3)),"YES","No")</f>
        <v>#N/A</v>
      </c>
      <c r="AI51" s="81" t="str">
        <f>_xlfn.IFNA(IF(AE51 &lt; (INDEX(SLATable[Minimum SLA],MATCH(G51,SLATable[Priority],0))),"YES","NO"),"")</f>
        <v/>
      </c>
      <c r="AJ51" s="19" t="str">
        <f>_xlfn.IFNA(IF(AE51 &lt; (INDEX(SLATable[Maximum SLA],MATCH(G51,SLATable[Priority],0))),"YES","NO"),"")</f>
        <v/>
      </c>
    </row>
    <row r="52" spans="1:36" ht="15" customHeight="1">
      <c r="A52" s="78"/>
      <c r="B52" s="78"/>
      <c r="C52" s="78"/>
      <c r="D52" s="78"/>
      <c r="E52" s="78"/>
      <c r="F52" s="78"/>
      <c r="G52" s="78"/>
      <c r="H52" s="86"/>
      <c r="I52" s="78"/>
      <c r="J52" s="86"/>
      <c r="K52" s="277"/>
      <c r="L52" s="277"/>
      <c r="M52" s="277"/>
      <c r="N52" s="277"/>
      <c r="O52" s="80"/>
      <c r="P52" s="80"/>
      <c r="Q52" s="78"/>
      <c r="R52" s="78"/>
      <c r="S52" s="78"/>
      <c r="T52" s="78"/>
      <c r="U52" s="78"/>
      <c r="V52" s="78"/>
      <c r="W52" s="78"/>
      <c r="X52" s="78"/>
      <c r="Y52" s="78"/>
      <c r="Z52" s="167" t="e">
        <f t="shared" ca="1" si="0"/>
        <v>#N/A</v>
      </c>
      <c r="AA52" s="168" t="e">
        <f t="shared" ca="1" si="1"/>
        <v>#N/A</v>
      </c>
      <c r="AB52" s="167">
        <f t="shared" ca="1" si="2"/>
        <v>0</v>
      </c>
      <c r="AC52" s="168">
        <f t="shared" ca="1" si="3"/>
        <v>0</v>
      </c>
      <c r="AD52" s="191">
        <f t="shared" ca="1" si="4"/>
        <v>46259.633973495373</v>
      </c>
      <c r="AE52" s="167">
        <f t="shared" si="5"/>
        <v>0</v>
      </c>
      <c r="AF52" s="168">
        <f t="shared" si="6"/>
        <v>0</v>
      </c>
      <c r="AG52" s="168">
        <f t="shared" si="7"/>
        <v>0</v>
      </c>
      <c r="AH52" s="81" t="e" cm="1">
        <f t="array" aca="1" ref="AH52" ca="1">IF((AD52) &lt; (INDEX(ResponseSLA[#All],(MATCH((G52),ResponseSLA[Priority],0))+1,3)),"YES","No")</f>
        <v>#N/A</v>
      </c>
      <c r="AI52" s="81" t="str">
        <f>_xlfn.IFNA(IF(AE52 &lt; (INDEX(SLATable[Minimum SLA],MATCH(G52,SLATable[Priority],0))),"YES","NO"),"")</f>
        <v/>
      </c>
      <c r="AJ52" s="19" t="str">
        <f>_xlfn.IFNA(IF(AE52 &lt; (INDEX(SLATable[Maximum SLA],MATCH(G52,SLATable[Priority],0))),"YES","NO"),"")</f>
        <v/>
      </c>
    </row>
    <row r="53" spans="1:36" ht="15" customHeight="1">
      <c r="A53" s="78"/>
      <c r="B53" s="78"/>
      <c r="C53" s="78"/>
      <c r="D53" s="78"/>
      <c r="E53" s="78"/>
      <c r="F53" s="78"/>
      <c r="G53" s="78"/>
      <c r="H53" s="86"/>
      <c r="I53" s="78"/>
      <c r="J53" s="86"/>
      <c r="K53" s="277"/>
      <c r="L53" s="277"/>
      <c r="M53" s="277"/>
      <c r="N53" s="277"/>
      <c r="O53" s="80"/>
      <c r="P53" s="80"/>
      <c r="Q53" s="78"/>
      <c r="R53" s="78"/>
      <c r="S53" s="78"/>
      <c r="T53" s="78"/>
      <c r="U53" s="78"/>
      <c r="V53" s="78"/>
      <c r="W53" s="78"/>
      <c r="X53" s="78"/>
      <c r="Y53" s="78"/>
      <c r="Z53" s="167" t="e">
        <f t="shared" ca="1" si="0"/>
        <v>#N/A</v>
      </c>
      <c r="AA53" s="168" t="e">
        <f t="shared" ca="1" si="1"/>
        <v>#N/A</v>
      </c>
      <c r="AB53" s="167">
        <f t="shared" ca="1" si="2"/>
        <v>0</v>
      </c>
      <c r="AC53" s="168">
        <f t="shared" ca="1" si="3"/>
        <v>0</v>
      </c>
      <c r="AD53" s="191">
        <f t="shared" ca="1" si="4"/>
        <v>46259.633973495373</v>
      </c>
      <c r="AE53" s="167">
        <f t="shared" si="5"/>
        <v>0</v>
      </c>
      <c r="AF53" s="168">
        <f t="shared" si="6"/>
        <v>0</v>
      </c>
      <c r="AG53" s="168">
        <f t="shared" si="7"/>
        <v>0</v>
      </c>
      <c r="AH53" s="81" t="e" cm="1">
        <f t="array" aca="1" ref="AH53" ca="1">IF((AD53) &lt; (INDEX(ResponseSLA[#All],(MATCH((G53),ResponseSLA[Priority],0))+1,3)),"YES","No")</f>
        <v>#N/A</v>
      </c>
      <c r="AI53" s="81" t="str">
        <f>_xlfn.IFNA(IF(AE53 &lt; (INDEX(SLATable[Minimum SLA],MATCH(G53,SLATable[Priority],0))),"YES","NO"),"")</f>
        <v/>
      </c>
      <c r="AJ53" s="19" t="str">
        <f>_xlfn.IFNA(IF(AE53 &lt; (INDEX(SLATable[Maximum SLA],MATCH(G53,SLATable[Priority],0))),"YES","NO"),"")</f>
        <v/>
      </c>
    </row>
    <row r="54" spans="1:36" ht="15" customHeight="1">
      <c r="A54" s="78"/>
      <c r="B54" s="78"/>
      <c r="C54" s="78"/>
      <c r="D54" s="78"/>
      <c r="E54" s="78"/>
      <c r="F54" s="78"/>
      <c r="G54" s="78"/>
      <c r="H54" s="86"/>
      <c r="I54" s="78"/>
      <c r="J54" s="86"/>
      <c r="K54" s="277"/>
      <c r="L54" s="277"/>
      <c r="M54" s="277"/>
      <c r="N54" s="277"/>
      <c r="O54" s="80"/>
      <c r="P54" s="80"/>
      <c r="Q54" s="78"/>
      <c r="R54" s="78"/>
      <c r="S54" s="78"/>
      <c r="T54" s="78"/>
      <c r="U54" s="78"/>
      <c r="V54" s="78"/>
      <c r="W54" s="78"/>
      <c r="X54" s="78"/>
      <c r="Y54" s="78"/>
      <c r="Z54" s="167" t="e">
        <f t="shared" ca="1" si="0"/>
        <v>#N/A</v>
      </c>
      <c r="AA54" s="168" t="e">
        <f t="shared" ca="1" si="1"/>
        <v>#N/A</v>
      </c>
      <c r="AB54" s="167">
        <f t="shared" ca="1" si="2"/>
        <v>0</v>
      </c>
      <c r="AC54" s="168">
        <f t="shared" ca="1" si="3"/>
        <v>0</v>
      </c>
      <c r="AD54" s="191">
        <f t="shared" ca="1" si="4"/>
        <v>46259.633973495373</v>
      </c>
      <c r="AE54" s="167">
        <f t="shared" si="5"/>
        <v>0</v>
      </c>
      <c r="AF54" s="168">
        <f t="shared" si="6"/>
        <v>0</v>
      </c>
      <c r="AG54" s="168">
        <f t="shared" si="7"/>
        <v>0</v>
      </c>
      <c r="AH54" s="81" t="e" cm="1">
        <f t="array" aca="1" ref="AH54" ca="1">IF((AD54) &lt; (INDEX(ResponseSLA[#All],(MATCH((G54),ResponseSLA[Priority],0))+1,3)),"YES","No")</f>
        <v>#N/A</v>
      </c>
      <c r="AI54" s="81" t="str">
        <f>_xlfn.IFNA(IF(AE54 &lt; (INDEX(SLATable[Minimum SLA],MATCH(G54,SLATable[Priority],0))),"YES","NO"),"")</f>
        <v/>
      </c>
      <c r="AJ54" s="19" t="str">
        <f>_xlfn.IFNA(IF(AE54 &lt; (INDEX(SLATable[Maximum SLA],MATCH(G54,SLATable[Priority],0))),"YES","NO"),"")</f>
        <v/>
      </c>
    </row>
    <row r="55" spans="1:36" ht="15" customHeight="1">
      <c r="A55" s="78"/>
      <c r="B55" s="78"/>
      <c r="C55" s="78"/>
      <c r="D55" s="78"/>
      <c r="E55" s="78"/>
      <c r="F55" s="78"/>
      <c r="G55" s="78"/>
      <c r="H55" s="86"/>
      <c r="I55" s="78"/>
      <c r="J55" s="86"/>
      <c r="K55" s="277"/>
      <c r="L55" s="277"/>
      <c r="M55" s="277"/>
      <c r="N55" s="277"/>
      <c r="O55" s="80"/>
      <c r="P55" s="80"/>
      <c r="Q55" s="78"/>
      <c r="R55" s="78"/>
      <c r="S55" s="78"/>
      <c r="T55" s="78"/>
      <c r="U55" s="78"/>
      <c r="V55" s="78"/>
      <c r="W55" s="78"/>
      <c r="X55" s="78"/>
      <c r="Y55" s="78"/>
      <c r="Z55" s="167" t="e">
        <f t="shared" ca="1" si="0"/>
        <v>#N/A</v>
      </c>
      <c r="AA55" s="168" t="e">
        <f t="shared" ca="1" si="1"/>
        <v>#N/A</v>
      </c>
      <c r="AB55" s="167">
        <f t="shared" ca="1" si="2"/>
        <v>0</v>
      </c>
      <c r="AC55" s="168">
        <f t="shared" ca="1" si="3"/>
        <v>0</v>
      </c>
      <c r="AD55" s="191">
        <f t="shared" ca="1" si="4"/>
        <v>46259.633973495373</v>
      </c>
      <c r="AE55" s="167">
        <f t="shared" si="5"/>
        <v>0</v>
      </c>
      <c r="AF55" s="168">
        <f t="shared" si="6"/>
        <v>0</v>
      </c>
      <c r="AG55" s="168">
        <f t="shared" si="7"/>
        <v>0</v>
      </c>
      <c r="AH55" s="81" t="e" cm="1">
        <f t="array" aca="1" ref="AH55" ca="1">IF((AD55) &lt; (INDEX(ResponseSLA[#All],(MATCH((G55),ResponseSLA[Priority],0))+1,3)),"YES","No")</f>
        <v>#N/A</v>
      </c>
      <c r="AI55" s="81" t="str">
        <f>_xlfn.IFNA(IF(AE55 &lt; (INDEX(SLATable[Minimum SLA],MATCH(G55,SLATable[Priority],0))),"YES","NO"),"")</f>
        <v/>
      </c>
      <c r="AJ55" s="19" t="str">
        <f>_xlfn.IFNA(IF(AE55 &lt; (INDEX(SLATable[Maximum SLA],MATCH(G55,SLATable[Priority],0))),"YES","NO"),"")</f>
        <v/>
      </c>
    </row>
    <row r="56" spans="1:36" ht="15" customHeight="1">
      <c r="A56" s="78"/>
      <c r="B56" s="78"/>
      <c r="C56" s="78"/>
      <c r="D56" s="78"/>
      <c r="E56" s="78"/>
      <c r="F56" s="78"/>
      <c r="G56" s="78"/>
      <c r="H56" s="86"/>
      <c r="I56" s="78"/>
      <c r="J56" s="86"/>
      <c r="K56" s="277"/>
      <c r="L56" s="277"/>
      <c r="M56" s="277"/>
      <c r="N56" s="277"/>
      <c r="O56" s="80"/>
      <c r="P56" s="80"/>
      <c r="Q56" s="78"/>
      <c r="R56" s="78"/>
      <c r="S56" s="78"/>
      <c r="T56" s="78"/>
      <c r="U56" s="78"/>
      <c r="V56" s="78"/>
      <c r="W56" s="78"/>
      <c r="X56" s="78"/>
      <c r="Y56" s="78"/>
      <c r="Z56" s="167" t="e">
        <f t="shared" ca="1" si="0"/>
        <v>#N/A</v>
      </c>
      <c r="AA56" s="168" t="e">
        <f t="shared" ca="1" si="1"/>
        <v>#N/A</v>
      </c>
      <c r="AB56" s="167">
        <f t="shared" ca="1" si="2"/>
        <v>0</v>
      </c>
      <c r="AC56" s="168">
        <f t="shared" ca="1" si="3"/>
        <v>0</v>
      </c>
      <c r="AD56" s="191">
        <f t="shared" ca="1" si="4"/>
        <v>46259.633973495373</v>
      </c>
      <c r="AE56" s="167">
        <f t="shared" si="5"/>
        <v>0</v>
      </c>
      <c r="AF56" s="168">
        <f t="shared" si="6"/>
        <v>0</v>
      </c>
      <c r="AG56" s="168">
        <f t="shared" si="7"/>
        <v>0</v>
      </c>
      <c r="AH56" s="81" t="e" cm="1">
        <f t="array" aca="1" ref="AH56" ca="1">IF((AD56) &lt; (INDEX(ResponseSLA[#All],(MATCH((G56),ResponseSLA[Priority],0))+1,3)),"YES","No")</f>
        <v>#N/A</v>
      </c>
      <c r="AI56" s="81" t="str">
        <f>_xlfn.IFNA(IF(AE56 &lt; (INDEX(SLATable[Minimum SLA],MATCH(G56,SLATable[Priority],0))),"YES","NO"),"")</f>
        <v/>
      </c>
      <c r="AJ56" s="19" t="str">
        <f>_xlfn.IFNA(IF(AE56 &lt; (INDEX(SLATable[Maximum SLA],MATCH(G56,SLATable[Priority],0))),"YES","NO"),"")</f>
        <v/>
      </c>
    </row>
    <row r="57" spans="1:36" ht="15" customHeight="1">
      <c r="A57" s="78"/>
      <c r="B57" s="78"/>
      <c r="C57" s="78"/>
      <c r="D57" s="78"/>
      <c r="E57" s="78"/>
      <c r="F57" s="78"/>
      <c r="G57" s="78"/>
      <c r="H57" s="86"/>
      <c r="I57" s="78"/>
      <c r="J57" s="86"/>
      <c r="K57" s="277"/>
      <c r="L57" s="277"/>
      <c r="M57" s="277"/>
      <c r="N57" s="277"/>
      <c r="O57" s="80"/>
      <c r="P57" s="80"/>
      <c r="Q57" s="78"/>
      <c r="R57" s="78"/>
      <c r="S57" s="78"/>
      <c r="T57" s="78"/>
      <c r="U57" s="78"/>
      <c r="V57" s="78"/>
      <c r="W57" s="78"/>
      <c r="X57" s="78"/>
      <c r="Y57" s="78"/>
      <c r="Z57" s="167" t="e">
        <f t="shared" ca="1" si="0"/>
        <v>#N/A</v>
      </c>
      <c r="AA57" s="168" t="e">
        <f t="shared" ca="1" si="1"/>
        <v>#N/A</v>
      </c>
      <c r="AB57" s="167">
        <f t="shared" ca="1" si="2"/>
        <v>0</v>
      </c>
      <c r="AC57" s="168">
        <f t="shared" ca="1" si="3"/>
        <v>0</v>
      </c>
      <c r="AD57" s="191">
        <f t="shared" ca="1" si="4"/>
        <v>46259.633973495373</v>
      </c>
      <c r="AE57" s="167">
        <f t="shared" si="5"/>
        <v>0</v>
      </c>
      <c r="AF57" s="168">
        <f t="shared" si="6"/>
        <v>0</v>
      </c>
      <c r="AG57" s="168">
        <f t="shared" si="7"/>
        <v>0</v>
      </c>
      <c r="AH57" s="81" t="e" cm="1">
        <f t="array" aca="1" ref="AH57" ca="1">IF((AD57) &lt; (INDEX(ResponseSLA[#All],(MATCH((G57),ResponseSLA[Priority],0))+1,3)),"YES","No")</f>
        <v>#N/A</v>
      </c>
      <c r="AI57" s="81" t="str">
        <f>_xlfn.IFNA(IF(AE57 &lt; (INDEX(SLATable[Minimum SLA],MATCH(G57,SLATable[Priority],0))),"YES","NO"),"")</f>
        <v/>
      </c>
      <c r="AJ57" s="19" t="str">
        <f>_xlfn.IFNA(IF(AE57 &lt; (INDEX(SLATable[Maximum SLA],MATCH(G57,SLATable[Priority],0))),"YES","NO"),"")</f>
        <v/>
      </c>
    </row>
    <row r="58" spans="1:36" ht="15" customHeight="1">
      <c r="A58" s="78"/>
      <c r="B58" s="78"/>
      <c r="C58" s="78"/>
      <c r="D58" s="78"/>
      <c r="E58" s="78"/>
      <c r="F58" s="78"/>
      <c r="G58" s="78"/>
      <c r="H58" s="86"/>
      <c r="I58" s="78"/>
      <c r="J58" s="86"/>
      <c r="K58" s="277"/>
      <c r="L58" s="277"/>
      <c r="M58" s="277"/>
      <c r="N58" s="277"/>
      <c r="O58" s="80"/>
      <c r="P58" s="80"/>
      <c r="Q58" s="78"/>
      <c r="R58" s="78"/>
      <c r="S58" s="78"/>
      <c r="T58" s="78"/>
      <c r="U58" s="78"/>
      <c r="V58" s="78"/>
      <c r="W58" s="78"/>
      <c r="X58" s="78"/>
      <c r="Y58" s="78"/>
      <c r="Z58" s="167" t="e">
        <f t="shared" ca="1" si="0"/>
        <v>#N/A</v>
      </c>
      <c r="AA58" s="168" t="e">
        <f t="shared" ca="1" si="1"/>
        <v>#N/A</v>
      </c>
      <c r="AB58" s="167">
        <f t="shared" ca="1" si="2"/>
        <v>0</v>
      </c>
      <c r="AC58" s="168">
        <f t="shared" ca="1" si="3"/>
        <v>0</v>
      </c>
      <c r="AD58" s="191">
        <f t="shared" ca="1" si="4"/>
        <v>46259.633973495373</v>
      </c>
      <c r="AE58" s="167">
        <f t="shared" si="5"/>
        <v>0</v>
      </c>
      <c r="AF58" s="168">
        <f t="shared" si="6"/>
        <v>0</v>
      </c>
      <c r="AG58" s="168">
        <f t="shared" si="7"/>
        <v>0</v>
      </c>
      <c r="AH58" s="81" t="e" cm="1">
        <f t="array" aca="1" ref="AH58" ca="1">IF((AD58) &lt; (INDEX(ResponseSLA[#All],(MATCH((G58),ResponseSLA[Priority],0))+1,3)),"YES","No")</f>
        <v>#N/A</v>
      </c>
      <c r="AI58" s="81" t="str">
        <f>_xlfn.IFNA(IF(AE58 &lt; (INDEX(SLATable[Minimum SLA],MATCH(G58,SLATable[Priority],0))),"YES","NO"),"")</f>
        <v/>
      </c>
      <c r="AJ58" s="19" t="str">
        <f>_xlfn.IFNA(IF(AE58 &lt; (INDEX(SLATable[Maximum SLA],MATCH(G58,SLATable[Priority],0))),"YES","NO"),"")</f>
        <v/>
      </c>
    </row>
    <row r="59" spans="1:36" ht="15" customHeight="1">
      <c r="A59" s="78"/>
      <c r="B59" s="78"/>
      <c r="C59" s="78"/>
      <c r="D59" s="78"/>
      <c r="E59" s="78"/>
      <c r="F59" s="78"/>
      <c r="G59" s="78"/>
      <c r="H59" s="86"/>
      <c r="I59" s="78"/>
      <c r="J59" s="86"/>
      <c r="K59" s="277"/>
      <c r="L59" s="277"/>
      <c r="M59" s="277"/>
      <c r="N59" s="277"/>
      <c r="O59" s="80"/>
      <c r="P59" s="80"/>
      <c r="Q59" s="78"/>
      <c r="R59" s="78"/>
      <c r="S59" s="78"/>
      <c r="T59" s="78"/>
      <c r="U59" s="78"/>
      <c r="V59" s="78"/>
      <c r="W59" s="78"/>
      <c r="X59" s="78"/>
      <c r="Y59" s="78"/>
      <c r="Z59" s="167" t="e">
        <f t="shared" ca="1" si="0"/>
        <v>#N/A</v>
      </c>
      <c r="AA59" s="168" t="e">
        <f t="shared" ca="1" si="1"/>
        <v>#N/A</v>
      </c>
      <c r="AB59" s="167">
        <f t="shared" ca="1" si="2"/>
        <v>0</v>
      </c>
      <c r="AC59" s="168">
        <f t="shared" ca="1" si="3"/>
        <v>0</v>
      </c>
      <c r="AD59" s="191">
        <f t="shared" ca="1" si="4"/>
        <v>46259.633973495373</v>
      </c>
      <c r="AE59" s="167">
        <f t="shared" si="5"/>
        <v>0</v>
      </c>
      <c r="AF59" s="168">
        <f t="shared" si="6"/>
        <v>0</v>
      </c>
      <c r="AG59" s="168">
        <f t="shared" si="7"/>
        <v>0</v>
      </c>
      <c r="AH59" s="81" t="e" cm="1">
        <f t="array" aca="1" ref="AH59" ca="1">IF((AD59) &lt; (INDEX(ResponseSLA[#All],(MATCH((G59),ResponseSLA[Priority],0))+1,3)),"YES","No")</f>
        <v>#N/A</v>
      </c>
      <c r="AI59" s="81" t="str">
        <f>_xlfn.IFNA(IF(AE59 &lt; (INDEX(SLATable[Minimum SLA],MATCH(G59,SLATable[Priority],0))),"YES","NO"),"")</f>
        <v/>
      </c>
      <c r="AJ59" s="19" t="str">
        <f>_xlfn.IFNA(IF(AE59 &lt; (INDEX(SLATable[Maximum SLA],MATCH(G59,SLATable[Priority],0))),"YES","NO"),"")</f>
        <v/>
      </c>
    </row>
    <row r="60" spans="1:36" ht="15" customHeight="1">
      <c r="A60" s="78"/>
      <c r="B60" s="78"/>
      <c r="C60" s="78"/>
      <c r="D60" s="78"/>
      <c r="E60" s="120"/>
      <c r="F60" s="78"/>
      <c r="G60" s="78"/>
      <c r="H60" s="86"/>
      <c r="I60" s="78"/>
      <c r="J60" s="86"/>
      <c r="K60" s="277"/>
      <c r="L60" s="277"/>
      <c r="M60" s="277"/>
      <c r="N60" s="277"/>
      <c r="O60" s="80"/>
      <c r="P60" s="80"/>
      <c r="Q60" s="78"/>
      <c r="R60" s="78"/>
      <c r="S60" s="78"/>
      <c r="T60" s="78"/>
      <c r="U60" s="78"/>
      <c r="V60" s="78"/>
      <c r="W60" s="78"/>
      <c r="X60" s="78"/>
      <c r="Y60" s="78"/>
      <c r="Z60" s="167" t="e">
        <f t="shared" ca="1" si="0"/>
        <v>#N/A</v>
      </c>
      <c r="AA60" s="168" t="e">
        <f t="shared" ca="1" si="1"/>
        <v>#N/A</v>
      </c>
      <c r="AB60" s="167">
        <f t="shared" ca="1" si="2"/>
        <v>0</v>
      </c>
      <c r="AC60" s="168">
        <f t="shared" ca="1" si="3"/>
        <v>0</v>
      </c>
      <c r="AD60" s="191">
        <f t="shared" ca="1" si="4"/>
        <v>46259.633973495373</v>
      </c>
      <c r="AE60" s="167">
        <f t="shared" si="5"/>
        <v>0</v>
      </c>
      <c r="AF60" s="168">
        <f t="shared" si="6"/>
        <v>0</v>
      </c>
      <c r="AG60" s="168">
        <f t="shared" si="7"/>
        <v>0</v>
      </c>
      <c r="AH60" s="81" t="e" cm="1">
        <f t="array" aca="1" ref="AH60" ca="1">IF((AD60) &lt; (INDEX(ResponseSLA[#All],(MATCH((G60),ResponseSLA[Priority],0))+1,3)),"YES","No")</f>
        <v>#N/A</v>
      </c>
      <c r="AI60" s="81" t="str">
        <f>_xlfn.IFNA(IF(AE60 &lt; (INDEX(SLATable[Minimum SLA],MATCH(G60,SLATable[Priority],0))),"YES","NO"),"")</f>
        <v/>
      </c>
      <c r="AJ60" s="19" t="str">
        <f>_xlfn.IFNA(IF(AE60 &lt; (INDEX(SLATable[Maximum SLA],MATCH(G60,SLATable[Priority],0))),"YES","NO"),"")</f>
        <v/>
      </c>
    </row>
    <row r="61" spans="1:36" ht="15" customHeight="1">
      <c r="A61" s="78"/>
      <c r="B61" s="78"/>
      <c r="C61" s="78"/>
      <c r="D61" s="78"/>
      <c r="E61" s="78"/>
      <c r="F61" s="78"/>
      <c r="G61" s="78"/>
      <c r="H61" s="86"/>
      <c r="I61" s="78"/>
      <c r="J61" s="86"/>
      <c r="K61" s="277"/>
      <c r="L61" s="277"/>
      <c r="M61" s="277"/>
      <c r="N61" s="277"/>
      <c r="O61" s="80"/>
      <c r="P61" s="80"/>
      <c r="Q61" s="78"/>
      <c r="R61" s="78"/>
      <c r="S61" s="78"/>
      <c r="T61" s="78"/>
      <c r="U61" s="78"/>
      <c r="V61" s="78"/>
      <c r="W61" s="78"/>
      <c r="X61" s="78"/>
      <c r="Y61" s="78"/>
      <c r="Z61" s="167" t="e">
        <f t="shared" ca="1" si="0"/>
        <v>#N/A</v>
      </c>
      <c r="AA61" s="168" t="e">
        <f t="shared" ca="1" si="1"/>
        <v>#N/A</v>
      </c>
      <c r="AB61" s="167">
        <f t="shared" ca="1" si="2"/>
        <v>0</v>
      </c>
      <c r="AC61" s="168">
        <f t="shared" ca="1" si="3"/>
        <v>0</v>
      </c>
      <c r="AD61" s="191">
        <f t="shared" ca="1" si="4"/>
        <v>46259.633973495373</v>
      </c>
      <c r="AE61" s="167">
        <f t="shared" si="5"/>
        <v>0</v>
      </c>
      <c r="AF61" s="168">
        <f t="shared" si="6"/>
        <v>0</v>
      </c>
      <c r="AG61" s="168">
        <f t="shared" si="7"/>
        <v>0</v>
      </c>
      <c r="AH61" s="81" t="e" cm="1">
        <f t="array" aca="1" ref="AH61" ca="1">IF((AD61) &lt; (INDEX(ResponseSLA[#All],(MATCH((G61),ResponseSLA[Priority],0))+1,3)),"YES","No")</f>
        <v>#N/A</v>
      </c>
      <c r="AI61" s="81" t="str">
        <f>_xlfn.IFNA(IF(AE61 &lt; (INDEX(SLATable[Minimum SLA],MATCH(G61,SLATable[Priority],0))),"YES","NO"),"")</f>
        <v/>
      </c>
      <c r="AJ61" s="19" t="str">
        <f>_xlfn.IFNA(IF(AE61 &lt; (INDEX(SLATable[Maximum SLA],MATCH(G61,SLATable[Priority],0))),"YES","NO"),"")</f>
        <v/>
      </c>
    </row>
    <row r="62" spans="1:36" ht="15" customHeight="1">
      <c r="A62" s="78"/>
      <c r="B62" s="78"/>
      <c r="C62" s="78"/>
      <c r="D62" s="78"/>
      <c r="E62" s="78"/>
      <c r="F62" s="78"/>
      <c r="G62" s="78"/>
      <c r="H62" s="86"/>
      <c r="I62" s="78"/>
      <c r="J62" s="86"/>
      <c r="K62" s="277"/>
      <c r="L62" s="277"/>
      <c r="M62" s="277"/>
      <c r="N62" s="277"/>
      <c r="O62" s="80"/>
      <c r="P62" s="80"/>
      <c r="Q62" s="78"/>
      <c r="R62" s="78"/>
      <c r="S62" s="78"/>
      <c r="T62" s="78"/>
      <c r="U62" s="78"/>
      <c r="V62" s="78"/>
      <c r="W62" s="78"/>
      <c r="X62" s="78"/>
      <c r="Y62" s="78"/>
      <c r="Z62" s="167" t="e">
        <f t="shared" ca="1" si="0"/>
        <v>#N/A</v>
      </c>
      <c r="AA62" s="168" t="e">
        <f t="shared" ca="1" si="1"/>
        <v>#N/A</v>
      </c>
      <c r="AB62" s="167">
        <f t="shared" ca="1" si="2"/>
        <v>0</v>
      </c>
      <c r="AC62" s="168">
        <f t="shared" ca="1" si="3"/>
        <v>0</v>
      </c>
      <c r="AD62" s="191">
        <f t="shared" ca="1" si="4"/>
        <v>46259.633973495373</v>
      </c>
      <c r="AE62" s="167">
        <f t="shared" si="5"/>
        <v>0</v>
      </c>
      <c r="AF62" s="168">
        <f t="shared" si="6"/>
        <v>0</v>
      </c>
      <c r="AG62" s="168">
        <f t="shared" si="7"/>
        <v>0</v>
      </c>
      <c r="AH62" s="81" t="e" cm="1">
        <f t="array" aca="1" ref="AH62" ca="1">IF((AD62) &lt; (INDEX(ResponseSLA[#All],(MATCH((G62),ResponseSLA[Priority],0))+1,3)),"YES","No")</f>
        <v>#N/A</v>
      </c>
      <c r="AI62" s="81" t="str">
        <f>_xlfn.IFNA(IF(AE62 &lt; (INDEX(SLATable[Minimum SLA],MATCH(G62,SLATable[Priority],0))),"YES","NO"),"")</f>
        <v/>
      </c>
      <c r="AJ62" s="19" t="str">
        <f>_xlfn.IFNA(IF(AE62 &lt; (INDEX(SLATable[Maximum SLA],MATCH(G62,SLATable[Priority],0))),"YES","NO"),"")</f>
        <v/>
      </c>
    </row>
    <row r="63" spans="1:36" ht="15" customHeight="1">
      <c r="A63" s="78"/>
      <c r="B63" s="78"/>
      <c r="C63" s="78"/>
      <c r="D63" s="78"/>
      <c r="E63" s="78"/>
      <c r="F63" s="78"/>
      <c r="G63" s="78"/>
      <c r="H63" s="86"/>
      <c r="I63" s="78"/>
      <c r="J63" s="86"/>
      <c r="K63" s="277"/>
      <c r="L63" s="277"/>
      <c r="M63" s="277"/>
      <c r="N63" s="277"/>
      <c r="O63" s="80"/>
      <c r="P63" s="80"/>
      <c r="Q63" s="78"/>
      <c r="R63" s="78"/>
      <c r="S63" s="78"/>
      <c r="T63" s="78"/>
      <c r="U63" s="78"/>
      <c r="V63" s="78"/>
      <c r="W63" s="78"/>
      <c r="X63" s="78"/>
      <c r="Y63" s="78"/>
      <c r="Z63" s="167" t="e">
        <f t="shared" ca="1" si="0"/>
        <v>#N/A</v>
      </c>
      <c r="AA63" s="168" t="e">
        <f t="shared" ca="1" si="1"/>
        <v>#N/A</v>
      </c>
      <c r="AB63" s="167">
        <f t="shared" ca="1" si="2"/>
        <v>0</v>
      </c>
      <c r="AC63" s="168">
        <f t="shared" ca="1" si="3"/>
        <v>0</v>
      </c>
      <c r="AD63" s="191">
        <f t="shared" ca="1" si="4"/>
        <v>46259.633973495373</v>
      </c>
      <c r="AE63" s="167">
        <f t="shared" si="5"/>
        <v>0</v>
      </c>
      <c r="AF63" s="168">
        <f t="shared" si="6"/>
        <v>0</v>
      </c>
      <c r="AG63" s="168">
        <f t="shared" si="7"/>
        <v>0</v>
      </c>
      <c r="AH63" s="81" t="e" cm="1">
        <f t="array" aca="1" ref="AH63" ca="1">IF((AD63) &lt; (INDEX(ResponseSLA[#All],(MATCH((G63),ResponseSLA[Priority],0))+1,3)),"YES","No")</f>
        <v>#N/A</v>
      </c>
      <c r="AI63" s="81" t="str">
        <f>_xlfn.IFNA(IF(AE63 &lt; (INDEX(SLATable[Minimum SLA],MATCH(G63,SLATable[Priority],0))),"YES","NO"),"")</f>
        <v/>
      </c>
      <c r="AJ63" s="19" t="str">
        <f>_xlfn.IFNA(IF(AE63 &lt; (INDEX(SLATable[Maximum SLA],MATCH(G63,SLATable[Priority],0))),"YES","NO"),"")</f>
        <v/>
      </c>
    </row>
    <row r="64" spans="1:36" ht="15" customHeight="1">
      <c r="A64" s="78"/>
      <c r="B64" s="78"/>
      <c r="C64" s="78"/>
      <c r="D64" s="78"/>
      <c r="E64" s="78"/>
      <c r="F64" s="78"/>
      <c r="G64" s="78"/>
      <c r="H64" s="86"/>
      <c r="I64" s="78"/>
      <c r="J64" s="86"/>
      <c r="K64" s="277"/>
      <c r="L64" s="277"/>
      <c r="M64" s="277"/>
      <c r="N64" s="277"/>
      <c r="O64" s="80"/>
      <c r="P64" s="80"/>
      <c r="Q64" s="78"/>
      <c r="R64" s="78"/>
      <c r="S64" s="78"/>
      <c r="T64" s="78"/>
      <c r="U64" s="78"/>
      <c r="V64" s="78"/>
      <c r="W64" s="78"/>
      <c r="X64" s="78"/>
      <c r="Y64" s="78"/>
      <c r="Z64" s="167" t="e">
        <f t="shared" ca="1" si="0"/>
        <v>#N/A</v>
      </c>
      <c r="AA64" s="168" t="e">
        <f t="shared" ca="1" si="1"/>
        <v>#N/A</v>
      </c>
      <c r="AB64" s="167">
        <f t="shared" ca="1" si="2"/>
        <v>0</v>
      </c>
      <c r="AC64" s="168">
        <f t="shared" ca="1" si="3"/>
        <v>0</v>
      </c>
      <c r="AD64" s="191">
        <f t="shared" ca="1" si="4"/>
        <v>46259.633973495373</v>
      </c>
      <c r="AE64" s="167">
        <f t="shared" si="5"/>
        <v>0</v>
      </c>
      <c r="AF64" s="168">
        <f t="shared" si="6"/>
        <v>0</v>
      </c>
      <c r="AG64" s="168">
        <f t="shared" si="7"/>
        <v>0</v>
      </c>
      <c r="AH64" s="81" t="e" cm="1">
        <f t="array" aca="1" ref="AH64" ca="1">IF((AD64) &lt; (INDEX(ResponseSLA[#All],(MATCH((G64),ResponseSLA[Priority],0))+1,3)),"YES","No")</f>
        <v>#N/A</v>
      </c>
      <c r="AI64" s="81" t="str">
        <f>_xlfn.IFNA(IF(AE64 &lt; (INDEX(SLATable[Minimum SLA],MATCH(G64,SLATable[Priority],0))),"YES","NO"),"")</f>
        <v/>
      </c>
      <c r="AJ64" s="19" t="str">
        <f>_xlfn.IFNA(IF(AE64 &lt; (INDEX(SLATable[Maximum SLA],MATCH(G64,SLATable[Priority],0))),"YES","NO"),"")</f>
        <v/>
      </c>
    </row>
    <row r="65" spans="1:36" ht="15" customHeight="1">
      <c r="A65" s="78"/>
      <c r="B65" s="78"/>
      <c r="C65" s="78"/>
      <c r="D65" s="78"/>
      <c r="E65" s="78"/>
      <c r="F65" s="78"/>
      <c r="G65" s="78"/>
      <c r="H65" s="86"/>
      <c r="I65" s="78"/>
      <c r="J65" s="86"/>
      <c r="K65" s="277"/>
      <c r="L65" s="277"/>
      <c r="M65" s="277"/>
      <c r="N65" s="277"/>
      <c r="O65" s="80"/>
      <c r="P65" s="80"/>
      <c r="Q65" s="78"/>
      <c r="R65" s="78"/>
      <c r="S65" s="78"/>
      <c r="T65" s="78"/>
      <c r="U65" s="78"/>
      <c r="V65" s="78"/>
      <c r="W65" s="78"/>
      <c r="X65" s="78"/>
      <c r="Y65" s="78"/>
      <c r="Z65" s="167" t="e">
        <f t="shared" ca="1" si="0"/>
        <v>#N/A</v>
      </c>
      <c r="AA65" s="168" t="e">
        <f t="shared" ca="1" si="1"/>
        <v>#N/A</v>
      </c>
      <c r="AB65" s="167">
        <f t="shared" ca="1" si="2"/>
        <v>0</v>
      </c>
      <c r="AC65" s="168">
        <f t="shared" ca="1" si="3"/>
        <v>0</v>
      </c>
      <c r="AD65" s="191">
        <f t="shared" ca="1" si="4"/>
        <v>46259.633973495373</v>
      </c>
      <c r="AE65" s="167">
        <f t="shared" si="5"/>
        <v>0</v>
      </c>
      <c r="AF65" s="168">
        <f t="shared" si="6"/>
        <v>0</v>
      </c>
      <c r="AG65" s="168">
        <f t="shared" si="7"/>
        <v>0</v>
      </c>
      <c r="AH65" s="81" t="e" cm="1">
        <f t="array" aca="1" ref="AH65" ca="1">IF((AD65) &lt; (INDEX(ResponseSLA[#All],(MATCH((G65),ResponseSLA[Priority],0))+1,3)),"YES","No")</f>
        <v>#N/A</v>
      </c>
      <c r="AI65" s="81" t="str">
        <f>_xlfn.IFNA(IF(AE65 &lt; (INDEX(SLATable[Minimum SLA],MATCH(G65,SLATable[Priority],0))),"YES","NO"),"")</f>
        <v/>
      </c>
      <c r="AJ65" s="19" t="str">
        <f>_xlfn.IFNA(IF(AE65 &lt; (INDEX(SLATable[Maximum SLA],MATCH(G65,SLATable[Priority],0))),"YES","NO"),"")</f>
        <v/>
      </c>
    </row>
    <row r="66" spans="1:36" ht="15" customHeight="1">
      <c r="A66" s="78"/>
      <c r="B66" s="78"/>
      <c r="C66" s="78"/>
      <c r="D66" s="78"/>
      <c r="E66" s="78"/>
      <c r="F66" s="78"/>
      <c r="G66" s="78"/>
      <c r="H66" s="86"/>
      <c r="I66" s="78"/>
      <c r="J66" s="86"/>
      <c r="K66" s="277"/>
      <c r="L66" s="277"/>
      <c r="M66" s="277"/>
      <c r="N66" s="277"/>
      <c r="O66" s="80"/>
      <c r="P66" s="80"/>
      <c r="Q66" s="78"/>
      <c r="R66" s="78"/>
      <c r="S66" s="78"/>
      <c r="T66" s="78"/>
      <c r="U66" s="78"/>
      <c r="V66" s="78"/>
      <c r="W66" s="78"/>
      <c r="X66" s="78"/>
      <c r="Y66" s="78"/>
      <c r="Z66" s="167" t="e">
        <f t="shared" ref="Z66:Z129" ca="1" si="8">IF(NOT(OR(G66=1,G66=2)),MAX(0,_xlfn.IFS(AND(K66&lt;&gt;"",N66&lt;&gt;""),((MAX(NETWORKDAYS(K66,N66,UKBankHolidays)-1,0))*(TIME(17,0,0)-TIME(8,0,0))+IF(NETWORKDAYS(N66,N66,UKBankHolidays)&gt;0,MEDIAN(TIME(8,0,0),MOD(N66,1),TIME(17,0,0)),TIME(8,0,0))-IF(NETWORKDAYS(K66,K66,UKBankHolidays)&gt;0,MEDIAN(TIME(8,0,0),MOD(K66,1),TIME(17,0,0)),TIME(8,0,0)))-IF(AND(O66&lt;&gt;"",P66&lt;&gt;""),((MAX(NETWORKDAYS(O66,P66,UKBankHolidays)-1,0))*(TIME(17,0,0)-TIME(8,0,0))+IF(NETWORKDAYS(P66,P66,UKBankHolidays)&gt;0,MEDIAN(TIME(8,0,0),MOD(P66,1),TIME(17,0,0)),TIME(8,0,0))-IF(NETWORKDAYS(O66,O66,UKBankHolidays)&gt;0,MEDIAN(TIME(8,0,0),MOD(O66,1),TIME(17,0,0)),TIME(8,0,0))),0),AND(K66&lt;&gt;"",N66=""),((MAX(NETWORKDAYS(K66,NOW(),UKBankHolidays)-1,0))*(TIME(17,0,0)-TIME(8,0,0))+IF(NETWORKDAYS(NOW(),NOW(),UKBankHolidays)&gt;0,MEDIAN(TIME(8,0,0),MOD(NOW(),1),TIME(17,0,0)),TIME(8,0,0))-IF(NETWORKDAYS(K66,K66,UKBankHolidays)&gt;0,MEDIAN(TIME(8,0,0),MOD(K66,1),TIME(17,0,0)),TIME(8,0,0))))),IF(N66="",NOW()-K66,N66-K66))</f>
        <v>#N/A</v>
      </c>
      <c r="AA66" s="168" t="e">
        <f t="shared" ref="AA66:AA129" ca="1" si="9">(Z66*24)/9</f>
        <v>#N/A</v>
      </c>
      <c r="AB66" s="167">
        <f t="shared" ref="AB66:AB129" ca="1" si="10">IF(NOT(OR(G66=1,G66=2)),MAX(0,_xlfn.IFS(AND(K66&lt;&gt;"",N66&lt;&gt;""),(((MAX(NETWORKDAYS(L66,N66,UKBankHolidays)-1,0))*(TIME(17,0,0)-TIME(8,0,0)))+IF(NETWORKDAYS(N66,N66,UKBankHolidays)&gt;0,MEDIAN(TIME(8,0,0),MOD(N66,1),TIME(17,0,0)),TIME(8,0,0))-IF(NETWORKDAYS(L66,L66,UKBankHolidays)&gt;0,MEDIAN(TIME(8,0,0),MOD(L66,1),TIME(17,0,0)),TIME(8,0,0)))-IF(AND(O66&lt;&gt;"",P66&lt;&gt;""),(((MAX(NETWORKDAYS(O66,P66,UKBankHolidays)-1,0))*(TIME(17,0,0)-TIME(8,0,0)))+IF(NETWORKDAYS(P66,P66,UKBankHolidays)&gt;0,MEDIAN(TIME(8,0,0),MOD(P66,1),TIME(17,0,0)),TIME(8,0,0))-IF(NETWORKDAYS(O66,O66,UKBankHolidays)&gt;0,MEDIAN(TIME(8,0,0),MOD(O66,1),TIME(17,0,0)),TIME(8,0,0))),0),AND(L66&lt;&gt;"",N66="",O66=""),(((MAX(NETWORKDAYS(L66,NOW(),UKBankHolidays)-1,0))*(TIME(17,0,0)-TIME(8,0,0)))+IF(NETWORKDAYS(NOW(),NOW(),UKBankHolidays)&gt;0,MEDIAN(TIME(8,0,0),MOD(NOW(),1),TIME(17,0,0)),TIME(8,0,0))-IF(NETWORKDAYS(L66,L66,UKBankHolidays)&gt;0,MEDIAN(TIME(8,0,0),MOD(L66,1),TIME(17,0,0)),TIME(8,0,0)))-IF(AND(O66&lt;&gt;"",P66&lt;&gt;""),(((MAX(NETWORKDAYS(O66,P66,UKBankHolidays)-1,0))*(TIME(17,0,0)-TIME(8,0,0)))+IF(NETWORKDAYS(P66,P66,UKBankHolidays)&gt;0,MEDIAN(TIME(8,0,0),MOD(P66,1),TIME(17,0,0)),TIME(8,0,0))-IF(NETWORKDAYS(O66,O66,UKBankHolidays)&gt;0,MEDIAN(TIME(8,0,0),MOD(O66,1),TIME(17,0,0)),TIME(8,0,0))),0),AND(L66&lt;&gt;"",N66="",P66="",O66&lt;&gt;""),(((MAX(NETWORKDAYS(L66,O66,UKBankHolidays)-1,0))*(TIME(17,0,0)-TIME(8,0,0)))+IF(NETWORKDAYS(O66,O66,UKBankHolidays)&gt;0,MEDIAN(TIME(8,0,0),MOD(O66,1),TIME(17,0,0)),TIME(8,0,0))-IF(NETWORKDAYS(L66,L66,UKBankHolidays)&gt;0,MEDIAN(TIME(8,0,0),MOD(L66,1),TIME(17,0,0)),TIME(8,0,0))),ISBLANK(K66),"0")),IF(ISBLANK(N66),NOW()-L66,N66-L66))</f>
        <v>0</v>
      </c>
      <c r="AC66" s="168">
        <f t="shared" ref="AC66:AC129" ca="1" si="11">(AB66*24)/9</f>
        <v>0</v>
      </c>
      <c r="AD66" s="191">
        <f t="shared" ref="AD66:AD129" ca="1" si="12">MAX(0,
IF(
OR(G66=1,G66=2),
IF(M66&lt;&gt;"",M66-L66,NOW()-L66),
IF(
M66&lt;&gt;"",
IF(
INT(L66)=INT(M66),
IF(
NETWORKDAYS(L66,L66,UKBankHolidays)=0,
0,
MAX(
0,
MIN(MOD(M66,1),TIME(17,0,0))
-
MAX(MOD(L66,1),TIME(8,0,0))
)
),
MAX(
0,
IF(
NETWORKDAYS(L66,L66,UKBankHolidays)&gt;0,
TIME(17,0,0)-MAX(MOD(L66,1),TIME(8,0,0)),
0
)
)
+
MAX(
0,
NETWORKDAYS(INT(L66)+1,INT(M66)-1,UKBankHolidays)
*(TIME(17,0,0)-TIME(8,0,0))
)
+
MAX(
0,
IF(
NETWORKDAYS(M66,M66,UKBankHolidays)&gt;0,
MIN(MOD(M66,1),TIME(17,0,0))-TIME(8,0,0),
0
)
)
),
IF(M66&lt;&gt;"",M66-L66,NOW()-L66)
)
)
)</f>
        <v>46259.633973495373</v>
      </c>
      <c r="AE66" s="167">
        <f t="shared" ref="AE66:AE129" si="13">SUMIFS(AB:AB,E:E,E66)</f>
        <v>0</v>
      </c>
      <c r="AF66" s="168">
        <f t="shared" ref="AF66:AF129" si="14">(AE66*24)/9</f>
        <v>0</v>
      </c>
      <c r="AG66" s="168">
        <f t="shared" ref="AG66:AG129" si="15">AF66</f>
        <v>0</v>
      </c>
      <c r="AH66" s="81" t="e" cm="1">
        <f t="array" aca="1" ref="AH66" ca="1">IF((AD66) &lt; (INDEX(ResponseSLA[#All],(MATCH((G66),ResponseSLA[Priority],0))+1,3)),"YES","No")</f>
        <v>#N/A</v>
      </c>
      <c r="AI66" s="81" t="str">
        <f>_xlfn.IFNA(IF(AE66 &lt; (INDEX(SLATable[Minimum SLA],MATCH(G66,SLATable[Priority],0))),"YES","NO"),"")</f>
        <v/>
      </c>
      <c r="AJ66" s="19" t="str">
        <f>_xlfn.IFNA(IF(AE66 &lt; (INDEX(SLATable[Maximum SLA],MATCH(G66,SLATable[Priority],0))),"YES","NO"),"")</f>
        <v/>
      </c>
    </row>
    <row r="67" spans="1:36" ht="15" customHeight="1">
      <c r="A67" s="78"/>
      <c r="B67" s="78"/>
      <c r="C67" s="78"/>
      <c r="D67" s="78"/>
      <c r="E67" s="78"/>
      <c r="F67" s="78"/>
      <c r="G67" s="78"/>
      <c r="H67" s="86"/>
      <c r="I67" s="78"/>
      <c r="J67" s="86"/>
      <c r="K67" s="277"/>
      <c r="L67" s="277"/>
      <c r="M67" s="277"/>
      <c r="N67" s="277"/>
      <c r="O67" s="80"/>
      <c r="P67" s="80"/>
      <c r="Q67" s="78"/>
      <c r="R67" s="78"/>
      <c r="S67" s="78"/>
      <c r="T67" s="78"/>
      <c r="U67" s="78"/>
      <c r="V67" s="78"/>
      <c r="W67" s="78"/>
      <c r="X67" s="78"/>
      <c r="Y67" s="78"/>
      <c r="Z67" s="167" t="e">
        <f t="shared" ca="1" si="8"/>
        <v>#N/A</v>
      </c>
      <c r="AA67" s="168" t="e">
        <f t="shared" ca="1" si="9"/>
        <v>#N/A</v>
      </c>
      <c r="AB67" s="167">
        <f t="shared" ca="1" si="10"/>
        <v>0</v>
      </c>
      <c r="AC67" s="168">
        <f t="shared" ca="1" si="11"/>
        <v>0</v>
      </c>
      <c r="AD67" s="191">
        <f t="shared" ca="1" si="12"/>
        <v>46259.633973495373</v>
      </c>
      <c r="AE67" s="167">
        <f t="shared" si="13"/>
        <v>0</v>
      </c>
      <c r="AF67" s="168">
        <f t="shared" si="14"/>
        <v>0</v>
      </c>
      <c r="AG67" s="168">
        <f t="shared" si="15"/>
        <v>0</v>
      </c>
      <c r="AH67" s="81" t="e" cm="1">
        <f t="array" aca="1" ref="AH67" ca="1">IF((AD67) &lt; (INDEX(ResponseSLA[#All],(MATCH((G67),ResponseSLA[Priority],0))+1,3)),"YES","No")</f>
        <v>#N/A</v>
      </c>
      <c r="AI67" s="81" t="str">
        <f>_xlfn.IFNA(IF(AE67 &lt; (INDEX(SLATable[Minimum SLA],MATCH(G67,SLATable[Priority],0))),"YES","NO"),"")</f>
        <v/>
      </c>
      <c r="AJ67" s="19" t="str">
        <f>_xlfn.IFNA(IF(AE67 &lt; (INDEX(SLATable[Maximum SLA],MATCH(G67,SLATable[Priority],0))),"YES","NO"),"")</f>
        <v/>
      </c>
    </row>
    <row r="68" spans="1:36" ht="15" customHeight="1">
      <c r="A68" s="78"/>
      <c r="B68" s="78"/>
      <c r="C68" s="78"/>
      <c r="D68" s="78"/>
      <c r="E68" s="78"/>
      <c r="F68" s="78"/>
      <c r="G68" s="78"/>
      <c r="H68" s="86"/>
      <c r="I68" s="78"/>
      <c r="J68" s="86"/>
      <c r="K68" s="277"/>
      <c r="L68" s="277"/>
      <c r="M68" s="277"/>
      <c r="N68" s="277"/>
      <c r="O68" s="80"/>
      <c r="P68" s="80"/>
      <c r="Q68" s="78"/>
      <c r="R68" s="78"/>
      <c r="S68" s="78"/>
      <c r="T68" s="78"/>
      <c r="U68" s="78"/>
      <c r="V68" s="78"/>
      <c r="W68" s="78"/>
      <c r="X68" s="78"/>
      <c r="Y68" s="78"/>
      <c r="Z68" s="167" t="e">
        <f t="shared" ca="1" si="8"/>
        <v>#N/A</v>
      </c>
      <c r="AA68" s="168" t="e">
        <f t="shared" ca="1" si="9"/>
        <v>#N/A</v>
      </c>
      <c r="AB68" s="167">
        <f t="shared" ca="1" si="10"/>
        <v>0</v>
      </c>
      <c r="AC68" s="168">
        <f t="shared" ca="1" si="11"/>
        <v>0</v>
      </c>
      <c r="AD68" s="191">
        <f t="shared" ca="1" si="12"/>
        <v>46259.633973495373</v>
      </c>
      <c r="AE68" s="167">
        <f t="shared" si="13"/>
        <v>0</v>
      </c>
      <c r="AF68" s="168">
        <f t="shared" si="14"/>
        <v>0</v>
      </c>
      <c r="AG68" s="168">
        <f t="shared" si="15"/>
        <v>0</v>
      </c>
      <c r="AH68" s="81" t="e" cm="1">
        <f t="array" aca="1" ref="AH68" ca="1">IF((AD68) &lt; (INDEX(ResponseSLA[#All],(MATCH((G68),ResponseSLA[Priority],0))+1,3)),"YES","No")</f>
        <v>#N/A</v>
      </c>
      <c r="AI68" s="81" t="str">
        <f>_xlfn.IFNA(IF(AE68 &lt; (INDEX(SLATable[Minimum SLA],MATCH(G68,SLATable[Priority],0))),"YES","NO"),"")</f>
        <v/>
      </c>
      <c r="AJ68" s="19" t="str">
        <f>_xlfn.IFNA(IF(AE68 &lt; (INDEX(SLATable[Maximum SLA],MATCH(G68,SLATable[Priority],0))),"YES","NO"),"")</f>
        <v/>
      </c>
    </row>
    <row r="69" spans="1:36" ht="15" customHeight="1">
      <c r="A69" s="78"/>
      <c r="B69" s="78"/>
      <c r="C69" s="78"/>
      <c r="D69" s="78"/>
      <c r="E69" s="78"/>
      <c r="F69" s="78"/>
      <c r="G69" s="78"/>
      <c r="H69" s="86"/>
      <c r="I69" s="78"/>
      <c r="J69" s="86"/>
      <c r="K69" s="277"/>
      <c r="L69" s="277"/>
      <c r="M69" s="277"/>
      <c r="N69" s="277"/>
      <c r="O69" s="80"/>
      <c r="P69" s="80"/>
      <c r="Q69" s="78"/>
      <c r="R69" s="78"/>
      <c r="S69" s="78"/>
      <c r="T69" s="78"/>
      <c r="U69" s="78"/>
      <c r="V69" s="78"/>
      <c r="W69" s="78"/>
      <c r="X69" s="78"/>
      <c r="Y69" s="78"/>
      <c r="Z69" s="167" t="e">
        <f t="shared" ca="1" si="8"/>
        <v>#N/A</v>
      </c>
      <c r="AA69" s="168" t="e">
        <f t="shared" ca="1" si="9"/>
        <v>#N/A</v>
      </c>
      <c r="AB69" s="167">
        <f t="shared" ca="1" si="10"/>
        <v>0</v>
      </c>
      <c r="AC69" s="168">
        <f t="shared" ca="1" si="11"/>
        <v>0</v>
      </c>
      <c r="AD69" s="191">
        <f t="shared" ca="1" si="12"/>
        <v>46259.633973495373</v>
      </c>
      <c r="AE69" s="167">
        <f t="shared" si="13"/>
        <v>0</v>
      </c>
      <c r="AF69" s="168">
        <f t="shared" si="14"/>
        <v>0</v>
      </c>
      <c r="AG69" s="168">
        <f t="shared" si="15"/>
        <v>0</v>
      </c>
      <c r="AH69" s="81" t="e" cm="1">
        <f t="array" aca="1" ref="AH69" ca="1">IF((AD69) &lt; (INDEX(ResponseSLA[#All],(MATCH((G69),ResponseSLA[Priority],0))+1,3)),"YES","No")</f>
        <v>#N/A</v>
      </c>
      <c r="AI69" s="81" t="str">
        <f>_xlfn.IFNA(IF(AE69 &lt; (INDEX(SLATable[Minimum SLA],MATCH(G69,SLATable[Priority],0))),"YES","NO"),"")</f>
        <v/>
      </c>
      <c r="AJ69" s="19" t="str">
        <f>_xlfn.IFNA(IF(AE69 &lt; (INDEX(SLATable[Maximum SLA],MATCH(G69,SLATable[Priority],0))),"YES","NO"),"")</f>
        <v/>
      </c>
    </row>
    <row r="70" spans="1:36" ht="15" customHeight="1">
      <c r="A70" s="78"/>
      <c r="B70" s="78"/>
      <c r="C70" s="78"/>
      <c r="D70" s="78"/>
      <c r="E70" s="78"/>
      <c r="F70" s="78"/>
      <c r="G70" s="78"/>
      <c r="H70" s="86"/>
      <c r="I70" s="78"/>
      <c r="J70" s="86"/>
      <c r="K70" s="277"/>
      <c r="L70" s="277"/>
      <c r="M70" s="277"/>
      <c r="N70" s="277"/>
      <c r="O70" s="80"/>
      <c r="P70" s="80"/>
      <c r="Q70" s="78"/>
      <c r="R70" s="78"/>
      <c r="S70" s="78"/>
      <c r="T70" s="78"/>
      <c r="U70" s="78"/>
      <c r="V70" s="78"/>
      <c r="W70" s="78"/>
      <c r="X70" s="78"/>
      <c r="Y70" s="78"/>
      <c r="Z70" s="167" t="e">
        <f t="shared" ca="1" si="8"/>
        <v>#N/A</v>
      </c>
      <c r="AA70" s="168" t="e">
        <f t="shared" ca="1" si="9"/>
        <v>#N/A</v>
      </c>
      <c r="AB70" s="167">
        <f t="shared" ca="1" si="10"/>
        <v>0</v>
      </c>
      <c r="AC70" s="168">
        <f t="shared" ca="1" si="11"/>
        <v>0</v>
      </c>
      <c r="AD70" s="191">
        <f t="shared" ca="1" si="12"/>
        <v>46259.633973495373</v>
      </c>
      <c r="AE70" s="167">
        <f t="shared" si="13"/>
        <v>0</v>
      </c>
      <c r="AF70" s="168">
        <f t="shared" si="14"/>
        <v>0</v>
      </c>
      <c r="AG70" s="168">
        <f t="shared" si="15"/>
        <v>0</v>
      </c>
      <c r="AH70" s="81" t="e" cm="1">
        <f t="array" aca="1" ref="AH70" ca="1">IF((AD70) &lt; (INDEX(ResponseSLA[#All],(MATCH((G70),ResponseSLA[Priority],0))+1,3)),"YES","No")</f>
        <v>#N/A</v>
      </c>
      <c r="AI70" s="81" t="str">
        <f>_xlfn.IFNA(IF(AE70 &lt; (INDEX(SLATable[Minimum SLA],MATCH(G70,SLATable[Priority],0))),"YES","NO"),"")</f>
        <v/>
      </c>
      <c r="AJ70" s="19" t="str">
        <f>_xlfn.IFNA(IF(AE70 &lt; (INDEX(SLATable[Maximum SLA],MATCH(G70,SLATable[Priority],0))),"YES","NO"),"")</f>
        <v/>
      </c>
    </row>
    <row r="71" spans="1:36" ht="15" customHeight="1">
      <c r="A71" s="78"/>
      <c r="B71" s="78"/>
      <c r="C71" s="78"/>
      <c r="D71" s="78"/>
      <c r="E71" s="78"/>
      <c r="F71" s="78"/>
      <c r="G71" s="78"/>
      <c r="H71" s="86"/>
      <c r="I71" s="78"/>
      <c r="J71" s="86"/>
      <c r="K71" s="277"/>
      <c r="L71" s="277"/>
      <c r="M71" s="277"/>
      <c r="N71" s="277"/>
      <c r="O71" s="80"/>
      <c r="P71" s="80"/>
      <c r="Q71" s="78"/>
      <c r="R71" s="78"/>
      <c r="S71" s="78"/>
      <c r="T71" s="78"/>
      <c r="U71" s="78"/>
      <c r="V71" s="78"/>
      <c r="W71" s="78"/>
      <c r="X71" s="78"/>
      <c r="Y71" s="78"/>
      <c r="Z71" s="167" t="e">
        <f t="shared" ca="1" si="8"/>
        <v>#N/A</v>
      </c>
      <c r="AA71" s="168" t="e">
        <f t="shared" ca="1" si="9"/>
        <v>#N/A</v>
      </c>
      <c r="AB71" s="167">
        <f t="shared" ca="1" si="10"/>
        <v>0</v>
      </c>
      <c r="AC71" s="168">
        <f t="shared" ca="1" si="11"/>
        <v>0</v>
      </c>
      <c r="AD71" s="191">
        <f t="shared" ca="1" si="12"/>
        <v>46259.633973495373</v>
      </c>
      <c r="AE71" s="167">
        <f t="shared" si="13"/>
        <v>0</v>
      </c>
      <c r="AF71" s="168">
        <f t="shared" si="14"/>
        <v>0</v>
      </c>
      <c r="AG71" s="168">
        <f t="shared" si="15"/>
        <v>0</v>
      </c>
      <c r="AH71" s="81" t="e" cm="1">
        <f t="array" aca="1" ref="AH71" ca="1">IF((AD71) &lt; (INDEX(ResponseSLA[#All],(MATCH((G71),ResponseSLA[Priority],0))+1,3)),"YES","No")</f>
        <v>#N/A</v>
      </c>
      <c r="AI71" s="81" t="str">
        <f>_xlfn.IFNA(IF(AE71 &lt; (INDEX(SLATable[Minimum SLA],MATCH(G71,SLATable[Priority],0))),"YES","NO"),"")</f>
        <v/>
      </c>
      <c r="AJ71" s="19" t="str">
        <f>_xlfn.IFNA(IF(AE71 &lt; (INDEX(SLATable[Maximum SLA],MATCH(G71,SLATable[Priority],0))),"YES","NO"),"")</f>
        <v/>
      </c>
    </row>
    <row r="72" spans="1:36" ht="15" customHeight="1">
      <c r="A72" s="78"/>
      <c r="B72" s="78"/>
      <c r="C72" s="78"/>
      <c r="D72" s="78"/>
      <c r="E72" s="78"/>
      <c r="F72" s="78"/>
      <c r="G72" s="78"/>
      <c r="H72" s="86"/>
      <c r="I72" s="78"/>
      <c r="J72" s="86"/>
      <c r="K72" s="277"/>
      <c r="L72" s="277"/>
      <c r="M72" s="277"/>
      <c r="N72" s="277"/>
      <c r="O72" s="80"/>
      <c r="P72" s="80"/>
      <c r="Q72" s="78"/>
      <c r="R72" s="78"/>
      <c r="S72" s="78"/>
      <c r="T72" s="78"/>
      <c r="U72" s="78"/>
      <c r="V72" s="78"/>
      <c r="W72" s="78"/>
      <c r="X72" s="78"/>
      <c r="Y72" s="78"/>
      <c r="Z72" s="167" t="e">
        <f t="shared" ca="1" si="8"/>
        <v>#N/A</v>
      </c>
      <c r="AA72" s="168" t="e">
        <f t="shared" ca="1" si="9"/>
        <v>#N/A</v>
      </c>
      <c r="AB72" s="167">
        <f t="shared" ca="1" si="10"/>
        <v>0</v>
      </c>
      <c r="AC72" s="168">
        <f t="shared" ca="1" si="11"/>
        <v>0</v>
      </c>
      <c r="AD72" s="191">
        <f t="shared" ca="1" si="12"/>
        <v>46259.633973495373</v>
      </c>
      <c r="AE72" s="167">
        <f t="shared" si="13"/>
        <v>0</v>
      </c>
      <c r="AF72" s="168">
        <f t="shared" si="14"/>
        <v>0</v>
      </c>
      <c r="AG72" s="168">
        <f t="shared" si="15"/>
        <v>0</v>
      </c>
      <c r="AH72" s="81" t="e" cm="1">
        <f t="array" aca="1" ref="AH72" ca="1">IF((AD72) &lt; (INDEX(ResponseSLA[#All],(MATCH((G72),ResponseSLA[Priority],0))+1,3)),"YES","No")</f>
        <v>#N/A</v>
      </c>
      <c r="AI72" s="81" t="str">
        <f>_xlfn.IFNA(IF(AE72 &lt; (INDEX(SLATable[Minimum SLA],MATCH(G72,SLATable[Priority],0))),"YES","NO"),"")</f>
        <v/>
      </c>
      <c r="AJ72" s="19" t="str">
        <f>_xlfn.IFNA(IF(AE72 &lt; (INDEX(SLATable[Maximum SLA],MATCH(G72,SLATable[Priority],0))),"YES","NO"),"")</f>
        <v/>
      </c>
    </row>
    <row r="73" spans="1:36" ht="15" customHeight="1">
      <c r="A73" s="78"/>
      <c r="B73" s="78"/>
      <c r="C73" s="78"/>
      <c r="D73" s="78"/>
      <c r="E73" s="78"/>
      <c r="F73" s="78"/>
      <c r="G73" s="78"/>
      <c r="H73" s="86"/>
      <c r="I73" s="78"/>
      <c r="J73" s="86"/>
      <c r="K73" s="277"/>
      <c r="L73" s="277"/>
      <c r="M73" s="277"/>
      <c r="N73" s="277"/>
      <c r="O73" s="80"/>
      <c r="P73" s="80"/>
      <c r="Q73" s="78"/>
      <c r="R73" s="78"/>
      <c r="S73" s="78"/>
      <c r="T73" s="78"/>
      <c r="U73" s="78"/>
      <c r="V73" s="78"/>
      <c r="W73" s="78"/>
      <c r="X73" s="78"/>
      <c r="Y73" s="78"/>
      <c r="Z73" s="167" t="e">
        <f t="shared" ca="1" si="8"/>
        <v>#N/A</v>
      </c>
      <c r="AA73" s="168" t="e">
        <f t="shared" ca="1" si="9"/>
        <v>#N/A</v>
      </c>
      <c r="AB73" s="167">
        <f t="shared" ca="1" si="10"/>
        <v>0</v>
      </c>
      <c r="AC73" s="168">
        <f t="shared" ca="1" si="11"/>
        <v>0</v>
      </c>
      <c r="AD73" s="191">
        <f t="shared" ca="1" si="12"/>
        <v>46259.633973495373</v>
      </c>
      <c r="AE73" s="167">
        <f t="shared" si="13"/>
        <v>0</v>
      </c>
      <c r="AF73" s="168">
        <f t="shared" si="14"/>
        <v>0</v>
      </c>
      <c r="AG73" s="168">
        <f t="shared" si="15"/>
        <v>0</v>
      </c>
      <c r="AH73" s="81" t="e" cm="1">
        <f t="array" aca="1" ref="AH73" ca="1">IF((AD73) &lt; (INDEX(ResponseSLA[#All],(MATCH((G73),ResponseSLA[Priority],0))+1,3)),"YES","No")</f>
        <v>#N/A</v>
      </c>
      <c r="AI73" s="81" t="str">
        <f>_xlfn.IFNA(IF(AE73 &lt; (INDEX(SLATable[Minimum SLA],MATCH(G73,SLATable[Priority],0))),"YES","NO"),"")</f>
        <v/>
      </c>
      <c r="AJ73" s="19" t="str">
        <f>_xlfn.IFNA(IF(AE73 &lt; (INDEX(SLATable[Maximum SLA],MATCH(G73,SLATable[Priority],0))),"YES","NO"),"")</f>
        <v/>
      </c>
    </row>
    <row r="74" spans="1:36" ht="15" customHeight="1">
      <c r="A74" s="78"/>
      <c r="B74" s="78"/>
      <c r="C74" s="78"/>
      <c r="D74" s="78"/>
      <c r="E74" s="78"/>
      <c r="F74" s="78"/>
      <c r="G74" s="78"/>
      <c r="H74" s="86"/>
      <c r="I74" s="78"/>
      <c r="J74" s="86"/>
      <c r="K74" s="277"/>
      <c r="L74" s="277"/>
      <c r="M74" s="277"/>
      <c r="N74" s="277"/>
      <c r="O74" s="80"/>
      <c r="P74" s="80"/>
      <c r="Q74" s="78"/>
      <c r="R74" s="78"/>
      <c r="S74" s="78"/>
      <c r="T74" s="78"/>
      <c r="U74" s="78"/>
      <c r="V74" s="78"/>
      <c r="W74" s="78"/>
      <c r="X74" s="78"/>
      <c r="Y74" s="78"/>
      <c r="Z74" s="167" t="e">
        <f t="shared" ca="1" si="8"/>
        <v>#N/A</v>
      </c>
      <c r="AA74" s="168" t="e">
        <f t="shared" ca="1" si="9"/>
        <v>#N/A</v>
      </c>
      <c r="AB74" s="167">
        <f t="shared" ca="1" si="10"/>
        <v>0</v>
      </c>
      <c r="AC74" s="168">
        <f t="shared" ca="1" si="11"/>
        <v>0</v>
      </c>
      <c r="AD74" s="191">
        <f t="shared" ca="1" si="12"/>
        <v>46259.633973495373</v>
      </c>
      <c r="AE74" s="167">
        <f t="shared" si="13"/>
        <v>0</v>
      </c>
      <c r="AF74" s="168">
        <f t="shared" si="14"/>
        <v>0</v>
      </c>
      <c r="AG74" s="168">
        <f t="shared" si="15"/>
        <v>0</v>
      </c>
      <c r="AH74" s="81" t="e" cm="1">
        <f t="array" aca="1" ref="AH74" ca="1">IF((AD74) &lt; (INDEX(ResponseSLA[#All],(MATCH((G74),ResponseSLA[Priority],0))+1,3)),"YES","No")</f>
        <v>#N/A</v>
      </c>
      <c r="AI74" s="81" t="str">
        <f>_xlfn.IFNA(IF(AE74 &lt; (INDEX(SLATable[Minimum SLA],MATCH(G74,SLATable[Priority],0))),"YES","NO"),"")</f>
        <v/>
      </c>
      <c r="AJ74" s="19" t="str">
        <f>_xlfn.IFNA(IF(AE74 &lt; (INDEX(SLATable[Maximum SLA],MATCH(G74,SLATable[Priority],0))),"YES","NO"),"")</f>
        <v/>
      </c>
    </row>
    <row r="75" spans="1:36" ht="15" customHeight="1">
      <c r="A75" s="78"/>
      <c r="B75" s="78"/>
      <c r="C75" s="78"/>
      <c r="D75" s="78"/>
      <c r="E75" s="78"/>
      <c r="F75" s="78"/>
      <c r="G75" s="78"/>
      <c r="H75" s="86"/>
      <c r="I75" s="78"/>
      <c r="J75" s="86"/>
      <c r="K75" s="277"/>
      <c r="L75" s="277"/>
      <c r="M75" s="277"/>
      <c r="N75" s="277"/>
      <c r="O75" s="80"/>
      <c r="P75" s="80"/>
      <c r="Q75" s="78"/>
      <c r="R75" s="78"/>
      <c r="S75" s="78"/>
      <c r="T75" s="78"/>
      <c r="U75" s="78"/>
      <c r="V75" s="78"/>
      <c r="W75" s="78"/>
      <c r="X75" s="78"/>
      <c r="Y75" s="78"/>
      <c r="Z75" s="167" t="e">
        <f t="shared" ca="1" si="8"/>
        <v>#N/A</v>
      </c>
      <c r="AA75" s="168" t="e">
        <f t="shared" ca="1" si="9"/>
        <v>#N/A</v>
      </c>
      <c r="AB75" s="167">
        <f t="shared" ca="1" si="10"/>
        <v>0</v>
      </c>
      <c r="AC75" s="168">
        <f t="shared" ca="1" si="11"/>
        <v>0</v>
      </c>
      <c r="AD75" s="191">
        <f t="shared" ca="1" si="12"/>
        <v>46259.633973495373</v>
      </c>
      <c r="AE75" s="167">
        <f t="shared" si="13"/>
        <v>0</v>
      </c>
      <c r="AF75" s="168">
        <f t="shared" si="14"/>
        <v>0</v>
      </c>
      <c r="AG75" s="168">
        <f t="shared" si="15"/>
        <v>0</v>
      </c>
      <c r="AH75" s="81" t="e" cm="1">
        <f t="array" aca="1" ref="AH75" ca="1">IF((AD75) &lt; (INDEX(ResponseSLA[#All],(MATCH((G75),ResponseSLA[Priority],0))+1,3)),"YES","No")</f>
        <v>#N/A</v>
      </c>
      <c r="AI75" s="81" t="str">
        <f>_xlfn.IFNA(IF(AE75 &lt; (INDEX(SLATable[Minimum SLA],MATCH(G75,SLATable[Priority],0))),"YES","NO"),"")</f>
        <v/>
      </c>
      <c r="AJ75" s="19" t="str">
        <f>_xlfn.IFNA(IF(AE75 &lt; (INDEX(SLATable[Maximum SLA],MATCH(G75,SLATable[Priority],0))),"YES","NO"),"")</f>
        <v/>
      </c>
    </row>
    <row r="76" spans="1:36" ht="15" customHeight="1">
      <c r="A76" s="78"/>
      <c r="B76" s="78"/>
      <c r="C76" s="78"/>
      <c r="D76" s="78"/>
      <c r="E76" s="78"/>
      <c r="F76" s="78"/>
      <c r="G76" s="78"/>
      <c r="H76" s="86"/>
      <c r="I76" s="78"/>
      <c r="J76" s="86"/>
      <c r="K76" s="277"/>
      <c r="L76" s="277"/>
      <c r="M76" s="277"/>
      <c r="N76" s="277"/>
      <c r="O76" s="80"/>
      <c r="P76" s="80"/>
      <c r="Q76" s="78"/>
      <c r="R76" s="78"/>
      <c r="S76" s="78"/>
      <c r="T76" s="78"/>
      <c r="U76" s="78"/>
      <c r="V76" s="78"/>
      <c r="W76" s="78"/>
      <c r="X76" s="78"/>
      <c r="Y76" s="78"/>
      <c r="Z76" s="167" t="e">
        <f t="shared" ca="1" si="8"/>
        <v>#N/A</v>
      </c>
      <c r="AA76" s="168" t="e">
        <f t="shared" ca="1" si="9"/>
        <v>#N/A</v>
      </c>
      <c r="AB76" s="167">
        <f t="shared" ca="1" si="10"/>
        <v>0</v>
      </c>
      <c r="AC76" s="168">
        <f t="shared" ca="1" si="11"/>
        <v>0</v>
      </c>
      <c r="AD76" s="191">
        <f t="shared" ca="1" si="12"/>
        <v>46259.633973495373</v>
      </c>
      <c r="AE76" s="167">
        <f t="shared" si="13"/>
        <v>0</v>
      </c>
      <c r="AF76" s="168">
        <f t="shared" si="14"/>
        <v>0</v>
      </c>
      <c r="AG76" s="168">
        <f t="shared" si="15"/>
        <v>0</v>
      </c>
      <c r="AH76" s="81" t="e" cm="1">
        <f t="array" aca="1" ref="AH76" ca="1">IF((AD76) &lt; (INDEX(ResponseSLA[#All],(MATCH((G76),ResponseSLA[Priority],0))+1,3)),"YES","No")</f>
        <v>#N/A</v>
      </c>
      <c r="AI76" s="81" t="str">
        <f>_xlfn.IFNA(IF(AE76 &lt; (INDEX(SLATable[Minimum SLA],MATCH(G76,SLATable[Priority],0))),"YES","NO"),"")</f>
        <v/>
      </c>
      <c r="AJ76" s="19" t="str">
        <f>_xlfn.IFNA(IF(AE76 &lt; (INDEX(SLATable[Maximum SLA],MATCH(G76,SLATable[Priority],0))),"YES","NO"),"")</f>
        <v/>
      </c>
    </row>
    <row r="77" spans="1:36" ht="15" customHeight="1">
      <c r="A77" s="78"/>
      <c r="B77" s="78"/>
      <c r="C77" s="78"/>
      <c r="D77" s="78"/>
      <c r="E77" s="78"/>
      <c r="F77" s="78"/>
      <c r="G77" s="78"/>
      <c r="H77" s="86"/>
      <c r="I77" s="78"/>
      <c r="J77" s="86"/>
      <c r="K77" s="277"/>
      <c r="L77" s="277"/>
      <c r="M77" s="277"/>
      <c r="N77" s="277"/>
      <c r="O77" s="80"/>
      <c r="P77" s="80"/>
      <c r="Q77" s="78"/>
      <c r="R77" s="78"/>
      <c r="S77" s="78"/>
      <c r="T77" s="78"/>
      <c r="U77" s="78"/>
      <c r="V77" s="78" t="s">
        <v>541</v>
      </c>
      <c r="W77" s="78"/>
      <c r="X77" s="78"/>
      <c r="Y77" s="78"/>
      <c r="Z77" s="167" t="e">
        <f t="shared" ca="1" si="8"/>
        <v>#N/A</v>
      </c>
      <c r="AA77" s="168" t="e">
        <f t="shared" ca="1" si="9"/>
        <v>#N/A</v>
      </c>
      <c r="AB77" s="167">
        <f t="shared" ca="1" si="10"/>
        <v>0</v>
      </c>
      <c r="AC77" s="168">
        <f t="shared" ca="1" si="11"/>
        <v>0</v>
      </c>
      <c r="AD77" s="191">
        <f t="shared" ca="1" si="12"/>
        <v>46259.633973495373</v>
      </c>
      <c r="AE77" s="167">
        <f t="shared" si="13"/>
        <v>0</v>
      </c>
      <c r="AF77" s="168">
        <f t="shared" si="14"/>
        <v>0</v>
      </c>
      <c r="AG77" s="168">
        <f t="shared" si="15"/>
        <v>0</v>
      </c>
      <c r="AH77" s="81" t="e" cm="1">
        <f t="array" aca="1" ref="AH77" ca="1">IF((AD77) &lt; (INDEX(ResponseSLA[#All],(MATCH((G77),ResponseSLA[Priority],0))+1,3)),"YES","No")</f>
        <v>#N/A</v>
      </c>
      <c r="AI77" s="81" t="str">
        <f>_xlfn.IFNA(IF(AE77 &lt; (INDEX(SLATable[Minimum SLA],MATCH(G77,SLATable[Priority],0))),"YES","NO"),"")</f>
        <v/>
      </c>
      <c r="AJ77" s="19" t="str">
        <f>_xlfn.IFNA(IF(AE77 &lt; (INDEX(SLATable[Maximum SLA],MATCH(G77,SLATable[Priority],0))),"YES","NO"),"")</f>
        <v/>
      </c>
    </row>
    <row r="78" spans="1:36" ht="15" customHeight="1">
      <c r="A78" s="78"/>
      <c r="B78" s="78"/>
      <c r="C78" s="78"/>
      <c r="D78" s="78"/>
      <c r="E78" s="78"/>
      <c r="F78" s="78"/>
      <c r="G78" s="78"/>
      <c r="H78" s="86"/>
      <c r="I78" s="78"/>
      <c r="J78" s="86"/>
      <c r="K78" s="277"/>
      <c r="L78" s="277"/>
      <c r="M78" s="277"/>
      <c r="N78" s="277"/>
      <c r="O78" s="80"/>
      <c r="P78" s="80"/>
      <c r="Q78" s="78"/>
      <c r="R78" s="78"/>
      <c r="S78" s="78"/>
      <c r="T78" s="78"/>
      <c r="U78" s="78"/>
      <c r="V78" s="78"/>
      <c r="W78" s="78"/>
      <c r="X78" s="78"/>
      <c r="Y78" s="78"/>
      <c r="Z78" s="167" t="e">
        <f t="shared" ca="1" si="8"/>
        <v>#N/A</v>
      </c>
      <c r="AA78" s="168" t="e">
        <f t="shared" ca="1" si="9"/>
        <v>#N/A</v>
      </c>
      <c r="AB78" s="167">
        <f t="shared" ca="1" si="10"/>
        <v>0</v>
      </c>
      <c r="AC78" s="168">
        <f t="shared" ca="1" si="11"/>
        <v>0</v>
      </c>
      <c r="AD78" s="191">
        <f t="shared" ca="1" si="12"/>
        <v>46259.633973495373</v>
      </c>
      <c r="AE78" s="167">
        <f t="shared" si="13"/>
        <v>0</v>
      </c>
      <c r="AF78" s="168">
        <f t="shared" si="14"/>
        <v>0</v>
      </c>
      <c r="AG78" s="168">
        <f t="shared" si="15"/>
        <v>0</v>
      </c>
      <c r="AH78" s="81" t="e" cm="1">
        <f t="array" aca="1" ref="AH78" ca="1">IF((AD78) &lt; (INDEX(ResponseSLA[#All],(MATCH((G78),ResponseSLA[Priority],0))+1,3)),"YES","No")</f>
        <v>#N/A</v>
      </c>
      <c r="AI78" s="81" t="str">
        <f>_xlfn.IFNA(IF(AE78 &lt; (INDEX(SLATable[Minimum SLA],MATCH(G78,SLATable[Priority],0))),"YES","NO"),"")</f>
        <v/>
      </c>
      <c r="AJ78" s="19" t="str">
        <f>_xlfn.IFNA(IF(AE78 &lt; (INDEX(SLATable[Maximum SLA],MATCH(G78,SLATable[Priority],0))),"YES","NO"),"")</f>
        <v/>
      </c>
    </row>
    <row r="79" spans="1:36" ht="15" customHeight="1">
      <c r="A79" s="78"/>
      <c r="B79" s="78"/>
      <c r="C79" s="78"/>
      <c r="D79" s="78"/>
      <c r="E79" s="120"/>
      <c r="F79" s="78"/>
      <c r="G79" s="78"/>
      <c r="H79" s="99"/>
      <c r="I79" s="78"/>
      <c r="J79" s="86"/>
      <c r="K79" s="277"/>
      <c r="L79" s="277"/>
      <c r="M79" s="277"/>
      <c r="N79" s="277"/>
      <c r="O79" s="80"/>
      <c r="P79" s="80"/>
      <c r="Q79" s="78"/>
      <c r="R79" s="78"/>
      <c r="S79" s="78"/>
      <c r="T79" s="78"/>
      <c r="U79" s="78"/>
      <c r="V79" s="78"/>
      <c r="W79" s="78"/>
      <c r="X79" s="78"/>
      <c r="Y79" s="78"/>
      <c r="Z79" s="167" t="e">
        <f t="shared" ca="1" si="8"/>
        <v>#N/A</v>
      </c>
      <c r="AA79" s="168" t="e">
        <f t="shared" ca="1" si="9"/>
        <v>#N/A</v>
      </c>
      <c r="AB79" s="167">
        <f t="shared" ca="1" si="10"/>
        <v>0</v>
      </c>
      <c r="AC79" s="168">
        <f t="shared" ca="1" si="11"/>
        <v>0</v>
      </c>
      <c r="AD79" s="191">
        <f t="shared" ca="1" si="12"/>
        <v>46259.633973495373</v>
      </c>
      <c r="AE79" s="167">
        <f t="shared" si="13"/>
        <v>0</v>
      </c>
      <c r="AF79" s="168">
        <f t="shared" si="14"/>
        <v>0</v>
      </c>
      <c r="AG79" s="168">
        <f t="shared" si="15"/>
        <v>0</v>
      </c>
      <c r="AH79" s="81" t="e" cm="1">
        <f t="array" aca="1" ref="AH79" ca="1">IF((AD79) &lt; (INDEX(ResponseSLA[#All],(MATCH((G79),ResponseSLA[Priority],0))+1,3)),"YES","No")</f>
        <v>#N/A</v>
      </c>
      <c r="AI79" s="81" t="str">
        <f>_xlfn.IFNA(IF(AE79 &lt; (INDEX(SLATable[Minimum SLA],MATCH(G79,SLATable[Priority],0))),"YES","NO"),"")</f>
        <v/>
      </c>
      <c r="AJ79" s="19" t="str">
        <f>_xlfn.IFNA(IF(AE79 &lt; (INDEX(SLATable[Maximum SLA],MATCH(G79,SLATable[Priority],0))),"YES","NO"),"")</f>
        <v/>
      </c>
    </row>
    <row r="80" spans="1:36" ht="15" customHeight="1">
      <c r="A80" s="78"/>
      <c r="B80" s="78"/>
      <c r="C80" s="78"/>
      <c r="D80" s="78"/>
      <c r="E80" s="78"/>
      <c r="F80" s="78"/>
      <c r="G80" s="78"/>
      <c r="H80" s="319"/>
      <c r="I80" s="78"/>
      <c r="J80" s="86"/>
      <c r="K80" s="277"/>
      <c r="L80" s="277"/>
      <c r="M80" s="277"/>
      <c r="N80" s="395"/>
      <c r="O80" s="80"/>
      <c r="P80" s="80"/>
      <c r="Q80" s="78"/>
      <c r="R80" s="78"/>
      <c r="S80" s="78"/>
      <c r="T80" s="78"/>
      <c r="U80" s="78"/>
      <c r="V80" s="78"/>
      <c r="W80" s="78"/>
      <c r="X80" s="78"/>
      <c r="Y80" s="78"/>
      <c r="Z80" s="167" t="e">
        <f t="shared" ca="1" si="8"/>
        <v>#N/A</v>
      </c>
      <c r="AA80" s="168" t="e">
        <f t="shared" ca="1" si="9"/>
        <v>#N/A</v>
      </c>
      <c r="AB80" s="167">
        <f t="shared" ca="1" si="10"/>
        <v>0</v>
      </c>
      <c r="AC80" s="168">
        <f t="shared" ca="1" si="11"/>
        <v>0</v>
      </c>
      <c r="AD80" s="191">
        <f t="shared" ca="1" si="12"/>
        <v>46259.633973495373</v>
      </c>
      <c r="AE80" s="167">
        <f t="shared" si="13"/>
        <v>0</v>
      </c>
      <c r="AF80" s="168">
        <f t="shared" si="14"/>
        <v>0</v>
      </c>
      <c r="AG80" s="168">
        <f t="shared" si="15"/>
        <v>0</v>
      </c>
      <c r="AH80" s="81" t="e" cm="1">
        <f t="array" aca="1" ref="AH80" ca="1">IF((AD80) &lt; (INDEX(ResponseSLA[#All],(MATCH((G80),ResponseSLA[Priority],0))+1,3)),"YES","No")</f>
        <v>#N/A</v>
      </c>
      <c r="AI80" s="81" t="str">
        <f>_xlfn.IFNA(IF(AE80 &lt; (INDEX(SLATable[Minimum SLA],MATCH(G80,SLATable[Priority],0))),"YES","NO"),"")</f>
        <v/>
      </c>
      <c r="AJ80" s="19" t="str">
        <f>_xlfn.IFNA(IF(AE80 &lt; (INDEX(SLATable[Maximum SLA],MATCH(G80,SLATable[Priority],0))),"YES","NO"),"")</f>
        <v/>
      </c>
    </row>
    <row r="81" spans="1:36" ht="15" customHeight="1">
      <c r="A81" s="78"/>
      <c r="B81" s="78"/>
      <c r="C81" s="78"/>
      <c r="D81" s="78"/>
      <c r="E81" s="78"/>
      <c r="F81" s="78"/>
      <c r="G81" s="78"/>
      <c r="H81" s="86"/>
      <c r="I81" s="78"/>
      <c r="J81" s="86"/>
      <c r="K81" s="277"/>
      <c r="L81" s="277"/>
      <c r="M81" s="277"/>
      <c r="N81" s="277"/>
      <c r="O81" s="80"/>
      <c r="P81" s="80"/>
      <c r="Q81" s="78"/>
      <c r="R81" s="78"/>
      <c r="S81" s="78"/>
      <c r="T81" s="78"/>
      <c r="U81" s="78"/>
      <c r="V81" s="78"/>
      <c r="W81" s="78"/>
      <c r="X81" s="78"/>
      <c r="Y81" s="78"/>
      <c r="Z81" s="167" t="e">
        <f t="shared" ca="1" si="8"/>
        <v>#N/A</v>
      </c>
      <c r="AA81" s="168" t="e">
        <f t="shared" ca="1" si="9"/>
        <v>#N/A</v>
      </c>
      <c r="AB81" s="167">
        <f t="shared" ca="1" si="10"/>
        <v>0</v>
      </c>
      <c r="AC81" s="168">
        <f t="shared" ca="1" si="11"/>
        <v>0</v>
      </c>
      <c r="AD81" s="191">
        <f t="shared" ca="1" si="12"/>
        <v>46259.633973495373</v>
      </c>
      <c r="AE81" s="167">
        <f t="shared" si="13"/>
        <v>0</v>
      </c>
      <c r="AF81" s="168">
        <f t="shared" si="14"/>
        <v>0</v>
      </c>
      <c r="AG81" s="168">
        <f t="shared" si="15"/>
        <v>0</v>
      </c>
      <c r="AH81" s="81" t="e" cm="1">
        <f t="array" aca="1" ref="AH81" ca="1">IF((AD81) &lt; (INDEX(ResponseSLA[#All],(MATCH((G81),ResponseSLA[Priority],0))+1,3)),"YES","No")</f>
        <v>#N/A</v>
      </c>
      <c r="AI81" s="81" t="str">
        <f>_xlfn.IFNA(IF(AE81 &lt; (INDEX(SLATable[Minimum SLA],MATCH(G81,SLATable[Priority],0))),"YES","NO"),"")</f>
        <v/>
      </c>
      <c r="AJ81" s="19" t="str">
        <f>_xlfn.IFNA(IF(AE81 &lt; (INDEX(SLATable[Maximum SLA],MATCH(G81,SLATable[Priority],0))),"YES","NO"),"")</f>
        <v/>
      </c>
    </row>
    <row r="82" spans="1:36" ht="15" customHeight="1">
      <c r="A82" s="78"/>
      <c r="B82" s="78"/>
      <c r="C82" s="78"/>
      <c r="D82" s="78"/>
      <c r="E82" s="78"/>
      <c r="F82" s="78"/>
      <c r="G82" s="78"/>
      <c r="H82" s="86"/>
      <c r="I82" s="78"/>
      <c r="J82" s="86"/>
      <c r="K82" s="277"/>
      <c r="L82" s="277"/>
      <c r="M82" s="277"/>
      <c r="N82" s="277"/>
      <c r="O82" s="80"/>
      <c r="P82" s="80"/>
      <c r="Q82" s="78"/>
      <c r="R82" s="78"/>
      <c r="S82" s="78"/>
      <c r="T82" s="78"/>
      <c r="U82" s="78"/>
      <c r="V82" s="78"/>
      <c r="W82" s="78"/>
      <c r="X82" s="78"/>
      <c r="Y82" s="78"/>
      <c r="Z82" s="167" t="e">
        <f t="shared" ca="1" si="8"/>
        <v>#N/A</v>
      </c>
      <c r="AA82" s="168" t="e">
        <f t="shared" ca="1" si="9"/>
        <v>#N/A</v>
      </c>
      <c r="AB82" s="167">
        <f t="shared" ca="1" si="10"/>
        <v>0</v>
      </c>
      <c r="AC82" s="168">
        <f t="shared" ca="1" si="11"/>
        <v>0</v>
      </c>
      <c r="AD82" s="191">
        <f t="shared" ca="1" si="12"/>
        <v>46259.633973495373</v>
      </c>
      <c r="AE82" s="167">
        <f t="shared" si="13"/>
        <v>0</v>
      </c>
      <c r="AF82" s="168">
        <f t="shared" si="14"/>
        <v>0</v>
      </c>
      <c r="AG82" s="168">
        <f t="shared" si="15"/>
        <v>0</v>
      </c>
      <c r="AH82" s="81" t="e" cm="1">
        <f t="array" aca="1" ref="AH82" ca="1">IF((AD82) &lt; (INDEX(ResponseSLA[#All],(MATCH((G82),ResponseSLA[Priority],0))+1,3)),"YES","No")</f>
        <v>#N/A</v>
      </c>
      <c r="AI82" s="81" t="str">
        <f>_xlfn.IFNA(IF(AE82 &lt; (INDEX(SLATable[Minimum SLA],MATCH(G82,SLATable[Priority],0))),"YES","NO"),"")</f>
        <v/>
      </c>
      <c r="AJ82" s="19" t="str">
        <f>_xlfn.IFNA(IF(AE82 &lt; (INDEX(SLATable[Maximum SLA],MATCH(G82,SLATable[Priority],0))),"YES","NO"),"")</f>
        <v/>
      </c>
    </row>
    <row r="83" spans="1:36" ht="15" customHeight="1">
      <c r="A83" s="78"/>
      <c r="B83" s="78"/>
      <c r="C83" s="78"/>
      <c r="D83" s="78"/>
      <c r="E83" s="78"/>
      <c r="F83" s="78"/>
      <c r="G83" s="78"/>
      <c r="H83" s="86"/>
      <c r="I83" s="78"/>
      <c r="J83" s="86"/>
      <c r="K83" s="277"/>
      <c r="L83" s="277"/>
      <c r="M83" s="277"/>
      <c r="N83" s="277"/>
      <c r="O83" s="80"/>
      <c r="P83" s="80"/>
      <c r="Q83" s="78"/>
      <c r="R83" s="78"/>
      <c r="S83" s="78"/>
      <c r="T83" s="78"/>
      <c r="U83" s="78"/>
      <c r="V83" s="78"/>
      <c r="W83" s="78"/>
      <c r="X83" s="78"/>
      <c r="Y83" s="78"/>
      <c r="Z83" s="167" t="e">
        <f t="shared" ca="1" si="8"/>
        <v>#N/A</v>
      </c>
      <c r="AA83" s="168" t="e">
        <f t="shared" ca="1" si="9"/>
        <v>#N/A</v>
      </c>
      <c r="AB83" s="167">
        <f t="shared" ca="1" si="10"/>
        <v>0</v>
      </c>
      <c r="AC83" s="168">
        <f t="shared" ca="1" si="11"/>
        <v>0</v>
      </c>
      <c r="AD83" s="191">
        <f t="shared" ca="1" si="12"/>
        <v>46259.633973495373</v>
      </c>
      <c r="AE83" s="167">
        <f t="shared" si="13"/>
        <v>0</v>
      </c>
      <c r="AF83" s="168">
        <f t="shared" si="14"/>
        <v>0</v>
      </c>
      <c r="AG83" s="168">
        <f t="shared" si="15"/>
        <v>0</v>
      </c>
      <c r="AH83" s="81" t="e" cm="1">
        <f t="array" aca="1" ref="AH83" ca="1">IF((AD83) &lt; (INDEX(ResponseSLA[#All],(MATCH((G83),ResponseSLA[Priority],0))+1,3)),"YES","No")</f>
        <v>#N/A</v>
      </c>
      <c r="AI83" s="81" t="str">
        <f>_xlfn.IFNA(IF(AE83 &lt; (INDEX(SLATable[Minimum SLA],MATCH(G83,SLATable[Priority],0))),"YES","NO"),"")</f>
        <v/>
      </c>
      <c r="AJ83" s="19" t="str">
        <f>_xlfn.IFNA(IF(AE83 &lt; (INDEX(SLATable[Maximum SLA],MATCH(G83,SLATable[Priority],0))),"YES","NO"),"")</f>
        <v/>
      </c>
    </row>
    <row r="84" spans="1:36" ht="15" customHeight="1">
      <c r="A84" s="78"/>
      <c r="B84" s="78"/>
      <c r="C84" s="78"/>
      <c r="D84" s="78"/>
      <c r="E84" s="78"/>
      <c r="F84" s="78"/>
      <c r="G84" s="78"/>
      <c r="H84" s="86"/>
      <c r="I84" s="78"/>
      <c r="J84" s="86"/>
      <c r="K84" s="277"/>
      <c r="L84" s="277"/>
      <c r="M84" s="277"/>
      <c r="N84" s="277"/>
      <c r="O84" s="80"/>
      <c r="P84" s="80"/>
      <c r="Q84" s="78"/>
      <c r="R84" s="78"/>
      <c r="S84" s="78"/>
      <c r="T84" s="78"/>
      <c r="U84" s="78"/>
      <c r="V84" s="78"/>
      <c r="W84" s="78"/>
      <c r="X84" s="78"/>
      <c r="Y84" s="78"/>
      <c r="Z84" s="167" t="e">
        <f t="shared" ca="1" si="8"/>
        <v>#N/A</v>
      </c>
      <c r="AA84" s="168" t="e">
        <f t="shared" ca="1" si="9"/>
        <v>#N/A</v>
      </c>
      <c r="AB84" s="167">
        <f t="shared" ca="1" si="10"/>
        <v>0</v>
      </c>
      <c r="AC84" s="168">
        <f t="shared" ca="1" si="11"/>
        <v>0</v>
      </c>
      <c r="AD84" s="191">
        <f t="shared" ca="1" si="12"/>
        <v>46259.633973495373</v>
      </c>
      <c r="AE84" s="167">
        <f t="shared" si="13"/>
        <v>0</v>
      </c>
      <c r="AF84" s="168">
        <f t="shared" si="14"/>
        <v>0</v>
      </c>
      <c r="AG84" s="168">
        <f t="shared" si="15"/>
        <v>0</v>
      </c>
      <c r="AH84" s="81" t="e" cm="1">
        <f t="array" aca="1" ref="AH84" ca="1">IF((AD84) &lt; (INDEX(ResponseSLA[#All],(MATCH((G84),ResponseSLA[Priority],0))+1,3)),"YES","No")</f>
        <v>#N/A</v>
      </c>
      <c r="AI84" s="81" t="str">
        <f>_xlfn.IFNA(IF(AE84 &lt; (INDEX(SLATable[Minimum SLA],MATCH(G84,SLATable[Priority],0))),"YES","NO"),"")</f>
        <v/>
      </c>
      <c r="AJ84" s="19" t="str">
        <f>_xlfn.IFNA(IF(AE84 &lt; (INDEX(SLATable[Maximum SLA],MATCH(G84,SLATable[Priority],0))),"YES","NO"),"")</f>
        <v/>
      </c>
    </row>
    <row r="85" spans="1:36" ht="15" customHeight="1">
      <c r="A85" s="78"/>
      <c r="B85" s="78"/>
      <c r="C85" s="78"/>
      <c r="D85" s="78"/>
      <c r="E85" s="78"/>
      <c r="F85" s="78"/>
      <c r="G85" s="78"/>
      <c r="H85" s="86"/>
      <c r="I85" s="78"/>
      <c r="J85" s="86"/>
      <c r="K85" s="277"/>
      <c r="L85" s="277"/>
      <c r="M85" s="277"/>
      <c r="N85" s="277"/>
      <c r="O85" s="80"/>
      <c r="P85" s="80"/>
      <c r="Q85" s="78"/>
      <c r="R85" s="78"/>
      <c r="S85" s="78"/>
      <c r="T85" s="78"/>
      <c r="U85" s="78"/>
      <c r="V85" s="78"/>
      <c r="W85" s="78"/>
      <c r="X85" s="78"/>
      <c r="Y85" s="78"/>
      <c r="Z85" s="167" t="e">
        <f t="shared" ca="1" si="8"/>
        <v>#N/A</v>
      </c>
      <c r="AA85" s="168" t="e">
        <f t="shared" ca="1" si="9"/>
        <v>#N/A</v>
      </c>
      <c r="AB85" s="167">
        <f t="shared" ca="1" si="10"/>
        <v>0</v>
      </c>
      <c r="AC85" s="168">
        <f t="shared" ca="1" si="11"/>
        <v>0</v>
      </c>
      <c r="AD85" s="191">
        <f t="shared" ca="1" si="12"/>
        <v>46259.633973495373</v>
      </c>
      <c r="AE85" s="167">
        <f t="shared" si="13"/>
        <v>0</v>
      </c>
      <c r="AF85" s="168">
        <f t="shared" si="14"/>
        <v>0</v>
      </c>
      <c r="AG85" s="168">
        <f t="shared" si="15"/>
        <v>0</v>
      </c>
      <c r="AH85" s="81" t="e" cm="1">
        <f t="array" aca="1" ref="AH85" ca="1">IF((AD85) &lt; (INDEX(ResponseSLA[#All],(MATCH((G85),ResponseSLA[Priority],0))+1,3)),"YES","No")</f>
        <v>#N/A</v>
      </c>
      <c r="AI85" s="81" t="str">
        <f>_xlfn.IFNA(IF(AE85 &lt; (INDEX(SLATable[Minimum SLA],MATCH(G85,SLATable[Priority],0))),"YES","NO"),"")</f>
        <v/>
      </c>
      <c r="AJ85" s="19" t="str">
        <f>_xlfn.IFNA(IF(AE85 &lt; (INDEX(SLATable[Maximum SLA],MATCH(G85,SLATable[Priority],0))),"YES","NO"),"")</f>
        <v/>
      </c>
    </row>
    <row r="86" spans="1:36" ht="15" customHeight="1">
      <c r="A86" s="78"/>
      <c r="B86" s="78"/>
      <c r="C86" s="78"/>
      <c r="D86" s="78"/>
      <c r="E86" s="19"/>
      <c r="F86" s="78"/>
      <c r="G86" s="78"/>
      <c r="H86" s="86"/>
      <c r="I86" s="78"/>
      <c r="J86" s="86"/>
      <c r="K86" s="277"/>
      <c r="L86" s="277"/>
      <c r="M86" s="277"/>
      <c r="N86" s="277"/>
      <c r="O86" s="80"/>
      <c r="P86" s="80"/>
      <c r="Q86" s="78"/>
      <c r="R86" s="78"/>
      <c r="S86" s="78"/>
      <c r="T86" s="78"/>
      <c r="U86" s="78"/>
      <c r="V86" s="78"/>
      <c r="W86" s="78"/>
      <c r="X86" s="78"/>
      <c r="Y86" s="78"/>
      <c r="Z86" s="167" t="e">
        <f t="shared" ca="1" si="8"/>
        <v>#N/A</v>
      </c>
      <c r="AA86" s="168" t="e">
        <f t="shared" ca="1" si="9"/>
        <v>#N/A</v>
      </c>
      <c r="AB86" s="167">
        <f t="shared" ca="1" si="10"/>
        <v>0</v>
      </c>
      <c r="AC86" s="168">
        <f t="shared" ca="1" si="11"/>
        <v>0</v>
      </c>
      <c r="AD86" s="191">
        <f t="shared" ca="1" si="12"/>
        <v>46259.633973495373</v>
      </c>
      <c r="AE86" s="167">
        <f t="shared" si="13"/>
        <v>0</v>
      </c>
      <c r="AF86" s="168">
        <f t="shared" si="14"/>
        <v>0</v>
      </c>
      <c r="AG86" s="168">
        <f t="shared" si="15"/>
        <v>0</v>
      </c>
      <c r="AH86" s="81" t="e" cm="1">
        <f t="array" aca="1" ref="AH86" ca="1">IF((AD86) &lt; (INDEX(ResponseSLA[#All],(MATCH((G86),ResponseSLA[Priority],0))+1,3)),"YES","No")</f>
        <v>#N/A</v>
      </c>
      <c r="AI86" s="81" t="str">
        <f>_xlfn.IFNA(IF(AE86 &lt; (INDEX(SLATable[Minimum SLA],MATCH(G86,SLATable[Priority],0))),"YES","NO"),"")</f>
        <v/>
      </c>
      <c r="AJ86" s="19" t="str">
        <f>_xlfn.IFNA(IF(AE86 &lt; (INDEX(SLATable[Maximum SLA],MATCH(G86,SLATable[Priority],0))),"YES","NO"),"")</f>
        <v/>
      </c>
    </row>
    <row r="87" spans="1:36" ht="15" customHeight="1">
      <c r="A87" s="78"/>
      <c r="B87" s="78"/>
      <c r="C87" s="78"/>
      <c r="D87" s="78"/>
      <c r="E87" s="19"/>
      <c r="F87" s="78"/>
      <c r="G87" s="78"/>
      <c r="H87" s="86"/>
      <c r="I87" s="78"/>
      <c r="J87" s="86"/>
      <c r="K87" s="277"/>
      <c r="L87" s="277"/>
      <c r="M87" s="277"/>
      <c r="N87" s="277"/>
      <c r="O87" s="80"/>
      <c r="P87" s="80"/>
      <c r="Q87" s="78"/>
      <c r="R87" s="78"/>
      <c r="S87" s="78"/>
      <c r="T87" s="78"/>
      <c r="U87" s="78"/>
      <c r="V87" s="78"/>
      <c r="W87" s="78"/>
      <c r="X87" s="78"/>
      <c r="Y87" s="78"/>
      <c r="Z87" s="167" t="e">
        <f t="shared" ca="1" si="8"/>
        <v>#N/A</v>
      </c>
      <c r="AA87" s="168" t="e">
        <f t="shared" ca="1" si="9"/>
        <v>#N/A</v>
      </c>
      <c r="AB87" s="167">
        <f t="shared" ca="1" si="10"/>
        <v>0</v>
      </c>
      <c r="AC87" s="168">
        <f t="shared" ca="1" si="11"/>
        <v>0</v>
      </c>
      <c r="AD87" s="191">
        <f t="shared" ca="1" si="12"/>
        <v>46259.633973495373</v>
      </c>
      <c r="AE87" s="167">
        <f t="shared" si="13"/>
        <v>0</v>
      </c>
      <c r="AF87" s="168">
        <f t="shared" si="14"/>
        <v>0</v>
      </c>
      <c r="AG87" s="168">
        <f t="shared" si="15"/>
        <v>0</v>
      </c>
      <c r="AH87" s="81" t="e" cm="1">
        <f t="array" aca="1" ref="AH87" ca="1">IF((AD87) &lt; (INDEX(ResponseSLA[#All],(MATCH((G87),ResponseSLA[Priority],0))+1,3)),"YES","No")</f>
        <v>#N/A</v>
      </c>
      <c r="AI87" s="81" t="str">
        <f>_xlfn.IFNA(IF(AE87 &lt; (INDEX(SLATable[Minimum SLA],MATCH(G87,SLATable[Priority],0))),"YES","NO"),"")</f>
        <v/>
      </c>
      <c r="AJ87" s="19" t="str">
        <f>_xlfn.IFNA(IF(AE87 &lt; (INDEX(SLATable[Maximum SLA],MATCH(G87,SLATable[Priority],0))),"YES","NO"),"")</f>
        <v/>
      </c>
    </row>
    <row r="88" spans="1:36" ht="15" customHeight="1">
      <c r="A88" s="78"/>
      <c r="B88" s="78"/>
      <c r="C88" s="78"/>
      <c r="D88" s="78"/>
      <c r="E88" s="78"/>
      <c r="F88" s="78"/>
      <c r="G88" s="78"/>
      <c r="H88" s="86"/>
      <c r="I88" s="78"/>
      <c r="J88" s="86"/>
      <c r="K88" s="277"/>
      <c r="L88" s="277"/>
      <c r="M88" s="277"/>
      <c r="N88" s="277"/>
      <c r="O88" s="80"/>
      <c r="P88" s="80"/>
      <c r="Q88" s="78"/>
      <c r="R88" s="78"/>
      <c r="S88" s="78"/>
      <c r="T88" s="78"/>
      <c r="U88" s="78"/>
      <c r="V88" s="78"/>
      <c r="W88" s="78"/>
      <c r="X88" s="78"/>
      <c r="Y88" s="78"/>
      <c r="Z88" s="167" t="e">
        <f t="shared" ca="1" si="8"/>
        <v>#N/A</v>
      </c>
      <c r="AA88" s="168" t="e">
        <f t="shared" ca="1" si="9"/>
        <v>#N/A</v>
      </c>
      <c r="AB88" s="167">
        <f t="shared" ca="1" si="10"/>
        <v>0</v>
      </c>
      <c r="AC88" s="168">
        <f t="shared" ca="1" si="11"/>
        <v>0</v>
      </c>
      <c r="AD88" s="191">
        <f t="shared" ca="1" si="12"/>
        <v>46259.633973495373</v>
      </c>
      <c r="AE88" s="167">
        <f t="shared" si="13"/>
        <v>0</v>
      </c>
      <c r="AF88" s="168">
        <f t="shared" si="14"/>
        <v>0</v>
      </c>
      <c r="AG88" s="168">
        <f t="shared" si="15"/>
        <v>0</v>
      </c>
      <c r="AH88" s="81" t="e" cm="1">
        <f t="array" aca="1" ref="AH88" ca="1">IF((AD88) &lt; (INDEX(ResponseSLA[#All],(MATCH((G88),ResponseSLA[Priority],0))+1,3)),"YES","No")</f>
        <v>#N/A</v>
      </c>
      <c r="AI88" s="81" t="str">
        <f>_xlfn.IFNA(IF(AE88 &lt; (INDEX(SLATable[Minimum SLA],MATCH(G88,SLATable[Priority],0))),"YES","NO"),"")</f>
        <v/>
      </c>
      <c r="AJ88" s="19" t="str">
        <f>_xlfn.IFNA(IF(AE88 &lt; (INDEX(SLATable[Maximum SLA],MATCH(G88,SLATable[Priority],0))),"YES","NO"),"")</f>
        <v/>
      </c>
    </row>
    <row r="89" spans="1:36" ht="15" customHeight="1">
      <c r="A89" s="78"/>
      <c r="B89" s="78"/>
      <c r="C89" s="78"/>
      <c r="D89" s="78"/>
      <c r="E89" s="78"/>
      <c r="F89" s="78"/>
      <c r="G89" s="78"/>
      <c r="H89" s="86"/>
      <c r="I89" s="78"/>
      <c r="J89" s="86"/>
      <c r="K89" s="277"/>
      <c r="L89" s="277"/>
      <c r="M89" s="277"/>
      <c r="N89" s="277"/>
      <c r="O89" s="80"/>
      <c r="P89" s="80"/>
      <c r="Q89" s="78"/>
      <c r="R89" s="78"/>
      <c r="S89" s="78"/>
      <c r="T89" s="78"/>
      <c r="U89" s="78"/>
      <c r="V89" s="78"/>
      <c r="W89" s="78"/>
      <c r="X89" s="78"/>
      <c r="Y89" s="78"/>
      <c r="Z89" s="167" t="e">
        <f t="shared" ca="1" si="8"/>
        <v>#N/A</v>
      </c>
      <c r="AA89" s="168" t="e">
        <f t="shared" ca="1" si="9"/>
        <v>#N/A</v>
      </c>
      <c r="AB89" s="167">
        <f t="shared" ca="1" si="10"/>
        <v>0</v>
      </c>
      <c r="AC89" s="168">
        <f t="shared" ca="1" si="11"/>
        <v>0</v>
      </c>
      <c r="AD89" s="191">
        <f t="shared" ca="1" si="12"/>
        <v>46259.633973495373</v>
      </c>
      <c r="AE89" s="167">
        <f t="shared" si="13"/>
        <v>0</v>
      </c>
      <c r="AF89" s="168">
        <f t="shared" si="14"/>
        <v>0</v>
      </c>
      <c r="AG89" s="168">
        <f t="shared" si="15"/>
        <v>0</v>
      </c>
      <c r="AH89" s="81" t="e" cm="1">
        <f t="array" aca="1" ref="AH89" ca="1">IF((AD89) &lt; (INDEX(ResponseSLA[#All],(MATCH((G89),ResponseSLA[Priority],0))+1,3)),"YES","No")</f>
        <v>#N/A</v>
      </c>
      <c r="AI89" s="81" t="str">
        <f>_xlfn.IFNA(IF(AE89 &lt; (INDEX(SLATable[Minimum SLA],MATCH(G89,SLATable[Priority],0))),"YES","NO"),"")</f>
        <v/>
      </c>
      <c r="AJ89" s="19" t="str">
        <f>_xlfn.IFNA(IF(AE89 &lt; (INDEX(SLATable[Maximum SLA],MATCH(G89,SLATable[Priority],0))),"YES","NO"),"")</f>
        <v/>
      </c>
    </row>
    <row r="90" spans="1:36" ht="15" customHeight="1">
      <c r="A90" s="78"/>
      <c r="B90" s="78"/>
      <c r="C90" s="78"/>
      <c r="D90" s="78"/>
      <c r="E90" s="78"/>
      <c r="F90" s="78"/>
      <c r="G90" s="78"/>
      <c r="H90" s="86"/>
      <c r="I90" s="78"/>
      <c r="J90" s="86"/>
      <c r="K90" s="277"/>
      <c r="L90" s="277"/>
      <c r="M90" s="277"/>
      <c r="N90" s="277"/>
      <c r="O90" s="80"/>
      <c r="P90" s="80"/>
      <c r="Q90" s="78"/>
      <c r="R90" s="78"/>
      <c r="S90" s="78"/>
      <c r="T90" s="78"/>
      <c r="U90" s="78"/>
      <c r="V90" s="78"/>
      <c r="W90" s="78"/>
      <c r="X90" s="78"/>
      <c r="Y90" s="78"/>
      <c r="Z90" s="167" t="e">
        <f t="shared" ca="1" si="8"/>
        <v>#N/A</v>
      </c>
      <c r="AA90" s="168" t="e">
        <f t="shared" ca="1" si="9"/>
        <v>#N/A</v>
      </c>
      <c r="AB90" s="167">
        <f t="shared" ca="1" si="10"/>
        <v>0</v>
      </c>
      <c r="AC90" s="168">
        <f t="shared" ca="1" si="11"/>
        <v>0</v>
      </c>
      <c r="AD90" s="191">
        <f t="shared" ca="1" si="12"/>
        <v>46259.633973495373</v>
      </c>
      <c r="AE90" s="167">
        <f t="shared" si="13"/>
        <v>0</v>
      </c>
      <c r="AF90" s="168">
        <f t="shared" si="14"/>
        <v>0</v>
      </c>
      <c r="AG90" s="168">
        <f t="shared" si="15"/>
        <v>0</v>
      </c>
      <c r="AH90" s="81" t="e" cm="1">
        <f t="array" aca="1" ref="AH90" ca="1">IF((AD90) &lt; (INDEX(ResponseSLA[#All],(MATCH((G90),ResponseSLA[Priority],0))+1,3)),"YES","No")</f>
        <v>#N/A</v>
      </c>
      <c r="AI90" s="81" t="str">
        <f>_xlfn.IFNA(IF(AE90 &lt; (INDEX(SLATable[Minimum SLA],MATCH(G90,SLATable[Priority],0))),"YES","NO"),"")</f>
        <v/>
      </c>
      <c r="AJ90" s="19" t="str">
        <f>_xlfn.IFNA(IF(AE90 &lt; (INDEX(SLATable[Maximum SLA],MATCH(G90,SLATable[Priority],0))),"YES","NO"),"")</f>
        <v/>
      </c>
    </row>
    <row r="91" spans="1:36" ht="15" customHeight="1">
      <c r="A91" s="78"/>
      <c r="B91" s="78"/>
      <c r="C91" s="78"/>
      <c r="D91" s="78"/>
      <c r="E91" s="78"/>
      <c r="F91" s="78"/>
      <c r="G91" s="78"/>
      <c r="H91" s="86"/>
      <c r="I91" s="78"/>
      <c r="J91" s="86"/>
      <c r="K91" s="277"/>
      <c r="L91" s="277"/>
      <c r="M91" s="277"/>
      <c r="N91" s="277"/>
      <c r="O91" s="80"/>
      <c r="P91" s="80"/>
      <c r="Q91" s="78"/>
      <c r="R91" s="78"/>
      <c r="S91" s="78"/>
      <c r="T91" s="78"/>
      <c r="U91" s="78"/>
      <c r="V91" s="78" t="s">
        <v>572</v>
      </c>
      <c r="W91" s="78"/>
      <c r="X91" s="78"/>
      <c r="Y91" s="78"/>
      <c r="Z91" s="167" t="e">
        <f t="shared" ca="1" si="8"/>
        <v>#N/A</v>
      </c>
      <c r="AA91" s="168" t="e">
        <f t="shared" ca="1" si="9"/>
        <v>#N/A</v>
      </c>
      <c r="AB91" s="167">
        <f t="shared" ca="1" si="10"/>
        <v>0</v>
      </c>
      <c r="AC91" s="168">
        <f t="shared" ca="1" si="11"/>
        <v>0</v>
      </c>
      <c r="AD91" s="191">
        <f t="shared" ca="1" si="12"/>
        <v>46259.633973495373</v>
      </c>
      <c r="AE91" s="167">
        <f t="shared" si="13"/>
        <v>0</v>
      </c>
      <c r="AF91" s="168">
        <f t="shared" si="14"/>
        <v>0</v>
      </c>
      <c r="AG91" s="168">
        <f t="shared" si="15"/>
        <v>0</v>
      </c>
      <c r="AH91" s="81" t="e" cm="1">
        <f t="array" aca="1" ref="AH91" ca="1">IF((AD91) &lt; (INDEX(ResponseSLA[#All],(MATCH((G91),ResponseSLA[Priority],0))+1,3)),"YES","No")</f>
        <v>#N/A</v>
      </c>
      <c r="AI91" s="81" t="str">
        <f>_xlfn.IFNA(IF(AE91 &lt; (INDEX(SLATable[Minimum SLA],MATCH(G91,SLATable[Priority],0))),"YES","NO"),"")</f>
        <v/>
      </c>
      <c r="AJ91" s="19" t="str">
        <f>_xlfn.IFNA(IF(AE91 &lt; (INDEX(SLATable[Maximum SLA],MATCH(G91,SLATable[Priority],0))),"YES","NO"),"")</f>
        <v/>
      </c>
    </row>
    <row r="92" spans="1:36" ht="15" customHeight="1">
      <c r="A92" s="78"/>
      <c r="B92" s="78"/>
      <c r="C92" s="78"/>
      <c r="D92" s="78"/>
      <c r="E92" s="78"/>
      <c r="F92" s="78"/>
      <c r="G92" s="78"/>
      <c r="H92" s="86"/>
      <c r="I92" s="78"/>
      <c r="J92" s="86"/>
      <c r="K92" s="277"/>
      <c r="L92" s="277"/>
      <c r="M92" s="277"/>
      <c r="N92" s="277"/>
      <c r="O92" s="80"/>
      <c r="P92" s="80"/>
      <c r="Q92" s="78"/>
      <c r="R92" s="78"/>
      <c r="S92" s="78"/>
      <c r="T92" s="78"/>
      <c r="U92" s="78"/>
      <c r="V92" s="78"/>
      <c r="W92" s="78"/>
      <c r="X92" s="78"/>
      <c r="Y92" s="78"/>
      <c r="Z92" s="167" t="e">
        <f t="shared" ca="1" si="8"/>
        <v>#N/A</v>
      </c>
      <c r="AA92" s="168" t="e">
        <f t="shared" ca="1" si="9"/>
        <v>#N/A</v>
      </c>
      <c r="AB92" s="167">
        <f t="shared" ca="1" si="10"/>
        <v>0</v>
      </c>
      <c r="AC92" s="168">
        <f t="shared" ca="1" si="11"/>
        <v>0</v>
      </c>
      <c r="AD92" s="191">
        <f t="shared" ca="1" si="12"/>
        <v>46259.633973495373</v>
      </c>
      <c r="AE92" s="167">
        <f t="shared" si="13"/>
        <v>0</v>
      </c>
      <c r="AF92" s="168">
        <f t="shared" si="14"/>
        <v>0</v>
      </c>
      <c r="AG92" s="168">
        <f t="shared" si="15"/>
        <v>0</v>
      </c>
      <c r="AH92" s="81" t="e" cm="1">
        <f t="array" aca="1" ref="AH92" ca="1">IF((AD92) &lt; (INDEX(ResponseSLA[#All],(MATCH((G92),ResponseSLA[Priority],0))+1,3)),"YES","No")</f>
        <v>#N/A</v>
      </c>
      <c r="AI92" s="81" t="str">
        <f>_xlfn.IFNA(IF(AE92 &lt; (INDEX(SLATable[Minimum SLA],MATCH(G92,SLATable[Priority],0))),"YES","NO"),"")</f>
        <v/>
      </c>
      <c r="AJ92" s="19" t="str">
        <f>_xlfn.IFNA(IF(AE92 &lt; (INDEX(SLATable[Maximum SLA],MATCH(G92,SLATable[Priority],0))),"YES","NO"),"")</f>
        <v/>
      </c>
    </row>
    <row r="93" spans="1:36" ht="15" customHeight="1">
      <c r="A93" s="78"/>
      <c r="B93" s="78"/>
      <c r="C93" s="78"/>
      <c r="D93" s="78"/>
      <c r="E93" s="78"/>
      <c r="F93" s="78"/>
      <c r="G93" s="78"/>
      <c r="H93" s="86"/>
      <c r="I93" s="78"/>
      <c r="J93" s="86"/>
      <c r="K93" s="277"/>
      <c r="L93" s="277"/>
      <c r="M93" s="277"/>
      <c r="N93" s="277"/>
      <c r="O93" s="80"/>
      <c r="P93" s="80"/>
      <c r="Q93" s="78"/>
      <c r="R93" s="78"/>
      <c r="S93" s="78"/>
      <c r="T93" s="78"/>
      <c r="U93" s="78"/>
      <c r="V93" s="78"/>
      <c r="W93" s="78"/>
      <c r="X93" s="78"/>
      <c r="Y93" s="78"/>
      <c r="Z93" s="167" t="e">
        <f t="shared" ca="1" si="8"/>
        <v>#N/A</v>
      </c>
      <c r="AA93" s="168" t="e">
        <f t="shared" ca="1" si="9"/>
        <v>#N/A</v>
      </c>
      <c r="AB93" s="167">
        <f t="shared" ca="1" si="10"/>
        <v>0</v>
      </c>
      <c r="AC93" s="168">
        <f t="shared" ca="1" si="11"/>
        <v>0</v>
      </c>
      <c r="AD93" s="191">
        <f t="shared" ca="1" si="12"/>
        <v>46259.633973495373</v>
      </c>
      <c r="AE93" s="167">
        <f t="shared" si="13"/>
        <v>0</v>
      </c>
      <c r="AF93" s="168">
        <f t="shared" si="14"/>
        <v>0</v>
      </c>
      <c r="AG93" s="168">
        <f t="shared" si="15"/>
        <v>0</v>
      </c>
      <c r="AH93" s="81" t="e" cm="1">
        <f t="array" aca="1" ref="AH93" ca="1">IF((AD93) &lt; (INDEX(ResponseSLA[#All],(MATCH((G93),ResponseSLA[Priority],0))+1,3)),"YES","No")</f>
        <v>#N/A</v>
      </c>
      <c r="AI93" s="81" t="str">
        <f>_xlfn.IFNA(IF(AE93 &lt; (INDEX(SLATable[Minimum SLA],MATCH(G93,SLATable[Priority],0))),"YES","NO"),"")</f>
        <v/>
      </c>
      <c r="AJ93" s="19" t="str">
        <f>_xlfn.IFNA(IF(AE93 &lt; (INDEX(SLATable[Maximum SLA],MATCH(G93,SLATable[Priority],0))),"YES","NO"),"")</f>
        <v/>
      </c>
    </row>
    <row r="94" spans="1:36" ht="15" customHeight="1">
      <c r="A94" s="78"/>
      <c r="B94" s="78"/>
      <c r="C94" s="78"/>
      <c r="D94" s="78"/>
      <c r="E94" s="78"/>
      <c r="F94" s="78"/>
      <c r="G94" s="78"/>
      <c r="H94" s="86"/>
      <c r="I94" s="78"/>
      <c r="J94" s="86"/>
      <c r="K94" s="277"/>
      <c r="L94" s="277"/>
      <c r="M94" s="277"/>
      <c r="N94" s="277"/>
      <c r="O94" s="80"/>
      <c r="P94" s="80"/>
      <c r="Q94" s="78"/>
      <c r="R94" s="78"/>
      <c r="S94" s="78"/>
      <c r="T94" s="78"/>
      <c r="U94" s="78"/>
      <c r="V94" s="78"/>
      <c r="W94" s="78"/>
      <c r="X94" s="78"/>
      <c r="Y94" s="78"/>
      <c r="Z94" s="167" t="e">
        <f t="shared" ca="1" si="8"/>
        <v>#N/A</v>
      </c>
      <c r="AA94" s="168" t="e">
        <f t="shared" ca="1" si="9"/>
        <v>#N/A</v>
      </c>
      <c r="AB94" s="167">
        <f t="shared" ca="1" si="10"/>
        <v>0</v>
      </c>
      <c r="AC94" s="168">
        <f t="shared" ca="1" si="11"/>
        <v>0</v>
      </c>
      <c r="AD94" s="191">
        <f t="shared" ca="1" si="12"/>
        <v>46259.633973495373</v>
      </c>
      <c r="AE94" s="167">
        <f t="shared" si="13"/>
        <v>0</v>
      </c>
      <c r="AF94" s="168">
        <f t="shared" si="14"/>
        <v>0</v>
      </c>
      <c r="AG94" s="168">
        <f t="shared" si="15"/>
        <v>0</v>
      </c>
      <c r="AH94" s="81" t="e" cm="1">
        <f t="array" aca="1" ref="AH94" ca="1">IF((AD94) &lt; (INDEX(ResponseSLA[#All],(MATCH((G94),ResponseSLA[Priority],0))+1,3)),"YES","No")</f>
        <v>#N/A</v>
      </c>
      <c r="AI94" s="81" t="str">
        <f>_xlfn.IFNA(IF(AE94 &lt; (INDEX(SLATable[Minimum SLA],MATCH(G94,SLATable[Priority],0))),"YES","NO"),"")</f>
        <v/>
      </c>
      <c r="AJ94" s="19" t="str">
        <f>_xlfn.IFNA(IF(AE94 &lt; (INDEX(SLATable[Maximum SLA],MATCH(G94,SLATable[Priority],0))),"YES","NO"),"")</f>
        <v/>
      </c>
    </row>
    <row r="95" spans="1:36" ht="15" customHeight="1">
      <c r="A95" s="78"/>
      <c r="B95" s="78"/>
      <c r="C95" s="78"/>
      <c r="D95" s="78"/>
      <c r="E95" s="78"/>
      <c r="F95" s="78"/>
      <c r="G95" s="78"/>
      <c r="H95" s="86"/>
      <c r="I95" s="78"/>
      <c r="J95" s="86"/>
      <c r="K95" s="277"/>
      <c r="L95" s="277"/>
      <c r="M95" s="277"/>
      <c r="N95" s="277"/>
      <c r="O95" s="80"/>
      <c r="P95" s="80"/>
      <c r="Q95" s="78"/>
      <c r="R95" s="78"/>
      <c r="S95" s="78"/>
      <c r="T95" s="78"/>
      <c r="U95" s="78"/>
      <c r="V95" s="78"/>
      <c r="W95" s="78"/>
      <c r="X95" s="78"/>
      <c r="Y95" s="78"/>
      <c r="Z95" s="167" t="e">
        <f t="shared" ca="1" si="8"/>
        <v>#N/A</v>
      </c>
      <c r="AA95" s="168" t="e">
        <f t="shared" ca="1" si="9"/>
        <v>#N/A</v>
      </c>
      <c r="AB95" s="167">
        <f t="shared" ca="1" si="10"/>
        <v>0</v>
      </c>
      <c r="AC95" s="168">
        <f t="shared" ca="1" si="11"/>
        <v>0</v>
      </c>
      <c r="AD95" s="191">
        <f t="shared" ca="1" si="12"/>
        <v>46259.633973495373</v>
      </c>
      <c r="AE95" s="167">
        <f t="shared" si="13"/>
        <v>0</v>
      </c>
      <c r="AF95" s="168">
        <f t="shared" si="14"/>
        <v>0</v>
      </c>
      <c r="AG95" s="168">
        <f t="shared" si="15"/>
        <v>0</v>
      </c>
      <c r="AH95" s="81" t="e" cm="1">
        <f t="array" aca="1" ref="AH95" ca="1">IF((AD95) &lt; (INDEX(ResponseSLA[#All],(MATCH((G95),ResponseSLA[Priority],0))+1,3)),"YES","No")</f>
        <v>#N/A</v>
      </c>
      <c r="AI95" s="81" t="str">
        <f>_xlfn.IFNA(IF(AE95 &lt; (INDEX(SLATable[Minimum SLA],MATCH(G95,SLATable[Priority],0))),"YES","NO"),"")</f>
        <v/>
      </c>
      <c r="AJ95" s="19" t="str">
        <f>_xlfn.IFNA(IF(AE95 &lt; (INDEX(SLATable[Maximum SLA],MATCH(G95,SLATable[Priority],0))),"YES","NO"),"")</f>
        <v/>
      </c>
    </row>
    <row r="96" spans="1:36" ht="15" customHeight="1">
      <c r="A96" s="78"/>
      <c r="B96" s="78"/>
      <c r="C96" s="78"/>
      <c r="D96" s="78"/>
      <c r="E96" s="78"/>
      <c r="F96" s="78"/>
      <c r="G96" s="78"/>
      <c r="H96" s="86"/>
      <c r="I96" s="78"/>
      <c r="J96" s="86"/>
      <c r="K96" s="277"/>
      <c r="L96" s="277"/>
      <c r="M96" s="277"/>
      <c r="N96" s="277"/>
      <c r="O96" s="80"/>
      <c r="P96" s="80"/>
      <c r="Q96" s="78"/>
      <c r="R96" s="78"/>
      <c r="S96" s="78"/>
      <c r="T96" s="78"/>
      <c r="U96" s="78"/>
      <c r="V96" s="78"/>
      <c r="W96" s="78"/>
      <c r="X96" s="78"/>
      <c r="Y96" s="78"/>
      <c r="Z96" s="167" t="e">
        <f t="shared" ca="1" si="8"/>
        <v>#N/A</v>
      </c>
      <c r="AA96" s="168" t="e">
        <f t="shared" ca="1" si="9"/>
        <v>#N/A</v>
      </c>
      <c r="AB96" s="167">
        <f t="shared" ca="1" si="10"/>
        <v>0</v>
      </c>
      <c r="AC96" s="168">
        <f t="shared" ca="1" si="11"/>
        <v>0</v>
      </c>
      <c r="AD96" s="191">
        <f t="shared" ca="1" si="12"/>
        <v>46259.633973495373</v>
      </c>
      <c r="AE96" s="167">
        <f t="shared" si="13"/>
        <v>0</v>
      </c>
      <c r="AF96" s="168">
        <f t="shared" si="14"/>
        <v>0</v>
      </c>
      <c r="AG96" s="168">
        <f t="shared" si="15"/>
        <v>0</v>
      </c>
      <c r="AH96" s="81" t="e" cm="1">
        <f t="array" aca="1" ref="AH96" ca="1">IF((AD96) &lt; (INDEX(ResponseSLA[#All],(MATCH((G96),ResponseSLA[Priority],0))+1,3)),"YES","No")</f>
        <v>#N/A</v>
      </c>
      <c r="AI96" s="81" t="str">
        <f>_xlfn.IFNA(IF(AE96 &lt; (INDEX(SLATable[Minimum SLA],MATCH(G96,SLATable[Priority],0))),"YES","NO"),"")</f>
        <v/>
      </c>
      <c r="AJ96" s="19" t="str">
        <f>_xlfn.IFNA(IF(AE96 &lt; (INDEX(SLATable[Maximum SLA],MATCH(G96,SLATable[Priority],0))),"YES","NO"),"")</f>
        <v/>
      </c>
    </row>
    <row r="97" spans="1:36" ht="15" customHeight="1">
      <c r="A97" s="78"/>
      <c r="B97" s="78"/>
      <c r="C97" s="78"/>
      <c r="D97" s="78"/>
      <c r="E97" s="78"/>
      <c r="F97" s="78"/>
      <c r="G97" s="78"/>
      <c r="H97" s="86"/>
      <c r="I97" s="78"/>
      <c r="J97" s="86"/>
      <c r="K97" s="277"/>
      <c r="L97" s="277"/>
      <c r="M97" s="277"/>
      <c r="N97" s="318"/>
      <c r="O97" s="80"/>
      <c r="P97" s="80"/>
      <c r="Q97" s="78"/>
      <c r="R97" s="78"/>
      <c r="S97" s="78"/>
      <c r="T97" s="78"/>
      <c r="U97" s="78"/>
      <c r="V97" s="78"/>
      <c r="W97" s="78"/>
      <c r="X97" s="78"/>
      <c r="Y97" s="78"/>
      <c r="Z97" s="167" t="e">
        <f t="shared" ca="1" si="8"/>
        <v>#N/A</v>
      </c>
      <c r="AA97" s="168" t="e">
        <f t="shared" ca="1" si="9"/>
        <v>#N/A</v>
      </c>
      <c r="AB97" s="167">
        <f t="shared" ca="1" si="10"/>
        <v>0</v>
      </c>
      <c r="AC97" s="168">
        <f t="shared" ca="1" si="11"/>
        <v>0</v>
      </c>
      <c r="AD97" s="191">
        <f t="shared" ca="1" si="12"/>
        <v>46259.633973495373</v>
      </c>
      <c r="AE97" s="167">
        <f t="shared" si="13"/>
        <v>0</v>
      </c>
      <c r="AF97" s="168">
        <f t="shared" si="14"/>
        <v>0</v>
      </c>
      <c r="AG97" s="168">
        <f t="shared" si="15"/>
        <v>0</v>
      </c>
      <c r="AH97" s="81" t="e" cm="1">
        <f t="array" aca="1" ref="AH97" ca="1">IF((AD97) &lt; (INDEX(ResponseSLA[#All],(MATCH((G97),ResponseSLA[Priority],0))+1,3)),"YES","No")</f>
        <v>#N/A</v>
      </c>
      <c r="AI97" s="81" t="str">
        <f>_xlfn.IFNA(IF(AE97 &lt; (INDEX(SLATable[Minimum SLA],MATCH(G97,SLATable[Priority],0))),"YES","NO"),"")</f>
        <v/>
      </c>
      <c r="AJ97" s="19" t="str">
        <f>_xlfn.IFNA(IF(AE97 &lt; (INDEX(SLATable[Maximum SLA],MATCH(G97,SLATable[Priority],0))),"YES","NO"),"")</f>
        <v/>
      </c>
    </row>
    <row r="98" spans="1:36" ht="15" customHeight="1">
      <c r="A98" s="78"/>
      <c r="B98" s="78"/>
      <c r="C98" s="78"/>
      <c r="D98" s="78"/>
      <c r="E98" s="78"/>
      <c r="F98" s="78"/>
      <c r="G98" s="78"/>
      <c r="H98" s="86"/>
      <c r="I98" s="78"/>
      <c r="J98" s="86"/>
      <c r="K98" s="277"/>
      <c r="L98" s="277"/>
      <c r="M98" s="277"/>
      <c r="N98" s="277"/>
      <c r="O98" s="80"/>
      <c r="P98" s="80"/>
      <c r="Q98" s="78"/>
      <c r="R98" s="78"/>
      <c r="S98" s="78"/>
      <c r="T98" s="78"/>
      <c r="U98" s="78"/>
      <c r="V98" s="78"/>
      <c r="W98" s="78"/>
      <c r="X98" s="78"/>
      <c r="Y98" s="78"/>
      <c r="Z98" s="167" t="e">
        <f t="shared" ca="1" si="8"/>
        <v>#N/A</v>
      </c>
      <c r="AA98" s="168" t="e">
        <f t="shared" ca="1" si="9"/>
        <v>#N/A</v>
      </c>
      <c r="AB98" s="167">
        <f t="shared" ca="1" si="10"/>
        <v>0</v>
      </c>
      <c r="AC98" s="168">
        <f t="shared" ca="1" si="11"/>
        <v>0</v>
      </c>
      <c r="AD98" s="191">
        <f t="shared" ca="1" si="12"/>
        <v>46259.633973495373</v>
      </c>
      <c r="AE98" s="167">
        <f t="shared" si="13"/>
        <v>0</v>
      </c>
      <c r="AF98" s="168">
        <f t="shared" si="14"/>
        <v>0</v>
      </c>
      <c r="AG98" s="168">
        <f t="shared" si="15"/>
        <v>0</v>
      </c>
      <c r="AH98" s="81" t="e" cm="1">
        <f t="array" aca="1" ref="AH98" ca="1">IF((AD98) &lt; (INDEX(ResponseSLA[#All],(MATCH((G98),ResponseSLA[Priority],0))+1,3)),"YES","No")</f>
        <v>#N/A</v>
      </c>
      <c r="AI98" s="81" t="str">
        <f>_xlfn.IFNA(IF(AE98 &lt; (INDEX(SLATable[Minimum SLA],MATCH(G98,SLATable[Priority],0))),"YES","NO"),"")</f>
        <v/>
      </c>
      <c r="AJ98" s="19" t="str">
        <f>_xlfn.IFNA(IF(AE98 &lt; (INDEX(SLATable[Maximum SLA],MATCH(G98,SLATable[Priority],0))),"YES","NO"),"")</f>
        <v/>
      </c>
    </row>
    <row r="99" spans="1:36" ht="15" customHeight="1">
      <c r="A99" s="78"/>
      <c r="B99" s="78"/>
      <c r="C99" s="78"/>
      <c r="D99" s="78"/>
      <c r="E99" s="78"/>
      <c r="F99" s="78"/>
      <c r="G99" s="78"/>
      <c r="H99" s="86"/>
      <c r="I99" s="78"/>
      <c r="J99" s="86"/>
      <c r="K99" s="277"/>
      <c r="L99" s="277"/>
      <c r="M99" s="277"/>
      <c r="N99" s="277"/>
      <c r="O99" s="80"/>
      <c r="P99" s="80"/>
      <c r="Q99" s="78"/>
      <c r="R99" s="78"/>
      <c r="S99" s="78"/>
      <c r="T99" s="78"/>
      <c r="U99" s="78"/>
      <c r="V99" s="78"/>
      <c r="W99" s="78"/>
      <c r="X99" s="78"/>
      <c r="Y99" s="78"/>
      <c r="Z99" s="167" t="e">
        <f t="shared" ca="1" si="8"/>
        <v>#N/A</v>
      </c>
      <c r="AA99" s="168" t="e">
        <f t="shared" ca="1" si="9"/>
        <v>#N/A</v>
      </c>
      <c r="AB99" s="167">
        <f t="shared" ca="1" si="10"/>
        <v>0</v>
      </c>
      <c r="AC99" s="168">
        <f t="shared" ca="1" si="11"/>
        <v>0</v>
      </c>
      <c r="AD99" s="191">
        <f t="shared" ca="1" si="12"/>
        <v>46259.633973495373</v>
      </c>
      <c r="AE99" s="167">
        <f t="shared" si="13"/>
        <v>0</v>
      </c>
      <c r="AF99" s="168">
        <f t="shared" si="14"/>
        <v>0</v>
      </c>
      <c r="AG99" s="168">
        <f t="shared" si="15"/>
        <v>0</v>
      </c>
      <c r="AH99" s="81" t="e" cm="1">
        <f t="array" aca="1" ref="AH99" ca="1">IF((AD99) &lt; (INDEX(ResponseSLA[#All],(MATCH((G99),ResponseSLA[Priority],0))+1,3)),"YES","No")</f>
        <v>#N/A</v>
      </c>
      <c r="AI99" s="81" t="str">
        <f>_xlfn.IFNA(IF(AE99 &lt; (INDEX(SLATable[Minimum SLA],MATCH(G99,SLATable[Priority],0))),"YES","NO"),"")</f>
        <v/>
      </c>
      <c r="AJ99" s="19" t="str">
        <f>_xlfn.IFNA(IF(AE99 &lt; (INDEX(SLATable[Maximum SLA],MATCH(G99,SLATable[Priority],0))),"YES","NO"),"")</f>
        <v/>
      </c>
    </row>
    <row r="100" spans="1:36" ht="15" customHeight="1">
      <c r="A100" s="78"/>
      <c r="B100" s="78"/>
      <c r="C100" s="78"/>
      <c r="D100" s="78"/>
      <c r="E100" s="320"/>
      <c r="F100" s="78"/>
      <c r="G100" s="78"/>
      <c r="H100" s="86"/>
      <c r="I100" s="78"/>
      <c r="J100" s="86"/>
      <c r="K100" s="277"/>
      <c r="L100" s="277"/>
      <c r="M100" s="277"/>
      <c r="N100" s="277"/>
      <c r="O100" s="80"/>
      <c r="P100" s="80"/>
      <c r="Q100" s="78"/>
      <c r="R100" s="78"/>
      <c r="S100" s="78"/>
      <c r="T100" s="78"/>
      <c r="U100" s="78"/>
      <c r="V100" s="78"/>
      <c r="W100" s="78"/>
      <c r="X100" s="78"/>
      <c r="Y100" s="78"/>
      <c r="Z100" s="167" t="e">
        <f t="shared" ca="1" si="8"/>
        <v>#N/A</v>
      </c>
      <c r="AA100" s="168" t="e">
        <f t="shared" ca="1" si="9"/>
        <v>#N/A</v>
      </c>
      <c r="AB100" s="167">
        <f t="shared" ca="1" si="10"/>
        <v>0</v>
      </c>
      <c r="AC100" s="168">
        <f t="shared" ca="1" si="11"/>
        <v>0</v>
      </c>
      <c r="AD100" s="191">
        <f t="shared" ca="1" si="12"/>
        <v>46259.633973495373</v>
      </c>
      <c r="AE100" s="167">
        <f t="shared" si="13"/>
        <v>0</v>
      </c>
      <c r="AF100" s="168">
        <f t="shared" si="14"/>
        <v>0</v>
      </c>
      <c r="AG100" s="168">
        <f t="shared" si="15"/>
        <v>0</v>
      </c>
      <c r="AH100" s="81" t="e" cm="1">
        <f t="array" aca="1" ref="AH100" ca="1">IF((AD100) &lt; (INDEX(ResponseSLA[#All],(MATCH((G100),ResponseSLA[Priority],0))+1,3)),"YES","No")</f>
        <v>#N/A</v>
      </c>
      <c r="AI100" s="81" t="str">
        <f>_xlfn.IFNA(IF(AE100 &lt; (INDEX(SLATable[Minimum SLA],MATCH(G100,SLATable[Priority],0))),"YES","NO"),"")</f>
        <v/>
      </c>
      <c r="AJ100" s="19" t="str">
        <f>_xlfn.IFNA(IF(AE100 &lt; (INDEX(SLATable[Maximum SLA],MATCH(G100,SLATable[Priority],0))),"YES","NO"),"")</f>
        <v/>
      </c>
    </row>
    <row r="101" spans="1:36" ht="15" customHeight="1">
      <c r="A101" s="78"/>
      <c r="B101" s="78"/>
      <c r="C101" s="78"/>
      <c r="D101" s="78"/>
      <c r="E101" s="184"/>
      <c r="F101" s="78"/>
      <c r="G101" s="78"/>
      <c r="H101" s="185"/>
      <c r="I101" s="78"/>
      <c r="J101" s="86"/>
      <c r="K101" s="277"/>
      <c r="L101" s="186"/>
      <c r="M101" s="186"/>
      <c r="N101" s="186"/>
      <c r="O101" s="80"/>
      <c r="P101" s="80"/>
      <c r="Q101" s="78"/>
      <c r="R101" s="78"/>
      <c r="S101" s="78"/>
      <c r="T101" s="78"/>
      <c r="U101" s="78"/>
      <c r="V101" s="78"/>
      <c r="W101" s="78"/>
      <c r="X101" s="78"/>
      <c r="Y101" s="78"/>
      <c r="Z101" s="167" t="e">
        <f t="shared" ca="1" si="8"/>
        <v>#N/A</v>
      </c>
      <c r="AA101" s="168" t="e">
        <f t="shared" ca="1" si="9"/>
        <v>#N/A</v>
      </c>
      <c r="AB101" s="167">
        <f t="shared" ca="1" si="10"/>
        <v>0</v>
      </c>
      <c r="AC101" s="168">
        <f t="shared" ca="1" si="11"/>
        <v>0</v>
      </c>
      <c r="AD101" s="191">
        <f t="shared" ca="1" si="12"/>
        <v>46259.633973495373</v>
      </c>
      <c r="AE101" s="167">
        <f t="shared" si="13"/>
        <v>0</v>
      </c>
      <c r="AF101" s="168">
        <f t="shared" si="14"/>
        <v>0</v>
      </c>
      <c r="AG101" s="168">
        <f t="shared" si="15"/>
        <v>0</v>
      </c>
      <c r="AH101" s="81" t="e" cm="1">
        <f t="array" aca="1" ref="AH101" ca="1">IF((AD101) &lt; (INDEX(ResponseSLA[#All],(MATCH((G101),ResponseSLA[Priority],0))+1,3)),"YES","No")</f>
        <v>#N/A</v>
      </c>
      <c r="AI101" s="81" t="str">
        <f>_xlfn.IFNA(IF(AE101 &lt; (INDEX(SLATable[Minimum SLA],MATCH(G101,SLATable[Priority],0))),"YES","NO"),"")</f>
        <v/>
      </c>
      <c r="AJ101" s="19" t="str">
        <f>_xlfn.IFNA(IF(AE101 &lt; (INDEX(SLATable[Maximum SLA],MATCH(G101,SLATable[Priority],0))),"YES","NO"),"")</f>
        <v/>
      </c>
    </row>
    <row r="102" spans="1:36" ht="15" customHeight="1">
      <c r="A102" s="78"/>
      <c r="B102" s="78"/>
      <c r="C102" s="78"/>
      <c r="D102" s="78"/>
      <c r="E102" s="184"/>
      <c r="F102" s="78"/>
      <c r="G102" s="78"/>
      <c r="H102" s="185"/>
      <c r="I102" s="78"/>
      <c r="J102" s="86"/>
      <c r="K102" s="277"/>
      <c r="L102" s="277"/>
      <c r="M102" s="277"/>
      <c r="N102" s="186"/>
      <c r="O102" s="80"/>
      <c r="P102" s="80"/>
      <c r="Q102" s="78"/>
      <c r="R102" s="78"/>
      <c r="S102" s="78"/>
      <c r="T102" s="78"/>
      <c r="U102" s="78"/>
      <c r="V102" s="78"/>
      <c r="W102" s="78"/>
      <c r="X102" s="78"/>
      <c r="Y102" s="78"/>
      <c r="Z102" s="167" t="e">
        <f t="shared" ca="1" si="8"/>
        <v>#N/A</v>
      </c>
      <c r="AA102" s="168" t="e">
        <f t="shared" ca="1" si="9"/>
        <v>#N/A</v>
      </c>
      <c r="AB102" s="167">
        <f t="shared" ca="1" si="10"/>
        <v>0</v>
      </c>
      <c r="AC102" s="168">
        <f t="shared" ca="1" si="11"/>
        <v>0</v>
      </c>
      <c r="AD102" s="191">
        <f t="shared" ca="1" si="12"/>
        <v>46259.633973495373</v>
      </c>
      <c r="AE102" s="167">
        <f t="shared" si="13"/>
        <v>0</v>
      </c>
      <c r="AF102" s="168">
        <f t="shared" si="14"/>
        <v>0</v>
      </c>
      <c r="AG102" s="168">
        <f t="shared" si="15"/>
        <v>0</v>
      </c>
      <c r="AH102" s="81" t="e" cm="1">
        <f t="array" aca="1" ref="AH102" ca="1">IF((AD102) &lt; (INDEX(ResponseSLA[#All],(MATCH((G102),ResponseSLA[Priority],0))+1,3)),"YES","No")</f>
        <v>#N/A</v>
      </c>
      <c r="AI102" s="81" t="str">
        <f>_xlfn.IFNA(IF(AE102 &lt; (INDEX(SLATable[Minimum SLA],MATCH(G102,SLATable[Priority],0))),"YES","NO"),"")</f>
        <v/>
      </c>
      <c r="AJ102" s="19" t="str">
        <f>_xlfn.IFNA(IF(AE102 &lt; (INDEX(SLATable[Maximum SLA],MATCH(G102,SLATable[Priority],0))),"YES","NO"),"")</f>
        <v/>
      </c>
    </row>
    <row r="103" spans="1:36" ht="15" customHeight="1">
      <c r="A103" s="78"/>
      <c r="B103" s="78"/>
      <c r="C103" s="78"/>
      <c r="D103" s="78"/>
      <c r="E103" s="184"/>
      <c r="F103" s="78"/>
      <c r="G103" s="78"/>
      <c r="H103" s="185"/>
      <c r="I103" s="78"/>
      <c r="J103" s="86"/>
      <c r="K103" s="277"/>
      <c r="L103" s="277"/>
      <c r="M103" s="277"/>
      <c r="N103" s="277"/>
      <c r="O103" s="80"/>
      <c r="P103" s="80"/>
      <c r="Q103" s="78"/>
      <c r="R103" s="78"/>
      <c r="S103" s="78"/>
      <c r="T103" s="78"/>
      <c r="U103" s="78"/>
      <c r="V103" s="78"/>
      <c r="W103" s="78"/>
      <c r="X103" s="78"/>
      <c r="Y103" s="78"/>
      <c r="Z103" s="167" t="e">
        <f t="shared" ca="1" si="8"/>
        <v>#N/A</v>
      </c>
      <c r="AA103" s="168" t="e">
        <f t="shared" ca="1" si="9"/>
        <v>#N/A</v>
      </c>
      <c r="AB103" s="167">
        <f t="shared" ca="1" si="10"/>
        <v>0</v>
      </c>
      <c r="AC103" s="168">
        <f t="shared" ca="1" si="11"/>
        <v>0</v>
      </c>
      <c r="AD103" s="191">
        <f t="shared" ca="1" si="12"/>
        <v>46259.633973495373</v>
      </c>
      <c r="AE103" s="167">
        <f t="shared" si="13"/>
        <v>0</v>
      </c>
      <c r="AF103" s="168">
        <f t="shared" si="14"/>
        <v>0</v>
      </c>
      <c r="AG103" s="168">
        <f t="shared" si="15"/>
        <v>0</v>
      </c>
      <c r="AH103" s="81" t="e" cm="1">
        <f t="array" aca="1" ref="AH103" ca="1">IF((AD103) &lt; (INDEX(ResponseSLA[#All],(MATCH((G103),ResponseSLA[Priority],0))+1,3)),"YES","No")</f>
        <v>#N/A</v>
      </c>
      <c r="AI103" s="81" t="str">
        <f>_xlfn.IFNA(IF(AE103 &lt; (INDEX(SLATable[Minimum SLA],MATCH(G103,SLATable[Priority],0))),"YES","NO"),"")</f>
        <v/>
      </c>
      <c r="AJ103" s="19" t="str">
        <f>_xlfn.IFNA(IF(AE103 &lt; (INDEX(SLATable[Maximum SLA],MATCH(G103,SLATable[Priority],0))),"YES","NO"),"")</f>
        <v/>
      </c>
    </row>
    <row r="104" spans="1:36" ht="15" customHeight="1">
      <c r="A104" s="78"/>
      <c r="B104" s="78"/>
      <c r="C104" s="78"/>
      <c r="D104" s="78"/>
      <c r="E104" s="184"/>
      <c r="F104" s="78"/>
      <c r="G104" s="78"/>
      <c r="H104" s="185"/>
      <c r="I104" s="78"/>
      <c r="J104" s="86"/>
      <c r="K104" s="277"/>
      <c r="L104" s="277"/>
      <c r="M104" s="277"/>
      <c r="N104" s="277"/>
      <c r="O104" s="80"/>
      <c r="P104" s="80"/>
      <c r="Q104" s="78"/>
      <c r="R104" s="78"/>
      <c r="S104" s="78"/>
      <c r="T104" s="78"/>
      <c r="U104" s="78"/>
      <c r="V104" s="78"/>
      <c r="W104" s="78"/>
      <c r="X104" s="78"/>
      <c r="Y104" s="78"/>
      <c r="Z104" s="167" t="e">
        <f t="shared" ca="1" si="8"/>
        <v>#N/A</v>
      </c>
      <c r="AA104" s="168" t="e">
        <f t="shared" ca="1" si="9"/>
        <v>#N/A</v>
      </c>
      <c r="AB104" s="167">
        <f t="shared" ca="1" si="10"/>
        <v>0</v>
      </c>
      <c r="AC104" s="168">
        <f t="shared" ca="1" si="11"/>
        <v>0</v>
      </c>
      <c r="AD104" s="191">
        <f t="shared" ca="1" si="12"/>
        <v>46259.633973495373</v>
      </c>
      <c r="AE104" s="167">
        <f t="shared" si="13"/>
        <v>0</v>
      </c>
      <c r="AF104" s="168">
        <f t="shared" si="14"/>
        <v>0</v>
      </c>
      <c r="AG104" s="168">
        <f t="shared" si="15"/>
        <v>0</v>
      </c>
      <c r="AH104" s="81" t="e" cm="1">
        <f t="array" aca="1" ref="AH104" ca="1">IF((AD104) &lt; (INDEX(ResponseSLA[#All],(MATCH((G104),ResponseSLA[Priority],0))+1,3)),"YES","No")</f>
        <v>#N/A</v>
      </c>
      <c r="AI104" s="81" t="str">
        <f>_xlfn.IFNA(IF(AE104 &lt; (INDEX(SLATable[Minimum SLA],MATCH(G104,SLATable[Priority],0))),"YES","NO"),"")</f>
        <v/>
      </c>
      <c r="AJ104" s="19" t="str">
        <f>_xlfn.IFNA(IF(AE104 &lt; (INDEX(SLATable[Maximum SLA],MATCH(G104,SLATable[Priority],0))),"YES","NO"),"")</f>
        <v/>
      </c>
    </row>
    <row r="105" spans="1:36" ht="15" customHeight="1">
      <c r="A105" s="78"/>
      <c r="B105" s="78"/>
      <c r="C105" s="78"/>
      <c r="D105" s="78"/>
      <c r="E105" s="184"/>
      <c r="F105" s="78"/>
      <c r="G105" s="78"/>
      <c r="H105" s="185"/>
      <c r="I105" s="78"/>
      <c r="J105" s="86"/>
      <c r="K105" s="394"/>
      <c r="L105" s="277"/>
      <c r="M105" s="277"/>
      <c r="N105" s="277"/>
      <c r="O105" s="80"/>
      <c r="P105" s="80"/>
      <c r="Q105" s="78"/>
      <c r="R105" s="78"/>
      <c r="S105" s="78"/>
      <c r="T105" s="78"/>
      <c r="U105" s="78"/>
      <c r="V105" s="78"/>
      <c r="W105" s="78"/>
      <c r="X105" s="78"/>
      <c r="Y105" s="78"/>
      <c r="Z105" s="167" t="e">
        <f t="shared" ca="1" si="8"/>
        <v>#N/A</v>
      </c>
      <c r="AA105" s="168" t="e">
        <f t="shared" ca="1" si="9"/>
        <v>#N/A</v>
      </c>
      <c r="AB105" s="167">
        <f t="shared" ca="1" si="10"/>
        <v>0</v>
      </c>
      <c r="AC105" s="168">
        <f t="shared" ca="1" si="11"/>
        <v>0</v>
      </c>
      <c r="AD105" s="191">
        <f t="shared" ca="1" si="12"/>
        <v>46259.633973495373</v>
      </c>
      <c r="AE105" s="167">
        <f t="shared" si="13"/>
        <v>0</v>
      </c>
      <c r="AF105" s="168">
        <f t="shared" si="14"/>
        <v>0</v>
      </c>
      <c r="AG105" s="168">
        <f t="shared" si="15"/>
        <v>0</v>
      </c>
      <c r="AH105" s="81" t="e" cm="1">
        <f t="array" aca="1" ref="AH105" ca="1">IF((AD105) &lt; (INDEX(ResponseSLA[#All],(MATCH((G105),ResponseSLA[Priority],0))+1,3)),"YES","No")</f>
        <v>#N/A</v>
      </c>
      <c r="AI105" s="81" t="str">
        <f>_xlfn.IFNA(IF(AE105 &lt; (INDEX(SLATable[Minimum SLA],MATCH(G105,SLATable[Priority],0))),"YES","NO"),"")</f>
        <v/>
      </c>
      <c r="AJ105" s="19" t="str">
        <f>_xlfn.IFNA(IF(AE105 &lt; (INDEX(SLATable[Maximum SLA],MATCH(G105,SLATable[Priority],0))),"YES","NO"),"")</f>
        <v/>
      </c>
    </row>
    <row r="106" spans="1:36" ht="15" customHeight="1">
      <c r="A106" s="78"/>
      <c r="B106" s="78"/>
      <c r="C106" s="78"/>
      <c r="D106" s="78"/>
      <c r="E106" s="184"/>
      <c r="F106" s="78"/>
      <c r="G106" s="78"/>
      <c r="H106" s="185"/>
      <c r="I106" s="78"/>
      <c r="J106" s="86"/>
      <c r="K106" s="277"/>
      <c r="L106" s="277"/>
      <c r="M106" s="277"/>
      <c r="N106" s="277"/>
      <c r="O106" s="80"/>
      <c r="P106" s="80"/>
      <c r="Q106" s="78"/>
      <c r="R106" s="78"/>
      <c r="S106" s="78"/>
      <c r="T106" s="78"/>
      <c r="U106" s="78"/>
      <c r="V106" s="78"/>
      <c r="W106" s="78"/>
      <c r="X106" s="78"/>
      <c r="Y106" s="78"/>
      <c r="Z106" s="167" t="e">
        <f t="shared" ca="1" si="8"/>
        <v>#N/A</v>
      </c>
      <c r="AA106" s="168" t="e">
        <f t="shared" ca="1" si="9"/>
        <v>#N/A</v>
      </c>
      <c r="AB106" s="167">
        <f t="shared" ca="1" si="10"/>
        <v>0</v>
      </c>
      <c r="AC106" s="168">
        <f t="shared" ca="1" si="11"/>
        <v>0</v>
      </c>
      <c r="AD106" s="191">
        <f t="shared" ca="1" si="12"/>
        <v>46259.633973495373</v>
      </c>
      <c r="AE106" s="167">
        <f t="shared" si="13"/>
        <v>0</v>
      </c>
      <c r="AF106" s="168">
        <f t="shared" si="14"/>
        <v>0</v>
      </c>
      <c r="AG106" s="168">
        <f t="shared" si="15"/>
        <v>0</v>
      </c>
      <c r="AH106" s="81" t="e" cm="1">
        <f t="array" aca="1" ref="AH106" ca="1">IF((AD106) &lt; (INDEX(ResponseSLA[#All],(MATCH((G106),ResponseSLA[Priority],0))+1,3)),"YES","No")</f>
        <v>#N/A</v>
      </c>
      <c r="AI106" s="81" t="str">
        <f>_xlfn.IFNA(IF(AE106 &lt; (INDEX(SLATable[Minimum SLA],MATCH(G106,SLATable[Priority],0))),"YES","NO"),"")</f>
        <v/>
      </c>
      <c r="AJ106" s="19" t="str">
        <f>_xlfn.IFNA(IF(AE106 &lt; (INDEX(SLATable[Maximum SLA],MATCH(G106,SLATable[Priority],0))),"YES","NO"),"")</f>
        <v/>
      </c>
    </row>
    <row r="107" spans="1:36" ht="15" customHeight="1">
      <c r="A107" s="78"/>
      <c r="B107" s="78"/>
      <c r="C107" s="78"/>
      <c r="D107" s="78"/>
      <c r="E107" s="184"/>
      <c r="F107" s="78"/>
      <c r="G107" s="78"/>
      <c r="H107" s="185"/>
      <c r="I107" s="78"/>
      <c r="J107" s="86"/>
      <c r="K107" s="277"/>
      <c r="L107" s="277"/>
      <c r="M107" s="277"/>
      <c r="N107" s="277"/>
      <c r="O107" s="80"/>
      <c r="P107" s="80"/>
      <c r="Q107" s="78"/>
      <c r="R107" s="78"/>
      <c r="S107" s="78"/>
      <c r="T107" s="78"/>
      <c r="U107" s="78"/>
      <c r="V107" s="78"/>
      <c r="W107" s="78"/>
      <c r="X107" s="78"/>
      <c r="Y107" s="78"/>
      <c r="Z107" s="167" t="e">
        <f t="shared" ca="1" si="8"/>
        <v>#N/A</v>
      </c>
      <c r="AA107" s="168" t="e">
        <f t="shared" ca="1" si="9"/>
        <v>#N/A</v>
      </c>
      <c r="AB107" s="167">
        <f t="shared" ca="1" si="10"/>
        <v>0</v>
      </c>
      <c r="AC107" s="168">
        <f t="shared" ca="1" si="11"/>
        <v>0</v>
      </c>
      <c r="AD107" s="191">
        <f t="shared" ca="1" si="12"/>
        <v>46259.633973495373</v>
      </c>
      <c r="AE107" s="167">
        <f t="shared" si="13"/>
        <v>0</v>
      </c>
      <c r="AF107" s="168">
        <f t="shared" si="14"/>
        <v>0</v>
      </c>
      <c r="AG107" s="168">
        <f t="shared" si="15"/>
        <v>0</v>
      </c>
      <c r="AH107" s="81" t="e" cm="1">
        <f t="array" aca="1" ref="AH107" ca="1">IF((AD107) &lt; (INDEX(ResponseSLA[#All],(MATCH((G107),ResponseSLA[Priority],0))+1,3)),"YES","No")</f>
        <v>#N/A</v>
      </c>
      <c r="AI107" s="81" t="str">
        <f>_xlfn.IFNA(IF(AE107 &lt; (INDEX(SLATable[Minimum SLA],MATCH(G107,SLATable[Priority],0))),"YES","NO"),"")</f>
        <v/>
      </c>
      <c r="AJ107" s="19" t="str">
        <f>_xlfn.IFNA(IF(AE107 &lt; (INDEX(SLATable[Maximum SLA],MATCH(G107,SLATable[Priority],0))),"YES","NO"),"")</f>
        <v/>
      </c>
    </row>
    <row r="108" spans="1:36" ht="15" customHeight="1">
      <c r="A108" s="78"/>
      <c r="B108" s="78"/>
      <c r="C108" s="78"/>
      <c r="D108" s="78"/>
      <c r="E108" s="184"/>
      <c r="F108" s="78"/>
      <c r="G108" s="78"/>
      <c r="H108" s="185"/>
      <c r="I108" s="78"/>
      <c r="J108" s="86"/>
      <c r="K108" s="277"/>
      <c r="L108" s="277"/>
      <c r="M108" s="277"/>
      <c r="N108" s="394"/>
      <c r="O108" s="80"/>
      <c r="P108" s="80"/>
      <c r="Q108" s="78"/>
      <c r="R108" s="78"/>
      <c r="S108" s="78"/>
      <c r="T108" s="78"/>
      <c r="U108" s="78"/>
      <c r="V108" s="78"/>
      <c r="W108" s="78"/>
      <c r="X108" s="78"/>
      <c r="Y108" s="78"/>
      <c r="Z108" s="167" t="e">
        <f t="shared" ca="1" si="8"/>
        <v>#N/A</v>
      </c>
      <c r="AA108" s="168" t="e">
        <f t="shared" ca="1" si="9"/>
        <v>#N/A</v>
      </c>
      <c r="AB108" s="167">
        <f t="shared" ca="1" si="10"/>
        <v>0</v>
      </c>
      <c r="AC108" s="168">
        <f t="shared" ca="1" si="11"/>
        <v>0</v>
      </c>
      <c r="AD108" s="191">
        <f t="shared" ca="1" si="12"/>
        <v>46259.633973495373</v>
      </c>
      <c r="AE108" s="167">
        <f t="shared" si="13"/>
        <v>0</v>
      </c>
      <c r="AF108" s="168">
        <f t="shared" si="14"/>
        <v>0</v>
      </c>
      <c r="AG108" s="168">
        <f t="shared" si="15"/>
        <v>0</v>
      </c>
      <c r="AH108" s="81" t="e" cm="1">
        <f t="array" aca="1" ref="AH108" ca="1">IF((AD108) &lt; (INDEX(ResponseSLA[#All],(MATCH((G108),ResponseSLA[Priority],0))+1,3)),"YES","No")</f>
        <v>#N/A</v>
      </c>
      <c r="AI108" s="81" t="str">
        <f>_xlfn.IFNA(IF(AE108 &lt; (INDEX(SLATable[Minimum SLA],MATCH(G108,SLATable[Priority],0))),"YES","NO"),"")</f>
        <v/>
      </c>
      <c r="AJ108" s="19" t="str">
        <f>_xlfn.IFNA(IF(AE108 &lt; (INDEX(SLATable[Maximum SLA],MATCH(G108,SLATable[Priority],0))),"YES","NO"),"")</f>
        <v/>
      </c>
    </row>
    <row r="109" spans="1:36" ht="15" customHeight="1">
      <c r="A109" s="78"/>
      <c r="B109" s="78"/>
      <c r="C109" s="78"/>
      <c r="D109" s="78"/>
      <c r="E109" s="184"/>
      <c r="F109" s="78"/>
      <c r="G109" s="78"/>
      <c r="H109" s="185"/>
      <c r="I109" s="78"/>
      <c r="J109" s="86"/>
      <c r="K109" s="277"/>
      <c r="L109" s="277"/>
      <c r="M109" s="277"/>
      <c r="N109" s="277"/>
      <c r="O109" s="80"/>
      <c r="P109" s="80"/>
      <c r="Q109" s="78"/>
      <c r="R109" s="78"/>
      <c r="S109" s="78"/>
      <c r="T109" s="78"/>
      <c r="U109" s="78"/>
      <c r="V109" s="78"/>
      <c r="W109" s="78"/>
      <c r="X109" s="78"/>
      <c r="Y109" s="78"/>
      <c r="Z109" s="167" t="e">
        <f t="shared" ca="1" si="8"/>
        <v>#N/A</v>
      </c>
      <c r="AA109" s="168" t="e">
        <f t="shared" ca="1" si="9"/>
        <v>#N/A</v>
      </c>
      <c r="AB109" s="167">
        <f t="shared" ca="1" si="10"/>
        <v>0</v>
      </c>
      <c r="AC109" s="168">
        <f t="shared" ca="1" si="11"/>
        <v>0</v>
      </c>
      <c r="AD109" s="191">
        <f t="shared" ca="1" si="12"/>
        <v>46259.633973495373</v>
      </c>
      <c r="AE109" s="167">
        <f t="shared" si="13"/>
        <v>0</v>
      </c>
      <c r="AF109" s="168">
        <f t="shared" si="14"/>
        <v>0</v>
      </c>
      <c r="AG109" s="168">
        <f t="shared" si="15"/>
        <v>0</v>
      </c>
      <c r="AH109" s="81" t="e" cm="1">
        <f t="array" aca="1" ref="AH109" ca="1">IF((AD109) &lt; (INDEX(ResponseSLA[#All],(MATCH((G109),ResponseSLA[Priority],0))+1,3)),"YES","No")</f>
        <v>#N/A</v>
      </c>
      <c r="AI109" s="81" t="str">
        <f>_xlfn.IFNA(IF(AE109 &lt; (INDEX(SLATable[Minimum SLA],MATCH(G109,SLATable[Priority],0))),"YES","NO"),"")</f>
        <v/>
      </c>
      <c r="AJ109" s="19" t="str">
        <f>_xlfn.IFNA(IF(AE109 &lt; (INDEX(SLATable[Maximum SLA],MATCH(G109,SLATable[Priority],0))),"YES","NO"),"")</f>
        <v/>
      </c>
    </row>
    <row r="110" spans="1:36" ht="15" customHeight="1">
      <c r="A110" s="78"/>
      <c r="B110" s="78"/>
      <c r="C110" s="78"/>
      <c r="D110" s="78"/>
      <c r="E110" s="184"/>
      <c r="F110" s="78"/>
      <c r="G110" s="78"/>
      <c r="H110" s="185"/>
      <c r="I110" s="78"/>
      <c r="J110" s="86"/>
      <c r="K110" s="277"/>
      <c r="L110" s="277"/>
      <c r="M110" s="277"/>
      <c r="N110" s="277"/>
      <c r="O110" s="80"/>
      <c r="P110" s="80"/>
      <c r="Q110" s="78"/>
      <c r="R110" s="78"/>
      <c r="S110" s="78"/>
      <c r="T110" s="78"/>
      <c r="U110" s="78"/>
      <c r="V110" s="78"/>
      <c r="W110" s="78"/>
      <c r="X110" s="78"/>
      <c r="Y110" s="78"/>
      <c r="Z110" s="167" t="e">
        <f t="shared" ca="1" si="8"/>
        <v>#N/A</v>
      </c>
      <c r="AA110" s="168" t="e">
        <f t="shared" ca="1" si="9"/>
        <v>#N/A</v>
      </c>
      <c r="AB110" s="167">
        <f t="shared" ca="1" si="10"/>
        <v>0</v>
      </c>
      <c r="AC110" s="168">
        <f t="shared" ca="1" si="11"/>
        <v>0</v>
      </c>
      <c r="AD110" s="191">
        <f t="shared" ca="1" si="12"/>
        <v>46259.633973495373</v>
      </c>
      <c r="AE110" s="167">
        <f t="shared" si="13"/>
        <v>0</v>
      </c>
      <c r="AF110" s="168">
        <f t="shared" si="14"/>
        <v>0</v>
      </c>
      <c r="AG110" s="168">
        <f t="shared" si="15"/>
        <v>0</v>
      </c>
      <c r="AH110" s="81" t="e" cm="1">
        <f t="array" aca="1" ref="AH110" ca="1">IF((AD110) &lt; (INDEX(ResponseSLA[#All],(MATCH((G110),ResponseSLA[Priority],0))+1,3)),"YES","No")</f>
        <v>#N/A</v>
      </c>
      <c r="AI110" s="81" t="str">
        <f>_xlfn.IFNA(IF(AE110 &lt; (INDEX(SLATable[Minimum SLA],MATCH(G110,SLATable[Priority],0))),"YES","NO"),"")</f>
        <v/>
      </c>
      <c r="AJ110" s="19" t="str">
        <f>_xlfn.IFNA(IF(AE110 &lt; (INDEX(SLATable[Maximum SLA],MATCH(G110,SLATable[Priority],0))),"YES","NO"),"")</f>
        <v/>
      </c>
    </row>
    <row r="111" spans="1:36" ht="15" customHeight="1">
      <c r="A111" s="78"/>
      <c r="B111" s="78"/>
      <c r="C111" s="78"/>
      <c r="D111" s="78"/>
      <c r="E111" s="184"/>
      <c r="F111" s="78"/>
      <c r="G111" s="78"/>
      <c r="H111" s="185"/>
      <c r="I111" s="78"/>
      <c r="J111" s="86"/>
      <c r="K111" s="277"/>
      <c r="L111" s="277"/>
      <c r="M111" s="277"/>
      <c r="N111" s="277"/>
      <c r="O111" s="80"/>
      <c r="P111" s="80"/>
      <c r="Q111" s="78"/>
      <c r="R111" s="78"/>
      <c r="S111" s="78"/>
      <c r="T111" s="78"/>
      <c r="U111" s="78"/>
      <c r="V111" s="78"/>
      <c r="W111" s="78"/>
      <c r="X111" s="78"/>
      <c r="Y111" s="78"/>
      <c r="Z111" s="167" t="e">
        <f t="shared" ca="1" si="8"/>
        <v>#N/A</v>
      </c>
      <c r="AA111" s="168" t="e">
        <f t="shared" ca="1" si="9"/>
        <v>#N/A</v>
      </c>
      <c r="AB111" s="167">
        <f t="shared" ca="1" si="10"/>
        <v>0</v>
      </c>
      <c r="AC111" s="168">
        <f t="shared" ca="1" si="11"/>
        <v>0</v>
      </c>
      <c r="AD111" s="191">
        <f t="shared" ca="1" si="12"/>
        <v>46259.633973495373</v>
      </c>
      <c r="AE111" s="167">
        <f t="shared" si="13"/>
        <v>0</v>
      </c>
      <c r="AF111" s="168">
        <f t="shared" si="14"/>
        <v>0</v>
      </c>
      <c r="AG111" s="168">
        <f t="shared" si="15"/>
        <v>0</v>
      </c>
      <c r="AH111" s="81" t="e" cm="1">
        <f t="array" aca="1" ref="AH111" ca="1">IF((AD111) &lt; (INDEX(ResponseSLA[#All],(MATCH((G111),ResponseSLA[Priority],0))+1,3)),"YES","No")</f>
        <v>#N/A</v>
      </c>
      <c r="AI111" s="81" t="str">
        <f>_xlfn.IFNA(IF(AE111 &lt; (INDEX(SLATable[Minimum SLA],MATCH(G111,SLATable[Priority],0))),"YES","NO"),"")</f>
        <v/>
      </c>
      <c r="AJ111" s="19" t="str">
        <f>_xlfn.IFNA(IF(AE111 &lt; (INDEX(SLATable[Maximum SLA],MATCH(G111,SLATable[Priority],0))),"YES","NO"),"")</f>
        <v/>
      </c>
    </row>
    <row r="112" spans="1:36" ht="15" customHeight="1">
      <c r="A112" s="78"/>
      <c r="B112" s="78"/>
      <c r="C112" s="78"/>
      <c r="D112" s="78"/>
      <c r="E112" s="184"/>
      <c r="F112" s="78"/>
      <c r="G112" s="78"/>
      <c r="H112" s="185"/>
      <c r="I112" s="78"/>
      <c r="J112" s="86"/>
      <c r="K112" s="277"/>
      <c r="L112" s="277"/>
      <c r="M112" s="277"/>
      <c r="N112" s="277"/>
      <c r="O112" s="80"/>
      <c r="P112" s="80"/>
      <c r="Q112" s="78"/>
      <c r="R112" s="78"/>
      <c r="S112" s="78"/>
      <c r="T112" s="78"/>
      <c r="U112" s="78"/>
      <c r="V112" s="78"/>
      <c r="W112" s="78"/>
      <c r="X112" s="78"/>
      <c r="Y112" s="78"/>
      <c r="Z112" s="167" t="e">
        <f t="shared" ca="1" si="8"/>
        <v>#N/A</v>
      </c>
      <c r="AA112" s="168" t="e">
        <f t="shared" ca="1" si="9"/>
        <v>#N/A</v>
      </c>
      <c r="AB112" s="167">
        <f t="shared" ca="1" si="10"/>
        <v>0</v>
      </c>
      <c r="AC112" s="168">
        <f t="shared" ca="1" si="11"/>
        <v>0</v>
      </c>
      <c r="AD112" s="191">
        <f t="shared" ca="1" si="12"/>
        <v>46259.633973495373</v>
      </c>
      <c r="AE112" s="167">
        <f t="shared" si="13"/>
        <v>0</v>
      </c>
      <c r="AF112" s="168">
        <f t="shared" si="14"/>
        <v>0</v>
      </c>
      <c r="AG112" s="168">
        <f t="shared" si="15"/>
        <v>0</v>
      </c>
      <c r="AH112" s="81" t="e" cm="1">
        <f t="array" aca="1" ref="AH112" ca="1">IF((AD112) &lt; (INDEX(ResponseSLA[#All],(MATCH((G112),ResponseSLA[Priority],0))+1,3)),"YES","No")</f>
        <v>#N/A</v>
      </c>
      <c r="AI112" s="81" t="str">
        <f>_xlfn.IFNA(IF(AE112 &lt; (INDEX(SLATable[Minimum SLA],MATCH(G112,SLATable[Priority],0))),"YES","NO"),"")</f>
        <v/>
      </c>
      <c r="AJ112" s="19" t="str">
        <f>_xlfn.IFNA(IF(AE112 &lt; (INDEX(SLATable[Maximum SLA],MATCH(G112,SLATable[Priority],0))),"YES","NO"),"")</f>
        <v/>
      </c>
    </row>
    <row r="113" spans="1:36" ht="15" customHeight="1">
      <c r="A113" s="78"/>
      <c r="B113" s="78"/>
      <c r="C113" s="78"/>
      <c r="D113" s="78"/>
      <c r="E113" s="184"/>
      <c r="F113" s="78"/>
      <c r="G113" s="78"/>
      <c r="H113" s="185"/>
      <c r="I113" s="78"/>
      <c r="J113" s="86"/>
      <c r="K113" s="277"/>
      <c r="L113" s="277"/>
      <c r="M113" s="277"/>
      <c r="N113" s="277"/>
      <c r="O113" s="80"/>
      <c r="P113" s="80"/>
      <c r="Q113" s="78"/>
      <c r="R113" s="78"/>
      <c r="S113" s="78"/>
      <c r="T113" s="78"/>
      <c r="U113" s="78"/>
      <c r="V113" s="78"/>
      <c r="W113" s="78"/>
      <c r="X113" s="78"/>
      <c r="Y113" s="78"/>
      <c r="Z113" s="167" t="e">
        <f t="shared" ca="1" si="8"/>
        <v>#N/A</v>
      </c>
      <c r="AA113" s="168" t="e">
        <f t="shared" ca="1" si="9"/>
        <v>#N/A</v>
      </c>
      <c r="AB113" s="167">
        <f t="shared" ca="1" si="10"/>
        <v>0</v>
      </c>
      <c r="AC113" s="168">
        <f t="shared" ca="1" si="11"/>
        <v>0</v>
      </c>
      <c r="AD113" s="191">
        <f t="shared" ca="1" si="12"/>
        <v>46259.633973495373</v>
      </c>
      <c r="AE113" s="167">
        <f t="shared" si="13"/>
        <v>0</v>
      </c>
      <c r="AF113" s="168">
        <f t="shared" si="14"/>
        <v>0</v>
      </c>
      <c r="AG113" s="168">
        <f t="shared" si="15"/>
        <v>0</v>
      </c>
      <c r="AH113" s="81" t="e" cm="1">
        <f t="array" aca="1" ref="AH113" ca="1">IF((AD113) &lt; (INDEX(ResponseSLA[#All],(MATCH((G113),ResponseSLA[Priority],0))+1,3)),"YES","No")</f>
        <v>#N/A</v>
      </c>
      <c r="AI113" s="81" t="str">
        <f>_xlfn.IFNA(IF(AE113 &lt; (INDEX(SLATable[Minimum SLA],MATCH(G113,SLATable[Priority],0))),"YES","NO"),"")</f>
        <v/>
      </c>
      <c r="AJ113" s="19" t="str">
        <f>_xlfn.IFNA(IF(AE113 &lt; (INDEX(SLATable[Maximum SLA],MATCH(G113,SLATable[Priority],0))),"YES","NO"),"")</f>
        <v/>
      </c>
    </row>
    <row r="114" spans="1:36" ht="15" customHeight="1">
      <c r="A114" s="78"/>
      <c r="B114" s="78"/>
      <c r="C114" s="78"/>
      <c r="D114" s="78"/>
      <c r="E114" s="184"/>
      <c r="F114" s="78"/>
      <c r="G114" s="78"/>
      <c r="H114" s="185"/>
      <c r="I114" s="78"/>
      <c r="J114" s="86"/>
      <c r="K114" s="277"/>
      <c r="L114" s="277"/>
      <c r="M114" s="277"/>
      <c r="N114" s="277"/>
      <c r="O114" s="80"/>
      <c r="P114" s="80"/>
      <c r="Q114" s="78"/>
      <c r="R114" s="78"/>
      <c r="S114" s="78"/>
      <c r="T114" s="78"/>
      <c r="U114" s="78"/>
      <c r="V114" s="78"/>
      <c r="W114" s="78"/>
      <c r="X114" s="78"/>
      <c r="Y114" s="78"/>
      <c r="Z114" s="167" t="e">
        <f t="shared" ca="1" si="8"/>
        <v>#N/A</v>
      </c>
      <c r="AA114" s="168" t="e">
        <f t="shared" ca="1" si="9"/>
        <v>#N/A</v>
      </c>
      <c r="AB114" s="167">
        <f t="shared" ca="1" si="10"/>
        <v>0</v>
      </c>
      <c r="AC114" s="168">
        <f t="shared" ca="1" si="11"/>
        <v>0</v>
      </c>
      <c r="AD114" s="191">
        <f t="shared" ca="1" si="12"/>
        <v>46259.633973495373</v>
      </c>
      <c r="AE114" s="167">
        <f t="shared" si="13"/>
        <v>0</v>
      </c>
      <c r="AF114" s="168">
        <f t="shared" si="14"/>
        <v>0</v>
      </c>
      <c r="AG114" s="168">
        <f t="shared" si="15"/>
        <v>0</v>
      </c>
      <c r="AH114" s="81" t="e" cm="1">
        <f t="array" aca="1" ref="AH114" ca="1">IF((AD114) &lt; (INDEX(ResponseSLA[#All],(MATCH((G114),ResponseSLA[Priority],0))+1,3)),"YES","No")</f>
        <v>#N/A</v>
      </c>
      <c r="AI114" s="81" t="str">
        <f>_xlfn.IFNA(IF(AE114 &lt; (INDEX(SLATable[Minimum SLA],MATCH(G114,SLATable[Priority],0))),"YES","NO"),"")</f>
        <v/>
      </c>
      <c r="AJ114" s="19" t="str">
        <f>_xlfn.IFNA(IF(AE114 &lt; (INDEX(SLATable[Maximum SLA],MATCH(G114,SLATable[Priority],0))),"YES","NO"),"")</f>
        <v/>
      </c>
    </row>
    <row r="115" spans="1:36" ht="15" customHeight="1">
      <c r="A115" s="78"/>
      <c r="B115" s="78"/>
      <c r="C115" s="78"/>
      <c r="D115" s="78"/>
      <c r="E115" s="184"/>
      <c r="F115" s="78"/>
      <c r="G115" s="78"/>
      <c r="H115" s="185"/>
      <c r="I115" s="78"/>
      <c r="J115" s="86"/>
      <c r="K115" s="277"/>
      <c r="L115" s="277"/>
      <c r="M115" s="277"/>
      <c r="N115" s="277"/>
      <c r="O115" s="80"/>
      <c r="P115" s="80"/>
      <c r="Q115" s="78"/>
      <c r="R115" s="78"/>
      <c r="S115" s="78"/>
      <c r="T115" s="78"/>
      <c r="U115" s="78"/>
      <c r="V115" s="78"/>
      <c r="W115" s="78"/>
      <c r="X115" s="78"/>
      <c r="Y115" s="78"/>
      <c r="Z115" s="167" t="e">
        <f t="shared" ca="1" si="8"/>
        <v>#N/A</v>
      </c>
      <c r="AA115" s="168" t="e">
        <f t="shared" ca="1" si="9"/>
        <v>#N/A</v>
      </c>
      <c r="AB115" s="167">
        <f t="shared" ca="1" si="10"/>
        <v>0</v>
      </c>
      <c r="AC115" s="168">
        <f t="shared" ca="1" si="11"/>
        <v>0</v>
      </c>
      <c r="AD115" s="191">
        <f t="shared" ca="1" si="12"/>
        <v>46259.633973495373</v>
      </c>
      <c r="AE115" s="167">
        <f t="shared" si="13"/>
        <v>0</v>
      </c>
      <c r="AF115" s="168">
        <f t="shared" si="14"/>
        <v>0</v>
      </c>
      <c r="AG115" s="168">
        <f t="shared" si="15"/>
        <v>0</v>
      </c>
      <c r="AH115" s="81" t="e" cm="1">
        <f t="array" aca="1" ref="AH115" ca="1">IF((AD115) &lt; (INDEX(ResponseSLA[#All],(MATCH((G115),ResponseSLA[Priority],0))+1,3)),"YES","No")</f>
        <v>#N/A</v>
      </c>
      <c r="AI115" s="81" t="str">
        <f>_xlfn.IFNA(IF(AE115 &lt; (INDEX(SLATable[Minimum SLA],MATCH(G115,SLATable[Priority],0))),"YES","NO"),"")</f>
        <v/>
      </c>
      <c r="AJ115" s="19" t="str">
        <f>_xlfn.IFNA(IF(AE115 &lt; (INDEX(SLATable[Maximum SLA],MATCH(G115,SLATable[Priority],0))),"YES","NO"),"")</f>
        <v/>
      </c>
    </row>
    <row r="116" spans="1:36" ht="15" customHeight="1">
      <c r="A116" s="78"/>
      <c r="B116" s="78"/>
      <c r="C116" s="78"/>
      <c r="D116" s="78"/>
      <c r="E116" s="184"/>
      <c r="F116" s="78"/>
      <c r="G116" s="78"/>
      <c r="H116" s="185"/>
      <c r="I116" s="78"/>
      <c r="J116" s="86"/>
      <c r="K116" s="277"/>
      <c r="L116" s="277"/>
      <c r="M116" s="277"/>
      <c r="N116" s="277"/>
      <c r="O116" s="80"/>
      <c r="P116" s="80"/>
      <c r="Q116" s="78"/>
      <c r="R116" s="78"/>
      <c r="S116" s="78"/>
      <c r="T116" s="78"/>
      <c r="U116" s="78"/>
      <c r="V116" s="78"/>
      <c r="W116" s="78"/>
      <c r="X116" s="78"/>
      <c r="Y116" s="78"/>
      <c r="Z116" s="167" t="e">
        <f t="shared" ca="1" si="8"/>
        <v>#N/A</v>
      </c>
      <c r="AA116" s="168" t="e">
        <f t="shared" ca="1" si="9"/>
        <v>#N/A</v>
      </c>
      <c r="AB116" s="167">
        <f t="shared" ca="1" si="10"/>
        <v>0</v>
      </c>
      <c r="AC116" s="168">
        <f t="shared" ca="1" si="11"/>
        <v>0</v>
      </c>
      <c r="AD116" s="191">
        <f t="shared" ca="1" si="12"/>
        <v>46259.633973495373</v>
      </c>
      <c r="AE116" s="167">
        <f t="shared" si="13"/>
        <v>0</v>
      </c>
      <c r="AF116" s="168">
        <f t="shared" si="14"/>
        <v>0</v>
      </c>
      <c r="AG116" s="168">
        <f t="shared" si="15"/>
        <v>0</v>
      </c>
      <c r="AH116" s="81" t="e" cm="1">
        <f t="array" aca="1" ref="AH116" ca="1">IF((AD116) &lt; (INDEX(ResponseSLA[#All],(MATCH((G116),ResponseSLA[Priority],0))+1,3)),"YES","No")</f>
        <v>#N/A</v>
      </c>
      <c r="AI116" s="81" t="str">
        <f>_xlfn.IFNA(IF(AE116 &lt; (INDEX(SLATable[Minimum SLA],MATCH(G116,SLATable[Priority],0))),"YES","NO"),"")</f>
        <v/>
      </c>
      <c r="AJ116" s="19" t="str">
        <f>_xlfn.IFNA(IF(AE116 &lt; (INDEX(SLATable[Maximum SLA],MATCH(G116,SLATable[Priority],0))),"YES","NO"),"")</f>
        <v/>
      </c>
    </row>
    <row r="117" spans="1:36" ht="15" customHeight="1">
      <c r="A117" s="78"/>
      <c r="B117" s="78"/>
      <c r="C117" s="78"/>
      <c r="D117" s="78"/>
      <c r="E117" s="184"/>
      <c r="F117" s="78"/>
      <c r="G117" s="78"/>
      <c r="H117" s="185"/>
      <c r="I117" s="78"/>
      <c r="J117" s="86"/>
      <c r="K117" s="277"/>
      <c r="L117" s="277"/>
      <c r="M117" s="277"/>
      <c r="N117" s="277"/>
      <c r="O117" s="80"/>
      <c r="P117" s="80"/>
      <c r="Q117" s="78"/>
      <c r="R117" s="78"/>
      <c r="S117" s="78"/>
      <c r="T117" s="78"/>
      <c r="U117" s="78"/>
      <c r="V117" s="78"/>
      <c r="W117" s="78"/>
      <c r="X117" s="78"/>
      <c r="Y117" s="78"/>
      <c r="Z117" s="167" t="e">
        <f t="shared" ca="1" si="8"/>
        <v>#N/A</v>
      </c>
      <c r="AA117" s="168" t="e">
        <f t="shared" ca="1" si="9"/>
        <v>#N/A</v>
      </c>
      <c r="AB117" s="167">
        <f t="shared" ca="1" si="10"/>
        <v>0</v>
      </c>
      <c r="AC117" s="168">
        <f t="shared" ca="1" si="11"/>
        <v>0</v>
      </c>
      <c r="AD117" s="191">
        <f t="shared" ca="1" si="12"/>
        <v>46259.633973495373</v>
      </c>
      <c r="AE117" s="167">
        <f t="shared" si="13"/>
        <v>0</v>
      </c>
      <c r="AF117" s="168">
        <f t="shared" si="14"/>
        <v>0</v>
      </c>
      <c r="AG117" s="168">
        <f t="shared" si="15"/>
        <v>0</v>
      </c>
      <c r="AH117" s="81" t="e" cm="1">
        <f t="array" aca="1" ref="AH117" ca="1">IF((AD117) &lt; (INDEX(ResponseSLA[#All],(MATCH((G117),ResponseSLA[Priority],0))+1,3)),"YES","No")</f>
        <v>#N/A</v>
      </c>
      <c r="AI117" s="81" t="str">
        <f>_xlfn.IFNA(IF(AE117 &lt; (INDEX(SLATable[Minimum SLA],MATCH(G117,SLATable[Priority],0))),"YES","NO"),"")</f>
        <v/>
      </c>
      <c r="AJ117" s="19" t="str">
        <f>_xlfn.IFNA(IF(AE117 &lt; (INDEX(SLATable[Maximum SLA],MATCH(G117,SLATable[Priority],0))),"YES","NO"),"")</f>
        <v/>
      </c>
    </row>
    <row r="118" spans="1:36" ht="15" customHeight="1">
      <c r="A118" s="78"/>
      <c r="B118" s="78"/>
      <c r="C118" s="78"/>
      <c r="D118" s="78"/>
      <c r="E118" s="184"/>
      <c r="F118" s="78"/>
      <c r="G118" s="78"/>
      <c r="H118" s="185"/>
      <c r="I118" s="78"/>
      <c r="J118" s="86"/>
      <c r="K118" s="277"/>
      <c r="L118" s="277"/>
      <c r="M118" s="395"/>
      <c r="N118" s="277"/>
      <c r="O118" s="80"/>
      <c r="P118" s="80"/>
      <c r="Q118" s="78"/>
      <c r="R118" s="78"/>
      <c r="S118" s="78"/>
      <c r="T118" s="78"/>
      <c r="U118" s="78"/>
      <c r="V118" s="78"/>
      <c r="W118" s="78"/>
      <c r="X118" s="78"/>
      <c r="Y118" s="78"/>
      <c r="Z118" s="167" t="e">
        <f t="shared" ca="1" si="8"/>
        <v>#N/A</v>
      </c>
      <c r="AA118" s="168" t="e">
        <f t="shared" ca="1" si="9"/>
        <v>#N/A</v>
      </c>
      <c r="AB118" s="167">
        <f t="shared" ca="1" si="10"/>
        <v>0</v>
      </c>
      <c r="AC118" s="168">
        <f t="shared" ca="1" si="11"/>
        <v>0</v>
      </c>
      <c r="AD118" s="191">
        <f t="shared" ca="1" si="12"/>
        <v>46259.633973495373</v>
      </c>
      <c r="AE118" s="167">
        <f t="shared" si="13"/>
        <v>0</v>
      </c>
      <c r="AF118" s="168">
        <f t="shared" si="14"/>
        <v>0</v>
      </c>
      <c r="AG118" s="168">
        <f t="shared" si="15"/>
        <v>0</v>
      </c>
      <c r="AH118" s="81" t="e" cm="1">
        <f t="array" aca="1" ref="AH118" ca="1">IF((AD118) &lt; (INDEX(ResponseSLA[#All],(MATCH((G118),ResponseSLA[Priority],0))+1,3)),"YES","No")</f>
        <v>#N/A</v>
      </c>
      <c r="AI118" s="81" t="str">
        <f>_xlfn.IFNA(IF(AE118 &lt; (INDEX(SLATable[Minimum SLA],MATCH(G118,SLATable[Priority],0))),"YES","NO"),"")</f>
        <v/>
      </c>
      <c r="AJ118" s="19" t="str">
        <f>_xlfn.IFNA(IF(AE118 &lt; (INDEX(SLATable[Maximum SLA],MATCH(G118,SLATable[Priority],0))),"YES","NO"),"")</f>
        <v/>
      </c>
    </row>
    <row r="119" spans="1:36" ht="15" customHeight="1">
      <c r="A119" s="78"/>
      <c r="B119" s="78"/>
      <c r="C119" s="78"/>
      <c r="D119" s="78"/>
      <c r="E119" s="78"/>
      <c r="F119" s="78"/>
      <c r="G119" s="78"/>
      <c r="H119" s="86"/>
      <c r="I119" s="78"/>
      <c r="J119" s="86"/>
      <c r="K119" s="277"/>
      <c r="L119" s="277"/>
      <c r="M119" s="277"/>
      <c r="N119" s="277"/>
      <c r="O119" s="80"/>
      <c r="P119" s="80"/>
      <c r="Q119" s="78"/>
      <c r="R119" s="78"/>
      <c r="S119" s="78"/>
      <c r="T119" s="78"/>
      <c r="U119" s="78"/>
      <c r="V119" s="78"/>
      <c r="W119" s="78"/>
      <c r="X119" s="78"/>
      <c r="Y119" s="78"/>
      <c r="Z119" s="167" t="e">
        <f t="shared" ca="1" si="8"/>
        <v>#N/A</v>
      </c>
      <c r="AA119" s="168" t="e">
        <f t="shared" ca="1" si="9"/>
        <v>#N/A</v>
      </c>
      <c r="AB119" s="167">
        <f t="shared" ca="1" si="10"/>
        <v>0</v>
      </c>
      <c r="AC119" s="168">
        <f t="shared" ca="1" si="11"/>
        <v>0</v>
      </c>
      <c r="AD119" s="191">
        <f t="shared" ca="1" si="12"/>
        <v>46259.633973495373</v>
      </c>
      <c r="AE119" s="167">
        <f t="shared" si="13"/>
        <v>0</v>
      </c>
      <c r="AF119" s="168">
        <f t="shared" si="14"/>
        <v>0</v>
      </c>
      <c r="AG119" s="168">
        <f t="shared" si="15"/>
        <v>0</v>
      </c>
      <c r="AH119" s="81" t="e" cm="1">
        <f t="array" aca="1" ref="AH119" ca="1">IF((AD119) &lt; (INDEX(ResponseSLA[#All],(MATCH((G119),ResponseSLA[Priority],0))+1,3)),"YES","No")</f>
        <v>#N/A</v>
      </c>
      <c r="AI119" s="81" t="str">
        <f>_xlfn.IFNA(IF(AE119 &lt; (INDEX(SLATable[Minimum SLA],MATCH(G119,SLATable[Priority],0))),"YES","NO"),"")</f>
        <v/>
      </c>
      <c r="AJ119" s="19" t="str">
        <f>_xlfn.IFNA(IF(AE119 &lt; (INDEX(SLATable[Maximum SLA],MATCH(G119,SLATable[Priority],0))),"YES","NO"),"")</f>
        <v/>
      </c>
    </row>
    <row r="120" spans="1:36" ht="15" customHeight="1">
      <c r="A120" s="78"/>
      <c r="B120" s="78"/>
      <c r="C120" s="78"/>
      <c r="D120" s="78"/>
      <c r="E120" s="78"/>
      <c r="F120" s="78"/>
      <c r="G120" s="78"/>
      <c r="H120" s="86"/>
      <c r="I120" s="78"/>
      <c r="J120" s="86"/>
      <c r="K120" s="277"/>
      <c r="L120" s="318"/>
      <c r="M120" s="277"/>
      <c r="N120" s="277"/>
      <c r="O120" s="80"/>
      <c r="P120" s="80"/>
      <c r="Q120" s="78"/>
      <c r="R120" s="78"/>
      <c r="S120" s="78"/>
      <c r="T120" s="78"/>
      <c r="U120" s="78"/>
      <c r="V120" s="78"/>
      <c r="W120" s="78"/>
      <c r="X120" s="78"/>
      <c r="Y120" s="78"/>
      <c r="Z120" s="167" t="e">
        <f t="shared" ca="1" si="8"/>
        <v>#N/A</v>
      </c>
      <c r="AA120" s="168" t="e">
        <f t="shared" ca="1" si="9"/>
        <v>#N/A</v>
      </c>
      <c r="AB120" s="167">
        <f t="shared" ca="1" si="10"/>
        <v>0</v>
      </c>
      <c r="AC120" s="168">
        <f t="shared" ca="1" si="11"/>
        <v>0</v>
      </c>
      <c r="AD120" s="191">
        <f t="shared" ca="1" si="12"/>
        <v>46259.633973495373</v>
      </c>
      <c r="AE120" s="167">
        <f t="shared" si="13"/>
        <v>0</v>
      </c>
      <c r="AF120" s="168">
        <f t="shared" si="14"/>
        <v>0</v>
      </c>
      <c r="AG120" s="168">
        <f t="shared" si="15"/>
        <v>0</v>
      </c>
      <c r="AH120" s="81" t="e" cm="1">
        <f t="array" aca="1" ref="AH120" ca="1">IF((AD120) &lt; (INDEX(ResponseSLA[#All],(MATCH((G120),ResponseSLA[Priority],0))+1,3)),"YES","No")</f>
        <v>#N/A</v>
      </c>
      <c r="AI120" s="81" t="str">
        <f>_xlfn.IFNA(IF(AE120 &lt; (INDEX(SLATable[Minimum SLA],MATCH(G120,SLATable[Priority],0))),"YES","NO"),"")</f>
        <v/>
      </c>
      <c r="AJ120" s="19" t="str">
        <f>_xlfn.IFNA(IF(AE120 &lt; (INDEX(SLATable[Maximum SLA],MATCH(G120,SLATable[Priority],0))),"YES","NO"),"")</f>
        <v/>
      </c>
    </row>
    <row r="121" spans="1:36" ht="15" customHeight="1">
      <c r="A121" s="78"/>
      <c r="B121" s="78"/>
      <c r="C121" s="78"/>
      <c r="D121" s="78"/>
      <c r="E121" s="78"/>
      <c r="F121" s="78"/>
      <c r="G121" s="78"/>
      <c r="H121" s="86"/>
      <c r="I121" s="78"/>
      <c r="J121" s="86"/>
      <c r="K121" s="277"/>
      <c r="L121" s="277"/>
      <c r="M121" s="277"/>
      <c r="N121" s="277"/>
      <c r="O121" s="80"/>
      <c r="P121" s="80"/>
      <c r="Q121" s="78"/>
      <c r="R121" s="78"/>
      <c r="S121" s="78"/>
      <c r="T121" s="78"/>
      <c r="U121" s="78"/>
      <c r="V121" s="78"/>
      <c r="W121" s="78"/>
      <c r="X121" s="78"/>
      <c r="Y121" s="78"/>
      <c r="Z121" s="167" t="e">
        <f t="shared" ca="1" si="8"/>
        <v>#N/A</v>
      </c>
      <c r="AA121" s="168" t="e">
        <f t="shared" ca="1" si="9"/>
        <v>#N/A</v>
      </c>
      <c r="AB121" s="167">
        <f t="shared" ca="1" si="10"/>
        <v>0</v>
      </c>
      <c r="AC121" s="168">
        <f t="shared" ca="1" si="11"/>
        <v>0</v>
      </c>
      <c r="AD121" s="191">
        <f t="shared" ca="1" si="12"/>
        <v>46259.633973495373</v>
      </c>
      <c r="AE121" s="167">
        <f t="shared" si="13"/>
        <v>0</v>
      </c>
      <c r="AF121" s="168">
        <f t="shared" si="14"/>
        <v>0</v>
      </c>
      <c r="AG121" s="168">
        <f t="shared" si="15"/>
        <v>0</v>
      </c>
      <c r="AH121" s="81" t="e" cm="1">
        <f t="array" aca="1" ref="AH121" ca="1">IF((AD121) &lt; (INDEX(ResponseSLA[#All],(MATCH((G121),ResponseSLA[Priority],0))+1,3)),"YES","No")</f>
        <v>#N/A</v>
      </c>
      <c r="AI121" s="81" t="str">
        <f>_xlfn.IFNA(IF(AE121 &lt; (INDEX(SLATable[Minimum SLA],MATCH(G121,SLATable[Priority],0))),"YES","NO"),"")</f>
        <v/>
      </c>
      <c r="AJ121" s="19" t="str">
        <f>_xlfn.IFNA(IF(AE121 &lt; (INDEX(SLATable[Maximum SLA],MATCH(G121,SLATable[Priority],0))),"YES","NO"),"")</f>
        <v/>
      </c>
    </row>
    <row r="122" spans="1:36" ht="15" customHeight="1">
      <c r="A122" s="78"/>
      <c r="B122" s="78"/>
      <c r="C122" s="78"/>
      <c r="D122" s="78"/>
      <c r="E122" s="78"/>
      <c r="F122" s="78"/>
      <c r="G122" s="78"/>
      <c r="H122" s="86"/>
      <c r="I122" s="78"/>
      <c r="J122" s="86"/>
      <c r="K122" s="277"/>
      <c r="L122" s="277"/>
      <c r="M122" s="277"/>
      <c r="N122" s="277"/>
      <c r="O122" s="80"/>
      <c r="P122" s="80"/>
      <c r="Q122" s="78"/>
      <c r="R122" s="78"/>
      <c r="S122" s="78"/>
      <c r="T122" s="78"/>
      <c r="U122" s="78"/>
      <c r="V122" s="78"/>
      <c r="W122" s="78"/>
      <c r="X122" s="78"/>
      <c r="Y122" s="78"/>
      <c r="Z122" s="167" t="e">
        <f t="shared" ca="1" si="8"/>
        <v>#N/A</v>
      </c>
      <c r="AA122" s="168" t="e">
        <f t="shared" ca="1" si="9"/>
        <v>#N/A</v>
      </c>
      <c r="AB122" s="167">
        <f t="shared" ca="1" si="10"/>
        <v>0</v>
      </c>
      <c r="AC122" s="168">
        <f t="shared" ca="1" si="11"/>
        <v>0</v>
      </c>
      <c r="AD122" s="191">
        <f t="shared" ca="1" si="12"/>
        <v>46259.633973495373</v>
      </c>
      <c r="AE122" s="167">
        <f t="shared" si="13"/>
        <v>0</v>
      </c>
      <c r="AF122" s="168">
        <f t="shared" si="14"/>
        <v>0</v>
      </c>
      <c r="AG122" s="168">
        <f t="shared" si="15"/>
        <v>0</v>
      </c>
      <c r="AH122" s="81" t="e" cm="1">
        <f t="array" aca="1" ref="AH122" ca="1">IF((AD122) &lt; (INDEX(ResponseSLA[#All],(MATCH((G122),ResponseSLA[Priority],0))+1,3)),"YES","No")</f>
        <v>#N/A</v>
      </c>
      <c r="AI122" s="81" t="str">
        <f>_xlfn.IFNA(IF(AE122 &lt; (INDEX(SLATable[Minimum SLA],MATCH(G122,SLATable[Priority],0))),"YES","NO"),"")</f>
        <v/>
      </c>
      <c r="AJ122" s="19" t="str">
        <f>_xlfn.IFNA(IF(AE122 &lt; (INDEX(SLATable[Maximum SLA],MATCH(G122,SLATable[Priority],0))),"YES","NO"),"")</f>
        <v/>
      </c>
    </row>
    <row r="123" spans="1:36" ht="15" customHeight="1">
      <c r="A123" s="78"/>
      <c r="B123" s="78"/>
      <c r="C123" s="78"/>
      <c r="D123" s="78"/>
      <c r="E123" s="78"/>
      <c r="F123" s="78"/>
      <c r="G123" s="78"/>
      <c r="H123" s="187"/>
      <c r="I123" s="78"/>
      <c r="J123" s="86"/>
      <c r="K123" s="277"/>
      <c r="L123" s="277"/>
      <c r="M123" s="277"/>
      <c r="N123" s="277"/>
      <c r="O123" s="80"/>
      <c r="P123" s="80"/>
      <c r="Q123" s="78"/>
      <c r="R123" s="78"/>
      <c r="S123" s="78"/>
      <c r="T123" s="78"/>
      <c r="U123" s="78"/>
      <c r="V123" s="78"/>
      <c r="W123" s="78"/>
      <c r="X123" s="78"/>
      <c r="Y123" s="78"/>
      <c r="Z123" s="167" t="e">
        <f t="shared" ca="1" si="8"/>
        <v>#N/A</v>
      </c>
      <c r="AA123" s="168" t="e">
        <f t="shared" ca="1" si="9"/>
        <v>#N/A</v>
      </c>
      <c r="AB123" s="167">
        <f t="shared" ca="1" si="10"/>
        <v>0</v>
      </c>
      <c r="AC123" s="168">
        <f t="shared" ca="1" si="11"/>
        <v>0</v>
      </c>
      <c r="AD123" s="191">
        <f t="shared" ca="1" si="12"/>
        <v>46259.633973495373</v>
      </c>
      <c r="AE123" s="167">
        <f t="shared" si="13"/>
        <v>0</v>
      </c>
      <c r="AF123" s="168">
        <f t="shared" si="14"/>
        <v>0</v>
      </c>
      <c r="AG123" s="168">
        <f t="shared" si="15"/>
        <v>0</v>
      </c>
      <c r="AH123" s="81" t="e" cm="1">
        <f t="array" aca="1" ref="AH123" ca="1">IF((AD123) &lt; (INDEX(ResponseSLA[#All],(MATCH((G123),ResponseSLA[Priority],0))+1,3)),"YES","No")</f>
        <v>#N/A</v>
      </c>
      <c r="AI123" s="81" t="str">
        <f>_xlfn.IFNA(IF(AE123 &lt; (INDEX(SLATable[Minimum SLA],MATCH(G123,SLATable[Priority],0))),"YES","NO"),"")</f>
        <v/>
      </c>
      <c r="AJ123" s="19" t="str">
        <f>_xlfn.IFNA(IF(AE123 &lt; (INDEX(SLATable[Maximum SLA],MATCH(G123,SLATable[Priority],0))),"YES","NO"),"")</f>
        <v/>
      </c>
    </row>
    <row r="124" spans="1:36" ht="15" customHeight="1">
      <c r="A124" s="78"/>
      <c r="B124" s="78"/>
      <c r="C124" s="78"/>
      <c r="D124" s="78"/>
      <c r="E124" s="78"/>
      <c r="F124" s="78"/>
      <c r="G124" s="78"/>
      <c r="H124" s="99"/>
      <c r="I124" s="78"/>
      <c r="J124" s="86"/>
      <c r="K124" s="277"/>
      <c r="L124" s="277"/>
      <c r="M124" s="277"/>
      <c r="N124" s="277"/>
      <c r="O124" s="80"/>
      <c r="P124" s="80"/>
      <c r="Q124" s="78"/>
      <c r="R124" s="78"/>
      <c r="S124" s="78"/>
      <c r="T124" s="78"/>
      <c r="U124" s="78"/>
      <c r="V124" s="78"/>
      <c r="W124" s="78"/>
      <c r="X124" s="78"/>
      <c r="Y124" s="86"/>
      <c r="Z124" s="167" t="e">
        <f t="shared" ca="1" si="8"/>
        <v>#N/A</v>
      </c>
      <c r="AA124" s="168" t="e">
        <f t="shared" ca="1" si="9"/>
        <v>#N/A</v>
      </c>
      <c r="AB124" s="167">
        <f t="shared" ca="1" si="10"/>
        <v>0</v>
      </c>
      <c r="AC124" s="168">
        <f t="shared" ca="1" si="11"/>
        <v>0</v>
      </c>
      <c r="AD124" s="191">
        <f t="shared" ca="1" si="12"/>
        <v>46259.633973495373</v>
      </c>
      <c r="AE124" s="167">
        <f t="shared" si="13"/>
        <v>0</v>
      </c>
      <c r="AF124" s="168">
        <f t="shared" si="14"/>
        <v>0</v>
      </c>
      <c r="AG124" s="168">
        <f t="shared" si="15"/>
        <v>0</v>
      </c>
      <c r="AH124" s="81" t="e" cm="1">
        <f t="array" aca="1" ref="AH124" ca="1">IF((AD124) &lt; (INDEX(ResponseSLA[#All],(MATCH((G124),ResponseSLA[Priority],0))+1,3)),"YES","No")</f>
        <v>#N/A</v>
      </c>
      <c r="AI124" s="81" t="str">
        <f>_xlfn.IFNA(IF(AE124 &lt; (INDEX(SLATable[Minimum SLA],MATCH(G124,SLATable[Priority],0))),"YES","NO"),"")</f>
        <v/>
      </c>
      <c r="AJ124" s="19" t="str">
        <f>_xlfn.IFNA(IF(AE124 &lt; (INDEX(SLATable[Maximum SLA],MATCH(G124,SLATable[Priority],0))),"YES","NO"),"")</f>
        <v/>
      </c>
    </row>
    <row r="125" spans="1:36" ht="15" customHeight="1">
      <c r="A125" s="78"/>
      <c r="B125" s="78"/>
      <c r="C125" s="78"/>
      <c r="D125" s="78"/>
      <c r="E125" s="78"/>
      <c r="F125" s="78"/>
      <c r="G125" s="78"/>
      <c r="H125" s="99"/>
      <c r="I125" s="78"/>
      <c r="J125" s="86"/>
      <c r="K125" s="277"/>
      <c r="L125" s="277"/>
      <c r="M125" s="277"/>
      <c r="N125" s="277"/>
      <c r="O125" s="80"/>
      <c r="P125" s="80"/>
      <c r="Q125" s="78"/>
      <c r="R125" s="78"/>
      <c r="S125" s="78"/>
      <c r="T125" s="78"/>
      <c r="U125" s="78"/>
      <c r="V125" s="78"/>
      <c r="W125" s="78"/>
      <c r="X125" s="78"/>
      <c r="Y125" s="78"/>
      <c r="Z125" s="167" t="e">
        <f t="shared" ca="1" si="8"/>
        <v>#N/A</v>
      </c>
      <c r="AA125" s="168" t="e">
        <f t="shared" ca="1" si="9"/>
        <v>#N/A</v>
      </c>
      <c r="AB125" s="167">
        <f t="shared" ca="1" si="10"/>
        <v>0</v>
      </c>
      <c r="AC125" s="168">
        <f t="shared" ca="1" si="11"/>
        <v>0</v>
      </c>
      <c r="AD125" s="191">
        <f t="shared" ca="1" si="12"/>
        <v>46259.633973495373</v>
      </c>
      <c r="AE125" s="167">
        <f t="shared" si="13"/>
        <v>0</v>
      </c>
      <c r="AF125" s="168">
        <f t="shared" si="14"/>
        <v>0</v>
      </c>
      <c r="AG125" s="168">
        <f t="shared" si="15"/>
        <v>0</v>
      </c>
      <c r="AH125" s="81" t="e" cm="1">
        <f t="array" aca="1" ref="AH125" ca="1">IF((AD125) &lt; (INDEX(ResponseSLA[#All],(MATCH((G125),ResponseSLA[Priority],0))+1,3)),"YES","No")</f>
        <v>#N/A</v>
      </c>
      <c r="AI125" s="81" t="str">
        <f>_xlfn.IFNA(IF(AE125 &lt; (INDEX(SLATable[Minimum SLA],MATCH(G125,SLATable[Priority],0))),"YES","NO"),"")</f>
        <v/>
      </c>
      <c r="AJ125" s="19" t="str">
        <f>_xlfn.IFNA(IF(AE125 &lt; (INDEX(SLATable[Maximum SLA],MATCH(G125,SLATable[Priority],0))),"YES","NO"),"")</f>
        <v/>
      </c>
    </row>
    <row r="126" spans="1:36" ht="15" customHeight="1">
      <c r="A126" s="78"/>
      <c r="B126" s="78"/>
      <c r="C126" s="78"/>
      <c r="D126" s="78"/>
      <c r="E126" s="78"/>
      <c r="F126" s="78"/>
      <c r="G126" s="78"/>
      <c r="H126" s="99"/>
      <c r="I126" s="78"/>
      <c r="J126" s="86"/>
      <c r="K126" s="277"/>
      <c r="L126" s="277"/>
      <c r="M126" s="277"/>
      <c r="N126" s="277"/>
      <c r="O126" s="80"/>
      <c r="P126" s="80"/>
      <c r="Q126" s="78"/>
      <c r="R126" s="78"/>
      <c r="S126" s="78"/>
      <c r="T126" s="78"/>
      <c r="U126" s="78"/>
      <c r="V126" s="78"/>
      <c r="W126" s="78"/>
      <c r="X126" s="78"/>
      <c r="Y126" s="78"/>
      <c r="Z126" s="167" t="e">
        <f t="shared" ca="1" si="8"/>
        <v>#N/A</v>
      </c>
      <c r="AA126" s="168" t="e">
        <f t="shared" ca="1" si="9"/>
        <v>#N/A</v>
      </c>
      <c r="AB126" s="167">
        <f t="shared" ca="1" si="10"/>
        <v>0</v>
      </c>
      <c r="AC126" s="168">
        <f t="shared" ca="1" si="11"/>
        <v>0</v>
      </c>
      <c r="AD126" s="191">
        <f t="shared" ca="1" si="12"/>
        <v>46259.633973495373</v>
      </c>
      <c r="AE126" s="167">
        <f t="shared" si="13"/>
        <v>0</v>
      </c>
      <c r="AF126" s="168">
        <f t="shared" si="14"/>
        <v>0</v>
      </c>
      <c r="AG126" s="168">
        <f t="shared" si="15"/>
        <v>0</v>
      </c>
      <c r="AH126" s="81" t="e" cm="1">
        <f t="array" aca="1" ref="AH126" ca="1">IF((AD126) &lt; (INDEX(ResponseSLA[#All],(MATCH((G126),ResponseSLA[Priority],0))+1,3)),"YES","No")</f>
        <v>#N/A</v>
      </c>
      <c r="AI126" s="81" t="str">
        <f>_xlfn.IFNA(IF(AE126 &lt; (INDEX(SLATable[Minimum SLA],MATCH(G126,SLATable[Priority],0))),"YES","NO"),"")</f>
        <v/>
      </c>
      <c r="AJ126" s="19" t="str">
        <f>_xlfn.IFNA(IF(AE126 &lt; (INDEX(SLATable[Maximum SLA],MATCH(G126,SLATable[Priority],0))),"YES","NO"),"")</f>
        <v/>
      </c>
    </row>
    <row r="127" spans="1:36" ht="15" customHeight="1">
      <c r="A127" s="78"/>
      <c r="B127" s="78"/>
      <c r="C127" s="78"/>
      <c r="D127" s="78"/>
      <c r="E127" s="78"/>
      <c r="F127" s="78"/>
      <c r="G127" s="78"/>
      <c r="H127" s="86"/>
      <c r="I127" s="78"/>
      <c r="J127" s="86"/>
      <c r="K127" s="277"/>
      <c r="L127" s="277"/>
      <c r="M127" s="277"/>
      <c r="N127" s="277"/>
      <c r="O127" s="80"/>
      <c r="P127" s="80"/>
      <c r="Q127" s="78"/>
      <c r="R127" s="78"/>
      <c r="S127" s="78"/>
      <c r="T127" s="78"/>
      <c r="U127" s="78"/>
      <c r="V127" s="78"/>
      <c r="W127" s="78"/>
      <c r="X127" s="78"/>
      <c r="Y127" s="78"/>
      <c r="Z127" s="167" t="e">
        <f t="shared" ca="1" si="8"/>
        <v>#N/A</v>
      </c>
      <c r="AA127" s="168" t="e">
        <f t="shared" ca="1" si="9"/>
        <v>#N/A</v>
      </c>
      <c r="AB127" s="167">
        <f t="shared" ca="1" si="10"/>
        <v>0</v>
      </c>
      <c r="AC127" s="168">
        <f t="shared" ca="1" si="11"/>
        <v>0</v>
      </c>
      <c r="AD127" s="191">
        <f t="shared" ca="1" si="12"/>
        <v>46259.633973495373</v>
      </c>
      <c r="AE127" s="167">
        <f t="shared" si="13"/>
        <v>0</v>
      </c>
      <c r="AF127" s="168">
        <f t="shared" si="14"/>
        <v>0</v>
      </c>
      <c r="AG127" s="168">
        <f t="shared" si="15"/>
        <v>0</v>
      </c>
      <c r="AH127" s="81" t="e" cm="1">
        <f t="array" aca="1" ref="AH127" ca="1">IF((AD127) &lt; (INDEX(ResponseSLA[#All],(MATCH((G127),ResponseSLA[Priority],0))+1,3)),"YES","No")</f>
        <v>#N/A</v>
      </c>
      <c r="AI127" s="81" t="str">
        <f>_xlfn.IFNA(IF(AE127 &lt; (INDEX(SLATable[Minimum SLA],MATCH(G127,SLATable[Priority],0))),"YES","NO"),"")</f>
        <v/>
      </c>
      <c r="AJ127" s="19" t="str">
        <f>_xlfn.IFNA(IF(AE127 &lt; (INDEX(SLATable[Maximum SLA],MATCH(G127,SLATable[Priority],0))),"YES","NO"),"")</f>
        <v/>
      </c>
    </row>
    <row r="128" spans="1:36" ht="15" customHeight="1">
      <c r="A128" s="78"/>
      <c r="B128" s="78"/>
      <c r="C128" s="78"/>
      <c r="D128" s="78"/>
      <c r="E128" s="196"/>
      <c r="F128" s="78"/>
      <c r="G128" s="78"/>
      <c r="H128" s="99"/>
      <c r="I128" s="78"/>
      <c r="J128" s="86"/>
      <c r="K128" s="277"/>
      <c r="L128" s="277"/>
      <c r="M128" s="277"/>
      <c r="N128" s="277"/>
      <c r="O128" s="80"/>
      <c r="P128" s="80"/>
      <c r="Q128" s="78"/>
      <c r="R128" s="78"/>
      <c r="S128" s="78"/>
      <c r="T128" s="78"/>
      <c r="U128" s="78"/>
      <c r="V128" s="78"/>
      <c r="W128" s="78"/>
      <c r="X128" s="78"/>
      <c r="Y128" s="78"/>
      <c r="Z128" s="167" t="e">
        <f t="shared" ca="1" si="8"/>
        <v>#N/A</v>
      </c>
      <c r="AA128" s="168" t="e">
        <f t="shared" ca="1" si="9"/>
        <v>#N/A</v>
      </c>
      <c r="AB128" s="167">
        <f t="shared" ca="1" si="10"/>
        <v>0</v>
      </c>
      <c r="AC128" s="168">
        <f t="shared" ca="1" si="11"/>
        <v>0</v>
      </c>
      <c r="AD128" s="191">
        <f t="shared" ca="1" si="12"/>
        <v>46259.633973495373</v>
      </c>
      <c r="AE128" s="167">
        <f t="shared" si="13"/>
        <v>0</v>
      </c>
      <c r="AF128" s="168">
        <f t="shared" si="14"/>
        <v>0</v>
      </c>
      <c r="AG128" s="168">
        <f t="shared" si="15"/>
        <v>0</v>
      </c>
      <c r="AH128" s="81" t="e" cm="1">
        <f t="array" aca="1" ref="AH128" ca="1">IF((AD128) &lt; (INDEX(ResponseSLA[#All],(MATCH((G128),ResponseSLA[Priority],0))+1,3)),"YES","No")</f>
        <v>#N/A</v>
      </c>
      <c r="AI128" s="81" t="str">
        <f>_xlfn.IFNA(IF(AE128 &lt; (INDEX(SLATable[Minimum SLA],MATCH(G128,SLATable[Priority],0))),"YES","NO"),"")</f>
        <v/>
      </c>
      <c r="AJ128" s="19" t="str">
        <f>_xlfn.IFNA(IF(AE128 &lt; (INDEX(SLATable[Maximum SLA],MATCH(G128,SLATable[Priority],0))),"YES","NO"),"")</f>
        <v/>
      </c>
    </row>
    <row r="129" spans="1:36" ht="15" customHeight="1">
      <c r="A129" s="78"/>
      <c r="B129" s="78"/>
      <c r="C129" s="78"/>
      <c r="D129" s="78"/>
      <c r="E129" s="193"/>
      <c r="F129" s="78"/>
      <c r="G129" s="78"/>
      <c r="H129" s="193"/>
      <c r="I129" s="78"/>
      <c r="J129" s="86"/>
      <c r="K129" s="194"/>
      <c r="L129" s="194"/>
      <c r="M129" s="186"/>
      <c r="N129" s="186"/>
      <c r="O129" s="80"/>
      <c r="P129" s="80"/>
      <c r="Q129" s="321"/>
      <c r="R129" s="78"/>
      <c r="S129" s="78"/>
      <c r="T129" s="78"/>
      <c r="U129" s="78"/>
      <c r="V129" s="78"/>
      <c r="W129" s="78"/>
      <c r="X129" s="78"/>
      <c r="Y129" s="78"/>
      <c r="Z129" s="167" t="e">
        <f t="shared" ca="1" si="8"/>
        <v>#N/A</v>
      </c>
      <c r="AA129" s="168" t="e">
        <f t="shared" ca="1" si="9"/>
        <v>#N/A</v>
      </c>
      <c r="AB129" s="167">
        <f t="shared" ca="1" si="10"/>
        <v>0</v>
      </c>
      <c r="AC129" s="168">
        <f t="shared" ca="1" si="11"/>
        <v>0</v>
      </c>
      <c r="AD129" s="191">
        <f t="shared" ca="1" si="12"/>
        <v>46259.633973495373</v>
      </c>
      <c r="AE129" s="167">
        <f t="shared" si="13"/>
        <v>0</v>
      </c>
      <c r="AF129" s="168">
        <f t="shared" si="14"/>
        <v>0</v>
      </c>
      <c r="AG129" s="168">
        <f t="shared" si="15"/>
        <v>0</v>
      </c>
      <c r="AH129" s="81" t="e" cm="1">
        <f t="array" aca="1" ref="AH129" ca="1">IF((AD129) &lt; (INDEX(ResponseSLA[#All],(MATCH((G129),ResponseSLA[Priority],0))+1,3)),"YES","No")</f>
        <v>#N/A</v>
      </c>
      <c r="AI129" s="81" t="str">
        <f>_xlfn.IFNA(IF(AE129 &lt; (INDEX(SLATable[Minimum SLA],MATCH(G129,SLATable[Priority],0))),"YES","NO"),"")</f>
        <v/>
      </c>
      <c r="AJ129" s="19" t="str">
        <f>_xlfn.IFNA(IF(AE129 &lt; (INDEX(SLATable[Maximum SLA],MATCH(G129,SLATable[Priority],0))),"YES","NO"),"")</f>
        <v/>
      </c>
    </row>
    <row r="130" spans="1:36" ht="15" customHeight="1">
      <c r="A130" s="78"/>
      <c r="B130" s="78"/>
      <c r="C130" s="78"/>
      <c r="D130" s="78"/>
      <c r="E130" s="193"/>
      <c r="F130" s="78"/>
      <c r="G130" s="78"/>
      <c r="H130" s="195"/>
      <c r="I130" s="78"/>
      <c r="J130" s="86"/>
      <c r="K130" s="194"/>
      <c r="L130" s="194"/>
      <c r="M130" s="186"/>
      <c r="N130" s="186"/>
      <c r="O130" s="80"/>
      <c r="P130" s="80"/>
      <c r="Q130" s="78"/>
      <c r="R130" s="78"/>
      <c r="S130" s="78"/>
      <c r="T130" s="78"/>
      <c r="U130" s="78"/>
      <c r="V130" s="78"/>
      <c r="W130" s="78"/>
      <c r="X130" s="78"/>
      <c r="Y130" s="78"/>
      <c r="Z130" s="167" t="e">
        <f t="shared" ref="Z130:Z181" ca="1" si="16">IF(NOT(OR(G130=1,G130=2)),MAX(0,_xlfn.IFS(AND(K130&lt;&gt;"",N130&lt;&gt;""),((MAX(NETWORKDAYS(K130,N130,UKBankHolidays)-1,0))*(TIME(17,0,0)-TIME(8,0,0))+IF(NETWORKDAYS(N130,N130,UKBankHolidays)&gt;0,MEDIAN(TIME(8,0,0),MOD(N130,1),TIME(17,0,0)),TIME(8,0,0))-IF(NETWORKDAYS(K130,K130,UKBankHolidays)&gt;0,MEDIAN(TIME(8,0,0),MOD(K130,1),TIME(17,0,0)),TIME(8,0,0)))-IF(AND(O130&lt;&gt;"",P130&lt;&gt;""),((MAX(NETWORKDAYS(O130,P130,UKBankHolidays)-1,0))*(TIME(17,0,0)-TIME(8,0,0))+IF(NETWORKDAYS(P130,P130,UKBankHolidays)&gt;0,MEDIAN(TIME(8,0,0),MOD(P130,1),TIME(17,0,0)),TIME(8,0,0))-IF(NETWORKDAYS(O130,O130,UKBankHolidays)&gt;0,MEDIAN(TIME(8,0,0),MOD(O130,1),TIME(17,0,0)),TIME(8,0,0))),0),AND(K130&lt;&gt;"",N130=""),((MAX(NETWORKDAYS(K130,NOW(),UKBankHolidays)-1,0))*(TIME(17,0,0)-TIME(8,0,0))+IF(NETWORKDAYS(NOW(),NOW(),UKBankHolidays)&gt;0,MEDIAN(TIME(8,0,0),MOD(NOW(),1),TIME(17,0,0)),TIME(8,0,0))-IF(NETWORKDAYS(K130,K130,UKBankHolidays)&gt;0,MEDIAN(TIME(8,0,0),MOD(K130,1),TIME(17,0,0)),TIME(8,0,0))))),IF(N130="",NOW()-K130,N130-K130))</f>
        <v>#N/A</v>
      </c>
      <c r="AA130" s="168" t="e">
        <f t="shared" ref="AA130:AA193" ca="1" si="17">(Z130*24)/9</f>
        <v>#N/A</v>
      </c>
      <c r="AB130" s="167">
        <f t="shared" ref="AB130:AB181" ca="1" si="18">IF(NOT(OR(G130=1,G130=2)),MAX(0,_xlfn.IFS(AND(K130&lt;&gt;"",N130&lt;&gt;""),(((MAX(NETWORKDAYS(L130,N130,UKBankHolidays)-1,0))*(TIME(17,0,0)-TIME(8,0,0)))+IF(NETWORKDAYS(N130,N130,UKBankHolidays)&gt;0,MEDIAN(TIME(8,0,0),MOD(N130,1),TIME(17,0,0)),TIME(8,0,0))-IF(NETWORKDAYS(L130,L130,UKBankHolidays)&gt;0,MEDIAN(TIME(8,0,0),MOD(L130,1),TIME(17,0,0)),TIME(8,0,0)))-IF(AND(O130&lt;&gt;"",P130&lt;&gt;""),(((MAX(NETWORKDAYS(O130,P130,UKBankHolidays)-1,0))*(TIME(17,0,0)-TIME(8,0,0)))+IF(NETWORKDAYS(P130,P130,UKBankHolidays)&gt;0,MEDIAN(TIME(8,0,0),MOD(P130,1),TIME(17,0,0)),TIME(8,0,0))-IF(NETWORKDAYS(O130,O130,UKBankHolidays)&gt;0,MEDIAN(TIME(8,0,0),MOD(O130,1),TIME(17,0,0)),TIME(8,0,0))),0),AND(L130&lt;&gt;"",N130="",O130=""),(((MAX(NETWORKDAYS(L130,NOW(),UKBankHolidays)-1,0))*(TIME(17,0,0)-TIME(8,0,0)))+IF(NETWORKDAYS(NOW(),NOW(),UKBankHolidays)&gt;0,MEDIAN(TIME(8,0,0),MOD(NOW(),1),TIME(17,0,0)),TIME(8,0,0))-IF(NETWORKDAYS(L130,L130,UKBankHolidays)&gt;0,MEDIAN(TIME(8,0,0),MOD(L130,1),TIME(17,0,0)),TIME(8,0,0)))-IF(AND(O130&lt;&gt;"",P130&lt;&gt;""),(((MAX(NETWORKDAYS(O130,P130,UKBankHolidays)-1,0))*(TIME(17,0,0)-TIME(8,0,0)))+IF(NETWORKDAYS(P130,P130,UKBankHolidays)&gt;0,MEDIAN(TIME(8,0,0),MOD(P130,1),TIME(17,0,0)),TIME(8,0,0))-IF(NETWORKDAYS(O130,O130,UKBankHolidays)&gt;0,MEDIAN(TIME(8,0,0),MOD(O130,1),TIME(17,0,0)),TIME(8,0,0))),0),AND(L130&lt;&gt;"",N130="",P130="",O130&lt;&gt;""),(((MAX(NETWORKDAYS(L130,O130,UKBankHolidays)-1,0))*(TIME(17,0,0)-TIME(8,0,0)))+IF(NETWORKDAYS(O130,O130,UKBankHolidays)&gt;0,MEDIAN(TIME(8,0,0),MOD(O130,1),TIME(17,0,0)),TIME(8,0,0))-IF(NETWORKDAYS(L130,L130,UKBankHolidays)&gt;0,MEDIAN(TIME(8,0,0),MOD(L130,1),TIME(17,0,0)),TIME(8,0,0))),ISBLANK(K130),"0")),IF(ISBLANK(N130),NOW()-L130,N130-L130))</f>
        <v>0</v>
      </c>
      <c r="AC130" s="168">
        <f t="shared" ref="AC130:AC193" ca="1" si="19">(AB130*24)/9</f>
        <v>0</v>
      </c>
      <c r="AD130" s="191">
        <f t="shared" ref="AD130:AD193" ca="1" si="20">MAX(0,
IF(
OR(G130=1,G130=2),
IF(M130&lt;&gt;"",M130-L130,NOW()-L130),
IF(
M130&lt;&gt;"",
IF(
INT(L130)=INT(M130),
IF(
NETWORKDAYS(L130,L130,UKBankHolidays)=0,
0,
MAX(
0,
MIN(MOD(M130,1),TIME(17,0,0))
-
MAX(MOD(L130,1),TIME(8,0,0))
)
),
MAX(
0,
IF(
NETWORKDAYS(L130,L130,UKBankHolidays)&gt;0,
TIME(17,0,0)-MAX(MOD(L130,1),TIME(8,0,0)),
0
)
)
+
MAX(
0,
NETWORKDAYS(INT(L130)+1,INT(M130)-1,UKBankHolidays)
*(TIME(17,0,0)-TIME(8,0,0))
)
+
MAX(
0,
IF(
NETWORKDAYS(M130,M130,UKBankHolidays)&gt;0,
MIN(MOD(M130,1),TIME(17,0,0))-TIME(8,0,0),
0
)
)
),
IF(M130&lt;&gt;"",M130-L130,NOW()-L130)
)
)
)</f>
        <v>46259.633973495373</v>
      </c>
      <c r="AE130" s="167">
        <f t="shared" ref="AE130:AE193" si="21">SUMIFS(AB:AB,E:E,E130)</f>
        <v>0</v>
      </c>
      <c r="AF130" s="168">
        <f t="shared" ref="AF130:AF193" si="22">(AE130*24)/9</f>
        <v>0</v>
      </c>
      <c r="AG130" s="168">
        <f t="shared" ref="AG130:AG193" si="23">AF130</f>
        <v>0</v>
      </c>
      <c r="AH130" s="81" t="e" cm="1">
        <f t="array" aca="1" ref="AH130" ca="1">IF((AD130) &lt; (INDEX(ResponseSLA[#All],(MATCH((G130),ResponseSLA[Priority],0))+1,3)),"YES","No")</f>
        <v>#N/A</v>
      </c>
      <c r="AI130" s="81" t="str">
        <f>_xlfn.IFNA(IF(AE130 &lt; (INDEX(SLATable[Minimum SLA],MATCH(G130,SLATable[Priority],0))),"YES","NO"),"")</f>
        <v/>
      </c>
      <c r="AJ130" s="19" t="str">
        <f>_xlfn.IFNA(IF(AE130 &lt; (INDEX(SLATable[Maximum SLA],MATCH(G130,SLATable[Priority],0))),"YES","NO"),"")</f>
        <v/>
      </c>
    </row>
    <row r="131" spans="1:36" ht="15" customHeight="1">
      <c r="A131" s="78"/>
      <c r="B131" s="78"/>
      <c r="C131" s="78"/>
      <c r="D131" s="78"/>
      <c r="E131" s="193"/>
      <c r="F131" s="78"/>
      <c r="G131" s="78"/>
      <c r="H131" s="195"/>
      <c r="I131" s="78"/>
      <c r="J131" s="86"/>
      <c r="K131" s="194"/>
      <c r="L131" s="194"/>
      <c r="M131" s="186"/>
      <c r="N131" s="186"/>
      <c r="O131" s="80"/>
      <c r="P131" s="80"/>
      <c r="Q131" s="78"/>
      <c r="R131" s="78"/>
      <c r="S131" s="78"/>
      <c r="T131" s="78"/>
      <c r="U131" s="78"/>
      <c r="V131" s="78"/>
      <c r="W131" s="78"/>
      <c r="X131" s="78"/>
      <c r="Y131" s="78"/>
      <c r="Z131" s="167" t="e">
        <f t="shared" ca="1" si="16"/>
        <v>#N/A</v>
      </c>
      <c r="AA131" s="168" t="e">
        <f t="shared" ca="1" si="17"/>
        <v>#N/A</v>
      </c>
      <c r="AB131" s="167">
        <f t="shared" ca="1" si="18"/>
        <v>0</v>
      </c>
      <c r="AC131" s="168">
        <f t="shared" ca="1" si="19"/>
        <v>0</v>
      </c>
      <c r="AD131" s="191">
        <f t="shared" ca="1" si="20"/>
        <v>46259.633973495373</v>
      </c>
      <c r="AE131" s="167">
        <f t="shared" si="21"/>
        <v>0</v>
      </c>
      <c r="AF131" s="168">
        <f t="shared" si="22"/>
        <v>0</v>
      </c>
      <c r="AG131" s="168">
        <f t="shared" si="23"/>
        <v>0</v>
      </c>
      <c r="AH131" s="81" t="e" cm="1">
        <f t="array" aca="1" ref="AH131" ca="1">IF((AD131) &lt; (INDEX(ResponseSLA[#All],(MATCH((G131),ResponseSLA[Priority],0))+1,3)),"YES","No")</f>
        <v>#N/A</v>
      </c>
      <c r="AI131" s="81" t="str">
        <f>_xlfn.IFNA(IF(AE131 &lt; (INDEX(SLATable[Minimum SLA],MATCH(G131,SLATable[Priority],0))),"YES","NO"),"")</f>
        <v/>
      </c>
      <c r="AJ131" s="19" t="str">
        <f>_xlfn.IFNA(IF(AE131 &lt; (INDEX(SLATable[Maximum SLA],MATCH(G131,SLATable[Priority],0))),"YES","NO"),"")</f>
        <v/>
      </c>
    </row>
    <row r="132" spans="1:36" ht="15" customHeight="1">
      <c r="A132" s="78"/>
      <c r="B132" s="78"/>
      <c r="C132" s="78"/>
      <c r="D132" s="78"/>
      <c r="E132" s="193"/>
      <c r="F132" s="78"/>
      <c r="G132" s="78"/>
      <c r="H132" s="195"/>
      <c r="I132" s="78"/>
      <c r="J132" s="86"/>
      <c r="K132" s="194"/>
      <c r="L132" s="194"/>
      <c r="M132" s="186"/>
      <c r="N132" s="186"/>
      <c r="O132" s="80"/>
      <c r="P132" s="80"/>
      <c r="Q132" s="78"/>
      <c r="R132" s="78"/>
      <c r="S132" s="78"/>
      <c r="T132" s="78"/>
      <c r="U132" s="78"/>
      <c r="V132" s="78"/>
      <c r="W132" s="78"/>
      <c r="X132" s="78"/>
      <c r="Y132" s="78"/>
      <c r="Z132" s="167" t="e">
        <f t="shared" ca="1" si="16"/>
        <v>#N/A</v>
      </c>
      <c r="AA132" s="168" t="e">
        <f t="shared" ca="1" si="17"/>
        <v>#N/A</v>
      </c>
      <c r="AB132" s="167">
        <f t="shared" ca="1" si="18"/>
        <v>0</v>
      </c>
      <c r="AC132" s="168">
        <f t="shared" ca="1" si="19"/>
        <v>0</v>
      </c>
      <c r="AD132" s="191">
        <f t="shared" ca="1" si="20"/>
        <v>46259.633973495373</v>
      </c>
      <c r="AE132" s="167">
        <f t="shared" si="21"/>
        <v>0</v>
      </c>
      <c r="AF132" s="168">
        <f t="shared" si="22"/>
        <v>0</v>
      </c>
      <c r="AG132" s="168">
        <f t="shared" si="23"/>
        <v>0</v>
      </c>
      <c r="AH132" s="81" t="e" cm="1">
        <f t="array" aca="1" ref="AH132" ca="1">IF((AD132) &lt; (INDEX(ResponseSLA[#All],(MATCH((G132),ResponseSLA[Priority],0))+1,3)),"YES","No")</f>
        <v>#N/A</v>
      </c>
      <c r="AI132" s="81" t="str">
        <f>_xlfn.IFNA(IF(AE132 &lt; (INDEX(SLATable[Minimum SLA],MATCH(G132,SLATable[Priority],0))),"YES","NO"),"")</f>
        <v/>
      </c>
      <c r="AJ132" s="19" t="str">
        <f>_xlfn.IFNA(IF(AE132 &lt; (INDEX(SLATable[Maximum SLA],MATCH(G132,SLATable[Priority],0))),"YES","NO"),"")</f>
        <v/>
      </c>
    </row>
    <row r="133" spans="1:36" ht="15" customHeight="1">
      <c r="A133" s="78"/>
      <c r="B133" s="78"/>
      <c r="C133" s="78"/>
      <c r="D133" s="78"/>
      <c r="E133" s="193"/>
      <c r="F133" s="78"/>
      <c r="G133" s="78"/>
      <c r="H133" s="195"/>
      <c r="I133" s="78"/>
      <c r="J133" s="86"/>
      <c r="K133" s="194"/>
      <c r="L133" s="194"/>
      <c r="M133" s="186"/>
      <c r="N133" s="186"/>
      <c r="O133" s="80"/>
      <c r="P133" s="80"/>
      <c r="Q133" s="78"/>
      <c r="R133" s="78"/>
      <c r="S133" s="78"/>
      <c r="T133" s="78"/>
      <c r="U133" s="78"/>
      <c r="V133" s="78"/>
      <c r="W133" s="78"/>
      <c r="X133" s="78"/>
      <c r="Y133" s="78"/>
      <c r="Z133" s="167" t="e">
        <f t="shared" ca="1" si="16"/>
        <v>#N/A</v>
      </c>
      <c r="AA133" s="168" t="e">
        <f t="shared" ca="1" si="17"/>
        <v>#N/A</v>
      </c>
      <c r="AB133" s="167">
        <f t="shared" ca="1" si="18"/>
        <v>0</v>
      </c>
      <c r="AC133" s="168">
        <f t="shared" ca="1" si="19"/>
        <v>0</v>
      </c>
      <c r="AD133" s="191">
        <f t="shared" ca="1" si="20"/>
        <v>46259.633973495373</v>
      </c>
      <c r="AE133" s="167">
        <f t="shared" si="21"/>
        <v>0</v>
      </c>
      <c r="AF133" s="168">
        <f t="shared" si="22"/>
        <v>0</v>
      </c>
      <c r="AG133" s="168">
        <f t="shared" si="23"/>
        <v>0</v>
      </c>
      <c r="AH133" s="81" t="e" cm="1">
        <f t="array" aca="1" ref="AH133" ca="1">IF((AD133) &lt; (INDEX(ResponseSLA[#All],(MATCH((G133),ResponseSLA[Priority],0))+1,3)),"YES","No")</f>
        <v>#N/A</v>
      </c>
      <c r="AI133" s="81" t="str">
        <f>_xlfn.IFNA(IF(AE133 &lt; (INDEX(SLATable[Minimum SLA],MATCH(G133,SLATable[Priority],0))),"YES","NO"),"")</f>
        <v/>
      </c>
      <c r="AJ133" s="19" t="str">
        <f>_xlfn.IFNA(IF(AE133 &lt; (INDEX(SLATable[Maximum SLA],MATCH(G133,SLATable[Priority],0))),"YES","NO"),"")</f>
        <v/>
      </c>
    </row>
    <row r="134" spans="1:36" ht="15" customHeight="1">
      <c r="A134" s="78"/>
      <c r="B134" s="78"/>
      <c r="C134" s="78"/>
      <c r="D134" s="78"/>
      <c r="E134" s="184"/>
      <c r="F134" s="78"/>
      <c r="G134" s="78"/>
      <c r="H134" s="86"/>
      <c r="I134" s="78"/>
      <c r="J134" s="86"/>
      <c r="K134" s="277"/>
      <c r="L134" s="277"/>
      <c r="M134" s="277"/>
      <c r="N134" s="277"/>
      <c r="O134" s="80"/>
      <c r="P134" s="80"/>
      <c r="Q134" s="78"/>
      <c r="R134" s="78"/>
      <c r="S134" s="78"/>
      <c r="T134" s="78"/>
      <c r="U134" s="78"/>
      <c r="V134" s="78"/>
      <c r="W134" s="78"/>
      <c r="X134" s="78"/>
      <c r="Y134" s="78"/>
      <c r="Z134" s="167" t="e">
        <f t="shared" ca="1" si="16"/>
        <v>#N/A</v>
      </c>
      <c r="AA134" s="168" t="e">
        <f t="shared" ca="1" si="17"/>
        <v>#N/A</v>
      </c>
      <c r="AB134" s="167">
        <f t="shared" ca="1" si="18"/>
        <v>0</v>
      </c>
      <c r="AC134" s="168">
        <f t="shared" ca="1" si="19"/>
        <v>0</v>
      </c>
      <c r="AD134" s="191">
        <f t="shared" ca="1" si="20"/>
        <v>46259.633973495373</v>
      </c>
      <c r="AE134" s="167">
        <f t="shared" si="21"/>
        <v>0</v>
      </c>
      <c r="AF134" s="168">
        <f t="shared" si="22"/>
        <v>0</v>
      </c>
      <c r="AG134" s="168">
        <f t="shared" si="23"/>
        <v>0</v>
      </c>
      <c r="AH134" s="81" t="e" cm="1">
        <f t="array" aca="1" ref="AH134" ca="1">IF((AD134) &lt; (INDEX(ResponseSLA[#All],(MATCH((G134),ResponseSLA[Priority],0))+1,3)),"YES","No")</f>
        <v>#N/A</v>
      </c>
      <c r="AI134" s="81" t="str">
        <f>_xlfn.IFNA(IF(AE134 &lt; (INDEX(SLATable[Minimum SLA],MATCH(G134,SLATable[Priority],0))),"YES","NO"),"")</f>
        <v/>
      </c>
      <c r="AJ134" s="19" t="str">
        <f>_xlfn.IFNA(IF(AE134 &lt; (INDEX(SLATable[Maximum SLA],MATCH(G134,SLATable[Priority],0))),"YES","NO"),"")</f>
        <v/>
      </c>
    </row>
    <row r="135" spans="1:36" ht="15" customHeight="1">
      <c r="A135" s="78"/>
      <c r="B135" s="78"/>
      <c r="C135" s="78"/>
      <c r="D135" s="78"/>
      <c r="E135" s="184"/>
      <c r="F135" s="78"/>
      <c r="G135" s="78"/>
      <c r="H135" s="86"/>
      <c r="I135" s="78"/>
      <c r="J135" s="86"/>
      <c r="K135" s="277"/>
      <c r="L135" s="277"/>
      <c r="M135" s="277"/>
      <c r="N135" s="277"/>
      <c r="O135" s="80"/>
      <c r="P135" s="80"/>
      <c r="Q135" s="78"/>
      <c r="R135" s="78"/>
      <c r="S135" s="78"/>
      <c r="T135" s="78"/>
      <c r="U135" s="78"/>
      <c r="V135" s="78"/>
      <c r="W135" s="78"/>
      <c r="X135" s="78"/>
      <c r="Y135" s="78"/>
      <c r="Z135" s="167" t="e">
        <f t="shared" ca="1" si="16"/>
        <v>#N/A</v>
      </c>
      <c r="AA135" s="168" t="e">
        <f t="shared" ca="1" si="17"/>
        <v>#N/A</v>
      </c>
      <c r="AB135" s="167">
        <f t="shared" ca="1" si="18"/>
        <v>0</v>
      </c>
      <c r="AC135" s="168">
        <f t="shared" ca="1" si="19"/>
        <v>0</v>
      </c>
      <c r="AD135" s="191">
        <f t="shared" ca="1" si="20"/>
        <v>46259.633973495373</v>
      </c>
      <c r="AE135" s="167">
        <f t="shared" si="21"/>
        <v>0</v>
      </c>
      <c r="AF135" s="168">
        <f t="shared" si="22"/>
        <v>0</v>
      </c>
      <c r="AG135" s="168">
        <f t="shared" si="23"/>
        <v>0</v>
      </c>
      <c r="AH135" s="81" t="e" cm="1">
        <f t="array" aca="1" ref="AH135" ca="1">IF((AD135) &lt; (INDEX(ResponseSLA[#All],(MATCH((G135),ResponseSLA[Priority],0))+1,3)),"YES","No")</f>
        <v>#N/A</v>
      </c>
      <c r="AI135" s="81" t="str">
        <f>_xlfn.IFNA(IF(AE135 &lt; (INDEX(SLATable[Minimum SLA],MATCH(G135,SLATable[Priority],0))),"YES","NO"),"")</f>
        <v/>
      </c>
      <c r="AJ135" s="19" t="str">
        <f>_xlfn.IFNA(IF(AE135 &lt; (INDEX(SLATable[Maximum SLA],MATCH(G135,SLATable[Priority],0))),"YES","NO"),"")</f>
        <v/>
      </c>
    </row>
    <row r="136" spans="1:36" ht="15" customHeight="1">
      <c r="A136" s="78"/>
      <c r="B136" s="78"/>
      <c r="C136" s="78"/>
      <c r="D136" s="78"/>
      <c r="E136" s="78"/>
      <c r="F136" s="78"/>
      <c r="G136" s="78"/>
      <c r="H136" s="86"/>
      <c r="I136" s="78"/>
      <c r="J136" s="86"/>
      <c r="K136" s="277"/>
      <c r="L136" s="277"/>
      <c r="M136" s="277"/>
      <c r="N136" s="277"/>
      <c r="O136" s="80"/>
      <c r="P136" s="80"/>
      <c r="Q136" s="78"/>
      <c r="R136" s="78"/>
      <c r="S136" s="78"/>
      <c r="T136" s="78"/>
      <c r="U136" s="78"/>
      <c r="V136" s="78"/>
      <c r="W136" s="78"/>
      <c r="X136" s="78"/>
      <c r="Y136" s="78"/>
      <c r="Z136" s="167" t="e">
        <f t="shared" ca="1" si="16"/>
        <v>#N/A</v>
      </c>
      <c r="AA136" s="168" t="e">
        <f t="shared" ca="1" si="17"/>
        <v>#N/A</v>
      </c>
      <c r="AB136" s="167">
        <f t="shared" ca="1" si="18"/>
        <v>0</v>
      </c>
      <c r="AC136" s="168">
        <f t="shared" ca="1" si="19"/>
        <v>0</v>
      </c>
      <c r="AD136" s="191">
        <f t="shared" ca="1" si="20"/>
        <v>46259.633973495373</v>
      </c>
      <c r="AE136" s="167">
        <f t="shared" si="21"/>
        <v>0</v>
      </c>
      <c r="AF136" s="168">
        <f t="shared" si="22"/>
        <v>0</v>
      </c>
      <c r="AG136" s="168">
        <f t="shared" si="23"/>
        <v>0</v>
      </c>
      <c r="AH136" s="81" t="e" cm="1">
        <f t="array" aca="1" ref="AH136" ca="1">IF((AD136) &lt; (INDEX(ResponseSLA[#All],(MATCH((G136),ResponseSLA[Priority],0))+1,3)),"YES","No")</f>
        <v>#N/A</v>
      </c>
      <c r="AI136" s="81" t="str">
        <f>_xlfn.IFNA(IF(AE136 &lt; (INDEX(SLATable[Minimum SLA],MATCH(G136,SLATable[Priority],0))),"YES","NO"),"")</f>
        <v/>
      </c>
      <c r="AJ136" s="19" t="str">
        <f>_xlfn.IFNA(IF(AE136 &lt; (INDEX(SLATable[Maximum SLA],MATCH(G136,SLATable[Priority],0))),"YES","NO"),"")</f>
        <v/>
      </c>
    </row>
    <row r="137" spans="1:36" ht="15" customHeight="1">
      <c r="A137" s="78"/>
      <c r="B137" s="78"/>
      <c r="C137" s="78"/>
      <c r="D137" s="78"/>
      <c r="E137" s="78"/>
      <c r="F137" s="78"/>
      <c r="G137" s="78"/>
      <c r="H137" s="86"/>
      <c r="I137" s="78"/>
      <c r="J137" s="86"/>
      <c r="K137" s="277"/>
      <c r="L137" s="277"/>
      <c r="M137" s="277"/>
      <c r="N137" s="277"/>
      <c r="O137" s="80"/>
      <c r="P137" s="80"/>
      <c r="Q137" s="78"/>
      <c r="R137" s="78"/>
      <c r="S137" s="78"/>
      <c r="T137" s="78"/>
      <c r="U137" s="78"/>
      <c r="V137" s="78"/>
      <c r="W137" s="78"/>
      <c r="X137" s="78"/>
      <c r="Y137" s="78"/>
      <c r="Z137" s="167" t="e">
        <f t="shared" ca="1" si="16"/>
        <v>#N/A</v>
      </c>
      <c r="AA137" s="168" t="e">
        <f t="shared" ca="1" si="17"/>
        <v>#N/A</v>
      </c>
      <c r="AB137" s="167">
        <f t="shared" ca="1" si="18"/>
        <v>0</v>
      </c>
      <c r="AC137" s="168">
        <f t="shared" ca="1" si="19"/>
        <v>0</v>
      </c>
      <c r="AD137" s="191">
        <f t="shared" ca="1" si="20"/>
        <v>46259.633973495373</v>
      </c>
      <c r="AE137" s="167">
        <f t="shared" si="21"/>
        <v>0</v>
      </c>
      <c r="AF137" s="168">
        <f t="shared" si="22"/>
        <v>0</v>
      </c>
      <c r="AG137" s="168">
        <f t="shared" si="23"/>
        <v>0</v>
      </c>
      <c r="AH137" s="81" t="e" cm="1">
        <f t="array" aca="1" ref="AH137" ca="1">IF((AD137) &lt; (INDEX(ResponseSLA[#All],(MATCH((G137),ResponseSLA[Priority],0))+1,3)),"YES","No")</f>
        <v>#N/A</v>
      </c>
      <c r="AI137" s="81" t="str">
        <f>_xlfn.IFNA(IF(AE137 &lt; (INDEX(SLATable[Minimum SLA],MATCH(G137,SLATable[Priority],0))),"YES","NO"),"")</f>
        <v/>
      </c>
      <c r="AJ137" s="19" t="str">
        <f>_xlfn.IFNA(IF(AE137 &lt; (INDEX(SLATable[Maximum SLA],MATCH(G137,SLATable[Priority],0))),"YES","NO"),"")</f>
        <v/>
      </c>
    </row>
    <row r="138" spans="1:36" ht="15" customHeight="1">
      <c r="A138" s="78"/>
      <c r="B138" s="78"/>
      <c r="C138" s="78"/>
      <c r="D138" s="78"/>
      <c r="E138" s="78"/>
      <c r="F138" s="78"/>
      <c r="G138" s="78"/>
      <c r="H138" s="86"/>
      <c r="I138" s="78"/>
      <c r="J138" s="86"/>
      <c r="K138" s="277"/>
      <c r="L138" s="277"/>
      <c r="M138" s="277"/>
      <c r="N138" s="277"/>
      <c r="O138" s="80"/>
      <c r="P138" s="80"/>
      <c r="Q138" s="321"/>
      <c r="R138" s="78"/>
      <c r="S138" s="78"/>
      <c r="T138" s="78"/>
      <c r="U138" s="78"/>
      <c r="V138" s="78"/>
      <c r="W138" s="78"/>
      <c r="X138" s="78"/>
      <c r="Y138" s="78"/>
      <c r="Z138" s="167" t="e">
        <f t="shared" ca="1" si="16"/>
        <v>#N/A</v>
      </c>
      <c r="AA138" s="168" t="e">
        <f t="shared" ca="1" si="17"/>
        <v>#N/A</v>
      </c>
      <c r="AB138" s="167">
        <f t="shared" ca="1" si="18"/>
        <v>0</v>
      </c>
      <c r="AC138" s="168">
        <f t="shared" ca="1" si="19"/>
        <v>0</v>
      </c>
      <c r="AD138" s="191">
        <f t="shared" ca="1" si="20"/>
        <v>46259.633973495373</v>
      </c>
      <c r="AE138" s="167">
        <f t="shared" si="21"/>
        <v>0</v>
      </c>
      <c r="AF138" s="168">
        <f t="shared" si="22"/>
        <v>0</v>
      </c>
      <c r="AG138" s="168">
        <f t="shared" si="23"/>
        <v>0</v>
      </c>
      <c r="AH138" s="81" t="e" cm="1">
        <f t="array" aca="1" ref="AH138" ca="1">IF((AD138) &lt; (INDEX(ResponseSLA[#All],(MATCH((G138),ResponseSLA[Priority],0))+1,3)),"YES","No")</f>
        <v>#N/A</v>
      </c>
      <c r="AI138" s="81" t="str">
        <f>_xlfn.IFNA(IF(AE138 &lt; (INDEX(SLATable[Minimum SLA],MATCH(G138,SLATable[Priority],0))),"YES","NO"),"")</f>
        <v/>
      </c>
      <c r="AJ138" s="19" t="str">
        <f>_xlfn.IFNA(IF(AE138 &lt; (INDEX(SLATable[Maximum SLA],MATCH(G138,SLATable[Priority],0))),"YES","NO"),"")</f>
        <v/>
      </c>
    </row>
    <row r="139" spans="1:36" ht="15" customHeight="1">
      <c r="A139" s="78"/>
      <c r="B139" s="78"/>
      <c r="C139" s="78"/>
      <c r="D139" s="78"/>
      <c r="E139" s="396"/>
      <c r="F139" s="78"/>
      <c r="G139" s="78"/>
      <c r="H139" s="397"/>
      <c r="I139" s="78"/>
      <c r="J139" s="86"/>
      <c r="K139" s="277"/>
      <c r="L139" s="277"/>
      <c r="M139" s="277"/>
      <c r="N139" s="277"/>
      <c r="O139" s="80"/>
      <c r="P139" s="80"/>
      <c r="Q139" s="78"/>
      <c r="R139" s="78"/>
      <c r="S139" s="78"/>
      <c r="T139" s="78"/>
      <c r="U139" s="78"/>
      <c r="V139" s="78"/>
      <c r="W139" s="78"/>
      <c r="X139" s="78"/>
      <c r="Y139" s="78"/>
      <c r="Z139" s="167" t="e">
        <f t="shared" ca="1" si="16"/>
        <v>#N/A</v>
      </c>
      <c r="AA139" s="168" t="e">
        <f t="shared" ca="1" si="17"/>
        <v>#N/A</v>
      </c>
      <c r="AB139" s="167">
        <f t="shared" ca="1" si="18"/>
        <v>0</v>
      </c>
      <c r="AC139" s="168">
        <f t="shared" ca="1" si="19"/>
        <v>0</v>
      </c>
      <c r="AD139" s="191">
        <f t="shared" ca="1" si="20"/>
        <v>46259.633973495373</v>
      </c>
      <c r="AE139" s="167">
        <f t="shared" si="21"/>
        <v>0</v>
      </c>
      <c r="AF139" s="168">
        <f t="shared" si="22"/>
        <v>0</v>
      </c>
      <c r="AG139" s="168">
        <f t="shared" si="23"/>
        <v>0</v>
      </c>
      <c r="AH139" s="81" t="e" cm="1">
        <f t="array" aca="1" ref="AH139" ca="1">IF((AD139) &lt; (INDEX(ResponseSLA[#All],(MATCH((G139),ResponseSLA[Priority],0))+1,3)),"YES","No")</f>
        <v>#N/A</v>
      </c>
      <c r="AI139" s="81" t="str">
        <f>_xlfn.IFNA(IF(AE139 &lt; (INDEX(SLATable[Minimum SLA],MATCH(G139,SLATable[Priority],0))),"YES","NO"),"")</f>
        <v/>
      </c>
      <c r="AJ139" s="19" t="str">
        <f>_xlfn.IFNA(IF(AE139 &lt; (INDEX(SLATable[Maximum SLA],MATCH(G139,SLATable[Priority],0))),"YES","NO"),"")</f>
        <v/>
      </c>
    </row>
    <row r="140" spans="1:36" ht="15" customHeight="1">
      <c r="A140" s="78"/>
      <c r="B140" s="78"/>
      <c r="C140" s="78"/>
      <c r="D140" s="78"/>
      <c r="E140" s="396"/>
      <c r="F140" s="78"/>
      <c r="G140" s="78"/>
      <c r="H140" s="397"/>
      <c r="I140" s="78"/>
      <c r="J140" s="86"/>
      <c r="K140" s="277"/>
      <c r="L140" s="277"/>
      <c r="M140" s="277"/>
      <c r="N140" s="277"/>
      <c r="O140" s="80"/>
      <c r="P140" s="80"/>
      <c r="Q140" s="78"/>
      <c r="R140" s="78"/>
      <c r="S140" s="78"/>
      <c r="T140" s="78"/>
      <c r="U140" s="78"/>
      <c r="V140" s="78"/>
      <c r="W140" s="78"/>
      <c r="X140" s="78"/>
      <c r="Y140" s="78"/>
      <c r="Z140" s="167" t="e">
        <f t="shared" ca="1" si="16"/>
        <v>#N/A</v>
      </c>
      <c r="AA140" s="168" t="e">
        <f t="shared" ca="1" si="17"/>
        <v>#N/A</v>
      </c>
      <c r="AB140" s="167">
        <f t="shared" ca="1" si="18"/>
        <v>0</v>
      </c>
      <c r="AC140" s="168">
        <f t="shared" ca="1" si="19"/>
        <v>0</v>
      </c>
      <c r="AD140" s="191">
        <f t="shared" ca="1" si="20"/>
        <v>46259.633973495373</v>
      </c>
      <c r="AE140" s="167">
        <f t="shared" si="21"/>
        <v>0</v>
      </c>
      <c r="AF140" s="168">
        <f t="shared" si="22"/>
        <v>0</v>
      </c>
      <c r="AG140" s="168">
        <f t="shared" si="23"/>
        <v>0</v>
      </c>
      <c r="AH140" s="81" t="e" cm="1">
        <f t="array" aca="1" ref="AH140" ca="1">IF((AD140) &lt; (INDEX(ResponseSLA[#All],(MATCH((G140),ResponseSLA[Priority],0))+1,3)),"YES","No")</f>
        <v>#N/A</v>
      </c>
      <c r="AI140" s="81" t="str">
        <f>_xlfn.IFNA(IF(AE140 &lt; (INDEX(SLATable[Minimum SLA],MATCH(G140,SLATable[Priority],0))),"YES","NO"),"")</f>
        <v/>
      </c>
      <c r="AJ140" s="19" t="str">
        <f>_xlfn.IFNA(IF(AE140 &lt; (INDEX(SLATable[Maximum SLA],MATCH(G140,SLATable[Priority],0))),"YES","NO"),"")</f>
        <v/>
      </c>
    </row>
    <row r="141" spans="1:36" ht="15" customHeight="1">
      <c r="A141" s="78"/>
      <c r="B141" s="78"/>
      <c r="C141" s="78"/>
      <c r="D141" s="78"/>
      <c r="E141" s="396"/>
      <c r="F141" s="78"/>
      <c r="G141" s="78"/>
      <c r="H141" s="397"/>
      <c r="I141" s="78"/>
      <c r="J141" s="86"/>
      <c r="K141" s="277"/>
      <c r="L141" s="277"/>
      <c r="M141" s="277"/>
      <c r="N141" s="277"/>
      <c r="O141" s="80"/>
      <c r="P141" s="80"/>
      <c r="Q141" s="78"/>
      <c r="R141" s="78"/>
      <c r="S141" s="78"/>
      <c r="T141" s="78"/>
      <c r="U141" s="78"/>
      <c r="V141" s="78"/>
      <c r="W141" s="78"/>
      <c r="X141" s="78"/>
      <c r="Y141" s="78"/>
      <c r="Z141" s="167" t="e">
        <f t="shared" ca="1" si="16"/>
        <v>#N/A</v>
      </c>
      <c r="AA141" s="168" t="e">
        <f t="shared" ca="1" si="17"/>
        <v>#N/A</v>
      </c>
      <c r="AB141" s="167">
        <f t="shared" ca="1" si="18"/>
        <v>0</v>
      </c>
      <c r="AC141" s="168">
        <f t="shared" ca="1" si="19"/>
        <v>0</v>
      </c>
      <c r="AD141" s="191">
        <f t="shared" ca="1" si="20"/>
        <v>46259.633973495373</v>
      </c>
      <c r="AE141" s="167">
        <f t="shared" si="21"/>
        <v>0</v>
      </c>
      <c r="AF141" s="168">
        <f t="shared" si="22"/>
        <v>0</v>
      </c>
      <c r="AG141" s="168">
        <f t="shared" si="23"/>
        <v>0</v>
      </c>
      <c r="AH141" s="81" t="e" cm="1">
        <f t="array" aca="1" ref="AH141" ca="1">IF((AD141) &lt; (INDEX(ResponseSLA[#All],(MATCH((G141),ResponseSLA[Priority],0))+1,3)),"YES","No")</f>
        <v>#N/A</v>
      </c>
      <c r="AI141" s="81" t="str">
        <f>_xlfn.IFNA(IF(AE141 &lt; (INDEX(SLATable[Minimum SLA],MATCH(G141,SLATable[Priority],0))),"YES","NO"),"")</f>
        <v/>
      </c>
      <c r="AJ141" s="19" t="str">
        <f>_xlfn.IFNA(IF(AE141 &lt; (INDEX(SLATable[Maximum SLA],MATCH(G141,SLATable[Priority],0))),"YES","NO"),"")</f>
        <v/>
      </c>
    </row>
    <row r="142" spans="1:36" ht="15" customHeight="1">
      <c r="A142" s="78"/>
      <c r="B142" s="78"/>
      <c r="C142" s="78"/>
      <c r="D142" s="78"/>
      <c r="E142" s="396"/>
      <c r="F142" s="78"/>
      <c r="G142" s="78"/>
      <c r="H142" s="397"/>
      <c r="I142" s="78"/>
      <c r="J142" s="86"/>
      <c r="K142" s="277"/>
      <c r="L142" s="277"/>
      <c r="M142" s="277"/>
      <c r="N142" s="277"/>
      <c r="O142" s="80"/>
      <c r="P142" s="80"/>
      <c r="Q142" s="78"/>
      <c r="R142" s="78"/>
      <c r="S142" s="78"/>
      <c r="T142" s="78"/>
      <c r="U142" s="78"/>
      <c r="V142" s="78"/>
      <c r="W142" s="78"/>
      <c r="X142" s="78"/>
      <c r="Y142" s="78"/>
      <c r="Z142" s="167" t="e">
        <f t="shared" ca="1" si="16"/>
        <v>#N/A</v>
      </c>
      <c r="AA142" s="168" t="e">
        <f t="shared" ca="1" si="17"/>
        <v>#N/A</v>
      </c>
      <c r="AB142" s="167">
        <f t="shared" ca="1" si="18"/>
        <v>0</v>
      </c>
      <c r="AC142" s="168">
        <f t="shared" ca="1" si="19"/>
        <v>0</v>
      </c>
      <c r="AD142" s="191">
        <f t="shared" ca="1" si="20"/>
        <v>46259.633973495373</v>
      </c>
      <c r="AE142" s="167">
        <f t="shared" si="21"/>
        <v>0</v>
      </c>
      <c r="AF142" s="168">
        <f t="shared" si="22"/>
        <v>0</v>
      </c>
      <c r="AG142" s="168">
        <f t="shared" si="23"/>
        <v>0</v>
      </c>
      <c r="AH142" s="81" t="e" cm="1">
        <f t="array" aca="1" ref="AH142" ca="1">IF((AD142) &lt; (INDEX(ResponseSLA[#All],(MATCH((G142),ResponseSLA[Priority],0))+1,3)),"YES","No")</f>
        <v>#N/A</v>
      </c>
      <c r="AI142" s="81" t="str">
        <f>_xlfn.IFNA(IF(AE142 &lt; (INDEX(SLATable[Minimum SLA],MATCH(G142,SLATable[Priority],0))),"YES","NO"),"")</f>
        <v/>
      </c>
      <c r="AJ142" s="19" t="str">
        <f>_xlfn.IFNA(IF(AE142 &lt; (INDEX(SLATable[Maximum SLA],MATCH(G142,SLATable[Priority],0))),"YES","NO"),"")</f>
        <v/>
      </c>
    </row>
    <row r="143" spans="1:36" ht="15" customHeight="1">
      <c r="A143" s="78"/>
      <c r="B143" s="78"/>
      <c r="C143" s="78"/>
      <c r="D143" s="78"/>
      <c r="E143" s="396"/>
      <c r="F143" s="78"/>
      <c r="G143" s="78"/>
      <c r="H143" s="397"/>
      <c r="I143" s="78"/>
      <c r="J143" s="86"/>
      <c r="K143" s="277"/>
      <c r="L143" s="277"/>
      <c r="M143" s="277"/>
      <c r="N143" s="277"/>
      <c r="O143" s="80"/>
      <c r="P143" s="80"/>
      <c r="Q143" s="78"/>
      <c r="R143" s="78"/>
      <c r="S143" s="78"/>
      <c r="T143" s="78"/>
      <c r="U143" s="78"/>
      <c r="V143" s="78"/>
      <c r="W143" s="78"/>
      <c r="X143" s="78"/>
      <c r="Y143" s="78"/>
      <c r="Z143" s="167" t="e">
        <f t="shared" ca="1" si="16"/>
        <v>#N/A</v>
      </c>
      <c r="AA143" s="168" t="e">
        <f t="shared" ca="1" si="17"/>
        <v>#N/A</v>
      </c>
      <c r="AB143" s="167">
        <f t="shared" ca="1" si="18"/>
        <v>0</v>
      </c>
      <c r="AC143" s="168">
        <f t="shared" ca="1" si="19"/>
        <v>0</v>
      </c>
      <c r="AD143" s="191">
        <f t="shared" ca="1" si="20"/>
        <v>46259.633973495373</v>
      </c>
      <c r="AE143" s="167">
        <f t="shared" si="21"/>
        <v>0</v>
      </c>
      <c r="AF143" s="168">
        <f t="shared" si="22"/>
        <v>0</v>
      </c>
      <c r="AG143" s="168">
        <f t="shared" si="23"/>
        <v>0</v>
      </c>
      <c r="AH143" s="81" t="e" cm="1">
        <f t="array" aca="1" ref="AH143" ca="1">IF((AD143) &lt; (INDEX(ResponseSLA[#All],(MATCH((G143),ResponseSLA[Priority],0))+1,3)),"YES","No")</f>
        <v>#N/A</v>
      </c>
      <c r="AI143" s="81" t="str">
        <f>_xlfn.IFNA(IF(AE143 &lt; (INDEX(SLATable[Minimum SLA],MATCH(G143,SLATable[Priority],0))),"YES","NO"),"")</f>
        <v/>
      </c>
      <c r="AJ143" s="19" t="str">
        <f>_xlfn.IFNA(IF(AE143 &lt; (INDEX(SLATable[Maximum SLA],MATCH(G143,SLATable[Priority],0))),"YES","NO"),"")</f>
        <v/>
      </c>
    </row>
    <row r="144" spans="1:36" ht="15" customHeight="1">
      <c r="A144" s="78"/>
      <c r="B144" s="78"/>
      <c r="C144" s="78"/>
      <c r="D144" s="78"/>
      <c r="E144" s="396"/>
      <c r="F144" s="78"/>
      <c r="G144" s="78"/>
      <c r="H144" s="397"/>
      <c r="I144" s="78"/>
      <c r="J144" s="86"/>
      <c r="K144" s="277"/>
      <c r="L144" s="277"/>
      <c r="M144" s="277"/>
      <c r="N144" s="277"/>
      <c r="O144" s="80"/>
      <c r="P144" s="80"/>
      <c r="Q144" s="78"/>
      <c r="R144" s="78"/>
      <c r="S144" s="78"/>
      <c r="T144" s="78"/>
      <c r="U144" s="78"/>
      <c r="V144" s="78"/>
      <c r="W144" s="78"/>
      <c r="X144" s="78"/>
      <c r="Y144" s="78"/>
      <c r="Z144" s="167" t="e">
        <f t="shared" ca="1" si="16"/>
        <v>#N/A</v>
      </c>
      <c r="AA144" s="168" t="e">
        <f t="shared" ca="1" si="17"/>
        <v>#N/A</v>
      </c>
      <c r="AB144" s="167">
        <f t="shared" ca="1" si="18"/>
        <v>0</v>
      </c>
      <c r="AC144" s="168">
        <f t="shared" ca="1" si="19"/>
        <v>0</v>
      </c>
      <c r="AD144" s="191">
        <f t="shared" ca="1" si="20"/>
        <v>46259.633973495373</v>
      </c>
      <c r="AE144" s="167">
        <f t="shared" si="21"/>
        <v>0</v>
      </c>
      <c r="AF144" s="168">
        <f t="shared" si="22"/>
        <v>0</v>
      </c>
      <c r="AG144" s="168">
        <f t="shared" si="23"/>
        <v>0</v>
      </c>
      <c r="AH144" s="81" t="e" cm="1">
        <f t="array" aca="1" ref="AH144" ca="1">IF((AD144) &lt; (INDEX(ResponseSLA[#All],(MATCH((G144),ResponseSLA[Priority],0))+1,3)),"YES","No")</f>
        <v>#N/A</v>
      </c>
      <c r="AI144" s="81" t="str">
        <f>_xlfn.IFNA(IF(AE144 &lt; (INDEX(SLATable[Minimum SLA],MATCH(G144,SLATable[Priority],0))),"YES","NO"),"")</f>
        <v/>
      </c>
      <c r="AJ144" s="19" t="str">
        <f>_xlfn.IFNA(IF(AE144 &lt; (INDEX(SLATable[Maximum SLA],MATCH(G144,SLATable[Priority],0))),"YES","NO"),"")</f>
        <v/>
      </c>
    </row>
    <row r="145" spans="1:36" ht="15" customHeight="1">
      <c r="A145" s="78"/>
      <c r="B145" s="78"/>
      <c r="C145" s="78"/>
      <c r="D145" s="78"/>
      <c r="E145" s="396"/>
      <c r="F145" s="78"/>
      <c r="G145" s="78"/>
      <c r="H145" s="397"/>
      <c r="I145" s="78"/>
      <c r="J145" s="86"/>
      <c r="K145" s="277"/>
      <c r="L145" s="277"/>
      <c r="M145" s="277"/>
      <c r="N145" s="277"/>
      <c r="O145" s="80"/>
      <c r="P145" s="80"/>
      <c r="Q145" s="78"/>
      <c r="R145" s="78"/>
      <c r="S145" s="78"/>
      <c r="T145" s="78"/>
      <c r="U145" s="78"/>
      <c r="V145" s="78"/>
      <c r="W145" s="78"/>
      <c r="X145" s="78"/>
      <c r="Y145" s="78"/>
      <c r="Z145" s="167" t="e">
        <f t="shared" ca="1" si="16"/>
        <v>#N/A</v>
      </c>
      <c r="AA145" s="168" t="e">
        <f t="shared" ca="1" si="17"/>
        <v>#N/A</v>
      </c>
      <c r="AB145" s="167">
        <f t="shared" ca="1" si="18"/>
        <v>0</v>
      </c>
      <c r="AC145" s="168">
        <f t="shared" ca="1" si="19"/>
        <v>0</v>
      </c>
      <c r="AD145" s="191">
        <f t="shared" ca="1" si="20"/>
        <v>46259.633973495373</v>
      </c>
      <c r="AE145" s="167">
        <f t="shared" si="21"/>
        <v>0</v>
      </c>
      <c r="AF145" s="168">
        <f t="shared" si="22"/>
        <v>0</v>
      </c>
      <c r="AG145" s="168">
        <f t="shared" si="23"/>
        <v>0</v>
      </c>
      <c r="AH145" s="81" t="e" cm="1">
        <f t="array" aca="1" ref="AH145" ca="1">IF((AD145) &lt; (INDEX(ResponseSLA[#All],(MATCH((G145),ResponseSLA[Priority],0))+1,3)),"YES","No")</f>
        <v>#N/A</v>
      </c>
      <c r="AI145" s="81" t="str">
        <f>_xlfn.IFNA(IF(AE145 &lt; (INDEX(SLATable[Minimum SLA],MATCH(G145,SLATable[Priority],0))),"YES","NO"),"")</f>
        <v/>
      </c>
      <c r="AJ145" s="19" t="str">
        <f>_xlfn.IFNA(IF(AE145 &lt; (INDEX(SLATable[Maximum SLA],MATCH(G145,SLATable[Priority],0))),"YES","NO"),"")</f>
        <v/>
      </c>
    </row>
    <row r="146" spans="1:36" ht="15" customHeight="1">
      <c r="A146" s="78"/>
      <c r="B146" s="78"/>
      <c r="C146" s="78"/>
      <c r="D146" s="78"/>
      <c r="E146" s="78"/>
      <c r="F146" s="78"/>
      <c r="G146" s="78"/>
      <c r="H146" s="99"/>
      <c r="I146" s="78"/>
      <c r="J146" s="86"/>
      <c r="K146" s="277"/>
      <c r="L146" s="277"/>
      <c r="M146" s="277"/>
      <c r="N146" s="269"/>
      <c r="O146" s="80"/>
      <c r="P146" s="80"/>
      <c r="Q146" s="78"/>
      <c r="R146" s="78"/>
      <c r="S146" s="78"/>
      <c r="T146" s="78"/>
      <c r="U146" s="78"/>
      <c r="V146" s="78"/>
      <c r="W146" s="78"/>
      <c r="X146" s="78"/>
      <c r="Y146" s="78"/>
      <c r="Z146" s="167" t="e">
        <f t="shared" ca="1" si="16"/>
        <v>#N/A</v>
      </c>
      <c r="AA146" s="168" t="e">
        <f t="shared" ca="1" si="17"/>
        <v>#N/A</v>
      </c>
      <c r="AB146" s="167">
        <f t="shared" ca="1" si="18"/>
        <v>0</v>
      </c>
      <c r="AC146" s="168">
        <f t="shared" ca="1" si="19"/>
        <v>0</v>
      </c>
      <c r="AD146" s="191">
        <f t="shared" ca="1" si="20"/>
        <v>46259.633973495373</v>
      </c>
      <c r="AE146" s="167">
        <f t="shared" si="21"/>
        <v>0</v>
      </c>
      <c r="AF146" s="168">
        <f t="shared" si="22"/>
        <v>0</v>
      </c>
      <c r="AG146" s="168">
        <f t="shared" si="23"/>
        <v>0</v>
      </c>
      <c r="AH146" s="81" t="e" cm="1">
        <f t="array" aca="1" ref="AH146" ca="1">IF((AD146) &lt; (INDEX(ResponseSLA[#All],(MATCH((G146),ResponseSLA[Priority],0))+1,3)),"YES","No")</f>
        <v>#N/A</v>
      </c>
      <c r="AI146" s="81" t="str">
        <f>_xlfn.IFNA(IF(AE146 &lt; (INDEX(SLATable[Minimum SLA],MATCH(G146,SLATable[Priority],0))),"YES","NO"),"")</f>
        <v/>
      </c>
      <c r="AJ146" s="19" t="str">
        <f>_xlfn.IFNA(IF(AE146 &lt; (INDEX(SLATable[Maximum SLA],MATCH(G146,SLATable[Priority],0))),"YES","NO"),"")</f>
        <v/>
      </c>
    </row>
    <row r="147" spans="1:36" ht="15" customHeight="1">
      <c r="A147" s="78"/>
      <c r="B147" s="78"/>
      <c r="C147" s="78"/>
      <c r="D147" s="78"/>
      <c r="E147" s="78"/>
      <c r="F147" s="78"/>
      <c r="G147" s="78"/>
      <c r="H147" s="99"/>
      <c r="I147" s="78"/>
      <c r="J147" s="86"/>
      <c r="K147" s="277"/>
      <c r="L147" s="277"/>
      <c r="M147" s="277"/>
      <c r="N147" s="277"/>
      <c r="O147" s="80"/>
      <c r="P147" s="80"/>
      <c r="Q147" s="78"/>
      <c r="R147" s="78"/>
      <c r="S147" s="78"/>
      <c r="T147" s="78"/>
      <c r="U147" s="78"/>
      <c r="V147" s="78"/>
      <c r="W147" s="78"/>
      <c r="X147" s="78"/>
      <c r="Y147" s="78"/>
      <c r="Z147" s="167" t="e">
        <f t="shared" ca="1" si="16"/>
        <v>#N/A</v>
      </c>
      <c r="AA147" s="168" t="e">
        <f t="shared" ca="1" si="17"/>
        <v>#N/A</v>
      </c>
      <c r="AB147" s="167">
        <f t="shared" ca="1" si="18"/>
        <v>0</v>
      </c>
      <c r="AC147" s="168">
        <f t="shared" ca="1" si="19"/>
        <v>0</v>
      </c>
      <c r="AD147" s="191">
        <f t="shared" ca="1" si="20"/>
        <v>46259.633973495373</v>
      </c>
      <c r="AE147" s="167">
        <f t="shared" si="21"/>
        <v>0</v>
      </c>
      <c r="AF147" s="168">
        <f t="shared" si="22"/>
        <v>0</v>
      </c>
      <c r="AG147" s="168">
        <f t="shared" si="23"/>
        <v>0</v>
      </c>
      <c r="AH147" s="81" t="e" cm="1">
        <f t="array" aca="1" ref="AH147" ca="1">IF((AD147) &lt; (INDEX(ResponseSLA[#All],(MATCH((G147),ResponseSLA[Priority],0))+1,3)),"YES","No")</f>
        <v>#N/A</v>
      </c>
      <c r="AI147" s="81" t="str">
        <f>_xlfn.IFNA(IF(AE147 &lt; (INDEX(SLATable[Minimum SLA],MATCH(G147,SLATable[Priority],0))),"YES","NO"),"")</f>
        <v/>
      </c>
      <c r="AJ147" s="19" t="str">
        <f>_xlfn.IFNA(IF(AE147 &lt; (INDEX(SLATable[Maximum SLA],MATCH(G147,SLATable[Priority],0))),"YES","NO"),"")</f>
        <v/>
      </c>
    </row>
    <row r="148" spans="1:36" ht="15" customHeight="1">
      <c r="A148" s="78"/>
      <c r="B148" s="78"/>
      <c r="C148" s="78"/>
      <c r="D148" s="78"/>
      <c r="E148" s="78"/>
      <c r="F148" s="78"/>
      <c r="G148" s="78"/>
      <c r="H148" s="99"/>
      <c r="I148" s="78"/>
      <c r="J148" s="86"/>
      <c r="K148" s="277"/>
      <c r="L148" s="277"/>
      <c r="M148" s="277"/>
      <c r="N148" s="277"/>
      <c r="O148" s="80"/>
      <c r="P148" s="80"/>
      <c r="Q148" s="78"/>
      <c r="R148" s="78"/>
      <c r="S148" s="78"/>
      <c r="T148" s="78"/>
      <c r="U148" s="78"/>
      <c r="V148" s="78"/>
      <c r="W148" s="78"/>
      <c r="X148" s="78"/>
      <c r="Y148" s="78"/>
      <c r="Z148" s="167" t="e">
        <f t="shared" ca="1" si="16"/>
        <v>#N/A</v>
      </c>
      <c r="AA148" s="168" t="e">
        <f t="shared" ca="1" si="17"/>
        <v>#N/A</v>
      </c>
      <c r="AB148" s="167">
        <f t="shared" ca="1" si="18"/>
        <v>0</v>
      </c>
      <c r="AC148" s="168">
        <f t="shared" ca="1" si="19"/>
        <v>0</v>
      </c>
      <c r="AD148" s="191">
        <f t="shared" ca="1" si="20"/>
        <v>46259.633973495373</v>
      </c>
      <c r="AE148" s="167">
        <f t="shared" si="21"/>
        <v>0</v>
      </c>
      <c r="AF148" s="168">
        <f t="shared" si="22"/>
        <v>0</v>
      </c>
      <c r="AG148" s="168">
        <f t="shared" si="23"/>
        <v>0</v>
      </c>
      <c r="AH148" s="81" t="e" cm="1">
        <f t="array" aca="1" ref="AH148" ca="1">IF((AD148) &lt; (INDEX(ResponseSLA[#All],(MATCH((G148),ResponseSLA[Priority],0))+1,3)),"YES","No")</f>
        <v>#N/A</v>
      </c>
      <c r="AI148" s="81" t="str">
        <f>_xlfn.IFNA(IF(AE148 &lt; (INDEX(SLATable[Minimum SLA],MATCH(G148,SLATable[Priority],0))),"YES","NO"),"")</f>
        <v/>
      </c>
      <c r="AJ148" s="19" t="str">
        <f>_xlfn.IFNA(IF(AE148 &lt; (INDEX(SLATable[Maximum SLA],MATCH(G148,SLATable[Priority],0))),"YES","NO"),"")</f>
        <v/>
      </c>
    </row>
    <row r="149" spans="1:36" ht="15" customHeight="1">
      <c r="A149" s="78"/>
      <c r="B149" s="78"/>
      <c r="C149" s="78"/>
      <c r="D149" s="78"/>
      <c r="E149" s="78"/>
      <c r="F149" s="78"/>
      <c r="G149" s="78"/>
      <c r="H149" s="99"/>
      <c r="I149" s="78"/>
      <c r="J149" s="86"/>
      <c r="K149" s="277"/>
      <c r="L149" s="277"/>
      <c r="M149" s="277"/>
      <c r="N149" s="277"/>
      <c r="O149" s="80"/>
      <c r="P149" s="80"/>
      <c r="Q149" s="78"/>
      <c r="R149" s="198"/>
      <c r="S149" s="78"/>
      <c r="T149" s="78"/>
      <c r="U149" s="78"/>
      <c r="V149" s="78"/>
      <c r="W149" s="78"/>
      <c r="X149" s="78"/>
      <c r="Y149" s="78"/>
      <c r="Z149" s="167" t="e">
        <f t="shared" ca="1" si="16"/>
        <v>#N/A</v>
      </c>
      <c r="AA149" s="168" t="e">
        <f t="shared" ca="1" si="17"/>
        <v>#N/A</v>
      </c>
      <c r="AB149" s="167">
        <f t="shared" ca="1" si="18"/>
        <v>0</v>
      </c>
      <c r="AC149" s="168">
        <f t="shared" ca="1" si="19"/>
        <v>0</v>
      </c>
      <c r="AD149" s="191">
        <f t="shared" ca="1" si="20"/>
        <v>46259.633973495373</v>
      </c>
      <c r="AE149" s="167">
        <f t="shared" si="21"/>
        <v>0</v>
      </c>
      <c r="AF149" s="168">
        <f t="shared" si="22"/>
        <v>0</v>
      </c>
      <c r="AG149" s="168">
        <f t="shared" si="23"/>
        <v>0</v>
      </c>
      <c r="AH149" s="81" t="e" cm="1">
        <f t="array" aca="1" ref="AH149" ca="1">IF((AD149) &lt; (INDEX(ResponseSLA[#All],(MATCH((G149),ResponseSLA[Priority],0))+1,3)),"YES","No")</f>
        <v>#N/A</v>
      </c>
      <c r="AI149" s="81" t="str">
        <f>_xlfn.IFNA(IF(AE149 &lt; (INDEX(SLATable[Minimum SLA],MATCH(G149,SLATable[Priority],0))),"YES","NO"),"")</f>
        <v/>
      </c>
      <c r="AJ149" s="19" t="str">
        <f>_xlfn.IFNA(IF(AE149 &lt; (INDEX(SLATable[Maximum SLA],MATCH(G149,SLATable[Priority],0))),"YES","NO"),"")</f>
        <v/>
      </c>
    </row>
    <row r="150" spans="1:36" ht="15" customHeight="1">
      <c r="A150" s="78"/>
      <c r="B150" s="78"/>
      <c r="C150" s="78"/>
      <c r="D150" s="78"/>
      <c r="E150" s="78"/>
      <c r="F150" s="78"/>
      <c r="G150" s="78"/>
      <c r="H150" s="99"/>
      <c r="I150" s="78"/>
      <c r="J150" s="86"/>
      <c r="K150" s="277"/>
      <c r="L150" s="277"/>
      <c r="M150" s="277"/>
      <c r="N150" s="277"/>
      <c r="O150" s="80"/>
      <c r="P150" s="80"/>
      <c r="Q150" s="78"/>
      <c r="R150" s="78"/>
      <c r="S150" s="78"/>
      <c r="T150" s="78"/>
      <c r="U150" s="78"/>
      <c r="V150" s="78"/>
      <c r="W150" s="78"/>
      <c r="X150" s="78"/>
      <c r="Y150" s="78"/>
      <c r="Z150" s="167" t="e">
        <f t="shared" ca="1" si="16"/>
        <v>#N/A</v>
      </c>
      <c r="AA150" s="168" t="e">
        <f t="shared" ca="1" si="17"/>
        <v>#N/A</v>
      </c>
      <c r="AB150" s="167">
        <f t="shared" ca="1" si="18"/>
        <v>0</v>
      </c>
      <c r="AC150" s="168">
        <f t="shared" ca="1" si="19"/>
        <v>0</v>
      </c>
      <c r="AD150" s="191">
        <f t="shared" ca="1" si="20"/>
        <v>46259.633973495373</v>
      </c>
      <c r="AE150" s="167">
        <f t="shared" si="21"/>
        <v>0</v>
      </c>
      <c r="AF150" s="168">
        <f t="shared" si="22"/>
        <v>0</v>
      </c>
      <c r="AG150" s="168">
        <f t="shared" si="23"/>
        <v>0</v>
      </c>
      <c r="AH150" s="81" t="e" cm="1">
        <f t="array" aca="1" ref="AH150" ca="1">IF((AD150) &lt; (INDEX(ResponseSLA[#All],(MATCH((G150),ResponseSLA[Priority],0))+1,3)),"YES","No")</f>
        <v>#N/A</v>
      </c>
      <c r="AI150" s="81" t="str">
        <f>_xlfn.IFNA(IF(AE150 &lt; (INDEX(SLATable[Minimum SLA],MATCH(G150,SLATable[Priority],0))),"YES","NO"),"")</f>
        <v/>
      </c>
      <c r="AJ150" s="19" t="str">
        <f>_xlfn.IFNA(IF(AE150 &lt; (INDEX(SLATable[Maximum SLA],MATCH(G150,SLATable[Priority],0))),"YES","NO"),"")</f>
        <v/>
      </c>
    </row>
    <row r="151" spans="1:36" ht="15" customHeight="1">
      <c r="A151" s="78"/>
      <c r="B151" s="78"/>
      <c r="C151" s="78"/>
      <c r="D151" s="78"/>
      <c r="E151" s="78"/>
      <c r="F151" s="78"/>
      <c r="G151" s="78"/>
      <c r="H151" s="86"/>
      <c r="I151" s="78"/>
      <c r="J151" s="86"/>
      <c r="K151" s="277"/>
      <c r="L151" s="277"/>
      <c r="M151" s="277"/>
      <c r="N151" s="277"/>
      <c r="O151" s="80"/>
      <c r="P151" s="80"/>
      <c r="Q151" s="78"/>
      <c r="R151" s="78"/>
      <c r="S151" s="78"/>
      <c r="T151" s="78"/>
      <c r="U151" s="78"/>
      <c r="V151" s="78"/>
      <c r="W151" s="78"/>
      <c r="X151" s="78"/>
      <c r="Y151" s="78"/>
      <c r="Z151" s="167" t="e">
        <f t="shared" ca="1" si="16"/>
        <v>#N/A</v>
      </c>
      <c r="AA151" s="168" t="e">
        <f t="shared" ca="1" si="17"/>
        <v>#N/A</v>
      </c>
      <c r="AB151" s="167">
        <f t="shared" ca="1" si="18"/>
        <v>0</v>
      </c>
      <c r="AC151" s="168">
        <f t="shared" ca="1" si="19"/>
        <v>0</v>
      </c>
      <c r="AD151" s="191">
        <f t="shared" ca="1" si="20"/>
        <v>46259.633973495373</v>
      </c>
      <c r="AE151" s="167">
        <f t="shared" si="21"/>
        <v>0</v>
      </c>
      <c r="AF151" s="168">
        <f t="shared" si="22"/>
        <v>0</v>
      </c>
      <c r="AG151" s="168">
        <f t="shared" si="23"/>
        <v>0</v>
      </c>
      <c r="AH151" s="81" t="e" cm="1">
        <f t="array" aca="1" ref="AH151" ca="1">IF((AD151) &lt; (INDEX(ResponseSLA[#All],(MATCH((G151),ResponseSLA[Priority],0))+1,3)),"YES","No")</f>
        <v>#N/A</v>
      </c>
      <c r="AI151" s="81" t="str">
        <f>_xlfn.IFNA(IF(AE151 &lt; (INDEX(SLATable[Minimum SLA],MATCH(G151,SLATable[Priority],0))),"YES","NO"),"")</f>
        <v/>
      </c>
      <c r="AJ151" s="19" t="str">
        <f>_xlfn.IFNA(IF(AE151 &lt; (INDEX(SLATable[Maximum SLA],MATCH(G151,SLATable[Priority],0))),"YES","NO"),"")</f>
        <v/>
      </c>
    </row>
    <row r="152" spans="1:36" ht="15" customHeight="1">
      <c r="A152" s="78"/>
      <c r="B152" s="78"/>
      <c r="C152" s="78"/>
      <c r="D152" s="78"/>
      <c r="E152" s="78"/>
      <c r="F152" s="78"/>
      <c r="G152" s="78"/>
      <c r="H152" s="99"/>
      <c r="I152" s="78"/>
      <c r="J152" s="86"/>
      <c r="K152" s="277"/>
      <c r="L152" s="277"/>
      <c r="M152" s="277"/>
      <c r="N152" s="277"/>
      <c r="O152" s="80"/>
      <c r="P152" s="80"/>
      <c r="Q152" s="78"/>
      <c r="R152" s="78"/>
      <c r="S152" s="78"/>
      <c r="T152" s="78"/>
      <c r="U152" s="78"/>
      <c r="V152" s="78"/>
      <c r="W152" s="78"/>
      <c r="X152" s="78"/>
      <c r="Y152" s="78"/>
      <c r="Z152" s="167" t="e">
        <f t="shared" ca="1" si="16"/>
        <v>#N/A</v>
      </c>
      <c r="AA152" s="168" t="e">
        <f t="shared" ca="1" si="17"/>
        <v>#N/A</v>
      </c>
      <c r="AB152" s="167">
        <f t="shared" ca="1" si="18"/>
        <v>0</v>
      </c>
      <c r="AC152" s="168">
        <f t="shared" ca="1" si="19"/>
        <v>0</v>
      </c>
      <c r="AD152" s="191">
        <f t="shared" ca="1" si="20"/>
        <v>46259.633973495373</v>
      </c>
      <c r="AE152" s="167">
        <f t="shared" si="21"/>
        <v>0</v>
      </c>
      <c r="AF152" s="168">
        <f t="shared" si="22"/>
        <v>0</v>
      </c>
      <c r="AG152" s="168">
        <f t="shared" si="23"/>
        <v>0</v>
      </c>
      <c r="AH152" s="81" t="e" cm="1">
        <f t="array" aca="1" ref="AH152" ca="1">IF((AD152) &lt; (INDEX(ResponseSLA[#All],(MATCH((G152),ResponseSLA[Priority],0))+1,3)),"YES","No")</f>
        <v>#N/A</v>
      </c>
      <c r="AI152" s="81" t="str">
        <f>_xlfn.IFNA(IF(AE152 &lt; (INDEX(SLATable[Minimum SLA],MATCH(G152,SLATable[Priority],0))),"YES","NO"),"")</f>
        <v/>
      </c>
      <c r="AJ152" s="19" t="str">
        <f>_xlfn.IFNA(IF(AE152 &lt; (INDEX(SLATable[Maximum SLA],MATCH(G152,SLATable[Priority],0))),"YES","NO"),"")</f>
        <v/>
      </c>
    </row>
    <row r="153" spans="1:36" ht="15" customHeight="1">
      <c r="A153" s="78"/>
      <c r="B153" s="78"/>
      <c r="C153" s="78"/>
      <c r="D153" s="78"/>
      <c r="E153" s="78"/>
      <c r="F153" s="78"/>
      <c r="G153" s="78"/>
      <c r="H153" s="86"/>
      <c r="I153" s="78"/>
      <c r="J153" s="86"/>
      <c r="K153" s="277"/>
      <c r="L153" s="277"/>
      <c r="M153" s="277"/>
      <c r="N153" s="277"/>
      <c r="O153" s="80"/>
      <c r="P153" s="80"/>
      <c r="Q153" s="78"/>
      <c r="R153" s="78"/>
      <c r="S153" s="78"/>
      <c r="T153" s="78"/>
      <c r="U153" s="78"/>
      <c r="V153" s="78"/>
      <c r="W153" s="78"/>
      <c r="X153" s="78"/>
      <c r="Y153" s="78"/>
      <c r="Z153" s="167" t="e">
        <f t="shared" ca="1" si="16"/>
        <v>#N/A</v>
      </c>
      <c r="AA153" s="168" t="e">
        <f t="shared" ca="1" si="17"/>
        <v>#N/A</v>
      </c>
      <c r="AB153" s="167">
        <f t="shared" ca="1" si="18"/>
        <v>0</v>
      </c>
      <c r="AC153" s="168">
        <f t="shared" ca="1" si="19"/>
        <v>0</v>
      </c>
      <c r="AD153" s="191">
        <f t="shared" ca="1" si="20"/>
        <v>46259.633973495373</v>
      </c>
      <c r="AE153" s="167">
        <f t="shared" si="21"/>
        <v>0</v>
      </c>
      <c r="AF153" s="168">
        <f t="shared" si="22"/>
        <v>0</v>
      </c>
      <c r="AG153" s="168">
        <f t="shared" si="23"/>
        <v>0</v>
      </c>
      <c r="AH153" s="81" t="e" cm="1">
        <f t="array" aca="1" ref="AH153" ca="1">IF((AD153) &lt; (INDEX(ResponseSLA[#All],(MATCH((G153),ResponseSLA[Priority],0))+1,3)),"YES","No")</f>
        <v>#N/A</v>
      </c>
      <c r="AI153" s="81" t="str">
        <f>_xlfn.IFNA(IF(AE153 &lt; (INDEX(SLATable[Minimum SLA],MATCH(G153,SLATable[Priority],0))),"YES","NO"),"")</f>
        <v/>
      </c>
      <c r="AJ153" s="19" t="str">
        <f>_xlfn.IFNA(IF(AE153 &lt; (INDEX(SLATable[Maximum SLA],MATCH(G153,SLATable[Priority],0))),"YES","NO"),"")</f>
        <v/>
      </c>
    </row>
    <row r="154" spans="1:36" ht="15" customHeight="1">
      <c r="A154" s="78"/>
      <c r="B154" s="78"/>
      <c r="C154" s="78"/>
      <c r="D154" s="78"/>
      <c r="E154" s="78"/>
      <c r="F154" s="78"/>
      <c r="G154" s="78"/>
      <c r="H154" s="86"/>
      <c r="I154" s="78"/>
      <c r="J154" s="86"/>
      <c r="K154" s="277"/>
      <c r="L154" s="277"/>
      <c r="M154" s="277"/>
      <c r="N154" s="277"/>
      <c r="O154" s="80"/>
      <c r="P154" s="80"/>
      <c r="Q154" s="78"/>
      <c r="R154" s="78"/>
      <c r="S154" s="78"/>
      <c r="T154" s="78"/>
      <c r="U154" s="78"/>
      <c r="V154" s="78"/>
      <c r="W154" s="78"/>
      <c r="X154" s="78"/>
      <c r="Y154" s="78"/>
      <c r="Z154" s="167" t="e">
        <f t="shared" ca="1" si="16"/>
        <v>#N/A</v>
      </c>
      <c r="AA154" s="168" t="e">
        <f t="shared" ca="1" si="17"/>
        <v>#N/A</v>
      </c>
      <c r="AB154" s="167">
        <f t="shared" ca="1" si="18"/>
        <v>0</v>
      </c>
      <c r="AC154" s="168">
        <f t="shared" ca="1" si="19"/>
        <v>0</v>
      </c>
      <c r="AD154" s="191">
        <f t="shared" ca="1" si="20"/>
        <v>46259.633973495373</v>
      </c>
      <c r="AE154" s="167">
        <f t="shared" si="21"/>
        <v>0</v>
      </c>
      <c r="AF154" s="168">
        <f t="shared" si="22"/>
        <v>0</v>
      </c>
      <c r="AG154" s="168">
        <f t="shared" si="23"/>
        <v>0</v>
      </c>
      <c r="AH154" s="81" t="e" cm="1">
        <f t="array" aca="1" ref="AH154" ca="1">IF((AD154) &lt; (INDEX(ResponseSLA[#All],(MATCH((G154),ResponseSLA[Priority],0))+1,3)),"YES","No")</f>
        <v>#N/A</v>
      </c>
      <c r="AI154" s="81" t="str">
        <f>_xlfn.IFNA(IF(AE154 &lt; (INDEX(SLATable[Minimum SLA],MATCH(G154,SLATable[Priority],0))),"YES","NO"),"")</f>
        <v/>
      </c>
      <c r="AJ154" s="19" t="str">
        <f>_xlfn.IFNA(IF(AE154 &lt; (INDEX(SLATable[Maximum SLA],MATCH(G154,SLATable[Priority],0))),"YES","NO"),"")</f>
        <v/>
      </c>
    </row>
    <row r="155" spans="1:36" ht="15" customHeight="1">
      <c r="A155" s="78"/>
      <c r="B155" s="78"/>
      <c r="C155" s="78"/>
      <c r="D155" s="78"/>
      <c r="E155" s="78"/>
      <c r="F155" s="78"/>
      <c r="G155" s="78"/>
      <c r="H155" s="86"/>
      <c r="I155" s="78"/>
      <c r="J155" s="86"/>
      <c r="K155" s="277"/>
      <c r="L155" s="277"/>
      <c r="M155" s="277"/>
      <c r="N155" s="277"/>
      <c r="O155" s="80"/>
      <c r="P155" s="80"/>
      <c r="Q155" s="78"/>
      <c r="R155" s="78"/>
      <c r="S155" s="78"/>
      <c r="T155" s="78"/>
      <c r="U155" s="78"/>
      <c r="V155" s="78"/>
      <c r="W155" s="78"/>
      <c r="X155" s="78"/>
      <c r="Y155" s="78"/>
      <c r="Z155" s="167" t="e">
        <f t="shared" ca="1" si="16"/>
        <v>#N/A</v>
      </c>
      <c r="AA155" s="168" t="e">
        <f t="shared" ca="1" si="17"/>
        <v>#N/A</v>
      </c>
      <c r="AB155" s="167">
        <f t="shared" ca="1" si="18"/>
        <v>0</v>
      </c>
      <c r="AC155" s="168">
        <f t="shared" ca="1" si="19"/>
        <v>0</v>
      </c>
      <c r="AD155" s="191">
        <f t="shared" ca="1" si="20"/>
        <v>46259.633973495373</v>
      </c>
      <c r="AE155" s="167">
        <f t="shared" si="21"/>
        <v>0</v>
      </c>
      <c r="AF155" s="168">
        <f t="shared" si="22"/>
        <v>0</v>
      </c>
      <c r="AG155" s="168">
        <f t="shared" si="23"/>
        <v>0</v>
      </c>
      <c r="AH155" s="81" t="e" cm="1">
        <f t="array" aca="1" ref="AH155" ca="1">IF((AD155) &lt; (INDEX(ResponseSLA[#All],(MATCH((G155),ResponseSLA[Priority],0))+1,3)),"YES","No")</f>
        <v>#N/A</v>
      </c>
      <c r="AI155" s="81" t="str">
        <f>_xlfn.IFNA(IF(AE155 &lt; (INDEX(SLATable[Minimum SLA],MATCH(G155,SLATable[Priority],0))),"YES","NO"),"")</f>
        <v/>
      </c>
      <c r="AJ155" s="19" t="str">
        <f>_xlfn.IFNA(IF(AE155 &lt; (INDEX(SLATable[Maximum SLA],MATCH(G155,SLATable[Priority],0))),"YES","NO"),"")</f>
        <v/>
      </c>
    </row>
    <row r="156" spans="1:36" ht="15" customHeight="1">
      <c r="A156" s="78"/>
      <c r="B156" s="78"/>
      <c r="C156" s="78"/>
      <c r="D156" s="78"/>
      <c r="E156" s="78"/>
      <c r="F156" s="78"/>
      <c r="G156" s="78"/>
      <c r="H156" s="86"/>
      <c r="I156" s="78"/>
      <c r="J156" s="86"/>
      <c r="K156" s="277"/>
      <c r="L156" s="277"/>
      <c r="M156" s="277"/>
      <c r="N156" s="277"/>
      <c r="O156" s="80"/>
      <c r="P156" s="80"/>
      <c r="Q156" s="78"/>
      <c r="R156" s="78"/>
      <c r="S156" s="78"/>
      <c r="T156" s="78"/>
      <c r="U156" s="78"/>
      <c r="V156" s="78"/>
      <c r="W156" s="78"/>
      <c r="X156" s="78"/>
      <c r="Y156" s="78"/>
      <c r="Z156" s="167" t="e">
        <f t="shared" ca="1" si="16"/>
        <v>#N/A</v>
      </c>
      <c r="AA156" s="168" t="e">
        <f t="shared" ca="1" si="17"/>
        <v>#N/A</v>
      </c>
      <c r="AB156" s="167">
        <f t="shared" ca="1" si="18"/>
        <v>0</v>
      </c>
      <c r="AC156" s="168">
        <f t="shared" ca="1" si="19"/>
        <v>0</v>
      </c>
      <c r="AD156" s="191">
        <f t="shared" ca="1" si="20"/>
        <v>46259.633973495373</v>
      </c>
      <c r="AE156" s="167">
        <f t="shared" si="21"/>
        <v>0</v>
      </c>
      <c r="AF156" s="168">
        <f t="shared" si="22"/>
        <v>0</v>
      </c>
      <c r="AG156" s="168">
        <f t="shared" si="23"/>
        <v>0</v>
      </c>
      <c r="AH156" s="81" t="e" cm="1">
        <f t="array" aca="1" ref="AH156" ca="1">IF((AD156) &lt; (INDEX(ResponseSLA[#All],(MATCH((G156),ResponseSLA[Priority],0))+1,3)),"YES","No")</f>
        <v>#N/A</v>
      </c>
      <c r="AI156" s="81" t="str">
        <f>_xlfn.IFNA(IF(AE156 &lt; (INDEX(SLATable[Minimum SLA],MATCH(G156,SLATable[Priority],0))),"YES","NO"),"")</f>
        <v/>
      </c>
      <c r="AJ156" s="19" t="str">
        <f>_xlfn.IFNA(IF(AE156 &lt; (INDEX(SLATable[Maximum SLA],MATCH(G156,SLATable[Priority],0))),"YES","NO"),"")</f>
        <v/>
      </c>
    </row>
    <row r="157" spans="1:36" ht="15" customHeight="1">
      <c r="A157" s="78"/>
      <c r="B157" s="78"/>
      <c r="C157" s="78"/>
      <c r="D157" s="78"/>
      <c r="E157" s="78"/>
      <c r="F157" s="78"/>
      <c r="G157" s="78"/>
      <c r="H157" s="86"/>
      <c r="I157" s="78"/>
      <c r="J157" s="86"/>
      <c r="K157" s="277"/>
      <c r="L157" s="277"/>
      <c r="M157" s="277"/>
      <c r="N157" s="277"/>
      <c r="O157" s="80"/>
      <c r="P157" s="80"/>
      <c r="Q157" s="78"/>
      <c r="R157" s="78"/>
      <c r="S157" s="78"/>
      <c r="T157" s="78"/>
      <c r="U157" s="78"/>
      <c r="V157" s="78"/>
      <c r="W157" s="78"/>
      <c r="X157" s="78"/>
      <c r="Y157" s="78"/>
      <c r="Z157" s="167" t="e">
        <f t="shared" ca="1" si="16"/>
        <v>#N/A</v>
      </c>
      <c r="AA157" s="168" t="e">
        <f t="shared" ca="1" si="17"/>
        <v>#N/A</v>
      </c>
      <c r="AB157" s="167">
        <f t="shared" ca="1" si="18"/>
        <v>0</v>
      </c>
      <c r="AC157" s="168">
        <f t="shared" ca="1" si="19"/>
        <v>0</v>
      </c>
      <c r="AD157" s="191">
        <f t="shared" ca="1" si="20"/>
        <v>46259.633973495373</v>
      </c>
      <c r="AE157" s="167">
        <f t="shared" si="21"/>
        <v>0</v>
      </c>
      <c r="AF157" s="168">
        <f t="shared" si="22"/>
        <v>0</v>
      </c>
      <c r="AG157" s="168">
        <f t="shared" si="23"/>
        <v>0</v>
      </c>
      <c r="AH157" s="81" t="e" cm="1">
        <f t="array" aca="1" ref="AH157" ca="1">IF((AD157) &lt; (INDEX(ResponseSLA[#All],(MATCH((G157),ResponseSLA[Priority],0))+1,3)),"YES","No")</f>
        <v>#N/A</v>
      </c>
      <c r="AI157" s="81" t="str">
        <f>_xlfn.IFNA(IF(AE157 &lt; (INDEX(SLATable[Minimum SLA],MATCH(G157,SLATable[Priority],0))),"YES","NO"),"")</f>
        <v/>
      </c>
      <c r="AJ157" s="19" t="str">
        <f>_xlfn.IFNA(IF(AE157 &lt; (INDEX(SLATable[Maximum SLA],MATCH(G157,SLATable[Priority],0))),"YES","NO"),"")</f>
        <v/>
      </c>
    </row>
    <row r="158" spans="1:36" ht="15" customHeight="1">
      <c r="A158" s="78"/>
      <c r="B158" s="78"/>
      <c r="C158" s="78"/>
      <c r="D158" s="78"/>
      <c r="E158" s="78"/>
      <c r="F158" s="78"/>
      <c r="G158" s="78"/>
      <c r="H158" s="86"/>
      <c r="I158" s="78"/>
      <c r="J158" s="86"/>
      <c r="K158" s="277"/>
      <c r="L158" s="277"/>
      <c r="M158" s="277"/>
      <c r="N158" s="277"/>
      <c r="O158" s="80"/>
      <c r="P158" s="80"/>
      <c r="Q158" s="78"/>
      <c r="R158" s="78"/>
      <c r="S158" s="78"/>
      <c r="T158" s="78"/>
      <c r="U158" s="78"/>
      <c r="V158" s="78"/>
      <c r="W158" s="78"/>
      <c r="X158" s="78"/>
      <c r="Y158" s="78"/>
      <c r="Z158" s="167" t="e">
        <f t="shared" ca="1" si="16"/>
        <v>#N/A</v>
      </c>
      <c r="AA158" s="168" t="e">
        <f t="shared" ca="1" si="17"/>
        <v>#N/A</v>
      </c>
      <c r="AB158" s="167">
        <f t="shared" ca="1" si="18"/>
        <v>0</v>
      </c>
      <c r="AC158" s="168">
        <f t="shared" ca="1" si="19"/>
        <v>0</v>
      </c>
      <c r="AD158" s="191">
        <f t="shared" ca="1" si="20"/>
        <v>46259.633973495373</v>
      </c>
      <c r="AE158" s="167">
        <f t="shared" si="21"/>
        <v>0</v>
      </c>
      <c r="AF158" s="168">
        <f t="shared" si="22"/>
        <v>0</v>
      </c>
      <c r="AG158" s="168">
        <f t="shared" si="23"/>
        <v>0</v>
      </c>
      <c r="AH158" s="81" t="e" cm="1">
        <f t="array" aca="1" ref="AH158" ca="1">IF((AD158) &lt; (INDEX(ResponseSLA[#All],(MATCH((G158),ResponseSLA[Priority],0))+1,3)),"YES","No")</f>
        <v>#N/A</v>
      </c>
      <c r="AI158" s="81" t="str">
        <f>_xlfn.IFNA(IF(AE158 &lt; (INDEX(SLATable[Minimum SLA],MATCH(G158,SLATable[Priority],0))),"YES","NO"),"")</f>
        <v/>
      </c>
      <c r="AJ158" s="19" t="str">
        <f>_xlfn.IFNA(IF(AE158 &lt; (INDEX(SLATable[Maximum SLA],MATCH(G158,SLATable[Priority],0))),"YES","NO"),"")</f>
        <v/>
      </c>
    </row>
    <row r="159" spans="1:36" ht="15" customHeight="1">
      <c r="A159" s="78"/>
      <c r="B159" s="78"/>
      <c r="C159" s="78"/>
      <c r="D159" s="78"/>
      <c r="E159" s="78"/>
      <c r="F159" s="78"/>
      <c r="G159" s="78"/>
      <c r="H159" s="86"/>
      <c r="I159" s="78"/>
      <c r="J159" s="86"/>
      <c r="K159" s="277"/>
      <c r="L159" s="277"/>
      <c r="M159" s="277"/>
      <c r="N159" s="277"/>
      <c r="O159" s="80"/>
      <c r="P159" s="80"/>
      <c r="Q159" s="78"/>
      <c r="R159" s="78"/>
      <c r="S159" s="78"/>
      <c r="T159" s="78"/>
      <c r="U159" s="78"/>
      <c r="V159" s="78"/>
      <c r="W159" s="78"/>
      <c r="X159" s="78"/>
      <c r="Y159" s="78"/>
      <c r="Z159" s="167" t="e">
        <f t="shared" ca="1" si="16"/>
        <v>#N/A</v>
      </c>
      <c r="AA159" s="168" t="e">
        <f t="shared" ca="1" si="17"/>
        <v>#N/A</v>
      </c>
      <c r="AB159" s="167">
        <f t="shared" ca="1" si="18"/>
        <v>0</v>
      </c>
      <c r="AC159" s="168">
        <f t="shared" ca="1" si="19"/>
        <v>0</v>
      </c>
      <c r="AD159" s="191">
        <f t="shared" ca="1" si="20"/>
        <v>46259.633973495373</v>
      </c>
      <c r="AE159" s="167">
        <f t="shared" si="21"/>
        <v>0</v>
      </c>
      <c r="AF159" s="168">
        <f t="shared" si="22"/>
        <v>0</v>
      </c>
      <c r="AG159" s="168">
        <f t="shared" si="23"/>
        <v>0</v>
      </c>
      <c r="AH159" s="81" t="e" cm="1">
        <f t="array" aca="1" ref="AH159" ca="1">IF((AD159) &lt; (INDEX(ResponseSLA[#All],(MATCH((G159),ResponseSLA[Priority],0))+1,3)),"YES","No")</f>
        <v>#N/A</v>
      </c>
      <c r="AI159" s="81" t="str">
        <f>_xlfn.IFNA(IF(AE159 &lt; (INDEX(SLATable[Minimum SLA],MATCH(G159,SLATable[Priority],0))),"YES","NO"),"")</f>
        <v/>
      </c>
      <c r="AJ159" s="19" t="str">
        <f>_xlfn.IFNA(IF(AE159 &lt; (INDEX(SLATable[Maximum SLA],MATCH(G159,SLATable[Priority],0))),"YES","NO"),"")</f>
        <v/>
      </c>
    </row>
    <row r="160" spans="1:36" ht="15" customHeight="1">
      <c r="A160" s="78"/>
      <c r="B160" s="78"/>
      <c r="C160" s="78"/>
      <c r="D160" s="78"/>
      <c r="E160" s="78"/>
      <c r="F160" s="78"/>
      <c r="G160" s="78"/>
      <c r="H160" s="86"/>
      <c r="I160" s="78"/>
      <c r="J160" s="86"/>
      <c r="K160" s="277"/>
      <c r="L160" s="277"/>
      <c r="M160" s="277"/>
      <c r="N160" s="277"/>
      <c r="O160" s="80"/>
      <c r="P160" s="277"/>
      <c r="Q160" s="78"/>
      <c r="R160" s="78"/>
      <c r="S160" s="78"/>
      <c r="T160" s="78"/>
      <c r="U160" s="78"/>
      <c r="V160" s="78"/>
      <c r="W160" s="78"/>
      <c r="X160" s="78"/>
      <c r="Y160" s="78"/>
      <c r="Z160" s="167" t="e">
        <f t="shared" ca="1" si="16"/>
        <v>#N/A</v>
      </c>
      <c r="AA160" s="168" t="e">
        <f t="shared" ca="1" si="17"/>
        <v>#N/A</v>
      </c>
      <c r="AB160" s="167">
        <f t="shared" ca="1" si="18"/>
        <v>0</v>
      </c>
      <c r="AC160" s="168">
        <f t="shared" ca="1" si="19"/>
        <v>0</v>
      </c>
      <c r="AD160" s="191">
        <f t="shared" ca="1" si="20"/>
        <v>46259.633973495373</v>
      </c>
      <c r="AE160" s="167">
        <f t="shared" si="21"/>
        <v>0</v>
      </c>
      <c r="AF160" s="168">
        <f t="shared" si="22"/>
        <v>0</v>
      </c>
      <c r="AG160" s="168">
        <f t="shared" si="23"/>
        <v>0</v>
      </c>
      <c r="AH160" s="81" t="e" cm="1">
        <f t="array" aca="1" ref="AH160" ca="1">IF((AD160) &lt; (INDEX(ResponseSLA[#All],(MATCH((G160),ResponseSLA[Priority],0))+1,3)),"YES","No")</f>
        <v>#N/A</v>
      </c>
      <c r="AI160" s="81" t="str">
        <f>_xlfn.IFNA(IF(AE160 &lt; (INDEX(SLATable[Minimum SLA],MATCH(G160,SLATable[Priority],0))),"YES","NO"),"")</f>
        <v/>
      </c>
      <c r="AJ160" s="19" t="str">
        <f>_xlfn.IFNA(IF(AE160 &lt; (INDEX(SLATable[Maximum SLA],MATCH(G160,SLATable[Priority],0))),"YES","NO"),"")</f>
        <v/>
      </c>
    </row>
    <row r="161" spans="1:36" ht="15" customHeight="1">
      <c r="A161" s="78"/>
      <c r="B161" s="78"/>
      <c r="C161" s="78"/>
      <c r="D161" s="78"/>
      <c r="E161" s="78"/>
      <c r="F161" s="78"/>
      <c r="G161" s="78"/>
      <c r="H161" s="86"/>
      <c r="I161" s="78"/>
      <c r="J161" s="86"/>
      <c r="K161" s="277"/>
      <c r="L161" s="277"/>
      <c r="M161" s="277"/>
      <c r="N161" s="277"/>
      <c r="O161" s="80"/>
      <c r="P161" s="80"/>
      <c r="Q161" s="78"/>
      <c r="R161" s="78"/>
      <c r="S161" s="78"/>
      <c r="T161" s="78"/>
      <c r="U161" s="78"/>
      <c r="V161" s="78"/>
      <c r="W161" s="78"/>
      <c r="X161" s="78"/>
      <c r="Y161" s="78"/>
      <c r="Z161" s="167" t="e">
        <f t="shared" ca="1" si="16"/>
        <v>#N/A</v>
      </c>
      <c r="AA161" s="168" t="e">
        <f t="shared" ca="1" si="17"/>
        <v>#N/A</v>
      </c>
      <c r="AB161" s="167">
        <f t="shared" ca="1" si="18"/>
        <v>0</v>
      </c>
      <c r="AC161" s="168">
        <f t="shared" ca="1" si="19"/>
        <v>0</v>
      </c>
      <c r="AD161" s="191">
        <f t="shared" ca="1" si="20"/>
        <v>46259.633973495373</v>
      </c>
      <c r="AE161" s="167">
        <f t="shared" si="21"/>
        <v>0</v>
      </c>
      <c r="AF161" s="168">
        <f t="shared" si="22"/>
        <v>0</v>
      </c>
      <c r="AG161" s="168">
        <f t="shared" si="23"/>
        <v>0</v>
      </c>
      <c r="AH161" s="81" t="e" cm="1">
        <f t="array" aca="1" ref="AH161" ca="1">IF((AD161) &lt; (INDEX(ResponseSLA[#All],(MATCH((G161),ResponseSLA[Priority],0))+1,3)),"YES","No")</f>
        <v>#N/A</v>
      </c>
      <c r="AI161" s="81" t="str">
        <f>_xlfn.IFNA(IF(AE161 &lt; (INDEX(SLATable[Minimum SLA],MATCH(G161,SLATable[Priority],0))),"YES","NO"),"")</f>
        <v/>
      </c>
      <c r="AJ161" s="19" t="str">
        <f>_xlfn.IFNA(IF(AE161 &lt; (INDEX(SLATable[Maximum SLA],MATCH(G161,SLATable[Priority],0))),"YES","NO"),"")</f>
        <v/>
      </c>
    </row>
    <row r="162" spans="1:36" ht="15" customHeight="1">
      <c r="A162" s="78"/>
      <c r="B162" s="78"/>
      <c r="C162" s="78"/>
      <c r="D162" s="78"/>
      <c r="E162" s="78"/>
      <c r="F162" s="78"/>
      <c r="G162" s="78"/>
      <c r="H162" s="86"/>
      <c r="I162" s="78"/>
      <c r="J162" s="86"/>
      <c r="K162" s="277"/>
      <c r="L162" s="277"/>
      <c r="M162" s="277"/>
      <c r="N162" s="277"/>
      <c r="O162" s="80"/>
      <c r="P162" s="80"/>
      <c r="Q162" s="78"/>
      <c r="R162" s="78"/>
      <c r="S162" s="78"/>
      <c r="T162" s="78"/>
      <c r="U162" s="78"/>
      <c r="V162" s="78"/>
      <c r="W162" s="78"/>
      <c r="X162" s="78"/>
      <c r="Y162" s="78"/>
      <c r="Z162" s="167" t="e">
        <f t="shared" ca="1" si="16"/>
        <v>#N/A</v>
      </c>
      <c r="AA162" s="168" t="e">
        <f t="shared" ca="1" si="17"/>
        <v>#N/A</v>
      </c>
      <c r="AB162" s="167">
        <f t="shared" ca="1" si="18"/>
        <v>0</v>
      </c>
      <c r="AC162" s="168">
        <f t="shared" ca="1" si="19"/>
        <v>0</v>
      </c>
      <c r="AD162" s="191">
        <f t="shared" ca="1" si="20"/>
        <v>46259.633973495373</v>
      </c>
      <c r="AE162" s="167">
        <f t="shared" si="21"/>
        <v>0</v>
      </c>
      <c r="AF162" s="168">
        <f t="shared" si="22"/>
        <v>0</v>
      </c>
      <c r="AG162" s="168">
        <f t="shared" si="23"/>
        <v>0</v>
      </c>
      <c r="AH162" s="81" t="e" cm="1">
        <f t="array" aca="1" ref="AH162" ca="1">IF((AD162) &lt; (INDEX(ResponseSLA[#All],(MATCH((G162),ResponseSLA[Priority],0))+1,3)),"YES","No")</f>
        <v>#N/A</v>
      </c>
      <c r="AI162" s="81" t="str">
        <f>_xlfn.IFNA(IF(AE162 &lt; (INDEX(SLATable[Minimum SLA],MATCH(G162,SLATable[Priority],0))),"YES","NO"),"")</f>
        <v/>
      </c>
      <c r="AJ162" s="19" t="str">
        <f>_xlfn.IFNA(IF(AE162 &lt; (INDEX(SLATable[Maximum SLA],MATCH(G162,SLATable[Priority],0))),"YES","NO"),"")</f>
        <v/>
      </c>
    </row>
    <row r="163" spans="1:36" ht="15" customHeight="1">
      <c r="A163" s="78"/>
      <c r="B163" s="78"/>
      <c r="C163" s="78"/>
      <c r="D163" s="78"/>
      <c r="E163" s="78"/>
      <c r="F163" s="78"/>
      <c r="G163" s="78"/>
      <c r="H163" s="86"/>
      <c r="I163" s="78"/>
      <c r="J163" s="86"/>
      <c r="K163" s="277"/>
      <c r="L163" s="277"/>
      <c r="M163" s="277"/>
      <c r="N163" s="277"/>
      <c r="O163" s="80"/>
      <c r="P163" s="277"/>
      <c r="Q163" s="78"/>
      <c r="R163" s="78"/>
      <c r="S163" s="78"/>
      <c r="T163" s="78"/>
      <c r="U163" s="78"/>
      <c r="V163" s="78"/>
      <c r="W163" s="78"/>
      <c r="X163" s="78"/>
      <c r="Y163" s="78"/>
      <c r="Z163" s="167" t="e">
        <f t="shared" ca="1" si="16"/>
        <v>#N/A</v>
      </c>
      <c r="AA163" s="168" t="e">
        <f t="shared" ca="1" si="17"/>
        <v>#N/A</v>
      </c>
      <c r="AB163" s="167">
        <f t="shared" ca="1" si="18"/>
        <v>0</v>
      </c>
      <c r="AC163" s="168">
        <f t="shared" ca="1" si="19"/>
        <v>0</v>
      </c>
      <c r="AD163" s="191">
        <f t="shared" ca="1" si="20"/>
        <v>46259.633973495373</v>
      </c>
      <c r="AE163" s="167">
        <f t="shared" si="21"/>
        <v>0</v>
      </c>
      <c r="AF163" s="168">
        <f t="shared" si="22"/>
        <v>0</v>
      </c>
      <c r="AG163" s="168">
        <f t="shared" si="23"/>
        <v>0</v>
      </c>
      <c r="AH163" s="81" t="e" cm="1">
        <f t="array" aca="1" ref="AH163" ca="1">IF((AD163) &lt; (INDEX(ResponseSLA[#All],(MATCH((G163),ResponseSLA[Priority],0))+1,3)),"YES","No")</f>
        <v>#N/A</v>
      </c>
      <c r="AI163" s="81" t="str">
        <f>_xlfn.IFNA(IF(AE163 &lt; (INDEX(SLATable[Minimum SLA],MATCH(G163,SLATable[Priority],0))),"YES","NO"),"")</f>
        <v/>
      </c>
      <c r="AJ163" s="19" t="str">
        <f>_xlfn.IFNA(IF(AE163 &lt; (INDEX(SLATable[Maximum SLA],MATCH(G163,SLATable[Priority],0))),"YES","NO"),"")</f>
        <v/>
      </c>
    </row>
    <row r="164" spans="1:36" ht="15" customHeight="1">
      <c r="A164" s="78"/>
      <c r="B164" s="78"/>
      <c r="C164" s="78"/>
      <c r="D164" s="78"/>
      <c r="E164" s="78"/>
      <c r="F164" s="78"/>
      <c r="G164" s="78"/>
      <c r="H164" s="99"/>
      <c r="I164" s="78"/>
      <c r="J164" s="86"/>
      <c r="K164" s="277"/>
      <c r="L164" s="277"/>
      <c r="M164" s="277"/>
      <c r="N164" s="277"/>
      <c r="O164" s="80"/>
      <c r="P164" s="80"/>
      <c r="Q164" s="78"/>
      <c r="R164" s="78"/>
      <c r="S164" s="78"/>
      <c r="T164" s="78"/>
      <c r="U164" s="78"/>
      <c r="V164" s="78"/>
      <c r="W164" s="78"/>
      <c r="X164" s="78"/>
      <c r="Y164" s="78"/>
      <c r="Z164" s="167" t="e">
        <f t="shared" ca="1" si="16"/>
        <v>#N/A</v>
      </c>
      <c r="AA164" s="168" t="e">
        <f t="shared" ca="1" si="17"/>
        <v>#N/A</v>
      </c>
      <c r="AB164" s="167">
        <f t="shared" ca="1" si="18"/>
        <v>0</v>
      </c>
      <c r="AC164" s="168">
        <f t="shared" ca="1" si="19"/>
        <v>0</v>
      </c>
      <c r="AD164" s="191">
        <f t="shared" ca="1" si="20"/>
        <v>46259.633973495373</v>
      </c>
      <c r="AE164" s="167">
        <f t="shared" si="21"/>
        <v>0</v>
      </c>
      <c r="AF164" s="168">
        <f t="shared" si="22"/>
        <v>0</v>
      </c>
      <c r="AG164" s="168">
        <f t="shared" si="23"/>
        <v>0</v>
      </c>
      <c r="AH164" s="81" t="e" cm="1">
        <f t="array" aca="1" ref="AH164" ca="1">IF((AD164) &lt; (INDEX(ResponseSLA[#All],(MATCH((G164),ResponseSLA[Priority],0))+1,3)),"YES","No")</f>
        <v>#N/A</v>
      </c>
      <c r="AI164" s="81" t="str">
        <f>_xlfn.IFNA(IF(AE164 &lt; (INDEX(SLATable[Minimum SLA],MATCH(G164,SLATable[Priority],0))),"YES","NO"),"")</f>
        <v/>
      </c>
      <c r="AJ164" s="19" t="str">
        <f>_xlfn.IFNA(IF(AE164 &lt; (INDEX(SLATable[Maximum SLA],MATCH(G164,SLATable[Priority],0))),"YES","NO"),"")</f>
        <v/>
      </c>
    </row>
    <row r="165" spans="1:36" ht="15" customHeight="1">
      <c r="A165" s="78"/>
      <c r="B165" s="78"/>
      <c r="C165" s="78"/>
      <c r="D165" s="78"/>
      <c r="E165" s="78"/>
      <c r="F165" s="78"/>
      <c r="G165" s="78"/>
      <c r="H165" s="203"/>
      <c r="I165" s="78"/>
      <c r="J165" s="86"/>
      <c r="K165" s="277"/>
      <c r="L165" s="277"/>
      <c r="M165" s="277"/>
      <c r="N165" s="277"/>
      <c r="O165" s="80"/>
      <c r="P165" s="80"/>
      <c r="Q165" s="78"/>
      <c r="R165" s="78"/>
      <c r="S165" s="78"/>
      <c r="T165" s="78"/>
      <c r="U165" s="78"/>
      <c r="V165" s="78"/>
      <c r="W165" s="78"/>
      <c r="X165" s="78"/>
      <c r="Y165" s="78"/>
      <c r="Z165" s="167" t="e">
        <f t="shared" ca="1" si="16"/>
        <v>#N/A</v>
      </c>
      <c r="AA165" s="168" t="e">
        <f t="shared" ca="1" si="17"/>
        <v>#N/A</v>
      </c>
      <c r="AB165" s="167">
        <f t="shared" ca="1" si="18"/>
        <v>0</v>
      </c>
      <c r="AC165" s="168">
        <f t="shared" ca="1" si="19"/>
        <v>0</v>
      </c>
      <c r="AD165" s="191">
        <f t="shared" ca="1" si="20"/>
        <v>46259.633973495373</v>
      </c>
      <c r="AE165" s="167">
        <f t="shared" si="21"/>
        <v>0</v>
      </c>
      <c r="AF165" s="168">
        <f t="shared" si="22"/>
        <v>0</v>
      </c>
      <c r="AG165" s="168">
        <f t="shared" si="23"/>
        <v>0</v>
      </c>
      <c r="AH165" s="81" t="e" cm="1">
        <f t="array" aca="1" ref="AH165" ca="1">IF((AD165) &lt; (INDEX(ResponseSLA[#All],(MATCH((G165),ResponseSLA[Priority],0))+1,3)),"YES","No")</f>
        <v>#N/A</v>
      </c>
      <c r="AI165" s="81" t="str">
        <f>_xlfn.IFNA(IF(AE165 &lt; (INDEX(SLATable[Minimum SLA],MATCH(G165,SLATable[Priority],0))),"YES","NO"),"")</f>
        <v/>
      </c>
      <c r="AJ165" s="19" t="str">
        <f>_xlfn.IFNA(IF(AE165 &lt; (INDEX(SLATable[Maximum SLA],MATCH(G165,SLATable[Priority],0))),"YES","NO"),"")</f>
        <v/>
      </c>
    </row>
    <row r="166" spans="1:36" ht="15" customHeight="1">
      <c r="A166" s="78"/>
      <c r="B166" s="78"/>
      <c r="C166" s="78"/>
      <c r="D166" s="78"/>
      <c r="E166" s="78"/>
      <c r="F166" s="78"/>
      <c r="G166" s="78"/>
      <c r="H166" s="86"/>
      <c r="I166" s="78"/>
      <c r="J166" s="86"/>
      <c r="K166" s="277"/>
      <c r="L166" s="277"/>
      <c r="M166" s="277"/>
      <c r="N166" s="277"/>
      <c r="O166" s="80"/>
      <c r="P166" s="80"/>
      <c r="Q166" s="78"/>
      <c r="R166" s="78"/>
      <c r="S166" s="78"/>
      <c r="T166" s="78"/>
      <c r="U166" s="78"/>
      <c r="V166" s="78"/>
      <c r="W166" s="78"/>
      <c r="X166" s="78"/>
      <c r="Y166" s="78"/>
      <c r="Z166" s="167" t="e">
        <f t="shared" ca="1" si="16"/>
        <v>#N/A</v>
      </c>
      <c r="AA166" s="168" t="e">
        <f t="shared" ca="1" si="17"/>
        <v>#N/A</v>
      </c>
      <c r="AB166" s="167">
        <f t="shared" ca="1" si="18"/>
        <v>0</v>
      </c>
      <c r="AC166" s="168">
        <f t="shared" ca="1" si="19"/>
        <v>0</v>
      </c>
      <c r="AD166" s="191">
        <f t="shared" ca="1" si="20"/>
        <v>46259.633973495373</v>
      </c>
      <c r="AE166" s="167">
        <f t="shared" si="21"/>
        <v>0</v>
      </c>
      <c r="AF166" s="168">
        <f t="shared" si="22"/>
        <v>0</v>
      </c>
      <c r="AG166" s="168">
        <f t="shared" si="23"/>
        <v>0</v>
      </c>
      <c r="AH166" s="81" t="e" cm="1">
        <f t="array" aca="1" ref="AH166" ca="1">IF((AD166) &lt; (INDEX(ResponseSLA[#All],(MATCH((G166),ResponseSLA[Priority],0))+1,3)),"YES","No")</f>
        <v>#N/A</v>
      </c>
      <c r="AI166" s="81" t="str">
        <f>_xlfn.IFNA(IF(AE166 &lt; (INDEX(SLATable[Minimum SLA],MATCH(G166,SLATable[Priority],0))),"YES","NO"),"")</f>
        <v/>
      </c>
      <c r="AJ166" s="19" t="str">
        <f>_xlfn.IFNA(IF(AE166 &lt; (INDEX(SLATable[Maximum SLA],MATCH(G166,SLATable[Priority],0))),"YES","NO"),"")</f>
        <v/>
      </c>
    </row>
    <row r="167" spans="1:36" ht="15" customHeight="1">
      <c r="A167" s="78"/>
      <c r="B167" s="78"/>
      <c r="C167" s="78"/>
      <c r="D167" s="78"/>
      <c r="E167" s="78"/>
      <c r="F167" s="78"/>
      <c r="G167" s="78"/>
      <c r="H167" s="86"/>
      <c r="I167" s="78"/>
      <c r="J167" s="86"/>
      <c r="K167" s="394"/>
      <c r="L167" s="394"/>
      <c r="M167" s="277"/>
      <c r="N167" s="277"/>
      <c r="O167" s="80"/>
      <c r="P167" s="80"/>
      <c r="Q167" s="78"/>
      <c r="R167" s="78"/>
      <c r="S167" s="78"/>
      <c r="T167" s="78"/>
      <c r="U167" s="78"/>
      <c r="V167" s="78"/>
      <c r="W167" s="78"/>
      <c r="X167" s="78"/>
      <c r="Y167" s="78"/>
      <c r="Z167" s="167" t="e">
        <f t="shared" ca="1" si="16"/>
        <v>#N/A</v>
      </c>
      <c r="AA167" s="168" t="e">
        <f t="shared" ca="1" si="17"/>
        <v>#N/A</v>
      </c>
      <c r="AB167" s="167">
        <f t="shared" ca="1" si="18"/>
        <v>0</v>
      </c>
      <c r="AC167" s="168">
        <f t="shared" ca="1" si="19"/>
        <v>0</v>
      </c>
      <c r="AD167" s="191">
        <f t="shared" ca="1" si="20"/>
        <v>46259.633973495373</v>
      </c>
      <c r="AE167" s="167">
        <f t="shared" si="21"/>
        <v>0</v>
      </c>
      <c r="AF167" s="168">
        <f t="shared" si="22"/>
        <v>0</v>
      </c>
      <c r="AG167" s="168">
        <f t="shared" si="23"/>
        <v>0</v>
      </c>
      <c r="AH167" s="81" t="e" cm="1">
        <f t="array" aca="1" ref="AH167" ca="1">IF((AD167) &lt; (INDEX(ResponseSLA[#All],(MATCH((G167),ResponseSLA[Priority],0))+1,3)),"YES","No")</f>
        <v>#N/A</v>
      </c>
      <c r="AI167" s="81" t="str">
        <f>_xlfn.IFNA(IF(AE167 &lt; (INDEX(SLATable[Minimum SLA],MATCH(G167,SLATable[Priority],0))),"YES","NO"),"")</f>
        <v/>
      </c>
      <c r="AJ167" s="19" t="str">
        <f>_xlfn.IFNA(IF(AE167 &lt; (INDEX(SLATable[Maximum SLA],MATCH(G167,SLATable[Priority],0))),"YES","NO"),"")</f>
        <v/>
      </c>
    </row>
    <row r="168" spans="1:36" ht="15" customHeight="1">
      <c r="A168" s="78"/>
      <c r="B168" s="78"/>
      <c r="C168" s="78"/>
      <c r="D168" s="78"/>
      <c r="E168" s="78"/>
      <c r="F168" s="78"/>
      <c r="G168" s="78"/>
      <c r="H168" s="86"/>
      <c r="I168" s="78"/>
      <c r="J168" s="86"/>
      <c r="K168" s="277"/>
      <c r="L168" s="277"/>
      <c r="M168" s="277"/>
      <c r="N168" s="277"/>
      <c r="O168" s="80"/>
      <c r="P168" s="80"/>
      <c r="Q168" s="78"/>
      <c r="R168" s="78"/>
      <c r="S168" s="78"/>
      <c r="T168" s="78"/>
      <c r="U168" s="78"/>
      <c r="V168" s="78"/>
      <c r="W168" s="78"/>
      <c r="X168" s="78"/>
      <c r="Y168" s="78"/>
      <c r="Z168" s="167" t="e">
        <f t="shared" ca="1" si="16"/>
        <v>#N/A</v>
      </c>
      <c r="AA168" s="168" t="e">
        <f t="shared" ca="1" si="17"/>
        <v>#N/A</v>
      </c>
      <c r="AB168" s="167">
        <f t="shared" ca="1" si="18"/>
        <v>0</v>
      </c>
      <c r="AC168" s="168">
        <f t="shared" ca="1" si="19"/>
        <v>0</v>
      </c>
      <c r="AD168" s="191">
        <f t="shared" ca="1" si="20"/>
        <v>46259.633973495373</v>
      </c>
      <c r="AE168" s="167">
        <f t="shared" si="21"/>
        <v>0</v>
      </c>
      <c r="AF168" s="168">
        <f t="shared" si="22"/>
        <v>0</v>
      </c>
      <c r="AG168" s="168">
        <f t="shared" si="23"/>
        <v>0</v>
      </c>
      <c r="AH168" s="81" t="e" cm="1">
        <f t="array" aca="1" ref="AH168" ca="1">IF((AD168) &lt; (INDEX(ResponseSLA[#All],(MATCH((G168),ResponseSLA[Priority],0))+1,3)),"YES","No")</f>
        <v>#N/A</v>
      </c>
      <c r="AI168" s="81" t="str">
        <f>_xlfn.IFNA(IF(AE168 &lt; (INDEX(SLATable[Minimum SLA],MATCH(G168,SLATable[Priority],0))),"YES","NO"),"")</f>
        <v/>
      </c>
      <c r="AJ168" s="19" t="str">
        <f>_xlfn.IFNA(IF(AE168 &lt; (INDEX(SLATable[Maximum SLA],MATCH(G168,SLATable[Priority],0))),"YES","NO"),"")</f>
        <v/>
      </c>
    </row>
    <row r="169" spans="1:36" ht="15" customHeight="1">
      <c r="A169" s="78"/>
      <c r="B169" s="78"/>
      <c r="C169" s="78"/>
      <c r="D169" s="78"/>
      <c r="E169" s="78"/>
      <c r="F169" s="78"/>
      <c r="G169" s="78"/>
      <c r="H169" s="99"/>
      <c r="I169" s="78"/>
      <c r="J169" s="86"/>
      <c r="K169" s="277"/>
      <c r="L169" s="277"/>
      <c r="M169" s="277"/>
      <c r="N169" s="277"/>
      <c r="O169" s="80"/>
      <c r="P169" s="80"/>
      <c r="Q169" s="78"/>
      <c r="R169" s="78"/>
      <c r="S169" s="78"/>
      <c r="T169" s="78"/>
      <c r="U169" s="78"/>
      <c r="V169" s="78"/>
      <c r="W169" s="78"/>
      <c r="X169" s="78"/>
      <c r="Y169" s="78"/>
      <c r="Z169" s="167" t="e">
        <f t="shared" ca="1" si="16"/>
        <v>#N/A</v>
      </c>
      <c r="AA169" s="168" t="e">
        <f t="shared" ca="1" si="17"/>
        <v>#N/A</v>
      </c>
      <c r="AB169" s="167">
        <f t="shared" ca="1" si="18"/>
        <v>0</v>
      </c>
      <c r="AC169" s="168">
        <f t="shared" ca="1" si="19"/>
        <v>0</v>
      </c>
      <c r="AD169" s="191">
        <f t="shared" ca="1" si="20"/>
        <v>46259.633973495373</v>
      </c>
      <c r="AE169" s="167">
        <f t="shared" si="21"/>
        <v>0</v>
      </c>
      <c r="AF169" s="168">
        <f t="shared" si="22"/>
        <v>0</v>
      </c>
      <c r="AG169" s="168">
        <f t="shared" si="23"/>
        <v>0</v>
      </c>
      <c r="AH169" s="81" t="e" cm="1">
        <f t="array" aca="1" ref="AH169" ca="1">IF((AD169) &lt; (INDEX(ResponseSLA[#All],(MATCH((G169),ResponseSLA[Priority],0))+1,3)),"YES","No")</f>
        <v>#N/A</v>
      </c>
      <c r="AI169" s="81" t="str">
        <f>_xlfn.IFNA(IF(AE169 &lt; (INDEX(SLATable[Minimum SLA],MATCH(G169,SLATable[Priority],0))),"YES","NO"),"")</f>
        <v/>
      </c>
      <c r="AJ169" s="19" t="str">
        <f>_xlfn.IFNA(IF(AE169 &lt; (INDEX(SLATable[Maximum SLA],MATCH(G169,SLATable[Priority],0))),"YES","NO"),"")</f>
        <v/>
      </c>
    </row>
    <row r="170" spans="1:36" ht="15" customHeight="1">
      <c r="A170" s="78"/>
      <c r="B170" s="78"/>
      <c r="C170" s="78"/>
      <c r="D170" s="78"/>
      <c r="E170" s="78"/>
      <c r="F170" s="78"/>
      <c r="G170" s="78"/>
      <c r="H170" s="86"/>
      <c r="I170" s="78"/>
      <c r="J170" s="86"/>
      <c r="K170" s="277"/>
      <c r="L170" s="277"/>
      <c r="M170" s="277"/>
      <c r="N170" s="277"/>
      <c r="O170" s="80"/>
      <c r="P170" s="80"/>
      <c r="Q170" s="78"/>
      <c r="R170" s="78"/>
      <c r="S170" s="78"/>
      <c r="T170" s="78"/>
      <c r="U170" s="78"/>
      <c r="V170" s="78"/>
      <c r="W170" s="78"/>
      <c r="X170" s="78"/>
      <c r="Y170" s="78"/>
      <c r="Z170" s="167" t="e">
        <f t="shared" ca="1" si="16"/>
        <v>#N/A</v>
      </c>
      <c r="AA170" s="168" t="e">
        <f t="shared" ca="1" si="17"/>
        <v>#N/A</v>
      </c>
      <c r="AB170" s="167">
        <f t="shared" ca="1" si="18"/>
        <v>0</v>
      </c>
      <c r="AC170" s="168">
        <f t="shared" ca="1" si="19"/>
        <v>0</v>
      </c>
      <c r="AD170" s="191">
        <f t="shared" ca="1" si="20"/>
        <v>46259.633973495373</v>
      </c>
      <c r="AE170" s="167">
        <f t="shared" si="21"/>
        <v>0</v>
      </c>
      <c r="AF170" s="168">
        <f t="shared" si="22"/>
        <v>0</v>
      </c>
      <c r="AG170" s="168">
        <f t="shared" si="23"/>
        <v>0</v>
      </c>
      <c r="AH170" s="81" t="e" cm="1">
        <f t="array" aca="1" ref="AH170" ca="1">IF((AD170) &lt; (INDEX(ResponseSLA[#All],(MATCH((G170),ResponseSLA[Priority],0))+1,3)),"YES","No")</f>
        <v>#N/A</v>
      </c>
      <c r="AI170" s="81" t="str">
        <f>_xlfn.IFNA(IF(AE170 &lt; (INDEX(SLATable[Minimum SLA],MATCH(G170,SLATable[Priority],0))),"YES","NO"),"")</f>
        <v/>
      </c>
      <c r="AJ170" s="19" t="str">
        <f>_xlfn.IFNA(IF(AE170 &lt; (INDEX(SLATable[Maximum SLA],MATCH(G170,SLATable[Priority],0))),"YES","NO"),"")</f>
        <v/>
      </c>
    </row>
    <row r="171" spans="1:36" ht="15" customHeight="1">
      <c r="A171" s="78"/>
      <c r="B171" s="78"/>
      <c r="C171" s="78"/>
      <c r="D171" s="78"/>
      <c r="E171" s="78"/>
      <c r="F171" s="78"/>
      <c r="G171" s="78"/>
      <c r="H171" s="86"/>
      <c r="I171" s="78"/>
      <c r="J171" s="86"/>
      <c r="K171" s="277"/>
      <c r="L171" s="277"/>
      <c r="M171" s="277"/>
      <c r="N171" s="277"/>
      <c r="O171" s="80"/>
      <c r="P171" s="80"/>
      <c r="Q171" s="78"/>
      <c r="R171" s="78"/>
      <c r="S171" s="78"/>
      <c r="T171" s="78"/>
      <c r="U171" s="78"/>
      <c r="V171" s="78"/>
      <c r="W171" s="78"/>
      <c r="X171" s="78"/>
      <c r="Y171" s="78"/>
      <c r="Z171" s="167" t="e">
        <f t="shared" ca="1" si="16"/>
        <v>#N/A</v>
      </c>
      <c r="AA171" s="168" t="e">
        <f t="shared" ca="1" si="17"/>
        <v>#N/A</v>
      </c>
      <c r="AB171" s="167">
        <f t="shared" ca="1" si="18"/>
        <v>0</v>
      </c>
      <c r="AC171" s="168">
        <f t="shared" ca="1" si="19"/>
        <v>0</v>
      </c>
      <c r="AD171" s="191">
        <f t="shared" ca="1" si="20"/>
        <v>46259.633973495373</v>
      </c>
      <c r="AE171" s="167">
        <f t="shared" si="21"/>
        <v>0</v>
      </c>
      <c r="AF171" s="168">
        <f t="shared" si="22"/>
        <v>0</v>
      </c>
      <c r="AG171" s="168">
        <f t="shared" si="23"/>
        <v>0</v>
      </c>
      <c r="AH171" s="81" t="e" cm="1">
        <f t="array" aca="1" ref="AH171" ca="1">IF((AD171) &lt; (INDEX(ResponseSLA[#All],(MATCH((G171),ResponseSLA[Priority],0))+1,3)),"YES","No")</f>
        <v>#N/A</v>
      </c>
      <c r="AI171" s="81" t="str">
        <f>_xlfn.IFNA(IF(AE171 &lt; (INDEX(SLATable[Minimum SLA],MATCH(G171,SLATable[Priority],0))),"YES","NO"),"")</f>
        <v/>
      </c>
      <c r="AJ171" s="19" t="str">
        <f>_xlfn.IFNA(IF(AE171 &lt; (INDEX(SLATable[Maximum SLA],MATCH(G171,SLATable[Priority],0))),"YES","NO"),"")</f>
        <v/>
      </c>
    </row>
    <row r="172" spans="1:36" ht="15" customHeight="1">
      <c r="A172" s="78"/>
      <c r="B172" s="78"/>
      <c r="C172" s="78"/>
      <c r="D172" s="78"/>
      <c r="E172" s="78"/>
      <c r="F172" s="78"/>
      <c r="G172" s="78"/>
      <c r="H172" s="86"/>
      <c r="I172" s="78"/>
      <c r="J172" s="86"/>
      <c r="K172" s="277"/>
      <c r="L172" s="277"/>
      <c r="M172" s="277"/>
      <c r="N172" s="277"/>
      <c r="O172" s="80"/>
      <c r="P172" s="80"/>
      <c r="Q172" s="78"/>
      <c r="R172" s="78"/>
      <c r="S172" s="78"/>
      <c r="T172" s="78"/>
      <c r="U172" s="78"/>
      <c r="V172" s="78"/>
      <c r="W172" s="78"/>
      <c r="X172" s="78"/>
      <c r="Y172" s="78"/>
      <c r="Z172" s="167" t="e">
        <f t="shared" ca="1" si="16"/>
        <v>#N/A</v>
      </c>
      <c r="AA172" s="168" t="e">
        <f t="shared" ca="1" si="17"/>
        <v>#N/A</v>
      </c>
      <c r="AB172" s="167">
        <f t="shared" ca="1" si="18"/>
        <v>0</v>
      </c>
      <c r="AC172" s="168">
        <f t="shared" ca="1" si="19"/>
        <v>0</v>
      </c>
      <c r="AD172" s="191">
        <f t="shared" ca="1" si="20"/>
        <v>46259.633973495373</v>
      </c>
      <c r="AE172" s="167">
        <f t="shared" si="21"/>
        <v>0</v>
      </c>
      <c r="AF172" s="168">
        <f t="shared" si="22"/>
        <v>0</v>
      </c>
      <c r="AG172" s="168">
        <f t="shared" si="23"/>
        <v>0</v>
      </c>
      <c r="AH172" s="81" t="e" cm="1">
        <f t="array" aca="1" ref="AH172" ca="1">IF((AD172) &lt; (INDEX(ResponseSLA[#All],(MATCH((G172),ResponseSLA[Priority],0))+1,3)),"YES","No")</f>
        <v>#N/A</v>
      </c>
      <c r="AI172" s="81" t="str">
        <f>_xlfn.IFNA(IF(AE172 &lt; (INDEX(SLATable[Minimum SLA],MATCH(G172,SLATable[Priority],0))),"YES","NO"),"")</f>
        <v/>
      </c>
      <c r="AJ172" s="19" t="str">
        <f>_xlfn.IFNA(IF(AE172 &lt; (INDEX(SLATable[Maximum SLA],MATCH(G172,SLATable[Priority],0))),"YES","NO"),"")</f>
        <v/>
      </c>
    </row>
    <row r="173" spans="1:36" ht="15" customHeight="1">
      <c r="A173" s="78"/>
      <c r="B173" s="78"/>
      <c r="C173" s="78"/>
      <c r="D173" s="78"/>
      <c r="E173" s="78"/>
      <c r="F173" s="78"/>
      <c r="G173" s="78"/>
      <c r="H173" s="86"/>
      <c r="I173" s="78"/>
      <c r="J173" s="86"/>
      <c r="K173" s="277"/>
      <c r="L173" s="277"/>
      <c r="M173" s="277"/>
      <c r="N173" s="277"/>
      <c r="O173" s="80"/>
      <c r="P173" s="80"/>
      <c r="Q173" s="78"/>
      <c r="R173" s="78"/>
      <c r="S173" s="78"/>
      <c r="T173" s="78"/>
      <c r="U173" s="78"/>
      <c r="V173" s="78"/>
      <c r="W173" s="78"/>
      <c r="X173" s="78"/>
      <c r="Y173" s="78"/>
      <c r="Z173" s="167" t="e">
        <f t="shared" ca="1" si="16"/>
        <v>#N/A</v>
      </c>
      <c r="AA173" s="168" t="e">
        <f t="shared" ca="1" si="17"/>
        <v>#N/A</v>
      </c>
      <c r="AB173" s="167">
        <f t="shared" ca="1" si="18"/>
        <v>0</v>
      </c>
      <c r="AC173" s="168">
        <f t="shared" ca="1" si="19"/>
        <v>0</v>
      </c>
      <c r="AD173" s="191">
        <f t="shared" ca="1" si="20"/>
        <v>46259.633973495373</v>
      </c>
      <c r="AE173" s="167">
        <f t="shared" si="21"/>
        <v>0</v>
      </c>
      <c r="AF173" s="168">
        <f t="shared" si="22"/>
        <v>0</v>
      </c>
      <c r="AG173" s="168">
        <f t="shared" si="23"/>
        <v>0</v>
      </c>
      <c r="AH173" s="81" t="e" cm="1">
        <f t="array" aca="1" ref="AH173" ca="1">IF((AD173) &lt; (INDEX(ResponseSLA[#All],(MATCH((G173),ResponseSLA[Priority],0))+1,3)),"YES","No")</f>
        <v>#N/A</v>
      </c>
      <c r="AI173" s="81" t="str">
        <f>_xlfn.IFNA(IF(AE173 &lt; (INDEX(SLATable[Minimum SLA],MATCH(G173,SLATable[Priority],0))),"YES","NO"),"")</f>
        <v/>
      </c>
      <c r="AJ173" s="19" t="str">
        <f>_xlfn.IFNA(IF(AE173 &lt; (INDEX(SLATable[Maximum SLA],MATCH(G173,SLATable[Priority],0))),"YES","NO"),"")</f>
        <v/>
      </c>
    </row>
    <row r="174" spans="1:36" ht="15" customHeight="1">
      <c r="A174" s="78"/>
      <c r="B174" s="78"/>
      <c r="C174" s="78"/>
      <c r="D174" s="78"/>
      <c r="E174" s="78"/>
      <c r="F174" s="78"/>
      <c r="G174" s="78"/>
      <c r="H174" s="86"/>
      <c r="I174" s="78"/>
      <c r="J174" s="86"/>
      <c r="K174" s="277"/>
      <c r="L174" s="277"/>
      <c r="M174" s="277"/>
      <c r="N174" s="277"/>
      <c r="O174" s="80"/>
      <c r="P174" s="80"/>
      <c r="Q174" s="78"/>
      <c r="R174" s="78"/>
      <c r="S174" s="78"/>
      <c r="T174" s="78"/>
      <c r="U174" s="78"/>
      <c r="V174" s="78"/>
      <c r="W174" s="78"/>
      <c r="X174" s="78"/>
      <c r="Y174" s="78"/>
      <c r="Z174" s="167" t="e">
        <f t="shared" ca="1" si="16"/>
        <v>#N/A</v>
      </c>
      <c r="AA174" s="168" t="e">
        <f t="shared" ca="1" si="17"/>
        <v>#N/A</v>
      </c>
      <c r="AB174" s="167">
        <f t="shared" ca="1" si="18"/>
        <v>0</v>
      </c>
      <c r="AC174" s="168">
        <f t="shared" ca="1" si="19"/>
        <v>0</v>
      </c>
      <c r="AD174" s="191">
        <f t="shared" ca="1" si="20"/>
        <v>46259.633973495373</v>
      </c>
      <c r="AE174" s="167">
        <f t="shared" si="21"/>
        <v>0</v>
      </c>
      <c r="AF174" s="168">
        <f t="shared" si="22"/>
        <v>0</v>
      </c>
      <c r="AG174" s="168">
        <f t="shared" si="23"/>
        <v>0</v>
      </c>
      <c r="AH174" s="81" t="e" cm="1">
        <f t="array" aca="1" ref="AH174" ca="1">IF((AD174) &lt; (INDEX(ResponseSLA[#All],(MATCH((G174),ResponseSLA[Priority],0))+1,3)),"YES","No")</f>
        <v>#N/A</v>
      </c>
      <c r="AI174" s="81" t="str">
        <f>_xlfn.IFNA(IF(AE174 &lt; (INDEX(SLATable[Minimum SLA],MATCH(G174,SLATable[Priority],0))),"YES","NO"),"")</f>
        <v/>
      </c>
      <c r="AJ174" s="19" t="str">
        <f>_xlfn.IFNA(IF(AE174 &lt; (INDEX(SLATable[Maximum SLA],MATCH(G174,SLATable[Priority],0))),"YES","NO"),"")</f>
        <v/>
      </c>
    </row>
    <row r="175" spans="1:36" ht="15" customHeight="1">
      <c r="A175" s="78"/>
      <c r="B175" s="78"/>
      <c r="C175" s="78"/>
      <c r="D175" s="78"/>
      <c r="E175" s="78"/>
      <c r="F175" s="78"/>
      <c r="G175" s="78"/>
      <c r="H175" s="86"/>
      <c r="I175" s="78"/>
      <c r="J175" s="86"/>
      <c r="K175" s="277"/>
      <c r="L175" s="277"/>
      <c r="M175" s="277"/>
      <c r="N175" s="277"/>
      <c r="O175" s="80"/>
      <c r="P175" s="80"/>
      <c r="Q175" s="78"/>
      <c r="R175" s="78"/>
      <c r="S175" s="78"/>
      <c r="T175" s="78"/>
      <c r="U175" s="78"/>
      <c r="V175" s="78"/>
      <c r="W175" s="78"/>
      <c r="X175" s="78"/>
      <c r="Y175" s="78"/>
      <c r="Z175" s="167" t="e">
        <f t="shared" ca="1" si="16"/>
        <v>#N/A</v>
      </c>
      <c r="AA175" s="168" t="e">
        <f t="shared" ca="1" si="17"/>
        <v>#N/A</v>
      </c>
      <c r="AB175" s="167">
        <f t="shared" ca="1" si="18"/>
        <v>0</v>
      </c>
      <c r="AC175" s="168">
        <f t="shared" ca="1" si="19"/>
        <v>0</v>
      </c>
      <c r="AD175" s="191">
        <f t="shared" ca="1" si="20"/>
        <v>46259.633973495373</v>
      </c>
      <c r="AE175" s="167">
        <f t="shared" si="21"/>
        <v>0</v>
      </c>
      <c r="AF175" s="168">
        <f t="shared" si="22"/>
        <v>0</v>
      </c>
      <c r="AG175" s="168">
        <f t="shared" si="23"/>
        <v>0</v>
      </c>
      <c r="AH175" s="81" t="e" cm="1">
        <f t="array" aca="1" ref="AH175" ca="1">IF((AD175) &lt; (INDEX(ResponseSLA[#All],(MATCH((G175),ResponseSLA[Priority],0))+1,3)),"YES","No")</f>
        <v>#N/A</v>
      </c>
      <c r="AI175" s="81" t="str">
        <f>_xlfn.IFNA(IF(AE175 &lt; (INDEX(SLATable[Minimum SLA],MATCH(G175,SLATable[Priority],0))),"YES","NO"),"")</f>
        <v/>
      </c>
      <c r="AJ175" s="19" t="str">
        <f>_xlfn.IFNA(IF(AE175 &lt; (INDEX(SLATable[Maximum SLA],MATCH(G175,SLATable[Priority],0))),"YES","NO"),"")</f>
        <v/>
      </c>
    </row>
    <row r="176" spans="1:36" ht="15" customHeight="1">
      <c r="A176" s="78"/>
      <c r="B176" s="78"/>
      <c r="C176" s="78"/>
      <c r="D176" s="78"/>
      <c r="E176" s="78"/>
      <c r="F176" s="78"/>
      <c r="G176" s="78"/>
      <c r="H176" s="86"/>
      <c r="I176" s="78"/>
      <c r="J176" s="86"/>
      <c r="K176" s="277"/>
      <c r="L176" s="277"/>
      <c r="M176" s="277"/>
      <c r="N176" s="277"/>
      <c r="O176" s="80"/>
      <c r="P176" s="80"/>
      <c r="Q176" s="78"/>
      <c r="R176" s="78"/>
      <c r="S176" s="78"/>
      <c r="T176" s="78"/>
      <c r="U176" s="78"/>
      <c r="V176" s="78"/>
      <c r="W176" s="78"/>
      <c r="X176" s="78"/>
      <c r="Y176" s="78"/>
      <c r="Z176" s="167" t="e">
        <f t="shared" ca="1" si="16"/>
        <v>#N/A</v>
      </c>
      <c r="AA176" s="168" t="e">
        <f t="shared" ca="1" si="17"/>
        <v>#N/A</v>
      </c>
      <c r="AB176" s="167">
        <f t="shared" ca="1" si="18"/>
        <v>0</v>
      </c>
      <c r="AC176" s="168">
        <f t="shared" ca="1" si="19"/>
        <v>0</v>
      </c>
      <c r="AD176" s="191">
        <f t="shared" ca="1" si="20"/>
        <v>46259.633973495373</v>
      </c>
      <c r="AE176" s="167">
        <f t="shared" si="21"/>
        <v>0</v>
      </c>
      <c r="AF176" s="168">
        <f t="shared" si="22"/>
        <v>0</v>
      </c>
      <c r="AG176" s="168">
        <f t="shared" si="23"/>
        <v>0</v>
      </c>
      <c r="AH176" s="81" t="e" cm="1">
        <f t="array" aca="1" ref="AH176" ca="1">IF((AD176) &lt; (INDEX(ResponseSLA[#All],(MATCH((G176),ResponseSLA[Priority],0))+1,3)),"YES","No")</f>
        <v>#N/A</v>
      </c>
      <c r="AI176" s="81" t="str">
        <f>_xlfn.IFNA(IF(AE176 &lt; (INDEX(SLATable[Minimum SLA],MATCH(G176,SLATable[Priority],0))),"YES","NO"),"")</f>
        <v/>
      </c>
      <c r="AJ176" s="19" t="str">
        <f>_xlfn.IFNA(IF(AE176 &lt; (INDEX(SLATable[Maximum SLA],MATCH(G176,SLATable[Priority],0))),"YES","NO"),"")</f>
        <v/>
      </c>
    </row>
    <row r="177" spans="1:36" ht="15" customHeight="1">
      <c r="A177" s="78"/>
      <c r="B177" s="78"/>
      <c r="C177" s="78"/>
      <c r="D177" s="78"/>
      <c r="E177" s="78"/>
      <c r="F177" s="78"/>
      <c r="G177" s="78"/>
      <c r="H177" s="86"/>
      <c r="I177" s="78"/>
      <c r="J177" s="86"/>
      <c r="K177" s="277"/>
      <c r="L177" s="277"/>
      <c r="M177" s="277"/>
      <c r="N177" s="277"/>
      <c r="O177" s="80"/>
      <c r="P177" s="80"/>
      <c r="Q177" s="78"/>
      <c r="R177" s="78"/>
      <c r="S177" s="78"/>
      <c r="T177" s="78"/>
      <c r="U177" s="78"/>
      <c r="V177" s="78"/>
      <c r="W177" s="78"/>
      <c r="X177" s="78"/>
      <c r="Y177" s="78"/>
      <c r="Z177" s="167" t="e">
        <f t="shared" ca="1" si="16"/>
        <v>#N/A</v>
      </c>
      <c r="AA177" s="168" t="e">
        <f t="shared" ca="1" si="17"/>
        <v>#N/A</v>
      </c>
      <c r="AB177" s="167">
        <f t="shared" ca="1" si="18"/>
        <v>0</v>
      </c>
      <c r="AC177" s="168">
        <f t="shared" ca="1" si="19"/>
        <v>0</v>
      </c>
      <c r="AD177" s="191">
        <f t="shared" ca="1" si="20"/>
        <v>46259.633973495373</v>
      </c>
      <c r="AE177" s="167">
        <f t="shared" si="21"/>
        <v>0</v>
      </c>
      <c r="AF177" s="168">
        <f t="shared" si="22"/>
        <v>0</v>
      </c>
      <c r="AG177" s="168">
        <f t="shared" si="23"/>
        <v>0</v>
      </c>
      <c r="AH177" s="81" t="e" cm="1">
        <f t="array" aca="1" ref="AH177" ca="1">IF((AD177) &lt; (INDEX(ResponseSLA[#All],(MATCH((G177),ResponseSLA[Priority],0))+1,3)),"YES","No")</f>
        <v>#N/A</v>
      </c>
      <c r="AI177" s="81" t="str">
        <f>_xlfn.IFNA(IF(AE177 &lt; (INDEX(SLATable[Minimum SLA],MATCH(G177,SLATable[Priority],0))),"YES","NO"),"")</f>
        <v/>
      </c>
      <c r="AJ177" s="19" t="str">
        <f>_xlfn.IFNA(IF(AE177 &lt; (INDEX(SLATable[Maximum SLA],MATCH(G177,SLATable[Priority],0))),"YES","NO"),"")</f>
        <v/>
      </c>
    </row>
    <row r="178" spans="1:36" ht="15" customHeight="1">
      <c r="A178" s="78"/>
      <c r="B178" s="78"/>
      <c r="C178" s="78"/>
      <c r="D178" s="78"/>
      <c r="E178" s="78"/>
      <c r="F178" s="78"/>
      <c r="G178" s="78"/>
      <c r="H178" s="86"/>
      <c r="I178" s="78"/>
      <c r="J178" s="86"/>
      <c r="K178" s="186"/>
      <c r="L178" s="186"/>
      <c r="M178" s="186"/>
      <c r="N178" s="277"/>
      <c r="O178" s="80"/>
      <c r="P178" s="80"/>
      <c r="Q178" s="78"/>
      <c r="R178" s="78"/>
      <c r="S178" s="78"/>
      <c r="T178" s="78"/>
      <c r="U178" s="78"/>
      <c r="V178" s="78"/>
      <c r="W178" s="78"/>
      <c r="X178" s="78"/>
      <c r="Y178" s="78"/>
      <c r="Z178" s="167" t="e">
        <f t="shared" ca="1" si="16"/>
        <v>#N/A</v>
      </c>
      <c r="AA178" s="168" t="e">
        <f t="shared" ca="1" si="17"/>
        <v>#N/A</v>
      </c>
      <c r="AB178" s="167">
        <f t="shared" ca="1" si="18"/>
        <v>0</v>
      </c>
      <c r="AC178" s="168">
        <f t="shared" ca="1" si="19"/>
        <v>0</v>
      </c>
      <c r="AD178" s="191">
        <f t="shared" ca="1" si="20"/>
        <v>46259.633973495373</v>
      </c>
      <c r="AE178" s="167">
        <f t="shared" si="21"/>
        <v>0</v>
      </c>
      <c r="AF178" s="168">
        <f t="shared" si="22"/>
        <v>0</v>
      </c>
      <c r="AG178" s="168">
        <f t="shared" si="23"/>
        <v>0</v>
      </c>
      <c r="AH178" s="81" t="e" cm="1">
        <f t="array" aca="1" ref="AH178" ca="1">IF((AD178) &lt; (INDEX(ResponseSLA[#All],(MATCH((G178),ResponseSLA[Priority],0))+1,3)),"YES","No")</f>
        <v>#N/A</v>
      </c>
      <c r="AI178" s="81" t="str">
        <f>_xlfn.IFNA(IF(AE178 &lt; (INDEX(SLATable[Minimum SLA],MATCH(G178,SLATable[Priority],0))),"YES","NO"),"")</f>
        <v/>
      </c>
      <c r="AJ178" s="19" t="str">
        <f>_xlfn.IFNA(IF(AE178 &lt; (INDEX(SLATable[Maximum SLA],MATCH(G178,SLATable[Priority],0))),"YES","NO"),"")</f>
        <v/>
      </c>
    </row>
    <row r="179" spans="1:36" ht="15" customHeight="1">
      <c r="A179" s="78"/>
      <c r="B179" s="78"/>
      <c r="C179" s="78"/>
      <c r="D179" s="78"/>
      <c r="E179" s="184"/>
      <c r="F179" s="78"/>
      <c r="G179" s="78"/>
      <c r="H179" s="86"/>
      <c r="I179" s="78"/>
      <c r="J179" s="86"/>
      <c r="K179" s="277"/>
      <c r="L179" s="277"/>
      <c r="M179" s="322"/>
      <c r="N179" s="277"/>
      <c r="O179" s="80"/>
      <c r="P179" s="80"/>
      <c r="Q179" s="78"/>
      <c r="R179" s="78"/>
      <c r="S179" s="78"/>
      <c r="T179" s="78"/>
      <c r="U179" s="78"/>
      <c r="V179" s="78"/>
      <c r="W179" s="78"/>
      <c r="X179" s="78"/>
      <c r="Y179" s="78"/>
      <c r="Z179" s="167" t="e">
        <f t="shared" ca="1" si="16"/>
        <v>#N/A</v>
      </c>
      <c r="AA179" s="168" t="e">
        <f t="shared" ca="1" si="17"/>
        <v>#N/A</v>
      </c>
      <c r="AB179" s="167">
        <f t="shared" ca="1" si="18"/>
        <v>0</v>
      </c>
      <c r="AC179" s="168">
        <f t="shared" ca="1" si="19"/>
        <v>0</v>
      </c>
      <c r="AD179" s="191">
        <f t="shared" ca="1" si="20"/>
        <v>46259.633973495373</v>
      </c>
      <c r="AE179" s="167">
        <f t="shared" si="21"/>
        <v>0</v>
      </c>
      <c r="AF179" s="168">
        <f t="shared" si="22"/>
        <v>0</v>
      </c>
      <c r="AG179" s="168">
        <f t="shared" si="23"/>
        <v>0</v>
      </c>
      <c r="AH179" s="81" t="e" cm="1">
        <f t="array" aca="1" ref="AH179" ca="1">IF((AD179) &lt; (INDEX(ResponseSLA[#All],(MATCH((G179),ResponseSLA[Priority],0))+1,3)),"YES","No")</f>
        <v>#N/A</v>
      </c>
      <c r="AI179" s="81" t="str">
        <f>_xlfn.IFNA(IF(AE179 &lt; (INDEX(SLATable[Minimum SLA],MATCH(G179,SLATable[Priority],0))),"YES","NO"),"")</f>
        <v/>
      </c>
      <c r="AJ179" s="19" t="str">
        <f>_xlfn.IFNA(IF(AE179 &lt; (INDEX(SLATable[Maximum SLA],MATCH(G179,SLATable[Priority],0))),"YES","NO"),"")</f>
        <v/>
      </c>
    </row>
    <row r="180" spans="1:36" ht="15" customHeight="1">
      <c r="A180" s="78"/>
      <c r="B180" s="78"/>
      <c r="C180" s="78"/>
      <c r="D180" s="78"/>
      <c r="E180" s="184"/>
      <c r="F180" s="78"/>
      <c r="G180" s="78"/>
      <c r="H180" s="86"/>
      <c r="I180" s="78"/>
      <c r="J180" s="86"/>
      <c r="K180" s="277"/>
      <c r="L180" s="277"/>
      <c r="M180" s="277"/>
      <c r="N180" s="277"/>
      <c r="O180" s="80"/>
      <c r="P180" s="80"/>
      <c r="Q180" s="78"/>
      <c r="R180" s="78"/>
      <c r="S180" s="78"/>
      <c r="T180" s="78"/>
      <c r="U180" s="78"/>
      <c r="V180" s="78"/>
      <c r="W180" s="78"/>
      <c r="X180" s="78"/>
      <c r="Y180" s="78"/>
      <c r="Z180" s="167" t="e">
        <f t="shared" ca="1" si="16"/>
        <v>#N/A</v>
      </c>
      <c r="AA180" s="168" t="e">
        <f t="shared" ca="1" si="17"/>
        <v>#N/A</v>
      </c>
      <c r="AB180" s="167">
        <f t="shared" ca="1" si="18"/>
        <v>0</v>
      </c>
      <c r="AC180" s="168">
        <f t="shared" ca="1" si="19"/>
        <v>0</v>
      </c>
      <c r="AD180" s="191">
        <f t="shared" ca="1" si="20"/>
        <v>46259.633973495373</v>
      </c>
      <c r="AE180" s="167">
        <f t="shared" si="21"/>
        <v>0</v>
      </c>
      <c r="AF180" s="168">
        <f t="shared" si="22"/>
        <v>0</v>
      </c>
      <c r="AG180" s="168">
        <f t="shared" si="23"/>
        <v>0</v>
      </c>
      <c r="AH180" s="81" t="e" cm="1">
        <f t="array" aca="1" ref="AH180" ca="1">IF((AD180) &lt; (INDEX(ResponseSLA[#All],(MATCH((G180),ResponseSLA[Priority],0))+1,3)),"YES","No")</f>
        <v>#N/A</v>
      </c>
      <c r="AI180" s="81" t="str">
        <f>_xlfn.IFNA(IF(AE180 &lt; (INDEX(SLATable[Minimum SLA],MATCH(G180,SLATable[Priority],0))),"YES","NO"),"")</f>
        <v/>
      </c>
      <c r="AJ180" s="19" t="str">
        <f>_xlfn.IFNA(IF(AE180 &lt; (INDEX(SLATable[Maximum SLA],MATCH(G180,SLATable[Priority],0))),"YES","NO"),"")</f>
        <v/>
      </c>
    </row>
    <row r="181" spans="1:36" ht="15" customHeight="1">
      <c r="A181" s="78"/>
      <c r="B181" s="78"/>
      <c r="C181" s="78"/>
      <c r="D181" s="78"/>
      <c r="E181" s="184"/>
      <c r="F181" s="78"/>
      <c r="G181" s="78"/>
      <c r="H181" s="86"/>
      <c r="I181" s="78"/>
      <c r="J181" s="86"/>
      <c r="K181" s="277"/>
      <c r="L181" s="277"/>
      <c r="M181" s="277"/>
      <c r="N181" s="277"/>
      <c r="O181" s="80"/>
      <c r="P181" s="80"/>
      <c r="Q181" s="78"/>
      <c r="R181" s="78"/>
      <c r="S181" s="78"/>
      <c r="T181" s="78"/>
      <c r="U181" s="78"/>
      <c r="V181" s="78"/>
      <c r="W181" s="78"/>
      <c r="X181" s="78"/>
      <c r="Y181" s="78"/>
      <c r="Z181" s="167" t="e">
        <f t="shared" ca="1" si="16"/>
        <v>#N/A</v>
      </c>
      <c r="AA181" s="168" t="e">
        <f t="shared" ca="1" si="17"/>
        <v>#N/A</v>
      </c>
      <c r="AB181" s="167">
        <f t="shared" ca="1" si="18"/>
        <v>0</v>
      </c>
      <c r="AC181" s="168">
        <f t="shared" ca="1" si="19"/>
        <v>0</v>
      </c>
      <c r="AD181" s="191">
        <f t="shared" ca="1" si="20"/>
        <v>46259.633973495373</v>
      </c>
      <c r="AE181" s="167">
        <f t="shared" si="21"/>
        <v>0</v>
      </c>
      <c r="AF181" s="168">
        <f t="shared" si="22"/>
        <v>0</v>
      </c>
      <c r="AG181" s="168">
        <f t="shared" si="23"/>
        <v>0</v>
      </c>
      <c r="AH181" s="81" t="e" cm="1">
        <f t="array" aca="1" ref="AH181" ca="1">IF((AD181) &lt; (INDEX(ResponseSLA[#All],(MATCH((G181),ResponseSLA[Priority],0))+1,3)),"YES","No")</f>
        <v>#N/A</v>
      </c>
      <c r="AI181" s="81" t="str">
        <f>_xlfn.IFNA(IF(AE181 &lt; (INDEX(SLATable[Minimum SLA],MATCH(G181,SLATable[Priority],0))),"YES","NO"),"")</f>
        <v/>
      </c>
      <c r="AJ181" s="19" t="str">
        <f>_xlfn.IFNA(IF(AE181 &lt; (INDEX(SLATable[Maximum SLA],MATCH(G181,SLATable[Priority],0))),"YES","NO"),"")</f>
        <v/>
      </c>
    </row>
    <row r="182" spans="1:36" ht="15" customHeight="1">
      <c r="A182" s="78"/>
      <c r="B182" s="78"/>
      <c r="C182" s="78"/>
      <c r="D182" s="78"/>
      <c r="E182" s="184"/>
      <c r="F182" s="78"/>
      <c r="G182" s="78"/>
      <c r="H182" s="86"/>
      <c r="I182" s="78"/>
      <c r="J182" s="86"/>
      <c r="K182" s="186"/>
      <c r="L182" s="186"/>
      <c r="M182" s="186"/>
      <c r="N182" s="277"/>
      <c r="O182" s="80"/>
      <c r="P182" s="80"/>
      <c r="Q182" s="78"/>
      <c r="R182" s="78"/>
      <c r="S182" s="78"/>
      <c r="T182" s="78"/>
      <c r="U182" s="78"/>
      <c r="V182" s="78"/>
      <c r="W182" s="78"/>
      <c r="X182" s="78"/>
      <c r="Y182" s="78"/>
      <c r="Z182" s="167" t="e">
        <f ca="1">IF(NOT(OR(G182=1,G182=2)),MAX(0,_xlfn.IFS(AND(K182&lt;&gt;"",#REF!&lt;&gt;""),((MAX(NETWORKDAYS(K182,#REF!,UKBankHolidays)-1,0))*(TIME(17,0,0)-TIME(8,0,0))+IF(NETWORKDAYS(#REF!,#REF!,UKBankHolidays)&gt;0,MEDIAN(TIME(8,0,0),MOD(#REF!,1),TIME(17,0,0)),TIME(8,0,0))-IF(NETWORKDAYS(K182,K182,UKBankHolidays)&gt;0,MEDIAN(TIME(8,0,0),MOD(K182,1),TIME(17,0,0)),TIME(8,0,0)))-IF(AND(O182&lt;&gt;"",P182&lt;&gt;""),((MAX(NETWORKDAYS(O182,P182,UKBankHolidays)-1,0))*(TIME(17,0,0)-TIME(8,0,0))+IF(NETWORKDAYS(P182,P182,UKBankHolidays)&gt;0,MEDIAN(TIME(8,0,0),MOD(P182,1),TIME(17,0,0)),TIME(8,0,0))-IF(NETWORKDAYS(O182,O182,UKBankHolidays)&gt;0,MEDIAN(TIME(8,0,0),MOD(O182,1),TIME(17,0,0)),TIME(8,0,0))),0),AND(K182&lt;&gt;"",#REF!=""),((MAX(NETWORKDAYS(K182,NOW(),UKBankHolidays)-1,0))*(TIME(17,0,0)-TIME(8,0,0))+IF(NETWORKDAYS(NOW(),NOW(),UKBankHolidays)&gt;0,MEDIAN(TIME(8,0,0),MOD(NOW(),1),TIME(17,0,0)),TIME(8,0,0))-IF(NETWORKDAYS(K182,K182,UKBankHolidays)&gt;0,MEDIAN(TIME(8,0,0),MOD(K182,1),TIME(17,0,0)),TIME(8,0,0))))),IF(#REF!="",NOW()-K182,#REF!-K182))</f>
        <v>#REF!</v>
      </c>
      <c r="AA182" s="168" t="e">
        <f t="shared" ca="1" si="17"/>
        <v>#REF!</v>
      </c>
      <c r="AB182" s="167" t="e">
        <f ca="1">IF(NOT(OR(G182=1,G182=2)),MAX(0,_xlfn.IFS(AND(K182&lt;&gt;"",#REF!&lt;&gt;""),(((MAX(NETWORKDAYS(L182,#REF!,UKBankHolidays)-1,0))*(TIME(17,0,0)-TIME(8,0,0)))+IF(NETWORKDAYS(#REF!,#REF!,UKBankHolidays)&gt;0,MEDIAN(TIME(8,0,0),MOD(#REF!,1),TIME(17,0,0)),TIME(8,0,0))-IF(NETWORKDAYS(L182,L182,UKBankHolidays)&gt;0,MEDIAN(TIME(8,0,0),MOD(L182,1),TIME(17,0,0)),TIME(8,0,0)))-IF(AND(O182&lt;&gt;"",P182&lt;&gt;""),(((MAX(NETWORKDAYS(O182,P182,UKBankHolidays)-1,0))*(TIME(17,0,0)-TIME(8,0,0)))+IF(NETWORKDAYS(P182,P182,UKBankHolidays)&gt;0,MEDIAN(TIME(8,0,0),MOD(P182,1),TIME(17,0,0)),TIME(8,0,0))-IF(NETWORKDAYS(O182,O182,UKBankHolidays)&gt;0,MEDIAN(TIME(8,0,0),MOD(O182,1),TIME(17,0,0)),TIME(8,0,0))),0),AND(L182&lt;&gt;"",#REF!="",O182=""),(((MAX(NETWORKDAYS(L182,NOW(),UKBankHolidays)-1,0))*(TIME(17,0,0)-TIME(8,0,0)))+IF(NETWORKDAYS(NOW(),NOW(),UKBankHolidays)&gt;0,MEDIAN(TIME(8,0,0),MOD(NOW(),1),TIME(17,0,0)),TIME(8,0,0))-IF(NETWORKDAYS(L182,L182,UKBankHolidays)&gt;0,MEDIAN(TIME(8,0,0),MOD(L182,1),TIME(17,0,0)),TIME(8,0,0)))-IF(AND(O182&lt;&gt;"",P182&lt;&gt;""),(((MAX(NETWORKDAYS(O182,P182,UKBankHolidays)-1,0))*(TIME(17,0,0)-TIME(8,0,0)))+IF(NETWORKDAYS(P182,P182,UKBankHolidays)&gt;0,MEDIAN(TIME(8,0,0),MOD(P182,1),TIME(17,0,0)),TIME(8,0,0))-IF(NETWORKDAYS(O182,O182,UKBankHolidays)&gt;0,MEDIAN(TIME(8,0,0),MOD(O182,1),TIME(17,0,0)),TIME(8,0,0))),0),AND(L182&lt;&gt;"",#REF!="",P182="",O182&lt;&gt;""),(((MAX(NETWORKDAYS(L182,O182,UKBankHolidays)-1,0))*(TIME(17,0,0)-TIME(8,0,0)))+IF(NETWORKDAYS(O182,O182,UKBankHolidays)&gt;0,MEDIAN(TIME(8,0,0),MOD(O182,1),TIME(17,0,0)),TIME(8,0,0))-IF(NETWORKDAYS(L182,L182,UKBankHolidays)&gt;0,MEDIAN(TIME(8,0,0),MOD(L182,1),TIME(17,0,0)),TIME(8,0,0))),ISBLANK(K182),"0")),IF(ISBLANK(#REF!),NOW()-L182,#REF!-L182))</f>
        <v>#REF!</v>
      </c>
      <c r="AC182" s="168" t="e">
        <f t="shared" ca="1" si="19"/>
        <v>#REF!</v>
      </c>
      <c r="AD182" s="191">
        <f t="shared" ca="1" si="20"/>
        <v>46259.633973495373</v>
      </c>
      <c r="AE182" s="167">
        <f t="shared" si="21"/>
        <v>0</v>
      </c>
      <c r="AF182" s="168">
        <f t="shared" si="22"/>
        <v>0</v>
      </c>
      <c r="AG182" s="168">
        <f t="shared" si="23"/>
        <v>0</v>
      </c>
      <c r="AH182" s="81" t="e" cm="1">
        <f t="array" aca="1" ref="AH182" ca="1">IF((AD182) &lt; (INDEX(ResponseSLA[#All],(MATCH((G182),ResponseSLA[Priority],0))+1,3)),"YES","No")</f>
        <v>#N/A</v>
      </c>
      <c r="AI182" s="81" t="str">
        <f>_xlfn.IFNA(IF(AE182 &lt; (INDEX(SLATable[Minimum SLA],MATCH(G182,SLATable[Priority],0))),"YES","NO"),"")</f>
        <v/>
      </c>
      <c r="AJ182" s="19" t="str">
        <f>_xlfn.IFNA(IF(AE182 &lt; (INDEX(SLATable[Maximum SLA],MATCH(G182,SLATable[Priority],0))),"YES","NO"),"")</f>
        <v/>
      </c>
    </row>
    <row r="183" spans="1:36" ht="15" customHeight="1">
      <c r="A183" s="78"/>
      <c r="B183" s="78"/>
      <c r="C183" s="78"/>
      <c r="D183" s="78"/>
      <c r="E183" s="184"/>
      <c r="F183" s="78"/>
      <c r="G183" s="78"/>
      <c r="H183" s="185"/>
      <c r="I183" s="78"/>
      <c r="J183" s="86"/>
      <c r="K183" s="186"/>
      <c r="L183" s="186"/>
      <c r="M183" s="186"/>
      <c r="N183" s="277"/>
      <c r="O183" s="80"/>
      <c r="P183" s="80"/>
      <c r="Q183" s="78"/>
      <c r="R183" s="78"/>
      <c r="S183" s="78"/>
      <c r="T183" s="78"/>
      <c r="U183" s="78"/>
      <c r="V183" s="78"/>
      <c r="W183" s="78"/>
      <c r="X183" s="78"/>
      <c r="Y183" s="78"/>
      <c r="Z183" s="167" t="e">
        <f t="shared" ref="Z183:Z246" ca="1" si="24">IF(NOT(OR(G183=1,G183=2)),MAX(0,_xlfn.IFS(AND(K183&lt;&gt;"",N183&lt;&gt;""),((MAX(NETWORKDAYS(K183,N183,UKBankHolidays)-1,0))*(TIME(17,0,0)-TIME(8,0,0))+IF(NETWORKDAYS(N183,N183,UKBankHolidays)&gt;0,MEDIAN(TIME(8,0,0),MOD(N183,1),TIME(17,0,0)),TIME(8,0,0))-IF(NETWORKDAYS(K183,K183,UKBankHolidays)&gt;0,MEDIAN(TIME(8,0,0),MOD(K183,1),TIME(17,0,0)),TIME(8,0,0)))-IF(AND(O183&lt;&gt;"",P183&lt;&gt;""),((MAX(NETWORKDAYS(O183,P183,UKBankHolidays)-1,0))*(TIME(17,0,0)-TIME(8,0,0))+IF(NETWORKDAYS(P183,P183,UKBankHolidays)&gt;0,MEDIAN(TIME(8,0,0),MOD(P183,1),TIME(17,0,0)),TIME(8,0,0))-IF(NETWORKDAYS(O183,O183,UKBankHolidays)&gt;0,MEDIAN(TIME(8,0,0),MOD(O183,1),TIME(17,0,0)),TIME(8,0,0))),0),AND(K183&lt;&gt;"",N183=""),((MAX(NETWORKDAYS(K183,NOW(),UKBankHolidays)-1,0))*(TIME(17,0,0)-TIME(8,0,0))+IF(NETWORKDAYS(NOW(),NOW(),UKBankHolidays)&gt;0,MEDIAN(TIME(8,0,0),MOD(NOW(),1),TIME(17,0,0)),TIME(8,0,0))-IF(NETWORKDAYS(K183,K183,UKBankHolidays)&gt;0,MEDIAN(TIME(8,0,0),MOD(K183,1),TIME(17,0,0)),TIME(8,0,0))))),IF(N183="",NOW()-K183,N183-K183))</f>
        <v>#N/A</v>
      </c>
      <c r="AA183" s="168" t="e">
        <f t="shared" ca="1" si="17"/>
        <v>#N/A</v>
      </c>
      <c r="AB183" s="167">
        <f t="shared" ref="AB183:AB246" ca="1" si="25">IF(NOT(OR(G183=1,G183=2)),MAX(0,_xlfn.IFS(AND(K183&lt;&gt;"",N183&lt;&gt;""),(((MAX(NETWORKDAYS(L183,N183,UKBankHolidays)-1,0))*(TIME(17,0,0)-TIME(8,0,0)))+IF(NETWORKDAYS(N183,N183,UKBankHolidays)&gt;0,MEDIAN(TIME(8,0,0),MOD(N183,1),TIME(17,0,0)),TIME(8,0,0))-IF(NETWORKDAYS(L183,L183,UKBankHolidays)&gt;0,MEDIAN(TIME(8,0,0),MOD(L183,1),TIME(17,0,0)),TIME(8,0,0)))-IF(AND(O183&lt;&gt;"",P183&lt;&gt;""),(((MAX(NETWORKDAYS(O183,P183,UKBankHolidays)-1,0))*(TIME(17,0,0)-TIME(8,0,0)))+IF(NETWORKDAYS(P183,P183,UKBankHolidays)&gt;0,MEDIAN(TIME(8,0,0),MOD(P183,1),TIME(17,0,0)),TIME(8,0,0))-IF(NETWORKDAYS(O183,O183,UKBankHolidays)&gt;0,MEDIAN(TIME(8,0,0),MOD(O183,1),TIME(17,0,0)),TIME(8,0,0))),0),AND(L183&lt;&gt;"",N183="",O183=""),(((MAX(NETWORKDAYS(L183,NOW(),UKBankHolidays)-1,0))*(TIME(17,0,0)-TIME(8,0,0)))+IF(NETWORKDAYS(NOW(),NOW(),UKBankHolidays)&gt;0,MEDIAN(TIME(8,0,0),MOD(NOW(),1),TIME(17,0,0)),TIME(8,0,0))-IF(NETWORKDAYS(L183,L183,UKBankHolidays)&gt;0,MEDIAN(TIME(8,0,0),MOD(L183,1),TIME(17,0,0)),TIME(8,0,0)))-IF(AND(O183&lt;&gt;"",P183&lt;&gt;""),(((MAX(NETWORKDAYS(O183,P183,UKBankHolidays)-1,0))*(TIME(17,0,0)-TIME(8,0,0)))+IF(NETWORKDAYS(P183,P183,UKBankHolidays)&gt;0,MEDIAN(TIME(8,0,0),MOD(P183,1),TIME(17,0,0)),TIME(8,0,0))-IF(NETWORKDAYS(O183,O183,UKBankHolidays)&gt;0,MEDIAN(TIME(8,0,0),MOD(O183,1),TIME(17,0,0)),TIME(8,0,0))),0),AND(L183&lt;&gt;"",N183="",P183="",O183&lt;&gt;""),(((MAX(NETWORKDAYS(L183,O183,UKBankHolidays)-1,0))*(TIME(17,0,0)-TIME(8,0,0)))+IF(NETWORKDAYS(O183,O183,UKBankHolidays)&gt;0,MEDIAN(TIME(8,0,0),MOD(O183,1),TIME(17,0,0)),TIME(8,0,0))-IF(NETWORKDAYS(L183,L183,UKBankHolidays)&gt;0,MEDIAN(TIME(8,0,0),MOD(L183,1),TIME(17,0,0)),TIME(8,0,0))),ISBLANK(K183),"0")),IF(ISBLANK(N183),NOW()-L183,N183-L183))</f>
        <v>0</v>
      </c>
      <c r="AC183" s="168">
        <f t="shared" ca="1" si="19"/>
        <v>0</v>
      </c>
      <c r="AD183" s="191">
        <f t="shared" ca="1" si="20"/>
        <v>46259.633973495373</v>
      </c>
      <c r="AE183" s="167">
        <f t="shared" si="21"/>
        <v>0</v>
      </c>
      <c r="AF183" s="168">
        <f t="shared" si="22"/>
        <v>0</v>
      </c>
      <c r="AG183" s="168">
        <f t="shared" si="23"/>
        <v>0</v>
      </c>
      <c r="AH183" s="81" t="e" cm="1">
        <f t="array" aca="1" ref="AH183" ca="1">IF((AD183) &lt; (INDEX(ResponseSLA[#All],(MATCH((G183),ResponseSLA[Priority],0))+1,3)),"YES","No")</f>
        <v>#N/A</v>
      </c>
      <c r="AI183" s="81" t="str">
        <f>_xlfn.IFNA(IF(AE183 &lt; (INDEX(SLATable[Minimum SLA],MATCH(G183,SLATable[Priority],0))),"YES","NO"),"")</f>
        <v/>
      </c>
      <c r="AJ183" s="19" t="str">
        <f>_xlfn.IFNA(IF(AE183 &lt; (INDEX(SLATable[Maximum SLA],MATCH(G183,SLATable[Priority],0))),"YES","NO"),"")</f>
        <v/>
      </c>
    </row>
    <row r="184" spans="1:36" ht="15" customHeight="1">
      <c r="A184" s="78"/>
      <c r="B184" s="78"/>
      <c r="C184" s="78"/>
      <c r="D184" s="78"/>
      <c r="E184" s="184"/>
      <c r="F184" s="78"/>
      <c r="G184" s="78"/>
      <c r="H184" s="86"/>
      <c r="I184" s="78"/>
      <c r="J184" s="86"/>
      <c r="K184" s="277"/>
      <c r="L184" s="277"/>
      <c r="M184" s="277"/>
      <c r="N184" s="277"/>
      <c r="O184" s="80"/>
      <c r="P184" s="80"/>
      <c r="Q184" s="78"/>
      <c r="R184" s="78"/>
      <c r="S184" s="78"/>
      <c r="T184" s="78"/>
      <c r="U184" s="78"/>
      <c r="V184" s="78"/>
      <c r="W184" s="78"/>
      <c r="X184" s="78"/>
      <c r="Y184" s="78"/>
      <c r="Z184" s="167" t="e">
        <f t="shared" ca="1" si="24"/>
        <v>#N/A</v>
      </c>
      <c r="AA184" s="168" t="e">
        <f t="shared" ca="1" si="17"/>
        <v>#N/A</v>
      </c>
      <c r="AB184" s="167">
        <f t="shared" ca="1" si="25"/>
        <v>0</v>
      </c>
      <c r="AC184" s="168">
        <f t="shared" ca="1" si="19"/>
        <v>0</v>
      </c>
      <c r="AD184" s="191">
        <f t="shared" ca="1" si="20"/>
        <v>46259.633973495373</v>
      </c>
      <c r="AE184" s="167">
        <f t="shared" si="21"/>
        <v>0</v>
      </c>
      <c r="AF184" s="168">
        <f t="shared" si="22"/>
        <v>0</v>
      </c>
      <c r="AG184" s="168">
        <f t="shared" si="23"/>
        <v>0</v>
      </c>
      <c r="AH184" s="81" t="e" cm="1">
        <f t="array" aca="1" ref="AH184" ca="1">IF((AD184) &lt; (INDEX(ResponseSLA[#All],(MATCH((G184),ResponseSLA[Priority],0))+1,3)),"YES","No")</f>
        <v>#N/A</v>
      </c>
      <c r="AI184" s="81" t="str">
        <f>_xlfn.IFNA(IF(AE184 &lt; (INDEX(SLATable[Minimum SLA],MATCH(G184,SLATable[Priority],0))),"YES","NO"),"")</f>
        <v/>
      </c>
      <c r="AJ184" s="19" t="str">
        <f>_xlfn.IFNA(IF(AE184 &lt; (INDEX(SLATable[Maximum SLA],MATCH(G184,SLATable[Priority],0))),"YES","NO"),"")</f>
        <v/>
      </c>
    </row>
    <row r="185" spans="1:36" ht="15" customHeight="1">
      <c r="A185" s="78"/>
      <c r="B185" s="78"/>
      <c r="C185" s="78"/>
      <c r="D185" s="78"/>
      <c r="E185" s="184"/>
      <c r="F185" s="78"/>
      <c r="G185" s="78"/>
      <c r="H185" s="86"/>
      <c r="I185" s="78"/>
      <c r="J185" s="86"/>
      <c r="K185" s="277"/>
      <c r="L185" s="277"/>
      <c r="M185" s="277"/>
      <c r="N185" s="277"/>
      <c r="O185" s="80"/>
      <c r="P185" s="80"/>
      <c r="Q185" s="78"/>
      <c r="R185" s="78"/>
      <c r="S185" s="78"/>
      <c r="T185" s="78"/>
      <c r="U185" s="78"/>
      <c r="V185" s="78"/>
      <c r="W185" s="78"/>
      <c r="X185" s="78"/>
      <c r="Y185" s="78"/>
      <c r="Z185" s="167" t="e">
        <f t="shared" ca="1" si="24"/>
        <v>#N/A</v>
      </c>
      <c r="AA185" s="168" t="e">
        <f t="shared" ca="1" si="17"/>
        <v>#N/A</v>
      </c>
      <c r="AB185" s="167">
        <f t="shared" ca="1" si="25"/>
        <v>0</v>
      </c>
      <c r="AC185" s="168">
        <f t="shared" ca="1" si="19"/>
        <v>0</v>
      </c>
      <c r="AD185" s="191">
        <f t="shared" ca="1" si="20"/>
        <v>46259.633973495373</v>
      </c>
      <c r="AE185" s="167">
        <f t="shared" si="21"/>
        <v>0</v>
      </c>
      <c r="AF185" s="168">
        <f t="shared" si="22"/>
        <v>0</v>
      </c>
      <c r="AG185" s="168">
        <f t="shared" si="23"/>
        <v>0</v>
      </c>
      <c r="AH185" s="81" t="e" cm="1">
        <f t="array" aca="1" ref="AH185" ca="1">IF((AD185) &lt; (INDEX(ResponseSLA[#All],(MATCH((G185),ResponseSLA[Priority],0))+1,3)),"YES","No")</f>
        <v>#N/A</v>
      </c>
      <c r="AI185" s="81" t="str">
        <f>_xlfn.IFNA(IF(AE185 &lt; (INDEX(SLATable[Minimum SLA],MATCH(G185,SLATable[Priority],0))),"YES","NO"),"")</f>
        <v/>
      </c>
      <c r="AJ185" s="19" t="str">
        <f>_xlfn.IFNA(IF(AE185 &lt; (INDEX(SLATable[Maximum SLA],MATCH(G185,SLATable[Priority],0))),"YES","NO"),"")</f>
        <v/>
      </c>
    </row>
    <row r="186" spans="1:36" ht="15" customHeight="1">
      <c r="A186" s="78"/>
      <c r="B186" s="78"/>
      <c r="C186" s="78"/>
      <c r="D186" s="78"/>
      <c r="E186" s="184"/>
      <c r="F186" s="78"/>
      <c r="G186" s="78"/>
      <c r="H186" s="86"/>
      <c r="I186" s="78"/>
      <c r="J186" s="86"/>
      <c r="K186" s="277"/>
      <c r="L186" s="277"/>
      <c r="M186" s="277"/>
      <c r="N186" s="277"/>
      <c r="O186" s="80"/>
      <c r="P186" s="80"/>
      <c r="Q186" s="78"/>
      <c r="R186" s="78"/>
      <c r="S186" s="78"/>
      <c r="T186" s="78"/>
      <c r="U186" s="78"/>
      <c r="V186" s="78"/>
      <c r="W186" s="78"/>
      <c r="X186" s="78"/>
      <c r="Y186" s="78"/>
      <c r="Z186" s="167" t="e">
        <f t="shared" ca="1" si="24"/>
        <v>#N/A</v>
      </c>
      <c r="AA186" s="168" t="e">
        <f t="shared" ca="1" si="17"/>
        <v>#N/A</v>
      </c>
      <c r="AB186" s="167">
        <f t="shared" ca="1" si="25"/>
        <v>0</v>
      </c>
      <c r="AC186" s="168">
        <f t="shared" ca="1" si="19"/>
        <v>0</v>
      </c>
      <c r="AD186" s="191">
        <f t="shared" ca="1" si="20"/>
        <v>46259.633973495373</v>
      </c>
      <c r="AE186" s="167">
        <f t="shared" si="21"/>
        <v>0</v>
      </c>
      <c r="AF186" s="168">
        <f t="shared" si="22"/>
        <v>0</v>
      </c>
      <c r="AG186" s="168">
        <f t="shared" si="23"/>
        <v>0</v>
      </c>
      <c r="AH186" s="81" t="e" cm="1">
        <f t="array" aca="1" ref="AH186" ca="1">IF((AD186) &lt; (INDEX(ResponseSLA[#All],(MATCH((G186),ResponseSLA[Priority],0))+1,3)),"YES","No")</f>
        <v>#N/A</v>
      </c>
      <c r="AI186" s="81" t="str">
        <f>_xlfn.IFNA(IF(AE186 &lt; (INDEX(SLATable[Minimum SLA],MATCH(G186,SLATable[Priority],0))),"YES","NO"),"")</f>
        <v/>
      </c>
      <c r="AJ186" s="19" t="str">
        <f>_xlfn.IFNA(IF(AE186 &lt; (INDEX(SLATable[Maximum SLA],MATCH(G186,SLATable[Priority],0))),"YES","NO"),"")</f>
        <v/>
      </c>
    </row>
    <row r="187" spans="1:36" ht="15" customHeight="1">
      <c r="A187" s="78"/>
      <c r="B187" s="78"/>
      <c r="C187" s="78"/>
      <c r="D187" s="78"/>
      <c r="E187" s="184"/>
      <c r="F187" s="78"/>
      <c r="G187" s="78"/>
      <c r="H187" s="86"/>
      <c r="I187" s="78"/>
      <c r="J187" s="86"/>
      <c r="K187" s="277"/>
      <c r="L187" s="277"/>
      <c r="M187" s="277"/>
      <c r="N187" s="277"/>
      <c r="O187" s="80"/>
      <c r="P187" s="277"/>
      <c r="Q187" s="78"/>
      <c r="R187" s="78"/>
      <c r="S187" s="78"/>
      <c r="T187" s="78"/>
      <c r="U187" s="78"/>
      <c r="V187" s="78"/>
      <c r="W187" s="78"/>
      <c r="X187" s="78"/>
      <c r="Y187" s="78"/>
      <c r="Z187" s="167" t="e">
        <f t="shared" ca="1" si="24"/>
        <v>#N/A</v>
      </c>
      <c r="AA187" s="168" t="e">
        <f t="shared" ca="1" si="17"/>
        <v>#N/A</v>
      </c>
      <c r="AB187" s="167">
        <f t="shared" ca="1" si="25"/>
        <v>0</v>
      </c>
      <c r="AC187" s="168">
        <f t="shared" ca="1" si="19"/>
        <v>0</v>
      </c>
      <c r="AD187" s="191">
        <f t="shared" ca="1" si="20"/>
        <v>46259.633973495373</v>
      </c>
      <c r="AE187" s="167">
        <f t="shared" si="21"/>
        <v>0</v>
      </c>
      <c r="AF187" s="168">
        <f t="shared" si="22"/>
        <v>0</v>
      </c>
      <c r="AG187" s="168">
        <f t="shared" si="23"/>
        <v>0</v>
      </c>
      <c r="AH187" s="81" t="e" cm="1">
        <f t="array" aca="1" ref="AH187" ca="1">IF((AD187) &lt; (INDEX(ResponseSLA[#All],(MATCH((G187),ResponseSLA[Priority],0))+1,3)),"YES","No")</f>
        <v>#N/A</v>
      </c>
      <c r="AI187" s="81" t="str">
        <f>_xlfn.IFNA(IF(AE187 &lt; (INDEX(SLATable[Minimum SLA],MATCH(G187,SLATable[Priority],0))),"YES","NO"),"")</f>
        <v/>
      </c>
      <c r="AJ187" s="19" t="str">
        <f>_xlfn.IFNA(IF(AE187 &lt; (INDEX(SLATable[Maximum SLA],MATCH(G187,SLATable[Priority],0))),"YES","NO"),"")</f>
        <v/>
      </c>
    </row>
    <row r="188" spans="1:36" ht="15" customHeight="1">
      <c r="A188" s="78"/>
      <c r="B188" s="78"/>
      <c r="C188" s="78"/>
      <c r="D188" s="78"/>
      <c r="E188" s="184"/>
      <c r="F188" s="78"/>
      <c r="G188" s="78"/>
      <c r="H188" s="86"/>
      <c r="I188" s="78"/>
      <c r="J188" s="86"/>
      <c r="K188" s="277"/>
      <c r="L188" s="277"/>
      <c r="M188" s="277"/>
      <c r="N188" s="277"/>
      <c r="O188" s="80"/>
      <c r="P188" s="80"/>
      <c r="Q188" s="78"/>
      <c r="R188" s="78"/>
      <c r="S188" s="78"/>
      <c r="T188" s="78"/>
      <c r="U188" s="78"/>
      <c r="V188" s="78"/>
      <c r="W188" s="78"/>
      <c r="X188" s="78"/>
      <c r="Y188" s="78"/>
      <c r="Z188" s="167" t="e">
        <f t="shared" ca="1" si="24"/>
        <v>#N/A</v>
      </c>
      <c r="AA188" s="168" t="e">
        <f t="shared" ca="1" si="17"/>
        <v>#N/A</v>
      </c>
      <c r="AB188" s="167">
        <f t="shared" ca="1" si="25"/>
        <v>0</v>
      </c>
      <c r="AC188" s="168">
        <f t="shared" ca="1" si="19"/>
        <v>0</v>
      </c>
      <c r="AD188" s="191">
        <f t="shared" ca="1" si="20"/>
        <v>46259.633973495373</v>
      </c>
      <c r="AE188" s="167">
        <f t="shared" si="21"/>
        <v>0</v>
      </c>
      <c r="AF188" s="168">
        <f t="shared" si="22"/>
        <v>0</v>
      </c>
      <c r="AG188" s="168">
        <f t="shared" si="23"/>
        <v>0</v>
      </c>
      <c r="AH188" s="81" t="e" cm="1">
        <f t="array" aca="1" ref="AH188" ca="1">IF((AD188) &lt; (INDEX(ResponseSLA[#All],(MATCH((G188),ResponseSLA[Priority],0))+1,3)),"YES","No")</f>
        <v>#N/A</v>
      </c>
      <c r="AI188" s="81" t="str">
        <f>_xlfn.IFNA(IF(AE188 &lt; (INDEX(SLATable[Minimum SLA],MATCH(G188,SLATable[Priority],0))),"YES","NO"),"")</f>
        <v/>
      </c>
      <c r="AJ188" s="19" t="str">
        <f>_xlfn.IFNA(IF(AE188 &lt; (INDEX(SLATable[Maximum SLA],MATCH(G188,SLATable[Priority],0))),"YES","NO"),"")</f>
        <v/>
      </c>
    </row>
    <row r="189" spans="1:36" ht="15" customHeight="1">
      <c r="A189" s="78"/>
      <c r="B189" s="78"/>
      <c r="C189" s="78"/>
      <c r="D189" s="78"/>
      <c r="E189" s="184"/>
      <c r="F189" s="78"/>
      <c r="G189" s="78"/>
      <c r="H189" s="86"/>
      <c r="I189" s="78"/>
      <c r="J189" s="86"/>
      <c r="K189" s="277"/>
      <c r="L189" s="277"/>
      <c r="M189" s="277"/>
      <c r="N189" s="277"/>
      <c r="O189" s="80"/>
      <c r="P189" s="277"/>
      <c r="Q189" s="78"/>
      <c r="R189" s="78"/>
      <c r="S189" s="78"/>
      <c r="T189" s="78"/>
      <c r="U189" s="78"/>
      <c r="V189" s="78"/>
      <c r="W189" s="78"/>
      <c r="X189" s="78"/>
      <c r="Y189" s="78"/>
      <c r="Z189" s="167" t="e">
        <f t="shared" ca="1" si="24"/>
        <v>#N/A</v>
      </c>
      <c r="AA189" s="168" t="e">
        <f t="shared" ca="1" si="17"/>
        <v>#N/A</v>
      </c>
      <c r="AB189" s="167">
        <f t="shared" ca="1" si="25"/>
        <v>0</v>
      </c>
      <c r="AC189" s="168">
        <f t="shared" ca="1" si="19"/>
        <v>0</v>
      </c>
      <c r="AD189" s="191">
        <f t="shared" ca="1" si="20"/>
        <v>46259.633973495373</v>
      </c>
      <c r="AE189" s="167">
        <f t="shared" si="21"/>
        <v>0</v>
      </c>
      <c r="AF189" s="168">
        <f t="shared" si="22"/>
        <v>0</v>
      </c>
      <c r="AG189" s="168">
        <f t="shared" si="23"/>
        <v>0</v>
      </c>
      <c r="AH189" s="81" t="e" cm="1">
        <f t="array" aca="1" ref="AH189" ca="1">IF((AD189) &lt; (INDEX(ResponseSLA[#All],(MATCH((G189),ResponseSLA[Priority],0))+1,3)),"YES","No")</f>
        <v>#N/A</v>
      </c>
      <c r="AI189" s="81" t="str">
        <f>_xlfn.IFNA(IF(AE189 &lt; (INDEX(SLATable[Minimum SLA],MATCH(G189,SLATable[Priority],0))),"YES","NO"),"")</f>
        <v/>
      </c>
      <c r="AJ189" s="19" t="str">
        <f>_xlfn.IFNA(IF(AE189 &lt; (INDEX(SLATable[Maximum SLA],MATCH(G189,SLATable[Priority],0))),"YES","NO"),"")</f>
        <v/>
      </c>
    </row>
    <row r="190" spans="1:36" ht="15" customHeight="1">
      <c r="A190" s="78"/>
      <c r="B190" s="78"/>
      <c r="C190" s="78"/>
      <c r="D190" s="78"/>
      <c r="E190" s="184"/>
      <c r="F190" s="78"/>
      <c r="G190" s="78"/>
      <c r="H190" s="86"/>
      <c r="I190" s="78"/>
      <c r="J190" s="86"/>
      <c r="K190" s="277"/>
      <c r="L190" s="277"/>
      <c r="M190" s="277"/>
      <c r="N190" s="277"/>
      <c r="O190" s="80"/>
      <c r="P190" s="80"/>
      <c r="Q190" s="78"/>
      <c r="R190" s="78"/>
      <c r="S190" s="78"/>
      <c r="T190" s="78"/>
      <c r="U190" s="78"/>
      <c r="V190" s="78"/>
      <c r="W190" s="78"/>
      <c r="X190" s="78"/>
      <c r="Y190" s="78"/>
      <c r="Z190" s="167" t="e">
        <f t="shared" ca="1" si="24"/>
        <v>#N/A</v>
      </c>
      <c r="AA190" s="168" t="e">
        <f t="shared" ca="1" si="17"/>
        <v>#N/A</v>
      </c>
      <c r="AB190" s="167">
        <f t="shared" ca="1" si="25"/>
        <v>0</v>
      </c>
      <c r="AC190" s="168">
        <f t="shared" ca="1" si="19"/>
        <v>0</v>
      </c>
      <c r="AD190" s="191">
        <f t="shared" ca="1" si="20"/>
        <v>46259.633973495373</v>
      </c>
      <c r="AE190" s="167">
        <f t="shared" si="21"/>
        <v>0</v>
      </c>
      <c r="AF190" s="168">
        <f t="shared" si="22"/>
        <v>0</v>
      </c>
      <c r="AG190" s="168">
        <f t="shared" si="23"/>
        <v>0</v>
      </c>
      <c r="AH190" s="81" t="e" cm="1">
        <f t="array" aca="1" ref="AH190" ca="1">IF((AD190) &lt; (INDEX(ResponseSLA[#All],(MATCH((G190),ResponseSLA[Priority],0))+1,3)),"YES","No")</f>
        <v>#N/A</v>
      </c>
      <c r="AI190" s="81" t="str">
        <f>_xlfn.IFNA(IF(AE190 &lt; (INDEX(SLATable[Minimum SLA],MATCH(G190,SLATable[Priority],0))),"YES","NO"),"")</f>
        <v/>
      </c>
      <c r="AJ190" s="19" t="str">
        <f>_xlfn.IFNA(IF(AE190 &lt; (INDEX(SLATable[Maximum SLA],MATCH(G190,SLATable[Priority],0))),"YES","NO"),"")</f>
        <v/>
      </c>
    </row>
    <row r="191" spans="1:36" ht="15" customHeight="1">
      <c r="A191" s="78"/>
      <c r="B191" s="78"/>
      <c r="C191" s="78"/>
      <c r="D191" s="78"/>
      <c r="E191" s="184"/>
      <c r="F191" s="78"/>
      <c r="G191" s="78"/>
      <c r="H191" s="252"/>
      <c r="I191" s="78"/>
      <c r="J191" s="86"/>
      <c r="K191" s="277"/>
      <c r="L191" s="277"/>
      <c r="M191" s="277"/>
      <c r="N191" s="277"/>
      <c r="O191" s="80"/>
      <c r="P191" s="80"/>
      <c r="Q191" s="78"/>
      <c r="R191" s="78"/>
      <c r="S191" s="78"/>
      <c r="T191" s="78"/>
      <c r="U191" s="78"/>
      <c r="V191" s="78"/>
      <c r="W191" s="78"/>
      <c r="X191" s="78"/>
      <c r="Y191" s="78"/>
      <c r="Z191" s="167" t="e">
        <f t="shared" ca="1" si="24"/>
        <v>#N/A</v>
      </c>
      <c r="AA191" s="168" t="e">
        <f t="shared" ca="1" si="17"/>
        <v>#N/A</v>
      </c>
      <c r="AB191" s="167">
        <f t="shared" ca="1" si="25"/>
        <v>0</v>
      </c>
      <c r="AC191" s="168">
        <f t="shared" ca="1" si="19"/>
        <v>0</v>
      </c>
      <c r="AD191" s="191">
        <f t="shared" ca="1" si="20"/>
        <v>46259.633973495373</v>
      </c>
      <c r="AE191" s="167">
        <f t="shared" si="21"/>
        <v>0</v>
      </c>
      <c r="AF191" s="168">
        <f t="shared" si="22"/>
        <v>0</v>
      </c>
      <c r="AG191" s="168">
        <f t="shared" si="23"/>
        <v>0</v>
      </c>
      <c r="AH191" s="81" t="e" cm="1">
        <f t="array" aca="1" ref="AH191" ca="1">IF((AD191) &lt; (INDEX(ResponseSLA[#All],(MATCH((G191),ResponseSLA[Priority],0))+1,3)),"YES","No")</f>
        <v>#N/A</v>
      </c>
      <c r="AI191" s="81" t="str">
        <f>_xlfn.IFNA(IF(AE191 &lt; (INDEX(SLATable[Minimum SLA],MATCH(G191,SLATable[Priority],0))),"YES","NO"),"")</f>
        <v/>
      </c>
      <c r="AJ191" s="19" t="str">
        <f>_xlfn.IFNA(IF(AE191 &lt; (INDEX(SLATable[Maximum SLA],MATCH(G191,SLATable[Priority],0))),"YES","NO"),"")</f>
        <v/>
      </c>
    </row>
    <row r="192" spans="1:36" ht="15" customHeight="1">
      <c r="A192" s="78"/>
      <c r="B192" s="78"/>
      <c r="C192" s="78"/>
      <c r="D192" s="78"/>
      <c r="E192" s="184"/>
      <c r="F192" s="78"/>
      <c r="G192" s="78"/>
      <c r="H192" s="86"/>
      <c r="I192" s="78"/>
      <c r="J192" s="86"/>
      <c r="K192" s="277"/>
      <c r="L192" s="277"/>
      <c r="M192" s="277"/>
      <c r="N192" s="277"/>
      <c r="O192" s="80"/>
      <c r="P192" s="80"/>
      <c r="Q192" s="78"/>
      <c r="R192" s="78"/>
      <c r="S192" s="78"/>
      <c r="T192" s="78"/>
      <c r="U192" s="78"/>
      <c r="V192" s="78"/>
      <c r="W192" s="78"/>
      <c r="X192" s="78"/>
      <c r="Y192" s="78"/>
      <c r="Z192" s="167" t="e">
        <f t="shared" ca="1" si="24"/>
        <v>#N/A</v>
      </c>
      <c r="AA192" s="168" t="e">
        <f t="shared" ca="1" si="17"/>
        <v>#N/A</v>
      </c>
      <c r="AB192" s="167">
        <f t="shared" ca="1" si="25"/>
        <v>0</v>
      </c>
      <c r="AC192" s="168">
        <f t="shared" ca="1" si="19"/>
        <v>0</v>
      </c>
      <c r="AD192" s="191">
        <f t="shared" ca="1" si="20"/>
        <v>46259.633973495373</v>
      </c>
      <c r="AE192" s="167">
        <f t="shared" si="21"/>
        <v>0</v>
      </c>
      <c r="AF192" s="168">
        <f t="shared" si="22"/>
        <v>0</v>
      </c>
      <c r="AG192" s="168">
        <f t="shared" si="23"/>
        <v>0</v>
      </c>
      <c r="AH192" s="81" t="e" cm="1">
        <f t="array" aca="1" ref="AH192" ca="1">IF((AD192) &lt; (INDEX(ResponseSLA[#All],(MATCH((G192),ResponseSLA[Priority],0))+1,3)),"YES","No")</f>
        <v>#N/A</v>
      </c>
      <c r="AI192" s="81" t="str">
        <f>_xlfn.IFNA(IF(AE192 &lt; (INDEX(SLATable[Minimum SLA],MATCH(G192,SLATable[Priority],0))),"YES","NO"),"")</f>
        <v/>
      </c>
      <c r="AJ192" s="19" t="str">
        <f>_xlfn.IFNA(IF(AE192 &lt; (INDEX(SLATable[Maximum SLA],MATCH(G192,SLATable[Priority],0))),"YES","NO"),"")</f>
        <v/>
      </c>
    </row>
    <row r="193" spans="1:36" ht="15" customHeight="1">
      <c r="A193" s="78"/>
      <c r="B193" s="78"/>
      <c r="C193" s="78"/>
      <c r="D193" s="78"/>
      <c r="E193" s="184"/>
      <c r="F193" s="78"/>
      <c r="G193" s="78"/>
      <c r="H193" s="86"/>
      <c r="I193" s="78"/>
      <c r="J193" s="86"/>
      <c r="K193" s="277"/>
      <c r="L193" s="277"/>
      <c r="M193" s="277"/>
      <c r="N193" s="277"/>
      <c r="O193" s="80"/>
      <c r="P193" s="80"/>
      <c r="Q193" s="78"/>
      <c r="R193" s="78"/>
      <c r="S193" s="78"/>
      <c r="T193" s="78"/>
      <c r="U193" s="78"/>
      <c r="V193" s="78"/>
      <c r="W193" s="78"/>
      <c r="X193" s="78"/>
      <c r="Y193" s="78"/>
      <c r="Z193" s="167" t="e">
        <f t="shared" ca="1" si="24"/>
        <v>#N/A</v>
      </c>
      <c r="AA193" s="168" t="e">
        <f t="shared" ca="1" si="17"/>
        <v>#N/A</v>
      </c>
      <c r="AB193" s="167">
        <f t="shared" ca="1" si="25"/>
        <v>0</v>
      </c>
      <c r="AC193" s="168">
        <f t="shared" ca="1" si="19"/>
        <v>0</v>
      </c>
      <c r="AD193" s="191">
        <f t="shared" ca="1" si="20"/>
        <v>46259.633973495373</v>
      </c>
      <c r="AE193" s="167">
        <f t="shared" si="21"/>
        <v>0</v>
      </c>
      <c r="AF193" s="168">
        <f t="shared" si="22"/>
        <v>0</v>
      </c>
      <c r="AG193" s="168">
        <f t="shared" si="23"/>
        <v>0</v>
      </c>
      <c r="AH193" s="81" t="e" cm="1">
        <f t="array" aca="1" ref="AH193" ca="1">IF((AD193) &lt; (INDEX(ResponseSLA[#All],(MATCH((G193),ResponseSLA[Priority],0))+1,3)),"YES","No")</f>
        <v>#N/A</v>
      </c>
      <c r="AI193" s="81" t="str">
        <f>_xlfn.IFNA(IF(AE193 &lt; (INDEX(SLATable[Minimum SLA],MATCH(G193,SLATable[Priority],0))),"YES","NO"),"")</f>
        <v/>
      </c>
      <c r="AJ193" s="19" t="str">
        <f>_xlfn.IFNA(IF(AE193 &lt; (INDEX(SLATable[Maximum SLA],MATCH(G193,SLATable[Priority],0))),"YES","NO"),"")</f>
        <v/>
      </c>
    </row>
    <row r="194" spans="1:36" ht="15" customHeight="1">
      <c r="A194" s="78"/>
      <c r="B194" s="78"/>
      <c r="C194" s="78"/>
      <c r="D194" s="78"/>
      <c r="E194" s="184"/>
      <c r="F194" s="78"/>
      <c r="G194" s="78"/>
      <c r="H194" s="86"/>
      <c r="I194" s="78"/>
      <c r="J194" s="86"/>
      <c r="K194" s="277"/>
      <c r="L194" s="277"/>
      <c r="M194" s="277"/>
      <c r="N194" s="277"/>
      <c r="O194" s="80"/>
      <c r="P194" s="80"/>
      <c r="Q194" s="78"/>
      <c r="R194" s="78"/>
      <c r="S194" s="78"/>
      <c r="T194" s="78"/>
      <c r="U194" s="78"/>
      <c r="V194" s="78"/>
      <c r="W194" s="78"/>
      <c r="X194" s="78"/>
      <c r="Y194" s="78"/>
      <c r="Z194" s="167" t="e">
        <f t="shared" ca="1" si="24"/>
        <v>#N/A</v>
      </c>
      <c r="AA194" s="168" t="e">
        <f t="shared" ref="AA194:AA257" ca="1" si="26">(Z194*24)/9</f>
        <v>#N/A</v>
      </c>
      <c r="AB194" s="167">
        <f t="shared" ca="1" si="25"/>
        <v>0</v>
      </c>
      <c r="AC194" s="168">
        <f t="shared" ref="AC194:AC257" ca="1" si="27">(AB194*24)/9</f>
        <v>0</v>
      </c>
      <c r="AD194" s="191">
        <f t="shared" ref="AD194:AD257" ca="1" si="28">MAX(0,
IF(
OR(G194=1,G194=2),
IF(M194&lt;&gt;"",M194-L194,NOW()-L194),
IF(
M194&lt;&gt;"",
IF(
INT(L194)=INT(M194),
IF(
NETWORKDAYS(L194,L194,UKBankHolidays)=0,
0,
MAX(
0,
MIN(MOD(M194,1),TIME(17,0,0))
-
MAX(MOD(L194,1),TIME(8,0,0))
)
),
MAX(
0,
IF(
NETWORKDAYS(L194,L194,UKBankHolidays)&gt;0,
TIME(17,0,0)-MAX(MOD(L194,1),TIME(8,0,0)),
0
)
)
+
MAX(
0,
NETWORKDAYS(INT(L194)+1,INT(M194)-1,UKBankHolidays)
*(TIME(17,0,0)-TIME(8,0,0))
)
+
MAX(
0,
IF(
NETWORKDAYS(M194,M194,UKBankHolidays)&gt;0,
MIN(MOD(M194,1),TIME(17,0,0))-TIME(8,0,0),
0
)
)
),
IF(M194&lt;&gt;"",M194-L194,NOW()-L194)
)
)
)</f>
        <v>46259.633973495373</v>
      </c>
      <c r="AE194" s="167">
        <f t="shared" ref="AE194:AE257" si="29">SUMIFS(AB:AB,E:E,E194)</f>
        <v>0</v>
      </c>
      <c r="AF194" s="168">
        <f t="shared" ref="AF194:AF257" si="30">(AE194*24)/9</f>
        <v>0</v>
      </c>
      <c r="AG194" s="168">
        <f t="shared" ref="AG194:AG257" si="31">AF194</f>
        <v>0</v>
      </c>
      <c r="AH194" s="81" t="e" cm="1">
        <f t="array" aca="1" ref="AH194" ca="1">IF((AD194) &lt; (INDEX(ResponseSLA[#All],(MATCH((G194),ResponseSLA[Priority],0))+1,3)),"YES","No")</f>
        <v>#N/A</v>
      </c>
      <c r="AI194" s="81" t="str">
        <f>_xlfn.IFNA(IF(AE194 &lt; (INDEX(SLATable[Minimum SLA],MATCH(G194,SLATable[Priority],0))),"YES","NO"),"")</f>
        <v/>
      </c>
      <c r="AJ194" s="19" t="str">
        <f>_xlfn.IFNA(IF(AE194 &lt; (INDEX(SLATable[Maximum SLA],MATCH(G194,SLATable[Priority],0))),"YES","NO"),"")</f>
        <v/>
      </c>
    </row>
    <row r="195" spans="1:36" ht="15" customHeight="1">
      <c r="A195" s="78"/>
      <c r="B195" s="78"/>
      <c r="C195" s="78"/>
      <c r="D195" s="78"/>
      <c r="E195" s="184"/>
      <c r="F195" s="78"/>
      <c r="G195" s="78"/>
      <c r="H195" s="86"/>
      <c r="I195" s="78"/>
      <c r="J195" s="86"/>
      <c r="K195" s="277"/>
      <c r="L195" s="277"/>
      <c r="M195" s="277"/>
      <c r="N195" s="277"/>
      <c r="O195" s="80"/>
      <c r="P195" s="80"/>
      <c r="Q195" s="78"/>
      <c r="R195" s="78"/>
      <c r="S195" s="78"/>
      <c r="T195" s="78"/>
      <c r="U195" s="78"/>
      <c r="V195" s="78"/>
      <c r="W195" s="78"/>
      <c r="X195" s="78"/>
      <c r="Y195" s="78"/>
      <c r="Z195" s="167" t="e">
        <f t="shared" ca="1" si="24"/>
        <v>#N/A</v>
      </c>
      <c r="AA195" s="168" t="e">
        <f t="shared" ca="1" si="26"/>
        <v>#N/A</v>
      </c>
      <c r="AB195" s="167">
        <f t="shared" ca="1" si="25"/>
        <v>0</v>
      </c>
      <c r="AC195" s="168">
        <f t="shared" ca="1" si="27"/>
        <v>0</v>
      </c>
      <c r="AD195" s="191">
        <f t="shared" ca="1" si="28"/>
        <v>46259.633973495373</v>
      </c>
      <c r="AE195" s="167">
        <f t="shared" si="29"/>
        <v>0</v>
      </c>
      <c r="AF195" s="168">
        <f t="shared" si="30"/>
        <v>0</v>
      </c>
      <c r="AG195" s="168">
        <f t="shared" si="31"/>
        <v>0</v>
      </c>
      <c r="AH195" s="81" t="e" cm="1">
        <f t="array" aca="1" ref="AH195" ca="1">IF((AD195) &lt; (INDEX(ResponseSLA[#All],(MATCH((G195),ResponseSLA[Priority],0))+1,3)),"YES","No")</f>
        <v>#N/A</v>
      </c>
      <c r="AI195" s="81" t="str">
        <f>_xlfn.IFNA(IF(AE195 &lt; (INDEX(SLATable[Minimum SLA],MATCH(G195,SLATable[Priority],0))),"YES","NO"),"")</f>
        <v/>
      </c>
      <c r="AJ195" s="19" t="str">
        <f>_xlfn.IFNA(IF(AE195 &lt; (INDEX(SLATable[Maximum SLA],MATCH(G195,SLATable[Priority],0))),"YES","NO"),"")</f>
        <v/>
      </c>
    </row>
    <row r="196" spans="1:36" ht="15" customHeight="1">
      <c r="A196" s="78"/>
      <c r="B196" s="78"/>
      <c r="C196" s="78"/>
      <c r="D196" s="78"/>
      <c r="E196" s="184"/>
      <c r="F196" s="78"/>
      <c r="G196" s="78"/>
      <c r="H196" s="99"/>
      <c r="I196" s="78"/>
      <c r="J196" s="86"/>
      <c r="K196" s="277"/>
      <c r="L196" s="277"/>
      <c r="M196" s="277"/>
      <c r="N196" s="277"/>
      <c r="O196" s="80"/>
      <c r="P196" s="80"/>
      <c r="Q196" s="78"/>
      <c r="R196" s="198"/>
      <c r="S196" s="78"/>
      <c r="T196" s="78"/>
      <c r="U196" s="78"/>
      <c r="V196" s="78"/>
      <c r="W196" s="78"/>
      <c r="X196" s="78"/>
      <c r="Y196" s="78"/>
      <c r="Z196" s="167" t="e">
        <f t="shared" ca="1" si="24"/>
        <v>#N/A</v>
      </c>
      <c r="AA196" s="168" t="e">
        <f t="shared" ca="1" si="26"/>
        <v>#N/A</v>
      </c>
      <c r="AB196" s="167">
        <f t="shared" ca="1" si="25"/>
        <v>0</v>
      </c>
      <c r="AC196" s="168">
        <f t="shared" ca="1" si="27"/>
        <v>0</v>
      </c>
      <c r="AD196" s="191">
        <f t="shared" ca="1" si="28"/>
        <v>46259.633973495373</v>
      </c>
      <c r="AE196" s="167">
        <f t="shared" si="29"/>
        <v>0</v>
      </c>
      <c r="AF196" s="168">
        <f t="shared" si="30"/>
        <v>0</v>
      </c>
      <c r="AG196" s="168">
        <f t="shared" si="31"/>
        <v>0</v>
      </c>
      <c r="AH196" s="81" t="e" cm="1">
        <f t="array" aca="1" ref="AH196" ca="1">IF((AD196) &lt; (INDEX(ResponseSLA[#All],(MATCH((G196),ResponseSLA[Priority],0))+1,3)),"YES","No")</f>
        <v>#N/A</v>
      </c>
      <c r="AI196" s="81" t="str">
        <f>_xlfn.IFNA(IF(AE196 &lt; (INDEX(SLATable[Minimum SLA],MATCH(G196,SLATable[Priority],0))),"YES","NO"),"")</f>
        <v/>
      </c>
      <c r="AJ196" s="19" t="str">
        <f>_xlfn.IFNA(IF(AE196 &lt; (INDEX(SLATable[Maximum SLA],MATCH(G196,SLATable[Priority],0))),"YES","NO"),"")</f>
        <v/>
      </c>
    </row>
    <row r="197" spans="1:36" ht="15" customHeight="1">
      <c r="A197" s="78"/>
      <c r="B197" s="78"/>
      <c r="C197" s="78"/>
      <c r="D197" s="78"/>
      <c r="E197" s="184"/>
      <c r="F197" s="78"/>
      <c r="G197" s="78"/>
      <c r="H197" s="99"/>
      <c r="I197" s="78"/>
      <c r="J197" s="86"/>
      <c r="K197" s="277"/>
      <c r="L197" s="277"/>
      <c r="M197" s="277"/>
      <c r="N197" s="277"/>
      <c r="O197" s="80"/>
      <c r="P197" s="80"/>
      <c r="Q197" s="78"/>
      <c r="R197" s="78"/>
      <c r="S197" s="78"/>
      <c r="T197" s="78"/>
      <c r="U197" s="78"/>
      <c r="V197" s="78"/>
      <c r="W197" s="78"/>
      <c r="X197" s="78"/>
      <c r="Y197" s="78"/>
      <c r="Z197" s="167" t="e">
        <f t="shared" ca="1" si="24"/>
        <v>#N/A</v>
      </c>
      <c r="AA197" s="168" t="e">
        <f t="shared" ca="1" si="26"/>
        <v>#N/A</v>
      </c>
      <c r="AB197" s="167">
        <f t="shared" ca="1" si="25"/>
        <v>0</v>
      </c>
      <c r="AC197" s="168">
        <f t="shared" ca="1" si="27"/>
        <v>0</v>
      </c>
      <c r="AD197" s="191">
        <f t="shared" ca="1" si="28"/>
        <v>46259.633973495373</v>
      </c>
      <c r="AE197" s="167">
        <f t="shared" si="29"/>
        <v>0</v>
      </c>
      <c r="AF197" s="168">
        <f t="shared" si="30"/>
        <v>0</v>
      </c>
      <c r="AG197" s="168">
        <f t="shared" si="31"/>
        <v>0</v>
      </c>
      <c r="AH197" s="81" t="e" cm="1">
        <f t="array" aca="1" ref="AH197" ca="1">IF((AD197) &lt; (INDEX(ResponseSLA[#All],(MATCH((G197),ResponseSLA[Priority],0))+1,3)),"YES","No")</f>
        <v>#N/A</v>
      </c>
      <c r="AI197" s="81" t="str">
        <f>_xlfn.IFNA(IF(AE197 &lt; (INDEX(SLATable[Minimum SLA],MATCH(G197,SLATable[Priority],0))),"YES","NO"),"")</f>
        <v/>
      </c>
      <c r="AJ197" s="19" t="str">
        <f>_xlfn.IFNA(IF(AE197 &lt; (INDEX(SLATable[Maximum SLA],MATCH(G197,SLATable[Priority],0))),"YES","NO"),"")</f>
        <v/>
      </c>
    </row>
    <row r="198" spans="1:36" ht="15" customHeight="1">
      <c r="A198" s="78"/>
      <c r="B198" s="78"/>
      <c r="C198" s="78"/>
      <c r="D198" s="78"/>
      <c r="E198" s="184"/>
      <c r="F198" s="78"/>
      <c r="G198" s="78"/>
      <c r="H198" s="86"/>
      <c r="I198" s="78"/>
      <c r="J198" s="86"/>
      <c r="K198" s="277"/>
      <c r="L198" s="277"/>
      <c r="M198" s="277"/>
      <c r="N198" s="277"/>
      <c r="O198" s="80"/>
      <c r="P198" s="80"/>
      <c r="Q198" s="78"/>
      <c r="R198" s="78"/>
      <c r="S198" s="78"/>
      <c r="T198" s="78"/>
      <c r="U198" s="78"/>
      <c r="V198" s="78"/>
      <c r="W198" s="78"/>
      <c r="X198" s="78"/>
      <c r="Y198" s="78"/>
      <c r="Z198" s="167" t="e">
        <f t="shared" ca="1" si="24"/>
        <v>#N/A</v>
      </c>
      <c r="AA198" s="168" t="e">
        <f t="shared" ca="1" si="26"/>
        <v>#N/A</v>
      </c>
      <c r="AB198" s="167">
        <f t="shared" ca="1" si="25"/>
        <v>0</v>
      </c>
      <c r="AC198" s="168">
        <f t="shared" ca="1" si="27"/>
        <v>0</v>
      </c>
      <c r="AD198" s="191">
        <f t="shared" ca="1" si="28"/>
        <v>46259.633973495373</v>
      </c>
      <c r="AE198" s="167">
        <f t="shared" si="29"/>
        <v>0</v>
      </c>
      <c r="AF198" s="168">
        <f t="shared" si="30"/>
        <v>0</v>
      </c>
      <c r="AG198" s="168">
        <f t="shared" si="31"/>
        <v>0</v>
      </c>
      <c r="AH198" s="81" t="e" cm="1">
        <f t="array" aca="1" ref="AH198" ca="1">IF((AD198) &lt; (INDEX(ResponseSLA[#All],(MATCH((G198),ResponseSLA[Priority],0))+1,3)),"YES","No")</f>
        <v>#N/A</v>
      </c>
      <c r="AI198" s="81" t="str">
        <f>_xlfn.IFNA(IF(AE198 &lt; (INDEX(SLATable[Minimum SLA],MATCH(G198,SLATable[Priority],0))),"YES","NO"),"")</f>
        <v/>
      </c>
      <c r="AJ198" s="19" t="str">
        <f>_xlfn.IFNA(IF(AE198 &lt; (INDEX(SLATable[Maximum SLA],MATCH(G198,SLATable[Priority],0))),"YES","NO"),"")</f>
        <v/>
      </c>
    </row>
    <row r="199" spans="1:36" ht="15" customHeight="1">
      <c r="A199" s="78"/>
      <c r="B199" s="78"/>
      <c r="C199" s="78"/>
      <c r="D199" s="78"/>
      <c r="E199" s="184"/>
      <c r="F199" s="78"/>
      <c r="G199" s="78"/>
      <c r="H199" s="86"/>
      <c r="I199" s="78"/>
      <c r="J199" s="86"/>
      <c r="K199" s="277"/>
      <c r="L199" s="277"/>
      <c r="M199" s="277"/>
      <c r="N199" s="277"/>
      <c r="O199" s="80"/>
      <c r="P199" s="80"/>
      <c r="Q199" s="78"/>
      <c r="R199" s="78"/>
      <c r="S199" s="78"/>
      <c r="T199" s="78"/>
      <c r="U199" s="78"/>
      <c r="V199" s="78"/>
      <c r="W199" s="78"/>
      <c r="X199" s="78"/>
      <c r="Y199" s="78"/>
      <c r="Z199" s="167" t="e">
        <f t="shared" ca="1" si="24"/>
        <v>#N/A</v>
      </c>
      <c r="AA199" s="168" t="e">
        <f t="shared" ca="1" si="26"/>
        <v>#N/A</v>
      </c>
      <c r="AB199" s="167">
        <f t="shared" ca="1" si="25"/>
        <v>0</v>
      </c>
      <c r="AC199" s="168">
        <f t="shared" ca="1" si="27"/>
        <v>0</v>
      </c>
      <c r="AD199" s="191">
        <f t="shared" ca="1" si="28"/>
        <v>46259.633973495373</v>
      </c>
      <c r="AE199" s="167">
        <f t="shared" si="29"/>
        <v>0</v>
      </c>
      <c r="AF199" s="168">
        <f t="shared" si="30"/>
        <v>0</v>
      </c>
      <c r="AG199" s="168">
        <f t="shared" si="31"/>
        <v>0</v>
      </c>
      <c r="AH199" s="81" t="e" cm="1">
        <f t="array" aca="1" ref="AH199" ca="1">IF((AD199) &lt; (INDEX(ResponseSLA[#All],(MATCH((G199),ResponseSLA[Priority],0))+1,3)),"YES","No")</f>
        <v>#N/A</v>
      </c>
      <c r="AI199" s="81" t="str">
        <f>_xlfn.IFNA(IF(AE199 &lt; (INDEX(SLATable[Minimum SLA],MATCH(G199,SLATable[Priority],0))),"YES","NO"),"")</f>
        <v/>
      </c>
      <c r="AJ199" s="19" t="str">
        <f>_xlfn.IFNA(IF(AE199 &lt; (INDEX(SLATable[Maximum SLA],MATCH(G199,SLATable[Priority],0))),"YES","NO"),"")</f>
        <v/>
      </c>
    </row>
    <row r="200" spans="1:36" ht="15" customHeight="1">
      <c r="A200" s="78"/>
      <c r="B200" s="78"/>
      <c r="C200" s="78"/>
      <c r="D200" s="78"/>
      <c r="E200" s="184"/>
      <c r="F200" s="78"/>
      <c r="G200" s="78"/>
      <c r="H200" s="86"/>
      <c r="I200" s="78"/>
      <c r="J200" s="86"/>
      <c r="K200" s="277"/>
      <c r="L200" s="277"/>
      <c r="M200" s="277"/>
      <c r="N200" s="277"/>
      <c r="O200" s="80"/>
      <c r="P200" s="80"/>
      <c r="Q200" s="78"/>
      <c r="R200" s="78"/>
      <c r="S200" s="78"/>
      <c r="T200" s="78"/>
      <c r="U200" s="78"/>
      <c r="V200" s="78"/>
      <c r="W200" s="78"/>
      <c r="X200" s="78"/>
      <c r="Y200" s="78"/>
      <c r="Z200" s="167" t="e">
        <f t="shared" ca="1" si="24"/>
        <v>#N/A</v>
      </c>
      <c r="AA200" s="168" t="e">
        <f t="shared" ca="1" si="26"/>
        <v>#N/A</v>
      </c>
      <c r="AB200" s="167">
        <f t="shared" ca="1" si="25"/>
        <v>0</v>
      </c>
      <c r="AC200" s="168">
        <f t="shared" ca="1" si="27"/>
        <v>0</v>
      </c>
      <c r="AD200" s="191">
        <f t="shared" ca="1" si="28"/>
        <v>46259.633973495373</v>
      </c>
      <c r="AE200" s="167">
        <f t="shared" si="29"/>
        <v>0</v>
      </c>
      <c r="AF200" s="168">
        <f t="shared" si="30"/>
        <v>0</v>
      </c>
      <c r="AG200" s="168">
        <f t="shared" si="31"/>
        <v>0</v>
      </c>
      <c r="AH200" s="81" t="e" cm="1">
        <f t="array" aca="1" ref="AH200" ca="1">IF((AD200) &lt; (INDEX(ResponseSLA[#All],(MATCH((G200),ResponseSLA[Priority],0))+1,3)),"YES","No")</f>
        <v>#N/A</v>
      </c>
      <c r="AI200" s="81" t="str">
        <f>_xlfn.IFNA(IF(AE200 &lt; (INDEX(SLATable[Minimum SLA],MATCH(G200,SLATable[Priority],0))),"YES","NO"),"")</f>
        <v/>
      </c>
      <c r="AJ200" s="19" t="str">
        <f>_xlfn.IFNA(IF(AE200 &lt; (INDEX(SLATable[Maximum SLA],MATCH(G200,SLATable[Priority],0))),"YES","NO"),"")</f>
        <v/>
      </c>
    </row>
    <row r="201" spans="1:36" ht="15" customHeight="1">
      <c r="A201" s="78"/>
      <c r="B201" s="78"/>
      <c r="C201" s="78"/>
      <c r="D201" s="78"/>
      <c r="E201" s="184"/>
      <c r="F201" s="78"/>
      <c r="G201" s="78"/>
      <c r="H201" s="86"/>
      <c r="I201" s="78"/>
      <c r="J201" s="86"/>
      <c r="K201" s="277"/>
      <c r="L201" s="269"/>
      <c r="M201" s="277"/>
      <c r="N201" s="277"/>
      <c r="O201" s="80"/>
      <c r="P201" s="80"/>
      <c r="Q201" s="78"/>
      <c r="R201" s="78"/>
      <c r="S201" s="78"/>
      <c r="T201" s="78"/>
      <c r="U201" s="78"/>
      <c r="V201" s="78"/>
      <c r="W201" s="78"/>
      <c r="X201" s="78"/>
      <c r="Y201" s="78"/>
      <c r="Z201" s="167" t="e">
        <f t="shared" ca="1" si="24"/>
        <v>#N/A</v>
      </c>
      <c r="AA201" s="168" t="e">
        <f t="shared" ca="1" si="26"/>
        <v>#N/A</v>
      </c>
      <c r="AB201" s="167">
        <f t="shared" ca="1" si="25"/>
        <v>0</v>
      </c>
      <c r="AC201" s="168">
        <f t="shared" ca="1" si="27"/>
        <v>0</v>
      </c>
      <c r="AD201" s="191">
        <f t="shared" ca="1" si="28"/>
        <v>46259.633973495373</v>
      </c>
      <c r="AE201" s="167">
        <f t="shared" si="29"/>
        <v>0</v>
      </c>
      <c r="AF201" s="168">
        <f t="shared" si="30"/>
        <v>0</v>
      </c>
      <c r="AG201" s="168">
        <f t="shared" si="31"/>
        <v>0</v>
      </c>
      <c r="AH201" s="81" t="e" cm="1">
        <f t="array" aca="1" ref="AH201" ca="1">IF((AD201) &lt; (INDEX(ResponseSLA[#All],(MATCH((G201),ResponseSLA[Priority],0))+1,3)),"YES","No")</f>
        <v>#N/A</v>
      </c>
      <c r="AI201" s="81" t="str">
        <f>_xlfn.IFNA(IF(AE201 &lt; (INDEX(SLATable[Minimum SLA],MATCH(G201,SLATable[Priority],0))),"YES","NO"),"")</f>
        <v/>
      </c>
      <c r="AJ201" s="19" t="str">
        <f>_xlfn.IFNA(IF(AE201 &lt; (INDEX(SLATable[Maximum SLA],MATCH(G201,SLATable[Priority],0))),"YES","NO"),"")</f>
        <v/>
      </c>
    </row>
    <row r="202" spans="1:36" ht="15" customHeight="1">
      <c r="A202" s="78"/>
      <c r="B202" s="78"/>
      <c r="C202" s="78"/>
      <c r="D202" s="78"/>
      <c r="E202" s="184"/>
      <c r="F202" s="78"/>
      <c r="G202" s="78"/>
      <c r="H202" s="86"/>
      <c r="I202" s="78"/>
      <c r="J202" s="86"/>
      <c r="K202" s="277"/>
      <c r="L202" s="277"/>
      <c r="M202" s="277"/>
      <c r="N202" s="277"/>
      <c r="O202" s="80"/>
      <c r="P202" s="80"/>
      <c r="Q202" s="78"/>
      <c r="R202" s="78"/>
      <c r="S202" s="78"/>
      <c r="T202" s="78"/>
      <c r="U202" s="78"/>
      <c r="V202" s="78"/>
      <c r="W202" s="78"/>
      <c r="X202" s="78"/>
      <c r="Y202" s="78"/>
      <c r="Z202" s="167" t="e">
        <f t="shared" ca="1" si="24"/>
        <v>#N/A</v>
      </c>
      <c r="AA202" s="168" t="e">
        <f t="shared" ca="1" si="26"/>
        <v>#N/A</v>
      </c>
      <c r="AB202" s="167">
        <f t="shared" ca="1" si="25"/>
        <v>0</v>
      </c>
      <c r="AC202" s="168">
        <f t="shared" ca="1" si="27"/>
        <v>0</v>
      </c>
      <c r="AD202" s="191">
        <f t="shared" ca="1" si="28"/>
        <v>46259.633973495373</v>
      </c>
      <c r="AE202" s="167">
        <f t="shared" si="29"/>
        <v>0</v>
      </c>
      <c r="AF202" s="168">
        <f t="shared" si="30"/>
        <v>0</v>
      </c>
      <c r="AG202" s="168">
        <f t="shared" si="31"/>
        <v>0</v>
      </c>
      <c r="AH202" s="81" t="e" cm="1">
        <f t="array" aca="1" ref="AH202" ca="1">IF((AD202) &lt; (INDEX(ResponseSLA[#All],(MATCH((G202),ResponseSLA[Priority],0))+1,3)),"YES","No")</f>
        <v>#N/A</v>
      </c>
      <c r="AI202" s="81" t="str">
        <f>_xlfn.IFNA(IF(AE202 &lt; (INDEX(SLATable[Minimum SLA],MATCH(G202,SLATable[Priority],0))),"YES","NO"),"")</f>
        <v/>
      </c>
      <c r="AJ202" s="19" t="str">
        <f>_xlfn.IFNA(IF(AE202 &lt; (INDEX(SLATable[Maximum SLA],MATCH(G202,SLATable[Priority],0))),"YES","NO"),"")</f>
        <v/>
      </c>
    </row>
    <row r="203" spans="1:36" ht="15" customHeight="1">
      <c r="A203" s="78"/>
      <c r="B203" s="78"/>
      <c r="C203" s="78"/>
      <c r="D203" s="78"/>
      <c r="E203" s="184"/>
      <c r="F203" s="78"/>
      <c r="G203" s="78"/>
      <c r="H203" s="86"/>
      <c r="I203" s="78"/>
      <c r="J203" s="86"/>
      <c r="K203" s="277"/>
      <c r="L203" s="277"/>
      <c r="M203" s="277"/>
      <c r="N203" s="277"/>
      <c r="O203" s="80"/>
      <c r="P203" s="80"/>
      <c r="Q203" s="78"/>
      <c r="R203" s="78"/>
      <c r="S203" s="78"/>
      <c r="T203" s="78"/>
      <c r="U203" s="78"/>
      <c r="V203" s="78"/>
      <c r="W203" s="78"/>
      <c r="X203" s="78"/>
      <c r="Y203" s="78"/>
      <c r="Z203" s="167" t="e">
        <f t="shared" ca="1" si="24"/>
        <v>#N/A</v>
      </c>
      <c r="AA203" s="168" t="e">
        <f t="shared" ca="1" si="26"/>
        <v>#N/A</v>
      </c>
      <c r="AB203" s="167">
        <f t="shared" ca="1" si="25"/>
        <v>0</v>
      </c>
      <c r="AC203" s="168">
        <f t="shared" ca="1" si="27"/>
        <v>0</v>
      </c>
      <c r="AD203" s="191">
        <f t="shared" ca="1" si="28"/>
        <v>46259.633973495373</v>
      </c>
      <c r="AE203" s="167">
        <f t="shared" si="29"/>
        <v>0</v>
      </c>
      <c r="AF203" s="168">
        <f t="shared" si="30"/>
        <v>0</v>
      </c>
      <c r="AG203" s="168">
        <f t="shared" si="31"/>
        <v>0</v>
      </c>
      <c r="AH203" s="81" t="e" cm="1">
        <f t="array" aca="1" ref="AH203" ca="1">IF((AD203) &lt; (INDEX(ResponseSLA[#All],(MATCH((G203),ResponseSLA[Priority],0))+1,3)),"YES","No")</f>
        <v>#N/A</v>
      </c>
      <c r="AI203" s="81" t="str">
        <f>_xlfn.IFNA(IF(AE203 &lt; (INDEX(SLATable[Minimum SLA],MATCH(G203,SLATable[Priority],0))),"YES","NO"),"")</f>
        <v/>
      </c>
      <c r="AJ203" s="19" t="str">
        <f>_xlfn.IFNA(IF(AE203 &lt; (INDEX(SLATable[Maximum SLA],MATCH(G203,SLATable[Priority],0))),"YES","NO"),"")</f>
        <v/>
      </c>
    </row>
    <row r="204" spans="1:36" ht="15" customHeight="1">
      <c r="A204" s="78"/>
      <c r="B204" s="78"/>
      <c r="C204" s="78"/>
      <c r="D204" s="78"/>
      <c r="E204" s="184"/>
      <c r="F204" s="78"/>
      <c r="G204" s="78"/>
      <c r="H204" s="99"/>
      <c r="I204" s="78"/>
      <c r="J204" s="86"/>
      <c r="K204" s="277"/>
      <c r="L204" s="277"/>
      <c r="M204" s="277"/>
      <c r="N204" s="277"/>
      <c r="O204" s="80"/>
      <c r="P204" s="80"/>
      <c r="Q204" s="78"/>
      <c r="R204" s="78"/>
      <c r="S204" s="78"/>
      <c r="T204" s="78"/>
      <c r="U204" s="78"/>
      <c r="V204" s="78"/>
      <c r="W204" s="78"/>
      <c r="X204" s="78"/>
      <c r="Y204" s="78"/>
      <c r="Z204" s="167" t="e">
        <f t="shared" ca="1" si="24"/>
        <v>#N/A</v>
      </c>
      <c r="AA204" s="168" t="e">
        <f t="shared" ca="1" si="26"/>
        <v>#N/A</v>
      </c>
      <c r="AB204" s="167">
        <f t="shared" ca="1" si="25"/>
        <v>0</v>
      </c>
      <c r="AC204" s="168">
        <f t="shared" ca="1" si="27"/>
        <v>0</v>
      </c>
      <c r="AD204" s="191">
        <f t="shared" ca="1" si="28"/>
        <v>46259.633973495373</v>
      </c>
      <c r="AE204" s="167">
        <f t="shared" si="29"/>
        <v>0</v>
      </c>
      <c r="AF204" s="168">
        <f t="shared" si="30"/>
        <v>0</v>
      </c>
      <c r="AG204" s="168">
        <f t="shared" si="31"/>
        <v>0</v>
      </c>
      <c r="AH204" s="81" t="e" cm="1">
        <f t="array" aca="1" ref="AH204" ca="1">IF((AD204) &lt; (INDEX(ResponseSLA[#All],(MATCH((G204),ResponseSLA[Priority],0))+1,3)),"YES","No")</f>
        <v>#N/A</v>
      </c>
      <c r="AI204" s="81" t="str">
        <f>_xlfn.IFNA(IF(AE204 &lt; (INDEX(SLATable[Minimum SLA],MATCH(G204,SLATable[Priority],0))),"YES","NO"),"")</f>
        <v/>
      </c>
      <c r="AJ204" s="19" t="str">
        <f>_xlfn.IFNA(IF(AE204 &lt; (INDEX(SLATable[Maximum SLA],MATCH(G204,SLATable[Priority],0))),"YES","NO"),"")</f>
        <v/>
      </c>
    </row>
    <row r="205" spans="1:36" ht="15" customHeight="1">
      <c r="A205" s="78"/>
      <c r="B205" s="78"/>
      <c r="C205" s="78"/>
      <c r="D205" s="78"/>
      <c r="E205" s="184"/>
      <c r="F205" s="78"/>
      <c r="G205" s="78"/>
      <c r="H205" s="141"/>
      <c r="I205" s="78"/>
      <c r="J205" s="86"/>
      <c r="K205" s="277"/>
      <c r="L205" s="269"/>
      <c r="M205" s="277"/>
      <c r="N205" s="277"/>
      <c r="O205" s="80"/>
      <c r="P205" s="80"/>
      <c r="Q205" s="78"/>
      <c r="R205" s="78"/>
      <c r="S205" s="198"/>
      <c r="T205" s="78"/>
      <c r="U205" s="78"/>
      <c r="V205" s="78"/>
      <c r="W205" s="78"/>
      <c r="X205" s="78"/>
      <c r="Y205" s="78"/>
      <c r="Z205" s="167" t="e">
        <f t="shared" ca="1" si="24"/>
        <v>#N/A</v>
      </c>
      <c r="AA205" s="168" t="e">
        <f t="shared" ca="1" si="26"/>
        <v>#N/A</v>
      </c>
      <c r="AB205" s="167">
        <f t="shared" ca="1" si="25"/>
        <v>0</v>
      </c>
      <c r="AC205" s="168">
        <f t="shared" ca="1" si="27"/>
        <v>0</v>
      </c>
      <c r="AD205" s="191">
        <f t="shared" ca="1" si="28"/>
        <v>46259.633973495373</v>
      </c>
      <c r="AE205" s="167">
        <f t="shared" si="29"/>
        <v>0</v>
      </c>
      <c r="AF205" s="168">
        <f t="shared" si="30"/>
        <v>0</v>
      </c>
      <c r="AG205" s="168">
        <f t="shared" si="31"/>
        <v>0</v>
      </c>
      <c r="AH205" s="81" t="e" cm="1">
        <f t="array" aca="1" ref="AH205" ca="1">IF((AD205) &lt; (INDEX(ResponseSLA[#All],(MATCH((G205),ResponseSLA[Priority],0))+1,3)),"YES","No")</f>
        <v>#N/A</v>
      </c>
      <c r="AI205" s="81" t="str">
        <f>_xlfn.IFNA(IF(AE205 &lt; (INDEX(SLATable[Minimum SLA],MATCH(G205,SLATable[Priority],0))),"YES","NO"),"")</f>
        <v/>
      </c>
      <c r="AJ205" s="19" t="str">
        <f>_xlfn.IFNA(IF(AE205 &lt; (INDEX(SLATable[Maximum SLA],MATCH(G205,SLATable[Priority],0))),"YES","NO"),"")</f>
        <v/>
      </c>
    </row>
    <row r="206" spans="1:36" ht="15" customHeight="1">
      <c r="A206" s="78"/>
      <c r="B206" s="78"/>
      <c r="C206" s="78"/>
      <c r="D206" s="78"/>
      <c r="E206" s="184"/>
      <c r="F206" s="78"/>
      <c r="G206" s="78"/>
      <c r="H206" s="141"/>
      <c r="I206" s="78"/>
      <c r="J206" s="86"/>
      <c r="K206" s="277"/>
      <c r="L206" s="269"/>
      <c r="M206" s="277"/>
      <c r="N206" s="277"/>
      <c r="O206" s="80"/>
      <c r="P206" s="80"/>
      <c r="Q206" s="78"/>
      <c r="R206" s="78"/>
      <c r="S206" s="78"/>
      <c r="T206" s="78"/>
      <c r="U206" s="78"/>
      <c r="V206" s="78"/>
      <c r="W206" s="78"/>
      <c r="X206" s="78"/>
      <c r="Y206" s="78"/>
      <c r="Z206" s="167" t="e">
        <f t="shared" ca="1" si="24"/>
        <v>#N/A</v>
      </c>
      <c r="AA206" s="168" t="e">
        <f t="shared" ca="1" si="26"/>
        <v>#N/A</v>
      </c>
      <c r="AB206" s="167">
        <f t="shared" ca="1" si="25"/>
        <v>0</v>
      </c>
      <c r="AC206" s="168">
        <f t="shared" ca="1" si="27"/>
        <v>0</v>
      </c>
      <c r="AD206" s="191">
        <f t="shared" ca="1" si="28"/>
        <v>46259.633973495373</v>
      </c>
      <c r="AE206" s="167">
        <f t="shared" si="29"/>
        <v>0</v>
      </c>
      <c r="AF206" s="168">
        <f t="shared" si="30"/>
        <v>0</v>
      </c>
      <c r="AG206" s="168">
        <f t="shared" si="31"/>
        <v>0</v>
      </c>
      <c r="AH206" s="81" t="e" cm="1">
        <f t="array" aca="1" ref="AH206" ca="1">IF((AD206) &lt; (INDEX(ResponseSLA[#All],(MATCH((G206),ResponseSLA[Priority],0))+1,3)),"YES","No")</f>
        <v>#N/A</v>
      </c>
      <c r="AI206" s="81" t="str">
        <f>_xlfn.IFNA(IF(AE206 &lt; (INDEX(SLATable[Minimum SLA],MATCH(G206,SLATable[Priority],0))),"YES","NO"),"")</f>
        <v/>
      </c>
      <c r="AJ206" s="19" t="str">
        <f>_xlfn.IFNA(IF(AE206 &lt; (INDEX(SLATable[Maximum SLA],MATCH(G206,SLATable[Priority],0))),"YES","NO"),"")</f>
        <v/>
      </c>
    </row>
    <row r="207" spans="1:36" ht="15" customHeight="1">
      <c r="A207" s="78"/>
      <c r="B207" s="78"/>
      <c r="C207" s="78"/>
      <c r="D207" s="78"/>
      <c r="E207" s="184"/>
      <c r="F207" s="78"/>
      <c r="G207" s="78"/>
      <c r="H207" s="187"/>
      <c r="I207" s="78"/>
      <c r="J207" s="86"/>
      <c r="K207" s="277"/>
      <c r="L207" s="277"/>
      <c r="M207" s="277"/>
      <c r="N207" s="277"/>
      <c r="O207" s="80"/>
      <c r="P207" s="80"/>
      <c r="Q207" s="78"/>
      <c r="R207" s="78"/>
      <c r="S207" s="78"/>
      <c r="T207" s="78"/>
      <c r="U207" s="78"/>
      <c r="V207" s="78"/>
      <c r="W207" s="78"/>
      <c r="X207" s="78"/>
      <c r="Y207" s="78"/>
      <c r="Z207" s="167" t="e">
        <f t="shared" ca="1" si="24"/>
        <v>#N/A</v>
      </c>
      <c r="AA207" s="168" t="e">
        <f t="shared" ca="1" si="26"/>
        <v>#N/A</v>
      </c>
      <c r="AB207" s="167">
        <f t="shared" ca="1" si="25"/>
        <v>0</v>
      </c>
      <c r="AC207" s="168">
        <f t="shared" ca="1" si="27"/>
        <v>0</v>
      </c>
      <c r="AD207" s="191">
        <f t="shared" ca="1" si="28"/>
        <v>46259.633973495373</v>
      </c>
      <c r="AE207" s="167">
        <f t="shared" si="29"/>
        <v>0</v>
      </c>
      <c r="AF207" s="168">
        <f t="shared" si="30"/>
        <v>0</v>
      </c>
      <c r="AG207" s="168">
        <f t="shared" si="31"/>
        <v>0</v>
      </c>
      <c r="AH207" s="81" t="e" cm="1">
        <f t="array" aca="1" ref="AH207" ca="1">IF((AD207) &lt; (INDEX(ResponseSLA[#All],(MATCH((G207),ResponseSLA[Priority],0))+1,3)),"YES","No")</f>
        <v>#N/A</v>
      </c>
      <c r="AI207" s="81" t="str">
        <f>_xlfn.IFNA(IF(AE207 &lt; (INDEX(SLATable[Minimum SLA],MATCH(G207,SLATable[Priority],0))),"YES","NO"),"")</f>
        <v/>
      </c>
      <c r="AJ207" s="19" t="str">
        <f>_xlfn.IFNA(IF(AE207 &lt; (INDEX(SLATable[Maximum SLA],MATCH(G207,SLATable[Priority],0))),"YES","NO"),"")</f>
        <v/>
      </c>
    </row>
    <row r="208" spans="1:36" ht="15" customHeight="1">
      <c r="A208" s="78"/>
      <c r="B208" s="78"/>
      <c r="C208" s="78"/>
      <c r="D208" s="78"/>
      <c r="E208" s="184"/>
      <c r="F208" s="78"/>
      <c r="G208" s="78"/>
      <c r="H208" s="86"/>
      <c r="I208" s="78"/>
      <c r="J208" s="86"/>
      <c r="K208" s="277"/>
      <c r="L208" s="277"/>
      <c r="M208" s="277"/>
      <c r="N208" s="277"/>
      <c r="O208" s="80"/>
      <c r="P208" s="80"/>
      <c r="Q208" s="78"/>
      <c r="R208" s="78"/>
      <c r="S208" s="78"/>
      <c r="T208" s="78"/>
      <c r="U208" s="78"/>
      <c r="V208" s="78"/>
      <c r="W208" s="78"/>
      <c r="X208" s="78"/>
      <c r="Y208" s="78"/>
      <c r="Z208" s="167" t="e">
        <f t="shared" ca="1" si="24"/>
        <v>#N/A</v>
      </c>
      <c r="AA208" s="168" t="e">
        <f t="shared" ca="1" si="26"/>
        <v>#N/A</v>
      </c>
      <c r="AB208" s="167">
        <f t="shared" ca="1" si="25"/>
        <v>0</v>
      </c>
      <c r="AC208" s="168">
        <f t="shared" ca="1" si="27"/>
        <v>0</v>
      </c>
      <c r="AD208" s="191">
        <f t="shared" ca="1" si="28"/>
        <v>46259.633973495373</v>
      </c>
      <c r="AE208" s="167">
        <f t="shared" si="29"/>
        <v>0</v>
      </c>
      <c r="AF208" s="168">
        <f t="shared" si="30"/>
        <v>0</v>
      </c>
      <c r="AG208" s="168">
        <f t="shared" si="31"/>
        <v>0</v>
      </c>
      <c r="AH208" s="81" t="e" cm="1">
        <f t="array" aca="1" ref="AH208" ca="1">IF((AD208) &lt; (INDEX(ResponseSLA[#All],(MATCH((G208),ResponseSLA[Priority],0))+1,3)),"YES","No")</f>
        <v>#N/A</v>
      </c>
      <c r="AI208" s="81" t="str">
        <f>_xlfn.IFNA(IF(AE208 &lt; (INDEX(SLATable[Minimum SLA],MATCH(G208,SLATable[Priority],0))),"YES","NO"),"")</f>
        <v/>
      </c>
      <c r="AJ208" s="19" t="str">
        <f>_xlfn.IFNA(IF(AE208 &lt; (INDEX(SLATable[Maximum SLA],MATCH(G208,SLATable[Priority],0))),"YES","NO"),"")</f>
        <v/>
      </c>
    </row>
    <row r="209" spans="1:36" ht="15" customHeight="1">
      <c r="A209" s="78"/>
      <c r="B209" s="78"/>
      <c r="C209" s="78"/>
      <c r="D209" s="78"/>
      <c r="E209" s="184"/>
      <c r="F209" s="78"/>
      <c r="G209" s="78"/>
      <c r="H209" s="275"/>
      <c r="I209" s="78"/>
      <c r="J209" s="86"/>
      <c r="K209" s="269"/>
      <c r="L209" s="269"/>
      <c r="M209" s="269"/>
      <c r="N209" s="269"/>
      <c r="O209" s="80"/>
      <c r="P209" s="80"/>
      <c r="Q209" s="78"/>
      <c r="R209" s="78"/>
      <c r="S209" s="78"/>
      <c r="T209" s="78"/>
      <c r="U209" s="78"/>
      <c r="V209" s="78"/>
      <c r="W209" s="78"/>
      <c r="X209" s="78"/>
      <c r="Y209" s="78"/>
      <c r="Z209" s="167" t="e">
        <f t="shared" ca="1" si="24"/>
        <v>#N/A</v>
      </c>
      <c r="AA209" s="168" t="e">
        <f t="shared" ca="1" si="26"/>
        <v>#N/A</v>
      </c>
      <c r="AB209" s="167">
        <f t="shared" ca="1" si="25"/>
        <v>0</v>
      </c>
      <c r="AC209" s="168">
        <f t="shared" ca="1" si="27"/>
        <v>0</v>
      </c>
      <c r="AD209" s="191">
        <f t="shared" ca="1" si="28"/>
        <v>46259.633973495373</v>
      </c>
      <c r="AE209" s="167">
        <f t="shared" si="29"/>
        <v>0</v>
      </c>
      <c r="AF209" s="168">
        <f t="shared" si="30"/>
        <v>0</v>
      </c>
      <c r="AG209" s="168">
        <f t="shared" si="31"/>
        <v>0</v>
      </c>
      <c r="AH209" s="81" t="e" cm="1">
        <f t="array" aca="1" ref="AH209" ca="1">IF((AD209) &lt; (INDEX(ResponseSLA[#All],(MATCH((G209),ResponseSLA[Priority],0))+1,3)),"YES","No")</f>
        <v>#N/A</v>
      </c>
      <c r="AI209" s="81" t="str">
        <f>_xlfn.IFNA(IF(AE209 &lt; (INDEX(SLATable[Minimum SLA],MATCH(G209,SLATable[Priority],0))),"YES","NO"),"")</f>
        <v/>
      </c>
      <c r="AJ209" s="19" t="str">
        <f>_xlfn.IFNA(IF(AE209 &lt; (INDEX(SLATable[Maximum SLA],MATCH(G209,SLATable[Priority],0))),"YES","NO"),"")</f>
        <v/>
      </c>
    </row>
    <row r="210" spans="1:36" ht="15" customHeight="1">
      <c r="A210" s="78"/>
      <c r="B210" s="78"/>
      <c r="C210" s="78"/>
      <c r="D210" s="78"/>
      <c r="E210" s="184"/>
      <c r="F210" s="78"/>
      <c r="G210" s="78"/>
      <c r="H210" s="275"/>
      <c r="I210" s="78"/>
      <c r="J210" s="86"/>
      <c r="K210" s="269"/>
      <c r="L210" s="269"/>
      <c r="M210" s="269"/>
      <c r="N210" s="269"/>
      <c r="O210" s="80"/>
      <c r="P210" s="80"/>
      <c r="Q210" s="78"/>
      <c r="R210" s="78"/>
      <c r="S210" s="78"/>
      <c r="T210" s="78"/>
      <c r="U210" s="78"/>
      <c r="V210" s="78"/>
      <c r="W210" s="78"/>
      <c r="X210" s="78"/>
      <c r="Y210" s="78"/>
      <c r="Z210" s="167" t="e">
        <f t="shared" ca="1" si="24"/>
        <v>#N/A</v>
      </c>
      <c r="AA210" s="168" t="e">
        <f t="shared" ca="1" si="26"/>
        <v>#N/A</v>
      </c>
      <c r="AB210" s="167">
        <f t="shared" ca="1" si="25"/>
        <v>0</v>
      </c>
      <c r="AC210" s="168">
        <f t="shared" ca="1" si="27"/>
        <v>0</v>
      </c>
      <c r="AD210" s="191">
        <f t="shared" ca="1" si="28"/>
        <v>46259.633973495373</v>
      </c>
      <c r="AE210" s="167">
        <f t="shared" si="29"/>
        <v>0</v>
      </c>
      <c r="AF210" s="168">
        <f t="shared" si="30"/>
        <v>0</v>
      </c>
      <c r="AG210" s="168">
        <f t="shared" si="31"/>
        <v>0</v>
      </c>
      <c r="AH210" s="81" t="e" cm="1">
        <f t="array" aca="1" ref="AH210" ca="1">IF((AD210) &lt; (INDEX(ResponseSLA[#All],(MATCH((G210),ResponseSLA[Priority],0))+1,3)),"YES","No")</f>
        <v>#N/A</v>
      </c>
      <c r="AI210" s="81" t="str">
        <f>_xlfn.IFNA(IF(AE210 &lt; (INDEX(SLATable[Minimum SLA],MATCH(G210,SLATable[Priority],0))),"YES","NO"),"")</f>
        <v/>
      </c>
      <c r="AJ210" s="19" t="str">
        <f>_xlfn.IFNA(IF(AE210 &lt; (INDEX(SLATable[Maximum SLA],MATCH(G210,SLATable[Priority],0))),"YES","NO"),"")</f>
        <v/>
      </c>
    </row>
    <row r="211" spans="1:36" ht="15" customHeight="1">
      <c r="A211" s="78"/>
      <c r="B211" s="78"/>
      <c r="C211" s="78"/>
      <c r="D211" s="78"/>
      <c r="E211" s="184"/>
      <c r="F211" s="78"/>
      <c r="G211" s="78"/>
      <c r="H211" s="275"/>
      <c r="I211" s="78"/>
      <c r="J211" s="86"/>
      <c r="K211" s="269"/>
      <c r="L211" s="269"/>
      <c r="M211" s="269"/>
      <c r="N211" s="269"/>
      <c r="O211" s="80"/>
      <c r="P211" s="80"/>
      <c r="Q211" s="78"/>
      <c r="R211" s="78"/>
      <c r="S211" s="78"/>
      <c r="T211" s="78"/>
      <c r="U211" s="78"/>
      <c r="V211" s="78"/>
      <c r="W211" s="78"/>
      <c r="X211" s="78"/>
      <c r="Y211" s="78"/>
      <c r="Z211" s="167" t="e">
        <f t="shared" ca="1" si="24"/>
        <v>#N/A</v>
      </c>
      <c r="AA211" s="168" t="e">
        <f t="shared" ca="1" si="26"/>
        <v>#N/A</v>
      </c>
      <c r="AB211" s="167">
        <f t="shared" ca="1" si="25"/>
        <v>0</v>
      </c>
      <c r="AC211" s="168">
        <f t="shared" ca="1" si="27"/>
        <v>0</v>
      </c>
      <c r="AD211" s="191">
        <f t="shared" ca="1" si="28"/>
        <v>46259.633973495373</v>
      </c>
      <c r="AE211" s="167">
        <f t="shared" si="29"/>
        <v>0</v>
      </c>
      <c r="AF211" s="168">
        <f t="shared" si="30"/>
        <v>0</v>
      </c>
      <c r="AG211" s="168">
        <f t="shared" si="31"/>
        <v>0</v>
      </c>
      <c r="AH211" s="81" t="e" cm="1">
        <f t="array" aca="1" ref="AH211" ca="1">IF((AD211) &lt; (INDEX(ResponseSLA[#All],(MATCH((G211),ResponseSLA[Priority],0))+1,3)),"YES","No")</f>
        <v>#N/A</v>
      </c>
      <c r="AI211" s="81" t="str">
        <f>_xlfn.IFNA(IF(AE211 &lt; (INDEX(SLATable[Minimum SLA],MATCH(G211,SLATable[Priority],0))),"YES","NO"),"")</f>
        <v/>
      </c>
      <c r="AJ211" s="19" t="str">
        <f>_xlfn.IFNA(IF(AE211 &lt; (INDEX(SLATable[Maximum SLA],MATCH(G211,SLATable[Priority],0))),"YES","NO"),"")</f>
        <v/>
      </c>
    </row>
    <row r="212" spans="1:36" ht="15" customHeight="1">
      <c r="A212" s="78"/>
      <c r="B212" s="78"/>
      <c r="C212" s="78"/>
      <c r="D212" s="78"/>
      <c r="E212" s="184"/>
      <c r="F212" s="78"/>
      <c r="G212" s="78"/>
      <c r="H212" s="275"/>
      <c r="I212" s="78"/>
      <c r="J212" s="86"/>
      <c r="K212" s="269"/>
      <c r="L212" s="269"/>
      <c r="M212" s="269"/>
      <c r="N212" s="269"/>
      <c r="O212" s="80"/>
      <c r="P212" s="80"/>
      <c r="Q212" s="78"/>
      <c r="R212" s="78"/>
      <c r="S212" s="78"/>
      <c r="T212" s="78"/>
      <c r="U212" s="78"/>
      <c r="V212" s="78"/>
      <c r="W212" s="78"/>
      <c r="X212" s="78"/>
      <c r="Y212" s="78"/>
      <c r="Z212" s="167" t="e">
        <f t="shared" ca="1" si="24"/>
        <v>#N/A</v>
      </c>
      <c r="AA212" s="168" t="e">
        <f t="shared" ca="1" si="26"/>
        <v>#N/A</v>
      </c>
      <c r="AB212" s="167">
        <f t="shared" ca="1" si="25"/>
        <v>0</v>
      </c>
      <c r="AC212" s="168">
        <f t="shared" ca="1" si="27"/>
        <v>0</v>
      </c>
      <c r="AD212" s="191">
        <f t="shared" ca="1" si="28"/>
        <v>46259.633973495373</v>
      </c>
      <c r="AE212" s="167">
        <f t="shared" si="29"/>
        <v>0</v>
      </c>
      <c r="AF212" s="168">
        <f t="shared" si="30"/>
        <v>0</v>
      </c>
      <c r="AG212" s="168">
        <f t="shared" si="31"/>
        <v>0</v>
      </c>
      <c r="AH212" s="81" t="e" cm="1">
        <f t="array" aca="1" ref="AH212" ca="1">IF((AD212) &lt; (INDEX(ResponseSLA[#All],(MATCH((G212),ResponseSLA[Priority],0))+1,3)),"YES","No")</f>
        <v>#N/A</v>
      </c>
      <c r="AI212" s="81" t="str">
        <f>_xlfn.IFNA(IF(AE212 &lt; (INDEX(SLATable[Minimum SLA],MATCH(G212,SLATable[Priority],0))),"YES","NO"),"")</f>
        <v/>
      </c>
      <c r="AJ212" s="19" t="str">
        <f>_xlfn.IFNA(IF(AE212 &lt; (INDEX(SLATable[Maximum SLA],MATCH(G212,SLATable[Priority],0))),"YES","NO"),"")</f>
        <v/>
      </c>
    </row>
    <row r="213" spans="1:36" ht="15" customHeight="1">
      <c r="A213" s="78"/>
      <c r="B213" s="78"/>
      <c r="C213" s="78"/>
      <c r="D213" s="78"/>
      <c r="E213" s="184"/>
      <c r="F213" s="78"/>
      <c r="G213" s="78"/>
      <c r="H213" s="275"/>
      <c r="I213" s="78"/>
      <c r="J213" s="86"/>
      <c r="K213" s="269"/>
      <c r="L213" s="269"/>
      <c r="M213" s="269"/>
      <c r="N213" s="269"/>
      <c r="O213" s="80"/>
      <c r="P213" s="80"/>
      <c r="Q213" s="78"/>
      <c r="R213" s="78"/>
      <c r="S213" s="78"/>
      <c r="T213" s="78"/>
      <c r="U213" s="78"/>
      <c r="V213" s="78"/>
      <c r="W213" s="78"/>
      <c r="X213" s="78"/>
      <c r="Y213" s="78"/>
      <c r="Z213" s="167" t="e">
        <f t="shared" ca="1" si="24"/>
        <v>#N/A</v>
      </c>
      <c r="AA213" s="168" t="e">
        <f t="shared" ca="1" si="26"/>
        <v>#N/A</v>
      </c>
      <c r="AB213" s="167">
        <f t="shared" ca="1" si="25"/>
        <v>0</v>
      </c>
      <c r="AC213" s="168">
        <f t="shared" ca="1" si="27"/>
        <v>0</v>
      </c>
      <c r="AD213" s="191">
        <f t="shared" ca="1" si="28"/>
        <v>46259.633973495373</v>
      </c>
      <c r="AE213" s="167">
        <f t="shared" si="29"/>
        <v>0</v>
      </c>
      <c r="AF213" s="168">
        <f t="shared" si="30"/>
        <v>0</v>
      </c>
      <c r="AG213" s="168">
        <f t="shared" si="31"/>
        <v>0</v>
      </c>
      <c r="AH213" s="81" t="e" cm="1">
        <f t="array" aca="1" ref="AH213" ca="1">IF((AD213) &lt; (INDEX(ResponseSLA[#All],(MATCH((G213),ResponseSLA[Priority],0))+1,3)),"YES","No")</f>
        <v>#N/A</v>
      </c>
      <c r="AI213" s="81" t="str">
        <f>_xlfn.IFNA(IF(AE213 &lt; (INDEX(SLATable[Minimum SLA],MATCH(G213,SLATable[Priority],0))),"YES","NO"),"")</f>
        <v/>
      </c>
      <c r="AJ213" s="19" t="str">
        <f>_xlfn.IFNA(IF(AE213 &lt; (INDEX(SLATable[Maximum SLA],MATCH(G213,SLATable[Priority],0))),"YES","NO"),"")</f>
        <v/>
      </c>
    </row>
    <row r="214" spans="1:36" ht="15" customHeight="1">
      <c r="A214" s="78"/>
      <c r="B214" s="78"/>
      <c r="C214" s="78"/>
      <c r="D214" s="78"/>
      <c r="E214" s="184"/>
      <c r="F214" s="78"/>
      <c r="G214" s="78"/>
      <c r="H214" s="275"/>
      <c r="I214" s="78"/>
      <c r="J214" s="86"/>
      <c r="K214" s="269"/>
      <c r="L214" s="269"/>
      <c r="M214" s="269"/>
      <c r="N214" s="269"/>
      <c r="O214" s="80"/>
      <c r="P214" s="80"/>
      <c r="Q214" s="78"/>
      <c r="R214" s="78"/>
      <c r="S214" s="78"/>
      <c r="T214" s="78"/>
      <c r="U214" s="78"/>
      <c r="V214" s="78"/>
      <c r="W214" s="78"/>
      <c r="X214" s="78"/>
      <c r="Y214" s="78"/>
      <c r="Z214" s="167" t="e">
        <f t="shared" ca="1" si="24"/>
        <v>#N/A</v>
      </c>
      <c r="AA214" s="168" t="e">
        <f t="shared" ca="1" si="26"/>
        <v>#N/A</v>
      </c>
      <c r="AB214" s="167">
        <f t="shared" ca="1" si="25"/>
        <v>0</v>
      </c>
      <c r="AC214" s="168">
        <f t="shared" ca="1" si="27"/>
        <v>0</v>
      </c>
      <c r="AD214" s="191">
        <f t="shared" ca="1" si="28"/>
        <v>46259.633973495373</v>
      </c>
      <c r="AE214" s="167">
        <f t="shared" si="29"/>
        <v>0</v>
      </c>
      <c r="AF214" s="168">
        <f t="shared" si="30"/>
        <v>0</v>
      </c>
      <c r="AG214" s="168">
        <f t="shared" si="31"/>
        <v>0</v>
      </c>
      <c r="AH214" s="81" t="e" cm="1">
        <f t="array" aca="1" ref="AH214" ca="1">IF((AD214) &lt; (INDEX(ResponseSLA[#All],(MATCH((G214),ResponseSLA[Priority],0))+1,3)),"YES","No")</f>
        <v>#N/A</v>
      </c>
      <c r="AI214" s="81" t="str">
        <f>_xlfn.IFNA(IF(AE214 &lt; (INDEX(SLATable[Minimum SLA],MATCH(G214,SLATable[Priority],0))),"YES","NO"),"")</f>
        <v/>
      </c>
      <c r="AJ214" s="19" t="str">
        <f>_xlfn.IFNA(IF(AE214 &lt; (INDEX(SLATable[Maximum SLA],MATCH(G214,SLATable[Priority],0))),"YES","NO"),"")</f>
        <v/>
      </c>
    </row>
    <row r="215" spans="1:36" ht="15" customHeight="1">
      <c r="A215" s="78"/>
      <c r="B215" s="78"/>
      <c r="C215" s="78"/>
      <c r="D215" s="78"/>
      <c r="E215" s="184"/>
      <c r="F215" s="78"/>
      <c r="G215" s="78"/>
      <c r="H215" s="99"/>
      <c r="I215" s="78"/>
      <c r="J215" s="86"/>
      <c r="K215" s="277"/>
      <c r="L215" s="277"/>
      <c r="M215" s="277"/>
      <c r="N215" s="277"/>
      <c r="O215" s="80"/>
      <c r="P215" s="80"/>
      <c r="Q215" s="78"/>
      <c r="R215" s="78"/>
      <c r="S215" s="78"/>
      <c r="T215" s="78"/>
      <c r="U215" s="78"/>
      <c r="V215" s="78"/>
      <c r="W215" s="78"/>
      <c r="X215" s="78"/>
      <c r="Y215" s="78"/>
      <c r="Z215" s="167" t="e">
        <f t="shared" ca="1" si="24"/>
        <v>#N/A</v>
      </c>
      <c r="AA215" s="168" t="e">
        <f t="shared" ca="1" si="26"/>
        <v>#N/A</v>
      </c>
      <c r="AB215" s="167">
        <f t="shared" ca="1" si="25"/>
        <v>0</v>
      </c>
      <c r="AC215" s="168">
        <f t="shared" ca="1" si="27"/>
        <v>0</v>
      </c>
      <c r="AD215" s="191">
        <f t="shared" ca="1" si="28"/>
        <v>46259.633973495373</v>
      </c>
      <c r="AE215" s="167">
        <f t="shared" si="29"/>
        <v>0</v>
      </c>
      <c r="AF215" s="168">
        <f t="shared" si="30"/>
        <v>0</v>
      </c>
      <c r="AG215" s="168">
        <f t="shared" si="31"/>
        <v>0</v>
      </c>
      <c r="AH215" s="81" t="e" cm="1">
        <f t="array" aca="1" ref="AH215" ca="1">IF((AD215) &lt; (INDEX(ResponseSLA[#All],(MATCH((G215),ResponseSLA[Priority],0))+1,3)),"YES","No")</f>
        <v>#N/A</v>
      </c>
      <c r="AI215" s="81" t="str">
        <f>_xlfn.IFNA(IF(AE215 &lt; (INDEX(SLATable[Minimum SLA],MATCH(G215,SLATable[Priority],0))),"YES","NO"),"")</f>
        <v/>
      </c>
      <c r="AJ215" s="19" t="str">
        <f>_xlfn.IFNA(IF(AE215 &lt; (INDEX(SLATable[Maximum SLA],MATCH(G215,SLATable[Priority],0))),"YES","NO"),"")</f>
        <v/>
      </c>
    </row>
    <row r="216" spans="1:36" ht="15" customHeight="1">
      <c r="A216" s="78"/>
      <c r="B216" s="78"/>
      <c r="C216" s="78"/>
      <c r="D216" s="78"/>
      <c r="E216" s="78"/>
      <c r="F216" s="78"/>
      <c r="G216" s="78"/>
      <c r="H216" s="99"/>
      <c r="I216" s="78"/>
      <c r="J216" s="86"/>
      <c r="K216" s="277"/>
      <c r="L216" s="277"/>
      <c r="M216" s="277"/>
      <c r="N216" s="277"/>
      <c r="O216" s="80"/>
      <c r="P216" s="80"/>
      <c r="Q216" s="78"/>
      <c r="R216" s="78"/>
      <c r="S216" s="78"/>
      <c r="T216" s="78"/>
      <c r="U216" s="78"/>
      <c r="V216" s="78"/>
      <c r="W216" s="78"/>
      <c r="X216" s="78"/>
      <c r="Y216" s="78"/>
      <c r="Z216" s="167" t="e">
        <f t="shared" ca="1" si="24"/>
        <v>#N/A</v>
      </c>
      <c r="AA216" s="168" t="e">
        <f t="shared" ca="1" si="26"/>
        <v>#N/A</v>
      </c>
      <c r="AB216" s="167">
        <f t="shared" ca="1" si="25"/>
        <v>0</v>
      </c>
      <c r="AC216" s="168">
        <f t="shared" ca="1" si="27"/>
        <v>0</v>
      </c>
      <c r="AD216" s="191">
        <f t="shared" ca="1" si="28"/>
        <v>46259.633973495373</v>
      </c>
      <c r="AE216" s="167">
        <f t="shared" si="29"/>
        <v>0</v>
      </c>
      <c r="AF216" s="168">
        <f t="shared" si="30"/>
        <v>0</v>
      </c>
      <c r="AG216" s="168">
        <f t="shared" si="31"/>
        <v>0</v>
      </c>
      <c r="AH216" s="81" t="e" cm="1">
        <f t="array" aca="1" ref="AH216" ca="1">IF((AD216) &lt; (INDEX(ResponseSLA[#All],(MATCH((G216),ResponseSLA[Priority],0))+1,3)),"YES","No")</f>
        <v>#N/A</v>
      </c>
      <c r="AI216" s="81" t="str">
        <f>_xlfn.IFNA(IF(AE216 &lt; (INDEX(SLATable[Minimum SLA],MATCH(G216,SLATable[Priority],0))),"YES","NO"),"")</f>
        <v/>
      </c>
      <c r="AJ216" s="19" t="str">
        <f>_xlfn.IFNA(IF(AE216 &lt; (INDEX(SLATable[Maximum SLA],MATCH(G216,SLATable[Priority],0))),"YES","NO"),"")</f>
        <v/>
      </c>
    </row>
    <row r="217" spans="1:36" ht="15" customHeight="1">
      <c r="A217" s="78"/>
      <c r="B217" s="78"/>
      <c r="C217" s="78"/>
      <c r="D217" s="78"/>
      <c r="E217" s="78"/>
      <c r="F217" s="78"/>
      <c r="G217" s="78"/>
      <c r="H217" s="86"/>
      <c r="I217" s="78"/>
      <c r="J217" s="86"/>
      <c r="K217" s="277"/>
      <c r="L217" s="277"/>
      <c r="M217" s="277"/>
      <c r="N217" s="277"/>
      <c r="O217" s="80"/>
      <c r="P217" s="80"/>
      <c r="Q217" s="78"/>
      <c r="R217" s="78"/>
      <c r="S217" s="78"/>
      <c r="T217" s="78"/>
      <c r="U217" s="78"/>
      <c r="V217" s="78"/>
      <c r="W217" s="78"/>
      <c r="X217" s="78"/>
      <c r="Y217" s="78"/>
      <c r="Z217" s="167" t="e">
        <f t="shared" ca="1" si="24"/>
        <v>#N/A</v>
      </c>
      <c r="AA217" s="168" t="e">
        <f t="shared" ca="1" si="26"/>
        <v>#N/A</v>
      </c>
      <c r="AB217" s="167">
        <f t="shared" ca="1" si="25"/>
        <v>0</v>
      </c>
      <c r="AC217" s="168">
        <f t="shared" ca="1" si="27"/>
        <v>0</v>
      </c>
      <c r="AD217" s="191">
        <f t="shared" ca="1" si="28"/>
        <v>46259.633973495373</v>
      </c>
      <c r="AE217" s="167">
        <f t="shared" si="29"/>
        <v>0</v>
      </c>
      <c r="AF217" s="168">
        <f t="shared" si="30"/>
        <v>0</v>
      </c>
      <c r="AG217" s="168">
        <f t="shared" si="31"/>
        <v>0</v>
      </c>
      <c r="AH217" s="81" t="e" cm="1">
        <f t="array" aca="1" ref="AH217" ca="1">IF((AD217) &lt; (INDEX(ResponseSLA[#All],(MATCH((G217),ResponseSLA[Priority],0))+1,3)),"YES","No")</f>
        <v>#N/A</v>
      </c>
      <c r="AI217" s="81" t="str">
        <f>_xlfn.IFNA(IF(AE217 &lt; (INDEX(SLATable[Minimum SLA],MATCH(G217,SLATable[Priority],0))),"YES","NO"),"")</f>
        <v/>
      </c>
      <c r="AJ217" s="19" t="str">
        <f>_xlfn.IFNA(IF(AE217 &lt; (INDEX(SLATable[Maximum SLA],MATCH(G217,SLATable[Priority],0))),"YES","NO"),"")</f>
        <v/>
      </c>
    </row>
    <row r="218" spans="1:36" ht="15" customHeight="1">
      <c r="A218" s="78"/>
      <c r="B218" s="78"/>
      <c r="C218" s="78"/>
      <c r="D218" s="78"/>
      <c r="E218" s="78"/>
      <c r="F218" s="78"/>
      <c r="G218" s="78"/>
      <c r="H218" s="86"/>
      <c r="I218" s="78"/>
      <c r="J218" s="86"/>
      <c r="K218" s="277"/>
      <c r="L218" s="277"/>
      <c r="M218" s="277"/>
      <c r="N218" s="277"/>
      <c r="O218" s="80"/>
      <c r="P218" s="277"/>
      <c r="Q218" s="78"/>
      <c r="R218" s="78"/>
      <c r="S218" s="78"/>
      <c r="T218" s="78"/>
      <c r="U218" s="78"/>
      <c r="V218" s="78"/>
      <c r="W218" s="78"/>
      <c r="X218" s="78"/>
      <c r="Y218" s="78"/>
      <c r="Z218" s="167" t="e">
        <f t="shared" ca="1" si="24"/>
        <v>#N/A</v>
      </c>
      <c r="AA218" s="168" t="e">
        <f t="shared" ca="1" si="26"/>
        <v>#N/A</v>
      </c>
      <c r="AB218" s="167">
        <f t="shared" ca="1" si="25"/>
        <v>0</v>
      </c>
      <c r="AC218" s="168">
        <f t="shared" ca="1" si="27"/>
        <v>0</v>
      </c>
      <c r="AD218" s="191">
        <f t="shared" ca="1" si="28"/>
        <v>46259.633973495373</v>
      </c>
      <c r="AE218" s="167">
        <f t="shared" si="29"/>
        <v>0</v>
      </c>
      <c r="AF218" s="168">
        <f t="shared" si="30"/>
        <v>0</v>
      </c>
      <c r="AG218" s="168">
        <f t="shared" si="31"/>
        <v>0</v>
      </c>
      <c r="AH218" s="81" t="e" cm="1">
        <f t="array" aca="1" ref="AH218" ca="1">IF((AD218) &lt; (INDEX(ResponseSLA[#All],(MATCH((G218),ResponseSLA[Priority],0))+1,3)),"YES","No")</f>
        <v>#N/A</v>
      </c>
      <c r="AI218" s="81" t="str">
        <f>_xlfn.IFNA(IF(AE218 &lt; (INDEX(SLATable[Minimum SLA],MATCH(G218,SLATable[Priority],0))),"YES","NO"),"")</f>
        <v/>
      </c>
      <c r="AJ218" s="19" t="str">
        <f>_xlfn.IFNA(IF(AE218 &lt; (INDEX(SLATable[Maximum SLA],MATCH(G218,SLATable[Priority],0))),"YES","NO"),"")</f>
        <v/>
      </c>
    </row>
    <row r="219" spans="1:36" ht="15" customHeight="1">
      <c r="A219" s="78"/>
      <c r="B219" s="78"/>
      <c r="C219" s="78"/>
      <c r="D219" s="78"/>
      <c r="E219" s="78"/>
      <c r="F219" s="78"/>
      <c r="G219" s="78"/>
      <c r="H219" s="86"/>
      <c r="I219" s="78"/>
      <c r="J219" s="86"/>
      <c r="K219" s="277"/>
      <c r="L219" s="277"/>
      <c r="M219" s="277"/>
      <c r="N219" s="277"/>
      <c r="O219" s="80"/>
      <c r="P219" s="80"/>
      <c r="Q219" s="78"/>
      <c r="R219" s="78"/>
      <c r="S219" s="78"/>
      <c r="T219" s="78"/>
      <c r="U219" s="78"/>
      <c r="V219" s="78"/>
      <c r="W219" s="78"/>
      <c r="X219" s="78"/>
      <c r="Y219" s="78"/>
      <c r="Z219" s="167" t="e">
        <f t="shared" ca="1" si="24"/>
        <v>#N/A</v>
      </c>
      <c r="AA219" s="168" t="e">
        <f t="shared" ca="1" si="26"/>
        <v>#N/A</v>
      </c>
      <c r="AB219" s="167">
        <f t="shared" ca="1" si="25"/>
        <v>0</v>
      </c>
      <c r="AC219" s="168">
        <f t="shared" ca="1" si="27"/>
        <v>0</v>
      </c>
      <c r="AD219" s="191">
        <f t="shared" ca="1" si="28"/>
        <v>46259.633973495373</v>
      </c>
      <c r="AE219" s="167">
        <f t="shared" si="29"/>
        <v>0</v>
      </c>
      <c r="AF219" s="168">
        <f t="shared" si="30"/>
        <v>0</v>
      </c>
      <c r="AG219" s="168">
        <f t="shared" si="31"/>
        <v>0</v>
      </c>
      <c r="AH219" s="81" t="e" cm="1">
        <f t="array" aca="1" ref="AH219" ca="1">IF((AD219) &lt; (INDEX(ResponseSLA[#All],(MATCH((G219),ResponseSLA[Priority],0))+1,3)),"YES","No")</f>
        <v>#N/A</v>
      </c>
      <c r="AI219" s="81" t="str">
        <f>_xlfn.IFNA(IF(AE219 &lt; (INDEX(SLATable[Minimum SLA],MATCH(G219,SLATable[Priority],0))),"YES","NO"),"")</f>
        <v/>
      </c>
      <c r="AJ219" s="19" t="str">
        <f>_xlfn.IFNA(IF(AE219 &lt; (INDEX(SLATable[Maximum SLA],MATCH(G219,SLATable[Priority],0))),"YES","NO"),"")</f>
        <v/>
      </c>
    </row>
    <row r="220" spans="1:36" ht="15" customHeight="1">
      <c r="A220" s="78"/>
      <c r="B220" s="78"/>
      <c r="C220" s="78"/>
      <c r="D220" s="78"/>
      <c r="E220" s="396"/>
      <c r="F220" s="78"/>
      <c r="G220" s="78"/>
      <c r="H220" s="86"/>
      <c r="I220" s="78"/>
      <c r="J220" s="86"/>
      <c r="K220" s="277"/>
      <c r="L220" s="277"/>
      <c r="M220" s="277"/>
      <c r="N220" s="277"/>
      <c r="O220" s="80"/>
      <c r="P220" s="80"/>
      <c r="Q220" s="78"/>
      <c r="R220" s="78"/>
      <c r="S220" s="78"/>
      <c r="T220" s="78"/>
      <c r="U220" s="78"/>
      <c r="V220" s="78"/>
      <c r="W220" s="78"/>
      <c r="X220" s="78"/>
      <c r="Y220" s="78"/>
      <c r="Z220" s="167" t="e">
        <f t="shared" ca="1" si="24"/>
        <v>#N/A</v>
      </c>
      <c r="AA220" s="168" t="e">
        <f t="shared" ca="1" si="26"/>
        <v>#N/A</v>
      </c>
      <c r="AB220" s="167">
        <f t="shared" ca="1" si="25"/>
        <v>0</v>
      </c>
      <c r="AC220" s="168">
        <f t="shared" ca="1" si="27"/>
        <v>0</v>
      </c>
      <c r="AD220" s="191">
        <f t="shared" ca="1" si="28"/>
        <v>46259.633973495373</v>
      </c>
      <c r="AE220" s="167">
        <f t="shared" si="29"/>
        <v>0</v>
      </c>
      <c r="AF220" s="168">
        <f t="shared" si="30"/>
        <v>0</v>
      </c>
      <c r="AG220" s="168">
        <f t="shared" si="31"/>
        <v>0</v>
      </c>
      <c r="AH220" s="81" t="e" cm="1">
        <f t="array" aca="1" ref="AH220" ca="1">IF((AD220) &lt; (INDEX(ResponseSLA[#All],(MATCH((G220),ResponseSLA[Priority],0))+1,3)),"YES","No")</f>
        <v>#N/A</v>
      </c>
      <c r="AI220" s="81" t="str">
        <f>_xlfn.IFNA(IF(AE220 &lt; (INDEX(SLATable[Minimum SLA],MATCH(G220,SLATable[Priority],0))),"YES","NO"),"")</f>
        <v/>
      </c>
      <c r="AJ220" s="19" t="str">
        <f>_xlfn.IFNA(IF(AE220 &lt; (INDEX(SLATable[Maximum SLA],MATCH(G220,SLATable[Priority],0))),"YES","NO"),"")</f>
        <v/>
      </c>
    </row>
    <row r="221" spans="1:36" ht="15" customHeight="1">
      <c r="A221" s="78"/>
      <c r="B221" s="78"/>
      <c r="C221" s="78"/>
      <c r="D221" s="78"/>
      <c r="E221" s="396"/>
      <c r="F221" s="78"/>
      <c r="G221" s="78"/>
      <c r="H221" s="86"/>
      <c r="I221" s="78"/>
      <c r="J221" s="86"/>
      <c r="K221" s="277"/>
      <c r="L221" s="277"/>
      <c r="M221" s="277"/>
      <c r="N221" s="277"/>
      <c r="O221" s="80"/>
      <c r="P221" s="80"/>
      <c r="Q221" s="78"/>
      <c r="R221" s="78"/>
      <c r="S221" s="78"/>
      <c r="T221" s="78"/>
      <c r="U221" s="78"/>
      <c r="V221" s="78"/>
      <c r="W221" s="78"/>
      <c r="X221" s="78"/>
      <c r="Y221" s="78"/>
      <c r="Z221" s="167" t="e">
        <f t="shared" ca="1" si="24"/>
        <v>#N/A</v>
      </c>
      <c r="AA221" s="168" t="e">
        <f t="shared" ca="1" si="26"/>
        <v>#N/A</v>
      </c>
      <c r="AB221" s="167">
        <f t="shared" ca="1" si="25"/>
        <v>0</v>
      </c>
      <c r="AC221" s="168">
        <f t="shared" ca="1" si="27"/>
        <v>0</v>
      </c>
      <c r="AD221" s="191">
        <f t="shared" ca="1" si="28"/>
        <v>46259.633973495373</v>
      </c>
      <c r="AE221" s="167">
        <f t="shared" si="29"/>
        <v>0</v>
      </c>
      <c r="AF221" s="168">
        <f t="shared" si="30"/>
        <v>0</v>
      </c>
      <c r="AG221" s="168">
        <f t="shared" si="31"/>
        <v>0</v>
      </c>
      <c r="AH221" s="81" t="e" cm="1">
        <f t="array" aca="1" ref="AH221" ca="1">IF((AD221) &lt; (INDEX(ResponseSLA[#All],(MATCH((G221),ResponseSLA[Priority],0))+1,3)),"YES","No")</f>
        <v>#N/A</v>
      </c>
      <c r="AI221" s="81" t="str">
        <f>_xlfn.IFNA(IF(AE221 &lt; (INDEX(SLATable[Minimum SLA],MATCH(G221,SLATable[Priority],0))),"YES","NO"),"")</f>
        <v/>
      </c>
      <c r="AJ221" s="19" t="str">
        <f>_xlfn.IFNA(IF(AE221 &lt; (INDEX(SLATable[Maximum SLA],MATCH(G221,SLATable[Priority],0))),"YES","NO"),"")</f>
        <v/>
      </c>
    </row>
    <row r="222" spans="1:36" ht="15" customHeight="1">
      <c r="A222" s="78"/>
      <c r="B222" s="78"/>
      <c r="C222" s="78"/>
      <c r="D222" s="78"/>
      <c r="E222" s="78"/>
      <c r="F222" s="78"/>
      <c r="G222" s="78"/>
      <c r="H222" s="86"/>
      <c r="I222" s="78"/>
      <c r="J222" s="86"/>
      <c r="K222" s="277"/>
      <c r="L222" s="277"/>
      <c r="M222" s="277"/>
      <c r="N222" s="277"/>
      <c r="O222" s="80"/>
      <c r="P222" s="80"/>
      <c r="Q222" s="78"/>
      <c r="R222" s="78"/>
      <c r="S222" s="78"/>
      <c r="T222" s="78"/>
      <c r="U222" s="78"/>
      <c r="V222" s="78"/>
      <c r="W222" s="78"/>
      <c r="X222" s="78"/>
      <c r="Y222" s="78"/>
      <c r="Z222" s="167" t="e">
        <f t="shared" ca="1" si="24"/>
        <v>#N/A</v>
      </c>
      <c r="AA222" s="168" t="e">
        <f t="shared" ca="1" si="26"/>
        <v>#N/A</v>
      </c>
      <c r="AB222" s="167">
        <f t="shared" ca="1" si="25"/>
        <v>0</v>
      </c>
      <c r="AC222" s="168">
        <f t="shared" ca="1" si="27"/>
        <v>0</v>
      </c>
      <c r="AD222" s="191">
        <f t="shared" ca="1" si="28"/>
        <v>46259.633973495373</v>
      </c>
      <c r="AE222" s="167">
        <f t="shared" si="29"/>
        <v>0</v>
      </c>
      <c r="AF222" s="168">
        <f t="shared" si="30"/>
        <v>0</v>
      </c>
      <c r="AG222" s="168">
        <f t="shared" si="31"/>
        <v>0</v>
      </c>
      <c r="AH222" s="81" t="e" cm="1">
        <f t="array" aca="1" ref="AH222" ca="1">IF((AD222) &lt; (INDEX(ResponseSLA[#All],(MATCH((G222),ResponseSLA[Priority],0))+1,3)),"YES","No")</f>
        <v>#N/A</v>
      </c>
      <c r="AI222" s="81" t="str">
        <f>_xlfn.IFNA(IF(AE222 &lt; (INDEX(SLATable[Minimum SLA],MATCH(G222,SLATable[Priority],0))),"YES","NO"),"")</f>
        <v/>
      </c>
      <c r="AJ222" s="19" t="str">
        <f>_xlfn.IFNA(IF(AE222 &lt; (INDEX(SLATable[Maximum SLA],MATCH(G222,SLATable[Priority],0))),"YES","NO"),"")</f>
        <v/>
      </c>
    </row>
    <row r="223" spans="1:36" ht="15" customHeight="1">
      <c r="A223" s="78"/>
      <c r="B223" s="78"/>
      <c r="C223" s="78"/>
      <c r="D223" s="78"/>
      <c r="E223" s="78"/>
      <c r="F223" s="78"/>
      <c r="G223" s="78"/>
      <c r="H223" s="86"/>
      <c r="I223" s="78"/>
      <c r="J223" s="86"/>
      <c r="K223" s="277"/>
      <c r="L223" s="277"/>
      <c r="M223" s="277"/>
      <c r="N223" s="277"/>
      <c r="O223" s="80"/>
      <c r="P223" s="80"/>
      <c r="Q223" s="78"/>
      <c r="R223" s="78"/>
      <c r="S223" s="78"/>
      <c r="T223" s="78"/>
      <c r="U223" s="78"/>
      <c r="V223" s="78"/>
      <c r="W223" s="78"/>
      <c r="X223" s="78"/>
      <c r="Y223" s="78"/>
      <c r="Z223" s="167" t="e">
        <f t="shared" ca="1" si="24"/>
        <v>#N/A</v>
      </c>
      <c r="AA223" s="168" t="e">
        <f t="shared" ca="1" si="26"/>
        <v>#N/A</v>
      </c>
      <c r="AB223" s="167">
        <f t="shared" ca="1" si="25"/>
        <v>0</v>
      </c>
      <c r="AC223" s="168">
        <f t="shared" ca="1" si="27"/>
        <v>0</v>
      </c>
      <c r="AD223" s="191">
        <f t="shared" ca="1" si="28"/>
        <v>46259.633973495373</v>
      </c>
      <c r="AE223" s="167">
        <f t="shared" si="29"/>
        <v>0</v>
      </c>
      <c r="AF223" s="168">
        <f t="shared" si="30"/>
        <v>0</v>
      </c>
      <c r="AG223" s="168">
        <f t="shared" si="31"/>
        <v>0</v>
      </c>
      <c r="AH223" s="81" t="e" cm="1">
        <f t="array" aca="1" ref="AH223" ca="1">IF((AD223) &lt; (INDEX(ResponseSLA[#All],(MATCH((G223),ResponseSLA[Priority],0))+1,3)),"YES","No")</f>
        <v>#N/A</v>
      </c>
      <c r="AI223" s="81" t="str">
        <f>_xlfn.IFNA(IF(AE223 &lt; (INDEX(SLATable[Minimum SLA],MATCH(G223,SLATable[Priority],0))),"YES","NO"),"")</f>
        <v/>
      </c>
      <c r="AJ223" s="19" t="str">
        <f>_xlfn.IFNA(IF(AE223 &lt; (INDEX(SLATable[Maximum SLA],MATCH(G223,SLATable[Priority],0))),"YES","NO"),"")</f>
        <v/>
      </c>
    </row>
    <row r="224" spans="1:36" ht="15" customHeight="1">
      <c r="A224" s="78"/>
      <c r="B224" s="78"/>
      <c r="C224" s="78"/>
      <c r="D224" s="78"/>
      <c r="E224" s="78"/>
      <c r="F224" s="78"/>
      <c r="G224" s="78"/>
      <c r="H224" s="86"/>
      <c r="I224" s="78"/>
      <c r="J224" s="86"/>
      <c r="K224" s="277"/>
      <c r="L224" s="277"/>
      <c r="M224" s="277"/>
      <c r="N224" s="277"/>
      <c r="O224" s="80"/>
      <c r="P224" s="80"/>
      <c r="Q224" s="78"/>
      <c r="R224" s="78"/>
      <c r="S224" s="78"/>
      <c r="T224" s="78"/>
      <c r="U224" s="78"/>
      <c r="V224" s="78"/>
      <c r="W224" s="78"/>
      <c r="X224" s="78"/>
      <c r="Y224" s="78"/>
      <c r="Z224" s="167" t="e">
        <f t="shared" ca="1" si="24"/>
        <v>#N/A</v>
      </c>
      <c r="AA224" s="168" t="e">
        <f t="shared" ca="1" si="26"/>
        <v>#N/A</v>
      </c>
      <c r="AB224" s="167">
        <f t="shared" ca="1" si="25"/>
        <v>0</v>
      </c>
      <c r="AC224" s="168">
        <f t="shared" ca="1" si="27"/>
        <v>0</v>
      </c>
      <c r="AD224" s="191">
        <f t="shared" ca="1" si="28"/>
        <v>46259.633973495373</v>
      </c>
      <c r="AE224" s="167">
        <f t="shared" si="29"/>
        <v>0</v>
      </c>
      <c r="AF224" s="168">
        <f t="shared" si="30"/>
        <v>0</v>
      </c>
      <c r="AG224" s="168">
        <f t="shared" si="31"/>
        <v>0</v>
      </c>
      <c r="AH224" s="81" t="e" cm="1">
        <f t="array" aca="1" ref="AH224" ca="1">IF((AD224) &lt; (INDEX(ResponseSLA[#All],(MATCH((G224),ResponseSLA[Priority],0))+1,3)),"YES","No")</f>
        <v>#N/A</v>
      </c>
      <c r="AI224" s="81" t="str">
        <f>_xlfn.IFNA(IF(AE224 &lt; (INDEX(SLATable[Minimum SLA],MATCH(G224,SLATable[Priority],0))),"YES","NO"),"")</f>
        <v/>
      </c>
      <c r="AJ224" s="19" t="str">
        <f>_xlfn.IFNA(IF(AE224 &lt; (INDEX(SLATable[Maximum SLA],MATCH(G224,SLATable[Priority],0))),"YES","NO"),"")</f>
        <v/>
      </c>
    </row>
    <row r="225" spans="1:36" ht="15" customHeight="1">
      <c r="A225" s="78"/>
      <c r="B225" s="78"/>
      <c r="C225" s="78"/>
      <c r="D225" s="78"/>
      <c r="E225" s="396"/>
      <c r="F225" s="78"/>
      <c r="G225" s="78"/>
      <c r="H225" s="86"/>
      <c r="I225" s="78"/>
      <c r="J225" s="86"/>
      <c r="K225" s="186"/>
      <c r="L225" s="277"/>
      <c r="M225" s="277"/>
      <c r="N225" s="277"/>
      <c r="O225" s="80"/>
      <c r="P225" s="80"/>
      <c r="Q225" s="78"/>
      <c r="R225" s="78"/>
      <c r="S225" s="78"/>
      <c r="T225" s="78"/>
      <c r="U225" s="78"/>
      <c r="V225" s="78"/>
      <c r="W225" s="78"/>
      <c r="X225" s="78"/>
      <c r="Y225" s="78"/>
      <c r="Z225" s="167" t="e">
        <f t="shared" ca="1" si="24"/>
        <v>#N/A</v>
      </c>
      <c r="AA225" s="168" t="e">
        <f t="shared" ca="1" si="26"/>
        <v>#N/A</v>
      </c>
      <c r="AB225" s="167">
        <f t="shared" ca="1" si="25"/>
        <v>0</v>
      </c>
      <c r="AC225" s="168">
        <f t="shared" ca="1" si="27"/>
        <v>0</v>
      </c>
      <c r="AD225" s="191">
        <f t="shared" ca="1" si="28"/>
        <v>46259.633973495373</v>
      </c>
      <c r="AE225" s="167">
        <f t="shared" si="29"/>
        <v>0</v>
      </c>
      <c r="AF225" s="168">
        <f t="shared" si="30"/>
        <v>0</v>
      </c>
      <c r="AG225" s="168">
        <f t="shared" si="31"/>
        <v>0</v>
      </c>
      <c r="AH225" s="81" t="e" cm="1">
        <f t="array" aca="1" ref="AH225" ca="1">IF((AD225) &lt; (INDEX(ResponseSLA[#All],(MATCH((G225),ResponseSLA[Priority],0))+1,3)),"YES","No")</f>
        <v>#N/A</v>
      </c>
      <c r="AI225" s="81" t="str">
        <f>_xlfn.IFNA(IF(AE225 &lt; (INDEX(SLATable[Minimum SLA],MATCH(G225,SLATable[Priority],0))),"YES","NO"),"")</f>
        <v/>
      </c>
      <c r="AJ225" s="19" t="str">
        <f>_xlfn.IFNA(IF(AE225 &lt; (INDEX(SLATable[Maximum SLA],MATCH(G225,SLATable[Priority],0))),"YES","NO"),"")</f>
        <v/>
      </c>
    </row>
    <row r="226" spans="1:36" ht="15" customHeight="1">
      <c r="A226" s="78"/>
      <c r="B226" s="78"/>
      <c r="C226" s="78"/>
      <c r="D226" s="78"/>
      <c r="E226" s="396"/>
      <c r="F226" s="78"/>
      <c r="G226" s="78"/>
      <c r="H226" s="86"/>
      <c r="I226" s="78"/>
      <c r="J226" s="86"/>
      <c r="K226" s="277"/>
      <c r="L226" s="277"/>
      <c r="M226" s="277"/>
      <c r="N226" s="277"/>
      <c r="O226" s="80"/>
      <c r="P226" s="80"/>
      <c r="Q226" s="78"/>
      <c r="R226" s="78"/>
      <c r="S226" s="78"/>
      <c r="T226" s="78"/>
      <c r="U226" s="78"/>
      <c r="V226" s="78"/>
      <c r="W226" s="78"/>
      <c r="X226" s="78"/>
      <c r="Y226" s="78"/>
      <c r="Z226" s="167" t="e">
        <f t="shared" ca="1" si="24"/>
        <v>#N/A</v>
      </c>
      <c r="AA226" s="168" t="e">
        <f t="shared" ca="1" si="26"/>
        <v>#N/A</v>
      </c>
      <c r="AB226" s="167">
        <f t="shared" ca="1" si="25"/>
        <v>0</v>
      </c>
      <c r="AC226" s="168">
        <f t="shared" ca="1" si="27"/>
        <v>0</v>
      </c>
      <c r="AD226" s="191">
        <f t="shared" ca="1" si="28"/>
        <v>46259.633973495373</v>
      </c>
      <c r="AE226" s="167">
        <f t="shared" si="29"/>
        <v>0</v>
      </c>
      <c r="AF226" s="168">
        <f t="shared" si="30"/>
        <v>0</v>
      </c>
      <c r="AG226" s="168">
        <f t="shared" si="31"/>
        <v>0</v>
      </c>
      <c r="AH226" s="81" t="e" cm="1">
        <f t="array" aca="1" ref="AH226" ca="1">IF((AD226) &lt; (INDEX(ResponseSLA[#All],(MATCH((G226),ResponseSLA[Priority],0))+1,3)),"YES","No")</f>
        <v>#N/A</v>
      </c>
      <c r="AI226" s="81" t="str">
        <f>_xlfn.IFNA(IF(AE226 &lt; (INDEX(SLATable[Minimum SLA],MATCH(G226,SLATable[Priority],0))),"YES","NO"),"")</f>
        <v/>
      </c>
      <c r="AJ226" s="19" t="str">
        <f>_xlfn.IFNA(IF(AE226 &lt; (INDEX(SLATable[Maximum SLA],MATCH(G226,SLATable[Priority],0))),"YES","NO"),"")</f>
        <v/>
      </c>
    </row>
    <row r="227" spans="1:36" ht="15" customHeight="1">
      <c r="A227" s="78"/>
      <c r="B227" s="78"/>
      <c r="C227" s="78"/>
      <c r="D227" s="78"/>
      <c r="E227" s="396"/>
      <c r="F227" s="78"/>
      <c r="G227" s="78"/>
      <c r="H227" s="86"/>
      <c r="I227" s="78"/>
      <c r="J227" s="86"/>
      <c r="K227" s="277"/>
      <c r="L227" s="277"/>
      <c r="M227" s="277"/>
      <c r="N227" s="277"/>
      <c r="O227" s="80"/>
      <c r="P227" s="80"/>
      <c r="Q227" s="78"/>
      <c r="R227" s="78"/>
      <c r="S227" s="78"/>
      <c r="T227" s="78"/>
      <c r="U227" s="78"/>
      <c r="V227" s="78"/>
      <c r="W227" s="78"/>
      <c r="X227" s="78"/>
      <c r="Y227" s="78"/>
      <c r="Z227" s="167" t="e">
        <f t="shared" ca="1" si="24"/>
        <v>#N/A</v>
      </c>
      <c r="AA227" s="168" t="e">
        <f t="shared" ca="1" si="26"/>
        <v>#N/A</v>
      </c>
      <c r="AB227" s="167">
        <f t="shared" ca="1" si="25"/>
        <v>0</v>
      </c>
      <c r="AC227" s="168">
        <f t="shared" ca="1" si="27"/>
        <v>0</v>
      </c>
      <c r="AD227" s="191">
        <f t="shared" ca="1" si="28"/>
        <v>46259.633973495373</v>
      </c>
      <c r="AE227" s="167">
        <f t="shared" si="29"/>
        <v>0</v>
      </c>
      <c r="AF227" s="168">
        <f t="shared" si="30"/>
        <v>0</v>
      </c>
      <c r="AG227" s="168">
        <f t="shared" si="31"/>
        <v>0</v>
      </c>
      <c r="AH227" s="81" t="e" cm="1">
        <f t="array" aca="1" ref="AH227" ca="1">IF((AD227) &lt; (INDEX(ResponseSLA[#All],(MATCH((G227),ResponseSLA[Priority],0))+1,3)),"YES","No")</f>
        <v>#N/A</v>
      </c>
      <c r="AI227" s="81" t="str">
        <f>_xlfn.IFNA(IF(AE227 &lt; (INDEX(SLATable[Minimum SLA],MATCH(G227,SLATable[Priority],0))),"YES","NO"),"")</f>
        <v/>
      </c>
      <c r="AJ227" s="19" t="str">
        <f>_xlfn.IFNA(IF(AE227 &lt; (INDEX(SLATable[Maximum SLA],MATCH(G227,SLATable[Priority],0))),"YES","NO"),"")</f>
        <v/>
      </c>
    </row>
    <row r="228" spans="1:36" ht="15" customHeight="1">
      <c r="A228" s="78"/>
      <c r="B228" s="78"/>
      <c r="C228" s="78"/>
      <c r="D228" s="78"/>
      <c r="E228" s="396"/>
      <c r="F228" s="78"/>
      <c r="G228" s="78"/>
      <c r="H228" s="86"/>
      <c r="I228" s="78"/>
      <c r="J228" s="86"/>
      <c r="K228" s="277"/>
      <c r="L228" s="277"/>
      <c r="M228" s="277"/>
      <c r="N228" s="277"/>
      <c r="O228" s="80"/>
      <c r="P228" s="80"/>
      <c r="Q228" s="78"/>
      <c r="R228" s="78"/>
      <c r="S228" s="78"/>
      <c r="T228" s="78"/>
      <c r="U228" s="78"/>
      <c r="V228" s="78"/>
      <c r="W228" s="78"/>
      <c r="X228" s="78"/>
      <c r="Y228" s="78"/>
      <c r="Z228" s="167" t="e">
        <f t="shared" ca="1" si="24"/>
        <v>#N/A</v>
      </c>
      <c r="AA228" s="168" t="e">
        <f t="shared" ca="1" si="26"/>
        <v>#N/A</v>
      </c>
      <c r="AB228" s="167">
        <f t="shared" ca="1" si="25"/>
        <v>0</v>
      </c>
      <c r="AC228" s="168">
        <f t="shared" ca="1" si="27"/>
        <v>0</v>
      </c>
      <c r="AD228" s="191">
        <f t="shared" ca="1" si="28"/>
        <v>46259.633973495373</v>
      </c>
      <c r="AE228" s="167">
        <f t="shared" si="29"/>
        <v>0</v>
      </c>
      <c r="AF228" s="168">
        <f t="shared" si="30"/>
        <v>0</v>
      </c>
      <c r="AG228" s="168">
        <f t="shared" si="31"/>
        <v>0</v>
      </c>
      <c r="AH228" s="81" t="e" cm="1">
        <f t="array" aca="1" ref="AH228" ca="1">IF((AD228) &lt; (INDEX(ResponseSLA[#All],(MATCH((G228),ResponseSLA[Priority],0))+1,3)),"YES","No")</f>
        <v>#N/A</v>
      </c>
      <c r="AI228" s="81" t="str">
        <f>_xlfn.IFNA(IF(AE228 &lt; (INDEX(SLATable[Minimum SLA],MATCH(G228,SLATable[Priority],0))),"YES","NO"),"")</f>
        <v/>
      </c>
      <c r="AJ228" s="19" t="str">
        <f>_xlfn.IFNA(IF(AE228 &lt; (INDEX(SLATable[Maximum SLA],MATCH(G228,SLATable[Priority],0))),"YES","NO"),"")</f>
        <v/>
      </c>
    </row>
    <row r="229" spans="1:36" ht="15" customHeight="1">
      <c r="A229" s="78"/>
      <c r="B229" s="78"/>
      <c r="C229" s="78"/>
      <c r="D229" s="78"/>
      <c r="E229" s="78"/>
      <c r="F229" s="78"/>
      <c r="G229" s="78"/>
      <c r="H229" s="86"/>
      <c r="I229" s="78"/>
      <c r="J229" s="86"/>
      <c r="K229" s="277"/>
      <c r="L229" s="277"/>
      <c r="M229" s="277"/>
      <c r="N229" s="277"/>
      <c r="O229" s="80"/>
      <c r="P229" s="80"/>
      <c r="Q229" s="78"/>
      <c r="R229" s="78"/>
      <c r="S229" s="78"/>
      <c r="T229" s="78"/>
      <c r="U229" s="78"/>
      <c r="V229" s="78"/>
      <c r="W229" s="78"/>
      <c r="X229" s="78"/>
      <c r="Y229" s="78"/>
      <c r="Z229" s="167" t="e">
        <f t="shared" ca="1" si="24"/>
        <v>#N/A</v>
      </c>
      <c r="AA229" s="168" t="e">
        <f t="shared" ca="1" si="26"/>
        <v>#N/A</v>
      </c>
      <c r="AB229" s="167">
        <f t="shared" ca="1" si="25"/>
        <v>0</v>
      </c>
      <c r="AC229" s="168">
        <f t="shared" ca="1" si="27"/>
        <v>0</v>
      </c>
      <c r="AD229" s="191">
        <f t="shared" ca="1" si="28"/>
        <v>46259.633973495373</v>
      </c>
      <c r="AE229" s="167">
        <f t="shared" si="29"/>
        <v>0</v>
      </c>
      <c r="AF229" s="168">
        <f t="shared" si="30"/>
        <v>0</v>
      </c>
      <c r="AG229" s="168">
        <f t="shared" si="31"/>
        <v>0</v>
      </c>
      <c r="AH229" s="81" t="e" cm="1">
        <f t="array" aca="1" ref="AH229" ca="1">IF((AD229) &lt; (INDEX(ResponseSLA[#All],(MATCH((G229),ResponseSLA[Priority],0))+1,3)),"YES","No")</f>
        <v>#N/A</v>
      </c>
      <c r="AI229" s="81" t="str">
        <f>_xlfn.IFNA(IF(AE229 &lt; (INDEX(SLATable[Minimum SLA],MATCH(G229,SLATable[Priority],0))),"YES","NO"),"")</f>
        <v/>
      </c>
      <c r="AJ229" s="19" t="str">
        <f>_xlfn.IFNA(IF(AE229 &lt; (INDEX(SLATable[Maximum SLA],MATCH(G229,SLATable[Priority],0))),"YES","NO"),"")</f>
        <v/>
      </c>
    </row>
    <row r="230" spans="1:36" ht="15" customHeight="1">
      <c r="A230" s="78"/>
      <c r="B230" s="78"/>
      <c r="C230" s="78"/>
      <c r="D230" s="78"/>
      <c r="E230" s="78"/>
      <c r="F230" s="78"/>
      <c r="G230" s="78"/>
      <c r="H230" s="86"/>
      <c r="I230" s="78"/>
      <c r="J230" s="86"/>
      <c r="K230" s="277"/>
      <c r="L230" s="277"/>
      <c r="M230" s="277"/>
      <c r="N230" s="277"/>
      <c r="O230" s="80"/>
      <c r="P230" s="80"/>
      <c r="Q230" s="78"/>
      <c r="R230" s="78"/>
      <c r="S230" s="78"/>
      <c r="T230" s="78"/>
      <c r="U230" s="78"/>
      <c r="V230" s="78"/>
      <c r="W230" s="78"/>
      <c r="X230" s="78"/>
      <c r="Y230" s="78"/>
      <c r="Z230" s="167" t="e">
        <f t="shared" ca="1" si="24"/>
        <v>#N/A</v>
      </c>
      <c r="AA230" s="168" t="e">
        <f t="shared" ca="1" si="26"/>
        <v>#N/A</v>
      </c>
      <c r="AB230" s="167">
        <f t="shared" ca="1" si="25"/>
        <v>0</v>
      </c>
      <c r="AC230" s="168">
        <f t="shared" ca="1" si="27"/>
        <v>0</v>
      </c>
      <c r="AD230" s="191">
        <f t="shared" ca="1" si="28"/>
        <v>46259.633973495373</v>
      </c>
      <c r="AE230" s="167">
        <f t="shared" si="29"/>
        <v>0</v>
      </c>
      <c r="AF230" s="168">
        <f t="shared" si="30"/>
        <v>0</v>
      </c>
      <c r="AG230" s="168">
        <f t="shared" si="31"/>
        <v>0</v>
      </c>
      <c r="AH230" s="81" t="e" cm="1">
        <f t="array" aca="1" ref="AH230" ca="1">IF((AD230) &lt; (INDEX(ResponseSLA[#All],(MATCH((G230),ResponseSLA[Priority],0))+1,3)),"YES","No")</f>
        <v>#N/A</v>
      </c>
      <c r="AI230" s="81" t="str">
        <f>_xlfn.IFNA(IF(AE230 &lt; (INDEX(SLATable[Minimum SLA],MATCH(G230,SLATable[Priority],0))),"YES","NO"),"")</f>
        <v/>
      </c>
      <c r="AJ230" s="19" t="str">
        <f>_xlfn.IFNA(IF(AE230 &lt; (INDEX(SLATable[Maximum SLA],MATCH(G230,SLATable[Priority],0))),"YES","NO"),"")</f>
        <v/>
      </c>
    </row>
    <row r="231" spans="1:36" ht="15" customHeight="1">
      <c r="A231" s="78"/>
      <c r="B231" s="78"/>
      <c r="C231" s="78"/>
      <c r="D231" s="78"/>
      <c r="E231" s="78"/>
      <c r="F231" s="78"/>
      <c r="G231" s="78"/>
      <c r="H231" s="99"/>
      <c r="I231" s="78"/>
      <c r="J231" s="86"/>
      <c r="K231" s="277"/>
      <c r="L231" s="277"/>
      <c r="M231" s="277"/>
      <c r="N231" s="277"/>
      <c r="O231" s="80"/>
      <c r="P231" s="80"/>
      <c r="Q231" s="78"/>
      <c r="R231" s="78"/>
      <c r="S231" s="78"/>
      <c r="T231" s="78"/>
      <c r="U231" s="78"/>
      <c r="V231" s="78"/>
      <c r="W231" s="78"/>
      <c r="X231" s="78"/>
      <c r="Y231" s="78"/>
      <c r="Z231" s="167" t="e">
        <f t="shared" ca="1" si="24"/>
        <v>#N/A</v>
      </c>
      <c r="AA231" s="168" t="e">
        <f t="shared" ca="1" si="26"/>
        <v>#N/A</v>
      </c>
      <c r="AB231" s="167">
        <f t="shared" ca="1" si="25"/>
        <v>0</v>
      </c>
      <c r="AC231" s="168">
        <f t="shared" ca="1" si="27"/>
        <v>0</v>
      </c>
      <c r="AD231" s="191">
        <f t="shared" ca="1" si="28"/>
        <v>46259.633973495373</v>
      </c>
      <c r="AE231" s="167">
        <f t="shared" si="29"/>
        <v>0</v>
      </c>
      <c r="AF231" s="168">
        <f t="shared" si="30"/>
        <v>0</v>
      </c>
      <c r="AG231" s="168">
        <f t="shared" si="31"/>
        <v>0</v>
      </c>
      <c r="AH231" s="81" t="e" cm="1">
        <f t="array" aca="1" ref="AH231" ca="1">IF((AD231) &lt; (INDEX(ResponseSLA[#All],(MATCH((G231),ResponseSLA[Priority],0))+1,3)),"YES","No")</f>
        <v>#N/A</v>
      </c>
      <c r="AI231" s="81" t="str">
        <f>_xlfn.IFNA(IF(AE231 &lt; (INDEX(SLATable[Minimum SLA],MATCH(G231,SLATable[Priority],0))),"YES","NO"),"")</f>
        <v/>
      </c>
      <c r="AJ231" s="19" t="str">
        <f>_xlfn.IFNA(IF(AE231 &lt; (INDEX(SLATable[Maximum SLA],MATCH(G231,SLATable[Priority],0))),"YES","NO"),"")</f>
        <v/>
      </c>
    </row>
    <row r="232" spans="1:36" ht="15" customHeight="1">
      <c r="A232" s="78"/>
      <c r="B232" s="78"/>
      <c r="C232" s="78"/>
      <c r="D232" s="78"/>
      <c r="E232" s="78"/>
      <c r="F232" s="78"/>
      <c r="G232" s="78"/>
      <c r="H232" s="99"/>
      <c r="I232" s="78"/>
      <c r="J232" s="86"/>
      <c r="K232" s="277"/>
      <c r="L232" s="400"/>
      <c r="M232" s="277"/>
      <c r="N232" s="277"/>
      <c r="O232" s="80"/>
      <c r="P232" s="80"/>
      <c r="Q232" s="78"/>
      <c r="R232" s="78"/>
      <c r="S232" s="78"/>
      <c r="T232" s="78"/>
      <c r="U232" s="78"/>
      <c r="V232" s="78"/>
      <c r="W232" s="78"/>
      <c r="X232" s="78"/>
      <c r="Y232" s="78"/>
      <c r="Z232" s="167" t="e">
        <f t="shared" ca="1" si="24"/>
        <v>#N/A</v>
      </c>
      <c r="AA232" s="168" t="e">
        <f t="shared" ca="1" si="26"/>
        <v>#N/A</v>
      </c>
      <c r="AB232" s="167">
        <f t="shared" ca="1" si="25"/>
        <v>0</v>
      </c>
      <c r="AC232" s="168">
        <f t="shared" ca="1" si="27"/>
        <v>0</v>
      </c>
      <c r="AD232" s="191">
        <f t="shared" ca="1" si="28"/>
        <v>46259.633973495373</v>
      </c>
      <c r="AE232" s="167">
        <f t="shared" si="29"/>
        <v>0</v>
      </c>
      <c r="AF232" s="168">
        <f t="shared" si="30"/>
        <v>0</v>
      </c>
      <c r="AG232" s="168">
        <f t="shared" si="31"/>
        <v>0</v>
      </c>
      <c r="AH232" s="81" t="e" cm="1">
        <f t="array" aca="1" ref="AH232" ca="1">IF((AD232) &lt; (INDEX(ResponseSLA[#All],(MATCH((G232),ResponseSLA[Priority],0))+1,3)),"YES","No")</f>
        <v>#N/A</v>
      </c>
      <c r="AI232" s="81" t="str">
        <f>_xlfn.IFNA(IF(AE232 &lt; (INDEX(SLATable[Minimum SLA],MATCH(G232,SLATable[Priority],0))),"YES","NO"),"")</f>
        <v/>
      </c>
      <c r="AJ232" s="19" t="str">
        <f>_xlfn.IFNA(IF(AE232 &lt; (INDEX(SLATable[Maximum SLA],MATCH(G232,SLATable[Priority],0))),"YES","NO"),"")</f>
        <v/>
      </c>
    </row>
    <row r="233" spans="1:36" ht="15" customHeight="1">
      <c r="A233" s="78"/>
      <c r="B233" s="78"/>
      <c r="C233" s="78"/>
      <c r="D233" s="78"/>
      <c r="E233" s="85"/>
      <c r="F233" s="78"/>
      <c r="G233" s="78"/>
      <c r="H233" s="86"/>
      <c r="I233" s="78"/>
      <c r="J233" s="86"/>
      <c r="K233" s="277"/>
      <c r="L233" s="400"/>
      <c r="M233" s="277"/>
      <c r="N233" s="277"/>
      <c r="O233" s="80"/>
      <c r="P233" s="80"/>
      <c r="Q233" s="78"/>
      <c r="R233" s="78"/>
      <c r="S233" s="78"/>
      <c r="T233" s="78"/>
      <c r="U233" s="78"/>
      <c r="V233" s="78"/>
      <c r="W233" s="78"/>
      <c r="X233" s="78"/>
      <c r="Y233" s="78"/>
      <c r="Z233" s="167" t="e">
        <f t="shared" ca="1" si="24"/>
        <v>#N/A</v>
      </c>
      <c r="AA233" s="168" t="e">
        <f t="shared" ca="1" si="26"/>
        <v>#N/A</v>
      </c>
      <c r="AB233" s="167">
        <f t="shared" ca="1" si="25"/>
        <v>0</v>
      </c>
      <c r="AC233" s="168">
        <f t="shared" ca="1" si="27"/>
        <v>0</v>
      </c>
      <c r="AD233" s="191">
        <f t="shared" ca="1" si="28"/>
        <v>46259.633973495373</v>
      </c>
      <c r="AE233" s="167">
        <f t="shared" si="29"/>
        <v>0</v>
      </c>
      <c r="AF233" s="168">
        <f t="shared" si="30"/>
        <v>0</v>
      </c>
      <c r="AG233" s="168">
        <f t="shared" si="31"/>
        <v>0</v>
      </c>
      <c r="AH233" s="81" t="e" cm="1">
        <f t="array" aca="1" ref="AH233" ca="1">IF((AD233) &lt; (INDEX(ResponseSLA[#All],(MATCH((G233),ResponseSLA[Priority],0))+1,3)),"YES","No")</f>
        <v>#N/A</v>
      </c>
      <c r="AI233" s="81" t="str">
        <f>_xlfn.IFNA(IF(AE233 &lt; (INDEX(SLATable[Minimum SLA],MATCH(G233,SLATable[Priority],0))),"YES","NO"),"")</f>
        <v/>
      </c>
      <c r="AJ233" s="19" t="str">
        <f>_xlfn.IFNA(IF(AE233 &lt; (INDEX(SLATable[Maximum SLA],MATCH(G233,SLATable[Priority],0))),"YES","NO"),"")</f>
        <v/>
      </c>
    </row>
    <row r="234" spans="1:36" ht="15" customHeight="1">
      <c r="A234" s="78"/>
      <c r="B234" s="78"/>
      <c r="C234" s="78"/>
      <c r="D234" s="78"/>
      <c r="E234" s="78"/>
      <c r="F234" s="78"/>
      <c r="G234" s="78"/>
      <c r="H234" s="85"/>
      <c r="I234" s="78"/>
      <c r="J234" s="85"/>
      <c r="K234" s="277"/>
      <c r="L234" s="400"/>
      <c r="M234" s="277"/>
      <c r="N234" s="277"/>
      <c r="O234" s="80"/>
      <c r="P234" s="80"/>
      <c r="Q234" s="78"/>
      <c r="R234" s="78"/>
      <c r="S234" s="78"/>
      <c r="T234" s="78"/>
      <c r="U234" s="78"/>
      <c r="V234" s="78"/>
      <c r="W234" s="78"/>
      <c r="X234" s="78"/>
      <c r="Y234" s="78"/>
      <c r="Z234" s="167" t="e">
        <f t="shared" ca="1" si="24"/>
        <v>#N/A</v>
      </c>
      <c r="AA234" s="168" t="e">
        <f t="shared" ca="1" si="26"/>
        <v>#N/A</v>
      </c>
      <c r="AB234" s="167">
        <f t="shared" ca="1" si="25"/>
        <v>0</v>
      </c>
      <c r="AC234" s="168">
        <f t="shared" ca="1" si="27"/>
        <v>0</v>
      </c>
      <c r="AD234" s="191">
        <f t="shared" ca="1" si="28"/>
        <v>46259.633973495373</v>
      </c>
      <c r="AE234" s="167">
        <f t="shared" si="29"/>
        <v>0</v>
      </c>
      <c r="AF234" s="168">
        <f t="shared" si="30"/>
        <v>0</v>
      </c>
      <c r="AG234" s="168">
        <f t="shared" si="31"/>
        <v>0</v>
      </c>
      <c r="AH234" s="81" t="e" cm="1">
        <f t="array" aca="1" ref="AH234" ca="1">IF((AD234) &lt; (INDEX(ResponseSLA[#All],(MATCH((G234),ResponseSLA[Priority],0))+1,3)),"YES","No")</f>
        <v>#N/A</v>
      </c>
      <c r="AI234" s="81" t="str">
        <f>_xlfn.IFNA(IF(AE234 &lt; (INDEX(SLATable[Minimum SLA],MATCH(G234,SLATable[Priority],0))),"YES","NO"),"")</f>
        <v/>
      </c>
      <c r="AJ234" s="19" t="str">
        <f>_xlfn.IFNA(IF(AE234 &lt; (INDEX(SLATable[Maximum SLA],MATCH(G234,SLATable[Priority],0))),"YES","NO"),"")</f>
        <v/>
      </c>
    </row>
    <row r="235" spans="1:36" ht="15" customHeight="1">
      <c r="A235" s="78"/>
      <c r="B235" s="78"/>
      <c r="C235" s="78"/>
      <c r="D235" s="78"/>
      <c r="E235" s="85"/>
      <c r="F235" s="78"/>
      <c r="G235" s="78"/>
      <c r="H235" s="401"/>
      <c r="I235" s="78"/>
      <c r="J235" s="86"/>
      <c r="K235" s="277"/>
      <c r="L235" s="400"/>
      <c r="M235" s="277"/>
      <c r="N235" s="277"/>
      <c r="O235" s="80"/>
      <c r="P235" s="80"/>
      <c r="Q235" s="78"/>
      <c r="R235" s="78"/>
      <c r="S235" s="78"/>
      <c r="T235" s="78"/>
      <c r="U235" s="78"/>
      <c r="V235" s="78"/>
      <c r="W235" s="78"/>
      <c r="X235" s="78"/>
      <c r="Y235" s="78"/>
      <c r="Z235" s="167" t="e">
        <f t="shared" ca="1" si="24"/>
        <v>#N/A</v>
      </c>
      <c r="AA235" s="168" t="e">
        <f t="shared" ca="1" si="26"/>
        <v>#N/A</v>
      </c>
      <c r="AB235" s="167">
        <f t="shared" ca="1" si="25"/>
        <v>0</v>
      </c>
      <c r="AC235" s="168">
        <f t="shared" ca="1" si="27"/>
        <v>0</v>
      </c>
      <c r="AD235" s="191">
        <f t="shared" ca="1" si="28"/>
        <v>46259.633973495373</v>
      </c>
      <c r="AE235" s="167">
        <f t="shared" si="29"/>
        <v>0</v>
      </c>
      <c r="AF235" s="168">
        <f t="shared" si="30"/>
        <v>0</v>
      </c>
      <c r="AG235" s="168">
        <f t="shared" si="31"/>
        <v>0</v>
      </c>
      <c r="AH235" s="81" t="e" cm="1">
        <f t="array" aca="1" ref="AH235" ca="1">IF((AD235) &lt; (INDEX(ResponseSLA[#All],(MATCH((G235),ResponseSLA[Priority],0))+1,3)),"YES","No")</f>
        <v>#N/A</v>
      </c>
      <c r="AI235" s="81" t="str">
        <f>_xlfn.IFNA(IF(AE235 &lt; (INDEX(SLATable[Minimum SLA],MATCH(G235,SLATable[Priority],0))),"YES","NO"),"")</f>
        <v/>
      </c>
      <c r="AJ235" s="19" t="str">
        <f>_xlfn.IFNA(IF(AE235 &lt; (INDEX(SLATable[Maximum SLA],MATCH(G235,SLATable[Priority],0))),"YES","NO"),"")</f>
        <v/>
      </c>
    </row>
    <row r="236" spans="1:36" ht="15" customHeight="1">
      <c r="A236" s="78"/>
      <c r="B236" s="78"/>
      <c r="C236" s="78"/>
      <c r="D236" s="78"/>
      <c r="E236" s="85"/>
      <c r="F236" s="78"/>
      <c r="G236" s="78"/>
      <c r="H236" s="85"/>
      <c r="I236" s="78"/>
      <c r="J236" s="86"/>
      <c r="K236" s="277"/>
      <c r="L236" s="400"/>
      <c r="M236" s="277"/>
      <c r="N236" s="277"/>
      <c r="O236" s="80"/>
      <c r="P236" s="80"/>
      <c r="Q236" s="78"/>
      <c r="R236" s="78"/>
      <c r="S236" s="78"/>
      <c r="T236" s="78"/>
      <c r="U236" s="78"/>
      <c r="V236" s="78"/>
      <c r="W236" s="78"/>
      <c r="X236" s="78"/>
      <c r="Y236" s="78"/>
      <c r="Z236" s="167" t="e">
        <f t="shared" ca="1" si="24"/>
        <v>#N/A</v>
      </c>
      <c r="AA236" s="168" t="e">
        <f t="shared" ca="1" si="26"/>
        <v>#N/A</v>
      </c>
      <c r="AB236" s="167">
        <f t="shared" ca="1" si="25"/>
        <v>0</v>
      </c>
      <c r="AC236" s="168">
        <f t="shared" ca="1" si="27"/>
        <v>0</v>
      </c>
      <c r="AD236" s="191">
        <f t="shared" ca="1" si="28"/>
        <v>46259.633973495373</v>
      </c>
      <c r="AE236" s="167">
        <f t="shared" si="29"/>
        <v>0</v>
      </c>
      <c r="AF236" s="168">
        <f t="shared" si="30"/>
        <v>0</v>
      </c>
      <c r="AG236" s="168">
        <f t="shared" si="31"/>
        <v>0</v>
      </c>
      <c r="AH236" s="81" t="e" cm="1">
        <f t="array" aca="1" ref="AH236" ca="1">IF((AD236) &lt; (INDEX(ResponseSLA[#All],(MATCH((G236),ResponseSLA[Priority],0))+1,3)),"YES","No")</f>
        <v>#N/A</v>
      </c>
      <c r="AI236" s="81" t="str">
        <f>_xlfn.IFNA(IF(AE236 &lt; (INDEX(SLATable[Minimum SLA],MATCH(G236,SLATable[Priority],0))),"YES","NO"),"")</f>
        <v/>
      </c>
      <c r="AJ236" s="19" t="str">
        <f>_xlfn.IFNA(IF(AE236 &lt; (INDEX(SLATable[Maximum SLA],MATCH(G236,SLATable[Priority],0))),"YES","NO"),"")</f>
        <v/>
      </c>
    </row>
    <row r="237" spans="1:36" ht="15" customHeight="1">
      <c r="A237" s="78"/>
      <c r="B237" s="78"/>
      <c r="C237" s="78"/>
      <c r="D237" s="78"/>
      <c r="E237" s="78"/>
      <c r="F237" s="78"/>
      <c r="G237" s="78"/>
      <c r="H237" s="86"/>
      <c r="I237" s="78"/>
      <c r="J237" s="86"/>
      <c r="K237" s="277"/>
      <c r="L237" s="277"/>
      <c r="M237" s="277"/>
      <c r="N237" s="277"/>
      <c r="O237" s="80"/>
      <c r="P237" s="80"/>
      <c r="Q237" s="78"/>
      <c r="R237" s="78"/>
      <c r="S237" s="78"/>
      <c r="T237" s="78"/>
      <c r="U237" s="78"/>
      <c r="V237" s="78"/>
      <c r="W237" s="78"/>
      <c r="X237" s="78"/>
      <c r="Y237" s="78"/>
      <c r="Z237" s="167" t="e">
        <f t="shared" ca="1" si="24"/>
        <v>#N/A</v>
      </c>
      <c r="AA237" s="168" t="e">
        <f t="shared" ca="1" si="26"/>
        <v>#N/A</v>
      </c>
      <c r="AB237" s="167">
        <f t="shared" ca="1" si="25"/>
        <v>0</v>
      </c>
      <c r="AC237" s="168">
        <f t="shared" ca="1" si="27"/>
        <v>0</v>
      </c>
      <c r="AD237" s="191">
        <f t="shared" ca="1" si="28"/>
        <v>46259.633973495373</v>
      </c>
      <c r="AE237" s="167">
        <f t="shared" si="29"/>
        <v>0</v>
      </c>
      <c r="AF237" s="168">
        <f t="shared" si="30"/>
        <v>0</v>
      </c>
      <c r="AG237" s="168">
        <f t="shared" si="31"/>
        <v>0</v>
      </c>
      <c r="AH237" s="81" t="e" cm="1">
        <f t="array" aca="1" ref="AH237" ca="1">IF((AD237) &lt; (INDEX(ResponseSLA[#All],(MATCH((G237),ResponseSLA[Priority],0))+1,3)),"YES","No")</f>
        <v>#N/A</v>
      </c>
      <c r="AI237" s="81" t="str">
        <f>_xlfn.IFNA(IF(AE237 &lt; (INDEX(SLATable[Minimum SLA],MATCH(G237,SLATable[Priority],0))),"YES","NO"),"")</f>
        <v/>
      </c>
      <c r="AJ237" s="19" t="str">
        <f>_xlfn.IFNA(IF(AE237 &lt; (INDEX(SLATable[Maximum SLA],MATCH(G237,SLATable[Priority],0))),"YES","NO"),"")</f>
        <v/>
      </c>
    </row>
    <row r="238" spans="1:36" ht="15" customHeight="1">
      <c r="A238" s="78"/>
      <c r="B238" s="78"/>
      <c r="C238" s="78"/>
      <c r="D238" s="78"/>
      <c r="E238" s="78"/>
      <c r="F238" s="78"/>
      <c r="G238" s="78"/>
      <c r="H238" s="86"/>
      <c r="I238" s="78"/>
      <c r="J238" s="86"/>
      <c r="K238" s="277"/>
      <c r="L238" s="277"/>
      <c r="M238" s="277"/>
      <c r="N238" s="277"/>
      <c r="O238" s="80"/>
      <c r="P238" s="80"/>
      <c r="Q238" s="78"/>
      <c r="R238" s="78"/>
      <c r="S238" s="78"/>
      <c r="T238" s="78"/>
      <c r="U238" s="78"/>
      <c r="V238" s="78"/>
      <c r="W238" s="78"/>
      <c r="X238" s="78"/>
      <c r="Y238" s="78"/>
      <c r="Z238" s="167" t="e">
        <f t="shared" ca="1" si="24"/>
        <v>#N/A</v>
      </c>
      <c r="AA238" s="168" t="e">
        <f t="shared" ca="1" si="26"/>
        <v>#N/A</v>
      </c>
      <c r="AB238" s="167">
        <f t="shared" ca="1" si="25"/>
        <v>0</v>
      </c>
      <c r="AC238" s="168">
        <f t="shared" ca="1" si="27"/>
        <v>0</v>
      </c>
      <c r="AD238" s="191">
        <f t="shared" ca="1" si="28"/>
        <v>46259.633973495373</v>
      </c>
      <c r="AE238" s="167">
        <f t="shared" si="29"/>
        <v>0</v>
      </c>
      <c r="AF238" s="168">
        <f t="shared" si="30"/>
        <v>0</v>
      </c>
      <c r="AG238" s="168">
        <f t="shared" si="31"/>
        <v>0</v>
      </c>
      <c r="AH238" s="81" t="e" cm="1">
        <f t="array" aca="1" ref="AH238" ca="1">IF((AD238) &lt; (INDEX(ResponseSLA[#All],(MATCH((G238),ResponseSLA[Priority],0))+1,3)),"YES","No")</f>
        <v>#N/A</v>
      </c>
      <c r="AI238" s="81" t="str">
        <f>_xlfn.IFNA(IF(AE238 &lt; (INDEX(SLATable[Minimum SLA],MATCH(G238,SLATable[Priority],0))),"YES","NO"),"")</f>
        <v/>
      </c>
      <c r="AJ238" s="19" t="str">
        <f>_xlfn.IFNA(IF(AE238 &lt; (INDEX(SLATable[Maximum SLA],MATCH(G238,SLATable[Priority],0))),"YES","NO"),"")</f>
        <v/>
      </c>
    </row>
    <row r="239" spans="1:36" ht="15" customHeight="1">
      <c r="A239" s="78"/>
      <c r="B239" s="78"/>
      <c r="C239" s="78"/>
      <c r="D239" s="78"/>
      <c r="E239" s="78"/>
      <c r="F239" s="78"/>
      <c r="G239" s="78"/>
      <c r="H239" s="86"/>
      <c r="I239" s="78"/>
      <c r="J239" s="86"/>
      <c r="K239" s="277"/>
      <c r="L239" s="277"/>
      <c r="M239" s="277"/>
      <c r="N239" s="277"/>
      <c r="O239" s="80"/>
      <c r="P239" s="80"/>
      <c r="Q239" s="78"/>
      <c r="R239" s="78"/>
      <c r="S239" s="78"/>
      <c r="T239" s="78"/>
      <c r="U239" s="78"/>
      <c r="V239" s="78"/>
      <c r="W239" s="78"/>
      <c r="X239" s="78"/>
      <c r="Y239" s="78"/>
      <c r="Z239" s="167" t="e">
        <f t="shared" ca="1" si="24"/>
        <v>#N/A</v>
      </c>
      <c r="AA239" s="168" t="e">
        <f t="shared" ca="1" si="26"/>
        <v>#N/A</v>
      </c>
      <c r="AB239" s="167">
        <f t="shared" ca="1" si="25"/>
        <v>0</v>
      </c>
      <c r="AC239" s="168">
        <f t="shared" ca="1" si="27"/>
        <v>0</v>
      </c>
      <c r="AD239" s="191">
        <f t="shared" ca="1" si="28"/>
        <v>46259.633973495373</v>
      </c>
      <c r="AE239" s="167">
        <f t="shared" si="29"/>
        <v>0</v>
      </c>
      <c r="AF239" s="168">
        <f t="shared" si="30"/>
        <v>0</v>
      </c>
      <c r="AG239" s="168">
        <f t="shared" si="31"/>
        <v>0</v>
      </c>
      <c r="AH239" s="81" t="e" cm="1">
        <f t="array" aca="1" ref="AH239" ca="1">IF((AD239) &lt; (INDEX(ResponseSLA[#All],(MATCH((G239),ResponseSLA[Priority],0))+1,3)),"YES","No")</f>
        <v>#N/A</v>
      </c>
      <c r="AI239" s="81" t="str">
        <f>_xlfn.IFNA(IF(AE239 &lt; (INDEX(SLATable[Minimum SLA],MATCH(G239,SLATable[Priority],0))),"YES","NO"),"")</f>
        <v/>
      </c>
      <c r="AJ239" s="19" t="str">
        <f>_xlfn.IFNA(IF(AE239 &lt; (INDEX(SLATable[Maximum SLA],MATCH(G239,SLATable[Priority],0))),"YES","NO"),"")</f>
        <v/>
      </c>
    </row>
    <row r="240" spans="1:36" ht="15" customHeight="1">
      <c r="A240" s="78"/>
      <c r="B240" s="78"/>
      <c r="C240" s="78"/>
      <c r="D240" s="78"/>
      <c r="E240" s="182"/>
      <c r="F240" s="182"/>
      <c r="G240" s="78"/>
      <c r="H240" s="182"/>
      <c r="I240" s="78"/>
      <c r="J240" s="182"/>
      <c r="K240" s="183"/>
      <c r="L240" s="277"/>
      <c r="M240" s="277"/>
      <c r="N240" s="183"/>
      <c r="O240" s="80"/>
      <c r="P240" s="80"/>
      <c r="Q240" s="78"/>
      <c r="R240" s="78"/>
      <c r="S240" s="78"/>
      <c r="T240" s="78"/>
      <c r="U240" s="78"/>
      <c r="V240" s="78"/>
      <c r="W240" s="78"/>
      <c r="X240" s="78"/>
      <c r="Y240" s="78"/>
      <c r="Z240" s="167" t="e">
        <f t="shared" ca="1" si="24"/>
        <v>#N/A</v>
      </c>
      <c r="AA240" s="168" t="e">
        <f t="shared" ca="1" si="26"/>
        <v>#N/A</v>
      </c>
      <c r="AB240" s="167">
        <f t="shared" ca="1" si="25"/>
        <v>0</v>
      </c>
      <c r="AC240" s="168">
        <f t="shared" ca="1" si="27"/>
        <v>0</v>
      </c>
      <c r="AD240" s="191">
        <f t="shared" ca="1" si="28"/>
        <v>46259.633973495373</v>
      </c>
      <c r="AE240" s="167">
        <f t="shared" si="29"/>
        <v>0</v>
      </c>
      <c r="AF240" s="168">
        <f t="shared" si="30"/>
        <v>0</v>
      </c>
      <c r="AG240" s="168">
        <f t="shared" si="31"/>
        <v>0</v>
      </c>
      <c r="AH240" s="81" t="e" cm="1">
        <f t="array" aca="1" ref="AH240" ca="1">IF((AD240) &lt; (INDEX(ResponseSLA[#All],(MATCH((G240),ResponseSLA[Priority],0))+1,3)),"YES","No")</f>
        <v>#N/A</v>
      </c>
      <c r="AI240" s="81" t="str">
        <f>_xlfn.IFNA(IF(AE240 &lt; (INDEX(SLATable[Minimum SLA],MATCH(G240,SLATable[Priority],0))),"YES","NO"),"")</f>
        <v/>
      </c>
      <c r="AJ240" s="19" t="str">
        <f>_xlfn.IFNA(IF(AE240 &lt; (INDEX(SLATable[Maximum SLA],MATCH(G240,SLATable[Priority],0))),"YES","NO"),"")</f>
        <v/>
      </c>
    </row>
    <row r="241" spans="1:36" ht="15" customHeight="1">
      <c r="A241" s="78"/>
      <c r="B241" s="78"/>
      <c r="C241" s="78"/>
      <c r="D241" s="78"/>
      <c r="E241" s="182"/>
      <c r="F241" s="182"/>
      <c r="G241" s="323"/>
      <c r="H241" s="182"/>
      <c r="I241" s="78"/>
      <c r="J241" s="182"/>
      <c r="K241" s="183"/>
      <c r="L241" s="324"/>
      <c r="M241" s="324"/>
      <c r="N241" s="183"/>
      <c r="O241" s="325"/>
      <c r="P241" s="325"/>
      <c r="Q241" s="326"/>
      <c r="R241" s="78"/>
      <c r="S241" s="78"/>
      <c r="T241" s="78"/>
      <c r="U241" s="78"/>
      <c r="V241" s="78"/>
      <c r="W241" s="78"/>
      <c r="X241" s="78"/>
      <c r="Y241" s="78"/>
      <c r="Z241" s="167" t="e">
        <f t="shared" ca="1" si="24"/>
        <v>#N/A</v>
      </c>
      <c r="AA241" s="168" t="e">
        <f t="shared" ca="1" si="26"/>
        <v>#N/A</v>
      </c>
      <c r="AB241" s="167">
        <f t="shared" ca="1" si="25"/>
        <v>0</v>
      </c>
      <c r="AC241" s="168">
        <f t="shared" ca="1" si="27"/>
        <v>0</v>
      </c>
      <c r="AD241" s="191">
        <f t="shared" ca="1" si="28"/>
        <v>46259.633973495373</v>
      </c>
      <c r="AE241" s="167">
        <f t="shared" si="29"/>
        <v>0</v>
      </c>
      <c r="AF241" s="168">
        <f t="shared" si="30"/>
        <v>0</v>
      </c>
      <c r="AG241" s="168">
        <f t="shared" si="31"/>
        <v>0</v>
      </c>
      <c r="AH241" s="81" t="e" cm="1">
        <f t="array" aca="1" ref="AH241" ca="1">IF((AD241) &lt; (INDEX(ResponseSLA[#All],(MATCH((G241),ResponseSLA[Priority],0))+1,3)),"YES","No")</f>
        <v>#N/A</v>
      </c>
      <c r="AI241" s="81" t="str">
        <f>_xlfn.IFNA(IF(AE241 &lt; (INDEX(SLATable[Minimum SLA],MATCH(G241,SLATable[Priority],0))),"YES","NO"),"")</f>
        <v/>
      </c>
      <c r="AJ241" s="19" t="str">
        <f>_xlfn.IFNA(IF(AE241 &lt; (INDEX(SLATable[Maximum SLA],MATCH(G241,SLATable[Priority],0))),"YES","NO"),"")</f>
        <v/>
      </c>
    </row>
    <row r="242" spans="1:36" ht="15" customHeight="1">
      <c r="A242" s="78"/>
      <c r="B242" s="78"/>
      <c r="C242" s="78"/>
      <c r="D242" s="78"/>
      <c r="E242" s="182"/>
      <c r="F242" s="182"/>
      <c r="G242" s="78"/>
      <c r="H242" s="182"/>
      <c r="I242" s="78"/>
      <c r="J242" s="182"/>
      <c r="K242" s="183"/>
      <c r="L242" s="277"/>
      <c r="M242" s="277"/>
      <c r="N242" s="183"/>
      <c r="O242" s="80"/>
      <c r="P242" s="80"/>
      <c r="Q242" s="78"/>
      <c r="R242" s="78"/>
      <c r="S242" s="78"/>
      <c r="T242" s="78"/>
      <c r="U242" s="78"/>
      <c r="V242" s="78"/>
      <c r="W242" s="78"/>
      <c r="X242" s="78"/>
      <c r="Y242" s="78"/>
      <c r="Z242" s="167" t="e">
        <f t="shared" ca="1" si="24"/>
        <v>#N/A</v>
      </c>
      <c r="AA242" s="168" t="e">
        <f t="shared" ca="1" si="26"/>
        <v>#N/A</v>
      </c>
      <c r="AB242" s="167">
        <f t="shared" ca="1" si="25"/>
        <v>0</v>
      </c>
      <c r="AC242" s="168">
        <f t="shared" ca="1" si="27"/>
        <v>0</v>
      </c>
      <c r="AD242" s="191">
        <f t="shared" ca="1" si="28"/>
        <v>46259.633973495373</v>
      </c>
      <c r="AE242" s="167">
        <f t="shared" si="29"/>
        <v>0</v>
      </c>
      <c r="AF242" s="168">
        <f t="shared" si="30"/>
        <v>0</v>
      </c>
      <c r="AG242" s="168">
        <f t="shared" si="31"/>
        <v>0</v>
      </c>
      <c r="AH242" s="81" t="e" cm="1">
        <f t="array" aca="1" ref="AH242" ca="1">IF((AD242) &lt; (INDEX(ResponseSLA[#All],(MATCH((G242),ResponseSLA[Priority],0))+1,3)),"YES","No")</f>
        <v>#N/A</v>
      </c>
      <c r="AI242" s="81" t="str">
        <f>_xlfn.IFNA(IF(AE242 &lt; (INDEX(SLATable[Minimum SLA],MATCH(G242,SLATable[Priority],0))),"YES","NO"),"")</f>
        <v/>
      </c>
      <c r="AJ242" s="19" t="str">
        <f>_xlfn.IFNA(IF(AE242 &lt; (INDEX(SLATable[Maximum SLA],MATCH(G242,SLATable[Priority],0))),"YES","NO"),"")</f>
        <v/>
      </c>
    </row>
    <row r="243" spans="1:36" ht="15" customHeight="1">
      <c r="A243" s="78"/>
      <c r="B243" s="78"/>
      <c r="C243" s="78"/>
      <c r="D243" s="78"/>
      <c r="E243" s="182"/>
      <c r="F243" s="182"/>
      <c r="G243" s="78"/>
      <c r="H243" s="182"/>
      <c r="I243" s="78"/>
      <c r="J243" s="182"/>
      <c r="K243" s="183"/>
      <c r="L243" s="277"/>
      <c r="M243" s="209"/>
      <c r="N243" s="183"/>
      <c r="O243" s="80"/>
      <c r="P243" s="80"/>
      <c r="Q243" s="78"/>
      <c r="R243" s="78"/>
      <c r="S243" s="78"/>
      <c r="T243" s="78"/>
      <c r="U243" s="78"/>
      <c r="V243" s="78"/>
      <c r="W243" s="78"/>
      <c r="X243" s="78"/>
      <c r="Y243" s="78"/>
      <c r="Z243" s="167" t="e">
        <f t="shared" ca="1" si="24"/>
        <v>#N/A</v>
      </c>
      <c r="AA243" s="168" t="e">
        <f t="shared" ca="1" si="26"/>
        <v>#N/A</v>
      </c>
      <c r="AB243" s="167">
        <f t="shared" ca="1" si="25"/>
        <v>0</v>
      </c>
      <c r="AC243" s="168">
        <f t="shared" ca="1" si="27"/>
        <v>0</v>
      </c>
      <c r="AD243" s="191">
        <f t="shared" ca="1" si="28"/>
        <v>46259.633973495373</v>
      </c>
      <c r="AE243" s="167">
        <f t="shared" si="29"/>
        <v>0</v>
      </c>
      <c r="AF243" s="168">
        <f t="shared" si="30"/>
        <v>0</v>
      </c>
      <c r="AG243" s="168">
        <f t="shared" si="31"/>
        <v>0</v>
      </c>
      <c r="AH243" s="81" t="e" cm="1">
        <f t="array" aca="1" ref="AH243" ca="1">IF((AD243) &lt; (INDEX(ResponseSLA[#All],(MATCH((G243),ResponseSLA[Priority],0))+1,3)),"YES","No")</f>
        <v>#N/A</v>
      </c>
      <c r="AI243" s="81" t="str">
        <f>_xlfn.IFNA(IF(AE243 &lt; (INDEX(SLATable[Minimum SLA],MATCH(G243,SLATable[Priority],0))),"YES","NO"),"")</f>
        <v/>
      </c>
      <c r="AJ243" s="19" t="str">
        <f>_xlfn.IFNA(IF(AE243 &lt; (INDEX(SLATable[Maximum SLA],MATCH(G243,SLATable[Priority],0))),"YES","NO"),"")</f>
        <v/>
      </c>
    </row>
    <row r="244" spans="1:36" ht="15" customHeight="1">
      <c r="A244" s="78"/>
      <c r="B244" s="78"/>
      <c r="C244" s="78"/>
      <c r="D244" s="78"/>
      <c r="E244" s="182"/>
      <c r="F244" s="182"/>
      <c r="G244" s="78"/>
      <c r="H244" s="182"/>
      <c r="I244" s="78"/>
      <c r="J244" s="182"/>
      <c r="K244" s="183"/>
      <c r="L244" s="277"/>
      <c r="M244" s="277"/>
      <c r="N244" s="183"/>
      <c r="O244" s="80"/>
      <c r="P244" s="80"/>
      <c r="Q244" s="78"/>
      <c r="R244" s="78"/>
      <c r="S244" s="78"/>
      <c r="T244" s="78"/>
      <c r="U244" s="78"/>
      <c r="V244" s="78"/>
      <c r="W244" s="78"/>
      <c r="X244" s="78"/>
      <c r="Y244" s="78"/>
      <c r="Z244" s="167" t="e">
        <f t="shared" ca="1" si="24"/>
        <v>#N/A</v>
      </c>
      <c r="AA244" s="168" t="e">
        <f t="shared" ca="1" si="26"/>
        <v>#N/A</v>
      </c>
      <c r="AB244" s="167">
        <f t="shared" ca="1" si="25"/>
        <v>0</v>
      </c>
      <c r="AC244" s="168">
        <f t="shared" ca="1" si="27"/>
        <v>0</v>
      </c>
      <c r="AD244" s="191">
        <f t="shared" ca="1" si="28"/>
        <v>46259.633973495373</v>
      </c>
      <c r="AE244" s="167">
        <f t="shared" si="29"/>
        <v>0</v>
      </c>
      <c r="AF244" s="168">
        <f t="shared" si="30"/>
        <v>0</v>
      </c>
      <c r="AG244" s="168">
        <f t="shared" si="31"/>
        <v>0</v>
      </c>
      <c r="AH244" s="81" t="e" cm="1">
        <f t="array" aca="1" ref="AH244" ca="1">IF((AD244) &lt; (INDEX(ResponseSLA[#All],(MATCH((G244),ResponseSLA[Priority],0))+1,3)),"YES","No")</f>
        <v>#N/A</v>
      </c>
      <c r="AI244" s="81" t="str">
        <f>_xlfn.IFNA(IF(AE244 &lt; (INDEX(SLATable[Minimum SLA],MATCH(G244,SLATable[Priority],0))),"YES","NO"),"")</f>
        <v/>
      </c>
      <c r="AJ244" s="19" t="str">
        <f>_xlfn.IFNA(IF(AE244 &lt; (INDEX(SLATable[Maximum SLA],MATCH(G244,SLATable[Priority],0))),"YES","NO"),"")</f>
        <v/>
      </c>
    </row>
    <row r="245" spans="1:36" ht="15" customHeight="1">
      <c r="A245" s="78"/>
      <c r="B245" s="78"/>
      <c r="C245" s="78"/>
      <c r="D245" s="78"/>
      <c r="E245" s="182"/>
      <c r="F245" s="182"/>
      <c r="G245" s="78"/>
      <c r="H245" s="182"/>
      <c r="I245" s="78"/>
      <c r="J245" s="182"/>
      <c r="K245" s="183"/>
      <c r="L245" s="277"/>
      <c r="M245" s="277"/>
      <c r="N245" s="183"/>
      <c r="O245" s="80"/>
      <c r="P245" s="80"/>
      <c r="Q245" s="78"/>
      <c r="R245" s="78"/>
      <c r="S245" s="78"/>
      <c r="T245" s="78"/>
      <c r="U245" s="78"/>
      <c r="V245" s="78"/>
      <c r="W245" s="78"/>
      <c r="X245" s="78"/>
      <c r="Y245" s="78"/>
      <c r="Z245" s="167" t="e">
        <f t="shared" ca="1" si="24"/>
        <v>#N/A</v>
      </c>
      <c r="AA245" s="168" t="e">
        <f t="shared" ca="1" si="26"/>
        <v>#N/A</v>
      </c>
      <c r="AB245" s="167">
        <f t="shared" ca="1" si="25"/>
        <v>0</v>
      </c>
      <c r="AC245" s="168">
        <f t="shared" ca="1" si="27"/>
        <v>0</v>
      </c>
      <c r="AD245" s="191">
        <f t="shared" ca="1" si="28"/>
        <v>46259.633973495373</v>
      </c>
      <c r="AE245" s="167">
        <f t="shared" si="29"/>
        <v>0</v>
      </c>
      <c r="AF245" s="168">
        <f t="shared" si="30"/>
        <v>0</v>
      </c>
      <c r="AG245" s="168">
        <f t="shared" si="31"/>
        <v>0</v>
      </c>
      <c r="AH245" s="81" t="e" cm="1">
        <f t="array" aca="1" ref="AH245" ca="1">IF((AD245) &lt; (INDEX(ResponseSLA[#All],(MATCH((G245),ResponseSLA[Priority],0))+1,3)),"YES","No")</f>
        <v>#N/A</v>
      </c>
      <c r="AI245" s="81" t="str">
        <f>_xlfn.IFNA(IF(AE245 &lt; (INDEX(SLATable[Minimum SLA],MATCH(G245,SLATable[Priority],0))),"YES","NO"),"")</f>
        <v/>
      </c>
      <c r="AJ245" s="19" t="str">
        <f>_xlfn.IFNA(IF(AE245 &lt; (INDEX(SLATable[Maximum SLA],MATCH(G245,SLATable[Priority],0))),"YES","NO"),"")</f>
        <v/>
      </c>
    </row>
    <row r="246" spans="1:36" ht="15" customHeight="1">
      <c r="A246" s="78"/>
      <c r="B246" s="78"/>
      <c r="C246" s="78"/>
      <c r="D246" s="78"/>
      <c r="E246" s="182"/>
      <c r="F246" s="182"/>
      <c r="G246" s="78"/>
      <c r="H246" s="182"/>
      <c r="I246" s="78"/>
      <c r="J246" s="182"/>
      <c r="K246" s="183"/>
      <c r="L246" s="277"/>
      <c r="M246" s="277"/>
      <c r="N246" s="183"/>
      <c r="O246" s="80"/>
      <c r="P246" s="80"/>
      <c r="Q246" s="78"/>
      <c r="R246" s="78"/>
      <c r="S246" s="78"/>
      <c r="T246" s="78"/>
      <c r="U246" s="78"/>
      <c r="V246" s="78"/>
      <c r="W246" s="78"/>
      <c r="X246" s="78"/>
      <c r="Y246" s="78"/>
      <c r="Z246" s="167" t="e">
        <f t="shared" ca="1" si="24"/>
        <v>#N/A</v>
      </c>
      <c r="AA246" s="168" t="e">
        <f t="shared" ca="1" si="26"/>
        <v>#N/A</v>
      </c>
      <c r="AB246" s="167">
        <f t="shared" ca="1" si="25"/>
        <v>0</v>
      </c>
      <c r="AC246" s="168">
        <f t="shared" ca="1" si="27"/>
        <v>0</v>
      </c>
      <c r="AD246" s="191">
        <f t="shared" ca="1" si="28"/>
        <v>46259.633973495373</v>
      </c>
      <c r="AE246" s="167">
        <f t="shared" si="29"/>
        <v>0</v>
      </c>
      <c r="AF246" s="168">
        <f t="shared" si="30"/>
        <v>0</v>
      </c>
      <c r="AG246" s="168">
        <f t="shared" si="31"/>
        <v>0</v>
      </c>
      <c r="AH246" s="81" t="e" cm="1">
        <f t="array" aca="1" ref="AH246" ca="1">IF((AD246) &lt; (INDEX(ResponseSLA[#All],(MATCH((G246),ResponseSLA[Priority],0))+1,3)),"YES","No")</f>
        <v>#N/A</v>
      </c>
      <c r="AI246" s="81" t="str">
        <f>_xlfn.IFNA(IF(AE246 &lt; (INDEX(SLATable[Minimum SLA],MATCH(G246,SLATable[Priority],0))),"YES","NO"),"")</f>
        <v/>
      </c>
      <c r="AJ246" s="19" t="str">
        <f>_xlfn.IFNA(IF(AE246 &lt; (INDEX(SLATable[Maximum SLA],MATCH(G246,SLATable[Priority],0))),"YES","NO"),"")</f>
        <v/>
      </c>
    </row>
    <row r="247" spans="1:36" ht="15" customHeight="1">
      <c r="A247" s="78"/>
      <c r="B247" s="78"/>
      <c r="C247" s="78"/>
      <c r="D247" s="78"/>
      <c r="E247" s="182"/>
      <c r="F247" s="182"/>
      <c r="G247" s="78"/>
      <c r="H247" s="182"/>
      <c r="I247" s="78"/>
      <c r="J247" s="182"/>
      <c r="K247" s="183"/>
      <c r="L247" s="277"/>
      <c r="M247" s="277"/>
      <c r="N247" s="183"/>
      <c r="O247" s="80"/>
      <c r="P247" s="80"/>
      <c r="Q247" s="78"/>
      <c r="R247" s="78"/>
      <c r="S247" s="78"/>
      <c r="T247" s="78"/>
      <c r="U247" s="78"/>
      <c r="V247" s="78"/>
      <c r="W247" s="78"/>
      <c r="X247" s="78"/>
      <c r="Y247" s="78"/>
      <c r="Z247" s="167" t="e">
        <f t="shared" ref="Z247:Z310" ca="1" si="32">IF(NOT(OR(G247=1,G247=2)),MAX(0,_xlfn.IFS(AND(K247&lt;&gt;"",N247&lt;&gt;""),((MAX(NETWORKDAYS(K247,N247,UKBankHolidays)-1,0))*(TIME(17,0,0)-TIME(8,0,0))+IF(NETWORKDAYS(N247,N247,UKBankHolidays)&gt;0,MEDIAN(TIME(8,0,0),MOD(N247,1),TIME(17,0,0)),TIME(8,0,0))-IF(NETWORKDAYS(K247,K247,UKBankHolidays)&gt;0,MEDIAN(TIME(8,0,0),MOD(K247,1),TIME(17,0,0)),TIME(8,0,0)))-IF(AND(O247&lt;&gt;"",P247&lt;&gt;""),((MAX(NETWORKDAYS(O247,P247,UKBankHolidays)-1,0))*(TIME(17,0,0)-TIME(8,0,0))+IF(NETWORKDAYS(P247,P247,UKBankHolidays)&gt;0,MEDIAN(TIME(8,0,0),MOD(P247,1),TIME(17,0,0)),TIME(8,0,0))-IF(NETWORKDAYS(O247,O247,UKBankHolidays)&gt;0,MEDIAN(TIME(8,0,0),MOD(O247,1),TIME(17,0,0)),TIME(8,0,0))),0),AND(K247&lt;&gt;"",N247=""),((MAX(NETWORKDAYS(K247,NOW(),UKBankHolidays)-1,0))*(TIME(17,0,0)-TIME(8,0,0))+IF(NETWORKDAYS(NOW(),NOW(),UKBankHolidays)&gt;0,MEDIAN(TIME(8,0,0),MOD(NOW(),1),TIME(17,0,0)),TIME(8,0,0))-IF(NETWORKDAYS(K247,K247,UKBankHolidays)&gt;0,MEDIAN(TIME(8,0,0),MOD(K247,1),TIME(17,0,0)),TIME(8,0,0))))),IF(N247="",NOW()-K247,N247-K247))</f>
        <v>#N/A</v>
      </c>
      <c r="AA247" s="168" t="e">
        <f t="shared" ca="1" si="26"/>
        <v>#N/A</v>
      </c>
      <c r="AB247" s="167">
        <f t="shared" ref="AB247:AB310" ca="1" si="33">IF(NOT(OR(G247=1,G247=2)),MAX(0,_xlfn.IFS(AND(K247&lt;&gt;"",N247&lt;&gt;""),(((MAX(NETWORKDAYS(L247,N247,UKBankHolidays)-1,0))*(TIME(17,0,0)-TIME(8,0,0)))+IF(NETWORKDAYS(N247,N247,UKBankHolidays)&gt;0,MEDIAN(TIME(8,0,0),MOD(N247,1),TIME(17,0,0)),TIME(8,0,0))-IF(NETWORKDAYS(L247,L247,UKBankHolidays)&gt;0,MEDIAN(TIME(8,0,0),MOD(L247,1),TIME(17,0,0)),TIME(8,0,0)))-IF(AND(O247&lt;&gt;"",P247&lt;&gt;""),(((MAX(NETWORKDAYS(O247,P247,UKBankHolidays)-1,0))*(TIME(17,0,0)-TIME(8,0,0)))+IF(NETWORKDAYS(P247,P247,UKBankHolidays)&gt;0,MEDIAN(TIME(8,0,0),MOD(P247,1),TIME(17,0,0)),TIME(8,0,0))-IF(NETWORKDAYS(O247,O247,UKBankHolidays)&gt;0,MEDIAN(TIME(8,0,0),MOD(O247,1),TIME(17,0,0)),TIME(8,0,0))),0),AND(L247&lt;&gt;"",N247="",O247=""),(((MAX(NETWORKDAYS(L247,NOW(),UKBankHolidays)-1,0))*(TIME(17,0,0)-TIME(8,0,0)))+IF(NETWORKDAYS(NOW(),NOW(),UKBankHolidays)&gt;0,MEDIAN(TIME(8,0,0),MOD(NOW(),1),TIME(17,0,0)),TIME(8,0,0))-IF(NETWORKDAYS(L247,L247,UKBankHolidays)&gt;0,MEDIAN(TIME(8,0,0),MOD(L247,1),TIME(17,0,0)),TIME(8,0,0)))-IF(AND(O247&lt;&gt;"",P247&lt;&gt;""),(((MAX(NETWORKDAYS(O247,P247,UKBankHolidays)-1,0))*(TIME(17,0,0)-TIME(8,0,0)))+IF(NETWORKDAYS(P247,P247,UKBankHolidays)&gt;0,MEDIAN(TIME(8,0,0),MOD(P247,1),TIME(17,0,0)),TIME(8,0,0))-IF(NETWORKDAYS(O247,O247,UKBankHolidays)&gt;0,MEDIAN(TIME(8,0,0),MOD(O247,1),TIME(17,0,0)),TIME(8,0,0))),0),AND(L247&lt;&gt;"",N247="",P247="",O247&lt;&gt;""),(((MAX(NETWORKDAYS(L247,O247,UKBankHolidays)-1,0))*(TIME(17,0,0)-TIME(8,0,0)))+IF(NETWORKDAYS(O247,O247,UKBankHolidays)&gt;0,MEDIAN(TIME(8,0,0),MOD(O247,1),TIME(17,0,0)),TIME(8,0,0))-IF(NETWORKDAYS(L247,L247,UKBankHolidays)&gt;0,MEDIAN(TIME(8,0,0),MOD(L247,1),TIME(17,0,0)),TIME(8,0,0))),ISBLANK(K247),"0")),IF(ISBLANK(N247),NOW()-L247,N247-L247))</f>
        <v>0</v>
      </c>
      <c r="AC247" s="168">
        <f t="shared" ca="1" si="27"/>
        <v>0</v>
      </c>
      <c r="AD247" s="191">
        <f t="shared" ca="1" si="28"/>
        <v>46259.633973495373</v>
      </c>
      <c r="AE247" s="167">
        <f t="shared" si="29"/>
        <v>0</v>
      </c>
      <c r="AF247" s="168">
        <f t="shared" si="30"/>
        <v>0</v>
      </c>
      <c r="AG247" s="168">
        <f t="shared" si="31"/>
        <v>0</v>
      </c>
      <c r="AH247" s="81" t="e" cm="1">
        <f t="array" aca="1" ref="AH247" ca="1">IF((AD247) &lt; (INDEX(ResponseSLA[#All],(MATCH((G247),ResponseSLA[Priority],0))+1,3)),"YES","No")</f>
        <v>#N/A</v>
      </c>
      <c r="AI247" s="81" t="str">
        <f>_xlfn.IFNA(IF(AE247 &lt; (INDEX(SLATable[Minimum SLA],MATCH(G247,SLATable[Priority],0))),"YES","NO"),"")</f>
        <v/>
      </c>
      <c r="AJ247" s="19" t="str">
        <f>_xlfn.IFNA(IF(AE247 &lt; (INDEX(SLATable[Maximum SLA],MATCH(G247,SLATable[Priority],0))),"YES","NO"),"")</f>
        <v/>
      </c>
    </row>
    <row r="248" spans="1:36" ht="15" customHeight="1">
      <c r="A248" s="78"/>
      <c r="B248" s="78"/>
      <c r="C248" s="78"/>
      <c r="D248" s="78"/>
      <c r="E248" s="182"/>
      <c r="F248" s="182"/>
      <c r="G248" s="78"/>
      <c r="H248" s="182"/>
      <c r="I248" s="78"/>
      <c r="J248" s="182"/>
      <c r="K248" s="183"/>
      <c r="L248" s="277"/>
      <c r="M248" s="277"/>
      <c r="N248" s="183"/>
      <c r="O248" s="209"/>
      <c r="P248" s="80"/>
      <c r="Q248" s="78"/>
      <c r="R248" s="78"/>
      <c r="S248" s="78"/>
      <c r="T248" s="78"/>
      <c r="U248" s="78"/>
      <c r="V248" s="78"/>
      <c r="W248" s="78"/>
      <c r="X248" s="78"/>
      <c r="Y248" s="78"/>
      <c r="Z248" s="167" t="e">
        <f t="shared" ca="1" si="32"/>
        <v>#N/A</v>
      </c>
      <c r="AA248" s="168" t="e">
        <f t="shared" ca="1" si="26"/>
        <v>#N/A</v>
      </c>
      <c r="AB248" s="167">
        <f t="shared" ca="1" si="33"/>
        <v>0</v>
      </c>
      <c r="AC248" s="168">
        <f t="shared" ca="1" si="27"/>
        <v>0</v>
      </c>
      <c r="AD248" s="191">
        <f t="shared" ca="1" si="28"/>
        <v>46259.633973495373</v>
      </c>
      <c r="AE248" s="167">
        <f t="shared" si="29"/>
        <v>0</v>
      </c>
      <c r="AF248" s="168">
        <f t="shared" si="30"/>
        <v>0</v>
      </c>
      <c r="AG248" s="168">
        <f t="shared" si="31"/>
        <v>0</v>
      </c>
      <c r="AH248" s="81" t="e" cm="1">
        <f t="array" aca="1" ref="AH248" ca="1">IF((AD248) &lt; (INDEX(ResponseSLA[#All],(MATCH((G248),ResponseSLA[Priority],0))+1,3)),"YES","No")</f>
        <v>#N/A</v>
      </c>
      <c r="AI248" s="81" t="str">
        <f>_xlfn.IFNA(IF(AE248 &lt; (INDEX(SLATable[Minimum SLA],MATCH(G248,SLATable[Priority],0))),"YES","NO"),"")</f>
        <v/>
      </c>
      <c r="AJ248" s="19" t="str">
        <f>_xlfn.IFNA(IF(AE248 &lt; (INDEX(SLATable[Maximum SLA],MATCH(G248,SLATable[Priority],0))),"YES","NO"),"")</f>
        <v/>
      </c>
    </row>
    <row r="249" spans="1:36" ht="15" customHeight="1">
      <c r="A249" s="78"/>
      <c r="B249" s="78"/>
      <c r="C249" s="78"/>
      <c r="D249" s="78"/>
      <c r="E249" s="182"/>
      <c r="F249" s="182"/>
      <c r="G249" s="78"/>
      <c r="H249" s="182"/>
      <c r="I249" s="78"/>
      <c r="J249" s="182"/>
      <c r="K249" s="183"/>
      <c r="L249" s="277"/>
      <c r="M249" s="277"/>
      <c r="N249" s="183"/>
      <c r="O249" s="80"/>
      <c r="P249" s="80"/>
      <c r="Q249" s="78"/>
      <c r="R249" s="78"/>
      <c r="S249" s="78"/>
      <c r="T249" s="78"/>
      <c r="U249" s="78"/>
      <c r="V249" s="78"/>
      <c r="W249" s="78"/>
      <c r="X249" s="78"/>
      <c r="Y249" s="78"/>
      <c r="Z249" s="167" t="e">
        <f t="shared" ca="1" si="32"/>
        <v>#N/A</v>
      </c>
      <c r="AA249" s="168" t="e">
        <f t="shared" ca="1" si="26"/>
        <v>#N/A</v>
      </c>
      <c r="AB249" s="167">
        <f t="shared" ca="1" si="33"/>
        <v>0</v>
      </c>
      <c r="AC249" s="168">
        <f t="shared" ca="1" si="27"/>
        <v>0</v>
      </c>
      <c r="AD249" s="191">
        <f t="shared" ca="1" si="28"/>
        <v>46259.633973495373</v>
      </c>
      <c r="AE249" s="167">
        <f t="shared" si="29"/>
        <v>0</v>
      </c>
      <c r="AF249" s="168">
        <f t="shared" si="30"/>
        <v>0</v>
      </c>
      <c r="AG249" s="168">
        <f t="shared" si="31"/>
        <v>0</v>
      </c>
      <c r="AH249" s="81" t="e" cm="1">
        <f t="array" aca="1" ref="AH249" ca="1">IF((AD249) &lt; (INDEX(ResponseSLA[#All],(MATCH((G249),ResponseSLA[Priority],0))+1,3)),"YES","No")</f>
        <v>#N/A</v>
      </c>
      <c r="AI249" s="81" t="str">
        <f>_xlfn.IFNA(IF(AE249 &lt; (INDEX(SLATable[Minimum SLA],MATCH(G249,SLATable[Priority],0))),"YES","NO"),"")</f>
        <v/>
      </c>
      <c r="AJ249" s="19" t="str">
        <f>_xlfn.IFNA(IF(AE249 &lt; (INDEX(SLATable[Maximum SLA],MATCH(G249,SLATable[Priority],0))),"YES","NO"),"")</f>
        <v/>
      </c>
    </row>
    <row r="250" spans="1:36" ht="15" customHeight="1">
      <c r="A250" s="78"/>
      <c r="B250" s="78"/>
      <c r="C250" s="78"/>
      <c r="D250" s="78"/>
      <c r="E250" s="182"/>
      <c r="F250" s="182"/>
      <c r="G250" s="78"/>
      <c r="H250" s="182"/>
      <c r="I250" s="78"/>
      <c r="J250" s="182"/>
      <c r="K250" s="183"/>
      <c r="L250" s="277"/>
      <c r="M250" s="277"/>
      <c r="N250" s="183"/>
      <c r="O250" s="80"/>
      <c r="P250" s="80"/>
      <c r="Q250" s="78"/>
      <c r="R250" s="78"/>
      <c r="S250" s="78"/>
      <c r="T250" s="78"/>
      <c r="U250" s="78"/>
      <c r="V250" s="78"/>
      <c r="W250" s="78"/>
      <c r="X250" s="78"/>
      <c r="Y250" s="78"/>
      <c r="Z250" s="167" t="e">
        <f t="shared" ca="1" si="32"/>
        <v>#N/A</v>
      </c>
      <c r="AA250" s="168" t="e">
        <f t="shared" ca="1" si="26"/>
        <v>#N/A</v>
      </c>
      <c r="AB250" s="167">
        <f t="shared" ca="1" si="33"/>
        <v>0</v>
      </c>
      <c r="AC250" s="168">
        <f t="shared" ca="1" si="27"/>
        <v>0</v>
      </c>
      <c r="AD250" s="191">
        <f t="shared" ca="1" si="28"/>
        <v>46259.633973495373</v>
      </c>
      <c r="AE250" s="167">
        <f t="shared" si="29"/>
        <v>0</v>
      </c>
      <c r="AF250" s="168">
        <f t="shared" si="30"/>
        <v>0</v>
      </c>
      <c r="AG250" s="168">
        <f t="shared" si="31"/>
        <v>0</v>
      </c>
      <c r="AH250" s="81" t="e" cm="1">
        <f t="array" aca="1" ref="AH250" ca="1">IF((AD250) &lt; (INDEX(ResponseSLA[#All],(MATCH((G250),ResponseSLA[Priority],0))+1,3)),"YES","No")</f>
        <v>#N/A</v>
      </c>
      <c r="AI250" s="81" t="str">
        <f>_xlfn.IFNA(IF(AE250 &lt; (INDEX(SLATable[Minimum SLA],MATCH(G250,SLATable[Priority],0))),"YES","NO"),"")</f>
        <v/>
      </c>
      <c r="AJ250" s="19" t="str">
        <f>_xlfn.IFNA(IF(AE250 &lt; (INDEX(SLATable[Maximum SLA],MATCH(G250,SLATable[Priority],0))),"YES","NO"),"")</f>
        <v/>
      </c>
    </row>
    <row r="251" spans="1:36" ht="15" customHeight="1">
      <c r="A251" s="78"/>
      <c r="B251" s="78"/>
      <c r="C251" s="78"/>
      <c r="D251" s="78"/>
      <c r="E251" s="182"/>
      <c r="F251" s="182"/>
      <c r="G251" s="78"/>
      <c r="H251" s="182"/>
      <c r="I251" s="78"/>
      <c r="J251" s="182"/>
      <c r="K251" s="183"/>
      <c r="L251" s="277"/>
      <c r="M251" s="277"/>
      <c r="N251" s="183"/>
      <c r="O251" s="80"/>
      <c r="P251" s="80"/>
      <c r="Q251" s="78"/>
      <c r="R251" s="78"/>
      <c r="S251" s="78"/>
      <c r="T251" s="78"/>
      <c r="U251" s="78"/>
      <c r="V251" s="78"/>
      <c r="W251" s="78"/>
      <c r="X251" s="78"/>
      <c r="Y251" s="78"/>
      <c r="Z251" s="167" t="e">
        <f t="shared" ca="1" si="32"/>
        <v>#N/A</v>
      </c>
      <c r="AA251" s="168" t="e">
        <f t="shared" ca="1" si="26"/>
        <v>#N/A</v>
      </c>
      <c r="AB251" s="167">
        <f t="shared" ca="1" si="33"/>
        <v>0</v>
      </c>
      <c r="AC251" s="168">
        <f t="shared" ca="1" si="27"/>
        <v>0</v>
      </c>
      <c r="AD251" s="191">
        <f t="shared" ca="1" si="28"/>
        <v>46259.633973495373</v>
      </c>
      <c r="AE251" s="167">
        <f t="shared" si="29"/>
        <v>0</v>
      </c>
      <c r="AF251" s="168">
        <f t="shared" si="30"/>
        <v>0</v>
      </c>
      <c r="AG251" s="168">
        <f t="shared" si="31"/>
        <v>0</v>
      </c>
      <c r="AH251" s="81" t="e" cm="1">
        <f t="array" aca="1" ref="AH251" ca="1">IF((AD251) &lt; (INDEX(ResponseSLA[#All],(MATCH((G251),ResponseSLA[Priority],0))+1,3)),"YES","No")</f>
        <v>#N/A</v>
      </c>
      <c r="AI251" s="81" t="str">
        <f>_xlfn.IFNA(IF(AE251 &lt; (INDEX(SLATable[Minimum SLA],MATCH(G251,SLATable[Priority],0))),"YES","NO"),"")</f>
        <v/>
      </c>
      <c r="AJ251" s="19" t="str">
        <f>_xlfn.IFNA(IF(AE251 &lt; (INDEX(SLATable[Maximum SLA],MATCH(G251,SLATable[Priority],0))),"YES","NO"),"")</f>
        <v/>
      </c>
    </row>
    <row r="252" spans="1:36" ht="15" customHeight="1">
      <c r="A252" s="78"/>
      <c r="B252" s="78"/>
      <c r="C252" s="78"/>
      <c r="D252" s="78"/>
      <c r="E252" s="182"/>
      <c r="F252" s="182"/>
      <c r="G252" s="78"/>
      <c r="H252" s="182"/>
      <c r="I252" s="78"/>
      <c r="J252" s="182"/>
      <c r="K252" s="183"/>
      <c r="L252" s="209"/>
      <c r="M252" s="277"/>
      <c r="N252" s="183"/>
      <c r="O252" s="209"/>
      <c r="P252" s="183"/>
      <c r="Q252" s="78"/>
      <c r="R252" s="78"/>
      <c r="S252" s="78"/>
      <c r="T252" s="78"/>
      <c r="U252" s="78"/>
      <c r="V252" s="78"/>
      <c r="W252" s="78"/>
      <c r="X252" s="78"/>
      <c r="Y252" s="78"/>
      <c r="Z252" s="167" t="e">
        <f t="shared" ca="1" si="32"/>
        <v>#N/A</v>
      </c>
      <c r="AA252" s="168" t="e">
        <f t="shared" ca="1" si="26"/>
        <v>#N/A</v>
      </c>
      <c r="AB252" s="167">
        <f t="shared" ca="1" si="33"/>
        <v>0</v>
      </c>
      <c r="AC252" s="168">
        <f t="shared" ca="1" si="27"/>
        <v>0</v>
      </c>
      <c r="AD252" s="191">
        <f t="shared" ca="1" si="28"/>
        <v>46259.633973495373</v>
      </c>
      <c r="AE252" s="167">
        <f t="shared" si="29"/>
        <v>0</v>
      </c>
      <c r="AF252" s="168">
        <f t="shared" si="30"/>
        <v>0</v>
      </c>
      <c r="AG252" s="168">
        <f t="shared" si="31"/>
        <v>0</v>
      </c>
      <c r="AH252" s="81" t="e" cm="1">
        <f t="array" aca="1" ref="AH252" ca="1">IF((AD252) &lt; (INDEX(ResponseSLA[#All],(MATCH((G252),ResponseSLA[Priority],0))+1,3)),"YES","No")</f>
        <v>#N/A</v>
      </c>
      <c r="AI252" s="81" t="str">
        <f>_xlfn.IFNA(IF(AE252 &lt; (INDEX(SLATable[Minimum SLA],MATCH(G252,SLATable[Priority],0))),"YES","NO"),"")</f>
        <v/>
      </c>
      <c r="AJ252" s="19" t="str">
        <f>_xlfn.IFNA(IF(AE252 &lt; (INDEX(SLATable[Maximum SLA],MATCH(G252,SLATable[Priority],0))),"YES","NO"),"")</f>
        <v/>
      </c>
    </row>
    <row r="253" spans="1:36" ht="15" customHeight="1">
      <c r="A253" s="78"/>
      <c r="B253" s="78"/>
      <c r="C253" s="78"/>
      <c r="D253" s="78"/>
      <c r="E253" s="182"/>
      <c r="F253" s="182"/>
      <c r="G253" s="78"/>
      <c r="H253" s="182"/>
      <c r="I253" s="78"/>
      <c r="J253" s="182"/>
      <c r="K253" s="183"/>
      <c r="L253" s="277"/>
      <c r="M253" s="277"/>
      <c r="N253" s="183"/>
      <c r="O253" s="80"/>
      <c r="P253" s="80"/>
      <c r="Q253" s="78"/>
      <c r="R253" s="78"/>
      <c r="S253" s="78"/>
      <c r="T253" s="78"/>
      <c r="U253" s="78"/>
      <c r="V253" s="78"/>
      <c r="W253" s="78"/>
      <c r="X253" s="78"/>
      <c r="Y253" s="78"/>
      <c r="Z253" s="167" t="e">
        <f t="shared" ca="1" si="32"/>
        <v>#N/A</v>
      </c>
      <c r="AA253" s="168" t="e">
        <f t="shared" ca="1" si="26"/>
        <v>#N/A</v>
      </c>
      <c r="AB253" s="167">
        <f t="shared" ca="1" si="33"/>
        <v>0</v>
      </c>
      <c r="AC253" s="168">
        <f t="shared" ca="1" si="27"/>
        <v>0</v>
      </c>
      <c r="AD253" s="191">
        <f t="shared" ca="1" si="28"/>
        <v>46259.633973495373</v>
      </c>
      <c r="AE253" s="167">
        <f t="shared" si="29"/>
        <v>0</v>
      </c>
      <c r="AF253" s="168">
        <f t="shared" si="30"/>
        <v>0</v>
      </c>
      <c r="AG253" s="168">
        <f t="shared" si="31"/>
        <v>0</v>
      </c>
      <c r="AH253" s="81" t="e" cm="1">
        <f t="array" aca="1" ref="AH253" ca="1">IF((AD253) &lt; (INDEX(ResponseSLA[#All],(MATCH((G253),ResponseSLA[Priority],0))+1,3)),"YES","No")</f>
        <v>#N/A</v>
      </c>
      <c r="AI253" s="81" t="str">
        <f>_xlfn.IFNA(IF(AE253 &lt; (INDEX(SLATable[Minimum SLA],MATCH(G253,SLATable[Priority],0))),"YES","NO"),"")</f>
        <v/>
      </c>
      <c r="AJ253" s="19" t="str">
        <f>_xlfn.IFNA(IF(AE253 &lt; (INDEX(SLATable[Maximum SLA],MATCH(G253,SLATable[Priority],0))),"YES","NO"),"")</f>
        <v/>
      </c>
    </row>
    <row r="254" spans="1:36" ht="15" customHeight="1">
      <c r="A254" s="78"/>
      <c r="B254" s="78"/>
      <c r="C254" s="78"/>
      <c r="D254" s="78"/>
      <c r="E254" s="182"/>
      <c r="F254" s="182"/>
      <c r="G254" s="78"/>
      <c r="H254" s="182"/>
      <c r="I254" s="78"/>
      <c r="J254" s="182"/>
      <c r="K254" s="183"/>
      <c r="L254" s="277"/>
      <c r="M254" s="277"/>
      <c r="N254" s="183"/>
      <c r="O254" s="80"/>
      <c r="P254" s="80"/>
      <c r="Q254" s="78"/>
      <c r="R254" s="78"/>
      <c r="S254" s="78"/>
      <c r="T254" s="78"/>
      <c r="U254" s="78"/>
      <c r="V254" s="78"/>
      <c r="W254" s="78"/>
      <c r="X254" s="78"/>
      <c r="Y254" s="78"/>
      <c r="Z254" s="167" t="e">
        <f t="shared" ca="1" si="32"/>
        <v>#N/A</v>
      </c>
      <c r="AA254" s="168" t="e">
        <f t="shared" ca="1" si="26"/>
        <v>#N/A</v>
      </c>
      <c r="AB254" s="167">
        <f t="shared" ca="1" si="33"/>
        <v>0</v>
      </c>
      <c r="AC254" s="168">
        <f t="shared" ca="1" si="27"/>
        <v>0</v>
      </c>
      <c r="AD254" s="191">
        <f t="shared" ca="1" si="28"/>
        <v>46259.633973495373</v>
      </c>
      <c r="AE254" s="167">
        <f t="shared" si="29"/>
        <v>0</v>
      </c>
      <c r="AF254" s="168">
        <f t="shared" si="30"/>
        <v>0</v>
      </c>
      <c r="AG254" s="168">
        <f t="shared" si="31"/>
        <v>0</v>
      </c>
      <c r="AH254" s="81" t="e" cm="1">
        <f t="array" aca="1" ref="AH254" ca="1">IF((AD254) &lt; (INDEX(ResponseSLA[#All],(MATCH((G254),ResponseSLA[Priority],0))+1,3)),"YES","No")</f>
        <v>#N/A</v>
      </c>
      <c r="AI254" s="81" t="str">
        <f>_xlfn.IFNA(IF(AE254 &lt; (INDEX(SLATable[Minimum SLA],MATCH(G254,SLATable[Priority],0))),"YES","NO"),"")</f>
        <v/>
      </c>
      <c r="AJ254" s="19" t="str">
        <f>_xlfn.IFNA(IF(AE254 &lt; (INDEX(SLATable[Maximum SLA],MATCH(G254,SLATable[Priority],0))),"YES","NO"),"")</f>
        <v/>
      </c>
    </row>
    <row r="255" spans="1:36" ht="15" customHeight="1">
      <c r="A255" s="78"/>
      <c r="B255" s="78"/>
      <c r="C255" s="78"/>
      <c r="D255" s="78"/>
      <c r="E255" s="182"/>
      <c r="F255" s="182"/>
      <c r="G255" s="78"/>
      <c r="H255" s="182"/>
      <c r="I255" s="78"/>
      <c r="J255" s="182"/>
      <c r="K255" s="183"/>
      <c r="L255" s="277"/>
      <c r="M255" s="277"/>
      <c r="N255" s="183"/>
      <c r="O255" s="80"/>
      <c r="P255" s="80"/>
      <c r="Q255" s="78"/>
      <c r="R255" s="78"/>
      <c r="S255" s="78"/>
      <c r="T255" s="78"/>
      <c r="U255" s="78"/>
      <c r="V255" s="78"/>
      <c r="W255" s="78"/>
      <c r="X255" s="78"/>
      <c r="Y255" s="78"/>
      <c r="Z255" s="167" t="e">
        <f t="shared" ca="1" si="32"/>
        <v>#N/A</v>
      </c>
      <c r="AA255" s="168" t="e">
        <f t="shared" ca="1" si="26"/>
        <v>#N/A</v>
      </c>
      <c r="AB255" s="167">
        <f t="shared" ca="1" si="33"/>
        <v>0</v>
      </c>
      <c r="AC255" s="168">
        <f t="shared" ca="1" si="27"/>
        <v>0</v>
      </c>
      <c r="AD255" s="191">
        <f t="shared" ca="1" si="28"/>
        <v>46259.633973495373</v>
      </c>
      <c r="AE255" s="167">
        <f t="shared" si="29"/>
        <v>0</v>
      </c>
      <c r="AF255" s="168">
        <f t="shared" si="30"/>
        <v>0</v>
      </c>
      <c r="AG255" s="168">
        <f t="shared" si="31"/>
        <v>0</v>
      </c>
      <c r="AH255" s="81" t="e" cm="1">
        <f t="array" aca="1" ref="AH255" ca="1">IF((AD255) &lt; (INDEX(ResponseSLA[#All],(MATCH((G255),ResponseSLA[Priority],0))+1,3)),"YES","No")</f>
        <v>#N/A</v>
      </c>
      <c r="AI255" s="81" t="str">
        <f>_xlfn.IFNA(IF(AE255 &lt; (INDEX(SLATable[Minimum SLA],MATCH(G255,SLATable[Priority],0))),"YES","NO"),"")</f>
        <v/>
      </c>
      <c r="AJ255" s="19" t="str">
        <f>_xlfn.IFNA(IF(AE255 &lt; (INDEX(SLATable[Maximum SLA],MATCH(G255,SLATable[Priority],0))),"YES","NO"),"")</f>
        <v/>
      </c>
    </row>
    <row r="256" spans="1:36" ht="15" customHeight="1">
      <c r="A256" s="78"/>
      <c r="B256" s="78"/>
      <c r="C256" s="78"/>
      <c r="D256" s="78"/>
      <c r="E256" s="78"/>
      <c r="F256" s="78"/>
      <c r="G256" s="78"/>
      <c r="H256" s="86"/>
      <c r="I256" s="78"/>
      <c r="J256" s="86"/>
      <c r="K256" s="277"/>
      <c r="L256" s="277"/>
      <c r="M256" s="277"/>
      <c r="N256" s="277"/>
      <c r="O256" s="80"/>
      <c r="P256" s="80"/>
      <c r="Q256" s="78"/>
      <c r="R256" s="78"/>
      <c r="S256" s="78"/>
      <c r="T256" s="78"/>
      <c r="U256" s="78"/>
      <c r="V256" s="78"/>
      <c r="W256" s="78"/>
      <c r="X256" s="78"/>
      <c r="Y256" s="78"/>
      <c r="Z256" s="167" t="e">
        <f t="shared" ca="1" si="32"/>
        <v>#N/A</v>
      </c>
      <c r="AA256" s="168" t="e">
        <f t="shared" ca="1" si="26"/>
        <v>#N/A</v>
      </c>
      <c r="AB256" s="167">
        <f t="shared" ca="1" si="33"/>
        <v>0</v>
      </c>
      <c r="AC256" s="168">
        <f t="shared" ca="1" si="27"/>
        <v>0</v>
      </c>
      <c r="AD256" s="191">
        <f t="shared" ca="1" si="28"/>
        <v>46259.633973495373</v>
      </c>
      <c r="AE256" s="167">
        <f t="shared" si="29"/>
        <v>0</v>
      </c>
      <c r="AF256" s="168">
        <f t="shared" si="30"/>
        <v>0</v>
      </c>
      <c r="AG256" s="168">
        <f t="shared" si="31"/>
        <v>0</v>
      </c>
      <c r="AH256" s="81" t="e" cm="1">
        <f t="array" aca="1" ref="AH256" ca="1">IF((AD256) &lt; (INDEX(ResponseSLA[#All],(MATCH((G256),ResponseSLA[Priority],0))+1,3)),"YES","No")</f>
        <v>#N/A</v>
      </c>
      <c r="AI256" s="81" t="str">
        <f>_xlfn.IFNA(IF(AE256 &lt; (INDEX(SLATable[Minimum SLA],MATCH(G256,SLATable[Priority],0))),"YES","NO"),"")</f>
        <v/>
      </c>
      <c r="AJ256" s="19" t="str">
        <f>_xlfn.IFNA(IF(AE256 &lt; (INDEX(SLATable[Maximum SLA],MATCH(G256,SLATable[Priority],0))),"YES","NO"),"")</f>
        <v/>
      </c>
    </row>
    <row r="257" spans="1:36" ht="15" customHeight="1">
      <c r="A257" s="78"/>
      <c r="B257" s="78"/>
      <c r="C257" s="78"/>
      <c r="D257" s="78"/>
      <c r="E257" s="182"/>
      <c r="F257" s="182"/>
      <c r="G257" s="78"/>
      <c r="H257" s="182"/>
      <c r="I257" s="78"/>
      <c r="J257" s="182"/>
      <c r="K257" s="183"/>
      <c r="L257" s="277"/>
      <c r="M257" s="277"/>
      <c r="N257" s="183"/>
      <c r="O257" s="80"/>
      <c r="P257" s="80"/>
      <c r="Q257" s="78"/>
      <c r="R257" s="78"/>
      <c r="S257" s="78"/>
      <c r="T257" s="78"/>
      <c r="U257" s="78"/>
      <c r="V257" s="78"/>
      <c r="W257" s="78"/>
      <c r="X257" s="78"/>
      <c r="Y257" s="78"/>
      <c r="Z257" s="167" t="e">
        <f t="shared" ca="1" si="32"/>
        <v>#N/A</v>
      </c>
      <c r="AA257" s="168" t="e">
        <f t="shared" ca="1" si="26"/>
        <v>#N/A</v>
      </c>
      <c r="AB257" s="167">
        <f t="shared" ca="1" si="33"/>
        <v>0</v>
      </c>
      <c r="AC257" s="168">
        <f t="shared" ca="1" si="27"/>
        <v>0</v>
      </c>
      <c r="AD257" s="191">
        <f t="shared" ca="1" si="28"/>
        <v>46259.633973495373</v>
      </c>
      <c r="AE257" s="167">
        <f t="shared" si="29"/>
        <v>0</v>
      </c>
      <c r="AF257" s="168">
        <f t="shared" si="30"/>
        <v>0</v>
      </c>
      <c r="AG257" s="168">
        <f t="shared" si="31"/>
        <v>0</v>
      </c>
      <c r="AH257" s="81" t="e" cm="1">
        <f t="array" aca="1" ref="AH257" ca="1">IF((AD257) &lt; (INDEX(ResponseSLA[#All],(MATCH((G257),ResponseSLA[Priority],0))+1,3)),"YES","No")</f>
        <v>#N/A</v>
      </c>
      <c r="AI257" s="81" t="str">
        <f>_xlfn.IFNA(IF(AE257 &lt; (INDEX(SLATable[Minimum SLA],MATCH(G257,SLATable[Priority],0))),"YES","NO"),"")</f>
        <v/>
      </c>
      <c r="AJ257" s="19" t="str">
        <f>_xlfn.IFNA(IF(AE257 &lt; (INDEX(SLATable[Maximum SLA],MATCH(G257,SLATable[Priority],0))),"YES","NO"),"")</f>
        <v/>
      </c>
    </row>
    <row r="258" spans="1:36" ht="15" customHeight="1">
      <c r="A258" s="78"/>
      <c r="B258" s="78"/>
      <c r="C258" s="78"/>
      <c r="D258" s="78"/>
      <c r="E258" s="182"/>
      <c r="F258" s="182"/>
      <c r="G258" s="78"/>
      <c r="H258" s="182"/>
      <c r="I258" s="78"/>
      <c r="J258" s="182"/>
      <c r="K258" s="183"/>
      <c r="L258" s="277"/>
      <c r="M258" s="277"/>
      <c r="N258" s="183"/>
      <c r="O258" s="80"/>
      <c r="P258" s="183"/>
      <c r="Q258" s="78"/>
      <c r="R258" s="78"/>
      <c r="S258" s="78"/>
      <c r="T258" s="78"/>
      <c r="U258" s="78"/>
      <c r="V258" s="78"/>
      <c r="W258" s="78"/>
      <c r="X258" s="78"/>
      <c r="Y258" s="78"/>
      <c r="Z258" s="167" t="e">
        <f t="shared" ca="1" si="32"/>
        <v>#N/A</v>
      </c>
      <c r="AA258" s="168" t="e">
        <f t="shared" ref="AA258:AA321" ca="1" si="34">(Z258*24)/9</f>
        <v>#N/A</v>
      </c>
      <c r="AB258" s="167">
        <f t="shared" ca="1" si="33"/>
        <v>0</v>
      </c>
      <c r="AC258" s="168">
        <f t="shared" ref="AC258:AC321" ca="1" si="35">(AB258*24)/9</f>
        <v>0</v>
      </c>
      <c r="AD258" s="191">
        <f t="shared" ref="AD258:AD321" ca="1" si="36">MAX(0,
IF(
OR(G258=1,G258=2),
IF(M258&lt;&gt;"",M258-L258,NOW()-L258),
IF(
M258&lt;&gt;"",
IF(
INT(L258)=INT(M258),
IF(
NETWORKDAYS(L258,L258,UKBankHolidays)=0,
0,
MAX(
0,
MIN(MOD(M258,1),TIME(17,0,0))
-
MAX(MOD(L258,1),TIME(8,0,0))
)
),
MAX(
0,
IF(
NETWORKDAYS(L258,L258,UKBankHolidays)&gt;0,
TIME(17,0,0)-MAX(MOD(L258,1),TIME(8,0,0)),
0
)
)
+
MAX(
0,
NETWORKDAYS(INT(L258)+1,INT(M258)-1,UKBankHolidays)
*(TIME(17,0,0)-TIME(8,0,0))
)
+
MAX(
0,
IF(
NETWORKDAYS(M258,M258,UKBankHolidays)&gt;0,
MIN(MOD(M258,1),TIME(17,0,0))-TIME(8,0,0),
0
)
)
),
IF(M258&lt;&gt;"",M258-L258,NOW()-L258)
)
)
)</f>
        <v>46259.633973495373</v>
      </c>
      <c r="AE258" s="167">
        <f t="shared" ref="AE258:AE321" si="37">SUMIFS(AB:AB,E:E,E258)</f>
        <v>0</v>
      </c>
      <c r="AF258" s="168">
        <f t="shared" ref="AF258:AF321" si="38">(AE258*24)/9</f>
        <v>0</v>
      </c>
      <c r="AG258" s="168">
        <f t="shared" ref="AG258:AG321" si="39">AF258</f>
        <v>0</v>
      </c>
      <c r="AH258" s="81" t="e" cm="1">
        <f t="array" aca="1" ref="AH258" ca="1">IF((AD258) &lt; (INDEX(ResponseSLA[#All],(MATCH((G258),ResponseSLA[Priority],0))+1,3)),"YES","No")</f>
        <v>#N/A</v>
      </c>
      <c r="AI258" s="81" t="str">
        <f>_xlfn.IFNA(IF(AE258 &lt; (INDEX(SLATable[Minimum SLA],MATCH(G258,SLATable[Priority],0))),"YES","NO"),"")</f>
        <v/>
      </c>
      <c r="AJ258" s="19" t="str">
        <f>_xlfn.IFNA(IF(AE258 &lt; (INDEX(SLATable[Maximum SLA],MATCH(G258,SLATable[Priority],0))),"YES","NO"),"")</f>
        <v/>
      </c>
    </row>
    <row r="259" spans="1:36" ht="15" customHeight="1">
      <c r="A259" s="78"/>
      <c r="B259" s="78"/>
      <c r="C259" s="78"/>
      <c r="D259" s="78"/>
      <c r="E259" s="182"/>
      <c r="F259" s="182"/>
      <c r="G259" s="78"/>
      <c r="H259" s="182"/>
      <c r="I259" s="78"/>
      <c r="J259" s="182"/>
      <c r="K259" s="183"/>
      <c r="L259" s="277"/>
      <c r="M259" s="277"/>
      <c r="N259" s="183"/>
      <c r="O259" s="80"/>
      <c r="P259" s="80"/>
      <c r="Q259" s="78"/>
      <c r="R259" s="78"/>
      <c r="S259" s="78"/>
      <c r="T259" s="78"/>
      <c r="U259" s="78"/>
      <c r="V259" s="78"/>
      <c r="W259" s="78"/>
      <c r="X259" s="78"/>
      <c r="Y259" s="78"/>
      <c r="Z259" s="167" t="e">
        <f t="shared" ca="1" si="32"/>
        <v>#N/A</v>
      </c>
      <c r="AA259" s="168" t="e">
        <f t="shared" ca="1" si="34"/>
        <v>#N/A</v>
      </c>
      <c r="AB259" s="167">
        <f t="shared" ca="1" si="33"/>
        <v>0</v>
      </c>
      <c r="AC259" s="168">
        <f t="shared" ca="1" si="35"/>
        <v>0</v>
      </c>
      <c r="AD259" s="191">
        <f t="shared" ca="1" si="36"/>
        <v>46259.633973495373</v>
      </c>
      <c r="AE259" s="167">
        <f t="shared" si="37"/>
        <v>0</v>
      </c>
      <c r="AF259" s="168">
        <f t="shared" si="38"/>
        <v>0</v>
      </c>
      <c r="AG259" s="168">
        <f t="shared" si="39"/>
        <v>0</v>
      </c>
      <c r="AH259" s="81" t="e" cm="1">
        <f t="array" aca="1" ref="AH259" ca="1">IF((AD259) &lt; (INDEX(ResponseSLA[#All],(MATCH((G259),ResponseSLA[Priority],0))+1,3)),"YES","No")</f>
        <v>#N/A</v>
      </c>
      <c r="AI259" s="81" t="str">
        <f>_xlfn.IFNA(IF(AE259 &lt; (INDEX(SLATable[Minimum SLA],MATCH(G259,SLATable[Priority],0))),"YES","NO"),"")</f>
        <v/>
      </c>
      <c r="AJ259" s="19" t="str">
        <f>_xlfn.IFNA(IF(AE259 &lt; (INDEX(SLATable[Maximum SLA],MATCH(G259,SLATable[Priority],0))),"YES","NO"),"")</f>
        <v/>
      </c>
    </row>
    <row r="260" spans="1:36" ht="15" customHeight="1">
      <c r="A260" s="78"/>
      <c r="B260" s="78"/>
      <c r="C260" s="78"/>
      <c r="D260" s="78"/>
      <c r="E260" s="182"/>
      <c r="F260" s="182"/>
      <c r="G260" s="78"/>
      <c r="H260" s="182"/>
      <c r="I260" s="78"/>
      <c r="J260" s="182"/>
      <c r="K260" s="183"/>
      <c r="L260" s="277"/>
      <c r="M260" s="277"/>
      <c r="N260" s="183"/>
      <c r="O260" s="80"/>
      <c r="P260" s="80"/>
      <c r="Q260" s="78"/>
      <c r="R260" s="78"/>
      <c r="S260" s="78"/>
      <c r="T260" s="78"/>
      <c r="U260" s="78"/>
      <c r="V260" s="78"/>
      <c r="W260" s="78"/>
      <c r="X260" s="78"/>
      <c r="Y260" s="78"/>
      <c r="Z260" s="167" t="e">
        <f t="shared" ca="1" si="32"/>
        <v>#N/A</v>
      </c>
      <c r="AA260" s="168" t="e">
        <f t="shared" ca="1" si="34"/>
        <v>#N/A</v>
      </c>
      <c r="AB260" s="167">
        <f t="shared" ca="1" si="33"/>
        <v>0</v>
      </c>
      <c r="AC260" s="168">
        <f t="shared" ca="1" si="35"/>
        <v>0</v>
      </c>
      <c r="AD260" s="191">
        <f t="shared" ca="1" si="36"/>
        <v>46259.633973495373</v>
      </c>
      <c r="AE260" s="167">
        <f t="shared" si="37"/>
        <v>0</v>
      </c>
      <c r="AF260" s="168">
        <f t="shared" si="38"/>
        <v>0</v>
      </c>
      <c r="AG260" s="168">
        <f t="shared" si="39"/>
        <v>0</v>
      </c>
      <c r="AH260" s="81" t="e" cm="1">
        <f t="array" aca="1" ref="AH260" ca="1">IF((AD260) &lt; (INDEX(ResponseSLA[#All],(MATCH((G260),ResponseSLA[Priority],0))+1,3)),"YES","No")</f>
        <v>#N/A</v>
      </c>
      <c r="AI260" s="81" t="str">
        <f>_xlfn.IFNA(IF(AE260 &lt; (INDEX(SLATable[Minimum SLA],MATCH(G260,SLATable[Priority],0))),"YES","NO"),"")</f>
        <v/>
      </c>
      <c r="AJ260" s="19" t="str">
        <f>_xlfn.IFNA(IF(AE260 &lt; (INDEX(SLATable[Maximum SLA],MATCH(G260,SLATable[Priority],0))),"YES","NO"),"")</f>
        <v/>
      </c>
    </row>
    <row r="261" spans="1:36" ht="15" customHeight="1">
      <c r="A261" s="78"/>
      <c r="B261" s="78"/>
      <c r="C261" s="78"/>
      <c r="D261" s="78"/>
      <c r="E261" s="182"/>
      <c r="F261" s="182"/>
      <c r="G261" s="78"/>
      <c r="H261" s="182"/>
      <c r="I261" s="78"/>
      <c r="J261" s="182"/>
      <c r="K261" s="183"/>
      <c r="L261" s="277"/>
      <c r="M261" s="277"/>
      <c r="N261" s="183"/>
      <c r="O261" s="80"/>
      <c r="P261" s="183"/>
      <c r="Q261" s="78"/>
      <c r="R261" s="78"/>
      <c r="S261" s="78"/>
      <c r="T261" s="78"/>
      <c r="U261" s="78"/>
      <c r="V261" s="78"/>
      <c r="W261" s="78"/>
      <c r="X261" s="78"/>
      <c r="Y261" s="78"/>
      <c r="Z261" s="167" t="e">
        <f t="shared" ca="1" si="32"/>
        <v>#N/A</v>
      </c>
      <c r="AA261" s="168" t="e">
        <f t="shared" ca="1" si="34"/>
        <v>#N/A</v>
      </c>
      <c r="AB261" s="167">
        <f t="shared" ca="1" si="33"/>
        <v>0</v>
      </c>
      <c r="AC261" s="168">
        <f t="shared" ca="1" si="35"/>
        <v>0</v>
      </c>
      <c r="AD261" s="191">
        <f t="shared" ca="1" si="36"/>
        <v>46259.633973495373</v>
      </c>
      <c r="AE261" s="167">
        <f t="shared" si="37"/>
        <v>0</v>
      </c>
      <c r="AF261" s="168">
        <f t="shared" si="38"/>
        <v>0</v>
      </c>
      <c r="AG261" s="168">
        <f t="shared" si="39"/>
        <v>0</v>
      </c>
      <c r="AH261" s="81" t="e" cm="1">
        <f t="array" aca="1" ref="AH261" ca="1">IF((AD261) &lt; (INDEX(ResponseSLA[#All],(MATCH((G261),ResponseSLA[Priority],0))+1,3)),"YES","No")</f>
        <v>#N/A</v>
      </c>
      <c r="AI261" s="81" t="str">
        <f>_xlfn.IFNA(IF(AE261 &lt; (INDEX(SLATable[Minimum SLA],MATCH(G261,SLATable[Priority],0))),"YES","NO"),"")</f>
        <v/>
      </c>
      <c r="AJ261" s="19" t="str">
        <f>_xlfn.IFNA(IF(AE261 &lt; (INDEX(SLATable[Maximum SLA],MATCH(G261,SLATable[Priority],0))),"YES","NO"),"")</f>
        <v/>
      </c>
    </row>
    <row r="262" spans="1:36" ht="15" customHeight="1">
      <c r="A262" s="78"/>
      <c r="B262" s="78"/>
      <c r="C262" s="78"/>
      <c r="D262" s="78"/>
      <c r="E262" s="182"/>
      <c r="F262" s="182"/>
      <c r="G262" s="78"/>
      <c r="H262" s="182"/>
      <c r="I262" s="78"/>
      <c r="J262" s="182"/>
      <c r="K262" s="183"/>
      <c r="L262" s="277"/>
      <c r="M262" s="277"/>
      <c r="N262" s="183"/>
      <c r="O262" s="80"/>
      <c r="P262" s="80"/>
      <c r="Q262" s="78"/>
      <c r="R262" s="78"/>
      <c r="S262" s="78"/>
      <c r="T262" s="78"/>
      <c r="U262" s="78"/>
      <c r="V262" s="78"/>
      <c r="W262" s="78"/>
      <c r="X262" s="78"/>
      <c r="Y262" s="78"/>
      <c r="Z262" s="167" t="e">
        <f t="shared" ca="1" si="32"/>
        <v>#N/A</v>
      </c>
      <c r="AA262" s="168" t="e">
        <f t="shared" ca="1" si="34"/>
        <v>#N/A</v>
      </c>
      <c r="AB262" s="167">
        <f t="shared" ca="1" si="33"/>
        <v>0</v>
      </c>
      <c r="AC262" s="168">
        <f t="shared" ca="1" si="35"/>
        <v>0</v>
      </c>
      <c r="AD262" s="191">
        <f t="shared" ca="1" si="36"/>
        <v>46259.633973495373</v>
      </c>
      <c r="AE262" s="167">
        <f t="shared" si="37"/>
        <v>0</v>
      </c>
      <c r="AF262" s="168">
        <f t="shared" si="38"/>
        <v>0</v>
      </c>
      <c r="AG262" s="168">
        <f t="shared" si="39"/>
        <v>0</v>
      </c>
      <c r="AH262" s="81" t="e" cm="1">
        <f t="array" aca="1" ref="AH262" ca="1">IF((AD262) &lt; (INDEX(ResponseSLA[#All],(MATCH((G262),ResponseSLA[Priority],0))+1,3)),"YES","No")</f>
        <v>#N/A</v>
      </c>
      <c r="AI262" s="81" t="str">
        <f>_xlfn.IFNA(IF(AE262 &lt; (INDEX(SLATable[Minimum SLA],MATCH(G262,SLATable[Priority],0))),"YES","NO"),"")</f>
        <v/>
      </c>
      <c r="AJ262" s="19" t="str">
        <f>_xlfn.IFNA(IF(AE262 &lt; (INDEX(SLATable[Maximum SLA],MATCH(G262,SLATable[Priority],0))),"YES","NO"),"")</f>
        <v/>
      </c>
    </row>
    <row r="263" spans="1:36" ht="15" customHeight="1">
      <c r="A263" s="78"/>
      <c r="B263" s="78"/>
      <c r="C263" s="78"/>
      <c r="D263" s="78"/>
      <c r="E263" s="182"/>
      <c r="F263" s="182"/>
      <c r="G263" s="78"/>
      <c r="H263" s="182"/>
      <c r="I263" s="78"/>
      <c r="J263" s="182"/>
      <c r="K263" s="183"/>
      <c r="L263" s="277"/>
      <c r="M263" s="277"/>
      <c r="N263" s="183"/>
      <c r="O263" s="80"/>
      <c r="P263" s="80"/>
      <c r="Q263" s="78"/>
      <c r="R263" s="78"/>
      <c r="S263" s="78"/>
      <c r="T263" s="78"/>
      <c r="U263" s="78"/>
      <c r="V263" s="78"/>
      <c r="W263" s="78"/>
      <c r="X263" s="78"/>
      <c r="Y263" s="78"/>
      <c r="Z263" s="167" t="e">
        <f t="shared" ca="1" si="32"/>
        <v>#N/A</v>
      </c>
      <c r="AA263" s="168" t="e">
        <f t="shared" ca="1" si="34"/>
        <v>#N/A</v>
      </c>
      <c r="AB263" s="167">
        <f t="shared" ca="1" si="33"/>
        <v>0</v>
      </c>
      <c r="AC263" s="168">
        <f t="shared" ca="1" si="35"/>
        <v>0</v>
      </c>
      <c r="AD263" s="191">
        <f t="shared" ca="1" si="36"/>
        <v>46259.633973495373</v>
      </c>
      <c r="AE263" s="167">
        <f t="shared" si="37"/>
        <v>0</v>
      </c>
      <c r="AF263" s="168">
        <f t="shared" si="38"/>
        <v>0</v>
      </c>
      <c r="AG263" s="168">
        <f t="shared" si="39"/>
        <v>0</v>
      </c>
      <c r="AH263" s="81" t="e" cm="1">
        <f t="array" aca="1" ref="AH263" ca="1">IF((AD263) &lt; (INDEX(ResponseSLA[#All],(MATCH((G263),ResponseSLA[Priority],0))+1,3)),"YES","No")</f>
        <v>#N/A</v>
      </c>
      <c r="AI263" s="81" t="str">
        <f>_xlfn.IFNA(IF(AE263 &lt; (INDEX(SLATable[Minimum SLA],MATCH(G263,SLATable[Priority],0))),"YES","NO"),"")</f>
        <v/>
      </c>
      <c r="AJ263" s="19" t="str">
        <f>_xlfn.IFNA(IF(AE263 &lt; (INDEX(SLATable[Maximum SLA],MATCH(G263,SLATable[Priority],0))),"YES","NO"),"")</f>
        <v/>
      </c>
    </row>
    <row r="264" spans="1:36" ht="15" customHeight="1">
      <c r="A264" s="78"/>
      <c r="B264" s="78"/>
      <c r="C264" s="78"/>
      <c r="D264" s="78"/>
      <c r="E264" s="182"/>
      <c r="F264" s="182"/>
      <c r="G264" s="78"/>
      <c r="H264" s="182"/>
      <c r="I264" s="78"/>
      <c r="J264" s="182"/>
      <c r="K264" s="183"/>
      <c r="L264" s="277"/>
      <c r="M264" s="166"/>
      <c r="N264" s="183"/>
      <c r="O264" s="80"/>
      <c r="P264" s="80"/>
      <c r="Q264" s="78"/>
      <c r="R264" s="78"/>
      <c r="S264" s="78"/>
      <c r="T264" s="78"/>
      <c r="U264" s="78"/>
      <c r="V264" s="78"/>
      <c r="W264" s="78"/>
      <c r="X264" s="78"/>
      <c r="Y264" s="78"/>
      <c r="Z264" s="167" t="e">
        <f t="shared" ca="1" si="32"/>
        <v>#N/A</v>
      </c>
      <c r="AA264" s="168" t="e">
        <f t="shared" ca="1" si="34"/>
        <v>#N/A</v>
      </c>
      <c r="AB264" s="167">
        <f t="shared" ca="1" si="33"/>
        <v>0</v>
      </c>
      <c r="AC264" s="168">
        <f t="shared" ca="1" si="35"/>
        <v>0</v>
      </c>
      <c r="AD264" s="191">
        <f t="shared" ca="1" si="36"/>
        <v>46259.633973495373</v>
      </c>
      <c r="AE264" s="167">
        <f t="shared" si="37"/>
        <v>0</v>
      </c>
      <c r="AF264" s="168">
        <f t="shared" si="38"/>
        <v>0</v>
      </c>
      <c r="AG264" s="168">
        <f t="shared" si="39"/>
        <v>0</v>
      </c>
      <c r="AH264" s="81" t="e" cm="1">
        <f t="array" aca="1" ref="AH264" ca="1">IF((AD264) &lt; (INDEX(ResponseSLA[#All],(MATCH((G264),ResponseSLA[Priority],0))+1,3)),"YES","No")</f>
        <v>#N/A</v>
      </c>
      <c r="AI264" s="81" t="str">
        <f>_xlfn.IFNA(IF(AE264 &lt; (INDEX(SLATable[Minimum SLA],MATCH(G264,SLATable[Priority],0))),"YES","NO"),"")</f>
        <v/>
      </c>
      <c r="AJ264" s="19" t="str">
        <f>_xlfn.IFNA(IF(AE264 &lt; (INDEX(SLATable[Maximum SLA],MATCH(G264,SLATable[Priority],0))),"YES","NO"),"")</f>
        <v/>
      </c>
    </row>
    <row r="265" spans="1:36" ht="15" customHeight="1">
      <c r="A265" s="78"/>
      <c r="B265" s="78"/>
      <c r="C265" s="78"/>
      <c r="D265" s="78"/>
      <c r="E265" s="182"/>
      <c r="F265" s="182"/>
      <c r="G265" s="78"/>
      <c r="H265" s="182"/>
      <c r="I265" s="78"/>
      <c r="J265" s="182"/>
      <c r="K265" s="183"/>
      <c r="L265" s="277"/>
      <c r="M265" s="277"/>
      <c r="N265" s="183"/>
      <c r="O265" s="80"/>
      <c r="P265" s="80"/>
      <c r="Q265" s="78"/>
      <c r="R265" s="78"/>
      <c r="S265" s="78"/>
      <c r="T265" s="78"/>
      <c r="U265" s="78"/>
      <c r="V265" s="78"/>
      <c r="W265" s="78"/>
      <c r="X265" s="78"/>
      <c r="Y265" s="78"/>
      <c r="Z265" s="167" t="e">
        <f t="shared" ca="1" si="32"/>
        <v>#N/A</v>
      </c>
      <c r="AA265" s="168" t="e">
        <f t="shared" ca="1" si="34"/>
        <v>#N/A</v>
      </c>
      <c r="AB265" s="167">
        <f t="shared" ca="1" si="33"/>
        <v>0</v>
      </c>
      <c r="AC265" s="168">
        <f t="shared" ca="1" si="35"/>
        <v>0</v>
      </c>
      <c r="AD265" s="191">
        <f t="shared" ca="1" si="36"/>
        <v>46259.633973495373</v>
      </c>
      <c r="AE265" s="167">
        <f t="shared" si="37"/>
        <v>0</v>
      </c>
      <c r="AF265" s="168">
        <f t="shared" si="38"/>
        <v>0</v>
      </c>
      <c r="AG265" s="168">
        <f t="shared" si="39"/>
        <v>0</v>
      </c>
      <c r="AH265" s="81" t="e" cm="1">
        <f t="array" aca="1" ref="AH265" ca="1">IF((AD265) &lt; (INDEX(ResponseSLA[#All],(MATCH((G265),ResponseSLA[Priority],0))+1,3)),"YES","No")</f>
        <v>#N/A</v>
      </c>
      <c r="AI265" s="81" t="str">
        <f>_xlfn.IFNA(IF(AE265 &lt; (INDEX(SLATable[Minimum SLA],MATCH(G265,SLATable[Priority],0))),"YES","NO"),"")</f>
        <v/>
      </c>
      <c r="AJ265" s="19" t="str">
        <f>_xlfn.IFNA(IF(AE265 &lt; (INDEX(SLATable[Maximum SLA],MATCH(G265,SLATable[Priority],0))),"YES","NO"),"")</f>
        <v/>
      </c>
    </row>
    <row r="266" spans="1:36" ht="15" customHeight="1">
      <c r="A266" s="78"/>
      <c r="B266" s="78"/>
      <c r="C266" s="78"/>
      <c r="D266" s="78"/>
      <c r="E266" s="182"/>
      <c r="F266" s="182"/>
      <c r="G266" s="78"/>
      <c r="H266" s="182"/>
      <c r="I266" s="78"/>
      <c r="J266" s="182"/>
      <c r="K266" s="183"/>
      <c r="L266" s="277"/>
      <c r="M266" s="277"/>
      <c r="N266" s="183"/>
      <c r="O266" s="80"/>
      <c r="P266" s="80"/>
      <c r="Q266" s="78"/>
      <c r="R266" s="78"/>
      <c r="S266" s="78"/>
      <c r="T266" s="78"/>
      <c r="U266" s="78"/>
      <c r="V266" s="78"/>
      <c r="W266" s="78"/>
      <c r="X266" s="78"/>
      <c r="Y266" s="78"/>
      <c r="Z266" s="167" t="e">
        <f t="shared" ca="1" si="32"/>
        <v>#N/A</v>
      </c>
      <c r="AA266" s="168" t="e">
        <f t="shared" ca="1" si="34"/>
        <v>#N/A</v>
      </c>
      <c r="AB266" s="167">
        <f t="shared" ca="1" si="33"/>
        <v>0</v>
      </c>
      <c r="AC266" s="168">
        <f t="shared" ca="1" si="35"/>
        <v>0</v>
      </c>
      <c r="AD266" s="191">
        <f t="shared" ca="1" si="36"/>
        <v>46259.633973495373</v>
      </c>
      <c r="AE266" s="167">
        <f t="shared" si="37"/>
        <v>0</v>
      </c>
      <c r="AF266" s="168">
        <f t="shared" si="38"/>
        <v>0</v>
      </c>
      <c r="AG266" s="168">
        <f t="shared" si="39"/>
        <v>0</v>
      </c>
      <c r="AH266" s="81" t="e" cm="1">
        <f t="array" aca="1" ref="AH266" ca="1">IF((AD266) &lt; (INDEX(ResponseSLA[#All],(MATCH((G266),ResponseSLA[Priority],0))+1,3)),"YES","No")</f>
        <v>#N/A</v>
      </c>
      <c r="AI266" s="81" t="str">
        <f>_xlfn.IFNA(IF(AE266 &lt; (INDEX(SLATable[Minimum SLA],MATCH(G266,SLATable[Priority],0))),"YES","NO"),"")</f>
        <v/>
      </c>
      <c r="AJ266" s="19" t="str">
        <f>_xlfn.IFNA(IF(AE266 &lt; (INDEX(SLATable[Maximum SLA],MATCH(G266,SLATable[Priority],0))),"YES","NO"),"")</f>
        <v/>
      </c>
    </row>
    <row r="267" spans="1:36" ht="15" customHeight="1">
      <c r="A267" s="78"/>
      <c r="B267" s="78"/>
      <c r="C267" s="78"/>
      <c r="D267" s="78"/>
      <c r="E267" s="182"/>
      <c r="F267" s="182"/>
      <c r="G267" s="78"/>
      <c r="H267" s="182"/>
      <c r="I267" s="78"/>
      <c r="J267" s="182"/>
      <c r="K267" s="183"/>
      <c r="L267" s="277"/>
      <c r="M267" s="277"/>
      <c r="N267" s="183"/>
      <c r="O267" s="80"/>
      <c r="P267" s="80"/>
      <c r="Q267" s="78"/>
      <c r="R267" s="78"/>
      <c r="S267" s="78"/>
      <c r="T267" s="78"/>
      <c r="U267" s="78"/>
      <c r="V267" s="78"/>
      <c r="W267" s="78"/>
      <c r="X267" s="78"/>
      <c r="Y267" s="78"/>
      <c r="Z267" s="167" t="e">
        <f t="shared" ca="1" si="32"/>
        <v>#N/A</v>
      </c>
      <c r="AA267" s="168" t="e">
        <f t="shared" ca="1" si="34"/>
        <v>#N/A</v>
      </c>
      <c r="AB267" s="167">
        <f t="shared" ca="1" si="33"/>
        <v>0</v>
      </c>
      <c r="AC267" s="168">
        <f t="shared" ca="1" si="35"/>
        <v>0</v>
      </c>
      <c r="AD267" s="191">
        <f t="shared" ca="1" si="36"/>
        <v>46259.633973495373</v>
      </c>
      <c r="AE267" s="167">
        <f t="shared" si="37"/>
        <v>0</v>
      </c>
      <c r="AF267" s="168">
        <f t="shared" si="38"/>
        <v>0</v>
      </c>
      <c r="AG267" s="168">
        <f t="shared" si="39"/>
        <v>0</v>
      </c>
      <c r="AH267" s="81" t="e" cm="1">
        <f t="array" aca="1" ref="AH267" ca="1">IF((AD267) &lt; (INDEX(ResponseSLA[#All],(MATCH((G267),ResponseSLA[Priority],0))+1,3)),"YES","No")</f>
        <v>#N/A</v>
      </c>
      <c r="AI267" s="81" t="str">
        <f>_xlfn.IFNA(IF(AE267 &lt; (INDEX(SLATable[Minimum SLA],MATCH(G267,SLATable[Priority],0))),"YES","NO"),"")</f>
        <v/>
      </c>
      <c r="AJ267" s="19" t="str">
        <f>_xlfn.IFNA(IF(AE267 &lt; (INDEX(SLATable[Maximum SLA],MATCH(G267,SLATable[Priority],0))),"YES","NO"),"")</f>
        <v/>
      </c>
    </row>
    <row r="268" spans="1:36" ht="15" customHeight="1">
      <c r="A268" s="78"/>
      <c r="B268" s="78"/>
      <c r="C268" s="78"/>
      <c r="D268" s="78"/>
      <c r="E268" s="182"/>
      <c r="F268" s="182"/>
      <c r="G268" s="78"/>
      <c r="H268" s="182"/>
      <c r="I268" s="78"/>
      <c r="J268" s="182"/>
      <c r="K268" s="183"/>
      <c r="L268" s="277"/>
      <c r="M268" s="277"/>
      <c r="N268" s="183"/>
      <c r="O268" s="80"/>
      <c r="P268" s="80"/>
      <c r="Q268" s="78"/>
      <c r="R268" s="78"/>
      <c r="S268" s="78"/>
      <c r="T268" s="78"/>
      <c r="U268" s="78"/>
      <c r="V268" s="78"/>
      <c r="W268" s="78"/>
      <c r="X268" s="78"/>
      <c r="Y268" s="78"/>
      <c r="Z268" s="167" t="e">
        <f t="shared" ca="1" si="32"/>
        <v>#N/A</v>
      </c>
      <c r="AA268" s="168" t="e">
        <f t="shared" ca="1" si="34"/>
        <v>#N/A</v>
      </c>
      <c r="AB268" s="167">
        <f t="shared" ca="1" si="33"/>
        <v>0</v>
      </c>
      <c r="AC268" s="168">
        <f t="shared" ca="1" si="35"/>
        <v>0</v>
      </c>
      <c r="AD268" s="191">
        <f t="shared" ca="1" si="36"/>
        <v>46259.633973495373</v>
      </c>
      <c r="AE268" s="167">
        <f t="shared" si="37"/>
        <v>0</v>
      </c>
      <c r="AF268" s="168">
        <f t="shared" si="38"/>
        <v>0</v>
      </c>
      <c r="AG268" s="168">
        <f t="shared" si="39"/>
        <v>0</v>
      </c>
      <c r="AH268" s="81" t="e" cm="1">
        <f t="array" aca="1" ref="AH268" ca="1">IF((AD268) &lt; (INDEX(ResponseSLA[#All],(MATCH((G268),ResponseSLA[Priority],0))+1,3)),"YES","No")</f>
        <v>#N/A</v>
      </c>
      <c r="AI268" s="81" t="str">
        <f>_xlfn.IFNA(IF(AE268 &lt; (INDEX(SLATable[Minimum SLA],MATCH(G268,SLATable[Priority],0))),"YES","NO"),"")</f>
        <v/>
      </c>
      <c r="AJ268" s="19" t="str">
        <f>_xlfn.IFNA(IF(AE268 &lt; (INDEX(SLATable[Maximum SLA],MATCH(G268,SLATable[Priority],0))),"YES","NO"),"")</f>
        <v/>
      </c>
    </row>
    <row r="269" spans="1:36" ht="15" customHeight="1">
      <c r="A269" s="78"/>
      <c r="B269" s="78"/>
      <c r="C269" s="78"/>
      <c r="D269" s="78"/>
      <c r="E269" s="182"/>
      <c r="F269" s="182"/>
      <c r="G269" s="78"/>
      <c r="H269" s="182"/>
      <c r="I269" s="78"/>
      <c r="J269" s="182"/>
      <c r="K269" s="183"/>
      <c r="L269" s="277"/>
      <c r="M269" s="277"/>
      <c r="N269" s="183"/>
      <c r="O269" s="80"/>
      <c r="P269" s="80"/>
      <c r="Q269" s="78"/>
      <c r="R269" s="78"/>
      <c r="S269" s="78"/>
      <c r="T269" s="78"/>
      <c r="U269" s="78"/>
      <c r="V269" s="78"/>
      <c r="W269" s="78"/>
      <c r="X269" s="78"/>
      <c r="Y269" s="78"/>
      <c r="Z269" s="167" t="e">
        <f t="shared" ca="1" si="32"/>
        <v>#N/A</v>
      </c>
      <c r="AA269" s="168" t="e">
        <f t="shared" ca="1" si="34"/>
        <v>#N/A</v>
      </c>
      <c r="AB269" s="167">
        <f t="shared" ca="1" si="33"/>
        <v>0</v>
      </c>
      <c r="AC269" s="168">
        <f t="shared" ca="1" si="35"/>
        <v>0</v>
      </c>
      <c r="AD269" s="191">
        <f t="shared" ca="1" si="36"/>
        <v>46259.633973495373</v>
      </c>
      <c r="AE269" s="167">
        <f t="shared" si="37"/>
        <v>0</v>
      </c>
      <c r="AF269" s="168">
        <f t="shared" si="38"/>
        <v>0</v>
      </c>
      <c r="AG269" s="168">
        <f t="shared" si="39"/>
        <v>0</v>
      </c>
      <c r="AH269" s="81" t="e" cm="1">
        <f t="array" aca="1" ref="AH269" ca="1">IF((AD269) &lt; (INDEX(ResponseSLA[#All],(MATCH((G269),ResponseSLA[Priority],0))+1,3)),"YES","No")</f>
        <v>#N/A</v>
      </c>
      <c r="AI269" s="81" t="str">
        <f>_xlfn.IFNA(IF(AE269 &lt; (INDEX(SLATable[Minimum SLA],MATCH(G269,SLATable[Priority],0))),"YES","NO"),"")</f>
        <v/>
      </c>
      <c r="AJ269" s="19" t="str">
        <f>_xlfn.IFNA(IF(AE269 &lt; (INDEX(SLATable[Maximum SLA],MATCH(G269,SLATable[Priority],0))),"YES","NO"),"")</f>
        <v/>
      </c>
    </row>
    <row r="270" spans="1:36" ht="15" customHeight="1">
      <c r="A270" s="78"/>
      <c r="B270" s="78"/>
      <c r="C270" s="78"/>
      <c r="D270" s="78"/>
      <c r="E270" s="182"/>
      <c r="F270" s="182"/>
      <c r="G270" s="78"/>
      <c r="H270" s="182"/>
      <c r="I270" s="78"/>
      <c r="J270" s="182"/>
      <c r="K270" s="183"/>
      <c r="L270" s="277"/>
      <c r="M270" s="277"/>
      <c r="N270" s="183"/>
      <c r="O270" s="80"/>
      <c r="P270" s="80"/>
      <c r="Q270" s="78"/>
      <c r="R270" s="78"/>
      <c r="S270" s="78"/>
      <c r="T270" s="78"/>
      <c r="U270" s="78"/>
      <c r="V270" s="78"/>
      <c r="W270" s="78"/>
      <c r="X270" s="78"/>
      <c r="Y270" s="78"/>
      <c r="Z270" s="167" t="e">
        <f t="shared" ca="1" si="32"/>
        <v>#N/A</v>
      </c>
      <c r="AA270" s="168" t="e">
        <f t="shared" ca="1" si="34"/>
        <v>#N/A</v>
      </c>
      <c r="AB270" s="167">
        <f t="shared" ca="1" si="33"/>
        <v>0</v>
      </c>
      <c r="AC270" s="168">
        <f t="shared" ca="1" si="35"/>
        <v>0</v>
      </c>
      <c r="AD270" s="191">
        <f t="shared" ca="1" si="36"/>
        <v>46259.633973495373</v>
      </c>
      <c r="AE270" s="167">
        <f t="shared" si="37"/>
        <v>0</v>
      </c>
      <c r="AF270" s="168">
        <f t="shared" si="38"/>
        <v>0</v>
      </c>
      <c r="AG270" s="168">
        <f t="shared" si="39"/>
        <v>0</v>
      </c>
      <c r="AH270" s="81" t="e" cm="1">
        <f t="array" aca="1" ref="AH270" ca="1">IF((AD270) &lt; (INDEX(ResponseSLA[#All],(MATCH((G270),ResponseSLA[Priority],0))+1,3)),"YES","No")</f>
        <v>#N/A</v>
      </c>
      <c r="AI270" s="81" t="str">
        <f>_xlfn.IFNA(IF(AE270 &lt; (INDEX(SLATable[Minimum SLA],MATCH(G270,SLATable[Priority],0))),"YES","NO"),"")</f>
        <v/>
      </c>
      <c r="AJ270" s="19" t="str">
        <f>_xlfn.IFNA(IF(AE270 &lt; (INDEX(SLATable[Maximum SLA],MATCH(G270,SLATable[Priority],0))),"YES","NO"),"")</f>
        <v/>
      </c>
    </row>
    <row r="271" spans="1:36" ht="15" customHeight="1">
      <c r="A271" s="78"/>
      <c r="B271" s="78"/>
      <c r="C271" s="78"/>
      <c r="D271" s="78"/>
      <c r="E271" s="182"/>
      <c r="F271" s="182"/>
      <c r="G271" s="78"/>
      <c r="H271" s="182"/>
      <c r="I271" s="78"/>
      <c r="J271" s="182"/>
      <c r="K271" s="183"/>
      <c r="L271" s="277"/>
      <c r="M271" s="277"/>
      <c r="N271" s="183"/>
      <c r="O271" s="80"/>
      <c r="P271" s="80"/>
      <c r="Q271" s="78"/>
      <c r="R271" s="78"/>
      <c r="S271" s="78"/>
      <c r="T271" s="78"/>
      <c r="U271" s="78"/>
      <c r="V271" s="78"/>
      <c r="W271" s="78"/>
      <c r="X271" s="78"/>
      <c r="Y271" s="78"/>
      <c r="Z271" s="167" t="e">
        <f t="shared" ca="1" si="32"/>
        <v>#N/A</v>
      </c>
      <c r="AA271" s="168" t="e">
        <f t="shared" ca="1" si="34"/>
        <v>#N/A</v>
      </c>
      <c r="AB271" s="167">
        <f t="shared" ca="1" si="33"/>
        <v>0</v>
      </c>
      <c r="AC271" s="168">
        <f t="shared" ca="1" si="35"/>
        <v>0</v>
      </c>
      <c r="AD271" s="191">
        <f t="shared" ca="1" si="36"/>
        <v>46259.633973495373</v>
      </c>
      <c r="AE271" s="167">
        <f t="shared" si="37"/>
        <v>0</v>
      </c>
      <c r="AF271" s="168">
        <f t="shared" si="38"/>
        <v>0</v>
      </c>
      <c r="AG271" s="168">
        <f t="shared" si="39"/>
        <v>0</v>
      </c>
      <c r="AH271" s="81" t="e" cm="1">
        <f t="array" aca="1" ref="AH271" ca="1">IF((AD271) &lt; (INDEX(ResponseSLA[#All],(MATCH((G271),ResponseSLA[Priority],0))+1,3)),"YES","No")</f>
        <v>#N/A</v>
      </c>
      <c r="AI271" s="81" t="str">
        <f>_xlfn.IFNA(IF(AE271 &lt; (INDEX(SLATable[Minimum SLA],MATCH(G271,SLATable[Priority],0))),"YES","NO"),"")</f>
        <v/>
      </c>
      <c r="AJ271" s="19" t="str">
        <f>_xlfn.IFNA(IF(AE271 &lt; (INDEX(SLATable[Maximum SLA],MATCH(G271,SLATable[Priority],0))),"YES","NO"),"")</f>
        <v/>
      </c>
    </row>
    <row r="272" spans="1:36" ht="15" customHeight="1">
      <c r="A272" s="78"/>
      <c r="B272" s="78"/>
      <c r="C272" s="78"/>
      <c r="D272" s="78"/>
      <c r="E272" s="182"/>
      <c r="F272" s="182"/>
      <c r="G272" s="78"/>
      <c r="H272" s="182"/>
      <c r="I272" s="78"/>
      <c r="J272" s="182"/>
      <c r="K272" s="183"/>
      <c r="L272" s="277"/>
      <c r="M272" s="277"/>
      <c r="N272" s="183"/>
      <c r="O272" s="80"/>
      <c r="P272" s="80"/>
      <c r="Q272" s="78"/>
      <c r="R272" s="78"/>
      <c r="S272" s="78"/>
      <c r="T272" s="78"/>
      <c r="U272" s="78"/>
      <c r="V272" s="78"/>
      <c r="W272" s="78"/>
      <c r="X272" s="78"/>
      <c r="Y272" s="78"/>
      <c r="Z272" s="167" t="e">
        <f t="shared" ca="1" si="32"/>
        <v>#N/A</v>
      </c>
      <c r="AA272" s="168" t="e">
        <f t="shared" ca="1" si="34"/>
        <v>#N/A</v>
      </c>
      <c r="AB272" s="167">
        <f t="shared" ca="1" si="33"/>
        <v>0</v>
      </c>
      <c r="AC272" s="168">
        <f t="shared" ca="1" si="35"/>
        <v>0</v>
      </c>
      <c r="AD272" s="191">
        <f t="shared" ca="1" si="36"/>
        <v>46259.633973495373</v>
      </c>
      <c r="AE272" s="167">
        <f t="shared" si="37"/>
        <v>0</v>
      </c>
      <c r="AF272" s="168">
        <f t="shared" si="38"/>
        <v>0</v>
      </c>
      <c r="AG272" s="168">
        <f t="shared" si="39"/>
        <v>0</v>
      </c>
      <c r="AH272" s="81" t="e" cm="1">
        <f t="array" aca="1" ref="AH272" ca="1">IF((AD272) &lt; (INDEX(ResponseSLA[#All],(MATCH((G272),ResponseSLA[Priority],0))+1,3)),"YES","No")</f>
        <v>#N/A</v>
      </c>
      <c r="AI272" s="81" t="str">
        <f>_xlfn.IFNA(IF(AE272 &lt; (INDEX(SLATable[Minimum SLA],MATCH(G272,SLATable[Priority],0))),"YES","NO"),"")</f>
        <v/>
      </c>
      <c r="AJ272" s="19" t="str">
        <f>_xlfn.IFNA(IF(AE272 &lt; (INDEX(SLATable[Maximum SLA],MATCH(G272,SLATable[Priority],0))),"YES","NO"),"")</f>
        <v/>
      </c>
    </row>
    <row r="273" spans="1:36" ht="15" customHeight="1">
      <c r="A273" s="78"/>
      <c r="B273" s="78"/>
      <c r="C273" s="78"/>
      <c r="D273" s="78"/>
      <c r="E273" s="182"/>
      <c r="F273" s="182"/>
      <c r="G273" s="78"/>
      <c r="H273" s="182"/>
      <c r="I273" s="78"/>
      <c r="J273" s="182"/>
      <c r="K273" s="183"/>
      <c r="L273" s="277"/>
      <c r="M273" s="277"/>
      <c r="N273" s="183"/>
      <c r="O273" s="80"/>
      <c r="P273" s="80"/>
      <c r="Q273" s="78"/>
      <c r="R273" s="78"/>
      <c r="S273" s="78"/>
      <c r="T273" s="78"/>
      <c r="U273" s="78"/>
      <c r="V273" s="78"/>
      <c r="W273" s="78"/>
      <c r="X273" s="78"/>
      <c r="Y273" s="78"/>
      <c r="Z273" s="167" t="e">
        <f t="shared" ca="1" si="32"/>
        <v>#N/A</v>
      </c>
      <c r="AA273" s="168" t="e">
        <f t="shared" ca="1" si="34"/>
        <v>#N/A</v>
      </c>
      <c r="AB273" s="167">
        <f t="shared" ca="1" si="33"/>
        <v>0</v>
      </c>
      <c r="AC273" s="168">
        <f t="shared" ca="1" si="35"/>
        <v>0</v>
      </c>
      <c r="AD273" s="191">
        <f t="shared" ca="1" si="36"/>
        <v>46259.633973495373</v>
      </c>
      <c r="AE273" s="167">
        <f t="shared" si="37"/>
        <v>0</v>
      </c>
      <c r="AF273" s="168">
        <f t="shared" si="38"/>
        <v>0</v>
      </c>
      <c r="AG273" s="168">
        <f t="shared" si="39"/>
        <v>0</v>
      </c>
      <c r="AH273" s="81" t="e" cm="1">
        <f t="array" aca="1" ref="AH273" ca="1">IF((AD273) &lt; (INDEX(ResponseSLA[#All],(MATCH((G273),ResponseSLA[Priority],0))+1,3)),"YES","No")</f>
        <v>#N/A</v>
      </c>
      <c r="AI273" s="81" t="str">
        <f>_xlfn.IFNA(IF(AE273 &lt; (INDEX(SLATable[Minimum SLA],MATCH(G273,SLATable[Priority],0))),"YES","NO"),"")</f>
        <v/>
      </c>
      <c r="AJ273" s="19" t="str">
        <f>_xlfn.IFNA(IF(AE273 &lt; (INDEX(SLATable[Maximum SLA],MATCH(G273,SLATable[Priority],0))),"YES","NO"),"")</f>
        <v/>
      </c>
    </row>
    <row r="274" spans="1:36" ht="15" customHeight="1">
      <c r="A274" s="78"/>
      <c r="B274" s="78"/>
      <c r="C274" s="78"/>
      <c r="D274" s="78"/>
      <c r="E274" s="182"/>
      <c r="F274" s="182"/>
      <c r="G274" s="78"/>
      <c r="H274" s="182"/>
      <c r="I274" s="78"/>
      <c r="J274" s="182"/>
      <c r="K274" s="183"/>
      <c r="L274" s="277"/>
      <c r="M274" s="277"/>
      <c r="N274" s="183"/>
      <c r="O274" s="80"/>
      <c r="P274" s="80"/>
      <c r="Q274" s="78"/>
      <c r="R274" s="78"/>
      <c r="S274" s="78"/>
      <c r="T274" s="78"/>
      <c r="U274" s="78"/>
      <c r="V274" s="78"/>
      <c r="W274" s="78"/>
      <c r="X274" s="78"/>
      <c r="Y274" s="78"/>
      <c r="Z274" s="167" t="e">
        <f t="shared" ca="1" si="32"/>
        <v>#N/A</v>
      </c>
      <c r="AA274" s="168" t="e">
        <f t="shared" ca="1" si="34"/>
        <v>#N/A</v>
      </c>
      <c r="AB274" s="167">
        <f t="shared" ca="1" si="33"/>
        <v>0</v>
      </c>
      <c r="AC274" s="168">
        <f t="shared" ca="1" si="35"/>
        <v>0</v>
      </c>
      <c r="AD274" s="191">
        <f t="shared" ca="1" si="36"/>
        <v>46259.633973495373</v>
      </c>
      <c r="AE274" s="167">
        <f t="shared" si="37"/>
        <v>0</v>
      </c>
      <c r="AF274" s="168">
        <f t="shared" si="38"/>
        <v>0</v>
      </c>
      <c r="AG274" s="168">
        <f t="shared" si="39"/>
        <v>0</v>
      </c>
      <c r="AH274" s="81" t="e" cm="1">
        <f t="array" aca="1" ref="AH274" ca="1">IF((AD274) &lt; (INDEX(ResponseSLA[#All],(MATCH((G274),ResponseSLA[Priority],0))+1,3)),"YES","No")</f>
        <v>#N/A</v>
      </c>
      <c r="AI274" s="81" t="str">
        <f>_xlfn.IFNA(IF(AE274 &lt; (INDEX(SLATable[Minimum SLA],MATCH(G274,SLATable[Priority],0))),"YES","NO"),"")</f>
        <v/>
      </c>
      <c r="AJ274" s="19" t="str">
        <f>_xlfn.IFNA(IF(AE274 &lt; (INDEX(SLATable[Maximum SLA],MATCH(G274,SLATable[Priority],0))),"YES","NO"),"")</f>
        <v/>
      </c>
    </row>
    <row r="275" spans="1:36" ht="15" customHeight="1">
      <c r="A275" s="78"/>
      <c r="B275" s="78"/>
      <c r="C275" s="78"/>
      <c r="D275" s="78"/>
      <c r="E275" s="182"/>
      <c r="F275" s="182"/>
      <c r="G275" s="78"/>
      <c r="H275" s="182"/>
      <c r="I275" s="78"/>
      <c r="J275" s="182"/>
      <c r="K275" s="183"/>
      <c r="L275" s="277"/>
      <c r="M275" s="277"/>
      <c r="N275" s="183"/>
      <c r="O275" s="80"/>
      <c r="P275" s="80"/>
      <c r="Q275" s="78"/>
      <c r="R275" s="78"/>
      <c r="S275" s="78"/>
      <c r="T275" s="78"/>
      <c r="U275" s="78"/>
      <c r="V275" s="78"/>
      <c r="W275" s="78"/>
      <c r="X275" s="78"/>
      <c r="Y275" s="78"/>
      <c r="Z275" s="167" t="e">
        <f t="shared" ca="1" si="32"/>
        <v>#N/A</v>
      </c>
      <c r="AA275" s="168" t="e">
        <f t="shared" ca="1" si="34"/>
        <v>#N/A</v>
      </c>
      <c r="AB275" s="167">
        <f t="shared" ca="1" si="33"/>
        <v>0</v>
      </c>
      <c r="AC275" s="168">
        <f t="shared" ca="1" si="35"/>
        <v>0</v>
      </c>
      <c r="AD275" s="191">
        <f t="shared" ca="1" si="36"/>
        <v>46259.633973495373</v>
      </c>
      <c r="AE275" s="167">
        <f t="shared" si="37"/>
        <v>0</v>
      </c>
      <c r="AF275" s="168">
        <f t="shared" si="38"/>
        <v>0</v>
      </c>
      <c r="AG275" s="168">
        <f t="shared" si="39"/>
        <v>0</v>
      </c>
      <c r="AH275" s="81" t="e" cm="1">
        <f t="array" aca="1" ref="AH275" ca="1">IF((AD275) &lt; (INDEX(ResponseSLA[#All],(MATCH((G275),ResponseSLA[Priority],0))+1,3)),"YES","No")</f>
        <v>#N/A</v>
      </c>
      <c r="AI275" s="81" t="str">
        <f>_xlfn.IFNA(IF(AE275 &lt; (INDEX(SLATable[Minimum SLA],MATCH(G275,SLATable[Priority],0))),"YES","NO"),"")</f>
        <v/>
      </c>
      <c r="AJ275" s="19" t="str">
        <f>_xlfn.IFNA(IF(AE275 &lt; (INDEX(SLATable[Maximum SLA],MATCH(G275,SLATable[Priority],0))),"YES","NO"),"")</f>
        <v/>
      </c>
    </row>
    <row r="276" spans="1:36" ht="15" customHeight="1">
      <c r="A276" s="78"/>
      <c r="B276" s="78"/>
      <c r="C276" s="78"/>
      <c r="D276" s="78"/>
      <c r="E276" s="182"/>
      <c r="F276" s="182"/>
      <c r="G276" s="78"/>
      <c r="H276" s="182"/>
      <c r="I276" s="78"/>
      <c r="J276" s="182"/>
      <c r="K276" s="183"/>
      <c r="L276" s="277"/>
      <c r="M276" s="277"/>
      <c r="N276" s="183"/>
      <c r="O276" s="80"/>
      <c r="P276" s="80"/>
      <c r="Q276" s="78"/>
      <c r="R276" s="78"/>
      <c r="S276" s="78"/>
      <c r="T276" s="78"/>
      <c r="U276" s="78"/>
      <c r="V276" s="78"/>
      <c r="W276" s="78"/>
      <c r="X276" s="78"/>
      <c r="Y276" s="78"/>
      <c r="Z276" s="167" t="e">
        <f t="shared" ca="1" si="32"/>
        <v>#N/A</v>
      </c>
      <c r="AA276" s="168" t="e">
        <f t="shared" ca="1" si="34"/>
        <v>#N/A</v>
      </c>
      <c r="AB276" s="167">
        <f t="shared" ca="1" si="33"/>
        <v>0</v>
      </c>
      <c r="AC276" s="168">
        <f t="shared" ca="1" si="35"/>
        <v>0</v>
      </c>
      <c r="AD276" s="191">
        <f t="shared" ca="1" si="36"/>
        <v>46259.633973495373</v>
      </c>
      <c r="AE276" s="167">
        <f t="shared" si="37"/>
        <v>0</v>
      </c>
      <c r="AF276" s="168">
        <f t="shared" si="38"/>
        <v>0</v>
      </c>
      <c r="AG276" s="168">
        <f t="shared" si="39"/>
        <v>0</v>
      </c>
      <c r="AH276" s="81" t="e" cm="1">
        <f t="array" aca="1" ref="AH276" ca="1">IF((AD276) &lt; (INDEX(ResponseSLA[#All],(MATCH((G276),ResponseSLA[Priority],0))+1,3)),"YES","No")</f>
        <v>#N/A</v>
      </c>
      <c r="AI276" s="81" t="str">
        <f>_xlfn.IFNA(IF(AE276 &lt; (INDEX(SLATable[Minimum SLA],MATCH(G276,SLATable[Priority],0))),"YES","NO"),"")</f>
        <v/>
      </c>
      <c r="AJ276" s="19" t="str">
        <f>_xlfn.IFNA(IF(AE276 &lt; (INDEX(SLATable[Maximum SLA],MATCH(G276,SLATable[Priority],0))),"YES","NO"),"")</f>
        <v/>
      </c>
    </row>
    <row r="277" spans="1:36" ht="15" customHeight="1">
      <c r="A277" s="78"/>
      <c r="B277" s="78"/>
      <c r="C277" s="78"/>
      <c r="D277" s="78"/>
      <c r="E277" s="78"/>
      <c r="F277" s="78"/>
      <c r="G277" s="78"/>
      <c r="H277" s="86"/>
      <c r="I277" s="78"/>
      <c r="J277" s="86"/>
      <c r="K277" s="277"/>
      <c r="L277" s="277"/>
      <c r="M277" s="277"/>
      <c r="N277" s="277"/>
      <c r="O277" s="80"/>
      <c r="P277" s="80"/>
      <c r="Q277" s="78"/>
      <c r="R277" s="78"/>
      <c r="S277" s="78"/>
      <c r="T277" s="78"/>
      <c r="U277" s="78"/>
      <c r="V277" s="78"/>
      <c r="W277" s="78"/>
      <c r="X277" s="78"/>
      <c r="Y277" s="78"/>
      <c r="Z277" s="167" t="e">
        <f t="shared" ca="1" si="32"/>
        <v>#N/A</v>
      </c>
      <c r="AA277" s="168" t="e">
        <f t="shared" ca="1" si="34"/>
        <v>#N/A</v>
      </c>
      <c r="AB277" s="167">
        <f t="shared" ca="1" si="33"/>
        <v>0</v>
      </c>
      <c r="AC277" s="168">
        <f t="shared" ca="1" si="35"/>
        <v>0</v>
      </c>
      <c r="AD277" s="191">
        <f t="shared" ca="1" si="36"/>
        <v>46259.633973495373</v>
      </c>
      <c r="AE277" s="167">
        <f t="shared" si="37"/>
        <v>0</v>
      </c>
      <c r="AF277" s="168">
        <f t="shared" si="38"/>
        <v>0</v>
      </c>
      <c r="AG277" s="168">
        <f t="shared" si="39"/>
        <v>0</v>
      </c>
      <c r="AH277" s="81" t="e" cm="1">
        <f t="array" aca="1" ref="AH277" ca="1">IF((AD277) &lt; (INDEX(ResponseSLA[#All],(MATCH((G277),ResponseSLA[Priority],0))+1,3)),"YES","No")</f>
        <v>#N/A</v>
      </c>
      <c r="AI277" s="81" t="str">
        <f>_xlfn.IFNA(IF(AE277 &lt; (INDEX(SLATable[Minimum SLA],MATCH(G277,SLATable[Priority],0))),"YES","NO"),"")</f>
        <v/>
      </c>
      <c r="AJ277" s="19" t="str">
        <f>_xlfn.IFNA(IF(AE277 &lt; (INDEX(SLATable[Maximum SLA],MATCH(G277,SLATable[Priority],0))),"YES","NO"),"")</f>
        <v/>
      </c>
    </row>
    <row r="278" spans="1:36" ht="15" customHeight="1">
      <c r="A278" s="78"/>
      <c r="B278" s="78"/>
      <c r="C278" s="78"/>
      <c r="D278" s="78"/>
      <c r="E278" s="78"/>
      <c r="F278" s="78"/>
      <c r="G278" s="78"/>
      <c r="H278" s="86"/>
      <c r="I278" s="78"/>
      <c r="J278" s="86"/>
      <c r="K278" s="277"/>
      <c r="L278" s="277"/>
      <c r="M278" s="277"/>
      <c r="N278" s="277"/>
      <c r="O278" s="80"/>
      <c r="P278" s="80"/>
      <c r="Q278" s="78"/>
      <c r="R278" s="78"/>
      <c r="S278" s="78"/>
      <c r="T278" s="78"/>
      <c r="U278" s="78"/>
      <c r="V278" s="78"/>
      <c r="W278" s="78"/>
      <c r="X278" s="78"/>
      <c r="Y278" s="78"/>
      <c r="Z278" s="167" t="e">
        <f t="shared" ca="1" si="32"/>
        <v>#N/A</v>
      </c>
      <c r="AA278" s="168" t="e">
        <f t="shared" ca="1" si="34"/>
        <v>#N/A</v>
      </c>
      <c r="AB278" s="167">
        <f t="shared" ca="1" si="33"/>
        <v>0</v>
      </c>
      <c r="AC278" s="168">
        <f t="shared" ca="1" si="35"/>
        <v>0</v>
      </c>
      <c r="AD278" s="191">
        <f t="shared" ca="1" si="36"/>
        <v>46259.633973495373</v>
      </c>
      <c r="AE278" s="167">
        <f t="shared" si="37"/>
        <v>0</v>
      </c>
      <c r="AF278" s="168">
        <f t="shared" si="38"/>
        <v>0</v>
      </c>
      <c r="AG278" s="168">
        <f t="shared" si="39"/>
        <v>0</v>
      </c>
      <c r="AH278" s="81" t="e" cm="1">
        <f t="array" aca="1" ref="AH278" ca="1">IF((AD278) &lt; (INDEX(ResponseSLA[#All],(MATCH((G278),ResponseSLA[Priority],0))+1,3)),"YES","No")</f>
        <v>#N/A</v>
      </c>
      <c r="AI278" s="81" t="str">
        <f>_xlfn.IFNA(IF(AE278 &lt; (INDEX(SLATable[Minimum SLA],MATCH(G278,SLATable[Priority],0))),"YES","NO"),"")</f>
        <v/>
      </c>
      <c r="AJ278" s="19" t="str">
        <f>_xlfn.IFNA(IF(AE278 &lt; (INDEX(SLATable[Maximum SLA],MATCH(G278,SLATable[Priority],0))),"YES","NO"),"")</f>
        <v/>
      </c>
    </row>
    <row r="279" spans="1:36" ht="15" customHeight="1">
      <c r="A279" s="78"/>
      <c r="B279" s="78"/>
      <c r="C279" s="78"/>
      <c r="D279" s="78"/>
      <c r="E279" s="78"/>
      <c r="F279" s="78"/>
      <c r="G279" s="78"/>
      <c r="H279" s="86"/>
      <c r="I279" s="78"/>
      <c r="J279" s="86"/>
      <c r="K279" s="277"/>
      <c r="L279" s="277"/>
      <c r="M279" s="277"/>
      <c r="N279" s="277"/>
      <c r="O279" s="80"/>
      <c r="P279" s="80"/>
      <c r="Q279" s="78"/>
      <c r="R279" s="78"/>
      <c r="S279" s="78"/>
      <c r="T279" s="78"/>
      <c r="U279" s="78"/>
      <c r="V279" s="78"/>
      <c r="W279" s="78"/>
      <c r="X279" s="78"/>
      <c r="Y279" s="78"/>
      <c r="Z279" s="167" t="e">
        <f t="shared" ca="1" si="32"/>
        <v>#N/A</v>
      </c>
      <c r="AA279" s="168" t="e">
        <f t="shared" ca="1" si="34"/>
        <v>#N/A</v>
      </c>
      <c r="AB279" s="167">
        <f t="shared" ca="1" si="33"/>
        <v>0</v>
      </c>
      <c r="AC279" s="168">
        <f t="shared" ca="1" si="35"/>
        <v>0</v>
      </c>
      <c r="AD279" s="191">
        <f t="shared" ca="1" si="36"/>
        <v>46259.633973495373</v>
      </c>
      <c r="AE279" s="167">
        <f t="shared" si="37"/>
        <v>0</v>
      </c>
      <c r="AF279" s="168">
        <f t="shared" si="38"/>
        <v>0</v>
      </c>
      <c r="AG279" s="168">
        <f t="shared" si="39"/>
        <v>0</v>
      </c>
      <c r="AH279" s="81" t="e" cm="1">
        <f t="array" aca="1" ref="AH279" ca="1">IF((AD279) &lt; (INDEX(ResponseSLA[#All],(MATCH((G279),ResponseSLA[Priority],0))+1,3)),"YES","No")</f>
        <v>#N/A</v>
      </c>
      <c r="AI279" s="81" t="str">
        <f>_xlfn.IFNA(IF(AE279 &lt; (INDEX(SLATable[Minimum SLA],MATCH(G279,SLATable[Priority],0))),"YES","NO"),"")</f>
        <v/>
      </c>
      <c r="AJ279" s="19" t="str">
        <f>_xlfn.IFNA(IF(AE279 &lt; (INDEX(SLATable[Maximum SLA],MATCH(G279,SLATable[Priority],0))),"YES","NO"),"")</f>
        <v/>
      </c>
    </row>
    <row r="280" spans="1:36" ht="15" customHeight="1">
      <c r="A280" s="78"/>
      <c r="B280" s="78"/>
      <c r="C280" s="78"/>
      <c r="D280" s="78"/>
      <c r="E280" s="78"/>
      <c r="F280" s="78"/>
      <c r="G280" s="78"/>
      <c r="H280" s="86"/>
      <c r="I280" s="78"/>
      <c r="J280" s="86"/>
      <c r="K280" s="277"/>
      <c r="L280" s="277"/>
      <c r="M280" s="277"/>
      <c r="N280" s="277"/>
      <c r="O280" s="80"/>
      <c r="P280" s="80"/>
      <c r="Q280" s="78"/>
      <c r="R280" s="78"/>
      <c r="S280" s="78"/>
      <c r="T280" s="78"/>
      <c r="U280" s="78"/>
      <c r="V280" s="78"/>
      <c r="W280" s="78"/>
      <c r="X280" s="78"/>
      <c r="Y280" s="78"/>
      <c r="Z280" s="167" t="e">
        <f t="shared" ca="1" si="32"/>
        <v>#N/A</v>
      </c>
      <c r="AA280" s="168" t="e">
        <f t="shared" ca="1" si="34"/>
        <v>#N/A</v>
      </c>
      <c r="AB280" s="167">
        <f t="shared" ca="1" si="33"/>
        <v>0</v>
      </c>
      <c r="AC280" s="168">
        <f t="shared" ca="1" si="35"/>
        <v>0</v>
      </c>
      <c r="AD280" s="191">
        <f t="shared" ca="1" si="36"/>
        <v>46259.633973495373</v>
      </c>
      <c r="AE280" s="167">
        <f t="shared" si="37"/>
        <v>0</v>
      </c>
      <c r="AF280" s="168">
        <f t="shared" si="38"/>
        <v>0</v>
      </c>
      <c r="AG280" s="168">
        <f t="shared" si="39"/>
        <v>0</v>
      </c>
      <c r="AH280" s="81" t="e" cm="1">
        <f t="array" aca="1" ref="AH280" ca="1">IF((AD280) &lt; (INDEX(ResponseSLA[#All],(MATCH((G280),ResponseSLA[Priority],0))+1,3)),"YES","No")</f>
        <v>#N/A</v>
      </c>
      <c r="AI280" s="81" t="str">
        <f>_xlfn.IFNA(IF(AE280 &lt; (INDEX(SLATable[Minimum SLA],MATCH(G280,SLATable[Priority],0))),"YES","NO"),"")</f>
        <v/>
      </c>
      <c r="AJ280" s="19" t="str">
        <f>_xlfn.IFNA(IF(AE280 &lt; (INDEX(SLATable[Maximum SLA],MATCH(G280,SLATable[Priority],0))),"YES","NO"),"")</f>
        <v/>
      </c>
    </row>
    <row r="281" spans="1:36" ht="15" customHeight="1">
      <c r="A281" s="78"/>
      <c r="B281" s="78"/>
      <c r="C281" s="78"/>
      <c r="D281" s="78"/>
      <c r="E281" s="78"/>
      <c r="F281" s="78"/>
      <c r="G281" s="78"/>
      <c r="H281" s="86"/>
      <c r="I281" s="78"/>
      <c r="J281" s="86"/>
      <c r="K281" s="277"/>
      <c r="L281" s="277"/>
      <c r="M281" s="277"/>
      <c r="N281" s="277"/>
      <c r="O281" s="80"/>
      <c r="P281" s="80"/>
      <c r="Q281" s="78"/>
      <c r="R281" s="78"/>
      <c r="S281" s="78"/>
      <c r="T281" s="78"/>
      <c r="U281" s="78"/>
      <c r="V281" s="78"/>
      <c r="W281" s="78"/>
      <c r="X281" s="78"/>
      <c r="Y281" s="78"/>
      <c r="Z281" s="167" t="e">
        <f t="shared" ca="1" si="32"/>
        <v>#N/A</v>
      </c>
      <c r="AA281" s="168" t="e">
        <f t="shared" ca="1" si="34"/>
        <v>#N/A</v>
      </c>
      <c r="AB281" s="167">
        <f t="shared" ca="1" si="33"/>
        <v>0</v>
      </c>
      <c r="AC281" s="168">
        <f t="shared" ca="1" si="35"/>
        <v>0</v>
      </c>
      <c r="AD281" s="191">
        <f t="shared" ca="1" si="36"/>
        <v>46259.633973495373</v>
      </c>
      <c r="AE281" s="167">
        <f t="shared" si="37"/>
        <v>0</v>
      </c>
      <c r="AF281" s="168">
        <f t="shared" si="38"/>
        <v>0</v>
      </c>
      <c r="AG281" s="168">
        <f t="shared" si="39"/>
        <v>0</v>
      </c>
      <c r="AH281" s="81" t="e" cm="1">
        <f t="array" aca="1" ref="AH281" ca="1">IF((AD281) &lt; (INDEX(ResponseSLA[#All],(MATCH((G281),ResponseSLA[Priority],0))+1,3)),"YES","No")</f>
        <v>#N/A</v>
      </c>
      <c r="AI281" s="81" t="str">
        <f>_xlfn.IFNA(IF(AE281 &lt; (INDEX(SLATable[Minimum SLA],MATCH(G281,SLATable[Priority],0))),"YES","NO"),"")</f>
        <v/>
      </c>
      <c r="AJ281" s="19" t="str">
        <f>_xlfn.IFNA(IF(AE281 &lt; (INDEX(SLATable[Maximum SLA],MATCH(G281,SLATable[Priority],0))),"YES","NO"),"")</f>
        <v/>
      </c>
    </row>
    <row r="282" spans="1:36" ht="15" customHeight="1">
      <c r="A282" s="78"/>
      <c r="B282" s="78"/>
      <c r="C282" s="78"/>
      <c r="D282" s="78"/>
      <c r="E282" s="78"/>
      <c r="F282" s="78"/>
      <c r="G282" s="78"/>
      <c r="H282" s="86"/>
      <c r="I282" s="78"/>
      <c r="J282" s="86"/>
      <c r="K282" s="277"/>
      <c r="L282" s="277"/>
      <c r="M282" s="277"/>
      <c r="N282" s="277"/>
      <c r="O282" s="80"/>
      <c r="P282" s="80"/>
      <c r="Q282" s="78"/>
      <c r="R282" s="78"/>
      <c r="S282" s="78"/>
      <c r="T282" s="78"/>
      <c r="U282" s="78"/>
      <c r="V282" s="78"/>
      <c r="W282" s="78"/>
      <c r="X282" s="78"/>
      <c r="Y282" s="78"/>
      <c r="Z282" s="167" t="e">
        <f t="shared" ca="1" si="32"/>
        <v>#N/A</v>
      </c>
      <c r="AA282" s="168" t="e">
        <f t="shared" ca="1" si="34"/>
        <v>#N/A</v>
      </c>
      <c r="AB282" s="167">
        <f t="shared" ca="1" si="33"/>
        <v>0</v>
      </c>
      <c r="AC282" s="168">
        <f t="shared" ca="1" si="35"/>
        <v>0</v>
      </c>
      <c r="AD282" s="191">
        <f t="shared" ca="1" si="36"/>
        <v>46259.633973495373</v>
      </c>
      <c r="AE282" s="167">
        <f t="shared" si="37"/>
        <v>0</v>
      </c>
      <c r="AF282" s="168">
        <f t="shared" si="38"/>
        <v>0</v>
      </c>
      <c r="AG282" s="168">
        <f t="shared" si="39"/>
        <v>0</v>
      </c>
      <c r="AH282" s="81" t="e" cm="1">
        <f t="array" aca="1" ref="AH282" ca="1">IF((AD282) &lt; (INDEX(ResponseSLA[#All],(MATCH((G282),ResponseSLA[Priority],0))+1,3)),"YES","No")</f>
        <v>#N/A</v>
      </c>
      <c r="AI282" s="81" t="str">
        <f>_xlfn.IFNA(IF(AE282 &lt; (INDEX(SLATable[Minimum SLA],MATCH(G282,SLATable[Priority],0))),"YES","NO"),"")</f>
        <v/>
      </c>
      <c r="AJ282" s="19" t="str">
        <f>_xlfn.IFNA(IF(AE282 &lt; (INDEX(SLATable[Maximum SLA],MATCH(G282,SLATable[Priority],0))),"YES","NO"),"")</f>
        <v/>
      </c>
    </row>
    <row r="283" spans="1:36" ht="15" customHeight="1">
      <c r="A283" s="78"/>
      <c r="B283" s="78"/>
      <c r="C283" s="78"/>
      <c r="D283" s="78"/>
      <c r="E283" s="78"/>
      <c r="F283" s="78"/>
      <c r="G283" s="78"/>
      <c r="H283" s="86"/>
      <c r="I283" s="78"/>
      <c r="J283" s="86"/>
      <c r="K283" s="277"/>
      <c r="L283" s="277"/>
      <c r="M283" s="277"/>
      <c r="N283" s="277"/>
      <c r="O283" s="80"/>
      <c r="P283" s="80"/>
      <c r="Q283" s="78"/>
      <c r="R283" s="78"/>
      <c r="S283" s="78"/>
      <c r="T283" s="78"/>
      <c r="U283" s="78"/>
      <c r="V283" s="78"/>
      <c r="W283" s="78"/>
      <c r="X283" s="78"/>
      <c r="Y283" s="78"/>
      <c r="Z283" s="167" t="e">
        <f t="shared" ca="1" si="32"/>
        <v>#N/A</v>
      </c>
      <c r="AA283" s="168" t="e">
        <f t="shared" ca="1" si="34"/>
        <v>#N/A</v>
      </c>
      <c r="AB283" s="167">
        <f t="shared" ca="1" si="33"/>
        <v>0</v>
      </c>
      <c r="AC283" s="168">
        <f t="shared" ca="1" si="35"/>
        <v>0</v>
      </c>
      <c r="AD283" s="191">
        <f t="shared" ca="1" si="36"/>
        <v>46259.633973495373</v>
      </c>
      <c r="AE283" s="167">
        <f t="shared" si="37"/>
        <v>0</v>
      </c>
      <c r="AF283" s="168">
        <f t="shared" si="38"/>
        <v>0</v>
      </c>
      <c r="AG283" s="168">
        <f t="shared" si="39"/>
        <v>0</v>
      </c>
      <c r="AH283" s="81" t="e" cm="1">
        <f t="array" aca="1" ref="AH283" ca="1">IF((AD283) &lt; (INDEX(ResponseSLA[#All],(MATCH((G283),ResponseSLA[Priority],0))+1,3)),"YES","No")</f>
        <v>#N/A</v>
      </c>
      <c r="AI283" s="81" t="str">
        <f>_xlfn.IFNA(IF(AE283 &lt; (INDEX(SLATable[Minimum SLA],MATCH(G283,SLATable[Priority],0))),"YES","NO"),"")</f>
        <v/>
      </c>
      <c r="AJ283" s="19" t="str">
        <f>_xlfn.IFNA(IF(AE283 &lt; (INDEX(SLATable[Maximum SLA],MATCH(G283,SLATable[Priority],0))),"YES","NO"),"")</f>
        <v/>
      </c>
    </row>
    <row r="284" spans="1:36" ht="15" customHeight="1">
      <c r="A284" s="78"/>
      <c r="B284" s="78"/>
      <c r="C284" s="78"/>
      <c r="D284" s="78"/>
      <c r="E284" s="78"/>
      <c r="F284" s="78"/>
      <c r="G284" s="78"/>
      <c r="H284" s="86"/>
      <c r="I284" s="78"/>
      <c r="J284" s="86"/>
      <c r="K284" s="277"/>
      <c r="L284" s="277"/>
      <c r="M284" s="277"/>
      <c r="N284" s="277"/>
      <c r="O284" s="80"/>
      <c r="P284" s="80"/>
      <c r="Q284" s="78"/>
      <c r="R284" s="78"/>
      <c r="S284" s="78"/>
      <c r="T284" s="78"/>
      <c r="U284" s="78"/>
      <c r="V284" s="78"/>
      <c r="W284" s="78"/>
      <c r="X284" s="78"/>
      <c r="Y284" s="78"/>
      <c r="Z284" s="167" t="e">
        <f t="shared" ca="1" si="32"/>
        <v>#N/A</v>
      </c>
      <c r="AA284" s="168" t="e">
        <f t="shared" ca="1" si="34"/>
        <v>#N/A</v>
      </c>
      <c r="AB284" s="167">
        <f t="shared" ca="1" si="33"/>
        <v>0</v>
      </c>
      <c r="AC284" s="168">
        <f t="shared" ca="1" si="35"/>
        <v>0</v>
      </c>
      <c r="AD284" s="191">
        <f t="shared" ca="1" si="36"/>
        <v>46259.633973495373</v>
      </c>
      <c r="AE284" s="167">
        <f t="shared" si="37"/>
        <v>0</v>
      </c>
      <c r="AF284" s="168">
        <f t="shared" si="38"/>
        <v>0</v>
      </c>
      <c r="AG284" s="168">
        <f t="shared" si="39"/>
        <v>0</v>
      </c>
      <c r="AH284" s="81" t="e" cm="1">
        <f t="array" aca="1" ref="AH284" ca="1">IF((AD284) &lt; (INDEX(ResponseSLA[#All],(MATCH((G284),ResponseSLA[Priority],0))+1,3)),"YES","No")</f>
        <v>#N/A</v>
      </c>
      <c r="AI284" s="81" t="str">
        <f>_xlfn.IFNA(IF(AE284 &lt; (INDEX(SLATable[Minimum SLA],MATCH(G284,SLATable[Priority],0))),"YES","NO"),"")</f>
        <v/>
      </c>
      <c r="AJ284" s="19" t="str">
        <f>_xlfn.IFNA(IF(AE284 &lt; (INDEX(SLATable[Maximum SLA],MATCH(G284,SLATable[Priority],0))),"YES","NO"),"")</f>
        <v/>
      </c>
    </row>
    <row r="285" spans="1:36" ht="15" customHeight="1">
      <c r="A285" s="78"/>
      <c r="B285" s="78"/>
      <c r="C285" s="78"/>
      <c r="D285" s="78"/>
      <c r="E285" s="78"/>
      <c r="F285" s="78"/>
      <c r="G285" s="78"/>
      <c r="H285" s="86"/>
      <c r="I285" s="78"/>
      <c r="J285" s="86"/>
      <c r="K285" s="277"/>
      <c r="L285" s="277"/>
      <c r="M285" s="277"/>
      <c r="N285" s="277"/>
      <c r="O285" s="80"/>
      <c r="P285" s="80"/>
      <c r="Q285" s="78"/>
      <c r="R285" s="78"/>
      <c r="S285" s="78"/>
      <c r="T285" s="78"/>
      <c r="U285" s="78"/>
      <c r="V285" s="78"/>
      <c r="W285" s="78"/>
      <c r="X285" s="78"/>
      <c r="Y285" s="78"/>
      <c r="Z285" s="167" t="e">
        <f t="shared" ca="1" si="32"/>
        <v>#N/A</v>
      </c>
      <c r="AA285" s="168" t="e">
        <f t="shared" ca="1" si="34"/>
        <v>#N/A</v>
      </c>
      <c r="AB285" s="167">
        <f t="shared" ca="1" si="33"/>
        <v>0</v>
      </c>
      <c r="AC285" s="168">
        <f t="shared" ca="1" si="35"/>
        <v>0</v>
      </c>
      <c r="AD285" s="191">
        <f t="shared" ca="1" si="36"/>
        <v>46259.633973495373</v>
      </c>
      <c r="AE285" s="167">
        <f t="shared" si="37"/>
        <v>0</v>
      </c>
      <c r="AF285" s="168">
        <f t="shared" si="38"/>
        <v>0</v>
      </c>
      <c r="AG285" s="168">
        <f t="shared" si="39"/>
        <v>0</v>
      </c>
      <c r="AH285" s="81" t="e" cm="1">
        <f t="array" aca="1" ref="AH285" ca="1">IF((AD285) &lt; (INDEX(ResponseSLA[#All],(MATCH((G285),ResponseSLA[Priority],0))+1,3)),"YES","No")</f>
        <v>#N/A</v>
      </c>
      <c r="AI285" s="81" t="str">
        <f>_xlfn.IFNA(IF(AE285 &lt; (INDEX(SLATable[Minimum SLA],MATCH(G285,SLATable[Priority],0))),"YES","NO"),"")</f>
        <v/>
      </c>
      <c r="AJ285" s="19" t="str">
        <f>_xlfn.IFNA(IF(AE285 &lt; (INDEX(SLATable[Maximum SLA],MATCH(G285,SLATable[Priority],0))),"YES","NO"),"")</f>
        <v/>
      </c>
    </row>
    <row r="286" spans="1:36" ht="15" customHeight="1">
      <c r="A286" s="78"/>
      <c r="B286" s="78"/>
      <c r="C286" s="78"/>
      <c r="D286" s="78"/>
      <c r="E286" s="78"/>
      <c r="F286" s="78"/>
      <c r="G286" s="78"/>
      <c r="H286" s="86"/>
      <c r="I286" s="78"/>
      <c r="J286" s="86"/>
      <c r="K286" s="277"/>
      <c r="L286" s="277"/>
      <c r="M286" s="277"/>
      <c r="N286" s="277"/>
      <c r="O286" s="80"/>
      <c r="P286" s="80"/>
      <c r="Q286" s="78"/>
      <c r="R286" s="78"/>
      <c r="S286" s="78"/>
      <c r="T286" s="78"/>
      <c r="U286" s="78"/>
      <c r="V286" s="78"/>
      <c r="W286" s="78"/>
      <c r="X286" s="78"/>
      <c r="Y286" s="78"/>
      <c r="Z286" s="167" t="e">
        <f t="shared" ca="1" si="32"/>
        <v>#N/A</v>
      </c>
      <c r="AA286" s="168" t="e">
        <f t="shared" ca="1" si="34"/>
        <v>#N/A</v>
      </c>
      <c r="AB286" s="167">
        <f t="shared" ca="1" si="33"/>
        <v>0</v>
      </c>
      <c r="AC286" s="168">
        <f t="shared" ca="1" si="35"/>
        <v>0</v>
      </c>
      <c r="AD286" s="191">
        <f t="shared" ca="1" si="36"/>
        <v>46259.633973495373</v>
      </c>
      <c r="AE286" s="167">
        <f t="shared" si="37"/>
        <v>0</v>
      </c>
      <c r="AF286" s="168">
        <f t="shared" si="38"/>
        <v>0</v>
      </c>
      <c r="AG286" s="168">
        <f t="shared" si="39"/>
        <v>0</v>
      </c>
      <c r="AH286" s="81" t="e" cm="1">
        <f t="array" aca="1" ref="AH286" ca="1">IF((AD286) &lt; (INDEX(ResponseSLA[#All],(MATCH((G286),ResponseSLA[Priority],0))+1,3)),"YES","No")</f>
        <v>#N/A</v>
      </c>
      <c r="AI286" s="81" t="str">
        <f>_xlfn.IFNA(IF(AE286 &lt; (INDEX(SLATable[Minimum SLA],MATCH(G286,SLATable[Priority],0))),"YES","NO"),"")</f>
        <v/>
      </c>
      <c r="AJ286" s="19" t="str">
        <f>_xlfn.IFNA(IF(AE286 &lt; (INDEX(SLATable[Maximum SLA],MATCH(G286,SLATable[Priority],0))),"YES","NO"),"")</f>
        <v/>
      </c>
    </row>
    <row r="287" spans="1:36" ht="15" customHeight="1">
      <c r="A287" s="78"/>
      <c r="B287" s="78"/>
      <c r="C287" s="78"/>
      <c r="D287" s="78"/>
      <c r="E287" s="78"/>
      <c r="F287" s="78"/>
      <c r="G287" s="78"/>
      <c r="H287" s="86"/>
      <c r="I287" s="78"/>
      <c r="J287" s="86"/>
      <c r="K287" s="277"/>
      <c r="L287" s="277"/>
      <c r="M287" s="277"/>
      <c r="N287" s="277"/>
      <c r="O287" s="80"/>
      <c r="P287" s="80"/>
      <c r="Q287" s="78"/>
      <c r="R287" s="78"/>
      <c r="S287" s="78"/>
      <c r="T287" s="78"/>
      <c r="U287" s="78"/>
      <c r="V287" s="78"/>
      <c r="W287" s="78"/>
      <c r="X287" s="78"/>
      <c r="Y287" s="78"/>
      <c r="Z287" s="167" t="e">
        <f t="shared" ca="1" si="32"/>
        <v>#N/A</v>
      </c>
      <c r="AA287" s="168" t="e">
        <f t="shared" ca="1" si="34"/>
        <v>#N/A</v>
      </c>
      <c r="AB287" s="167">
        <f t="shared" ca="1" si="33"/>
        <v>0</v>
      </c>
      <c r="AC287" s="168">
        <f t="shared" ca="1" si="35"/>
        <v>0</v>
      </c>
      <c r="AD287" s="191">
        <f t="shared" ca="1" si="36"/>
        <v>46259.633973495373</v>
      </c>
      <c r="AE287" s="167">
        <f t="shared" si="37"/>
        <v>0</v>
      </c>
      <c r="AF287" s="168">
        <f t="shared" si="38"/>
        <v>0</v>
      </c>
      <c r="AG287" s="168">
        <f t="shared" si="39"/>
        <v>0</v>
      </c>
      <c r="AH287" s="81" t="e" cm="1">
        <f t="array" aca="1" ref="AH287" ca="1">IF((AD287) &lt; (INDEX(ResponseSLA[#All],(MATCH((G287),ResponseSLA[Priority],0))+1,3)),"YES","No")</f>
        <v>#N/A</v>
      </c>
      <c r="AI287" s="81" t="str">
        <f>_xlfn.IFNA(IF(AE287 &lt; (INDEX(SLATable[Minimum SLA],MATCH(G287,SLATable[Priority],0))),"YES","NO"),"")</f>
        <v/>
      </c>
      <c r="AJ287" s="19" t="str">
        <f>_xlfn.IFNA(IF(AE287 &lt; (INDEX(SLATable[Maximum SLA],MATCH(G287,SLATable[Priority],0))),"YES","NO"),"")</f>
        <v/>
      </c>
    </row>
    <row r="288" spans="1:36" ht="15" customHeight="1">
      <c r="A288" s="78"/>
      <c r="B288" s="78"/>
      <c r="C288" s="78"/>
      <c r="D288" s="78"/>
      <c r="E288" s="78"/>
      <c r="F288" s="78"/>
      <c r="G288" s="78"/>
      <c r="H288" s="86"/>
      <c r="I288" s="78"/>
      <c r="J288" s="86"/>
      <c r="K288" s="277"/>
      <c r="L288" s="277"/>
      <c r="M288" s="277"/>
      <c r="N288" s="277"/>
      <c r="O288" s="80"/>
      <c r="P288" s="80"/>
      <c r="Q288" s="78"/>
      <c r="R288" s="78"/>
      <c r="S288" s="78"/>
      <c r="T288" s="78"/>
      <c r="U288" s="78"/>
      <c r="V288" s="78"/>
      <c r="W288" s="78"/>
      <c r="X288" s="78"/>
      <c r="Y288" s="78"/>
      <c r="Z288" s="167" t="e">
        <f t="shared" ca="1" si="32"/>
        <v>#N/A</v>
      </c>
      <c r="AA288" s="168" t="e">
        <f t="shared" ca="1" si="34"/>
        <v>#N/A</v>
      </c>
      <c r="AB288" s="167">
        <f t="shared" ca="1" si="33"/>
        <v>0</v>
      </c>
      <c r="AC288" s="168">
        <f t="shared" ca="1" si="35"/>
        <v>0</v>
      </c>
      <c r="AD288" s="191">
        <f t="shared" ca="1" si="36"/>
        <v>46259.633973495373</v>
      </c>
      <c r="AE288" s="167">
        <f t="shared" si="37"/>
        <v>0</v>
      </c>
      <c r="AF288" s="168">
        <f t="shared" si="38"/>
        <v>0</v>
      </c>
      <c r="AG288" s="168">
        <f t="shared" si="39"/>
        <v>0</v>
      </c>
      <c r="AH288" s="81" t="e" cm="1">
        <f t="array" aca="1" ref="AH288" ca="1">IF((AD288) &lt; (INDEX(ResponseSLA[#All],(MATCH((G288),ResponseSLA[Priority],0))+1,3)),"YES","No")</f>
        <v>#N/A</v>
      </c>
      <c r="AI288" s="81" t="str">
        <f>_xlfn.IFNA(IF(AE288 &lt; (INDEX(SLATable[Minimum SLA],MATCH(G288,SLATable[Priority],0))),"YES","NO"),"")</f>
        <v/>
      </c>
      <c r="AJ288" s="19" t="str">
        <f>_xlfn.IFNA(IF(AE288 &lt; (INDEX(SLATable[Maximum SLA],MATCH(G288,SLATable[Priority],0))),"YES","NO"),"")</f>
        <v/>
      </c>
    </row>
    <row r="289" spans="1:36" ht="15" customHeight="1">
      <c r="A289" s="78"/>
      <c r="B289" s="78"/>
      <c r="C289" s="78"/>
      <c r="D289" s="78"/>
      <c r="E289" s="78"/>
      <c r="F289" s="78"/>
      <c r="G289" s="78"/>
      <c r="H289" s="86"/>
      <c r="I289" s="78"/>
      <c r="J289" s="86"/>
      <c r="K289" s="277"/>
      <c r="L289" s="277"/>
      <c r="M289" s="277"/>
      <c r="N289" s="277"/>
      <c r="O289" s="80"/>
      <c r="P289" s="80"/>
      <c r="Q289" s="78"/>
      <c r="R289" s="78"/>
      <c r="S289" s="78"/>
      <c r="T289" s="78"/>
      <c r="U289" s="78"/>
      <c r="V289" s="78"/>
      <c r="W289" s="78"/>
      <c r="X289" s="78"/>
      <c r="Y289" s="78"/>
      <c r="Z289" s="167" t="e">
        <f t="shared" ca="1" si="32"/>
        <v>#N/A</v>
      </c>
      <c r="AA289" s="168" t="e">
        <f t="shared" ca="1" si="34"/>
        <v>#N/A</v>
      </c>
      <c r="AB289" s="167">
        <f t="shared" ca="1" si="33"/>
        <v>0</v>
      </c>
      <c r="AC289" s="168">
        <f t="shared" ca="1" si="35"/>
        <v>0</v>
      </c>
      <c r="AD289" s="191">
        <f t="shared" ca="1" si="36"/>
        <v>46259.633973495373</v>
      </c>
      <c r="AE289" s="167">
        <f t="shared" si="37"/>
        <v>0</v>
      </c>
      <c r="AF289" s="168">
        <f t="shared" si="38"/>
        <v>0</v>
      </c>
      <c r="AG289" s="168">
        <f t="shared" si="39"/>
        <v>0</v>
      </c>
      <c r="AH289" s="81" t="e" cm="1">
        <f t="array" aca="1" ref="AH289" ca="1">IF((AD289) &lt; (INDEX(ResponseSLA[#All],(MATCH((G289),ResponseSLA[Priority],0))+1,3)),"YES","No")</f>
        <v>#N/A</v>
      </c>
      <c r="AI289" s="81" t="str">
        <f>_xlfn.IFNA(IF(AE289 &lt; (INDEX(SLATable[Minimum SLA],MATCH(G289,SLATable[Priority],0))),"YES","NO"),"")</f>
        <v/>
      </c>
      <c r="AJ289" s="19" t="str">
        <f>_xlfn.IFNA(IF(AE289 &lt; (INDEX(SLATable[Maximum SLA],MATCH(G289,SLATable[Priority],0))),"YES","NO"),"")</f>
        <v/>
      </c>
    </row>
    <row r="290" spans="1:36" ht="15" customHeight="1">
      <c r="A290" s="78"/>
      <c r="B290" s="78"/>
      <c r="C290" s="78"/>
      <c r="D290" s="78"/>
      <c r="E290" s="78"/>
      <c r="F290" s="78"/>
      <c r="G290" s="78"/>
      <c r="H290" s="86"/>
      <c r="I290" s="78"/>
      <c r="J290" s="86"/>
      <c r="K290" s="277"/>
      <c r="L290" s="277"/>
      <c r="M290" s="277"/>
      <c r="N290" s="277"/>
      <c r="O290" s="80"/>
      <c r="P290" s="80"/>
      <c r="Q290" s="78"/>
      <c r="R290" s="78"/>
      <c r="S290" s="78"/>
      <c r="T290" s="78"/>
      <c r="U290" s="78"/>
      <c r="V290" s="78"/>
      <c r="W290" s="78"/>
      <c r="X290" s="78"/>
      <c r="Y290" s="78"/>
      <c r="Z290" s="167" t="e">
        <f t="shared" ca="1" si="32"/>
        <v>#N/A</v>
      </c>
      <c r="AA290" s="168" t="e">
        <f t="shared" ca="1" si="34"/>
        <v>#N/A</v>
      </c>
      <c r="AB290" s="167">
        <f t="shared" ca="1" si="33"/>
        <v>0</v>
      </c>
      <c r="AC290" s="168">
        <f t="shared" ca="1" si="35"/>
        <v>0</v>
      </c>
      <c r="AD290" s="191">
        <f t="shared" ca="1" si="36"/>
        <v>46259.633973495373</v>
      </c>
      <c r="AE290" s="167">
        <f t="shared" si="37"/>
        <v>0</v>
      </c>
      <c r="AF290" s="168">
        <f t="shared" si="38"/>
        <v>0</v>
      </c>
      <c r="AG290" s="168">
        <f t="shared" si="39"/>
        <v>0</v>
      </c>
      <c r="AH290" s="81" t="e" cm="1">
        <f t="array" aca="1" ref="AH290" ca="1">IF((AD290) &lt; (INDEX(ResponseSLA[#All],(MATCH((G290),ResponseSLA[Priority],0))+1,3)),"YES","No")</f>
        <v>#N/A</v>
      </c>
      <c r="AI290" s="81" t="str">
        <f>_xlfn.IFNA(IF(AE290 &lt; (INDEX(SLATable[Minimum SLA],MATCH(G290,SLATable[Priority],0))),"YES","NO"),"")</f>
        <v/>
      </c>
      <c r="AJ290" s="19" t="str">
        <f>_xlfn.IFNA(IF(AE290 &lt; (INDEX(SLATable[Maximum SLA],MATCH(G290,SLATable[Priority],0))),"YES","NO"),"")</f>
        <v/>
      </c>
    </row>
    <row r="291" spans="1:36" ht="15" customHeight="1">
      <c r="A291" s="78"/>
      <c r="B291" s="78"/>
      <c r="C291" s="78"/>
      <c r="D291" s="78"/>
      <c r="E291" s="78"/>
      <c r="F291" s="78"/>
      <c r="G291" s="78"/>
      <c r="H291" s="86"/>
      <c r="I291" s="78"/>
      <c r="J291" s="86"/>
      <c r="K291" s="277"/>
      <c r="L291" s="277"/>
      <c r="M291" s="277"/>
      <c r="N291" s="277"/>
      <c r="O291" s="80"/>
      <c r="P291" s="80"/>
      <c r="Q291" s="78"/>
      <c r="R291" s="78"/>
      <c r="S291" s="78"/>
      <c r="T291" s="78"/>
      <c r="U291" s="78"/>
      <c r="V291" s="78"/>
      <c r="W291" s="78"/>
      <c r="X291" s="78"/>
      <c r="Y291" s="78"/>
      <c r="Z291" s="167" t="e">
        <f t="shared" ca="1" si="32"/>
        <v>#N/A</v>
      </c>
      <c r="AA291" s="168" t="e">
        <f t="shared" ca="1" si="34"/>
        <v>#N/A</v>
      </c>
      <c r="AB291" s="167">
        <f t="shared" ca="1" si="33"/>
        <v>0</v>
      </c>
      <c r="AC291" s="168">
        <f t="shared" ca="1" si="35"/>
        <v>0</v>
      </c>
      <c r="AD291" s="191">
        <f t="shared" ca="1" si="36"/>
        <v>46259.633973495373</v>
      </c>
      <c r="AE291" s="167">
        <f t="shared" si="37"/>
        <v>0</v>
      </c>
      <c r="AF291" s="168">
        <f t="shared" si="38"/>
        <v>0</v>
      </c>
      <c r="AG291" s="168">
        <f t="shared" si="39"/>
        <v>0</v>
      </c>
      <c r="AH291" s="81" t="e" cm="1">
        <f t="array" aca="1" ref="AH291" ca="1">IF((AD291) &lt; (INDEX(ResponseSLA[#All],(MATCH((G291),ResponseSLA[Priority],0))+1,3)),"YES","No")</f>
        <v>#N/A</v>
      </c>
      <c r="AI291" s="81" t="str">
        <f>_xlfn.IFNA(IF(AE291 &lt; (INDEX(SLATable[Minimum SLA],MATCH(G291,SLATable[Priority],0))),"YES","NO"),"")</f>
        <v/>
      </c>
      <c r="AJ291" s="19" t="str">
        <f>_xlfn.IFNA(IF(AE291 &lt; (INDEX(SLATable[Maximum SLA],MATCH(G291,SLATable[Priority],0))),"YES","NO"),"")</f>
        <v/>
      </c>
    </row>
    <row r="292" spans="1:36" ht="15" customHeight="1">
      <c r="A292" s="78"/>
      <c r="B292" s="78"/>
      <c r="C292" s="78"/>
      <c r="D292" s="78"/>
      <c r="E292" s="78"/>
      <c r="F292" s="78"/>
      <c r="G292" s="78"/>
      <c r="H292" s="86"/>
      <c r="I292" s="78"/>
      <c r="J292" s="86"/>
      <c r="K292" s="277"/>
      <c r="L292" s="277"/>
      <c r="M292" s="277"/>
      <c r="N292" s="277"/>
      <c r="O292" s="80"/>
      <c r="P292" s="80"/>
      <c r="Q292" s="78"/>
      <c r="R292" s="78"/>
      <c r="S292" s="78"/>
      <c r="T292" s="78"/>
      <c r="U292" s="78"/>
      <c r="V292" s="78"/>
      <c r="W292" s="78"/>
      <c r="X292" s="78"/>
      <c r="Y292" s="78"/>
      <c r="Z292" s="167" t="e">
        <f t="shared" ca="1" si="32"/>
        <v>#N/A</v>
      </c>
      <c r="AA292" s="168" t="e">
        <f t="shared" ca="1" si="34"/>
        <v>#N/A</v>
      </c>
      <c r="AB292" s="167">
        <f t="shared" ca="1" si="33"/>
        <v>0</v>
      </c>
      <c r="AC292" s="168">
        <f t="shared" ca="1" si="35"/>
        <v>0</v>
      </c>
      <c r="AD292" s="191">
        <f t="shared" ca="1" si="36"/>
        <v>46259.633973495373</v>
      </c>
      <c r="AE292" s="167">
        <f t="shared" si="37"/>
        <v>0</v>
      </c>
      <c r="AF292" s="168">
        <f t="shared" si="38"/>
        <v>0</v>
      </c>
      <c r="AG292" s="168">
        <f t="shared" si="39"/>
        <v>0</v>
      </c>
      <c r="AH292" s="81" t="e" cm="1">
        <f t="array" aca="1" ref="AH292" ca="1">IF((AD292) &lt; (INDEX(ResponseSLA[#All],(MATCH((G292),ResponseSLA[Priority],0))+1,3)),"YES","No")</f>
        <v>#N/A</v>
      </c>
      <c r="AI292" s="81" t="str">
        <f>_xlfn.IFNA(IF(AE292 &lt; (INDEX(SLATable[Minimum SLA],MATCH(G292,SLATable[Priority],0))),"YES","NO"),"")</f>
        <v/>
      </c>
      <c r="AJ292" s="19" t="str">
        <f>_xlfn.IFNA(IF(AE292 &lt; (INDEX(SLATable[Maximum SLA],MATCH(G292,SLATable[Priority],0))),"YES","NO"),"")</f>
        <v/>
      </c>
    </row>
    <row r="293" spans="1:36" ht="15" customHeight="1">
      <c r="A293" s="78"/>
      <c r="B293" s="78"/>
      <c r="C293" s="78"/>
      <c r="D293" s="78"/>
      <c r="E293" s="78"/>
      <c r="F293" s="78"/>
      <c r="G293" s="78"/>
      <c r="H293" s="86"/>
      <c r="I293" s="78"/>
      <c r="J293" s="86"/>
      <c r="K293" s="277"/>
      <c r="L293" s="277"/>
      <c r="M293" s="277"/>
      <c r="N293" s="277"/>
      <c r="O293" s="80"/>
      <c r="P293" s="80"/>
      <c r="Q293" s="78"/>
      <c r="R293" s="78"/>
      <c r="S293" s="78"/>
      <c r="T293" s="78"/>
      <c r="U293" s="78"/>
      <c r="V293" s="78"/>
      <c r="W293" s="78"/>
      <c r="X293" s="78"/>
      <c r="Y293" s="78"/>
      <c r="Z293" s="167" t="e">
        <f t="shared" ca="1" si="32"/>
        <v>#N/A</v>
      </c>
      <c r="AA293" s="168" t="e">
        <f t="shared" ca="1" si="34"/>
        <v>#N/A</v>
      </c>
      <c r="AB293" s="167">
        <f t="shared" ca="1" si="33"/>
        <v>0</v>
      </c>
      <c r="AC293" s="168">
        <f t="shared" ca="1" si="35"/>
        <v>0</v>
      </c>
      <c r="AD293" s="191">
        <f t="shared" ca="1" si="36"/>
        <v>46259.633973495373</v>
      </c>
      <c r="AE293" s="167">
        <f t="shared" si="37"/>
        <v>0</v>
      </c>
      <c r="AF293" s="168">
        <f t="shared" si="38"/>
        <v>0</v>
      </c>
      <c r="AG293" s="168">
        <f t="shared" si="39"/>
        <v>0</v>
      </c>
      <c r="AH293" s="81" t="e" cm="1">
        <f t="array" aca="1" ref="AH293" ca="1">IF((AD293) &lt; (INDEX(ResponseSLA[#All],(MATCH((G293),ResponseSLA[Priority],0))+1,3)),"YES","No")</f>
        <v>#N/A</v>
      </c>
      <c r="AI293" s="81" t="str">
        <f>_xlfn.IFNA(IF(AE293 &lt; (INDEX(SLATable[Minimum SLA],MATCH(G293,SLATable[Priority],0))),"YES","NO"),"")</f>
        <v/>
      </c>
      <c r="AJ293" s="19" t="str">
        <f>_xlfn.IFNA(IF(AE293 &lt; (INDEX(SLATable[Maximum SLA],MATCH(G293,SLATable[Priority],0))),"YES","NO"),"")</f>
        <v/>
      </c>
    </row>
    <row r="294" spans="1:36" ht="15" customHeight="1">
      <c r="A294" s="78"/>
      <c r="B294" s="78"/>
      <c r="C294" s="78"/>
      <c r="D294" s="78"/>
      <c r="E294" s="78"/>
      <c r="F294" s="78"/>
      <c r="G294" s="78"/>
      <c r="H294" s="86"/>
      <c r="I294" s="78"/>
      <c r="J294" s="86"/>
      <c r="K294" s="277"/>
      <c r="L294" s="277"/>
      <c r="M294" s="277"/>
      <c r="N294" s="277"/>
      <c r="O294" s="80"/>
      <c r="P294" s="80"/>
      <c r="Q294" s="78"/>
      <c r="R294" s="78"/>
      <c r="S294" s="78"/>
      <c r="T294" s="78"/>
      <c r="U294" s="78"/>
      <c r="V294" s="78"/>
      <c r="W294" s="78"/>
      <c r="X294" s="78"/>
      <c r="Y294" s="78"/>
      <c r="Z294" s="167" t="e">
        <f t="shared" ca="1" si="32"/>
        <v>#N/A</v>
      </c>
      <c r="AA294" s="168" t="e">
        <f t="shared" ca="1" si="34"/>
        <v>#N/A</v>
      </c>
      <c r="AB294" s="167">
        <f t="shared" ca="1" si="33"/>
        <v>0</v>
      </c>
      <c r="AC294" s="168">
        <f t="shared" ca="1" si="35"/>
        <v>0</v>
      </c>
      <c r="AD294" s="191">
        <f t="shared" ca="1" si="36"/>
        <v>46259.633973495373</v>
      </c>
      <c r="AE294" s="167">
        <f t="shared" si="37"/>
        <v>0</v>
      </c>
      <c r="AF294" s="168">
        <f t="shared" si="38"/>
        <v>0</v>
      </c>
      <c r="AG294" s="168">
        <f t="shared" si="39"/>
        <v>0</v>
      </c>
      <c r="AH294" s="81" t="e" cm="1">
        <f t="array" aca="1" ref="AH294" ca="1">IF((AD294) &lt; (INDEX(ResponseSLA[#All],(MATCH((G294),ResponseSLA[Priority],0))+1,3)),"YES","No")</f>
        <v>#N/A</v>
      </c>
      <c r="AI294" s="81" t="str">
        <f>_xlfn.IFNA(IF(AE294 &lt; (INDEX(SLATable[Minimum SLA],MATCH(G294,SLATable[Priority],0))),"YES","NO"),"")</f>
        <v/>
      </c>
      <c r="AJ294" s="19" t="str">
        <f>_xlfn.IFNA(IF(AE294 &lt; (INDEX(SLATable[Maximum SLA],MATCH(G294,SLATable[Priority],0))),"YES","NO"),"")</f>
        <v/>
      </c>
    </row>
    <row r="295" spans="1:36" ht="15" customHeight="1">
      <c r="A295" s="78"/>
      <c r="B295" s="78"/>
      <c r="C295" s="78"/>
      <c r="D295" s="78"/>
      <c r="E295" s="78"/>
      <c r="F295" s="78"/>
      <c r="G295" s="78"/>
      <c r="H295" s="86"/>
      <c r="I295" s="78"/>
      <c r="J295" s="86"/>
      <c r="K295" s="277"/>
      <c r="L295" s="277"/>
      <c r="M295" s="277"/>
      <c r="N295" s="277"/>
      <c r="O295" s="80"/>
      <c r="P295" s="80"/>
      <c r="Q295" s="78"/>
      <c r="R295" s="78"/>
      <c r="S295" s="78"/>
      <c r="T295" s="78"/>
      <c r="U295" s="78"/>
      <c r="V295" s="78"/>
      <c r="W295" s="78"/>
      <c r="X295" s="78"/>
      <c r="Y295" s="78"/>
      <c r="Z295" s="167" t="e">
        <f t="shared" ca="1" si="32"/>
        <v>#N/A</v>
      </c>
      <c r="AA295" s="168" t="e">
        <f t="shared" ca="1" si="34"/>
        <v>#N/A</v>
      </c>
      <c r="AB295" s="167">
        <f t="shared" ca="1" si="33"/>
        <v>0</v>
      </c>
      <c r="AC295" s="168">
        <f t="shared" ca="1" si="35"/>
        <v>0</v>
      </c>
      <c r="AD295" s="191">
        <f t="shared" ca="1" si="36"/>
        <v>46259.633973495373</v>
      </c>
      <c r="AE295" s="167">
        <f t="shared" si="37"/>
        <v>0</v>
      </c>
      <c r="AF295" s="168">
        <f t="shared" si="38"/>
        <v>0</v>
      </c>
      <c r="AG295" s="168">
        <f t="shared" si="39"/>
        <v>0</v>
      </c>
      <c r="AH295" s="81" t="e" cm="1">
        <f t="array" aca="1" ref="AH295" ca="1">IF((AD295) &lt; (INDEX(ResponseSLA[#All],(MATCH((G295),ResponseSLA[Priority],0))+1,3)),"YES","No")</f>
        <v>#N/A</v>
      </c>
      <c r="AI295" s="81" t="str">
        <f>_xlfn.IFNA(IF(AE295 &lt; (INDEX(SLATable[Minimum SLA],MATCH(G295,SLATable[Priority],0))),"YES","NO"),"")</f>
        <v/>
      </c>
      <c r="AJ295" s="19" t="str">
        <f>_xlfn.IFNA(IF(AE295 &lt; (INDEX(SLATable[Maximum SLA],MATCH(G295,SLATable[Priority],0))),"YES","NO"),"")</f>
        <v/>
      </c>
    </row>
    <row r="296" spans="1:36" ht="15" customHeight="1">
      <c r="A296" s="78"/>
      <c r="B296" s="78"/>
      <c r="C296" s="78"/>
      <c r="D296" s="78"/>
      <c r="E296" s="78"/>
      <c r="F296" s="78"/>
      <c r="G296" s="78"/>
      <c r="H296" s="86"/>
      <c r="I296" s="78"/>
      <c r="J296" s="86"/>
      <c r="K296" s="277"/>
      <c r="L296" s="277"/>
      <c r="M296" s="277"/>
      <c r="N296" s="277"/>
      <c r="O296" s="80"/>
      <c r="P296" s="80"/>
      <c r="Q296" s="78"/>
      <c r="R296" s="78"/>
      <c r="S296" s="78"/>
      <c r="T296" s="78"/>
      <c r="U296" s="78"/>
      <c r="V296" s="78"/>
      <c r="W296" s="78"/>
      <c r="X296" s="78"/>
      <c r="Y296" s="78"/>
      <c r="Z296" s="167" t="e">
        <f t="shared" ca="1" si="32"/>
        <v>#N/A</v>
      </c>
      <c r="AA296" s="168" t="e">
        <f t="shared" ca="1" si="34"/>
        <v>#N/A</v>
      </c>
      <c r="AB296" s="167">
        <f t="shared" ca="1" si="33"/>
        <v>0</v>
      </c>
      <c r="AC296" s="168">
        <f t="shared" ca="1" si="35"/>
        <v>0</v>
      </c>
      <c r="AD296" s="191">
        <f t="shared" ca="1" si="36"/>
        <v>46259.633973495373</v>
      </c>
      <c r="AE296" s="167">
        <f t="shared" si="37"/>
        <v>0</v>
      </c>
      <c r="AF296" s="168">
        <f t="shared" si="38"/>
        <v>0</v>
      </c>
      <c r="AG296" s="168">
        <f t="shared" si="39"/>
        <v>0</v>
      </c>
      <c r="AH296" s="81" t="e" cm="1">
        <f t="array" aca="1" ref="AH296" ca="1">IF((AD296) &lt; (INDEX(ResponseSLA[#All],(MATCH((G296),ResponseSLA[Priority],0))+1,3)),"YES","No")</f>
        <v>#N/A</v>
      </c>
      <c r="AI296" s="81" t="str">
        <f>_xlfn.IFNA(IF(AE296 &lt; (INDEX(SLATable[Minimum SLA],MATCH(G296,SLATable[Priority],0))),"YES","NO"),"")</f>
        <v/>
      </c>
      <c r="AJ296" s="19" t="str">
        <f>_xlfn.IFNA(IF(AE296 &lt; (INDEX(SLATable[Maximum SLA],MATCH(G296,SLATable[Priority],0))),"YES","NO"),"")</f>
        <v/>
      </c>
    </row>
    <row r="297" spans="1:36" ht="15" customHeight="1">
      <c r="A297" s="78"/>
      <c r="B297" s="78"/>
      <c r="C297" s="78"/>
      <c r="D297" s="78"/>
      <c r="E297" s="78"/>
      <c r="F297" s="78"/>
      <c r="G297" s="78"/>
      <c r="H297" s="86"/>
      <c r="I297" s="78"/>
      <c r="J297" s="86"/>
      <c r="K297" s="277"/>
      <c r="L297" s="277"/>
      <c r="M297" s="277"/>
      <c r="N297" s="277"/>
      <c r="O297" s="80"/>
      <c r="P297" s="80"/>
      <c r="Q297" s="78"/>
      <c r="R297" s="78"/>
      <c r="S297" s="78"/>
      <c r="T297" s="78"/>
      <c r="U297" s="78"/>
      <c r="V297" s="78"/>
      <c r="W297" s="78"/>
      <c r="X297" s="78"/>
      <c r="Y297" s="78"/>
      <c r="Z297" s="167" t="e">
        <f t="shared" ca="1" si="32"/>
        <v>#N/A</v>
      </c>
      <c r="AA297" s="168" t="e">
        <f t="shared" ca="1" si="34"/>
        <v>#N/A</v>
      </c>
      <c r="AB297" s="167">
        <f t="shared" ca="1" si="33"/>
        <v>0</v>
      </c>
      <c r="AC297" s="168">
        <f t="shared" ca="1" si="35"/>
        <v>0</v>
      </c>
      <c r="AD297" s="191">
        <f t="shared" ca="1" si="36"/>
        <v>46259.633973495373</v>
      </c>
      <c r="AE297" s="167">
        <f t="shared" si="37"/>
        <v>0</v>
      </c>
      <c r="AF297" s="168">
        <f t="shared" si="38"/>
        <v>0</v>
      </c>
      <c r="AG297" s="168">
        <f t="shared" si="39"/>
        <v>0</v>
      </c>
      <c r="AH297" s="81" t="e" cm="1">
        <f t="array" aca="1" ref="AH297" ca="1">IF((AD297) &lt; (INDEX(ResponseSLA[#All],(MATCH((G297),ResponseSLA[Priority],0))+1,3)),"YES","No")</f>
        <v>#N/A</v>
      </c>
      <c r="AI297" s="81" t="str">
        <f>_xlfn.IFNA(IF(AE297 &lt; (INDEX(SLATable[Minimum SLA],MATCH(G297,SLATable[Priority],0))),"YES","NO"),"")</f>
        <v/>
      </c>
      <c r="AJ297" s="19" t="str">
        <f>_xlfn.IFNA(IF(AE297 &lt; (INDEX(SLATable[Maximum SLA],MATCH(G297,SLATable[Priority],0))),"YES","NO"),"")</f>
        <v/>
      </c>
    </row>
    <row r="298" spans="1:36" ht="15" customHeight="1">
      <c r="A298" s="78"/>
      <c r="B298" s="78"/>
      <c r="C298" s="78"/>
      <c r="D298" s="78"/>
      <c r="E298" s="78"/>
      <c r="F298" s="78"/>
      <c r="G298" s="78"/>
      <c r="H298" s="86"/>
      <c r="I298" s="78"/>
      <c r="J298" s="86"/>
      <c r="K298" s="277"/>
      <c r="L298" s="277"/>
      <c r="M298" s="277"/>
      <c r="N298" s="277"/>
      <c r="O298" s="80"/>
      <c r="P298" s="80"/>
      <c r="Q298" s="78"/>
      <c r="R298" s="78"/>
      <c r="S298" s="78"/>
      <c r="T298" s="78"/>
      <c r="U298" s="78"/>
      <c r="V298" s="78"/>
      <c r="W298" s="78"/>
      <c r="X298" s="78"/>
      <c r="Y298" s="78"/>
      <c r="Z298" s="167" t="e">
        <f t="shared" ca="1" si="32"/>
        <v>#N/A</v>
      </c>
      <c r="AA298" s="168" t="e">
        <f t="shared" ca="1" si="34"/>
        <v>#N/A</v>
      </c>
      <c r="AB298" s="167">
        <f t="shared" ca="1" si="33"/>
        <v>0</v>
      </c>
      <c r="AC298" s="168">
        <f t="shared" ca="1" si="35"/>
        <v>0</v>
      </c>
      <c r="AD298" s="191">
        <f t="shared" ca="1" si="36"/>
        <v>46259.633973495373</v>
      </c>
      <c r="AE298" s="167">
        <f t="shared" si="37"/>
        <v>0</v>
      </c>
      <c r="AF298" s="168">
        <f t="shared" si="38"/>
        <v>0</v>
      </c>
      <c r="AG298" s="168">
        <f t="shared" si="39"/>
        <v>0</v>
      </c>
      <c r="AH298" s="81" t="e" cm="1">
        <f t="array" aca="1" ref="AH298" ca="1">IF((AD298) &lt; (INDEX(ResponseSLA[#All],(MATCH((G298),ResponseSLA[Priority],0))+1,3)),"YES","No")</f>
        <v>#N/A</v>
      </c>
      <c r="AI298" s="81" t="str">
        <f>_xlfn.IFNA(IF(AE298 &lt; (INDEX(SLATable[Minimum SLA],MATCH(G298,SLATable[Priority],0))),"YES","NO"),"")</f>
        <v/>
      </c>
      <c r="AJ298" s="19" t="str">
        <f>_xlfn.IFNA(IF(AE298 &lt; (INDEX(SLATable[Maximum SLA],MATCH(G298,SLATable[Priority],0))),"YES","NO"),"")</f>
        <v/>
      </c>
    </row>
    <row r="299" spans="1:36" ht="15" customHeight="1">
      <c r="A299" s="78"/>
      <c r="B299" s="78"/>
      <c r="C299" s="78"/>
      <c r="D299" s="78"/>
      <c r="E299" s="78"/>
      <c r="F299" s="78"/>
      <c r="G299" s="78"/>
      <c r="H299" s="86"/>
      <c r="I299" s="78"/>
      <c r="J299" s="86"/>
      <c r="K299" s="277"/>
      <c r="L299" s="277"/>
      <c r="M299" s="277"/>
      <c r="N299" s="277"/>
      <c r="O299" s="80"/>
      <c r="P299" s="80"/>
      <c r="Q299" s="78"/>
      <c r="R299" s="78"/>
      <c r="S299" s="78"/>
      <c r="T299" s="78"/>
      <c r="U299" s="78"/>
      <c r="V299" s="78"/>
      <c r="W299" s="78"/>
      <c r="X299" s="78"/>
      <c r="Y299" s="78"/>
      <c r="Z299" s="167" t="e">
        <f t="shared" ca="1" si="32"/>
        <v>#N/A</v>
      </c>
      <c r="AA299" s="168" t="e">
        <f t="shared" ca="1" si="34"/>
        <v>#N/A</v>
      </c>
      <c r="AB299" s="167">
        <f t="shared" ca="1" si="33"/>
        <v>0</v>
      </c>
      <c r="AC299" s="168">
        <f t="shared" ca="1" si="35"/>
        <v>0</v>
      </c>
      <c r="AD299" s="191">
        <f t="shared" ca="1" si="36"/>
        <v>46259.633973495373</v>
      </c>
      <c r="AE299" s="167">
        <f t="shared" si="37"/>
        <v>0</v>
      </c>
      <c r="AF299" s="168">
        <f t="shared" si="38"/>
        <v>0</v>
      </c>
      <c r="AG299" s="168">
        <f t="shared" si="39"/>
        <v>0</v>
      </c>
      <c r="AH299" s="81" t="e" cm="1">
        <f t="array" aca="1" ref="AH299" ca="1">IF((AD299) &lt; (INDEX(ResponseSLA[#All],(MATCH((G299),ResponseSLA[Priority],0))+1,3)),"YES","No")</f>
        <v>#N/A</v>
      </c>
      <c r="AI299" s="81" t="str">
        <f>_xlfn.IFNA(IF(AE299 &lt; (INDEX(SLATable[Minimum SLA],MATCH(G299,SLATable[Priority],0))),"YES","NO"),"")</f>
        <v/>
      </c>
      <c r="AJ299" s="19" t="str">
        <f>_xlfn.IFNA(IF(AE299 &lt; (INDEX(SLATable[Maximum SLA],MATCH(G299,SLATable[Priority],0))),"YES","NO"),"")</f>
        <v/>
      </c>
    </row>
    <row r="300" spans="1:36" ht="15" customHeight="1">
      <c r="A300" s="78"/>
      <c r="B300" s="78"/>
      <c r="C300" s="78"/>
      <c r="D300" s="78"/>
      <c r="E300" s="78"/>
      <c r="F300" s="78"/>
      <c r="G300" s="78"/>
      <c r="H300" s="86"/>
      <c r="I300" s="78"/>
      <c r="J300" s="86"/>
      <c r="K300" s="277"/>
      <c r="L300" s="277"/>
      <c r="M300" s="277"/>
      <c r="N300" s="277"/>
      <c r="O300" s="80"/>
      <c r="P300" s="80"/>
      <c r="Q300" s="78"/>
      <c r="R300" s="78"/>
      <c r="S300" s="78"/>
      <c r="T300" s="78"/>
      <c r="U300" s="78"/>
      <c r="V300" s="78"/>
      <c r="W300" s="78"/>
      <c r="X300" s="78"/>
      <c r="Y300" s="78"/>
      <c r="Z300" s="167" t="e">
        <f t="shared" ca="1" si="32"/>
        <v>#N/A</v>
      </c>
      <c r="AA300" s="168" t="e">
        <f t="shared" ca="1" si="34"/>
        <v>#N/A</v>
      </c>
      <c r="AB300" s="167">
        <f t="shared" ca="1" si="33"/>
        <v>0</v>
      </c>
      <c r="AC300" s="168">
        <f t="shared" ca="1" si="35"/>
        <v>0</v>
      </c>
      <c r="AD300" s="191">
        <f t="shared" ca="1" si="36"/>
        <v>46259.633973495373</v>
      </c>
      <c r="AE300" s="167">
        <f t="shared" si="37"/>
        <v>0</v>
      </c>
      <c r="AF300" s="168">
        <f t="shared" si="38"/>
        <v>0</v>
      </c>
      <c r="AG300" s="168">
        <f t="shared" si="39"/>
        <v>0</v>
      </c>
      <c r="AH300" s="81" t="e" cm="1">
        <f t="array" aca="1" ref="AH300" ca="1">IF((AD300) &lt; (INDEX(ResponseSLA[#All],(MATCH((G300),ResponseSLA[Priority],0))+1,3)),"YES","No")</f>
        <v>#N/A</v>
      </c>
      <c r="AI300" s="81" t="str">
        <f>_xlfn.IFNA(IF(AE300 &lt; (INDEX(SLATable[Minimum SLA],MATCH(G300,SLATable[Priority],0))),"YES","NO"),"")</f>
        <v/>
      </c>
      <c r="AJ300" s="19" t="str">
        <f>_xlfn.IFNA(IF(AE300 &lt; (INDEX(SLATable[Maximum SLA],MATCH(G300,SLATable[Priority],0))),"YES","NO"),"")</f>
        <v/>
      </c>
    </row>
    <row r="301" spans="1:36" ht="15" customHeight="1">
      <c r="A301" s="78"/>
      <c r="B301" s="78"/>
      <c r="C301" s="78"/>
      <c r="D301" s="78"/>
      <c r="E301" s="78"/>
      <c r="F301" s="78"/>
      <c r="G301" s="78"/>
      <c r="H301" s="86"/>
      <c r="I301" s="78"/>
      <c r="J301" s="86"/>
      <c r="K301" s="277"/>
      <c r="L301" s="277"/>
      <c r="M301" s="277"/>
      <c r="N301" s="277"/>
      <c r="O301" s="80"/>
      <c r="P301" s="80"/>
      <c r="Q301" s="78"/>
      <c r="R301" s="78"/>
      <c r="S301" s="78"/>
      <c r="T301" s="78"/>
      <c r="U301" s="78"/>
      <c r="V301" s="78"/>
      <c r="W301" s="78"/>
      <c r="X301" s="78"/>
      <c r="Y301" s="78"/>
      <c r="Z301" s="167" t="e">
        <f t="shared" ca="1" si="32"/>
        <v>#N/A</v>
      </c>
      <c r="AA301" s="168" t="e">
        <f t="shared" ca="1" si="34"/>
        <v>#N/A</v>
      </c>
      <c r="AB301" s="167">
        <f t="shared" ca="1" si="33"/>
        <v>0</v>
      </c>
      <c r="AC301" s="168">
        <f t="shared" ca="1" si="35"/>
        <v>0</v>
      </c>
      <c r="AD301" s="191">
        <f t="shared" ca="1" si="36"/>
        <v>46259.633973495373</v>
      </c>
      <c r="AE301" s="167">
        <f t="shared" si="37"/>
        <v>0</v>
      </c>
      <c r="AF301" s="168">
        <f t="shared" si="38"/>
        <v>0</v>
      </c>
      <c r="AG301" s="168">
        <f t="shared" si="39"/>
        <v>0</v>
      </c>
      <c r="AH301" s="81" t="e" cm="1">
        <f t="array" aca="1" ref="AH301" ca="1">IF((AD301) &lt; (INDEX(ResponseSLA[#All],(MATCH((G301),ResponseSLA[Priority],0))+1,3)),"YES","No")</f>
        <v>#N/A</v>
      </c>
      <c r="AI301" s="81" t="str">
        <f>_xlfn.IFNA(IF(AE301 &lt; (INDEX(SLATable[Minimum SLA],MATCH(G301,SLATable[Priority],0))),"YES","NO"),"")</f>
        <v/>
      </c>
      <c r="AJ301" s="19" t="str">
        <f>_xlfn.IFNA(IF(AE301 &lt; (INDEX(SLATable[Maximum SLA],MATCH(G301,SLATable[Priority],0))),"YES","NO"),"")</f>
        <v/>
      </c>
    </row>
    <row r="302" spans="1:36" ht="15" customHeight="1">
      <c r="A302" s="78"/>
      <c r="B302" s="78"/>
      <c r="C302" s="78"/>
      <c r="D302" s="78"/>
      <c r="E302" s="78"/>
      <c r="F302" s="78"/>
      <c r="G302" s="78"/>
      <c r="H302" s="86"/>
      <c r="I302" s="78"/>
      <c r="J302" s="86"/>
      <c r="K302" s="277"/>
      <c r="L302" s="277"/>
      <c r="M302" s="277"/>
      <c r="N302" s="277"/>
      <c r="O302" s="80"/>
      <c r="P302" s="80"/>
      <c r="Q302" s="78"/>
      <c r="R302" s="78"/>
      <c r="S302" s="78"/>
      <c r="T302" s="78"/>
      <c r="U302" s="78"/>
      <c r="V302" s="78"/>
      <c r="W302" s="78"/>
      <c r="X302" s="78"/>
      <c r="Y302" s="78"/>
      <c r="Z302" s="167" t="e">
        <f t="shared" ca="1" si="32"/>
        <v>#N/A</v>
      </c>
      <c r="AA302" s="168" t="e">
        <f t="shared" ca="1" si="34"/>
        <v>#N/A</v>
      </c>
      <c r="AB302" s="167">
        <f t="shared" ca="1" si="33"/>
        <v>0</v>
      </c>
      <c r="AC302" s="168">
        <f t="shared" ca="1" si="35"/>
        <v>0</v>
      </c>
      <c r="AD302" s="191">
        <f t="shared" ca="1" si="36"/>
        <v>46259.633973495373</v>
      </c>
      <c r="AE302" s="167">
        <f t="shared" si="37"/>
        <v>0</v>
      </c>
      <c r="AF302" s="168">
        <f t="shared" si="38"/>
        <v>0</v>
      </c>
      <c r="AG302" s="168">
        <f t="shared" si="39"/>
        <v>0</v>
      </c>
      <c r="AH302" s="81" t="e" cm="1">
        <f t="array" aca="1" ref="AH302" ca="1">IF((AD302) &lt; (INDEX(ResponseSLA[#All],(MATCH((G302),ResponseSLA[Priority],0))+1,3)),"YES","No")</f>
        <v>#N/A</v>
      </c>
      <c r="AI302" s="81" t="str">
        <f>_xlfn.IFNA(IF(AE302 &lt; (INDEX(SLATable[Minimum SLA],MATCH(G302,SLATable[Priority],0))),"YES","NO"),"")</f>
        <v/>
      </c>
      <c r="AJ302" s="19" t="str">
        <f>_xlfn.IFNA(IF(AE302 &lt; (INDEX(SLATable[Maximum SLA],MATCH(G302,SLATable[Priority],0))),"YES","NO"),"")</f>
        <v/>
      </c>
    </row>
    <row r="303" spans="1:36" ht="15" customHeight="1">
      <c r="A303" s="78"/>
      <c r="B303" s="78"/>
      <c r="C303" s="78"/>
      <c r="D303" s="78"/>
      <c r="E303" s="78"/>
      <c r="F303" s="78"/>
      <c r="G303" s="78"/>
      <c r="H303" s="86"/>
      <c r="I303" s="78"/>
      <c r="J303" s="86"/>
      <c r="K303" s="277"/>
      <c r="L303" s="277"/>
      <c r="M303" s="277"/>
      <c r="N303" s="277"/>
      <c r="O303" s="80"/>
      <c r="P303" s="80"/>
      <c r="Q303" s="78"/>
      <c r="R303" s="78"/>
      <c r="S303" s="78"/>
      <c r="T303" s="78"/>
      <c r="U303" s="78"/>
      <c r="V303" s="78"/>
      <c r="W303" s="78"/>
      <c r="X303" s="78"/>
      <c r="Y303" s="78"/>
      <c r="Z303" s="167" t="e">
        <f t="shared" ca="1" si="32"/>
        <v>#N/A</v>
      </c>
      <c r="AA303" s="168" t="e">
        <f t="shared" ca="1" si="34"/>
        <v>#N/A</v>
      </c>
      <c r="AB303" s="167">
        <f t="shared" ca="1" si="33"/>
        <v>0</v>
      </c>
      <c r="AC303" s="168">
        <f t="shared" ca="1" si="35"/>
        <v>0</v>
      </c>
      <c r="AD303" s="191">
        <f t="shared" ca="1" si="36"/>
        <v>46259.633973495373</v>
      </c>
      <c r="AE303" s="167">
        <f t="shared" si="37"/>
        <v>0</v>
      </c>
      <c r="AF303" s="168">
        <f t="shared" si="38"/>
        <v>0</v>
      </c>
      <c r="AG303" s="168">
        <f t="shared" si="39"/>
        <v>0</v>
      </c>
      <c r="AH303" s="81" t="e" cm="1">
        <f t="array" aca="1" ref="AH303" ca="1">IF((AD303) &lt; (INDEX(ResponseSLA[#All],(MATCH((G303),ResponseSLA[Priority],0))+1,3)),"YES","No")</f>
        <v>#N/A</v>
      </c>
      <c r="AI303" s="81" t="str">
        <f>_xlfn.IFNA(IF(AE303 &lt; (INDEX(SLATable[Minimum SLA],MATCH(G303,SLATable[Priority],0))),"YES","NO"),"")</f>
        <v/>
      </c>
      <c r="AJ303" s="19" t="str">
        <f>_xlfn.IFNA(IF(AE303 &lt; (INDEX(SLATable[Maximum SLA],MATCH(G303,SLATable[Priority],0))),"YES","NO"),"")</f>
        <v/>
      </c>
    </row>
    <row r="304" spans="1:36" ht="15" customHeight="1">
      <c r="A304" s="78"/>
      <c r="B304" s="78"/>
      <c r="C304" s="78"/>
      <c r="D304" s="78"/>
      <c r="E304" s="78"/>
      <c r="F304" s="78"/>
      <c r="G304" s="78"/>
      <c r="H304" s="86"/>
      <c r="I304" s="78"/>
      <c r="J304" s="86"/>
      <c r="K304" s="277"/>
      <c r="L304" s="277"/>
      <c r="M304" s="277"/>
      <c r="N304" s="277"/>
      <c r="O304" s="80"/>
      <c r="P304" s="80"/>
      <c r="Q304" s="78"/>
      <c r="R304" s="78"/>
      <c r="S304" s="78"/>
      <c r="T304" s="78"/>
      <c r="U304" s="78"/>
      <c r="V304" s="78"/>
      <c r="W304" s="78"/>
      <c r="X304" s="78"/>
      <c r="Y304" s="78"/>
      <c r="Z304" s="167" t="e">
        <f t="shared" ca="1" si="32"/>
        <v>#N/A</v>
      </c>
      <c r="AA304" s="168" t="e">
        <f t="shared" ca="1" si="34"/>
        <v>#N/A</v>
      </c>
      <c r="AB304" s="167">
        <f t="shared" ca="1" si="33"/>
        <v>0</v>
      </c>
      <c r="AC304" s="168">
        <f t="shared" ca="1" si="35"/>
        <v>0</v>
      </c>
      <c r="AD304" s="191">
        <f t="shared" ca="1" si="36"/>
        <v>46259.633973495373</v>
      </c>
      <c r="AE304" s="167">
        <f t="shared" si="37"/>
        <v>0</v>
      </c>
      <c r="AF304" s="168">
        <f t="shared" si="38"/>
        <v>0</v>
      </c>
      <c r="AG304" s="168">
        <f t="shared" si="39"/>
        <v>0</v>
      </c>
      <c r="AH304" s="81" t="e" cm="1">
        <f t="array" aca="1" ref="AH304" ca="1">IF((AD304) &lt; (INDEX(ResponseSLA[#All],(MATCH((G304),ResponseSLA[Priority],0))+1,3)),"YES","No")</f>
        <v>#N/A</v>
      </c>
      <c r="AI304" s="81" t="str">
        <f>_xlfn.IFNA(IF(AE304 &lt; (INDEX(SLATable[Minimum SLA],MATCH(G304,SLATable[Priority],0))),"YES","NO"),"")</f>
        <v/>
      </c>
      <c r="AJ304" s="19" t="str">
        <f>_xlfn.IFNA(IF(AE304 &lt; (INDEX(SLATable[Maximum SLA],MATCH(G304,SLATable[Priority],0))),"YES","NO"),"")</f>
        <v/>
      </c>
    </row>
    <row r="305" spans="1:36" ht="15" customHeight="1">
      <c r="A305" s="78"/>
      <c r="B305" s="78"/>
      <c r="C305" s="78"/>
      <c r="D305" s="78"/>
      <c r="E305" s="78"/>
      <c r="F305" s="78"/>
      <c r="G305" s="78"/>
      <c r="H305" s="86"/>
      <c r="I305" s="78"/>
      <c r="J305" s="86"/>
      <c r="K305" s="277"/>
      <c r="L305" s="277"/>
      <c r="M305" s="277"/>
      <c r="N305" s="277"/>
      <c r="O305" s="80"/>
      <c r="P305" s="80"/>
      <c r="Q305" s="78"/>
      <c r="R305" s="78"/>
      <c r="S305" s="78"/>
      <c r="T305" s="78"/>
      <c r="U305" s="78"/>
      <c r="V305" s="78"/>
      <c r="W305" s="78"/>
      <c r="X305" s="78"/>
      <c r="Y305" s="78"/>
      <c r="Z305" s="167" t="e">
        <f t="shared" ca="1" si="32"/>
        <v>#N/A</v>
      </c>
      <c r="AA305" s="168" t="e">
        <f t="shared" ca="1" si="34"/>
        <v>#N/A</v>
      </c>
      <c r="AB305" s="167">
        <f t="shared" ca="1" si="33"/>
        <v>0</v>
      </c>
      <c r="AC305" s="168">
        <f t="shared" ca="1" si="35"/>
        <v>0</v>
      </c>
      <c r="AD305" s="191">
        <f t="shared" ca="1" si="36"/>
        <v>46259.633973495373</v>
      </c>
      <c r="AE305" s="167">
        <f t="shared" si="37"/>
        <v>0</v>
      </c>
      <c r="AF305" s="168">
        <f t="shared" si="38"/>
        <v>0</v>
      </c>
      <c r="AG305" s="168">
        <f t="shared" si="39"/>
        <v>0</v>
      </c>
      <c r="AH305" s="81" t="e" cm="1">
        <f t="array" aca="1" ref="AH305" ca="1">IF((AD305) &lt; (INDEX(ResponseSLA[#All],(MATCH((G305),ResponseSLA[Priority],0))+1,3)),"YES","No")</f>
        <v>#N/A</v>
      </c>
      <c r="AI305" s="81" t="str">
        <f>_xlfn.IFNA(IF(AE305 &lt; (INDEX(SLATable[Minimum SLA],MATCH(G305,SLATable[Priority],0))),"YES","NO"),"")</f>
        <v/>
      </c>
      <c r="AJ305" s="19" t="str">
        <f>_xlfn.IFNA(IF(AE305 &lt; (INDEX(SLATable[Maximum SLA],MATCH(G305,SLATable[Priority],0))),"YES","NO"),"")</f>
        <v/>
      </c>
    </row>
    <row r="306" spans="1:36" ht="15" customHeight="1">
      <c r="A306" s="78"/>
      <c r="B306" s="78"/>
      <c r="C306" s="78"/>
      <c r="D306" s="78"/>
      <c r="E306" s="78"/>
      <c r="F306" s="78"/>
      <c r="G306" s="78"/>
      <c r="H306" s="86"/>
      <c r="I306" s="78"/>
      <c r="J306" s="86"/>
      <c r="K306" s="277"/>
      <c r="L306" s="277"/>
      <c r="M306" s="277"/>
      <c r="N306" s="277"/>
      <c r="O306" s="80"/>
      <c r="P306" s="80"/>
      <c r="Q306" s="78"/>
      <c r="R306" s="78"/>
      <c r="S306" s="78"/>
      <c r="T306" s="78"/>
      <c r="U306" s="78"/>
      <c r="V306" s="78"/>
      <c r="W306" s="78"/>
      <c r="X306" s="78"/>
      <c r="Y306" s="78"/>
      <c r="Z306" s="167" t="e">
        <f t="shared" ca="1" si="32"/>
        <v>#N/A</v>
      </c>
      <c r="AA306" s="168" t="e">
        <f t="shared" ca="1" si="34"/>
        <v>#N/A</v>
      </c>
      <c r="AB306" s="167">
        <f t="shared" ca="1" si="33"/>
        <v>0</v>
      </c>
      <c r="AC306" s="168">
        <f t="shared" ca="1" si="35"/>
        <v>0</v>
      </c>
      <c r="AD306" s="191">
        <f t="shared" ca="1" si="36"/>
        <v>46259.633973495373</v>
      </c>
      <c r="AE306" s="167">
        <f t="shared" si="37"/>
        <v>0</v>
      </c>
      <c r="AF306" s="168">
        <f t="shared" si="38"/>
        <v>0</v>
      </c>
      <c r="AG306" s="168">
        <f t="shared" si="39"/>
        <v>0</v>
      </c>
      <c r="AH306" s="81" t="e" cm="1">
        <f t="array" aca="1" ref="AH306" ca="1">IF((AD306) &lt; (INDEX(ResponseSLA[#All],(MATCH((G306),ResponseSLA[Priority],0))+1,3)),"YES","No")</f>
        <v>#N/A</v>
      </c>
      <c r="AI306" s="81" t="str">
        <f>_xlfn.IFNA(IF(AE306 &lt; (INDEX(SLATable[Minimum SLA],MATCH(G306,SLATable[Priority],0))),"YES","NO"),"")</f>
        <v/>
      </c>
      <c r="AJ306" s="19" t="str">
        <f>_xlfn.IFNA(IF(AE306 &lt; (INDEX(SLATable[Maximum SLA],MATCH(G306,SLATable[Priority],0))),"YES","NO"),"")</f>
        <v/>
      </c>
    </row>
    <row r="307" spans="1:36" ht="15" customHeight="1">
      <c r="A307" s="78"/>
      <c r="B307" s="78"/>
      <c r="C307" s="78"/>
      <c r="D307" s="78"/>
      <c r="E307" s="78"/>
      <c r="F307" s="78"/>
      <c r="G307" s="78"/>
      <c r="H307" s="86"/>
      <c r="I307" s="78"/>
      <c r="J307" s="86"/>
      <c r="K307" s="277"/>
      <c r="L307" s="277"/>
      <c r="M307" s="277"/>
      <c r="N307" s="277"/>
      <c r="O307" s="80"/>
      <c r="P307" s="80"/>
      <c r="Q307" s="78"/>
      <c r="R307" s="78"/>
      <c r="S307" s="78"/>
      <c r="T307" s="78"/>
      <c r="U307" s="78"/>
      <c r="V307" s="78"/>
      <c r="W307" s="78"/>
      <c r="X307" s="78"/>
      <c r="Y307" s="78"/>
      <c r="Z307" s="167" t="e">
        <f t="shared" ca="1" si="32"/>
        <v>#N/A</v>
      </c>
      <c r="AA307" s="168" t="e">
        <f t="shared" ca="1" si="34"/>
        <v>#N/A</v>
      </c>
      <c r="AB307" s="167">
        <f t="shared" ca="1" si="33"/>
        <v>0</v>
      </c>
      <c r="AC307" s="168">
        <f t="shared" ca="1" si="35"/>
        <v>0</v>
      </c>
      <c r="AD307" s="191">
        <f t="shared" ca="1" si="36"/>
        <v>46259.633973495373</v>
      </c>
      <c r="AE307" s="167">
        <f t="shared" si="37"/>
        <v>0</v>
      </c>
      <c r="AF307" s="168">
        <f t="shared" si="38"/>
        <v>0</v>
      </c>
      <c r="AG307" s="168">
        <f t="shared" si="39"/>
        <v>0</v>
      </c>
      <c r="AH307" s="81" t="e" cm="1">
        <f t="array" aca="1" ref="AH307" ca="1">IF((AD307) &lt; (INDEX(ResponseSLA[#All],(MATCH((G307),ResponseSLA[Priority],0))+1,3)),"YES","No")</f>
        <v>#N/A</v>
      </c>
      <c r="AI307" s="81" t="str">
        <f>_xlfn.IFNA(IF(AE307 &lt; (INDEX(SLATable[Minimum SLA],MATCH(G307,SLATable[Priority],0))),"YES","NO"),"")</f>
        <v/>
      </c>
      <c r="AJ307" s="19" t="str">
        <f>_xlfn.IFNA(IF(AE307 &lt; (INDEX(SLATable[Maximum SLA],MATCH(G307,SLATable[Priority],0))),"YES","NO"),"")</f>
        <v/>
      </c>
    </row>
    <row r="308" spans="1:36" ht="15" customHeight="1">
      <c r="A308" s="78"/>
      <c r="B308" s="78"/>
      <c r="C308" s="78"/>
      <c r="D308" s="78"/>
      <c r="E308" s="78"/>
      <c r="F308" s="78"/>
      <c r="G308" s="78"/>
      <c r="H308" s="86"/>
      <c r="I308" s="78"/>
      <c r="J308" s="86"/>
      <c r="K308" s="277"/>
      <c r="L308" s="277"/>
      <c r="M308" s="277"/>
      <c r="N308" s="277"/>
      <c r="O308" s="80"/>
      <c r="P308" s="80"/>
      <c r="Q308" s="78"/>
      <c r="R308" s="78"/>
      <c r="S308" s="78"/>
      <c r="T308" s="78"/>
      <c r="U308" s="78"/>
      <c r="V308" s="78"/>
      <c r="W308" s="78"/>
      <c r="X308" s="78"/>
      <c r="Y308" s="78"/>
      <c r="Z308" s="167" t="e">
        <f t="shared" ca="1" si="32"/>
        <v>#N/A</v>
      </c>
      <c r="AA308" s="168" t="e">
        <f t="shared" ca="1" si="34"/>
        <v>#N/A</v>
      </c>
      <c r="AB308" s="167">
        <f t="shared" ca="1" si="33"/>
        <v>0</v>
      </c>
      <c r="AC308" s="168">
        <f t="shared" ca="1" si="35"/>
        <v>0</v>
      </c>
      <c r="AD308" s="191">
        <f t="shared" ca="1" si="36"/>
        <v>46259.633973495373</v>
      </c>
      <c r="AE308" s="167">
        <f t="shared" si="37"/>
        <v>0</v>
      </c>
      <c r="AF308" s="168">
        <f t="shared" si="38"/>
        <v>0</v>
      </c>
      <c r="AG308" s="168">
        <f t="shared" si="39"/>
        <v>0</v>
      </c>
      <c r="AH308" s="81" t="e" cm="1">
        <f t="array" aca="1" ref="AH308" ca="1">IF((AD308) &lt; (INDEX(ResponseSLA[#All],(MATCH((G308),ResponseSLA[Priority],0))+1,3)),"YES","No")</f>
        <v>#N/A</v>
      </c>
      <c r="AI308" s="81" t="str">
        <f>_xlfn.IFNA(IF(AE308 &lt; (INDEX(SLATable[Minimum SLA],MATCH(G308,SLATable[Priority],0))),"YES","NO"),"")</f>
        <v/>
      </c>
      <c r="AJ308" s="19" t="str">
        <f>_xlfn.IFNA(IF(AE308 &lt; (INDEX(SLATable[Maximum SLA],MATCH(G308,SLATable[Priority],0))),"YES","NO"),"")</f>
        <v/>
      </c>
    </row>
    <row r="309" spans="1:36" ht="15" customHeight="1">
      <c r="A309" s="78"/>
      <c r="B309" s="78"/>
      <c r="C309" s="78"/>
      <c r="D309" s="78"/>
      <c r="E309" s="78"/>
      <c r="F309" s="78"/>
      <c r="G309" s="78"/>
      <c r="H309" s="86"/>
      <c r="I309" s="78"/>
      <c r="J309" s="86"/>
      <c r="K309" s="277"/>
      <c r="L309" s="277"/>
      <c r="M309" s="277"/>
      <c r="N309" s="277"/>
      <c r="O309" s="80"/>
      <c r="P309" s="80"/>
      <c r="Q309" s="78"/>
      <c r="R309" s="78"/>
      <c r="S309" s="78"/>
      <c r="T309" s="78"/>
      <c r="U309" s="78"/>
      <c r="V309" s="78"/>
      <c r="W309" s="78"/>
      <c r="X309" s="78"/>
      <c r="Y309" s="78"/>
      <c r="Z309" s="167" t="e">
        <f t="shared" ca="1" si="32"/>
        <v>#N/A</v>
      </c>
      <c r="AA309" s="168" t="e">
        <f t="shared" ca="1" si="34"/>
        <v>#N/A</v>
      </c>
      <c r="AB309" s="167">
        <f t="shared" ca="1" si="33"/>
        <v>0</v>
      </c>
      <c r="AC309" s="168">
        <f t="shared" ca="1" si="35"/>
        <v>0</v>
      </c>
      <c r="AD309" s="191">
        <f t="shared" ca="1" si="36"/>
        <v>46259.633973495373</v>
      </c>
      <c r="AE309" s="167">
        <f t="shared" si="37"/>
        <v>0</v>
      </c>
      <c r="AF309" s="168">
        <f t="shared" si="38"/>
        <v>0</v>
      </c>
      <c r="AG309" s="168">
        <f t="shared" si="39"/>
        <v>0</v>
      </c>
      <c r="AH309" s="81" t="e" cm="1">
        <f t="array" aca="1" ref="AH309" ca="1">IF((AD309) &lt; (INDEX(ResponseSLA[#All],(MATCH((G309),ResponseSLA[Priority],0))+1,3)),"YES","No")</f>
        <v>#N/A</v>
      </c>
      <c r="AI309" s="81" t="str">
        <f>_xlfn.IFNA(IF(AE309 &lt; (INDEX(SLATable[Minimum SLA],MATCH(G309,SLATable[Priority],0))),"YES","NO"),"")</f>
        <v/>
      </c>
      <c r="AJ309" s="19" t="str">
        <f>_xlfn.IFNA(IF(AE309 &lt; (INDEX(SLATable[Maximum SLA],MATCH(G309,SLATable[Priority],0))),"YES","NO"),"")</f>
        <v/>
      </c>
    </row>
    <row r="310" spans="1:36" ht="15" customHeight="1">
      <c r="A310" s="78"/>
      <c r="B310" s="78"/>
      <c r="C310" s="78"/>
      <c r="D310" s="78"/>
      <c r="E310" s="78"/>
      <c r="F310" s="78"/>
      <c r="G310" s="78"/>
      <c r="H310" s="86"/>
      <c r="I310" s="78"/>
      <c r="J310" s="86"/>
      <c r="K310" s="277"/>
      <c r="L310" s="277"/>
      <c r="M310" s="277"/>
      <c r="N310" s="277"/>
      <c r="O310" s="80"/>
      <c r="P310" s="80"/>
      <c r="Q310" s="78"/>
      <c r="R310" s="78"/>
      <c r="S310" s="78"/>
      <c r="T310" s="78"/>
      <c r="U310" s="78"/>
      <c r="V310" s="78"/>
      <c r="W310" s="78"/>
      <c r="X310" s="78"/>
      <c r="Y310" s="78"/>
      <c r="Z310" s="167" t="e">
        <f t="shared" ca="1" si="32"/>
        <v>#N/A</v>
      </c>
      <c r="AA310" s="168" t="e">
        <f t="shared" ca="1" si="34"/>
        <v>#N/A</v>
      </c>
      <c r="AB310" s="167">
        <f t="shared" ca="1" si="33"/>
        <v>0</v>
      </c>
      <c r="AC310" s="168">
        <f t="shared" ca="1" si="35"/>
        <v>0</v>
      </c>
      <c r="AD310" s="191">
        <f t="shared" ca="1" si="36"/>
        <v>46259.633973495373</v>
      </c>
      <c r="AE310" s="167">
        <f t="shared" si="37"/>
        <v>0</v>
      </c>
      <c r="AF310" s="168">
        <f t="shared" si="38"/>
        <v>0</v>
      </c>
      <c r="AG310" s="168">
        <f t="shared" si="39"/>
        <v>0</v>
      </c>
      <c r="AH310" s="81" t="e" cm="1">
        <f t="array" aca="1" ref="AH310" ca="1">IF((AD310) &lt; (INDEX(ResponseSLA[#All],(MATCH((G310),ResponseSLA[Priority],0))+1,3)),"YES","No")</f>
        <v>#N/A</v>
      </c>
      <c r="AI310" s="81" t="str">
        <f>_xlfn.IFNA(IF(AE310 &lt; (INDEX(SLATable[Minimum SLA],MATCH(G310,SLATable[Priority],0))),"YES","NO"),"")</f>
        <v/>
      </c>
      <c r="AJ310" s="19" t="str">
        <f>_xlfn.IFNA(IF(AE310 &lt; (INDEX(SLATable[Maximum SLA],MATCH(G310,SLATable[Priority],0))),"YES","NO"),"")</f>
        <v/>
      </c>
    </row>
    <row r="311" spans="1:36" ht="15" customHeight="1">
      <c r="A311" s="78"/>
      <c r="B311" s="78"/>
      <c r="C311" s="78"/>
      <c r="D311" s="78"/>
      <c r="E311" s="78"/>
      <c r="F311" s="78"/>
      <c r="G311" s="78"/>
      <c r="H311" s="86"/>
      <c r="I311" s="78"/>
      <c r="J311" s="86"/>
      <c r="K311" s="277"/>
      <c r="L311" s="277"/>
      <c r="M311" s="277"/>
      <c r="N311" s="277"/>
      <c r="O311" s="80"/>
      <c r="P311" s="80"/>
      <c r="Q311" s="78"/>
      <c r="R311" s="78"/>
      <c r="S311" s="78"/>
      <c r="T311" s="78"/>
      <c r="U311" s="78"/>
      <c r="V311" s="78"/>
      <c r="W311" s="78"/>
      <c r="X311" s="78"/>
      <c r="Y311" s="78"/>
      <c r="Z311" s="167" t="e">
        <f t="shared" ref="Z311:Z374" ca="1" si="40">IF(NOT(OR(G311=1,G311=2)),MAX(0,_xlfn.IFS(AND(K311&lt;&gt;"",N311&lt;&gt;""),((MAX(NETWORKDAYS(K311,N311,UKBankHolidays)-1,0))*(TIME(17,0,0)-TIME(8,0,0))+IF(NETWORKDAYS(N311,N311,UKBankHolidays)&gt;0,MEDIAN(TIME(8,0,0),MOD(N311,1),TIME(17,0,0)),TIME(8,0,0))-IF(NETWORKDAYS(K311,K311,UKBankHolidays)&gt;0,MEDIAN(TIME(8,0,0),MOD(K311,1),TIME(17,0,0)),TIME(8,0,0)))-IF(AND(O311&lt;&gt;"",P311&lt;&gt;""),((MAX(NETWORKDAYS(O311,P311,UKBankHolidays)-1,0))*(TIME(17,0,0)-TIME(8,0,0))+IF(NETWORKDAYS(P311,P311,UKBankHolidays)&gt;0,MEDIAN(TIME(8,0,0),MOD(P311,1),TIME(17,0,0)),TIME(8,0,0))-IF(NETWORKDAYS(O311,O311,UKBankHolidays)&gt;0,MEDIAN(TIME(8,0,0),MOD(O311,1),TIME(17,0,0)),TIME(8,0,0))),0),AND(K311&lt;&gt;"",N311=""),((MAX(NETWORKDAYS(K311,NOW(),UKBankHolidays)-1,0))*(TIME(17,0,0)-TIME(8,0,0))+IF(NETWORKDAYS(NOW(),NOW(),UKBankHolidays)&gt;0,MEDIAN(TIME(8,0,0),MOD(NOW(),1),TIME(17,0,0)),TIME(8,0,0))-IF(NETWORKDAYS(K311,K311,UKBankHolidays)&gt;0,MEDIAN(TIME(8,0,0),MOD(K311,1),TIME(17,0,0)),TIME(8,0,0))))),IF(N311="",NOW()-K311,N311-K311))</f>
        <v>#N/A</v>
      </c>
      <c r="AA311" s="168" t="e">
        <f t="shared" ca="1" si="34"/>
        <v>#N/A</v>
      </c>
      <c r="AB311" s="167">
        <f t="shared" ref="AB311:AB374" ca="1" si="41">IF(NOT(OR(G311=1,G311=2)),MAX(0,_xlfn.IFS(AND(K311&lt;&gt;"",N311&lt;&gt;""),(((MAX(NETWORKDAYS(L311,N311,UKBankHolidays)-1,0))*(TIME(17,0,0)-TIME(8,0,0)))+IF(NETWORKDAYS(N311,N311,UKBankHolidays)&gt;0,MEDIAN(TIME(8,0,0),MOD(N311,1),TIME(17,0,0)),TIME(8,0,0))-IF(NETWORKDAYS(L311,L311,UKBankHolidays)&gt;0,MEDIAN(TIME(8,0,0),MOD(L311,1),TIME(17,0,0)),TIME(8,0,0)))-IF(AND(O311&lt;&gt;"",P311&lt;&gt;""),(((MAX(NETWORKDAYS(O311,P311,UKBankHolidays)-1,0))*(TIME(17,0,0)-TIME(8,0,0)))+IF(NETWORKDAYS(P311,P311,UKBankHolidays)&gt;0,MEDIAN(TIME(8,0,0),MOD(P311,1),TIME(17,0,0)),TIME(8,0,0))-IF(NETWORKDAYS(O311,O311,UKBankHolidays)&gt;0,MEDIAN(TIME(8,0,0),MOD(O311,1),TIME(17,0,0)),TIME(8,0,0))),0),AND(L311&lt;&gt;"",N311="",O311=""),(((MAX(NETWORKDAYS(L311,NOW(),UKBankHolidays)-1,0))*(TIME(17,0,0)-TIME(8,0,0)))+IF(NETWORKDAYS(NOW(),NOW(),UKBankHolidays)&gt;0,MEDIAN(TIME(8,0,0),MOD(NOW(),1),TIME(17,0,0)),TIME(8,0,0))-IF(NETWORKDAYS(L311,L311,UKBankHolidays)&gt;0,MEDIAN(TIME(8,0,0),MOD(L311,1),TIME(17,0,0)),TIME(8,0,0)))-IF(AND(O311&lt;&gt;"",P311&lt;&gt;""),(((MAX(NETWORKDAYS(O311,P311,UKBankHolidays)-1,0))*(TIME(17,0,0)-TIME(8,0,0)))+IF(NETWORKDAYS(P311,P311,UKBankHolidays)&gt;0,MEDIAN(TIME(8,0,0),MOD(P311,1),TIME(17,0,0)),TIME(8,0,0))-IF(NETWORKDAYS(O311,O311,UKBankHolidays)&gt;0,MEDIAN(TIME(8,0,0),MOD(O311,1),TIME(17,0,0)),TIME(8,0,0))),0),AND(L311&lt;&gt;"",N311="",P311="",O311&lt;&gt;""),(((MAX(NETWORKDAYS(L311,O311,UKBankHolidays)-1,0))*(TIME(17,0,0)-TIME(8,0,0)))+IF(NETWORKDAYS(O311,O311,UKBankHolidays)&gt;0,MEDIAN(TIME(8,0,0),MOD(O311,1),TIME(17,0,0)),TIME(8,0,0))-IF(NETWORKDAYS(L311,L311,UKBankHolidays)&gt;0,MEDIAN(TIME(8,0,0),MOD(L311,1),TIME(17,0,0)),TIME(8,0,0))),ISBLANK(K311),"0")),IF(ISBLANK(N311),NOW()-L311,N311-L311))</f>
        <v>0</v>
      </c>
      <c r="AC311" s="168">
        <f t="shared" ca="1" si="35"/>
        <v>0</v>
      </c>
      <c r="AD311" s="191">
        <f t="shared" ca="1" si="36"/>
        <v>46259.633973495373</v>
      </c>
      <c r="AE311" s="167">
        <f t="shared" si="37"/>
        <v>0</v>
      </c>
      <c r="AF311" s="168">
        <f t="shared" si="38"/>
        <v>0</v>
      </c>
      <c r="AG311" s="168">
        <f t="shared" si="39"/>
        <v>0</v>
      </c>
      <c r="AH311" s="81" t="e" cm="1">
        <f t="array" aca="1" ref="AH311" ca="1">IF((AD311) &lt; (INDEX(ResponseSLA[#All],(MATCH((G311),ResponseSLA[Priority],0))+1,3)),"YES","No")</f>
        <v>#N/A</v>
      </c>
      <c r="AI311" s="81" t="str">
        <f>_xlfn.IFNA(IF(AE311 &lt; (INDEX(SLATable[Minimum SLA],MATCH(G311,SLATable[Priority],0))),"YES","NO"),"")</f>
        <v/>
      </c>
      <c r="AJ311" s="19" t="str">
        <f>_xlfn.IFNA(IF(AE311 &lt; (INDEX(SLATable[Maximum SLA],MATCH(G311,SLATable[Priority],0))),"YES","NO"),"")</f>
        <v/>
      </c>
    </row>
    <row r="312" spans="1:36" ht="15" customHeight="1">
      <c r="A312" s="78"/>
      <c r="B312" s="78"/>
      <c r="C312" s="78"/>
      <c r="D312" s="78"/>
      <c r="E312" s="78"/>
      <c r="F312" s="78"/>
      <c r="G312" s="78"/>
      <c r="H312" s="86"/>
      <c r="I312" s="78"/>
      <c r="J312" s="86"/>
      <c r="K312" s="277"/>
      <c r="L312" s="277"/>
      <c r="M312" s="277"/>
      <c r="N312" s="277"/>
      <c r="O312" s="80"/>
      <c r="P312" s="80"/>
      <c r="Q312" s="78"/>
      <c r="R312" s="78"/>
      <c r="S312" s="78"/>
      <c r="T312" s="78"/>
      <c r="U312" s="78"/>
      <c r="V312" s="78"/>
      <c r="W312" s="78"/>
      <c r="X312" s="78"/>
      <c r="Y312" s="78"/>
      <c r="Z312" s="167" t="e">
        <f t="shared" ca="1" si="40"/>
        <v>#N/A</v>
      </c>
      <c r="AA312" s="168" t="e">
        <f t="shared" ca="1" si="34"/>
        <v>#N/A</v>
      </c>
      <c r="AB312" s="167">
        <f t="shared" ca="1" si="41"/>
        <v>0</v>
      </c>
      <c r="AC312" s="168">
        <f t="shared" ca="1" si="35"/>
        <v>0</v>
      </c>
      <c r="AD312" s="191">
        <f t="shared" ca="1" si="36"/>
        <v>46259.633973495373</v>
      </c>
      <c r="AE312" s="167">
        <f t="shared" si="37"/>
        <v>0</v>
      </c>
      <c r="AF312" s="168">
        <f t="shared" si="38"/>
        <v>0</v>
      </c>
      <c r="AG312" s="168">
        <f t="shared" si="39"/>
        <v>0</v>
      </c>
      <c r="AH312" s="81" t="e" cm="1">
        <f t="array" aca="1" ref="AH312" ca="1">IF((AD312) &lt; (INDEX(ResponseSLA[#All],(MATCH((G312),ResponseSLA[Priority],0))+1,3)),"YES","No")</f>
        <v>#N/A</v>
      </c>
      <c r="AI312" s="81" t="str">
        <f>_xlfn.IFNA(IF(AE312 &lt; (INDEX(SLATable[Minimum SLA],MATCH(G312,SLATable[Priority],0))),"YES","NO"),"")</f>
        <v/>
      </c>
      <c r="AJ312" s="19" t="str">
        <f>_xlfn.IFNA(IF(AE312 &lt; (INDEX(SLATable[Maximum SLA],MATCH(G312,SLATable[Priority],0))),"YES","NO"),"")</f>
        <v/>
      </c>
    </row>
    <row r="313" spans="1:36" ht="15" customHeight="1">
      <c r="A313" s="78"/>
      <c r="B313" s="78"/>
      <c r="C313" s="78"/>
      <c r="D313" s="78"/>
      <c r="E313" s="78"/>
      <c r="F313" s="78"/>
      <c r="G313" s="78"/>
      <c r="H313" s="86"/>
      <c r="I313" s="78"/>
      <c r="J313" s="86"/>
      <c r="K313" s="277"/>
      <c r="L313" s="277"/>
      <c r="M313" s="277"/>
      <c r="N313" s="277"/>
      <c r="O313" s="80"/>
      <c r="P313" s="80"/>
      <c r="Q313" s="78"/>
      <c r="R313" s="78"/>
      <c r="S313" s="78"/>
      <c r="T313" s="78"/>
      <c r="U313" s="78"/>
      <c r="V313" s="78"/>
      <c r="W313" s="78"/>
      <c r="X313" s="78"/>
      <c r="Y313" s="78"/>
      <c r="Z313" s="167" t="e">
        <f t="shared" ca="1" si="40"/>
        <v>#N/A</v>
      </c>
      <c r="AA313" s="168" t="e">
        <f t="shared" ca="1" si="34"/>
        <v>#N/A</v>
      </c>
      <c r="AB313" s="167">
        <f t="shared" ca="1" si="41"/>
        <v>0</v>
      </c>
      <c r="AC313" s="168">
        <f t="shared" ca="1" si="35"/>
        <v>0</v>
      </c>
      <c r="AD313" s="191">
        <f t="shared" ca="1" si="36"/>
        <v>46259.633973495373</v>
      </c>
      <c r="AE313" s="167">
        <f t="shared" si="37"/>
        <v>0</v>
      </c>
      <c r="AF313" s="168">
        <f t="shared" si="38"/>
        <v>0</v>
      </c>
      <c r="AG313" s="168">
        <f t="shared" si="39"/>
        <v>0</v>
      </c>
      <c r="AH313" s="81" t="e" cm="1">
        <f t="array" aca="1" ref="AH313" ca="1">IF((AD313) &lt; (INDEX(ResponseSLA[#All],(MATCH((G313),ResponseSLA[Priority],0))+1,3)),"YES","No")</f>
        <v>#N/A</v>
      </c>
      <c r="AI313" s="81" t="str">
        <f>_xlfn.IFNA(IF(AE313 &lt; (INDEX(SLATable[Minimum SLA],MATCH(G313,SLATable[Priority],0))),"YES","NO"),"")</f>
        <v/>
      </c>
      <c r="AJ313" s="19" t="str">
        <f>_xlfn.IFNA(IF(AE313 &lt; (INDEX(SLATable[Maximum SLA],MATCH(G313,SLATable[Priority],0))),"YES","NO"),"")</f>
        <v/>
      </c>
    </row>
    <row r="314" spans="1:36" ht="15" customHeight="1">
      <c r="A314" s="78"/>
      <c r="B314" s="78"/>
      <c r="C314" s="78"/>
      <c r="D314" s="78"/>
      <c r="E314" s="78"/>
      <c r="F314" s="78"/>
      <c r="G314" s="78"/>
      <c r="H314" s="86"/>
      <c r="I314" s="78"/>
      <c r="J314" s="86"/>
      <c r="K314" s="277"/>
      <c r="L314" s="277"/>
      <c r="M314" s="277"/>
      <c r="N314" s="277"/>
      <c r="O314" s="80"/>
      <c r="P314" s="80"/>
      <c r="Q314" s="78"/>
      <c r="R314" s="78"/>
      <c r="S314" s="78"/>
      <c r="T314" s="78"/>
      <c r="U314" s="78"/>
      <c r="V314" s="78"/>
      <c r="W314" s="78"/>
      <c r="X314" s="78"/>
      <c r="Y314" s="78"/>
      <c r="Z314" s="167" t="e">
        <f t="shared" ca="1" si="40"/>
        <v>#N/A</v>
      </c>
      <c r="AA314" s="168" t="e">
        <f t="shared" ca="1" si="34"/>
        <v>#N/A</v>
      </c>
      <c r="AB314" s="167">
        <f t="shared" ca="1" si="41"/>
        <v>0</v>
      </c>
      <c r="AC314" s="168">
        <f t="shared" ca="1" si="35"/>
        <v>0</v>
      </c>
      <c r="AD314" s="191">
        <f t="shared" ca="1" si="36"/>
        <v>46259.633973495373</v>
      </c>
      <c r="AE314" s="167">
        <f t="shared" si="37"/>
        <v>0</v>
      </c>
      <c r="AF314" s="168">
        <f t="shared" si="38"/>
        <v>0</v>
      </c>
      <c r="AG314" s="168">
        <f t="shared" si="39"/>
        <v>0</v>
      </c>
      <c r="AH314" s="81" t="e" cm="1">
        <f t="array" aca="1" ref="AH314" ca="1">IF((AD314) &lt; (INDEX(ResponseSLA[#All],(MATCH((G314),ResponseSLA[Priority],0))+1,3)),"YES","No")</f>
        <v>#N/A</v>
      </c>
      <c r="AI314" s="81" t="str">
        <f>_xlfn.IFNA(IF(AE314 &lt; (INDEX(SLATable[Minimum SLA],MATCH(G314,SLATable[Priority],0))),"YES","NO"),"")</f>
        <v/>
      </c>
      <c r="AJ314" s="19" t="str">
        <f>_xlfn.IFNA(IF(AE314 &lt; (INDEX(SLATable[Maximum SLA],MATCH(G314,SLATable[Priority],0))),"YES","NO"),"")</f>
        <v/>
      </c>
    </row>
    <row r="315" spans="1:36" ht="15" customHeight="1">
      <c r="A315" s="78"/>
      <c r="B315" s="78"/>
      <c r="C315" s="78"/>
      <c r="D315" s="78"/>
      <c r="E315" s="78"/>
      <c r="F315" s="78"/>
      <c r="G315" s="78"/>
      <c r="H315" s="86"/>
      <c r="I315" s="78"/>
      <c r="J315" s="86"/>
      <c r="K315" s="277"/>
      <c r="L315" s="277"/>
      <c r="M315" s="277"/>
      <c r="N315" s="277"/>
      <c r="O315" s="80"/>
      <c r="P315" s="80"/>
      <c r="Q315" s="78"/>
      <c r="R315" s="78"/>
      <c r="S315" s="78"/>
      <c r="T315" s="78"/>
      <c r="U315" s="78"/>
      <c r="V315" s="78"/>
      <c r="W315" s="78"/>
      <c r="X315" s="78"/>
      <c r="Y315" s="78"/>
      <c r="Z315" s="167" t="e">
        <f t="shared" ca="1" si="40"/>
        <v>#N/A</v>
      </c>
      <c r="AA315" s="168" t="e">
        <f t="shared" ca="1" si="34"/>
        <v>#N/A</v>
      </c>
      <c r="AB315" s="167">
        <f t="shared" ca="1" si="41"/>
        <v>0</v>
      </c>
      <c r="AC315" s="168">
        <f t="shared" ca="1" si="35"/>
        <v>0</v>
      </c>
      <c r="AD315" s="191">
        <f t="shared" ca="1" si="36"/>
        <v>46259.633973495373</v>
      </c>
      <c r="AE315" s="167">
        <f t="shared" si="37"/>
        <v>0</v>
      </c>
      <c r="AF315" s="168">
        <f t="shared" si="38"/>
        <v>0</v>
      </c>
      <c r="AG315" s="168">
        <f t="shared" si="39"/>
        <v>0</v>
      </c>
      <c r="AH315" s="81" t="e" cm="1">
        <f t="array" aca="1" ref="AH315" ca="1">IF((AD315) &lt; (INDEX(ResponseSLA[#All],(MATCH((G315),ResponseSLA[Priority],0))+1,3)),"YES","No")</f>
        <v>#N/A</v>
      </c>
      <c r="AI315" s="81" t="str">
        <f>_xlfn.IFNA(IF(AE315 &lt; (INDEX(SLATable[Minimum SLA],MATCH(G315,SLATable[Priority],0))),"YES","NO"),"")</f>
        <v/>
      </c>
      <c r="AJ315" s="19" t="str">
        <f>_xlfn.IFNA(IF(AE315 &lt; (INDEX(SLATable[Maximum SLA],MATCH(G315,SLATable[Priority],0))),"YES","NO"),"")</f>
        <v/>
      </c>
    </row>
    <row r="316" spans="1:36" ht="15" customHeight="1">
      <c r="A316" s="78"/>
      <c r="B316" s="78"/>
      <c r="C316" s="78"/>
      <c r="D316" s="78"/>
      <c r="E316" s="78"/>
      <c r="F316" s="78"/>
      <c r="G316" s="78"/>
      <c r="H316" s="86"/>
      <c r="I316" s="78"/>
      <c r="J316" s="86"/>
      <c r="K316" s="277"/>
      <c r="L316" s="277"/>
      <c r="M316" s="277"/>
      <c r="N316" s="277"/>
      <c r="O316" s="80"/>
      <c r="P316" s="80"/>
      <c r="Q316" s="78"/>
      <c r="R316" s="78"/>
      <c r="S316" s="78"/>
      <c r="T316" s="78"/>
      <c r="U316" s="78"/>
      <c r="V316" s="78"/>
      <c r="W316" s="78"/>
      <c r="X316" s="78"/>
      <c r="Y316" s="78"/>
      <c r="Z316" s="167" t="e">
        <f t="shared" ca="1" si="40"/>
        <v>#N/A</v>
      </c>
      <c r="AA316" s="168" t="e">
        <f t="shared" ca="1" si="34"/>
        <v>#N/A</v>
      </c>
      <c r="AB316" s="167">
        <f t="shared" ca="1" si="41"/>
        <v>0</v>
      </c>
      <c r="AC316" s="168">
        <f t="shared" ca="1" si="35"/>
        <v>0</v>
      </c>
      <c r="AD316" s="191">
        <f t="shared" ca="1" si="36"/>
        <v>46259.633973495373</v>
      </c>
      <c r="AE316" s="167">
        <f t="shared" si="37"/>
        <v>0</v>
      </c>
      <c r="AF316" s="168">
        <f t="shared" si="38"/>
        <v>0</v>
      </c>
      <c r="AG316" s="168">
        <f t="shared" si="39"/>
        <v>0</v>
      </c>
      <c r="AH316" s="81" t="e" cm="1">
        <f t="array" aca="1" ref="AH316" ca="1">IF((AD316) &lt; (INDEX(ResponseSLA[#All],(MATCH((G316),ResponseSLA[Priority],0))+1,3)),"YES","No")</f>
        <v>#N/A</v>
      </c>
      <c r="AI316" s="81" t="str">
        <f>_xlfn.IFNA(IF(AE316 &lt; (INDEX(SLATable[Minimum SLA],MATCH(G316,SLATable[Priority],0))),"YES","NO"),"")</f>
        <v/>
      </c>
      <c r="AJ316" s="19" t="str">
        <f>_xlfn.IFNA(IF(AE316 &lt; (INDEX(SLATable[Maximum SLA],MATCH(G316,SLATable[Priority],0))),"YES","NO"),"")</f>
        <v/>
      </c>
    </row>
    <row r="317" spans="1:36" ht="15" customHeight="1">
      <c r="A317" s="78"/>
      <c r="B317" s="78"/>
      <c r="C317" s="78"/>
      <c r="D317" s="78"/>
      <c r="E317" s="78"/>
      <c r="F317" s="78"/>
      <c r="G317" s="78"/>
      <c r="H317" s="86"/>
      <c r="I317" s="78"/>
      <c r="J317" s="86"/>
      <c r="K317" s="277"/>
      <c r="L317" s="277"/>
      <c r="M317" s="277"/>
      <c r="N317" s="277"/>
      <c r="O317" s="80"/>
      <c r="P317" s="80"/>
      <c r="Q317" s="78"/>
      <c r="R317" s="78"/>
      <c r="S317" s="78"/>
      <c r="T317" s="78"/>
      <c r="U317" s="78"/>
      <c r="V317" s="78"/>
      <c r="W317" s="78"/>
      <c r="X317" s="78"/>
      <c r="Y317" s="78"/>
      <c r="Z317" s="167" t="e">
        <f t="shared" ca="1" si="40"/>
        <v>#N/A</v>
      </c>
      <c r="AA317" s="168" t="e">
        <f t="shared" ca="1" si="34"/>
        <v>#N/A</v>
      </c>
      <c r="AB317" s="167">
        <f t="shared" ca="1" si="41"/>
        <v>0</v>
      </c>
      <c r="AC317" s="168">
        <f t="shared" ca="1" si="35"/>
        <v>0</v>
      </c>
      <c r="AD317" s="191">
        <f t="shared" ca="1" si="36"/>
        <v>46259.633973495373</v>
      </c>
      <c r="AE317" s="167">
        <f t="shared" si="37"/>
        <v>0</v>
      </c>
      <c r="AF317" s="168">
        <f t="shared" si="38"/>
        <v>0</v>
      </c>
      <c r="AG317" s="168">
        <f t="shared" si="39"/>
        <v>0</v>
      </c>
      <c r="AH317" s="81" t="e" cm="1">
        <f t="array" aca="1" ref="AH317" ca="1">IF((AD317) &lt; (INDEX(ResponseSLA[#All],(MATCH((G317),ResponseSLA[Priority],0))+1,3)),"YES","No")</f>
        <v>#N/A</v>
      </c>
      <c r="AI317" s="81" t="str">
        <f>_xlfn.IFNA(IF(AE317 &lt; (INDEX(SLATable[Minimum SLA],MATCH(G317,SLATable[Priority],0))),"YES","NO"),"")</f>
        <v/>
      </c>
      <c r="AJ317" s="19" t="str">
        <f>_xlfn.IFNA(IF(AE317 &lt; (INDEX(SLATable[Maximum SLA],MATCH(G317,SLATable[Priority],0))),"YES","NO"),"")</f>
        <v/>
      </c>
    </row>
    <row r="318" spans="1:36" ht="15" customHeight="1">
      <c r="A318" s="78"/>
      <c r="B318" s="78"/>
      <c r="C318" s="78"/>
      <c r="D318" s="78"/>
      <c r="E318" s="78"/>
      <c r="F318" s="78"/>
      <c r="G318" s="78"/>
      <c r="H318" s="86"/>
      <c r="I318" s="78"/>
      <c r="J318" s="86"/>
      <c r="K318" s="277"/>
      <c r="L318" s="277"/>
      <c r="M318" s="277"/>
      <c r="N318" s="277"/>
      <c r="O318" s="80"/>
      <c r="P318" s="80"/>
      <c r="Q318" s="78"/>
      <c r="R318" s="78"/>
      <c r="S318" s="78"/>
      <c r="T318" s="78"/>
      <c r="U318" s="78"/>
      <c r="V318" s="78"/>
      <c r="W318" s="78"/>
      <c r="X318" s="78"/>
      <c r="Y318" s="78"/>
      <c r="Z318" s="167" t="e">
        <f t="shared" ca="1" si="40"/>
        <v>#N/A</v>
      </c>
      <c r="AA318" s="168" t="e">
        <f t="shared" ca="1" si="34"/>
        <v>#N/A</v>
      </c>
      <c r="AB318" s="167">
        <f t="shared" ca="1" si="41"/>
        <v>0</v>
      </c>
      <c r="AC318" s="168">
        <f t="shared" ca="1" si="35"/>
        <v>0</v>
      </c>
      <c r="AD318" s="191">
        <f t="shared" ca="1" si="36"/>
        <v>46259.633973495373</v>
      </c>
      <c r="AE318" s="167">
        <f t="shared" si="37"/>
        <v>0</v>
      </c>
      <c r="AF318" s="168">
        <f t="shared" si="38"/>
        <v>0</v>
      </c>
      <c r="AG318" s="168">
        <f t="shared" si="39"/>
        <v>0</v>
      </c>
      <c r="AH318" s="81" t="e" cm="1">
        <f t="array" aca="1" ref="AH318" ca="1">IF((AD318) &lt; (INDEX(ResponseSLA[#All],(MATCH((G318),ResponseSLA[Priority],0))+1,3)),"YES","No")</f>
        <v>#N/A</v>
      </c>
      <c r="AI318" s="81" t="str">
        <f>_xlfn.IFNA(IF(AE318 &lt; (INDEX(SLATable[Minimum SLA],MATCH(G318,SLATable[Priority],0))),"YES","NO"),"")</f>
        <v/>
      </c>
      <c r="AJ318" s="19" t="str">
        <f>_xlfn.IFNA(IF(AE318 &lt; (INDEX(SLATable[Maximum SLA],MATCH(G318,SLATable[Priority],0))),"YES","NO"),"")</f>
        <v/>
      </c>
    </row>
    <row r="319" spans="1:36" ht="15" customHeight="1">
      <c r="A319" s="78"/>
      <c r="B319" s="78"/>
      <c r="C319" s="78"/>
      <c r="D319" s="78"/>
      <c r="E319" s="78"/>
      <c r="F319" s="78"/>
      <c r="G319" s="78"/>
      <c r="H319" s="86"/>
      <c r="I319" s="78"/>
      <c r="J319" s="86"/>
      <c r="K319" s="277"/>
      <c r="L319" s="277"/>
      <c r="M319" s="277"/>
      <c r="N319" s="277"/>
      <c r="O319" s="80"/>
      <c r="P319" s="80"/>
      <c r="Q319" s="78"/>
      <c r="R319" s="78"/>
      <c r="S319" s="78"/>
      <c r="T319" s="78"/>
      <c r="U319" s="78"/>
      <c r="V319" s="78"/>
      <c r="W319" s="78"/>
      <c r="X319" s="78"/>
      <c r="Y319" s="78"/>
      <c r="Z319" s="167" t="e">
        <f t="shared" ca="1" si="40"/>
        <v>#N/A</v>
      </c>
      <c r="AA319" s="168" t="e">
        <f t="shared" ca="1" si="34"/>
        <v>#N/A</v>
      </c>
      <c r="AB319" s="167">
        <f t="shared" ca="1" si="41"/>
        <v>0</v>
      </c>
      <c r="AC319" s="168">
        <f t="shared" ca="1" si="35"/>
        <v>0</v>
      </c>
      <c r="AD319" s="191">
        <f t="shared" ca="1" si="36"/>
        <v>46259.633973495373</v>
      </c>
      <c r="AE319" s="167">
        <f t="shared" si="37"/>
        <v>0</v>
      </c>
      <c r="AF319" s="168">
        <f t="shared" si="38"/>
        <v>0</v>
      </c>
      <c r="AG319" s="168">
        <f t="shared" si="39"/>
        <v>0</v>
      </c>
      <c r="AH319" s="81" t="e" cm="1">
        <f t="array" aca="1" ref="AH319" ca="1">IF((AD319) &lt; (INDEX(ResponseSLA[#All],(MATCH((G319),ResponseSLA[Priority],0))+1,3)),"YES","No")</f>
        <v>#N/A</v>
      </c>
      <c r="AI319" s="81" t="str">
        <f>_xlfn.IFNA(IF(AE319 &lt; (INDEX(SLATable[Minimum SLA],MATCH(G319,SLATable[Priority],0))),"YES","NO"),"")</f>
        <v/>
      </c>
      <c r="AJ319" s="19" t="str">
        <f>_xlfn.IFNA(IF(AE319 &lt; (INDEX(SLATable[Maximum SLA],MATCH(G319,SLATable[Priority],0))),"YES","NO"),"")</f>
        <v/>
      </c>
    </row>
    <row r="320" spans="1:36" ht="15" customHeight="1">
      <c r="A320" s="78"/>
      <c r="B320" s="78"/>
      <c r="C320" s="78"/>
      <c r="D320" s="78"/>
      <c r="E320" s="78"/>
      <c r="F320" s="78"/>
      <c r="G320" s="78"/>
      <c r="H320" s="86"/>
      <c r="I320" s="78"/>
      <c r="J320" s="86"/>
      <c r="K320" s="277"/>
      <c r="L320" s="277"/>
      <c r="M320" s="277"/>
      <c r="N320" s="277"/>
      <c r="O320" s="80"/>
      <c r="P320" s="80"/>
      <c r="Q320" s="78"/>
      <c r="R320" s="78"/>
      <c r="S320" s="78"/>
      <c r="T320" s="78"/>
      <c r="U320" s="78"/>
      <c r="V320" s="78"/>
      <c r="W320" s="78"/>
      <c r="X320" s="78"/>
      <c r="Y320" s="78"/>
      <c r="Z320" s="167" t="e">
        <f t="shared" ca="1" si="40"/>
        <v>#N/A</v>
      </c>
      <c r="AA320" s="168" t="e">
        <f t="shared" ca="1" si="34"/>
        <v>#N/A</v>
      </c>
      <c r="AB320" s="167">
        <f t="shared" ca="1" si="41"/>
        <v>0</v>
      </c>
      <c r="AC320" s="168">
        <f t="shared" ca="1" si="35"/>
        <v>0</v>
      </c>
      <c r="AD320" s="191">
        <f t="shared" ca="1" si="36"/>
        <v>46259.633973495373</v>
      </c>
      <c r="AE320" s="167">
        <f t="shared" si="37"/>
        <v>0</v>
      </c>
      <c r="AF320" s="168">
        <f t="shared" si="38"/>
        <v>0</v>
      </c>
      <c r="AG320" s="168">
        <f t="shared" si="39"/>
        <v>0</v>
      </c>
      <c r="AH320" s="81" t="e" cm="1">
        <f t="array" aca="1" ref="AH320" ca="1">IF((AD320) &lt; (INDEX(ResponseSLA[#All],(MATCH((G320),ResponseSLA[Priority],0))+1,3)),"YES","No")</f>
        <v>#N/A</v>
      </c>
      <c r="AI320" s="81" t="str">
        <f>_xlfn.IFNA(IF(AE320 &lt; (INDEX(SLATable[Minimum SLA],MATCH(G320,SLATable[Priority],0))),"YES","NO"),"")</f>
        <v/>
      </c>
      <c r="AJ320" s="19" t="str">
        <f>_xlfn.IFNA(IF(AE320 &lt; (INDEX(SLATable[Maximum SLA],MATCH(G320,SLATable[Priority],0))),"YES","NO"),"")</f>
        <v/>
      </c>
    </row>
    <row r="321" spans="1:36" ht="15" customHeight="1">
      <c r="A321" s="78"/>
      <c r="B321" s="78"/>
      <c r="C321" s="78"/>
      <c r="D321" s="78"/>
      <c r="E321" s="78"/>
      <c r="F321" s="78"/>
      <c r="G321" s="78"/>
      <c r="H321" s="86"/>
      <c r="I321" s="78"/>
      <c r="J321" s="86"/>
      <c r="K321" s="277"/>
      <c r="L321" s="277"/>
      <c r="M321" s="277"/>
      <c r="N321" s="277"/>
      <c r="O321" s="80"/>
      <c r="P321" s="80"/>
      <c r="Q321" s="78"/>
      <c r="R321" s="78"/>
      <c r="S321" s="78"/>
      <c r="T321" s="78"/>
      <c r="U321" s="78"/>
      <c r="V321" s="78"/>
      <c r="W321" s="78"/>
      <c r="X321" s="78"/>
      <c r="Y321" s="78"/>
      <c r="Z321" s="167" t="e">
        <f t="shared" ca="1" si="40"/>
        <v>#N/A</v>
      </c>
      <c r="AA321" s="168" t="e">
        <f t="shared" ca="1" si="34"/>
        <v>#N/A</v>
      </c>
      <c r="AB321" s="167">
        <f t="shared" ca="1" si="41"/>
        <v>0</v>
      </c>
      <c r="AC321" s="168">
        <f t="shared" ca="1" si="35"/>
        <v>0</v>
      </c>
      <c r="AD321" s="191">
        <f t="shared" ca="1" si="36"/>
        <v>46259.633973495373</v>
      </c>
      <c r="AE321" s="167">
        <f t="shared" si="37"/>
        <v>0</v>
      </c>
      <c r="AF321" s="168">
        <f t="shared" si="38"/>
        <v>0</v>
      </c>
      <c r="AG321" s="168">
        <f t="shared" si="39"/>
        <v>0</v>
      </c>
      <c r="AH321" s="81" t="e" cm="1">
        <f t="array" aca="1" ref="AH321" ca="1">IF((AD321) &lt; (INDEX(ResponseSLA[#All],(MATCH((G321),ResponseSLA[Priority],0))+1,3)),"YES","No")</f>
        <v>#N/A</v>
      </c>
      <c r="AI321" s="81" t="str">
        <f>_xlfn.IFNA(IF(AE321 &lt; (INDEX(SLATable[Minimum SLA],MATCH(G321,SLATable[Priority],0))),"YES","NO"),"")</f>
        <v/>
      </c>
      <c r="AJ321" s="19" t="str">
        <f>_xlfn.IFNA(IF(AE321 &lt; (INDEX(SLATable[Maximum SLA],MATCH(G321,SLATable[Priority],0))),"YES","NO"),"")</f>
        <v/>
      </c>
    </row>
    <row r="322" spans="1:36" ht="15" customHeight="1">
      <c r="A322" s="78"/>
      <c r="B322" s="78"/>
      <c r="C322" s="78"/>
      <c r="D322" s="78"/>
      <c r="E322" s="78"/>
      <c r="F322" s="78"/>
      <c r="G322" s="78"/>
      <c r="H322" s="86"/>
      <c r="I322" s="78"/>
      <c r="J322" s="86"/>
      <c r="K322" s="277"/>
      <c r="L322" s="277"/>
      <c r="M322" s="277"/>
      <c r="N322" s="277"/>
      <c r="O322" s="80"/>
      <c r="P322" s="80"/>
      <c r="Q322" s="78"/>
      <c r="R322" s="78"/>
      <c r="S322" s="78"/>
      <c r="T322" s="78"/>
      <c r="U322" s="78"/>
      <c r="V322" s="78"/>
      <c r="W322" s="78"/>
      <c r="X322" s="78"/>
      <c r="Y322" s="78"/>
      <c r="Z322" s="167" t="e">
        <f t="shared" ca="1" si="40"/>
        <v>#N/A</v>
      </c>
      <c r="AA322" s="168" t="e">
        <f t="shared" ref="AA322:AA385" ca="1" si="42">(Z322*24)/9</f>
        <v>#N/A</v>
      </c>
      <c r="AB322" s="167">
        <f t="shared" ca="1" si="41"/>
        <v>0</v>
      </c>
      <c r="AC322" s="168">
        <f t="shared" ref="AC322:AC385" ca="1" si="43">(AB322*24)/9</f>
        <v>0</v>
      </c>
      <c r="AD322" s="191">
        <f t="shared" ref="AD322:AD385" ca="1" si="44">MAX(0,
IF(
OR(G322=1,G322=2),
IF(M322&lt;&gt;"",M322-L322,NOW()-L322),
IF(
M322&lt;&gt;"",
IF(
INT(L322)=INT(M322),
IF(
NETWORKDAYS(L322,L322,UKBankHolidays)=0,
0,
MAX(
0,
MIN(MOD(M322,1),TIME(17,0,0))
-
MAX(MOD(L322,1),TIME(8,0,0))
)
),
MAX(
0,
IF(
NETWORKDAYS(L322,L322,UKBankHolidays)&gt;0,
TIME(17,0,0)-MAX(MOD(L322,1),TIME(8,0,0)),
0
)
)
+
MAX(
0,
NETWORKDAYS(INT(L322)+1,INT(M322)-1,UKBankHolidays)
*(TIME(17,0,0)-TIME(8,0,0))
)
+
MAX(
0,
IF(
NETWORKDAYS(M322,M322,UKBankHolidays)&gt;0,
MIN(MOD(M322,1),TIME(17,0,0))-TIME(8,0,0),
0
)
)
),
IF(M322&lt;&gt;"",M322-L322,NOW()-L322)
)
)
)</f>
        <v>46259.633973495373</v>
      </c>
      <c r="AE322" s="167">
        <f t="shared" ref="AE322:AE385" si="45">SUMIFS(AB:AB,E:E,E322)</f>
        <v>0</v>
      </c>
      <c r="AF322" s="168">
        <f t="shared" ref="AF322:AF385" si="46">(AE322*24)/9</f>
        <v>0</v>
      </c>
      <c r="AG322" s="168">
        <f t="shared" ref="AG322:AG385" si="47">AF322</f>
        <v>0</v>
      </c>
      <c r="AH322" s="81" t="e" cm="1">
        <f t="array" aca="1" ref="AH322" ca="1">IF((AD322) &lt; (INDEX(ResponseSLA[#All],(MATCH((G322),ResponseSLA[Priority],0))+1,3)),"YES","No")</f>
        <v>#N/A</v>
      </c>
      <c r="AI322" s="81" t="str">
        <f>_xlfn.IFNA(IF(AE322 &lt; (INDEX(SLATable[Minimum SLA],MATCH(G322,SLATable[Priority],0))),"YES","NO"),"")</f>
        <v/>
      </c>
      <c r="AJ322" s="19" t="str">
        <f>_xlfn.IFNA(IF(AE322 &lt; (INDEX(SLATable[Maximum SLA],MATCH(G322,SLATable[Priority],0))),"YES","NO"),"")</f>
        <v/>
      </c>
    </row>
    <row r="323" spans="1:36" ht="15" customHeight="1">
      <c r="A323" s="78"/>
      <c r="B323" s="78"/>
      <c r="C323" s="78"/>
      <c r="D323" s="78"/>
      <c r="E323" s="78"/>
      <c r="F323" s="78"/>
      <c r="G323" s="78"/>
      <c r="H323" s="86"/>
      <c r="I323" s="78"/>
      <c r="J323" s="86"/>
      <c r="K323" s="277"/>
      <c r="L323" s="277"/>
      <c r="M323" s="277"/>
      <c r="N323" s="277"/>
      <c r="O323" s="80"/>
      <c r="P323" s="80"/>
      <c r="Q323" s="78"/>
      <c r="R323" s="78"/>
      <c r="S323" s="78"/>
      <c r="T323" s="78"/>
      <c r="U323" s="78"/>
      <c r="V323" s="78"/>
      <c r="W323" s="78"/>
      <c r="X323" s="78"/>
      <c r="Y323" s="78"/>
      <c r="Z323" s="167" t="e">
        <f t="shared" ca="1" si="40"/>
        <v>#N/A</v>
      </c>
      <c r="AA323" s="168" t="e">
        <f t="shared" ca="1" si="42"/>
        <v>#N/A</v>
      </c>
      <c r="AB323" s="167">
        <f t="shared" ca="1" si="41"/>
        <v>0</v>
      </c>
      <c r="AC323" s="168">
        <f t="shared" ca="1" si="43"/>
        <v>0</v>
      </c>
      <c r="AD323" s="191">
        <f t="shared" ca="1" si="44"/>
        <v>46259.633973495373</v>
      </c>
      <c r="AE323" s="167">
        <f t="shared" si="45"/>
        <v>0</v>
      </c>
      <c r="AF323" s="168">
        <f t="shared" si="46"/>
        <v>0</v>
      </c>
      <c r="AG323" s="168">
        <f t="shared" si="47"/>
        <v>0</v>
      </c>
      <c r="AH323" s="81" t="e" cm="1">
        <f t="array" aca="1" ref="AH323" ca="1">IF((AD323) &lt; (INDEX(ResponseSLA[#All],(MATCH((G323),ResponseSLA[Priority],0))+1,3)),"YES","No")</f>
        <v>#N/A</v>
      </c>
      <c r="AI323" s="81" t="str">
        <f>_xlfn.IFNA(IF(AE323 &lt; (INDEX(SLATable[Minimum SLA],MATCH(G323,SLATable[Priority],0))),"YES","NO"),"")</f>
        <v/>
      </c>
      <c r="AJ323" s="19" t="str">
        <f>_xlfn.IFNA(IF(AE323 &lt; (INDEX(SLATable[Maximum SLA],MATCH(G323,SLATable[Priority],0))),"YES","NO"),"")</f>
        <v/>
      </c>
    </row>
    <row r="324" spans="1:36" ht="15" customHeight="1">
      <c r="A324" s="78"/>
      <c r="B324" s="78"/>
      <c r="C324" s="78"/>
      <c r="D324" s="78"/>
      <c r="E324" s="78"/>
      <c r="F324" s="78"/>
      <c r="G324" s="78"/>
      <c r="H324" s="86"/>
      <c r="I324" s="78"/>
      <c r="J324" s="86"/>
      <c r="K324" s="277"/>
      <c r="L324" s="277"/>
      <c r="M324" s="277"/>
      <c r="N324" s="277"/>
      <c r="O324" s="80"/>
      <c r="P324" s="80"/>
      <c r="Q324" s="78"/>
      <c r="R324" s="78"/>
      <c r="S324" s="78"/>
      <c r="T324" s="78"/>
      <c r="U324" s="78"/>
      <c r="V324" s="78"/>
      <c r="W324" s="78"/>
      <c r="X324" s="78"/>
      <c r="Y324" s="78"/>
      <c r="Z324" s="167" t="e">
        <f t="shared" ca="1" si="40"/>
        <v>#N/A</v>
      </c>
      <c r="AA324" s="168" t="e">
        <f t="shared" ca="1" si="42"/>
        <v>#N/A</v>
      </c>
      <c r="AB324" s="167">
        <f t="shared" ca="1" si="41"/>
        <v>0</v>
      </c>
      <c r="AC324" s="168">
        <f t="shared" ca="1" si="43"/>
        <v>0</v>
      </c>
      <c r="AD324" s="191">
        <f t="shared" ca="1" si="44"/>
        <v>46259.633973495373</v>
      </c>
      <c r="AE324" s="167">
        <f t="shared" si="45"/>
        <v>0</v>
      </c>
      <c r="AF324" s="168">
        <f t="shared" si="46"/>
        <v>0</v>
      </c>
      <c r="AG324" s="168">
        <f t="shared" si="47"/>
        <v>0</v>
      </c>
      <c r="AH324" s="81" t="e" cm="1">
        <f t="array" aca="1" ref="AH324" ca="1">IF((AD324) &lt; (INDEX(ResponseSLA[#All],(MATCH((G324),ResponseSLA[Priority],0))+1,3)),"YES","No")</f>
        <v>#N/A</v>
      </c>
      <c r="AI324" s="81" t="str">
        <f>_xlfn.IFNA(IF(AE324 &lt; (INDEX(SLATable[Minimum SLA],MATCH(G324,SLATable[Priority],0))),"YES","NO"),"")</f>
        <v/>
      </c>
      <c r="AJ324" s="19" t="str">
        <f>_xlfn.IFNA(IF(AE324 &lt; (INDEX(SLATable[Maximum SLA],MATCH(G324,SLATable[Priority],0))),"YES","NO"),"")</f>
        <v/>
      </c>
    </row>
    <row r="325" spans="1:36" ht="15" customHeight="1">
      <c r="A325" s="78"/>
      <c r="B325" s="78"/>
      <c r="C325" s="78"/>
      <c r="D325" s="78"/>
      <c r="E325" s="78"/>
      <c r="F325" s="78"/>
      <c r="G325" s="78"/>
      <c r="H325" s="86"/>
      <c r="I325" s="78"/>
      <c r="J325" s="86"/>
      <c r="K325" s="277"/>
      <c r="L325" s="277"/>
      <c r="M325" s="277"/>
      <c r="N325" s="277"/>
      <c r="O325" s="80"/>
      <c r="P325" s="80"/>
      <c r="Q325" s="78"/>
      <c r="R325" s="78"/>
      <c r="S325" s="78"/>
      <c r="T325" s="78"/>
      <c r="U325" s="78"/>
      <c r="V325" s="78"/>
      <c r="W325" s="78"/>
      <c r="X325" s="78"/>
      <c r="Y325" s="78"/>
      <c r="Z325" s="167" t="e">
        <f t="shared" ca="1" si="40"/>
        <v>#N/A</v>
      </c>
      <c r="AA325" s="168" t="e">
        <f t="shared" ca="1" si="42"/>
        <v>#N/A</v>
      </c>
      <c r="AB325" s="167">
        <f t="shared" ca="1" si="41"/>
        <v>0</v>
      </c>
      <c r="AC325" s="168">
        <f t="shared" ca="1" si="43"/>
        <v>0</v>
      </c>
      <c r="AD325" s="191">
        <f t="shared" ca="1" si="44"/>
        <v>46259.633973495373</v>
      </c>
      <c r="AE325" s="167">
        <f t="shared" si="45"/>
        <v>0</v>
      </c>
      <c r="AF325" s="168">
        <f t="shared" si="46"/>
        <v>0</v>
      </c>
      <c r="AG325" s="168">
        <f t="shared" si="47"/>
        <v>0</v>
      </c>
      <c r="AH325" s="81" t="e" cm="1">
        <f t="array" aca="1" ref="AH325" ca="1">IF((AD325) &lt; (INDEX(ResponseSLA[#All],(MATCH((G325),ResponseSLA[Priority],0))+1,3)),"YES","No")</f>
        <v>#N/A</v>
      </c>
      <c r="AI325" s="81" t="str">
        <f>_xlfn.IFNA(IF(AE325 &lt; (INDEX(SLATable[Minimum SLA],MATCH(G325,SLATable[Priority],0))),"YES","NO"),"")</f>
        <v/>
      </c>
      <c r="AJ325" s="19" t="str">
        <f>_xlfn.IFNA(IF(AE325 &lt; (INDEX(SLATable[Maximum SLA],MATCH(G325,SLATable[Priority],0))),"YES","NO"),"")</f>
        <v/>
      </c>
    </row>
    <row r="326" spans="1:36" ht="15" customHeight="1">
      <c r="A326" s="78"/>
      <c r="B326" s="78"/>
      <c r="C326" s="78"/>
      <c r="D326" s="78"/>
      <c r="E326" s="78"/>
      <c r="F326" s="78"/>
      <c r="G326" s="78"/>
      <c r="H326" s="86"/>
      <c r="I326" s="78"/>
      <c r="J326" s="86"/>
      <c r="K326" s="277"/>
      <c r="L326" s="277"/>
      <c r="M326" s="277"/>
      <c r="N326" s="277"/>
      <c r="O326" s="80"/>
      <c r="P326" s="80"/>
      <c r="Q326" s="78"/>
      <c r="R326" s="78"/>
      <c r="S326" s="78"/>
      <c r="T326" s="78"/>
      <c r="U326" s="78"/>
      <c r="V326" s="78"/>
      <c r="W326" s="78"/>
      <c r="X326" s="78"/>
      <c r="Y326" s="78"/>
      <c r="Z326" s="167" t="e">
        <f t="shared" ca="1" si="40"/>
        <v>#N/A</v>
      </c>
      <c r="AA326" s="168" t="e">
        <f t="shared" ca="1" si="42"/>
        <v>#N/A</v>
      </c>
      <c r="AB326" s="167">
        <f t="shared" ca="1" si="41"/>
        <v>0</v>
      </c>
      <c r="AC326" s="168">
        <f t="shared" ca="1" si="43"/>
        <v>0</v>
      </c>
      <c r="AD326" s="191">
        <f t="shared" ca="1" si="44"/>
        <v>46259.633973495373</v>
      </c>
      <c r="AE326" s="167">
        <f t="shared" si="45"/>
        <v>0</v>
      </c>
      <c r="AF326" s="168">
        <f t="shared" si="46"/>
        <v>0</v>
      </c>
      <c r="AG326" s="168">
        <f t="shared" si="47"/>
        <v>0</v>
      </c>
      <c r="AH326" s="81" t="e" cm="1">
        <f t="array" aca="1" ref="AH326" ca="1">IF((AD326) &lt; (INDEX(ResponseSLA[#All],(MATCH((G326),ResponseSLA[Priority],0))+1,3)),"YES","No")</f>
        <v>#N/A</v>
      </c>
      <c r="AI326" s="81" t="str">
        <f>_xlfn.IFNA(IF(AE326 &lt; (INDEX(SLATable[Minimum SLA],MATCH(G326,SLATable[Priority],0))),"YES","NO"),"")</f>
        <v/>
      </c>
      <c r="AJ326" s="19" t="str">
        <f>_xlfn.IFNA(IF(AE326 &lt; (INDEX(SLATable[Maximum SLA],MATCH(G326,SLATable[Priority],0))),"YES","NO"),"")</f>
        <v/>
      </c>
    </row>
    <row r="327" spans="1:36" ht="15" customHeight="1">
      <c r="A327" s="78"/>
      <c r="B327" s="78"/>
      <c r="C327" s="78"/>
      <c r="D327" s="78"/>
      <c r="E327" s="78"/>
      <c r="F327" s="78"/>
      <c r="G327" s="78"/>
      <c r="H327" s="86"/>
      <c r="I327" s="78"/>
      <c r="J327" s="86"/>
      <c r="K327" s="277"/>
      <c r="L327" s="277"/>
      <c r="M327" s="277"/>
      <c r="N327" s="277"/>
      <c r="O327" s="80"/>
      <c r="P327" s="80"/>
      <c r="Q327" s="78"/>
      <c r="R327" s="78"/>
      <c r="S327" s="78"/>
      <c r="T327" s="78"/>
      <c r="U327" s="78"/>
      <c r="V327" s="78"/>
      <c r="W327" s="78"/>
      <c r="X327" s="78"/>
      <c r="Y327" s="78"/>
      <c r="Z327" s="167" t="e">
        <f t="shared" ca="1" si="40"/>
        <v>#N/A</v>
      </c>
      <c r="AA327" s="168" t="e">
        <f t="shared" ca="1" si="42"/>
        <v>#N/A</v>
      </c>
      <c r="AB327" s="167">
        <f t="shared" ca="1" si="41"/>
        <v>0</v>
      </c>
      <c r="AC327" s="168">
        <f t="shared" ca="1" si="43"/>
        <v>0</v>
      </c>
      <c r="AD327" s="191">
        <f t="shared" ca="1" si="44"/>
        <v>46259.633973495373</v>
      </c>
      <c r="AE327" s="167">
        <f t="shared" si="45"/>
        <v>0</v>
      </c>
      <c r="AF327" s="168">
        <f t="shared" si="46"/>
        <v>0</v>
      </c>
      <c r="AG327" s="168">
        <f t="shared" si="47"/>
        <v>0</v>
      </c>
      <c r="AH327" s="81" t="e" cm="1">
        <f t="array" aca="1" ref="AH327" ca="1">IF((AD327) &lt; (INDEX(ResponseSLA[#All],(MATCH((G327),ResponseSLA[Priority],0))+1,3)),"YES","No")</f>
        <v>#N/A</v>
      </c>
      <c r="AI327" s="81" t="str">
        <f>_xlfn.IFNA(IF(AE327 &lt; (INDEX(SLATable[Minimum SLA],MATCH(G327,SLATable[Priority],0))),"YES","NO"),"")</f>
        <v/>
      </c>
      <c r="AJ327" s="19" t="str">
        <f>_xlfn.IFNA(IF(AE327 &lt; (INDEX(SLATable[Maximum SLA],MATCH(G327,SLATable[Priority],0))),"YES","NO"),"")</f>
        <v/>
      </c>
    </row>
    <row r="328" spans="1:36" ht="15" customHeight="1">
      <c r="A328" s="78"/>
      <c r="B328" s="78"/>
      <c r="C328" s="78"/>
      <c r="D328" s="78"/>
      <c r="E328" s="78"/>
      <c r="F328" s="78"/>
      <c r="G328" s="78"/>
      <c r="H328" s="86"/>
      <c r="I328" s="78"/>
      <c r="J328" s="86"/>
      <c r="K328" s="277"/>
      <c r="L328" s="277"/>
      <c r="M328" s="277"/>
      <c r="N328" s="277"/>
      <c r="O328" s="80"/>
      <c r="P328" s="80"/>
      <c r="Q328" s="78"/>
      <c r="R328" s="78"/>
      <c r="S328" s="78"/>
      <c r="T328" s="78"/>
      <c r="U328" s="78"/>
      <c r="V328" s="78"/>
      <c r="W328" s="78"/>
      <c r="X328" s="78"/>
      <c r="Y328" s="78"/>
      <c r="Z328" s="167" t="e">
        <f t="shared" ca="1" si="40"/>
        <v>#N/A</v>
      </c>
      <c r="AA328" s="168" t="e">
        <f t="shared" ca="1" si="42"/>
        <v>#N/A</v>
      </c>
      <c r="AB328" s="167">
        <f t="shared" ca="1" si="41"/>
        <v>0</v>
      </c>
      <c r="AC328" s="168">
        <f t="shared" ca="1" si="43"/>
        <v>0</v>
      </c>
      <c r="AD328" s="191">
        <f t="shared" ca="1" si="44"/>
        <v>46259.633973495373</v>
      </c>
      <c r="AE328" s="167">
        <f t="shared" si="45"/>
        <v>0</v>
      </c>
      <c r="AF328" s="168">
        <f t="shared" si="46"/>
        <v>0</v>
      </c>
      <c r="AG328" s="168">
        <f t="shared" si="47"/>
        <v>0</v>
      </c>
      <c r="AH328" s="81" t="e" cm="1">
        <f t="array" aca="1" ref="AH328" ca="1">IF((AD328) &lt; (INDEX(ResponseSLA[#All],(MATCH((G328),ResponseSLA[Priority],0))+1,3)),"YES","No")</f>
        <v>#N/A</v>
      </c>
      <c r="AI328" s="81" t="str">
        <f>_xlfn.IFNA(IF(AE328 &lt; (INDEX(SLATable[Minimum SLA],MATCH(G328,SLATable[Priority],0))),"YES","NO"),"")</f>
        <v/>
      </c>
      <c r="AJ328" s="19" t="str">
        <f>_xlfn.IFNA(IF(AE328 &lt; (INDEX(SLATable[Maximum SLA],MATCH(G328,SLATable[Priority],0))),"YES","NO"),"")</f>
        <v/>
      </c>
    </row>
    <row r="329" spans="1:36" ht="15" customHeight="1">
      <c r="A329" s="78"/>
      <c r="B329" s="78"/>
      <c r="C329" s="78"/>
      <c r="D329" s="78"/>
      <c r="E329" s="78"/>
      <c r="F329" s="78"/>
      <c r="G329" s="78"/>
      <c r="H329" s="86"/>
      <c r="I329" s="78"/>
      <c r="J329" s="86"/>
      <c r="K329" s="277"/>
      <c r="L329" s="277"/>
      <c r="M329" s="277"/>
      <c r="N329" s="277"/>
      <c r="O329" s="80"/>
      <c r="P329" s="80"/>
      <c r="Q329" s="78"/>
      <c r="R329" s="78"/>
      <c r="S329" s="78"/>
      <c r="T329" s="78"/>
      <c r="U329" s="78"/>
      <c r="V329" s="78"/>
      <c r="W329" s="78"/>
      <c r="X329" s="78"/>
      <c r="Y329" s="78"/>
      <c r="Z329" s="167" t="e">
        <f t="shared" ca="1" si="40"/>
        <v>#N/A</v>
      </c>
      <c r="AA329" s="168" t="e">
        <f t="shared" ca="1" si="42"/>
        <v>#N/A</v>
      </c>
      <c r="AB329" s="167">
        <f t="shared" ca="1" si="41"/>
        <v>0</v>
      </c>
      <c r="AC329" s="168">
        <f t="shared" ca="1" si="43"/>
        <v>0</v>
      </c>
      <c r="AD329" s="191">
        <f t="shared" ca="1" si="44"/>
        <v>46259.633973495373</v>
      </c>
      <c r="AE329" s="167">
        <f t="shared" si="45"/>
        <v>0</v>
      </c>
      <c r="AF329" s="168">
        <f t="shared" si="46"/>
        <v>0</v>
      </c>
      <c r="AG329" s="168">
        <f t="shared" si="47"/>
        <v>0</v>
      </c>
      <c r="AH329" s="81" t="e" cm="1">
        <f t="array" aca="1" ref="AH329" ca="1">IF((AD329) &lt; (INDEX(ResponseSLA[#All],(MATCH((G329),ResponseSLA[Priority],0))+1,3)),"YES","No")</f>
        <v>#N/A</v>
      </c>
      <c r="AI329" s="81" t="str">
        <f>_xlfn.IFNA(IF(AE329 &lt; (INDEX(SLATable[Minimum SLA],MATCH(G329,SLATable[Priority],0))),"YES","NO"),"")</f>
        <v/>
      </c>
      <c r="AJ329" s="19" t="str">
        <f>_xlfn.IFNA(IF(AE329 &lt; (INDEX(SLATable[Maximum SLA],MATCH(G329,SLATable[Priority],0))),"YES","NO"),"")</f>
        <v/>
      </c>
    </row>
    <row r="330" spans="1:36" ht="15" customHeight="1">
      <c r="A330" s="78"/>
      <c r="B330" s="78"/>
      <c r="C330" s="78"/>
      <c r="D330" s="78"/>
      <c r="E330" s="78"/>
      <c r="F330" s="78"/>
      <c r="G330" s="78"/>
      <c r="H330" s="86"/>
      <c r="I330" s="78"/>
      <c r="J330" s="86"/>
      <c r="K330" s="277"/>
      <c r="L330" s="277"/>
      <c r="M330" s="277"/>
      <c r="N330" s="277"/>
      <c r="O330" s="80"/>
      <c r="P330" s="80"/>
      <c r="Q330" s="78"/>
      <c r="R330" s="78"/>
      <c r="S330" s="78"/>
      <c r="T330" s="78"/>
      <c r="U330" s="78"/>
      <c r="V330" s="78"/>
      <c r="W330" s="78"/>
      <c r="X330" s="78"/>
      <c r="Y330" s="78"/>
      <c r="Z330" s="167" t="e">
        <f t="shared" ca="1" si="40"/>
        <v>#N/A</v>
      </c>
      <c r="AA330" s="168" t="e">
        <f t="shared" ca="1" si="42"/>
        <v>#N/A</v>
      </c>
      <c r="AB330" s="167">
        <f t="shared" ca="1" si="41"/>
        <v>0</v>
      </c>
      <c r="AC330" s="168">
        <f t="shared" ca="1" si="43"/>
        <v>0</v>
      </c>
      <c r="AD330" s="191">
        <f t="shared" ca="1" si="44"/>
        <v>46259.633973495373</v>
      </c>
      <c r="AE330" s="167">
        <f t="shared" si="45"/>
        <v>0</v>
      </c>
      <c r="AF330" s="168">
        <f t="shared" si="46"/>
        <v>0</v>
      </c>
      <c r="AG330" s="168">
        <f t="shared" si="47"/>
        <v>0</v>
      </c>
      <c r="AH330" s="81" t="e" cm="1">
        <f t="array" aca="1" ref="AH330" ca="1">IF((AD330) &lt; (INDEX(ResponseSLA[#All],(MATCH((G330),ResponseSLA[Priority],0))+1,3)),"YES","No")</f>
        <v>#N/A</v>
      </c>
      <c r="AI330" s="81" t="str">
        <f>_xlfn.IFNA(IF(AE330 &lt; (INDEX(SLATable[Minimum SLA],MATCH(G330,SLATable[Priority],0))),"YES","NO"),"")</f>
        <v/>
      </c>
      <c r="AJ330" s="19" t="str">
        <f>_xlfn.IFNA(IF(AE330 &lt; (INDEX(SLATable[Maximum SLA],MATCH(G330,SLATable[Priority],0))),"YES","NO"),"")</f>
        <v/>
      </c>
    </row>
    <row r="331" spans="1:36" ht="15" customHeight="1">
      <c r="A331" s="78"/>
      <c r="B331" s="78"/>
      <c r="C331" s="78"/>
      <c r="D331" s="78"/>
      <c r="E331" s="78"/>
      <c r="F331" s="78"/>
      <c r="G331" s="78"/>
      <c r="H331" s="86"/>
      <c r="I331" s="78"/>
      <c r="J331" s="86"/>
      <c r="K331" s="277"/>
      <c r="L331" s="277"/>
      <c r="M331" s="277"/>
      <c r="N331" s="277"/>
      <c r="O331" s="80"/>
      <c r="P331" s="80"/>
      <c r="Q331" s="78"/>
      <c r="R331" s="78"/>
      <c r="S331" s="78"/>
      <c r="T331" s="78"/>
      <c r="U331" s="78"/>
      <c r="V331" s="78"/>
      <c r="W331" s="78"/>
      <c r="X331" s="78"/>
      <c r="Y331" s="78"/>
      <c r="Z331" s="167" t="e">
        <f t="shared" ca="1" si="40"/>
        <v>#N/A</v>
      </c>
      <c r="AA331" s="168" t="e">
        <f t="shared" ca="1" si="42"/>
        <v>#N/A</v>
      </c>
      <c r="AB331" s="167">
        <f t="shared" ca="1" si="41"/>
        <v>0</v>
      </c>
      <c r="AC331" s="168">
        <f t="shared" ca="1" si="43"/>
        <v>0</v>
      </c>
      <c r="AD331" s="191">
        <f t="shared" ca="1" si="44"/>
        <v>46259.633973495373</v>
      </c>
      <c r="AE331" s="167">
        <f t="shared" si="45"/>
        <v>0</v>
      </c>
      <c r="AF331" s="168">
        <f t="shared" si="46"/>
        <v>0</v>
      </c>
      <c r="AG331" s="168">
        <f t="shared" si="47"/>
        <v>0</v>
      </c>
      <c r="AH331" s="81" t="e" cm="1">
        <f t="array" aca="1" ref="AH331" ca="1">IF((AD331) &lt; (INDEX(ResponseSLA[#All],(MATCH((G331),ResponseSLA[Priority],0))+1,3)),"YES","No")</f>
        <v>#N/A</v>
      </c>
      <c r="AI331" s="81" t="str">
        <f>_xlfn.IFNA(IF(AE331 &lt; (INDEX(SLATable[Minimum SLA],MATCH(G331,SLATable[Priority],0))),"YES","NO"),"")</f>
        <v/>
      </c>
      <c r="AJ331" s="19" t="str">
        <f>_xlfn.IFNA(IF(AE331 &lt; (INDEX(SLATable[Maximum SLA],MATCH(G331,SLATable[Priority],0))),"YES","NO"),"")</f>
        <v/>
      </c>
    </row>
    <row r="332" spans="1:36" ht="15" customHeight="1">
      <c r="A332" s="78"/>
      <c r="B332" s="78"/>
      <c r="C332" s="78"/>
      <c r="D332" s="78"/>
      <c r="E332" s="78"/>
      <c r="F332" s="78"/>
      <c r="G332" s="78"/>
      <c r="H332" s="86"/>
      <c r="I332" s="78"/>
      <c r="J332" s="86"/>
      <c r="K332" s="277"/>
      <c r="L332" s="277"/>
      <c r="M332" s="277"/>
      <c r="N332" s="277"/>
      <c r="O332" s="80"/>
      <c r="P332" s="80"/>
      <c r="Q332" s="78"/>
      <c r="R332" s="78"/>
      <c r="S332" s="78"/>
      <c r="T332" s="78"/>
      <c r="U332" s="78"/>
      <c r="V332" s="78"/>
      <c r="W332" s="78"/>
      <c r="X332" s="78"/>
      <c r="Y332" s="78"/>
      <c r="Z332" s="167" t="e">
        <f t="shared" ca="1" si="40"/>
        <v>#N/A</v>
      </c>
      <c r="AA332" s="168" t="e">
        <f t="shared" ca="1" si="42"/>
        <v>#N/A</v>
      </c>
      <c r="AB332" s="167">
        <f t="shared" ca="1" si="41"/>
        <v>0</v>
      </c>
      <c r="AC332" s="168">
        <f t="shared" ca="1" si="43"/>
        <v>0</v>
      </c>
      <c r="AD332" s="191">
        <f t="shared" ca="1" si="44"/>
        <v>46259.633973495373</v>
      </c>
      <c r="AE332" s="167">
        <f t="shared" si="45"/>
        <v>0</v>
      </c>
      <c r="AF332" s="168">
        <f t="shared" si="46"/>
        <v>0</v>
      </c>
      <c r="AG332" s="168">
        <f t="shared" si="47"/>
        <v>0</v>
      </c>
      <c r="AH332" s="81" t="e" cm="1">
        <f t="array" aca="1" ref="AH332" ca="1">IF((AD332) &lt; (INDEX(ResponseSLA[#All],(MATCH((G332),ResponseSLA[Priority],0))+1,3)),"YES","No")</f>
        <v>#N/A</v>
      </c>
      <c r="AI332" s="81" t="str">
        <f>_xlfn.IFNA(IF(AE332 &lt; (INDEX(SLATable[Minimum SLA],MATCH(G332,SLATable[Priority],0))),"YES","NO"),"")</f>
        <v/>
      </c>
      <c r="AJ332" s="19" t="str">
        <f>_xlfn.IFNA(IF(AE332 &lt; (INDEX(SLATable[Maximum SLA],MATCH(G332,SLATable[Priority],0))),"YES","NO"),"")</f>
        <v/>
      </c>
    </row>
    <row r="333" spans="1:36" ht="15" customHeight="1">
      <c r="A333" s="78"/>
      <c r="B333" s="78"/>
      <c r="C333" s="78"/>
      <c r="D333" s="78"/>
      <c r="E333" s="78"/>
      <c r="F333" s="78"/>
      <c r="G333" s="78"/>
      <c r="H333" s="86"/>
      <c r="I333" s="78"/>
      <c r="J333" s="86"/>
      <c r="K333" s="277"/>
      <c r="L333" s="277"/>
      <c r="M333" s="277"/>
      <c r="N333" s="277"/>
      <c r="O333" s="80"/>
      <c r="P333" s="80"/>
      <c r="Q333" s="78"/>
      <c r="R333" s="78"/>
      <c r="S333" s="78"/>
      <c r="T333" s="78"/>
      <c r="U333" s="78"/>
      <c r="V333" s="78"/>
      <c r="W333" s="78"/>
      <c r="X333" s="78"/>
      <c r="Y333" s="78"/>
      <c r="Z333" s="167" t="e">
        <f t="shared" ca="1" si="40"/>
        <v>#N/A</v>
      </c>
      <c r="AA333" s="168" t="e">
        <f t="shared" ca="1" si="42"/>
        <v>#N/A</v>
      </c>
      <c r="AB333" s="167">
        <f t="shared" ca="1" si="41"/>
        <v>0</v>
      </c>
      <c r="AC333" s="168">
        <f t="shared" ca="1" si="43"/>
        <v>0</v>
      </c>
      <c r="AD333" s="191">
        <f t="shared" ca="1" si="44"/>
        <v>46259.633973495373</v>
      </c>
      <c r="AE333" s="167">
        <f t="shared" si="45"/>
        <v>0</v>
      </c>
      <c r="AF333" s="168">
        <f t="shared" si="46"/>
        <v>0</v>
      </c>
      <c r="AG333" s="168">
        <f t="shared" si="47"/>
        <v>0</v>
      </c>
      <c r="AH333" s="81" t="e" cm="1">
        <f t="array" aca="1" ref="AH333" ca="1">IF((AD333) &lt; (INDEX(ResponseSLA[#All],(MATCH((G333),ResponseSLA[Priority],0))+1,3)),"YES","No")</f>
        <v>#N/A</v>
      </c>
      <c r="AI333" s="81" t="str">
        <f>_xlfn.IFNA(IF(AE333 &lt; (INDEX(SLATable[Minimum SLA],MATCH(G333,SLATable[Priority],0))),"YES","NO"),"")</f>
        <v/>
      </c>
      <c r="AJ333" s="19" t="str">
        <f>_xlfn.IFNA(IF(AE333 &lt; (INDEX(SLATable[Maximum SLA],MATCH(G333,SLATable[Priority],0))),"YES","NO"),"")</f>
        <v/>
      </c>
    </row>
    <row r="334" spans="1:36" ht="15" customHeight="1">
      <c r="A334" s="78"/>
      <c r="B334" s="78"/>
      <c r="C334" s="78"/>
      <c r="D334" s="78"/>
      <c r="E334" s="78"/>
      <c r="F334" s="78"/>
      <c r="G334" s="78"/>
      <c r="H334" s="86"/>
      <c r="I334" s="78"/>
      <c r="J334" s="86"/>
      <c r="K334" s="277"/>
      <c r="L334" s="277"/>
      <c r="M334" s="277"/>
      <c r="N334" s="277"/>
      <c r="O334" s="80"/>
      <c r="P334" s="80"/>
      <c r="Q334" s="78"/>
      <c r="R334" s="78"/>
      <c r="S334" s="78"/>
      <c r="T334" s="78"/>
      <c r="U334" s="78"/>
      <c r="V334" s="78"/>
      <c r="W334" s="78"/>
      <c r="X334" s="78"/>
      <c r="Y334" s="78"/>
      <c r="Z334" s="167" t="e">
        <f t="shared" ca="1" si="40"/>
        <v>#N/A</v>
      </c>
      <c r="AA334" s="168" t="e">
        <f t="shared" ca="1" si="42"/>
        <v>#N/A</v>
      </c>
      <c r="AB334" s="167">
        <f t="shared" ca="1" si="41"/>
        <v>0</v>
      </c>
      <c r="AC334" s="168">
        <f t="shared" ca="1" si="43"/>
        <v>0</v>
      </c>
      <c r="AD334" s="191">
        <f t="shared" ca="1" si="44"/>
        <v>46259.633973495373</v>
      </c>
      <c r="AE334" s="167">
        <f t="shared" si="45"/>
        <v>0</v>
      </c>
      <c r="AF334" s="168">
        <f t="shared" si="46"/>
        <v>0</v>
      </c>
      <c r="AG334" s="168">
        <f t="shared" si="47"/>
        <v>0</v>
      </c>
      <c r="AH334" s="81" t="e" cm="1">
        <f t="array" aca="1" ref="AH334" ca="1">IF((AD334) &lt; (INDEX(ResponseSLA[#All],(MATCH((G334),ResponseSLA[Priority],0))+1,3)),"YES","No")</f>
        <v>#N/A</v>
      </c>
      <c r="AI334" s="81" t="str">
        <f>_xlfn.IFNA(IF(AE334 &lt; (INDEX(SLATable[Minimum SLA],MATCH(G334,SLATable[Priority],0))),"YES","NO"),"")</f>
        <v/>
      </c>
      <c r="AJ334" s="19" t="str">
        <f>_xlfn.IFNA(IF(AE334 &lt; (INDEX(SLATable[Maximum SLA],MATCH(G334,SLATable[Priority],0))),"YES","NO"),"")</f>
        <v/>
      </c>
    </row>
    <row r="335" spans="1:36" ht="15" customHeight="1">
      <c r="A335" s="78"/>
      <c r="B335" s="78"/>
      <c r="C335" s="78"/>
      <c r="D335" s="78"/>
      <c r="E335" s="78"/>
      <c r="F335" s="78"/>
      <c r="G335" s="78"/>
      <c r="H335" s="86"/>
      <c r="I335" s="78"/>
      <c r="J335" s="86"/>
      <c r="K335" s="277"/>
      <c r="L335" s="277"/>
      <c r="M335" s="277"/>
      <c r="N335" s="277"/>
      <c r="O335" s="80"/>
      <c r="P335" s="80"/>
      <c r="Q335" s="78"/>
      <c r="R335" s="78"/>
      <c r="S335" s="78"/>
      <c r="T335" s="78"/>
      <c r="U335" s="78"/>
      <c r="V335" s="78"/>
      <c r="W335" s="78"/>
      <c r="X335" s="78"/>
      <c r="Y335" s="78"/>
      <c r="Z335" s="167" t="e">
        <f t="shared" ca="1" si="40"/>
        <v>#N/A</v>
      </c>
      <c r="AA335" s="168" t="e">
        <f t="shared" ca="1" si="42"/>
        <v>#N/A</v>
      </c>
      <c r="AB335" s="167">
        <f t="shared" ca="1" si="41"/>
        <v>0</v>
      </c>
      <c r="AC335" s="168">
        <f t="shared" ca="1" si="43"/>
        <v>0</v>
      </c>
      <c r="AD335" s="191">
        <f t="shared" ca="1" si="44"/>
        <v>46259.633973495373</v>
      </c>
      <c r="AE335" s="167">
        <f t="shared" si="45"/>
        <v>0</v>
      </c>
      <c r="AF335" s="168">
        <f t="shared" si="46"/>
        <v>0</v>
      </c>
      <c r="AG335" s="168">
        <f t="shared" si="47"/>
        <v>0</v>
      </c>
      <c r="AH335" s="81" t="e" cm="1">
        <f t="array" aca="1" ref="AH335" ca="1">IF((AD335) &lt; (INDEX(ResponseSLA[#All],(MATCH((G335),ResponseSLA[Priority],0))+1,3)),"YES","No")</f>
        <v>#N/A</v>
      </c>
      <c r="AI335" s="81" t="str">
        <f>_xlfn.IFNA(IF(AE335 &lt; (INDEX(SLATable[Minimum SLA],MATCH(G335,SLATable[Priority],0))),"YES","NO"),"")</f>
        <v/>
      </c>
      <c r="AJ335" s="19" t="str">
        <f>_xlfn.IFNA(IF(AE335 &lt; (INDEX(SLATable[Maximum SLA],MATCH(G335,SLATable[Priority],0))),"YES","NO"),"")</f>
        <v/>
      </c>
    </row>
    <row r="336" spans="1:36" ht="15" customHeight="1">
      <c r="A336" s="78"/>
      <c r="B336" s="78"/>
      <c r="C336" s="78"/>
      <c r="D336" s="78"/>
      <c r="E336" s="78"/>
      <c r="F336" s="78"/>
      <c r="G336" s="78"/>
      <c r="H336" s="86"/>
      <c r="I336" s="78"/>
      <c r="J336" s="86"/>
      <c r="K336" s="277"/>
      <c r="L336" s="277"/>
      <c r="M336" s="277"/>
      <c r="N336" s="277"/>
      <c r="O336" s="80"/>
      <c r="P336" s="80"/>
      <c r="Q336" s="78"/>
      <c r="R336" s="78"/>
      <c r="S336" s="78"/>
      <c r="T336" s="78"/>
      <c r="U336" s="78"/>
      <c r="V336" s="78"/>
      <c r="W336" s="78"/>
      <c r="X336" s="78"/>
      <c r="Y336" s="78"/>
      <c r="Z336" s="167" t="e">
        <f t="shared" ca="1" si="40"/>
        <v>#N/A</v>
      </c>
      <c r="AA336" s="168" t="e">
        <f t="shared" ca="1" si="42"/>
        <v>#N/A</v>
      </c>
      <c r="AB336" s="167">
        <f t="shared" ca="1" si="41"/>
        <v>0</v>
      </c>
      <c r="AC336" s="168">
        <f t="shared" ca="1" si="43"/>
        <v>0</v>
      </c>
      <c r="AD336" s="191">
        <f t="shared" ca="1" si="44"/>
        <v>46259.633973495373</v>
      </c>
      <c r="AE336" s="167">
        <f t="shared" si="45"/>
        <v>0</v>
      </c>
      <c r="AF336" s="168">
        <f t="shared" si="46"/>
        <v>0</v>
      </c>
      <c r="AG336" s="168">
        <f t="shared" si="47"/>
        <v>0</v>
      </c>
      <c r="AH336" s="81" t="e" cm="1">
        <f t="array" aca="1" ref="AH336" ca="1">IF((AD336) &lt; (INDEX(ResponseSLA[#All],(MATCH((G336),ResponseSLA[Priority],0))+1,3)),"YES","No")</f>
        <v>#N/A</v>
      </c>
      <c r="AI336" s="81" t="str">
        <f>_xlfn.IFNA(IF(AE336 &lt; (INDEX(SLATable[Minimum SLA],MATCH(G336,SLATable[Priority],0))),"YES","NO"),"")</f>
        <v/>
      </c>
      <c r="AJ336" s="19" t="str">
        <f>_xlfn.IFNA(IF(AE336 &lt; (INDEX(SLATable[Maximum SLA],MATCH(G336,SLATable[Priority],0))),"YES","NO"),"")</f>
        <v/>
      </c>
    </row>
    <row r="337" spans="1:36" ht="15" customHeight="1">
      <c r="A337" s="78"/>
      <c r="B337" s="78"/>
      <c r="C337" s="78"/>
      <c r="D337" s="78"/>
      <c r="E337" s="78"/>
      <c r="F337" s="78"/>
      <c r="G337" s="78"/>
      <c r="H337" s="86"/>
      <c r="I337" s="78"/>
      <c r="J337" s="86"/>
      <c r="K337" s="277"/>
      <c r="L337" s="277"/>
      <c r="M337" s="277"/>
      <c r="N337" s="277"/>
      <c r="O337" s="80"/>
      <c r="P337" s="80"/>
      <c r="Q337" s="78"/>
      <c r="R337" s="78"/>
      <c r="S337" s="78"/>
      <c r="T337" s="78"/>
      <c r="U337" s="78"/>
      <c r="V337" s="78"/>
      <c r="W337" s="78"/>
      <c r="X337" s="78"/>
      <c r="Y337" s="78"/>
      <c r="Z337" s="167" t="e">
        <f t="shared" ca="1" si="40"/>
        <v>#N/A</v>
      </c>
      <c r="AA337" s="168" t="e">
        <f t="shared" ca="1" si="42"/>
        <v>#N/A</v>
      </c>
      <c r="AB337" s="167">
        <f t="shared" ca="1" si="41"/>
        <v>0</v>
      </c>
      <c r="AC337" s="168">
        <f t="shared" ca="1" si="43"/>
        <v>0</v>
      </c>
      <c r="AD337" s="191">
        <f t="shared" ca="1" si="44"/>
        <v>46259.633973495373</v>
      </c>
      <c r="AE337" s="167">
        <f t="shared" si="45"/>
        <v>0</v>
      </c>
      <c r="AF337" s="168">
        <f t="shared" si="46"/>
        <v>0</v>
      </c>
      <c r="AG337" s="168">
        <f t="shared" si="47"/>
        <v>0</v>
      </c>
      <c r="AH337" s="81" t="e" cm="1">
        <f t="array" aca="1" ref="AH337" ca="1">IF((AD337) &lt; (INDEX(ResponseSLA[#All],(MATCH((G337),ResponseSLA[Priority],0))+1,3)),"YES","No")</f>
        <v>#N/A</v>
      </c>
      <c r="AI337" s="81" t="str">
        <f>_xlfn.IFNA(IF(AE337 &lt; (INDEX(SLATable[Minimum SLA],MATCH(G337,SLATable[Priority],0))),"YES","NO"),"")</f>
        <v/>
      </c>
      <c r="AJ337" s="19" t="str">
        <f>_xlfn.IFNA(IF(AE337 &lt; (INDEX(SLATable[Maximum SLA],MATCH(G337,SLATable[Priority],0))),"YES","NO"),"")</f>
        <v/>
      </c>
    </row>
    <row r="338" spans="1:36" ht="15" customHeight="1">
      <c r="A338" s="78"/>
      <c r="B338" s="78"/>
      <c r="C338" s="78"/>
      <c r="D338" s="78"/>
      <c r="E338" s="78"/>
      <c r="F338" s="78"/>
      <c r="G338" s="78"/>
      <c r="H338" s="86"/>
      <c r="I338" s="78"/>
      <c r="J338" s="86"/>
      <c r="K338" s="277"/>
      <c r="L338" s="277"/>
      <c r="M338" s="277"/>
      <c r="N338" s="277"/>
      <c r="O338" s="80"/>
      <c r="P338" s="80"/>
      <c r="Q338" s="78"/>
      <c r="R338" s="78"/>
      <c r="S338" s="78"/>
      <c r="T338" s="78"/>
      <c r="U338" s="78"/>
      <c r="V338" s="78"/>
      <c r="W338" s="78"/>
      <c r="X338" s="78"/>
      <c r="Y338" s="78"/>
      <c r="Z338" s="167" t="e">
        <f t="shared" ca="1" si="40"/>
        <v>#N/A</v>
      </c>
      <c r="AA338" s="168" t="e">
        <f t="shared" ca="1" si="42"/>
        <v>#N/A</v>
      </c>
      <c r="AB338" s="167">
        <f t="shared" ca="1" si="41"/>
        <v>0</v>
      </c>
      <c r="AC338" s="168">
        <f t="shared" ca="1" si="43"/>
        <v>0</v>
      </c>
      <c r="AD338" s="191">
        <f t="shared" ca="1" si="44"/>
        <v>46259.633973495373</v>
      </c>
      <c r="AE338" s="167">
        <f t="shared" si="45"/>
        <v>0</v>
      </c>
      <c r="AF338" s="168">
        <f t="shared" si="46"/>
        <v>0</v>
      </c>
      <c r="AG338" s="168">
        <f t="shared" si="47"/>
        <v>0</v>
      </c>
      <c r="AH338" s="81" t="e" cm="1">
        <f t="array" aca="1" ref="AH338" ca="1">IF((AD338) &lt; (INDEX(ResponseSLA[#All],(MATCH((G338),ResponseSLA[Priority],0))+1,3)),"YES","No")</f>
        <v>#N/A</v>
      </c>
      <c r="AI338" s="81" t="str">
        <f>_xlfn.IFNA(IF(AE338 &lt; (INDEX(SLATable[Minimum SLA],MATCH(G338,SLATable[Priority],0))),"YES","NO"),"")</f>
        <v/>
      </c>
      <c r="AJ338" s="19" t="str">
        <f>_xlfn.IFNA(IF(AE338 &lt; (INDEX(SLATable[Maximum SLA],MATCH(G338,SLATable[Priority],0))),"YES","NO"),"")</f>
        <v/>
      </c>
    </row>
    <row r="339" spans="1:36" ht="15" customHeight="1">
      <c r="A339" s="78"/>
      <c r="B339" s="78"/>
      <c r="C339" s="78"/>
      <c r="D339" s="78"/>
      <c r="E339" s="78"/>
      <c r="F339" s="78"/>
      <c r="G339" s="78"/>
      <c r="H339" s="86"/>
      <c r="I339" s="78"/>
      <c r="J339" s="86"/>
      <c r="K339" s="277"/>
      <c r="L339" s="277"/>
      <c r="M339" s="277"/>
      <c r="N339" s="277"/>
      <c r="O339" s="80"/>
      <c r="P339" s="80"/>
      <c r="Q339" s="78"/>
      <c r="R339" s="78"/>
      <c r="S339" s="78"/>
      <c r="T339" s="78"/>
      <c r="U339" s="78"/>
      <c r="V339" s="78"/>
      <c r="W339" s="78"/>
      <c r="X339" s="78"/>
      <c r="Y339" s="78"/>
      <c r="Z339" s="167" t="e">
        <f t="shared" ca="1" si="40"/>
        <v>#N/A</v>
      </c>
      <c r="AA339" s="168" t="e">
        <f t="shared" ca="1" si="42"/>
        <v>#N/A</v>
      </c>
      <c r="AB339" s="167">
        <f t="shared" ca="1" si="41"/>
        <v>0</v>
      </c>
      <c r="AC339" s="168">
        <f t="shared" ca="1" si="43"/>
        <v>0</v>
      </c>
      <c r="AD339" s="191">
        <f t="shared" ca="1" si="44"/>
        <v>46259.633973495373</v>
      </c>
      <c r="AE339" s="167">
        <f t="shared" si="45"/>
        <v>0</v>
      </c>
      <c r="AF339" s="168">
        <f t="shared" si="46"/>
        <v>0</v>
      </c>
      <c r="AG339" s="168">
        <f t="shared" si="47"/>
        <v>0</v>
      </c>
      <c r="AH339" s="81" t="e" cm="1">
        <f t="array" aca="1" ref="AH339" ca="1">IF((AD339) &lt; (INDEX(ResponseSLA[#All],(MATCH((G339),ResponseSLA[Priority],0))+1,3)),"YES","No")</f>
        <v>#N/A</v>
      </c>
      <c r="AI339" s="81" t="str">
        <f>_xlfn.IFNA(IF(AE339 &lt; (INDEX(SLATable[Minimum SLA],MATCH(G339,SLATable[Priority],0))),"YES","NO"),"")</f>
        <v/>
      </c>
      <c r="AJ339" s="19" t="str">
        <f>_xlfn.IFNA(IF(AE339 &lt; (INDEX(SLATable[Maximum SLA],MATCH(G339,SLATable[Priority],0))),"YES","NO"),"")</f>
        <v/>
      </c>
    </row>
    <row r="340" spans="1:36" ht="15" customHeight="1">
      <c r="A340" s="78"/>
      <c r="B340" s="78"/>
      <c r="C340" s="78"/>
      <c r="D340" s="78"/>
      <c r="E340" s="78"/>
      <c r="F340" s="78"/>
      <c r="G340" s="78"/>
      <c r="H340" s="86"/>
      <c r="I340" s="78"/>
      <c r="J340" s="86"/>
      <c r="K340" s="277"/>
      <c r="L340" s="277"/>
      <c r="M340" s="277"/>
      <c r="N340" s="277"/>
      <c r="O340" s="80"/>
      <c r="P340" s="80"/>
      <c r="Q340" s="78"/>
      <c r="R340" s="78"/>
      <c r="S340" s="78"/>
      <c r="T340" s="78"/>
      <c r="U340" s="78"/>
      <c r="V340" s="78"/>
      <c r="W340" s="78"/>
      <c r="X340" s="78"/>
      <c r="Y340" s="78"/>
      <c r="Z340" s="167" t="e">
        <f t="shared" ca="1" si="40"/>
        <v>#N/A</v>
      </c>
      <c r="AA340" s="168" t="e">
        <f t="shared" ca="1" si="42"/>
        <v>#N/A</v>
      </c>
      <c r="AB340" s="167">
        <f t="shared" ca="1" si="41"/>
        <v>0</v>
      </c>
      <c r="AC340" s="168">
        <f t="shared" ca="1" si="43"/>
        <v>0</v>
      </c>
      <c r="AD340" s="191">
        <f t="shared" ca="1" si="44"/>
        <v>46259.633973495373</v>
      </c>
      <c r="AE340" s="167">
        <f t="shared" si="45"/>
        <v>0</v>
      </c>
      <c r="AF340" s="168">
        <f t="shared" si="46"/>
        <v>0</v>
      </c>
      <c r="AG340" s="168">
        <f t="shared" si="47"/>
        <v>0</v>
      </c>
      <c r="AH340" s="81" t="e" cm="1">
        <f t="array" aca="1" ref="AH340" ca="1">IF((AD340) &lt; (INDEX(ResponseSLA[#All],(MATCH((G340),ResponseSLA[Priority],0))+1,3)),"YES","No")</f>
        <v>#N/A</v>
      </c>
      <c r="AI340" s="81" t="str">
        <f>_xlfn.IFNA(IF(AE340 &lt; (INDEX(SLATable[Minimum SLA],MATCH(G340,SLATable[Priority],0))),"YES","NO"),"")</f>
        <v/>
      </c>
      <c r="AJ340" s="19" t="str">
        <f>_xlfn.IFNA(IF(AE340 &lt; (INDEX(SLATable[Maximum SLA],MATCH(G340,SLATable[Priority],0))),"YES","NO"),"")</f>
        <v/>
      </c>
    </row>
    <row r="341" spans="1:36" ht="15" customHeight="1">
      <c r="A341" s="78"/>
      <c r="B341" s="78"/>
      <c r="C341" s="78"/>
      <c r="D341" s="78"/>
      <c r="E341" s="78"/>
      <c r="F341" s="78"/>
      <c r="G341" s="78"/>
      <c r="H341" s="86"/>
      <c r="I341" s="78"/>
      <c r="J341" s="86"/>
      <c r="K341" s="277"/>
      <c r="L341" s="277"/>
      <c r="M341" s="277"/>
      <c r="N341" s="277"/>
      <c r="O341" s="80"/>
      <c r="P341" s="80"/>
      <c r="Q341" s="78"/>
      <c r="R341" s="78"/>
      <c r="S341" s="78"/>
      <c r="T341" s="78"/>
      <c r="U341" s="78"/>
      <c r="V341" s="78"/>
      <c r="W341" s="78"/>
      <c r="X341" s="78"/>
      <c r="Y341" s="78"/>
      <c r="Z341" s="167" t="e">
        <f t="shared" ca="1" si="40"/>
        <v>#N/A</v>
      </c>
      <c r="AA341" s="168" t="e">
        <f t="shared" ca="1" si="42"/>
        <v>#N/A</v>
      </c>
      <c r="AB341" s="167">
        <f t="shared" ca="1" si="41"/>
        <v>0</v>
      </c>
      <c r="AC341" s="168">
        <f t="shared" ca="1" si="43"/>
        <v>0</v>
      </c>
      <c r="AD341" s="191">
        <f t="shared" ca="1" si="44"/>
        <v>46259.633973495373</v>
      </c>
      <c r="AE341" s="167">
        <f t="shared" si="45"/>
        <v>0</v>
      </c>
      <c r="AF341" s="168">
        <f t="shared" si="46"/>
        <v>0</v>
      </c>
      <c r="AG341" s="168">
        <f t="shared" si="47"/>
        <v>0</v>
      </c>
      <c r="AH341" s="81" t="e" cm="1">
        <f t="array" aca="1" ref="AH341" ca="1">IF((AD341) &lt; (INDEX(ResponseSLA[#All],(MATCH((G341),ResponseSLA[Priority],0))+1,3)),"YES","No")</f>
        <v>#N/A</v>
      </c>
      <c r="AI341" s="81" t="str">
        <f>_xlfn.IFNA(IF(AE341 &lt; (INDEX(SLATable[Minimum SLA],MATCH(G341,SLATable[Priority],0))),"YES","NO"),"")</f>
        <v/>
      </c>
      <c r="AJ341" s="19" t="str">
        <f>_xlfn.IFNA(IF(AE341 &lt; (INDEX(SLATable[Maximum SLA],MATCH(G341,SLATable[Priority],0))),"YES","NO"),"")</f>
        <v/>
      </c>
    </row>
    <row r="342" spans="1:36" ht="15" customHeight="1">
      <c r="A342" s="78"/>
      <c r="B342" s="78"/>
      <c r="C342" s="78"/>
      <c r="D342" s="78"/>
      <c r="E342" s="78"/>
      <c r="F342" s="78"/>
      <c r="G342" s="78"/>
      <c r="H342" s="86"/>
      <c r="I342" s="78"/>
      <c r="J342" s="86"/>
      <c r="K342" s="277"/>
      <c r="L342" s="277"/>
      <c r="M342" s="277"/>
      <c r="N342" s="277"/>
      <c r="O342" s="80"/>
      <c r="P342" s="80"/>
      <c r="Q342" s="78"/>
      <c r="R342" s="78"/>
      <c r="S342" s="78"/>
      <c r="T342" s="78"/>
      <c r="U342" s="78"/>
      <c r="V342" s="78"/>
      <c r="W342" s="78"/>
      <c r="X342" s="78"/>
      <c r="Y342" s="78"/>
      <c r="Z342" s="167" t="e">
        <f t="shared" ca="1" si="40"/>
        <v>#N/A</v>
      </c>
      <c r="AA342" s="168" t="e">
        <f t="shared" ca="1" si="42"/>
        <v>#N/A</v>
      </c>
      <c r="AB342" s="167">
        <f t="shared" ca="1" si="41"/>
        <v>0</v>
      </c>
      <c r="AC342" s="168">
        <f t="shared" ca="1" si="43"/>
        <v>0</v>
      </c>
      <c r="AD342" s="191">
        <f t="shared" ca="1" si="44"/>
        <v>46259.633973495373</v>
      </c>
      <c r="AE342" s="167">
        <f t="shared" si="45"/>
        <v>0</v>
      </c>
      <c r="AF342" s="168">
        <f t="shared" si="46"/>
        <v>0</v>
      </c>
      <c r="AG342" s="168">
        <f t="shared" si="47"/>
        <v>0</v>
      </c>
      <c r="AH342" s="81" t="e" cm="1">
        <f t="array" aca="1" ref="AH342" ca="1">IF((AD342) &lt; (INDEX(ResponseSLA[#All],(MATCH((G342),ResponseSLA[Priority],0))+1,3)),"YES","No")</f>
        <v>#N/A</v>
      </c>
      <c r="AI342" s="81" t="str">
        <f>_xlfn.IFNA(IF(AE342 &lt; (INDEX(SLATable[Minimum SLA],MATCH(G342,SLATable[Priority],0))),"YES","NO"),"")</f>
        <v/>
      </c>
      <c r="AJ342" s="19" t="str">
        <f>_xlfn.IFNA(IF(AE342 &lt; (INDEX(SLATable[Maximum SLA],MATCH(G342,SLATable[Priority],0))),"YES","NO"),"")</f>
        <v/>
      </c>
    </row>
    <row r="343" spans="1:36" ht="15" customHeight="1">
      <c r="A343" s="78"/>
      <c r="B343" s="78"/>
      <c r="C343" s="78"/>
      <c r="D343" s="78"/>
      <c r="E343" s="78"/>
      <c r="F343" s="78"/>
      <c r="G343" s="78"/>
      <c r="H343" s="86"/>
      <c r="I343" s="78"/>
      <c r="J343" s="86"/>
      <c r="K343" s="277"/>
      <c r="L343" s="277"/>
      <c r="M343" s="277"/>
      <c r="N343" s="277"/>
      <c r="O343" s="80"/>
      <c r="P343" s="80"/>
      <c r="Q343" s="78"/>
      <c r="R343" s="78"/>
      <c r="S343" s="78"/>
      <c r="T343" s="78"/>
      <c r="U343" s="78"/>
      <c r="V343" s="78"/>
      <c r="W343" s="78"/>
      <c r="X343" s="78"/>
      <c r="Y343" s="78"/>
      <c r="Z343" s="167" t="e">
        <f t="shared" ca="1" si="40"/>
        <v>#N/A</v>
      </c>
      <c r="AA343" s="168" t="e">
        <f t="shared" ca="1" si="42"/>
        <v>#N/A</v>
      </c>
      <c r="AB343" s="167">
        <f t="shared" ca="1" si="41"/>
        <v>0</v>
      </c>
      <c r="AC343" s="168">
        <f t="shared" ca="1" si="43"/>
        <v>0</v>
      </c>
      <c r="AD343" s="191">
        <f t="shared" ca="1" si="44"/>
        <v>46259.633973495373</v>
      </c>
      <c r="AE343" s="167">
        <f t="shared" si="45"/>
        <v>0</v>
      </c>
      <c r="AF343" s="168">
        <f t="shared" si="46"/>
        <v>0</v>
      </c>
      <c r="AG343" s="168">
        <f t="shared" si="47"/>
        <v>0</v>
      </c>
      <c r="AH343" s="81" t="e" cm="1">
        <f t="array" aca="1" ref="AH343" ca="1">IF((AD343) &lt; (INDEX(ResponseSLA[#All],(MATCH((G343),ResponseSLA[Priority],0))+1,3)),"YES","No")</f>
        <v>#N/A</v>
      </c>
      <c r="AI343" s="81" t="str">
        <f>_xlfn.IFNA(IF(AE343 &lt; (INDEX(SLATable[Minimum SLA],MATCH(G343,SLATable[Priority],0))),"YES","NO"),"")</f>
        <v/>
      </c>
      <c r="AJ343" s="19" t="str">
        <f>_xlfn.IFNA(IF(AE343 &lt; (INDEX(SLATable[Maximum SLA],MATCH(G343,SLATable[Priority],0))),"YES","NO"),"")</f>
        <v/>
      </c>
    </row>
    <row r="344" spans="1:36" ht="15" customHeight="1">
      <c r="A344" s="78"/>
      <c r="B344" s="78"/>
      <c r="C344" s="78"/>
      <c r="D344" s="78"/>
      <c r="E344" s="78"/>
      <c r="F344" s="78"/>
      <c r="G344" s="78"/>
      <c r="H344" s="86"/>
      <c r="I344" s="78"/>
      <c r="J344" s="86"/>
      <c r="K344" s="277"/>
      <c r="L344" s="277"/>
      <c r="M344" s="277"/>
      <c r="N344" s="277"/>
      <c r="O344" s="80"/>
      <c r="P344" s="80"/>
      <c r="Q344" s="78"/>
      <c r="R344" s="78"/>
      <c r="S344" s="78"/>
      <c r="T344" s="78"/>
      <c r="U344" s="78"/>
      <c r="V344" s="78"/>
      <c r="W344" s="78"/>
      <c r="X344" s="78"/>
      <c r="Y344" s="78"/>
      <c r="Z344" s="167" t="e">
        <f t="shared" ca="1" si="40"/>
        <v>#N/A</v>
      </c>
      <c r="AA344" s="168" t="e">
        <f t="shared" ca="1" si="42"/>
        <v>#N/A</v>
      </c>
      <c r="AB344" s="167">
        <f t="shared" ca="1" si="41"/>
        <v>0</v>
      </c>
      <c r="AC344" s="168">
        <f t="shared" ca="1" si="43"/>
        <v>0</v>
      </c>
      <c r="AD344" s="191">
        <f t="shared" ca="1" si="44"/>
        <v>46259.633973495373</v>
      </c>
      <c r="AE344" s="167">
        <f t="shared" si="45"/>
        <v>0</v>
      </c>
      <c r="AF344" s="168">
        <f t="shared" si="46"/>
        <v>0</v>
      </c>
      <c r="AG344" s="168">
        <f t="shared" si="47"/>
        <v>0</v>
      </c>
      <c r="AH344" s="81" t="e" cm="1">
        <f t="array" aca="1" ref="AH344" ca="1">IF((AD344) &lt; (INDEX(ResponseSLA[#All],(MATCH((G344),ResponseSLA[Priority],0))+1,3)),"YES","No")</f>
        <v>#N/A</v>
      </c>
      <c r="AI344" s="81" t="str">
        <f>_xlfn.IFNA(IF(AE344 &lt; (INDEX(SLATable[Minimum SLA],MATCH(G344,SLATable[Priority],0))),"YES","NO"),"")</f>
        <v/>
      </c>
      <c r="AJ344" s="19" t="str">
        <f>_xlfn.IFNA(IF(AE344 &lt; (INDEX(SLATable[Maximum SLA],MATCH(G344,SLATable[Priority],0))),"YES","NO"),"")</f>
        <v/>
      </c>
    </row>
    <row r="345" spans="1:36" ht="15" customHeight="1">
      <c r="A345" s="78"/>
      <c r="B345" s="78"/>
      <c r="C345" s="78"/>
      <c r="D345" s="78"/>
      <c r="E345" s="78"/>
      <c r="F345" s="78"/>
      <c r="G345" s="78"/>
      <c r="H345" s="86"/>
      <c r="I345" s="78"/>
      <c r="J345" s="86"/>
      <c r="K345" s="277"/>
      <c r="L345" s="277"/>
      <c r="M345" s="277"/>
      <c r="N345" s="277"/>
      <c r="O345" s="80"/>
      <c r="P345" s="80"/>
      <c r="Q345" s="78"/>
      <c r="R345" s="78"/>
      <c r="S345" s="78"/>
      <c r="T345" s="78"/>
      <c r="U345" s="78"/>
      <c r="V345" s="78"/>
      <c r="W345" s="78"/>
      <c r="X345" s="78"/>
      <c r="Y345" s="78"/>
      <c r="Z345" s="167" t="e">
        <f t="shared" ca="1" si="40"/>
        <v>#N/A</v>
      </c>
      <c r="AA345" s="168" t="e">
        <f t="shared" ca="1" si="42"/>
        <v>#N/A</v>
      </c>
      <c r="AB345" s="167">
        <f t="shared" ca="1" si="41"/>
        <v>0</v>
      </c>
      <c r="AC345" s="168">
        <f t="shared" ca="1" si="43"/>
        <v>0</v>
      </c>
      <c r="AD345" s="191">
        <f t="shared" ca="1" si="44"/>
        <v>46259.633973495373</v>
      </c>
      <c r="AE345" s="167">
        <f t="shared" si="45"/>
        <v>0</v>
      </c>
      <c r="AF345" s="168">
        <f t="shared" si="46"/>
        <v>0</v>
      </c>
      <c r="AG345" s="168">
        <f t="shared" si="47"/>
        <v>0</v>
      </c>
      <c r="AH345" s="81" t="e" cm="1">
        <f t="array" aca="1" ref="AH345" ca="1">IF((AD345) &lt; (INDEX(ResponseSLA[#All],(MATCH((G345),ResponseSLA[Priority],0))+1,3)),"YES","No")</f>
        <v>#N/A</v>
      </c>
      <c r="AI345" s="81" t="str">
        <f>_xlfn.IFNA(IF(AE345 &lt; (INDEX(SLATable[Minimum SLA],MATCH(G345,SLATable[Priority],0))),"YES","NO"),"")</f>
        <v/>
      </c>
      <c r="AJ345" s="19" t="str">
        <f>_xlfn.IFNA(IF(AE345 &lt; (INDEX(SLATable[Maximum SLA],MATCH(G345,SLATable[Priority],0))),"YES","NO"),"")</f>
        <v/>
      </c>
    </row>
    <row r="346" spans="1:36" ht="15" customHeight="1">
      <c r="A346" s="78"/>
      <c r="B346" s="78"/>
      <c r="C346" s="78"/>
      <c r="D346" s="78"/>
      <c r="E346" s="78"/>
      <c r="F346" s="78"/>
      <c r="G346" s="78"/>
      <c r="H346" s="86"/>
      <c r="I346" s="78"/>
      <c r="J346" s="86"/>
      <c r="K346" s="277"/>
      <c r="L346" s="277"/>
      <c r="M346" s="277"/>
      <c r="N346" s="277"/>
      <c r="O346" s="80"/>
      <c r="P346" s="80"/>
      <c r="Q346" s="78"/>
      <c r="R346" s="78"/>
      <c r="S346" s="78"/>
      <c r="T346" s="78"/>
      <c r="U346" s="78"/>
      <c r="V346" s="78"/>
      <c r="W346" s="78"/>
      <c r="X346" s="78"/>
      <c r="Y346" s="78"/>
      <c r="Z346" s="167" t="e">
        <f t="shared" ca="1" si="40"/>
        <v>#N/A</v>
      </c>
      <c r="AA346" s="168" t="e">
        <f t="shared" ca="1" si="42"/>
        <v>#N/A</v>
      </c>
      <c r="AB346" s="167">
        <f t="shared" ca="1" si="41"/>
        <v>0</v>
      </c>
      <c r="AC346" s="168">
        <f t="shared" ca="1" si="43"/>
        <v>0</v>
      </c>
      <c r="AD346" s="191">
        <f t="shared" ca="1" si="44"/>
        <v>46259.633973495373</v>
      </c>
      <c r="AE346" s="167">
        <f t="shared" si="45"/>
        <v>0</v>
      </c>
      <c r="AF346" s="168">
        <f t="shared" si="46"/>
        <v>0</v>
      </c>
      <c r="AG346" s="168">
        <f t="shared" si="47"/>
        <v>0</v>
      </c>
      <c r="AH346" s="81" t="e" cm="1">
        <f t="array" aca="1" ref="AH346" ca="1">IF((AD346) &lt; (INDEX(ResponseSLA[#All],(MATCH((G346),ResponseSLA[Priority],0))+1,3)),"YES","No")</f>
        <v>#N/A</v>
      </c>
      <c r="AI346" s="81" t="str">
        <f>_xlfn.IFNA(IF(AE346 &lt; (INDEX(SLATable[Minimum SLA],MATCH(G346,SLATable[Priority],0))),"YES","NO"),"")</f>
        <v/>
      </c>
      <c r="AJ346" s="19" t="str">
        <f>_xlfn.IFNA(IF(AE346 &lt; (INDEX(SLATable[Maximum SLA],MATCH(G346,SLATable[Priority],0))),"YES","NO"),"")</f>
        <v/>
      </c>
    </row>
    <row r="347" spans="1:36" ht="15" customHeight="1">
      <c r="A347" s="78"/>
      <c r="B347" s="78"/>
      <c r="C347" s="78"/>
      <c r="D347" s="78"/>
      <c r="E347" s="78"/>
      <c r="F347" s="78"/>
      <c r="G347" s="78"/>
      <c r="H347" s="86"/>
      <c r="I347" s="78"/>
      <c r="J347" s="86"/>
      <c r="K347" s="277"/>
      <c r="L347" s="277"/>
      <c r="M347" s="277"/>
      <c r="N347" s="277"/>
      <c r="O347" s="80"/>
      <c r="P347" s="80"/>
      <c r="Q347" s="78"/>
      <c r="R347" s="78"/>
      <c r="S347" s="78"/>
      <c r="T347" s="78"/>
      <c r="U347" s="78"/>
      <c r="V347" s="78"/>
      <c r="W347" s="78"/>
      <c r="X347" s="78"/>
      <c r="Y347" s="78"/>
      <c r="Z347" s="167" t="e">
        <f t="shared" ca="1" si="40"/>
        <v>#N/A</v>
      </c>
      <c r="AA347" s="168" t="e">
        <f t="shared" ca="1" si="42"/>
        <v>#N/A</v>
      </c>
      <c r="AB347" s="167">
        <f t="shared" ca="1" si="41"/>
        <v>0</v>
      </c>
      <c r="AC347" s="168">
        <f t="shared" ca="1" si="43"/>
        <v>0</v>
      </c>
      <c r="AD347" s="191">
        <f t="shared" ca="1" si="44"/>
        <v>46259.633973495373</v>
      </c>
      <c r="AE347" s="167">
        <f t="shared" si="45"/>
        <v>0</v>
      </c>
      <c r="AF347" s="168">
        <f t="shared" si="46"/>
        <v>0</v>
      </c>
      <c r="AG347" s="168">
        <f t="shared" si="47"/>
        <v>0</v>
      </c>
      <c r="AH347" s="81" t="e" cm="1">
        <f t="array" aca="1" ref="AH347" ca="1">IF((AD347) &lt; (INDEX(ResponseSLA[#All],(MATCH((G347),ResponseSLA[Priority],0))+1,3)),"YES","No")</f>
        <v>#N/A</v>
      </c>
      <c r="AI347" s="81" t="str">
        <f>_xlfn.IFNA(IF(AE347 &lt; (INDEX(SLATable[Minimum SLA],MATCH(G347,SLATable[Priority],0))),"YES","NO"),"")</f>
        <v/>
      </c>
      <c r="AJ347" s="19" t="str">
        <f>_xlfn.IFNA(IF(AE347 &lt; (INDEX(SLATable[Maximum SLA],MATCH(G347,SLATable[Priority],0))),"YES","NO"),"")</f>
        <v/>
      </c>
    </row>
    <row r="348" spans="1:36" ht="15" customHeight="1">
      <c r="A348" s="78"/>
      <c r="B348" s="78"/>
      <c r="C348" s="78"/>
      <c r="D348" s="78"/>
      <c r="E348" s="78"/>
      <c r="F348" s="78"/>
      <c r="G348" s="78"/>
      <c r="H348" s="86"/>
      <c r="I348" s="78"/>
      <c r="J348" s="86"/>
      <c r="K348" s="277"/>
      <c r="L348" s="277"/>
      <c r="M348" s="277"/>
      <c r="N348" s="277"/>
      <c r="O348" s="80"/>
      <c r="P348" s="80"/>
      <c r="Q348" s="78"/>
      <c r="R348" s="78"/>
      <c r="S348" s="78"/>
      <c r="T348" s="78"/>
      <c r="U348" s="78"/>
      <c r="V348" s="78"/>
      <c r="W348" s="78"/>
      <c r="X348" s="78"/>
      <c r="Y348" s="78"/>
      <c r="Z348" s="167" t="e">
        <f t="shared" ca="1" si="40"/>
        <v>#N/A</v>
      </c>
      <c r="AA348" s="168" t="e">
        <f t="shared" ca="1" si="42"/>
        <v>#N/A</v>
      </c>
      <c r="AB348" s="167">
        <f t="shared" ca="1" si="41"/>
        <v>0</v>
      </c>
      <c r="AC348" s="168">
        <f t="shared" ca="1" si="43"/>
        <v>0</v>
      </c>
      <c r="AD348" s="191">
        <f t="shared" ca="1" si="44"/>
        <v>46259.633973495373</v>
      </c>
      <c r="AE348" s="167">
        <f t="shared" si="45"/>
        <v>0</v>
      </c>
      <c r="AF348" s="168">
        <f t="shared" si="46"/>
        <v>0</v>
      </c>
      <c r="AG348" s="168">
        <f t="shared" si="47"/>
        <v>0</v>
      </c>
      <c r="AH348" s="81" t="e" cm="1">
        <f t="array" aca="1" ref="AH348" ca="1">IF((AD348) &lt; (INDEX(ResponseSLA[#All],(MATCH((G348),ResponseSLA[Priority],0))+1,3)),"YES","No")</f>
        <v>#N/A</v>
      </c>
      <c r="AI348" s="81" t="str">
        <f>_xlfn.IFNA(IF(AE348 &lt; (INDEX(SLATable[Minimum SLA],MATCH(G348,SLATable[Priority],0))),"YES","NO"),"")</f>
        <v/>
      </c>
      <c r="AJ348" s="19" t="str">
        <f>_xlfn.IFNA(IF(AE348 &lt; (INDEX(SLATable[Maximum SLA],MATCH(G348,SLATable[Priority],0))),"YES","NO"),"")</f>
        <v/>
      </c>
    </row>
    <row r="349" spans="1:36" ht="15" customHeight="1">
      <c r="A349" s="78"/>
      <c r="B349" s="78"/>
      <c r="C349" s="78"/>
      <c r="D349" s="78"/>
      <c r="E349" s="78"/>
      <c r="F349" s="78"/>
      <c r="G349" s="78"/>
      <c r="H349" s="86"/>
      <c r="I349" s="78"/>
      <c r="J349" s="86"/>
      <c r="K349" s="277"/>
      <c r="L349" s="277"/>
      <c r="M349" s="277"/>
      <c r="N349" s="277"/>
      <c r="O349" s="80"/>
      <c r="P349" s="80"/>
      <c r="Q349" s="78"/>
      <c r="R349" s="78"/>
      <c r="S349" s="78"/>
      <c r="T349" s="78"/>
      <c r="U349" s="78"/>
      <c r="V349" s="78"/>
      <c r="W349" s="78"/>
      <c r="X349" s="78"/>
      <c r="Y349" s="78"/>
      <c r="Z349" s="167" t="e">
        <f t="shared" ca="1" si="40"/>
        <v>#N/A</v>
      </c>
      <c r="AA349" s="168" t="e">
        <f t="shared" ca="1" si="42"/>
        <v>#N/A</v>
      </c>
      <c r="AB349" s="167">
        <f t="shared" ca="1" si="41"/>
        <v>0</v>
      </c>
      <c r="AC349" s="168">
        <f t="shared" ca="1" si="43"/>
        <v>0</v>
      </c>
      <c r="AD349" s="191">
        <f t="shared" ca="1" si="44"/>
        <v>46259.633973495373</v>
      </c>
      <c r="AE349" s="167">
        <f t="shared" si="45"/>
        <v>0</v>
      </c>
      <c r="AF349" s="168">
        <f t="shared" si="46"/>
        <v>0</v>
      </c>
      <c r="AG349" s="168">
        <f t="shared" si="47"/>
        <v>0</v>
      </c>
      <c r="AH349" s="81" t="e" cm="1">
        <f t="array" aca="1" ref="AH349" ca="1">IF((AD349) &lt; (INDEX(ResponseSLA[#All],(MATCH((G349),ResponseSLA[Priority],0))+1,3)),"YES","No")</f>
        <v>#N/A</v>
      </c>
      <c r="AI349" s="81" t="str">
        <f>_xlfn.IFNA(IF(AE349 &lt; (INDEX(SLATable[Minimum SLA],MATCH(G349,SLATable[Priority],0))),"YES","NO"),"")</f>
        <v/>
      </c>
      <c r="AJ349" s="19" t="str">
        <f>_xlfn.IFNA(IF(AE349 &lt; (INDEX(SLATable[Maximum SLA],MATCH(G349,SLATable[Priority],0))),"YES","NO"),"")</f>
        <v/>
      </c>
    </row>
    <row r="350" spans="1:36" ht="15" customHeight="1">
      <c r="A350" s="78"/>
      <c r="B350" s="78"/>
      <c r="C350" s="78"/>
      <c r="D350" s="78"/>
      <c r="E350" s="78"/>
      <c r="F350" s="78"/>
      <c r="G350" s="78"/>
      <c r="H350" s="86"/>
      <c r="I350" s="78"/>
      <c r="J350" s="86"/>
      <c r="K350" s="277"/>
      <c r="L350" s="277"/>
      <c r="M350" s="277"/>
      <c r="N350" s="277"/>
      <c r="O350" s="80"/>
      <c r="P350" s="80"/>
      <c r="Q350" s="78"/>
      <c r="R350" s="78"/>
      <c r="S350" s="78"/>
      <c r="T350" s="78"/>
      <c r="U350" s="78"/>
      <c r="V350" s="78"/>
      <c r="W350" s="78"/>
      <c r="X350" s="78"/>
      <c r="Y350" s="78"/>
      <c r="Z350" s="167" t="e">
        <f t="shared" ca="1" si="40"/>
        <v>#N/A</v>
      </c>
      <c r="AA350" s="168" t="e">
        <f t="shared" ca="1" si="42"/>
        <v>#N/A</v>
      </c>
      <c r="AB350" s="167">
        <f t="shared" ca="1" si="41"/>
        <v>0</v>
      </c>
      <c r="AC350" s="168">
        <f t="shared" ca="1" si="43"/>
        <v>0</v>
      </c>
      <c r="AD350" s="191">
        <f t="shared" ca="1" si="44"/>
        <v>46259.633973495373</v>
      </c>
      <c r="AE350" s="167">
        <f t="shared" si="45"/>
        <v>0</v>
      </c>
      <c r="AF350" s="168">
        <f t="shared" si="46"/>
        <v>0</v>
      </c>
      <c r="AG350" s="168">
        <f t="shared" si="47"/>
        <v>0</v>
      </c>
      <c r="AH350" s="81" t="e" cm="1">
        <f t="array" aca="1" ref="AH350" ca="1">IF((AD350) &lt; (INDEX(ResponseSLA[#All],(MATCH((G350),ResponseSLA[Priority],0))+1,3)),"YES","No")</f>
        <v>#N/A</v>
      </c>
      <c r="AI350" s="81" t="str">
        <f>_xlfn.IFNA(IF(AE350 &lt; (INDEX(SLATable[Minimum SLA],MATCH(G350,SLATable[Priority],0))),"YES","NO"),"")</f>
        <v/>
      </c>
      <c r="AJ350" s="19" t="str">
        <f>_xlfn.IFNA(IF(AE350 &lt; (INDEX(SLATable[Maximum SLA],MATCH(G350,SLATable[Priority],0))),"YES","NO"),"")</f>
        <v/>
      </c>
    </row>
    <row r="351" spans="1:36" ht="15" customHeight="1">
      <c r="A351" s="78"/>
      <c r="B351" s="78"/>
      <c r="C351" s="78"/>
      <c r="D351" s="78"/>
      <c r="E351" s="78"/>
      <c r="F351" s="78"/>
      <c r="G351" s="78"/>
      <c r="H351" s="86"/>
      <c r="I351" s="78"/>
      <c r="J351" s="86"/>
      <c r="K351" s="277"/>
      <c r="L351" s="277"/>
      <c r="M351" s="277"/>
      <c r="N351" s="277"/>
      <c r="O351" s="80"/>
      <c r="P351" s="80"/>
      <c r="Q351" s="78"/>
      <c r="R351" s="78"/>
      <c r="S351" s="78"/>
      <c r="T351" s="78"/>
      <c r="U351" s="78"/>
      <c r="V351" s="78"/>
      <c r="W351" s="78"/>
      <c r="X351" s="78"/>
      <c r="Y351" s="78"/>
      <c r="Z351" s="167" t="e">
        <f t="shared" ca="1" si="40"/>
        <v>#N/A</v>
      </c>
      <c r="AA351" s="168" t="e">
        <f t="shared" ca="1" si="42"/>
        <v>#N/A</v>
      </c>
      <c r="AB351" s="167">
        <f t="shared" ca="1" si="41"/>
        <v>0</v>
      </c>
      <c r="AC351" s="168">
        <f t="shared" ca="1" si="43"/>
        <v>0</v>
      </c>
      <c r="AD351" s="191">
        <f t="shared" ca="1" si="44"/>
        <v>46259.633973495373</v>
      </c>
      <c r="AE351" s="167">
        <f t="shared" si="45"/>
        <v>0</v>
      </c>
      <c r="AF351" s="168">
        <f t="shared" si="46"/>
        <v>0</v>
      </c>
      <c r="AG351" s="168">
        <f t="shared" si="47"/>
        <v>0</v>
      </c>
      <c r="AH351" s="81" t="e" cm="1">
        <f t="array" aca="1" ref="AH351" ca="1">IF((AD351) &lt; (INDEX(ResponseSLA[#All],(MATCH((G351),ResponseSLA[Priority],0))+1,3)),"YES","No")</f>
        <v>#N/A</v>
      </c>
      <c r="AI351" s="81" t="str">
        <f>_xlfn.IFNA(IF(AE351 &lt; (INDEX(SLATable[Minimum SLA],MATCH(G351,SLATable[Priority],0))),"YES","NO"),"")</f>
        <v/>
      </c>
      <c r="AJ351" s="19" t="str">
        <f>_xlfn.IFNA(IF(AE351 &lt; (INDEX(SLATable[Maximum SLA],MATCH(G351,SLATable[Priority],0))),"YES","NO"),"")</f>
        <v/>
      </c>
    </row>
    <row r="352" spans="1:36" ht="15" customHeight="1">
      <c r="A352" s="78"/>
      <c r="B352" s="78"/>
      <c r="C352" s="78"/>
      <c r="D352" s="78"/>
      <c r="E352" s="78"/>
      <c r="F352" s="78"/>
      <c r="G352" s="78"/>
      <c r="H352" s="86"/>
      <c r="I352" s="78"/>
      <c r="J352" s="86"/>
      <c r="K352" s="277"/>
      <c r="L352" s="277"/>
      <c r="M352" s="277"/>
      <c r="N352" s="277"/>
      <c r="O352" s="80"/>
      <c r="P352" s="80"/>
      <c r="Q352" s="78"/>
      <c r="R352" s="78"/>
      <c r="S352" s="78"/>
      <c r="T352" s="78"/>
      <c r="U352" s="78"/>
      <c r="V352" s="78"/>
      <c r="W352" s="78"/>
      <c r="X352" s="78"/>
      <c r="Y352" s="78"/>
      <c r="Z352" s="167" t="e">
        <f t="shared" ca="1" si="40"/>
        <v>#N/A</v>
      </c>
      <c r="AA352" s="168" t="e">
        <f t="shared" ca="1" si="42"/>
        <v>#N/A</v>
      </c>
      <c r="AB352" s="167">
        <f t="shared" ca="1" si="41"/>
        <v>0</v>
      </c>
      <c r="AC352" s="168">
        <f t="shared" ca="1" si="43"/>
        <v>0</v>
      </c>
      <c r="AD352" s="191">
        <f t="shared" ca="1" si="44"/>
        <v>46259.633973495373</v>
      </c>
      <c r="AE352" s="167">
        <f t="shared" si="45"/>
        <v>0</v>
      </c>
      <c r="AF352" s="168">
        <f t="shared" si="46"/>
        <v>0</v>
      </c>
      <c r="AG352" s="168">
        <f t="shared" si="47"/>
        <v>0</v>
      </c>
      <c r="AH352" s="81" t="e" cm="1">
        <f t="array" aca="1" ref="AH352" ca="1">IF((AD352) &lt; (INDEX(ResponseSLA[#All],(MATCH((G352),ResponseSLA[Priority],0))+1,3)),"YES","No")</f>
        <v>#N/A</v>
      </c>
      <c r="AI352" s="81" t="str">
        <f>_xlfn.IFNA(IF(AE352 &lt; (INDEX(SLATable[Minimum SLA],MATCH(G352,SLATable[Priority],0))),"YES","NO"),"")</f>
        <v/>
      </c>
      <c r="AJ352" s="19" t="str">
        <f>_xlfn.IFNA(IF(AE352 &lt; (INDEX(SLATable[Maximum SLA],MATCH(G352,SLATable[Priority],0))),"YES","NO"),"")</f>
        <v/>
      </c>
    </row>
    <row r="353" spans="1:36" ht="15" customHeight="1">
      <c r="A353" s="78"/>
      <c r="B353" s="78"/>
      <c r="C353" s="78"/>
      <c r="D353" s="78"/>
      <c r="E353" s="78"/>
      <c r="F353" s="78"/>
      <c r="G353" s="78"/>
      <c r="H353" s="86"/>
      <c r="I353" s="78"/>
      <c r="J353" s="86"/>
      <c r="K353" s="277"/>
      <c r="L353" s="277"/>
      <c r="M353" s="277"/>
      <c r="N353" s="277"/>
      <c r="O353" s="80"/>
      <c r="P353" s="80"/>
      <c r="Q353" s="78"/>
      <c r="R353" s="78"/>
      <c r="S353" s="78"/>
      <c r="T353" s="78"/>
      <c r="U353" s="78"/>
      <c r="V353" s="78"/>
      <c r="W353" s="78"/>
      <c r="X353" s="78"/>
      <c r="Y353" s="78"/>
      <c r="Z353" s="167" t="e">
        <f t="shared" ca="1" si="40"/>
        <v>#N/A</v>
      </c>
      <c r="AA353" s="168" t="e">
        <f t="shared" ca="1" si="42"/>
        <v>#N/A</v>
      </c>
      <c r="AB353" s="167">
        <f t="shared" ca="1" si="41"/>
        <v>0</v>
      </c>
      <c r="AC353" s="168">
        <f t="shared" ca="1" si="43"/>
        <v>0</v>
      </c>
      <c r="AD353" s="191">
        <f t="shared" ca="1" si="44"/>
        <v>46259.633973495373</v>
      </c>
      <c r="AE353" s="167">
        <f t="shared" si="45"/>
        <v>0</v>
      </c>
      <c r="AF353" s="168">
        <f t="shared" si="46"/>
        <v>0</v>
      </c>
      <c r="AG353" s="168">
        <f t="shared" si="47"/>
        <v>0</v>
      </c>
      <c r="AH353" s="81" t="e" cm="1">
        <f t="array" aca="1" ref="AH353" ca="1">IF((AD353) &lt; (INDEX(ResponseSLA[#All],(MATCH((G353),ResponseSLA[Priority],0))+1,3)),"YES","No")</f>
        <v>#N/A</v>
      </c>
      <c r="AI353" s="81" t="str">
        <f>_xlfn.IFNA(IF(AE353 &lt; (INDEX(SLATable[Minimum SLA],MATCH(G353,SLATable[Priority],0))),"YES","NO"),"")</f>
        <v/>
      </c>
      <c r="AJ353" s="19" t="str">
        <f>_xlfn.IFNA(IF(AE353 &lt; (INDEX(SLATable[Maximum SLA],MATCH(G353,SLATable[Priority],0))),"YES","NO"),"")</f>
        <v/>
      </c>
    </row>
    <row r="354" spans="1:36" ht="15" customHeight="1">
      <c r="A354" s="78"/>
      <c r="B354" s="78"/>
      <c r="C354" s="78"/>
      <c r="D354" s="78"/>
      <c r="E354" s="78"/>
      <c r="F354" s="78"/>
      <c r="G354" s="78"/>
      <c r="H354" s="86"/>
      <c r="I354" s="78"/>
      <c r="J354" s="86"/>
      <c r="K354" s="277"/>
      <c r="L354" s="277"/>
      <c r="M354" s="277"/>
      <c r="N354" s="277"/>
      <c r="O354" s="80"/>
      <c r="P354" s="80"/>
      <c r="Q354" s="78"/>
      <c r="R354" s="78"/>
      <c r="S354" s="78"/>
      <c r="T354" s="78"/>
      <c r="U354" s="78"/>
      <c r="V354" s="78"/>
      <c r="W354" s="78"/>
      <c r="X354" s="78"/>
      <c r="Y354" s="78"/>
      <c r="Z354" s="167" t="e">
        <f t="shared" ca="1" si="40"/>
        <v>#N/A</v>
      </c>
      <c r="AA354" s="168" t="e">
        <f t="shared" ca="1" si="42"/>
        <v>#N/A</v>
      </c>
      <c r="AB354" s="167">
        <f t="shared" ca="1" si="41"/>
        <v>0</v>
      </c>
      <c r="AC354" s="168">
        <f t="shared" ca="1" si="43"/>
        <v>0</v>
      </c>
      <c r="AD354" s="191">
        <f t="shared" ca="1" si="44"/>
        <v>46259.633973495373</v>
      </c>
      <c r="AE354" s="167">
        <f t="shared" si="45"/>
        <v>0</v>
      </c>
      <c r="AF354" s="168">
        <f t="shared" si="46"/>
        <v>0</v>
      </c>
      <c r="AG354" s="168">
        <f t="shared" si="47"/>
        <v>0</v>
      </c>
      <c r="AH354" s="81" t="e" cm="1">
        <f t="array" aca="1" ref="AH354" ca="1">IF((AD354) &lt; (INDEX(ResponseSLA[#All],(MATCH((G354),ResponseSLA[Priority],0))+1,3)),"YES","No")</f>
        <v>#N/A</v>
      </c>
      <c r="AI354" s="81" t="str">
        <f>_xlfn.IFNA(IF(AE354 &lt; (INDEX(SLATable[Minimum SLA],MATCH(G354,SLATable[Priority],0))),"YES","NO"),"")</f>
        <v/>
      </c>
      <c r="AJ354" s="19" t="str">
        <f>_xlfn.IFNA(IF(AE354 &lt; (INDEX(SLATable[Maximum SLA],MATCH(G354,SLATable[Priority],0))),"YES","NO"),"")</f>
        <v/>
      </c>
    </row>
    <row r="355" spans="1:36" ht="15" customHeight="1">
      <c r="A355" s="78"/>
      <c r="B355" s="78"/>
      <c r="C355" s="78"/>
      <c r="D355" s="78"/>
      <c r="E355" s="78"/>
      <c r="F355" s="78"/>
      <c r="G355" s="78"/>
      <c r="H355" s="86"/>
      <c r="I355" s="78"/>
      <c r="J355" s="86"/>
      <c r="K355" s="277"/>
      <c r="L355" s="277"/>
      <c r="M355" s="277"/>
      <c r="N355" s="277"/>
      <c r="O355" s="80"/>
      <c r="P355" s="80"/>
      <c r="Q355" s="78"/>
      <c r="R355" s="78"/>
      <c r="S355" s="78"/>
      <c r="T355" s="78"/>
      <c r="U355" s="78"/>
      <c r="V355" s="78"/>
      <c r="W355" s="78"/>
      <c r="X355" s="78"/>
      <c r="Y355" s="78"/>
      <c r="Z355" s="167" t="e">
        <f t="shared" ca="1" si="40"/>
        <v>#N/A</v>
      </c>
      <c r="AA355" s="168" t="e">
        <f t="shared" ca="1" si="42"/>
        <v>#N/A</v>
      </c>
      <c r="AB355" s="167">
        <f t="shared" ca="1" si="41"/>
        <v>0</v>
      </c>
      <c r="AC355" s="168">
        <f t="shared" ca="1" si="43"/>
        <v>0</v>
      </c>
      <c r="AD355" s="191">
        <f t="shared" ca="1" si="44"/>
        <v>46259.633973495373</v>
      </c>
      <c r="AE355" s="167">
        <f t="shared" si="45"/>
        <v>0</v>
      </c>
      <c r="AF355" s="168">
        <f t="shared" si="46"/>
        <v>0</v>
      </c>
      <c r="AG355" s="168">
        <f t="shared" si="47"/>
        <v>0</v>
      </c>
      <c r="AH355" s="81" t="e" cm="1">
        <f t="array" aca="1" ref="AH355" ca="1">IF((AD355) &lt; (INDEX(ResponseSLA[#All],(MATCH((G355),ResponseSLA[Priority],0))+1,3)),"YES","No")</f>
        <v>#N/A</v>
      </c>
      <c r="AI355" s="81" t="str">
        <f>_xlfn.IFNA(IF(AE355 &lt; (INDEX(SLATable[Minimum SLA],MATCH(G355,SLATable[Priority],0))),"YES","NO"),"")</f>
        <v/>
      </c>
      <c r="AJ355" s="19" t="str">
        <f>_xlfn.IFNA(IF(AE355 &lt; (INDEX(SLATable[Maximum SLA],MATCH(G355,SLATable[Priority],0))),"YES","NO"),"")</f>
        <v/>
      </c>
    </row>
    <row r="356" spans="1:36" ht="15" customHeight="1">
      <c r="A356" s="78"/>
      <c r="B356" s="78"/>
      <c r="C356" s="78"/>
      <c r="D356" s="78"/>
      <c r="E356" s="78"/>
      <c r="F356" s="78"/>
      <c r="G356" s="78"/>
      <c r="H356" s="86"/>
      <c r="I356" s="78"/>
      <c r="J356" s="86"/>
      <c r="K356" s="277"/>
      <c r="L356" s="277"/>
      <c r="M356" s="277"/>
      <c r="N356" s="277"/>
      <c r="O356" s="80"/>
      <c r="P356" s="80"/>
      <c r="Q356" s="78"/>
      <c r="R356" s="78"/>
      <c r="S356" s="78"/>
      <c r="T356" s="78"/>
      <c r="U356" s="78"/>
      <c r="V356" s="78"/>
      <c r="W356" s="78"/>
      <c r="X356" s="78"/>
      <c r="Y356" s="78"/>
      <c r="Z356" s="167" t="e">
        <f t="shared" ca="1" si="40"/>
        <v>#N/A</v>
      </c>
      <c r="AA356" s="168" t="e">
        <f t="shared" ca="1" si="42"/>
        <v>#N/A</v>
      </c>
      <c r="AB356" s="167">
        <f t="shared" ca="1" si="41"/>
        <v>0</v>
      </c>
      <c r="AC356" s="168">
        <f t="shared" ca="1" si="43"/>
        <v>0</v>
      </c>
      <c r="AD356" s="191">
        <f t="shared" ca="1" si="44"/>
        <v>46259.633973495373</v>
      </c>
      <c r="AE356" s="167">
        <f t="shared" si="45"/>
        <v>0</v>
      </c>
      <c r="AF356" s="168">
        <f t="shared" si="46"/>
        <v>0</v>
      </c>
      <c r="AG356" s="168">
        <f t="shared" si="47"/>
        <v>0</v>
      </c>
      <c r="AH356" s="81" t="e" cm="1">
        <f t="array" aca="1" ref="AH356" ca="1">IF((AD356) &lt; (INDEX(ResponseSLA[#All],(MATCH((G356),ResponseSLA[Priority],0))+1,3)),"YES","No")</f>
        <v>#N/A</v>
      </c>
      <c r="AI356" s="81" t="str">
        <f>_xlfn.IFNA(IF(AE356 &lt; (INDEX(SLATable[Minimum SLA],MATCH(G356,SLATable[Priority],0))),"YES","NO"),"")</f>
        <v/>
      </c>
      <c r="AJ356" s="19" t="str">
        <f>_xlfn.IFNA(IF(AE356 &lt; (INDEX(SLATable[Maximum SLA],MATCH(G356,SLATable[Priority],0))),"YES","NO"),"")</f>
        <v/>
      </c>
    </row>
    <row r="357" spans="1:36" ht="15" customHeight="1">
      <c r="A357" s="78"/>
      <c r="B357" s="78"/>
      <c r="C357" s="78"/>
      <c r="D357" s="78"/>
      <c r="E357" s="78"/>
      <c r="F357" s="78"/>
      <c r="G357" s="78"/>
      <c r="H357" s="86"/>
      <c r="I357" s="78"/>
      <c r="J357" s="86"/>
      <c r="K357" s="277"/>
      <c r="L357" s="277"/>
      <c r="M357" s="277"/>
      <c r="N357" s="277"/>
      <c r="O357" s="80"/>
      <c r="P357" s="80"/>
      <c r="Q357" s="78"/>
      <c r="R357" s="78"/>
      <c r="S357" s="78"/>
      <c r="T357" s="78"/>
      <c r="U357" s="78"/>
      <c r="V357" s="78"/>
      <c r="W357" s="78"/>
      <c r="X357" s="78"/>
      <c r="Y357" s="78"/>
      <c r="Z357" s="167" t="e">
        <f t="shared" ca="1" si="40"/>
        <v>#N/A</v>
      </c>
      <c r="AA357" s="168" t="e">
        <f t="shared" ca="1" si="42"/>
        <v>#N/A</v>
      </c>
      <c r="AB357" s="167">
        <f t="shared" ca="1" si="41"/>
        <v>0</v>
      </c>
      <c r="AC357" s="168">
        <f t="shared" ca="1" si="43"/>
        <v>0</v>
      </c>
      <c r="AD357" s="191">
        <f t="shared" ca="1" si="44"/>
        <v>46259.633973495373</v>
      </c>
      <c r="AE357" s="167">
        <f t="shared" si="45"/>
        <v>0</v>
      </c>
      <c r="AF357" s="168">
        <f t="shared" si="46"/>
        <v>0</v>
      </c>
      <c r="AG357" s="168">
        <f t="shared" si="47"/>
        <v>0</v>
      </c>
      <c r="AH357" s="81" t="e" cm="1">
        <f t="array" aca="1" ref="AH357" ca="1">IF((AD357) &lt; (INDEX(ResponseSLA[#All],(MATCH((G357),ResponseSLA[Priority],0))+1,3)),"YES","No")</f>
        <v>#N/A</v>
      </c>
      <c r="AI357" s="81" t="str">
        <f>_xlfn.IFNA(IF(AE357 &lt; (INDEX(SLATable[Minimum SLA],MATCH(G357,SLATable[Priority],0))),"YES","NO"),"")</f>
        <v/>
      </c>
      <c r="AJ357" s="19" t="str">
        <f>_xlfn.IFNA(IF(AE357 &lt; (INDEX(SLATable[Maximum SLA],MATCH(G357,SLATable[Priority],0))),"YES","NO"),"")</f>
        <v/>
      </c>
    </row>
    <row r="358" spans="1:36" ht="15" customHeight="1">
      <c r="A358" s="78"/>
      <c r="B358" s="78"/>
      <c r="C358" s="78"/>
      <c r="D358" s="78"/>
      <c r="E358" s="78"/>
      <c r="F358" s="78"/>
      <c r="G358" s="78"/>
      <c r="H358" s="86"/>
      <c r="I358" s="78"/>
      <c r="J358" s="86"/>
      <c r="K358" s="277"/>
      <c r="L358" s="277"/>
      <c r="M358" s="277"/>
      <c r="N358" s="277"/>
      <c r="O358" s="80"/>
      <c r="P358" s="80"/>
      <c r="Q358" s="78"/>
      <c r="R358" s="78"/>
      <c r="S358" s="78"/>
      <c r="T358" s="78"/>
      <c r="U358" s="78"/>
      <c r="V358" s="78"/>
      <c r="W358" s="78"/>
      <c r="X358" s="78"/>
      <c r="Y358" s="78"/>
      <c r="Z358" s="167" t="e">
        <f t="shared" ca="1" si="40"/>
        <v>#N/A</v>
      </c>
      <c r="AA358" s="168" t="e">
        <f t="shared" ca="1" si="42"/>
        <v>#N/A</v>
      </c>
      <c r="AB358" s="167">
        <f t="shared" ca="1" si="41"/>
        <v>0</v>
      </c>
      <c r="AC358" s="168">
        <f t="shared" ca="1" si="43"/>
        <v>0</v>
      </c>
      <c r="AD358" s="191">
        <f t="shared" ca="1" si="44"/>
        <v>46259.633973495373</v>
      </c>
      <c r="AE358" s="167">
        <f t="shared" si="45"/>
        <v>0</v>
      </c>
      <c r="AF358" s="168">
        <f t="shared" si="46"/>
        <v>0</v>
      </c>
      <c r="AG358" s="168">
        <f t="shared" si="47"/>
        <v>0</v>
      </c>
      <c r="AH358" s="81" t="e" cm="1">
        <f t="array" aca="1" ref="AH358" ca="1">IF((AD358) &lt; (INDEX(ResponseSLA[#All],(MATCH((G358),ResponseSLA[Priority],0))+1,3)),"YES","No")</f>
        <v>#N/A</v>
      </c>
      <c r="AI358" s="81" t="str">
        <f>_xlfn.IFNA(IF(AE358 &lt; (INDEX(SLATable[Minimum SLA],MATCH(G358,SLATable[Priority],0))),"YES","NO"),"")</f>
        <v/>
      </c>
      <c r="AJ358" s="19" t="str">
        <f>_xlfn.IFNA(IF(AE358 &lt; (INDEX(SLATable[Maximum SLA],MATCH(G358,SLATable[Priority],0))),"YES","NO"),"")</f>
        <v/>
      </c>
    </row>
    <row r="359" spans="1:36" ht="15" customHeight="1">
      <c r="A359" s="78"/>
      <c r="B359" s="78"/>
      <c r="C359" s="78"/>
      <c r="D359" s="78"/>
      <c r="E359" s="78"/>
      <c r="F359" s="78"/>
      <c r="G359" s="78"/>
      <c r="H359" s="86"/>
      <c r="I359" s="78"/>
      <c r="J359" s="86"/>
      <c r="K359" s="277"/>
      <c r="L359" s="277"/>
      <c r="M359" s="277"/>
      <c r="N359" s="277"/>
      <c r="O359" s="80"/>
      <c r="P359" s="80"/>
      <c r="Q359" s="78"/>
      <c r="R359" s="78"/>
      <c r="S359" s="78"/>
      <c r="T359" s="78"/>
      <c r="U359" s="78"/>
      <c r="V359" s="78"/>
      <c r="W359" s="78"/>
      <c r="X359" s="78"/>
      <c r="Y359" s="78"/>
      <c r="Z359" s="167" t="e">
        <f t="shared" ca="1" si="40"/>
        <v>#N/A</v>
      </c>
      <c r="AA359" s="168" t="e">
        <f t="shared" ca="1" si="42"/>
        <v>#N/A</v>
      </c>
      <c r="AB359" s="167">
        <f t="shared" ca="1" si="41"/>
        <v>0</v>
      </c>
      <c r="AC359" s="168">
        <f t="shared" ca="1" si="43"/>
        <v>0</v>
      </c>
      <c r="AD359" s="191">
        <f t="shared" ca="1" si="44"/>
        <v>46259.633973495373</v>
      </c>
      <c r="AE359" s="167">
        <f t="shared" si="45"/>
        <v>0</v>
      </c>
      <c r="AF359" s="168">
        <f t="shared" si="46"/>
        <v>0</v>
      </c>
      <c r="AG359" s="168">
        <f t="shared" si="47"/>
        <v>0</v>
      </c>
      <c r="AH359" s="81" t="e" cm="1">
        <f t="array" aca="1" ref="AH359" ca="1">IF((AD359) &lt; (INDEX(ResponseSLA[#All],(MATCH((G359),ResponseSLA[Priority],0))+1,3)),"YES","No")</f>
        <v>#N/A</v>
      </c>
      <c r="AI359" s="81" t="str">
        <f>_xlfn.IFNA(IF(AE359 &lt; (INDEX(SLATable[Minimum SLA],MATCH(G359,SLATable[Priority],0))),"YES","NO"),"")</f>
        <v/>
      </c>
      <c r="AJ359" s="19" t="str">
        <f>_xlfn.IFNA(IF(AE359 &lt; (INDEX(SLATable[Maximum SLA],MATCH(G359,SLATable[Priority],0))),"YES","NO"),"")</f>
        <v/>
      </c>
    </row>
    <row r="360" spans="1:36" ht="15" customHeight="1">
      <c r="A360" s="78"/>
      <c r="B360" s="78"/>
      <c r="C360" s="78"/>
      <c r="D360" s="78"/>
      <c r="E360" s="78"/>
      <c r="F360" s="78"/>
      <c r="G360" s="78"/>
      <c r="H360" s="86"/>
      <c r="I360" s="78"/>
      <c r="J360" s="86"/>
      <c r="K360" s="277"/>
      <c r="L360" s="277"/>
      <c r="M360" s="277"/>
      <c r="N360" s="277"/>
      <c r="O360" s="80"/>
      <c r="P360" s="80"/>
      <c r="Q360" s="78"/>
      <c r="R360" s="78"/>
      <c r="S360" s="78"/>
      <c r="T360" s="78"/>
      <c r="U360" s="78"/>
      <c r="V360" s="78"/>
      <c r="W360" s="78"/>
      <c r="X360" s="78"/>
      <c r="Y360" s="78"/>
      <c r="Z360" s="167" t="e">
        <f t="shared" ca="1" si="40"/>
        <v>#N/A</v>
      </c>
      <c r="AA360" s="168" t="e">
        <f t="shared" ca="1" si="42"/>
        <v>#N/A</v>
      </c>
      <c r="AB360" s="167">
        <f t="shared" ca="1" si="41"/>
        <v>0</v>
      </c>
      <c r="AC360" s="168">
        <f t="shared" ca="1" si="43"/>
        <v>0</v>
      </c>
      <c r="AD360" s="191">
        <f t="shared" ca="1" si="44"/>
        <v>46259.633973495373</v>
      </c>
      <c r="AE360" s="167">
        <f t="shared" si="45"/>
        <v>0</v>
      </c>
      <c r="AF360" s="168">
        <f t="shared" si="46"/>
        <v>0</v>
      </c>
      <c r="AG360" s="168">
        <f t="shared" si="47"/>
        <v>0</v>
      </c>
      <c r="AH360" s="81" t="e" cm="1">
        <f t="array" aca="1" ref="AH360" ca="1">IF((AD360) &lt; (INDEX(ResponseSLA[#All],(MATCH((G360),ResponseSLA[Priority],0))+1,3)),"YES","No")</f>
        <v>#N/A</v>
      </c>
      <c r="AI360" s="81" t="str">
        <f>_xlfn.IFNA(IF(AE360 &lt; (INDEX(SLATable[Minimum SLA],MATCH(G360,SLATable[Priority],0))),"YES","NO"),"")</f>
        <v/>
      </c>
      <c r="AJ360" s="19" t="str">
        <f>_xlfn.IFNA(IF(AE360 &lt; (INDEX(SLATable[Maximum SLA],MATCH(G360,SLATable[Priority],0))),"YES","NO"),"")</f>
        <v/>
      </c>
    </row>
    <row r="361" spans="1:36" ht="15" customHeight="1">
      <c r="A361" s="78"/>
      <c r="B361" s="78"/>
      <c r="C361" s="78"/>
      <c r="D361" s="78"/>
      <c r="E361" s="78"/>
      <c r="F361" s="78"/>
      <c r="G361" s="78"/>
      <c r="H361" s="86"/>
      <c r="I361" s="78"/>
      <c r="J361" s="86"/>
      <c r="K361" s="277"/>
      <c r="L361" s="277"/>
      <c r="M361" s="277"/>
      <c r="N361" s="277"/>
      <c r="O361" s="80"/>
      <c r="P361" s="80"/>
      <c r="Q361" s="78"/>
      <c r="R361" s="78"/>
      <c r="S361" s="78"/>
      <c r="T361" s="78"/>
      <c r="U361" s="78"/>
      <c r="V361" s="78"/>
      <c r="W361" s="78"/>
      <c r="X361" s="78"/>
      <c r="Y361" s="78"/>
      <c r="Z361" s="167" t="e">
        <f t="shared" ca="1" si="40"/>
        <v>#N/A</v>
      </c>
      <c r="AA361" s="168" t="e">
        <f t="shared" ca="1" si="42"/>
        <v>#N/A</v>
      </c>
      <c r="AB361" s="167">
        <f t="shared" ca="1" si="41"/>
        <v>0</v>
      </c>
      <c r="AC361" s="168">
        <f t="shared" ca="1" si="43"/>
        <v>0</v>
      </c>
      <c r="AD361" s="191">
        <f t="shared" ca="1" si="44"/>
        <v>46259.633973495373</v>
      </c>
      <c r="AE361" s="167">
        <f t="shared" si="45"/>
        <v>0</v>
      </c>
      <c r="AF361" s="168">
        <f t="shared" si="46"/>
        <v>0</v>
      </c>
      <c r="AG361" s="168">
        <f t="shared" si="47"/>
        <v>0</v>
      </c>
      <c r="AH361" s="81" t="e" cm="1">
        <f t="array" aca="1" ref="AH361" ca="1">IF((AD361) &lt; (INDEX(ResponseSLA[#All],(MATCH((G361),ResponseSLA[Priority],0))+1,3)),"YES","No")</f>
        <v>#N/A</v>
      </c>
      <c r="AI361" s="81" t="str">
        <f>_xlfn.IFNA(IF(AE361 &lt; (INDEX(SLATable[Minimum SLA],MATCH(G361,SLATable[Priority],0))),"YES","NO"),"")</f>
        <v/>
      </c>
      <c r="AJ361" s="19" t="str">
        <f>_xlfn.IFNA(IF(AE361 &lt; (INDEX(SLATable[Maximum SLA],MATCH(G361,SLATable[Priority],0))),"YES","NO"),"")</f>
        <v/>
      </c>
    </row>
    <row r="362" spans="1:36" ht="15" customHeight="1">
      <c r="A362" s="78"/>
      <c r="B362" s="78"/>
      <c r="C362" s="78"/>
      <c r="D362" s="78"/>
      <c r="E362" s="78"/>
      <c r="F362" s="78"/>
      <c r="G362" s="78"/>
      <c r="H362" s="86"/>
      <c r="I362" s="78"/>
      <c r="J362" s="86"/>
      <c r="K362" s="277"/>
      <c r="L362" s="277"/>
      <c r="M362" s="277"/>
      <c r="N362" s="277"/>
      <c r="O362" s="80"/>
      <c r="P362" s="80"/>
      <c r="Q362" s="78"/>
      <c r="R362" s="78"/>
      <c r="S362" s="78"/>
      <c r="T362" s="78"/>
      <c r="U362" s="78"/>
      <c r="V362" s="78"/>
      <c r="W362" s="78"/>
      <c r="X362" s="78"/>
      <c r="Y362" s="78"/>
      <c r="Z362" s="167" t="e">
        <f t="shared" ca="1" si="40"/>
        <v>#N/A</v>
      </c>
      <c r="AA362" s="168" t="e">
        <f t="shared" ca="1" si="42"/>
        <v>#N/A</v>
      </c>
      <c r="AB362" s="167">
        <f t="shared" ca="1" si="41"/>
        <v>0</v>
      </c>
      <c r="AC362" s="168">
        <f t="shared" ca="1" si="43"/>
        <v>0</v>
      </c>
      <c r="AD362" s="191">
        <f t="shared" ca="1" si="44"/>
        <v>46259.633973495373</v>
      </c>
      <c r="AE362" s="167">
        <f t="shared" si="45"/>
        <v>0</v>
      </c>
      <c r="AF362" s="168">
        <f t="shared" si="46"/>
        <v>0</v>
      </c>
      <c r="AG362" s="168">
        <f t="shared" si="47"/>
        <v>0</v>
      </c>
      <c r="AH362" s="81" t="e" cm="1">
        <f t="array" aca="1" ref="AH362" ca="1">IF((AD362) &lt; (INDEX(ResponseSLA[#All],(MATCH((G362),ResponseSLA[Priority],0))+1,3)),"YES","No")</f>
        <v>#N/A</v>
      </c>
      <c r="AI362" s="81" t="str">
        <f>_xlfn.IFNA(IF(AE362 &lt; (INDEX(SLATable[Minimum SLA],MATCH(G362,SLATable[Priority],0))),"YES","NO"),"")</f>
        <v/>
      </c>
      <c r="AJ362" s="19" t="str">
        <f>_xlfn.IFNA(IF(AE362 &lt; (INDEX(SLATable[Maximum SLA],MATCH(G362,SLATable[Priority],0))),"YES","NO"),"")</f>
        <v/>
      </c>
    </row>
    <row r="363" spans="1:36" ht="15" customHeight="1">
      <c r="A363" s="78"/>
      <c r="B363" s="78"/>
      <c r="C363" s="78"/>
      <c r="D363" s="78"/>
      <c r="E363" s="78"/>
      <c r="F363" s="78"/>
      <c r="G363" s="78"/>
      <c r="H363" s="86"/>
      <c r="I363" s="78"/>
      <c r="J363" s="86"/>
      <c r="K363" s="277"/>
      <c r="L363" s="277"/>
      <c r="M363" s="277"/>
      <c r="N363" s="277"/>
      <c r="O363" s="80"/>
      <c r="P363" s="80"/>
      <c r="Q363" s="78"/>
      <c r="R363" s="78"/>
      <c r="S363" s="78"/>
      <c r="T363" s="78"/>
      <c r="U363" s="78"/>
      <c r="V363" s="78"/>
      <c r="W363" s="78"/>
      <c r="X363" s="78"/>
      <c r="Y363" s="78"/>
      <c r="Z363" s="167" t="e">
        <f t="shared" ca="1" si="40"/>
        <v>#N/A</v>
      </c>
      <c r="AA363" s="168" t="e">
        <f t="shared" ca="1" si="42"/>
        <v>#N/A</v>
      </c>
      <c r="AB363" s="167">
        <f t="shared" ca="1" si="41"/>
        <v>0</v>
      </c>
      <c r="AC363" s="168">
        <f t="shared" ca="1" si="43"/>
        <v>0</v>
      </c>
      <c r="AD363" s="191">
        <f t="shared" ca="1" si="44"/>
        <v>46259.633973495373</v>
      </c>
      <c r="AE363" s="167">
        <f t="shared" si="45"/>
        <v>0</v>
      </c>
      <c r="AF363" s="168">
        <f t="shared" si="46"/>
        <v>0</v>
      </c>
      <c r="AG363" s="168">
        <f t="shared" si="47"/>
        <v>0</v>
      </c>
      <c r="AH363" s="81" t="e" cm="1">
        <f t="array" aca="1" ref="AH363" ca="1">IF((AD363) &lt; (INDEX(ResponseSLA[#All],(MATCH((G363),ResponseSLA[Priority],0))+1,3)),"YES","No")</f>
        <v>#N/A</v>
      </c>
      <c r="AI363" s="81" t="str">
        <f>_xlfn.IFNA(IF(AE363 &lt; (INDEX(SLATable[Minimum SLA],MATCH(G363,SLATable[Priority],0))),"YES","NO"),"")</f>
        <v/>
      </c>
      <c r="AJ363" s="19" t="str">
        <f>_xlfn.IFNA(IF(AE363 &lt; (INDEX(SLATable[Maximum SLA],MATCH(G363,SLATable[Priority],0))),"YES","NO"),"")</f>
        <v/>
      </c>
    </row>
    <row r="364" spans="1:36" ht="15" customHeight="1">
      <c r="A364" s="78"/>
      <c r="B364" s="78"/>
      <c r="C364" s="78"/>
      <c r="D364" s="78"/>
      <c r="E364" s="78"/>
      <c r="F364" s="78"/>
      <c r="G364" s="78"/>
      <c r="H364" s="86"/>
      <c r="I364" s="78"/>
      <c r="J364" s="86"/>
      <c r="K364" s="277"/>
      <c r="L364" s="277"/>
      <c r="M364" s="277"/>
      <c r="N364" s="277"/>
      <c r="O364" s="80"/>
      <c r="P364" s="80"/>
      <c r="Q364" s="78"/>
      <c r="R364" s="78"/>
      <c r="S364" s="78"/>
      <c r="T364" s="78"/>
      <c r="U364" s="78"/>
      <c r="V364" s="78"/>
      <c r="W364" s="78"/>
      <c r="X364" s="78"/>
      <c r="Y364" s="78"/>
      <c r="Z364" s="167" t="e">
        <f t="shared" ca="1" si="40"/>
        <v>#N/A</v>
      </c>
      <c r="AA364" s="168" t="e">
        <f t="shared" ca="1" si="42"/>
        <v>#N/A</v>
      </c>
      <c r="AB364" s="167">
        <f t="shared" ca="1" si="41"/>
        <v>0</v>
      </c>
      <c r="AC364" s="168">
        <f t="shared" ca="1" si="43"/>
        <v>0</v>
      </c>
      <c r="AD364" s="191">
        <f t="shared" ca="1" si="44"/>
        <v>46259.633973495373</v>
      </c>
      <c r="AE364" s="167">
        <f t="shared" si="45"/>
        <v>0</v>
      </c>
      <c r="AF364" s="168">
        <f t="shared" si="46"/>
        <v>0</v>
      </c>
      <c r="AG364" s="168">
        <f t="shared" si="47"/>
        <v>0</v>
      </c>
      <c r="AH364" s="81" t="e" cm="1">
        <f t="array" aca="1" ref="AH364" ca="1">IF((AD364) &lt; (INDEX(ResponseSLA[#All],(MATCH((G364),ResponseSLA[Priority],0))+1,3)),"YES","No")</f>
        <v>#N/A</v>
      </c>
      <c r="AI364" s="81" t="str">
        <f>_xlfn.IFNA(IF(AE364 &lt; (INDEX(SLATable[Minimum SLA],MATCH(G364,SLATable[Priority],0))),"YES","NO"),"")</f>
        <v/>
      </c>
      <c r="AJ364" s="19" t="str">
        <f>_xlfn.IFNA(IF(AE364 &lt; (INDEX(SLATable[Maximum SLA],MATCH(G364,SLATable[Priority],0))),"YES","NO"),"")</f>
        <v/>
      </c>
    </row>
    <row r="365" spans="1:36" ht="15" customHeight="1">
      <c r="A365" s="78"/>
      <c r="B365" s="78"/>
      <c r="C365" s="78"/>
      <c r="D365" s="78"/>
      <c r="E365" s="78"/>
      <c r="F365" s="78"/>
      <c r="G365" s="78"/>
      <c r="H365" s="86"/>
      <c r="I365" s="78"/>
      <c r="J365" s="86"/>
      <c r="K365" s="277"/>
      <c r="L365" s="277"/>
      <c r="M365" s="277"/>
      <c r="N365" s="277"/>
      <c r="O365" s="80"/>
      <c r="P365" s="80"/>
      <c r="Q365" s="78"/>
      <c r="R365" s="78"/>
      <c r="S365" s="78"/>
      <c r="T365" s="78"/>
      <c r="U365" s="78"/>
      <c r="V365" s="78"/>
      <c r="W365" s="78"/>
      <c r="X365" s="78"/>
      <c r="Y365" s="78"/>
      <c r="Z365" s="167" t="e">
        <f t="shared" ca="1" si="40"/>
        <v>#N/A</v>
      </c>
      <c r="AA365" s="168" t="e">
        <f t="shared" ca="1" si="42"/>
        <v>#N/A</v>
      </c>
      <c r="AB365" s="167">
        <f t="shared" ca="1" si="41"/>
        <v>0</v>
      </c>
      <c r="AC365" s="168">
        <f t="shared" ca="1" si="43"/>
        <v>0</v>
      </c>
      <c r="AD365" s="191">
        <f t="shared" ca="1" si="44"/>
        <v>46259.633973495373</v>
      </c>
      <c r="AE365" s="167">
        <f t="shared" si="45"/>
        <v>0</v>
      </c>
      <c r="AF365" s="168">
        <f t="shared" si="46"/>
        <v>0</v>
      </c>
      <c r="AG365" s="168">
        <f t="shared" si="47"/>
        <v>0</v>
      </c>
      <c r="AH365" s="81" t="e" cm="1">
        <f t="array" aca="1" ref="AH365" ca="1">IF((AD365) &lt; (INDEX(ResponseSLA[#All],(MATCH((G365),ResponseSLA[Priority],0))+1,3)),"YES","No")</f>
        <v>#N/A</v>
      </c>
      <c r="AI365" s="81" t="str">
        <f>_xlfn.IFNA(IF(AE365 &lt; (INDEX(SLATable[Minimum SLA],MATCH(G365,SLATable[Priority],0))),"YES","NO"),"")</f>
        <v/>
      </c>
      <c r="AJ365" s="19" t="str">
        <f>_xlfn.IFNA(IF(AE365 &lt; (INDEX(SLATable[Maximum SLA],MATCH(G365,SLATable[Priority],0))),"YES","NO"),"")</f>
        <v/>
      </c>
    </row>
    <row r="366" spans="1:36" ht="15" customHeight="1">
      <c r="A366" s="78"/>
      <c r="B366" s="78"/>
      <c r="C366" s="78"/>
      <c r="D366" s="78"/>
      <c r="E366" s="78"/>
      <c r="F366" s="78"/>
      <c r="G366" s="78"/>
      <c r="H366" s="86"/>
      <c r="I366" s="78"/>
      <c r="J366" s="86"/>
      <c r="K366" s="277"/>
      <c r="L366" s="277"/>
      <c r="M366" s="277"/>
      <c r="N366" s="277"/>
      <c r="O366" s="80"/>
      <c r="P366" s="80"/>
      <c r="Q366" s="78"/>
      <c r="R366" s="78"/>
      <c r="S366" s="78"/>
      <c r="T366" s="78"/>
      <c r="U366" s="78"/>
      <c r="V366" s="78"/>
      <c r="W366" s="78"/>
      <c r="X366" s="78"/>
      <c r="Y366" s="78"/>
      <c r="Z366" s="167" t="e">
        <f t="shared" ca="1" si="40"/>
        <v>#N/A</v>
      </c>
      <c r="AA366" s="168" t="e">
        <f t="shared" ca="1" si="42"/>
        <v>#N/A</v>
      </c>
      <c r="AB366" s="167">
        <f t="shared" ca="1" si="41"/>
        <v>0</v>
      </c>
      <c r="AC366" s="168">
        <f t="shared" ca="1" si="43"/>
        <v>0</v>
      </c>
      <c r="AD366" s="191">
        <f t="shared" ca="1" si="44"/>
        <v>46259.633973495373</v>
      </c>
      <c r="AE366" s="167">
        <f t="shared" si="45"/>
        <v>0</v>
      </c>
      <c r="AF366" s="168">
        <f t="shared" si="46"/>
        <v>0</v>
      </c>
      <c r="AG366" s="168">
        <f t="shared" si="47"/>
        <v>0</v>
      </c>
      <c r="AH366" s="81" t="e" cm="1">
        <f t="array" aca="1" ref="AH366" ca="1">IF((AD366) &lt; (INDEX(ResponseSLA[#All],(MATCH((G366),ResponseSLA[Priority],0))+1,3)),"YES","No")</f>
        <v>#N/A</v>
      </c>
      <c r="AI366" s="81" t="str">
        <f>_xlfn.IFNA(IF(AE366 &lt; (INDEX(SLATable[Minimum SLA],MATCH(G366,SLATable[Priority],0))),"YES","NO"),"")</f>
        <v/>
      </c>
      <c r="AJ366" s="19" t="str">
        <f>_xlfn.IFNA(IF(AE366 &lt; (INDEX(SLATable[Maximum SLA],MATCH(G366,SLATable[Priority],0))),"YES","NO"),"")</f>
        <v/>
      </c>
    </row>
    <row r="367" spans="1:36" ht="15" customHeight="1">
      <c r="A367" s="78"/>
      <c r="B367" s="78"/>
      <c r="C367" s="78"/>
      <c r="D367" s="78"/>
      <c r="E367" s="78"/>
      <c r="F367" s="78"/>
      <c r="G367" s="78"/>
      <c r="H367" s="86"/>
      <c r="I367" s="78"/>
      <c r="J367" s="86"/>
      <c r="K367" s="277"/>
      <c r="L367" s="277"/>
      <c r="M367" s="277"/>
      <c r="N367" s="277"/>
      <c r="O367" s="80"/>
      <c r="P367" s="80"/>
      <c r="Q367" s="78"/>
      <c r="R367" s="78"/>
      <c r="S367" s="78"/>
      <c r="T367" s="78"/>
      <c r="U367" s="78"/>
      <c r="V367" s="78"/>
      <c r="W367" s="78"/>
      <c r="X367" s="78"/>
      <c r="Y367" s="78"/>
      <c r="Z367" s="167" t="e">
        <f t="shared" ca="1" si="40"/>
        <v>#N/A</v>
      </c>
      <c r="AA367" s="168" t="e">
        <f t="shared" ca="1" si="42"/>
        <v>#N/A</v>
      </c>
      <c r="AB367" s="167">
        <f t="shared" ca="1" si="41"/>
        <v>0</v>
      </c>
      <c r="AC367" s="168">
        <f t="shared" ca="1" si="43"/>
        <v>0</v>
      </c>
      <c r="AD367" s="191">
        <f t="shared" ca="1" si="44"/>
        <v>46259.633973495373</v>
      </c>
      <c r="AE367" s="167">
        <f t="shared" si="45"/>
        <v>0</v>
      </c>
      <c r="AF367" s="168">
        <f t="shared" si="46"/>
        <v>0</v>
      </c>
      <c r="AG367" s="168">
        <f t="shared" si="47"/>
        <v>0</v>
      </c>
      <c r="AH367" s="81" t="e" cm="1">
        <f t="array" aca="1" ref="AH367" ca="1">IF((AD367) &lt; (INDEX(ResponseSLA[#All],(MATCH((G367),ResponseSLA[Priority],0))+1,3)),"YES","No")</f>
        <v>#N/A</v>
      </c>
      <c r="AI367" s="81" t="str">
        <f>_xlfn.IFNA(IF(AE367 &lt; (INDEX(SLATable[Minimum SLA],MATCH(G367,SLATable[Priority],0))),"YES","NO"),"")</f>
        <v/>
      </c>
      <c r="AJ367" s="19" t="str">
        <f>_xlfn.IFNA(IF(AE367 &lt; (INDEX(SLATable[Maximum SLA],MATCH(G367,SLATable[Priority],0))),"YES","NO"),"")</f>
        <v/>
      </c>
    </row>
    <row r="368" spans="1:36" ht="15" customHeight="1">
      <c r="A368" s="78"/>
      <c r="B368" s="78"/>
      <c r="C368" s="78"/>
      <c r="D368" s="78"/>
      <c r="E368" s="78"/>
      <c r="F368" s="78"/>
      <c r="G368" s="78"/>
      <c r="H368" s="86"/>
      <c r="I368" s="78"/>
      <c r="J368" s="86"/>
      <c r="K368" s="277"/>
      <c r="L368" s="277"/>
      <c r="M368" s="277"/>
      <c r="N368" s="277"/>
      <c r="O368" s="80"/>
      <c r="P368" s="80"/>
      <c r="Q368" s="78"/>
      <c r="R368" s="78"/>
      <c r="S368" s="78"/>
      <c r="T368" s="78"/>
      <c r="U368" s="78"/>
      <c r="V368" s="78"/>
      <c r="W368" s="78"/>
      <c r="X368" s="78"/>
      <c r="Y368" s="78"/>
      <c r="Z368" s="167" t="e">
        <f t="shared" ca="1" si="40"/>
        <v>#N/A</v>
      </c>
      <c r="AA368" s="168" t="e">
        <f t="shared" ca="1" si="42"/>
        <v>#N/A</v>
      </c>
      <c r="AB368" s="167">
        <f t="shared" ca="1" si="41"/>
        <v>0</v>
      </c>
      <c r="AC368" s="168">
        <f t="shared" ca="1" si="43"/>
        <v>0</v>
      </c>
      <c r="AD368" s="191">
        <f t="shared" ca="1" si="44"/>
        <v>46259.633973495373</v>
      </c>
      <c r="AE368" s="167">
        <f t="shared" si="45"/>
        <v>0</v>
      </c>
      <c r="AF368" s="168">
        <f t="shared" si="46"/>
        <v>0</v>
      </c>
      <c r="AG368" s="168">
        <f t="shared" si="47"/>
        <v>0</v>
      </c>
      <c r="AH368" s="81" t="e" cm="1">
        <f t="array" aca="1" ref="AH368" ca="1">IF((AD368) &lt; (INDEX(ResponseSLA[#All],(MATCH((G368),ResponseSLA[Priority],0))+1,3)),"YES","No")</f>
        <v>#N/A</v>
      </c>
      <c r="AI368" s="81" t="str">
        <f>_xlfn.IFNA(IF(AE368 &lt; (INDEX(SLATable[Minimum SLA],MATCH(G368,SLATable[Priority],0))),"YES","NO"),"")</f>
        <v/>
      </c>
      <c r="AJ368" s="19" t="str">
        <f>_xlfn.IFNA(IF(AE368 &lt; (INDEX(SLATable[Maximum SLA],MATCH(G368,SLATable[Priority],0))),"YES","NO"),"")</f>
        <v/>
      </c>
    </row>
    <row r="369" spans="1:36" ht="15" customHeight="1">
      <c r="A369" s="78"/>
      <c r="B369" s="78"/>
      <c r="C369" s="78"/>
      <c r="D369" s="78"/>
      <c r="E369" s="78"/>
      <c r="F369" s="78"/>
      <c r="G369" s="78"/>
      <c r="H369" s="86"/>
      <c r="I369" s="78"/>
      <c r="J369" s="86"/>
      <c r="K369" s="277"/>
      <c r="L369" s="277"/>
      <c r="M369" s="277"/>
      <c r="N369" s="277"/>
      <c r="O369" s="80"/>
      <c r="P369" s="80"/>
      <c r="Q369" s="78"/>
      <c r="R369" s="78"/>
      <c r="S369" s="78"/>
      <c r="T369" s="78"/>
      <c r="U369" s="78"/>
      <c r="V369" s="78"/>
      <c r="W369" s="78"/>
      <c r="X369" s="78"/>
      <c r="Y369" s="78"/>
      <c r="Z369" s="167" t="e">
        <f t="shared" ca="1" si="40"/>
        <v>#N/A</v>
      </c>
      <c r="AA369" s="168" t="e">
        <f t="shared" ca="1" si="42"/>
        <v>#N/A</v>
      </c>
      <c r="AB369" s="167">
        <f t="shared" ca="1" si="41"/>
        <v>0</v>
      </c>
      <c r="AC369" s="168">
        <f t="shared" ca="1" si="43"/>
        <v>0</v>
      </c>
      <c r="AD369" s="191">
        <f t="shared" ca="1" si="44"/>
        <v>46259.633973495373</v>
      </c>
      <c r="AE369" s="167">
        <f t="shared" si="45"/>
        <v>0</v>
      </c>
      <c r="AF369" s="168">
        <f t="shared" si="46"/>
        <v>0</v>
      </c>
      <c r="AG369" s="168">
        <f t="shared" si="47"/>
        <v>0</v>
      </c>
      <c r="AH369" s="81" t="e" cm="1">
        <f t="array" aca="1" ref="AH369" ca="1">IF((AD369) &lt; (INDEX(ResponseSLA[#All],(MATCH((G369),ResponseSLA[Priority],0))+1,3)),"YES","No")</f>
        <v>#N/A</v>
      </c>
      <c r="AI369" s="81" t="str">
        <f>_xlfn.IFNA(IF(AE369 &lt; (INDEX(SLATable[Minimum SLA],MATCH(G369,SLATable[Priority],0))),"YES","NO"),"")</f>
        <v/>
      </c>
      <c r="AJ369" s="19" t="str">
        <f>_xlfn.IFNA(IF(AE369 &lt; (INDEX(SLATable[Maximum SLA],MATCH(G369,SLATable[Priority],0))),"YES","NO"),"")</f>
        <v/>
      </c>
    </row>
    <row r="370" spans="1:36" ht="15" customHeight="1">
      <c r="A370" s="78"/>
      <c r="B370" s="78"/>
      <c r="C370" s="78"/>
      <c r="D370" s="78"/>
      <c r="E370" s="78"/>
      <c r="F370" s="78"/>
      <c r="G370" s="78"/>
      <c r="H370" s="86"/>
      <c r="I370" s="78"/>
      <c r="J370" s="86"/>
      <c r="K370" s="277"/>
      <c r="L370" s="277"/>
      <c r="M370" s="277"/>
      <c r="N370" s="277"/>
      <c r="O370" s="80"/>
      <c r="P370" s="80"/>
      <c r="Q370" s="78"/>
      <c r="R370" s="78"/>
      <c r="S370" s="78"/>
      <c r="T370" s="78"/>
      <c r="U370" s="78"/>
      <c r="V370" s="78"/>
      <c r="W370" s="78"/>
      <c r="X370" s="78"/>
      <c r="Y370" s="78"/>
      <c r="Z370" s="167" t="e">
        <f t="shared" ca="1" si="40"/>
        <v>#N/A</v>
      </c>
      <c r="AA370" s="168" t="e">
        <f t="shared" ca="1" si="42"/>
        <v>#N/A</v>
      </c>
      <c r="AB370" s="167">
        <f t="shared" ca="1" si="41"/>
        <v>0</v>
      </c>
      <c r="AC370" s="168">
        <f t="shared" ca="1" si="43"/>
        <v>0</v>
      </c>
      <c r="AD370" s="191">
        <f t="shared" ca="1" si="44"/>
        <v>46259.633973495373</v>
      </c>
      <c r="AE370" s="167">
        <f t="shared" si="45"/>
        <v>0</v>
      </c>
      <c r="AF370" s="168">
        <f t="shared" si="46"/>
        <v>0</v>
      </c>
      <c r="AG370" s="168">
        <f t="shared" si="47"/>
        <v>0</v>
      </c>
      <c r="AH370" s="81" t="e" cm="1">
        <f t="array" aca="1" ref="AH370" ca="1">IF((AD370) &lt; (INDEX(ResponseSLA[#All],(MATCH((G370),ResponseSLA[Priority],0))+1,3)),"YES","No")</f>
        <v>#N/A</v>
      </c>
      <c r="AI370" s="81" t="str">
        <f>_xlfn.IFNA(IF(AE370 &lt; (INDEX(SLATable[Minimum SLA],MATCH(G370,SLATable[Priority],0))),"YES","NO"),"")</f>
        <v/>
      </c>
      <c r="AJ370" s="19" t="str">
        <f>_xlfn.IFNA(IF(AE370 &lt; (INDEX(SLATable[Maximum SLA],MATCH(G370,SLATable[Priority],0))),"YES","NO"),"")</f>
        <v/>
      </c>
    </row>
    <row r="371" spans="1:36" ht="15" customHeight="1">
      <c r="A371" s="78"/>
      <c r="B371" s="78"/>
      <c r="C371" s="78"/>
      <c r="D371" s="78"/>
      <c r="E371" s="78"/>
      <c r="F371" s="78"/>
      <c r="G371" s="78"/>
      <c r="H371" s="86"/>
      <c r="I371" s="78"/>
      <c r="J371" s="86"/>
      <c r="K371" s="277"/>
      <c r="L371" s="277"/>
      <c r="M371" s="277"/>
      <c r="N371" s="277"/>
      <c r="O371" s="80"/>
      <c r="P371" s="80"/>
      <c r="Q371" s="78"/>
      <c r="R371" s="78"/>
      <c r="S371" s="78"/>
      <c r="T371" s="78"/>
      <c r="U371" s="78"/>
      <c r="V371" s="78"/>
      <c r="W371" s="78"/>
      <c r="X371" s="78"/>
      <c r="Y371" s="78"/>
      <c r="Z371" s="167" t="e">
        <f t="shared" ca="1" si="40"/>
        <v>#N/A</v>
      </c>
      <c r="AA371" s="168" t="e">
        <f t="shared" ca="1" si="42"/>
        <v>#N/A</v>
      </c>
      <c r="AB371" s="167">
        <f t="shared" ca="1" si="41"/>
        <v>0</v>
      </c>
      <c r="AC371" s="168">
        <f t="shared" ca="1" si="43"/>
        <v>0</v>
      </c>
      <c r="AD371" s="191">
        <f t="shared" ca="1" si="44"/>
        <v>46259.633973495373</v>
      </c>
      <c r="AE371" s="167">
        <f t="shared" si="45"/>
        <v>0</v>
      </c>
      <c r="AF371" s="168">
        <f t="shared" si="46"/>
        <v>0</v>
      </c>
      <c r="AG371" s="168">
        <f t="shared" si="47"/>
        <v>0</v>
      </c>
      <c r="AH371" s="81" t="e" cm="1">
        <f t="array" aca="1" ref="AH371" ca="1">IF((AD371) &lt; (INDEX(ResponseSLA[#All],(MATCH((G371),ResponseSLA[Priority],0))+1,3)),"YES","No")</f>
        <v>#N/A</v>
      </c>
      <c r="AI371" s="81" t="str">
        <f>_xlfn.IFNA(IF(AE371 &lt; (INDEX(SLATable[Minimum SLA],MATCH(G371,SLATable[Priority],0))),"YES","NO"),"")</f>
        <v/>
      </c>
      <c r="AJ371" s="19" t="str">
        <f>_xlfn.IFNA(IF(AE371 &lt; (INDEX(SLATable[Maximum SLA],MATCH(G371,SLATable[Priority],0))),"YES","NO"),"")</f>
        <v/>
      </c>
    </row>
    <row r="372" spans="1:36" ht="15" customHeight="1">
      <c r="A372" s="78"/>
      <c r="B372" s="78"/>
      <c r="C372" s="78"/>
      <c r="D372" s="78"/>
      <c r="E372" s="78"/>
      <c r="F372" s="78"/>
      <c r="G372" s="78"/>
      <c r="H372" s="86"/>
      <c r="I372" s="78"/>
      <c r="J372" s="86"/>
      <c r="K372" s="277"/>
      <c r="L372" s="277"/>
      <c r="M372" s="277"/>
      <c r="N372" s="277"/>
      <c r="O372" s="80"/>
      <c r="P372" s="80"/>
      <c r="Q372" s="78"/>
      <c r="R372" s="78"/>
      <c r="S372" s="78"/>
      <c r="T372" s="78"/>
      <c r="U372" s="78"/>
      <c r="V372" s="78"/>
      <c r="W372" s="78"/>
      <c r="X372" s="78"/>
      <c r="Y372" s="78"/>
      <c r="Z372" s="167" t="e">
        <f t="shared" ca="1" si="40"/>
        <v>#N/A</v>
      </c>
      <c r="AA372" s="168" t="e">
        <f t="shared" ca="1" si="42"/>
        <v>#N/A</v>
      </c>
      <c r="AB372" s="167">
        <f t="shared" ca="1" si="41"/>
        <v>0</v>
      </c>
      <c r="AC372" s="168">
        <f t="shared" ca="1" si="43"/>
        <v>0</v>
      </c>
      <c r="AD372" s="191">
        <f t="shared" ca="1" si="44"/>
        <v>46259.633973495373</v>
      </c>
      <c r="AE372" s="167">
        <f t="shared" si="45"/>
        <v>0</v>
      </c>
      <c r="AF372" s="168">
        <f t="shared" si="46"/>
        <v>0</v>
      </c>
      <c r="AG372" s="168">
        <f t="shared" si="47"/>
        <v>0</v>
      </c>
      <c r="AH372" s="81" t="e" cm="1">
        <f t="array" aca="1" ref="AH372" ca="1">IF((AD372) &lt; (INDEX(ResponseSLA[#All],(MATCH((G372),ResponseSLA[Priority],0))+1,3)),"YES","No")</f>
        <v>#N/A</v>
      </c>
      <c r="AI372" s="81" t="str">
        <f>_xlfn.IFNA(IF(AE372 &lt; (INDEX(SLATable[Minimum SLA],MATCH(G372,SLATable[Priority],0))),"YES","NO"),"")</f>
        <v/>
      </c>
      <c r="AJ372" s="19" t="str">
        <f>_xlfn.IFNA(IF(AE372 &lt; (INDEX(SLATable[Maximum SLA],MATCH(G372,SLATable[Priority],0))),"YES","NO"),"")</f>
        <v/>
      </c>
    </row>
    <row r="373" spans="1:36" ht="15" customHeight="1">
      <c r="A373" s="78"/>
      <c r="B373" s="78"/>
      <c r="C373" s="78"/>
      <c r="D373" s="78"/>
      <c r="E373" s="78"/>
      <c r="F373" s="78"/>
      <c r="G373" s="78"/>
      <c r="H373" s="86"/>
      <c r="I373" s="78"/>
      <c r="J373" s="86"/>
      <c r="K373" s="277"/>
      <c r="L373" s="277"/>
      <c r="M373" s="277"/>
      <c r="N373" s="277"/>
      <c r="O373" s="80"/>
      <c r="P373" s="80"/>
      <c r="Q373" s="78"/>
      <c r="R373" s="78"/>
      <c r="S373" s="78"/>
      <c r="T373" s="78"/>
      <c r="U373" s="78"/>
      <c r="V373" s="78"/>
      <c r="W373" s="78"/>
      <c r="X373" s="78"/>
      <c r="Y373" s="78"/>
      <c r="Z373" s="167" t="e">
        <f t="shared" ca="1" si="40"/>
        <v>#N/A</v>
      </c>
      <c r="AA373" s="168" t="e">
        <f t="shared" ca="1" si="42"/>
        <v>#N/A</v>
      </c>
      <c r="AB373" s="167">
        <f t="shared" ca="1" si="41"/>
        <v>0</v>
      </c>
      <c r="AC373" s="168">
        <f t="shared" ca="1" si="43"/>
        <v>0</v>
      </c>
      <c r="AD373" s="191">
        <f t="shared" ca="1" si="44"/>
        <v>46259.633973495373</v>
      </c>
      <c r="AE373" s="167">
        <f t="shared" si="45"/>
        <v>0</v>
      </c>
      <c r="AF373" s="168">
        <f t="shared" si="46"/>
        <v>0</v>
      </c>
      <c r="AG373" s="168">
        <f t="shared" si="47"/>
        <v>0</v>
      </c>
      <c r="AH373" s="81" t="e" cm="1">
        <f t="array" aca="1" ref="AH373" ca="1">IF((AD373) &lt; (INDEX(ResponseSLA[#All],(MATCH((G373),ResponseSLA[Priority],0))+1,3)),"YES","No")</f>
        <v>#N/A</v>
      </c>
      <c r="AI373" s="81" t="str">
        <f>_xlfn.IFNA(IF(AE373 &lt; (INDEX(SLATable[Minimum SLA],MATCH(G373,SLATable[Priority],0))),"YES","NO"),"")</f>
        <v/>
      </c>
      <c r="AJ373" s="19" t="str">
        <f>_xlfn.IFNA(IF(AE373 &lt; (INDEX(SLATable[Maximum SLA],MATCH(G373,SLATable[Priority],0))),"YES","NO"),"")</f>
        <v/>
      </c>
    </row>
    <row r="374" spans="1:36" ht="15" customHeight="1">
      <c r="A374" s="78"/>
      <c r="B374" s="78"/>
      <c r="C374" s="78"/>
      <c r="D374" s="78"/>
      <c r="E374" s="78"/>
      <c r="F374" s="78"/>
      <c r="G374" s="78"/>
      <c r="H374" s="86"/>
      <c r="I374" s="78"/>
      <c r="J374" s="86"/>
      <c r="K374" s="277"/>
      <c r="L374" s="277"/>
      <c r="M374" s="277"/>
      <c r="N374" s="277"/>
      <c r="O374" s="80"/>
      <c r="P374" s="80"/>
      <c r="Q374" s="78"/>
      <c r="R374" s="78"/>
      <c r="S374" s="78"/>
      <c r="T374" s="78"/>
      <c r="U374" s="78"/>
      <c r="V374" s="78"/>
      <c r="W374" s="78"/>
      <c r="X374" s="78"/>
      <c r="Y374" s="78"/>
      <c r="Z374" s="167" t="e">
        <f t="shared" ca="1" si="40"/>
        <v>#N/A</v>
      </c>
      <c r="AA374" s="168" t="e">
        <f t="shared" ca="1" si="42"/>
        <v>#N/A</v>
      </c>
      <c r="AB374" s="167">
        <f t="shared" ca="1" si="41"/>
        <v>0</v>
      </c>
      <c r="AC374" s="168">
        <f t="shared" ca="1" si="43"/>
        <v>0</v>
      </c>
      <c r="AD374" s="191">
        <f t="shared" ca="1" si="44"/>
        <v>46259.633973495373</v>
      </c>
      <c r="AE374" s="167">
        <f t="shared" si="45"/>
        <v>0</v>
      </c>
      <c r="AF374" s="168">
        <f t="shared" si="46"/>
        <v>0</v>
      </c>
      <c r="AG374" s="168">
        <f t="shared" si="47"/>
        <v>0</v>
      </c>
      <c r="AH374" s="81" t="e" cm="1">
        <f t="array" aca="1" ref="AH374" ca="1">IF((AD374) &lt; (INDEX(ResponseSLA[#All],(MATCH((G374),ResponseSLA[Priority],0))+1,3)),"YES","No")</f>
        <v>#N/A</v>
      </c>
      <c r="AI374" s="81" t="str">
        <f>_xlfn.IFNA(IF(AE374 &lt; (INDEX(SLATable[Minimum SLA],MATCH(G374,SLATable[Priority],0))),"YES","NO"),"")</f>
        <v/>
      </c>
      <c r="AJ374" s="19" t="str">
        <f>_xlfn.IFNA(IF(AE374 &lt; (INDEX(SLATable[Maximum SLA],MATCH(G374,SLATable[Priority],0))),"YES","NO"),"")</f>
        <v/>
      </c>
    </row>
    <row r="375" spans="1:36" ht="15" customHeight="1">
      <c r="A375" s="78"/>
      <c r="B375" s="78"/>
      <c r="C375" s="78"/>
      <c r="D375" s="78"/>
      <c r="E375" s="78"/>
      <c r="F375" s="78"/>
      <c r="G375" s="78"/>
      <c r="H375" s="86"/>
      <c r="I375" s="78"/>
      <c r="J375" s="86"/>
      <c r="K375" s="277"/>
      <c r="L375" s="277"/>
      <c r="M375" s="277"/>
      <c r="N375" s="277"/>
      <c r="O375" s="80"/>
      <c r="P375" s="80"/>
      <c r="Q375" s="78"/>
      <c r="R375" s="78"/>
      <c r="S375" s="78"/>
      <c r="T375" s="78"/>
      <c r="U375" s="78"/>
      <c r="V375" s="78"/>
      <c r="W375" s="78"/>
      <c r="X375" s="78"/>
      <c r="Y375" s="78"/>
      <c r="Z375" s="167" t="e">
        <f t="shared" ref="Z375:Z402" ca="1" si="48">IF(NOT(OR(G375=1,G375=2)),MAX(0,_xlfn.IFS(AND(K375&lt;&gt;"",N375&lt;&gt;""),((MAX(NETWORKDAYS(K375,N375,UKBankHolidays)-1,0))*(TIME(17,0,0)-TIME(8,0,0))+IF(NETWORKDAYS(N375,N375,UKBankHolidays)&gt;0,MEDIAN(TIME(8,0,0),MOD(N375,1),TIME(17,0,0)),TIME(8,0,0))-IF(NETWORKDAYS(K375,K375,UKBankHolidays)&gt;0,MEDIAN(TIME(8,0,0),MOD(K375,1),TIME(17,0,0)),TIME(8,0,0)))-IF(AND(O375&lt;&gt;"",P375&lt;&gt;""),((MAX(NETWORKDAYS(O375,P375,UKBankHolidays)-1,0))*(TIME(17,0,0)-TIME(8,0,0))+IF(NETWORKDAYS(P375,P375,UKBankHolidays)&gt;0,MEDIAN(TIME(8,0,0),MOD(P375,1),TIME(17,0,0)),TIME(8,0,0))-IF(NETWORKDAYS(O375,O375,UKBankHolidays)&gt;0,MEDIAN(TIME(8,0,0),MOD(O375,1),TIME(17,0,0)),TIME(8,0,0))),0),AND(K375&lt;&gt;"",N375=""),((MAX(NETWORKDAYS(K375,NOW(),UKBankHolidays)-1,0))*(TIME(17,0,0)-TIME(8,0,0))+IF(NETWORKDAYS(NOW(),NOW(),UKBankHolidays)&gt;0,MEDIAN(TIME(8,0,0),MOD(NOW(),1),TIME(17,0,0)),TIME(8,0,0))-IF(NETWORKDAYS(K375,K375,UKBankHolidays)&gt;0,MEDIAN(TIME(8,0,0),MOD(K375,1),TIME(17,0,0)),TIME(8,0,0))))),IF(N375="",NOW()-K375,N375-K375))</f>
        <v>#N/A</v>
      </c>
      <c r="AA375" s="168" t="e">
        <f t="shared" ca="1" si="42"/>
        <v>#N/A</v>
      </c>
      <c r="AB375" s="167">
        <f t="shared" ref="AB375:AB402" ca="1" si="49">IF(NOT(OR(G375=1,G375=2)),MAX(0,_xlfn.IFS(AND(K375&lt;&gt;"",N375&lt;&gt;""),(((MAX(NETWORKDAYS(L375,N375,UKBankHolidays)-1,0))*(TIME(17,0,0)-TIME(8,0,0)))+IF(NETWORKDAYS(N375,N375,UKBankHolidays)&gt;0,MEDIAN(TIME(8,0,0),MOD(N375,1),TIME(17,0,0)),TIME(8,0,0))-IF(NETWORKDAYS(L375,L375,UKBankHolidays)&gt;0,MEDIAN(TIME(8,0,0),MOD(L375,1),TIME(17,0,0)),TIME(8,0,0)))-IF(AND(O375&lt;&gt;"",P375&lt;&gt;""),(((MAX(NETWORKDAYS(O375,P375,UKBankHolidays)-1,0))*(TIME(17,0,0)-TIME(8,0,0)))+IF(NETWORKDAYS(P375,P375,UKBankHolidays)&gt;0,MEDIAN(TIME(8,0,0),MOD(P375,1),TIME(17,0,0)),TIME(8,0,0))-IF(NETWORKDAYS(O375,O375,UKBankHolidays)&gt;0,MEDIAN(TIME(8,0,0),MOD(O375,1),TIME(17,0,0)),TIME(8,0,0))),0),AND(L375&lt;&gt;"",N375="",O375=""),(((MAX(NETWORKDAYS(L375,NOW(),UKBankHolidays)-1,0))*(TIME(17,0,0)-TIME(8,0,0)))+IF(NETWORKDAYS(NOW(),NOW(),UKBankHolidays)&gt;0,MEDIAN(TIME(8,0,0),MOD(NOW(),1),TIME(17,0,0)),TIME(8,0,0))-IF(NETWORKDAYS(L375,L375,UKBankHolidays)&gt;0,MEDIAN(TIME(8,0,0),MOD(L375,1),TIME(17,0,0)),TIME(8,0,0)))-IF(AND(O375&lt;&gt;"",P375&lt;&gt;""),(((MAX(NETWORKDAYS(O375,P375,UKBankHolidays)-1,0))*(TIME(17,0,0)-TIME(8,0,0)))+IF(NETWORKDAYS(P375,P375,UKBankHolidays)&gt;0,MEDIAN(TIME(8,0,0),MOD(P375,1),TIME(17,0,0)),TIME(8,0,0))-IF(NETWORKDAYS(O375,O375,UKBankHolidays)&gt;0,MEDIAN(TIME(8,0,0),MOD(O375,1),TIME(17,0,0)),TIME(8,0,0))),0),AND(L375&lt;&gt;"",N375="",P375="",O375&lt;&gt;""),(((MAX(NETWORKDAYS(L375,O375,UKBankHolidays)-1,0))*(TIME(17,0,0)-TIME(8,0,0)))+IF(NETWORKDAYS(O375,O375,UKBankHolidays)&gt;0,MEDIAN(TIME(8,0,0),MOD(O375,1),TIME(17,0,0)),TIME(8,0,0))-IF(NETWORKDAYS(L375,L375,UKBankHolidays)&gt;0,MEDIAN(TIME(8,0,0),MOD(L375,1),TIME(17,0,0)),TIME(8,0,0))),ISBLANK(K375),"0")),IF(ISBLANK(N375),NOW()-L375,N375-L375))</f>
        <v>0</v>
      </c>
      <c r="AC375" s="168">
        <f t="shared" ca="1" si="43"/>
        <v>0</v>
      </c>
      <c r="AD375" s="191">
        <f t="shared" ca="1" si="44"/>
        <v>46259.633973495373</v>
      </c>
      <c r="AE375" s="167">
        <f t="shared" si="45"/>
        <v>0</v>
      </c>
      <c r="AF375" s="168">
        <f t="shared" si="46"/>
        <v>0</v>
      </c>
      <c r="AG375" s="168">
        <f t="shared" si="47"/>
        <v>0</v>
      </c>
      <c r="AH375" s="81" t="e" cm="1">
        <f t="array" aca="1" ref="AH375" ca="1">IF((AD375) &lt; (INDEX(ResponseSLA[#All],(MATCH((G375),ResponseSLA[Priority],0))+1,3)),"YES","No")</f>
        <v>#N/A</v>
      </c>
      <c r="AI375" s="81" t="str">
        <f>_xlfn.IFNA(IF(AE375 &lt; (INDEX(SLATable[Minimum SLA],MATCH(G375,SLATable[Priority],0))),"YES","NO"),"")</f>
        <v/>
      </c>
      <c r="AJ375" s="19" t="str">
        <f>_xlfn.IFNA(IF(AE375 &lt; (INDEX(SLATable[Maximum SLA],MATCH(G375,SLATable[Priority],0))),"YES","NO"),"")</f>
        <v/>
      </c>
    </row>
    <row r="376" spans="1:36" ht="15" customHeight="1">
      <c r="A376" s="78"/>
      <c r="B376" s="78"/>
      <c r="C376" s="78"/>
      <c r="D376" s="78"/>
      <c r="E376" s="78"/>
      <c r="F376" s="78"/>
      <c r="G376" s="78"/>
      <c r="H376" s="86"/>
      <c r="I376" s="78"/>
      <c r="J376" s="86"/>
      <c r="K376" s="277"/>
      <c r="L376" s="277"/>
      <c r="M376" s="277"/>
      <c r="N376" s="277"/>
      <c r="O376" s="80"/>
      <c r="P376" s="80"/>
      <c r="Q376" s="78"/>
      <c r="R376" s="78"/>
      <c r="S376" s="78"/>
      <c r="T376" s="78"/>
      <c r="U376" s="78"/>
      <c r="V376" s="78"/>
      <c r="W376" s="78"/>
      <c r="X376" s="78"/>
      <c r="Y376" s="78"/>
      <c r="Z376" s="167" t="e">
        <f t="shared" ca="1" si="48"/>
        <v>#N/A</v>
      </c>
      <c r="AA376" s="168" t="e">
        <f t="shared" ca="1" si="42"/>
        <v>#N/A</v>
      </c>
      <c r="AB376" s="167">
        <f t="shared" ca="1" si="49"/>
        <v>0</v>
      </c>
      <c r="AC376" s="168">
        <f t="shared" ca="1" si="43"/>
        <v>0</v>
      </c>
      <c r="AD376" s="191">
        <f t="shared" ca="1" si="44"/>
        <v>46259.633973495373</v>
      </c>
      <c r="AE376" s="167">
        <f t="shared" si="45"/>
        <v>0</v>
      </c>
      <c r="AF376" s="168">
        <f t="shared" si="46"/>
        <v>0</v>
      </c>
      <c r="AG376" s="168">
        <f t="shared" si="47"/>
        <v>0</v>
      </c>
      <c r="AH376" s="81" t="e" cm="1">
        <f t="array" aca="1" ref="AH376" ca="1">IF((AD376) &lt; (INDEX(ResponseSLA[#All],(MATCH((G376),ResponseSLA[Priority],0))+1,3)),"YES","No")</f>
        <v>#N/A</v>
      </c>
      <c r="AI376" s="81" t="str">
        <f>_xlfn.IFNA(IF(AE376 &lt; (INDEX(SLATable[Minimum SLA],MATCH(G376,SLATable[Priority],0))),"YES","NO"),"")</f>
        <v/>
      </c>
      <c r="AJ376" s="19" t="str">
        <f>_xlfn.IFNA(IF(AE376 &lt; (INDEX(SLATable[Maximum SLA],MATCH(G376,SLATable[Priority],0))),"YES","NO"),"")</f>
        <v/>
      </c>
    </row>
    <row r="377" spans="1:36" ht="15" customHeight="1">
      <c r="A377" s="78"/>
      <c r="B377" s="78"/>
      <c r="C377" s="78"/>
      <c r="D377" s="78"/>
      <c r="E377" s="78"/>
      <c r="F377" s="78"/>
      <c r="G377" s="78"/>
      <c r="H377" s="86"/>
      <c r="I377" s="78"/>
      <c r="J377" s="86"/>
      <c r="K377" s="277"/>
      <c r="L377" s="277"/>
      <c r="M377" s="277"/>
      <c r="N377" s="277"/>
      <c r="O377" s="80"/>
      <c r="P377" s="80"/>
      <c r="Q377" s="78"/>
      <c r="R377" s="78"/>
      <c r="S377" s="78"/>
      <c r="T377" s="78"/>
      <c r="U377" s="78"/>
      <c r="V377" s="78"/>
      <c r="W377" s="78"/>
      <c r="X377" s="78"/>
      <c r="Y377" s="78"/>
      <c r="Z377" s="167" t="e">
        <f t="shared" ca="1" si="48"/>
        <v>#N/A</v>
      </c>
      <c r="AA377" s="168" t="e">
        <f t="shared" ca="1" si="42"/>
        <v>#N/A</v>
      </c>
      <c r="AB377" s="167">
        <f t="shared" ca="1" si="49"/>
        <v>0</v>
      </c>
      <c r="AC377" s="168">
        <f t="shared" ca="1" si="43"/>
        <v>0</v>
      </c>
      <c r="AD377" s="191">
        <f t="shared" ca="1" si="44"/>
        <v>46259.633973495373</v>
      </c>
      <c r="AE377" s="167">
        <f t="shared" si="45"/>
        <v>0</v>
      </c>
      <c r="AF377" s="168">
        <f t="shared" si="46"/>
        <v>0</v>
      </c>
      <c r="AG377" s="168">
        <f t="shared" si="47"/>
        <v>0</v>
      </c>
      <c r="AH377" s="81" t="e" cm="1">
        <f t="array" aca="1" ref="AH377" ca="1">IF((AD377) &lt; (INDEX(ResponseSLA[#All],(MATCH((G377),ResponseSLA[Priority],0))+1,3)),"YES","No")</f>
        <v>#N/A</v>
      </c>
      <c r="AI377" s="81" t="str">
        <f>_xlfn.IFNA(IF(AE377 &lt; (INDEX(SLATable[Minimum SLA],MATCH(G377,SLATable[Priority],0))),"YES","NO"),"")</f>
        <v/>
      </c>
      <c r="AJ377" s="19" t="str">
        <f>_xlfn.IFNA(IF(AE377 &lt; (INDEX(SLATable[Maximum SLA],MATCH(G377,SLATable[Priority],0))),"YES","NO"),"")</f>
        <v/>
      </c>
    </row>
    <row r="378" spans="1:36" ht="15" customHeight="1">
      <c r="A378" s="78"/>
      <c r="B378" s="78"/>
      <c r="C378" s="78"/>
      <c r="D378" s="78"/>
      <c r="E378" s="78"/>
      <c r="F378" s="78"/>
      <c r="G378" s="78"/>
      <c r="H378" s="86"/>
      <c r="I378" s="78"/>
      <c r="J378" s="86"/>
      <c r="K378" s="277"/>
      <c r="L378" s="277"/>
      <c r="M378" s="277"/>
      <c r="N378" s="277"/>
      <c r="O378" s="80"/>
      <c r="P378" s="80"/>
      <c r="Q378" s="78"/>
      <c r="R378" s="78"/>
      <c r="S378" s="78"/>
      <c r="T378" s="78"/>
      <c r="U378" s="78"/>
      <c r="V378" s="78"/>
      <c r="W378" s="78"/>
      <c r="X378" s="78"/>
      <c r="Y378" s="78"/>
      <c r="Z378" s="167" t="e">
        <f t="shared" ca="1" si="48"/>
        <v>#N/A</v>
      </c>
      <c r="AA378" s="168" t="e">
        <f t="shared" ca="1" si="42"/>
        <v>#N/A</v>
      </c>
      <c r="AB378" s="167">
        <f t="shared" ca="1" si="49"/>
        <v>0</v>
      </c>
      <c r="AC378" s="168">
        <f t="shared" ca="1" si="43"/>
        <v>0</v>
      </c>
      <c r="AD378" s="191">
        <f t="shared" ca="1" si="44"/>
        <v>46259.633973495373</v>
      </c>
      <c r="AE378" s="167">
        <f t="shared" si="45"/>
        <v>0</v>
      </c>
      <c r="AF378" s="168">
        <f t="shared" si="46"/>
        <v>0</v>
      </c>
      <c r="AG378" s="168">
        <f t="shared" si="47"/>
        <v>0</v>
      </c>
      <c r="AH378" s="81" t="e" cm="1">
        <f t="array" aca="1" ref="AH378" ca="1">IF((AD378) &lt; (INDEX(ResponseSLA[#All],(MATCH((G378),ResponseSLA[Priority],0))+1,3)),"YES","No")</f>
        <v>#N/A</v>
      </c>
      <c r="AI378" s="81" t="str">
        <f>_xlfn.IFNA(IF(AE378 &lt; (INDEX(SLATable[Minimum SLA],MATCH(G378,SLATable[Priority],0))),"YES","NO"),"")</f>
        <v/>
      </c>
      <c r="AJ378" s="19" t="str">
        <f>_xlfn.IFNA(IF(AE378 &lt; (INDEX(SLATable[Maximum SLA],MATCH(G378,SLATable[Priority],0))),"YES","NO"),"")</f>
        <v/>
      </c>
    </row>
    <row r="379" spans="1:36" ht="15" customHeight="1">
      <c r="A379" s="78"/>
      <c r="B379" s="78"/>
      <c r="C379" s="78"/>
      <c r="D379" s="78"/>
      <c r="E379" s="78"/>
      <c r="F379" s="78"/>
      <c r="G379" s="78"/>
      <c r="H379" s="86"/>
      <c r="I379" s="78"/>
      <c r="J379" s="86"/>
      <c r="K379" s="277"/>
      <c r="L379" s="277"/>
      <c r="M379" s="277"/>
      <c r="N379" s="277"/>
      <c r="O379" s="80"/>
      <c r="P379" s="80"/>
      <c r="Q379" s="78"/>
      <c r="R379" s="78"/>
      <c r="S379" s="78"/>
      <c r="T379" s="78"/>
      <c r="U379" s="78"/>
      <c r="V379" s="78"/>
      <c r="W379" s="78"/>
      <c r="X379" s="78"/>
      <c r="Y379" s="78"/>
      <c r="Z379" s="167" t="e">
        <f t="shared" ca="1" si="48"/>
        <v>#N/A</v>
      </c>
      <c r="AA379" s="168" t="e">
        <f t="shared" ca="1" si="42"/>
        <v>#N/A</v>
      </c>
      <c r="AB379" s="167">
        <f t="shared" ca="1" si="49"/>
        <v>0</v>
      </c>
      <c r="AC379" s="168">
        <f t="shared" ca="1" si="43"/>
        <v>0</v>
      </c>
      <c r="AD379" s="191">
        <f t="shared" ca="1" si="44"/>
        <v>46259.633973495373</v>
      </c>
      <c r="AE379" s="167">
        <f t="shared" si="45"/>
        <v>0</v>
      </c>
      <c r="AF379" s="168">
        <f t="shared" si="46"/>
        <v>0</v>
      </c>
      <c r="AG379" s="168">
        <f t="shared" si="47"/>
        <v>0</v>
      </c>
      <c r="AH379" s="81" t="e" cm="1">
        <f t="array" aca="1" ref="AH379" ca="1">IF((AD379) &lt; (INDEX(ResponseSLA[#All],(MATCH((G379),ResponseSLA[Priority],0))+1,3)),"YES","No")</f>
        <v>#N/A</v>
      </c>
      <c r="AI379" s="81" t="str">
        <f>_xlfn.IFNA(IF(AE379 &lt; (INDEX(SLATable[Minimum SLA],MATCH(G379,SLATable[Priority],0))),"YES","NO"),"")</f>
        <v/>
      </c>
      <c r="AJ379" s="19" t="str">
        <f>_xlfn.IFNA(IF(AE379 &lt; (INDEX(SLATable[Maximum SLA],MATCH(G379,SLATable[Priority],0))),"YES","NO"),"")</f>
        <v/>
      </c>
    </row>
    <row r="380" spans="1:36" ht="15" customHeight="1">
      <c r="A380" s="78"/>
      <c r="B380" s="78"/>
      <c r="C380" s="78"/>
      <c r="D380" s="78"/>
      <c r="E380" s="78"/>
      <c r="F380" s="78"/>
      <c r="G380" s="78"/>
      <c r="H380" s="86"/>
      <c r="I380" s="78"/>
      <c r="J380" s="86"/>
      <c r="K380" s="277"/>
      <c r="L380" s="277"/>
      <c r="M380" s="277"/>
      <c r="N380" s="277"/>
      <c r="O380" s="80"/>
      <c r="P380" s="80"/>
      <c r="Q380" s="78"/>
      <c r="R380" s="78"/>
      <c r="S380" s="78"/>
      <c r="T380" s="78"/>
      <c r="U380" s="78"/>
      <c r="V380" s="78"/>
      <c r="W380" s="78"/>
      <c r="X380" s="78"/>
      <c r="Y380" s="78"/>
      <c r="Z380" s="167" t="e">
        <f t="shared" ca="1" si="48"/>
        <v>#N/A</v>
      </c>
      <c r="AA380" s="168" t="e">
        <f t="shared" ca="1" si="42"/>
        <v>#N/A</v>
      </c>
      <c r="AB380" s="167">
        <f t="shared" ca="1" si="49"/>
        <v>0</v>
      </c>
      <c r="AC380" s="168">
        <f t="shared" ca="1" si="43"/>
        <v>0</v>
      </c>
      <c r="AD380" s="191">
        <f t="shared" ca="1" si="44"/>
        <v>46259.633973495373</v>
      </c>
      <c r="AE380" s="167">
        <f t="shared" si="45"/>
        <v>0</v>
      </c>
      <c r="AF380" s="168">
        <f t="shared" si="46"/>
        <v>0</v>
      </c>
      <c r="AG380" s="168">
        <f t="shared" si="47"/>
        <v>0</v>
      </c>
      <c r="AH380" s="81" t="e" cm="1">
        <f t="array" aca="1" ref="AH380" ca="1">IF((AD380) &lt; (INDEX(ResponseSLA[#All],(MATCH((G380),ResponseSLA[Priority],0))+1,3)),"YES","No")</f>
        <v>#N/A</v>
      </c>
      <c r="AI380" s="81" t="str">
        <f>_xlfn.IFNA(IF(AE380 &lt; (INDEX(SLATable[Minimum SLA],MATCH(G380,SLATable[Priority],0))),"YES","NO"),"")</f>
        <v/>
      </c>
      <c r="AJ380" s="19" t="str">
        <f>_xlfn.IFNA(IF(AE380 &lt; (INDEX(SLATable[Maximum SLA],MATCH(G380,SLATable[Priority],0))),"YES","NO"),"")</f>
        <v/>
      </c>
    </row>
    <row r="381" spans="1:36" ht="15" customHeight="1">
      <c r="A381" s="78"/>
      <c r="B381" s="78"/>
      <c r="C381" s="78"/>
      <c r="D381" s="78"/>
      <c r="E381" s="78"/>
      <c r="F381" s="78"/>
      <c r="G381" s="78"/>
      <c r="H381" s="86"/>
      <c r="I381" s="78"/>
      <c r="J381" s="86"/>
      <c r="K381" s="277"/>
      <c r="L381" s="277"/>
      <c r="M381" s="277"/>
      <c r="N381" s="277"/>
      <c r="O381" s="80"/>
      <c r="P381" s="80"/>
      <c r="Q381" s="78"/>
      <c r="R381" s="78"/>
      <c r="S381" s="78"/>
      <c r="T381" s="78"/>
      <c r="U381" s="78"/>
      <c r="V381" s="78"/>
      <c r="W381" s="78"/>
      <c r="X381" s="78"/>
      <c r="Y381" s="78"/>
      <c r="Z381" s="167" t="e">
        <f t="shared" ca="1" si="48"/>
        <v>#N/A</v>
      </c>
      <c r="AA381" s="168" t="e">
        <f t="shared" ca="1" si="42"/>
        <v>#N/A</v>
      </c>
      <c r="AB381" s="167">
        <f t="shared" ca="1" si="49"/>
        <v>0</v>
      </c>
      <c r="AC381" s="168">
        <f t="shared" ca="1" si="43"/>
        <v>0</v>
      </c>
      <c r="AD381" s="191">
        <f t="shared" ca="1" si="44"/>
        <v>46259.633973495373</v>
      </c>
      <c r="AE381" s="167">
        <f t="shared" si="45"/>
        <v>0</v>
      </c>
      <c r="AF381" s="168">
        <f t="shared" si="46"/>
        <v>0</v>
      </c>
      <c r="AG381" s="168">
        <f t="shared" si="47"/>
        <v>0</v>
      </c>
      <c r="AH381" s="81" t="e" cm="1">
        <f t="array" aca="1" ref="AH381" ca="1">IF((AD381) &lt; (INDEX(ResponseSLA[#All],(MATCH((G381),ResponseSLA[Priority],0))+1,3)),"YES","No")</f>
        <v>#N/A</v>
      </c>
      <c r="AI381" s="81" t="str">
        <f>_xlfn.IFNA(IF(AE381 &lt; (INDEX(SLATable[Minimum SLA],MATCH(G381,SLATable[Priority],0))),"YES","NO"),"")</f>
        <v/>
      </c>
      <c r="AJ381" s="19" t="str">
        <f>_xlfn.IFNA(IF(AE381 &lt; (INDEX(SLATable[Maximum SLA],MATCH(G381,SLATable[Priority],0))),"YES","NO"),"")</f>
        <v/>
      </c>
    </row>
    <row r="382" spans="1:36" ht="15" customHeight="1">
      <c r="A382" s="78"/>
      <c r="B382" s="78"/>
      <c r="C382" s="78"/>
      <c r="D382" s="78"/>
      <c r="E382" s="78"/>
      <c r="F382" s="78"/>
      <c r="G382" s="78"/>
      <c r="H382" s="86"/>
      <c r="I382" s="78"/>
      <c r="J382" s="86"/>
      <c r="K382" s="277"/>
      <c r="L382" s="277"/>
      <c r="M382" s="277"/>
      <c r="N382" s="277"/>
      <c r="O382" s="80"/>
      <c r="P382" s="80"/>
      <c r="Q382" s="78"/>
      <c r="R382" s="78"/>
      <c r="S382" s="78"/>
      <c r="T382" s="78"/>
      <c r="U382" s="78"/>
      <c r="V382" s="78"/>
      <c r="W382" s="78"/>
      <c r="X382" s="78"/>
      <c r="Y382" s="78"/>
      <c r="Z382" s="167" t="e">
        <f t="shared" ca="1" si="48"/>
        <v>#N/A</v>
      </c>
      <c r="AA382" s="168" t="e">
        <f t="shared" ca="1" si="42"/>
        <v>#N/A</v>
      </c>
      <c r="AB382" s="167">
        <f t="shared" ca="1" si="49"/>
        <v>0</v>
      </c>
      <c r="AC382" s="168">
        <f t="shared" ca="1" si="43"/>
        <v>0</v>
      </c>
      <c r="AD382" s="191">
        <f t="shared" ca="1" si="44"/>
        <v>46259.633973495373</v>
      </c>
      <c r="AE382" s="167">
        <f t="shared" si="45"/>
        <v>0</v>
      </c>
      <c r="AF382" s="168">
        <f t="shared" si="46"/>
        <v>0</v>
      </c>
      <c r="AG382" s="168">
        <f t="shared" si="47"/>
        <v>0</v>
      </c>
      <c r="AH382" s="81" t="e" cm="1">
        <f t="array" aca="1" ref="AH382" ca="1">IF((AD382) &lt; (INDEX(ResponseSLA[#All],(MATCH((G382),ResponseSLA[Priority],0))+1,3)),"YES","No")</f>
        <v>#N/A</v>
      </c>
      <c r="AI382" s="81" t="str">
        <f>_xlfn.IFNA(IF(AE382 &lt; (INDEX(SLATable[Minimum SLA],MATCH(G382,SLATable[Priority],0))),"YES","NO"),"")</f>
        <v/>
      </c>
      <c r="AJ382" s="19" t="str">
        <f>_xlfn.IFNA(IF(AE382 &lt; (INDEX(SLATable[Maximum SLA],MATCH(G382,SLATable[Priority],0))),"YES","NO"),"")</f>
        <v/>
      </c>
    </row>
    <row r="383" spans="1:36" ht="15" customHeight="1">
      <c r="A383" s="78"/>
      <c r="B383" s="78"/>
      <c r="C383" s="78"/>
      <c r="D383" s="78"/>
      <c r="E383" s="78"/>
      <c r="F383" s="78"/>
      <c r="G383" s="78"/>
      <c r="H383" s="86"/>
      <c r="I383" s="78"/>
      <c r="J383" s="86"/>
      <c r="K383" s="277"/>
      <c r="L383" s="277"/>
      <c r="M383" s="277"/>
      <c r="N383" s="277"/>
      <c r="O383" s="80"/>
      <c r="P383" s="80"/>
      <c r="Q383" s="78"/>
      <c r="R383" s="78"/>
      <c r="S383" s="78"/>
      <c r="T383" s="78"/>
      <c r="U383" s="78"/>
      <c r="V383" s="78"/>
      <c r="W383" s="78"/>
      <c r="X383" s="78"/>
      <c r="Y383" s="78"/>
      <c r="Z383" s="167" t="e">
        <f t="shared" ca="1" si="48"/>
        <v>#N/A</v>
      </c>
      <c r="AA383" s="168" t="e">
        <f t="shared" ca="1" si="42"/>
        <v>#N/A</v>
      </c>
      <c r="AB383" s="167">
        <f t="shared" ca="1" si="49"/>
        <v>0</v>
      </c>
      <c r="AC383" s="168">
        <f t="shared" ca="1" si="43"/>
        <v>0</v>
      </c>
      <c r="AD383" s="191">
        <f t="shared" ca="1" si="44"/>
        <v>46259.633973495373</v>
      </c>
      <c r="AE383" s="167">
        <f t="shared" si="45"/>
        <v>0</v>
      </c>
      <c r="AF383" s="168">
        <f t="shared" si="46"/>
        <v>0</v>
      </c>
      <c r="AG383" s="168">
        <f t="shared" si="47"/>
        <v>0</v>
      </c>
      <c r="AH383" s="81" t="e" cm="1">
        <f t="array" aca="1" ref="AH383" ca="1">IF((AD383) &lt; (INDEX(ResponseSLA[#All],(MATCH((G383),ResponseSLA[Priority],0))+1,3)),"YES","No")</f>
        <v>#N/A</v>
      </c>
      <c r="AI383" s="81" t="str">
        <f>_xlfn.IFNA(IF(AE383 &lt; (INDEX(SLATable[Minimum SLA],MATCH(G383,SLATable[Priority],0))),"YES","NO"),"")</f>
        <v/>
      </c>
      <c r="AJ383" s="19" t="str">
        <f>_xlfn.IFNA(IF(AE383 &lt; (INDEX(SLATable[Maximum SLA],MATCH(G383,SLATable[Priority],0))),"YES","NO"),"")</f>
        <v/>
      </c>
    </row>
    <row r="384" spans="1:36" ht="15" customHeight="1">
      <c r="A384" s="78"/>
      <c r="B384" s="78"/>
      <c r="C384" s="78"/>
      <c r="D384" s="78"/>
      <c r="E384" s="78"/>
      <c r="F384" s="78"/>
      <c r="G384" s="78"/>
      <c r="H384" s="86"/>
      <c r="I384" s="78"/>
      <c r="J384" s="86"/>
      <c r="K384" s="277"/>
      <c r="L384" s="277"/>
      <c r="M384" s="277"/>
      <c r="N384" s="277"/>
      <c r="O384" s="80"/>
      <c r="P384" s="80"/>
      <c r="Q384" s="78"/>
      <c r="R384" s="78"/>
      <c r="S384" s="78"/>
      <c r="T384" s="78"/>
      <c r="U384" s="78"/>
      <c r="V384" s="78"/>
      <c r="W384" s="78"/>
      <c r="X384" s="78"/>
      <c r="Y384" s="78"/>
      <c r="Z384" s="167" t="e">
        <f t="shared" ca="1" si="48"/>
        <v>#N/A</v>
      </c>
      <c r="AA384" s="168" t="e">
        <f t="shared" ca="1" si="42"/>
        <v>#N/A</v>
      </c>
      <c r="AB384" s="167">
        <f t="shared" ca="1" si="49"/>
        <v>0</v>
      </c>
      <c r="AC384" s="168">
        <f t="shared" ca="1" si="43"/>
        <v>0</v>
      </c>
      <c r="AD384" s="191">
        <f t="shared" ca="1" si="44"/>
        <v>46259.633973495373</v>
      </c>
      <c r="AE384" s="167">
        <f t="shared" si="45"/>
        <v>0</v>
      </c>
      <c r="AF384" s="168">
        <f t="shared" si="46"/>
        <v>0</v>
      </c>
      <c r="AG384" s="168">
        <f t="shared" si="47"/>
        <v>0</v>
      </c>
      <c r="AH384" s="81" t="e" cm="1">
        <f t="array" aca="1" ref="AH384" ca="1">IF((AD384) &lt; (INDEX(ResponseSLA[#All],(MATCH((G384),ResponseSLA[Priority],0))+1,3)),"YES","No")</f>
        <v>#N/A</v>
      </c>
      <c r="AI384" s="81" t="str">
        <f>_xlfn.IFNA(IF(AE384 &lt; (INDEX(SLATable[Minimum SLA],MATCH(G384,SLATable[Priority],0))),"YES","NO"),"")</f>
        <v/>
      </c>
      <c r="AJ384" s="19" t="str">
        <f>_xlfn.IFNA(IF(AE384 &lt; (INDEX(SLATable[Maximum SLA],MATCH(G384,SLATable[Priority],0))),"YES","NO"),"")</f>
        <v/>
      </c>
    </row>
    <row r="385" spans="1:36" ht="15" customHeight="1">
      <c r="A385" s="78"/>
      <c r="B385" s="78"/>
      <c r="C385" s="78"/>
      <c r="D385" s="78"/>
      <c r="E385" s="78"/>
      <c r="F385" s="78"/>
      <c r="G385" s="78"/>
      <c r="H385" s="86"/>
      <c r="I385" s="78"/>
      <c r="J385" s="86"/>
      <c r="K385" s="277"/>
      <c r="L385" s="277"/>
      <c r="M385" s="277"/>
      <c r="N385" s="277"/>
      <c r="O385" s="80"/>
      <c r="P385" s="80"/>
      <c r="Q385" s="78"/>
      <c r="R385" s="78"/>
      <c r="S385" s="78"/>
      <c r="T385" s="78"/>
      <c r="U385" s="78"/>
      <c r="V385" s="78"/>
      <c r="W385" s="78"/>
      <c r="X385" s="78"/>
      <c r="Y385" s="78"/>
      <c r="Z385" s="167" t="e">
        <f t="shared" ca="1" si="48"/>
        <v>#N/A</v>
      </c>
      <c r="AA385" s="168" t="e">
        <f t="shared" ca="1" si="42"/>
        <v>#N/A</v>
      </c>
      <c r="AB385" s="167">
        <f t="shared" ca="1" si="49"/>
        <v>0</v>
      </c>
      <c r="AC385" s="168">
        <f t="shared" ca="1" si="43"/>
        <v>0</v>
      </c>
      <c r="AD385" s="191">
        <f t="shared" ca="1" si="44"/>
        <v>46259.633973495373</v>
      </c>
      <c r="AE385" s="167">
        <f t="shared" si="45"/>
        <v>0</v>
      </c>
      <c r="AF385" s="168">
        <f t="shared" si="46"/>
        <v>0</v>
      </c>
      <c r="AG385" s="168">
        <f t="shared" si="47"/>
        <v>0</v>
      </c>
      <c r="AH385" s="81" t="e" cm="1">
        <f t="array" aca="1" ref="AH385" ca="1">IF((AD385) &lt; (INDEX(ResponseSLA[#All],(MATCH((G385),ResponseSLA[Priority],0))+1,3)),"YES","No")</f>
        <v>#N/A</v>
      </c>
      <c r="AI385" s="81" t="str">
        <f>_xlfn.IFNA(IF(AE385 &lt; (INDEX(SLATable[Minimum SLA],MATCH(G385,SLATable[Priority],0))),"YES","NO"),"")</f>
        <v/>
      </c>
      <c r="AJ385" s="19" t="str">
        <f>_xlfn.IFNA(IF(AE385 &lt; (INDEX(SLATable[Maximum SLA],MATCH(G385,SLATable[Priority],0))),"YES","NO"),"")</f>
        <v/>
      </c>
    </row>
    <row r="386" spans="1:36" ht="15" customHeight="1">
      <c r="A386" s="78"/>
      <c r="B386" s="78"/>
      <c r="C386" s="78"/>
      <c r="D386" s="78"/>
      <c r="E386" s="78"/>
      <c r="F386" s="78"/>
      <c r="G386" s="78"/>
      <c r="H386" s="86"/>
      <c r="I386" s="78"/>
      <c r="J386" s="86"/>
      <c r="K386" s="277"/>
      <c r="L386" s="277"/>
      <c r="M386" s="277"/>
      <c r="N386" s="277"/>
      <c r="O386" s="80"/>
      <c r="P386" s="80"/>
      <c r="Q386" s="78"/>
      <c r="R386" s="78"/>
      <c r="S386" s="78"/>
      <c r="T386" s="78"/>
      <c r="U386" s="78"/>
      <c r="V386" s="78"/>
      <c r="W386" s="78"/>
      <c r="X386" s="78"/>
      <c r="Y386" s="78"/>
      <c r="Z386" s="167" t="e">
        <f t="shared" ca="1" si="48"/>
        <v>#N/A</v>
      </c>
      <c r="AA386" s="168" t="e">
        <f t="shared" ref="AA386:AA402" ca="1" si="50">(Z386*24)/9</f>
        <v>#N/A</v>
      </c>
      <c r="AB386" s="167">
        <f t="shared" ca="1" si="49"/>
        <v>0</v>
      </c>
      <c r="AC386" s="168">
        <f t="shared" ref="AC386:AC402" ca="1" si="51">(AB386*24)/9</f>
        <v>0</v>
      </c>
      <c r="AD386" s="191">
        <f t="shared" ref="AD386:AD402" ca="1" si="52">MAX(0,
IF(
OR(G386=1,G386=2),
IF(M386&lt;&gt;"",M386-L386,NOW()-L386),
IF(
M386&lt;&gt;"",
IF(
INT(L386)=INT(M386),
IF(
NETWORKDAYS(L386,L386,UKBankHolidays)=0,
0,
MAX(
0,
MIN(MOD(M386,1),TIME(17,0,0))
-
MAX(MOD(L386,1),TIME(8,0,0))
)
),
MAX(
0,
IF(
NETWORKDAYS(L386,L386,UKBankHolidays)&gt;0,
TIME(17,0,0)-MAX(MOD(L386,1),TIME(8,0,0)),
0
)
)
+
MAX(
0,
NETWORKDAYS(INT(L386)+1,INT(M386)-1,UKBankHolidays)
*(TIME(17,0,0)-TIME(8,0,0))
)
+
MAX(
0,
IF(
NETWORKDAYS(M386,M386,UKBankHolidays)&gt;0,
MIN(MOD(M386,1),TIME(17,0,0))-TIME(8,0,0),
0
)
)
),
IF(M386&lt;&gt;"",M386-L386,NOW()-L386)
)
)
)</f>
        <v>46259.633973495373</v>
      </c>
      <c r="AE386" s="167">
        <f t="shared" ref="AE386:AE402" si="53">SUMIFS(AB:AB,E:E,E386)</f>
        <v>0</v>
      </c>
      <c r="AF386" s="168">
        <f t="shared" ref="AF386:AF402" si="54">(AE386*24)/9</f>
        <v>0</v>
      </c>
      <c r="AG386" s="168">
        <f t="shared" ref="AG386:AG402" si="55">AF386</f>
        <v>0</v>
      </c>
      <c r="AH386" s="81" t="e" cm="1">
        <f t="array" aca="1" ref="AH386" ca="1">IF((AD386) &lt; (INDEX(ResponseSLA[#All],(MATCH((G386),ResponseSLA[Priority],0))+1,3)),"YES","No")</f>
        <v>#N/A</v>
      </c>
      <c r="AI386" s="81" t="str">
        <f>_xlfn.IFNA(IF(AE386 &lt; (INDEX(SLATable[Minimum SLA],MATCH(G386,SLATable[Priority],0))),"YES","NO"),"")</f>
        <v/>
      </c>
      <c r="AJ386" s="19" t="str">
        <f>_xlfn.IFNA(IF(AE386 &lt; (INDEX(SLATable[Maximum SLA],MATCH(G386,SLATable[Priority],0))),"YES","NO"),"")</f>
        <v/>
      </c>
    </row>
    <row r="387" spans="1:36" ht="15" customHeight="1">
      <c r="A387" s="78"/>
      <c r="B387" s="78"/>
      <c r="C387" s="78"/>
      <c r="D387" s="78"/>
      <c r="E387" s="78"/>
      <c r="F387" s="78"/>
      <c r="G387" s="78"/>
      <c r="H387" s="86"/>
      <c r="I387" s="78"/>
      <c r="J387" s="86"/>
      <c r="K387" s="277"/>
      <c r="L387" s="277"/>
      <c r="M387" s="277"/>
      <c r="N387" s="277"/>
      <c r="O387" s="80"/>
      <c r="P387" s="80"/>
      <c r="Q387" s="78"/>
      <c r="R387" s="78"/>
      <c r="S387" s="78"/>
      <c r="T387" s="78"/>
      <c r="U387" s="78"/>
      <c r="V387" s="78"/>
      <c r="W387" s="78"/>
      <c r="X387" s="78"/>
      <c r="Y387" s="78"/>
      <c r="Z387" s="167" t="e">
        <f t="shared" ca="1" si="48"/>
        <v>#N/A</v>
      </c>
      <c r="AA387" s="168" t="e">
        <f t="shared" ca="1" si="50"/>
        <v>#N/A</v>
      </c>
      <c r="AB387" s="167">
        <f t="shared" ca="1" si="49"/>
        <v>0</v>
      </c>
      <c r="AC387" s="168">
        <f t="shared" ca="1" si="51"/>
        <v>0</v>
      </c>
      <c r="AD387" s="191">
        <f t="shared" ca="1" si="52"/>
        <v>46259.633973495373</v>
      </c>
      <c r="AE387" s="167">
        <f t="shared" si="53"/>
        <v>0</v>
      </c>
      <c r="AF387" s="168">
        <f t="shared" si="54"/>
        <v>0</v>
      </c>
      <c r="AG387" s="168">
        <f t="shared" si="55"/>
        <v>0</v>
      </c>
      <c r="AH387" s="81" t="e" cm="1">
        <f t="array" aca="1" ref="AH387" ca="1">IF((AD387) &lt; (INDEX(ResponseSLA[#All],(MATCH((G387),ResponseSLA[Priority],0))+1,3)),"YES","No")</f>
        <v>#N/A</v>
      </c>
      <c r="AI387" s="81" t="str">
        <f>_xlfn.IFNA(IF(AE387 &lt; (INDEX(SLATable[Minimum SLA],MATCH(G387,SLATable[Priority],0))),"YES","NO"),"")</f>
        <v/>
      </c>
      <c r="AJ387" s="19" t="str">
        <f>_xlfn.IFNA(IF(AE387 &lt; (INDEX(SLATable[Maximum SLA],MATCH(G387,SLATable[Priority],0))),"YES","NO"),"")</f>
        <v/>
      </c>
    </row>
    <row r="388" spans="1:36" ht="15" customHeight="1">
      <c r="A388" s="78"/>
      <c r="B388" s="78"/>
      <c r="C388" s="78"/>
      <c r="D388" s="78"/>
      <c r="E388" s="78"/>
      <c r="F388" s="78"/>
      <c r="G388" s="78"/>
      <c r="H388" s="86"/>
      <c r="I388" s="78"/>
      <c r="J388" s="86"/>
      <c r="K388" s="277"/>
      <c r="L388" s="277"/>
      <c r="M388" s="277"/>
      <c r="N388" s="277"/>
      <c r="O388" s="80"/>
      <c r="P388" s="80"/>
      <c r="Q388" s="78"/>
      <c r="R388" s="78"/>
      <c r="S388" s="78"/>
      <c r="T388" s="78"/>
      <c r="U388" s="78"/>
      <c r="V388" s="78"/>
      <c r="W388" s="78"/>
      <c r="X388" s="78"/>
      <c r="Y388" s="78"/>
      <c r="Z388" s="167" t="e">
        <f t="shared" ca="1" si="48"/>
        <v>#N/A</v>
      </c>
      <c r="AA388" s="168" t="e">
        <f t="shared" ca="1" si="50"/>
        <v>#N/A</v>
      </c>
      <c r="AB388" s="167">
        <f t="shared" ca="1" si="49"/>
        <v>0</v>
      </c>
      <c r="AC388" s="168">
        <f t="shared" ca="1" si="51"/>
        <v>0</v>
      </c>
      <c r="AD388" s="191">
        <f t="shared" ca="1" si="52"/>
        <v>46259.633973495373</v>
      </c>
      <c r="AE388" s="167">
        <f t="shared" si="53"/>
        <v>0</v>
      </c>
      <c r="AF388" s="168">
        <f t="shared" si="54"/>
        <v>0</v>
      </c>
      <c r="AG388" s="168">
        <f t="shared" si="55"/>
        <v>0</v>
      </c>
      <c r="AH388" s="81" t="e" cm="1">
        <f t="array" aca="1" ref="AH388" ca="1">IF((AD388) &lt; (INDEX(ResponseSLA[#All],(MATCH((G388),ResponseSLA[Priority],0))+1,3)),"YES","No")</f>
        <v>#N/A</v>
      </c>
      <c r="AI388" s="81" t="str">
        <f>_xlfn.IFNA(IF(AE388 &lt; (INDEX(SLATable[Minimum SLA],MATCH(G388,SLATable[Priority],0))),"YES","NO"),"")</f>
        <v/>
      </c>
      <c r="AJ388" s="19" t="str">
        <f>_xlfn.IFNA(IF(AE388 &lt; (INDEX(SLATable[Maximum SLA],MATCH(G388,SLATable[Priority],0))),"YES","NO"),"")</f>
        <v/>
      </c>
    </row>
    <row r="389" spans="1:36" ht="15" customHeight="1">
      <c r="A389" s="78"/>
      <c r="B389" s="78"/>
      <c r="C389" s="78"/>
      <c r="D389" s="78"/>
      <c r="E389" s="78"/>
      <c r="F389" s="78"/>
      <c r="G389" s="78"/>
      <c r="H389" s="86"/>
      <c r="I389" s="78"/>
      <c r="J389" s="86"/>
      <c r="K389" s="277"/>
      <c r="L389" s="277"/>
      <c r="M389" s="277"/>
      <c r="N389" s="277"/>
      <c r="O389" s="80"/>
      <c r="P389" s="80"/>
      <c r="Q389" s="78"/>
      <c r="R389" s="78"/>
      <c r="S389" s="78"/>
      <c r="T389" s="78"/>
      <c r="U389" s="78"/>
      <c r="V389" s="78"/>
      <c r="W389" s="78"/>
      <c r="X389" s="78"/>
      <c r="Y389" s="78"/>
      <c r="Z389" s="167" t="e">
        <f t="shared" ca="1" si="48"/>
        <v>#N/A</v>
      </c>
      <c r="AA389" s="168" t="e">
        <f t="shared" ca="1" si="50"/>
        <v>#N/A</v>
      </c>
      <c r="AB389" s="167">
        <f t="shared" ca="1" si="49"/>
        <v>0</v>
      </c>
      <c r="AC389" s="168">
        <f t="shared" ca="1" si="51"/>
        <v>0</v>
      </c>
      <c r="AD389" s="191">
        <f t="shared" ca="1" si="52"/>
        <v>46259.633973495373</v>
      </c>
      <c r="AE389" s="167">
        <f t="shared" si="53"/>
        <v>0</v>
      </c>
      <c r="AF389" s="168">
        <f t="shared" si="54"/>
        <v>0</v>
      </c>
      <c r="AG389" s="168">
        <f t="shared" si="55"/>
        <v>0</v>
      </c>
      <c r="AH389" s="81" t="e" cm="1">
        <f t="array" aca="1" ref="AH389" ca="1">IF((AD389) &lt; (INDEX(ResponseSLA[#All],(MATCH((G389),ResponseSLA[Priority],0))+1,3)),"YES","No")</f>
        <v>#N/A</v>
      </c>
      <c r="AI389" s="81" t="str">
        <f>_xlfn.IFNA(IF(AE389 &lt; (INDEX(SLATable[Minimum SLA],MATCH(G389,SLATable[Priority],0))),"YES","NO"),"")</f>
        <v/>
      </c>
      <c r="AJ389" s="19" t="str">
        <f>_xlfn.IFNA(IF(AE389 &lt; (INDEX(SLATable[Maximum SLA],MATCH(G389,SLATable[Priority],0))),"YES","NO"),"")</f>
        <v/>
      </c>
    </row>
    <row r="390" spans="1:36" ht="15" customHeight="1">
      <c r="A390" s="78"/>
      <c r="B390" s="78"/>
      <c r="C390" s="78"/>
      <c r="D390" s="78"/>
      <c r="E390" s="78"/>
      <c r="F390" s="78"/>
      <c r="G390" s="78"/>
      <c r="H390" s="86"/>
      <c r="I390" s="78"/>
      <c r="J390" s="86"/>
      <c r="K390" s="277"/>
      <c r="L390" s="277"/>
      <c r="M390" s="277"/>
      <c r="N390" s="277"/>
      <c r="O390" s="80"/>
      <c r="P390" s="80"/>
      <c r="Q390" s="78"/>
      <c r="R390" s="78"/>
      <c r="S390" s="78"/>
      <c r="T390" s="78"/>
      <c r="U390" s="78"/>
      <c r="V390" s="78"/>
      <c r="W390" s="78"/>
      <c r="X390" s="78"/>
      <c r="Y390" s="78"/>
      <c r="Z390" s="167" t="e">
        <f t="shared" ca="1" si="48"/>
        <v>#N/A</v>
      </c>
      <c r="AA390" s="168" t="e">
        <f t="shared" ca="1" si="50"/>
        <v>#N/A</v>
      </c>
      <c r="AB390" s="167">
        <f t="shared" ca="1" si="49"/>
        <v>0</v>
      </c>
      <c r="AC390" s="168">
        <f t="shared" ca="1" si="51"/>
        <v>0</v>
      </c>
      <c r="AD390" s="191">
        <f t="shared" ca="1" si="52"/>
        <v>46259.633973495373</v>
      </c>
      <c r="AE390" s="167">
        <f t="shared" si="53"/>
        <v>0</v>
      </c>
      <c r="AF390" s="168">
        <f t="shared" si="54"/>
        <v>0</v>
      </c>
      <c r="AG390" s="168">
        <f t="shared" si="55"/>
        <v>0</v>
      </c>
      <c r="AH390" s="81" t="e" cm="1">
        <f t="array" aca="1" ref="AH390" ca="1">IF((AD390) &lt; (INDEX(ResponseSLA[#All],(MATCH((G390),ResponseSLA[Priority],0))+1,3)),"YES","No")</f>
        <v>#N/A</v>
      </c>
      <c r="AI390" s="81" t="str">
        <f>_xlfn.IFNA(IF(AE390 &lt; (INDEX(SLATable[Minimum SLA],MATCH(G390,SLATable[Priority],0))),"YES","NO"),"")</f>
        <v/>
      </c>
      <c r="AJ390" s="19" t="str">
        <f>_xlfn.IFNA(IF(AE390 &lt; (INDEX(SLATable[Maximum SLA],MATCH(G390,SLATable[Priority],0))),"YES","NO"),"")</f>
        <v/>
      </c>
    </row>
    <row r="391" spans="1:36" ht="15" customHeight="1">
      <c r="A391" s="78"/>
      <c r="B391" s="78"/>
      <c r="C391" s="78"/>
      <c r="D391" s="78"/>
      <c r="E391" s="78"/>
      <c r="F391" s="78"/>
      <c r="G391" s="78"/>
      <c r="H391" s="86"/>
      <c r="I391" s="78"/>
      <c r="J391" s="86"/>
      <c r="K391" s="277"/>
      <c r="L391" s="277"/>
      <c r="M391" s="277"/>
      <c r="N391" s="277"/>
      <c r="O391" s="80"/>
      <c r="P391" s="80"/>
      <c r="Q391" s="78"/>
      <c r="R391" s="78"/>
      <c r="S391" s="78"/>
      <c r="T391" s="78"/>
      <c r="U391" s="78"/>
      <c r="V391" s="78"/>
      <c r="W391" s="78"/>
      <c r="X391" s="78"/>
      <c r="Y391" s="78"/>
      <c r="Z391" s="167" t="e">
        <f t="shared" ca="1" si="48"/>
        <v>#N/A</v>
      </c>
      <c r="AA391" s="168" t="e">
        <f t="shared" ca="1" si="50"/>
        <v>#N/A</v>
      </c>
      <c r="AB391" s="167">
        <f t="shared" ca="1" si="49"/>
        <v>0</v>
      </c>
      <c r="AC391" s="168">
        <f t="shared" ca="1" si="51"/>
        <v>0</v>
      </c>
      <c r="AD391" s="191">
        <f t="shared" ca="1" si="52"/>
        <v>46259.633973495373</v>
      </c>
      <c r="AE391" s="167">
        <f t="shared" si="53"/>
        <v>0</v>
      </c>
      <c r="AF391" s="168">
        <f t="shared" si="54"/>
        <v>0</v>
      </c>
      <c r="AG391" s="168">
        <f t="shared" si="55"/>
        <v>0</v>
      </c>
      <c r="AH391" s="81" t="e" cm="1">
        <f t="array" aca="1" ref="AH391" ca="1">IF((AD391) &lt; (INDEX(ResponseSLA[#All],(MATCH((G391),ResponseSLA[Priority],0))+1,3)),"YES","No")</f>
        <v>#N/A</v>
      </c>
      <c r="AI391" s="81" t="str">
        <f>_xlfn.IFNA(IF(AE391 &lt; (INDEX(SLATable[Minimum SLA],MATCH(G391,SLATable[Priority],0))),"YES","NO"),"")</f>
        <v/>
      </c>
      <c r="AJ391" s="19" t="str">
        <f>_xlfn.IFNA(IF(AE391 &lt; (INDEX(SLATable[Maximum SLA],MATCH(G391,SLATable[Priority],0))),"YES","NO"),"")</f>
        <v/>
      </c>
    </row>
    <row r="392" spans="1:36" ht="15" customHeight="1">
      <c r="A392" s="78"/>
      <c r="B392" s="78"/>
      <c r="C392" s="78"/>
      <c r="D392" s="78"/>
      <c r="E392" s="78"/>
      <c r="F392" s="78"/>
      <c r="G392" s="78"/>
      <c r="H392" s="86"/>
      <c r="I392" s="78"/>
      <c r="J392" s="86"/>
      <c r="K392" s="277"/>
      <c r="L392" s="277"/>
      <c r="M392" s="277"/>
      <c r="N392" s="277"/>
      <c r="O392" s="80"/>
      <c r="P392" s="80"/>
      <c r="Q392" s="78"/>
      <c r="R392" s="78"/>
      <c r="S392" s="78"/>
      <c r="T392" s="78"/>
      <c r="U392" s="78"/>
      <c r="V392" s="78"/>
      <c r="W392" s="78"/>
      <c r="X392" s="78"/>
      <c r="Y392" s="78"/>
      <c r="Z392" s="167" t="e">
        <f t="shared" ca="1" si="48"/>
        <v>#N/A</v>
      </c>
      <c r="AA392" s="168" t="e">
        <f t="shared" ca="1" si="50"/>
        <v>#N/A</v>
      </c>
      <c r="AB392" s="167">
        <f t="shared" ca="1" si="49"/>
        <v>0</v>
      </c>
      <c r="AC392" s="168">
        <f t="shared" ca="1" si="51"/>
        <v>0</v>
      </c>
      <c r="AD392" s="191">
        <f t="shared" ca="1" si="52"/>
        <v>46259.633973495373</v>
      </c>
      <c r="AE392" s="167">
        <f t="shared" si="53"/>
        <v>0</v>
      </c>
      <c r="AF392" s="168">
        <f t="shared" si="54"/>
        <v>0</v>
      </c>
      <c r="AG392" s="168">
        <f t="shared" si="55"/>
        <v>0</v>
      </c>
      <c r="AH392" s="81" t="e" cm="1">
        <f t="array" aca="1" ref="AH392" ca="1">IF((AD392) &lt; (INDEX(ResponseSLA[#All],(MATCH((G392),ResponseSLA[Priority],0))+1,3)),"YES","No")</f>
        <v>#N/A</v>
      </c>
      <c r="AI392" s="81" t="str">
        <f>_xlfn.IFNA(IF(AE392 &lt; (INDEX(SLATable[Minimum SLA],MATCH(G392,SLATable[Priority],0))),"YES","NO"),"")</f>
        <v/>
      </c>
      <c r="AJ392" s="19" t="str">
        <f>_xlfn.IFNA(IF(AE392 &lt; (INDEX(SLATable[Maximum SLA],MATCH(G392,SLATable[Priority],0))),"YES","NO"),"")</f>
        <v/>
      </c>
    </row>
    <row r="393" spans="1:36" ht="15" customHeight="1">
      <c r="A393" s="78"/>
      <c r="B393" s="78"/>
      <c r="C393" s="78"/>
      <c r="D393" s="78"/>
      <c r="E393" s="78"/>
      <c r="F393" s="78"/>
      <c r="G393" s="78"/>
      <c r="H393" s="86"/>
      <c r="I393" s="78"/>
      <c r="J393" s="86"/>
      <c r="K393" s="277"/>
      <c r="L393" s="277"/>
      <c r="M393" s="277"/>
      <c r="N393" s="277"/>
      <c r="O393" s="80"/>
      <c r="P393" s="80"/>
      <c r="Q393" s="78"/>
      <c r="R393" s="78"/>
      <c r="S393" s="78"/>
      <c r="T393" s="78"/>
      <c r="U393" s="78"/>
      <c r="V393" s="78"/>
      <c r="W393" s="78"/>
      <c r="X393" s="78"/>
      <c r="Y393" s="78"/>
      <c r="Z393" s="167" t="e">
        <f t="shared" ca="1" si="48"/>
        <v>#N/A</v>
      </c>
      <c r="AA393" s="168" t="e">
        <f t="shared" ca="1" si="50"/>
        <v>#N/A</v>
      </c>
      <c r="AB393" s="167">
        <f t="shared" ca="1" si="49"/>
        <v>0</v>
      </c>
      <c r="AC393" s="168">
        <f t="shared" ca="1" si="51"/>
        <v>0</v>
      </c>
      <c r="AD393" s="191">
        <f t="shared" ca="1" si="52"/>
        <v>46259.633973495373</v>
      </c>
      <c r="AE393" s="167">
        <f t="shared" si="53"/>
        <v>0</v>
      </c>
      <c r="AF393" s="168">
        <f t="shared" si="54"/>
        <v>0</v>
      </c>
      <c r="AG393" s="168">
        <f t="shared" si="55"/>
        <v>0</v>
      </c>
      <c r="AH393" s="81" t="e" cm="1">
        <f t="array" aca="1" ref="AH393" ca="1">IF((AD393) &lt; (INDEX(ResponseSLA[#All],(MATCH((G393),ResponseSLA[Priority],0))+1,3)),"YES","No")</f>
        <v>#N/A</v>
      </c>
      <c r="AI393" s="81" t="str">
        <f>_xlfn.IFNA(IF(AE393 &lt; (INDEX(SLATable[Minimum SLA],MATCH(G393,SLATable[Priority],0))),"YES","NO"),"")</f>
        <v/>
      </c>
      <c r="AJ393" s="19" t="str">
        <f>_xlfn.IFNA(IF(AE393 &lt; (INDEX(SLATable[Maximum SLA],MATCH(G393,SLATable[Priority],0))),"YES","NO"),"")</f>
        <v/>
      </c>
    </row>
    <row r="394" spans="1:36" ht="15" customHeight="1">
      <c r="A394" s="78"/>
      <c r="B394" s="78"/>
      <c r="C394" s="78"/>
      <c r="D394" s="78"/>
      <c r="E394" s="78"/>
      <c r="F394" s="78"/>
      <c r="G394" s="78"/>
      <c r="H394" s="86"/>
      <c r="I394" s="78"/>
      <c r="J394" s="86"/>
      <c r="K394" s="277"/>
      <c r="L394" s="277"/>
      <c r="M394" s="277"/>
      <c r="N394" s="277"/>
      <c r="O394" s="80"/>
      <c r="P394" s="80"/>
      <c r="Q394" s="78"/>
      <c r="R394" s="78"/>
      <c r="S394" s="78"/>
      <c r="T394" s="78"/>
      <c r="U394" s="78"/>
      <c r="V394" s="78"/>
      <c r="W394" s="78"/>
      <c r="X394" s="78"/>
      <c r="Y394" s="78"/>
      <c r="Z394" s="167" t="e">
        <f t="shared" ca="1" si="48"/>
        <v>#N/A</v>
      </c>
      <c r="AA394" s="168" t="e">
        <f t="shared" ca="1" si="50"/>
        <v>#N/A</v>
      </c>
      <c r="AB394" s="167">
        <f t="shared" ca="1" si="49"/>
        <v>0</v>
      </c>
      <c r="AC394" s="168">
        <f t="shared" ca="1" si="51"/>
        <v>0</v>
      </c>
      <c r="AD394" s="191">
        <f t="shared" ca="1" si="52"/>
        <v>46259.633973495373</v>
      </c>
      <c r="AE394" s="167">
        <f t="shared" si="53"/>
        <v>0</v>
      </c>
      <c r="AF394" s="168">
        <f t="shared" si="54"/>
        <v>0</v>
      </c>
      <c r="AG394" s="168">
        <f t="shared" si="55"/>
        <v>0</v>
      </c>
      <c r="AH394" s="81" t="e" cm="1">
        <f t="array" aca="1" ref="AH394" ca="1">IF((AD394) &lt; (INDEX(ResponseSLA[#All],(MATCH((G394),ResponseSLA[Priority],0))+1,3)),"YES","No")</f>
        <v>#N/A</v>
      </c>
      <c r="AI394" s="81" t="str">
        <f>_xlfn.IFNA(IF(AE394 &lt; (INDEX(SLATable[Minimum SLA],MATCH(G394,SLATable[Priority],0))),"YES","NO"),"")</f>
        <v/>
      </c>
      <c r="AJ394" s="19" t="str">
        <f>_xlfn.IFNA(IF(AE394 &lt; (INDEX(SLATable[Maximum SLA],MATCH(G394,SLATable[Priority],0))),"YES","NO"),"")</f>
        <v/>
      </c>
    </row>
    <row r="395" spans="1:36" ht="15" customHeight="1">
      <c r="A395" s="78"/>
      <c r="B395" s="78"/>
      <c r="C395" s="78"/>
      <c r="D395" s="78"/>
      <c r="E395" s="78"/>
      <c r="F395" s="78"/>
      <c r="G395" s="78"/>
      <c r="H395" s="86"/>
      <c r="I395" s="78"/>
      <c r="J395" s="86"/>
      <c r="K395" s="277"/>
      <c r="L395" s="277"/>
      <c r="M395" s="277"/>
      <c r="N395" s="277"/>
      <c r="O395" s="80"/>
      <c r="P395" s="80"/>
      <c r="Q395" s="78"/>
      <c r="R395" s="78"/>
      <c r="S395" s="78"/>
      <c r="T395" s="78"/>
      <c r="U395" s="78"/>
      <c r="V395" s="78"/>
      <c r="W395" s="78"/>
      <c r="X395" s="78"/>
      <c r="Y395" s="78"/>
      <c r="Z395" s="167" t="e">
        <f t="shared" ca="1" si="48"/>
        <v>#N/A</v>
      </c>
      <c r="AA395" s="168" t="e">
        <f t="shared" ca="1" si="50"/>
        <v>#N/A</v>
      </c>
      <c r="AB395" s="167">
        <f t="shared" ca="1" si="49"/>
        <v>0</v>
      </c>
      <c r="AC395" s="168">
        <f t="shared" ca="1" si="51"/>
        <v>0</v>
      </c>
      <c r="AD395" s="191">
        <f t="shared" ca="1" si="52"/>
        <v>46259.633973495373</v>
      </c>
      <c r="AE395" s="167">
        <f t="shared" si="53"/>
        <v>0</v>
      </c>
      <c r="AF395" s="168">
        <f t="shared" si="54"/>
        <v>0</v>
      </c>
      <c r="AG395" s="168">
        <f t="shared" si="55"/>
        <v>0</v>
      </c>
      <c r="AH395" s="81" t="e" cm="1">
        <f t="array" aca="1" ref="AH395" ca="1">IF((AD395) &lt; (INDEX(ResponseSLA[#All],(MATCH((G395),ResponseSLA[Priority],0))+1,3)),"YES","No")</f>
        <v>#N/A</v>
      </c>
      <c r="AI395" s="81" t="str">
        <f>_xlfn.IFNA(IF(AE395 &lt; (INDEX(SLATable[Minimum SLA],MATCH(G395,SLATable[Priority],0))),"YES","NO"),"")</f>
        <v/>
      </c>
      <c r="AJ395" s="19" t="str">
        <f>_xlfn.IFNA(IF(AE395 &lt; (INDEX(SLATable[Maximum SLA],MATCH(G395,SLATable[Priority],0))),"YES","NO"),"")</f>
        <v/>
      </c>
    </row>
    <row r="396" spans="1:36" ht="15" customHeight="1">
      <c r="A396" s="78"/>
      <c r="B396" s="78"/>
      <c r="C396" s="78"/>
      <c r="D396" s="78"/>
      <c r="E396" s="78"/>
      <c r="F396" s="78"/>
      <c r="G396" s="78"/>
      <c r="H396" s="86"/>
      <c r="I396" s="78"/>
      <c r="J396" s="86"/>
      <c r="K396" s="277"/>
      <c r="L396" s="277"/>
      <c r="M396" s="277"/>
      <c r="N396" s="277"/>
      <c r="O396" s="80"/>
      <c r="P396" s="80"/>
      <c r="Q396" s="78"/>
      <c r="R396" s="78"/>
      <c r="S396" s="78"/>
      <c r="T396" s="78"/>
      <c r="U396" s="78"/>
      <c r="V396" s="78"/>
      <c r="W396" s="78"/>
      <c r="X396" s="78"/>
      <c r="Y396" s="78"/>
      <c r="Z396" s="167" t="e">
        <f t="shared" ca="1" si="48"/>
        <v>#N/A</v>
      </c>
      <c r="AA396" s="168" t="e">
        <f t="shared" ca="1" si="50"/>
        <v>#N/A</v>
      </c>
      <c r="AB396" s="167">
        <f t="shared" ca="1" si="49"/>
        <v>0</v>
      </c>
      <c r="AC396" s="168">
        <f t="shared" ca="1" si="51"/>
        <v>0</v>
      </c>
      <c r="AD396" s="191">
        <f t="shared" ca="1" si="52"/>
        <v>46259.633973495373</v>
      </c>
      <c r="AE396" s="167">
        <f t="shared" si="53"/>
        <v>0</v>
      </c>
      <c r="AF396" s="168">
        <f t="shared" si="54"/>
        <v>0</v>
      </c>
      <c r="AG396" s="168">
        <f t="shared" si="55"/>
        <v>0</v>
      </c>
      <c r="AH396" s="81" t="e" cm="1">
        <f t="array" aca="1" ref="AH396" ca="1">IF((AD396) &lt; (INDEX(ResponseSLA[#All],(MATCH((G396),ResponseSLA[Priority],0))+1,3)),"YES","No")</f>
        <v>#N/A</v>
      </c>
      <c r="AI396" s="81" t="str">
        <f>_xlfn.IFNA(IF(AE396 &lt; (INDEX(SLATable[Minimum SLA],MATCH(G396,SLATable[Priority],0))),"YES","NO"),"")</f>
        <v/>
      </c>
      <c r="AJ396" s="19" t="str">
        <f>_xlfn.IFNA(IF(AE396 &lt; (INDEX(SLATable[Maximum SLA],MATCH(G396,SLATable[Priority],0))),"YES","NO"),"")</f>
        <v/>
      </c>
    </row>
    <row r="397" spans="1:36" ht="15" customHeight="1">
      <c r="A397" s="78"/>
      <c r="B397" s="78"/>
      <c r="C397" s="78"/>
      <c r="D397" s="78"/>
      <c r="E397" s="78"/>
      <c r="F397" s="78"/>
      <c r="G397" s="78"/>
      <c r="H397" s="86"/>
      <c r="I397" s="78"/>
      <c r="J397" s="86"/>
      <c r="K397" s="277"/>
      <c r="L397" s="277"/>
      <c r="M397" s="277"/>
      <c r="N397" s="277"/>
      <c r="O397" s="80"/>
      <c r="P397" s="80"/>
      <c r="Q397" s="78"/>
      <c r="R397" s="78"/>
      <c r="S397" s="78"/>
      <c r="T397" s="78"/>
      <c r="U397" s="78"/>
      <c r="V397" s="78"/>
      <c r="W397" s="78"/>
      <c r="X397" s="78"/>
      <c r="Y397" s="78"/>
      <c r="Z397" s="167" t="e">
        <f t="shared" ca="1" si="48"/>
        <v>#N/A</v>
      </c>
      <c r="AA397" s="168" t="e">
        <f t="shared" ca="1" si="50"/>
        <v>#N/A</v>
      </c>
      <c r="AB397" s="167">
        <f t="shared" ca="1" si="49"/>
        <v>0</v>
      </c>
      <c r="AC397" s="168">
        <f t="shared" ca="1" si="51"/>
        <v>0</v>
      </c>
      <c r="AD397" s="191">
        <f t="shared" ca="1" si="52"/>
        <v>46259.633973495373</v>
      </c>
      <c r="AE397" s="167">
        <f t="shared" si="53"/>
        <v>0</v>
      </c>
      <c r="AF397" s="168">
        <f t="shared" si="54"/>
        <v>0</v>
      </c>
      <c r="AG397" s="168">
        <f t="shared" si="55"/>
        <v>0</v>
      </c>
      <c r="AH397" s="81" t="e" cm="1">
        <f t="array" aca="1" ref="AH397" ca="1">IF((AD397) &lt; (INDEX(ResponseSLA[#All],(MATCH((G397),ResponseSLA[Priority],0))+1,3)),"YES","No")</f>
        <v>#N/A</v>
      </c>
      <c r="AI397" s="81" t="str">
        <f>_xlfn.IFNA(IF(AE397 &lt; (INDEX(SLATable[Minimum SLA],MATCH(G397,SLATable[Priority],0))),"YES","NO"),"")</f>
        <v/>
      </c>
      <c r="AJ397" s="19" t="str">
        <f>_xlfn.IFNA(IF(AE397 &lt; (INDEX(SLATable[Maximum SLA],MATCH(G397,SLATable[Priority],0))),"YES","NO"),"")</f>
        <v/>
      </c>
    </row>
    <row r="398" spans="1:36" ht="15" customHeight="1">
      <c r="A398" s="78"/>
      <c r="B398" s="78"/>
      <c r="C398" s="78"/>
      <c r="D398" s="78"/>
      <c r="E398" s="78"/>
      <c r="F398" s="78"/>
      <c r="G398" s="78"/>
      <c r="H398" s="86"/>
      <c r="I398" s="78"/>
      <c r="J398" s="86"/>
      <c r="K398" s="277"/>
      <c r="L398" s="277"/>
      <c r="M398" s="277"/>
      <c r="N398" s="277"/>
      <c r="O398" s="80"/>
      <c r="P398" s="80"/>
      <c r="Q398" s="78"/>
      <c r="R398" s="78"/>
      <c r="S398" s="78"/>
      <c r="T398" s="78"/>
      <c r="U398" s="78"/>
      <c r="V398" s="78"/>
      <c r="W398" s="78"/>
      <c r="X398" s="78"/>
      <c r="Y398" s="78"/>
      <c r="Z398" s="167" t="e">
        <f t="shared" ca="1" si="48"/>
        <v>#N/A</v>
      </c>
      <c r="AA398" s="168" t="e">
        <f t="shared" ca="1" si="50"/>
        <v>#N/A</v>
      </c>
      <c r="AB398" s="167">
        <f t="shared" ca="1" si="49"/>
        <v>0</v>
      </c>
      <c r="AC398" s="168">
        <f t="shared" ca="1" si="51"/>
        <v>0</v>
      </c>
      <c r="AD398" s="191">
        <f t="shared" ca="1" si="52"/>
        <v>46259.633973495373</v>
      </c>
      <c r="AE398" s="167">
        <f t="shared" si="53"/>
        <v>0</v>
      </c>
      <c r="AF398" s="168">
        <f t="shared" si="54"/>
        <v>0</v>
      </c>
      <c r="AG398" s="168">
        <f t="shared" si="55"/>
        <v>0</v>
      </c>
      <c r="AH398" s="81" t="e" cm="1">
        <f t="array" aca="1" ref="AH398" ca="1">IF((AD398) &lt; (INDEX(ResponseSLA[#All],(MATCH((G398),ResponseSLA[Priority],0))+1,3)),"YES","No")</f>
        <v>#N/A</v>
      </c>
      <c r="AI398" s="81" t="str">
        <f>_xlfn.IFNA(IF(AE398 &lt; (INDEX(SLATable[Minimum SLA],MATCH(G398,SLATable[Priority],0))),"YES","NO"),"")</f>
        <v/>
      </c>
      <c r="AJ398" s="19" t="str">
        <f>_xlfn.IFNA(IF(AE398 &lt; (INDEX(SLATable[Maximum SLA],MATCH(G398,SLATable[Priority],0))),"YES","NO"),"")</f>
        <v/>
      </c>
    </row>
    <row r="399" spans="1:36" ht="15" customHeight="1">
      <c r="A399" s="78"/>
      <c r="B399" s="78"/>
      <c r="C399" s="78"/>
      <c r="D399" s="78"/>
      <c r="E399" s="78"/>
      <c r="F399" s="78"/>
      <c r="G399" s="78"/>
      <c r="H399" s="86"/>
      <c r="I399" s="78"/>
      <c r="J399" s="86"/>
      <c r="K399" s="277"/>
      <c r="L399" s="277"/>
      <c r="M399" s="277"/>
      <c r="N399" s="277"/>
      <c r="O399" s="80"/>
      <c r="P399" s="80"/>
      <c r="Q399" s="78"/>
      <c r="R399" s="78"/>
      <c r="S399" s="78"/>
      <c r="T399" s="78"/>
      <c r="U399" s="78"/>
      <c r="V399" s="78"/>
      <c r="W399" s="78"/>
      <c r="X399" s="78"/>
      <c r="Y399" s="78"/>
      <c r="Z399" s="167" t="e">
        <f t="shared" ca="1" si="48"/>
        <v>#N/A</v>
      </c>
      <c r="AA399" s="168" t="e">
        <f t="shared" ca="1" si="50"/>
        <v>#N/A</v>
      </c>
      <c r="AB399" s="167">
        <f t="shared" ca="1" si="49"/>
        <v>0</v>
      </c>
      <c r="AC399" s="168">
        <f t="shared" ca="1" si="51"/>
        <v>0</v>
      </c>
      <c r="AD399" s="191">
        <f t="shared" ca="1" si="52"/>
        <v>46259.633973495373</v>
      </c>
      <c r="AE399" s="167">
        <f t="shared" si="53"/>
        <v>0</v>
      </c>
      <c r="AF399" s="168">
        <f t="shared" si="54"/>
        <v>0</v>
      </c>
      <c r="AG399" s="168">
        <f t="shared" si="55"/>
        <v>0</v>
      </c>
      <c r="AH399" s="81" t="e" cm="1">
        <f t="array" aca="1" ref="AH399" ca="1">IF((AD399) &lt; (INDEX(ResponseSLA[#All],(MATCH((G399),ResponseSLA[Priority],0))+1,3)),"YES","No")</f>
        <v>#N/A</v>
      </c>
      <c r="AI399" s="81" t="str">
        <f>_xlfn.IFNA(IF(AE399 &lt; (INDEX(SLATable[Minimum SLA],MATCH(G399,SLATable[Priority],0))),"YES","NO"),"")</f>
        <v/>
      </c>
      <c r="AJ399" s="19" t="str">
        <f>_xlfn.IFNA(IF(AE399 &lt; (INDEX(SLATable[Maximum SLA],MATCH(G399,SLATable[Priority],0))),"YES","NO"),"")</f>
        <v/>
      </c>
    </row>
    <row r="400" spans="1:36" ht="15" customHeight="1">
      <c r="A400" s="78"/>
      <c r="B400" s="78"/>
      <c r="C400" s="78"/>
      <c r="D400" s="78"/>
      <c r="E400" s="78"/>
      <c r="F400" s="78"/>
      <c r="G400" s="78"/>
      <c r="H400" s="86"/>
      <c r="I400" s="78"/>
      <c r="J400" s="86"/>
      <c r="K400" s="277"/>
      <c r="L400" s="277"/>
      <c r="M400" s="277"/>
      <c r="N400" s="277"/>
      <c r="O400" s="80"/>
      <c r="P400" s="80"/>
      <c r="Q400" s="78"/>
      <c r="R400" s="78"/>
      <c r="S400" s="78"/>
      <c r="T400" s="78"/>
      <c r="U400" s="78"/>
      <c r="V400" s="78"/>
      <c r="W400" s="78"/>
      <c r="X400" s="78"/>
      <c r="Y400" s="78"/>
      <c r="Z400" s="167" t="e">
        <f t="shared" ca="1" si="48"/>
        <v>#N/A</v>
      </c>
      <c r="AA400" s="168" t="e">
        <f t="shared" ca="1" si="50"/>
        <v>#N/A</v>
      </c>
      <c r="AB400" s="167">
        <f t="shared" ca="1" si="49"/>
        <v>0</v>
      </c>
      <c r="AC400" s="168">
        <f t="shared" ca="1" si="51"/>
        <v>0</v>
      </c>
      <c r="AD400" s="191">
        <f t="shared" ca="1" si="52"/>
        <v>46259.633973495373</v>
      </c>
      <c r="AE400" s="167">
        <f t="shared" si="53"/>
        <v>0</v>
      </c>
      <c r="AF400" s="168">
        <f t="shared" si="54"/>
        <v>0</v>
      </c>
      <c r="AG400" s="168">
        <f t="shared" si="55"/>
        <v>0</v>
      </c>
      <c r="AH400" s="81" t="e" cm="1">
        <f t="array" aca="1" ref="AH400" ca="1">IF((AD400) &lt; (INDEX(ResponseSLA[#All],(MATCH((G400),ResponseSLA[Priority],0))+1,3)),"YES","No")</f>
        <v>#N/A</v>
      </c>
      <c r="AI400" s="81" t="str">
        <f>_xlfn.IFNA(IF(AE400 &lt; (INDEX(SLATable[Minimum SLA],MATCH(G400,SLATable[Priority],0))),"YES","NO"),"")</f>
        <v/>
      </c>
      <c r="AJ400" s="19" t="str">
        <f>_xlfn.IFNA(IF(AE400 &lt; (INDEX(SLATable[Maximum SLA],MATCH(G400,SLATable[Priority],0))),"YES","NO"),"")</f>
        <v/>
      </c>
    </row>
    <row r="401" spans="1:36" ht="15" customHeight="1">
      <c r="A401" s="78"/>
      <c r="B401" s="78"/>
      <c r="C401" s="78"/>
      <c r="D401" s="78"/>
      <c r="E401" s="78"/>
      <c r="F401" s="78"/>
      <c r="G401" s="78"/>
      <c r="H401" s="86"/>
      <c r="I401" s="78"/>
      <c r="J401" s="86"/>
      <c r="K401" s="277"/>
      <c r="L401" s="277"/>
      <c r="M401" s="277"/>
      <c r="N401" s="277"/>
      <c r="O401" s="80"/>
      <c r="P401" s="80"/>
      <c r="Q401" s="78"/>
      <c r="R401" s="78"/>
      <c r="S401" s="78"/>
      <c r="T401" s="78"/>
      <c r="U401" s="78"/>
      <c r="V401" s="78"/>
      <c r="W401" s="78"/>
      <c r="X401" s="78"/>
      <c r="Y401" s="78"/>
      <c r="Z401" s="167" t="e">
        <f t="shared" ca="1" si="48"/>
        <v>#N/A</v>
      </c>
      <c r="AA401" s="168" t="e">
        <f t="shared" ca="1" si="50"/>
        <v>#N/A</v>
      </c>
      <c r="AB401" s="167">
        <f t="shared" ca="1" si="49"/>
        <v>0</v>
      </c>
      <c r="AC401" s="168">
        <f t="shared" ca="1" si="51"/>
        <v>0</v>
      </c>
      <c r="AD401" s="191">
        <f t="shared" ca="1" si="52"/>
        <v>46259.633973495373</v>
      </c>
      <c r="AE401" s="167">
        <f t="shared" si="53"/>
        <v>0</v>
      </c>
      <c r="AF401" s="168">
        <f t="shared" si="54"/>
        <v>0</v>
      </c>
      <c r="AG401" s="168">
        <f t="shared" si="55"/>
        <v>0</v>
      </c>
      <c r="AH401" s="81" t="e" cm="1">
        <f t="array" aca="1" ref="AH401" ca="1">IF((AD401) &lt; (INDEX(ResponseSLA[#All],(MATCH((G401),ResponseSLA[Priority],0))+1,3)),"YES","No")</f>
        <v>#N/A</v>
      </c>
      <c r="AI401" s="81" t="str">
        <f>_xlfn.IFNA(IF(AE401 &lt; (INDEX(SLATable[Minimum SLA],MATCH(G401,SLATable[Priority],0))),"YES","NO"),"")</f>
        <v/>
      </c>
      <c r="AJ401" s="19" t="str">
        <f>_xlfn.IFNA(IF(AE401 &lt; (INDEX(SLATable[Maximum SLA],MATCH(G401,SLATable[Priority],0))),"YES","NO"),"")</f>
        <v/>
      </c>
    </row>
    <row r="402" spans="1:36" ht="15" customHeight="1">
      <c r="A402" s="78"/>
      <c r="B402" s="78"/>
      <c r="C402" s="78"/>
      <c r="D402" s="78"/>
      <c r="E402" s="78"/>
      <c r="F402" s="78"/>
      <c r="G402" s="78"/>
      <c r="H402" s="86"/>
      <c r="I402" s="78"/>
      <c r="J402" s="86"/>
      <c r="K402" s="277"/>
      <c r="L402" s="277"/>
      <c r="M402" s="277"/>
      <c r="N402" s="277"/>
      <c r="O402" s="80"/>
      <c r="P402" s="80"/>
      <c r="Q402" s="78"/>
      <c r="R402" s="78"/>
      <c r="S402" s="78"/>
      <c r="T402" s="78"/>
      <c r="U402" s="78"/>
      <c r="V402" s="78"/>
      <c r="W402" s="78"/>
      <c r="X402" s="78"/>
      <c r="Y402" s="78"/>
      <c r="Z402" s="167" t="e">
        <f t="shared" ca="1" si="48"/>
        <v>#N/A</v>
      </c>
      <c r="AA402" s="168" t="e">
        <f t="shared" ca="1" si="50"/>
        <v>#N/A</v>
      </c>
      <c r="AB402" s="167">
        <f t="shared" ca="1" si="49"/>
        <v>0</v>
      </c>
      <c r="AC402" s="168">
        <f t="shared" ca="1" si="51"/>
        <v>0</v>
      </c>
      <c r="AD402" s="191">
        <f t="shared" ca="1" si="52"/>
        <v>46259.633973495373</v>
      </c>
      <c r="AE402" s="167">
        <f t="shared" si="53"/>
        <v>0</v>
      </c>
      <c r="AF402" s="168">
        <f t="shared" si="54"/>
        <v>0</v>
      </c>
      <c r="AG402" s="168">
        <f t="shared" si="55"/>
        <v>0</v>
      </c>
      <c r="AH402" s="81" t="e" cm="1">
        <f t="array" aca="1" ref="AH402" ca="1">IF((AD402) &lt; (INDEX(ResponseSLA[#All],(MATCH((G402),ResponseSLA[Priority],0))+1,3)),"YES","No")</f>
        <v>#N/A</v>
      </c>
      <c r="AI402" s="81" t="str">
        <f>_xlfn.IFNA(IF(AE402 &lt; (INDEX(SLATable[Minimum SLA],MATCH(G402,SLATable[Priority],0))),"YES","NO"),"")</f>
        <v/>
      </c>
      <c r="AJ402" s="19" t="str">
        <f>_xlfn.IFNA(IF(AE402 &lt; (INDEX(SLATable[Maximum SLA],MATCH(G402,SLATable[Priority],0))),"YES","NO"),"")</f>
        <v/>
      </c>
    </row>
    <row r="403" spans="1:36" ht="15" customHeight="1">
      <c r="H403" s="45"/>
      <c r="J403" s="45"/>
      <c r="K403" s="47"/>
      <c r="L403" s="47"/>
      <c r="M403" s="47"/>
      <c r="N403" s="47"/>
    </row>
    <row r="404" spans="1:36" ht="15" customHeight="1">
      <c r="H404" s="45"/>
      <c r="J404" s="45"/>
      <c r="K404" s="47"/>
      <c r="L404" s="47"/>
      <c r="M404" s="47"/>
      <c r="N404" s="47"/>
      <c r="R404" s="59"/>
      <c r="S404" s="59"/>
      <c r="T404" s="59"/>
      <c r="U404" s="59"/>
    </row>
    <row r="405" spans="1:36" ht="15" customHeight="1">
      <c r="H405" s="45"/>
      <c r="J405" s="45"/>
      <c r="K405" s="47"/>
      <c r="L405" s="47"/>
      <c r="M405" s="47"/>
      <c r="N405" s="47"/>
    </row>
    <row r="406" spans="1:36" ht="15" customHeight="1">
      <c r="H406" s="45"/>
      <c r="J406" s="45"/>
      <c r="K406" s="47"/>
      <c r="L406" s="47"/>
      <c r="M406" s="47"/>
      <c r="N406" s="47"/>
    </row>
    <row r="407" spans="1:36" ht="15" customHeight="1">
      <c r="H407" s="45"/>
      <c r="J407" s="45"/>
      <c r="K407" s="47"/>
      <c r="L407" s="47"/>
      <c r="M407" s="47"/>
      <c r="N407" s="47"/>
    </row>
    <row r="408" spans="1:36" ht="15" customHeight="1">
      <c r="H408" s="45"/>
      <c r="J408" s="45"/>
      <c r="K408" s="47"/>
      <c r="L408" s="47"/>
      <c r="M408" s="47"/>
      <c r="N408" s="47"/>
    </row>
    <row r="409" spans="1:36" ht="15" customHeight="1">
      <c r="H409" s="45"/>
      <c r="J409" s="45"/>
      <c r="K409" s="47"/>
      <c r="L409" s="47"/>
      <c r="M409" s="47"/>
      <c r="N409" s="47"/>
    </row>
  </sheetData>
  <sheetProtection sheet="1" objects="1" scenarios="1"/>
  <protectedRanges>
    <protectedRange algorithmName="SHA-512" hashValue="99OQ+VOyYeTgkyp5V2h7IJuhOY+ByGUUH4Kc0xKuZgn2w66Z/zb6NCagB6+bjIBmhadenmL7/H2PSKzd599e6Q==" saltValue="s8mGfn7WVHJZXEYeB6j8Yw==" spinCount="100000" sqref="U1 AB1:AJ1" name="Formula Cells"/>
  </protectedRanges>
  <autoFilter ref="A1:AJ402" xr:uid="{85F6D3A6-BDB1-42B5-A974-1DBB4292F755}"/>
  <conditionalFormatting sqref="E1">
    <cfRule type="duplicateValues" dxfId="18" priority="5"/>
  </conditionalFormatting>
  <conditionalFormatting sqref="E234 E1:E128 E134:E232 E237:E239 E256 E419:E1048576 E277:E402">
    <cfRule type="duplicateValues" dxfId="17" priority="1"/>
  </conditionalFormatting>
  <conditionalFormatting sqref="E419:E1048576 E1:E85 E88:E128 E134:E232 E234 E237:E239 E256 E277:E402">
    <cfRule type="duplicateValues" dxfId="16" priority="3"/>
  </conditionalFormatting>
  <conditionalFormatting sqref="L243">
    <cfRule type="duplicateValues" dxfId="15" priority="2"/>
  </conditionalFormatting>
  <conditionalFormatting sqref="L6:N10">
    <cfRule type="duplicateValues" dxfId="14" priority="4"/>
  </conditionalFormatting>
  <dataValidations count="13">
    <dataValidation type="list" allowBlank="1" showInputMessage="1" showErrorMessage="1" sqref="S2:S1048479" xr:uid="{DF7DEDA3-BFE2-4659-9433-4510BE092B69}">
      <formula1>IF(D2="","",INDIRECT(D2))</formula1>
    </dataValidation>
    <dataValidation type="list" allowBlank="1" showInputMessage="1" showErrorMessage="1" sqref="U1:U1048479" xr:uid="{175DC9BA-3291-431C-BA42-E8B5CF61C8FA}">
      <formula1>"Yes,No"</formula1>
    </dataValidation>
    <dataValidation type="list" allowBlank="1" showInputMessage="1" showErrorMessage="1" sqref="R1:R1048479" xr:uid="{5297D82B-9DBF-4186-827F-41946D09A179}">
      <formula1>Resolution_List</formula1>
    </dataValidation>
    <dataValidation type="list" showInputMessage="1" showErrorMessage="1" errorTitle="Invalid Entry" error="Please select a value in TYPE before entering Priority" sqref="G419:G1048479 G1:G402" xr:uid="{6120F706-80C5-4195-BC91-A9B5FCB11482}">
      <formula1>IF(D1="","",INDIRECT(D1&amp;"_PR"))</formula1>
    </dataValidation>
    <dataValidation type="list" showInputMessage="1" showErrorMessage="1" errorTitle="Invalid Domain" error="Please select value only from dropdown" sqref="C419:C1048479 C1:C402" xr:uid="{A255E091-FD40-4CB5-847C-2DFFA94CE061}">
      <formula1>Domain_List</formula1>
    </dataValidation>
    <dataValidation type="list" allowBlank="1" showInputMessage="1" showErrorMessage="1" sqref="B419:B1048479 B1:B402" xr:uid="{D2C80B2B-309A-4BDA-98C3-0BC0B9094AD8}">
      <formula1>OpCo_List</formula1>
    </dataValidation>
    <dataValidation type="list" allowBlank="1" showInputMessage="1" showErrorMessage="1" sqref="D419:D1048479 D1:D402" xr:uid="{0BE12413-24F7-44F2-8000-03D8345201EF}">
      <formula1>Type_List</formula1>
    </dataValidation>
    <dataValidation type="list" allowBlank="1" showInputMessage="1" showErrorMessage="1" sqref="Y127 I1:I124 I419:I1048479 I126:I402" xr:uid="{4B42DFA5-50FC-406B-9605-D482EC79DF32}">
      <formula1>Status_List</formula1>
    </dataValidation>
    <dataValidation type="list" allowBlank="1" showInputMessage="1" showErrorMessage="1" sqref="F1:F20 F419:F1048479 F32:F256 F277:F402" xr:uid="{4DFCBC93-E6B9-4479-994A-4F9AFA2B963F}">
      <formula1>Queue_List</formula1>
    </dataValidation>
    <dataValidation type="list" allowBlank="1" showInputMessage="1" showErrorMessage="1" sqref="U1 T1:T1048479" xr:uid="{FFB7E140-671E-4133-9CAC-6D5BCD269211}">
      <formula1>SubCategory</formula1>
    </dataValidation>
    <dataValidation type="date" allowBlank="1" showInputMessage="1" showErrorMessage="1" sqref="O1:P5 N1 K1 L1:M2 L4:M6 K7:K20 N10:N20 K32:K41 L9:L41 M10:M41 N32:N41 L52:M52 L134:L157 K44:N46 P95 P86 L120:L128 N81:N96 N98:N128 L57:M80 K93:K128 L81:L118 N50:N79 M119:M128 M81:M117 K52:K91 P218 P160 P163 P187 P189 N233 N183:N231 K182:M230 L159:L181 P252 M134:N181 K134:K181 K277:K396 K237:K256 N277:N396 N237:N256 L237:L396 M237:M263 M265:M396" xr:uid="{6C9D0F09-9C25-4782-8A23-C3E68542E8C4}">
      <formula1>36526</formula1>
      <formula2>73050</formula2>
    </dataValidation>
    <dataValidation allowBlank="1" showInputMessage="1" showErrorMessage="1" sqref="S1" xr:uid="{EEEA140C-9D70-477D-A9C1-94C0B221A830}"/>
    <dataValidation allowBlank="1" showInputMessage="1" showErrorMessage="1" errorTitle="Assigned to" error="dont type idiot" sqref="J1:J5" xr:uid="{0C7F3FCC-9918-4B89-A4F3-A59ECD0EBE64}"/>
  </dataValidations>
  <pageMargins left="0.7" right="0.7" top="0.75" bottom="0.75"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3F860-CF8B-4FE7-9F49-1D3A2EF82558}">
  <sheetPr codeName="Sheet13"/>
  <dimension ref="A1:AJ502"/>
  <sheetViews>
    <sheetView zoomScale="78" zoomScaleNormal="78" workbookViewId="0">
      <pane ySplit="1" topLeftCell="A134" activePane="bottomLeft" state="frozen"/>
      <selection pane="bottomLeft" activeCell="AF149" sqref="AF149"/>
    </sheetView>
  </sheetViews>
  <sheetFormatPr defaultColWidth="9.140625" defaultRowHeight="15" customHeight="1"/>
  <cols>
    <col min="1" max="1" width="6.42578125" style="45" customWidth="1"/>
    <col min="2" max="2" width="7.85546875" style="45" customWidth="1"/>
    <col min="3" max="3" width="9.42578125" style="45" customWidth="1"/>
    <col min="4" max="4" width="8.28515625" style="45" customWidth="1"/>
    <col min="5" max="5" width="11.140625" style="45" customWidth="1"/>
    <col min="6" max="6" width="13.7109375" style="45" customWidth="1"/>
    <col min="7" max="7" width="9" style="45" customWidth="1"/>
    <col min="8" max="8" width="16.85546875" style="45" customWidth="1"/>
    <col min="9" max="9" width="8.140625" style="45" customWidth="1"/>
    <col min="10" max="10" width="12.42578125" style="45" customWidth="1"/>
    <col min="11" max="11" width="20.140625" style="47" customWidth="1"/>
    <col min="12" max="12" width="18.85546875" style="47" customWidth="1"/>
    <col min="13" max="13" width="24.7109375" style="47" customWidth="1"/>
    <col min="14" max="16" width="23.42578125" style="47" customWidth="1"/>
    <col min="17" max="25" width="23.42578125" style="45" customWidth="1"/>
    <col min="26" max="26" width="23.42578125" customWidth="1"/>
    <col min="27" max="27" width="16.42578125" customWidth="1"/>
    <col min="28" max="28" width="21.85546875" customWidth="1"/>
    <col min="29" max="29" width="19.85546875" customWidth="1"/>
    <col min="30" max="30" width="22.7109375" style="25" customWidth="1"/>
    <col min="31" max="31" width="14" customWidth="1"/>
    <col min="32" max="32" width="18.85546875" customWidth="1"/>
    <col min="33" max="33" width="21" customWidth="1"/>
    <col min="34" max="34" width="17.85546875" bestFit="1" customWidth="1"/>
    <col min="35" max="35" width="28.28515625" bestFit="1" customWidth="1"/>
    <col min="36" max="36" width="28.7109375" bestFit="1" customWidth="1"/>
    <col min="37" max="16384" width="9.140625" style="45"/>
  </cols>
  <sheetData>
    <row r="1" spans="1:36" s="44" customFormat="1" ht="15" customHeight="1">
      <c r="A1" s="43" t="s">
        <v>347</v>
      </c>
      <c r="B1" s="43" t="s">
        <v>2</v>
      </c>
      <c r="C1" s="43" t="s">
        <v>3</v>
      </c>
      <c r="D1" s="43" t="s">
        <v>253</v>
      </c>
      <c r="E1" s="43" t="s">
        <v>348</v>
      </c>
      <c r="F1" s="43" t="s">
        <v>1</v>
      </c>
      <c r="G1" s="43" t="s">
        <v>324</v>
      </c>
      <c r="H1" s="43" t="s">
        <v>349</v>
      </c>
      <c r="I1" s="43" t="s">
        <v>254</v>
      </c>
      <c r="J1" s="43" t="s">
        <v>350</v>
      </c>
      <c r="K1" s="43" t="s">
        <v>351</v>
      </c>
      <c r="L1" s="43" t="s">
        <v>352</v>
      </c>
      <c r="M1" s="43" t="s">
        <v>353</v>
      </c>
      <c r="N1" s="43" t="s">
        <v>354</v>
      </c>
      <c r="O1" s="43" t="s">
        <v>355</v>
      </c>
      <c r="P1" s="43" t="s">
        <v>356</v>
      </c>
      <c r="Q1" s="43" t="s">
        <v>357</v>
      </c>
      <c r="R1" s="43" t="s">
        <v>358</v>
      </c>
      <c r="S1" s="43" t="s">
        <v>359</v>
      </c>
      <c r="T1" s="43" t="s">
        <v>258</v>
      </c>
      <c r="U1" s="43" t="s">
        <v>360</v>
      </c>
      <c r="V1" s="43" t="s">
        <v>361</v>
      </c>
      <c r="W1" s="43" t="s">
        <v>362</v>
      </c>
      <c r="X1" s="43" t="s">
        <v>363</v>
      </c>
      <c r="Y1" s="43" t="s">
        <v>364</v>
      </c>
      <c r="Z1" s="32" t="s">
        <v>82</v>
      </c>
      <c r="AA1" s="32" t="s">
        <v>90</v>
      </c>
      <c r="AB1" s="32" t="s">
        <v>84</v>
      </c>
      <c r="AC1" s="32" t="s">
        <v>92</v>
      </c>
      <c r="AD1" s="57" t="s">
        <v>86</v>
      </c>
      <c r="AE1" s="32" t="s">
        <v>88</v>
      </c>
      <c r="AF1" s="32" t="s">
        <v>365</v>
      </c>
      <c r="AG1" s="32" t="s">
        <v>366</v>
      </c>
      <c r="AH1" s="32" t="s">
        <v>94</v>
      </c>
      <c r="AI1" s="32" t="s">
        <v>96</v>
      </c>
      <c r="AJ1" s="33" t="s">
        <v>98</v>
      </c>
    </row>
    <row r="2" spans="1:36" ht="15" customHeight="1">
      <c r="A2" s="45">
        <v>1</v>
      </c>
      <c r="B2" s="45" t="s">
        <v>26</v>
      </c>
      <c r="C2" s="45" t="s">
        <v>39</v>
      </c>
      <c r="D2" s="45" t="s">
        <v>207</v>
      </c>
      <c r="E2" s="45" t="s">
        <v>7921</v>
      </c>
      <c r="F2" s="45" t="s">
        <v>309</v>
      </c>
      <c r="G2" s="45">
        <v>4</v>
      </c>
      <c r="H2" s="46" t="s">
        <v>7922</v>
      </c>
      <c r="I2" s="45" t="s">
        <v>271</v>
      </c>
      <c r="J2" s="45" t="s">
        <v>7923</v>
      </c>
      <c r="K2" s="47">
        <v>46143.195833333331</v>
      </c>
      <c r="L2" s="47">
        <v>46143.195833333331</v>
      </c>
      <c r="M2" s="47">
        <v>46146.257638888892</v>
      </c>
      <c r="N2" s="47">
        <v>46146.422222222223</v>
      </c>
      <c r="R2" s="45" t="s">
        <v>272</v>
      </c>
      <c r="S2" s="45" t="s">
        <v>161</v>
      </c>
      <c r="U2" s="45" t="s">
        <v>371</v>
      </c>
      <c r="Z2" s="76">
        <f t="shared" ref="Z2" ca="1" si="0">IF(NOT(OR(G2=1,G2=2)),MAX(0,_xlfn.IFS(AND(K2&lt;&gt;"",N2&lt;&gt;""),((MAX(NETWORKDAYS(K2,N2,UKBankHolidays)-1,0))*(TIME(17,0,0)-TIME(8,0,0))+IF(NETWORKDAYS(N2,N2,UKBankHolidays)&gt;0,MEDIAN(TIME(8,0,0),MOD(N2,1),TIME(17,0,0)),TIME(8,0,0))-IF(NETWORKDAYS(K2,K2,UKBankHolidays)&gt;0,MEDIAN(TIME(8,0,0),MOD(K2,1),TIME(17,0,0)),TIME(8,0,0)))-IF(AND(O2&lt;&gt;"",P2&lt;&gt;""),((MAX(NETWORKDAYS(O2,P2,UKBankHolidays)-1,0))*(TIME(17,0,0)-TIME(8,0,0))+IF(NETWORKDAYS(P2,P2,UKBankHolidays)&gt;0,MEDIAN(TIME(8,0,0),MOD(P2,1),TIME(17,0,0)),TIME(8,0,0))-IF(NETWORKDAYS(O2,O2,UKBankHolidays)&gt;0,MEDIAN(TIME(8,0,0),MOD(O2,1),TIME(17,0,0)),TIME(8,0,0))),0),AND(K2&lt;&gt;"",N2=""),((MAX(NETWORKDAYS(K2,NOW(),UKBankHolidays)-1,0))*(TIME(17,0,0)-TIME(8,0,0))+IF(NETWORKDAYS(NOW(),NOW(),UKBankHolidays)&gt;0,MEDIAN(TIME(8,0,0),MOD(NOW(),1),TIME(17,0,0)),TIME(8,0,0))-IF(NETWORKDAYS(K2,K2,UKBankHolidays)&gt;0,MEDIAN(TIME(8,0,0),MOD(K2,1),TIME(17,0,0)),TIME(8,0,0))))),IF(N2="",NOW()-K2,N2-K2))</f>
        <v>0</v>
      </c>
      <c r="AA2" s="75">
        <f t="shared" ref="AA2:AA256" ca="1" si="1">(Z2*24)/9</f>
        <v>0</v>
      </c>
      <c r="AB2" s="76">
        <f t="shared" ref="AB2" ca="1" si="2">IF(NOT(OR(G2=1,G2=2)),MAX(0,_xlfn.IFS(AND(K2&lt;&gt;"",N2&lt;&gt;""),(((MAX(NETWORKDAYS(L2,N2,UKBankHolidays)-1,0))*(TIME(17,0,0)-TIME(8,0,0)))+IF(NETWORKDAYS(N2,N2,UKBankHolidays)&gt;0,MEDIAN(TIME(8,0,0),MOD(N2,1),TIME(17,0,0)),TIME(8,0,0))-IF(NETWORKDAYS(L2,L2,UKBankHolidays)&gt;0,MEDIAN(TIME(8,0,0),MOD(L2,1),TIME(17,0,0)),TIME(8,0,0)))-IF(AND(O2&lt;&gt;"",P2&lt;&gt;""),(((MAX(NETWORKDAYS(O2,P2,UKBankHolidays)-1,0))*(TIME(17,0,0)-TIME(8,0,0)))+IF(NETWORKDAYS(P2,P2,UKBankHolidays)&gt;0,MEDIAN(TIME(8,0,0),MOD(P2,1),TIME(17,0,0)),TIME(8,0,0))-IF(NETWORKDAYS(O2,O2,UKBankHolidays)&gt;0,MEDIAN(TIME(8,0,0),MOD(O2,1),TIME(17,0,0)),TIME(8,0,0))),0),AND(L2&lt;&gt;"",N2="",O2=""),(((MAX(NETWORKDAYS(L2,NOW(),UKBankHolidays)-1,0))*(TIME(17,0,0)-TIME(8,0,0)))+IF(NETWORKDAYS(NOW(),NOW(),UKBankHolidays)&gt;0,MEDIAN(TIME(8,0,0),MOD(NOW(),1),TIME(17,0,0)),TIME(8,0,0))-IF(NETWORKDAYS(L2,L2,UKBankHolidays)&gt;0,MEDIAN(TIME(8,0,0),MOD(L2,1),TIME(17,0,0)),TIME(8,0,0)))-IF(AND(O2&lt;&gt;"",P2&lt;&gt;""),(((MAX(NETWORKDAYS(O2,P2,UKBankHolidays)-1,0))*(TIME(17,0,0)-TIME(8,0,0)))+IF(NETWORKDAYS(P2,P2,UKBankHolidays)&gt;0,MEDIAN(TIME(8,0,0),MOD(P2,1),TIME(17,0,0)),TIME(8,0,0))-IF(NETWORKDAYS(O2,O2,UKBankHolidays)&gt;0,MEDIAN(TIME(8,0,0),MOD(O2,1),TIME(17,0,0)),TIME(8,0,0))),0),AND(L2&lt;&gt;"",N2="",P2="",O2&lt;&gt;""),(((MAX(NETWORKDAYS(L2,O2,UKBankHolidays)-1,0))*(TIME(17,0,0)-TIME(8,0,0)))+IF(NETWORKDAYS(O2,O2,UKBankHolidays)&gt;0,MEDIAN(TIME(8,0,0),MOD(O2,1),TIME(17,0,0)),TIME(8,0,0))-IF(NETWORKDAYS(L2,L2,UKBankHolidays)&gt;0,MEDIAN(TIME(8,0,0),MOD(L2,1),TIME(17,0,0)),TIME(8,0,0))),ISBLANK(K2),"0")),IF(ISBLANK(N2),NOW()-L2,N2-L2))</f>
        <v>0</v>
      </c>
      <c r="AC2" s="75">
        <f t="shared" ref="AC2:AC256" ca="1" si="3">(AB2*24)/9</f>
        <v>0</v>
      </c>
      <c r="AD2" s="76">
        <f t="shared" ref="AD2" ca="1" si="4">MAX(0,IF(NOT(OR(G2=1,G2=2)),IF(M2&lt;&gt;"",((MAX(NETWORKDAYS(L2,M2,UKBankHolidays)-1,0))*(TIME(17,0,0)-TIME(8,0,0))+IF(NETWORKDAYS(M2,M2,UKBankHolidays)&gt;0,MEDIAN(TIME(8,0,0),MOD(M2,1),TIME(17,0,0)),TIME(8,0,0))-MEDIAN(TIME(8,0,0),MOD(L2,1),TIME(17,0,0))),((MAX(NETWORKDAYS(L2,NOW(),UKBankHolidays)-1,0))*(TIME(17,0,0)-TIME(8,0,0))+IF(NETWORKDAYS(NOW(),NOW(),UKBankHolidays)&gt;0,MEDIAN(TIME(8,0,0),MOD(NOW(),1),TIME(17,0,0)),TIME(8,0,0))-MEDIAN(TIME(8,0,0),MOD(L2,1),TIME(17,0,0)))),IF(M2&lt;&gt;"",M2-L2,NOW()-L2)))</f>
        <v>0</v>
      </c>
      <c r="AE2" s="76">
        <f t="shared" ref="AE2" ca="1" si="5">SUMIFS(AB:AB,E:E,E2)</f>
        <v>0</v>
      </c>
      <c r="AF2" s="75">
        <f t="shared" ref="AF2:AF256" ca="1" si="6">(AE2*24)/9</f>
        <v>0</v>
      </c>
      <c r="AG2" s="75">
        <f t="shared" ref="AG2:AG256" ca="1" si="7">AF2</f>
        <v>0</v>
      </c>
      <c r="AH2" s="31" t="str" cm="1">
        <f t="array" aca="1" ref="AH2" ca="1">IF((AD2) &lt; (INDEX(ResponseSLA[#All],(MATCH((G2),ResponseSLA[Priority],0))+1,3)),"YES","No")</f>
        <v>YES</v>
      </c>
      <c r="AI2" s="31" t="str">
        <f ca="1">_xlfn.IFNA(IF(AE2 &lt; (INDEX(SLATable[Minimum SLA],MATCH(G2,SLATable[Priority],0))),"YES","NO"),"")</f>
        <v>YES</v>
      </c>
      <c r="AJ2" t="str">
        <f ca="1">_xlfn.IFNA(IF(AE2 &lt; (INDEX(SLATable[Maximum SLA],MATCH(G2,SLATable[Priority],0))),"YES","NO"),"")</f>
        <v>YES</v>
      </c>
    </row>
    <row r="3" spans="1:36" ht="15" customHeight="1">
      <c r="A3" s="45">
        <v>2</v>
      </c>
      <c r="B3" s="45" t="s">
        <v>26</v>
      </c>
      <c r="C3" s="45" t="s">
        <v>39</v>
      </c>
      <c r="D3" s="45" t="s">
        <v>207</v>
      </c>
      <c r="E3" s="45" t="s">
        <v>7924</v>
      </c>
      <c r="F3" s="45" t="s">
        <v>309</v>
      </c>
      <c r="G3" s="45">
        <v>4</v>
      </c>
      <c r="H3" s="45" t="s">
        <v>7925</v>
      </c>
      <c r="I3" s="45" t="s">
        <v>271</v>
      </c>
      <c r="J3" s="45" t="s">
        <v>7923</v>
      </c>
      <c r="K3" s="47">
        <v>46146.036111111112</v>
      </c>
      <c r="L3" s="47">
        <v>46146.036111111112</v>
      </c>
      <c r="M3" s="47">
        <v>46146.25</v>
      </c>
      <c r="N3" s="47">
        <v>46146.527777777781</v>
      </c>
      <c r="R3" s="45" t="s">
        <v>272</v>
      </c>
      <c r="S3" s="45" t="s">
        <v>161</v>
      </c>
      <c r="U3" s="45" t="s">
        <v>371</v>
      </c>
      <c r="Z3" s="76">
        <f t="shared" ref="Z3:Z66" ca="1" si="8">IF(NOT(OR(G3=1,G3=2)),MAX(0,_xlfn.IFS(AND(K3&lt;&gt;"",N3&lt;&gt;""),((MAX(NETWORKDAYS(K3,N3,UKBankHolidays)-1,0))*(TIME(17,0,0)-TIME(8,0,0))+IF(NETWORKDAYS(N3,N3,UKBankHolidays)&gt;0,MEDIAN(TIME(8,0,0),MOD(N3,1),TIME(17,0,0)),TIME(8,0,0))-IF(NETWORKDAYS(K3,K3,UKBankHolidays)&gt;0,MEDIAN(TIME(8,0,0),MOD(K3,1),TIME(17,0,0)),TIME(8,0,0)))-IF(AND(O3&lt;&gt;"",P3&lt;&gt;""),((MAX(NETWORKDAYS(O3,P3,UKBankHolidays)-1,0))*(TIME(17,0,0)-TIME(8,0,0))+IF(NETWORKDAYS(P3,P3,UKBankHolidays)&gt;0,MEDIAN(TIME(8,0,0),MOD(P3,1),TIME(17,0,0)),TIME(8,0,0))-IF(NETWORKDAYS(O3,O3,UKBankHolidays)&gt;0,MEDIAN(TIME(8,0,0),MOD(O3,1),TIME(17,0,0)),TIME(8,0,0))),0),AND(K3&lt;&gt;"",N3=""),((MAX(NETWORKDAYS(K3,NOW(),UKBankHolidays)-1,0))*(TIME(17,0,0)-TIME(8,0,0))+IF(NETWORKDAYS(NOW(),NOW(),UKBankHolidays)&gt;0,MEDIAN(TIME(8,0,0),MOD(NOW(),1),TIME(17,0,0)),TIME(8,0,0))-IF(NETWORKDAYS(K3,K3,UKBankHolidays)&gt;0,MEDIAN(TIME(8,0,0),MOD(K3,1),TIME(17,0,0)),TIME(8,0,0))))),IF(N3="",NOW()-K3,N3-K3))</f>
        <v>0</v>
      </c>
      <c r="AA3" s="75">
        <f t="shared" ca="1" si="1"/>
        <v>0</v>
      </c>
      <c r="AB3" s="76">
        <f t="shared" ref="AB3:AB66" ca="1" si="9">IF(NOT(OR(G3=1,G3=2)),MAX(0,_xlfn.IFS(AND(K3&lt;&gt;"",N3&lt;&gt;""),(((MAX(NETWORKDAYS(L3,N3,UKBankHolidays)-1,0))*(TIME(17,0,0)-TIME(8,0,0)))+IF(NETWORKDAYS(N3,N3,UKBankHolidays)&gt;0,MEDIAN(TIME(8,0,0),MOD(N3,1),TIME(17,0,0)),TIME(8,0,0))-IF(NETWORKDAYS(L3,L3,UKBankHolidays)&gt;0,MEDIAN(TIME(8,0,0),MOD(L3,1),TIME(17,0,0)),TIME(8,0,0)))-IF(AND(O3&lt;&gt;"",P3&lt;&gt;""),(((MAX(NETWORKDAYS(O3,P3,UKBankHolidays)-1,0))*(TIME(17,0,0)-TIME(8,0,0)))+IF(NETWORKDAYS(P3,P3,UKBankHolidays)&gt;0,MEDIAN(TIME(8,0,0),MOD(P3,1),TIME(17,0,0)),TIME(8,0,0))-IF(NETWORKDAYS(O3,O3,UKBankHolidays)&gt;0,MEDIAN(TIME(8,0,0),MOD(O3,1),TIME(17,0,0)),TIME(8,0,0))),0),AND(L3&lt;&gt;"",N3="",O3=""),(((MAX(NETWORKDAYS(L3,NOW(),UKBankHolidays)-1,0))*(TIME(17,0,0)-TIME(8,0,0)))+IF(NETWORKDAYS(NOW(),NOW(),UKBankHolidays)&gt;0,MEDIAN(TIME(8,0,0),MOD(NOW(),1),TIME(17,0,0)),TIME(8,0,0))-IF(NETWORKDAYS(L3,L3,UKBankHolidays)&gt;0,MEDIAN(TIME(8,0,0),MOD(L3,1),TIME(17,0,0)),TIME(8,0,0)))-IF(AND(O3&lt;&gt;"",P3&lt;&gt;""),(((MAX(NETWORKDAYS(O3,P3,UKBankHolidays)-1,0))*(TIME(17,0,0)-TIME(8,0,0)))+IF(NETWORKDAYS(P3,P3,UKBankHolidays)&gt;0,MEDIAN(TIME(8,0,0),MOD(P3,1),TIME(17,0,0)),TIME(8,0,0))-IF(NETWORKDAYS(O3,O3,UKBankHolidays)&gt;0,MEDIAN(TIME(8,0,0),MOD(O3,1),TIME(17,0,0)),TIME(8,0,0))),0),AND(L3&lt;&gt;"",N3="",P3="",O3&lt;&gt;""),(((MAX(NETWORKDAYS(L3,O3,UKBankHolidays)-1,0))*(TIME(17,0,0)-TIME(8,0,0)))+IF(NETWORKDAYS(O3,O3,UKBankHolidays)&gt;0,MEDIAN(TIME(8,0,0),MOD(O3,1),TIME(17,0,0)),TIME(8,0,0))-IF(NETWORKDAYS(L3,L3,UKBankHolidays)&gt;0,MEDIAN(TIME(8,0,0),MOD(L3,1),TIME(17,0,0)),TIME(8,0,0))),ISBLANK(K3),"0")),IF(ISBLANK(N3),NOW()-L3,N3-L3))</f>
        <v>0</v>
      </c>
      <c r="AC3" s="75">
        <f t="shared" ca="1" si="3"/>
        <v>0</v>
      </c>
      <c r="AD3" s="76">
        <f t="shared" ref="AD3:AD66" ca="1" si="10">MAX(0,IF(NOT(OR(G3=1,G3=2)),IF(M3&lt;&gt;"",((MAX(NETWORKDAYS(L3,M3,UKBankHolidays)-1,0))*(TIME(17,0,0)-TIME(8,0,0))+IF(NETWORKDAYS(M3,M3,UKBankHolidays)&gt;0,MEDIAN(TIME(8,0,0),MOD(M3,1),TIME(17,0,0)),TIME(8,0,0))-MEDIAN(TIME(8,0,0),MOD(L3,1),TIME(17,0,0))),((MAX(NETWORKDAYS(L3,NOW(),UKBankHolidays)-1,0))*(TIME(17,0,0)-TIME(8,0,0))+IF(NETWORKDAYS(NOW(),NOW(),UKBankHolidays)&gt;0,MEDIAN(TIME(8,0,0),MOD(NOW(),1),TIME(17,0,0)),TIME(8,0,0))-MEDIAN(TIME(8,0,0),MOD(L3,1),TIME(17,0,0)))),IF(M3&lt;&gt;"",M3-L3,NOW()-L3)))</f>
        <v>0</v>
      </c>
      <c r="AE3" s="76">
        <f t="shared" ref="AE3:AE66" ca="1" si="11">SUMIFS(AB:AB,E:E,E3)</f>
        <v>0</v>
      </c>
      <c r="AF3" s="75">
        <f t="shared" ca="1" si="6"/>
        <v>0</v>
      </c>
      <c r="AG3" s="75">
        <f t="shared" ca="1" si="7"/>
        <v>0</v>
      </c>
      <c r="AH3" s="31" t="str" cm="1">
        <f t="array" aca="1" ref="AH3" ca="1">IF((AD3) &lt; (INDEX(ResponseSLA[#All],(MATCH((G3),ResponseSLA[Priority],0))+1,3)),"YES","No")</f>
        <v>YES</v>
      </c>
      <c r="AI3" s="31" t="str">
        <f ca="1">_xlfn.IFNA(IF(AE3 &lt; (INDEX(SLATable[Minimum SLA],MATCH(G3,SLATable[Priority],0))),"YES","NO"),"")</f>
        <v>YES</v>
      </c>
      <c r="AJ3" t="str">
        <f ca="1">_xlfn.IFNA(IF(AE3 &lt; (INDEX(SLATable[Maximum SLA],MATCH(G3,SLATable[Priority],0))),"YES","NO"),"")</f>
        <v>YES</v>
      </c>
    </row>
    <row r="4" spans="1:36" ht="15" customHeight="1">
      <c r="A4" s="45">
        <v>3</v>
      </c>
      <c r="B4" s="45" t="s">
        <v>26</v>
      </c>
      <c r="C4" s="45" t="s">
        <v>39</v>
      </c>
      <c r="D4" s="45" t="s">
        <v>207</v>
      </c>
      <c r="E4" s="45" t="s">
        <v>7926</v>
      </c>
      <c r="F4" s="45" t="s">
        <v>309</v>
      </c>
      <c r="G4" s="45">
        <v>4</v>
      </c>
      <c r="H4" s="45" t="s">
        <v>7927</v>
      </c>
      <c r="I4" s="45" t="s">
        <v>271</v>
      </c>
      <c r="J4" s="45" t="s">
        <v>7923</v>
      </c>
      <c r="K4" s="47">
        <v>46147.574305555558</v>
      </c>
      <c r="L4" s="47">
        <v>46147.574305555558</v>
      </c>
      <c r="M4" s="47">
        <v>46148.23333333333</v>
      </c>
      <c r="N4" s="47">
        <v>46148.545138888891</v>
      </c>
      <c r="R4" s="45" t="s">
        <v>272</v>
      </c>
      <c r="S4" s="45" t="s">
        <v>161</v>
      </c>
      <c r="U4" s="45" t="s">
        <v>371</v>
      </c>
      <c r="Z4" s="76">
        <f t="shared" ca="1" si="8"/>
        <v>0.34583333333284827</v>
      </c>
      <c r="AA4" s="75">
        <f t="shared" ca="1" si="1"/>
        <v>0.92222222222092876</v>
      </c>
      <c r="AB4" s="76">
        <f t="shared" ca="1" si="9"/>
        <v>0.34583333333284827</v>
      </c>
      <c r="AC4" s="75">
        <f t="shared" ca="1" si="3"/>
        <v>0.92222222222092876</v>
      </c>
      <c r="AD4" s="76">
        <f t="shared" ca="1" si="10"/>
        <v>0.13402777777567587</v>
      </c>
      <c r="AE4" s="76">
        <f t="shared" ca="1" si="11"/>
        <v>0.34583333333284827</v>
      </c>
      <c r="AF4" s="75">
        <f t="shared" ca="1" si="6"/>
        <v>0.92222222222092876</v>
      </c>
      <c r="AG4" s="75">
        <f t="shared" ca="1" si="7"/>
        <v>0.92222222222092876</v>
      </c>
      <c r="AH4" s="31" t="str" cm="1">
        <f t="array" aca="1" ref="AH4" ca="1">IF((AD4) &lt; (INDEX(ResponseSLA[#All],(MATCH((G4),ResponseSLA[Priority],0))+1,3)),"YES","No")</f>
        <v>No</v>
      </c>
      <c r="AI4" s="31" t="str">
        <f ca="1">_xlfn.IFNA(IF(AE4 &lt; (INDEX(SLATable[Minimum SLA],MATCH(G4,SLATable[Priority],0))),"YES","NO"),"")</f>
        <v>YES</v>
      </c>
      <c r="AJ4" t="str">
        <f ca="1">_xlfn.IFNA(IF(AE4 &lt; (INDEX(SLATable[Maximum SLA],MATCH(G4,SLATable[Priority],0))),"YES","NO"),"")</f>
        <v>YES</v>
      </c>
    </row>
    <row r="5" spans="1:36" ht="15" customHeight="1">
      <c r="A5" s="45">
        <v>4</v>
      </c>
      <c r="B5" s="45" t="s">
        <v>26</v>
      </c>
      <c r="C5" s="45" t="s">
        <v>39</v>
      </c>
      <c r="D5" s="45" t="s">
        <v>207</v>
      </c>
      <c r="E5" s="45" t="s">
        <v>7928</v>
      </c>
      <c r="F5" s="45" t="s">
        <v>309</v>
      </c>
      <c r="G5" s="45">
        <v>4</v>
      </c>
      <c r="H5" s="45" t="s">
        <v>7929</v>
      </c>
      <c r="I5" s="45" t="s">
        <v>271</v>
      </c>
      <c r="J5" s="45" t="s">
        <v>7923</v>
      </c>
      <c r="K5" s="47">
        <v>46147.143750000003</v>
      </c>
      <c r="L5" s="47">
        <v>46147.143750000003</v>
      </c>
      <c r="M5" s="47">
        <v>46147.229861111111</v>
      </c>
      <c r="N5" s="47">
        <v>46148.549305555556</v>
      </c>
      <c r="R5" s="45" t="s">
        <v>272</v>
      </c>
      <c r="S5" s="45" t="s">
        <v>161</v>
      </c>
      <c r="U5" s="45" t="s">
        <v>371</v>
      </c>
      <c r="Z5" s="76">
        <f t="shared" ca="1" si="8"/>
        <v>0.59097222222286905</v>
      </c>
      <c r="AA5" s="75">
        <f t="shared" ca="1" si="1"/>
        <v>1.5759259259276508</v>
      </c>
      <c r="AB5" s="76">
        <f t="shared" ca="1" si="9"/>
        <v>0.59097222222286905</v>
      </c>
      <c r="AC5" s="75">
        <f t="shared" ca="1" si="3"/>
        <v>1.5759259259276508</v>
      </c>
      <c r="AD5" s="76">
        <f t="shared" ca="1" si="10"/>
        <v>0</v>
      </c>
      <c r="AE5" s="76">
        <f t="shared" ca="1" si="11"/>
        <v>0.59097222222286905</v>
      </c>
      <c r="AF5" s="75">
        <f t="shared" ca="1" si="6"/>
        <v>1.5759259259276508</v>
      </c>
      <c r="AG5" s="75">
        <f t="shared" ca="1" si="7"/>
        <v>1.5759259259276508</v>
      </c>
      <c r="AH5" s="31" t="str" cm="1">
        <f t="array" aca="1" ref="AH5" ca="1">IF((AD5) &lt; (INDEX(ResponseSLA[#All],(MATCH((G5),ResponseSLA[Priority],0))+1,3)),"YES","No")</f>
        <v>YES</v>
      </c>
      <c r="AI5" s="31" t="str">
        <f ca="1">_xlfn.IFNA(IF(AE5 &lt; (INDEX(SLATable[Minimum SLA],MATCH(G5,SLATable[Priority],0))),"YES","NO"),"")</f>
        <v>YES</v>
      </c>
      <c r="AJ5" t="str">
        <f ca="1">_xlfn.IFNA(IF(AE5 &lt; (INDEX(SLATable[Maximum SLA],MATCH(G5,SLATable[Priority],0))),"YES","NO"),"")</f>
        <v>YES</v>
      </c>
    </row>
    <row r="6" spans="1:36" ht="15" customHeight="1">
      <c r="A6" s="45">
        <v>5</v>
      </c>
      <c r="B6" s="45" t="s">
        <v>26</v>
      </c>
      <c r="C6" s="45" t="s">
        <v>39</v>
      </c>
      <c r="D6" s="45" t="s">
        <v>207</v>
      </c>
      <c r="E6" s="45" t="s">
        <v>7930</v>
      </c>
      <c r="F6" s="45" t="s">
        <v>309</v>
      </c>
      <c r="G6" s="45">
        <v>4</v>
      </c>
      <c r="H6" s="45" t="s">
        <v>7931</v>
      </c>
      <c r="I6" s="45" t="s">
        <v>271</v>
      </c>
      <c r="J6" s="45" t="s">
        <v>7923</v>
      </c>
      <c r="K6" s="47">
        <v>46147.035416666666</v>
      </c>
      <c r="L6" s="47">
        <v>46147.035416666666</v>
      </c>
      <c r="M6" s="47">
        <v>46147.230555555558</v>
      </c>
      <c r="N6" s="47">
        <v>46148.551388888889</v>
      </c>
      <c r="R6" s="45" t="s">
        <v>272</v>
      </c>
      <c r="S6" s="45" t="s">
        <v>161</v>
      </c>
      <c r="U6" s="45" t="s">
        <v>371</v>
      </c>
      <c r="Z6" s="76">
        <f t="shared" ca="1" si="8"/>
        <v>0.59305555555571732</v>
      </c>
      <c r="AA6" s="75">
        <f t="shared" ca="1" si="1"/>
        <v>1.5814814814819129</v>
      </c>
      <c r="AB6" s="76">
        <f t="shared" ca="1" si="9"/>
        <v>0.59305555555571732</v>
      </c>
      <c r="AC6" s="75">
        <f t="shared" ca="1" si="3"/>
        <v>1.5814814814819129</v>
      </c>
      <c r="AD6" s="76">
        <f t="shared" ca="1" si="10"/>
        <v>0</v>
      </c>
      <c r="AE6" s="76">
        <f t="shared" ca="1" si="11"/>
        <v>0.59305555555571732</v>
      </c>
      <c r="AF6" s="75">
        <f t="shared" ca="1" si="6"/>
        <v>1.5814814814819129</v>
      </c>
      <c r="AG6" s="75">
        <f t="shared" ca="1" si="7"/>
        <v>1.5814814814819129</v>
      </c>
      <c r="AH6" s="31" t="str" cm="1">
        <f t="array" aca="1" ref="AH6" ca="1">IF((AD6) &lt; (INDEX(ResponseSLA[#All],(MATCH((G6),ResponseSLA[Priority],0))+1,3)),"YES","No")</f>
        <v>YES</v>
      </c>
      <c r="AI6" s="31" t="str">
        <f ca="1">_xlfn.IFNA(IF(AE6 &lt; (INDEX(SLATable[Minimum SLA],MATCH(G6,SLATable[Priority],0))),"YES","NO"),"")</f>
        <v>YES</v>
      </c>
      <c r="AJ6" t="str">
        <f ca="1">_xlfn.IFNA(IF(AE6 &lt; (INDEX(SLATable[Maximum SLA],MATCH(G6,SLATable[Priority],0))),"YES","NO"),"")</f>
        <v>YES</v>
      </c>
    </row>
    <row r="7" spans="1:36" ht="15" customHeight="1">
      <c r="A7" s="45">
        <v>6</v>
      </c>
      <c r="B7" s="45" t="s">
        <v>26</v>
      </c>
      <c r="C7" s="45" t="s">
        <v>39</v>
      </c>
      <c r="D7" s="45" t="s">
        <v>207</v>
      </c>
      <c r="E7" s="45" t="s">
        <v>7932</v>
      </c>
      <c r="F7" s="45" t="s">
        <v>309</v>
      </c>
      <c r="G7" s="45">
        <v>4</v>
      </c>
      <c r="H7" s="45" t="s">
        <v>7931</v>
      </c>
      <c r="I7" s="45" t="s">
        <v>271</v>
      </c>
      <c r="J7" s="45" t="s">
        <v>7933</v>
      </c>
      <c r="K7" s="47">
        <v>46148.845034722224</v>
      </c>
      <c r="L7" s="47">
        <v>46148.845034722224</v>
      </c>
      <c r="M7" s="47">
        <v>46149.243923611109</v>
      </c>
      <c r="N7" s="47">
        <v>46150.577743055554</v>
      </c>
      <c r="R7" s="45" t="s">
        <v>272</v>
      </c>
      <c r="S7" s="45" t="s">
        <v>161</v>
      </c>
      <c r="U7" s="45" t="s">
        <v>371</v>
      </c>
      <c r="Z7" s="76">
        <f t="shared" ca="1" si="8"/>
        <v>0.61940972222024959</v>
      </c>
      <c r="AA7" s="75">
        <f t="shared" ca="1" si="1"/>
        <v>1.6517592592539989</v>
      </c>
      <c r="AB7" s="76">
        <f t="shared" ca="1" si="9"/>
        <v>0.61940972222024959</v>
      </c>
      <c r="AC7" s="75">
        <f t="shared" ca="1" si="3"/>
        <v>1.6517592592539989</v>
      </c>
      <c r="AD7" s="76">
        <f t="shared" ca="1" si="10"/>
        <v>0</v>
      </c>
      <c r="AE7" s="76">
        <f t="shared" ca="1" si="11"/>
        <v>0.61940972222024959</v>
      </c>
      <c r="AF7" s="75">
        <f t="shared" ca="1" si="6"/>
        <v>1.6517592592539989</v>
      </c>
      <c r="AG7" s="75">
        <f t="shared" ca="1" si="7"/>
        <v>1.6517592592539989</v>
      </c>
      <c r="AH7" s="31" t="str" cm="1">
        <f t="array" aca="1" ref="AH7" ca="1">IF((AD7) &lt; (INDEX(ResponseSLA[#All],(MATCH((G7),ResponseSLA[Priority],0))+1,3)),"YES","No")</f>
        <v>YES</v>
      </c>
      <c r="AI7" s="31" t="str">
        <f ca="1">_xlfn.IFNA(IF(AE7 &lt; (INDEX(SLATable[Minimum SLA],MATCH(G7,SLATable[Priority],0))),"YES","NO"),"")</f>
        <v>YES</v>
      </c>
      <c r="AJ7" t="str">
        <f ca="1">_xlfn.IFNA(IF(AE7 &lt; (INDEX(SLATable[Maximum SLA],MATCH(G7,SLATable[Priority],0))),"YES","NO"),"")</f>
        <v>YES</v>
      </c>
    </row>
    <row r="8" spans="1:36" ht="15" customHeight="1">
      <c r="A8" s="45">
        <v>7</v>
      </c>
      <c r="B8" s="45" t="s">
        <v>26</v>
      </c>
      <c r="C8" s="45" t="s">
        <v>39</v>
      </c>
      <c r="D8" s="45" t="s">
        <v>207</v>
      </c>
      <c r="E8" s="45" t="s">
        <v>7934</v>
      </c>
      <c r="F8" s="45" t="s">
        <v>309</v>
      </c>
      <c r="G8" s="45">
        <v>4</v>
      </c>
      <c r="H8" s="45" t="s">
        <v>7922</v>
      </c>
      <c r="I8" s="45" t="s">
        <v>271</v>
      </c>
      <c r="J8" s="45" t="s">
        <v>7933</v>
      </c>
      <c r="K8" s="47">
        <v>46149.616006944445</v>
      </c>
      <c r="L8" s="47">
        <v>46149.616006944445</v>
      </c>
      <c r="M8" s="47">
        <v>46150.22314814815</v>
      </c>
      <c r="N8" s="47">
        <v>46150.579826388886</v>
      </c>
      <c r="R8" s="45" t="s">
        <v>272</v>
      </c>
      <c r="S8" s="45" t="s">
        <v>161</v>
      </c>
      <c r="U8" s="45" t="s">
        <v>371</v>
      </c>
      <c r="Z8" s="76">
        <f t="shared" ca="1" si="8"/>
        <v>0.33881944444146939</v>
      </c>
      <c r="AA8" s="75">
        <f t="shared" ca="1" si="1"/>
        <v>0.90351851851058507</v>
      </c>
      <c r="AB8" s="76">
        <f t="shared" ca="1" si="9"/>
        <v>0.33881944444146939</v>
      </c>
      <c r="AC8" s="75">
        <f t="shared" ca="1" si="3"/>
        <v>0.90351851851058507</v>
      </c>
      <c r="AD8" s="76">
        <f t="shared" ca="1" si="10"/>
        <v>9.2326388888371524E-2</v>
      </c>
      <c r="AE8" s="76">
        <f t="shared" ca="1" si="11"/>
        <v>0.33881944444146939</v>
      </c>
      <c r="AF8" s="75">
        <f t="shared" ca="1" si="6"/>
        <v>0.90351851851058507</v>
      </c>
      <c r="AG8" s="75">
        <f t="shared" ca="1" si="7"/>
        <v>0.90351851851058507</v>
      </c>
      <c r="AH8" s="31" t="str" cm="1">
        <f t="array" aca="1" ref="AH8" ca="1">IF((AD8) &lt; (INDEX(ResponseSLA[#All],(MATCH((G8),ResponseSLA[Priority],0))+1,3)),"YES","No")</f>
        <v>YES</v>
      </c>
      <c r="AI8" s="31" t="str">
        <f ca="1">_xlfn.IFNA(IF(AE8 &lt; (INDEX(SLATable[Minimum SLA],MATCH(G8,SLATable[Priority],0))),"YES","NO"),"")</f>
        <v>YES</v>
      </c>
      <c r="AJ8" t="str">
        <f ca="1">_xlfn.IFNA(IF(AE8 &lt; (INDEX(SLATable[Maximum SLA],MATCH(G8,SLATable[Priority],0))),"YES","NO"),"")</f>
        <v>YES</v>
      </c>
    </row>
    <row r="9" spans="1:36" ht="15" customHeight="1">
      <c r="A9" s="45">
        <v>8</v>
      </c>
      <c r="B9" s="45" t="s">
        <v>26</v>
      </c>
      <c r="C9" s="45" t="s">
        <v>39</v>
      </c>
      <c r="D9" s="45" t="s">
        <v>207</v>
      </c>
      <c r="E9" s="45" t="s">
        <v>7935</v>
      </c>
      <c r="F9" s="45" t="s">
        <v>309</v>
      </c>
      <c r="G9" s="45">
        <v>4</v>
      </c>
      <c r="H9" s="45" t="s">
        <v>7936</v>
      </c>
      <c r="I9" s="45" t="s">
        <v>271</v>
      </c>
      <c r="J9" s="45" t="s">
        <v>7933</v>
      </c>
      <c r="K9" s="47">
        <v>46148.720370370371</v>
      </c>
      <c r="L9" s="47">
        <v>46148.720370370371</v>
      </c>
      <c r="M9" s="47">
        <v>46149.244629629633</v>
      </c>
      <c r="N9" s="47">
        <v>46150.581493055557</v>
      </c>
      <c r="R9" s="45" t="s">
        <v>272</v>
      </c>
      <c r="S9" s="45" t="s">
        <v>157</v>
      </c>
      <c r="U9" s="45" t="s">
        <v>371</v>
      </c>
      <c r="Z9" s="76">
        <f t="shared" ca="1" si="8"/>
        <v>0.62315972222374205</v>
      </c>
      <c r="AA9" s="75">
        <f t="shared" ca="1" si="1"/>
        <v>1.6617592592633121</v>
      </c>
      <c r="AB9" s="76">
        <f t="shared" ca="1" si="9"/>
        <v>0.62315972222374205</v>
      </c>
      <c r="AC9" s="75">
        <f t="shared" ca="1" si="3"/>
        <v>1.6617592592633121</v>
      </c>
      <c r="AD9" s="76">
        <f t="shared" ca="1" si="10"/>
        <v>0</v>
      </c>
      <c r="AE9" s="76">
        <f t="shared" ca="1" si="11"/>
        <v>0.62315972222374205</v>
      </c>
      <c r="AF9" s="75">
        <f t="shared" ca="1" si="6"/>
        <v>1.6617592592633121</v>
      </c>
      <c r="AG9" s="75">
        <f t="shared" ca="1" si="7"/>
        <v>1.6617592592633121</v>
      </c>
      <c r="AH9" s="31" t="str" cm="1">
        <f t="array" aca="1" ref="AH9" ca="1">IF((AD9) &lt; (INDEX(ResponseSLA[#All],(MATCH((G9),ResponseSLA[Priority],0))+1,3)),"YES","No")</f>
        <v>YES</v>
      </c>
      <c r="AI9" s="31" t="str">
        <f ca="1">_xlfn.IFNA(IF(AE9 &lt; (INDEX(SLATable[Minimum SLA],MATCH(G9,SLATable[Priority],0))),"YES","NO"),"")</f>
        <v>YES</v>
      </c>
      <c r="AJ9" t="str">
        <f ca="1">_xlfn.IFNA(IF(AE9 &lt; (INDEX(SLATable[Maximum SLA],MATCH(G9,SLATable[Priority],0))),"YES","NO"),"")</f>
        <v>YES</v>
      </c>
    </row>
    <row r="10" spans="1:36" ht="15" customHeight="1">
      <c r="A10" s="45">
        <v>9</v>
      </c>
      <c r="B10" s="45" t="s">
        <v>26</v>
      </c>
      <c r="C10" s="45" t="s">
        <v>39</v>
      </c>
      <c r="D10" s="45" t="s">
        <v>207</v>
      </c>
      <c r="E10" s="45" t="s">
        <v>7937</v>
      </c>
      <c r="F10" s="45" t="s">
        <v>309</v>
      </c>
      <c r="G10" s="45">
        <v>4</v>
      </c>
      <c r="H10" s="45" t="s">
        <v>7922</v>
      </c>
      <c r="I10" s="45" t="s">
        <v>271</v>
      </c>
      <c r="J10" s="45" t="s">
        <v>7923</v>
      </c>
      <c r="K10" s="47">
        <v>46153.164583333331</v>
      </c>
      <c r="L10" s="47">
        <v>46153.164583333331</v>
      </c>
      <c r="M10" s="47">
        <v>46153.302777777775</v>
      </c>
      <c r="N10" s="47">
        <v>46153.436805555553</v>
      </c>
      <c r="R10" s="45" t="s">
        <v>272</v>
      </c>
      <c r="S10" s="45" t="s">
        <v>161</v>
      </c>
      <c r="U10" s="45" t="s">
        <v>371</v>
      </c>
      <c r="Z10" s="76">
        <f t="shared" ca="1" si="8"/>
        <v>0.10347222221995861</v>
      </c>
      <c r="AA10" s="75">
        <f t="shared" ca="1" si="1"/>
        <v>0.27592592591988963</v>
      </c>
      <c r="AB10" s="76">
        <f t="shared" ca="1" si="9"/>
        <v>0.10347222221995861</v>
      </c>
      <c r="AC10" s="75">
        <f t="shared" ca="1" si="3"/>
        <v>0.27592592591988963</v>
      </c>
      <c r="AD10" s="76">
        <f t="shared" ca="1" si="10"/>
        <v>0</v>
      </c>
      <c r="AE10" s="76">
        <f t="shared" ca="1" si="11"/>
        <v>0.10347222221995861</v>
      </c>
      <c r="AF10" s="75">
        <f t="shared" ca="1" si="6"/>
        <v>0.27592592591988963</v>
      </c>
      <c r="AG10" s="75">
        <f t="shared" ca="1" si="7"/>
        <v>0.27592592591988963</v>
      </c>
      <c r="AH10" s="31" t="str" cm="1">
        <f t="array" aca="1" ref="AH10" ca="1">IF((AD10) &lt; (INDEX(ResponseSLA[#All],(MATCH((G10),ResponseSLA[Priority],0))+1,3)),"YES","No")</f>
        <v>YES</v>
      </c>
      <c r="AI10" s="31" t="str">
        <f ca="1">_xlfn.IFNA(IF(AE10 &lt; (INDEX(SLATable[Minimum SLA],MATCH(G10,SLATable[Priority],0))),"YES","NO"),"")</f>
        <v>YES</v>
      </c>
      <c r="AJ10" t="str">
        <f ca="1">_xlfn.IFNA(IF(AE10 &lt; (INDEX(SLATable[Maximum SLA],MATCH(G10,SLATable[Priority],0))),"YES","NO"),"")</f>
        <v>YES</v>
      </c>
    </row>
    <row r="11" spans="1:36" ht="15" customHeight="1">
      <c r="A11" s="45">
        <v>10</v>
      </c>
      <c r="B11" s="45" t="s">
        <v>26</v>
      </c>
      <c r="C11" s="45" t="s">
        <v>39</v>
      </c>
      <c r="D11" s="45" t="s">
        <v>207</v>
      </c>
      <c r="E11" s="45" t="s">
        <v>7938</v>
      </c>
      <c r="F11" s="45" t="s">
        <v>309</v>
      </c>
      <c r="G11" s="45">
        <v>4</v>
      </c>
      <c r="H11" s="45" t="s">
        <v>7931</v>
      </c>
      <c r="I11" s="45" t="s">
        <v>271</v>
      </c>
      <c r="J11" s="45" t="s">
        <v>7923</v>
      </c>
      <c r="K11" s="47">
        <v>46153.150694444441</v>
      </c>
      <c r="L11" s="47">
        <v>46153.150694444441</v>
      </c>
      <c r="M11" s="47">
        <v>46153.303472222222</v>
      </c>
      <c r="N11" s="47">
        <v>46153.563194444447</v>
      </c>
      <c r="R11" s="45" t="s">
        <v>272</v>
      </c>
      <c r="S11" s="45" t="s">
        <v>161</v>
      </c>
      <c r="U11" s="45" t="s">
        <v>371</v>
      </c>
      <c r="Z11" s="76">
        <f t="shared" ca="1" si="8"/>
        <v>0.22986111111337476</v>
      </c>
      <c r="AA11" s="75">
        <f t="shared" ca="1" si="1"/>
        <v>0.61296296296899933</v>
      </c>
      <c r="AB11" s="76">
        <f t="shared" ca="1" si="9"/>
        <v>0.22986111111337476</v>
      </c>
      <c r="AC11" s="75">
        <f t="shared" ca="1" si="3"/>
        <v>0.61296296296899933</v>
      </c>
      <c r="AD11" s="76">
        <f t="shared" ca="1" si="10"/>
        <v>0</v>
      </c>
      <c r="AE11" s="76">
        <f t="shared" ca="1" si="11"/>
        <v>0.22986111111337476</v>
      </c>
      <c r="AF11" s="75">
        <f t="shared" ca="1" si="6"/>
        <v>0.61296296296899933</v>
      </c>
      <c r="AG11" s="75">
        <f t="shared" ca="1" si="7"/>
        <v>0.61296296296899933</v>
      </c>
      <c r="AH11" s="31" t="str" cm="1">
        <f t="array" aca="1" ref="AH11" ca="1">IF((AD11) &lt; (INDEX(ResponseSLA[#All],(MATCH((G11),ResponseSLA[Priority],0))+1,3)),"YES","No")</f>
        <v>YES</v>
      </c>
      <c r="AI11" s="31" t="str">
        <f ca="1">_xlfn.IFNA(IF(AE11 &lt; (INDEX(SLATable[Minimum SLA],MATCH(G11,SLATable[Priority],0))),"YES","NO"),"")</f>
        <v>YES</v>
      </c>
      <c r="AJ11" t="str">
        <f ca="1">_xlfn.IFNA(IF(AE11 &lt; (INDEX(SLATable[Maximum SLA],MATCH(G11,SLATable[Priority],0))),"YES","NO"),"")</f>
        <v>YES</v>
      </c>
    </row>
    <row r="12" spans="1:36" ht="15" customHeight="1">
      <c r="A12" s="45">
        <v>11</v>
      </c>
      <c r="B12" s="45" t="s">
        <v>26</v>
      </c>
      <c r="C12" s="45" t="s">
        <v>39</v>
      </c>
      <c r="D12" s="45" t="s">
        <v>207</v>
      </c>
      <c r="E12" s="45" t="s">
        <v>7939</v>
      </c>
      <c r="F12" s="45" t="s">
        <v>309</v>
      </c>
      <c r="G12" s="45">
        <v>4</v>
      </c>
      <c r="H12" s="45" t="s">
        <v>7940</v>
      </c>
      <c r="I12" s="45" t="s">
        <v>271</v>
      </c>
      <c r="J12" s="45" t="s">
        <v>7923</v>
      </c>
      <c r="K12" s="47">
        <v>46152.411111111112</v>
      </c>
      <c r="L12" s="47">
        <v>46152.411111111112</v>
      </c>
      <c r="M12" s="47">
        <v>46153.304861111108</v>
      </c>
      <c r="N12" s="47">
        <v>46153.454861111109</v>
      </c>
      <c r="R12" s="45" t="s">
        <v>272</v>
      </c>
      <c r="S12" s="45" t="s">
        <v>157</v>
      </c>
      <c r="U12" s="45" t="s">
        <v>371</v>
      </c>
      <c r="Z12" s="76">
        <f t="shared" ca="1" si="8"/>
        <v>0.12152777777616092</v>
      </c>
      <c r="AA12" s="75">
        <f t="shared" ca="1" si="1"/>
        <v>0.32407407406976246</v>
      </c>
      <c r="AB12" s="76">
        <f t="shared" ca="1" si="9"/>
        <v>0.12152777777616092</v>
      </c>
      <c r="AC12" s="75">
        <f t="shared" ca="1" si="3"/>
        <v>0.32407407406976246</v>
      </c>
      <c r="AD12" s="76">
        <f t="shared" ca="1" si="10"/>
        <v>0</v>
      </c>
      <c r="AE12" s="76">
        <f t="shared" ca="1" si="11"/>
        <v>0.12152777777616092</v>
      </c>
      <c r="AF12" s="75">
        <f t="shared" ca="1" si="6"/>
        <v>0.32407407406976246</v>
      </c>
      <c r="AG12" s="75">
        <f t="shared" ca="1" si="7"/>
        <v>0.32407407406976246</v>
      </c>
      <c r="AH12" s="31" t="str" cm="1">
        <f t="array" aca="1" ref="AH12" ca="1">IF((AD12) &lt; (INDEX(ResponseSLA[#All],(MATCH((G12),ResponseSLA[Priority],0))+1,3)),"YES","No")</f>
        <v>YES</v>
      </c>
      <c r="AI12" s="31" t="str">
        <f ca="1">_xlfn.IFNA(IF(AE12 &lt; (INDEX(SLATable[Minimum SLA],MATCH(G12,SLATable[Priority],0))),"YES","NO"),"")</f>
        <v>YES</v>
      </c>
      <c r="AJ12" t="str">
        <f ca="1">_xlfn.IFNA(IF(AE12 &lt; (INDEX(SLATable[Maximum SLA],MATCH(G12,SLATable[Priority],0))),"YES","NO"),"")</f>
        <v>YES</v>
      </c>
    </row>
    <row r="13" spans="1:36" ht="15" customHeight="1">
      <c r="A13" s="45">
        <v>12</v>
      </c>
      <c r="B13" s="45" t="s">
        <v>26</v>
      </c>
      <c r="C13" s="45" t="s">
        <v>39</v>
      </c>
      <c r="D13" s="45" t="s">
        <v>207</v>
      </c>
      <c r="E13" s="45" t="s">
        <v>7941</v>
      </c>
      <c r="F13" s="45" t="s">
        <v>309</v>
      </c>
      <c r="G13" s="45">
        <v>4</v>
      </c>
      <c r="H13" s="45" t="s">
        <v>7929</v>
      </c>
      <c r="I13" s="45" t="s">
        <v>271</v>
      </c>
      <c r="J13" s="45" t="s">
        <v>7923</v>
      </c>
      <c r="K13" s="47">
        <v>46153.844444444447</v>
      </c>
      <c r="L13" s="47">
        <v>46153.844444444447</v>
      </c>
      <c r="M13" s="47">
        <v>46154.246527777781</v>
      </c>
      <c r="N13" s="47">
        <v>46155.472222222219</v>
      </c>
      <c r="R13" s="45" t="s">
        <v>272</v>
      </c>
      <c r="S13" s="45" t="s">
        <v>161</v>
      </c>
      <c r="U13" s="45" t="s">
        <v>371</v>
      </c>
      <c r="Z13" s="76">
        <f t="shared" ca="1" si="8"/>
        <v>0.51388888888565509</v>
      </c>
      <c r="AA13" s="75">
        <f t="shared" ca="1" si="1"/>
        <v>1.3703703703617469</v>
      </c>
      <c r="AB13" s="76">
        <f t="shared" ca="1" si="9"/>
        <v>0.51388888888565509</v>
      </c>
      <c r="AC13" s="75">
        <f t="shared" ca="1" si="3"/>
        <v>1.3703703703617469</v>
      </c>
      <c r="AD13" s="76">
        <f t="shared" ca="1" si="10"/>
        <v>0</v>
      </c>
      <c r="AE13" s="76">
        <f t="shared" ca="1" si="11"/>
        <v>0.51388888888565509</v>
      </c>
      <c r="AF13" s="75">
        <f t="shared" ca="1" si="6"/>
        <v>1.3703703703617469</v>
      </c>
      <c r="AG13" s="75">
        <f t="shared" ca="1" si="7"/>
        <v>1.3703703703617469</v>
      </c>
      <c r="AH13" s="31" t="str" cm="1">
        <f t="array" aca="1" ref="AH13" ca="1">IF((AD13) &lt; (INDEX(ResponseSLA[#All],(MATCH((G13),ResponseSLA[Priority],0))+1,3)),"YES","No")</f>
        <v>YES</v>
      </c>
      <c r="AI13" s="31" t="str">
        <f ca="1">_xlfn.IFNA(IF(AE13 &lt; (INDEX(SLATable[Minimum SLA],MATCH(G13,SLATable[Priority],0))),"YES","NO"),"")</f>
        <v>YES</v>
      </c>
      <c r="AJ13" t="str">
        <f ca="1">_xlfn.IFNA(IF(AE13 &lt; (INDEX(SLATable[Maximum SLA],MATCH(G13,SLATable[Priority],0))),"YES","NO"),"")</f>
        <v>YES</v>
      </c>
    </row>
    <row r="14" spans="1:36" ht="15" customHeight="1">
      <c r="A14" s="45">
        <v>13</v>
      </c>
      <c r="B14" s="45" t="s">
        <v>26</v>
      </c>
      <c r="C14" s="45" t="s">
        <v>39</v>
      </c>
      <c r="D14" s="45" t="s">
        <v>207</v>
      </c>
      <c r="E14" s="45" t="s">
        <v>7942</v>
      </c>
      <c r="F14" s="45" t="s">
        <v>309</v>
      </c>
      <c r="G14" s="45">
        <v>4</v>
      </c>
      <c r="H14" s="45" t="s">
        <v>7922</v>
      </c>
      <c r="I14" s="45" t="s">
        <v>271</v>
      </c>
      <c r="J14" s="45" t="s">
        <v>7923</v>
      </c>
      <c r="K14" s="47">
        <v>46155.303472222222</v>
      </c>
      <c r="L14" s="47">
        <v>46155.303472222222</v>
      </c>
      <c r="M14" s="47">
        <v>46155.30972222222</v>
      </c>
      <c r="N14" s="47">
        <v>46155.468055555553</v>
      </c>
      <c r="R14" s="45" t="s">
        <v>272</v>
      </c>
      <c r="S14" s="45" t="s">
        <v>161</v>
      </c>
      <c r="U14" s="45" t="s">
        <v>371</v>
      </c>
      <c r="Z14" s="76">
        <f t="shared" ca="1" si="8"/>
        <v>0.13472222221995861</v>
      </c>
      <c r="AA14" s="75">
        <f t="shared" ca="1" si="1"/>
        <v>0.35925925925322294</v>
      </c>
      <c r="AB14" s="76">
        <f t="shared" ca="1" si="9"/>
        <v>0.13472222221995861</v>
      </c>
      <c r="AC14" s="75">
        <f t="shared" ca="1" si="3"/>
        <v>0.35925925925322294</v>
      </c>
      <c r="AD14" s="76">
        <f t="shared" ca="1" si="10"/>
        <v>0</v>
      </c>
      <c r="AE14" s="76">
        <f t="shared" ca="1" si="11"/>
        <v>0.13472222221995861</v>
      </c>
      <c r="AF14" s="75">
        <f t="shared" ca="1" si="6"/>
        <v>0.35925925925322294</v>
      </c>
      <c r="AG14" s="75">
        <f t="shared" ca="1" si="7"/>
        <v>0.35925925925322294</v>
      </c>
      <c r="AH14" s="31" t="str" cm="1">
        <f t="array" aca="1" ref="AH14" ca="1">IF((AD14) &lt; (INDEX(ResponseSLA[#All],(MATCH((G14),ResponseSLA[Priority],0))+1,3)),"YES","No")</f>
        <v>YES</v>
      </c>
      <c r="AI14" s="31" t="str">
        <f ca="1">_xlfn.IFNA(IF(AE14 &lt; (INDEX(SLATable[Minimum SLA],MATCH(G14,SLATable[Priority],0))),"YES","NO"),"")</f>
        <v>YES</v>
      </c>
      <c r="AJ14" t="str">
        <f ca="1">_xlfn.IFNA(IF(AE14 &lt; (INDEX(SLATable[Maximum SLA],MATCH(G14,SLATable[Priority],0))),"YES","NO"),"")</f>
        <v>YES</v>
      </c>
    </row>
    <row r="15" spans="1:36" ht="15" customHeight="1">
      <c r="A15" s="45">
        <v>14</v>
      </c>
      <c r="B15" s="45" t="s">
        <v>26</v>
      </c>
      <c r="C15" s="45" t="s">
        <v>39</v>
      </c>
      <c r="D15" s="45" t="s">
        <v>207</v>
      </c>
      <c r="E15" s="45" t="s">
        <v>7943</v>
      </c>
      <c r="F15" s="45" t="s">
        <v>309</v>
      </c>
      <c r="G15" s="45">
        <v>4</v>
      </c>
      <c r="H15" s="45" t="s">
        <v>7925</v>
      </c>
      <c r="I15" s="45" t="s">
        <v>271</v>
      </c>
      <c r="J15" s="45" t="s">
        <v>7923</v>
      </c>
      <c r="K15" s="47">
        <v>46154.320138888892</v>
      </c>
      <c r="L15" s="47">
        <v>46154.320138888892</v>
      </c>
      <c r="M15" s="47">
        <v>46154.325694444444</v>
      </c>
      <c r="N15" s="47">
        <v>46155.552777777775</v>
      </c>
      <c r="R15" s="45" t="s">
        <v>272</v>
      </c>
      <c r="S15" s="45" t="s">
        <v>161</v>
      </c>
      <c r="U15" s="45" t="s">
        <v>371</v>
      </c>
      <c r="Z15" s="76">
        <f t="shared" ca="1" si="8"/>
        <v>0.59444444444185751</v>
      </c>
      <c r="AA15" s="75">
        <f t="shared" ca="1" si="1"/>
        <v>1.5851851851782868</v>
      </c>
      <c r="AB15" s="76">
        <f t="shared" ca="1" si="9"/>
        <v>0.59444444444185751</v>
      </c>
      <c r="AC15" s="75">
        <f t="shared" ca="1" si="3"/>
        <v>1.5851851851782868</v>
      </c>
      <c r="AD15" s="76">
        <f t="shared" ca="1" si="10"/>
        <v>0</v>
      </c>
      <c r="AE15" s="76">
        <f t="shared" ca="1" si="11"/>
        <v>0.59444444444185751</v>
      </c>
      <c r="AF15" s="75">
        <f t="shared" ca="1" si="6"/>
        <v>1.5851851851782868</v>
      </c>
      <c r="AG15" s="75">
        <f t="shared" ca="1" si="7"/>
        <v>1.5851851851782868</v>
      </c>
      <c r="AH15" s="31" t="str" cm="1">
        <f t="array" aca="1" ref="AH15" ca="1">IF((AD15) &lt; (INDEX(ResponseSLA[#All],(MATCH((G15),ResponseSLA[Priority],0))+1,3)),"YES","No")</f>
        <v>YES</v>
      </c>
      <c r="AI15" s="31" t="str">
        <f ca="1">_xlfn.IFNA(IF(AE15 &lt; (INDEX(SLATable[Minimum SLA],MATCH(G15,SLATable[Priority],0))),"YES","NO"),"")</f>
        <v>YES</v>
      </c>
      <c r="AJ15" t="str">
        <f ca="1">_xlfn.IFNA(IF(AE15 &lt; (INDEX(SLATable[Maximum SLA],MATCH(G15,SLATable[Priority],0))),"YES","NO"),"")</f>
        <v>YES</v>
      </c>
    </row>
    <row r="16" spans="1:36" ht="15" customHeight="1">
      <c r="A16" s="45">
        <v>15</v>
      </c>
      <c r="B16" s="45" t="s">
        <v>26</v>
      </c>
      <c r="C16" s="45" t="s">
        <v>39</v>
      </c>
      <c r="D16" s="45" t="s">
        <v>207</v>
      </c>
      <c r="E16" s="45" t="s">
        <v>7944</v>
      </c>
      <c r="F16" s="45" t="s">
        <v>309</v>
      </c>
      <c r="G16" s="45">
        <v>4</v>
      </c>
      <c r="H16" s="45" t="s">
        <v>7922</v>
      </c>
      <c r="I16" s="45" t="s">
        <v>271</v>
      </c>
      <c r="J16" s="45" t="s">
        <v>7923</v>
      </c>
      <c r="K16" s="47">
        <v>46156.793055555558</v>
      </c>
      <c r="L16" s="47">
        <v>46156.793055555558</v>
      </c>
      <c r="M16" s="47">
        <v>46157.246527777781</v>
      </c>
      <c r="N16" s="47">
        <v>46157.521527777775</v>
      </c>
      <c r="R16" s="45" t="s">
        <v>272</v>
      </c>
      <c r="S16" s="45" t="s">
        <v>161</v>
      </c>
      <c r="U16" s="45" t="s">
        <v>371</v>
      </c>
      <c r="Z16" s="76">
        <f t="shared" ca="1" si="8"/>
        <v>0.1881944444418574</v>
      </c>
      <c r="AA16" s="75">
        <f t="shared" ca="1" si="1"/>
        <v>0.50185185184495307</v>
      </c>
      <c r="AB16" s="76">
        <f t="shared" ca="1" si="9"/>
        <v>0.1881944444418574</v>
      </c>
      <c r="AC16" s="75">
        <f t="shared" ca="1" si="3"/>
        <v>0.50185185184495307</v>
      </c>
      <c r="AD16" s="76">
        <f t="shared" ca="1" si="10"/>
        <v>0</v>
      </c>
      <c r="AE16" s="76">
        <f t="shared" ca="1" si="11"/>
        <v>0.1881944444418574</v>
      </c>
      <c r="AF16" s="75">
        <f t="shared" ca="1" si="6"/>
        <v>0.50185185184495307</v>
      </c>
      <c r="AG16" s="75">
        <f t="shared" ca="1" si="7"/>
        <v>0.50185185184495307</v>
      </c>
      <c r="AH16" s="31" t="str" cm="1">
        <f t="array" aca="1" ref="AH16" ca="1">IF((AD16) &lt; (INDEX(ResponseSLA[#All],(MATCH((G16),ResponseSLA[Priority],0))+1,3)),"YES","No")</f>
        <v>YES</v>
      </c>
      <c r="AI16" s="31" t="str">
        <f ca="1">_xlfn.IFNA(IF(AE16 &lt; (INDEX(SLATable[Minimum SLA],MATCH(G16,SLATable[Priority],0))),"YES","NO"),"")</f>
        <v>YES</v>
      </c>
      <c r="AJ16" t="str">
        <f ca="1">_xlfn.IFNA(IF(AE16 &lt; (INDEX(SLATable[Maximum SLA],MATCH(G16,SLATable[Priority],0))),"YES","NO"),"")</f>
        <v>YES</v>
      </c>
    </row>
    <row r="17" spans="1:36" ht="15" customHeight="1">
      <c r="A17" s="45">
        <v>16</v>
      </c>
      <c r="B17" s="45" t="s">
        <v>26</v>
      </c>
      <c r="C17" s="45" t="s">
        <v>39</v>
      </c>
      <c r="D17" s="45" t="s">
        <v>207</v>
      </c>
      <c r="E17" s="45" t="s">
        <v>7945</v>
      </c>
      <c r="F17" s="45" t="s">
        <v>309</v>
      </c>
      <c r="G17" s="45">
        <v>4</v>
      </c>
      <c r="H17" s="45" t="s">
        <v>7925</v>
      </c>
      <c r="I17" s="45" t="s">
        <v>271</v>
      </c>
      <c r="J17" s="45" t="s">
        <v>7923</v>
      </c>
      <c r="K17" s="47">
        <v>46156.382638888892</v>
      </c>
      <c r="L17" s="47">
        <v>46156.382638888892</v>
      </c>
      <c r="M17" s="47">
        <v>46156.479861111111</v>
      </c>
      <c r="N17" s="47">
        <v>46157.523611111108</v>
      </c>
      <c r="R17" s="45" t="s">
        <v>272</v>
      </c>
      <c r="S17" s="45" t="s">
        <v>161</v>
      </c>
      <c r="U17" s="45" t="s">
        <v>371</v>
      </c>
      <c r="Z17" s="76">
        <f t="shared" ca="1" si="8"/>
        <v>0.51597222221607808</v>
      </c>
      <c r="AA17" s="75">
        <f t="shared" ca="1" si="1"/>
        <v>1.3759259259095415</v>
      </c>
      <c r="AB17" s="76">
        <f t="shared" ca="1" si="9"/>
        <v>0.51597222221607808</v>
      </c>
      <c r="AC17" s="75">
        <f t="shared" ca="1" si="3"/>
        <v>1.3759259259095415</v>
      </c>
      <c r="AD17" s="76">
        <f t="shared" ca="1" si="10"/>
        <v>9.7222222218988463E-2</v>
      </c>
      <c r="AE17" s="76">
        <f t="shared" ca="1" si="11"/>
        <v>0.51597222221607808</v>
      </c>
      <c r="AF17" s="75">
        <f t="shared" ca="1" si="6"/>
        <v>1.3759259259095415</v>
      </c>
      <c r="AG17" s="75">
        <f t="shared" ca="1" si="7"/>
        <v>1.3759259259095415</v>
      </c>
      <c r="AH17" s="31" t="str" cm="1">
        <f t="array" aca="1" ref="AH17" ca="1">IF((AD17) &lt; (INDEX(ResponseSLA[#All],(MATCH((G17),ResponseSLA[Priority],0))+1,3)),"YES","No")</f>
        <v>YES</v>
      </c>
      <c r="AI17" s="31" t="str">
        <f ca="1">_xlfn.IFNA(IF(AE17 &lt; (INDEX(SLATable[Minimum SLA],MATCH(G17,SLATable[Priority],0))),"YES","NO"),"")</f>
        <v>YES</v>
      </c>
      <c r="AJ17" t="str">
        <f ca="1">_xlfn.IFNA(IF(AE17 &lt; (INDEX(SLATable[Maximum SLA],MATCH(G17,SLATable[Priority],0))),"YES","NO"),"")</f>
        <v>YES</v>
      </c>
    </row>
    <row r="18" spans="1:36" ht="15" customHeight="1">
      <c r="A18" s="45">
        <v>17</v>
      </c>
      <c r="B18" s="45" t="s">
        <v>26</v>
      </c>
      <c r="C18" s="45" t="s">
        <v>39</v>
      </c>
      <c r="D18" s="45" t="s">
        <v>207</v>
      </c>
      <c r="E18" s="45" t="s">
        <v>7946</v>
      </c>
      <c r="F18" s="45" t="s">
        <v>309</v>
      </c>
      <c r="G18" s="45">
        <v>4</v>
      </c>
      <c r="H18" s="45" t="s">
        <v>7947</v>
      </c>
      <c r="I18" s="45" t="s">
        <v>271</v>
      </c>
      <c r="J18" s="45" t="s">
        <v>7923</v>
      </c>
      <c r="K18" s="47">
        <v>46156.459722222222</v>
      </c>
      <c r="L18" s="47">
        <v>46156.459722222222</v>
      </c>
      <c r="M18" s="47">
        <v>46156.481249999997</v>
      </c>
      <c r="N18" s="47">
        <v>46157.522916666669</v>
      </c>
      <c r="R18" s="45" t="s">
        <v>272</v>
      </c>
      <c r="S18" s="45" t="s">
        <v>157</v>
      </c>
      <c r="U18" s="45" t="s">
        <v>371</v>
      </c>
      <c r="Z18" s="76">
        <f t="shared" ca="1" si="8"/>
        <v>0.43819444444670808</v>
      </c>
      <c r="AA18" s="75">
        <f t="shared" ca="1" si="1"/>
        <v>1.1685185185245548</v>
      </c>
      <c r="AB18" s="76">
        <f t="shared" ca="1" si="9"/>
        <v>0.43819444444670808</v>
      </c>
      <c r="AC18" s="75">
        <f t="shared" ca="1" si="3"/>
        <v>1.1685185185245548</v>
      </c>
      <c r="AD18" s="76">
        <f t="shared" ca="1" si="10"/>
        <v>2.1527777775190771E-2</v>
      </c>
      <c r="AE18" s="76">
        <f t="shared" ca="1" si="11"/>
        <v>0.43819444444670808</v>
      </c>
      <c r="AF18" s="75">
        <f t="shared" ca="1" si="6"/>
        <v>1.1685185185245548</v>
      </c>
      <c r="AG18" s="75">
        <f t="shared" ca="1" si="7"/>
        <v>1.1685185185245548</v>
      </c>
      <c r="AH18" s="31" t="str" cm="1">
        <f t="array" aca="1" ref="AH18" ca="1">IF((AD18) &lt; (INDEX(ResponseSLA[#All],(MATCH((G18),ResponseSLA[Priority],0))+1,3)),"YES","No")</f>
        <v>YES</v>
      </c>
      <c r="AI18" s="31" t="str">
        <f ca="1">_xlfn.IFNA(IF(AE18 &lt; (INDEX(SLATable[Minimum SLA],MATCH(G18,SLATable[Priority],0))),"YES","NO"),"")</f>
        <v>YES</v>
      </c>
      <c r="AJ18" t="str">
        <f ca="1">_xlfn.IFNA(IF(AE18 &lt; (INDEX(SLATable[Maximum SLA],MATCH(G18,SLATable[Priority],0))),"YES","NO"),"")</f>
        <v>YES</v>
      </c>
    </row>
    <row r="19" spans="1:36" ht="15" customHeight="1">
      <c r="A19" s="45">
        <v>18</v>
      </c>
      <c r="B19" s="45" t="s">
        <v>26</v>
      </c>
      <c r="C19" s="45" t="s">
        <v>39</v>
      </c>
      <c r="D19" s="45" t="s">
        <v>207</v>
      </c>
      <c r="E19" s="45" t="s">
        <v>7948</v>
      </c>
      <c r="F19" s="45" t="s">
        <v>309</v>
      </c>
      <c r="G19" s="45">
        <v>4</v>
      </c>
      <c r="H19" s="45" t="s">
        <v>7922</v>
      </c>
      <c r="I19" s="45" t="s">
        <v>271</v>
      </c>
      <c r="J19" s="45" t="s">
        <v>7923</v>
      </c>
      <c r="K19" s="47">
        <v>46158.536111111112</v>
      </c>
      <c r="L19" s="47">
        <v>46158.536111111112</v>
      </c>
      <c r="M19" s="47">
        <v>46160.243750000001</v>
      </c>
      <c r="N19" s="47">
        <v>46160.35</v>
      </c>
      <c r="R19" s="45" t="s">
        <v>272</v>
      </c>
      <c r="S19" s="45" t="s">
        <v>161</v>
      </c>
      <c r="U19" s="45" t="s">
        <v>371</v>
      </c>
      <c r="Z19" s="76">
        <f t="shared" ca="1" si="8"/>
        <v>1.6666666665211494E-2</v>
      </c>
      <c r="AA19" s="75">
        <f t="shared" ca="1" si="1"/>
        <v>4.4444444440563981E-2</v>
      </c>
      <c r="AB19" s="76">
        <f t="shared" ca="1" si="9"/>
        <v>1.6666666665211494E-2</v>
      </c>
      <c r="AC19" s="75">
        <f t="shared" ca="1" si="3"/>
        <v>4.4444444440563981E-2</v>
      </c>
      <c r="AD19" s="76">
        <f t="shared" ca="1" si="10"/>
        <v>0</v>
      </c>
      <c r="AE19" s="76">
        <f t="shared" ca="1" si="11"/>
        <v>1.6666666665211494E-2</v>
      </c>
      <c r="AF19" s="75">
        <f t="shared" ca="1" si="6"/>
        <v>4.4444444440563981E-2</v>
      </c>
      <c r="AG19" s="75">
        <f t="shared" ca="1" si="7"/>
        <v>4.4444444440563981E-2</v>
      </c>
      <c r="AH19" s="31" t="str" cm="1">
        <f t="array" aca="1" ref="AH19" ca="1">IF((AD19) &lt; (INDEX(ResponseSLA[#All],(MATCH((G19),ResponseSLA[Priority],0))+1,3)),"YES","No")</f>
        <v>YES</v>
      </c>
      <c r="AI19" s="31" t="str">
        <f ca="1">_xlfn.IFNA(IF(AE19 &lt; (INDEX(SLATable[Minimum SLA],MATCH(G19,SLATable[Priority],0))),"YES","NO"),"")</f>
        <v>YES</v>
      </c>
      <c r="AJ19" t="str">
        <f ca="1">_xlfn.IFNA(IF(AE19 &lt; (INDEX(SLATable[Maximum SLA],MATCH(G19,SLATable[Priority],0))),"YES","NO"),"")</f>
        <v>YES</v>
      </c>
    </row>
    <row r="20" spans="1:36" ht="15" customHeight="1">
      <c r="A20" s="45">
        <v>19</v>
      </c>
      <c r="B20" s="45" t="s">
        <v>26</v>
      </c>
      <c r="C20" s="45" t="s">
        <v>39</v>
      </c>
      <c r="D20" s="45" t="s">
        <v>207</v>
      </c>
      <c r="E20" s="45" t="s">
        <v>7949</v>
      </c>
      <c r="F20" s="45" t="s">
        <v>309</v>
      </c>
      <c r="G20" s="45">
        <v>4</v>
      </c>
      <c r="H20" s="45" t="s">
        <v>7929</v>
      </c>
      <c r="I20" s="45" t="s">
        <v>271</v>
      </c>
      <c r="J20" s="45" t="s">
        <v>7923</v>
      </c>
      <c r="K20" s="47">
        <v>46159.029166666667</v>
      </c>
      <c r="L20" s="47">
        <v>46159.029166666667</v>
      </c>
      <c r="M20" s="47">
        <v>46160.243055555555</v>
      </c>
      <c r="N20" s="47">
        <v>46160.43472222222</v>
      </c>
      <c r="R20" s="45" t="s">
        <v>272</v>
      </c>
      <c r="S20" s="45" t="s">
        <v>161</v>
      </c>
      <c r="U20" s="45" t="s">
        <v>371</v>
      </c>
      <c r="Z20" s="76">
        <f t="shared" ca="1" si="8"/>
        <v>0.10138888888711034</v>
      </c>
      <c r="AA20" s="75">
        <f t="shared" ca="1" si="1"/>
        <v>0.27037037036562755</v>
      </c>
      <c r="AB20" s="76">
        <f t="shared" ca="1" si="9"/>
        <v>0.10138888888711034</v>
      </c>
      <c r="AC20" s="75">
        <f t="shared" ca="1" si="3"/>
        <v>0.27037037036562755</v>
      </c>
      <c r="AD20" s="76">
        <f t="shared" ca="1" si="10"/>
        <v>0</v>
      </c>
      <c r="AE20" s="76">
        <f t="shared" ca="1" si="11"/>
        <v>0.10138888888711034</v>
      </c>
      <c r="AF20" s="75">
        <f t="shared" ca="1" si="6"/>
        <v>0.27037037036562755</v>
      </c>
      <c r="AG20" s="75">
        <f t="shared" ca="1" si="7"/>
        <v>0.27037037036562755</v>
      </c>
      <c r="AH20" s="31" t="str" cm="1">
        <f t="array" aca="1" ref="AH20" ca="1">IF((AD20) &lt; (INDEX(ResponseSLA[#All],(MATCH((G20),ResponseSLA[Priority],0))+1,3)),"YES","No")</f>
        <v>YES</v>
      </c>
      <c r="AI20" s="31" t="str">
        <f ca="1">_xlfn.IFNA(IF(AE20 &lt; (INDEX(SLATable[Minimum SLA],MATCH(G20,SLATable[Priority],0))),"YES","NO"),"")</f>
        <v>YES</v>
      </c>
      <c r="AJ20" t="str">
        <f ca="1">_xlfn.IFNA(IF(AE20 &lt; (INDEX(SLATable[Maximum SLA],MATCH(G20,SLATable[Priority],0))),"YES","NO"),"")</f>
        <v>YES</v>
      </c>
    </row>
    <row r="21" spans="1:36" ht="15" customHeight="1">
      <c r="A21" s="45">
        <v>20</v>
      </c>
      <c r="B21" s="45" t="s">
        <v>26</v>
      </c>
      <c r="C21" s="45" t="s">
        <v>39</v>
      </c>
      <c r="D21" s="45" t="s">
        <v>207</v>
      </c>
      <c r="E21" s="45" t="s">
        <v>7950</v>
      </c>
      <c r="F21" s="45" t="s">
        <v>309</v>
      </c>
      <c r="G21" s="45">
        <v>4</v>
      </c>
      <c r="H21" s="45" t="s">
        <v>7931</v>
      </c>
      <c r="I21" s="45" t="s">
        <v>271</v>
      </c>
      <c r="J21" s="45" t="s">
        <v>7923</v>
      </c>
      <c r="K21" s="47">
        <v>46160.227083333331</v>
      </c>
      <c r="L21" s="47">
        <v>46160.227083333331</v>
      </c>
      <c r="M21" s="47">
        <v>46160.241666666669</v>
      </c>
      <c r="N21" s="47">
        <v>46160.53402777778</v>
      </c>
      <c r="R21" s="45" t="s">
        <v>272</v>
      </c>
      <c r="S21" s="45" t="s">
        <v>161</v>
      </c>
      <c r="U21" s="45" t="s">
        <v>371</v>
      </c>
      <c r="Z21" s="76">
        <f t="shared" ca="1" si="8"/>
        <v>0.20069444444622303</v>
      </c>
      <c r="AA21" s="75">
        <f t="shared" ca="1" si="1"/>
        <v>0.53518518518992808</v>
      </c>
      <c r="AB21" s="76">
        <f t="shared" ca="1" si="9"/>
        <v>0.20069444444622303</v>
      </c>
      <c r="AC21" s="75">
        <f t="shared" ca="1" si="3"/>
        <v>0.53518518518992808</v>
      </c>
      <c r="AD21" s="76">
        <f t="shared" ca="1" si="10"/>
        <v>0</v>
      </c>
      <c r="AE21" s="76">
        <f t="shared" ca="1" si="11"/>
        <v>0.20069444444622303</v>
      </c>
      <c r="AF21" s="75">
        <f t="shared" ca="1" si="6"/>
        <v>0.53518518518992808</v>
      </c>
      <c r="AG21" s="75">
        <f t="shared" ca="1" si="7"/>
        <v>0.53518518518992808</v>
      </c>
      <c r="AH21" s="31" t="str" cm="1">
        <f t="array" aca="1" ref="AH21" ca="1">IF((AD21) &lt; (INDEX(ResponseSLA[#All],(MATCH((G21),ResponseSLA[Priority],0))+1,3)),"YES","No")</f>
        <v>YES</v>
      </c>
      <c r="AI21" s="31" t="str">
        <f ca="1">_xlfn.IFNA(IF(AE21 &lt; (INDEX(SLATable[Minimum SLA],MATCH(G21,SLATable[Priority],0))),"YES","NO"),"")</f>
        <v>YES</v>
      </c>
      <c r="AJ21" t="str">
        <f ca="1">_xlfn.IFNA(IF(AE21 &lt; (INDEX(SLATable[Maximum SLA],MATCH(G21,SLATable[Priority],0))),"YES","NO"),"")</f>
        <v>YES</v>
      </c>
    </row>
    <row r="22" spans="1:36" ht="15" customHeight="1">
      <c r="A22" s="45">
        <v>21</v>
      </c>
      <c r="B22" s="45" t="s">
        <v>26</v>
      </c>
      <c r="C22" s="45" t="s">
        <v>39</v>
      </c>
      <c r="D22" s="45" t="s">
        <v>207</v>
      </c>
      <c r="E22" s="45" t="s">
        <v>7951</v>
      </c>
      <c r="F22" s="45" t="s">
        <v>309</v>
      </c>
      <c r="G22" s="45">
        <v>4</v>
      </c>
      <c r="H22" s="45" t="s">
        <v>7952</v>
      </c>
      <c r="I22" s="45" t="s">
        <v>271</v>
      </c>
      <c r="J22" s="45" t="s">
        <v>7923</v>
      </c>
      <c r="K22" s="47">
        <v>46162.113194444442</v>
      </c>
      <c r="L22" s="47">
        <v>46162.113194444442</v>
      </c>
      <c r="M22" s="115">
        <v>46162.240277777775</v>
      </c>
      <c r="N22" s="47">
        <v>46162.402777777781</v>
      </c>
      <c r="R22" s="45" t="s">
        <v>272</v>
      </c>
      <c r="S22" s="45" t="s">
        <v>157</v>
      </c>
      <c r="U22" s="45" t="s">
        <v>371</v>
      </c>
      <c r="Z22" s="76">
        <f t="shared" ca="1" si="8"/>
        <v>6.9444444447678222E-2</v>
      </c>
      <c r="AA22" s="75">
        <f t="shared" ca="1" si="1"/>
        <v>0.18518518519380858</v>
      </c>
      <c r="AB22" s="76">
        <f t="shared" ca="1" si="9"/>
        <v>6.9444444447678222E-2</v>
      </c>
      <c r="AC22" s="75">
        <f t="shared" ca="1" si="3"/>
        <v>0.18518518519380858</v>
      </c>
      <c r="AD22" s="76">
        <f t="shared" ca="1" si="10"/>
        <v>0</v>
      </c>
      <c r="AE22" s="76">
        <f t="shared" ca="1" si="11"/>
        <v>6.9444444447678222E-2</v>
      </c>
      <c r="AF22" s="75">
        <f t="shared" ca="1" si="6"/>
        <v>0.18518518519380858</v>
      </c>
      <c r="AG22" s="75">
        <f t="shared" ca="1" si="7"/>
        <v>0.18518518519380858</v>
      </c>
      <c r="AH22" s="31" t="str" cm="1">
        <f t="array" aca="1" ref="AH22" ca="1">IF((AD22) &lt; (INDEX(ResponseSLA[#All],(MATCH((G22),ResponseSLA[Priority],0))+1,3)),"YES","No")</f>
        <v>YES</v>
      </c>
      <c r="AI22" s="31" t="str">
        <f ca="1">_xlfn.IFNA(IF(AE22 &lt; (INDEX(SLATable[Minimum SLA],MATCH(G22,SLATable[Priority],0))),"YES","NO"),"")</f>
        <v>YES</v>
      </c>
      <c r="AJ22" t="str">
        <f ca="1">_xlfn.IFNA(IF(AE22 &lt; (INDEX(SLATable[Maximum SLA],MATCH(G22,SLATable[Priority],0))),"YES","NO"),"")</f>
        <v>YES</v>
      </c>
    </row>
    <row r="23" spans="1:36" ht="15" customHeight="1">
      <c r="A23" s="45">
        <v>22</v>
      </c>
      <c r="B23" s="45" t="s">
        <v>26</v>
      </c>
      <c r="C23" s="45" t="s">
        <v>39</v>
      </c>
      <c r="D23" s="45" t="s">
        <v>207</v>
      </c>
      <c r="E23" s="45" t="s">
        <v>7953</v>
      </c>
      <c r="F23" s="45" t="s">
        <v>309</v>
      </c>
      <c r="G23" s="45">
        <v>4</v>
      </c>
      <c r="H23" s="45" t="s">
        <v>7922</v>
      </c>
      <c r="I23" s="45" t="s">
        <v>271</v>
      </c>
      <c r="J23" s="45" t="s">
        <v>7923</v>
      </c>
      <c r="K23" s="47">
        <v>46161.834722222222</v>
      </c>
      <c r="L23" s="47">
        <v>46161.834722222222</v>
      </c>
      <c r="M23" s="47">
        <v>46162.241666666669</v>
      </c>
      <c r="N23" s="47">
        <v>46162.40902777778</v>
      </c>
      <c r="R23" s="45" t="s">
        <v>272</v>
      </c>
      <c r="S23" s="45" t="s">
        <v>161</v>
      </c>
      <c r="U23" s="45" t="s">
        <v>371</v>
      </c>
      <c r="Z23" s="76">
        <f t="shared" ca="1" si="8"/>
        <v>7.5694444446222975E-2</v>
      </c>
      <c r="AA23" s="75">
        <f t="shared" ca="1" si="1"/>
        <v>0.2018518518565946</v>
      </c>
      <c r="AB23" s="76">
        <f t="shared" ca="1" si="9"/>
        <v>7.5694444446222975E-2</v>
      </c>
      <c r="AC23" s="75">
        <f t="shared" ca="1" si="3"/>
        <v>0.2018518518565946</v>
      </c>
      <c r="AD23" s="76">
        <f t="shared" ca="1" si="10"/>
        <v>0</v>
      </c>
      <c r="AE23" s="76">
        <f t="shared" ca="1" si="11"/>
        <v>7.5694444446222975E-2</v>
      </c>
      <c r="AF23" s="75">
        <f t="shared" ca="1" si="6"/>
        <v>0.2018518518565946</v>
      </c>
      <c r="AG23" s="75">
        <f t="shared" ca="1" si="7"/>
        <v>0.2018518518565946</v>
      </c>
      <c r="AH23" s="31" t="str" cm="1">
        <f t="array" aca="1" ref="AH23" ca="1">IF((AD23) &lt; (INDEX(ResponseSLA[#All],(MATCH((G23),ResponseSLA[Priority],0))+1,3)),"YES","No")</f>
        <v>YES</v>
      </c>
      <c r="AI23" s="31" t="str">
        <f ca="1">_xlfn.IFNA(IF(AE23 &lt; (INDEX(SLATable[Minimum SLA],MATCH(G23,SLATable[Priority],0))),"YES","NO"),"")</f>
        <v>YES</v>
      </c>
      <c r="AJ23" t="str">
        <f ca="1">_xlfn.IFNA(IF(AE23 &lt; (INDEX(SLATable[Maximum SLA],MATCH(G23,SLATable[Priority],0))),"YES","NO"),"")</f>
        <v>YES</v>
      </c>
    </row>
    <row r="24" spans="1:36" ht="15" customHeight="1">
      <c r="A24" s="45">
        <v>23</v>
      </c>
      <c r="B24" s="45" t="s">
        <v>26</v>
      </c>
      <c r="C24" s="45" t="s">
        <v>39</v>
      </c>
      <c r="D24" s="45" t="s">
        <v>207</v>
      </c>
      <c r="E24" s="45" t="s">
        <v>7954</v>
      </c>
      <c r="F24" s="45" t="s">
        <v>309</v>
      </c>
      <c r="G24" s="45">
        <v>4</v>
      </c>
      <c r="H24" s="45" t="s">
        <v>7925</v>
      </c>
      <c r="I24" s="45" t="s">
        <v>271</v>
      </c>
      <c r="J24" s="45" t="s">
        <v>7923</v>
      </c>
      <c r="K24" s="47">
        <v>46161.348611111112</v>
      </c>
      <c r="L24" s="47">
        <v>46161.348611111112</v>
      </c>
      <c r="M24" s="47">
        <v>46161.399305555555</v>
      </c>
      <c r="N24" s="47">
        <v>46162.548611111109</v>
      </c>
      <c r="R24" s="45" t="s">
        <v>272</v>
      </c>
      <c r="S24" s="45" t="s">
        <v>161</v>
      </c>
      <c r="U24" s="45" t="s">
        <v>371</v>
      </c>
      <c r="Z24" s="76">
        <f t="shared" ca="1" si="8"/>
        <v>0.57499999999708962</v>
      </c>
      <c r="AA24" s="75">
        <f t="shared" ca="1" si="1"/>
        <v>1.5333333333255723</v>
      </c>
      <c r="AB24" s="76">
        <f t="shared" ca="1" si="9"/>
        <v>0.57499999999708962</v>
      </c>
      <c r="AC24" s="75">
        <f t="shared" ca="1" si="3"/>
        <v>1.5333333333255723</v>
      </c>
      <c r="AD24" s="76">
        <f t="shared" ca="1" si="10"/>
        <v>5.0694444442342501E-2</v>
      </c>
      <c r="AE24" s="76">
        <f t="shared" ca="1" si="11"/>
        <v>0.57499999999708962</v>
      </c>
      <c r="AF24" s="75">
        <f t="shared" ca="1" si="6"/>
        <v>1.5333333333255723</v>
      </c>
      <c r="AG24" s="75">
        <f t="shared" ca="1" si="7"/>
        <v>1.5333333333255723</v>
      </c>
      <c r="AH24" s="31" t="str" cm="1">
        <f t="array" aca="1" ref="AH24" ca="1">IF((AD24) &lt; (INDEX(ResponseSLA[#All],(MATCH((G24),ResponseSLA[Priority],0))+1,3)),"YES","No")</f>
        <v>YES</v>
      </c>
      <c r="AI24" s="31" t="str">
        <f ca="1">_xlfn.IFNA(IF(AE24 &lt; (INDEX(SLATable[Minimum SLA],MATCH(G24,SLATable[Priority],0))),"YES","NO"),"")</f>
        <v>YES</v>
      </c>
      <c r="AJ24" t="str">
        <f ca="1">_xlfn.IFNA(IF(AE24 &lt; (INDEX(SLATable[Maximum SLA],MATCH(G24,SLATable[Priority],0))),"YES","NO"),"")</f>
        <v>YES</v>
      </c>
    </row>
    <row r="25" spans="1:36" ht="15" customHeight="1">
      <c r="A25" s="45">
        <v>24</v>
      </c>
      <c r="B25" s="45" t="s">
        <v>26</v>
      </c>
      <c r="C25" s="45" t="s">
        <v>39</v>
      </c>
      <c r="D25" s="45" t="s">
        <v>207</v>
      </c>
      <c r="E25" s="45" t="s">
        <v>7955</v>
      </c>
      <c r="F25" s="45" t="s">
        <v>309</v>
      </c>
      <c r="G25" s="45">
        <v>4</v>
      </c>
      <c r="H25" s="45" t="s">
        <v>7956</v>
      </c>
      <c r="I25" s="45" t="s">
        <v>271</v>
      </c>
      <c r="J25" s="45" t="s">
        <v>7923</v>
      </c>
      <c r="K25" s="47">
        <v>46160.058333333334</v>
      </c>
      <c r="L25" s="47">
        <v>46160.811111111114</v>
      </c>
      <c r="M25" s="47">
        <v>46161.237500000003</v>
      </c>
      <c r="N25" s="47">
        <v>46162.743750000001</v>
      </c>
      <c r="R25" s="45" t="s">
        <v>272</v>
      </c>
      <c r="S25" s="45" t="s">
        <v>157</v>
      </c>
      <c r="U25" s="45" t="s">
        <v>371</v>
      </c>
      <c r="Z25" s="76">
        <f t="shared" ca="1" si="8"/>
        <v>1.1250000000000002</v>
      </c>
      <c r="AA25" s="75">
        <f t="shared" ca="1" si="1"/>
        <v>3.0000000000000009</v>
      </c>
      <c r="AB25" s="76">
        <f t="shared" ca="1" si="9"/>
        <v>0.75000000000000011</v>
      </c>
      <c r="AC25" s="75">
        <f t="shared" ca="1" si="3"/>
        <v>2.0000000000000004</v>
      </c>
      <c r="AD25" s="76">
        <f t="shared" ca="1" si="10"/>
        <v>0</v>
      </c>
      <c r="AE25" s="76">
        <f t="shared" ca="1" si="11"/>
        <v>0.75000000000000011</v>
      </c>
      <c r="AF25" s="75">
        <f t="shared" ca="1" si="6"/>
        <v>2.0000000000000004</v>
      </c>
      <c r="AG25" s="75">
        <f t="shared" ca="1" si="7"/>
        <v>2.0000000000000004</v>
      </c>
      <c r="AH25" s="31" t="str" cm="1">
        <f t="array" aca="1" ref="AH25" ca="1">IF((AD25) &lt; (INDEX(ResponseSLA[#All],(MATCH((G25),ResponseSLA[Priority],0))+1,3)),"YES","No")</f>
        <v>YES</v>
      </c>
      <c r="AI25" s="31" t="str">
        <f ca="1">_xlfn.IFNA(IF(AE25 &lt; (INDEX(SLATable[Minimum SLA],MATCH(G25,SLATable[Priority],0))),"YES","NO"),"")</f>
        <v>YES</v>
      </c>
      <c r="AJ25" t="str">
        <f ca="1">_xlfn.IFNA(IF(AE25 &lt; (INDEX(SLATable[Maximum SLA],MATCH(G25,SLATable[Priority],0))),"YES","NO"),"")</f>
        <v>YES</v>
      </c>
    </row>
    <row r="26" spans="1:36" ht="15" customHeight="1">
      <c r="A26" s="45">
        <v>25</v>
      </c>
      <c r="B26" s="45" t="s">
        <v>26</v>
      </c>
      <c r="C26" s="45" t="s">
        <v>39</v>
      </c>
      <c r="D26" s="45" t="s">
        <v>207</v>
      </c>
      <c r="E26" s="45" t="s">
        <v>7957</v>
      </c>
      <c r="F26" s="45" t="s">
        <v>309</v>
      </c>
      <c r="G26" s="45">
        <v>4</v>
      </c>
      <c r="H26" s="45" t="s">
        <v>7952</v>
      </c>
      <c r="I26" s="45" t="s">
        <v>271</v>
      </c>
      <c r="J26" s="45" t="s">
        <v>7923</v>
      </c>
      <c r="K26" s="47">
        <v>46163.123611111114</v>
      </c>
      <c r="L26" s="47">
        <v>46163.123611111114</v>
      </c>
      <c r="M26" s="47">
        <v>46163.247916666667</v>
      </c>
      <c r="N26" s="47">
        <v>46164.482638888891</v>
      </c>
      <c r="R26" s="45" t="s">
        <v>272</v>
      </c>
      <c r="S26" s="45" t="s">
        <v>157</v>
      </c>
      <c r="U26" s="45" t="s">
        <v>371</v>
      </c>
      <c r="Z26" s="76">
        <f t="shared" ca="1" si="8"/>
        <v>0.52430555555717251</v>
      </c>
      <c r="AA26" s="75">
        <f t="shared" ca="1" si="1"/>
        <v>1.39814814815246</v>
      </c>
      <c r="AB26" s="76">
        <f t="shared" ca="1" si="9"/>
        <v>0.52430555555717251</v>
      </c>
      <c r="AC26" s="75">
        <f t="shared" ca="1" si="3"/>
        <v>1.39814814815246</v>
      </c>
      <c r="AD26" s="76">
        <f t="shared" ca="1" si="10"/>
        <v>0</v>
      </c>
      <c r="AE26" s="76">
        <f t="shared" ca="1" si="11"/>
        <v>0.52430555555717251</v>
      </c>
      <c r="AF26" s="75">
        <f t="shared" ca="1" si="6"/>
        <v>1.39814814815246</v>
      </c>
      <c r="AG26" s="75">
        <f t="shared" ca="1" si="7"/>
        <v>1.39814814815246</v>
      </c>
      <c r="AH26" s="31" t="str" cm="1">
        <f t="array" aca="1" ref="AH26" ca="1">IF((AD26) &lt; (INDEX(ResponseSLA[#All],(MATCH((G26),ResponseSLA[Priority],0))+1,3)),"YES","No")</f>
        <v>YES</v>
      </c>
      <c r="AI26" s="31" t="str">
        <f ca="1">_xlfn.IFNA(IF(AE26 &lt; (INDEX(SLATable[Minimum SLA],MATCH(G26,SLATable[Priority],0))),"YES","NO"),"")</f>
        <v>YES</v>
      </c>
      <c r="AJ26" t="str">
        <f ca="1">_xlfn.IFNA(IF(AE26 &lt; (INDEX(SLATable[Maximum SLA],MATCH(G26,SLATable[Priority],0))),"YES","NO"),"")</f>
        <v>YES</v>
      </c>
    </row>
    <row r="27" spans="1:36" ht="15" customHeight="1">
      <c r="A27" s="45">
        <v>26</v>
      </c>
      <c r="B27" s="45" t="s">
        <v>26</v>
      </c>
      <c r="C27" s="45" t="s">
        <v>39</v>
      </c>
      <c r="D27" s="45" t="s">
        <v>207</v>
      </c>
      <c r="E27" s="45" t="s">
        <v>7958</v>
      </c>
      <c r="F27" s="45" t="s">
        <v>309</v>
      </c>
      <c r="G27" s="45">
        <v>4</v>
      </c>
      <c r="H27" s="45" t="s">
        <v>7959</v>
      </c>
      <c r="I27" s="45" t="s">
        <v>271</v>
      </c>
      <c r="J27" s="45" t="s">
        <v>7923</v>
      </c>
      <c r="K27" s="47">
        <v>46163.136805555558</v>
      </c>
      <c r="L27" s="47">
        <v>46163.136805555558</v>
      </c>
      <c r="M27" s="47">
        <v>46163.246527777781</v>
      </c>
      <c r="N27" s="47">
        <v>46164.488194444442</v>
      </c>
      <c r="R27" s="45" t="s">
        <v>272</v>
      </c>
      <c r="S27" s="45" t="s">
        <v>157</v>
      </c>
      <c r="U27" s="45" t="s">
        <v>371</v>
      </c>
      <c r="Z27" s="76">
        <f t="shared" ca="1" si="8"/>
        <v>0.52986111110900924</v>
      </c>
      <c r="AA27" s="75">
        <f t="shared" ca="1" si="1"/>
        <v>1.4129629629573579</v>
      </c>
      <c r="AB27" s="76">
        <f t="shared" ca="1" si="9"/>
        <v>0.52986111110900924</v>
      </c>
      <c r="AC27" s="75">
        <f t="shared" ca="1" si="3"/>
        <v>1.4129629629573579</v>
      </c>
      <c r="AD27" s="76">
        <f t="shared" ca="1" si="10"/>
        <v>0</v>
      </c>
      <c r="AE27" s="76">
        <f t="shared" ca="1" si="11"/>
        <v>0.52986111110900924</v>
      </c>
      <c r="AF27" s="75">
        <f t="shared" ca="1" si="6"/>
        <v>1.4129629629573579</v>
      </c>
      <c r="AG27" s="75">
        <f t="shared" ca="1" si="7"/>
        <v>1.4129629629573579</v>
      </c>
      <c r="AH27" s="31" t="str" cm="1">
        <f t="array" aca="1" ref="AH27" ca="1">IF((AD27) &lt; (INDEX(ResponseSLA[#All],(MATCH((G27),ResponseSLA[Priority],0))+1,3)),"YES","No")</f>
        <v>YES</v>
      </c>
      <c r="AI27" s="31" t="str">
        <f ca="1">_xlfn.IFNA(IF(AE27 &lt; (INDEX(SLATable[Minimum SLA],MATCH(G27,SLATable[Priority],0))),"YES","NO"),"")</f>
        <v>YES</v>
      </c>
      <c r="AJ27" t="str">
        <f ca="1">_xlfn.IFNA(IF(AE27 &lt; (INDEX(SLATable[Maximum SLA],MATCH(G27,SLATable[Priority],0))),"YES","NO"),"")</f>
        <v>YES</v>
      </c>
    </row>
    <row r="28" spans="1:36" ht="15" customHeight="1">
      <c r="A28" s="45">
        <v>27</v>
      </c>
      <c r="B28" s="45" t="s">
        <v>26</v>
      </c>
      <c r="C28" s="45" t="s">
        <v>39</v>
      </c>
      <c r="D28" s="45" t="s">
        <v>207</v>
      </c>
      <c r="E28" s="45" t="s">
        <v>7960</v>
      </c>
      <c r="F28" s="45" t="s">
        <v>309</v>
      </c>
      <c r="G28" s="45">
        <v>4</v>
      </c>
      <c r="H28" s="45" t="s">
        <v>7961</v>
      </c>
      <c r="I28" s="45" t="s">
        <v>271</v>
      </c>
      <c r="J28" s="45" t="s">
        <v>7923</v>
      </c>
      <c r="K28" s="47">
        <v>46163.106944444444</v>
      </c>
      <c r="L28" s="47">
        <v>46163.106944444444</v>
      </c>
      <c r="M28" s="47">
        <v>46163.249305555553</v>
      </c>
      <c r="N28" s="47">
        <v>46164.490972222222</v>
      </c>
      <c r="R28" s="45" t="s">
        <v>272</v>
      </c>
      <c r="S28" s="45" t="s">
        <v>157</v>
      </c>
      <c r="U28" s="45" t="s">
        <v>371</v>
      </c>
      <c r="Z28" s="76">
        <f t="shared" ca="1" si="8"/>
        <v>0.53263888888856559</v>
      </c>
      <c r="AA28" s="75">
        <f t="shared" ca="1" si="1"/>
        <v>1.4203703703695083</v>
      </c>
      <c r="AB28" s="76">
        <f t="shared" ca="1" si="9"/>
        <v>0.53263888888856559</v>
      </c>
      <c r="AC28" s="75">
        <f t="shared" ca="1" si="3"/>
        <v>1.4203703703695083</v>
      </c>
      <c r="AD28" s="76">
        <f t="shared" ca="1" si="10"/>
        <v>0</v>
      </c>
      <c r="AE28" s="76">
        <f t="shared" ca="1" si="11"/>
        <v>0.53263888888856559</v>
      </c>
      <c r="AF28" s="75">
        <f t="shared" ca="1" si="6"/>
        <v>1.4203703703695083</v>
      </c>
      <c r="AG28" s="75">
        <f t="shared" ca="1" si="7"/>
        <v>1.4203703703695083</v>
      </c>
      <c r="AH28" s="31" t="str" cm="1">
        <f t="array" aca="1" ref="AH28" ca="1">IF((AD28) &lt; (INDEX(ResponseSLA[#All],(MATCH((G28),ResponseSLA[Priority],0))+1,3)),"YES","No")</f>
        <v>YES</v>
      </c>
      <c r="AI28" s="31" t="str">
        <f ca="1">_xlfn.IFNA(IF(AE28 &lt; (INDEX(SLATable[Minimum SLA],MATCH(G28,SLATable[Priority],0))),"YES","NO"),"")</f>
        <v>YES</v>
      </c>
      <c r="AJ28" t="str">
        <f ca="1">_xlfn.IFNA(IF(AE28 &lt; (INDEX(SLATable[Maximum SLA],MATCH(G28,SLATable[Priority],0))),"YES","NO"),"")</f>
        <v>YES</v>
      </c>
    </row>
    <row r="29" spans="1:36" ht="15" customHeight="1">
      <c r="A29" s="45">
        <v>28</v>
      </c>
      <c r="B29" s="45" t="s">
        <v>26</v>
      </c>
      <c r="C29" s="45" t="s">
        <v>39</v>
      </c>
      <c r="D29" s="45" t="s">
        <v>207</v>
      </c>
      <c r="E29" s="45" t="s">
        <v>7962</v>
      </c>
      <c r="F29" s="45" t="s">
        <v>309</v>
      </c>
      <c r="G29" s="45">
        <v>4</v>
      </c>
      <c r="H29" s="45" t="s">
        <v>7931</v>
      </c>
      <c r="I29" s="45" t="s">
        <v>271</v>
      </c>
      <c r="J29" s="45" t="s">
        <v>7923</v>
      </c>
      <c r="K29" s="47">
        <v>46163.223611111112</v>
      </c>
      <c r="L29" s="47">
        <v>46163.223611111112</v>
      </c>
      <c r="M29" s="47">
        <v>46163.245833333334</v>
      </c>
      <c r="N29" s="47">
        <v>46164.620138888888</v>
      </c>
      <c r="R29" s="45" t="s">
        <v>272</v>
      </c>
      <c r="S29" s="45" t="s">
        <v>161</v>
      </c>
      <c r="U29" s="45" t="s">
        <v>371</v>
      </c>
      <c r="Z29" s="76">
        <f t="shared" ca="1" si="8"/>
        <v>0.66180555555426213</v>
      </c>
      <c r="AA29" s="75">
        <f t="shared" ca="1" si="1"/>
        <v>1.7648148148113656</v>
      </c>
      <c r="AB29" s="76">
        <f t="shared" ca="1" si="9"/>
        <v>0.66180555555426213</v>
      </c>
      <c r="AC29" s="75">
        <f t="shared" ca="1" si="3"/>
        <v>1.7648148148113656</v>
      </c>
      <c r="AD29" s="76">
        <f t="shared" ca="1" si="10"/>
        <v>0</v>
      </c>
      <c r="AE29" s="76">
        <f t="shared" ca="1" si="11"/>
        <v>0.66180555555426213</v>
      </c>
      <c r="AF29" s="75">
        <f t="shared" ca="1" si="6"/>
        <v>1.7648148148113656</v>
      </c>
      <c r="AG29" s="75">
        <f t="shared" ca="1" si="7"/>
        <v>1.7648148148113656</v>
      </c>
      <c r="AH29" s="31" t="str" cm="1">
        <f t="array" aca="1" ref="AH29" ca="1">IF((AD29) &lt; (INDEX(ResponseSLA[#All],(MATCH((G29),ResponseSLA[Priority],0))+1,3)),"YES","No")</f>
        <v>YES</v>
      </c>
      <c r="AI29" s="31" t="str">
        <f ca="1">_xlfn.IFNA(IF(AE29 &lt; (INDEX(SLATable[Minimum SLA],MATCH(G29,SLATable[Priority],0))),"YES","NO"),"")</f>
        <v>YES</v>
      </c>
      <c r="AJ29" t="str">
        <f ca="1">_xlfn.IFNA(IF(AE29 &lt; (INDEX(SLATable[Maximum SLA],MATCH(G29,SLATable[Priority],0))),"YES","NO"),"")</f>
        <v>YES</v>
      </c>
    </row>
    <row r="30" spans="1:36" ht="15" customHeight="1">
      <c r="A30" s="45">
        <v>29</v>
      </c>
      <c r="B30" s="45" t="s">
        <v>26</v>
      </c>
      <c r="C30" s="45" t="s">
        <v>39</v>
      </c>
      <c r="D30" s="45" t="s">
        <v>207</v>
      </c>
      <c r="E30" s="45" t="s">
        <v>7963</v>
      </c>
      <c r="F30" s="45" t="s">
        <v>309</v>
      </c>
      <c r="G30" s="45">
        <v>4</v>
      </c>
      <c r="H30" s="45" t="s">
        <v>7927</v>
      </c>
      <c r="I30" s="45" t="s">
        <v>271</v>
      </c>
      <c r="J30" s="45" t="s">
        <v>7923</v>
      </c>
      <c r="K30" s="47">
        <v>46164.584722222222</v>
      </c>
      <c r="L30" s="47">
        <v>46164.584722222222</v>
      </c>
      <c r="M30" s="47">
        <v>46164.618750000001</v>
      </c>
      <c r="N30" s="47">
        <v>46164.638194444444</v>
      </c>
      <c r="R30" s="45" t="s">
        <v>272</v>
      </c>
      <c r="S30" s="45" t="s">
        <v>161</v>
      </c>
      <c r="U30" s="45" t="s">
        <v>371</v>
      </c>
      <c r="Z30" s="76">
        <f t="shared" ca="1" si="8"/>
        <v>5.3472222221898846E-2</v>
      </c>
      <c r="AA30" s="75">
        <f t="shared" ca="1" si="1"/>
        <v>0.14259259259173027</v>
      </c>
      <c r="AB30" s="76">
        <f t="shared" ca="1" si="9"/>
        <v>5.3472222221898846E-2</v>
      </c>
      <c r="AC30" s="75">
        <f t="shared" ca="1" si="3"/>
        <v>0.14259259259173027</v>
      </c>
      <c r="AD30" s="76">
        <f t="shared" ca="1" si="10"/>
        <v>3.4027777779556345E-2</v>
      </c>
      <c r="AE30" s="76">
        <f t="shared" ca="1" si="11"/>
        <v>5.3472222221898846E-2</v>
      </c>
      <c r="AF30" s="75">
        <f t="shared" ca="1" si="6"/>
        <v>0.14259259259173027</v>
      </c>
      <c r="AG30" s="75">
        <f t="shared" ca="1" si="7"/>
        <v>0.14259259259173027</v>
      </c>
      <c r="AH30" s="31" t="str" cm="1">
        <f t="array" aca="1" ref="AH30" ca="1">IF((AD30) &lt; (INDEX(ResponseSLA[#All],(MATCH((G30),ResponseSLA[Priority],0))+1,3)),"YES","No")</f>
        <v>YES</v>
      </c>
      <c r="AI30" s="31" t="str">
        <f ca="1">_xlfn.IFNA(IF(AE30 &lt; (INDEX(SLATable[Minimum SLA],MATCH(G30,SLATable[Priority],0))),"YES","NO"),"")</f>
        <v>YES</v>
      </c>
      <c r="AJ30" t="str">
        <f ca="1">_xlfn.IFNA(IF(AE30 &lt; (INDEX(SLATable[Maximum SLA],MATCH(G30,SLATable[Priority],0))),"YES","NO"),"")</f>
        <v>YES</v>
      </c>
    </row>
    <row r="31" spans="1:36" ht="15" customHeight="1">
      <c r="A31" s="45">
        <v>30</v>
      </c>
      <c r="B31" s="45" t="s">
        <v>26</v>
      </c>
      <c r="C31" s="45" t="s">
        <v>39</v>
      </c>
      <c r="D31" s="45" t="s">
        <v>207</v>
      </c>
      <c r="E31" s="45" t="s">
        <v>7964</v>
      </c>
      <c r="F31" s="45" t="s">
        <v>309</v>
      </c>
      <c r="G31" s="45">
        <v>4</v>
      </c>
      <c r="H31" s="45" t="s">
        <v>7922</v>
      </c>
      <c r="I31" s="45" t="s">
        <v>271</v>
      </c>
      <c r="J31" s="45" t="s">
        <v>7923</v>
      </c>
      <c r="K31" s="47">
        <v>46167.23333333333</v>
      </c>
      <c r="L31" s="47">
        <v>46167.23333333333</v>
      </c>
      <c r="M31" s="47">
        <v>46167.256249999999</v>
      </c>
      <c r="N31" s="47">
        <v>46167.490972222222</v>
      </c>
      <c r="R31" s="45" t="s">
        <v>272</v>
      </c>
      <c r="S31" s="45" t="s">
        <v>161</v>
      </c>
      <c r="U31" s="45" t="s">
        <v>371</v>
      </c>
      <c r="Z31" s="76">
        <f t="shared" ca="1" si="8"/>
        <v>0</v>
      </c>
      <c r="AA31" s="75">
        <f t="shared" ca="1" si="1"/>
        <v>0</v>
      </c>
      <c r="AB31" s="76">
        <f t="shared" ca="1" si="9"/>
        <v>0</v>
      </c>
      <c r="AC31" s="75">
        <f t="shared" ca="1" si="3"/>
        <v>0</v>
      </c>
      <c r="AD31" s="76">
        <f t="shared" ca="1" si="10"/>
        <v>0</v>
      </c>
      <c r="AE31" s="76">
        <f t="shared" ca="1" si="11"/>
        <v>0</v>
      </c>
      <c r="AF31" s="75">
        <f t="shared" ca="1" si="6"/>
        <v>0</v>
      </c>
      <c r="AG31" s="75">
        <f t="shared" ca="1" si="7"/>
        <v>0</v>
      </c>
      <c r="AH31" s="31" t="str" cm="1">
        <f t="array" aca="1" ref="AH31" ca="1">IF((AD31) &lt; (INDEX(ResponseSLA[#All],(MATCH((G31),ResponseSLA[Priority],0))+1,3)),"YES","No")</f>
        <v>YES</v>
      </c>
      <c r="AI31" s="31" t="str">
        <f ca="1">_xlfn.IFNA(IF(AE31 &lt; (INDEX(SLATable[Minimum SLA],MATCH(G31,SLATable[Priority],0))),"YES","NO"),"")</f>
        <v>YES</v>
      </c>
      <c r="AJ31" t="str">
        <f ca="1">_xlfn.IFNA(IF(AE31 &lt; (INDEX(SLATable[Maximum SLA],MATCH(G31,SLATable[Priority],0))),"YES","NO"),"")</f>
        <v>YES</v>
      </c>
    </row>
    <row r="32" spans="1:36" ht="15" customHeight="1">
      <c r="A32" s="45">
        <v>31</v>
      </c>
      <c r="B32" s="45" t="s">
        <v>26</v>
      </c>
      <c r="C32" s="45" t="s">
        <v>39</v>
      </c>
      <c r="D32" s="45" t="s">
        <v>207</v>
      </c>
      <c r="E32" s="45" t="s">
        <v>7965</v>
      </c>
      <c r="F32" s="45" t="s">
        <v>309</v>
      </c>
      <c r="G32" s="45">
        <v>4</v>
      </c>
      <c r="H32" s="45" t="s">
        <v>7931</v>
      </c>
      <c r="I32" s="45" t="s">
        <v>271</v>
      </c>
      <c r="J32" s="45" t="s">
        <v>7923</v>
      </c>
      <c r="K32" s="47">
        <v>46167.104861111111</v>
      </c>
      <c r="L32" s="47">
        <v>46167.104861111111</v>
      </c>
      <c r="M32" s="47">
        <v>46167.224305555559</v>
      </c>
      <c r="N32" s="47">
        <v>46167.511805555558</v>
      </c>
      <c r="R32" s="45" t="s">
        <v>272</v>
      </c>
      <c r="S32" s="45" t="s">
        <v>161</v>
      </c>
      <c r="U32" s="45" t="s">
        <v>371</v>
      </c>
      <c r="Z32" s="76">
        <f t="shared" ca="1" si="8"/>
        <v>0</v>
      </c>
      <c r="AA32" s="75">
        <f t="shared" ca="1" si="1"/>
        <v>0</v>
      </c>
      <c r="AB32" s="76">
        <f t="shared" ca="1" si="9"/>
        <v>0</v>
      </c>
      <c r="AC32" s="75">
        <f t="shared" ca="1" si="3"/>
        <v>0</v>
      </c>
      <c r="AD32" s="76">
        <f t="shared" ca="1" si="10"/>
        <v>0</v>
      </c>
      <c r="AE32" s="76">
        <f t="shared" ca="1" si="11"/>
        <v>0</v>
      </c>
      <c r="AF32" s="75">
        <f t="shared" ca="1" si="6"/>
        <v>0</v>
      </c>
      <c r="AG32" s="75">
        <f t="shared" ca="1" si="7"/>
        <v>0</v>
      </c>
      <c r="AH32" s="31" t="str" cm="1">
        <f t="array" aca="1" ref="AH32" ca="1">IF((AD32) &lt; (INDEX(ResponseSLA[#All],(MATCH((G32),ResponseSLA[Priority],0))+1,3)),"YES","No")</f>
        <v>YES</v>
      </c>
      <c r="AI32" s="31" t="str">
        <f ca="1">_xlfn.IFNA(IF(AE32 &lt; (INDEX(SLATable[Minimum SLA],MATCH(G32,SLATable[Priority],0))),"YES","NO"),"")</f>
        <v>YES</v>
      </c>
      <c r="AJ32" t="str">
        <f ca="1">_xlfn.IFNA(IF(AE32 &lt; (INDEX(SLATable[Maximum SLA],MATCH(G32,SLATable[Priority],0))),"YES","NO"),"")</f>
        <v>YES</v>
      </c>
    </row>
    <row r="33" spans="1:36" ht="15" customHeight="1">
      <c r="A33" s="45">
        <v>32</v>
      </c>
      <c r="B33" s="45" t="s">
        <v>26</v>
      </c>
      <c r="C33" s="45" t="s">
        <v>39</v>
      </c>
      <c r="D33" s="45" t="s">
        <v>207</v>
      </c>
      <c r="E33" s="45" t="s">
        <v>7966</v>
      </c>
      <c r="F33" s="45" t="s">
        <v>309</v>
      </c>
      <c r="G33" s="45">
        <v>4</v>
      </c>
      <c r="H33" s="45" t="s">
        <v>7929</v>
      </c>
      <c r="I33" s="45" t="s">
        <v>271</v>
      </c>
      <c r="J33" s="45" t="s">
        <v>7923</v>
      </c>
      <c r="K33" s="47">
        <v>46167.053472222222</v>
      </c>
      <c r="L33" s="47">
        <v>46167.053472222222</v>
      </c>
      <c r="M33" s="47">
        <v>46167.224999999999</v>
      </c>
      <c r="N33" s="47">
        <v>46167.502083333333</v>
      </c>
      <c r="R33" s="45" t="s">
        <v>272</v>
      </c>
      <c r="S33" s="45" t="s">
        <v>161</v>
      </c>
      <c r="U33" s="45" t="s">
        <v>371</v>
      </c>
      <c r="Z33" s="76">
        <f t="shared" ca="1" si="8"/>
        <v>0</v>
      </c>
      <c r="AA33" s="75">
        <f t="shared" ca="1" si="1"/>
        <v>0</v>
      </c>
      <c r="AB33" s="76">
        <f t="shared" ca="1" si="9"/>
        <v>0</v>
      </c>
      <c r="AC33" s="75">
        <f t="shared" ca="1" si="3"/>
        <v>0</v>
      </c>
      <c r="AD33" s="76">
        <f t="shared" ca="1" si="10"/>
        <v>0</v>
      </c>
      <c r="AE33" s="76">
        <f t="shared" ca="1" si="11"/>
        <v>0</v>
      </c>
      <c r="AF33" s="75">
        <f t="shared" ca="1" si="6"/>
        <v>0</v>
      </c>
      <c r="AG33" s="75">
        <f t="shared" ca="1" si="7"/>
        <v>0</v>
      </c>
      <c r="AH33" s="31" t="str" cm="1">
        <f t="array" aca="1" ref="AH33" ca="1">IF((AD33) &lt; (INDEX(ResponseSLA[#All],(MATCH((G33),ResponseSLA[Priority],0))+1,3)),"YES","No")</f>
        <v>YES</v>
      </c>
      <c r="AI33" s="31" t="str">
        <f ca="1">_xlfn.IFNA(IF(AE33 &lt; (INDEX(SLATable[Minimum SLA],MATCH(G33,SLATable[Priority],0))),"YES","NO"),"")</f>
        <v>YES</v>
      </c>
      <c r="AJ33" t="str">
        <f ca="1">_xlfn.IFNA(IF(AE33 &lt; (INDEX(SLATable[Maximum SLA],MATCH(G33,SLATable[Priority],0))),"YES","NO"),"")</f>
        <v>YES</v>
      </c>
    </row>
    <row r="34" spans="1:36" ht="15" customHeight="1">
      <c r="A34" s="45">
        <v>33</v>
      </c>
      <c r="B34" s="45" t="s">
        <v>26</v>
      </c>
      <c r="C34" s="45" t="s">
        <v>39</v>
      </c>
      <c r="D34" s="45" t="s">
        <v>207</v>
      </c>
      <c r="E34" s="45" t="s">
        <v>7967</v>
      </c>
      <c r="F34" s="45" t="s">
        <v>309</v>
      </c>
      <c r="G34" s="45">
        <v>4</v>
      </c>
      <c r="H34" s="45" t="s">
        <v>7947</v>
      </c>
      <c r="I34" s="45" t="s">
        <v>271</v>
      </c>
      <c r="J34" s="45" t="s">
        <v>7923</v>
      </c>
      <c r="K34" s="47">
        <v>46166.410416666666</v>
      </c>
      <c r="L34" s="47">
        <v>46166.410416666666</v>
      </c>
      <c r="M34" s="47">
        <v>46167.226388888892</v>
      </c>
      <c r="N34" s="47">
        <v>46167.493750000001</v>
      </c>
      <c r="R34" s="45" t="s">
        <v>272</v>
      </c>
      <c r="S34" s="45" t="s">
        <v>157</v>
      </c>
      <c r="U34" s="45" t="s">
        <v>371</v>
      </c>
      <c r="Z34" s="76">
        <f t="shared" ca="1" si="8"/>
        <v>0</v>
      </c>
      <c r="AA34" s="75">
        <f t="shared" ca="1" si="1"/>
        <v>0</v>
      </c>
      <c r="AB34" s="76">
        <f t="shared" ca="1" si="9"/>
        <v>0</v>
      </c>
      <c r="AC34" s="75">
        <f t="shared" ca="1" si="3"/>
        <v>0</v>
      </c>
      <c r="AD34" s="76">
        <f t="shared" ca="1" si="10"/>
        <v>0</v>
      </c>
      <c r="AE34" s="76">
        <f t="shared" ca="1" si="11"/>
        <v>0</v>
      </c>
      <c r="AF34" s="75">
        <f t="shared" ca="1" si="6"/>
        <v>0</v>
      </c>
      <c r="AG34" s="75">
        <f t="shared" ca="1" si="7"/>
        <v>0</v>
      </c>
      <c r="AH34" s="31" t="str" cm="1">
        <f t="array" aca="1" ref="AH34" ca="1">IF((AD34) &lt; (INDEX(ResponseSLA[#All],(MATCH((G34),ResponseSLA[Priority],0))+1,3)),"YES","No")</f>
        <v>YES</v>
      </c>
      <c r="AI34" s="31" t="str">
        <f ca="1">_xlfn.IFNA(IF(AE34 &lt; (INDEX(SLATable[Minimum SLA],MATCH(G34,SLATable[Priority],0))),"YES","NO"),"")</f>
        <v>YES</v>
      </c>
      <c r="AJ34" t="str">
        <f ca="1">_xlfn.IFNA(IF(AE34 &lt; (INDEX(SLATable[Maximum SLA],MATCH(G34,SLATable[Priority],0))),"YES","NO"),"")</f>
        <v>YES</v>
      </c>
    </row>
    <row r="35" spans="1:36" ht="15" customHeight="1">
      <c r="A35" s="45">
        <v>34</v>
      </c>
      <c r="B35" s="45" t="s">
        <v>26</v>
      </c>
      <c r="C35" s="45" t="s">
        <v>39</v>
      </c>
      <c r="D35" s="45" t="s">
        <v>207</v>
      </c>
      <c r="E35" s="45" t="s">
        <v>7968</v>
      </c>
      <c r="F35" s="45" t="s">
        <v>309</v>
      </c>
      <c r="G35" s="45">
        <v>4</v>
      </c>
      <c r="H35" s="45" t="s">
        <v>7969</v>
      </c>
      <c r="I35" s="45" t="s">
        <v>271</v>
      </c>
      <c r="J35" s="45" t="s">
        <v>7923</v>
      </c>
      <c r="K35" s="47">
        <v>46166.410416666666</v>
      </c>
      <c r="L35" s="47">
        <v>46166.410416666666</v>
      </c>
      <c r="M35" s="47">
        <v>46167.227083333331</v>
      </c>
      <c r="N35" s="47">
        <v>46167.495833333334</v>
      </c>
      <c r="R35" s="45" t="s">
        <v>272</v>
      </c>
      <c r="S35" s="45" t="s">
        <v>157</v>
      </c>
      <c r="U35" s="45" t="s">
        <v>371</v>
      </c>
      <c r="Z35" s="76">
        <f t="shared" ca="1" si="8"/>
        <v>0</v>
      </c>
      <c r="AA35" s="75">
        <f t="shared" ca="1" si="1"/>
        <v>0</v>
      </c>
      <c r="AB35" s="76">
        <f t="shared" ca="1" si="9"/>
        <v>0</v>
      </c>
      <c r="AC35" s="75">
        <f t="shared" ca="1" si="3"/>
        <v>0</v>
      </c>
      <c r="AD35" s="76">
        <f t="shared" ca="1" si="10"/>
        <v>0</v>
      </c>
      <c r="AE35" s="76">
        <f t="shared" ca="1" si="11"/>
        <v>0</v>
      </c>
      <c r="AF35" s="75">
        <f t="shared" ca="1" si="6"/>
        <v>0</v>
      </c>
      <c r="AG35" s="75">
        <f t="shared" ca="1" si="7"/>
        <v>0</v>
      </c>
      <c r="AH35" s="31" t="str" cm="1">
        <f t="array" aca="1" ref="AH35" ca="1">IF((AD35) &lt; (INDEX(ResponseSLA[#All],(MATCH((G35),ResponseSLA[Priority],0))+1,3)),"YES","No")</f>
        <v>YES</v>
      </c>
      <c r="AI35" s="31" t="str">
        <f ca="1">_xlfn.IFNA(IF(AE35 &lt; (INDEX(SLATable[Minimum SLA],MATCH(G35,SLATable[Priority],0))),"YES","NO"),"")</f>
        <v>YES</v>
      </c>
      <c r="AJ35" t="str">
        <f ca="1">_xlfn.IFNA(IF(AE35 &lt; (INDEX(SLATable[Maximum SLA],MATCH(G35,SLATable[Priority],0))),"YES","NO"),"")</f>
        <v>YES</v>
      </c>
    </row>
    <row r="36" spans="1:36" ht="15" customHeight="1">
      <c r="A36" s="45">
        <v>35</v>
      </c>
      <c r="B36" s="45" t="s">
        <v>26</v>
      </c>
      <c r="C36" s="45" t="s">
        <v>39</v>
      </c>
      <c r="D36" s="45" t="s">
        <v>207</v>
      </c>
      <c r="E36" s="45" t="s">
        <v>7970</v>
      </c>
      <c r="F36" s="45" t="s">
        <v>309</v>
      </c>
      <c r="G36" s="45">
        <v>4</v>
      </c>
      <c r="H36" s="45" t="s">
        <v>7929</v>
      </c>
      <c r="I36" s="45" t="s">
        <v>271</v>
      </c>
      <c r="J36" s="45" t="s">
        <v>7923</v>
      </c>
      <c r="K36" s="47">
        <v>46167.956250000003</v>
      </c>
      <c r="L36" s="47">
        <v>46167.956250000003</v>
      </c>
      <c r="M36" s="47">
        <v>46168.254166666666</v>
      </c>
      <c r="N36" s="47">
        <v>46169.383333333331</v>
      </c>
      <c r="R36" s="45" t="s">
        <v>272</v>
      </c>
      <c r="S36" s="45" t="s">
        <v>161</v>
      </c>
      <c r="U36" s="45" t="s">
        <v>371</v>
      </c>
      <c r="Z36" s="76">
        <f t="shared" ca="1" si="8"/>
        <v>0.42499999999805976</v>
      </c>
      <c r="AA36" s="75">
        <f t="shared" ca="1" si="1"/>
        <v>1.1333333333281592</v>
      </c>
      <c r="AB36" s="76">
        <f t="shared" ca="1" si="9"/>
        <v>0.42499999999805976</v>
      </c>
      <c r="AC36" s="75">
        <f t="shared" ca="1" si="3"/>
        <v>1.1333333333281592</v>
      </c>
      <c r="AD36" s="76">
        <f t="shared" ca="1" si="10"/>
        <v>0</v>
      </c>
      <c r="AE36" s="76">
        <f t="shared" ca="1" si="11"/>
        <v>0.42499999999805976</v>
      </c>
      <c r="AF36" s="75">
        <f t="shared" ca="1" si="6"/>
        <v>1.1333333333281592</v>
      </c>
      <c r="AG36" s="75">
        <f t="shared" ca="1" si="7"/>
        <v>1.1333333333281592</v>
      </c>
      <c r="AH36" s="31" t="str" cm="1">
        <f t="array" aca="1" ref="AH36" ca="1">IF((AD36) &lt; (INDEX(ResponseSLA[#All],(MATCH((G36),ResponseSLA[Priority],0))+1,3)),"YES","No")</f>
        <v>YES</v>
      </c>
      <c r="AI36" s="31" t="str">
        <f ca="1">_xlfn.IFNA(IF(AE36 &lt; (INDEX(SLATable[Minimum SLA],MATCH(G36,SLATable[Priority],0))),"YES","NO"),"")</f>
        <v>YES</v>
      </c>
      <c r="AJ36" t="str">
        <f ca="1">_xlfn.IFNA(IF(AE36 &lt; (INDEX(SLATable[Maximum SLA],MATCH(G36,SLATable[Priority],0))),"YES","NO"),"")</f>
        <v>YES</v>
      </c>
    </row>
    <row r="37" spans="1:36" ht="15" customHeight="1">
      <c r="A37" s="45">
        <v>36</v>
      </c>
      <c r="B37" s="45" t="s">
        <v>26</v>
      </c>
      <c r="C37" s="45" t="s">
        <v>39</v>
      </c>
      <c r="D37" s="45" t="s">
        <v>207</v>
      </c>
      <c r="E37" s="45" t="s">
        <v>7971</v>
      </c>
      <c r="F37" s="45" t="s">
        <v>309</v>
      </c>
      <c r="G37" s="45">
        <v>4</v>
      </c>
      <c r="H37" s="45" t="s">
        <v>7972</v>
      </c>
      <c r="I37" s="45" t="s">
        <v>271</v>
      </c>
      <c r="J37" s="45" t="s">
        <v>7923</v>
      </c>
      <c r="K37" s="47">
        <v>46168.05</v>
      </c>
      <c r="L37" s="47">
        <v>46168.05</v>
      </c>
      <c r="M37" s="47">
        <v>46168.253472222219</v>
      </c>
      <c r="N37" s="47">
        <v>46169.364583333336</v>
      </c>
      <c r="R37" s="45" t="s">
        <v>272</v>
      </c>
      <c r="S37" s="45" t="s">
        <v>161</v>
      </c>
      <c r="U37" s="45" t="s">
        <v>371</v>
      </c>
      <c r="Z37" s="76">
        <f t="shared" ca="1" si="8"/>
        <v>0.40625000000242534</v>
      </c>
      <c r="AA37" s="75">
        <f t="shared" ca="1" si="1"/>
        <v>1.0833333333398008</v>
      </c>
      <c r="AB37" s="76">
        <f t="shared" ca="1" si="9"/>
        <v>0.40625000000242534</v>
      </c>
      <c r="AC37" s="75">
        <f t="shared" ca="1" si="3"/>
        <v>1.0833333333398008</v>
      </c>
      <c r="AD37" s="76">
        <f t="shared" ca="1" si="10"/>
        <v>0</v>
      </c>
      <c r="AE37" s="76">
        <f t="shared" ca="1" si="11"/>
        <v>0.40625000000242534</v>
      </c>
      <c r="AF37" s="75">
        <f t="shared" ca="1" si="6"/>
        <v>1.0833333333398008</v>
      </c>
      <c r="AG37" s="75">
        <f t="shared" ca="1" si="7"/>
        <v>1.0833333333398008</v>
      </c>
      <c r="AH37" s="31" t="str" cm="1">
        <f t="array" aca="1" ref="AH37" ca="1">IF((AD37) &lt; (INDEX(ResponseSLA[#All],(MATCH((G37),ResponseSLA[Priority],0))+1,3)),"YES","No")</f>
        <v>YES</v>
      </c>
      <c r="AI37" s="31" t="str">
        <f ca="1">_xlfn.IFNA(IF(AE37 &lt; (INDEX(SLATable[Minimum SLA],MATCH(G37,SLATable[Priority],0))),"YES","NO"),"")</f>
        <v>YES</v>
      </c>
      <c r="AJ37" t="str">
        <f ca="1">_xlfn.IFNA(IF(AE37 &lt; (INDEX(SLATable[Maximum SLA],MATCH(G37,SLATable[Priority],0))),"YES","NO"),"")</f>
        <v>YES</v>
      </c>
    </row>
    <row r="38" spans="1:36" ht="15" customHeight="1">
      <c r="A38" s="45">
        <v>37</v>
      </c>
      <c r="B38" s="45" t="s">
        <v>26</v>
      </c>
      <c r="C38" s="45" t="s">
        <v>39</v>
      </c>
      <c r="D38" s="45" t="s">
        <v>207</v>
      </c>
      <c r="E38" s="45" t="s">
        <v>7973</v>
      </c>
      <c r="F38" s="45" t="s">
        <v>309</v>
      </c>
      <c r="G38" s="45">
        <v>4</v>
      </c>
      <c r="H38" s="45" t="s">
        <v>7969</v>
      </c>
      <c r="I38" s="45" t="s">
        <v>271</v>
      </c>
      <c r="J38" s="45" t="s">
        <v>7923</v>
      </c>
      <c r="K38" s="47">
        <v>46168.087500000001</v>
      </c>
      <c r="L38" s="47">
        <v>46168.087500000001</v>
      </c>
      <c r="M38" s="47">
        <v>46168.25277777778</v>
      </c>
      <c r="N38" s="47">
        <v>46169.393750000003</v>
      </c>
      <c r="R38" s="45" t="s">
        <v>272</v>
      </c>
      <c r="S38" s="45" t="s">
        <v>157</v>
      </c>
      <c r="U38" s="45" t="s">
        <v>371</v>
      </c>
      <c r="Z38" s="76">
        <f t="shared" ca="1" si="8"/>
        <v>0.43541666666957707</v>
      </c>
      <c r="AA38" s="75">
        <f t="shared" ca="1" si="1"/>
        <v>1.1611111111188721</v>
      </c>
      <c r="AB38" s="76">
        <f t="shared" ca="1" si="9"/>
        <v>0.43541666666957707</v>
      </c>
      <c r="AC38" s="75">
        <f t="shared" ca="1" si="3"/>
        <v>1.1611111111188721</v>
      </c>
      <c r="AD38" s="76">
        <f t="shared" ca="1" si="10"/>
        <v>0</v>
      </c>
      <c r="AE38" s="76">
        <f t="shared" ca="1" si="11"/>
        <v>0.43541666666957707</v>
      </c>
      <c r="AF38" s="75">
        <f t="shared" ca="1" si="6"/>
        <v>1.1611111111188721</v>
      </c>
      <c r="AG38" s="75">
        <f t="shared" ca="1" si="7"/>
        <v>1.1611111111188721</v>
      </c>
      <c r="AH38" s="31" t="str" cm="1">
        <f t="array" aca="1" ref="AH38" ca="1">IF((AD38) &lt; (INDEX(ResponseSLA[#All],(MATCH((G38),ResponseSLA[Priority],0))+1,3)),"YES","No")</f>
        <v>YES</v>
      </c>
      <c r="AI38" s="31" t="str">
        <f ca="1">_xlfn.IFNA(IF(AE38 &lt; (INDEX(SLATable[Minimum SLA],MATCH(G38,SLATable[Priority],0))),"YES","NO"),"")</f>
        <v>YES</v>
      </c>
      <c r="AJ38" t="str">
        <f ca="1">_xlfn.IFNA(IF(AE38 &lt; (INDEX(SLATable[Maximum SLA],MATCH(G38,SLATable[Priority],0))),"YES","NO"),"")</f>
        <v>YES</v>
      </c>
    </row>
    <row r="39" spans="1:36" ht="15" customHeight="1">
      <c r="A39" s="45">
        <v>38</v>
      </c>
      <c r="B39" s="45" t="s">
        <v>26</v>
      </c>
      <c r="C39" s="45" t="s">
        <v>39</v>
      </c>
      <c r="D39" s="45" t="s">
        <v>207</v>
      </c>
      <c r="E39" s="45" t="s">
        <v>7974</v>
      </c>
      <c r="F39" s="45" t="s">
        <v>309</v>
      </c>
      <c r="G39" s="45">
        <v>4</v>
      </c>
      <c r="H39" s="45" t="s">
        <v>7931</v>
      </c>
      <c r="I39" s="45" t="s">
        <v>271</v>
      </c>
      <c r="J39" s="45" t="s">
        <v>7923</v>
      </c>
      <c r="K39" s="47">
        <v>46168.222916666666</v>
      </c>
      <c r="L39" s="47">
        <v>46168.222916666666</v>
      </c>
      <c r="M39" s="47">
        <v>46168.25277777778</v>
      </c>
      <c r="N39" s="47">
        <v>46170.252083333333</v>
      </c>
      <c r="R39" s="45" t="s">
        <v>272</v>
      </c>
      <c r="S39" s="45" t="s">
        <v>161</v>
      </c>
      <c r="U39" s="45" t="s">
        <v>371</v>
      </c>
      <c r="Z39" s="76">
        <f t="shared" ca="1" si="8"/>
        <v>0.75000000000000022</v>
      </c>
      <c r="AA39" s="75">
        <f t="shared" ca="1" si="1"/>
        <v>2.0000000000000009</v>
      </c>
      <c r="AB39" s="76">
        <f t="shared" ca="1" si="9"/>
        <v>0.75000000000000022</v>
      </c>
      <c r="AC39" s="75">
        <f t="shared" ca="1" si="3"/>
        <v>2.0000000000000009</v>
      </c>
      <c r="AD39" s="76">
        <f t="shared" ca="1" si="10"/>
        <v>0</v>
      </c>
      <c r="AE39" s="76">
        <f t="shared" ca="1" si="11"/>
        <v>0.75000000000000022</v>
      </c>
      <c r="AF39" s="75">
        <f t="shared" ca="1" si="6"/>
        <v>2.0000000000000009</v>
      </c>
      <c r="AG39" s="75">
        <f t="shared" ca="1" si="7"/>
        <v>2.0000000000000009</v>
      </c>
      <c r="AH39" s="31" t="str" cm="1">
        <f t="array" aca="1" ref="AH39" ca="1">IF((AD39) &lt; (INDEX(ResponseSLA[#All],(MATCH((G39),ResponseSLA[Priority],0))+1,3)),"YES","No")</f>
        <v>YES</v>
      </c>
      <c r="AI39" s="31" t="str">
        <f ca="1">_xlfn.IFNA(IF(AE39 &lt; (INDEX(SLATable[Minimum SLA],MATCH(G39,SLATable[Priority],0))),"YES","NO"),"")</f>
        <v>YES</v>
      </c>
      <c r="AJ39" t="str">
        <f ca="1">_xlfn.IFNA(IF(AE39 &lt; (INDEX(SLATable[Maximum SLA],MATCH(G39,SLATable[Priority],0))),"YES","NO"),"")</f>
        <v>YES</v>
      </c>
    </row>
    <row r="40" spans="1:36" ht="15" customHeight="1">
      <c r="A40" s="45">
        <v>39</v>
      </c>
      <c r="B40" s="45" t="s">
        <v>26</v>
      </c>
      <c r="C40" s="45" t="s">
        <v>39</v>
      </c>
      <c r="D40" s="45" t="s">
        <v>208</v>
      </c>
      <c r="E40" s="45" t="s">
        <v>7975</v>
      </c>
      <c r="F40" s="45" t="s">
        <v>309</v>
      </c>
      <c r="G40" s="45" t="s">
        <v>208</v>
      </c>
      <c r="H40" s="45" t="s">
        <v>7976</v>
      </c>
      <c r="I40" s="45" t="s">
        <v>271</v>
      </c>
      <c r="J40" s="45" t="s">
        <v>7977</v>
      </c>
      <c r="K40" s="47">
        <v>46149.47152777778</v>
      </c>
      <c r="L40" s="47">
        <v>46149.602083333331</v>
      </c>
      <c r="M40" s="47">
        <v>46150.530555555553</v>
      </c>
      <c r="N40" s="47">
        <v>46153.53402777778</v>
      </c>
      <c r="R40" s="45" t="s">
        <v>261</v>
      </c>
      <c r="S40" s="45" t="s">
        <v>155</v>
      </c>
      <c r="U40" s="45" t="s">
        <v>371</v>
      </c>
      <c r="Z40" s="76">
        <f t="shared" ca="1" si="8"/>
        <v>0.8125</v>
      </c>
      <c r="AA40" s="75">
        <f t="shared" ca="1" si="1"/>
        <v>2.1666666666666665</v>
      </c>
      <c r="AB40" s="76">
        <f t="shared" ca="1" si="9"/>
        <v>0.68194444444816327</v>
      </c>
      <c r="AC40" s="75">
        <f t="shared" ca="1" si="3"/>
        <v>1.8185185185284354</v>
      </c>
      <c r="AD40" s="76">
        <f t="shared" ca="1" si="10"/>
        <v>0.30347222222189885</v>
      </c>
      <c r="AE40" s="76">
        <f t="shared" ca="1" si="11"/>
        <v>0.68194444444816327</v>
      </c>
      <c r="AF40" s="75">
        <f t="shared" ca="1" si="6"/>
        <v>1.8185185185284354</v>
      </c>
      <c r="AG40" s="75">
        <f t="shared" ca="1" si="7"/>
        <v>1.8185185185284354</v>
      </c>
      <c r="AH40" s="31" t="str" cm="1">
        <f t="array" aca="1" ref="AH40" ca="1">IF((AD40) &lt; (INDEX(ResponseSLA[#All],(MATCH((G40),ResponseSLA[Priority],0))+1,3)),"YES","No")</f>
        <v>YES</v>
      </c>
      <c r="AI40" s="31" t="str">
        <f ca="1">_xlfn.IFNA(IF(AE40 &lt; (INDEX(SLATable[Minimum SLA],MATCH(G40,SLATable[Priority],0))),"YES","NO"),"")</f>
        <v>YES</v>
      </c>
      <c r="AJ40" t="str">
        <f ca="1">_xlfn.IFNA(IF(AE40 &lt; (INDEX(SLATable[Maximum SLA],MATCH(G40,SLATable[Priority],0))),"YES","NO"),"")</f>
        <v>YES</v>
      </c>
    </row>
    <row r="41" spans="1:36" ht="15" customHeight="1">
      <c r="A41" s="45">
        <v>40</v>
      </c>
      <c r="B41" s="45" t="s">
        <v>26</v>
      </c>
      <c r="C41" s="45" t="s">
        <v>39</v>
      </c>
      <c r="D41" s="45" t="s">
        <v>208</v>
      </c>
      <c r="E41" s="45" t="s">
        <v>7978</v>
      </c>
      <c r="F41" s="45" t="s">
        <v>309</v>
      </c>
      <c r="G41" s="45" t="s">
        <v>208</v>
      </c>
      <c r="H41" s="45" t="s">
        <v>7979</v>
      </c>
      <c r="I41" s="45" t="s">
        <v>271</v>
      </c>
      <c r="J41" s="45" t="s">
        <v>7980</v>
      </c>
      <c r="K41" s="47">
        <v>46148.426388888889</v>
      </c>
      <c r="L41" s="47">
        <v>46148.426388888889</v>
      </c>
      <c r="M41" s="47">
        <v>46149.318055555559</v>
      </c>
      <c r="N41" s="47">
        <v>46160.293749999997</v>
      </c>
      <c r="R41" s="45" t="s">
        <v>261</v>
      </c>
      <c r="S41" s="45" t="s">
        <v>155</v>
      </c>
      <c r="U41" s="45" t="s">
        <v>371</v>
      </c>
      <c r="Z41" s="76">
        <f t="shared" ca="1" si="8"/>
        <v>2.9069444444442833</v>
      </c>
      <c r="AA41" s="75">
        <f t="shared" ca="1" si="1"/>
        <v>7.7518518518514226</v>
      </c>
      <c r="AB41" s="76">
        <f t="shared" ca="1" si="9"/>
        <v>2.9069444444442833</v>
      </c>
      <c r="AC41" s="75">
        <f t="shared" ca="1" si="3"/>
        <v>7.7518518518514226</v>
      </c>
      <c r="AD41" s="76">
        <f t="shared" ca="1" si="10"/>
        <v>0.28194444444428279</v>
      </c>
      <c r="AE41" s="76">
        <f t="shared" ca="1" si="11"/>
        <v>2.9069444444442833</v>
      </c>
      <c r="AF41" s="75">
        <f t="shared" ca="1" si="6"/>
        <v>7.7518518518514226</v>
      </c>
      <c r="AG41" s="75">
        <f t="shared" ca="1" si="7"/>
        <v>7.7518518518514226</v>
      </c>
      <c r="AH41" s="31" t="str" cm="1">
        <f t="array" aca="1" ref="AH41" ca="1">IF((AD41) &lt; (INDEX(ResponseSLA[#All],(MATCH((G41),ResponseSLA[Priority],0))+1,3)),"YES","No")</f>
        <v>YES</v>
      </c>
      <c r="AI41" s="31" t="str">
        <f ca="1">_xlfn.IFNA(IF(AE41 &lt; (INDEX(SLATable[Minimum SLA],MATCH(G41,SLATable[Priority],0))),"YES","NO"),"")</f>
        <v>NO</v>
      </c>
      <c r="AJ41" t="str">
        <f ca="1">_xlfn.IFNA(IF(AE41 &lt; (INDEX(SLATable[Maximum SLA],MATCH(G41,SLATable[Priority],0))),"YES","NO"),"")</f>
        <v>NO</v>
      </c>
    </row>
    <row r="42" spans="1:36" ht="15" customHeight="1">
      <c r="A42" s="45">
        <v>41</v>
      </c>
      <c r="B42" s="45" t="s">
        <v>26</v>
      </c>
      <c r="C42" s="45" t="s">
        <v>39</v>
      </c>
      <c r="D42" s="45" t="s">
        <v>208</v>
      </c>
      <c r="E42" s="45" t="s">
        <v>7981</v>
      </c>
      <c r="F42" s="45" t="s">
        <v>309</v>
      </c>
      <c r="G42" s="45" t="s">
        <v>208</v>
      </c>
      <c r="H42" s="45" t="s">
        <v>7982</v>
      </c>
      <c r="I42" s="45" t="s">
        <v>271</v>
      </c>
      <c r="J42" s="45" t="s">
        <v>7980</v>
      </c>
      <c r="K42" s="47">
        <v>46162.443055555559</v>
      </c>
      <c r="L42" s="47">
        <v>46162.447916666664</v>
      </c>
      <c r="M42" s="47">
        <v>46164.320138888892</v>
      </c>
      <c r="N42" s="47">
        <v>46210.459791666668</v>
      </c>
      <c r="S42" s="45" t="s">
        <v>155</v>
      </c>
      <c r="U42" s="45" t="s">
        <v>371</v>
      </c>
      <c r="Z42" s="76">
        <f t="shared" ca="1" si="8"/>
        <v>12.391736111108914</v>
      </c>
      <c r="AA42" s="75">
        <f t="shared" ca="1" si="1"/>
        <v>33.04462962962377</v>
      </c>
      <c r="AB42" s="76">
        <f t="shared" ca="1" si="9"/>
        <v>12.386875000003785</v>
      </c>
      <c r="AC42" s="75">
        <f t="shared" ca="1" si="3"/>
        <v>33.031666666676763</v>
      </c>
      <c r="AD42" s="76">
        <f t="shared" ca="1" si="10"/>
        <v>0.63541666666909213</v>
      </c>
      <c r="AE42" s="76">
        <f t="shared" ca="1" si="11"/>
        <v>12.386875000003785</v>
      </c>
      <c r="AF42" s="75">
        <f t="shared" ca="1" si="6"/>
        <v>33.031666666676763</v>
      </c>
      <c r="AG42" s="75">
        <f t="shared" ca="1" si="7"/>
        <v>33.031666666676763</v>
      </c>
      <c r="AH42" s="31" t="str" cm="1">
        <f t="array" aca="1" ref="AH42" ca="1">IF((AD42) &lt; (INDEX(ResponseSLA[#All],(MATCH((G42),ResponseSLA[Priority],0))+1,3)),"YES","No")</f>
        <v>No</v>
      </c>
      <c r="AI42" s="31" t="str">
        <f ca="1">_xlfn.IFNA(IF(AE42 &lt; (INDEX(SLATable[Minimum SLA],MATCH(G42,SLATable[Priority],0))),"YES","NO"),"")</f>
        <v>NO</v>
      </c>
      <c r="AJ42" t="str">
        <f ca="1">_xlfn.IFNA(IF(AE42 &lt; (INDEX(SLATable[Maximum SLA],MATCH(G42,SLATable[Priority],0))),"YES","NO"),"")</f>
        <v>NO</v>
      </c>
    </row>
    <row r="43" spans="1:36" ht="15" customHeight="1">
      <c r="A43" s="45">
        <v>42</v>
      </c>
      <c r="B43" s="45" t="s">
        <v>26</v>
      </c>
      <c r="C43" s="45" t="s">
        <v>39</v>
      </c>
      <c r="D43" s="45" t="s">
        <v>231</v>
      </c>
      <c r="E43" s="45" t="s">
        <v>7983</v>
      </c>
      <c r="F43" s="45" t="s">
        <v>309</v>
      </c>
      <c r="G43" s="45" t="s">
        <v>265</v>
      </c>
      <c r="H43" s="45" t="s">
        <v>7984</v>
      </c>
      <c r="I43" s="45" t="s">
        <v>260</v>
      </c>
      <c r="J43" s="45" t="s">
        <v>7977</v>
      </c>
      <c r="K43" s="47">
        <v>45994.292361111111</v>
      </c>
      <c r="L43" s="47">
        <v>45994.292361111111</v>
      </c>
      <c r="Z43" s="76">
        <f t="shared" ca="1" si="8"/>
        <v>68.92564247684885</v>
      </c>
      <c r="AA43" s="75">
        <f t="shared" ca="1" si="1"/>
        <v>183.80171327159692</v>
      </c>
      <c r="AB43" s="76">
        <f t="shared" ca="1" si="9"/>
        <v>68.92564247684885</v>
      </c>
      <c r="AC43" s="75">
        <f t="shared" ca="1" si="3"/>
        <v>183.80171327159692</v>
      </c>
      <c r="AD43" s="76">
        <f t="shared" ca="1" si="10"/>
        <v>68.92564247684885</v>
      </c>
      <c r="AE43" s="76">
        <f t="shared" ca="1" si="11"/>
        <v>68.92564247684885</v>
      </c>
      <c r="AF43" s="75">
        <f t="shared" ca="1" si="6"/>
        <v>183.80171327159692</v>
      </c>
      <c r="AG43" s="75">
        <f t="shared" ca="1" si="7"/>
        <v>183.80171327159692</v>
      </c>
      <c r="AH43" s="31" t="str" cm="1">
        <f t="array" aca="1" ref="AH43" ca="1">IF((AD43) &lt; (INDEX(ResponseSLA[#All],(MATCH((G43),ResponseSLA[Priority],0))+1,3)),"YES","No")</f>
        <v>No</v>
      </c>
      <c r="AI43" s="31" t="str">
        <f ca="1">_xlfn.IFNA(IF(AE43 &lt; (INDEX(SLATable[Minimum SLA],MATCH(G43,SLATable[Priority],0))),"YES","NO"),"")</f>
        <v>NO</v>
      </c>
      <c r="AJ43" t="str">
        <f ca="1">_xlfn.IFNA(IF(AE43 &lt; (INDEX(SLATable[Maximum SLA],MATCH(G43,SLATable[Priority],0))),"YES","NO"),"")</f>
        <v>NO</v>
      </c>
    </row>
    <row r="44" spans="1:36" ht="15" customHeight="1">
      <c r="A44" s="45">
        <v>43</v>
      </c>
      <c r="B44" s="45" t="s">
        <v>26</v>
      </c>
      <c r="C44" s="45" t="s">
        <v>39</v>
      </c>
      <c r="D44" s="45" t="s">
        <v>231</v>
      </c>
      <c r="E44" s="45" t="s">
        <v>7985</v>
      </c>
      <c r="F44" s="45" t="s">
        <v>309</v>
      </c>
      <c r="G44" s="45" t="s">
        <v>270</v>
      </c>
      <c r="H44" s="45" t="s">
        <v>7986</v>
      </c>
      <c r="I44" s="45" t="s">
        <v>271</v>
      </c>
      <c r="J44" s="45" t="s">
        <v>7933</v>
      </c>
      <c r="K44" s="47">
        <v>46083.367361111108</v>
      </c>
      <c r="L44" s="47">
        <v>46083.367361111108</v>
      </c>
      <c r="M44" s="47">
        <v>46090.433333333334</v>
      </c>
      <c r="N44" s="47">
        <v>46225.572418981479</v>
      </c>
      <c r="V44" s="45" t="s">
        <v>7987</v>
      </c>
      <c r="Z44" s="76">
        <f t="shared" ca="1" si="8"/>
        <v>36.5800578703711</v>
      </c>
      <c r="AA44" s="75">
        <f t="shared" ca="1" si="1"/>
        <v>97.546820987656275</v>
      </c>
      <c r="AB44" s="76">
        <f t="shared" ca="1" si="9"/>
        <v>36.5800578703711</v>
      </c>
      <c r="AC44" s="75">
        <f t="shared" ca="1" si="3"/>
        <v>97.546820987656275</v>
      </c>
      <c r="AD44" s="76">
        <f t="shared" ca="1" si="10"/>
        <v>1.9409722222262644</v>
      </c>
      <c r="AE44" s="76">
        <f t="shared" ca="1" si="11"/>
        <v>36.5800578703711</v>
      </c>
      <c r="AF44" s="75">
        <f t="shared" ca="1" si="6"/>
        <v>97.546820987656275</v>
      </c>
      <c r="AG44" s="75">
        <f t="shared" ca="1" si="7"/>
        <v>97.546820987656275</v>
      </c>
      <c r="AH44" s="31" t="str" cm="1">
        <f t="array" aca="1" ref="AH44" ca="1">IF((AD44) &lt; (INDEX(ResponseSLA[#All],(MATCH((G44),ResponseSLA[Priority],0))+1,3)),"YES","No")</f>
        <v>No</v>
      </c>
      <c r="AI44" s="31" t="str">
        <f ca="1">_xlfn.IFNA(IF(AE44 &lt; (INDEX(SLATable[Minimum SLA],MATCH(G44,SLATable[Priority],0))),"YES","NO"),"")</f>
        <v>NO</v>
      </c>
      <c r="AJ44" t="str">
        <f ca="1">_xlfn.IFNA(IF(AE44 &lt; (INDEX(SLATable[Maximum SLA],MATCH(G44,SLATable[Priority],0))),"YES","NO"),"")</f>
        <v>NO</v>
      </c>
    </row>
    <row r="45" spans="1:36" ht="15" customHeight="1">
      <c r="A45" s="45">
        <v>44</v>
      </c>
      <c r="B45" s="45" t="s">
        <v>26</v>
      </c>
      <c r="C45" s="45" t="s">
        <v>39</v>
      </c>
      <c r="D45" s="45" t="s">
        <v>207</v>
      </c>
      <c r="E45" s="45" t="s">
        <v>7988</v>
      </c>
      <c r="F45" s="45" t="s">
        <v>309</v>
      </c>
      <c r="G45" s="45">
        <v>4</v>
      </c>
      <c r="H45" s="45" t="s">
        <v>7922</v>
      </c>
      <c r="I45" s="45" t="s">
        <v>271</v>
      </c>
      <c r="J45" s="45" t="s">
        <v>7923</v>
      </c>
      <c r="K45" s="47">
        <v>46170.636111111111</v>
      </c>
      <c r="L45" s="47">
        <v>46170.636111111111</v>
      </c>
      <c r="M45" s="47">
        <v>46171.252083333333</v>
      </c>
      <c r="N45" s="47">
        <v>46171.419444444444</v>
      </c>
      <c r="R45" s="45" t="s">
        <v>272</v>
      </c>
      <c r="S45" s="45" t="s">
        <v>161</v>
      </c>
      <c r="U45" s="45" t="s">
        <v>371</v>
      </c>
      <c r="Z45" s="76">
        <f t="shared" ca="1" si="8"/>
        <v>0.15833333333284827</v>
      </c>
      <c r="AA45" s="75">
        <f t="shared" ca="1" si="1"/>
        <v>0.4222222222209287</v>
      </c>
      <c r="AB45" s="76">
        <f t="shared" ca="1" si="9"/>
        <v>0.15833333333284827</v>
      </c>
      <c r="AC45" s="75">
        <f t="shared" ca="1" si="3"/>
        <v>0.4222222222209287</v>
      </c>
      <c r="AD45" s="76">
        <f t="shared" ca="1" si="10"/>
        <v>7.2222222222383947E-2</v>
      </c>
      <c r="AE45" s="76">
        <f t="shared" ca="1" si="11"/>
        <v>0.15833333333284827</v>
      </c>
      <c r="AF45" s="75">
        <f t="shared" ca="1" si="6"/>
        <v>0.4222222222209287</v>
      </c>
      <c r="AG45" s="75">
        <f t="shared" ca="1" si="7"/>
        <v>0.4222222222209287</v>
      </c>
      <c r="AH45" s="31" t="str" cm="1">
        <f t="array" aca="1" ref="AH45" ca="1">IF((AD45) &lt; (INDEX(ResponseSLA[#All],(MATCH((G45),ResponseSLA[Priority],0))+1,3)),"YES","No")</f>
        <v>YES</v>
      </c>
      <c r="AI45" s="31" t="str">
        <f ca="1">_xlfn.IFNA(IF(AE45 &lt; (INDEX(SLATable[Minimum SLA],MATCH(G45,SLATable[Priority],0))),"YES","NO"),"")</f>
        <v>YES</v>
      </c>
      <c r="AJ45" t="str">
        <f ca="1">_xlfn.IFNA(IF(AE45 &lt; (INDEX(SLATable[Maximum SLA],MATCH(G45,SLATable[Priority],0))),"YES","NO"),"")</f>
        <v>YES</v>
      </c>
    </row>
    <row r="46" spans="1:36" ht="15" customHeight="1">
      <c r="A46" s="45">
        <v>45</v>
      </c>
      <c r="B46" s="45" t="s">
        <v>26</v>
      </c>
      <c r="C46" s="45" t="s">
        <v>39</v>
      </c>
      <c r="D46" s="45" t="s">
        <v>207</v>
      </c>
      <c r="E46" s="45" t="s">
        <v>7989</v>
      </c>
      <c r="F46" s="45" t="s">
        <v>309</v>
      </c>
      <c r="G46" s="45">
        <v>4</v>
      </c>
      <c r="H46" s="45" t="s">
        <v>7969</v>
      </c>
      <c r="I46" s="45" t="s">
        <v>271</v>
      </c>
      <c r="J46" s="45" t="s">
        <v>7923</v>
      </c>
      <c r="K46" s="47">
        <v>46169.580555555556</v>
      </c>
      <c r="L46" s="47">
        <v>46169.580555555556</v>
      </c>
      <c r="M46" s="47">
        <v>46170.253472222219</v>
      </c>
      <c r="N46" s="47">
        <v>46171.431250000001</v>
      </c>
      <c r="R46" s="45" t="s">
        <v>272</v>
      </c>
      <c r="S46" s="45" t="s">
        <v>157</v>
      </c>
      <c r="U46" s="45" t="s">
        <v>371</v>
      </c>
      <c r="Z46" s="76">
        <f t="shared" ca="1" si="8"/>
        <v>0.60069444444525288</v>
      </c>
      <c r="AA46" s="75">
        <f t="shared" ca="1" si="1"/>
        <v>1.6018518518540077</v>
      </c>
      <c r="AB46" s="76">
        <f t="shared" ca="1" si="9"/>
        <v>0.60069444444525288</v>
      </c>
      <c r="AC46" s="75">
        <f t="shared" ca="1" si="3"/>
        <v>1.6018518518540077</v>
      </c>
      <c r="AD46" s="76">
        <f t="shared" ca="1" si="10"/>
        <v>0.12777777777713106</v>
      </c>
      <c r="AE46" s="76">
        <f t="shared" ca="1" si="11"/>
        <v>0.60069444444525288</v>
      </c>
      <c r="AF46" s="75">
        <f t="shared" ca="1" si="6"/>
        <v>1.6018518518540077</v>
      </c>
      <c r="AG46" s="75">
        <f t="shared" ca="1" si="7"/>
        <v>1.6018518518540077</v>
      </c>
      <c r="AH46" s="31" t="str" cm="1">
        <f t="array" aca="1" ref="AH46" ca="1">IF((AD46) &lt; (INDEX(ResponseSLA[#All],(MATCH((G46),ResponseSLA[Priority],0))+1,3)),"YES","No")</f>
        <v>No</v>
      </c>
      <c r="AI46" s="31" t="str">
        <f ca="1">_xlfn.IFNA(IF(AE46 &lt; (INDEX(SLATable[Minimum SLA],MATCH(G46,SLATable[Priority],0))),"YES","NO"),"")</f>
        <v>YES</v>
      </c>
      <c r="AJ46" t="str">
        <f ca="1">_xlfn.IFNA(IF(AE46 &lt; (INDEX(SLATable[Maximum SLA],MATCH(G46,SLATable[Priority],0))),"YES","NO"),"")</f>
        <v>YES</v>
      </c>
    </row>
    <row r="47" spans="1:36" ht="15" customHeight="1">
      <c r="A47" s="45">
        <v>46</v>
      </c>
      <c r="B47" s="45" t="s">
        <v>26</v>
      </c>
      <c r="C47" s="45" t="s">
        <v>39</v>
      </c>
      <c r="D47" s="45" t="s">
        <v>207</v>
      </c>
      <c r="E47" s="45" t="s">
        <v>7990</v>
      </c>
      <c r="F47" s="45" t="s">
        <v>309</v>
      </c>
      <c r="G47" s="45">
        <v>4</v>
      </c>
      <c r="H47" s="45" t="s">
        <v>7931</v>
      </c>
      <c r="I47" s="45" t="s">
        <v>271</v>
      </c>
      <c r="J47" s="45" t="s">
        <v>7923</v>
      </c>
      <c r="K47" s="47">
        <v>46169.597916666666</v>
      </c>
      <c r="L47" s="47">
        <v>46169.597916666666</v>
      </c>
      <c r="M47" s="47">
        <v>46170.253472222219</v>
      </c>
      <c r="N47" s="47">
        <v>46171.628472222219</v>
      </c>
      <c r="R47" s="45" t="s">
        <v>272</v>
      </c>
      <c r="S47" s="45" t="s">
        <v>161</v>
      </c>
      <c r="U47" s="45" t="s">
        <v>371</v>
      </c>
      <c r="Z47" s="76">
        <f t="shared" ca="1" si="8"/>
        <v>0.78055555555329192</v>
      </c>
      <c r="AA47" s="75">
        <f t="shared" ca="1" si="1"/>
        <v>2.081481481475445</v>
      </c>
      <c r="AB47" s="76">
        <f t="shared" ca="1" si="9"/>
        <v>0.78055555555329192</v>
      </c>
      <c r="AC47" s="75">
        <f t="shared" ca="1" si="3"/>
        <v>2.081481481475445</v>
      </c>
      <c r="AD47" s="76">
        <f t="shared" ca="1" si="10"/>
        <v>0.11041666666763683</v>
      </c>
      <c r="AE47" s="76">
        <f t="shared" ca="1" si="11"/>
        <v>0.78055555555329192</v>
      </c>
      <c r="AF47" s="75">
        <f t="shared" ca="1" si="6"/>
        <v>2.081481481475445</v>
      </c>
      <c r="AG47" s="75">
        <f t="shared" ca="1" si="7"/>
        <v>2.081481481475445</v>
      </c>
      <c r="AH47" s="31" t="str" cm="1">
        <f t="array" aca="1" ref="AH47" ca="1">IF((AD47) &lt; (INDEX(ResponseSLA[#All],(MATCH((G47),ResponseSLA[Priority],0))+1,3)),"YES","No")</f>
        <v>YES</v>
      </c>
      <c r="AI47" s="31" t="str">
        <f ca="1">_xlfn.IFNA(IF(AE47 &lt; (INDEX(SLATable[Minimum SLA],MATCH(G47,SLATable[Priority],0))),"YES","NO"),"")</f>
        <v>YES</v>
      </c>
      <c r="AJ47" t="str">
        <f ca="1">_xlfn.IFNA(IF(AE47 &lt; (INDEX(SLATable[Maximum SLA],MATCH(G47,SLATable[Priority],0))),"YES","NO"),"")</f>
        <v>YES</v>
      </c>
    </row>
    <row r="48" spans="1:36" ht="15" customHeight="1">
      <c r="A48" s="45">
        <v>47</v>
      </c>
      <c r="B48" s="45" t="s">
        <v>26</v>
      </c>
      <c r="C48" s="45" t="s">
        <v>39</v>
      </c>
      <c r="D48" s="45" t="s">
        <v>207</v>
      </c>
      <c r="E48" s="45" t="s">
        <v>7991</v>
      </c>
      <c r="F48" s="45" t="s">
        <v>309</v>
      </c>
      <c r="G48" s="45">
        <v>4</v>
      </c>
      <c r="H48" s="45" t="s">
        <v>7925</v>
      </c>
      <c r="I48" s="45" t="s">
        <v>271</v>
      </c>
      <c r="J48" s="45" t="s">
        <v>7923</v>
      </c>
      <c r="K48" s="47">
        <v>46173.844444444447</v>
      </c>
      <c r="L48" s="47">
        <v>46173.844444444447</v>
      </c>
      <c r="M48" s="47">
        <v>46174.228472222225</v>
      </c>
      <c r="N48" s="47">
        <v>46174.595138888886</v>
      </c>
      <c r="R48" s="45" t="s">
        <v>272</v>
      </c>
      <c r="S48" s="45" t="s">
        <v>161</v>
      </c>
      <c r="U48" s="45" t="s">
        <v>371</v>
      </c>
      <c r="Z48" s="76">
        <f t="shared" ca="1" si="8"/>
        <v>0.26180555555280688</v>
      </c>
      <c r="AA48" s="75">
        <f t="shared" ca="1" si="1"/>
        <v>0.69814814814081827</v>
      </c>
      <c r="AB48" s="76">
        <f t="shared" ca="1" si="9"/>
        <v>0.26180555555280688</v>
      </c>
      <c r="AC48" s="75">
        <f t="shared" ca="1" si="3"/>
        <v>0.69814814814081827</v>
      </c>
      <c r="AD48" s="76">
        <f t="shared" ca="1" si="10"/>
        <v>0</v>
      </c>
      <c r="AE48" s="76">
        <f t="shared" ca="1" si="11"/>
        <v>0.26180555555280688</v>
      </c>
      <c r="AF48" s="75">
        <f t="shared" ca="1" si="6"/>
        <v>0.69814814814081827</v>
      </c>
      <c r="AG48" s="75">
        <f t="shared" ca="1" si="7"/>
        <v>0.69814814814081827</v>
      </c>
      <c r="AH48" s="31" t="str" cm="1">
        <f t="array" aca="1" ref="AH48" ca="1">IF((AD48) &lt; (INDEX(ResponseSLA[#All],(MATCH((G48),ResponseSLA[Priority],0))+1,3)),"YES","No")</f>
        <v>YES</v>
      </c>
      <c r="AI48" s="31" t="str">
        <f ca="1">_xlfn.IFNA(IF(AE48 &lt; (INDEX(SLATable[Minimum SLA],MATCH(G48,SLATable[Priority],0))),"YES","NO"),"")</f>
        <v>YES</v>
      </c>
      <c r="AJ48" t="str">
        <f ca="1">_xlfn.IFNA(IF(AE48 &lt; (INDEX(SLATable[Maximum SLA],MATCH(G48,SLATable[Priority],0))),"YES","NO"),"")</f>
        <v>YES</v>
      </c>
    </row>
    <row r="49" spans="1:36" ht="15" customHeight="1">
      <c r="A49" s="45">
        <v>48</v>
      </c>
      <c r="B49" s="45" t="s">
        <v>26</v>
      </c>
      <c r="C49" s="45" t="s">
        <v>39</v>
      </c>
      <c r="D49" s="45" t="s">
        <v>207</v>
      </c>
      <c r="E49" s="45" t="s">
        <v>7992</v>
      </c>
      <c r="F49" s="45" t="s">
        <v>309</v>
      </c>
      <c r="G49" s="45">
        <v>4</v>
      </c>
      <c r="H49" s="45" t="s">
        <v>7922</v>
      </c>
      <c r="I49" s="45" t="s">
        <v>271</v>
      </c>
      <c r="J49" s="45" t="s">
        <v>7923</v>
      </c>
      <c r="K49" s="47">
        <v>46171.55972222222</v>
      </c>
      <c r="L49" s="47">
        <v>46171.55972222222</v>
      </c>
      <c r="M49" s="47">
        <v>46171.624305555553</v>
      </c>
      <c r="N49" s="47">
        <v>46174.593055555553</v>
      </c>
      <c r="R49" s="45" t="s">
        <v>272</v>
      </c>
      <c r="S49" s="45" t="s">
        <v>161</v>
      </c>
      <c r="U49" s="45" t="s">
        <v>371</v>
      </c>
      <c r="Z49" s="76">
        <f t="shared" ca="1" si="8"/>
        <v>0.40833333333284827</v>
      </c>
      <c r="AA49" s="75">
        <f t="shared" ca="1" si="1"/>
        <v>1.0888888888875954</v>
      </c>
      <c r="AB49" s="76">
        <f t="shared" ca="1" si="9"/>
        <v>0.40833333333284827</v>
      </c>
      <c r="AC49" s="75">
        <f t="shared" ca="1" si="3"/>
        <v>1.0888888888875954</v>
      </c>
      <c r="AD49" s="76">
        <f t="shared" ca="1" si="10"/>
        <v>6.4583333332848269E-2</v>
      </c>
      <c r="AE49" s="76">
        <f t="shared" ca="1" si="11"/>
        <v>0.40833333333284827</v>
      </c>
      <c r="AF49" s="75">
        <f t="shared" ca="1" si="6"/>
        <v>1.0888888888875954</v>
      </c>
      <c r="AG49" s="75">
        <f t="shared" ca="1" si="7"/>
        <v>1.0888888888875954</v>
      </c>
      <c r="AH49" s="31" t="str" cm="1">
        <f t="array" aca="1" ref="AH49" ca="1">IF((AD49) &lt; (INDEX(ResponseSLA[#All],(MATCH((G49),ResponseSLA[Priority],0))+1,3)),"YES","No")</f>
        <v>YES</v>
      </c>
      <c r="AI49" s="31" t="str">
        <f ca="1">_xlfn.IFNA(IF(AE49 &lt; (INDEX(SLATable[Minimum SLA],MATCH(G49,SLATable[Priority],0))),"YES","NO"),"")</f>
        <v>YES</v>
      </c>
      <c r="AJ49" t="str">
        <f ca="1">_xlfn.IFNA(IF(AE49 &lt; (INDEX(SLATable[Maximum SLA],MATCH(G49,SLATable[Priority],0))),"YES","NO"),"")</f>
        <v>YES</v>
      </c>
    </row>
    <row r="50" spans="1:36" ht="15" customHeight="1">
      <c r="A50" s="45">
        <v>49</v>
      </c>
      <c r="B50" s="45" t="s">
        <v>26</v>
      </c>
      <c r="C50" s="45" t="s">
        <v>39</v>
      </c>
      <c r="D50" s="45" t="s">
        <v>207</v>
      </c>
      <c r="E50" s="45" t="s">
        <v>7993</v>
      </c>
      <c r="F50" s="45" t="s">
        <v>309</v>
      </c>
      <c r="G50" s="45">
        <v>4</v>
      </c>
      <c r="H50" s="45" t="s">
        <v>7925</v>
      </c>
      <c r="I50" s="45" t="s">
        <v>271</v>
      </c>
      <c r="J50" s="45" t="s">
        <v>7923</v>
      </c>
      <c r="K50" s="47">
        <v>46175.081250000003</v>
      </c>
      <c r="L50" s="47">
        <v>46175.081250000003</v>
      </c>
      <c r="M50" s="47">
        <v>46175.227083333331</v>
      </c>
      <c r="N50" s="47">
        <v>46176.534722222219</v>
      </c>
      <c r="R50" s="45" t="s">
        <v>272</v>
      </c>
      <c r="S50" s="45" t="s">
        <v>161</v>
      </c>
      <c r="U50" s="45" t="s">
        <v>371</v>
      </c>
      <c r="Z50" s="76">
        <f t="shared" ca="1" si="8"/>
        <v>0.5763888888856552</v>
      </c>
      <c r="AA50" s="75">
        <f t="shared" ca="1" si="1"/>
        <v>1.5370370370284139</v>
      </c>
      <c r="AB50" s="76">
        <f t="shared" ca="1" si="9"/>
        <v>0.5763888888856552</v>
      </c>
      <c r="AC50" s="75">
        <f t="shared" ca="1" si="3"/>
        <v>1.5370370370284139</v>
      </c>
      <c r="AD50" s="76">
        <f t="shared" ca="1" si="10"/>
        <v>0</v>
      </c>
      <c r="AE50" s="76">
        <f t="shared" ca="1" si="11"/>
        <v>0.5763888888856552</v>
      </c>
      <c r="AF50" s="75">
        <f t="shared" ca="1" si="6"/>
        <v>1.5370370370284139</v>
      </c>
      <c r="AG50" s="75">
        <f t="shared" ca="1" si="7"/>
        <v>1.5370370370284139</v>
      </c>
      <c r="AH50" s="31" t="str" cm="1">
        <f t="array" aca="1" ref="AH50" ca="1">IF((AD50) &lt; (INDEX(ResponseSLA[#All],(MATCH((G50),ResponseSLA[Priority],0))+1,3)),"YES","No")</f>
        <v>YES</v>
      </c>
      <c r="AI50" s="31" t="str">
        <f ca="1">_xlfn.IFNA(IF(AE50 &lt; (INDEX(SLATable[Minimum SLA],MATCH(G50,SLATable[Priority],0))),"YES","NO"),"")</f>
        <v>YES</v>
      </c>
      <c r="AJ50" t="str">
        <f ca="1">_xlfn.IFNA(IF(AE50 &lt; (INDEX(SLATable[Maximum SLA],MATCH(G50,SLATable[Priority],0))),"YES","NO"),"")</f>
        <v>YES</v>
      </c>
    </row>
    <row r="51" spans="1:36" ht="15" customHeight="1">
      <c r="A51" s="45">
        <v>50</v>
      </c>
      <c r="B51" s="45" t="s">
        <v>26</v>
      </c>
      <c r="C51" s="45" t="s">
        <v>39</v>
      </c>
      <c r="D51" s="45" t="s">
        <v>207</v>
      </c>
      <c r="E51" s="45" t="s">
        <v>7994</v>
      </c>
      <c r="F51" s="45" t="s">
        <v>309</v>
      </c>
      <c r="G51" s="45">
        <v>4</v>
      </c>
      <c r="H51" s="45" t="s">
        <v>7969</v>
      </c>
      <c r="I51" s="45" t="s">
        <v>271</v>
      </c>
      <c r="J51" s="45" t="s">
        <v>7933</v>
      </c>
      <c r="K51" s="47">
        <v>46176.57708333333</v>
      </c>
      <c r="L51" s="47">
        <v>46176.57708333333</v>
      </c>
      <c r="M51" s="47">
        <v>46176.600694444445</v>
      </c>
      <c r="N51" s="47">
        <v>46176.605555555558</v>
      </c>
      <c r="R51" s="45" t="s">
        <v>272</v>
      </c>
      <c r="S51" s="45" t="s">
        <v>157</v>
      </c>
      <c r="U51" s="45" t="s">
        <v>371</v>
      </c>
      <c r="Z51" s="76">
        <f t="shared" ca="1" si="8"/>
        <v>2.8472222227719612E-2</v>
      </c>
      <c r="AA51" s="75">
        <f t="shared" ca="1" si="1"/>
        <v>7.5925925940585628E-2</v>
      </c>
      <c r="AB51" s="76">
        <f t="shared" ca="1" si="9"/>
        <v>2.8472222227719612E-2</v>
      </c>
      <c r="AC51" s="75">
        <f t="shared" ca="1" si="3"/>
        <v>7.5925925940585628E-2</v>
      </c>
      <c r="AD51" s="76">
        <f t="shared" ca="1" si="10"/>
        <v>2.3611111115314998E-2</v>
      </c>
      <c r="AE51" s="76">
        <f t="shared" ca="1" si="11"/>
        <v>2.8472222227719612E-2</v>
      </c>
      <c r="AF51" s="75">
        <f t="shared" ca="1" si="6"/>
        <v>7.5925925940585628E-2</v>
      </c>
      <c r="AG51" s="75">
        <f t="shared" ca="1" si="7"/>
        <v>7.5925925940585628E-2</v>
      </c>
      <c r="AH51" s="31" t="str" cm="1">
        <f t="array" aca="1" ref="AH51" ca="1">IF((AD51) &lt; (INDEX(ResponseSLA[#All],(MATCH((G51),ResponseSLA[Priority],0))+1,3)),"YES","No")</f>
        <v>YES</v>
      </c>
      <c r="AI51" s="31" t="str">
        <f ca="1">_xlfn.IFNA(IF(AE51 &lt; (INDEX(SLATable[Minimum SLA],MATCH(G51,SLATable[Priority],0))),"YES","NO"),"")</f>
        <v>YES</v>
      </c>
      <c r="AJ51" t="str">
        <f ca="1">_xlfn.IFNA(IF(AE51 &lt; (INDEX(SLATable[Maximum SLA],MATCH(G51,SLATable[Priority],0))),"YES","NO"),"")</f>
        <v>YES</v>
      </c>
    </row>
    <row r="52" spans="1:36" ht="15" customHeight="1">
      <c r="A52" s="45">
        <v>51</v>
      </c>
      <c r="B52" s="45" t="s">
        <v>26</v>
      </c>
      <c r="C52" s="45" t="s">
        <v>39</v>
      </c>
      <c r="D52" s="45" t="s">
        <v>207</v>
      </c>
      <c r="E52" s="45" t="s">
        <v>7995</v>
      </c>
      <c r="F52" s="45" t="s">
        <v>309</v>
      </c>
      <c r="G52" s="45">
        <v>4</v>
      </c>
      <c r="H52" s="45" t="s">
        <v>7947</v>
      </c>
      <c r="I52" s="45" t="s">
        <v>271</v>
      </c>
      <c r="J52" s="45" t="s">
        <v>7933</v>
      </c>
      <c r="K52" s="47">
        <v>46176.577777777777</v>
      </c>
      <c r="L52" s="47">
        <v>46176.577777777777</v>
      </c>
      <c r="M52" s="47">
        <v>46176.600694444445</v>
      </c>
      <c r="N52" s="47">
        <v>46176.606944444444</v>
      </c>
      <c r="R52" s="45" t="s">
        <v>272</v>
      </c>
      <c r="S52" s="45" t="s">
        <v>157</v>
      </c>
      <c r="U52" s="45" t="s">
        <v>371</v>
      </c>
      <c r="Z52" s="76">
        <f t="shared" ca="1" si="8"/>
        <v>2.9166666667151731E-2</v>
      </c>
      <c r="AA52" s="75">
        <f t="shared" ca="1" si="1"/>
        <v>7.7777777779071286E-2</v>
      </c>
      <c r="AB52" s="76">
        <f t="shared" ca="1" si="9"/>
        <v>2.9166666667151731E-2</v>
      </c>
      <c r="AC52" s="75">
        <f t="shared" ca="1" si="3"/>
        <v>7.7777777779071286E-2</v>
      </c>
      <c r="AD52" s="76">
        <f t="shared" ca="1" si="10"/>
        <v>2.2916666668606922E-2</v>
      </c>
      <c r="AE52" s="76">
        <f t="shared" ca="1" si="11"/>
        <v>2.9166666667151731E-2</v>
      </c>
      <c r="AF52" s="75">
        <f t="shared" ca="1" si="6"/>
        <v>7.7777777779071286E-2</v>
      </c>
      <c r="AG52" s="75">
        <f t="shared" ca="1" si="7"/>
        <v>7.7777777779071286E-2</v>
      </c>
      <c r="AH52" s="31" t="str" cm="1">
        <f t="array" aca="1" ref="AH52" ca="1">IF((AD52) &lt; (INDEX(ResponseSLA[#All],(MATCH((G52),ResponseSLA[Priority],0))+1,3)),"YES","No")</f>
        <v>YES</v>
      </c>
      <c r="AI52" s="31" t="str">
        <f ca="1">_xlfn.IFNA(IF(AE52 &lt; (INDEX(SLATable[Minimum SLA],MATCH(G52,SLATable[Priority],0))),"YES","NO"),"")</f>
        <v>YES</v>
      </c>
      <c r="AJ52" t="str">
        <f ca="1">_xlfn.IFNA(IF(AE52 &lt; (INDEX(SLATable[Maximum SLA],MATCH(G52,SLATable[Priority],0))),"YES","NO"),"")</f>
        <v>YES</v>
      </c>
    </row>
    <row r="53" spans="1:36" ht="15" customHeight="1">
      <c r="A53" s="45">
        <v>52</v>
      </c>
      <c r="B53" s="45" t="s">
        <v>26</v>
      </c>
      <c r="C53" s="45" t="s">
        <v>39</v>
      </c>
      <c r="D53" s="45" t="s">
        <v>207</v>
      </c>
      <c r="E53" s="45" t="s">
        <v>7996</v>
      </c>
      <c r="F53" s="45" t="s">
        <v>309</v>
      </c>
      <c r="G53" s="45">
        <v>4</v>
      </c>
      <c r="H53" s="45" t="s">
        <v>7925</v>
      </c>
      <c r="I53" s="45" t="s">
        <v>271</v>
      </c>
      <c r="J53" s="45" t="s">
        <v>7923</v>
      </c>
      <c r="K53" s="47">
        <v>46176.63958333333</v>
      </c>
      <c r="L53" s="47">
        <v>46176.63958333333</v>
      </c>
      <c r="M53" s="47">
        <v>46176.645138888889</v>
      </c>
      <c r="N53" s="47">
        <v>46178.53125</v>
      </c>
      <c r="R53" s="45" t="s">
        <v>272</v>
      </c>
      <c r="S53" s="45" t="s">
        <v>161</v>
      </c>
      <c r="U53" s="45" t="s">
        <v>371</v>
      </c>
      <c r="Z53" s="76">
        <f t="shared" ca="1" si="8"/>
        <v>0.64166666667006211</v>
      </c>
      <c r="AA53" s="75">
        <f t="shared" ca="1" si="1"/>
        <v>1.7111111111201656</v>
      </c>
      <c r="AB53" s="76">
        <f t="shared" ca="1" si="9"/>
        <v>0.64166666667006211</v>
      </c>
      <c r="AC53" s="75">
        <f t="shared" ca="1" si="3"/>
        <v>1.7111111111201656</v>
      </c>
      <c r="AD53" s="76">
        <f t="shared" ca="1" si="10"/>
        <v>5.5555555591126904E-3</v>
      </c>
      <c r="AE53" s="76">
        <f t="shared" ca="1" si="11"/>
        <v>0.64166666667006211</v>
      </c>
      <c r="AF53" s="75">
        <f t="shared" ca="1" si="6"/>
        <v>1.7111111111201656</v>
      </c>
      <c r="AG53" s="75">
        <f t="shared" ca="1" si="7"/>
        <v>1.7111111111201656</v>
      </c>
      <c r="AH53" s="31" t="str" cm="1">
        <f t="array" aca="1" ref="AH53" ca="1">IF((AD53) &lt; (INDEX(ResponseSLA[#All],(MATCH((G53),ResponseSLA[Priority],0))+1,3)),"YES","No")</f>
        <v>YES</v>
      </c>
      <c r="AI53" s="31" t="str">
        <f ca="1">_xlfn.IFNA(IF(AE53 &lt; (INDEX(SLATable[Minimum SLA],MATCH(G53,SLATable[Priority],0))),"YES","NO"),"")</f>
        <v>YES</v>
      </c>
      <c r="AJ53" t="str">
        <f ca="1">_xlfn.IFNA(IF(AE53 &lt; (INDEX(SLATable[Maximum SLA],MATCH(G53,SLATable[Priority],0))),"YES","NO"),"")</f>
        <v>YES</v>
      </c>
    </row>
    <row r="54" spans="1:36" ht="15" customHeight="1">
      <c r="A54" s="45">
        <v>53</v>
      </c>
      <c r="B54" s="45" t="s">
        <v>26</v>
      </c>
      <c r="C54" s="45" t="s">
        <v>39</v>
      </c>
      <c r="D54" s="45" t="s">
        <v>207</v>
      </c>
      <c r="E54" s="45" t="s">
        <v>7997</v>
      </c>
      <c r="F54" s="45" t="s">
        <v>309</v>
      </c>
      <c r="G54" s="45">
        <v>4</v>
      </c>
      <c r="H54" s="45" t="s">
        <v>7922</v>
      </c>
      <c r="I54" s="45" t="s">
        <v>271</v>
      </c>
      <c r="J54" s="45" t="s">
        <v>7923</v>
      </c>
      <c r="K54" s="47">
        <v>46181.192361111112</v>
      </c>
      <c r="L54" s="47">
        <v>46181.192361111112</v>
      </c>
      <c r="M54" s="47">
        <v>46181.23541666667</v>
      </c>
      <c r="N54" s="47">
        <v>46181.490972222222</v>
      </c>
      <c r="R54" s="45" t="s">
        <v>272</v>
      </c>
      <c r="S54" s="45" t="s">
        <v>161</v>
      </c>
      <c r="U54" s="45" t="s">
        <v>371</v>
      </c>
      <c r="Z54" s="76">
        <f t="shared" ca="1" si="8"/>
        <v>0.15763888888856553</v>
      </c>
      <c r="AA54" s="75">
        <f t="shared" ca="1" si="1"/>
        <v>0.42037037036950808</v>
      </c>
      <c r="AB54" s="76">
        <f t="shared" ca="1" si="9"/>
        <v>0.15763888888856553</v>
      </c>
      <c r="AC54" s="75">
        <f t="shared" ca="1" si="3"/>
        <v>0.42037037036950808</v>
      </c>
      <c r="AD54" s="76">
        <f t="shared" ca="1" si="10"/>
        <v>0</v>
      </c>
      <c r="AE54" s="76">
        <f t="shared" ca="1" si="11"/>
        <v>0.15763888888856553</v>
      </c>
      <c r="AF54" s="75">
        <f t="shared" ca="1" si="6"/>
        <v>0.42037037036950808</v>
      </c>
      <c r="AG54" s="75">
        <f t="shared" ca="1" si="7"/>
        <v>0.42037037036950808</v>
      </c>
      <c r="AH54" s="31" t="str" cm="1">
        <f t="array" aca="1" ref="AH54" ca="1">IF((AD54) &lt; (INDEX(ResponseSLA[#All],(MATCH((G54),ResponseSLA[Priority],0))+1,3)),"YES","No")</f>
        <v>YES</v>
      </c>
      <c r="AI54" s="31" t="str">
        <f ca="1">_xlfn.IFNA(IF(AE54 &lt; (INDEX(SLATable[Minimum SLA],MATCH(G54,SLATable[Priority],0))),"YES","NO"),"")</f>
        <v>YES</v>
      </c>
      <c r="AJ54" t="str">
        <f ca="1">_xlfn.IFNA(IF(AE54 &lt; (INDEX(SLATable[Maximum SLA],MATCH(G54,SLATable[Priority],0))),"YES","NO"),"")</f>
        <v>YES</v>
      </c>
    </row>
    <row r="55" spans="1:36" ht="15" customHeight="1">
      <c r="A55" s="45">
        <v>54</v>
      </c>
      <c r="B55" s="45" t="s">
        <v>26</v>
      </c>
      <c r="C55" s="45" t="s">
        <v>39</v>
      </c>
      <c r="D55" s="45" t="s">
        <v>207</v>
      </c>
      <c r="E55" s="45" t="s">
        <v>7998</v>
      </c>
      <c r="F55" s="45" t="s">
        <v>309</v>
      </c>
      <c r="G55" s="45">
        <v>4</v>
      </c>
      <c r="H55" s="45" t="s">
        <v>7931</v>
      </c>
      <c r="I55" s="45" t="s">
        <v>271</v>
      </c>
      <c r="J55" s="45" t="s">
        <v>7923</v>
      </c>
      <c r="K55" s="47">
        <v>46181.005289351851</v>
      </c>
      <c r="L55" s="47">
        <v>46181.005289351851</v>
      </c>
      <c r="M55" s="47">
        <v>46181.236111111109</v>
      </c>
      <c r="N55" s="47">
        <v>46181.52847222222</v>
      </c>
      <c r="R55" s="45" t="s">
        <v>272</v>
      </c>
      <c r="S55" s="45" t="s">
        <v>161</v>
      </c>
      <c r="U55" s="45" t="s">
        <v>371</v>
      </c>
      <c r="Z55" s="76">
        <f t="shared" ca="1" si="8"/>
        <v>0.19513888888711034</v>
      </c>
      <c r="AA55" s="75">
        <f t="shared" ca="1" si="1"/>
        <v>0.5203703703656275</v>
      </c>
      <c r="AB55" s="76">
        <f t="shared" ca="1" si="9"/>
        <v>0.19513888888711034</v>
      </c>
      <c r="AC55" s="75">
        <f t="shared" ca="1" si="3"/>
        <v>0.5203703703656275</v>
      </c>
      <c r="AD55" s="76">
        <f t="shared" ca="1" si="10"/>
        <v>0</v>
      </c>
      <c r="AE55" s="76">
        <f t="shared" ca="1" si="11"/>
        <v>0.19513888888711034</v>
      </c>
      <c r="AF55" s="75">
        <f t="shared" ca="1" si="6"/>
        <v>0.5203703703656275</v>
      </c>
      <c r="AG55" s="75">
        <f t="shared" ca="1" si="7"/>
        <v>0.5203703703656275</v>
      </c>
      <c r="AH55" s="31" t="str" cm="1">
        <f t="array" aca="1" ref="AH55" ca="1">IF((AD55) &lt; (INDEX(ResponseSLA[#All],(MATCH((G55),ResponseSLA[Priority],0))+1,3)),"YES","No")</f>
        <v>YES</v>
      </c>
      <c r="AI55" s="31" t="str">
        <f ca="1">_xlfn.IFNA(IF(AE55 &lt; (INDEX(SLATable[Minimum SLA],MATCH(G55,SLATable[Priority],0))),"YES","NO"),"")</f>
        <v>YES</v>
      </c>
      <c r="AJ55" t="str">
        <f ca="1">_xlfn.IFNA(IF(AE55 &lt; (INDEX(SLATable[Maximum SLA],MATCH(G55,SLATable[Priority],0))),"YES","NO"),"")</f>
        <v>YES</v>
      </c>
    </row>
    <row r="56" spans="1:36" ht="15" customHeight="1">
      <c r="A56" s="45">
        <v>55</v>
      </c>
      <c r="B56" s="45" t="s">
        <v>26</v>
      </c>
      <c r="C56" s="45" t="s">
        <v>39</v>
      </c>
      <c r="D56" s="45" t="s">
        <v>208</v>
      </c>
      <c r="E56" s="45" t="s">
        <v>7999</v>
      </c>
      <c r="F56" s="45" t="s">
        <v>309</v>
      </c>
      <c r="G56" s="45" t="s">
        <v>208</v>
      </c>
      <c r="H56" s="45" t="s">
        <v>8000</v>
      </c>
      <c r="I56" s="45" t="s">
        <v>271</v>
      </c>
      <c r="J56" s="45" t="s">
        <v>7980</v>
      </c>
      <c r="K56" s="47">
        <v>46177.334722222222</v>
      </c>
      <c r="L56" s="47">
        <v>46177.334722222222</v>
      </c>
      <c r="M56" s="47">
        <v>46177.474999999999</v>
      </c>
      <c r="N56" s="47">
        <v>46206.75037037037</v>
      </c>
      <c r="Z56" s="76">
        <f t="shared" ca="1" si="8"/>
        <v>8.2486111111114351</v>
      </c>
      <c r="AA56" s="75">
        <f t="shared" ca="1" si="1"/>
        <v>21.99629629629716</v>
      </c>
      <c r="AB56" s="76">
        <f t="shared" ca="1" si="9"/>
        <v>8.2486111111114351</v>
      </c>
      <c r="AC56" s="75">
        <f t="shared" ca="1" si="3"/>
        <v>21.99629629629716</v>
      </c>
      <c r="AD56" s="76">
        <f t="shared" ca="1" si="10"/>
        <v>0.14027777777664596</v>
      </c>
      <c r="AE56" s="76">
        <f t="shared" ca="1" si="11"/>
        <v>8.2486111111114351</v>
      </c>
      <c r="AF56" s="75">
        <f t="shared" ca="1" si="6"/>
        <v>21.99629629629716</v>
      </c>
      <c r="AG56" s="75">
        <f t="shared" ca="1" si="7"/>
        <v>21.99629629629716</v>
      </c>
      <c r="AH56" s="31" t="str" cm="1">
        <f t="array" aca="1" ref="AH56" ca="1">IF((AD56) &lt; (INDEX(ResponseSLA[#All],(MATCH((G56),ResponseSLA[Priority],0))+1,3)),"YES","No")</f>
        <v>YES</v>
      </c>
      <c r="AI56" s="31" t="str">
        <f ca="1">_xlfn.IFNA(IF(AE56 &lt; (INDEX(SLATable[Minimum SLA],MATCH(G56,SLATable[Priority],0))),"YES","NO"),"")</f>
        <v>NO</v>
      </c>
      <c r="AJ56" t="str">
        <f ca="1">_xlfn.IFNA(IF(AE56 &lt; (INDEX(SLATable[Maximum SLA],MATCH(G56,SLATable[Priority],0))),"YES","NO"),"")</f>
        <v>NO</v>
      </c>
    </row>
    <row r="57" spans="1:36" ht="15" customHeight="1">
      <c r="A57" s="45">
        <v>56</v>
      </c>
      <c r="B57" s="45" t="s">
        <v>26</v>
      </c>
      <c r="C57" s="45" t="s">
        <v>39</v>
      </c>
      <c r="D57" s="45" t="s">
        <v>207</v>
      </c>
      <c r="E57" s="45" t="s">
        <v>8001</v>
      </c>
      <c r="F57" s="45" t="s">
        <v>309</v>
      </c>
      <c r="G57" s="45">
        <v>4</v>
      </c>
      <c r="H57" s="45" t="s">
        <v>8002</v>
      </c>
      <c r="I57" s="45" t="s">
        <v>271</v>
      </c>
      <c r="J57" s="45" t="s">
        <v>7923</v>
      </c>
      <c r="K57" s="47">
        <v>46179.627870370372</v>
      </c>
      <c r="L57" s="47">
        <v>46181.409722222219</v>
      </c>
      <c r="M57" s="47">
        <v>46181.470138888886</v>
      </c>
      <c r="N57" s="47">
        <v>46182.49722222222</v>
      </c>
      <c r="R57" s="45" t="s">
        <v>272</v>
      </c>
      <c r="S57" s="45" t="s">
        <v>157</v>
      </c>
      <c r="U57" s="45" t="s">
        <v>371</v>
      </c>
      <c r="Z57" s="76">
        <f t="shared" ca="1" si="8"/>
        <v>0.5388888888871104</v>
      </c>
      <c r="AA57" s="75">
        <f t="shared" ca="1" si="1"/>
        <v>1.4370370370322945</v>
      </c>
      <c r="AB57" s="76">
        <f t="shared" ca="1" si="9"/>
        <v>0.46250000000145519</v>
      </c>
      <c r="AC57" s="75">
        <f t="shared" ca="1" si="3"/>
        <v>1.2333333333372138</v>
      </c>
      <c r="AD57" s="76">
        <f t="shared" ca="1" si="10"/>
        <v>6.0416666667151731E-2</v>
      </c>
      <c r="AE57" s="76">
        <f t="shared" ca="1" si="11"/>
        <v>0.46250000000145519</v>
      </c>
      <c r="AF57" s="75">
        <f t="shared" ca="1" si="6"/>
        <v>1.2333333333372138</v>
      </c>
      <c r="AG57" s="75">
        <f t="shared" ca="1" si="7"/>
        <v>1.2333333333372138</v>
      </c>
      <c r="AH57" s="31" t="str" cm="1">
        <f t="array" aca="1" ref="AH57" ca="1">IF((AD57) &lt; (INDEX(ResponseSLA[#All],(MATCH((G57),ResponseSLA[Priority],0))+1,3)),"YES","No")</f>
        <v>YES</v>
      </c>
      <c r="AI57" s="31" t="str">
        <f ca="1">_xlfn.IFNA(IF(AE57 &lt; (INDEX(SLATable[Minimum SLA],MATCH(G57,SLATable[Priority],0))),"YES","NO"),"")</f>
        <v>YES</v>
      </c>
      <c r="AJ57" t="str">
        <f ca="1">_xlfn.IFNA(IF(AE57 &lt; (INDEX(SLATable[Maximum SLA],MATCH(G57,SLATable[Priority],0))),"YES","NO"),"")</f>
        <v>YES</v>
      </c>
    </row>
    <row r="58" spans="1:36" ht="15" customHeight="1">
      <c r="A58" s="45">
        <v>57</v>
      </c>
      <c r="B58" s="45" t="s">
        <v>26</v>
      </c>
      <c r="C58" s="45" t="s">
        <v>39</v>
      </c>
      <c r="D58" s="45" t="s">
        <v>207</v>
      </c>
      <c r="E58" s="45" t="s">
        <v>8003</v>
      </c>
      <c r="F58" s="45" t="s">
        <v>309</v>
      </c>
      <c r="G58" s="45">
        <v>4</v>
      </c>
      <c r="H58" s="45" t="s">
        <v>8004</v>
      </c>
      <c r="I58" s="45" t="s">
        <v>271</v>
      </c>
      <c r="J58" s="45" t="s">
        <v>7923</v>
      </c>
      <c r="K58" s="47">
        <v>46181.609722222223</v>
      </c>
      <c r="L58" s="47">
        <v>46181.674305555556</v>
      </c>
      <c r="M58" s="47">
        <v>46183.245138888888</v>
      </c>
      <c r="N58" s="47">
        <v>46183.47556712963</v>
      </c>
      <c r="R58" s="45" t="s">
        <v>272</v>
      </c>
      <c r="S58" s="45" t="s">
        <v>157</v>
      </c>
      <c r="U58" s="45" t="s">
        <v>371</v>
      </c>
      <c r="Z58" s="76">
        <f t="shared" ca="1" si="8"/>
        <v>0.6158449074064265</v>
      </c>
      <c r="AA58" s="75">
        <f t="shared" ca="1" si="1"/>
        <v>1.6422530864171374</v>
      </c>
      <c r="AB58" s="76">
        <f t="shared" ca="1" si="9"/>
        <v>0.55126157407357823</v>
      </c>
      <c r="AC58" s="75">
        <f t="shared" ca="1" si="3"/>
        <v>1.4700308641962085</v>
      </c>
      <c r="AD58" s="76">
        <f t="shared" ca="1" si="10"/>
        <v>0.40902777777713117</v>
      </c>
      <c r="AE58" s="76">
        <f t="shared" ca="1" si="11"/>
        <v>0.55126157407357823</v>
      </c>
      <c r="AF58" s="75">
        <f t="shared" ca="1" si="6"/>
        <v>1.4700308641962085</v>
      </c>
      <c r="AG58" s="75">
        <f t="shared" ca="1" si="7"/>
        <v>1.4700308641962085</v>
      </c>
      <c r="AH58" s="31" t="str" cm="1">
        <f t="array" aca="1" ref="AH58" ca="1">IF((AD58) &lt; (INDEX(ResponseSLA[#All],(MATCH((G58),ResponseSLA[Priority],0))+1,3)),"YES","No")</f>
        <v>No</v>
      </c>
      <c r="AI58" s="31" t="str">
        <f ca="1">_xlfn.IFNA(IF(AE58 &lt; (INDEX(SLATable[Minimum SLA],MATCH(G58,SLATable[Priority],0))),"YES","NO"),"")</f>
        <v>YES</v>
      </c>
      <c r="AJ58" t="str">
        <f ca="1">_xlfn.IFNA(IF(AE58 &lt; (INDEX(SLATable[Maximum SLA],MATCH(G58,SLATable[Priority],0))),"YES","NO"),"")</f>
        <v>YES</v>
      </c>
    </row>
    <row r="59" spans="1:36" ht="15" customHeight="1">
      <c r="A59" s="45">
        <v>58</v>
      </c>
      <c r="B59" s="45" t="s">
        <v>26</v>
      </c>
      <c r="C59" s="45" t="s">
        <v>39</v>
      </c>
      <c r="D59" s="45" t="s">
        <v>207</v>
      </c>
      <c r="E59" s="45" t="s">
        <v>8005</v>
      </c>
      <c r="F59" s="45" t="s">
        <v>309</v>
      </c>
      <c r="G59" s="45">
        <v>3</v>
      </c>
      <c r="H59" s="45" t="s">
        <v>8006</v>
      </c>
      <c r="I59" s="45" t="s">
        <v>271</v>
      </c>
      <c r="J59" s="45" t="s">
        <v>7977</v>
      </c>
      <c r="K59" s="47">
        <v>46178.673298611109</v>
      </c>
      <c r="L59" s="47">
        <v>46194.226388888892</v>
      </c>
      <c r="M59" s="47">
        <v>46195.442361111112</v>
      </c>
      <c r="N59" s="47">
        <v>46197.284861111111</v>
      </c>
      <c r="U59" s="45" t="s">
        <v>371</v>
      </c>
      <c r="Z59" s="76">
        <f t="shared" ca="1" si="8"/>
        <v>4.5350347222241307</v>
      </c>
      <c r="AA59" s="75">
        <f t="shared" ca="1" si="1"/>
        <v>12.093425925931015</v>
      </c>
      <c r="AB59" s="76">
        <f t="shared" ca="1" si="9"/>
        <v>0.75000000000000022</v>
      </c>
      <c r="AC59" s="75">
        <f t="shared" ca="1" si="3"/>
        <v>2.0000000000000009</v>
      </c>
      <c r="AD59" s="76">
        <f t="shared" ca="1" si="10"/>
        <v>0.1090277777790713</v>
      </c>
      <c r="AE59" s="76">
        <f t="shared" ca="1" si="11"/>
        <v>0.75000000000000022</v>
      </c>
      <c r="AF59" s="75">
        <f t="shared" ca="1" si="6"/>
        <v>2.0000000000000009</v>
      </c>
      <c r="AG59" s="75">
        <f t="shared" ca="1" si="7"/>
        <v>2.0000000000000009</v>
      </c>
      <c r="AH59" s="31" t="str" cm="1">
        <f t="array" aca="1" ref="AH59" ca="1">IF((AD59) &lt; (INDEX(ResponseSLA[#All],(MATCH((G59),ResponseSLA[Priority],0))+1,3)),"YES","No")</f>
        <v>No</v>
      </c>
      <c r="AI59" s="31" t="str">
        <f ca="1">_xlfn.IFNA(IF(AE59 &lt; (INDEX(SLATable[Minimum SLA],MATCH(G59,SLATable[Priority],0))),"YES","NO"),"")</f>
        <v>NO</v>
      </c>
      <c r="AJ59" t="str">
        <f ca="1">_xlfn.IFNA(IF(AE59 &lt; (INDEX(SLATable[Maximum SLA],MATCH(G59,SLATable[Priority],0))),"YES","NO"),"")</f>
        <v>YES</v>
      </c>
    </row>
    <row r="60" spans="1:36" ht="15" customHeight="1">
      <c r="A60" s="45">
        <v>59</v>
      </c>
      <c r="B60" s="45" t="s">
        <v>26</v>
      </c>
      <c r="C60" s="45" t="s">
        <v>39</v>
      </c>
      <c r="D60" s="45" t="s">
        <v>207</v>
      </c>
      <c r="E60" s="45" t="s">
        <v>8007</v>
      </c>
      <c r="F60" s="45" t="s">
        <v>309</v>
      </c>
      <c r="G60" s="45">
        <v>4</v>
      </c>
      <c r="H60" s="45" t="s">
        <v>7925</v>
      </c>
      <c r="I60" s="45" t="s">
        <v>271</v>
      </c>
      <c r="J60" s="45" t="s">
        <v>7923</v>
      </c>
      <c r="K60" s="47">
        <v>46182.216851851852</v>
      </c>
      <c r="L60" s="47">
        <v>46182.216851851852</v>
      </c>
      <c r="M60" s="47">
        <v>46182.268750000003</v>
      </c>
      <c r="N60" s="47">
        <v>46183.525393518517</v>
      </c>
      <c r="R60" s="45" t="s">
        <v>272</v>
      </c>
      <c r="S60" s="45" t="s">
        <v>161</v>
      </c>
      <c r="U60" s="45" t="s">
        <v>371</v>
      </c>
      <c r="Z60" s="76">
        <f t="shared" ca="1" si="8"/>
        <v>0.56706018518404266</v>
      </c>
      <c r="AA60" s="75">
        <f t="shared" ca="1" si="1"/>
        <v>1.5121604938241138</v>
      </c>
      <c r="AB60" s="76">
        <f t="shared" ca="1" si="9"/>
        <v>0.56706018518404266</v>
      </c>
      <c r="AC60" s="75">
        <f t="shared" ca="1" si="3"/>
        <v>1.5121604938241138</v>
      </c>
      <c r="AD60" s="76">
        <f t="shared" ca="1" si="10"/>
        <v>0</v>
      </c>
      <c r="AE60" s="76">
        <f t="shared" ca="1" si="11"/>
        <v>0.56706018518404266</v>
      </c>
      <c r="AF60" s="75">
        <f t="shared" ca="1" si="6"/>
        <v>1.5121604938241138</v>
      </c>
      <c r="AG60" s="75">
        <f t="shared" ca="1" si="7"/>
        <v>1.5121604938241138</v>
      </c>
      <c r="AH60" s="31" t="str" cm="1">
        <f t="array" aca="1" ref="AH60" ca="1">IF((AD60) &lt; (INDEX(ResponseSLA[#All],(MATCH((G60),ResponseSLA[Priority],0))+1,3)),"YES","No")</f>
        <v>YES</v>
      </c>
      <c r="AI60" s="31" t="str">
        <f ca="1">_xlfn.IFNA(IF(AE60 &lt; (INDEX(SLATable[Minimum SLA],MATCH(G60,SLATable[Priority],0))),"YES","NO"),"")</f>
        <v>YES</v>
      </c>
      <c r="AJ60" t="str">
        <f ca="1">_xlfn.IFNA(IF(AE60 &lt; (INDEX(SLATable[Maximum SLA],MATCH(G60,SLATable[Priority],0))),"YES","NO"),"")</f>
        <v>YES</v>
      </c>
    </row>
    <row r="61" spans="1:36" ht="15" customHeight="1">
      <c r="A61" s="45">
        <v>60</v>
      </c>
      <c r="B61" s="45" t="s">
        <v>26</v>
      </c>
      <c r="C61" s="45" t="s">
        <v>39</v>
      </c>
      <c r="D61" s="45" t="s">
        <v>207</v>
      </c>
      <c r="E61" s="45" t="s">
        <v>8008</v>
      </c>
      <c r="F61" s="45" t="s">
        <v>309</v>
      </c>
      <c r="G61" s="45">
        <v>4</v>
      </c>
      <c r="H61" s="45" t="s">
        <v>7947</v>
      </c>
      <c r="I61" s="45" t="s">
        <v>271</v>
      </c>
      <c r="J61" s="45" t="s">
        <v>7923</v>
      </c>
      <c r="K61" s="47">
        <v>46183.484386574077</v>
      </c>
      <c r="L61" s="47">
        <v>46183.484386574077</v>
      </c>
      <c r="M61" s="47">
        <v>46183.513888888891</v>
      </c>
      <c r="N61" s="47">
        <v>46183.523356481484</v>
      </c>
      <c r="R61" s="45" t="s">
        <v>272</v>
      </c>
      <c r="S61" s="45" t="s">
        <v>157</v>
      </c>
      <c r="U61" s="45" t="s">
        <v>371</v>
      </c>
      <c r="Z61" s="76">
        <f t="shared" ca="1" si="8"/>
        <v>3.8969907407590654E-2</v>
      </c>
      <c r="AA61" s="75">
        <f t="shared" ca="1" si="1"/>
        <v>0.10391975308690841</v>
      </c>
      <c r="AB61" s="76">
        <f t="shared" ca="1" si="9"/>
        <v>3.8969907407590654E-2</v>
      </c>
      <c r="AC61" s="75">
        <f t="shared" ca="1" si="3"/>
        <v>0.10391975308690841</v>
      </c>
      <c r="AD61" s="76">
        <f t="shared" ca="1" si="10"/>
        <v>2.9502314813726116E-2</v>
      </c>
      <c r="AE61" s="76">
        <f t="shared" ca="1" si="11"/>
        <v>3.8969907407590654E-2</v>
      </c>
      <c r="AF61" s="75">
        <f t="shared" ca="1" si="6"/>
        <v>0.10391975308690841</v>
      </c>
      <c r="AG61" s="75">
        <f t="shared" ca="1" si="7"/>
        <v>0.10391975308690841</v>
      </c>
      <c r="AH61" s="31" t="str" cm="1">
        <f t="array" aca="1" ref="AH61" ca="1">IF((AD61) &lt; (INDEX(ResponseSLA[#All],(MATCH((G61),ResponseSLA[Priority],0))+1,3)),"YES","No")</f>
        <v>YES</v>
      </c>
      <c r="AI61" s="31" t="str">
        <f ca="1">_xlfn.IFNA(IF(AE61 &lt; (INDEX(SLATable[Minimum SLA],MATCH(G61,SLATable[Priority],0))),"YES","NO"),"")</f>
        <v>YES</v>
      </c>
      <c r="AJ61" t="str">
        <f ca="1">_xlfn.IFNA(IF(AE61 &lt; (INDEX(SLATable[Maximum SLA],MATCH(G61,SLATable[Priority],0))),"YES","NO"),"")</f>
        <v>YES</v>
      </c>
    </row>
    <row r="62" spans="1:36" ht="15" customHeight="1">
      <c r="A62" s="45">
        <v>61</v>
      </c>
      <c r="B62" s="45" t="s">
        <v>26</v>
      </c>
      <c r="C62" s="45" t="s">
        <v>39</v>
      </c>
      <c r="D62" s="45" t="s">
        <v>207</v>
      </c>
      <c r="E62" s="45" t="s">
        <v>8009</v>
      </c>
      <c r="F62" s="45" t="s">
        <v>309</v>
      </c>
      <c r="G62" s="45">
        <v>4</v>
      </c>
      <c r="H62" s="45" t="s">
        <v>7925</v>
      </c>
      <c r="I62" s="45" t="s">
        <v>271</v>
      </c>
      <c r="J62" s="45" t="s">
        <v>7933</v>
      </c>
      <c r="K62" s="47">
        <v>46183.536365740743</v>
      </c>
      <c r="L62" s="47">
        <v>46183.536365740743</v>
      </c>
      <c r="M62" s="47">
        <v>46183.543298611112</v>
      </c>
      <c r="N62" s="47">
        <v>46183.586863425924</v>
      </c>
      <c r="R62" s="45" t="s">
        <v>272</v>
      </c>
      <c r="S62" s="45" t="s">
        <v>161</v>
      </c>
      <c r="U62" s="45" t="s">
        <v>371</v>
      </c>
      <c r="Z62" s="76">
        <f t="shared" ca="1" si="8"/>
        <v>5.0497685180744156E-2</v>
      </c>
      <c r="AA62" s="75">
        <f t="shared" ca="1" si="1"/>
        <v>0.13466049381531775</v>
      </c>
      <c r="AB62" s="76">
        <f t="shared" ca="1" si="9"/>
        <v>5.0497685180744156E-2</v>
      </c>
      <c r="AC62" s="75">
        <f t="shared" ca="1" si="3"/>
        <v>0.13466049381531775</v>
      </c>
      <c r="AD62" s="76">
        <f t="shared" ca="1" si="10"/>
        <v>6.9328703684732318E-3</v>
      </c>
      <c r="AE62" s="76">
        <f t="shared" ca="1" si="11"/>
        <v>5.0497685180744156E-2</v>
      </c>
      <c r="AF62" s="75">
        <f t="shared" ca="1" si="6"/>
        <v>0.13466049381531775</v>
      </c>
      <c r="AG62" s="75">
        <f t="shared" ca="1" si="7"/>
        <v>0.13466049381531775</v>
      </c>
      <c r="AH62" s="31" t="str" cm="1">
        <f t="array" aca="1" ref="AH62" ca="1">IF((AD62) &lt; (INDEX(ResponseSLA[#All],(MATCH((G62),ResponseSLA[Priority],0))+1,3)),"YES","No")</f>
        <v>YES</v>
      </c>
      <c r="AI62" s="31" t="str">
        <f ca="1">_xlfn.IFNA(IF(AE62 &lt; (INDEX(SLATable[Minimum SLA],MATCH(G62,SLATable[Priority],0))),"YES","NO"),"")</f>
        <v>YES</v>
      </c>
      <c r="AJ62" t="str">
        <f ca="1">_xlfn.IFNA(IF(AE62 &lt; (INDEX(SLATable[Maximum SLA],MATCH(G62,SLATable[Priority],0))),"YES","NO"),"")</f>
        <v>YES</v>
      </c>
    </row>
    <row r="63" spans="1:36" ht="15" customHeight="1">
      <c r="A63" s="45">
        <v>62</v>
      </c>
      <c r="B63" s="45" t="s">
        <v>26</v>
      </c>
      <c r="C63" s="45" t="s">
        <v>39</v>
      </c>
      <c r="D63" s="45" t="s">
        <v>207</v>
      </c>
      <c r="E63" s="45" t="s">
        <v>8010</v>
      </c>
      <c r="F63" s="45" t="s">
        <v>309</v>
      </c>
      <c r="G63" s="45">
        <v>4</v>
      </c>
      <c r="H63" s="45" t="s">
        <v>7925</v>
      </c>
      <c r="I63" s="45" t="s">
        <v>271</v>
      </c>
      <c r="J63" s="45" t="s">
        <v>7923</v>
      </c>
      <c r="K63" s="47">
        <v>46183.692361111112</v>
      </c>
      <c r="L63" s="47">
        <v>46183.692361111112</v>
      </c>
      <c r="M63" s="47">
        <v>46184.343055555553</v>
      </c>
      <c r="N63" s="47">
        <v>46185.541921296295</v>
      </c>
      <c r="R63" s="45" t="s">
        <v>272</v>
      </c>
      <c r="S63" s="45" t="s">
        <v>161</v>
      </c>
      <c r="U63" s="45" t="s">
        <v>371</v>
      </c>
      <c r="Z63" s="76">
        <f t="shared" ca="1" si="8"/>
        <v>0.59956018518278142</v>
      </c>
      <c r="AA63" s="75">
        <f t="shared" ca="1" si="1"/>
        <v>1.5988271604874171</v>
      </c>
      <c r="AB63" s="76">
        <f t="shared" ca="1" si="9"/>
        <v>0.59956018518278142</v>
      </c>
      <c r="AC63" s="75">
        <f t="shared" ca="1" si="3"/>
        <v>1.5988271604874171</v>
      </c>
      <c r="AD63" s="76">
        <f t="shared" ca="1" si="10"/>
        <v>2.569444444088731E-2</v>
      </c>
      <c r="AE63" s="76">
        <f t="shared" ca="1" si="11"/>
        <v>0.59956018518278142</v>
      </c>
      <c r="AF63" s="75">
        <f t="shared" ca="1" si="6"/>
        <v>1.5988271604874171</v>
      </c>
      <c r="AG63" s="75">
        <f t="shared" ca="1" si="7"/>
        <v>1.5988271604874171</v>
      </c>
      <c r="AH63" s="31" t="str" cm="1">
        <f t="array" aca="1" ref="AH63" ca="1">IF((AD63) &lt; (INDEX(ResponseSLA[#All],(MATCH((G63),ResponseSLA[Priority],0))+1,3)),"YES","No")</f>
        <v>YES</v>
      </c>
      <c r="AI63" s="31" t="str">
        <f ca="1">_xlfn.IFNA(IF(AE63 &lt; (INDEX(SLATable[Minimum SLA],MATCH(G63,SLATable[Priority],0))),"YES","NO"),"")</f>
        <v>YES</v>
      </c>
      <c r="AJ63" t="str">
        <f ca="1">_xlfn.IFNA(IF(AE63 &lt; (INDEX(SLATable[Maximum SLA],MATCH(G63,SLATable[Priority],0))),"YES","NO"),"")</f>
        <v>YES</v>
      </c>
    </row>
    <row r="64" spans="1:36" ht="15" customHeight="1">
      <c r="A64" s="45">
        <v>63</v>
      </c>
      <c r="B64" s="45" t="s">
        <v>26</v>
      </c>
      <c r="C64" s="45" t="s">
        <v>39</v>
      </c>
      <c r="D64" s="45" t="s">
        <v>207</v>
      </c>
      <c r="E64" s="45" t="s">
        <v>8011</v>
      </c>
      <c r="F64" s="45" t="s">
        <v>309</v>
      </c>
      <c r="G64" s="45">
        <v>4</v>
      </c>
      <c r="H64" s="45" t="s">
        <v>7922</v>
      </c>
      <c r="I64" s="45" t="s">
        <v>271</v>
      </c>
      <c r="J64" s="45" t="s">
        <v>7923</v>
      </c>
      <c r="K64" s="47">
        <v>46185.616412037038</v>
      </c>
      <c r="L64" s="47">
        <v>46185.616412037038</v>
      </c>
      <c r="M64" s="47">
        <v>46185.679861111108</v>
      </c>
      <c r="N64" s="47">
        <v>46188.49559027778</v>
      </c>
      <c r="R64" s="45" t="s">
        <v>272</v>
      </c>
      <c r="S64" s="45" t="s">
        <v>161</v>
      </c>
      <c r="U64" s="45" t="s">
        <v>371</v>
      </c>
      <c r="Z64" s="76">
        <f t="shared" ca="1" si="8"/>
        <v>0.25417824074247619</v>
      </c>
      <c r="AA64" s="75">
        <f t="shared" ca="1" si="1"/>
        <v>0.67780864197993651</v>
      </c>
      <c r="AB64" s="76">
        <f t="shared" ca="1" si="9"/>
        <v>0.25417824074247619</v>
      </c>
      <c r="AC64" s="75">
        <f t="shared" ca="1" si="3"/>
        <v>0.67780864197993651</v>
      </c>
      <c r="AD64" s="76">
        <f t="shared" ca="1" si="10"/>
        <v>6.344907407037681E-2</v>
      </c>
      <c r="AE64" s="76">
        <f t="shared" ca="1" si="11"/>
        <v>0.25417824074247619</v>
      </c>
      <c r="AF64" s="75">
        <f t="shared" ca="1" si="6"/>
        <v>0.67780864197993651</v>
      </c>
      <c r="AG64" s="75">
        <f t="shared" ca="1" si="7"/>
        <v>0.67780864197993651</v>
      </c>
      <c r="AH64" s="31" t="str" cm="1">
        <f t="array" aca="1" ref="AH64" ca="1">IF((AD64) &lt; (INDEX(ResponseSLA[#All],(MATCH((G64),ResponseSLA[Priority],0))+1,3)),"YES","No")</f>
        <v>YES</v>
      </c>
      <c r="AI64" s="31" t="str">
        <f ca="1">_xlfn.IFNA(IF(AE64 &lt; (INDEX(SLATable[Minimum SLA],MATCH(G64,SLATable[Priority],0))),"YES","NO"),"")</f>
        <v>YES</v>
      </c>
      <c r="AJ64" t="str">
        <f ca="1">_xlfn.IFNA(IF(AE64 &lt; (INDEX(SLATable[Maximum SLA],MATCH(G64,SLATable[Priority],0))),"YES","NO"),"")</f>
        <v>YES</v>
      </c>
    </row>
    <row r="65" spans="1:36" ht="15" customHeight="1">
      <c r="A65" s="45">
        <v>64</v>
      </c>
      <c r="B65" s="45" t="s">
        <v>26</v>
      </c>
      <c r="C65" s="45" t="s">
        <v>39</v>
      </c>
      <c r="D65" s="45" t="s">
        <v>207</v>
      </c>
      <c r="E65" s="45" t="s">
        <v>8012</v>
      </c>
      <c r="F65" s="45" t="s">
        <v>309</v>
      </c>
      <c r="G65" s="45">
        <v>4</v>
      </c>
      <c r="H65" s="45" t="s">
        <v>7925</v>
      </c>
      <c r="I65" s="45" t="s">
        <v>271</v>
      </c>
      <c r="J65" s="45" t="s">
        <v>7923</v>
      </c>
      <c r="K65" s="47">
        <v>46187.897094907406</v>
      </c>
      <c r="L65" s="47">
        <v>46187.897094907406</v>
      </c>
      <c r="M65" s="47">
        <v>46188.229861111111</v>
      </c>
      <c r="N65" s="47">
        <v>46188.497094907405</v>
      </c>
      <c r="R65" s="45" t="s">
        <v>272</v>
      </c>
      <c r="S65" s="45" t="s">
        <v>161</v>
      </c>
      <c r="U65" s="45" t="s">
        <v>371</v>
      </c>
      <c r="Z65" s="76">
        <f t="shared" ca="1" si="8"/>
        <v>0.16376157407163799</v>
      </c>
      <c r="AA65" s="75">
        <f t="shared" ca="1" si="1"/>
        <v>0.4366975308577013</v>
      </c>
      <c r="AB65" s="76">
        <f t="shared" ca="1" si="9"/>
        <v>0.16376157407163799</v>
      </c>
      <c r="AC65" s="75">
        <f t="shared" ca="1" si="3"/>
        <v>0.4366975308577013</v>
      </c>
      <c r="AD65" s="76">
        <f t="shared" ca="1" si="10"/>
        <v>0</v>
      </c>
      <c r="AE65" s="76">
        <f t="shared" ca="1" si="11"/>
        <v>0.16376157407163799</v>
      </c>
      <c r="AF65" s="75">
        <f t="shared" ca="1" si="6"/>
        <v>0.4366975308577013</v>
      </c>
      <c r="AG65" s="75">
        <f t="shared" ca="1" si="7"/>
        <v>0.4366975308577013</v>
      </c>
      <c r="AH65" s="31" t="str" cm="1">
        <f t="array" aca="1" ref="AH65" ca="1">IF((AD65) &lt; (INDEX(ResponseSLA[#All],(MATCH((G65),ResponseSLA[Priority],0))+1,3)),"YES","No")</f>
        <v>YES</v>
      </c>
      <c r="AI65" s="31" t="str">
        <f ca="1">_xlfn.IFNA(IF(AE65 &lt; (INDEX(SLATable[Minimum SLA],MATCH(G65,SLATable[Priority],0))),"YES","NO"),"")</f>
        <v>YES</v>
      </c>
      <c r="AJ65" t="str">
        <f ca="1">_xlfn.IFNA(IF(AE65 &lt; (INDEX(SLATable[Maximum SLA],MATCH(G65,SLATable[Priority],0))),"YES","NO"),"")</f>
        <v>YES</v>
      </c>
    </row>
    <row r="66" spans="1:36" ht="15" customHeight="1">
      <c r="A66" s="45">
        <v>65</v>
      </c>
      <c r="B66" s="45" t="s">
        <v>26</v>
      </c>
      <c r="C66" s="45" t="s">
        <v>39</v>
      </c>
      <c r="D66" s="45" t="s">
        <v>207</v>
      </c>
      <c r="E66" s="45" t="s">
        <v>8013</v>
      </c>
      <c r="F66" s="45" t="s">
        <v>309</v>
      </c>
      <c r="G66" s="45">
        <v>4</v>
      </c>
      <c r="H66" s="45" t="s">
        <v>8014</v>
      </c>
      <c r="I66" s="45" t="s">
        <v>271</v>
      </c>
      <c r="J66" s="45" t="s">
        <v>7923</v>
      </c>
      <c r="K66" s="47">
        <v>46190.126817129632</v>
      </c>
      <c r="L66" s="47">
        <v>46190.126817129632</v>
      </c>
      <c r="M66" s="47">
        <v>46190.249305555553</v>
      </c>
      <c r="N66" s="47">
        <v>46190.428171296298</v>
      </c>
      <c r="R66" s="45" t="s">
        <v>272</v>
      </c>
      <c r="S66" s="45" t="s">
        <v>157</v>
      </c>
      <c r="U66" s="45" t="s">
        <v>371</v>
      </c>
      <c r="Z66" s="76">
        <f t="shared" ca="1" si="8"/>
        <v>9.4837962965054146E-2</v>
      </c>
      <c r="AA66" s="75">
        <f t="shared" ca="1" si="1"/>
        <v>0.25290123457347774</v>
      </c>
      <c r="AB66" s="76">
        <f t="shared" ca="1" si="9"/>
        <v>9.4837962965054146E-2</v>
      </c>
      <c r="AC66" s="75">
        <f t="shared" ca="1" si="3"/>
        <v>0.25290123457347774</v>
      </c>
      <c r="AD66" s="76">
        <f t="shared" ca="1" si="10"/>
        <v>0</v>
      </c>
      <c r="AE66" s="76">
        <f t="shared" ca="1" si="11"/>
        <v>9.4837962965054146E-2</v>
      </c>
      <c r="AF66" s="75">
        <f t="shared" ca="1" si="6"/>
        <v>0.25290123457347774</v>
      </c>
      <c r="AG66" s="75">
        <f t="shared" ca="1" si="7"/>
        <v>0.25290123457347774</v>
      </c>
      <c r="AH66" s="31" t="str" cm="1">
        <f t="array" aca="1" ref="AH66" ca="1">IF((AD66) &lt; (INDEX(ResponseSLA[#All],(MATCH((G66),ResponseSLA[Priority],0))+1,3)),"YES","No")</f>
        <v>YES</v>
      </c>
      <c r="AI66" s="31" t="str">
        <f ca="1">_xlfn.IFNA(IF(AE66 &lt; (INDEX(SLATable[Minimum SLA],MATCH(G66,SLATable[Priority],0))),"YES","NO"),"")</f>
        <v>YES</v>
      </c>
      <c r="AJ66" t="str">
        <f ca="1">_xlfn.IFNA(IF(AE66 &lt; (INDEX(SLATable[Maximum SLA],MATCH(G66,SLATable[Priority],0))),"YES","NO"),"")</f>
        <v>YES</v>
      </c>
    </row>
    <row r="67" spans="1:36" ht="15" customHeight="1">
      <c r="A67" s="45">
        <v>66</v>
      </c>
      <c r="B67" s="45" t="s">
        <v>26</v>
      </c>
      <c r="C67" s="45" t="s">
        <v>39</v>
      </c>
      <c r="D67" s="45" t="s">
        <v>207</v>
      </c>
      <c r="E67" s="45" t="s">
        <v>8015</v>
      </c>
      <c r="F67" s="45" t="s">
        <v>309</v>
      </c>
      <c r="G67" s="45">
        <v>4</v>
      </c>
      <c r="H67" s="45" t="s">
        <v>8016</v>
      </c>
      <c r="I67" s="45" t="s">
        <v>271</v>
      </c>
      <c r="J67" s="45" t="s">
        <v>7923</v>
      </c>
      <c r="K67" s="47">
        <v>46190.104363425926</v>
      </c>
      <c r="L67" s="47">
        <v>46190.104363425926</v>
      </c>
      <c r="M67" s="47">
        <v>46190.251388888886</v>
      </c>
      <c r="N67" s="47">
        <v>46190.432372685187</v>
      </c>
      <c r="R67" s="45" t="s">
        <v>272</v>
      </c>
      <c r="S67" s="45" t="s">
        <v>157</v>
      </c>
      <c r="U67" s="45" t="s">
        <v>371</v>
      </c>
      <c r="Z67" s="76">
        <f t="shared" ref="Z67:Z130" ca="1" si="12">IF(NOT(OR(G67=1,G67=2)),MAX(0,_xlfn.IFS(AND(K67&lt;&gt;"",N67&lt;&gt;""),((MAX(NETWORKDAYS(K67,N67,UKBankHolidays)-1,0))*(TIME(17,0,0)-TIME(8,0,0))+IF(NETWORKDAYS(N67,N67,UKBankHolidays)&gt;0,MEDIAN(TIME(8,0,0),MOD(N67,1),TIME(17,0,0)),TIME(8,0,0))-IF(NETWORKDAYS(K67,K67,UKBankHolidays)&gt;0,MEDIAN(TIME(8,0,0),MOD(K67,1),TIME(17,0,0)),TIME(8,0,0)))-IF(AND(O67&lt;&gt;"",P67&lt;&gt;""),((MAX(NETWORKDAYS(O67,P67,UKBankHolidays)-1,0))*(TIME(17,0,0)-TIME(8,0,0))+IF(NETWORKDAYS(P67,P67,UKBankHolidays)&gt;0,MEDIAN(TIME(8,0,0),MOD(P67,1),TIME(17,0,0)),TIME(8,0,0))-IF(NETWORKDAYS(O67,O67,UKBankHolidays)&gt;0,MEDIAN(TIME(8,0,0),MOD(O67,1),TIME(17,0,0)),TIME(8,0,0))),0),AND(K67&lt;&gt;"",N67=""),((MAX(NETWORKDAYS(K67,NOW(),UKBankHolidays)-1,0))*(TIME(17,0,0)-TIME(8,0,0))+IF(NETWORKDAYS(NOW(),NOW(),UKBankHolidays)&gt;0,MEDIAN(TIME(8,0,0),MOD(NOW(),1),TIME(17,0,0)),TIME(8,0,0))-IF(NETWORKDAYS(K67,K67,UKBankHolidays)&gt;0,MEDIAN(TIME(8,0,0),MOD(K67,1),TIME(17,0,0)),TIME(8,0,0))))),IF(N67="",NOW()-K67,N67-K67))</f>
        <v>9.9039351853813684E-2</v>
      </c>
      <c r="AA67" s="75">
        <f t="shared" ca="1" si="1"/>
        <v>0.26410493827683651</v>
      </c>
      <c r="AB67" s="76">
        <f t="shared" ref="AB67:AB130" ca="1" si="13">IF(NOT(OR(G67=1,G67=2)),MAX(0,_xlfn.IFS(AND(K67&lt;&gt;"",N67&lt;&gt;""),(((MAX(NETWORKDAYS(L67,N67,UKBankHolidays)-1,0))*(TIME(17,0,0)-TIME(8,0,0)))+IF(NETWORKDAYS(N67,N67,UKBankHolidays)&gt;0,MEDIAN(TIME(8,0,0),MOD(N67,1),TIME(17,0,0)),TIME(8,0,0))-IF(NETWORKDAYS(L67,L67,UKBankHolidays)&gt;0,MEDIAN(TIME(8,0,0),MOD(L67,1),TIME(17,0,0)),TIME(8,0,0)))-IF(AND(O67&lt;&gt;"",P67&lt;&gt;""),(((MAX(NETWORKDAYS(O67,P67,UKBankHolidays)-1,0))*(TIME(17,0,0)-TIME(8,0,0)))+IF(NETWORKDAYS(P67,P67,UKBankHolidays)&gt;0,MEDIAN(TIME(8,0,0),MOD(P67,1),TIME(17,0,0)),TIME(8,0,0))-IF(NETWORKDAYS(O67,O67,UKBankHolidays)&gt;0,MEDIAN(TIME(8,0,0),MOD(O67,1),TIME(17,0,0)),TIME(8,0,0))),0),AND(L67&lt;&gt;"",N67="",O67=""),(((MAX(NETWORKDAYS(L67,NOW(),UKBankHolidays)-1,0))*(TIME(17,0,0)-TIME(8,0,0)))+IF(NETWORKDAYS(NOW(),NOW(),UKBankHolidays)&gt;0,MEDIAN(TIME(8,0,0),MOD(NOW(),1),TIME(17,0,0)),TIME(8,0,0))-IF(NETWORKDAYS(L67,L67,UKBankHolidays)&gt;0,MEDIAN(TIME(8,0,0),MOD(L67,1),TIME(17,0,0)),TIME(8,0,0)))-IF(AND(O67&lt;&gt;"",P67&lt;&gt;""),(((MAX(NETWORKDAYS(O67,P67,UKBankHolidays)-1,0))*(TIME(17,0,0)-TIME(8,0,0)))+IF(NETWORKDAYS(P67,P67,UKBankHolidays)&gt;0,MEDIAN(TIME(8,0,0),MOD(P67,1),TIME(17,0,0)),TIME(8,0,0))-IF(NETWORKDAYS(O67,O67,UKBankHolidays)&gt;0,MEDIAN(TIME(8,0,0),MOD(O67,1),TIME(17,0,0)),TIME(8,0,0))),0),AND(L67&lt;&gt;"",N67="",P67="",O67&lt;&gt;""),(((MAX(NETWORKDAYS(L67,O67,UKBankHolidays)-1,0))*(TIME(17,0,0)-TIME(8,0,0)))+IF(NETWORKDAYS(O67,O67,UKBankHolidays)&gt;0,MEDIAN(TIME(8,0,0),MOD(O67,1),TIME(17,0,0)),TIME(8,0,0))-IF(NETWORKDAYS(L67,L67,UKBankHolidays)&gt;0,MEDIAN(TIME(8,0,0),MOD(L67,1),TIME(17,0,0)),TIME(8,0,0))),ISBLANK(K67),"0")),IF(ISBLANK(N67),NOW()-L67,N67-L67))</f>
        <v>9.9039351853813684E-2</v>
      </c>
      <c r="AC67" s="75">
        <f t="shared" ca="1" si="3"/>
        <v>0.26410493827683651</v>
      </c>
      <c r="AD67" s="76">
        <f t="shared" ref="AD67:AD130" ca="1" si="14">MAX(0,IF(NOT(OR(G67=1,G67=2)),IF(M67&lt;&gt;"",((MAX(NETWORKDAYS(L67,M67,UKBankHolidays)-1,0))*(TIME(17,0,0)-TIME(8,0,0))+IF(NETWORKDAYS(M67,M67,UKBankHolidays)&gt;0,MEDIAN(TIME(8,0,0),MOD(M67,1),TIME(17,0,0)),TIME(8,0,0))-MEDIAN(TIME(8,0,0),MOD(L67,1),TIME(17,0,0))),((MAX(NETWORKDAYS(L67,NOW(),UKBankHolidays)-1,0))*(TIME(17,0,0)-TIME(8,0,0))+IF(NETWORKDAYS(NOW(),NOW(),UKBankHolidays)&gt;0,MEDIAN(TIME(8,0,0),MOD(NOW(),1),TIME(17,0,0)),TIME(8,0,0))-MEDIAN(TIME(8,0,0),MOD(L67,1),TIME(17,0,0)))),IF(M67&lt;&gt;"",M67-L67,NOW()-L67)))</f>
        <v>0</v>
      </c>
      <c r="AE67" s="76">
        <f t="shared" ref="AE67:AE130" ca="1" si="15">SUMIFS(AB:AB,E:E,E67)</f>
        <v>9.9039351853813684E-2</v>
      </c>
      <c r="AF67" s="75">
        <f t="shared" ca="1" si="6"/>
        <v>0.26410493827683651</v>
      </c>
      <c r="AG67" s="75">
        <f t="shared" ca="1" si="7"/>
        <v>0.26410493827683651</v>
      </c>
      <c r="AH67" s="31" t="str" cm="1">
        <f t="array" aca="1" ref="AH67" ca="1">IF((AD67) &lt; (INDEX(ResponseSLA[#All],(MATCH((G67),ResponseSLA[Priority],0))+1,3)),"YES","No")</f>
        <v>YES</v>
      </c>
      <c r="AI67" s="31" t="str">
        <f ca="1">_xlfn.IFNA(IF(AE67 &lt; (INDEX(SLATable[Minimum SLA],MATCH(G67,SLATable[Priority],0))),"YES","NO"),"")</f>
        <v>YES</v>
      </c>
      <c r="AJ67" t="str">
        <f ca="1">_xlfn.IFNA(IF(AE67 &lt; (INDEX(SLATable[Maximum SLA],MATCH(G67,SLATable[Priority],0))),"YES","NO"),"")</f>
        <v>YES</v>
      </c>
    </row>
    <row r="68" spans="1:36" ht="15" customHeight="1">
      <c r="A68" s="45">
        <v>67</v>
      </c>
      <c r="B68" s="45" t="s">
        <v>26</v>
      </c>
      <c r="C68" s="45" t="s">
        <v>39</v>
      </c>
      <c r="D68" s="45" t="s">
        <v>207</v>
      </c>
      <c r="E68" s="45" t="s">
        <v>8017</v>
      </c>
      <c r="F68" s="45" t="s">
        <v>309</v>
      </c>
      <c r="G68" s="45">
        <v>4</v>
      </c>
      <c r="H68" s="45" t="s">
        <v>8018</v>
      </c>
      <c r="I68" s="45" t="s">
        <v>271</v>
      </c>
      <c r="J68" s="45" t="s">
        <v>7923</v>
      </c>
      <c r="K68" s="47">
        <v>46190.098425925928</v>
      </c>
      <c r="L68" s="47">
        <v>46190.098425925928</v>
      </c>
      <c r="M68" s="47">
        <v>46190.252083333333</v>
      </c>
      <c r="N68" s="47">
        <v>46190.436226851853</v>
      </c>
      <c r="R68" s="45" t="s">
        <v>272</v>
      </c>
      <c r="S68" s="45" t="s">
        <v>157</v>
      </c>
      <c r="U68" s="45" t="s">
        <v>371</v>
      </c>
      <c r="Z68" s="76">
        <f t="shared" ca="1" si="12"/>
        <v>0.10289351851921918</v>
      </c>
      <c r="AA68" s="75">
        <f t="shared" ca="1" si="1"/>
        <v>0.27438271605125114</v>
      </c>
      <c r="AB68" s="76">
        <f t="shared" ca="1" si="13"/>
        <v>0.10289351851921918</v>
      </c>
      <c r="AC68" s="75">
        <f t="shared" ca="1" si="3"/>
        <v>0.27438271605125114</v>
      </c>
      <c r="AD68" s="76">
        <f t="shared" ca="1" si="14"/>
        <v>0</v>
      </c>
      <c r="AE68" s="76">
        <f t="shared" ca="1" si="15"/>
        <v>0.10289351851921918</v>
      </c>
      <c r="AF68" s="75">
        <f t="shared" ca="1" si="6"/>
        <v>0.27438271605125114</v>
      </c>
      <c r="AG68" s="75">
        <f t="shared" ca="1" si="7"/>
        <v>0.27438271605125114</v>
      </c>
      <c r="AH68" s="31" t="str" cm="1">
        <f t="array" aca="1" ref="AH68" ca="1">IF((AD68) &lt; (INDEX(ResponseSLA[#All],(MATCH((G68),ResponseSLA[Priority],0))+1,3)),"YES","No")</f>
        <v>YES</v>
      </c>
      <c r="AI68" s="31" t="str">
        <f ca="1">_xlfn.IFNA(IF(AE68 &lt; (INDEX(SLATable[Minimum SLA],MATCH(G68,SLATable[Priority],0))),"YES","NO"),"")</f>
        <v>YES</v>
      </c>
      <c r="AJ68" t="str">
        <f ca="1">_xlfn.IFNA(IF(AE68 &lt; (INDEX(SLATable[Maximum SLA],MATCH(G68,SLATable[Priority],0))),"YES","NO"),"")</f>
        <v>YES</v>
      </c>
    </row>
    <row r="69" spans="1:36" ht="15" customHeight="1">
      <c r="A69" s="45">
        <v>68</v>
      </c>
      <c r="B69" s="45" t="s">
        <v>26</v>
      </c>
      <c r="C69" s="45" t="s">
        <v>39</v>
      </c>
      <c r="D69" s="45" t="s">
        <v>207</v>
      </c>
      <c r="E69" s="45" t="s">
        <v>8019</v>
      </c>
      <c r="F69" s="45" t="s">
        <v>309</v>
      </c>
      <c r="G69" s="45">
        <v>4</v>
      </c>
      <c r="H69" s="45" t="s">
        <v>7922</v>
      </c>
      <c r="I69" s="45" t="s">
        <v>271</v>
      </c>
      <c r="J69" s="45" t="s">
        <v>7923</v>
      </c>
      <c r="K69" s="47">
        <v>46189.449201388888</v>
      </c>
      <c r="L69" s="47">
        <v>46189.449201388888</v>
      </c>
      <c r="M69" s="47">
        <v>46189.457638888889</v>
      </c>
      <c r="N69" s="47">
        <v>46190.472199074073</v>
      </c>
      <c r="R69" s="45" t="s">
        <v>272</v>
      </c>
      <c r="S69" s="45" t="s">
        <v>161</v>
      </c>
      <c r="U69" s="45" t="s">
        <v>371</v>
      </c>
      <c r="Z69" s="76">
        <f t="shared" ca="1" si="12"/>
        <v>0.39799768518423662</v>
      </c>
      <c r="AA69" s="75">
        <f t="shared" ca="1" si="1"/>
        <v>1.0613271604912977</v>
      </c>
      <c r="AB69" s="76">
        <f t="shared" ca="1" si="13"/>
        <v>0.39799768518423662</v>
      </c>
      <c r="AC69" s="75">
        <f t="shared" ca="1" si="3"/>
        <v>1.0613271604912977</v>
      </c>
      <c r="AD69" s="76">
        <f t="shared" ca="1" si="14"/>
        <v>8.4375000005820766E-3</v>
      </c>
      <c r="AE69" s="76">
        <f t="shared" ca="1" si="15"/>
        <v>0.39799768518423662</v>
      </c>
      <c r="AF69" s="75">
        <f t="shared" ca="1" si="6"/>
        <v>1.0613271604912977</v>
      </c>
      <c r="AG69" s="75">
        <f t="shared" ca="1" si="7"/>
        <v>1.0613271604912977</v>
      </c>
      <c r="AH69" s="31" t="str" cm="1">
        <f t="array" aca="1" ref="AH69" ca="1">IF((AD69) &lt; (INDEX(ResponseSLA[#All],(MATCH((G69),ResponseSLA[Priority],0))+1,3)),"YES","No")</f>
        <v>YES</v>
      </c>
      <c r="AI69" s="31" t="str">
        <f ca="1">_xlfn.IFNA(IF(AE69 &lt; (INDEX(SLATable[Minimum SLA],MATCH(G69,SLATable[Priority],0))),"YES","NO"),"")</f>
        <v>YES</v>
      </c>
      <c r="AJ69" t="str">
        <f ca="1">_xlfn.IFNA(IF(AE69 &lt; (INDEX(SLATable[Maximum SLA],MATCH(G69,SLATable[Priority],0))),"YES","NO"),"")</f>
        <v>YES</v>
      </c>
    </row>
    <row r="70" spans="1:36" ht="15" customHeight="1">
      <c r="A70" s="45">
        <v>69</v>
      </c>
      <c r="B70" s="45" t="s">
        <v>26</v>
      </c>
      <c r="C70" s="45" t="s">
        <v>39</v>
      </c>
      <c r="D70" s="45" t="s">
        <v>207</v>
      </c>
      <c r="E70" s="45" t="s">
        <v>8020</v>
      </c>
      <c r="F70" s="45" t="s">
        <v>309</v>
      </c>
      <c r="G70" s="45">
        <v>4</v>
      </c>
      <c r="H70" s="45" t="s">
        <v>7931</v>
      </c>
      <c r="I70" s="45" t="s">
        <v>271</v>
      </c>
      <c r="J70" s="45" t="s">
        <v>7923</v>
      </c>
      <c r="K70" s="47">
        <v>46188.869467592594</v>
      </c>
      <c r="L70" s="47">
        <v>46188.869467592594</v>
      </c>
      <c r="M70" s="47">
        <v>46189.234027777777</v>
      </c>
      <c r="N70" s="47">
        <v>46192.516805555555</v>
      </c>
      <c r="R70" s="45" t="s">
        <v>272</v>
      </c>
      <c r="S70" s="45" t="s">
        <v>161</v>
      </c>
      <c r="U70" s="45" t="s">
        <v>371</v>
      </c>
      <c r="Z70" s="76">
        <f t="shared" ca="1" si="12"/>
        <v>1.3084722222217047</v>
      </c>
      <c r="AA70" s="75">
        <f t="shared" ca="1" si="1"/>
        <v>3.4892592592578793</v>
      </c>
      <c r="AB70" s="76">
        <f t="shared" ca="1" si="13"/>
        <v>1.3084722222217047</v>
      </c>
      <c r="AC70" s="75">
        <f t="shared" ca="1" si="3"/>
        <v>3.4892592592578793</v>
      </c>
      <c r="AD70" s="76">
        <f t="shared" ca="1" si="14"/>
        <v>0</v>
      </c>
      <c r="AE70" s="76">
        <f t="shared" ca="1" si="15"/>
        <v>1.3084722222217047</v>
      </c>
      <c r="AF70" s="75">
        <f t="shared" ca="1" si="6"/>
        <v>3.4892592592578793</v>
      </c>
      <c r="AG70" s="75">
        <f t="shared" ca="1" si="7"/>
        <v>3.4892592592578793</v>
      </c>
      <c r="AH70" s="31" t="str" cm="1">
        <f t="array" aca="1" ref="AH70" ca="1">IF((AD70) &lt; (INDEX(ResponseSLA[#All],(MATCH((G70),ResponseSLA[Priority],0))+1,3)),"YES","No")</f>
        <v>YES</v>
      </c>
      <c r="AI70" s="31" t="str">
        <f ca="1">_xlfn.IFNA(IF(AE70 &lt; (INDEX(SLATable[Minimum SLA],MATCH(G70,SLATable[Priority],0))),"YES","NO"),"")</f>
        <v>YES</v>
      </c>
      <c r="AJ70" t="str">
        <f ca="1">_xlfn.IFNA(IF(AE70 &lt; (INDEX(SLATable[Maximum SLA],MATCH(G70,SLATable[Priority],0))),"YES","NO"),"")</f>
        <v>YES</v>
      </c>
    </row>
    <row r="71" spans="1:36" ht="15" customHeight="1">
      <c r="A71" s="45">
        <v>70</v>
      </c>
      <c r="B71" s="45" t="s">
        <v>26</v>
      </c>
      <c r="C71" s="45" t="s">
        <v>39</v>
      </c>
      <c r="D71" s="45" t="s">
        <v>207</v>
      </c>
      <c r="E71" s="45" t="s">
        <v>8021</v>
      </c>
      <c r="F71" s="45" t="s">
        <v>309</v>
      </c>
      <c r="G71" s="45">
        <v>3</v>
      </c>
      <c r="H71" s="45" t="s">
        <v>8022</v>
      </c>
      <c r="I71" s="45" t="s">
        <v>271</v>
      </c>
      <c r="J71" s="45" t="s">
        <v>7923</v>
      </c>
      <c r="K71" s="47">
        <v>46189.572175925925</v>
      </c>
      <c r="L71" s="47">
        <v>46189.574305555558</v>
      </c>
      <c r="M71" s="47">
        <v>46189.586805555555</v>
      </c>
      <c r="N71" s="47">
        <v>46191.7031712963</v>
      </c>
      <c r="R71" s="45" t="s">
        <v>272</v>
      </c>
      <c r="S71" s="45" t="s">
        <v>157</v>
      </c>
      <c r="U71" s="45" t="s">
        <v>371</v>
      </c>
      <c r="Z71" s="76">
        <f t="shared" ca="1" si="12"/>
        <v>0.88099537037487607</v>
      </c>
      <c r="AA71" s="75">
        <f t="shared" ca="1" si="1"/>
        <v>2.3493209876663363</v>
      </c>
      <c r="AB71" s="76">
        <f t="shared" ca="1" si="13"/>
        <v>0.87886574074218515</v>
      </c>
      <c r="AC71" s="75">
        <f t="shared" ca="1" si="3"/>
        <v>2.3436419753124937</v>
      </c>
      <c r="AD71" s="76">
        <f t="shared" ca="1" si="14"/>
        <v>1.2499999997089617E-2</v>
      </c>
      <c r="AE71" s="76">
        <f t="shared" ca="1" si="15"/>
        <v>0.87886574074218515</v>
      </c>
      <c r="AF71" s="75">
        <f t="shared" ca="1" si="6"/>
        <v>2.3436419753124937</v>
      </c>
      <c r="AG71" s="75">
        <f t="shared" ca="1" si="7"/>
        <v>2.3436419753124937</v>
      </c>
      <c r="AH71" s="31" t="str" cm="1">
        <f t="array" aca="1" ref="AH71" ca="1">IF((AD71) &lt; (INDEX(ResponseSLA[#All],(MATCH((G71),ResponseSLA[Priority],0))+1,3)),"YES","No")</f>
        <v>YES</v>
      </c>
      <c r="AI71" s="31" t="str">
        <f ca="1">_xlfn.IFNA(IF(AE71 &lt; (INDEX(SLATable[Minimum SLA],MATCH(G71,SLATable[Priority],0))),"YES","NO"),"")</f>
        <v>NO</v>
      </c>
      <c r="AJ71" t="str">
        <f ca="1">_xlfn.IFNA(IF(AE71 &lt; (INDEX(SLATable[Maximum SLA],MATCH(G71,SLATable[Priority],0))),"YES","NO"),"")</f>
        <v>YES</v>
      </c>
    </row>
    <row r="72" spans="1:36" ht="15" customHeight="1">
      <c r="A72" s="45">
        <v>71</v>
      </c>
      <c r="B72" s="45" t="s">
        <v>26</v>
      </c>
      <c r="C72" s="45" t="s">
        <v>39</v>
      </c>
      <c r="D72" s="45" t="s">
        <v>207</v>
      </c>
      <c r="E72" s="45" t="s">
        <v>8023</v>
      </c>
      <c r="F72" s="45" t="s">
        <v>309</v>
      </c>
      <c r="G72" s="45">
        <v>4</v>
      </c>
      <c r="H72" s="45" t="s">
        <v>8024</v>
      </c>
      <c r="I72" s="45" t="s">
        <v>271</v>
      </c>
      <c r="J72" s="45" t="s">
        <v>7923</v>
      </c>
      <c r="K72" s="47">
        <v>46191.324247685188</v>
      </c>
      <c r="L72" s="47">
        <v>46191.324247685188</v>
      </c>
      <c r="M72" s="47">
        <v>46191.339583333334</v>
      </c>
      <c r="N72" s="47">
        <v>46192.481041666666</v>
      </c>
      <c r="R72" s="45" t="s">
        <v>272</v>
      </c>
      <c r="S72" s="45" t="s">
        <v>161</v>
      </c>
      <c r="U72" s="45" t="s">
        <v>371</v>
      </c>
      <c r="Z72" s="76">
        <f t="shared" ca="1" si="12"/>
        <v>0.52270833333265432</v>
      </c>
      <c r="AA72" s="75">
        <f t="shared" ca="1" si="1"/>
        <v>1.3938888888870782</v>
      </c>
      <c r="AB72" s="76">
        <f t="shared" ca="1" si="13"/>
        <v>0.52270833333265432</v>
      </c>
      <c r="AC72" s="75">
        <f t="shared" ca="1" si="3"/>
        <v>1.3938888888870782</v>
      </c>
      <c r="AD72" s="76">
        <f t="shared" ca="1" si="14"/>
        <v>6.2500000009701462E-3</v>
      </c>
      <c r="AE72" s="76">
        <f t="shared" ca="1" si="15"/>
        <v>0.52270833333265432</v>
      </c>
      <c r="AF72" s="75">
        <f t="shared" ca="1" si="6"/>
        <v>1.3938888888870782</v>
      </c>
      <c r="AG72" s="75">
        <f t="shared" ca="1" si="7"/>
        <v>1.3938888888870782</v>
      </c>
      <c r="AH72" s="31" t="str" cm="1">
        <f t="array" aca="1" ref="AH72" ca="1">IF((AD72) &lt; (INDEX(ResponseSLA[#All],(MATCH((G72),ResponseSLA[Priority],0))+1,3)),"YES","No")</f>
        <v>YES</v>
      </c>
      <c r="AI72" s="31" t="str">
        <f ca="1">_xlfn.IFNA(IF(AE72 &lt; (INDEX(SLATable[Minimum SLA],MATCH(G72,SLATable[Priority],0))),"YES","NO"),"")</f>
        <v>YES</v>
      </c>
      <c r="AJ72" t="str">
        <f ca="1">_xlfn.IFNA(IF(AE72 &lt; (INDEX(SLATable[Maximum SLA],MATCH(G72,SLATable[Priority],0))),"YES","NO"),"")</f>
        <v>YES</v>
      </c>
    </row>
    <row r="73" spans="1:36" ht="15" customHeight="1">
      <c r="A73" s="45">
        <v>72</v>
      </c>
      <c r="B73" s="45" t="s">
        <v>26</v>
      </c>
      <c r="C73" s="45" t="s">
        <v>39</v>
      </c>
      <c r="D73" s="45" t="s">
        <v>207</v>
      </c>
      <c r="E73" s="45" t="s">
        <v>8025</v>
      </c>
      <c r="F73" s="45" t="s">
        <v>309</v>
      </c>
      <c r="G73" s="45">
        <v>4</v>
      </c>
      <c r="H73" s="45" t="s">
        <v>8026</v>
      </c>
      <c r="I73" s="45" t="s">
        <v>271</v>
      </c>
      <c r="J73" s="45" t="s">
        <v>7923</v>
      </c>
      <c r="K73" s="47">
        <v>46191.11922453704</v>
      </c>
      <c r="L73" s="47">
        <v>46191.11922453704</v>
      </c>
      <c r="M73" s="47">
        <v>46191.265972222223</v>
      </c>
      <c r="N73" s="47">
        <v>46192.484131944446</v>
      </c>
      <c r="R73" s="45" t="s">
        <v>272</v>
      </c>
      <c r="S73" s="45" t="s">
        <v>157</v>
      </c>
      <c r="U73" s="45" t="s">
        <v>371</v>
      </c>
      <c r="Z73" s="76">
        <f t="shared" ca="1" si="12"/>
        <v>0.5257986111125017</v>
      </c>
      <c r="AA73" s="75">
        <f t="shared" ca="1" si="1"/>
        <v>1.4021296296333379</v>
      </c>
      <c r="AB73" s="76">
        <f t="shared" ca="1" si="13"/>
        <v>0.5257986111125017</v>
      </c>
      <c r="AC73" s="75">
        <f t="shared" ca="1" si="3"/>
        <v>1.4021296296333379</v>
      </c>
      <c r="AD73" s="76">
        <f t="shared" ca="1" si="14"/>
        <v>0</v>
      </c>
      <c r="AE73" s="76">
        <f t="shared" ca="1" si="15"/>
        <v>0.5257986111125017</v>
      </c>
      <c r="AF73" s="75">
        <f t="shared" ca="1" si="6"/>
        <v>1.4021296296333379</v>
      </c>
      <c r="AG73" s="75">
        <f t="shared" ca="1" si="7"/>
        <v>1.4021296296333379</v>
      </c>
      <c r="AH73" s="31" t="str" cm="1">
        <f t="array" aca="1" ref="AH73" ca="1">IF((AD73) &lt; (INDEX(ResponseSLA[#All],(MATCH((G73),ResponseSLA[Priority],0))+1,3)),"YES","No")</f>
        <v>YES</v>
      </c>
      <c r="AI73" s="31" t="str">
        <f ca="1">_xlfn.IFNA(IF(AE73 &lt; (INDEX(SLATable[Minimum SLA],MATCH(G73,SLATable[Priority],0))),"YES","NO"),"")</f>
        <v>YES</v>
      </c>
      <c r="AJ73" t="str">
        <f ca="1">_xlfn.IFNA(IF(AE73 &lt; (INDEX(SLATable[Maximum SLA],MATCH(G73,SLATable[Priority],0))),"YES","NO"),"")</f>
        <v>YES</v>
      </c>
    </row>
    <row r="74" spans="1:36" ht="15" customHeight="1">
      <c r="A74" s="45">
        <v>73</v>
      </c>
      <c r="B74" s="45" t="s">
        <v>26</v>
      </c>
      <c r="C74" s="45" t="s">
        <v>39</v>
      </c>
      <c r="D74" s="45" t="s">
        <v>207</v>
      </c>
      <c r="E74" s="45" t="s">
        <v>8027</v>
      </c>
      <c r="F74" s="45" t="s">
        <v>309</v>
      </c>
      <c r="G74" s="45">
        <v>4</v>
      </c>
      <c r="H74" s="45" t="s">
        <v>7931</v>
      </c>
      <c r="I74" s="45" t="s">
        <v>271</v>
      </c>
      <c r="J74" s="45" t="s">
        <v>7923</v>
      </c>
      <c r="K74" s="47">
        <v>46195.011701388888</v>
      </c>
      <c r="L74" s="47">
        <v>46195.011701388888</v>
      </c>
      <c r="M74" s="47">
        <v>46195.236111111109</v>
      </c>
      <c r="N74" s="47">
        <v>46195.495150462964</v>
      </c>
      <c r="R74" s="45" t="s">
        <v>272</v>
      </c>
      <c r="S74" s="45" t="s">
        <v>157</v>
      </c>
      <c r="U74" s="45" t="s">
        <v>371</v>
      </c>
      <c r="Z74" s="76">
        <f t="shared" ca="1" si="12"/>
        <v>0.16181712963104172</v>
      </c>
      <c r="AA74" s="75">
        <f t="shared" ca="1" si="1"/>
        <v>0.43151234568277791</v>
      </c>
      <c r="AB74" s="76">
        <f t="shared" ca="1" si="13"/>
        <v>0.16181712963104172</v>
      </c>
      <c r="AC74" s="75">
        <f t="shared" ca="1" si="3"/>
        <v>0.43151234568277791</v>
      </c>
      <c r="AD74" s="76">
        <f t="shared" ca="1" si="14"/>
        <v>0</v>
      </c>
      <c r="AE74" s="76">
        <f t="shared" ca="1" si="15"/>
        <v>0.16181712963104172</v>
      </c>
      <c r="AF74" s="75">
        <f t="shared" ca="1" si="6"/>
        <v>0.43151234568277791</v>
      </c>
      <c r="AG74" s="75">
        <f t="shared" ca="1" si="7"/>
        <v>0.43151234568277791</v>
      </c>
      <c r="AH74" s="31" t="str" cm="1">
        <f t="array" aca="1" ref="AH74" ca="1">IF((AD74) &lt; (INDEX(ResponseSLA[#All],(MATCH((G74),ResponseSLA[Priority],0))+1,3)),"YES","No")</f>
        <v>YES</v>
      </c>
      <c r="AI74" s="31" t="str">
        <f ca="1">_xlfn.IFNA(IF(AE74 &lt; (INDEX(SLATable[Minimum SLA],MATCH(G74,SLATable[Priority],0))),"YES","NO"),"")</f>
        <v>YES</v>
      </c>
      <c r="AJ74" t="str">
        <f ca="1">_xlfn.IFNA(IF(AE74 &lt; (INDEX(SLATable[Maximum SLA],MATCH(G74,SLATable[Priority],0))),"YES","NO"),"")</f>
        <v>YES</v>
      </c>
    </row>
    <row r="75" spans="1:36" ht="15" customHeight="1">
      <c r="A75" s="45">
        <v>74</v>
      </c>
      <c r="B75" s="45" t="s">
        <v>26</v>
      </c>
      <c r="C75" s="45" t="s">
        <v>39</v>
      </c>
      <c r="D75" s="45" t="s">
        <v>207</v>
      </c>
      <c r="E75" s="45" t="s">
        <v>8028</v>
      </c>
      <c r="F75" s="45" t="s">
        <v>309</v>
      </c>
      <c r="G75" s="45">
        <v>4</v>
      </c>
      <c r="H75" s="45" t="s">
        <v>7922</v>
      </c>
      <c r="I75" s="45" t="s">
        <v>271</v>
      </c>
      <c r="J75" s="45" t="s">
        <v>7923</v>
      </c>
      <c r="K75" s="47">
        <v>46194.226967592593</v>
      </c>
      <c r="L75" s="47">
        <v>46194.226967592593</v>
      </c>
      <c r="M75" s="47">
        <v>46195.236805555556</v>
      </c>
      <c r="N75" s="47">
        <v>46195.494097222225</v>
      </c>
      <c r="R75" s="45" t="s">
        <v>272</v>
      </c>
      <c r="S75" s="45" t="s">
        <v>157</v>
      </c>
      <c r="U75" s="45" t="s">
        <v>371</v>
      </c>
      <c r="Z75" s="76">
        <f t="shared" ca="1" si="12"/>
        <v>0.16076388889147591</v>
      </c>
      <c r="AA75" s="75">
        <f t="shared" ca="1" si="1"/>
        <v>0.42870370371060246</v>
      </c>
      <c r="AB75" s="76">
        <f t="shared" ca="1" si="13"/>
        <v>0.16076388889147591</v>
      </c>
      <c r="AC75" s="75">
        <f t="shared" ca="1" si="3"/>
        <v>0.42870370371060246</v>
      </c>
      <c r="AD75" s="76">
        <f t="shared" ca="1" si="14"/>
        <v>0</v>
      </c>
      <c r="AE75" s="76">
        <f t="shared" ca="1" si="15"/>
        <v>0.16076388889147591</v>
      </c>
      <c r="AF75" s="75">
        <f t="shared" ca="1" si="6"/>
        <v>0.42870370371060246</v>
      </c>
      <c r="AG75" s="75">
        <f t="shared" ca="1" si="7"/>
        <v>0.42870370371060246</v>
      </c>
      <c r="AH75" s="31" t="str" cm="1">
        <f t="array" aca="1" ref="AH75" ca="1">IF((AD75) &lt; (INDEX(ResponseSLA[#All],(MATCH((G75),ResponseSLA[Priority],0))+1,3)),"YES","No")</f>
        <v>YES</v>
      </c>
      <c r="AI75" s="31" t="str">
        <f ca="1">_xlfn.IFNA(IF(AE75 &lt; (INDEX(SLATable[Minimum SLA],MATCH(G75,SLATable[Priority],0))),"YES","NO"),"")</f>
        <v>YES</v>
      </c>
      <c r="AJ75" t="str">
        <f ca="1">_xlfn.IFNA(IF(AE75 &lt; (INDEX(SLATable[Maximum SLA],MATCH(G75,SLATable[Priority],0))),"YES","NO"),"")</f>
        <v>YES</v>
      </c>
    </row>
    <row r="76" spans="1:36" ht="15" customHeight="1">
      <c r="A76" s="45">
        <v>75</v>
      </c>
      <c r="B76" s="45" t="s">
        <v>26</v>
      </c>
      <c r="C76" s="45" t="s">
        <v>39</v>
      </c>
      <c r="D76" s="45" t="s">
        <v>208</v>
      </c>
      <c r="E76" s="45" t="s">
        <v>8029</v>
      </c>
      <c r="F76" s="45" t="s">
        <v>309</v>
      </c>
      <c r="G76" s="45" t="s">
        <v>208</v>
      </c>
      <c r="H76" s="45" t="s">
        <v>8030</v>
      </c>
      <c r="I76" s="45" t="s">
        <v>271</v>
      </c>
      <c r="J76" s="45" t="s">
        <v>7933</v>
      </c>
      <c r="K76" s="47">
        <v>46190.486168981479</v>
      </c>
      <c r="L76" s="47">
        <v>46190.486168981479</v>
      </c>
      <c r="M76" s="47">
        <v>46190.513194444444</v>
      </c>
      <c r="N76" s="47">
        <v>46205.515277777777</v>
      </c>
      <c r="Z76" s="76">
        <f t="shared" ca="1" si="12"/>
        <v>4.1541087962978063</v>
      </c>
      <c r="AA76" s="75">
        <f t="shared" ca="1" si="1"/>
        <v>11.07762345679415</v>
      </c>
      <c r="AB76" s="76">
        <f t="shared" ca="1" si="13"/>
        <v>4.1541087962978063</v>
      </c>
      <c r="AC76" s="75">
        <f t="shared" ca="1" si="3"/>
        <v>11.07762345679415</v>
      </c>
      <c r="AD76" s="76">
        <f t="shared" ca="1" si="14"/>
        <v>2.7025462964957114E-2</v>
      </c>
      <c r="AE76" s="76">
        <f t="shared" ca="1" si="15"/>
        <v>4.1541087962978063</v>
      </c>
      <c r="AF76" s="75">
        <f t="shared" ca="1" si="6"/>
        <v>11.07762345679415</v>
      </c>
      <c r="AG76" s="75">
        <f t="shared" ca="1" si="7"/>
        <v>11.07762345679415</v>
      </c>
      <c r="AH76" s="31" t="str" cm="1">
        <f t="array" aca="1" ref="AH76" ca="1">IF((AD76) &lt; (INDEX(ResponseSLA[#All],(MATCH((G76),ResponseSLA[Priority],0))+1,3)),"YES","No")</f>
        <v>YES</v>
      </c>
      <c r="AI76" s="31" t="str">
        <f ca="1">_xlfn.IFNA(IF(AE76 &lt; (INDEX(SLATable[Minimum SLA],MATCH(G76,SLATable[Priority],0))),"YES","NO"),"")</f>
        <v>NO</v>
      </c>
      <c r="AJ76" t="str">
        <f ca="1">_xlfn.IFNA(IF(AE76 &lt; (INDEX(SLATable[Maximum SLA],MATCH(G76,SLATable[Priority],0))),"YES","NO"),"")</f>
        <v>NO</v>
      </c>
    </row>
    <row r="77" spans="1:36" ht="15" customHeight="1">
      <c r="A77" s="45">
        <v>76</v>
      </c>
      <c r="B77" s="45" t="s">
        <v>26</v>
      </c>
      <c r="C77" s="45" t="s">
        <v>39</v>
      </c>
      <c r="D77" s="45" t="s">
        <v>207</v>
      </c>
      <c r="E77" s="45" t="s">
        <v>8031</v>
      </c>
      <c r="F77" s="45" t="s">
        <v>309</v>
      </c>
      <c r="G77" s="45">
        <v>4</v>
      </c>
      <c r="H77" s="45" t="s">
        <v>7925</v>
      </c>
      <c r="I77" s="45" t="s">
        <v>271</v>
      </c>
      <c r="J77" s="45" t="s">
        <v>7923</v>
      </c>
      <c r="K77" s="47">
        <v>46195.942361111112</v>
      </c>
      <c r="L77" s="47">
        <v>46195.942361111112</v>
      </c>
      <c r="M77" s="47">
        <v>46196.24722222222</v>
      </c>
      <c r="N77" s="47">
        <v>46197.513865740744</v>
      </c>
      <c r="R77" s="45" t="s">
        <v>272</v>
      </c>
      <c r="S77" s="45" t="s">
        <v>161</v>
      </c>
      <c r="U77" s="45" t="s">
        <v>371</v>
      </c>
      <c r="Z77" s="76">
        <f t="shared" ca="1" si="12"/>
        <v>0.55553240741088905</v>
      </c>
      <c r="AA77" s="75">
        <f t="shared" ca="1" si="1"/>
        <v>1.4814197530957043</v>
      </c>
      <c r="AB77" s="76">
        <f t="shared" ca="1" si="13"/>
        <v>0.55553240741088905</v>
      </c>
      <c r="AC77" s="75">
        <f t="shared" ca="1" si="3"/>
        <v>1.4814197530957043</v>
      </c>
      <c r="AD77" s="76">
        <f t="shared" ca="1" si="14"/>
        <v>0</v>
      </c>
      <c r="AE77" s="76">
        <f t="shared" ca="1" si="15"/>
        <v>0.55553240741088905</v>
      </c>
      <c r="AF77" s="75">
        <f t="shared" ca="1" si="6"/>
        <v>1.4814197530957043</v>
      </c>
      <c r="AG77" s="75">
        <f t="shared" ca="1" si="7"/>
        <v>1.4814197530957043</v>
      </c>
      <c r="AH77" s="31" t="str" cm="1">
        <f t="array" aca="1" ref="AH77" ca="1">IF((AD77) &lt; (INDEX(ResponseSLA[#All],(MATCH((G77),ResponseSLA[Priority],0))+1,3)),"YES","No")</f>
        <v>YES</v>
      </c>
      <c r="AI77" s="31" t="str">
        <f ca="1">_xlfn.IFNA(IF(AE77 &lt; (INDEX(SLATable[Minimum SLA],MATCH(G77,SLATable[Priority],0))),"YES","NO"),"")</f>
        <v>YES</v>
      </c>
      <c r="AJ77" t="str">
        <f ca="1">_xlfn.IFNA(IF(AE77 &lt; (INDEX(SLATable[Maximum SLA],MATCH(G77,SLATable[Priority],0))),"YES","NO"),"")</f>
        <v>YES</v>
      </c>
    </row>
    <row r="78" spans="1:36" ht="15" customHeight="1">
      <c r="A78" s="45">
        <v>77</v>
      </c>
      <c r="B78" s="45" t="s">
        <v>26</v>
      </c>
      <c r="C78" s="45" t="s">
        <v>39</v>
      </c>
      <c r="D78" s="45" t="s">
        <v>207</v>
      </c>
      <c r="E78" s="45" t="s">
        <v>8032</v>
      </c>
      <c r="F78" s="45" t="s">
        <v>309</v>
      </c>
      <c r="G78" s="45">
        <v>4</v>
      </c>
      <c r="H78" s="45" t="s">
        <v>7931</v>
      </c>
      <c r="I78" s="45" t="s">
        <v>271</v>
      </c>
      <c r="J78" s="45" t="s">
        <v>7923</v>
      </c>
      <c r="K78" s="47">
        <v>46198.497719907406</v>
      </c>
      <c r="L78" s="47">
        <v>46198.497719907406</v>
      </c>
      <c r="M78" s="47">
        <v>46198.5</v>
      </c>
      <c r="N78" s="47">
        <v>46199.526747685188</v>
      </c>
      <c r="R78" s="45" t="s">
        <v>272</v>
      </c>
      <c r="S78" s="45" t="s">
        <v>161</v>
      </c>
      <c r="U78" s="45" t="s">
        <v>371</v>
      </c>
      <c r="Z78" s="76">
        <f t="shared" ca="1" si="12"/>
        <v>0.40402777778217569</v>
      </c>
      <c r="AA78" s="75">
        <f t="shared" ca="1" si="1"/>
        <v>1.0774074074191351</v>
      </c>
      <c r="AB78" s="76">
        <f t="shared" ca="1" si="13"/>
        <v>0.40402777778217569</v>
      </c>
      <c r="AC78" s="75">
        <f t="shared" ca="1" si="3"/>
        <v>1.0774074074191351</v>
      </c>
      <c r="AD78" s="76">
        <f t="shared" ca="1" si="14"/>
        <v>2.2800925944466144E-3</v>
      </c>
      <c r="AE78" s="76">
        <f t="shared" ca="1" si="15"/>
        <v>0.40402777778217569</v>
      </c>
      <c r="AF78" s="75">
        <f t="shared" ca="1" si="6"/>
        <v>1.0774074074191351</v>
      </c>
      <c r="AG78" s="75">
        <f t="shared" ca="1" si="7"/>
        <v>1.0774074074191351</v>
      </c>
      <c r="AH78" s="31" t="str" cm="1">
        <f t="array" aca="1" ref="AH78" ca="1">IF((AD78) &lt; (INDEX(ResponseSLA[#All],(MATCH((G78),ResponseSLA[Priority],0))+1,3)),"YES","No")</f>
        <v>YES</v>
      </c>
      <c r="AI78" s="31" t="str">
        <f ca="1">_xlfn.IFNA(IF(AE78 &lt; (INDEX(SLATable[Minimum SLA],MATCH(G78,SLATable[Priority],0))),"YES","NO"),"")</f>
        <v>YES</v>
      </c>
      <c r="AJ78" t="str">
        <f ca="1">_xlfn.IFNA(IF(AE78 &lt; (INDEX(SLATable[Maximum SLA],MATCH(G78,SLATable[Priority],0))),"YES","NO"),"")</f>
        <v>YES</v>
      </c>
    </row>
    <row r="79" spans="1:36" ht="15" customHeight="1">
      <c r="A79" s="45">
        <v>78</v>
      </c>
      <c r="B79" s="45" t="s">
        <v>26</v>
      </c>
      <c r="C79" s="45" t="s">
        <v>39</v>
      </c>
      <c r="D79" s="45" t="s">
        <v>207</v>
      </c>
      <c r="E79" s="45" t="s">
        <v>8033</v>
      </c>
      <c r="F79" s="45" t="s">
        <v>309</v>
      </c>
      <c r="G79" s="45">
        <v>4</v>
      </c>
      <c r="H79" s="45" t="s">
        <v>7947</v>
      </c>
      <c r="I79" s="45" t="s">
        <v>271</v>
      </c>
      <c r="J79" s="45" t="s">
        <v>7923</v>
      </c>
      <c r="K79" s="47">
        <v>46200.414409722223</v>
      </c>
      <c r="L79" s="47">
        <v>46200.414409722223</v>
      </c>
      <c r="M79" s="47">
        <v>46202.263888888891</v>
      </c>
      <c r="N79" s="47">
        <v>46202.529733796298</v>
      </c>
      <c r="R79" s="45" t="s">
        <v>272</v>
      </c>
      <c r="S79" s="45" t="s">
        <v>157</v>
      </c>
      <c r="U79" s="45" t="s">
        <v>371</v>
      </c>
      <c r="Z79" s="76">
        <f t="shared" ca="1" si="12"/>
        <v>0.19640046296505415</v>
      </c>
      <c r="AA79" s="75">
        <f t="shared" ca="1" si="1"/>
        <v>0.52373456790681105</v>
      </c>
      <c r="AB79" s="76">
        <f t="shared" ca="1" si="13"/>
        <v>0.19640046296505415</v>
      </c>
      <c r="AC79" s="75">
        <f t="shared" ca="1" si="3"/>
        <v>0.52373456790681105</v>
      </c>
      <c r="AD79" s="76">
        <f t="shared" ca="1" si="14"/>
        <v>0</v>
      </c>
      <c r="AE79" s="76">
        <f t="shared" ca="1" si="15"/>
        <v>0.19640046296505415</v>
      </c>
      <c r="AF79" s="75">
        <f t="shared" ca="1" si="6"/>
        <v>0.52373456790681105</v>
      </c>
      <c r="AG79" s="75">
        <f t="shared" ca="1" si="7"/>
        <v>0.52373456790681105</v>
      </c>
      <c r="AH79" s="31" t="str" cm="1">
        <f t="array" aca="1" ref="AH79" ca="1">IF((AD79) &lt; (INDEX(ResponseSLA[#All],(MATCH((G79),ResponseSLA[Priority],0))+1,3)),"YES","No")</f>
        <v>YES</v>
      </c>
      <c r="AI79" s="31" t="str">
        <f ca="1">_xlfn.IFNA(IF(AE79 &lt; (INDEX(SLATable[Minimum SLA],MATCH(G79,SLATable[Priority],0))),"YES","NO"),"")</f>
        <v>YES</v>
      </c>
      <c r="AJ79" t="str">
        <f ca="1">_xlfn.IFNA(IF(AE79 &lt; (INDEX(SLATable[Maximum SLA],MATCH(G79,SLATable[Priority],0))),"YES","NO"),"")</f>
        <v>YES</v>
      </c>
    </row>
    <row r="80" spans="1:36" ht="15" customHeight="1">
      <c r="A80" s="45">
        <v>79</v>
      </c>
      <c r="B80" s="45" t="s">
        <v>26</v>
      </c>
      <c r="C80" s="45" t="s">
        <v>39</v>
      </c>
      <c r="D80" s="45" t="s">
        <v>207</v>
      </c>
      <c r="E80" s="45" t="s">
        <v>8034</v>
      </c>
      <c r="F80" s="45" t="s">
        <v>309</v>
      </c>
      <c r="G80" s="45">
        <v>4</v>
      </c>
      <c r="H80" s="45" t="s">
        <v>7931</v>
      </c>
      <c r="I80" s="45" t="s">
        <v>271</v>
      </c>
      <c r="J80" s="45" t="s">
        <v>7923</v>
      </c>
      <c r="K80" s="47">
        <v>46202.202615740738</v>
      </c>
      <c r="L80" s="47">
        <v>46202.202615740738</v>
      </c>
      <c r="M80" s="47">
        <v>46202.265277777777</v>
      </c>
      <c r="N80" s="47">
        <v>46202.531087962961</v>
      </c>
      <c r="R80" s="45" t="s">
        <v>272</v>
      </c>
      <c r="S80" s="45" t="s">
        <v>161</v>
      </c>
      <c r="U80" s="45" t="s">
        <v>371</v>
      </c>
      <c r="Z80" s="76">
        <f t="shared" ca="1" si="12"/>
        <v>0.19775462962813134</v>
      </c>
      <c r="AA80" s="75">
        <f t="shared" ca="1" si="1"/>
        <v>0.52734567900835017</v>
      </c>
      <c r="AB80" s="76">
        <f t="shared" ca="1" si="13"/>
        <v>0.19775462962813134</v>
      </c>
      <c r="AC80" s="75">
        <f t="shared" ca="1" si="3"/>
        <v>0.52734567900835017</v>
      </c>
      <c r="AD80" s="76">
        <f t="shared" ca="1" si="14"/>
        <v>0</v>
      </c>
      <c r="AE80" s="76">
        <f t="shared" ca="1" si="15"/>
        <v>0.19775462962813134</v>
      </c>
      <c r="AF80" s="75">
        <f t="shared" ca="1" si="6"/>
        <v>0.52734567900835017</v>
      </c>
      <c r="AG80" s="75">
        <f t="shared" ca="1" si="7"/>
        <v>0.52734567900835017</v>
      </c>
      <c r="AH80" s="31" t="str" cm="1">
        <f t="array" aca="1" ref="AH80" ca="1">IF((AD80) &lt; (INDEX(ResponseSLA[#All],(MATCH((G80),ResponseSLA[Priority],0))+1,3)),"YES","No")</f>
        <v>YES</v>
      </c>
      <c r="AI80" s="31" t="str">
        <f ca="1">_xlfn.IFNA(IF(AE80 &lt; (INDEX(SLATable[Minimum SLA],MATCH(G80,SLATable[Priority],0))),"YES","NO"),"")</f>
        <v>YES</v>
      </c>
      <c r="AJ80" t="str">
        <f ca="1">_xlfn.IFNA(IF(AE80 &lt; (INDEX(SLATable[Maximum SLA],MATCH(G80,SLATable[Priority],0))),"YES","NO"),"")</f>
        <v>YES</v>
      </c>
    </row>
    <row r="81" spans="1:36" ht="15" customHeight="1">
      <c r="A81" s="45">
        <v>80</v>
      </c>
      <c r="B81" s="45" t="s">
        <v>26</v>
      </c>
      <c r="C81" s="45" t="s">
        <v>39</v>
      </c>
      <c r="D81" s="45" t="s">
        <v>207</v>
      </c>
      <c r="E81" s="45" t="s">
        <v>8035</v>
      </c>
      <c r="F81" s="45" t="s">
        <v>309</v>
      </c>
      <c r="G81" s="45">
        <v>4</v>
      </c>
      <c r="H81" s="45" t="s">
        <v>8036</v>
      </c>
      <c r="I81" s="45" t="s">
        <v>271</v>
      </c>
      <c r="J81" s="45" t="s">
        <v>7923</v>
      </c>
      <c r="K81" s="47">
        <v>46199.570740740739</v>
      </c>
      <c r="L81" s="47">
        <v>46199.570740740739</v>
      </c>
      <c r="M81" s="47">
        <v>46202.270138888889</v>
      </c>
      <c r="N81" s="47">
        <v>46202.456331018519</v>
      </c>
      <c r="R81" s="45" t="s">
        <v>272</v>
      </c>
      <c r="S81" s="45" t="s">
        <v>157</v>
      </c>
      <c r="U81" s="45" t="s">
        <v>371</v>
      </c>
      <c r="Z81" s="76">
        <f t="shared" ca="1" si="12"/>
        <v>0.26059027777955635</v>
      </c>
      <c r="AA81" s="75">
        <f t="shared" ca="1" si="1"/>
        <v>0.69490740741215029</v>
      </c>
      <c r="AB81" s="76">
        <f t="shared" ca="1" si="13"/>
        <v>0.26059027777955635</v>
      </c>
      <c r="AC81" s="75">
        <f t="shared" ca="1" si="3"/>
        <v>0.69490740741215029</v>
      </c>
      <c r="AD81" s="76">
        <f t="shared" ca="1" si="14"/>
        <v>0.13759259259434964</v>
      </c>
      <c r="AE81" s="76">
        <f t="shared" ca="1" si="15"/>
        <v>0.26059027777955635</v>
      </c>
      <c r="AF81" s="75">
        <f t="shared" ca="1" si="6"/>
        <v>0.69490740741215029</v>
      </c>
      <c r="AG81" s="75">
        <f t="shared" ca="1" si="7"/>
        <v>0.69490740741215029</v>
      </c>
      <c r="AH81" s="31" t="str" cm="1">
        <f t="array" aca="1" ref="AH81" ca="1">IF((AD81) &lt; (INDEX(ResponseSLA[#All],(MATCH((G81),ResponseSLA[Priority],0))+1,3)),"YES","No")</f>
        <v>No</v>
      </c>
      <c r="AI81" s="31" t="str">
        <f ca="1">_xlfn.IFNA(IF(AE81 &lt; (INDEX(SLATable[Minimum SLA],MATCH(G81,SLATable[Priority],0))),"YES","NO"),"")</f>
        <v>YES</v>
      </c>
      <c r="AJ81" t="str">
        <f ca="1">_xlfn.IFNA(IF(AE81 &lt; (INDEX(SLATable[Maximum SLA],MATCH(G81,SLATable[Priority],0))),"YES","NO"),"")</f>
        <v>YES</v>
      </c>
    </row>
    <row r="82" spans="1:36" ht="15" customHeight="1">
      <c r="A82" s="45">
        <v>81</v>
      </c>
      <c r="B82" s="45" t="s">
        <v>26</v>
      </c>
      <c r="C82" s="45" t="s">
        <v>39</v>
      </c>
      <c r="D82" s="45" t="s">
        <v>207</v>
      </c>
      <c r="E82" s="45" t="s">
        <v>8037</v>
      </c>
      <c r="F82" s="45" t="s">
        <v>309</v>
      </c>
      <c r="G82" s="45">
        <v>4</v>
      </c>
      <c r="H82" s="45" t="s">
        <v>7922</v>
      </c>
      <c r="I82" s="45" t="s">
        <v>271</v>
      </c>
      <c r="J82" s="45" t="s">
        <v>7923</v>
      </c>
      <c r="K82" s="47">
        <v>46204.45994212963</v>
      </c>
      <c r="L82" s="47">
        <v>46204.45994212963</v>
      </c>
      <c r="M82" s="47">
        <v>46204.461111111108</v>
      </c>
      <c r="N82" s="47">
        <v>46204.511307870373</v>
      </c>
      <c r="R82" s="45" t="s">
        <v>272</v>
      </c>
      <c r="S82" s="45" t="s">
        <v>161</v>
      </c>
      <c r="U82" s="45" t="s">
        <v>371</v>
      </c>
      <c r="Z82" s="76">
        <f t="shared" ca="1" si="12"/>
        <v>5.136574074276723E-2</v>
      </c>
      <c r="AA82" s="75">
        <f t="shared" ca="1" si="1"/>
        <v>0.13697530864737928</v>
      </c>
      <c r="AB82" s="76">
        <f t="shared" ca="1" si="13"/>
        <v>5.136574074276723E-2</v>
      </c>
      <c r="AC82" s="75">
        <f t="shared" ca="1" si="3"/>
        <v>0.13697530864737928</v>
      </c>
      <c r="AD82" s="76">
        <f t="shared" ca="1" si="14"/>
        <v>1.1689814782585017E-3</v>
      </c>
      <c r="AE82" s="76">
        <f t="shared" ca="1" si="15"/>
        <v>5.136574074276723E-2</v>
      </c>
      <c r="AF82" s="75">
        <f t="shared" ca="1" si="6"/>
        <v>0.13697530864737928</v>
      </c>
      <c r="AG82" s="75">
        <f t="shared" ca="1" si="7"/>
        <v>0.13697530864737928</v>
      </c>
      <c r="AH82" s="31" t="str" cm="1">
        <f t="array" aca="1" ref="AH82" ca="1">IF((AD82) &lt; (INDEX(ResponseSLA[#All],(MATCH((G82),ResponseSLA[Priority],0))+1,3)),"YES","No")</f>
        <v>YES</v>
      </c>
      <c r="AI82" s="31" t="str">
        <f ca="1">_xlfn.IFNA(IF(AE82 &lt; (INDEX(SLATable[Minimum SLA],MATCH(G82,SLATable[Priority],0))),"YES","NO"),"")</f>
        <v>YES</v>
      </c>
      <c r="AJ82" t="str">
        <f ca="1">_xlfn.IFNA(IF(AE82 &lt; (INDEX(SLATable[Maximum SLA],MATCH(G82,SLATable[Priority],0))),"YES","NO"),"")</f>
        <v>YES</v>
      </c>
    </row>
    <row r="83" spans="1:36" ht="15" customHeight="1">
      <c r="A83" s="45">
        <v>82</v>
      </c>
      <c r="B83" s="45" t="s">
        <v>26</v>
      </c>
      <c r="C83" s="45" t="s">
        <v>39</v>
      </c>
      <c r="D83" s="45" t="s">
        <v>207</v>
      </c>
      <c r="E83" s="45" t="s">
        <v>8038</v>
      </c>
      <c r="F83" s="45" t="s">
        <v>309</v>
      </c>
      <c r="G83" s="45">
        <v>4</v>
      </c>
      <c r="H83" s="45" t="s">
        <v>8039</v>
      </c>
      <c r="I83" s="45" t="s">
        <v>271</v>
      </c>
      <c r="J83" s="45" t="s">
        <v>7923</v>
      </c>
      <c r="K83" s="47">
        <v>46204.373171296298</v>
      </c>
      <c r="L83" s="47">
        <v>46204.373171296298</v>
      </c>
      <c r="M83" s="47">
        <v>46204.417361111111</v>
      </c>
      <c r="N83" s="47">
        <v>46204.515752314815</v>
      </c>
      <c r="R83" s="45" t="s">
        <v>272</v>
      </c>
      <c r="S83" s="45" t="s">
        <v>157</v>
      </c>
      <c r="U83" s="45" t="s">
        <v>371</v>
      </c>
      <c r="Z83" s="76">
        <f t="shared" ca="1" si="12"/>
        <v>0.14258101851737592</v>
      </c>
      <c r="AA83" s="75">
        <f t="shared" ca="1" si="1"/>
        <v>0.38021604937966913</v>
      </c>
      <c r="AB83" s="76">
        <f t="shared" ca="1" si="13"/>
        <v>0.14258101851737592</v>
      </c>
      <c r="AC83" s="75">
        <f t="shared" ca="1" si="3"/>
        <v>0.38021604937966913</v>
      </c>
      <c r="AD83" s="76">
        <f t="shared" ca="1" si="14"/>
        <v>4.4189814812853001E-2</v>
      </c>
      <c r="AE83" s="76">
        <f t="shared" ca="1" si="15"/>
        <v>0.14258101851737592</v>
      </c>
      <c r="AF83" s="75">
        <f t="shared" ca="1" si="6"/>
        <v>0.38021604937966913</v>
      </c>
      <c r="AG83" s="75">
        <f t="shared" ca="1" si="7"/>
        <v>0.38021604937966913</v>
      </c>
      <c r="AH83" s="31" t="str" cm="1">
        <f t="array" aca="1" ref="AH83" ca="1">IF((AD83) &lt; (INDEX(ResponseSLA[#All],(MATCH((G83),ResponseSLA[Priority],0))+1,3)),"YES","No")</f>
        <v>YES</v>
      </c>
      <c r="AI83" s="31" t="str">
        <f ca="1">_xlfn.IFNA(IF(AE83 &lt; (INDEX(SLATable[Minimum SLA],MATCH(G83,SLATable[Priority],0))),"YES","NO"),"")</f>
        <v>YES</v>
      </c>
      <c r="AJ83" t="str">
        <f ca="1">_xlfn.IFNA(IF(AE83 &lt; (INDEX(SLATable[Maximum SLA],MATCH(G83,SLATable[Priority],0))),"YES","NO"),"")</f>
        <v>YES</v>
      </c>
    </row>
    <row r="84" spans="1:36" ht="15" customHeight="1">
      <c r="A84" s="45">
        <v>83</v>
      </c>
      <c r="B84" s="45" t="s">
        <v>26</v>
      </c>
      <c r="C84" s="45" t="s">
        <v>39</v>
      </c>
      <c r="D84" s="45" t="s">
        <v>207</v>
      </c>
      <c r="E84" s="45" t="s">
        <v>8040</v>
      </c>
      <c r="F84" s="45" t="s">
        <v>309</v>
      </c>
      <c r="G84" s="45">
        <v>4</v>
      </c>
      <c r="H84" s="45" t="s">
        <v>7931</v>
      </c>
      <c r="I84" s="45" t="s">
        <v>271</v>
      </c>
      <c r="J84" s="45" t="s">
        <v>7923</v>
      </c>
      <c r="K84" s="47">
        <v>46202.855428240742</v>
      </c>
      <c r="L84" s="47">
        <v>46202.855428240742</v>
      </c>
      <c r="M84" s="47">
        <v>46203.257638888892</v>
      </c>
      <c r="N84" s="47">
        <v>46204.517048611109</v>
      </c>
      <c r="R84" s="45" t="s">
        <v>272</v>
      </c>
      <c r="S84" s="45" t="s">
        <v>161</v>
      </c>
      <c r="U84" s="45" t="s">
        <v>371</v>
      </c>
      <c r="Z84" s="76">
        <f t="shared" ca="1" si="12"/>
        <v>0.55871527777586982</v>
      </c>
      <c r="AA84" s="75">
        <f t="shared" ca="1" si="1"/>
        <v>1.4899074074023195</v>
      </c>
      <c r="AB84" s="76">
        <f t="shared" ca="1" si="13"/>
        <v>0.55871527777586982</v>
      </c>
      <c r="AC84" s="75">
        <f t="shared" ca="1" si="3"/>
        <v>1.4899074074023195</v>
      </c>
      <c r="AD84" s="76">
        <f t="shared" ca="1" si="14"/>
        <v>0</v>
      </c>
      <c r="AE84" s="76">
        <f t="shared" ca="1" si="15"/>
        <v>0.55871527777586982</v>
      </c>
      <c r="AF84" s="75">
        <f t="shared" ca="1" si="6"/>
        <v>1.4899074074023195</v>
      </c>
      <c r="AG84" s="75">
        <f t="shared" ca="1" si="7"/>
        <v>1.4899074074023195</v>
      </c>
      <c r="AH84" s="31" t="str" cm="1">
        <f t="array" aca="1" ref="AH84" ca="1">IF((AD84) &lt; (INDEX(ResponseSLA[#All],(MATCH((G84),ResponseSLA[Priority],0))+1,3)),"YES","No")</f>
        <v>YES</v>
      </c>
      <c r="AI84" s="31" t="str">
        <f ca="1">_xlfn.IFNA(IF(AE84 &lt; (INDEX(SLATable[Minimum SLA],MATCH(G84,SLATable[Priority],0))),"YES","NO"),"")</f>
        <v>YES</v>
      </c>
      <c r="AJ84" t="str">
        <f ca="1">_xlfn.IFNA(IF(AE84 &lt; (INDEX(SLATable[Maximum SLA],MATCH(G84,SLATable[Priority],0))),"YES","NO"),"")</f>
        <v>YES</v>
      </c>
    </row>
    <row r="85" spans="1:36" ht="15" customHeight="1">
      <c r="A85" s="45">
        <v>84</v>
      </c>
      <c r="B85" s="45" t="s">
        <v>26</v>
      </c>
      <c r="C85" s="45" t="s">
        <v>39</v>
      </c>
      <c r="D85" s="45" t="s">
        <v>207</v>
      </c>
      <c r="E85" s="45" t="s">
        <v>8041</v>
      </c>
      <c r="F85" s="45" t="s">
        <v>309</v>
      </c>
      <c r="G85" s="45">
        <v>4</v>
      </c>
      <c r="H85" s="45" t="s">
        <v>7931</v>
      </c>
      <c r="I85" s="45" t="s">
        <v>271</v>
      </c>
      <c r="J85" s="45" t="s">
        <v>7933</v>
      </c>
      <c r="K85" s="47">
        <v>46204.831643518519</v>
      </c>
      <c r="L85" s="47">
        <v>46204.831643518519</v>
      </c>
      <c r="M85" s="47">
        <v>46205.235671296294</v>
      </c>
      <c r="N85" s="47">
        <v>46206.571458333332</v>
      </c>
      <c r="R85" s="45" t="s">
        <v>272</v>
      </c>
      <c r="S85" s="45" t="s">
        <v>161</v>
      </c>
      <c r="U85" s="45" t="s">
        <v>371</v>
      </c>
      <c r="Z85" s="76">
        <f t="shared" ca="1" si="12"/>
        <v>0.61312499999864178</v>
      </c>
      <c r="AA85" s="75">
        <f t="shared" ca="1" si="1"/>
        <v>1.6349999999963782</v>
      </c>
      <c r="AB85" s="76">
        <f t="shared" ca="1" si="13"/>
        <v>0.61312499999864178</v>
      </c>
      <c r="AC85" s="75">
        <f t="shared" ca="1" si="3"/>
        <v>1.6349999999963782</v>
      </c>
      <c r="AD85" s="76">
        <f t="shared" ca="1" si="14"/>
        <v>0</v>
      </c>
      <c r="AE85" s="76">
        <f t="shared" ca="1" si="15"/>
        <v>0.61312499999864178</v>
      </c>
      <c r="AF85" s="75">
        <f t="shared" ca="1" si="6"/>
        <v>1.6349999999963782</v>
      </c>
      <c r="AG85" s="75">
        <f t="shared" ca="1" si="7"/>
        <v>1.6349999999963782</v>
      </c>
      <c r="AH85" s="31" t="str" cm="1">
        <f t="array" aca="1" ref="AH85" ca="1">IF((AD85) &lt; (INDEX(ResponseSLA[#All],(MATCH((G85),ResponseSLA[Priority],0))+1,3)),"YES","No")</f>
        <v>YES</v>
      </c>
      <c r="AI85" s="31" t="str">
        <f ca="1">_xlfn.IFNA(IF(AE85 &lt; (INDEX(SLATable[Minimum SLA],MATCH(G85,SLATable[Priority],0))),"YES","NO"),"")</f>
        <v>YES</v>
      </c>
      <c r="AJ85" t="str">
        <f ca="1">_xlfn.IFNA(IF(AE85 &lt; (INDEX(SLATable[Maximum SLA],MATCH(G85,SLATable[Priority],0))),"YES","NO"),"")</f>
        <v>YES</v>
      </c>
    </row>
    <row r="86" spans="1:36" ht="15" customHeight="1">
      <c r="A86" s="45">
        <v>85</v>
      </c>
      <c r="B86" s="45" t="s">
        <v>26</v>
      </c>
      <c r="C86" s="45" t="s">
        <v>39</v>
      </c>
      <c r="D86" s="45" t="s">
        <v>207</v>
      </c>
      <c r="E86" s="45" t="s">
        <v>8042</v>
      </c>
      <c r="F86" s="45" t="s">
        <v>309</v>
      </c>
      <c r="G86" s="45">
        <v>4</v>
      </c>
      <c r="H86" s="45" t="s">
        <v>7925</v>
      </c>
      <c r="I86" s="45" t="s">
        <v>271</v>
      </c>
      <c r="J86" s="45" t="s">
        <v>7923</v>
      </c>
      <c r="K86" s="47">
        <v>46209.154120370367</v>
      </c>
      <c r="L86" s="47">
        <v>46209.154120370367</v>
      </c>
      <c r="M86" s="47">
        <v>46209.249305555553</v>
      </c>
      <c r="N86" s="47">
        <v>46209.581805555557</v>
      </c>
      <c r="R86" s="45" t="s">
        <v>272</v>
      </c>
      <c r="S86" s="45" t="s">
        <v>161</v>
      </c>
      <c r="U86" s="45" t="s">
        <v>371</v>
      </c>
      <c r="Z86" s="76">
        <f t="shared" ca="1" si="12"/>
        <v>0.24847222222403315</v>
      </c>
      <c r="AA86" s="75">
        <f t="shared" ca="1" si="1"/>
        <v>0.66259259259742165</v>
      </c>
      <c r="AB86" s="76">
        <f t="shared" ca="1" si="13"/>
        <v>0.24847222222403315</v>
      </c>
      <c r="AC86" s="75">
        <f t="shared" ca="1" si="3"/>
        <v>0.66259259259742165</v>
      </c>
      <c r="AD86" s="76">
        <f t="shared" ca="1" si="14"/>
        <v>0</v>
      </c>
      <c r="AE86" s="76">
        <f t="shared" ca="1" si="15"/>
        <v>0.24847222222403315</v>
      </c>
      <c r="AF86" s="75">
        <f t="shared" ca="1" si="6"/>
        <v>0.66259259259742165</v>
      </c>
      <c r="AG86" s="75">
        <f t="shared" ca="1" si="7"/>
        <v>0.66259259259742165</v>
      </c>
      <c r="AH86" s="31" t="str" cm="1">
        <f t="array" aca="1" ref="AH86" ca="1">IF((AD86) &lt; (INDEX(ResponseSLA[#All],(MATCH((G86),ResponseSLA[Priority],0))+1,3)),"YES","No")</f>
        <v>YES</v>
      </c>
      <c r="AI86" s="31" t="str">
        <f ca="1">_xlfn.IFNA(IF(AE86 &lt; (INDEX(SLATable[Minimum SLA],MATCH(G86,SLATable[Priority],0))),"YES","NO"),"")</f>
        <v>YES</v>
      </c>
      <c r="AJ86" t="str">
        <f ca="1">_xlfn.IFNA(IF(AE86 &lt; (INDEX(SLATable[Maximum SLA],MATCH(G86,SLATable[Priority],0))),"YES","NO"),"")</f>
        <v>YES</v>
      </c>
    </row>
    <row r="87" spans="1:36" ht="15" customHeight="1">
      <c r="A87" s="45">
        <v>86</v>
      </c>
      <c r="B87" s="45" t="s">
        <v>26</v>
      </c>
      <c r="C87" s="45" t="s">
        <v>39</v>
      </c>
      <c r="D87" s="45" t="s">
        <v>207</v>
      </c>
      <c r="E87" s="45" t="s">
        <v>8043</v>
      </c>
      <c r="F87" s="45" t="s">
        <v>309</v>
      </c>
      <c r="G87" s="45">
        <v>4</v>
      </c>
      <c r="H87" s="45" t="s">
        <v>7922</v>
      </c>
      <c r="I87" s="45" t="s">
        <v>271</v>
      </c>
      <c r="J87" s="45" t="s">
        <v>7923</v>
      </c>
      <c r="K87" s="47">
        <v>46207.452951388892</v>
      </c>
      <c r="L87" s="47">
        <v>46207.452951388892</v>
      </c>
      <c r="M87" s="47">
        <v>46209.251388888886</v>
      </c>
      <c r="N87" s="47">
        <v>46209.499467592592</v>
      </c>
      <c r="R87" s="45" t="s">
        <v>272</v>
      </c>
      <c r="S87" s="45" t="s">
        <v>161</v>
      </c>
      <c r="U87" s="45" t="s">
        <v>371</v>
      </c>
      <c r="Z87" s="76">
        <f t="shared" ca="1" si="12"/>
        <v>0.16613425925849395</v>
      </c>
      <c r="AA87" s="75">
        <f t="shared" ca="1" si="1"/>
        <v>0.44302469135598388</v>
      </c>
      <c r="AB87" s="76">
        <f t="shared" ca="1" si="13"/>
        <v>0.16613425925849395</v>
      </c>
      <c r="AC87" s="75">
        <f t="shared" ca="1" si="3"/>
        <v>0.44302469135598388</v>
      </c>
      <c r="AD87" s="76">
        <f t="shared" ca="1" si="14"/>
        <v>0</v>
      </c>
      <c r="AE87" s="76">
        <f t="shared" ca="1" si="15"/>
        <v>0.16613425925849395</v>
      </c>
      <c r="AF87" s="75">
        <f t="shared" ca="1" si="6"/>
        <v>0.44302469135598388</v>
      </c>
      <c r="AG87" s="75">
        <f t="shared" ca="1" si="7"/>
        <v>0.44302469135598388</v>
      </c>
      <c r="AH87" s="31" t="str" cm="1">
        <f t="array" aca="1" ref="AH87" ca="1">IF((AD87) &lt; (INDEX(ResponseSLA[#All],(MATCH((G87),ResponseSLA[Priority],0))+1,3)),"YES","No")</f>
        <v>YES</v>
      </c>
      <c r="AI87" s="31" t="str">
        <f ca="1">_xlfn.IFNA(IF(AE87 &lt; (INDEX(SLATable[Minimum SLA],MATCH(G87,SLATable[Priority],0))),"YES","NO"),"")</f>
        <v>YES</v>
      </c>
      <c r="AJ87" t="str">
        <f ca="1">_xlfn.IFNA(IF(AE87 &lt; (INDEX(SLATable[Maximum SLA],MATCH(G87,SLATable[Priority],0))),"YES","NO"),"")</f>
        <v>YES</v>
      </c>
    </row>
    <row r="88" spans="1:36" ht="15" customHeight="1">
      <c r="A88" s="45">
        <v>87</v>
      </c>
      <c r="B88" s="45" t="s">
        <v>26</v>
      </c>
      <c r="C88" s="45" t="s">
        <v>39</v>
      </c>
      <c r="D88" s="45" t="s">
        <v>207</v>
      </c>
      <c r="E88" s="45" t="s">
        <v>8044</v>
      </c>
      <c r="F88" s="45" t="s">
        <v>309</v>
      </c>
      <c r="G88" s="45">
        <v>4</v>
      </c>
      <c r="H88" s="45" t="s">
        <v>8045</v>
      </c>
      <c r="I88" s="45" t="s">
        <v>271</v>
      </c>
      <c r="J88" s="45" t="s">
        <v>7923</v>
      </c>
      <c r="K88" s="47">
        <v>46209.451504629629</v>
      </c>
      <c r="L88" s="47">
        <v>46209.451504629629</v>
      </c>
      <c r="M88" s="47">
        <v>46209.482638888891</v>
      </c>
      <c r="N88" s="47">
        <v>46211.478090277778</v>
      </c>
      <c r="R88" s="45" t="s">
        <v>272</v>
      </c>
      <c r="S88" s="45" t="s">
        <v>157</v>
      </c>
      <c r="U88" s="45" t="s">
        <v>371</v>
      </c>
      <c r="Z88" s="76">
        <f t="shared" ca="1" si="12"/>
        <v>0.77658564814919373</v>
      </c>
      <c r="AA88" s="75">
        <f t="shared" ca="1" si="1"/>
        <v>2.0708950617311834</v>
      </c>
      <c r="AB88" s="76">
        <f t="shared" ca="1" si="13"/>
        <v>0.77658564814919373</v>
      </c>
      <c r="AC88" s="75">
        <f t="shared" ca="1" si="3"/>
        <v>2.0708950617311834</v>
      </c>
      <c r="AD88" s="76">
        <f t="shared" ca="1" si="14"/>
        <v>3.1134259261307307E-2</v>
      </c>
      <c r="AE88" s="76">
        <f t="shared" ca="1" si="15"/>
        <v>0.77658564814919373</v>
      </c>
      <c r="AF88" s="75">
        <f t="shared" ca="1" si="6"/>
        <v>2.0708950617311834</v>
      </c>
      <c r="AG88" s="75">
        <f t="shared" ca="1" si="7"/>
        <v>2.0708950617311834</v>
      </c>
      <c r="AH88" s="31" t="str" cm="1">
        <f t="array" aca="1" ref="AH88" ca="1">IF((AD88) &lt; (INDEX(ResponseSLA[#All],(MATCH((G88),ResponseSLA[Priority],0))+1,3)),"YES","No")</f>
        <v>YES</v>
      </c>
      <c r="AI88" s="31" t="str">
        <f ca="1">_xlfn.IFNA(IF(AE88 &lt; (INDEX(SLATable[Minimum SLA],MATCH(G88,SLATable[Priority],0))),"YES","NO"),"")</f>
        <v>YES</v>
      </c>
      <c r="AJ88" t="str">
        <f ca="1">_xlfn.IFNA(IF(AE88 &lt; (INDEX(SLATable[Maximum SLA],MATCH(G88,SLATable[Priority],0))),"YES","NO"),"")</f>
        <v>YES</v>
      </c>
    </row>
    <row r="89" spans="1:36" ht="15" customHeight="1">
      <c r="A89" s="45">
        <v>88</v>
      </c>
      <c r="B89" s="45" t="s">
        <v>26</v>
      </c>
      <c r="C89" s="45" t="s">
        <v>39</v>
      </c>
      <c r="D89" s="45" t="s">
        <v>207</v>
      </c>
      <c r="E89" s="45" t="s">
        <v>8046</v>
      </c>
      <c r="F89" s="45" t="s">
        <v>309</v>
      </c>
      <c r="G89" s="45">
        <v>4</v>
      </c>
      <c r="H89" s="45" t="s">
        <v>7931</v>
      </c>
      <c r="I89" s="45" t="s">
        <v>271</v>
      </c>
      <c r="J89" s="45" t="s">
        <v>7923</v>
      </c>
      <c r="K89" s="47">
        <v>46210.064386574071</v>
      </c>
      <c r="L89" s="47">
        <v>46210.064386574071</v>
      </c>
      <c r="M89" s="47">
        <v>46210.219444444447</v>
      </c>
      <c r="N89" s="47">
        <v>46211.542916666665</v>
      </c>
      <c r="R89" s="45" t="s">
        <v>272</v>
      </c>
      <c r="S89" s="45" t="s">
        <v>161</v>
      </c>
      <c r="U89" s="45" t="s">
        <v>371</v>
      </c>
      <c r="Z89" s="76">
        <f t="shared" ca="1" si="12"/>
        <v>0.58458333333207224</v>
      </c>
      <c r="AA89" s="75">
        <f t="shared" ca="1" si="1"/>
        <v>1.5588888888855259</v>
      </c>
      <c r="AB89" s="76">
        <f t="shared" ca="1" si="13"/>
        <v>0.58458333333207224</v>
      </c>
      <c r="AC89" s="75">
        <f t="shared" ca="1" si="3"/>
        <v>1.5588888888855259</v>
      </c>
      <c r="AD89" s="76">
        <f t="shared" ca="1" si="14"/>
        <v>0</v>
      </c>
      <c r="AE89" s="76">
        <f t="shared" ca="1" si="15"/>
        <v>0.58458333333207224</v>
      </c>
      <c r="AF89" s="75">
        <f t="shared" ca="1" si="6"/>
        <v>1.5588888888855259</v>
      </c>
      <c r="AG89" s="75">
        <f t="shared" ca="1" si="7"/>
        <v>1.5588888888855259</v>
      </c>
      <c r="AH89" s="31" t="str" cm="1">
        <f t="array" aca="1" ref="AH89" ca="1">IF((AD89) &lt; (INDEX(ResponseSLA[#All],(MATCH((G89),ResponseSLA[Priority],0))+1,3)),"YES","No")</f>
        <v>YES</v>
      </c>
      <c r="AI89" s="31" t="str">
        <f ca="1">_xlfn.IFNA(IF(AE89 &lt; (INDEX(SLATable[Minimum SLA],MATCH(G89,SLATable[Priority],0))),"YES","NO"),"")</f>
        <v>YES</v>
      </c>
      <c r="AJ89" t="str">
        <f ca="1">_xlfn.IFNA(IF(AE89 &lt; (INDEX(SLATable[Maximum SLA],MATCH(G89,SLATable[Priority],0))),"YES","NO"),"")</f>
        <v>YES</v>
      </c>
    </row>
    <row r="90" spans="1:36" ht="15" customHeight="1">
      <c r="A90" s="45">
        <v>89</v>
      </c>
      <c r="B90" s="45" t="s">
        <v>26</v>
      </c>
      <c r="C90" s="45" t="s">
        <v>39</v>
      </c>
      <c r="D90" s="45" t="s">
        <v>207</v>
      </c>
      <c r="E90" s="45" t="s">
        <v>8047</v>
      </c>
      <c r="F90" s="45" t="s">
        <v>309</v>
      </c>
      <c r="G90" s="45">
        <v>4</v>
      </c>
      <c r="H90" s="45" t="s">
        <v>8039</v>
      </c>
      <c r="I90" s="45" t="s">
        <v>271</v>
      </c>
      <c r="J90" s="45" t="s">
        <v>7923</v>
      </c>
      <c r="K90" s="47">
        <v>46210.081504629627</v>
      </c>
      <c r="L90" s="47">
        <v>46210.081504629627</v>
      </c>
      <c r="M90" s="47">
        <v>46210.21875</v>
      </c>
      <c r="N90" s="47">
        <v>46211.488622685189</v>
      </c>
      <c r="R90" s="45" t="s">
        <v>272</v>
      </c>
      <c r="S90" s="45" t="s">
        <v>157</v>
      </c>
      <c r="U90" s="45" t="s">
        <v>371</v>
      </c>
      <c r="Z90" s="76">
        <f t="shared" ca="1" si="12"/>
        <v>0.53028935185526893</v>
      </c>
      <c r="AA90" s="75">
        <f t="shared" ca="1" si="1"/>
        <v>1.4141049382807171</v>
      </c>
      <c r="AB90" s="76">
        <f t="shared" ca="1" si="13"/>
        <v>0.53028935185526893</v>
      </c>
      <c r="AC90" s="75">
        <f t="shared" ca="1" si="3"/>
        <v>1.4141049382807171</v>
      </c>
      <c r="AD90" s="76">
        <f t="shared" ca="1" si="14"/>
        <v>0</v>
      </c>
      <c r="AE90" s="76">
        <f t="shared" ca="1" si="15"/>
        <v>0.53028935185526893</v>
      </c>
      <c r="AF90" s="75">
        <f t="shared" ca="1" si="6"/>
        <v>1.4141049382807171</v>
      </c>
      <c r="AG90" s="75">
        <f t="shared" ca="1" si="7"/>
        <v>1.4141049382807171</v>
      </c>
      <c r="AH90" s="31" t="str" cm="1">
        <f t="array" aca="1" ref="AH90" ca="1">IF((AD90) &lt; (INDEX(ResponseSLA[#All],(MATCH((G90),ResponseSLA[Priority],0))+1,3)),"YES","No")</f>
        <v>YES</v>
      </c>
      <c r="AI90" s="31" t="str">
        <f ca="1">_xlfn.IFNA(IF(AE90 &lt; (INDEX(SLATable[Minimum SLA],MATCH(G90,SLATable[Priority],0))),"YES","NO"),"")</f>
        <v>YES</v>
      </c>
      <c r="AJ90" t="str">
        <f ca="1">_xlfn.IFNA(IF(AE90 &lt; (INDEX(SLATable[Maximum SLA],MATCH(G90,SLATable[Priority],0))),"YES","NO"),"")</f>
        <v>YES</v>
      </c>
    </row>
    <row r="91" spans="1:36" ht="15" customHeight="1">
      <c r="A91" s="45">
        <v>90</v>
      </c>
      <c r="B91" s="45" t="s">
        <v>26</v>
      </c>
      <c r="C91" s="45" t="s">
        <v>39</v>
      </c>
      <c r="D91" s="45" t="s">
        <v>207</v>
      </c>
      <c r="E91" s="45" t="s">
        <v>8048</v>
      </c>
      <c r="F91" s="45" t="s">
        <v>309</v>
      </c>
      <c r="G91" s="45">
        <v>4</v>
      </c>
      <c r="H91" s="45" t="s">
        <v>7947</v>
      </c>
      <c r="I91" s="45" t="s">
        <v>271</v>
      </c>
      <c r="J91" s="45" t="s">
        <v>7923</v>
      </c>
      <c r="K91" s="47">
        <v>46210.866087962961</v>
      </c>
      <c r="L91" s="47">
        <v>46210.866087962961</v>
      </c>
      <c r="M91" s="47">
        <v>46211.259027777778</v>
      </c>
      <c r="N91" s="47">
        <v>46211.474687499998</v>
      </c>
      <c r="R91" s="45" t="s">
        <v>272</v>
      </c>
      <c r="S91" s="45" t="s">
        <v>157</v>
      </c>
      <c r="U91" s="45" t="s">
        <v>371</v>
      </c>
      <c r="Z91" s="76">
        <f t="shared" ca="1" si="12"/>
        <v>0.1413541666649204</v>
      </c>
      <c r="AA91" s="75">
        <f t="shared" ca="1" si="1"/>
        <v>0.37694444443978775</v>
      </c>
      <c r="AB91" s="76">
        <f t="shared" ca="1" si="13"/>
        <v>0.1413541666649204</v>
      </c>
      <c r="AC91" s="75">
        <f t="shared" ca="1" si="3"/>
        <v>0.37694444443978775</v>
      </c>
      <c r="AD91" s="76">
        <f t="shared" ca="1" si="14"/>
        <v>0</v>
      </c>
      <c r="AE91" s="76">
        <f t="shared" ca="1" si="15"/>
        <v>0.1413541666649204</v>
      </c>
      <c r="AF91" s="75">
        <f t="shared" ca="1" si="6"/>
        <v>0.37694444443978775</v>
      </c>
      <c r="AG91" s="75">
        <f t="shared" ca="1" si="7"/>
        <v>0.37694444443978775</v>
      </c>
      <c r="AH91" s="31" t="str" cm="1">
        <f t="array" aca="1" ref="AH91" ca="1">IF((AD91) &lt; (INDEX(ResponseSLA[#All],(MATCH((G91),ResponseSLA[Priority],0))+1,3)),"YES","No")</f>
        <v>YES</v>
      </c>
      <c r="AI91" s="31" t="str">
        <f ca="1">_xlfn.IFNA(IF(AE91 &lt; (INDEX(SLATable[Minimum SLA],MATCH(G91,SLATable[Priority],0))),"YES","NO"),"")</f>
        <v>YES</v>
      </c>
      <c r="AJ91" t="str">
        <f ca="1">_xlfn.IFNA(IF(AE91 &lt; (INDEX(SLATable[Maximum SLA],MATCH(G91,SLATable[Priority],0))),"YES","NO"),"")</f>
        <v>YES</v>
      </c>
    </row>
    <row r="92" spans="1:36" ht="15" customHeight="1">
      <c r="A92" s="45">
        <v>91</v>
      </c>
      <c r="B92" s="45" t="s">
        <v>26</v>
      </c>
      <c r="C92" s="45" t="s">
        <v>39</v>
      </c>
      <c r="D92" s="45" t="s">
        <v>208</v>
      </c>
      <c r="E92" s="45" t="s">
        <v>8049</v>
      </c>
      <c r="F92" s="45" t="s">
        <v>309</v>
      </c>
      <c r="G92" s="45" t="s">
        <v>208</v>
      </c>
      <c r="H92" s="45" t="s">
        <v>8000</v>
      </c>
      <c r="I92" s="45" t="s">
        <v>260</v>
      </c>
      <c r="J92" s="45" t="s">
        <v>7980</v>
      </c>
      <c r="K92" s="47">
        <v>46210.389027777775</v>
      </c>
      <c r="L92" s="47">
        <v>46210.389027777775</v>
      </c>
      <c r="M92" s="47">
        <v>46211.456250000003</v>
      </c>
      <c r="Z92" s="76">
        <f t="shared" ca="1" si="12"/>
        <v>13.369948032406684</v>
      </c>
      <c r="AA92" s="75">
        <f t="shared" ca="1" si="1"/>
        <v>35.653194753084492</v>
      </c>
      <c r="AB92" s="76">
        <f t="shared" ca="1" si="13"/>
        <v>13.369948032406684</v>
      </c>
      <c r="AC92" s="75">
        <f t="shared" ca="1" si="3"/>
        <v>35.653194753084492</v>
      </c>
      <c r="AD92" s="76">
        <f t="shared" ca="1" si="14"/>
        <v>0.44222222222742857</v>
      </c>
      <c r="AE92" s="76">
        <f t="shared" ca="1" si="15"/>
        <v>13.369948032406684</v>
      </c>
      <c r="AF92" s="75">
        <f t="shared" ca="1" si="6"/>
        <v>35.653194753084492</v>
      </c>
      <c r="AG92" s="75">
        <f t="shared" ca="1" si="7"/>
        <v>35.653194753084492</v>
      </c>
      <c r="AH92" s="31" t="str" cm="1">
        <f t="array" aca="1" ref="AH92" ca="1">IF((AD92) &lt; (INDEX(ResponseSLA[#All],(MATCH((G92),ResponseSLA[Priority],0))+1,3)),"YES","No")</f>
        <v>No</v>
      </c>
      <c r="AI92" s="31" t="str">
        <f ca="1">_xlfn.IFNA(IF(AE92 &lt; (INDEX(SLATable[Minimum SLA],MATCH(G92,SLATable[Priority],0))),"YES","NO"),"")</f>
        <v>NO</v>
      </c>
      <c r="AJ92" t="str">
        <f ca="1">_xlfn.IFNA(IF(AE92 &lt; (INDEX(SLATable[Maximum SLA],MATCH(G92,SLATable[Priority],0))),"YES","NO"),"")</f>
        <v>NO</v>
      </c>
    </row>
    <row r="93" spans="1:36" ht="15" customHeight="1">
      <c r="A93" s="45">
        <v>92</v>
      </c>
      <c r="B93" s="45" t="s">
        <v>26</v>
      </c>
      <c r="C93" s="45" t="s">
        <v>39</v>
      </c>
      <c r="D93" s="45" t="s">
        <v>208</v>
      </c>
      <c r="E93" s="45" t="s">
        <v>8050</v>
      </c>
      <c r="F93" s="45" t="s">
        <v>309</v>
      </c>
      <c r="G93" s="45" t="s">
        <v>208</v>
      </c>
      <c r="H93" s="45" t="s">
        <v>8051</v>
      </c>
      <c r="I93" s="45" t="s">
        <v>271</v>
      </c>
      <c r="J93" s="45" t="s">
        <v>7977</v>
      </c>
      <c r="K93" s="47">
        <v>46209.623657407406</v>
      </c>
      <c r="L93" s="47">
        <v>46210.584027777775</v>
      </c>
      <c r="M93" s="47">
        <v>46211.40625</v>
      </c>
      <c r="N93" s="47">
        <v>46255.454861111109</v>
      </c>
      <c r="Z93" s="76">
        <f t="shared" ca="1" si="12"/>
        <v>12.58120370370307</v>
      </c>
      <c r="AA93" s="75">
        <f t="shared" ca="1" si="1"/>
        <v>33.549876543208185</v>
      </c>
      <c r="AB93" s="76">
        <f t="shared" ca="1" si="13"/>
        <v>12.245833333334305</v>
      </c>
      <c r="AC93" s="75">
        <f t="shared" ca="1" si="3"/>
        <v>32.655555555558152</v>
      </c>
      <c r="AD93" s="76">
        <f t="shared" ca="1" si="14"/>
        <v>0.19722222222480923</v>
      </c>
      <c r="AE93" s="76">
        <f t="shared" ca="1" si="15"/>
        <v>12.245833333334305</v>
      </c>
      <c r="AF93" s="75">
        <f t="shared" ca="1" si="6"/>
        <v>32.655555555558152</v>
      </c>
      <c r="AG93" s="75">
        <f t="shared" ca="1" si="7"/>
        <v>32.655555555558152</v>
      </c>
      <c r="AH93" s="31" t="str" cm="1">
        <f t="array" aca="1" ref="AH93" ca="1">IF((AD93) &lt; (INDEX(ResponseSLA[#All],(MATCH((G93),ResponseSLA[Priority],0))+1,3)),"YES","No")</f>
        <v>YES</v>
      </c>
      <c r="AI93" s="31" t="str">
        <f ca="1">_xlfn.IFNA(IF(AE93 &lt; (INDEX(SLATable[Minimum SLA],MATCH(G93,SLATable[Priority],0))),"YES","NO"),"")</f>
        <v>NO</v>
      </c>
      <c r="AJ93" t="str">
        <f ca="1">_xlfn.IFNA(IF(AE93 &lt; (INDEX(SLATable[Maximum SLA],MATCH(G93,SLATable[Priority],0))),"YES","NO"),"")</f>
        <v>NO</v>
      </c>
    </row>
    <row r="94" spans="1:36" ht="15" customHeight="1">
      <c r="A94" s="45">
        <v>93</v>
      </c>
      <c r="B94" s="45" t="s">
        <v>26</v>
      </c>
      <c r="C94" s="45" t="s">
        <v>39</v>
      </c>
      <c r="D94" s="45" t="s">
        <v>208</v>
      </c>
      <c r="E94" s="45" t="s">
        <v>8052</v>
      </c>
      <c r="F94" s="45" t="s">
        <v>309</v>
      </c>
      <c r="G94" s="45" t="s">
        <v>208</v>
      </c>
      <c r="H94" s="45" t="s">
        <v>8053</v>
      </c>
      <c r="I94" s="45" t="s">
        <v>271</v>
      </c>
      <c r="J94" s="45" t="s">
        <v>7977</v>
      </c>
      <c r="K94" s="47">
        <v>46206.324756944443</v>
      </c>
      <c r="L94" s="47">
        <v>46206.324756944443</v>
      </c>
      <c r="M94" s="47">
        <v>46211.461805555555</v>
      </c>
      <c r="N94" s="47">
        <v>46237.639097222222</v>
      </c>
      <c r="Z94" s="76">
        <f t="shared" ca="1" si="12"/>
        <v>8.1807638888882739</v>
      </c>
      <c r="AA94" s="75">
        <f t="shared" ca="1" si="1"/>
        <v>21.815370370368733</v>
      </c>
      <c r="AB94" s="76">
        <f t="shared" ca="1" si="13"/>
        <v>8.1807638888882739</v>
      </c>
      <c r="AC94" s="75">
        <f t="shared" ca="1" si="3"/>
        <v>21.815370370368733</v>
      </c>
      <c r="AD94" s="76">
        <f t="shared" ca="1" si="14"/>
        <v>1.2534722222214141</v>
      </c>
      <c r="AE94" s="76">
        <f t="shared" ca="1" si="15"/>
        <v>8.1807638888882739</v>
      </c>
      <c r="AF94" s="75">
        <f t="shared" ca="1" si="6"/>
        <v>21.815370370368733</v>
      </c>
      <c r="AG94" s="75">
        <f t="shared" ca="1" si="7"/>
        <v>21.815370370368733</v>
      </c>
      <c r="AH94" s="31" t="str" cm="1">
        <f t="array" aca="1" ref="AH94" ca="1">IF((AD94) &lt; (INDEX(ResponseSLA[#All],(MATCH((G94),ResponseSLA[Priority],0))+1,3)),"YES","No")</f>
        <v>No</v>
      </c>
      <c r="AI94" s="31" t="str">
        <f ca="1">_xlfn.IFNA(IF(AE94 &lt; (INDEX(SLATable[Minimum SLA],MATCH(G94,SLATable[Priority],0))),"YES","NO"),"")</f>
        <v>NO</v>
      </c>
      <c r="AJ94" t="str">
        <f ca="1">_xlfn.IFNA(IF(AE94 &lt; (INDEX(SLATable[Maximum SLA],MATCH(G94,SLATable[Priority],0))),"YES","NO"),"")</f>
        <v>NO</v>
      </c>
    </row>
    <row r="95" spans="1:36" ht="15" customHeight="1">
      <c r="A95" s="45">
        <v>94</v>
      </c>
      <c r="B95" s="45" t="s">
        <v>26</v>
      </c>
      <c r="C95" s="45" t="s">
        <v>39</v>
      </c>
      <c r="D95" s="45" t="s">
        <v>207</v>
      </c>
      <c r="E95" s="45" t="s">
        <v>8054</v>
      </c>
      <c r="F95" s="45" t="s">
        <v>309</v>
      </c>
      <c r="G95" s="45">
        <v>4</v>
      </c>
      <c r="H95" s="45" t="s">
        <v>7931</v>
      </c>
      <c r="I95" s="45" t="s">
        <v>271</v>
      </c>
      <c r="J95" s="45" t="s">
        <v>7923</v>
      </c>
      <c r="K95" s="47">
        <v>46212.835173611114</v>
      </c>
      <c r="L95" s="47">
        <v>46212.835173611114</v>
      </c>
      <c r="M95" s="47">
        <v>46213.240972222222</v>
      </c>
      <c r="N95" s="47">
        <v>46213.539097222223</v>
      </c>
      <c r="R95" s="45" t="s">
        <v>272</v>
      </c>
      <c r="S95" s="45" t="s">
        <v>161</v>
      </c>
      <c r="U95" s="45" t="s">
        <v>371</v>
      </c>
      <c r="Z95" s="76">
        <f t="shared" ca="1" si="12"/>
        <v>0.20576388888972963</v>
      </c>
      <c r="AA95" s="75">
        <f t="shared" ca="1" si="1"/>
        <v>0.54870370370594568</v>
      </c>
      <c r="AB95" s="76">
        <f t="shared" ca="1" si="13"/>
        <v>0.20576388888972963</v>
      </c>
      <c r="AC95" s="75">
        <f t="shared" ca="1" si="3"/>
        <v>0.54870370370594568</v>
      </c>
      <c r="AD95" s="76">
        <f t="shared" ca="1" si="14"/>
        <v>0</v>
      </c>
      <c r="AE95" s="76">
        <f t="shared" ca="1" si="15"/>
        <v>0.20576388888972963</v>
      </c>
      <c r="AF95" s="75">
        <f t="shared" ca="1" si="6"/>
        <v>0.54870370370594568</v>
      </c>
      <c r="AG95" s="75">
        <f t="shared" ca="1" si="7"/>
        <v>0.54870370370594568</v>
      </c>
      <c r="AH95" s="31" t="str" cm="1">
        <f t="array" aca="1" ref="AH95" ca="1">IF((AD95) &lt; (INDEX(ResponseSLA[#All],(MATCH((G95),ResponseSLA[Priority],0))+1,3)),"YES","No")</f>
        <v>YES</v>
      </c>
      <c r="AI95" s="31" t="str">
        <f ca="1">_xlfn.IFNA(IF(AE95 &lt; (INDEX(SLATable[Minimum SLA],MATCH(G95,SLATable[Priority],0))),"YES","NO"),"")</f>
        <v>YES</v>
      </c>
      <c r="AJ95" t="str">
        <f ca="1">_xlfn.IFNA(IF(AE95 &lt; (INDEX(SLATable[Maximum SLA],MATCH(G95,SLATable[Priority],0))),"YES","NO"),"")</f>
        <v>YES</v>
      </c>
    </row>
    <row r="96" spans="1:36" ht="15" customHeight="1">
      <c r="A96" s="45">
        <v>95</v>
      </c>
      <c r="B96" s="45" t="s">
        <v>26</v>
      </c>
      <c r="C96" s="45" t="s">
        <v>39</v>
      </c>
      <c r="D96" s="45" t="s">
        <v>207</v>
      </c>
      <c r="E96" s="45" t="s">
        <v>8055</v>
      </c>
      <c r="F96" s="45" t="s">
        <v>309</v>
      </c>
      <c r="G96" s="45">
        <v>4</v>
      </c>
      <c r="H96" s="45" t="s">
        <v>7925</v>
      </c>
      <c r="I96" s="45" t="s">
        <v>271</v>
      </c>
      <c r="J96" s="45" t="s">
        <v>7933</v>
      </c>
      <c r="K96" s="47">
        <v>46213.546759259261</v>
      </c>
      <c r="L96" s="47">
        <v>46213.546759259261</v>
      </c>
      <c r="M96" s="47">
        <v>46213.557395833333</v>
      </c>
      <c r="N96" s="47">
        <v>46213.597303240742</v>
      </c>
      <c r="R96" s="45" t="s">
        <v>272</v>
      </c>
      <c r="S96" s="45" t="s">
        <v>161</v>
      </c>
      <c r="U96" s="45" t="s">
        <v>371</v>
      </c>
      <c r="Z96" s="76">
        <f t="shared" ca="1" si="12"/>
        <v>5.0543981480586808E-2</v>
      </c>
      <c r="AA96" s="75">
        <f t="shared" ca="1" si="1"/>
        <v>0.13478395061489815</v>
      </c>
      <c r="AB96" s="76">
        <f t="shared" ca="1" si="13"/>
        <v>5.0543981480586808E-2</v>
      </c>
      <c r="AC96" s="75">
        <f t="shared" ca="1" si="3"/>
        <v>0.13478395061489815</v>
      </c>
      <c r="AD96" s="76">
        <f t="shared" ca="1" si="14"/>
        <v>1.063657407212304E-2</v>
      </c>
      <c r="AE96" s="76">
        <f t="shared" ca="1" si="15"/>
        <v>5.0543981480586808E-2</v>
      </c>
      <c r="AF96" s="75">
        <f t="shared" ca="1" si="6"/>
        <v>0.13478395061489815</v>
      </c>
      <c r="AG96" s="75">
        <f t="shared" ca="1" si="7"/>
        <v>0.13478395061489815</v>
      </c>
      <c r="AH96" s="31" t="str" cm="1">
        <f t="array" aca="1" ref="AH96" ca="1">IF((AD96) &lt; (INDEX(ResponseSLA[#All],(MATCH((G96),ResponseSLA[Priority],0))+1,3)),"YES","No")</f>
        <v>YES</v>
      </c>
      <c r="AI96" s="31" t="str">
        <f ca="1">_xlfn.IFNA(IF(AE96 &lt; (INDEX(SLATable[Minimum SLA],MATCH(G96,SLATable[Priority],0))),"YES","NO"),"")</f>
        <v>YES</v>
      </c>
      <c r="AJ96" t="str">
        <f ca="1">_xlfn.IFNA(IF(AE96 &lt; (INDEX(SLATable[Maximum SLA],MATCH(G96,SLATable[Priority],0))),"YES","NO"),"")</f>
        <v>YES</v>
      </c>
    </row>
    <row r="97" spans="1:36" ht="15" customHeight="1">
      <c r="A97" s="45">
        <v>96</v>
      </c>
      <c r="B97" s="45" t="s">
        <v>26</v>
      </c>
      <c r="C97" s="45" t="s">
        <v>39</v>
      </c>
      <c r="D97" s="45" t="s">
        <v>207</v>
      </c>
      <c r="E97" s="45" t="s">
        <v>8056</v>
      </c>
      <c r="F97" s="45" t="s">
        <v>309</v>
      </c>
      <c r="G97" s="45">
        <v>4</v>
      </c>
      <c r="H97" s="45" t="s">
        <v>7931</v>
      </c>
      <c r="I97" s="45" t="s">
        <v>271</v>
      </c>
      <c r="J97" s="45" t="s">
        <v>7933</v>
      </c>
      <c r="K97" s="47">
        <v>46213.612384259257</v>
      </c>
      <c r="L97" s="47">
        <v>46213.612384259257</v>
      </c>
      <c r="M97" s="47">
        <v>46213.615393518521</v>
      </c>
      <c r="N97" s="47">
        <v>46213.640046296299</v>
      </c>
      <c r="R97" s="45" t="s">
        <v>272</v>
      </c>
      <c r="S97" s="45" t="s">
        <v>161</v>
      </c>
      <c r="U97" s="45" t="s">
        <v>371</v>
      </c>
      <c r="Z97" s="76">
        <f t="shared" ca="1" si="12"/>
        <v>2.7662037042318843E-2</v>
      </c>
      <c r="AA97" s="75">
        <f t="shared" ca="1" si="1"/>
        <v>7.3765432112850249E-2</v>
      </c>
      <c r="AB97" s="76">
        <f t="shared" ca="1" si="13"/>
        <v>2.7662037042318843E-2</v>
      </c>
      <c r="AC97" s="75">
        <f t="shared" ca="1" si="3"/>
        <v>7.3765432112850249E-2</v>
      </c>
      <c r="AD97" s="76">
        <f t="shared" ca="1" si="14"/>
        <v>3.0092592642176896E-3</v>
      </c>
      <c r="AE97" s="76">
        <f t="shared" ca="1" si="15"/>
        <v>2.7662037042318843E-2</v>
      </c>
      <c r="AF97" s="75">
        <f t="shared" ca="1" si="6"/>
        <v>7.3765432112850249E-2</v>
      </c>
      <c r="AG97" s="75">
        <f t="shared" ca="1" si="7"/>
        <v>7.3765432112850249E-2</v>
      </c>
      <c r="AH97" s="31" t="str" cm="1">
        <f t="array" aca="1" ref="AH97" ca="1">IF((AD97) &lt; (INDEX(ResponseSLA[#All],(MATCH((G97),ResponseSLA[Priority],0))+1,3)),"YES","No")</f>
        <v>YES</v>
      </c>
      <c r="AI97" s="31" t="str">
        <f ca="1">_xlfn.IFNA(IF(AE97 &lt; (INDEX(SLATable[Minimum SLA],MATCH(G97,SLATable[Priority],0))),"YES","NO"),"")</f>
        <v>YES</v>
      </c>
      <c r="AJ97" t="str">
        <f ca="1">_xlfn.IFNA(IF(AE97 &lt; (INDEX(SLATable[Maximum SLA],MATCH(G97,SLATable[Priority],0))),"YES","NO"),"")</f>
        <v>YES</v>
      </c>
    </row>
    <row r="98" spans="1:36" ht="15" customHeight="1">
      <c r="A98" s="45">
        <v>97</v>
      </c>
      <c r="B98" s="45" t="s">
        <v>26</v>
      </c>
      <c r="C98" s="45" t="s">
        <v>39</v>
      </c>
      <c r="D98" s="45" t="s">
        <v>207</v>
      </c>
      <c r="E98" s="45" t="s">
        <v>8057</v>
      </c>
      <c r="F98" s="45" t="s">
        <v>309</v>
      </c>
      <c r="G98" s="45">
        <v>4</v>
      </c>
      <c r="H98" s="45" t="s">
        <v>7947</v>
      </c>
      <c r="I98" s="45" t="s">
        <v>271</v>
      </c>
      <c r="J98" s="45" t="s">
        <v>7923</v>
      </c>
      <c r="K98" s="47">
        <v>46215.248206018521</v>
      </c>
      <c r="L98" s="47">
        <v>46215.248206018521</v>
      </c>
      <c r="M98" s="47">
        <v>46216.243750000001</v>
      </c>
      <c r="N98" s="47">
        <v>46216.528402777774</v>
      </c>
      <c r="R98" s="45" t="s">
        <v>272</v>
      </c>
      <c r="S98" s="45" t="s">
        <v>157</v>
      </c>
      <c r="U98" s="45" t="s">
        <v>371</v>
      </c>
      <c r="Z98" s="76">
        <f t="shared" ca="1" si="12"/>
        <v>0.19506944444098434</v>
      </c>
      <c r="AA98" s="75">
        <f t="shared" ca="1" si="1"/>
        <v>0.52018518517595824</v>
      </c>
      <c r="AB98" s="76">
        <f t="shared" ca="1" si="13"/>
        <v>0.19506944444098434</v>
      </c>
      <c r="AC98" s="75">
        <f t="shared" ca="1" si="3"/>
        <v>0.52018518517595824</v>
      </c>
      <c r="AD98" s="76">
        <f t="shared" ca="1" si="14"/>
        <v>0</v>
      </c>
      <c r="AE98" s="76">
        <f t="shared" ca="1" si="15"/>
        <v>0.19506944444098434</v>
      </c>
      <c r="AF98" s="75">
        <f t="shared" ca="1" si="6"/>
        <v>0.52018518517595824</v>
      </c>
      <c r="AG98" s="75">
        <f t="shared" ca="1" si="7"/>
        <v>0.52018518517595824</v>
      </c>
      <c r="AH98" s="31" t="str" cm="1">
        <f t="array" aca="1" ref="AH98" ca="1">IF((AD98) &lt; (INDEX(ResponseSLA[#All],(MATCH((G98),ResponseSLA[Priority],0))+1,3)),"YES","No")</f>
        <v>YES</v>
      </c>
      <c r="AI98" s="31" t="str">
        <f ca="1">_xlfn.IFNA(IF(AE98 &lt; (INDEX(SLATable[Minimum SLA],MATCH(G98,SLATable[Priority],0))),"YES","NO"),"")</f>
        <v>YES</v>
      </c>
      <c r="AJ98" t="str">
        <f ca="1">_xlfn.IFNA(IF(AE98 &lt; (INDEX(SLATable[Maximum SLA],MATCH(G98,SLATable[Priority],0))),"YES","NO"),"")</f>
        <v>YES</v>
      </c>
    </row>
    <row r="99" spans="1:36" ht="15" customHeight="1">
      <c r="A99" s="45">
        <v>98</v>
      </c>
      <c r="B99" s="45" t="s">
        <v>26</v>
      </c>
      <c r="C99" s="45" t="s">
        <v>39</v>
      </c>
      <c r="D99" s="45" t="s">
        <v>207</v>
      </c>
      <c r="E99" s="45" t="s">
        <v>8058</v>
      </c>
      <c r="F99" s="45" t="s">
        <v>309</v>
      </c>
      <c r="G99" s="45">
        <v>4</v>
      </c>
      <c r="H99" s="45" t="s">
        <v>7922</v>
      </c>
      <c r="I99" s="45" t="s">
        <v>271</v>
      </c>
      <c r="J99" s="45" t="s">
        <v>7923</v>
      </c>
      <c r="K99" s="47">
        <v>46215.83494212963</v>
      </c>
      <c r="L99" s="47">
        <v>46215.83494212963</v>
      </c>
      <c r="M99" s="47">
        <v>46216.243055555555</v>
      </c>
      <c r="N99" s="47">
        <v>46216.530150462961</v>
      </c>
      <c r="R99" s="45" t="s">
        <v>272</v>
      </c>
      <c r="S99" s="45" t="s">
        <v>161</v>
      </c>
      <c r="U99" s="45" t="s">
        <v>371</v>
      </c>
      <c r="Z99" s="76">
        <f t="shared" ca="1" si="12"/>
        <v>0.19681712962725822</v>
      </c>
      <c r="AA99" s="75">
        <f t="shared" ca="1" si="1"/>
        <v>0.52484567900602186</v>
      </c>
      <c r="AB99" s="76">
        <f t="shared" ca="1" si="13"/>
        <v>0.19681712962725822</v>
      </c>
      <c r="AC99" s="75">
        <f t="shared" ca="1" si="3"/>
        <v>0.52484567900602186</v>
      </c>
      <c r="AD99" s="76">
        <f t="shared" ca="1" si="14"/>
        <v>0</v>
      </c>
      <c r="AE99" s="76">
        <f t="shared" ca="1" si="15"/>
        <v>0.19681712962725822</v>
      </c>
      <c r="AF99" s="75">
        <f t="shared" ca="1" si="6"/>
        <v>0.52484567900602186</v>
      </c>
      <c r="AG99" s="75">
        <f t="shared" ca="1" si="7"/>
        <v>0.52484567900602186</v>
      </c>
      <c r="AH99" s="31" t="str" cm="1">
        <f t="array" aca="1" ref="AH99" ca="1">IF((AD99) &lt; (INDEX(ResponseSLA[#All],(MATCH((G99),ResponseSLA[Priority],0))+1,3)),"YES","No")</f>
        <v>YES</v>
      </c>
      <c r="AI99" s="31" t="str">
        <f ca="1">_xlfn.IFNA(IF(AE99 &lt; (INDEX(SLATable[Minimum SLA],MATCH(G99,SLATable[Priority],0))),"YES","NO"),"")</f>
        <v>YES</v>
      </c>
      <c r="AJ99" t="str">
        <f ca="1">_xlfn.IFNA(IF(AE99 &lt; (INDEX(SLATable[Maximum SLA],MATCH(G99,SLATable[Priority],0))),"YES","NO"),"")</f>
        <v>YES</v>
      </c>
    </row>
    <row r="100" spans="1:36" ht="15" customHeight="1">
      <c r="A100" s="45">
        <v>99</v>
      </c>
      <c r="B100" s="45" t="s">
        <v>26</v>
      </c>
      <c r="C100" s="45" t="s">
        <v>39</v>
      </c>
      <c r="D100" s="45" t="s">
        <v>207</v>
      </c>
      <c r="E100" s="45" t="s">
        <v>8059</v>
      </c>
      <c r="F100" s="45" t="s">
        <v>309</v>
      </c>
      <c r="G100" s="45">
        <v>4</v>
      </c>
      <c r="H100" s="45" t="s">
        <v>7925</v>
      </c>
      <c r="I100" s="45" t="s">
        <v>271</v>
      </c>
      <c r="J100" s="45" t="s">
        <v>7923</v>
      </c>
      <c r="K100" s="47">
        <v>46216.1718287037</v>
      </c>
      <c r="L100" s="47">
        <v>46216.1718287037</v>
      </c>
      <c r="M100" s="47">
        <v>46216.241666666669</v>
      </c>
      <c r="N100" s="47">
        <v>46216.53328703704</v>
      </c>
      <c r="R100" s="45" t="s">
        <v>272</v>
      </c>
      <c r="S100" s="45" t="s">
        <v>161</v>
      </c>
      <c r="U100" s="45" t="s">
        <v>371</v>
      </c>
      <c r="Z100" s="76">
        <f t="shared" ca="1" si="12"/>
        <v>0.19995370370694826</v>
      </c>
      <c r="AA100" s="75">
        <f t="shared" ca="1" si="1"/>
        <v>0.53320987655186203</v>
      </c>
      <c r="AB100" s="76">
        <f t="shared" ca="1" si="13"/>
        <v>0.19995370370694826</v>
      </c>
      <c r="AC100" s="75">
        <f t="shared" ca="1" si="3"/>
        <v>0.53320987655186203</v>
      </c>
      <c r="AD100" s="76">
        <f t="shared" ca="1" si="14"/>
        <v>0</v>
      </c>
      <c r="AE100" s="76">
        <f t="shared" ca="1" si="15"/>
        <v>0.19995370370694826</v>
      </c>
      <c r="AF100" s="75">
        <f t="shared" ca="1" si="6"/>
        <v>0.53320987655186203</v>
      </c>
      <c r="AG100" s="75">
        <f t="shared" ca="1" si="7"/>
        <v>0.53320987655186203</v>
      </c>
      <c r="AH100" s="31" t="str" cm="1">
        <f t="array" aca="1" ref="AH100" ca="1">IF((AD100) &lt; (INDEX(ResponseSLA[#All],(MATCH((G100),ResponseSLA[Priority],0))+1,3)),"YES","No")</f>
        <v>YES</v>
      </c>
      <c r="AI100" s="31" t="str">
        <f ca="1">_xlfn.IFNA(IF(AE100 &lt; (INDEX(SLATable[Minimum SLA],MATCH(G100,SLATable[Priority],0))),"YES","NO"),"")</f>
        <v>YES</v>
      </c>
      <c r="AJ100" t="str">
        <f ca="1">_xlfn.IFNA(IF(AE100 &lt; (INDEX(SLATable[Maximum SLA],MATCH(G100,SLATable[Priority],0))),"YES","NO"),"")</f>
        <v>YES</v>
      </c>
    </row>
    <row r="101" spans="1:36" ht="15" customHeight="1">
      <c r="A101" s="45">
        <v>100</v>
      </c>
      <c r="B101" s="45" t="s">
        <v>26</v>
      </c>
      <c r="C101" s="45" t="s">
        <v>39</v>
      </c>
      <c r="D101" s="45" t="s">
        <v>207</v>
      </c>
      <c r="E101" s="45" t="s">
        <v>8060</v>
      </c>
      <c r="F101" s="45" t="s">
        <v>309</v>
      </c>
      <c r="G101" s="45">
        <v>4</v>
      </c>
      <c r="H101" s="45" t="s">
        <v>7931</v>
      </c>
      <c r="I101" s="45" t="s">
        <v>271</v>
      </c>
      <c r="J101" s="45" t="s">
        <v>7923</v>
      </c>
      <c r="K101" s="47">
        <v>46217.223599537036</v>
      </c>
      <c r="L101" s="47">
        <v>46217.223599537036</v>
      </c>
      <c r="M101" s="47">
        <v>46217.250694444447</v>
      </c>
      <c r="N101" s="47">
        <v>46218.534178240741</v>
      </c>
      <c r="R101" s="45" t="s">
        <v>272</v>
      </c>
      <c r="S101" s="45" t="s">
        <v>161</v>
      </c>
      <c r="U101" s="45" t="s">
        <v>371</v>
      </c>
      <c r="Z101" s="76">
        <f t="shared" ca="1" si="12"/>
        <v>0.57584490740797878</v>
      </c>
      <c r="AA101" s="75">
        <f t="shared" ca="1" si="1"/>
        <v>1.5355864197546101</v>
      </c>
      <c r="AB101" s="76">
        <f t="shared" ca="1" si="13"/>
        <v>0.57584490740797878</v>
      </c>
      <c r="AC101" s="75">
        <f t="shared" ca="1" si="3"/>
        <v>1.5355864197546101</v>
      </c>
      <c r="AD101" s="76">
        <f t="shared" ca="1" si="14"/>
        <v>0</v>
      </c>
      <c r="AE101" s="76">
        <f t="shared" ca="1" si="15"/>
        <v>0.57584490740797878</v>
      </c>
      <c r="AF101" s="75">
        <f t="shared" ca="1" si="6"/>
        <v>1.5355864197546101</v>
      </c>
      <c r="AG101" s="75">
        <f t="shared" ca="1" si="7"/>
        <v>1.5355864197546101</v>
      </c>
      <c r="AH101" s="31" t="str" cm="1">
        <f t="array" aca="1" ref="AH101" ca="1">IF((AD101) &lt; (INDEX(ResponseSLA[#All],(MATCH((G101),ResponseSLA[Priority],0))+1,3)),"YES","No")</f>
        <v>YES</v>
      </c>
      <c r="AI101" s="31" t="str">
        <f ca="1">_xlfn.IFNA(IF(AE101 &lt; (INDEX(SLATable[Minimum SLA],MATCH(G101,SLATable[Priority],0))),"YES","NO"),"")</f>
        <v>YES</v>
      </c>
      <c r="AJ101" t="str">
        <f ca="1">_xlfn.IFNA(IF(AE101 &lt; (INDEX(SLATable[Maximum SLA],MATCH(G101,SLATable[Priority],0))),"YES","NO"),"")</f>
        <v>YES</v>
      </c>
    </row>
    <row r="102" spans="1:36" ht="15" customHeight="1">
      <c r="A102" s="45">
        <v>101</v>
      </c>
      <c r="B102" s="45" t="s">
        <v>26</v>
      </c>
      <c r="C102" s="45" t="s">
        <v>39</v>
      </c>
      <c r="D102" s="45" t="s">
        <v>207</v>
      </c>
      <c r="E102" s="45" t="s">
        <v>8061</v>
      </c>
      <c r="F102" s="45" t="s">
        <v>309</v>
      </c>
      <c r="G102" s="45">
        <v>4</v>
      </c>
      <c r="H102" s="45" t="s">
        <v>8062</v>
      </c>
      <c r="I102" s="45" t="s">
        <v>271</v>
      </c>
      <c r="J102" s="45" t="s">
        <v>7923</v>
      </c>
      <c r="K102" s="47">
        <v>46218.414525462962</v>
      </c>
      <c r="L102" s="47">
        <v>46218.414525462962</v>
      </c>
      <c r="M102" s="47">
        <v>46218.444444444445</v>
      </c>
      <c r="N102" s="47">
        <v>46218.613935185182</v>
      </c>
      <c r="R102" s="45" t="s">
        <v>272</v>
      </c>
      <c r="S102" s="45" t="s">
        <v>157</v>
      </c>
      <c r="U102" s="45" t="s">
        <v>371</v>
      </c>
      <c r="Z102" s="76">
        <f t="shared" ca="1" si="12"/>
        <v>0.19940972221957054</v>
      </c>
      <c r="AA102" s="75">
        <f t="shared" ca="1" si="1"/>
        <v>0.53175925925218814</v>
      </c>
      <c r="AB102" s="76">
        <f t="shared" ca="1" si="13"/>
        <v>0.19940972221957054</v>
      </c>
      <c r="AC102" s="75">
        <f t="shared" ca="1" si="3"/>
        <v>0.53175925925218814</v>
      </c>
      <c r="AD102" s="76">
        <f t="shared" ca="1" si="14"/>
        <v>2.9918981483206153E-2</v>
      </c>
      <c r="AE102" s="76">
        <f t="shared" ca="1" si="15"/>
        <v>0.19940972221957054</v>
      </c>
      <c r="AF102" s="75">
        <f t="shared" ca="1" si="6"/>
        <v>0.53175925925218814</v>
      </c>
      <c r="AG102" s="75">
        <f t="shared" ca="1" si="7"/>
        <v>0.53175925925218814</v>
      </c>
      <c r="AH102" s="31" t="str" cm="1">
        <f t="array" aca="1" ref="AH102" ca="1">IF((AD102) &lt; (INDEX(ResponseSLA[#All],(MATCH((G102),ResponseSLA[Priority],0))+1,3)),"YES","No")</f>
        <v>YES</v>
      </c>
      <c r="AI102" s="31" t="str">
        <f ca="1">_xlfn.IFNA(IF(AE102 &lt; (INDEX(SLATable[Minimum SLA],MATCH(G102,SLATable[Priority],0))),"YES","NO"),"")</f>
        <v>YES</v>
      </c>
      <c r="AJ102" t="str">
        <f ca="1">_xlfn.IFNA(IF(AE102 &lt; (INDEX(SLATable[Maximum SLA],MATCH(G102,SLATable[Priority],0))),"YES","NO"),"")</f>
        <v>YES</v>
      </c>
    </row>
    <row r="103" spans="1:36" ht="15" customHeight="1">
      <c r="A103" s="45">
        <v>102</v>
      </c>
      <c r="B103" s="45" t="s">
        <v>26</v>
      </c>
      <c r="C103" s="45" t="s">
        <v>39</v>
      </c>
      <c r="D103" s="45" t="s">
        <v>207</v>
      </c>
      <c r="E103" s="45" t="s">
        <v>8063</v>
      </c>
      <c r="F103" s="45" t="s">
        <v>309</v>
      </c>
      <c r="G103" s="45">
        <v>4</v>
      </c>
      <c r="H103" s="45" t="s">
        <v>8064</v>
      </c>
      <c r="I103" s="45" t="s">
        <v>271</v>
      </c>
      <c r="J103" s="45" t="s">
        <v>7933</v>
      </c>
      <c r="K103" s="47">
        <v>46220.348993055559</v>
      </c>
      <c r="L103" s="47">
        <v>46220.348993055559</v>
      </c>
      <c r="M103" s="47">
        <v>46220.353472222225</v>
      </c>
      <c r="N103" s="47">
        <v>46220.505555555559</v>
      </c>
      <c r="R103" s="45" t="s">
        <v>272</v>
      </c>
      <c r="S103" s="45" t="s">
        <v>157</v>
      </c>
      <c r="U103" s="45" t="s">
        <v>371</v>
      </c>
      <c r="Z103" s="76">
        <f ca="1">IF(NOT(OR(G106=1,G106=2)),MAX(0,_xlfn.IFS(AND(K106&lt;&gt;"",N106&lt;&gt;""),((MAX(NETWORKDAYS(K106,N106,UKBankHolidays)-1,0))*(TIME(17,0,0)-TIME(8,0,0))+IF(NETWORKDAYS(N106,N106,UKBankHolidays)&gt;0,MEDIAN(TIME(8,0,0),MOD(N106,1),TIME(17,0,0)),TIME(8,0,0))-IF(NETWORKDAYS(K106,K106,UKBankHolidays)&gt;0,MEDIAN(TIME(8,0,0),MOD(K106,1),TIME(17,0,0)),TIME(8,0,0)))-IF(AND(O103&lt;&gt;"",P103&lt;&gt;""),((MAX(NETWORKDAYS(O103,P103,UKBankHolidays)-1,0))*(TIME(17,0,0)-TIME(8,0,0))+IF(NETWORKDAYS(P103,P103,UKBankHolidays)&gt;0,MEDIAN(TIME(8,0,0),MOD(P103,1),TIME(17,0,0)),TIME(8,0,0))-IF(NETWORKDAYS(O103,O103,UKBankHolidays)&gt;0,MEDIAN(TIME(8,0,0),MOD(O103,1),TIME(17,0,0)),TIME(8,0,0))),0),AND(K106&lt;&gt;"",N106=""),((MAX(NETWORKDAYS(K106,NOW(),UKBankHolidays)-1,0))*(TIME(17,0,0)-TIME(8,0,0))+IF(NETWORKDAYS(NOW(),NOW(),UKBankHolidays)&gt;0,MEDIAN(TIME(8,0,0),MOD(NOW(),1),TIME(17,0,0)),TIME(8,0,0))-IF(NETWORKDAYS(K106,K106,UKBankHolidays)&gt;0,MEDIAN(TIME(8,0,0),MOD(K106,1),TIME(17,0,0)),TIME(8,0,0))))),IF(N106="",NOW()-K106,N106-K106))</f>
        <v>0.89940972222393634</v>
      </c>
      <c r="AA103" s="75">
        <f t="shared" ca="1" si="1"/>
        <v>2.3984259259304972</v>
      </c>
      <c r="AB103" s="76">
        <f ca="1">IF(NOT(OR(G106=1,G106=2)),MAX(0,_xlfn.IFS(AND(K106&lt;&gt;"",N106&lt;&gt;""),(((MAX(NETWORKDAYS(L106,N106,UKBankHolidays)-1,0))*(TIME(17,0,0)-TIME(8,0,0)))+IF(NETWORKDAYS(N106,N106,UKBankHolidays)&gt;0,MEDIAN(TIME(8,0,0),MOD(N106,1),TIME(17,0,0)),TIME(8,0,0))-IF(NETWORKDAYS(L106,L106,UKBankHolidays)&gt;0,MEDIAN(TIME(8,0,0),MOD(L106,1),TIME(17,0,0)),TIME(8,0,0)))-IF(AND(O103&lt;&gt;"",P103&lt;&gt;""),(((MAX(NETWORKDAYS(O103,P103,UKBankHolidays)-1,0))*(TIME(17,0,0)-TIME(8,0,0)))+IF(NETWORKDAYS(P103,P103,UKBankHolidays)&gt;0,MEDIAN(TIME(8,0,0),MOD(P103,1),TIME(17,0,0)),TIME(8,0,0))-IF(NETWORKDAYS(O103,O103,UKBankHolidays)&gt;0,MEDIAN(TIME(8,0,0),MOD(O103,1),TIME(17,0,0)),TIME(8,0,0))),0),AND(L106&lt;&gt;"",N106="",O103=""),(((MAX(NETWORKDAYS(L106,NOW(),UKBankHolidays)-1,0))*(TIME(17,0,0)-TIME(8,0,0)))+IF(NETWORKDAYS(NOW(),NOW(),UKBankHolidays)&gt;0,MEDIAN(TIME(8,0,0),MOD(NOW(),1),TIME(17,0,0)),TIME(8,0,0))-IF(NETWORKDAYS(L106,L106,UKBankHolidays)&gt;0,MEDIAN(TIME(8,0,0),MOD(L106,1),TIME(17,0,0)),TIME(8,0,0)))-IF(AND(O103&lt;&gt;"",P103&lt;&gt;""),(((MAX(NETWORKDAYS(O103,P103,UKBankHolidays)-1,0))*(TIME(17,0,0)-TIME(8,0,0)))+IF(NETWORKDAYS(P103,P103,UKBankHolidays)&gt;0,MEDIAN(TIME(8,0,0),MOD(P103,1),TIME(17,0,0)),TIME(8,0,0))-IF(NETWORKDAYS(O103,O103,UKBankHolidays)&gt;0,MEDIAN(TIME(8,0,0),MOD(O103,1),TIME(17,0,0)),TIME(8,0,0))),0),AND(L106&lt;&gt;"",N106="",P103="",O103&lt;&gt;""),(((MAX(NETWORKDAYS(L106,O103,UKBankHolidays)-1,0))*(TIME(17,0,0)-TIME(8,0,0)))+IF(NETWORKDAYS(O103,O103,UKBankHolidays)&gt;0,MEDIAN(TIME(8,0,0),MOD(O103,1),TIME(17,0,0)),TIME(8,0,0))-IF(NETWORKDAYS(L106,L106,UKBankHolidays)&gt;0,MEDIAN(TIME(8,0,0),MOD(L106,1),TIME(17,0,0)),TIME(8,0,0))),ISBLANK(K106),"0")),IF(ISBLANK(N106),NOW()-L106,N106-L106))</f>
        <v>0.89940972222393634</v>
      </c>
      <c r="AC103" s="75">
        <f t="shared" ca="1" si="3"/>
        <v>2.3984259259304972</v>
      </c>
      <c r="AD103" s="76">
        <f ca="1">MAX(0,IF(NOT(OR(G106=1,G106=2)),IF(M106&lt;&gt;"",((MAX(NETWORKDAYS(L106,M106,UKBankHolidays)-1,0))*(TIME(17,0,0)-TIME(8,0,0))+IF(NETWORKDAYS(M106,M106,UKBankHolidays)&gt;0,MEDIAN(TIME(8,0,0),MOD(M106,1),TIME(17,0,0)),TIME(8,0,0))-MEDIAN(TIME(8,0,0),MOD(L106,1),TIME(17,0,0))),((MAX(NETWORKDAYS(L106,NOW(),UKBankHolidays)-1,0))*(TIME(17,0,0)-TIME(8,0,0))+IF(NETWORKDAYS(NOW(),NOW(),UKBankHolidays)&gt;0,MEDIAN(TIME(8,0,0),MOD(NOW(),1),TIME(17,0,0)),TIME(8,0,0))-MEDIAN(TIME(8,0,0),MOD(L106,1),TIME(17,0,0)))),IF(M106&lt;&gt;"",M106-L106,NOW()-L106)))</f>
        <v>5.7060185184431012E-3</v>
      </c>
      <c r="AE103" s="76" t="e">
        <f ca="1">SUMIFS(AB:AB,E:E,E106)</f>
        <v>#REF!</v>
      </c>
      <c r="AF103" s="75" t="e">
        <f t="shared" ca="1" si="6"/>
        <v>#REF!</v>
      </c>
      <c r="AG103" s="75" t="e">
        <f t="shared" ca="1" si="7"/>
        <v>#REF!</v>
      </c>
      <c r="AH103" s="31" t="str" cm="1">
        <f t="array" aca="1" ref="AH103" ca="1">IF((AD103) &lt; (INDEX(ResponseSLA[#All],(MATCH((G106),ResponseSLA[Priority],0))+1,3)),"YES","No")</f>
        <v>YES</v>
      </c>
      <c r="AI103" s="31" t="e">
        <f ca="1">_xlfn.IFNA(IF(AE103 &lt; (INDEX(SLATable[Minimum SLA],MATCH(G106,SLATable[Priority],0))),"YES","NO"),"")</f>
        <v>#REF!</v>
      </c>
      <c r="AJ103" t="e">
        <f ca="1">_xlfn.IFNA(IF(AE103 &lt; (INDEX(SLATable[Maximum SLA],MATCH(G106,SLATable[Priority],0))),"YES","NO"),"")</f>
        <v>#REF!</v>
      </c>
    </row>
    <row r="104" spans="1:36" ht="15" customHeight="1">
      <c r="A104" s="45">
        <v>103</v>
      </c>
      <c r="B104" s="45" t="s">
        <v>26</v>
      </c>
      <c r="C104" s="45" t="s">
        <v>39</v>
      </c>
      <c r="D104" s="45" t="s">
        <v>207</v>
      </c>
      <c r="E104" s="45" t="s">
        <v>8065</v>
      </c>
      <c r="F104" s="45" t="s">
        <v>309</v>
      </c>
      <c r="G104" s="45">
        <v>4</v>
      </c>
      <c r="H104" s="45" t="s">
        <v>7929</v>
      </c>
      <c r="I104" s="45" t="s">
        <v>271</v>
      </c>
      <c r="J104" s="45" t="s">
        <v>7933</v>
      </c>
      <c r="K104" s="47">
        <v>46220.345543981479</v>
      </c>
      <c r="L104" s="47">
        <v>46220.345543981479</v>
      </c>
      <c r="M104" s="47">
        <v>46220.361805555556</v>
      </c>
      <c r="N104" s="47">
        <v>46220.572592592594</v>
      </c>
      <c r="R104" s="45" t="s">
        <v>272</v>
      </c>
      <c r="S104" s="45" t="s">
        <v>161</v>
      </c>
      <c r="U104" s="45" t="s">
        <v>371</v>
      </c>
      <c r="Z104" s="76">
        <f ca="1">IF(NOT(OR(G107=1,G107=2)),MAX(0,_xlfn.IFS(AND(K107&lt;&gt;"",N107&lt;&gt;""),((MAX(NETWORKDAYS(K107,N107,UKBankHolidays)-1,0))*(TIME(17,0,0)-TIME(8,0,0))+IF(NETWORKDAYS(N107,N107,UKBankHolidays)&gt;0,MEDIAN(TIME(8,0,0),MOD(N107,1),TIME(17,0,0)),TIME(8,0,0))-IF(NETWORKDAYS(K107,K107,UKBankHolidays)&gt;0,MEDIAN(TIME(8,0,0),MOD(K107,1),TIME(17,0,0)),TIME(8,0,0)))-IF(AND(O104&lt;&gt;"",P104&lt;&gt;""),((MAX(NETWORKDAYS(O104,P104,UKBankHolidays)-1,0))*(TIME(17,0,0)-TIME(8,0,0))+IF(NETWORKDAYS(P104,P104,UKBankHolidays)&gt;0,MEDIAN(TIME(8,0,0),MOD(P104,1),TIME(17,0,0)),TIME(8,0,0))-IF(NETWORKDAYS(O104,O104,UKBankHolidays)&gt;0,MEDIAN(TIME(8,0,0),MOD(O104,1),TIME(17,0,0)),TIME(8,0,0))),0),AND(K107&lt;&gt;"",N107=""),((MAX(NETWORKDAYS(K107,NOW(),UKBankHolidays)-1,0))*(TIME(17,0,0)-TIME(8,0,0))+IF(NETWORKDAYS(NOW(),NOW(),UKBankHolidays)&gt;0,MEDIAN(TIME(8,0,0),MOD(NOW(),1),TIME(17,0,0)),TIME(8,0,0))-IF(NETWORKDAYS(K107,K107,UKBankHolidays)&gt;0,MEDIAN(TIME(8,0,0),MOD(K107,1),TIME(17,0,0)),TIME(8,0,0))))),IF(N107="",NOW()-K107,N107-K107))</f>
        <v>1.0002314814773856</v>
      </c>
      <c r="AA104" s="75">
        <f t="shared" ca="1" si="1"/>
        <v>2.6672839506063619</v>
      </c>
      <c r="AB104" s="76">
        <f ca="1">IF(NOT(OR(G107=1,G107=2)),MAX(0,_xlfn.IFS(AND(K107&lt;&gt;"",N107&lt;&gt;""),(((MAX(NETWORKDAYS(L107,N107,UKBankHolidays)-1,0))*(TIME(17,0,0)-TIME(8,0,0)))+IF(NETWORKDAYS(N107,N107,UKBankHolidays)&gt;0,MEDIAN(TIME(8,0,0),MOD(N107,1),TIME(17,0,0)),TIME(8,0,0))-IF(NETWORKDAYS(L107,L107,UKBankHolidays)&gt;0,MEDIAN(TIME(8,0,0),MOD(L107,1),TIME(17,0,0)),TIME(8,0,0)))-IF(AND(O104&lt;&gt;"",P104&lt;&gt;""),(((MAX(NETWORKDAYS(O104,P104,UKBankHolidays)-1,0))*(TIME(17,0,0)-TIME(8,0,0)))+IF(NETWORKDAYS(P104,P104,UKBankHolidays)&gt;0,MEDIAN(TIME(8,0,0),MOD(P104,1),TIME(17,0,0)),TIME(8,0,0))-IF(NETWORKDAYS(O104,O104,UKBankHolidays)&gt;0,MEDIAN(TIME(8,0,0),MOD(O104,1),TIME(17,0,0)),TIME(8,0,0))),0),AND(L107&lt;&gt;"",N107="",O104=""),(((MAX(NETWORKDAYS(L107,NOW(),UKBankHolidays)-1,0))*(TIME(17,0,0)-TIME(8,0,0)))+IF(NETWORKDAYS(NOW(),NOW(),UKBankHolidays)&gt;0,MEDIAN(TIME(8,0,0),MOD(NOW(),1),TIME(17,0,0)),TIME(8,0,0))-IF(NETWORKDAYS(L107,L107,UKBankHolidays)&gt;0,MEDIAN(TIME(8,0,0),MOD(L107,1),TIME(17,0,0)),TIME(8,0,0)))-IF(AND(O104&lt;&gt;"",P104&lt;&gt;""),(((MAX(NETWORKDAYS(O104,P104,UKBankHolidays)-1,0))*(TIME(17,0,0)-TIME(8,0,0)))+IF(NETWORKDAYS(P104,P104,UKBankHolidays)&gt;0,MEDIAN(TIME(8,0,0),MOD(P104,1),TIME(17,0,0)),TIME(8,0,0))-IF(NETWORKDAYS(O104,O104,UKBankHolidays)&gt;0,MEDIAN(TIME(8,0,0),MOD(O104,1),TIME(17,0,0)),TIME(8,0,0))),0),AND(L107&lt;&gt;"",N107="",P104="",O104&lt;&gt;""),(((MAX(NETWORKDAYS(L107,O104,UKBankHolidays)-1,0))*(TIME(17,0,0)-TIME(8,0,0)))+IF(NETWORKDAYS(O104,O104,UKBankHolidays)&gt;0,MEDIAN(TIME(8,0,0),MOD(O104,1),TIME(17,0,0)),TIME(8,0,0))-IF(NETWORKDAYS(L107,L107,UKBankHolidays)&gt;0,MEDIAN(TIME(8,0,0),MOD(L107,1),TIME(17,0,0)),TIME(8,0,0))),ISBLANK(K107),"0")),IF(ISBLANK(N107),NOW()-L107,N107-L107))</f>
        <v>1.0002314814773856</v>
      </c>
      <c r="AC104" s="75">
        <f t="shared" ca="1" si="3"/>
        <v>2.6672839506063619</v>
      </c>
      <c r="AD104" s="76">
        <f ca="1">MAX(0,IF(NOT(OR(G107=1,G107=2)),IF(M107&lt;&gt;"",((MAX(NETWORKDAYS(L107,M107,UKBankHolidays)-1,0))*(TIME(17,0,0)-TIME(8,0,0))+IF(NETWORKDAYS(M107,M107,UKBankHolidays)&gt;0,MEDIAN(TIME(8,0,0),MOD(M107,1),TIME(17,0,0)),TIME(8,0,0))-MEDIAN(TIME(8,0,0),MOD(L107,1),TIME(17,0,0))),((MAX(NETWORKDAYS(L107,NOW(),UKBankHolidays)-1,0))*(TIME(17,0,0)-TIME(8,0,0))+IF(NETWORKDAYS(NOW(),NOW(),UKBankHolidays)&gt;0,MEDIAN(TIME(8,0,0),MOD(NOW(),1),TIME(17,0,0)),TIME(8,0,0))-MEDIAN(TIME(8,0,0),MOD(L107,1),TIME(17,0,0)))),IF(M107&lt;&gt;"",M107-L107,NOW()-L107)))</f>
        <v>3.7152777775190771E-2</v>
      </c>
      <c r="AE104" s="76" t="e">
        <f ca="1">SUMIFS(AB:AB,E:E,E107)</f>
        <v>#REF!</v>
      </c>
      <c r="AF104" s="75" t="e">
        <f t="shared" ca="1" si="6"/>
        <v>#REF!</v>
      </c>
      <c r="AG104" s="75" t="e">
        <f t="shared" ca="1" si="7"/>
        <v>#REF!</v>
      </c>
      <c r="AH104" s="31" t="str" cm="1">
        <f t="array" aca="1" ref="AH104" ca="1">IF((AD104) &lt; (INDEX(ResponseSLA[#All],(MATCH((G107),ResponseSLA[Priority],0))+1,3)),"YES","No")</f>
        <v>YES</v>
      </c>
      <c r="AI104" s="31" t="e">
        <f ca="1">_xlfn.IFNA(IF(AE104 &lt; (INDEX(SLATable[Minimum SLA],MATCH(G107,SLATable[Priority],0))),"YES","NO"),"")</f>
        <v>#REF!</v>
      </c>
      <c r="AJ104" t="e">
        <f ca="1">_xlfn.IFNA(IF(AE104 &lt; (INDEX(SLATable[Maximum SLA],MATCH(G107,SLATable[Priority],0))),"YES","NO"),"")</f>
        <v>#REF!</v>
      </c>
    </row>
    <row r="105" spans="1:36" ht="15" customHeight="1">
      <c r="A105" s="45">
        <v>104</v>
      </c>
      <c r="B105" s="45" t="s">
        <v>26</v>
      </c>
      <c r="C105" s="45" t="s">
        <v>39</v>
      </c>
      <c r="D105" s="45" t="s">
        <v>207</v>
      </c>
      <c r="E105" s="45" t="s">
        <v>8066</v>
      </c>
      <c r="F105" s="45" t="s">
        <v>309</v>
      </c>
      <c r="G105" s="45">
        <v>4</v>
      </c>
      <c r="H105" s="45" t="s">
        <v>7947</v>
      </c>
      <c r="I105" s="45" t="s">
        <v>271</v>
      </c>
      <c r="J105" s="45" t="s">
        <v>7933</v>
      </c>
      <c r="K105" s="47">
        <v>46219.310243055559</v>
      </c>
      <c r="L105" s="47">
        <v>46219.310243055559</v>
      </c>
      <c r="M105" s="47">
        <v>46219.320833333331</v>
      </c>
      <c r="N105" s="47">
        <v>46220.503611111111</v>
      </c>
      <c r="R105" s="45" t="s">
        <v>272</v>
      </c>
      <c r="S105" s="45" t="s">
        <v>157</v>
      </c>
      <c r="U105" s="45" t="s">
        <v>371</v>
      </c>
      <c r="Z105" s="76">
        <f ca="1">IF(NOT(OR(G108=1,G108=2)),MAX(0,_xlfn.IFS(AND(K108&lt;&gt;"",N108&lt;&gt;""),((MAX(NETWORKDAYS(K108,N108,UKBankHolidays)-1,0))*(TIME(17,0,0)-TIME(8,0,0))+IF(NETWORKDAYS(N108,N108,UKBankHolidays)&gt;0,MEDIAN(TIME(8,0,0),MOD(N108,1),TIME(17,0,0)),TIME(8,0,0))-IF(NETWORKDAYS(K108,K108,UKBankHolidays)&gt;0,MEDIAN(TIME(8,0,0),MOD(K108,1),TIME(17,0,0)),TIME(8,0,0)))-IF(AND(O105&lt;&gt;"",P105&lt;&gt;""),((MAX(NETWORKDAYS(O105,P105,UKBankHolidays)-1,0))*(TIME(17,0,0)-TIME(8,0,0))+IF(NETWORKDAYS(P105,P105,UKBankHolidays)&gt;0,MEDIAN(TIME(8,0,0),MOD(P105,1),TIME(17,0,0)),TIME(8,0,0))-IF(NETWORKDAYS(O105,O105,UKBankHolidays)&gt;0,MEDIAN(TIME(8,0,0),MOD(O105,1),TIME(17,0,0)),TIME(8,0,0))),0),AND(K108&lt;&gt;"",N108=""),((MAX(NETWORKDAYS(K108,NOW(),UKBankHolidays)-1,0))*(TIME(17,0,0)-TIME(8,0,0))+IF(NETWORKDAYS(NOW(),NOW(),UKBankHolidays)&gt;0,MEDIAN(TIME(8,0,0),MOD(NOW(),1),TIME(17,0,0)),TIME(8,0,0))-IF(NETWORKDAYS(K108,K108,UKBankHolidays)&gt;0,MEDIAN(TIME(8,0,0),MOD(K108,1),TIME(17,0,0)),TIME(8,0,0))))),IF(N108="",NOW()-K108,N108-K108))</f>
        <v>0.25886574073956581</v>
      </c>
      <c r="AA105" s="75">
        <f t="shared" ca="1" si="1"/>
        <v>0.69030864197217545</v>
      </c>
      <c r="AB105" s="76">
        <f ca="1">IF(NOT(OR(G108=1,G108=2)),MAX(0,_xlfn.IFS(AND(K108&lt;&gt;"",N108&lt;&gt;""),(((MAX(NETWORKDAYS(L108,N108,UKBankHolidays)-1,0))*(TIME(17,0,0)-TIME(8,0,0)))+IF(NETWORKDAYS(N108,N108,UKBankHolidays)&gt;0,MEDIAN(TIME(8,0,0),MOD(N108,1),TIME(17,0,0)),TIME(8,0,0))-IF(NETWORKDAYS(L108,L108,UKBankHolidays)&gt;0,MEDIAN(TIME(8,0,0),MOD(L108,1),TIME(17,0,0)),TIME(8,0,0)))-IF(AND(O105&lt;&gt;"",P105&lt;&gt;""),(((MAX(NETWORKDAYS(O105,P105,UKBankHolidays)-1,0))*(TIME(17,0,0)-TIME(8,0,0)))+IF(NETWORKDAYS(P105,P105,UKBankHolidays)&gt;0,MEDIAN(TIME(8,0,0),MOD(P105,1),TIME(17,0,0)),TIME(8,0,0))-IF(NETWORKDAYS(O105,O105,UKBankHolidays)&gt;0,MEDIAN(TIME(8,0,0),MOD(O105,1),TIME(17,0,0)),TIME(8,0,0))),0),AND(L108&lt;&gt;"",N108="",O105=""),(((MAX(NETWORKDAYS(L108,NOW(),UKBankHolidays)-1,0))*(TIME(17,0,0)-TIME(8,0,0)))+IF(NETWORKDAYS(NOW(),NOW(),UKBankHolidays)&gt;0,MEDIAN(TIME(8,0,0),MOD(NOW(),1),TIME(17,0,0)),TIME(8,0,0))-IF(NETWORKDAYS(L108,L108,UKBankHolidays)&gt;0,MEDIAN(TIME(8,0,0),MOD(L108,1),TIME(17,0,0)),TIME(8,0,0)))-IF(AND(O105&lt;&gt;"",P105&lt;&gt;""),(((MAX(NETWORKDAYS(O105,P105,UKBankHolidays)-1,0))*(TIME(17,0,0)-TIME(8,0,0)))+IF(NETWORKDAYS(P105,P105,UKBankHolidays)&gt;0,MEDIAN(TIME(8,0,0),MOD(P105,1),TIME(17,0,0)),TIME(8,0,0))-IF(NETWORKDAYS(O105,O105,UKBankHolidays)&gt;0,MEDIAN(TIME(8,0,0),MOD(O105,1),TIME(17,0,0)),TIME(8,0,0))),0),AND(L108&lt;&gt;"",N108="",P105="",O105&lt;&gt;""),(((MAX(NETWORKDAYS(L108,O105,UKBankHolidays)-1,0))*(TIME(17,0,0)-TIME(8,0,0)))+IF(NETWORKDAYS(O105,O105,UKBankHolidays)&gt;0,MEDIAN(TIME(8,0,0),MOD(O105,1),TIME(17,0,0)),TIME(8,0,0))-IF(NETWORKDAYS(L108,L108,UKBankHolidays)&gt;0,MEDIAN(TIME(8,0,0),MOD(L108,1),TIME(17,0,0)),TIME(8,0,0))),ISBLANK(K108),"0")),IF(ISBLANK(N108),NOW()-L108,N108-L108))</f>
        <v>0.25886574073956581</v>
      </c>
      <c r="AC105" s="75">
        <f t="shared" ca="1" si="3"/>
        <v>0.69030864197217545</v>
      </c>
      <c r="AD105" s="76">
        <f ca="1">MAX(0,IF(NOT(OR(G108=1,G108=2)),IF(M108&lt;&gt;"",((MAX(NETWORKDAYS(L108,M108,UKBankHolidays)-1,0))*(TIME(17,0,0)-TIME(8,0,0))+IF(NETWORKDAYS(M108,M108,UKBankHolidays)&gt;0,MEDIAN(TIME(8,0,0),MOD(M108,1),TIME(17,0,0)),TIME(8,0,0))-MEDIAN(TIME(8,0,0),MOD(L108,1),TIME(17,0,0))),((MAX(NETWORKDAYS(L108,NOW(),UKBankHolidays)-1,0))*(TIME(17,0,0)-TIME(8,0,0))+IF(NETWORKDAYS(NOW(),NOW(),UKBankHolidays)&gt;0,MEDIAN(TIME(8,0,0),MOD(NOW(),1),TIME(17,0,0)),TIME(8,0,0))-MEDIAN(TIME(8,0,0),MOD(L108,1),TIME(17,0,0)))),IF(M108&lt;&gt;"",M108-L108,NOW()-L108)))</f>
        <v>0.11339120370151556</v>
      </c>
      <c r="AE105" s="76" t="e">
        <f ca="1">SUMIFS(AB:AB,E:E,E108)</f>
        <v>#REF!</v>
      </c>
      <c r="AF105" s="75" t="e">
        <f t="shared" ca="1" si="6"/>
        <v>#REF!</v>
      </c>
      <c r="AG105" s="75" t="e">
        <f t="shared" ca="1" si="7"/>
        <v>#REF!</v>
      </c>
      <c r="AH105" s="31" t="str" cm="1">
        <f t="array" aca="1" ref="AH105" ca="1">IF((AD105) &lt; (INDEX(ResponseSLA[#All],(MATCH((G108),ResponseSLA[Priority],0))+1,3)),"YES","No")</f>
        <v>YES</v>
      </c>
      <c r="AI105" s="31" t="e">
        <f ca="1">_xlfn.IFNA(IF(AE105 &lt; (INDEX(SLATable[Minimum SLA],MATCH(G108,SLATable[Priority],0))),"YES","NO"),"")</f>
        <v>#REF!</v>
      </c>
      <c r="AJ105" t="e">
        <f ca="1">_xlfn.IFNA(IF(AE105 &lt; (INDEX(SLATable[Maximum SLA],MATCH(G108,SLATable[Priority],0))),"YES","NO"),"")</f>
        <v>#REF!</v>
      </c>
    </row>
    <row r="106" spans="1:36" ht="15" customHeight="1">
      <c r="A106" s="45">
        <v>105</v>
      </c>
      <c r="B106" s="45" t="s">
        <v>26</v>
      </c>
      <c r="C106" s="45" t="s">
        <v>39</v>
      </c>
      <c r="D106" s="45" t="s">
        <v>207</v>
      </c>
      <c r="E106" s="45" t="s">
        <v>8067</v>
      </c>
      <c r="F106" s="45" t="s">
        <v>309</v>
      </c>
      <c r="G106" s="45">
        <v>4</v>
      </c>
      <c r="H106" s="45" t="s">
        <v>7922</v>
      </c>
      <c r="I106" s="45" t="s">
        <v>271</v>
      </c>
      <c r="J106" s="45" t="s">
        <v>7923</v>
      </c>
      <c r="K106" s="47">
        <v>46218.702627314815</v>
      </c>
      <c r="L106" s="47">
        <v>46218.702627314815</v>
      </c>
      <c r="M106" s="47">
        <v>46219.228472222225</v>
      </c>
      <c r="N106" s="47">
        <v>46223.477037037039</v>
      </c>
      <c r="R106" s="45" t="s">
        <v>272</v>
      </c>
      <c r="S106" s="45" t="s">
        <v>161</v>
      </c>
      <c r="U106" s="45" t="s">
        <v>371</v>
      </c>
      <c r="Z106" s="76" t="e">
        <f ca="1">IF(NOT(OR(#REF!=1,#REF!=2)),MAX(0,_xlfn.IFS(AND(#REF!&lt;&gt;"",#REF!&lt;&gt;""),((MAX(NETWORKDAYS(#REF!,#REF!,UKBankHolidays)-1,0))*(TIME(17,0,0)-TIME(8,0,0))+IF(NETWORKDAYS(#REF!,#REF!,UKBankHolidays)&gt;0,MEDIAN(TIME(8,0,0),MOD(#REF!,1),TIME(17,0,0)),TIME(8,0,0))-IF(NETWORKDAYS(#REF!,#REF!,UKBankHolidays)&gt;0,MEDIAN(TIME(8,0,0),MOD(#REF!,1),TIME(17,0,0)),TIME(8,0,0)))-IF(AND(O106&lt;&gt;"",P106&lt;&gt;""),((MAX(NETWORKDAYS(O106,P106,UKBankHolidays)-1,0))*(TIME(17,0,0)-TIME(8,0,0))+IF(NETWORKDAYS(P106,P106,UKBankHolidays)&gt;0,MEDIAN(TIME(8,0,0),MOD(P106,1),TIME(17,0,0)),TIME(8,0,0))-IF(NETWORKDAYS(O106,O106,UKBankHolidays)&gt;0,MEDIAN(TIME(8,0,0),MOD(O106,1),TIME(17,0,0)),TIME(8,0,0))),0),AND(#REF!&lt;&gt;"",#REF!=""),((MAX(NETWORKDAYS(#REF!,NOW(),UKBankHolidays)-1,0))*(TIME(17,0,0)-TIME(8,0,0))+IF(NETWORKDAYS(NOW(),NOW(),UKBankHolidays)&gt;0,MEDIAN(TIME(8,0,0),MOD(NOW(),1),TIME(17,0,0)),TIME(8,0,0))-IF(NETWORKDAYS(#REF!,#REF!,UKBankHolidays)&gt;0,MEDIAN(TIME(8,0,0),MOD(#REF!,1),TIME(17,0,0)),TIME(8,0,0))))),IF(#REF!="",NOW()-#REF!,#REF!-#REF!))</f>
        <v>#REF!</v>
      </c>
      <c r="AA106" s="75" t="e">
        <f t="shared" ca="1" si="1"/>
        <v>#REF!</v>
      </c>
      <c r="AB106" s="76" t="e">
        <f ca="1">IF(NOT(OR(#REF!=1,#REF!=2)),MAX(0,_xlfn.IFS(AND(#REF!&lt;&gt;"",#REF!&lt;&gt;""),(((MAX(NETWORKDAYS(#REF!,#REF!,UKBankHolidays)-1,0))*(TIME(17,0,0)-TIME(8,0,0)))+IF(NETWORKDAYS(#REF!,#REF!,UKBankHolidays)&gt;0,MEDIAN(TIME(8,0,0),MOD(#REF!,1),TIME(17,0,0)),TIME(8,0,0))-IF(NETWORKDAYS(#REF!,#REF!,UKBankHolidays)&gt;0,MEDIAN(TIME(8,0,0),MOD(#REF!,1),TIME(17,0,0)),TIME(8,0,0)))-IF(AND(O106&lt;&gt;"",P106&lt;&gt;""),(((MAX(NETWORKDAYS(O106,P106,UKBankHolidays)-1,0))*(TIME(17,0,0)-TIME(8,0,0)))+IF(NETWORKDAYS(P106,P106,UKBankHolidays)&gt;0,MEDIAN(TIME(8,0,0),MOD(P106,1),TIME(17,0,0)),TIME(8,0,0))-IF(NETWORKDAYS(O106,O106,UKBankHolidays)&gt;0,MEDIAN(TIME(8,0,0),MOD(O106,1),TIME(17,0,0)),TIME(8,0,0))),0),AND(#REF!&lt;&gt;"",#REF!="",O106=""),(((MAX(NETWORKDAYS(#REF!,NOW(),UKBankHolidays)-1,0))*(TIME(17,0,0)-TIME(8,0,0)))+IF(NETWORKDAYS(NOW(),NOW(),UKBankHolidays)&gt;0,MEDIAN(TIME(8,0,0),MOD(NOW(),1),TIME(17,0,0)),TIME(8,0,0))-IF(NETWORKDAYS(#REF!,#REF!,UKBankHolidays)&gt;0,MEDIAN(TIME(8,0,0),MOD(#REF!,1),TIME(17,0,0)),TIME(8,0,0)))-IF(AND(O106&lt;&gt;"",P106&lt;&gt;""),(((MAX(NETWORKDAYS(O106,P106,UKBankHolidays)-1,0))*(TIME(17,0,0)-TIME(8,0,0)))+IF(NETWORKDAYS(P106,P106,UKBankHolidays)&gt;0,MEDIAN(TIME(8,0,0),MOD(P106,1),TIME(17,0,0)),TIME(8,0,0))-IF(NETWORKDAYS(O106,O106,UKBankHolidays)&gt;0,MEDIAN(TIME(8,0,0),MOD(O106,1),TIME(17,0,0)),TIME(8,0,0))),0),AND(#REF!&lt;&gt;"",#REF!="",P106="",O106&lt;&gt;""),(((MAX(NETWORKDAYS(#REF!,O106,UKBankHolidays)-1,0))*(TIME(17,0,0)-TIME(8,0,0)))+IF(NETWORKDAYS(O106,O106,UKBankHolidays)&gt;0,MEDIAN(TIME(8,0,0),MOD(O106,1),TIME(17,0,0)),TIME(8,0,0))-IF(NETWORKDAYS(#REF!,#REF!,UKBankHolidays)&gt;0,MEDIAN(TIME(8,0,0),MOD(#REF!,1),TIME(17,0,0)),TIME(8,0,0))),ISBLANK(#REF!),"0")),IF(ISBLANK(#REF!),NOW()-#REF!,#REF!-#REF!))</f>
        <v>#REF!</v>
      </c>
      <c r="AC106" s="75" t="e">
        <f t="shared" ca="1" si="3"/>
        <v>#REF!</v>
      </c>
      <c r="AD106" s="76" t="e">
        <f ca="1">MAX(0,IF(NOT(OR(#REF!=1,#REF!=2)),IF(#REF!&lt;&gt;"",((MAX(NETWORKDAYS(#REF!,#REF!,UKBankHolidays)-1,0))*(TIME(17,0,0)-TIME(8,0,0))+IF(NETWORKDAYS(#REF!,#REF!,UKBankHolidays)&gt;0,MEDIAN(TIME(8,0,0),MOD(#REF!,1),TIME(17,0,0)),TIME(8,0,0))-MEDIAN(TIME(8,0,0),MOD(#REF!,1),TIME(17,0,0))),((MAX(NETWORKDAYS(#REF!,NOW(),UKBankHolidays)-1,0))*(TIME(17,0,0)-TIME(8,0,0))+IF(NETWORKDAYS(NOW(),NOW(),UKBankHolidays)&gt;0,MEDIAN(TIME(8,0,0),MOD(NOW(),1),TIME(17,0,0)),TIME(8,0,0))-MEDIAN(TIME(8,0,0),MOD(#REF!,1),TIME(17,0,0)))),IF(#REF!&lt;&gt;"",#REF!-#REF!,NOW()-#REF!)))</f>
        <v>#REF!</v>
      </c>
      <c r="AE106" s="76">
        <f>SUMIFS(AB:AB,E:E,#REF!)</f>
        <v>0</v>
      </c>
      <c r="AF106" s="75">
        <f t="shared" si="6"/>
        <v>0</v>
      </c>
      <c r="AG106" s="75">
        <f t="shared" si="7"/>
        <v>0</v>
      </c>
      <c r="AH106" s="31" t="e" cm="1">
        <f t="array" aca="1" ref="AH106" ca="1">IF((AD106) &lt; (INDEX(ResponseSLA[#All],(MATCH((#REF!),ResponseSLA[Priority],0))+1,3)),"YES","No")</f>
        <v>#REF!</v>
      </c>
      <c r="AI106" s="31" t="e">
        <f>_xlfn.IFNA(IF(AE106 &lt; (INDEX(SLATable[Minimum SLA],MATCH(#REF!,SLATable[Priority],0))),"YES","NO"),"")</f>
        <v>#REF!</v>
      </c>
      <c r="AJ106" t="e">
        <f>_xlfn.IFNA(IF(AE106 &lt; (INDEX(SLATable[Maximum SLA],MATCH(#REF!,SLATable[Priority],0))),"YES","NO"),"")</f>
        <v>#REF!</v>
      </c>
    </row>
    <row r="107" spans="1:36" ht="15" customHeight="1">
      <c r="A107" s="45">
        <v>106</v>
      </c>
      <c r="B107" s="45" t="s">
        <v>26</v>
      </c>
      <c r="C107" s="45" t="s">
        <v>39</v>
      </c>
      <c r="D107" s="45" t="s">
        <v>207</v>
      </c>
      <c r="E107" s="45" t="s">
        <v>8068</v>
      </c>
      <c r="F107" s="45" t="s">
        <v>309</v>
      </c>
      <c r="G107" s="45">
        <v>4</v>
      </c>
      <c r="H107" s="45" t="s">
        <v>7925</v>
      </c>
      <c r="I107" s="45" t="s">
        <v>271</v>
      </c>
      <c r="J107" s="45" t="s">
        <v>7923</v>
      </c>
      <c r="K107" s="47">
        <v>46218.623263888891</v>
      </c>
      <c r="L107" s="47">
        <v>46218.623263888891</v>
      </c>
      <c r="M107" s="47">
        <v>46218.660416666666</v>
      </c>
      <c r="N107" s="47">
        <v>46223.498495370368</v>
      </c>
      <c r="R107" s="45" t="s">
        <v>272</v>
      </c>
      <c r="S107" s="45" t="s">
        <v>161</v>
      </c>
      <c r="U107" s="45" t="s">
        <v>371</v>
      </c>
      <c r="Z107" s="76" t="e">
        <f ca="1">IF(NOT(OR(#REF!=1,#REF!=2)),MAX(0,_xlfn.IFS(AND(#REF!&lt;&gt;"",#REF!&lt;&gt;""),((MAX(NETWORKDAYS(#REF!,#REF!,UKBankHolidays)-1,0))*(TIME(17,0,0)-TIME(8,0,0))+IF(NETWORKDAYS(#REF!,#REF!,UKBankHolidays)&gt;0,MEDIAN(TIME(8,0,0),MOD(#REF!,1),TIME(17,0,0)),TIME(8,0,0))-IF(NETWORKDAYS(#REF!,#REF!,UKBankHolidays)&gt;0,MEDIAN(TIME(8,0,0),MOD(#REF!,1),TIME(17,0,0)),TIME(8,0,0)))-IF(AND(O107&lt;&gt;"",P107&lt;&gt;""),((MAX(NETWORKDAYS(O107,P107,UKBankHolidays)-1,0))*(TIME(17,0,0)-TIME(8,0,0))+IF(NETWORKDAYS(P107,P107,UKBankHolidays)&gt;0,MEDIAN(TIME(8,0,0),MOD(P107,1),TIME(17,0,0)),TIME(8,0,0))-IF(NETWORKDAYS(O107,O107,UKBankHolidays)&gt;0,MEDIAN(TIME(8,0,0),MOD(O107,1),TIME(17,0,0)),TIME(8,0,0))),0),AND(#REF!&lt;&gt;"",#REF!=""),((MAX(NETWORKDAYS(#REF!,NOW(),UKBankHolidays)-1,0))*(TIME(17,0,0)-TIME(8,0,0))+IF(NETWORKDAYS(NOW(),NOW(),UKBankHolidays)&gt;0,MEDIAN(TIME(8,0,0),MOD(NOW(),1),TIME(17,0,0)),TIME(8,0,0))-IF(NETWORKDAYS(#REF!,#REF!,UKBankHolidays)&gt;0,MEDIAN(TIME(8,0,0),MOD(#REF!,1),TIME(17,0,0)),TIME(8,0,0))))),IF(#REF!="",NOW()-#REF!,#REF!-#REF!))</f>
        <v>#REF!</v>
      </c>
      <c r="AA107" s="75" t="e">
        <f t="shared" ca="1" si="1"/>
        <v>#REF!</v>
      </c>
      <c r="AB107" s="76" t="e">
        <f ca="1">IF(NOT(OR(#REF!=1,#REF!=2)),MAX(0,_xlfn.IFS(AND(#REF!&lt;&gt;"",#REF!&lt;&gt;""),(((MAX(NETWORKDAYS(#REF!,#REF!,UKBankHolidays)-1,0))*(TIME(17,0,0)-TIME(8,0,0)))+IF(NETWORKDAYS(#REF!,#REF!,UKBankHolidays)&gt;0,MEDIAN(TIME(8,0,0),MOD(#REF!,1),TIME(17,0,0)),TIME(8,0,0))-IF(NETWORKDAYS(#REF!,#REF!,UKBankHolidays)&gt;0,MEDIAN(TIME(8,0,0),MOD(#REF!,1),TIME(17,0,0)),TIME(8,0,0)))-IF(AND(O107&lt;&gt;"",P107&lt;&gt;""),(((MAX(NETWORKDAYS(O107,P107,UKBankHolidays)-1,0))*(TIME(17,0,0)-TIME(8,0,0)))+IF(NETWORKDAYS(P107,P107,UKBankHolidays)&gt;0,MEDIAN(TIME(8,0,0),MOD(P107,1),TIME(17,0,0)),TIME(8,0,0))-IF(NETWORKDAYS(O107,O107,UKBankHolidays)&gt;0,MEDIAN(TIME(8,0,0),MOD(O107,1),TIME(17,0,0)),TIME(8,0,0))),0),AND(#REF!&lt;&gt;"",#REF!="",O107=""),(((MAX(NETWORKDAYS(#REF!,NOW(),UKBankHolidays)-1,0))*(TIME(17,0,0)-TIME(8,0,0)))+IF(NETWORKDAYS(NOW(),NOW(),UKBankHolidays)&gt;0,MEDIAN(TIME(8,0,0),MOD(NOW(),1),TIME(17,0,0)),TIME(8,0,0))-IF(NETWORKDAYS(#REF!,#REF!,UKBankHolidays)&gt;0,MEDIAN(TIME(8,0,0),MOD(#REF!,1),TIME(17,0,0)),TIME(8,0,0)))-IF(AND(O107&lt;&gt;"",P107&lt;&gt;""),(((MAX(NETWORKDAYS(O107,P107,UKBankHolidays)-1,0))*(TIME(17,0,0)-TIME(8,0,0)))+IF(NETWORKDAYS(P107,P107,UKBankHolidays)&gt;0,MEDIAN(TIME(8,0,0),MOD(P107,1),TIME(17,0,0)),TIME(8,0,0))-IF(NETWORKDAYS(O107,O107,UKBankHolidays)&gt;0,MEDIAN(TIME(8,0,0),MOD(O107,1),TIME(17,0,0)),TIME(8,0,0))),0),AND(#REF!&lt;&gt;"",#REF!="",P107="",O107&lt;&gt;""),(((MAX(NETWORKDAYS(#REF!,O107,UKBankHolidays)-1,0))*(TIME(17,0,0)-TIME(8,0,0)))+IF(NETWORKDAYS(O107,O107,UKBankHolidays)&gt;0,MEDIAN(TIME(8,0,0),MOD(O107,1),TIME(17,0,0)),TIME(8,0,0))-IF(NETWORKDAYS(#REF!,#REF!,UKBankHolidays)&gt;0,MEDIAN(TIME(8,0,0),MOD(#REF!,1),TIME(17,0,0)),TIME(8,0,0))),ISBLANK(#REF!),"0")),IF(ISBLANK(#REF!),NOW()-#REF!,#REF!-#REF!))</f>
        <v>#REF!</v>
      </c>
      <c r="AC107" s="75" t="e">
        <f t="shared" ca="1" si="3"/>
        <v>#REF!</v>
      </c>
      <c r="AD107" s="76" t="e">
        <f ca="1">MAX(0,IF(NOT(OR(#REF!=1,#REF!=2)),IF(#REF!&lt;&gt;"",((MAX(NETWORKDAYS(#REF!,#REF!,UKBankHolidays)-1,0))*(TIME(17,0,0)-TIME(8,0,0))+IF(NETWORKDAYS(#REF!,#REF!,UKBankHolidays)&gt;0,MEDIAN(TIME(8,0,0),MOD(#REF!,1),TIME(17,0,0)),TIME(8,0,0))-MEDIAN(TIME(8,0,0),MOD(#REF!,1),TIME(17,0,0))),((MAX(NETWORKDAYS(#REF!,NOW(),UKBankHolidays)-1,0))*(TIME(17,0,0)-TIME(8,0,0))+IF(NETWORKDAYS(NOW(),NOW(),UKBankHolidays)&gt;0,MEDIAN(TIME(8,0,0),MOD(NOW(),1),TIME(17,0,0)),TIME(8,0,0))-MEDIAN(TIME(8,0,0),MOD(#REF!,1),TIME(17,0,0)))),IF(#REF!&lt;&gt;"",#REF!-#REF!,NOW()-#REF!)))</f>
        <v>#REF!</v>
      </c>
      <c r="AE107" s="76">
        <f>SUMIFS(AB:AB,E:E,#REF!)</f>
        <v>0</v>
      </c>
      <c r="AF107" s="75">
        <f t="shared" si="6"/>
        <v>0</v>
      </c>
      <c r="AG107" s="75">
        <f t="shared" si="7"/>
        <v>0</v>
      </c>
      <c r="AH107" s="31" t="e" cm="1">
        <f t="array" aca="1" ref="AH107" ca="1">IF((AD107) &lt; (INDEX(ResponseSLA[#All],(MATCH((#REF!),ResponseSLA[Priority],0))+1,3)),"YES","No")</f>
        <v>#REF!</v>
      </c>
      <c r="AI107" s="31" t="e">
        <f>_xlfn.IFNA(IF(AE107 &lt; (INDEX(SLATable[Minimum SLA],MATCH(#REF!,SLATable[Priority],0))),"YES","NO"),"")</f>
        <v>#REF!</v>
      </c>
      <c r="AJ107" t="e">
        <f>_xlfn.IFNA(IF(AE107 &lt; (INDEX(SLATable[Maximum SLA],MATCH(#REF!,SLATable[Priority],0))),"YES","NO"),"")</f>
        <v>#REF!</v>
      </c>
    </row>
    <row r="108" spans="1:36" ht="15" customHeight="1">
      <c r="A108" s="45">
        <v>107</v>
      </c>
      <c r="B108" s="45" t="s">
        <v>26</v>
      </c>
      <c r="C108" s="45" t="s">
        <v>39</v>
      </c>
      <c r="D108" s="45" t="s">
        <v>207</v>
      </c>
      <c r="E108" s="45" t="s">
        <v>8069</v>
      </c>
      <c r="F108" s="45" t="s">
        <v>309</v>
      </c>
      <c r="G108" s="45">
        <v>4</v>
      </c>
      <c r="H108" s="45" t="s">
        <v>7947</v>
      </c>
      <c r="I108" s="45" t="s">
        <v>271</v>
      </c>
      <c r="J108" s="45" t="s">
        <v>7923</v>
      </c>
      <c r="K108" s="47">
        <v>46220.594942129632</v>
      </c>
      <c r="L108" s="47">
        <v>46220.594942129632</v>
      </c>
      <c r="M108" s="47">
        <v>46223.243055555555</v>
      </c>
      <c r="N108" s="47">
        <v>46223.478807870371</v>
      </c>
      <c r="R108" s="45" t="s">
        <v>272</v>
      </c>
      <c r="S108" s="45" t="s">
        <v>157</v>
      </c>
      <c r="U108" s="45" t="s">
        <v>371</v>
      </c>
      <c r="Z108" s="76" t="e">
        <f ca="1">IF(NOT(OR(#REF!=1,#REF!=2)),MAX(0,_xlfn.IFS(AND(#REF!&lt;&gt;"",#REF!&lt;&gt;""),((MAX(NETWORKDAYS(#REF!,#REF!,UKBankHolidays)-1,0))*(TIME(17,0,0)-TIME(8,0,0))+IF(NETWORKDAYS(#REF!,#REF!,UKBankHolidays)&gt;0,MEDIAN(TIME(8,0,0),MOD(#REF!,1),TIME(17,0,0)),TIME(8,0,0))-IF(NETWORKDAYS(#REF!,#REF!,UKBankHolidays)&gt;0,MEDIAN(TIME(8,0,0),MOD(#REF!,1),TIME(17,0,0)),TIME(8,0,0)))-IF(AND(O108&lt;&gt;"",P108&lt;&gt;""),((MAX(NETWORKDAYS(O108,P108,UKBankHolidays)-1,0))*(TIME(17,0,0)-TIME(8,0,0))+IF(NETWORKDAYS(P108,P108,UKBankHolidays)&gt;0,MEDIAN(TIME(8,0,0),MOD(P108,1),TIME(17,0,0)),TIME(8,0,0))-IF(NETWORKDAYS(O108,O108,UKBankHolidays)&gt;0,MEDIAN(TIME(8,0,0),MOD(O108,1),TIME(17,0,0)),TIME(8,0,0))),0),AND(#REF!&lt;&gt;"",#REF!=""),((MAX(NETWORKDAYS(#REF!,NOW(),UKBankHolidays)-1,0))*(TIME(17,0,0)-TIME(8,0,0))+IF(NETWORKDAYS(NOW(),NOW(),UKBankHolidays)&gt;0,MEDIAN(TIME(8,0,0),MOD(NOW(),1),TIME(17,0,0)),TIME(8,0,0))-IF(NETWORKDAYS(#REF!,#REF!,UKBankHolidays)&gt;0,MEDIAN(TIME(8,0,0),MOD(#REF!,1),TIME(17,0,0)),TIME(8,0,0))))),IF(#REF!="",NOW()-#REF!,#REF!-#REF!))</f>
        <v>#REF!</v>
      </c>
      <c r="AA108" s="75" t="e">
        <f t="shared" ca="1" si="1"/>
        <v>#REF!</v>
      </c>
      <c r="AB108" s="76" t="e">
        <f ca="1">IF(NOT(OR(#REF!=1,#REF!=2)),MAX(0,_xlfn.IFS(AND(#REF!&lt;&gt;"",#REF!&lt;&gt;""),(((MAX(NETWORKDAYS(#REF!,#REF!,UKBankHolidays)-1,0))*(TIME(17,0,0)-TIME(8,0,0)))+IF(NETWORKDAYS(#REF!,#REF!,UKBankHolidays)&gt;0,MEDIAN(TIME(8,0,0),MOD(#REF!,1),TIME(17,0,0)),TIME(8,0,0))-IF(NETWORKDAYS(#REF!,#REF!,UKBankHolidays)&gt;0,MEDIAN(TIME(8,0,0),MOD(#REF!,1),TIME(17,0,0)),TIME(8,0,0)))-IF(AND(O108&lt;&gt;"",P108&lt;&gt;""),(((MAX(NETWORKDAYS(O108,P108,UKBankHolidays)-1,0))*(TIME(17,0,0)-TIME(8,0,0)))+IF(NETWORKDAYS(P108,P108,UKBankHolidays)&gt;0,MEDIAN(TIME(8,0,0),MOD(P108,1),TIME(17,0,0)),TIME(8,0,0))-IF(NETWORKDAYS(O108,O108,UKBankHolidays)&gt;0,MEDIAN(TIME(8,0,0),MOD(O108,1),TIME(17,0,0)),TIME(8,0,0))),0),AND(#REF!&lt;&gt;"",#REF!="",O108=""),(((MAX(NETWORKDAYS(#REF!,NOW(),UKBankHolidays)-1,0))*(TIME(17,0,0)-TIME(8,0,0)))+IF(NETWORKDAYS(NOW(),NOW(),UKBankHolidays)&gt;0,MEDIAN(TIME(8,0,0),MOD(NOW(),1),TIME(17,0,0)),TIME(8,0,0))-IF(NETWORKDAYS(#REF!,#REF!,UKBankHolidays)&gt;0,MEDIAN(TIME(8,0,0),MOD(#REF!,1),TIME(17,0,0)),TIME(8,0,0)))-IF(AND(O108&lt;&gt;"",P108&lt;&gt;""),(((MAX(NETWORKDAYS(O108,P108,UKBankHolidays)-1,0))*(TIME(17,0,0)-TIME(8,0,0)))+IF(NETWORKDAYS(P108,P108,UKBankHolidays)&gt;0,MEDIAN(TIME(8,0,0),MOD(P108,1),TIME(17,0,0)),TIME(8,0,0))-IF(NETWORKDAYS(O108,O108,UKBankHolidays)&gt;0,MEDIAN(TIME(8,0,0),MOD(O108,1),TIME(17,0,0)),TIME(8,0,0))),0),AND(#REF!&lt;&gt;"",#REF!="",P108="",O108&lt;&gt;""),(((MAX(NETWORKDAYS(#REF!,O108,UKBankHolidays)-1,0))*(TIME(17,0,0)-TIME(8,0,0)))+IF(NETWORKDAYS(O108,O108,UKBankHolidays)&gt;0,MEDIAN(TIME(8,0,0),MOD(O108,1),TIME(17,0,0)),TIME(8,0,0))-IF(NETWORKDAYS(#REF!,#REF!,UKBankHolidays)&gt;0,MEDIAN(TIME(8,0,0),MOD(#REF!,1),TIME(17,0,0)),TIME(8,0,0))),ISBLANK(#REF!),"0")),IF(ISBLANK(#REF!),NOW()-#REF!,#REF!-#REF!))</f>
        <v>#REF!</v>
      </c>
      <c r="AC108" s="75" t="e">
        <f t="shared" ca="1" si="3"/>
        <v>#REF!</v>
      </c>
      <c r="AD108" s="76" t="e">
        <f ca="1">MAX(0,IF(NOT(OR(#REF!=1,#REF!=2)),IF(#REF!&lt;&gt;"",((MAX(NETWORKDAYS(#REF!,#REF!,UKBankHolidays)-1,0))*(TIME(17,0,0)-TIME(8,0,0))+IF(NETWORKDAYS(#REF!,#REF!,UKBankHolidays)&gt;0,MEDIAN(TIME(8,0,0),MOD(#REF!,1),TIME(17,0,0)),TIME(8,0,0))-MEDIAN(TIME(8,0,0),MOD(#REF!,1),TIME(17,0,0))),((MAX(NETWORKDAYS(#REF!,NOW(),UKBankHolidays)-1,0))*(TIME(17,0,0)-TIME(8,0,0))+IF(NETWORKDAYS(NOW(),NOW(),UKBankHolidays)&gt;0,MEDIAN(TIME(8,0,0),MOD(NOW(),1),TIME(17,0,0)),TIME(8,0,0))-MEDIAN(TIME(8,0,0),MOD(#REF!,1),TIME(17,0,0)))),IF(#REF!&lt;&gt;"",#REF!-#REF!,NOW()-#REF!)))</f>
        <v>#REF!</v>
      </c>
      <c r="AE108" s="76">
        <f>SUMIFS(AB:AB,E:E,#REF!)</f>
        <v>0</v>
      </c>
      <c r="AF108" s="75">
        <f t="shared" si="6"/>
        <v>0</v>
      </c>
      <c r="AG108" s="75">
        <f t="shared" si="7"/>
        <v>0</v>
      </c>
      <c r="AH108" s="31" t="e" cm="1">
        <f t="array" aca="1" ref="AH108" ca="1">IF((AD108) &lt; (INDEX(ResponseSLA[#All],(MATCH((#REF!),ResponseSLA[Priority],0))+1,3)),"YES","No")</f>
        <v>#REF!</v>
      </c>
      <c r="AI108" s="31" t="e">
        <f>_xlfn.IFNA(IF(AE108 &lt; (INDEX(SLATable[Minimum SLA],MATCH(#REF!,SLATable[Priority],0))),"YES","NO"),"")</f>
        <v>#REF!</v>
      </c>
      <c r="AJ108" t="e">
        <f>_xlfn.IFNA(IF(AE108 &lt; (INDEX(SLATable[Maximum SLA],MATCH(#REF!,SLATable[Priority],0))),"YES","NO"),"")</f>
        <v>#REF!</v>
      </c>
    </row>
    <row r="109" spans="1:36" ht="15" customHeight="1">
      <c r="A109" s="45">
        <v>108</v>
      </c>
      <c r="B109" s="45" t="s">
        <v>26</v>
      </c>
      <c r="C109" s="45" t="s">
        <v>39</v>
      </c>
      <c r="D109" s="45" t="s">
        <v>207</v>
      </c>
      <c r="E109" s="45" t="s">
        <v>8070</v>
      </c>
      <c r="F109" s="45" t="s">
        <v>309</v>
      </c>
      <c r="G109" s="45">
        <v>4</v>
      </c>
      <c r="H109" s="45" t="s">
        <v>7931</v>
      </c>
      <c r="I109" s="45" t="s">
        <v>271</v>
      </c>
      <c r="J109" s="45" t="s">
        <v>7923</v>
      </c>
      <c r="K109" s="47">
        <v>46223.695810185185</v>
      </c>
      <c r="L109" s="47">
        <v>46223.695810185185</v>
      </c>
      <c r="M109" s="47">
        <v>46224.252083333333</v>
      </c>
      <c r="N109" s="47">
        <v>46225.594768518517</v>
      </c>
      <c r="R109" s="45" t="s">
        <v>272</v>
      </c>
      <c r="S109" s="45" t="s">
        <v>161</v>
      </c>
      <c r="U109" s="45" t="s">
        <v>371</v>
      </c>
      <c r="Z109" s="76">
        <f t="shared" ca="1" si="12"/>
        <v>0.64895833333139308</v>
      </c>
      <c r="AA109" s="75">
        <f t="shared" ca="1" si="1"/>
        <v>1.7305555555503815</v>
      </c>
      <c r="AB109" s="76">
        <f t="shared" ca="1" si="13"/>
        <v>0.64895833333139308</v>
      </c>
      <c r="AC109" s="75">
        <f t="shared" ca="1" si="3"/>
        <v>1.7305555555503815</v>
      </c>
      <c r="AD109" s="76">
        <f t="shared" ca="1" si="14"/>
        <v>1.252314814822364E-2</v>
      </c>
      <c r="AE109" s="76">
        <f t="shared" ca="1" si="15"/>
        <v>0.64895833333139308</v>
      </c>
      <c r="AF109" s="75">
        <f t="shared" ca="1" si="6"/>
        <v>1.7305555555503815</v>
      </c>
      <c r="AG109" s="75">
        <f t="shared" ca="1" si="7"/>
        <v>1.7305555555503815</v>
      </c>
      <c r="AH109" s="31" t="str" cm="1">
        <f t="array" aca="1" ref="AH109" ca="1">IF((AD109) &lt; (INDEX(ResponseSLA[#All],(MATCH((G109),ResponseSLA[Priority],0))+1,3)),"YES","No")</f>
        <v>YES</v>
      </c>
      <c r="AI109" s="31" t="str">
        <f ca="1">_xlfn.IFNA(IF(AE109 &lt; (INDEX(SLATable[Minimum SLA],MATCH(G109,SLATable[Priority],0))),"YES","NO"),"")</f>
        <v>YES</v>
      </c>
      <c r="AJ109" t="str">
        <f ca="1">_xlfn.IFNA(IF(AE109 &lt; (INDEX(SLATable[Maximum SLA],MATCH(G109,SLATable[Priority],0))),"YES","NO"),"")</f>
        <v>YES</v>
      </c>
    </row>
    <row r="110" spans="1:36" ht="15" customHeight="1">
      <c r="A110" s="45">
        <v>109</v>
      </c>
      <c r="B110" s="45" t="s">
        <v>26</v>
      </c>
      <c r="C110" s="45" t="s">
        <v>39</v>
      </c>
      <c r="D110" s="45" t="s">
        <v>207</v>
      </c>
      <c r="E110" s="45" t="s">
        <v>8071</v>
      </c>
      <c r="F110" s="45" t="s">
        <v>309</v>
      </c>
      <c r="G110" s="45">
        <v>4</v>
      </c>
      <c r="H110" s="45" t="s">
        <v>7922</v>
      </c>
      <c r="I110" s="45" t="s">
        <v>271</v>
      </c>
      <c r="J110" s="45" t="s">
        <v>7923</v>
      </c>
      <c r="K110" s="47">
        <v>46226.723657407405</v>
      </c>
      <c r="L110" s="47">
        <v>46226.723657407405</v>
      </c>
      <c r="M110" s="47">
        <v>46227.202777777777</v>
      </c>
      <c r="N110" s="47">
        <v>46227.565370370372</v>
      </c>
      <c r="R110" s="45" t="s">
        <v>272</v>
      </c>
      <c r="S110" s="45" t="s">
        <v>161</v>
      </c>
      <c r="U110" s="45" t="s">
        <v>371</v>
      </c>
      <c r="Z110" s="76">
        <f t="shared" ca="1" si="12"/>
        <v>0.23203703703863232</v>
      </c>
      <c r="AA110" s="75">
        <f t="shared" ca="1" si="1"/>
        <v>0.61876543210301949</v>
      </c>
      <c r="AB110" s="76">
        <f t="shared" ca="1" si="13"/>
        <v>0.23203703703863232</v>
      </c>
      <c r="AC110" s="75">
        <f t="shared" ca="1" si="3"/>
        <v>0.61876543210301949</v>
      </c>
      <c r="AD110" s="76">
        <f t="shared" ca="1" si="14"/>
        <v>0</v>
      </c>
      <c r="AE110" s="76">
        <f t="shared" ca="1" si="15"/>
        <v>0.23203703703863232</v>
      </c>
      <c r="AF110" s="75">
        <f t="shared" ca="1" si="6"/>
        <v>0.61876543210301949</v>
      </c>
      <c r="AG110" s="75">
        <f t="shared" ca="1" si="7"/>
        <v>0.61876543210301949</v>
      </c>
      <c r="AH110" s="31" t="str" cm="1">
        <f t="array" aca="1" ref="AH110" ca="1">IF((AD110) &lt; (INDEX(ResponseSLA[#All],(MATCH((G110),ResponseSLA[Priority],0))+1,3)),"YES","No")</f>
        <v>YES</v>
      </c>
      <c r="AI110" s="31" t="str">
        <f ca="1">_xlfn.IFNA(IF(AE110 &lt; (INDEX(SLATable[Minimum SLA],MATCH(G110,SLATable[Priority],0))),"YES","NO"),"")</f>
        <v>YES</v>
      </c>
      <c r="AJ110" t="str">
        <f ca="1">_xlfn.IFNA(IF(AE110 &lt; (INDEX(SLATable[Maximum SLA],MATCH(G110,SLATable[Priority],0))),"YES","NO"),"")</f>
        <v>YES</v>
      </c>
    </row>
    <row r="111" spans="1:36" ht="15" customHeight="1">
      <c r="A111" s="45">
        <v>110</v>
      </c>
      <c r="B111" s="45" t="s">
        <v>26</v>
      </c>
      <c r="C111" s="45" t="s">
        <v>39</v>
      </c>
      <c r="D111" s="45" t="s">
        <v>207</v>
      </c>
      <c r="E111" s="45" t="s">
        <v>8072</v>
      </c>
      <c r="F111" s="45" t="s">
        <v>309</v>
      </c>
      <c r="G111" s="45">
        <v>4</v>
      </c>
      <c r="H111" s="45" t="s">
        <v>7931</v>
      </c>
      <c r="I111" s="45" t="s">
        <v>271</v>
      </c>
      <c r="J111" s="45" t="s">
        <v>7923</v>
      </c>
      <c r="K111" s="47">
        <v>46225.855624999997</v>
      </c>
      <c r="L111" s="47">
        <v>46225.855624999997</v>
      </c>
      <c r="M111" s="47">
        <v>46226.290277777778</v>
      </c>
      <c r="N111" s="47">
        <v>46227.566400462965</v>
      </c>
      <c r="R111" s="45" t="s">
        <v>272</v>
      </c>
      <c r="S111" s="45" t="s">
        <v>161</v>
      </c>
      <c r="U111" s="45" t="s">
        <v>371</v>
      </c>
      <c r="Z111" s="76">
        <f t="shared" ca="1" si="12"/>
        <v>0.60806712963191478</v>
      </c>
      <c r="AA111" s="75">
        <f t="shared" ca="1" si="1"/>
        <v>1.6215123456851062</v>
      </c>
      <c r="AB111" s="76">
        <f t="shared" ca="1" si="13"/>
        <v>0.60806712963191478</v>
      </c>
      <c r="AC111" s="75">
        <f t="shared" ca="1" si="3"/>
        <v>1.6215123456851062</v>
      </c>
      <c r="AD111" s="76">
        <f t="shared" ca="1" si="14"/>
        <v>0</v>
      </c>
      <c r="AE111" s="76">
        <f t="shared" ca="1" si="15"/>
        <v>0.60806712963191478</v>
      </c>
      <c r="AF111" s="75">
        <f t="shared" ca="1" si="6"/>
        <v>1.6215123456851062</v>
      </c>
      <c r="AG111" s="75">
        <f t="shared" ca="1" si="7"/>
        <v>1.6215123456851062</v>
      </c>
      <c r="AH111" s="31" t="str" cm="1">
        <f t="array" aca="1" ref="AH111" ca="1">IF((AD111) &lt; (INDEX(ResponseSLA[#All],(MATCH((G111),ResponseSLA[Priority],0))+1,3)),"YES","No")</f>
        <v>YES</v>
      </c>
      <c r="AI111" s="31" t="str">
        <f ca="1">_xlfn.IFNA(IF(AE111 &lt; (INDEX(SLATable[Minimum SLA],MATCH(G111,SLATable[Priority],0))),"YES","NO"),"")</f>
        <v>YES</v>
      </c>
      <c r="AJ111" t="str">
        <f ca="1">_xlfn.IFNA(IF(AE111 &lt; (INDEX(SLATable[Maximum SLA],MATCH(G111,SLATable[Priority],0))),"YES","NO"),"")</f>
        <v>YES</v>
      </c>
    </row>
    <row r="112" spans="1:36" ht="15" customHeight="1">
      <c r="A112" s="45">
        <v>111</v>
      </c>
      <c r="B112" s="45" t="s">
        <v>26</v>
      </c>
      <c r="C112" s="45" t="s">
        <v>39</v>
      </c>
      <c r="D112" s="45" t="s">
        <v>207</v>
      </c>
      <c r="E112" s="45" t="s">
        <v>8073</v>
      </c>
      <c r="F112" s="45" t="s">
        <v>309</v>
      </c>
      <c r="G112" s="45">
        <v>4</v>
      </c>
      <c r="H112" s="45" t="s">
        <v>7922</v>
      </c>
      <c r="I112" s="45" t="s">
        <v>271</v>
      </c>
      <c r="J112" s="45" t="s">
        <v>7923</v>
      </c>
      <c r="K112" s="47">
        <v>46229.75136574074</v>
      </c>
      <c r="L112" s="47">
        <v>46229.75136574074</v>
      </c>
      <c r="M112" s="47">
        <v>46230.229861111111</v>
      </c>
      <c r="N112" s="47">
        <v>46230.537974537037</v>
      </c>
      <c r="R112" s="45" t="s">
        <v>272</v>
      </c>
      <c r="S112" s="45" t="s">
        <v>161</v>
      </c>
      <c r="U112" s="45" t="s">
        <v>371</v>
      </c>
      <c r="Z112" s="76">
        <f t="shared" ca="1" si="12"/>
        <v>0.20464120370403788</v>
      </c>
      <c r="AA112" s="75">
        <f t="shared" ca="1" si="1"/>
        <v>0.54570987654410097</v>
      </c>
      <c r="AB112" s="76">
        <f t="shared" ca="1" si="13"/>
        <v>0.20464120370403788</v>
      </c>
      <c r="AC112" s="75">
        <f t="shared" ca="1" si="3"/>
        <v>0.54570987654410097</v>
      </c>
      <c r="AD112" s="76">
        <f t="shared" ca="1" si="14"/>
        <v>0</v>
      </c>
      <c r="AE112" s="76">
        <f t="shared" ca="1" si="15"/>
        <v>0.20464120370403788</v>
      </c>
      <c r="AF112" s="75">
        <f t="shared" ca="1" si="6"/>
        <v>0.54570987654410097</v>
      </c>
      <c r="AG112" s="75">
        <f t="shared" ca="1" si="7"/>
        <v>0.54570987654410097</v>
      </c>
      <c r="AH112" s="31" t="str" cm="1">
        <f t="array" aca="1" ref="AH112" ca="1">IF((AD112) &lt; (INDEX(ResponseSLA[#All],(MATCH((G112),ResponseSLA[Priority],0))+1,3)),"YES","No")</f>
        <v>YES</v>
      </c>
      <c r="AI112" s="31" t="str">
        <f ca="1">_xlfn.IFNA(IF(AE112 &lt; (INDEX(SLATable[Minimum SLA],MATCH(G112,SLATable[Priority],0))),"YES","NO"),"")</f>
        <v>YES</v>
      </c>
      <c r="AJ112" t="str">
        <f ca="1">_xlfn.IFNA(IF(AE112 &lt; (INDEX(SLATable[Maximum SLA],MATCH(G112,SLATable[Priority],0))),"YES","NO"),"")</f>
        <v>YES</v>
      </c>
    </row>
    <row r="113" spans="1:36" ht="15" customHeight="1">
      <c r="A113" s="45">
        <v>112</v>
      </c>
      <c r="B113" s="45" t="s">
        <v>26</v>
      </c>
      <c r="C113" s="45" t="s">
        <v>39</v>
      </c>
      <c r="D113" s="45" t="s">
        <v>207</v>
      </c>
      <c r="E113" s="45" t="s">
        <v>8074</v>
      </c>
      <c r="F113" s="45" t="s">
        <v>309</v>
      </c>
      <c r="G113" s="45">
        <v>4</v>
      </c>
      <c r="H113" s="45" t="s">
        <v>8026</v>
      </c>
      <c r="I113" s="45" t="s">
        <v>271</v>
      </c>
      <c r="J113" s="45" t="s">
        <v>7923</v>
      </c>
      <c r="K113" s="47">
        <v>46230.168275462966</v>
      </c>
      <c r="L113" s="47">
        <v>46230.168275462966</v>
      </c>
      <c r="M113" s="47">
        <v>46230.232638888891</v>
      </c>
      <c r="N113" s="47">
        <v>46230.628541666665</v>
      </c>
      <c r="R113" s="45" t="s">
        <v>272</v>
      </c>
      <c r="S113" s="45" t="s">
        <v>157</v>
      </c>
      <c r="U113" s="45" t="s">
        <v>371</v>
      </c>
      <c r="Z113" s="76">
        <f t="shared" ca="1" si="12"/>
        <v>0.29520833333178115</v>
      </c>
      <c r="AA113" s="75">
        <f t="shared" ca="1" si="1"/>
        <v>0.78722222221808302</v>
      </c>
      <c r="AB113" s="76">
        <f t="shared" ca="1" si="13"/>
        <v>0.29520833333178115</v>
      </c>
      <c r="AC113" s="75">
        <f t="shared" ca="1" si="3"/>
        <v>0.78722222221808302</v>
      </c>
      <c r="AD113" s="76">
        <f t="shared" ca="1" si="14"/>
        <v>0</v>
      </c>
      <c r="AE113" s="76">
        <f t="shared" ca="1" si="15"/>
        <v>0.29520833333178115</v>
      </c>
      <c r="AF113" s="75">
        <f t="shared" ca="1" si="6"/>
        <v>0.78722222221808302</v>
      </c>
      <c r="AG113" s="75">
        <f t="shared" ca="1" si="7"/>
        <v>0.78722222221808302</v>
      </c>
      <c r="AH113" s="31" t="str" cm="1">
        <f t="array" aca="1" ref="AH113" ca="1">IF((AD113) &lt; (INDEX(ResponseSLA[#All],(MATCH((G113),ResponseSLA[Priority],0))+1,3)),"YES","No")</f>
        <v>YES</v>
      </c>
      <c r="AI113" s="31" t="str">
        <f ca="1">_xlfn.IFNA(IF(AE113 &lt; (INDEX(SLATable[Minimum SLA],MATCH(G113,SLATable[Priority],0))),"YES","NO"),"")</f>
        <v>YES</v>
      </c>
      <c r="AJ113" t="str">
        <f ca="1">_xlfn.IFNA(IF(AE113 &lt; (INDEX(SLATable[Maximum SLA],MATCH(G113,SLATable[Priority],0))),"YES","NO"),"")</f>
        <v>YES</v>
      </c>
    </row>
    <row r="114" spans="1:36" ht="15" customHeight="1">
      <c r="A114" s="45">
        <v>113</v>
      </c>
      <c r="B114" s="45" t="s">
        <v>26</v>
      </c>
      <c r="C114" s="45" t="s">
        <v>39</v>
      </c>
      <c r="D114" s="45" t="s">
        <v>207</v>
      </c>
      <c r="E114" s="45" t="s">
        <v>8075</v>
      </c>
      <c r="F114" s="45" t="s">
        <v>309</v>
      </c>
      <c r="G114" s="45">
        <v>4</v>
      </c>
      <c r="H114" s="45" t="s">
        <v>7922</v>
      </c>
      <c r="I114" s="45" t="s">
        <v>271</v>
      </c>
      <c r="J114" s="45" t="s">
        <v>7923</v>
      </c>
      <c r="K114" s="47">
        <v>46230.227083333331</v>
      </c>
      <c r="L114" s="47">
        <v>46230.227083333331</v>
      </c>
      <c r="M114" s="47">
        <v>46230.243750000001</v>
      </c>
      <c r="N114" s="47">
        <v>46230.542546296296</v>
      </c>
      <c r="R114" s="45" t="s">
        <v>272</v>
      </c>
      <c r="S114" s="45" t="s">
        <v>161</v>
      </c>
      <c r="U114" s="45" t="s">
        <v>371</v>
      </c>
      <c r="Z114" s="76">
        <f t="shared" ca="1" si="12"/>
        <v>0.2092129629624348</v>
      </c>
      <c r="AA114" s="75">
        <f t="shared" ca="1" si="1"/>
        <v>0.55790123456649277</v>
      </c>
      <c r="AB114" s="76">
        <f t="shared" ca="1" si="13"/>
        <v>0.2092129629624348</v>
      </c>
      <c r="AC114" s="75">
        <f t="shared" ca="1" si="3"/>
        <v>0.55790123456649277</v>
      </c>
      <c r="AD114" s="76">
        <f t="shared" ca="1" si="14"/>
        <v>0</v>
      </c>
      <c r="AE114" s="76">
        <f t="shared" ca="1" si="15"/>
        <v>0.2092129629624348</v>
      </c>
      <c r="AF114" s="75">
        <f t="shared" ca="1" si="6"/>
        <v>0.55790123456649277</v>
      </c>
      <c r="AG114" s="75">
        <f t="shared" ca="1" si="7"/>
        <v>0.55790123456649277</v>
      </c>
      <c r="AH114" s="31" t="str" cm="1">
        <f t="array" aca="1" ref="AH114" ca="1">IF((AD114) &lt; (INDEX(ResponseSLA[#All],(MATCH((G114),ResponseSLA[Priority],0))+1,3)),"YES","No")</f>
        <v>YES</v>
      </c>
      <c r="AI114" s="31" t="str">
        <f ca="1">_xlfn.IFNA(IF(AE114 &lt; (INDEX(SLATable[Minimum SLA],MATCH(G114,SLATable[Priority],0))),"YES","NO"),"")</f>
        <v>YES</v>
      </c>
      <c r="AJ114" t="str">
        <f ca="1">_xlfn.IFNA(IF(AE114 &lt; (INDEX(SLATable[Maximum SLA],MATCH(G114,SLATable[Priority],0))),"YES","NO"),"")</f>
        <v>YES</v>
      </c>
    </row>
    <row r="115" spans="1:36" ht="15" customHeight="1">
      <c r="A115" s="45">
        <v>114</v>
      </c>
      <c r="B115" s="45" t="s">
        <v>26</v>
      </c>
      <c r="C115" s="45" t="s">
        <v>39</v>
      </c>
      <c r="D115" s="45" t="s">
        <v>207</v>
      </c>
      <c r="E115" s="45" t="s">
        <v>8076</v>
      </c>
      <c r="F115" s="45" t="s">
        <v>309</v>
      </c>
      <c r="G115" s="45">
        <v>4</v>
      </c>
      <c r="H115" s="45" t="s">
        <v>7925</v>
      </c>
      <c r="I115" s="45" t="s">
        <v>271</v>
      </c>
      <c r="J115" s="45" t="s">
        <v>7923</v>
      </c>
      <c r="K115" s="47">
        <v>46229.258125</v>
      </c>
      <c r="L115" s="47">
        <v>46229.258125</v>
      </c>
      <c r="M115" s="47">
        <v>46230.230555555558</v>
      </c>
      <c r="N115" s="47">
        <v>46230.633043981485</v>
      </c>
      <c r="R115" s="45" t="s">
        <v>272</v>
      </c>
      <c r="S115" s="45" t="s">
        <v>161</v>
      </c>
      <c r="U115" s="45" t="s">
        <v>371</v>
      </c>
      <c r="Z115" s="76">
        <f t="shared" ca="1" si="12"/>
        <v>0.29971064815132803</v>
      </c>
      <c r="AA115" s="75">
        <f t="shared" ca="1" si="1"/>
        <v>0.79922839507020804</v>
      </c>
      <c r="AB115" s="76">
        <f t="shared" ca="1" si="13"/>
        <v>0.29971064815132803</v>
      </c>
      <c r="AC115" s="75">
        <f t="shared" ca="1" si="3"/>
        <v>0.79922839507020804</v>
      </c>
      <c r="AD115" s="76">
        <f t="shared" ca="1" si="14"/>
        <v>0</v>
      </c>
      <c r="AE115" s="76">
        <f t="shared" ca="1" si="15"/>
        <v>0.29971064815132803</v>
      </c>
      <c r="AF115" s="75">
        <f t="shared" ca="1" si="6"/>
        <v>0.79922839507020804</v>
      </c>
      <c r="AG115" s="75">
        <f t="shared" ca="1" si="7"/>
        <v>0.79922839507020804</v>
      </c>
      <c r="AH115" s="31" t="str" cm="1">
        <f t="array" aca="1" ref="AH115" ca="1">IF((AD115) &lt; (INDEX(ResponseSLA[#All],(MATCH((G115),ResponseSLA[Priority],0))+1,3)),"YES","No")</f>
        <v>YES</v>
      </c>
      <c r="AI115" s="31" t="str">
        <f ca="1">_xlfn.IFNA(IF(AE115 &lt; (INDEX(SLATable[Minimum SLA],MATCH(G115,SLATable[Priority],0))),"YES","NO"),"")</f>
        <v>YES</v>
      </c>
      <c r="AJ115" t="str">
        <f ca="1">_xlfn.IFNA(IF(AE115 &lt; (INDEX(SLATable[Maximum SLA],MATCH(G115,SLATable[Priority],0))),"YES","NO"),"")</f>
        <v>YES</v>
      </c>
    </row>
    <row r="116" spans="1:36" ht="15" customHeight="1">
      <c r="A116" s="45">
        <v>115</v>
      </c>
      <c r="B116" s="45" t="s">
        <v>26</v>
      </c>
      <c r="C116" s="45" t="s">
        <v>39</v>
      </c>
      <c r="D116" s="45" t="s">
        <v>207</v>
      </c>
      <c r="E116" s="45" t="s">
        <v>8077</v>
      </c>
      <c r="F116" s="45" t="s">
        <v>309</v>
      </c>
      <c r="G116" s="45">
        <v>4</v>
      </c>
      <c r="H116" s="45" t="s">
        <v>7922</v>
      </c>
      <c r="I116" s="45" t="s">
        <v>271</v>
      </c>
      <c r="J116" s="45" t="s">
        <v>7923</v>
      </c>
      <c r="K116" s="47">
        <v>46231.230902777781</v>
      </c>
      <c r="L116" s="47">
        <v>46231.230902777781</v>
      </c>
      <c r="M116" s="47">
        <v>46231.234722222223</v>
      </c>
      <c r="N116" s="47">
        <v>46232.605023148149</v>
      </c>
      <c r="R116" s="45" t="s">
        <v>272</v>
      </c>
      <c r="S116" s="45" t="s">
        <v>161</v>
      </c>
      <c r="U116" s="45" t="s">
        <v>371</v>
      </c>
      <c r="Z116" s="76">
        <f t="shared" ca="1" si="12"/>
        <v>0.64668981481615151</v>
      </c>
      <c r="AA116" s="75">
        <f t="shared" ca="1" si="1"/>
        <v>1.7245061728430706</v>
      </c>
      <c r="AB116" s="76">
        <f t="shared" ca="1" si="13"/>
        <v>0.64668981481615151</v>
      </c>
      <c r="AC116" s="75">
        <f t="shared" ca="1" si="3"/>
        <v>1.7245061728430706</v>
      </c>
      <c r="AD116" s="76">
        <f t="shared" ca="1" si="14"/>
        <v>0</v>
      </c>
      <c r="AE116" s="76">
        <f t="shared" ca="1" si="15"/>
        <v>0.64668981481615151</v>
      </c>
      <c r="AF116" s="75">
        <f t="shared" ca="1" si="6"/>
        <v>1.7245061728430706</v>
      </c>
      <c r="AG116" s="75">
        <f t="shared" ca="1" si="7"/>
        <v>1.7245061728430706</v>
      </c>
      <c r="AH116" s="31" t="str" cm="1">
        <f t="array" aca="1" ref="AH116" ca="1">IF((AD116) &lt; (INDEX(ResponseSLA[#All],(MATCH((G116),ResponseSLA[Priority],0))+1,3)),"YES","No")</f>
        <v>YES</v>
      </c>
      <c r="AI116" s="31" t="str">
        <f ca="1">_xlfn.IFNA(IF(AE116 &lt; (INDEX(SLATable[Minimum SLA],MATCH(G116,SLATable[Priority],0))),"YES","NO"),"")</f>
        <v>YES</v>
      </c>
      <c r="AJ116" t="str">
        <f ca="1">_xlfn.IFNA(IF(AE116 &lt; (INDEX(SLATable[Maximum SLA],MATCH(G116,SLATable[Priority],0))),"YES","NO"),"")</f>
        <v>YES</v>
      </c>
    </row>
    <row r="117" spans="1:36" ht="15" customHeight="1">
      <c r="A117" s="45">
        <v>116</v>
      </c>
      <c r="B117" s="45" t="s">
        <v>26</v>
      </c>
      <c r="C117" s="45" t="s">
        <v>39</v>
      </c>
      <c r="D117" s="45" t="s">
        <v>207</v>
      </c>
      <c r="E117" s="45" t="s">
        <v>8078</v>
      </c>
      <c r="F117" s="45" t="s">
        <v>309</v>
      </c>
      <c r="G117" s="45">
        <v>4</v>
      </c>
      <c r="H117" s="45" t="s">
        <v>7925</v>
      </c>
      <c r="I117" s="45" t="s">
        <v>271</v>
      </c>
      <c r="J117" s="45" t="s">
        <v>7923</v>
      </c>
      <c r="K117" s="47">
        <v>46230.65053240741</v>
      </c>
      <c r="L117" s="47">
        <v>46230.65053240741</v>
      </c>
      <c r="M117" s="47">
        <v>46231.223611111112</v>
      </c>
      <c r="N117" s="47">
        <v>46232.60565972222</v>
      </c>
      <c r="R117" s="45" t="s">
        <v>272</v>
      </c>
      <c r="S117" s="45" t="s">
        <v>161</v>
      </c>
      <c r="U117" s="45" t="s">
        <v>371</v>
      </c>
      <c r="Z117" s="76">
        <f t="shared" ca="1" si="12"/>
        <v>0.70512731480994262</v>
      </c>
      <c r="AA117" s="75">
        <f t="shared" ca="1" si="1"/>
        <v>1.8803395061598469</v>
      </c>
      <c r="AB117" s="76">
        <f t="shared" ca="1" si="13"/>
        <v>0.70512731480994262</v>
      </c>
      <c r="AC117" s="75">
        <f t="shared" ca="1" si="3"/>
        <v>1.8803395061598469</v>
      </c>
      <c r="AD117" s="76">
        <f t="shared" ca="1" si="14"/>
        <v>5.7800925923705448E-2</v>
      </c>
      <c r="AE117" s="76">
        <f t="shared" ca="1" si="15"/>
        <v>0.70512731480994262</v>
      </c>
      <c r="AF117" s="75">
        <f t="shared" ca="1" si="6"/>
        <v>1.8803395061598469</v>
      </c>
      <c r="AG117" s="75">
        <f t="shared" ca="1" si="7"/>
        <v>1.8803395061598469</v>
      </c>
      <c r="AH117" s="31" t="str" cm="1">
        <f t="array" aca="1" ref="AH117" ca="1">IF((AD117) &lt; (INDEX(ResponseSLA[#All],(MATCH((G117),ResponseSLA[Priority],0))+1,3)),"YES","No")</f>
        <v>YES</v>
      </c>
      <c r="AI117" s="31" t="str">
        <f ca="1">_xlfn.IFNA(IF(AE117 &lt; (INDEX(SLATable[Minimum SLA],MATCH(G117,SLATable[Priority],0))),"YES","NO"),"")</f>
        <v>YES</v>
      </c>
      <c r="AJ117" t="str">
        <f ca="1">_xlfn.IFNA(IF(AE117 &lt; (INDEX(SLATable[Maximum SLA],MATCH(G117,SLATable[Priority],0))),"YES","NO"),"")</f>
        <v>YES</v>
      </c>
    </row>
    <row r="118" spans="1:36" ht="15" customHeight="1">
      <c r="A118" s="45">
        <v>117</v>
      </c>
      <c r="B118" s="45" t="s">
        <v>26</v>
      </c>
      <c r="C118" s="45" t="s">
        <v>39</v>
      </c>
      <c r="D118" s="45" t="s">
        <v>207</v>
      </c>
      <c r="E118" s="45" t="s">
        <v>8079</v>
      </c>
      <c r="F118" s="45" t="s">
        <v>309</v>
      </c>
      <c r="G118" s="45">
        <v>4</v>
      </c>
      <c r="H118" s="45" t="s">
        <v>7922</v>
      </c>
      <c r="I118" s="45" t="s">
        <v>271</v>
      </c>
      <c r="J118" s="45" t="s">
        <v>7923</v>
      </c>
      <c r="K118" s="47">
        <v>46233.806944444441</v>
      </c>
      <c r="L118" s="47">
        <v>46233.806944444441</v>
      </c>
      <c r="M118" s="47">
        <v>46234.23333333333</v>
      </c>
      <c r="N118" s="47">
        <v>46234.504317129627</v>
      </c>
      <c r="R118" s="45" t="s">
        <v>272</v>
      </c>
      <c r="S118" s="45" t="s">
        <v>161</v>
      </c>
      <c r="U118" s="45" t="s">
        <v>371</v>
      </c>
      <c r="Z118" s="76">
        <f t="shared" ca="1" si="12"/>
        <v>0.17098379629411886</v>
      </c>
      <c r="AA118" s="75">
        <f t="shared" ca="1" si="1"/>
        <v>0.45595679011765028</v>
      </c>
      <c r="AB118" s="76">
        <f t="shared" ca="1" si="13"/>
        <v>0.17098379629411886</v>
      </c>
      <c r="AC118" s="75">
        <f t="shared" ca="1" si="3"/>
        <v>0.45595679011765028</v>
      </c>
      <c r="AD118" s="76">
        <f t="shared" ca="1" si="14"/>
        <v>0</v>
      </c>
      <c r="AE118" s="76">
        <f t="shared" ca="1" si="15"/>
        <v>0.17098379629411886</v>
      </c>
      <c r="AF118" s="75">
        <f t="shared" ca="1" si="6"/>
        <v>0.45595679011765028</v>
      </c>
      <c r="AG118" s="75">
        <f t="shared" ca="1" si="7"/>
        <v>0.45595679011765028</v>
      </c>
      <c r="AH118" s="31" t="str" cm="1">
        <f t="array" aca="1" ref="AH118" ca="1">IF((AD118) &lt; (INDEX(ResponseSLA[#All],(MATCH((G118),ResponseSLA[Priority],0))+1,3)),"YES","No")</f>
        <v>YES</v>
      </c>
      <c r="AI118" s="31" t="str">
        <f ca="1">_xlfn.IFNA(IF(AE118 &lt; (INDEX(SLATable[Minimum SLA],MATCH(G118,SLATable[Priority],0))),"YES","NO"),"")</f>
        <v>YES</v>
      </c>
      <c r="AJ118" t="str">
        <f ca="1">_xlfn.IFNA(IF(AE118 &lt; (INDEX(SLATable[Maximum SLA],MATCH(G118,SLATable[Priority],0))),"YES","NO"),"")</f>
        <v>YES</v>
      </c>
    </row>
    <row r="119" spans="1:36" ht="15" customHeight="1">
      <c r="A119" s="45">
        <v>118</v>
      </c>
      <c r="B119" s="45" t="s">
        <v>26</v>
      </c>
      <c r="C119" s="45" t="s">
        <v>39</v>
      </c>
      <c r="D119" s="45" t="s">
        <v>207</v>
      </c>
      <c r="E119" s="45" t="s">
        <v>8080</v>
      </c>
      <c r="F119" s="45" t="s">
        <v>309</v>
      </c>
      <c r="G119" s="45">
        <v>4</v>
      </c>
      <c r="H119" s="45" t="s">
        <v>7969</v>
      </c>
      <c r="I119" s="45" t="s">
        <v>271</v>
      </c>
      <c r="J119" s="45" t="s">
        <v>7923</v>
      </c>
      <c r="K119" s="47">
        <v>46233.171701388892</v>
      </c>
      <c r="L119" s="47">
        <v>46233.171701388892</v>
      </c>
      <c r="M119" s="47">
        <v>46233.270138888889</v>
      </c>
      <c r="N119" s="47">
        <v>46234.50922453704</v>
      </c>
      <c r="R119" s="45" t="s">
        <v>272</v>
      </c>
      <c r="S119" s="45" t="s">
        <v>157</v>
      </c>
      <c r="U119" s="45" t="s">
        <v>371</v>
      </c>
      <c r="Z119" s="76">
        <f t="shared" ca="1" si="12"/>
        <v>0.55089120370636624</v>
      </c>
      <c r="AA119" s="75">
        <f t="shared" ca="1" si="1"/>
        <v>1.4690432098836432</v>
      </c>
      <c r="AB119" s="76">
        <f t="shared" ca="1" si="13"/>
        <v>0.55089120370636624</v>
      </c>
      <c r="AC119" s="75">
        <f t="shared" ca="1" si="3"/>
        <v>1.4690432098836432</v>
      </c>
      <c r="AD119" s="76">
        <f t="shared" ca="1" si="14"/>
        <v>0</v>
      </c>
      <c r="AE119" s="76">
        <f t="shared" ca="1" si="15"/>
        <v>0.55089120370636624</v>
      </c>
      <c r="AF119" s="75">
        <f t="shared" ca="1" si="6"/>
        <v>1.4690432098836432</v>
      </c>
      <c r="AG119" s="75">
        <f t="shared" ca="1" si="7"/>
        <v>1.4690432098836432</v>
      </c>
      <c r="AH119" s="31" t="str" cm="1">
        <f t="array" aca="1" ref="AH119" ca="1">IF((AD119) &lt; (INDEX(ResponseSLA[#All],(MATCH((G119),ResponseSLA[Priority],0))+1,3)),"YES","No")</f>
        <v>YES</v>
      </c>
      <c r="AI119" s="31" t="str">
        <f ca="1">_xlfn.IFNA(IF(AE119 &lt; (INDEX(SLATable[Minimum SLA],MATCH(G119,SLATable[Priority],0))),"YES","NO"),"")</f>
        <v>YES</v>
      </c>
      <c r="AJ119" t="str">
        <f ca="1">_xlfn.IFNA(IF(AE119 &lt; (INDEX(SLATable[Maximum SLA],MATCH(G119,SLATable[Priority],0))),"YES","NO"),"")</f>
        <v>YES</v>
      </c>
    </row>
    <row r="120" spans="1:36" ht="15" customHeight="1">
      <c r="A120" s="45">
        <v>119</v>
      </c>
      <c r="B120" s="45" t="s">
        <v>26</v>
      </c>
      <c r="C120" s="45" t="s">
        <v>39</v>
      </c>
      <c r="D120" s="45" t="s">
        <v>207</v>
      </c>
      <c r="E120" s="45" t="s">
        <v>8081</v>
      </c>
      <c r="F120" s="45" t="s">
        <v>309</v>
      </c>
      <c r="G120" s="45">
        <v>4</v>
      </c>
      <c r="H120" s="45" t="s">
        <v>7925</v>
      </c>
      <c r="I120" s="45" t="s">
        <v>271</v>
      </c>
      <c r="J120" s="45" t="s">
        <v>7923</v>
      </c>
      <c r="K120" s="47">
        <v>46233.261678240742</v>
      </c>
      <c r="L120" s="47">
        <v>46233.261678240742</v>
      </c>
      <c r="M120" s="47">
        <v>46233.269444444442</v>
      </c>
      <c r="N120" s="47">
        <v>46237.57476851852</v>
      </c>
      <c r="R120" s="45" t="s">
        <v>272</v>
      </c>
      <c r="S120" s="45" t="s">
        <v>161</v>
      </c>
      <c r="U120" s="45" t="s">
        <v>371</v>
      </c>
      <c r="Z120" s="76">
        <f t="shared" ca="1" si="12"/>
        <v>0.99143518518637097</v>
      </c>
      <c r="AA120" s="75">
        <f t="shared" ca="1" si="1"/>
        <v>2.643827160496989</v>
      </c>
      <c r="AB120" s="76">
        <f t="shared" ca="1" si="13"/>
        <v>0.99143518518637097</v>
      </c>
      <c r="AC120" s="75">
        <f t="shared" ca="1" si="3"/>
        <v>2.643827160496989</v>
      </c>
      <c r="AD120" s="76">
        <f t="shared" ca="1" si="14"/>
        <v>0</v>
      </c>
      <c r="AE120" s="76">
        <f t="shared" ca="1" si="15"/>
        <v>0.99143518518637097</v>
      </c>
      <c r="AF120" s="75">
        <f t="shared" ca="1" si="6"/>
        <v>2.643827160496989</v>
      </c>
      <c r="AG120" s="75">
        <f t="shared" ca="1" si="7"/>
        <v>2.643827160496989</v>
      </c>
      <c r="AH120" s="31" t="str" cm="1">
        <f t="array" aca="1" ref="AH120" ca="1">IF((AD120) &lt; (INDEX(ResponseSLA[#All],(MATCH((G120),ResponseSLA[Priority],0))+1,3)),"YES","No")</f>
        <v>YES</v>
      </c>
      <c r="AI120" s="31" t="str">
        <f ca="1">_xlfn.IFNA(IF(AE120 &lt; (INDEX(SLATable[Minimum SLA],MATCH(G120,SLATable[Priority],0))),"YES","NO"),"")</f>
        <v>YES</v>
      </c>
      <c r="AJ120" t="str">
        <f ca="1">_xlfn.IFNA(IF(AE120 &lt; (INDEX(SLATable[Maximum SLA],MATCH(G120,SLATable[Priority],0))),"YES","NO"),"")</f>
        <v>YES</v>
      </c>
    </row>
    <row r="121" spans="1:36" ht="15" customHeight="1">
      <c r="A121" s="45">
        <v>120</v>
      </c>
      <c r="B121" s="45" t="s">
        <v>26</v>
      </c>
      <c r="C121" s="45" t="s">
        <v>39</v>
      </c>
      <c r="D121" s="45" t="s">
        <v>207</v>
      </c>
      <c r="E121" s="45" t="s">
        <v>8082</v>
      </c>
      <c r="F121" s="45" t="s">
        <v>309</v>
      </c>
      <c r="G121" s="45">
        <v>4</v>
      </c>
      <c r="H121" s="45" t="s">
        <v>7922</v>
      </c>
      <c r="I121" s="45" t="s">
        <v>271</v>
      </c>
      <c r="J121" s="45" t="s">
        <v>7923</v>
      </c>
      <c r="K121" s="47">
        <v>46235.199363425927</v>
      </c>
      <c r="L121" s="47">
        <v>46235.199363425927</v>
      </c>
      <c r="M121" s="47">
        <v>46237.231944444444</v>
      </c>
      <c r="N121" s="47">
        <v>46237.571597222224</v>
      </c>
      <c r="R121" s="45" t="s">
        <v>272</v>
      </c>
      <c r="S121" s="45" t="s">
        <v>161</v>
      </c>
      <c r="U121" s="45" t="s">
        <v>371</v>
      </c>
      <c r="Z121" s="76">
        <f t="shared" ca="1" si="12"/>
        <v>0.23826388889089384</v>
      </c>
      <c r="AA121" s="75">
        <f t="shared" ca="1" si="1"/>
        <v>0.63537037037571686</v>
      </c>
      <c r="AB121" s="76">
        <f t="shared" ca="1" si="13"/>
        <v>0.23826388889089384</v>
      </c>
      <c r="AC121" s="75">
        <f t="shared" ca="1" si="3"/>
        <v>0.63537037037571686</v>
      </c>
      <c r="AD121" s="76">
        <f t="shared" ca="1" si="14"/>
        <v>0</v>
      </c>
      <c r="AE121" s="76">
        <f t="shared" ca="1" si="15"/>
        <v>0.23826388889089384</v>
      </c>
      <c r="AF121" s="75">
        <f t="shared" ca="1" si="6"/>
        <v>0.63537037037571686</v>
      </c>
      <c r="AG121" s="75">
        <f t="shared" ca="1" si="7"/>
        <v>0.63537037037571686</v>
      </c>
      <c r="AH121" s="31" t="str" cm="1">
        <f t="array" aca="1" ref="AH121" ca="1">IF((AD121) &lt; (INDEX(ResponseSLA[#All],(MATCH((G121),ResponseSLA[Priority],0))+1,3)),"YES","No")</f>
        <v>YES</v>
      </c>
      <c r="AI121" s="31" t="str">
        <f ca="1">_xlfn.IFNA(IF(AE121 &lt; (INDEX(SLATable[Minimum SLA],MATCH(G121,SLATable[Priority],0))),"YES","NO"),"")</f>
        <v>YES</v>
      </c>
      <c r="AJ121" t="str">
        <f ca="1">_xlfn.IFNA(IF(AE121 &lt; (INDEX(SLATable[Maximum SLA],MATCH(G121,SLATable[Priority],0))),"YES","NO"),"")</f>
        <v>YES</v>
      </c>
    </row>
    <row r="122" spans="1:36" ht="15" customHeight="1">
      <c r="A122" s="45">
        <v>121</v>
      </c>
      <c r="B122" s="45" t="s">
        <v>26</v>
      </c>
      <c r="C122" s="45" t="s">
        <v>39</v>
      </c>
      <c r="D122" s="45" t="s">
        <v>208</v>
      </c>
      <c r="E122" s="45" t="s">
        <v>8083</v>
      </c>
      <c r="F122" s="45" t="s">
        <v>309</v>
      </c>
      <c r="G122" s="45" t="s">
        <v>208</v>
      </c>
      <c r="H122" s="45" t="s">
        <v>8084</v>
      </c>
      <c r="I122" s="45" t="s">
        <v>260</v>
      </c>
      <c r="J122" s="45" t="s">
        <v>7923</v>
      </c>
      <c r="K122" s="47">
        <v>46232.349803240744</v>
      </c>
      <c r="L122" s="47">
        <v>46232.349803240744</v>
      </c>
      <c r="M122" s="47">
        <v>46233.355555555558</v>
      </c>
      <c r="Z122" s="76">
        <f t="shared" ca="1" si="12"/>
        <v>7.4091725694379429</v>
      </c>
      <c r="AA122" s="75">
        <f t="shared" ca="1" si="1"/>
        <v>19.757793518501181</v>
      </c>
      <c r="AB122" s="76">
        <f t="shared" ca="1" si="13"/>
        <v>7.4091725694379429</v>
      </c>
      <c r="AC122" s="75">
        <f t="shared" ca="1" si="3"/>
        <v>19.757793518501181</v>
      </c>
      <c r="AD122" s="76">
        <f t="shared" ca="1" si="14"/>
        <v>0.38075231481343508</v>
      </c>
      <c r="AE122" s="76">
        <f t="shared" ca="1" si="15"/>
        <v>7.4091725694379429</v>
      </c>
      <c r="AF122" s="75">
        <f t="shared" ca="1" si="6"/>
        <v>19.757793518501181</v>
      </c>
      <c r="AG122" s="75">
        <f t="shared" ca="1" si="7"/>
        <v>19.757793518501181</v>
      </c>
      <c r="AH122" s="31" t="str" cm="1">
        <f t="array" aca="1" ref="AH122" ca="1">IF((AD122) &lt; (INDEX(ResponseSLA[#All],(MATCH((G122),ResponseSLA[Priority],0))+1,3)),"YES","No")</f>
        <v>No</v>
      </c>
      <c r="AI122" s="31" t="str">
        <f ca="1">_xlfn.IFNA(IF(AE122 &lt; (INDEX(SLATable[Minimum SLA],MATCH(G122,SLATable[Priority],0))),"YES","NO"),"")</f>
        <v>NO</v>
      </c>
      <c r="AJ122" t="str">
        <f ca="1">_xlfn.IFNA(IF(AE122 &lt; (INDEX(SLATable[Maximum SLA],MATCH(G122,SLATable[Priority],0))),"YES","NO"),"")</f>
        <v>NO</v>
      </c>
    </row>
    <row r="123" spans="1:36" ht="15" customHeight="1">
      <c r="A123" s="45">
        <v>122</v>
      </c>
      <c r="B123" s="45" t="s">
        <v>26</v>
      </c>
      <c r="C123" s="45" t="s">
        <v>39</v>
      </c>
      <c r="D123" s="45" t="s">
        <v>208</v>
      </c>
      <c r="E123" s="45" t="s">
        <v>8085</v>
      </c>
      <c r="F123" s="45" t="s">
        <v>309</v>
      </c>
      <c r="G123" s="45" t="s">
        <v>208</v>
      </c>
      <c r="H123" s="45" t="s">
        <v>2313</v>
      </c>
      <c r="I123" s="45" t="s">
        <v>260</v>
      </c>
      <c r="J123" s="45" t="s">
        <v>7923</v>
      </c>
      <c r="K123" s="47">
        <v>46232.489293981482</v>
      </c>
      <c r="L123" s="47">
        <v>46245.495138888888</v>
      </c>
      <c r="M123" s="47">
        <v>46245.525694444441</v>
      </c>
      <c r="Z123" s="76">
        <f t="shared" ca="1" si="12"/>
        <v>7.2696818287004143</v>
      </c>
      <c r="AA123" s="75">
        <f t="shared" ca="1" si="1"/>
        <v>19.385818209867772</v>
      </c>
      <c r="AB123" s="76">
        <f t="shared" ca="1" si="13"/>
        <v>3.888836921294569</v>
      </c>
      <c r="AC123" s="75">
        <f t="shared" ca="1" si="3"/>
        <v>10.370231790118851</v>
      </c>
      <c r="AD123" s="76">
        <f t="shared" ca="1" si="14"/>
        <v>3.0555555553291924E-2</v>
      </c>
      <c r="AE123" s="76">
        <f t="shared" ca="1" si="15"/>
        <v>3.888836921294569</v>
      </c>
      <c r="AF123" s="75">
        <f t="shared" ca="1" si="6"/>
        <v>10.370231790118851</v>
      </c>
      <c r="AG123" s="75">
        <f t="shared" ca="1" si="7"/>
        <v>10.370231790118851</v>
      </c>
      <c r="AH123" s="31" t="str" cm="1">
        <f t="array" aca="1" ref="AH123" ca="1">IF((AD123) &lt; (INDEX(ResponseSLA[#All],(MATCH((G123),ResponseSLA[Priority],0))+1,3)),"YES","No")</f>
        <v>YES</v>
      </c>
      <c r="AI123" s="31" t="str">
        <f ca="1">_xlfn.IFNA(IF(AE123 &lt; (INDEX(SLATable[Minimum SLA],MATCH(G123,SLATable[Priority],0))),"YES","NO"),"")</f>
        <v>NO</v>
      </c>
      <c r="AJ123" t="str">
        <f ca="1">_xlfn.IFNA(IF(AE123 &lt; (INDEX(SLATable[Maximum SLA],MATCH(G123,SLATable[Priority],0))),"YES","NO"),"")</f>
        <v>NO</v>
      </c>
    </row>
    <row r="124" spans="1:36" ht="15" customHeight="1">
      <c r="A124" s="45">
        <v>123</v>
      </c>
      <c r="B124" s="45" t="s">
        <v>26</v>
      </c>
      <c r="C124" s="45" t="s">
        <v>39</v>
      </c>
      <c r="D124" s="45" t="s">
        <v>207</v>
      </c>
      <c r="E124" s="45" t="s">
        <v>8086</v>
      </c>
      <c r="F124" s="45" t="s">
        <v>309</v>
      </c>
      <c r="G124" s="45">
        <v>4</v>
      </c>
      <c r="H124" s="45" t="s">
        <v>7931</v>
      </c>
      <c r="I124" s="45" t="s">
        <v>271</v>
      </c>
      <c r="J124" s="45" t="s">
        <v>7923</v>
      </c>
      <c r="K124" s="47">
        <v>46237.966828703706</v>
      </c>
      <c r="L124" s="47">
        <v>46237.966828703706</v>
      </c>
      <c r="M124" s="47">
        <v>46238.240972222222</v>
      </c>
      <c r="N124" s="47">
        <v>46239.56890046296</v>
      </c>
      <c r="R124" s="45" t="s">
        <v>272</v>
      </c>
      <c r="S124" s="45" t="s">
        <v>161</v>
      </c>
      <c r="U124" s="45" t="s">
        <v>371</v>
      </c>
      <c r="Z124" s="76">
        <f t="shared" ca="1" si="12"/>
        <v>0.61056712962696713</v>
      </c>
      <c r="AA124" s="75">
        <f t="shared" ca="1" si="1"/>
        <v>1.6281790123385791</v>
      </c>
      <c r="AB124" s="76">
        <f t="shared" ca="1" si="13"/>
        <v>0.61056712962696713</v>
      </c>
      <c r="AC124" s="75">
        <f t="shared" ca="1" si="3"/>
        <v>1.6281790123385791</v>
      </c>
      <c r="AD124" s="76">
        <f t="shared" ca="1" si="14"/>
        <v>0</v>
      </c>
      <c r="AE124" s="76">
        <f t="shared" ca="1" si="15"/>
        <v>0.61056712962696713</v>
      </c>
      <c r="AF124" s="75">
        <f t="shared" ca="1" si="6"/>
        <v>1.6281790123385791</v>
      </c>
      <c r="AG124" s="75">
        <f t="shared" ca="1" si="7"/>
        <v>1.6281790123385791</v>
      </c>
      <c r="AH124" s="31" t="str" cm="1">
        <f t="array" aca="1" ref="AH124" ca="1">IF((AD124) &lt; (INDEX(ResponseSLA[#All],(MATCH((G124),ResponseSLA[Priority],0))+1,3)),"YES","No")</f>
        <v>YES</v>
      </c>
      <c r="AI124" s="31" t="str">
        <f ca="1">_xlfn.IFNA(IF(AE124 &lt; (INDEX(SLATable[Minimum SLA],MATCH(G124,SLATable[Priority],0))),"YES","NO"),"")</f>
        <v>YES</v>
      </c>
      <c r="AJ124" t="str">
        <f ca="1">_xlfn.IFNA(IF(AE124 &lt; (INDEX(SLATable[Maximum SLA],MATCH(G124,SLATable[Priority],0))),"YES","NO"),"")</f>
        <v>YES</v>
      </c>
    </row>
    <row r="125" spans="1:36" ht="15" customHeight="1">
      <c r="A125" s="45">
        <v>124</v>
      </c>
      <c r="B125" s="45" t="s">
        <v>26</v>
      </c>
      <c r="C125" s="45" t="s">
        <v>39</v>
      </c>
      <c r="D125" s="45" t="s">
        <v>207</v>
      </c>
      <c r="E125" s="45" t="s">
        <v>8087</v>
      </c>
      <c r="F125" s="45" t="s">
        <v>309</v>
      </c>
      <c r="G125" s="45">
        <v>4</v>
      </c>
      <c r="H125" s="45" t="s">
        <v>7925</v>
      </c>
      <c r="I125" s="45" t="s">
        <v>271</v>
      </c>
      <c r="J125" s="45" t="s">
        <v>7923</v>
      </c>
      <c r="K125" s="47">
        <v>46239.938819444447</v>
      </c>
      <c r="L125" s="47">
        <v>46239.938819444447</v>
      </c>
      <c r="M125" s="47">
        <v>46240.21597222222</v>
      </c>
      <c r="N125" s="47">
        <v>46241.593726851854</v>
      </c>
      <c r="R125" s="45" t="s">
        <v>272</v>
      </c>
      <c r="S125" s="45" t="s">
        <v>161</v>
      </c>
      <c r="U125" s="45" t="s">
        <v>371</v>
      </c>
      <c r="Z125" s="76">
        <f t="shared" ca="1" si="12"/>
        <v>0.63539351852038328</v>
      </c>
      <c r="AA125" s="75">
        <f t="shared" ca="1" si="1"/>
        <v>1.6943827160543554</v>
      </c>
      <c r="AB125" s="76">
        <f t="shared" ca="1" si="13"/>
        <v>0.63539351852038328</v>
      </c>
      <c r="AC125" s="75">
        <f t="shared" ca="1" si="3"/>
        <v>1.6943827160543554</v>
      </c>
      <c r="AD125" s="76">
        <f t="shared" ca="1" si="14"/>
        <v>0</v>
      </c>
      <c r="AE125" s="76">
        <f t="shared" ca="1" si="15"/>
        <v>0.63539351852038328</v>
      </c>
      <c r="AF125" s="75">
        <f t="shared" ca="1" si="6"/>
        <v>1.6943827160543554</v>
      </c>
      <c r="AG125" s="75">
        <f t="shared" ca="1" si="7"/>
        <v>1.6943827160543554</v>
      </c>
      <c r="AH125" s="31" t="str" cm="1">
        <f t="array" aca="1" ref="AH125" ca="1">IF((AD125) &lt; (INDEX(ResponseSLA[#All],(MATCH((G125),ResponseSLA[Priority],0))+1,3)),"YES","No")</f>
        <v>YES</v>
      </c>
      <c r="AI125" s="31" t="str">
        <f ca="1">_xlfn.IFNA(IF(AE125 &lt; (INDEX(SLATable[Minimum SLA],MATCH(G125,SLATable[Priority],0))),"YES","NO"),"")</f>
        <v>YES</v>
      </c>
      <c r="AJ125" t="str">
        <f ca="1">_xlfn.IFNA(IF(AE125 &lt; (INDEX(SLATable[Maximum SLA],MATCH(G125,SLATable[Priority],0))),"YES","NO"),"")</f>
        <v>YES</v>
      </c>
    </row>
    <row r="126" spans="1:36" ht="15" customHeight="1">
      <c r="A126" s="45">
        <v>125</v>
      </c>
      <c r="B126" s="45" t="s">
        <v>26</v>
      </c>
      <c r="C126" s="45" t="s">
        <v>39</v>
      </c>
      <c r="D126" s="45" t="s">
        <v>207</v>
      </c>
      <c r="E126" s="45" t="s">
        <v>8088</v>
      </c>
      <c r="F126" s="45" t="s">
        <v>309</v>
      </c>
      <c r="G126" s="45">
        <v>4</v>
      </c>
      <c r="H126" s="45" t="s">
        <v>7922</v>
      </c>
      <c r="I126" s="45" t="s">
        <v>271</v>
      </c>
      <c r="J126" s="45" t="s">
        <v>7923</v>
      </c>
      <c r="K126" s="47">
        <v>46241.581377314818</v>
      </c>
      <c r="L126" s="47">
        <v>46241.581377314818</v>
      </c>
      <c r="M126" s="47">
        <v>46241.602638888886</v>
      </c>
      <c r="N126" s="47">
        <v>46241.591666666667</v>
      </c>
      <c r="R126" s="45" t="s">
        <v>272</v>
      </c>
      <c r="S126" s="45" t="s">
        <v>161</v>
      </c>
      <c r="U126" s="45" t="s">
        <v>371</v>
      </c>
      <c r="Z126" s="76">
        <f t="shared" ca="1" si="12"/>
        <v>1.0289351848769002E-2</v>
      </c>
      <c r="AA126" s="75">
        <f t="shared" ca="1" si="1"/>
        <v>2.7438271596717339E-2</v>
      </c>
      <c r="AB126" s="76">
        <f t="shared" ca="1" si="13"/>
        <v>1.0289351848769002E-2</v>
      </c>
      <c r="AC126" s="75">
        <f t="shared" ca="1" si="3"/>
        <v>2.7438271596717339E-2</v>
      </c>
      <c r="AD126" s="76">
        <f t="shared" ca="1" si="14"/>
        <v>2.1261574067466427E-2</v>
      </c>
      <c r="AE126" s="76">
        <f t="shared" ca="1" si="15"/>
        <v>1.0289351848769002E-2</v>
      </c>
      <c r="AF126" s="75">
        <f t="shared" ca="1" si="6"/>
        <v>2.7438271596717339E-2</v>
      </c>
      <c r="AG126" s="75">
        <f t="shared" ca="1" si="7"/>
        <v>2.7438271596717339E-2</v>
      </c>
      <c r="AH126" s="31" t="str" cm="1">
        <f t="array" aca="1" ref="AH126" ca="1">IF((AD126) &lt; (INDEX(ResponseSLA[#All],(MATCH((G126),ResponseSLA[Priority],0))+1,3)),"YES","No")</f>
        <v>YES</v>
      </c>
      <c r="AI126" s="31" t="str">
        <f ca="1">_xlfn.IFNA(IF(AE126 &lt; (INDEX(SLATable[Minimum SLA],MATCH(G126,SLATable[Priority],0))),"YES","NO"),"")</f>
        <v>YES</v>
      </c>
      <c r="AJ126" t="str">
        <f ca="1">_xlfn.IFNA(IF(AE126 &lt; (INDEX(SLATable[Maximum SLA],MATCH(G126,SLATable[Priority],0))),"YES","NO"),"")</f>
        <v>YES</v>
      </c>
    </row>
    <row r="127" spans="1:36" ht="15" customHeight="1">
      <c r="A127" s="45">
        <v>126</v>
      </c>
      <c r="B127" s="45" t="s">
        <v>26</v>
      </c>
      <c r="C127" s="45" t="s">
        <v>39</v>
      </c>
      <c r="D127" s="45" t="s">
        <v>207</v>
      </c>
      <c r="E127" s="45" t="s">
        <v>8089</v>
      </c>
      <c r="F127" s="45" t="s">
        <v>309</v>
      </c>
      <c r="G127" s="45">
        <v>4</v>
      </c>
      <c r="H127" s="45" t="s">
        <v>7947</v>
      </c>
      <c r="I127" s="45" t="s">
        <v>271</v>
      </c>
      <c r="J127" s="45" t="s">
        <v>7923</v>
      </c>
      <c r="K127" s="47">
        <v>46243.838541666664</v>
      </c>
      <c r="L127" s="47">
        <v>46243.838541666664</v>
      </c>
      <c r="M127" s="47">
        <v>46244.240277777775</v>
      </c>
      <c r="N127" s="47">
        <v>46244.510057870371</v>
      </c>
      <c r="R127" s="45" t="s">
        <v>272</v>
      </c>
      <c r="S127" s="45" t="s">
        <v>157</v>
      </c>
      <c r="U127" s="45" t="s">
        <v>371</v>
      </c>
      <c r="Z127" s="76">
        <f t="shared" ca="1" si="12"/>
        <v>0.1767245370380503</v>
      </c>
      <c r="AA127" s="75">
        <f t="shared" ca="1" si="1"/>
        <v>0.47126543210146743</v>
      </c>
      <c r="AB127" s="76">
        <f t="shared" ca="1" si="13"/>
        <v>0.1767245370380503</v>
      </c>
      <c r="AC127" s="75">
        <f t="shared" ca="1" si="3"/>
        <v>0.47126543210146743</v>
      </c>
      <c r="AD127" s="76">
        <f t="shared" ca="1" si="14"/>
        <v>0</v>
      </c>
      <c r="AE127" s="76">
        <f t="shared" ca="1" si="15"/>
        <v>0.1767245370380503</v>
      </c>
      <c r="AF127" s="75">
        <f t="shared" ca="1" si="6"/>
        <v>0.47126543210146743</v>
      </c>
      <c r="AG127" s="75">
        <f t="shared" ca="1" si="7"/>
        <v>0.47126543210146743</v>
      </c>
      <c r="AH127" s="31" t="str" cm="1">
        <f t="array" aca="1" ref="AH127" ca="1">IF((AD127) &lt; (INDEX(ResponseSLA[#All],(MATCH((G127),ResponseSLA[Priority],0))+1,3)),"YES","No")</f>
        <v>YES</v>
      </c>
      <c r="AI127" s="31" t="str">
        <f ca="1">_xlfn.IFNA(IF(AE127 &lt; (INDEX(SLATable[Minimum SLA],MATCH(G127,SLATable[Priority],0))),"YES","NO"),"")</f>
        <v>YES</v>
      </c>
      <c r="AJ127" t="str">
        <f ca="1">_xlfn.IFNA(IF(AE127 &lt; (INDEX(SLATable[Maximum SLA],MATCH(G127,SLATable[Priority],0))),"YES","NO"),"")</f>
        <v>YES</v>
      </c>
    </row>
    <row r="128" spans="1:36" ht="15" customHeight="1">
      <c r="A128" s="45">
        <v>127</v>
      </c>
      <c r="B128" s="45" t="s">
        <v>26</v>
      </c>
      <c r="C128" s="45" t="s">
        <v>39</v>
      </c>
      <c r="D128" s="45" t="s">
        <v>207</v>
      </c>
      <c r="E128" s="45" t="s">
        <v>8090</v>
      </c>
      <c r="F128" s="45" t="s">
        <v>309</v>
      </c>
      <c r="G128" s="45">
        <v>4</v>
      </c>
      <c r="H128" s="45" t="s">
        <v>7931</v>
      </c>
      <c r="I128" s="45" t="s">
        <v>271</v>
      </c>
      <c r="J128" s="45" t="s">
        <v>7923</v>
      </c>
      <c r="K128" s="47">
        <v>46242.532824074071</v>
      </c>
      <c r="L128" s="47">
        <v>46242.532824074071</v>
      </c>
      <c r="M128" s="47">
        <v>46244.240972222222</v>
      </c>
      <c r="N128" s="47">
        <v>46244.511342592596</v>
      </c>
      <c r="R128" s="45" t="s">
        <v>272</v>
      </c>
      <c r="S128" s="45" t="s">
        <v>161</v>
      </c>
      <c r="U128" s="45" t="s">
        <v>371</v>
      </c>
      <c r="Z128" s="76">
        <f t="shared" ca="1" si="12"/>
        <v>0.17800925926227745</v>
      </c>
      <c r="AA128" s="75">
        <f t="shared" ca="1" si="1"/>
        <v>0.47469135803273982</v>
      </c>
      <c r="AB128" s="76">
        <f t="shared" ca="1" si="13"/>
        <v>0.17800925926227745</v>
      </c>
      <c r="AC128" s="75">
        <f t="shared" ca="1" si="3"/>
        <v>0.47469135803273982</v>
      </c>
      <c r="AD128" s="76">
        <f t="shared" ca="1" si="14"/>
        <v>0</v>
      </c>
      <c r="AE128" s="76">
        <f t="shared" ca="1" si="15"/>
        <v>0.17800925926227745</v>
      </c>
      <c r="AF128" s="75">
        <f t="shared" ca="1" si="6"/>
        <v>0.47469135803273982</v>
      </c>
      <c r="AG128" s="75">
        <f t="shared" ca="1" si="7"/>
        <v>0.47469135803273982</v>
      </c>
      <c r="AH128" s="31" t="str" cm="1">
        <f t="array" aca="1" ref="AH128" ca="1">IF((AD128) &lt; (INDEX(ResponseSLA[#All],(MATCH((G128),ResponseSLA[Priority],0))+1,3)),"YES","No")</f>
        <v>YES</v>
      </c>
      <c r="AI128" s="31" t="str">
        <f ca="1">_xlfn.IFNA(IF(AE128 &lt; (INDEX(SLATable[Minimum SLA],MATCH(G128,SLATable[Priority],0))),"YES","NO"),"")</f>
        <v>YES</v>
      </c>
      <c r="AJ128" t="str">
        <f ca="1">_xlfn.IFNA(IF(AE128 &lt; (INDEX(SLATable[Maximum SLA],MATCH(G128,SLATable[Priority],0))),"YES","NO"),"")</f>
        <v>YES</v>
      </c>
    </row>
    <row r="129" spans="1:36" ht="15" customHeight="1">
      <c r="A129" s="45">
        <v>128</v>
      </c>
      <c r="B129" s="45" t="s">
        <v>26</v>
      </c>
      <c r="C129" s="45" t="s">
        <v>39</v>
      </c>
      <c r="D129" s="45" t="s">
        <v>207</v>
      </c>
      <c r="E129" s="45" t="s">
        <v>8091</v>
      </c>
      <c r="F129" s="45" t="s">
        <v>309</v>
      </c>
      <c r="G129" s="45">
        <v>4</v>
      </c>
      <c r="H129" s="45" t="s">
        <v>7929</v>
      </c>
      <c r="I129" s="45" t="s">
        <v>271</v>
      </c>
      <c r="J129" s="45" t="s">
        <v>7923</v>
      </c>
      <c r="K129" s="47">
        <v>46245.428229166668</v>
      </c>
      <c r="L129" s="47">
        <v>46245.428229166668</v>
      </c>
      <c r="M129" s="47">
        <v>46245.429166666669</v>
      </c>
      <c r="N129" s="47">
        <v>46246.501273148147</v>
      </c>
      <c r="R129" s="45" t="s">
        <v>272</v>
      </c>
      <c r="S129" s="45" t="s">
        <v>161</v>
      </c>
      <c r="U129" s="45" t="s">
        <v>371</v>
      </c>
      <c r="Z129" s="76">
        <f t="shared" ca="1" si="12"/>
        <v>0.44804398147971369</v>
      </c>
      <c r="AA129" s="75">
        <f t="shared" ca="1" si="1"/>
        <v>1.1947839506125699</v>
      </c>
      <c r="AB129" s="76">
        <f t="shared" ca="1" si="13"/>
        <v>0.44804398147971369</v>
      </c>
      <c r="AC129" s="75">
        <f t="shared" ca="1" si="3"/>
        <v>1.1947839506125699</v>
      </c>
      <c r="AD129" s="76">
        <f t="shared" ca="1" si="14"/>
        <v>9.3750000087311491E-4</v>
      </c>
      <c r="AE129" s="76">
        <f t="shared" ca="1" si="15"/>
        <v>0.44804398147971369</v>
      </c>
      <c r="AF129" s="75">
        <f t="shared" ca="1" si="6"/>
        <v>1.1947839506125699</v>
      </c>
      <c r="AG129" s="75">
        <f t="shared" ca="1" si="7"/>
        <v>1.1947839506125699</v>
      </c>
      <c r="AH129" s="31" t="str" cm="1">
        <f t="array" aca="1" ref="AH129" ca="1">IF((AD129) &lt; (INDEX(ResponseSLA[#All],(MATCH((G129),ResponseSLA[Priority],0))+1,3)),"YES","No")</f>
        <v>YES</v>
      </c>
      <c r="AI129" s="31" t="str">
        <f ca="1">_xlfn.IFNA(IF(AE129 &lt; (INDEX(SLATable[Minimum SLA],MATCH(G129,SLATable[Priority],0))),"YES","NO"),"")</f>
        <v>YES</v>
      </c>
      <c r="AJ129" t="str">
        <f ca="1">_xlfn.IFNA(IF(AE129 &lt; (INDEX(SLATable[Maximum SLA],MATCH(G129,SLATable[Priority],0))),"YES","NO"),"")</f>
        <v>YES</v>
      </c>
    </row>
    <row r="130" spans="1:36" ht="15" customHeight="1">
      <c r="A130" s="45">
        <v>129</v>
      </c>
      <c r="B130" s="45" t="s">
        <v>26</v>
      </c>
      <c r="C130" s="45" t="s">
        <v>39</v>
      </c>
      <c r="D130" s="45" t="s">
        <v>207</v>
      </c>
      <c r="E130" s="45" t="s">
        <v>8092</v>
      </c>
      <c r="F130" s="45" t="s">
        <v>309</v>
      </c>
      <c r="G130" s="45">
        <v>4</v>
      </c>
      <c r="H130" s="45" t="s">
        <v>7931</v>
      </c>
      <c r="I130" s="45" t="s">
        <v>271</v>
      </c>
      <c r="J130" s="45" t="s">
        <v>7923</v>
      </c>
      <c r="K130" s="47">
        <v>46245.036226851851</v>
      </c>
      <c r="L130" s="47">
        <v>46245.036226851851</v>
      </c>
      <c r="M130" s="47">
        <v>46245.245138888888</v>
      </c>
      <c r="N130" s="47">
        <v>46246.504687499997</v>
      </c>
      <c r="R130" s="45" t="s">
        <v>272</v>
      </c>
      <c r="S130" s="45" t="s">
        <v>161</v>
      </c>
      <c r="U130" s="45" t="s">
        <v>371</v>
      </c>
      <c r="Z130" s="76">
        <f t="shared" ca="1" si="12"/>
        <v>0.54635416666375636</v>
      </c>
      <c r="AA130" s="75">
        <f t="shared" ca="1" si="1"/>
        <v>1.4569444444366837</v>
      </c>
      <c r="AB130" s="76">
        <f t="shared" ca="1" si="13"/>
        <v>0.54635416666375636</v>
      </c>
      <c r="AC130" s="75">
        <f t="shared" ca="1" si="3"/>
        <v>1.4569444444366837</v>
      </c>
      <c r="AD130" s="76">
        <f t="shared" ca="1" si="14"/>
        <v>0</v>
      </c>
      <c r="AE130" s="76">
        <f t="shared" ca="1" si="15"/>
        <v>0.54635416666375636</v>
      </c>
      <c r="AF130" s="75">
        <f t="shared" ca="1" si="6"/>
        <v>1.4569444444366837</v>
      </c>
      <c r="AG130" s="75">
        <f t="shared" ca="1" si="7"/>
        <v>1.4569444444366837</v>
      </c>
      <c r="AH130" s="31" t="str" cm="1">
        <f t="array" aca="1" ref="AH130" ca="1">IF((AD130) &lt; (INDEX(ResponseSLA[#All],(MATCH((G130),ResponseSLA[Priority],0))+1,3)),"YES","No")</f>
        <v>YES</v>
      </c>
      <c r="AI130" s="31" t="str">
        <f ca="1">_xlfn.IFNA(IF(AE130 &lt; (INDEX(SLATable[Minimum SLA],MATCH(G130,SLATable[Priority],0))),"YES","NO"),"")</f>
        <v>YES</v>
      </c>
      <c r="AJ130" t="str">
        <f ca="1">_xlfn.IFNA(IF(AE130 &lt; (INDEX(SLATable[Maximum SLA],MATCH(G130,SLATable[Priority],0))),"YES","NO"),"")</f>
        <v>YES</v>
      </c>
    </row>
    <row r="131" spans="1:36" ht="15" customHeight="1">
      <c r="A131" s="45">
        <v>130</v>
      </c>
      <c r="B131" s="45" t="s">
        <v>26</v>
      </c>
      <c r="C131" s="45" t="s">
        <v>39</v>
      </c>
      <c r="D131" s="45" t="s">
        <v>207</v>
      </c>
      <c r="E131" s="45" t="s">
        <v>8093</v>
      </c>
      <c r="F131" s="45" t="s">
        <v>309</v>
      </c>
      <c r="G131" s="45">
        <v>4</v>
      </c>
      <c r="H131" s="45" t="s">
        <v>7922</v>
      </c>
      <c r="I131" s="45" t="s">
        <v>271</v>
      </c>
      <c r="J131" s="45" t="s">
        <v>7933</v>
      </c>
      <c r="K131" s="47">
        <v>46246.723749999997</v>
      </c>
      <c r="L131" s="47">
        <v>46246.723749999997</v>
      </c>
      <c r="M131" s="47">
        <v>46247.221655092595</v>
      </c>
      <c r="N131" s="47">
        <v>46248.550567129627</v>
      </c>
      <c r="R131" s="45" t="s">
        <v>272</v>
      </c>
      <c r="S131" s="45" t="s">
        <v>161</v>
      </c>
      <c r="U131" s="45" t="s">
        <v>371</v>
      </c>
      <c r="Z131" s="76">
        <f t="shared" ref="Z131:Z194" ca="1" si="16">IF(NOT(OR(G131=1,G131=2)),MAX(0,_xlfn.IFS(AND(K131&lt;&gt;"",N131&lt;&gt;""),((MAX(NETWORKDAYS(K131,N131,UKBankHolidays)-1,0))*(TIME(17,0,0)-TIME(8,0,0))+IF(NETWORKDAYS(N131,N131,UKBankHolidays)&gt;0,MEDIAN(TIME(8,0,0),MOD(N131,1),TIME(17,0,0)),TIME(8,0,0))-IF(NETWORKDAYS(K131,K131,UKBankHolidays)&gt;0,MEDIAN(TIME(8,0,0),MOD(K131,1),TIME(17,0,0)),TIME(8,0,0)))-IF(AND(O131&lt;&gt;"",P131&lt;&gt;""),((MAX(NETWORKDAYS(O131,P131,UKBankHolidays)-1,0))*(TIME(17,0,0)-TIME(8,0,0))+IF(NETWORKDAYS(P131,P131,UKBankHolidays)&gt;0,MEDIAN(TIME(8,0,0),MOD(P131,1),TIME(17,0,0)),TIME(8,0,0))-IF(NETWORKDAYS(O131,O131,UKBankHolidays)&gt;0,MEDIAN(TIME(8,0,0),MOD(O131,1),TIME(17,0,0)),TIME(8,0,0))),0),AND(K131&lt;&gt;"",N131=""),((MAX(NETWORKDAYS(K131,NOW(),UKBankHolidays)-1,0))*(TIME(17,0,0)-TIME(8,0,0))+IF(NETWORKDAYS(NOW(),NOW(),UKBankHolidays)&gt;0,MEDIAN(TIME(8,0,0),MOD(NOW(),1),TIME(17,0,0)),TIME(8,0,0))-IF(NETWORKDAYS(K131,K131,UKBankHolidays)&gt;0,MEDIAN(TIME(8,0,0),MOD(K131,1),TIME(17,0,0)),TIME(8,0,0))))),IF(N131="",NOW()-K131,N131-K131))</f>
        <v>0.59223379629353678</v>
      </c>
      <c r="AA131" s="75">
        <f t="shared" ca="1" si="1"/>
        <v>1.5792901234494314</v>
      </c>
      <c r="AB131" s="76">
        <f t="shared" ref="AB131:AB194" ca="1" si="17">IF(NOT(OR(G131=1,G131=2)),MAX(0,_xlfn.IFS(AND(K131&lt;&gt;"",N131&lt;&gt;""),(((MAX(NETWORKDAYS(L131,N131,UKBankHolidays)-1,0))*(TIME(17,0,0)-TIME(8,0,0)))+IF(NETWORKDAYS(N131,N131,UKBankHolidays)&gt;0,MEDIAN(TIME(8,0,0),MOD(N131,1),TIME(17,0,0)),TIME(8,0,0))-IF(NETWORKDAYS(L131,L131,UKBankHolidays)&gt;0,MEDIAN(TIME(8,0,0),MOD(L131,1),TIME(17,0,0)),TIME(8,0,0)))-IF(AND(O131&lt;&gt;"",P131&lt;&gt;""),(((MAX(NETWORKDAYS(O131,P131,UKBankHolidays)-1,0))*(TIME(17,0,0)-TIME(8,0,0)))+IF(NETWORKDAYS(P131,P131,UKBankHolidays)&gt;0,MEDIAN(TIME(8,0,0),MOD(P131,1),TIME(17,0,0)),TIME(8,0,0))-IF(NETWORKDAYS(O131,O131,UKBankHolidays)&gt;0,MEDIAN(TIME(8,0,0),MOD(O131,1),TIME(17,0,0)),TIME(8,0,0))),0),AND(L131&lt;&gt;"",N131="",O131=""),(((MAX(NETWORKDAYS(L131,NOW(),UKBankHolidays)-1,0))*(TIME(17,0,0)-TIME(8,0,0)))+IF(NETWORKDAYS(NOW(),NOW(),UKBankHolidays)&gt;0,MEDIAN(TIME(8,0,0),MOD(NOW(),1),TIME(17,0,0)),TIME(8,0,0))-IF(NETWORKDAYS(L131,L131,UKBankHolidays)&gt;0,MEDIAN(TIME(8,0,0),MOD(L131,1),TIME(17,0,0)),TIME(8,0,0)))-IF(AND(O131&lt;&gt;"",P131&lt;&gt;""),(((MAX(NETWORKDAYS(O131,P131,UKBankHolidays)-1,0))*(TIME(17,0,0)-TIME(8,0,0)))+IF(NETWORKDAYS(P131,P131,UKBankHolidays)&gt;0,MEDIAN(TIME(8,0,0),MOD(P131,1),TIME(17,0,0)),TIME(8,0,0))-IF(NETWORKDAYS(O131,O131,UKBankHolidays)&gt;0,MEDIAN(TIME(8,0,0),MOD(O131,1),TIME(17,0,0)),TIME(8,0,0))),0),AND(L131&lt;&gt;"",N131="",P131="",O131&lt;&gt;""),(((MAX(NETWORKDAYS(L131,O131,UKBankHolidays)-1,0))*(TIME(17,0,0)-TIME(8,0,0)))+IF(NETWORKDAYS(O131,O131,UKBankHolidays)&gt;0,MEDIAN(TIME(8,0,0),MOD(O131,1),TIME(17,0,0)),TIME(8,0,0))-IF(NETWORKDAYS(L131,L131,UKBankHolidays)&gt;0,MEDIAN(TIME(8,0,0),MOD(L131,1),TIME(17,0,0)),TIME(8,0,0))),ISBLANK(K131),"0")),IF(ISBLANK(N131),NOW()-L131,N131-L131))</f>
        <v>0.59223379629353678</v>
      </c>
      <c r="AC131" s="75">
        <f t="shared" ca="1" si="3"/>
        <v>1.5792901234494314</v>
      </c>
      <c r="AD131" s="76">
        <f t="shared" ref="AD131:AD194" ca="1" si="18">MAX(0,IF(NOT(OR(G131=1,G131=2)),IF(M131&lt;&gt;"",((MAX(NETWORKDAYS(L131,M131,UKBankHolidays)-1,0))*(TIME(17,0,0)-TIME(8,0,0))+IF(NETWORKDAYS(M131,M131,UKBankHolidays)&gt;0,MEDIAN(TIME(8,0,0),MOD(M131,1),TIME(17,0,0)),TIME(8,0,0))-MEDIAN(TIME(8,0,0),MOD(L131,1),TIME(17,0,0))),((MAX(NETWORKDAYS(L131,NOW(),UKBankHolidays)-1,0))*(TIME(17,0,0)-TIME(8,0,0))+IF(NETWORKDAYS(NOW(),NOW(),UKBankHolidays)&gt;0,MEDIAN(TIME(8,0,0),MOD(NOW(),1),TIME(17,0,0)),TIME(8,0,0))-MEDIAN(TIME(8,0,0),MOD(L131,1),TIME(17,0,0)))),IF(M131&lt;&gt;"",M131-L131,NOW()-L131)))</f>
        <v>0</v>
      </c>
      <c r="AE131" s="76">
        <f t="shared" ref="AE131:AE194" ca="1" si="19">SUMIFS(AB:AB,E:E,E131)</f>
        <v>0.59223379629353678</v>
      </c>
      <c r="AF131" s="75">
        <f t="shared" ca="1" si="6"/>
        <v>1.5792901234494314</v>
      </c>
      <c r="AG131" s="75">
        <f t="shared" ca="1" si="7"/>
        <v>1.5792901234494314</v>
      </c>
      <c r="AH131" s="31" t="str" cm="1">
        <f t="array" aca="1" ref="AH131" ca="1">IF((AD131) &lt; (INDEX(ResponseSLA[#All],(MATCH((G131),ResponseSLA[Priority],0))+1,3)),"YES","No")</f>
        <v>YES</v>
      </c>
      <c r="AI131" s="31" t="str">
        <f ca="1">_xlfn.IFNA(IF(AE131 &lt; (INDEX(SLATable[Minimum SLA],MATCH(G131,SLATable[Priority],0))),"YES","NO"),"")</f>
        <v>YES</v>
      </c>
      <c r="AJ131" t="str">
        <f ca="1">_xlfn.IFNA(IF(AE131 &lt; (INDEX(SLATable[Maximum SLA],MATCH(G131,SLATable[Priority],0))),"YES","NO"),"")</f>
        <v>YES</v>
      </c>
    </row>
    <row r="132" spans="1:36" ht="15" customHeight="1">
      <c r="A132" s="45">
        <v>131</v>
      </c>
      <c r="B132" s="45" t="s">
        <v>26</v>
      </c>
      <c r="C132" s="45" t="s">
        <v>39</v>
      </c>
      <c r="D132" s="45" t="s">
        <v>207</v>
      </c>
      <c r="E132" s="45" t="s">
        <v>8094</v>
      </c>
      <c r="F132" s="45" t="s">
        <v>309</v>
      </c>
      <c r="G132" s="45">
        <v>4</v>
      </c>
      <c r="H132" s="45" t="s">
        <v>7925</v>
      </c>
      <c r="I132" s="45" t="s">
        <v>271</v>
      </c>
      <c r="J132" s="45" t="s">
        <v>7933</v>
      </c>
      <c r="K132" s="47">
        <v>46246.685798611114</v>
      </c>
      <c r="L132" s="47">
        <v>46246.685798611114</v>
      </c>
      <c r="M132" s="47">
        <v>46247.220925925925</v>
      </c>
      <c r="N132" s="47">
        <v>46248.564155092594</v>
      </c>
      <c r="R132" s="45" t="s">
        <v>272</v>
      </c>
      <c r="S132" s="45" t="s">
        <v>161</v>
      </c>
      <c r="U132" s="45" t="s">
        <v>371</v>
      </c>
      <c r="Z132" s="76">
        <f t="shared" ca="1" si="16"/>
        <v>0.62835648148029577</v>
      </c>
      <c r="AA132" s="75">
        <f t="shared" ca="1" si="1"/>
        <v>1.6756172839474555</v>
      </c>
      <c r="AB132" s="76">
        <f t="shared" ca="1" si="17"/>
        <v>0.62835648148029577</v>
      </c>
      <c r="AC132" s="75">
        <f t="shared" ca="1" si="3"/>
        <v>1.6756172839474555</v>
      </c>
      <c r="AD132" s="76">
        <f t="shared" ca="1" si="18"/>
        <v>2.2534722219764602E-2</v>
      </c>
      <c r="AE132" s="76">
        <f t="shared" ca="1" si="19"/>
        <v>0.62835648148029577</v>
      </c>
      <c r="AF132" s="75">
        <f t="shared" ca="1" si="6"/>
        <v>1.6756172839474555</v>
      </c>
      <c r="AG132" s="75">
        <f t="shared" ca="1" si="7"/>
        <v>1.6756172839474555</v>
      </c>
      <c r="AH132" s="31" t="str" cm="1">
        <f t="array" aca="1" ref="AH132" ca="1">IF((AD132) &lt; (INDEX(ResponseSLA[#All],(MATCH((G132),ResponseSLA[Priority],0))+1,3)),"YES","No")</f>
        <v>YES</v>
      </c>
      <c r="AI132" s="31" t="str">
        <f ca="1">_xlfn.IFNA(IF(AE132 &lt; (INDEX(SLATable[Minimum SLA],MATCH(G132,SLATable[Priority],0))),"YES","NO"),"")</f>
        <v>YES</v>
      </c>
      <c r="AJ132" t="str">
        <f ca="1">_xlfn.IFNA(IF(AE132 &lt; (INDEX(SLATable[Maximum SLA],MATCH(G132,SLATable[Priority],0))),"YES","NO"),"")</f>
        <v>YES</v>
      </c>
    </row>
    <row r="133" spans="1:36" ht="15" customHeight="1">
      <c r="A133" s="45">
        <v>132</v>
      </c>
      <c r="B133" s="45" t="s">
        <v>26</v>
      </c>
      <c r="C133" s="45" t="s">
        <v>39</v>
      </c>
      <c r="D133" s="45" t="s">
        <v>207</v>
      </c>
      <c r="E133" s="45" t="s">
        <v>8095</v>
      </c>
      <c r="F133" s="45" t="s">
        <v>309</v>
      </c>
      <c r="G133" s="45">
        <v>3</v>
      </c>
      <c r="H133" s="45" t="s">
        <v>8096</v>
      </c>
      <c r="I133" s="45" t="s">
        <v>271</v>
      </c>
      <c r="J133" s="45" t="s">
        <v>7923</v>
      </c>
      <c r="K133" s="47">
        <v>46250.602094907408</v>
      </c>
      <c r="L133" s="47">
        <v>46250.613888888889</v>
      </c>
      <c r="M133" s="47">
        <v>46251.26458333333</v>
      </c>
      <c r="N133" s="47">
        <v>46251.463784722226</v>
      </c>
      <c r="R133" s="45" t="s">
        <v>272</v>
      </c>
      <c r="S133" s="45" t="s">
        <v>161</v>
      </c>
      <c r="U133" s="45" t="s">
        <v>371</v>
      </c>
      <c r="Z133" s="76">
        <f t="shared" ca="1" si="16"/>
        <v>0.13045138889234903</v>
      </c>
      <c r="AA133" s="75">
        <f t="shared" ca="1" si="1"/>
        <v>0.34787037037959739</v>
      </c>
      <c r="AB133" s="76">
        <f t="shared" ca="1" si="17"/>
        <v>0.13045138889234903</v>
      </c>
      <c r="AC133" s="75">
        <f t="shared" ca="1" si="3"/>
        <v>0.34787037037959739</v>
      </c>
      <c r="AD133" s="76">
        <f t="shared" ca="1" si="18"/>
        <v>0</v>
      </c>
      <c r="AE133" s="76">
        <f t="shared" ca="1" si="19"/>
        <v>0.13045138889234903</v>
      </c>
      <c r="AF133" s="75">
        <f t="shared" ca="1" si="6"/>
        <v>0.34787037037959739</v>
      </c>
      <c r="AG133" s="75">
        <f t="shared" ca="1" si="7"/>
        <v>0.34787037037959739</v>
      </c>
      <c r="AH133" s="31" t="str" cm="1">
        <f t="array" aca="1" ref="AH133" ca="1">IF((AD133) &lt; (INDEX(ResponseSLA[#All],(MATCH((G133),ResponseSLA[Priority],0))+1,3)),"YES","No")</f>
        <v>YES</v>
      </c>
      <c r="AI133" s="31" t="str">
        <f ca="1">_xlfn.IFNA(IF(AE133 &lt; (INDEX(SLATable[Minimum SLA],MATCH(G133,SLATable[Priority],0))),"YES","NO"),"")</f>
        <v>YES</v>
      </c>
      <c r="AJ133" t="str">
        <f ca="1">_xlfn.IFNA(IF(AE133 &lt; (INDEX(SLATable[Maximum SLA],MATCH(G133,SLATable[Priority],0))),"YES","NO"),"")</f>
        <v>YES</v>
      </c>
    </row>
    <row r="134" spans="1:36" ht="15" customHeight="1">
      <c r="A134" s="45">
        <v>133</v>
      </c>
      <c r="B134" s="45" t="s">
        <v>26</v>
      </c>
      <c r="C134" s="45" t="s">
        <v>39</v>
      </c>
      <c r="D134" s="45" t="s">
        <v>207</v>
      </c>
      <c r="E134" s="45" t="s">
        <v>8097</v>
      </c>
      <c r="F134" s="45" t="s">
        <v>309</v>
      </c>
      <c r="G134" s="45">
        <v>4</v>
      </c>
      <c r="H134" s="45" t="s">
        <v>8098</v>
      </c>
      <c r="I134" s="45" t="s">
        <v>271</v>
      </c>
      <c r="J134" s="45" t="s">
        <v>7977</v>
      </c>
      <c r="K134" s="47">
        <v>46248.800011574072</v>
      </c>
      <c r="L134" s="47">
        <v>46248.800011574072</v>
      </c>
      <c r="M134" s="47">
        <v>46251.272916666669</v>
      </c>
      <c r="N134" s="47">
        <v>46255.510324074072</v>
      </c>
      <c r="R134" s="45" t="s">
        <v>272</v>
      </c>
      <c r="S134" s="45" t="s">
        <v>157</v>
      </c>
      <c r="U134" s="45" t="s">
        <v>371</v>
      </c>
      <c r="Z134" s="76">
        <f t="shared" ca="1" si="16"/>
        <v>1.6769907407384985</v>
      </c>
      <c r="AA134" s="75">
        <f t="shared" ca="1" si="1"/>
        <v>4.4719753086359963</v>
      </c>
      <c r="AB134" s="76">
        <f t="shared" ca="1" si="17"/>
        <v>1.6769907407384985</v>
      </c>
      <c r="AC134" s="75">
        <f t="shared" ca="1" si="3"/>
        <v>4.4719753086359963</v>
      </c>
      <c r="AD134" s="76">
        <f t="shared" ca="1" si="18"/>
        <v>0</v>
      </c>
      <c r="AE134" s="76">
        <f t="shared" ca="1" si="19"/>
        <v>1.6769907407384985</v>
      </c>
      <c r="AF134" s="75">
        <f t="shared" ca="1" si="6"/>
        <v>4.4719753086359963</v>
      </c>
      <c r="AG134" s="75">
        <f t="shared" ca="1" si="7"/>
        <v>4.4719753086359963</v>
      </c>
      <c r="AH134" s="31" t="str" cm="1">
        <f t="array" aca="1" ref="AH134" ca="1">IF((AD134) &lt; (INDEX(ResponseSLA[#All],(MATCH((G134),ResponseSLA[Priority],0))+1,3)),"YES","No")</f>
        <v>YES</v>
      </c>
      <c r="AI134" s="31" t="str">
        <f ca="1">_xlfn.IFNA(IF(AE134 &lt; (INDEX(SLATable[Minimum SLA],MATCH(G134,SLATable[Priority],0))),"YES","NO"),"")</f>
        <v>YES</v>
      </c>
      <c r="AJ134" t="str">
        <f ca="1">_xlfn.IFNA(IF(AE134 &lt; (INDEX(SLATable[Maximum SLA],MATCH(G134,SLATable[Priority],0))),"YES","NO"),"")</f>
        <v>YES</v>
      </c>
    </row>
    <row r="135" spans="1:36" ht="15" customHeight="1">
      <c r="A135" s="45">
        <v>134</v>
      </c>
      <c r="B135" s="45" t="s">
        <v>26</v>
      </c>
      <c r="C135" s="45" t="s">
        <v>39</v>
      </c>
      <c r="D135" s="45" t="s">
        <v>207</v>
      </c>
      <c r="E135" s="45" t="s">
        <v>8099</v>
      </c>
      <c r="F135" s="45" t="s">
        <v>309</v>
      </c>
      <c r="G135" s="45">
        <v>3</v>
      </c>
      <c r="H135" s="45" t="s">
        <v>8100</v>
      </c>
      <c r="I135" s="45" t="s">
        <v>275</v>
      </c>
      <c r="J135" s="45" t="s">
        <v>7923</v>
      </c>
      <c r="K135" s="47">
        <v>46248.273032407407</v>
      </c>
      <c r="L135" s="434">
        <v>46255.619444444441</v>
      </c>
      <c r="M135" s="47">
        <v>46255.673611111109</v>
      </c>
      <c r="Z135" s="76">
        <f t="shared" ca="1" si="16"/>
        <v>2.9256424768488314</v>
      </c>
      <c r="AA135" s="75">
        <f t="shared" ca="1" si="1"/>
        <v>7.8017132715968831</v>
      </c>
      <c r="AB135" s="76">
        <f t="shared" ca="1" si="17"/>
        <v>0.76453136574127711</v>
      </c>
      <c r="AC135" s="75">
        <f t="shared" ca="1" si="3"/>
        <v>2.0387503086434058</v>
      </c>
      <c r="AD135" s="76">
        <f t="shared" ca="1" si="18"/>
        <v>5.4166666668606922E-2</v>
      </c>
      <c r="AE135" s="76">
        <f t="shared" ca="1" si="19"/>
        <v>0.76453136574127711</v>
      </c>
      <c r="AF135" s="75">
        <f t="shared" ca="1" si="6"/>
        <v>2.0387503086434058</v>
      </c>
      <c r="AG135" s="75">
        <f t="shared" ca="1" si="7"/>
        <v>2.0387503086434058</v>
      </c>
      <c r="AH135" s="31" t="str" cm="1">
        <f t="array" aca="1" ref="AH135" ca="1">IF((AD135) &lt; (INDEX(ResponseSLA[#All],(MATCH((G135),ResponseSLA[Priority],0))+1,3)),"YES","No")</f>
        <v>YES</v>
      </c>
      <c r="AI135" s="31" t="str">
        <f ca="1">_xlfn.IFNA(IF(AE135 &lt; (INDEX(SLATable[Minimum SLA],MATCH(G135,SLATable[Priority],0))),"YES","NO"),"")</f>
        <v>NO</v>
      </c>
      <c r="AJ135" t="str">
        <f ca="1">_xlfn.IFNA(IF(AE135 &lt; (INDEX(SLATable[Maximum SLA],MATCH(G135,SLATable[Priority],0))),"YES","NO"),"")</f>
        <v>YES</v>
      </c>
    </row>
    <row r="136" spans="1:36" ht="15" customHeight="1">
      <c r="A136" s="45">
        <v>135</v>
      </c>
      <c r="B136" s="45" t="s">
        <v>26</v>
      </c>
      <c r="C136" s="45" t="s">
        <v>39</v>
      </c>
      <c r="D136" s="45" t="s">
        <v>207</v>
      </c>
      <c r="E136" s="45" t="s">
        <v>8101</v>
      </c>
      <c r="F136" s="45" t="s">
        <v>309</v>
      </c>
      <c r="G136" s="45">
        <v>4</v>
      </c>
      <c r="H136" s="45" t="s">
        <v>7947</v>
      </c>
      <c r="I136" s="45" t="s">
        <v>271</v>
      </c>
      <c r="J136" s="45" t="s">
        <v>7923</v>
      </c>
      <c r="K136" s="47">
        <v>46249.390694444446</v>
      </c>
      <c r="L136" s="47">
        <v>46249.390694444446</v>
      </c>
      <c r="M136" s="47">
        <v>46251.270138888889</v>
      </c>
      <c r="N136" s="47">
        <v>46251.473101851851</v>
      </c>
      <c r="R136" s="45" t="s">
        <v>272</v>
      </c>
      <c r="S136" s="45" t="s">
        <v>157</v>
      </c>
      <c r="U136" s="45" t="s">
        <v>371</v>
      </c>
      <c r="Z136" s="76">
        <f t="shared" ca="1" si="16"/>
        <v>0.13976851851718192</v>
      </c>
      <c r="AA136" s="75">
        <f t="shared" ca="1" si="1"/>
        <v>0.37271604937915176</v>
      </c>
      <c r="AB136" s="76">
        <f t="shared" ca="1" si="17"/>
        <v>0.13976851851718192</v>
      </c>
      <c r="AC136" s="75">
        <f t="shared" ca="1" si="3"/>
        <v>0.37271604937915176</v>
      </c>
      <c r="AD136" s="76">
        <f t="shared" ca="1" si="18"/>
        <v>0</v>
      </c>
      <c r="AE136" s="76">
        <f t="shared" ca="1" si="19"/>
        <v>0.13976851851718192</v>
      </c>
      <c r="AF136" s="75">
        <f t="shared" ca="1" si="6"/>
        <v>0.37271604937915176</v>
      </c>
      <c r="AG136" s="75">
        <f t="shared" ca="1" si="7"/>
        <v>0.37271604937915176</v>
      </c>
      <c r="AH136" s="31" t="str" cm="1">
        <f t="array" aca="1" ref="AH136" ca="1">IF((AD136) &lt; (INDEX(ResponseSLA[#All],(MATCH((G136),ResponseSLA[Priority],0))+1,3)),"YES","No")</f>
        <v>YES</v>
      </c>
      <c r="AI136" s="31" t="str">
        <f ca="1">_xlfn.IFNA(IF(AE136 &lt; (INDEX(SLATable[Minimum SLA],MATCH(G136,SLATable[Priority],0))),"YES","NO"),"")</f>
        <v>YES</v>
      </c>
      <c r="AJ136" t="str">
        <f ca="1">_xlfn.IFNA(IF(AE136 &lt; (INDEX(SLATable[Maximum SLA],MATCH(G136,SLATable[Priority],0))),"YES","NO"),"")</f>
        <v>YES</v>
      </c>
    </row>
    <row r="137" spans="1:36" ht="15" customHeight="1">
      <c r="A137" s="45">
        <v>136</v>
      </c>
      <c r="B137" s="45" t="s">
        <v>26</v>
      </c>
      <c r="C137" s="45" t="s">
        <v>39</v>
      </c>
      <c r="D137" s="45" t="s">
        <v>207</v>
      </c>
      <c r="E137" s="45" t="s">
        <v>8102</v>
      </c>
      <c r="F137" s="45" t="s">
        <v>309</v>
      </c>
      <c r="G137" s="45">
        <v>4</v>
      </c>
      <c r="H137" s="45" t="s">
        <v>7922</v>
      </c>
      <c r="I137" s="45" t="s">
        <v>271</v>
      </c>
      <c r="J137" s="45" t="s">
        <v>7923</v>
      </c>
      <c r="K137" s="47">
        <v>46250.855752314812</v>
      </c>
      <c r="L137" s="47">
        <v>46250.855752314812</v>
      </c>
      <c r="M137" s="47">
        <v>46251.265277777777</v>
      </c>
      <c r="N137" s="47">
        <v>46251.522881944446</v>
      </c>
      <c r="R137" s="45" t="s">
        <v>272</v>
      </c>
      <c r="S137" s="45" t="s">
        <v>161</v>
      </c>
      <c r="U137" s="45" t="s">
        <v>371</v>
      </c>
      <c r="Z137" s="76">
        <f t="shared" ca="1" si="16"/>
        <v>0.18954861111221061</v>
      </c>
      <c r="AA137" s="75">
        <f t="shared" ca="1" si="1"/>
        <v>0.50546296296589488</v>
      </c>
      <c r="AB137" s="76">
        <f t="shared" ca="1" si="17"/>
        <v>0.18954861111221061</v>
      </c>
      <c r="AC137" s="75">
        <f t="shared" ca="1" si="3"/>
        <v>0.50546296296589488</v>
      </c>
      <c r="AD137" s="76">
        <f t="shared" ca="1" si="18"/>
        <v>0</v>
      </c>
      <c r="AE137" s="76">
        <f t="shared" ca="1" si="19"/>
        <v>0.18954861111221061</v>
      </c>
      <c r="AF137" s="75">
        <f t="shared" ca="1" si="6"/>
        <v>0.50546296296589488</v>
      </c>
      <c r="AG137" s="75">
        <f t="shared" ca="1" si="7"/>
        <v>0.50546296296589488</v>
      </c>
      <c r="AH137" s="31" t="str" cm="1">
        <f t="array" aca="1" ref="AH137" ca="1">IF((AD137) &lt; (INDEX(ResponseSLA[#All],(MATCH((G137),ResponseSLA[Priority],0))+1,3)),"YES","No")</f>
        <v>YES</v>
      </c>
      <c r="AI137" s="31" t="str">
        <f ca="1">_xlfn.IFNA(IF(AE137 &lt; (INDEX(SLATable[Minimum SLA],MATCH(G137,SLATable[Priority],0))),"YES","NO"),"")</f>
        <v>YES</v>
      </c>
      <c r="AJ137" t="str">
        <f ca="1">_xlfn.IFNA(IF(AE137 &lt; (INDEX(SLATable[Maximum SLA],MATCH(G137,SLATable[Priority],0))),"YES","NO"),"")</f>
        <v>YES</v>
      </c>
    </row>
    <row r="138" spans="1:36" ht="15" customHeight="1">
      <c r="A138" s="45">
        <v>137</v>
      </c>
      <c r="B138" s="45" t="s">
        <v>26</v>
      </c>
      <c r="C138" s="45" t="s">
        <v>39</v>
      </c>
      <c r="D138" s="45" t="s">
        <v>207</v>
      </c>
      <c r="E138" s="45" t="s">
        <v>8103</v>
      </c>
      <c r="F138" s="45" t="s">
        <v>309</v>
      </c>
      <c r="G138" s="45">
        <v>4</v>
      </c>
      <c r="H138" s="45" t="s">
        <v>7925</v>
      </c>
      <c r="I138" s="45" t="s">
        <v>271</v>
      </c>
      <c r="J138" s="45" t="s">
        <v>7923</v>
      </c>
      <c r="K138" s="47">
        <v>46251.129942129628</v>
      </c>
      <c r="L138" s="47">
        <v>46251.129942129628</v>
      </c>
      <c r="M138" s="47">
        <v>46251.265277777777</v>
      </c>
      <c r="N138" s="47">
        <v>46251.529189814813</v>
      </c>
      <c r="R138" s="45" t="s">
        <v>272</v>
      </c>
      <c r="S138" s="45" t="s">
        <v>161</v>
      </c>
      <c r="U138" s="45" t="s">
        <v>371</v>
      </c>
      <c r="Z138" s="76">
        <f t="shared" ca="1" si="16"/>
        <v>0.19585648148010176</v>
      </c>
      <c r="AA138" s="75">
        <f t="shared" ca="1" si="1"/>
        <v>0.52228395061360466</v>
      </c>
      <c r="AB138" s="76">
        <f t="shared" ca="1" si="17"/>
        <v>0.19585648148010176</v>
      </c>
      <c r="AC138" s="75">
        <f t="shared" ca="1" si="3"/>
        <v>0.52228395061360466</v>
      </c>
      <c r="AD138" s="76">
        <f t="shared" ca="1" si="18"/>
        <v>0</v>
      </c>
      <c r="AE138" s="76">
        <f t="shared" ca="1" si="19"/>
        <v>0.19585648148010176</v>
      </c>
      <c r="AF138" s="75">
        <f t="shared" ca="1" si="6"/>
        <v>0.52228395061360466</v>
      </c>
      <c r="AG138" s="75">
        <f t="shared" ca="1" si="7"/>
        <v>0.52228395061360466</v>
      </c>
      <c r="AH138" s="31" t="str" cm="1">
        <f t="array" aca="1" ref="AH138" ca="1">IF((AD138) &lt; (INDEX(ResponseSLA[#All],(MATCH((G138),ResponseSLA[Priority],0))+1,3)),"YES","No")</f>
        <v>YES</v>
      </c>
      <c r="AI138" s="31" t="str">
        <f ca="1">_xlfn.IFNA(IF(AE138 &lt; (INDEX(SLATable[Minimum SLA],MATCH(G138,SLATable[Priority],0))),"YES","NO"),"")</f>
        <v>YES</v>
      </c>
      <c r="AJ138" t="str">
        <f ca="1">_xlfn.IFNA(IF(AE138 &lt; (INDEX(SLATable[Maximum SLA],MATCH(G138,SLATable[Priority],0))),"YES","NO"),"")</f>
        <v>YES</v>
      </c>
    </row>
    <row r="139" spans="1:36" ht="15" customHeight="1">
      <c r="A139" s="45">
        <v>138</v>
      </c>
      <c r="B139" s="45" t="s">
        <v>26</v>
      </c>
      <c r="C139" s="45" t="s">
        <v>39</v>
      </c>
      <c r="D139" s="45" t="s">
        <v>207</v>
      </c>
      <c r="E139" s="45" t="s">
        <v>8104</v>
      </c>
      <c r="F139" s="45" t="s">
        <v>309</v>
      </c>
      <c r="G139" s="45">
        <v>4</v>
      </c>
      <c r="H139" s="45" t="s">
        <v>7922</v>
      </c>
      <c r="I139" s="45" t="s">
        <v>271</v>
      </c>
      <c r="J139" s="45" t="s">
        <v>7923</v>
      </c>
      <c r="K139" s="47">
        <v>46250.772430555553</v>
      </c>
      <c r="L139" s="47">
        <v>46250.772430555553</v>
      </c>
      <c r="M139" s="47">
        <v>46251.267361111109</v>
      </c>
      <c r="N139" s="47">
        <v>46251.52175925926</v>
      </c>
      <c r="R139" s="45" t="s">
        <v>272</v>
      </c>
      <c r="S139" s="45" t="s">
        <v>161</v>
      </c>
      <c r="U139" s="45" t="s">
        <v>371</v>
      </c>
      <c r="Z139" s="76">
        <f t="shared" ca="1" si="16"/>
        <v>0.1884259259265188</v>
      </c>
      <c r="AA139" s="75">
        <f t="shared" ca="1" si="1"/>
        <v>0.50246913580405006</v>
      </c>
      <c r="AB139" s="76">
        <f t="shared" ca="1" si="17"/>
        <v>0.1884259259265188</v>
      </c>
      <c r="AC139" s="75">
        <f t="shared" ca="1" si="3"/>
        <v>0.50246913580405006</v>
      </c>
      <c r="AD139" s="76">
        <f t="shared" ca="1" si="18"/>
        <v>0</v>
      </c>
      <c r="AE139" s="76">
        <f t="shared" ca="1" si="19"/>
        <v>0.1884259259265188</v>
      </c>
      <c r="AF139" s="75">
        <f t="shared" ca="1" si="6"/>
        <v>0.50246913580405006</v>
      </c>
      <c r="AG139" s="75">
        <f t="shared" ca="1" si="7"/>
        <v>0.50246913580405006</v>
      </c>
      <c r="AH139" s="31" t="str" cm="1">
        <f t="array" aca="1" ref="AH139" ca="1">IF((AD139) &lt; (INDEX(ResponseSLA[#All],(MATCH((G139),ResponseSLA[Priority],0))+1,3)),"YES","No")</f>
        <v>YES</v>
      </c>
      <c r="AI139" s="31" t="str">
        <f ca="1">_xlfn.IFNA(IF(AE139 &lt; (INDEX(SLATable[Minimum SLA],MATCH(G139,SLATable[Priority],0))),"YES","NO"),"")</f>
        <v>YES</v>
      </c>
      <c r="AJ139" t="str">
        <f ca="1">_xlfn.IFNA(IF(AE139 &lt; (INDEX(SLATable[Maximum SLA],MATCH(G139,SLATable[Priority],0))),"YES","NO"),"")</f>
        <v>YES</v>
      </c>
    </row>
    <row r="140" spans="1:36" ht="15" customHeight="1">
      <c r="A140" s="45">
        <v>139</v>
      </c>
      <c r="B140" s="45" t="s">
        <v>26</v>
      </c>
      <c r="C140" s="45" t="s">
        <v>39</v>
      </c>
      <c r="D140" s="45" t="s">
        <v>207</v>
      </c>
      <c r="E140" s="45" t="s">
        <v>8105</v>
      </c>
      <c r="F140" s="45" t="s">
        <v>309</v>
      </c>
      <c r="G140" s="45">
        <v>4</v>
      </c>
      <c r="H140" s="45" t="s">
        <v>7952</v>
      </c>
      <c r="I140" s="45" t="s">
        <v>271</v>
      </c>
      <c r="J140" s="45" t="s">
        <v>7923</v>
      </c>
      <c r="K140" s="47">
        <v>46253.135844907411</v>
      </c>
      <c r="L140" s="47">
        <v>46253.135844907411</v>
      </c>
      <c r="M140" s="47">
        <v>46253.229861111111</v>
      </c>
      <c r="N140" s="47">
        <v>46253.465740740743</v>
      </c>
      <c r="R140" s="45" t="s">
        <v>272</v>
      </c>
      <c r="S140" s="45" t="s">
        <v>157</v>
      </c>
      <c r="U140" s="45" t="s">
        <v>371</v>
      </c>
      <c r="Z140" s="76">
        <f t="shared" ca="1" si="16"/>
        <v>0.13240740740972495</v>
      </c>
      <c r="AA140" s="75">
        <f t="shared" ca="1" si="1"/>
        <v>0.35308641975926652</v>
      </c>
      <c r="AB140" s="76">
        <f t="shared" ca="1" si="17"/>
        <v>0.13240740740972495</v>
      </c>
      <c r="AC140" s="75">
        <f t="shared" ca="1" si="3"/>
        <v>0.35308641975926652</v>
      </c>
      <c r="AD140" s="76">
        <f t="shared" ca="1" si="18"/>
        <v>0</v>
      </c>
      <c r="AE140" s="76">
        <f t="shared" ca="1" si="19"/>
        <v>0.13240740740972495</v>
      </c>
      <c r="AF140" s="75">
        <f t="shared" ca="1" si="6"/>
        <v>0.35308641975926652</v>
      </c>
      <c r="AG140" s="75">
        <f t="shared" ca="1" si="7"/>
        <v>0.35308641975926652</v>
      </c>
      <c r="AH140" s="31" t="str" cm="1">
        <f t="array" aca="1" ref="AH140" ca="1">IF((AD140) &lt; (INDEX(ResponseSLA[#All],(MATCH((G140),ResponseSLA[Priority],0))+1,3)),"YES","No")</f>
        <v>YES</v>
      </c>
      <c r="AI140" s="31" t="str">
        <f ca="1">_xlfn.IFNA(IF(AE140 &lt; (INDEX(SLATable[Minimum SLA],MATCH(G140,SLATable[Priority],0))),"YES","NO"),"")</f>
        <v>YES</v>
      </c>
      <c r="AJ140" t="str">
        <f ca="1">_xlfn.IFNA(IF(AE140 &lt; (INDEX(SLATable[Maximum SLA],MATCH(G140,SLATable[Priority],0))),"YES","NO"),"")</f>
        <v>YES</v>
      </c>
    </row>
    <row r="141" spans="1:36" ht="15" customHeight="1">
      <c r="A141" s="45">
        <v>140</v>
      </c>
      <c r="B141" s="45" t="s">
        <v>26</v>
      </c>
      <c r="C141" s="45" t="s">
        <v>39</v>
      </c>
      <c r="D141" s="45" t="s">
        <v>207</v>
      </c>
      <c r="E141" s="45" t="s">
        <v>8106</v>
      </c>
      <c r="F141" s="45" t="s">
        <v>309</v>
      </c>
      <c r="G141" s="45">
        <v>4</v>
      </c>
      <c r="H141" s="45" t="s">
        <v>7922</v>
      </c>
      <c r="I141" s="45" t="s">
        <v>271</v>
      </c>
      <c r="J141" s="45" t="s">
        <v>7923</v>
      </c>
      <c r="K141" s="47">
        <v>46253.379745370374</v>
      </c>
      <c r="L141" s="47">
        <v>46253.379745370374</v>
      </c>
      <c r="M141" s="47">
        <v>46253.398611111108</v>
      </c>
      <c r="N141" s="47">
        <v>46253.479178240741</v>
      </c>
      <c r="R141" s="45" t="s">
        <v>272</v>
      </c>
      <c r="S141" s="45" t="s">
        <v>161</v>
      </c>
      <c r="U141" s="45" t="s">
        <v>371</v>
      </c>
      <c r="Z141" s="76">
        <f t="shared" ca="1" si="16"/>
        <v>9.9432870367309079E-2</v>
      </c>
      <c r="AA141" s="75">
        <f t="shared" ca="1" si="1"/>
        <v>0.26515432097949088</v>
      </c>
      <c r="AB141" s="76">
        <f t="shared" ca="1" si="17"/>
        <v>9.9432870367309079E-2</v>
      </c>
      <c r="AC141" s="75">
        <f t="shared" ca="1" si="3"/>
        <v>0.26515432097949088</v>
      </c>
      <c r="AD141" s="76">
        <f t="shared" ca="1" si="18"/>
        <v>1.8865740734327119E-2</v>
      </c>
      <c r="AE141" s="76">
        <f t="shared" ca="1" si="19"/>
        <v>9.9432870367309079E-2</v>
      </c>
      <c r="AF141" s="75">
        <f t="shared" ca="1" si="6"/>
        <v>0.26515432097949088</v>
      </c>
      <c r="AG141" s="75">
        <f t="shared" ca="1" si="7"/>
        <v>0.26515432097949088</v>
      </c>
      <c r="AH141" s="31" t="str" cm="1">
        <f t="array" aca="1" ref="AH141" ca="1">IF((AD141) &lt; (INDEX(ResponseSLA[#All],(MATCH((G141),ResponseSLA[Priority],0))+1,3)),"YES","No")</f>
        <v>YES</v>
      </c>
      <c r="AI141" s="31" t="str">
        <f ca="1">_xlfn.IFNA(IF(AE141 &lt; (INDEX(SLATable[Minimum SLA],MATCH(G141,SLATable[Priority],0))),"YES","NO"),"")</f>
        <v>YES</v>
      </c>
      <c r="AJ141" t="str">
        <f ca="1">_xlfn.IFNA(IF(AE141 &lt; (INDEX(SLATable[Maximum SLA],MATCH(G141,SLATable[Priority],0))),"YES","NO"),"")</f>
        <v>YES</v>
      </c>
    </row>
    <row r="142" spans="1:36" ht="15" customHeight="1">
      <c r="A142" s="45">
        <v>141</v>
      </c>
      <c r="B142" s="45" t="s">
        <v>26</v>
      </c>
      <c r="C142" s="45" t="s">
        <v>39</v>
      </c>
      <c r="D142" s="45" t="s">
        <v>207</v>
      </c>
      <c r="E142" s="45" t="s">
        <v>8107</v>
      </c>
      <c r="F142" s="45" t="s">
        <v>309</v>
      </c>
      <c r="G142" s="45">
        <v>4</v>
      </c>
      <c r="H142" s="45" t="s">
        <v>7925</v>
      </c>
      <c r="I142" s="45" t="s">
        <v>271</v>
      </c>
      <c r="J142" s="45" t="s">
        <v>7923</v>
      </c>
      <c r="K142" s="47">
        <v>46252.254930555559</v>
      </c>
      <c r="L142" s="47">
        <v>46252.254930555559</v>
      </c>
      <c r="M142" s="47">
        <v>46252.258333333331</v>
      </c>
      <c r="N142" s="47">
        <v>46253.70107638889</v>
      </c>
      <c r="R142" s="45" t="s">
        <v>272</v>
      </c>
      <c r="S142" s="45" t="s">
        <v>161</v>
      </c>
      <c r="U142" s="45" t="s">
        <v>371</v>
      </c>
      <c r="Z142" s="76">
        <f t="shared" ca="1" si="16"/>
        <v>0.74274305555688147</v>
      </c>
      <c r="AA142" s="75">
        <f t="shared" ca="1" si="1"/>
        <v>1.9806481481516838</v>
      </c>
      <c r="AB142" s="76">
        <f t="shared" ca="1" si="17"/>
        <v>0.74274305555688147</v>
      </c>
      <c r="AC142" s="75">
        <f t="shared" ca="1" si="3"/>
        <v>1.9806481481516838</v>
      </c>
      <c r="AD142" s="76">
        <f t="shared" ca="1" si="18"/>
        <v>0</v>
      </c>
      <c r="AE142" s="76">
        <f t="shared" ca="1" si="19"/>
        <v>0.74274305555688147</v>
      </c>
      <c r="AF142" s="75">
        <f t="shared" ca="1" si="6"/>
        <v>1.9806481481516838</v>
      </c>
      <c r="AG142" s="75">
        <f t="shared" ca="1" si="7"/>
        <v>1.9806481481516838</v>
      </c>
      <c r="AH142" s="31" t="str" cm="1">
        <f t="array" aca="1" ref="AH142" ca="1">IF((AD142) &lt; (INDEX(ResponseSLA[#All],(MATCH((G142),ResponseSLA[Priority],0))+1,3)),"YES","No")</f>
        <v>YES</v>
      </c>
      <c r="AI142" s="31" t="str">
        <f ca="1">_xlfn.IFNA(IF(AE142 &lt; (INDEX(SLATable[Minimum SLA],MATCH(G142,SLATable[Priority],0))),"YES","NO"),"")</f>
        <v>YES</v>
      </c>
      <c r="AJ142" t="str">
        <f ca="1">_xlfn.IFNA(IF(AE142 &lt; (INDEX(SLATable[Maximum SLA],MATCH(G142,SLATable[Priority],0))),"YES","NO"),"")</f>
        <v>YES</v>
      </c>
    </row>
    <row r="143" spans="1:36" ht="15" customHeight="1">
      <c r="A143" s="45">
        <v>142</v>
      </c>
      <c r="B143" s="45" t="s">
        <v>26</v>
      </c>
      <c r="C143" s="45" t="s">
        <v>39</v>
      </c>
      <c r="D143" s="45" t="s">
        <v>207</v>
      </c>
      <c r="E143" s="45" t="s">
        <v>8108</v>
      </c>
      <c r="F143" s="45" t="s">
        <v>309</v>
      </c>
      <c r="G143" s="45">
        <v>4</v>
      </c>
      <c r="H143" s="45" t="s">
        <v>7947</v>
      </c>
      <c r="I143" s="45" t="s">
        <v>271</v>
      </c>
      <c r="J143" s="45" t="s">
        <v>7923</v>
      </c>
      <c r="K143" s="47">
        <v>46255.147685185184</v>
      </c>
      <c r="L143" s="47">
        <v>46255.147685185184</v>
      </c>
      <c r="M143" s="47">
        <v>46255.227083333331</v>
      </c>
      <c r="N143" s="47">
        <v>46255.497893518521</v>
      </c>
      <c r="R143" s="45" t="s">
        <v>272</v>
      </c>
      <c r="S143" s="45" t="s">
        <v>157</v>
      </c>
      <c r="U143" s="45" t="s">
        <v>371</v>
      </c>
      <c r="Z143" s="76">
        <f t="shared" ca="1" si="16"/>
        <v>0.16456018518753507</v>
      </c>
      <c r="AA143" s="75">
        <f t="shared" ca="1" si="1"/>
        <v>0.43882716050009352</v>
      </c>
      <c r="AB143" s="76">
        <f t="shared" ca="1" si="17"/>
        <v>0.16456018518753507</v>
      </c>
      <c r="AC143" s="75">
        <f t="shared" ca="1" si="3"/>
        <v>0.43882716050009352</v>
      </c>
      <c r="AD143" s="76">
        <f t="shared" ca="1" si="18"/>
        <v>0</v>
      </c>
      <c r="AE143" s="76">
        <f t="shared" ca="1" si="19"/>
        <v>0.16456018518753507</v>
      </c>
      <c r="AF143" s="75">
        <f t="shared" ca="1" si="6"/>
        <v>0.43882716050009352</v>
      </c>
      <c r="AG143" s="75">
        <f t="shared" ca="1" si="7"/>
        <v>0.43882716050009352</v>
      </c>
      <c r="AH143" s="31" t="str" cm="1">
        <f t="array" aca="1" ref="AH143" ca="1">IF((AD143) &lt; (INDEX(ResponseSLA[#All],(MATCH((G143),ResponseSLA[Priority],0))+1,3)),"YES","No")</f>
        <v>YES</v>
      </c>
      <c r="AI143" s="31" t="str">
        <f ca="1">_xlfn.IFNA(IF(AE143 &lt; (INDEX(SLATable[Minimum SLA],MATCH(G143,SLATable[Priority],0))),"YES","NO"),"")</f>
        <v>YES</v>
      </c>
      <c r="AJ143" t="str">
        <f ca="1">_xlfn.IFNA(IF(AE143 &lt; (INDEX(SLATable[Maximum SLA],MATCH(G143,SLATable[Priority],0))),"YES","NO"),"")</f>
        <v>YES</v>
      </c>
    </row>
    <row r="144" spans="1:36" ht="15" customHeight="1">
      <c r="A144" s="45">
        <v>143</v>
      </c>
      <c r="B144" s="45" t="s">
        <v>26</v>
      </c>
      <c r="C144" s="45" t="s">
        <v>39</v>
      </c>
      <c r="D144" s="45" t="s">
        <v>207</v>
      </c>
      <c r="E144" s="45" t="s">
        <v>8109</v>
      </c>
      <c r="F144" s="45" t="s">
        <v>309</v>
      </c>
      <c r="G144" s="45">
        <v>4</v>
      </c>
      <c r="H144" s="45" t="s">
        <v>7969</v>
      </c>
      <c r="I144" s="45" t="s">
        <v>271</v>
      </c>
      <c r="J144" s="45" t="s">
        <v>7923</v>
      </c>
      <c r="K144" s="47">
        <v>46255.147060185183</v>
      </c>
      <c r="L144" s="47">
        <v>46255.147060185183</v>
      </c>
      <c r="M144" s="47">
        <v>46255.227083333331</v>
      </c>
      <c r="N144" s="47">
        <v>46255.501736111109</v>
      </c>
      <c r="R144" s="45" t="s">
        <v>272</v>
      </c>
      <c r="S144" s="45" t="s">
        <v>157</v>
      </c>
      <c r="U144" s="45" t="s">
        <v>371</v>
      </c>
      <c r="Z144" s="76">
        <f t="shared" ca="1" si="16"/>
        <v>0.16840277777616092</v>
      </c>
      <c r="AA144" s="75">
        <f t="shared" ca="1" si="1"/>
        <v>0.44907407406976241</v>
      </c>
      <c r="AB144" s="76">
        <f t="shared" ca="1" si="17"/>
        <v>0.16840277777616092</v>
      </c>
      <c r="AC144" s="75">
        <f t="shared" ca="1" si="3"/>
        <v>0.44907407406976241</v>
      </c>
      <c r="AD144" s="76">
        <f t="shared" ca="1" si="18"/>
        <v>0</v>
      </c>
      <c r="AE144" s="76">
        <f t="shared" ca="1" si="19"/>
        <v>0.16840277777616092</v>
      </c>
      <c r="AF144" s="75">
        <f t="shared" ca="1" si="6"/>
        <v>0.44907407406976241</v>
      </c>
      <c r="AG144" s="75">
        <f t="shared" ca="1" si="7"/>
        <v>0.44907407406976241</v>
      </c>
      <c r="AH144" s="31" t="str" cm="1">
        <f t="array" aca="1" ref="AH144" ca="1">IF((AD144) &lt; (INDEX(ResponseSLA[#All],(MATCH((G144),ResponseSLA[Priority],0))+1,3)),"YES","No")</f>
        <v>YES</v>
      </c>
      <c r="AI144" s="31" t="str">
        <f ca="1">_xlfn.IFNA(IF(AE144 &lt; (INDEX(SLATable[Minimum SLA],MATCH(G144,SLATable[Priority],0))),"YES","NO"),"")</f>
        <v>YES</v>
      </c>
      <c r="AJ144" t="str">
        <f ca="1">_xlfn.IFNA(IF(AE144 &lt; (INDEX(SLATable[Maximum SLA],MATCH(G144,SLATable[Priority],0))),"YES","NO"),"")</f>
        <v>YES</v>
      </c>
    </row>
    <row r="145" spans="1:36" ht="15" customHeight="1">
      <c r="A145" s="45">
        <v>144</v>
      </c>
      <c r="B145" s="45" t="s">
        <v>26</v>
      </c>
      <c r="C145" s="45" t="s">
        <v>39</v>
      </c>
      <c r="D145" s="45" t="s">
        <v>207</v>
      </c>
      <c r="E145" s="45" t="s">
        <v>8110</v>
      </c>
      <c r="F145" s="45" t="s">
        <v>309</v>
      </c>
      <c r="G145" s="45">
        <v>4</v>
      </c>
      <c r="H145" s="45" t="s">
        <v>8111</v>
      </c>
      <c r="I145" s="45" t="s">
        <v>271</v>
      </c>
      <c r="J145" s="45" t="s">
        <v>7923</v>
      </c>
      <c r="K145" s="47">
        <v>46254.122824074075</v>
      </c>
      <c r="L145" s="47">
        <v>46254.122824074075</v>
      </c>
      <c r="M145" s="47">
        <v>46254.26458333333</v>
      </c>
      <c r="N145" s="47">
        <v>46255.504247685189</v>
      </c>
      <c r="R145" s="45" t="s">
        <v>272</v>
      </c>
      <c r="S145" s="45" t="s">
        <v>157</v>
      </c>
      <c r="U145" s="45" t="s">
        <v>371</v>
      </c>
      <c r="Z145" s="76">
        <f t="shared" ca="1" si="16"/>
        <v>0.54591435185526893</v>
      </c>
      <c r="AA145" s="75">
        <f t="shared" ca="1" si="1"/>
        <v>1.4557716049473839</v>
      </c>
      <c r="AB145" s="76">
        <f t="shared" ca="1" si="17"/>
        <v>0.54591435185526893</v>
      </c>
      <c r="AC145" s="75">
        <f t="shared" ca="1" si="3"/>
        <v>1.4557716049473839</v>
      </c>
      <c r="AD145" s="76">
        <f t="shared" ca="1" si="18"/>
        <v>0</v>
      </c>
      <c r="AE145" s="76">
        <f t="shared" ca="1" si="19"/>
        <v>0.54591435185526893</v>
      </c>
      <c r="AF145" s="75">
        <f t="shared" ca="1" si="6"/>
        <v>1.4557716049473839</v>
      </c>
      <c r="AG145" s="75">
        <f t="shared" ca="1" si="7"/>
        <v>1.4557716049473839</v>
      </c>
      <c r="AH145" s="31" t="str" cm="1">
        <f t="array" aca="1" ref="AH145" ca="1">IF((AD145) &lt; (INDEX(ResponseSLA[#All],(MATCH((G145),ResponseSLA[Priority],0))+1,3)),"YES","No")</f>
        <v>YES</v>
      </c>
      <c r="AI145" s="31" t="str">
        <f ca="1">_xlfn.IFNA(IF(AE145 &lt; (INDEX(SLATable[Minimum SLA],MATCH(G145,SLATable[Priority],0))),"YES","NO"),"")</f>
        <v>YES</v>
      </c>
      <c r="AJ145" t="str">
        <f ca="1">_xlfn.IFNA(IF(AE145 &lt; (INDEX(SLATable[Maximum SLA],MATCH(G145,SLATable[Priority],0))),"YES","NO"),"")</f>
        <v>YES</v>
      </c>
    </row>
    <row r="146" spans="1:36" ht="15" customHeight="1">
      <c r="A146" s="45">
        <v>145</v>
      </c>
      <c r="B146" s="45" t="s">
        <v>26</v>
      </c>
      <c r="C146" s="45" t="s">
        <v>39</v>
      </c>
      <c r="D146" s="45" t="s">
        <v>207</v>
      </c>
      <c r="E146" s="45" t="s">
        <v>8112</v>
      </c>
      <c r="F146" s="45" t="s">
        <v>309</v>
      </c>
      <c r="G146" s="45">
        <v>4</v>
      </c>
      <c r="H146" s="45" t="s">
        <v>8064</v>
      </c>
      <c r="I146" s="45" t="s">
        <v>271</v>
      </c>
      <c r="J146" s="45" t="s">
        <v>7923</v>
      </c>
      <c r="K146" s="47">
        <v>46254.216516203705</v>
      </c>
      <c r="L146" s="47">
        <v>46254.216516203705</v>
      </c>
      <c r="M146" s="47">
        <v>46254.293055555558</v>
      </c>
      <c r="N146" s="47">
        <v>46255.507060185184</v>
      </c>
      <c r="R146" s="45" t="s">
        <v>272</v>
      </c>
      <c r="S146" s="45" t="s">
        <v>157</v>
      </c>
      <c r="U146" s="45" t="s">
        <v>371</v>
      </c>
      <c r="Z146" s="76">
        <f t="shared" ca="1" si="16"/>
        <v>0.54872685185061232</v>
      </c>
      <c r="AA146" s="75">
        <f t="shared" ca="1" si="1"/>
        <v>1.4632716049349661</v>
      </c>
      <c r="AB146" s="76">
        <f t="shared" ca="1" si="17"/>
        <v>0.54872685185061232</v>
      </c>
      <c r="AC146" s="75">
        <f t="shared" ca="1" si="3"/>
        <v>1.4632716049349661</v>
      </c>
      <c r="AD146" s="76">
        <f t="shared" ca="1" si="18"/>
        <v>0</v>
      </c>
      <c r="AE146" s="76">
        <f t="shared" ca="1" si="19"/>
        <v>0.54872685185061232</v>
      </c>
      <c r="AF146" s="75">
        <f t="shared" ca="1" si="6"/>
        <v>1.4632716049349661</v>
      </c>
      <c r="AG146" s="75">
        <f t="shared" ca="1" si="7"/>
        <v>1.4632716049349661</v>
      </c>
      <c r="AH146" s="31" t="str" cm="1">
        <f t="array" aca="1" ref="AH146" ca="1">IF((AD146) &lt; (INDEX(ResponseSLA[#All],(MATCH((G146),ResponseSLA[Priority],0))+1,3)),"YES","No")</f>
        <v>YES</v>
      </c>
      <c r="AI146" s="31" t="str">
        <f ca="1">_xlfn.IFNA(IF(AE146 &lt; (INDEX(SLATable[Minimum SLA],MATCH(G146,SLATable[Priority],0))),"YES","NO"),"")</f>
        <v>YES</v>
      </c>
      <c r="AJ146" t="str">
        <f ca="1">_xlfn.IFNA(IF(AE146 &lt; (INDEX(SLATable[Maximum SLA],MATCH(G146,SLATable[Priority],0))),"YES","NO"),"")</f>
        <v>YES</v>
      </c>
    </row>
    <row r="147" spans="1:36" ht="15" customHeight="1">
      <c r="A147" s="45">
        <v>146</v>
      </c>
      <c r="B147" s="45" t="s">
        <v>26</v>
      </c>
      <c r="C147" s="45" t="s">
        <v>39</v>
      </c>
      <c r="D147" s="45" t="s">
        <v>207</v>
      </c>
      <c r="E147" s="45" t="s">
        <v>8113</v>
      </c>
      <c r="F147" s="45" t="s">
        <v>309</v>
      </c>
      <c r="G147" s="45">
        <v>4</v>
      </c>
      <c r="H147" s="45" t="s">
        <v>7931</v>
      </c>
      <c r="I147" s="45" t="s">
        <v>271</v>
      </c>
      <c r="J147" s="45" t="s">
        <v>7923</v>
      </c>
      <c r="K147" s="47">
        <v>46255.008576388886</v>
      </c>
      <c r="L147" s="47">
        <v>46255.008576388886</v>
      </c>
      <c r="M147" s="47">
        <v>46255.229166666664</v>
      </c>
      <c r="N147" s="47">
        <v>46255.516724537039</v>
      </c>
      <c r="R147" s="45" t="s">
        <v>272</v>
      </c>
      <c r="S147" s="45" t="s">
        <v>161</v>
      </c>
      <c r="U147" s="45" t="s">
        <v>371</v>
      </c>
      <c r="Z147" s="76">
        <f t="shared" ca="1" si="16"/>
        <v>0.18339120370607515</v>
      </c>
      <c r="AA147" s="75">
        <f t="shared" ca="1" si="1"/>
        <v>0.48904320988286698</v>
      </c>
      <c r="AB147" s="76">
        <f t="shared" ca="1" si="17"/>
        <v>0.18339120370607515</v>
      </c>
      <c r="AC147" s="75">
        <f t="shared" ca="1" si="3"/>
        <v>0.48904320988286698</v>
      </c>
      <c r="AD147" s="76">
        <f t="shared" ca="1" si="18"/>
        <v>0</v>
      </c>
      <c r="AE147" s="76">
        <f t="shared" ca="1" si="19"/>
        <v>0.18339120370607515</v>
      </c>
      <c r="AF147" s="75">
        <f t="shared" ca="1" si="6"/>
        <v>0.48904320988286698</v>
      </c>
      <c r="AG147" s="75">
        <f t="shared" ca="1" si="7"/>
        <v>0.48904320988286698</v>
      </c>
      <c r="AH147" s="31" t="str" cm="1">
        <f t="array" aca="1" ref="AH147" ca="1">IF((AD147) &lt; (INDEX(ResponseSLA[#All],(MATCH((G147),ResponseSLA[Priority],0))+1,3)),"YES","No")</f>
        <v>YES</v>
      </c>
      <c r="AI147" s="31" t="str">
        <f ca="1">_xlfn.IFNA(IF(AE147 &lt; (INDEX(SLATable[Minimum SLA],MATCH(G147,SLATable[Priority],0))),"YES","NO"),"")</f>
        <v>YES</v>
      </c>
      <c r="AJ147" t="str">
        <f ca="1">_xlfn.IFNA(IF(AE147 &lt; (INDEX(SLATable[Maximum SLA],MATCH(G147,SLATable[Priority],0))),"YES","NO"),"")</f>
        <v>YES</v>
      </c>
    </row>
    <row r="148" spans="1:36" ht="15" customHeight="1">
      <c r="A148" s="45">
        <v>147</v>
      </c>
      <c r="B148" s="45" t="s">
        <v>26</v>
      </c>
      <c r="C148" s="45" t="s">
        <v>39</v>
      </c>
      <c r="D148" s="45" t="s">
        <v>207</v>
      </c>
      <c r="E148" s="45" t="s">
        <v>8114</v>
      </c>
      <c r="F148" s="45" t="s">
        <v>309</v>
      </c>
      <c r="G148" s="45">
        <v>4</v>
      </c>
      <c r="H148" s="45" t="s">
        <v>8064</v>
      </c>
      <c r="I148" s="45" t="s">
        <v>271</v>
      </c>
      <c r="J148" s="45" t="s">
        <v>7923</v>
      </c>
      <c r="K148" s="47">
        <v>46255.150555555556</v>
      </c>
      <c r="L148" s="47">
        <v>46255.150555555556</v>
      </c>
      <c r="M148" s="47">
        <v>46255.238194444442</v>
      </c>
      <c r="N148" s="47">
        <v>46255.573182870372</v>
      </c>
      <c r="R148" s="45" t="s">
        <v>272</v>
      </c>
      <c r="S148" s="45" t="s">
        <v>157</v>
      </c>
      <c r="U148" s="45" t="s">
        <v>371</v>
      </c>
      <c r="Z148" s="76">
        <f t="shared" ca="1" si="16"/>
        <v>0.23984953703863238</v>
      </c>
      <c r="AA148" s="75">
        <f t="shared" ca="1" si="1"/>
        <v>0.63959876543635297</v>
      </c>
      <c r="AB148" s="76">
        <f t="shared" ca="1" si="17"/>
        <v>0.23984953703863238</v>
      </c>
      <c r="AC148" s="75">
        <f t="shared" ca="1" si="3"/>
        <v>0.63959876543635297</v>
      </c>
      <c r="AD148" s="76">
        <f t="shared" ca="1" si="18"/>
        <v>0</v>
      </c>
      <c r="AE148" s="76">
        <f t="shared" ca="1" si="19"/>
        <v>0.23984953703863238</v>
      </c>
      <c r="AF148" s="75">
        <f t="shared" ca="1" si="6"/>
        <v>0.63959876543635297</v>
      </c>
      <c r="AG148" s="75">
        <f t="shared" ca="1" si="7"/>
        <v>0.63959876543635297</v>
      </c>
      <c r="AH148" s="31" t="str" cm="1">
        <f t="array" aca="1" ref="AH148" ca="1">IF((AD148) &lt; (INDEX(ResponseSLA[#All],(MATCH((G148),ResponseSLA[Priority],0))+1,3)),"YES","No")</f>
        <v>YES</v>
      </c>
      <c r="AI148" s="31" t="str">
        <f ca="1">_xlfn.IFNA(IF(AE148 &lt; (INDEX(SLATable[Minimum SLA],MATCH(G148,SLATable[Priority],0))),"YES","NO"),"")</f>
        <v>YES</v>
      </c>
      <c r="AJ148" t="str">
        <f ca="1">_xlfn.IFNA(IF(AE148 &lt; (INDEX(SLATable[Maximum SLA],MATCH(G148,SLATable[Priority],0))),"YES","NO"),"")</f>
        <v>YES</v>
      </c>
    </row>
    <row r="149" spans="1:36" ht="15" customHeight="1">
      <c r="A149" s="45">
        <v>148</v>
      </c>
      <c r="B149" s="45" t="s">
        <v>26</v>
      </c>
      <c r="C149" s="45" t="s">
        <v>39</v>
      </c>
      <c r="D149" s="45" t="s">
        <v>208</v>
      </c>
      <c r="E149" s="45" t="s">
        <v>8115</v>
      </c>
      <c r="F149" s="45" t="s">
        <v>309</v>
      </c>
      <c r="G149" s="45" t="s">
        <v>208</v>
      </c>
      <c r="H149" s="45" t="s">
        <v>2313</v>
      </c>
      <c r="I149" s="45" t="s">
        <v>271</v>
      </c>
      <c r="J149" s="45" t="s">
        <v>7923</v>
      </c>
      <c r="K149" s="47">
        <v>46240.595324074071</v>
      </c>
      <c r="L149" s="47">
        <v>46240.595324074071</v>
      </c>
      <c r="M149" s="47">
        <v>46241.236111111109</v>
      </c>
      <c r="N149" s="47">
        <v>46259.515219907407</v>
      </c>
      <c r="Z149" s="76">
        <f t="shared" ca="1" si="16"/>
        <v>4.7948958333363416</v>
      </c>
      <c r="AA149" s="75">
        <f t="shared" ca="1" si="1"/>
        <v>12.786388888896912</v>
      </c>
      <c r="AB149" s="76">
        <f t="shared" ca="1" si="17"/>
        <v>4.7948958333363416</v>
      </c>
      <c r="AC149" s="75">
        <f t="shared" ca="1" si="3"/>
        <v>12.786388888896912</v>
      </c>
      <c r="AD149" s="76">
        <f t="shared" ca="1" si="18"/>
        <v>0.11300925926237448</v>
      </c>
      <c r="AE149" s="76">
        <f t="shared" ca="1" si="19"/>
        <v>4.7948958333363416</v>
      </c>
      <c r="AF149" s="75">
        <f t="shared" ca="1" si="6"/>
        <v>12.786388888896912</v>
      </c>
      <c r="AG149" s="75">
        <f t="shared" ca="1" si="7"/>
        <v>12.786388888896912</v>
      </c>
      <c r="AH149" s="31" t="str" cm="1">
        <f t="array" aca="1" ref="AH149" ca="1">IF((AD149) &lt; (INDEX(ResponseSLA[#All],(MATCH((G149),ResponseSLA[Priority],0))+1,3)),"YES","No")</f>
        <v>YES</v>
      </c>
      <c r="AI149" s="31" t="str">
        <f ca="1">_xlfn.IFNA(IF(AE149 &lt; (INDEX(SLATable[Minimum SLA],MATCH(G149,SLATable[Priority],0))),"YES","NO"),"")</f>
        <v>NO</v>
      </c>
      <c r="AJ149" t="str">
        <f ca="1">_xlfn.IFNA(IF(AE149 &lt; (INDEX(SLATable[Maximum SLA],MATCH(G149,SLATable[Priority],0))),"YES","NO"),"")</f>
        <v>NO</v>
      </c>
    </row>
    <row r="150" spans="1:36" ht="15" customHeight="1">
      <c r="A150" s="45">
        <v>149</v>
      </c>
      <c r="B150" s="45" t="s">
        <v>26</v>
      </c>
      <c r="C150" s="45" t="s">
        <v>39</v>
      </c>
      <c r="D150" s="45" t="s">
        <v>207</v>
      </c>
      <c r="E150" s="45" t="s">
        <v>8116</v>
      </c>
      <c r="F150" s="45" t="s">
        <v>309</v>
      </c>
      <c r="G150" s="45">
        <v>4</v>
      </c>
      <c r="H150" s="45" t="s">
        <v>7925</v>
      </c>
      <c r="I150" s="45" t="s">
        <v>271</v>
      </c>
      <c r="J150" s="45" t="s">
        <v>7923</v>
      </c>
      <c r="K150" s="47">
        <v>46258.091689814813</v>
      </c>
      <c r="L150" s="47">
        <v>46258.091689814813</v>
      </c>
      <c r="M150" s="47">
        <v>46258.307638888888</v>
      </c>
      <c r="N150" s="47">
        <v>46258.615856481483</v>
      </c>
      <c r="R150" s="45" t="s">
        <v>272</v>
      </c>
      <c r="S150" s="45" t="s">
        <v>161</v>
      </c>
      <c r="U150" s="45" t="s">
        <v>371</v>
      </c>
      <c r="Z150" s="76">
        <f t="shared" ca="1" si="16"/>
        <v>0.28252314814987284</v>
      </c>
      <c r="AA150" s="75">
        <f t="shared" ca="1" si="1"/>
        <v>0.7533950617329942</v>
      </c>
      <c r="AB150" s="76">
        <f t="shared" ca="1" si="17"/>
        <v>0.28252314814987284</v>
      </c>
      <c r="AC150" s="75">
        <f t="shared" ca="1" si="3"/>
        <v>0.7533950617329942</v>
      </c>
      <c r="AD150" s="76">
        <f t="shared" ca="1" si="18"/>
        <v>0</v>
      </c>
      <c r="AE150" s="76">
        <f t="shared" ca="1" si="19"/>
        <v>0.28252314814987284</v>
      </c>
      <c r="AF150" s="75">
        <f t="shared" ca="1" si="6"/>
        <v>0.7533950617329942</v>
      </c>
      <c r="AG150" s="75">
        <f t="shared" ca="1" si="7"/>
        <v>0.7533950617329942</v>
      </c>
      <c r="AH150" s="31" t="str" cm="1">
        <f t="array" aca="1" ref="AH150" ca="1">IF((AD150) &lt; (INDEX(ResponseSLA[#All],(MATCH((G150),ResponseSLA[Priority],0))+1,3)),"YES","No")</f>
        <v>YES</v>
      </c>
      <c r="AI150" s="31" t="str">
        <f ca="1">_xlfn.IFNA(IF(AE150 &lt; (INDEX(SLATable[Minimum SLA],MATCH(G150,SLATable[Priority],0))),"YES","NO"),"")</f>
        <v>YES</v>
      </c>
      <c r="AJ150" t="str">
        <f ca="1">_xlfn.IFNA(IF(AE150 &lt; (INDEX(SLATable[Maximum SLA],MATCH(G150,SLATable[Priority],0))),"YES","NO"),"")</f>
        <v>YES</v>
      </c>
    </row>
    <row r="151" spans="1:36" ht="15" customHeight="1">
      <c r="A151" s="45">
        <v>150</v>
      </c>
      <c r="B151" s="45" t="s">
        <v>26</v>
      </c>
      <c r="C151" s="45" t="s">
        <v>39</v>
      </c>
      <c r="D151" s="45" t="s">
        <v>207</v>
      </c>
      <c r="E151" s="45" t="s">
        <v>8117</v>
      </c>
      <c r="F151" s="45" t="s">
        <v>309</v>
      </c>
      <c r="G151" s="45">
        <v>4</v>
      </c>
      <c r="H151" s="45" t="s">
        <v>7922</v>
      </c>
      <c r="I151" s="45" t="s">
        <v>271</v>
      </c>
      <c r="J151" s="45" t="s">
        <v>7923</v>
      </c>
      <c r="K151" s="47">
        <v>46256.480381944442</v>
      </c>
      <c r="L151" s="47">
        <v>46256.480381944442</v>
      </c>
      <c r="M151" s="47">
        <v>46258.307638888888</v>
      </c>
      <c r="N151" s="47">
        <v>46258.614895833336</v>
      </c>
      <c r="R151" s="45" t="s">
        <v>272</v>
      </c>
      <c r="S151" s="45" t="s">
        <v>161</v>
      </c>
      <c r="U151" s="45" t="s">
        <v>371</v>
      </c>
      <c r="Z151" s="76">
        <f t="shared" ca="1" si="16"/>
        <v>0.28156250000271638</v>
      </c>
      <c r="AA151" s="75">
        <f t="shared" ca="1" si="1"/>
        <v>0.750833333340577</v>
      </c>
      <c r="AB151" s="76">
        <f t="shared" ca="1" si="17"/>
        <v>0.28156250000271638</v>
      </c>
      <c r="AC151" s="75">
        <f t="shared" ca="1" si="3"/>
        <v>0.750833333340577</v>
      </c>
      <c r="AD151" s="76">
        <f t="shared" ca="1" si="18"/>
        <v>0</v>
      </c>
      <c r="AE151" s="76">
        <f t="shared" ca="1" si="19"/>
        <v>0.28156250000271638</v>
      </c>
      <c r="AF151" s="75">
        <f t="shared" ca="1" si="6"/>
        <v>0.750833333340577</v>
      </c>
      <c r="AG151" s="75">
        <f t="shared" ca="1" si="7"/>
        <v>0.750833333340577</v>
      </c>
      <c r="AH151" s="31" t="str" cm="1">
        <f t="array" aca="1" ref="AH151" ca="1">IF((AD151) &lt; (INDEX(ResponseSLA[#All],(MATCH((G151),ResponseSLA[Priority],0))+1,3)),"YES","No")</f>
        <v>YES</v>
      </c>
      <c r="AI151" s="31" t="str">
        <f ca="1">_xlfn.IFNA(IF(AE151 &lt; (INDEX(SLATable[Minimum SLA],MATCH(G151,SLATable[Priority],0))),"YES","NO"),"")</f>
        <v>YES</v>
      </c>
      <c r="AJ151" t="str">
        <f ca="1">_xlfn.IFNA(IF(AE151 &lt; (INDEX(SLATable[Maximum SLA],MATCH(G151,SLATable[Priority],0))),"YES","NO"),"")</f>
        <v>YES</v>
      </c>
    </row>
    <row r="152" spans="1:36" ht="15" customHeight="1">
      <c r="Z152" s="76" t="e">
        <f t="shared" ca="1" si="16"/>
        <v>#N/A</v>
      </c>
      <c r="AA152" s="75" t="e">
        <f t="shared" ca="1" si="1"/>
        <v>#N/A</v>
      </c>
      <c r="AB152" s="76">
        <f t="shared" ca="1" si="17"/>
        <v>0</v>
      </c>
      <c r="AC152" s="75">
        <f t="shared" ca="1" si="3"/>
        <v>0</v>
      </c>
      <c r="AD152" s="76">
        <f t="shared" ca="1" si="18"/>
        <v>12388.42564247685</v>
      </c>
      <c r="AE152" s="76">
        <f t="shared" si="19"/>
        <v>0</v>
      </c>
      <c r="AF152" s="75">
        <f t="shared" si="6"/>
        <v>0</v>
      </c>
      <c r="AG152" s="75">
        <f t="shared" si="7"/>
        <v>0</v>
      </c>
      <c r="AH152" s="31" t="e" cm="1">
        <f t="array" aca="1" ref="AH152" ca="1">IF((AD152) &lt; (INDEX(ResponseSLA[#All],(MATCH((G152),ResponseSLA[Priority],0))+1,3)),"YES","No")</f>
        <v>#N/A</v>
      </c>
      <c r="AI152" s="31" t="str">
        <f>_xlfn.IFNA(IF(AE152 &lt; (INDEX(SLATable[Minimum SLA],MATCH(G152,SLATable[Priority],0))),"YES","NO"),"")</f>
        <v/>
      </c>
      <c r="AJ152" t="str">
        <f>_xlfn.IFNA(IF(AE152 &lt; (INDEX(SLATable[Maximum SLA],MATCH(G152,SLATable[Priority],0))),"YES","NO"),"")</f>
        <v/>
      </c>
    </row>
    <row r="153" spans="1:36" ht="15" customHeight="1">
      <c r="Z153" s="76" t="e">
        <f t="shared" ca="1" si="16"/>
        <v>#N/A</v>
      </c>
      <c r="AA153" s="75" t="e">
        <f t="shared" ca="1" si="1"/>
        <v>#N/A</v>
      </c>
      <c r="AB153" s="76">
        <f t="shared" ca="1" si="17"/>
        <v>0</v>
      </c>
      <c r="AC153" s="75">
        <f t="shared" ca="1" si="3"/>
        <v>0</v>
      </c>
      <c r="AD153" s="76">
        <f t="shared" ca="1" si="18"/>
        <v>12388.42564247685</v>
      </c>
      <c r="AE153" s="76">
        <f t="shared" si="19"/>
        <v>0</v>
      </c>
      <c r="AF153" s="75">
        <f t="shared" si="6"/>
        <v>0</v>
      </c>
      <c r="AG153" s="75">
        <f t="shared" si="7"/>
        <v>0</v>
      </c>
      <c r="AH153" s="31" t="e" cm="1">
        <f t="array" aca="1" ref="AH153" ca="1">IF((AD153) &lt; (INDEX(ResponseSLA[#All],(MATCH((G153),ResponseSLA[Priority],0))+1,3)),"YES","No")</f>
        <v>#N/A</v>
      </c>
      <c r="AI153" s="31" t="str">
        <f>_xlfn.IFNA(IF(AE153 &lt; (INDEX(SLATable[Minimum SLA],MATCH(G153,SLATable[Priority],0))),"YES","NO"),"")</f>
        <v/>
      </c>
      <c r="AJ153" t="str">
        <f>_xlfn.IFNA(IF(AE153 &lt; (INDEX(SLATable[Maximum SLA],MATCH(G153,SLATable[Priority],0))),"YES","NO"),"")</f>
        <v/>
      </c>
    </row>
    <row r="154" spans="1:36" ht="15" customHeight="1">
      <c r="Z154" s="76" t="e">
        <f t="shared" ca="1" si="16"/>
        <v>#N/A</v>
      </c>
      <c r="AA154" s="75" t="e">
        <f t="shared" ca="1" si="1"/>
        <v>#N/A</v>
      </c>
      <c r="AB154" s="76">
        <f t="shared" ca="1" si="17"/>
        <v>0</v>
      </c>
      <c r="AC154" s="75">
        <f t="shared" ca="1" si="3"/>
        <v>0</v>
      </c>
      <c r="AD154" s="76">
        <f t="shared" ca="1" si="18"/>
        <v>12388.42564247685</v>
      </c>
      <c r="AE154" s="76">
        <f t="shared" si="19"/>
        <v>0</v>
      </c>
      <c r="AF154" s="75">
        <f t="shared" si="6"/>
        <v>0</v>
      </c>
      <c r="AG154" s="75">
        <f t="shared" si="7"/>
        <v>0</v>
      </c>
      <c r="AH154" s="31" t="e" cm="1">
        <f t="array" aca="1" ref="AH154" ca="1">IF((AD154) &lt; (INDEX(ResponseSLA[#All],(MATCH((G154),ResponseSLA[Priority],0))+1,3)),"YES","No")</f>
        <v>#N/A</v>
      </c>
      <c r="AI154" s="31" t="str">
        <f>_xlfn.IFNA(IF(AE154 &lt; (INDEX(SLATable[Minimum SLA],MATCH(G154,SLATable[Priority],0))),"YES","NO"),"")</f>
        <v/>
      </c>
      <c r="AJ154" t="str">
        <f>_xlfn.IFNA(IF(AE154 &lt; (INDEX(SLATable[Maximum SLA],MATCH(G154,SLATable[Priority],0))),"YES","NO"),"")</f>
        <v/>
      </c>
    </row>
    <row r="155" spans="1:36" ht="15" customHeight="1">
      <c r="Z155" s="76" t="e">
        <f t="shared" ca="1" si="16"/>
        <v>#N/A</v>
      </c>
      <c r="AA155" s="75" t="e">
        <f t="shared" ca="1" si="1"/>
        <v>#N/A</v>
      </c>
      <c r="AB155" s="76">
        <f t="shared" ca="1" si="17"/>
        <v>0</v>
      </c>
      <c r="AC155" s="75">
        <f t="shared" ca="1" si="3"/>
        <v>0</v>
      </c>
      <c r="AD155" s="76">
        <f t="shared" ca="1" si="18"/>
        <v>12388.42564247685</v>
      </c>
      <c r="AE155" s="76">
        <f t="shared" si="19"/>
        <v>0</v>
      </c>
      <c r="AF155" s="75">
        <f t="shared" si="6"/>
        <v>0</v>
      </c>
      <c r="AG155" s="75">
        <f t="shared" si="7"/>
        <v>0</v>
      </c>
      <c r="AH155" s="31" t="e" cm="1">
        <f t="array" aca="1" ref="AH155" ca="1">IF((AD155) &lt; (INDEX(ResponseSLA[#All],(MATCH((G155),ResponseSLA[Priority],0))+1,3)),"YES","No")</f>
        <v>#N/A</v>
      </c>
      <c r="AI155" s="31" t="str">
        <f>_xlfn.IFNA(IF(AE155 &lt; (INDEX(SLATable[Minimum SLA],MATCH(G155,SLATable[Priority],0))),"YES","NO"),"")</f>
        <v/>
      </c>
      <c r="AJ155" t="str">
        <f>_xlfn.IFNA(IF(AE155 &lt; (INDEX(SLATable[Maximum SLA],MATCH(G155,SLATable[Priority],0))),"YES","NO"),"")</f>
        <v/>
      </c>
    </row>
    <row r="156" spans="1:36" ht="15" customHeight="1">
      <c r="Z156" s="76" t="e">
        <f t="shared" ca="1" si="16"/>
        <v>#N/A</v>
      </c>
      <c r="AA156" s="75" t="e">
        <f t="shared" ca="1" si="1"/>
        <v>#N/A</v>
      </c>
      <c r="AB156" s="76">
        <f t="shared" ca="1" si="17"/>
        <v>0</v>
      </c>
      <c r="AC156" s="75">
        <f t="shared" ca="1" si="3"/>
        <v>0</v>
      </c>
      <c r="AD156" s="76">
        <f t="shared" ca="1" si="18"/>
        <v>12388.42564247685</v>
      </c>
      <c r="AE156" s="76">
        <f t="shared" si="19"/>
        <v>0</v>
      </c>
      <c r="AF156" s="75">
        <f t="shared" si="6"/>
        <v>0</v>
      </c>
      <c r="AG156" s="75">
        <f t="shared" si="7"/>
        <v>0</v>
      </c>
      <c r="AH156" s="31" t="e" cm="1">
        <f t="array" aca="1" ref="AH156" ca="1">IF((AD156) &lt; (INDEX(ResponseSLA[#All],(MATCH((G156),ResponseSLA[Priority],0))+1,3)),"YES","No")</f>
        <v>#N/A</v>
      </c>
      <c r="AI156" s="31" t="str">
        <f>_xlfn.IFNA(IF(AE156 &lt; (INDEX(SLATable[Minimum SLA],MATCH(G156,SLATable[Priority],0))),"YES","NO"),"")</f>
        <v/>
      </c>
      <c r="AJ156" t="str">
        <f>_xlfn.IFNA(IF(AE156 &lt; (INDEX(SLATable[Maximum SLA],MATCH(G156,SLATable[Priority],0))),"YES","NO"),"")</f>
        <v/>
      </c>
    </row>
    <row r="157" spans="1:36" ht="15" customHeight="1">
      <c r="Z157" s="76" t="e">
        <f t="shared" ca="1" si="16"/>
        <v>#N/A</v>
      </c>
      <c r="AA157" s="75" t="e">
        <f t="shared" ca="1" si="1"/>
        <v>#N/A</v>
      </c>
      <c r="AB157" s="76">
        <f t="shared" ca="1" si="17"/>
        <v>0</v>
      </c>
      <c r="AC157" s="75">
        <f t="shared" ca="1" si="3"/>
        <v>0</v>
      </c>
      <c r="AD157" s="76">
        <f t="shared" ca="1" si="18"/>
        <v>12388.42564247685</v>
      </c>
      <c r="AE157" s="76">
        <f t="shared" si="19"/>
        <v>0</v>
      </c>
      <c r="AF157" s="75">
        <f t="shared" si="6"/>
        <v>0</v>
      </c>
      <c r="AG157" s="75">
        <f t="shared" si="7"/>
        <v>0</v>
      </c>
      <c r="AH157" s="31" t="e" cm="1">
        <f t="array" aca="1" ref="AH157" ca="1">IF((AD157) &lt; (INDEX(ResponseSLA[#All],(MATCH((G157),ResponseSLA[Priority],0))+1,3)),"YES","No")</f>
        <v>#N/A</v>
      </c>
      <c r="AI157" s="31" t="str">
        <f>_xlfn.IFNA(IF(AE157 &lt; (INDEX(SLATable[Minimum SLA],MATCH(G157,SLATable[Priority],0))),"YES","NO"),"")</f>
        <v/>
      </c>
      <c r="AJ157" t="str">
        <f>_xlfn.IFNA(IF(AE157 &lt; (INDEX(SLATable[Maximum SLA],MATCH(G157,SLATable[Priority],0))),"YES","NO"),"")</f>
        <v/>
      </c>
    </row>
    <row r="158" spans="1:36" ht="15" customHeight="1">
      <c r="Z158" s="76" t="e">
        <f t="shared" ca="1" si="16"/>
        <v>#N/A</v>
      </c>
      <c r="AA158" s="75" t="e">
        <f t="shared" ca="1" si="1"/>
        <v>#N/A</v>
      </c>
      <c r="AB158" s="76">
        <f t="shared" ca="1" si="17"/>
        <v>0</v>
      </c>
      <c r="AC158" s="75">
        <f t="shared" ca="1" si="3"/>
        <v>0</v>
      </c>
      <c r="AD158" s="76">
        <f t="shared" ca="1" si="18"/>
        <v>12388.42564247685</v>
      </c>
      <c r="AE158" s="76">
        <f t="shared" si="19"/>
        <v>0</v>
      </c>
      <c r="AF158" s="75">
        <f t="shared" si="6"/>
        <v>0</v>
      </c>
      <c r="AG158" s="75">
        <f t="shared" si="7"/>
        <v>0</v>
      </c>
      <c r="AH158" s="31" t="e" cm="1">
        <f t="array" aca="1" ref="AH158" ca="1">IF((AD158) &lt; (INDEX(ResponseSLA[#All],(MATCH((G158),ResponseSLA[Priority],0))+1,3)),"YES","No")</f>
        <v>#N/A</v>
      </c>
      <c r="AI158" s="31" t="str">
        <f>_xlfn.IFNA(IF(AE158 &lt; (INDEX(SLATable[Minimum SLA],MATCH(G158,SLATable[Priority],0))),"YES","NO"),"")</f>
        <v/>
      </c>
      <c r="AJ158" t="str">
        <f>_xlfn.IFNA(IF(AE158 &lt; (INDEX(SLATable[Maximum SLA],MATCH(G158,SLATable[Priority],0))),"YES","NO"),"")</f>
        <v/>
      </c>
    </row>
    <row r="159" spans="1:36" ht="15" customHeight="1">
      <c r="Z159" s="76" t="e">
        <f t="shared" ca="1" si="16"/>
        <v>#N/A</v>
      </c>
      <c r="AA159" s="75" t="e">
        <f t="shared" ca="1" si="1"/>
        <v>#N/A</v>
      </c>
      <c r="AB159" s="76">
        <f t="shared" ca="1" si="17"/>
        <v>0</v>
      </c>
      <c r="AC159" s="75">
        <f t="shared" ca="1" si="3"/>
        <v>0</v>
      </c>
      <c r="AD159" s="76">
        <f t="shared" ca="1" si="18"/>
        <v>12388.42564247685</v>
      </c>
      <c r="AE159" s="76">
        <f t="shared" si="19"/>
        <v>0</v>
      </c>
      <c r="AF159" s="75">
        <f t="shared" si="6"/>
        <v>0</v>
      </c>
      <c r="AG159" s="75">
        <f t="shared" si="7"/>
        <v>0</v>
      </c>
      <c r="AH159" s="31" t="e" cm="1">
        <f t="array" aca="1" ref="AH159" ca="1">IF((AD159) &lt; (INDEX(ResponseSLA[#All],(MATCH((G159),ResponseSLA[Priority],0))+1,3)),"YES","No")</f>
        <v>#N/A</v>
      </c>
      <c r="AI159" s="31" t="str">
        <f>_xlfn.IFNA(IF(AE159 &lt; (INDEX(SLATable[Minimum SLA],MATCH(G159,SLATable[Priority],0))),"YES","NO"),"")</f>
        <v/>
      </c>
      <c r="AJ159" t="str">
        <f>_xlfn.IFNA(IF(AE159 &lt; (INDEX(SLATable[Maximum SLA],MATCH(G159,SLATable[Priority],0))),"YES","NO"),"")</f>
        <v/>
      </c>
    </row>
    <row r="160" spans="1:36" ht="15" customHeight="1">
      <c r="Z160" s="76" t="e">
        <f t="shared" ca="1" si="16"/>
        <v>#N/A</v>
      </c>
      <c r="AA160" s="75" t="e">
        <f t="shared" ca="1" si="1"/>
        <v>#N/A</v>
      </c>
      <c r="AB160" s="76">
        <f t="shared" ca="1" si="17"/>
        <v>0</v>
      </c>
      <c r="AC160" s="75">
        <f t="shared" ca="1" si="3"/>
        <v>0</v>
      </c>
      <c r="AD160" s="76">
        <f t="shared" ca="1" si="18"/>
        <v>12388.42564247685</v>
      </c>
      <c r="AE160" s="76">
        <f t="shared" si="19"/>
        <v>0</v>
      </c>
      <c r="AF160" s="75">
        <f t="shared" si="6"/>
        <v>0</v>
      </c>
      <c r="AG160" s="75">
        <f t="shared" si="7"/>
        <v>0</v>
      </c>
      <c r="AH160" s="31" t="e" cm="1">
        <f t="array" aca="1" ref="AH160" ca="1">IF((AD160) &lt; (INDEX(ResponseSLA[#All],(MATCH((G160),ResponseSLA[Priority],0))+1,3)),"YES","No")</f>
        <v>#N/A</v>
      </c>
      <c r="AI160" s="31" t="str">
        <f>_xlfn.IFNA(IF(AE160 &lt; (INDEX(SLATable[Minimum SLA],MATCH(G160,SLATable[Priority],0))),"YES","NO"),"")</f>
        <v/>
      </c>
      <c r="AJ160" t="str">
        <f>_xlfn.IFNA(IF(AE160 &lt; (INDEX(SLATable[Maximum SLA],MATCH(G160,SLATable[Priority],0))),"YES","NO"),"")</f>
        <v/>
      </c>
    </row>
    <row r="161" spans="26:36" ht="15" customHeight="1">
      <c r="Z161" s="76" t="e">
        <f t="shared" ca="1" si="16"/>
        <v>#N/A</v>
      </c>
      <c r="AA161" s="75" t="e">
        <f t="shared" ca="1" si="1"/>
        <v>#N/A</v>
      </c>
      <c r="AB161" s="76">
        <f t="shared" ca="1" si="17"/>
        <v>0</v>
      </c>
      <c r="AC161" s="75">
        <f t="shared" ca="1" si="3"/>
        <v>0</v>
      </c>
      <c r="AD161" s="76">
        <f t="shared" ca="1" si="18"/>
        <v>12388.42564247685</v>
      </c>
      <c r="AE161" s="76">
        <f t="shared" si="19"/>
        <v>0</v>
      </c>
      <c r="AF161" s="75">
        <f t="shared" si="6"/>
        <v>0</v>
      </c>
      <c r="AG161" s="75">
        <f t="shared" si="7"/>
        <v>0</v>
      </c>
      <c r="AH161" s="31" t="e" cm="1">
        <f t="array" aca="1" ref="AH161" ca="1">IF((AD161) &lt; (INDEX(ResponseSLA[#All],(MATCH((G161),ResponseSLA[Priority],0))+1,3)),"YES","No")</f>
        <v>#N/A</v>
      </c>
      <c r="AI161" s="31" t="str">
        <f>_xlfn.IFNA(IF(AE161 &lt; (INDEX(SLATable[Minimum SLA],MATCH(G161,SLATable[Priority],0))),"YES","NO"),"")</f>
        <v/>
      </c>
      <c r="AJ161" t="str">
        <f>_xlfn.IFNA(IF(AE161 &lt; (INDEX(SLATable[Maximum SLA],MATCH(G161,SLATable[Priority],0))),"YES","NO"),"")</f>
        <v/>
      </c>
    </row>
    <row r="162" spans="26:36" ht="15" customHeight="1">
      <c r="Z162" s="76" t="e">
        <f t="shared" ca="1" si="16"/>
        <v>#N/A</v>
      </c>
      <c r="AA162" s="75" t="e">
        <f t="shared" ca="1" si="1"/>
        <v>#N/A</v>
      </c>
      <c r="AB162" s="76">
        <f t="shared" ca="1" si="17"/>
        <v>0</v>
      </c>
      <c r="AC162" s="75">
        <f t="shared" ca="1" si="3"/>
        <v>0</v>
      </c>
      <c r="AD162" s="76">
        <f t="shared" ca="1" si="18"/>
        <v>12388.42564247685</v>
      </c>
      <c r="AE162" s="76">
        <f t="shared" si="19"/>
        <v>0</v>
      </c>
      <c r="AF162" s="75">
        <f t="shared" si="6"/>
        <v>0</v>
      </c>
      <c r="AG162" s="75">
        <f t="shared" si="7"/>
        <v>0</v>
      </c>
      <c r="AH162" s="31" t="e" cm="1">
        <f t="array" aca="1" ref="AH162" ca="1">IF((AD162) &lt; (INDEX(ResponseSLA[#All],(MATCH((G162),ResponseSLA[Priority],0))+1,3)),"YES","No")</f>
        <v>#N/A</v>
      </c>
      <c r="AI162" s="31" t="str">
        <f>_xlfn.IFNA(IF(AE162 &lt; (INDEX(SLATable[Minimum SLA],MATCH(G162,SLATable[Priority],0))),"YES","NO"),"")</f>
        <v/>
      </c>
      <c r="AJ162" t="str">
        <f>_xlfn.IFNA(IF(AE162 &lt; (INDEX(SLATable[Maximum SLA],MATCH(G162,SLATable[Priority],0))),"YES","NO"),"")</f>
        <v/>
      </c>
    </row>
    <row r="163" spans="26:36" ht="15" customHeight="1">
      <c r="Z163" s="76" t="e">
        <f t="shared" ca="1" si="16"/>
        <v>#N/A</v>
      </c>
      <c r="AA163" s="75" t="e">
        <f t="shared" ca="1" si="1"/>
        <v>#N/A</v>
      </c>
      <c r="AB163" s="76">
        <f t="shared" ca="1" si="17"/>
        <v>0</v>
      </c>
      <c r="AC163" s="75">
        <f t="shared" ca="1" si="3"/>
        <v>0</v>
      </c>
      <c r="AD163" s="76">
        <f t="shared" ca="1" si="18"/>
        <v>12388.42564247685</v>
      </c>
      <c r="AE163" s="76">
        <f t="shared" si="19"/>
        <v>0</v>
      </c>
      <c r="AF163" s="75">
        <f t="shared" si="6"/>
        <v>0</v>
      </c>
      <c r="AG163" s="75">
        <f t="shared" si="7"/>
        <v>0</v>
      </c>
      <c r="AH163" s="31" t="e" cm="1">
        <f t="array" aca="1" ref="AH163" ca="1">IF((AD163) &lt; (INDEX(ResponseSLA[#All],(MATCH((G163),ResponseSLA[Priority],0))+1,3)),"YES","No")</f>
        <v>#N/A</v>
      </c>
      <c r="AI163" s="31" t="str">
        <f>_xlfn.IFNA(IF(AE163 &lt; (INDEX(SLATable[Minimum SLA],MATCH(G163,SLATable[Priority],0))),"YES","NO"),"")</f>
        <v/>
      </c>
      <c r="AJ163" t="str">
        <f>_xlfn.IFNA(IF(AE163 &lt; (INDEX(SLATable[Maximum SLA],MATCH(G163,SLATable[Priority],0))),"YES","NO"),"")</f>
        <v/>
      </c>
    </row>
    <row r="164" spans="26:36" ht="15" customHeight="1">
      <c r="Z164" s="76" t="e">
        <f t="shared" ca="1" si="16"/>
        <v>#N/A</v>
      </c>
      <c r="AA164" s="75" t="e">
        <f t="shared" ca="1" si="1"/>
        <v>#N/A</v>
      </c>
      <c r="AB164" s="76">
        <f t="shared" ca="1" si="17"/>
        <v>0</v>
      </c>
      <c r="AC164" s="75">
        <f t="shared" ca="1" si="3"/>
        <v>0</v>
      </c>
      <c r="AD164" s="76">
        <f t="shared" ca="1" si="18"/>
        <v>12388.42564247685</v>
      </c>
      <c r="AE164" s="76">
        <f t="shared" si="19"/>
        <v>0</v>
      </c>
      <c r="AF164" s="75">
        <f t="shared" si="6"/>
        <v>0</v>
      </c>
      <c r="AG164" s="75">
        <f t="shared" si="7"/>
        <v>0</v>
      </c>
      <c r="AH164" s="31" t="e" cm="1">
        <f t="array" aca="1" ref="AH164" ca="1">IF((AD164) &lt; (INDEX(ResponseSLA[#All],(MATCH((G164),ResponseSLA[Priority],0))+1,3)),"YES","No")</f>
        <v>#N/A</v>
      </c>
      <c r="AI164" s="31" t="str">
        <f>_xlfn.IFNA(IF(AE164 &lt; (INDEX(SLATable[Minimum SLA],MATCH(G164,SLATable[Priority],0))),"YES","NO"),"")</f>
        <v/>
      </c>
      <c r="AJ164" t="str">
        <f>_xlfn.IFNA(IF(AE164 &lt; (INDEX(SLATable[Maximum SLA],MATCH(G164,SLATable[Priority],0))),"YES","NO"),"")</f>
        <v/>
      </c>
    </row>
    <row r="165" spans="26:36" ht="15" customHeight="1">
      <c r="Z165" s="76" t="e">
        <f t="shared" ca="1" si="16"/>
        <v>#N/A</v>
      </c>
      <c r="AA165" s="75" t="e">
        <f t="shared" ca="1" si="1"/>
        <v>#N/A</v>
      </c>
      <c r="AB165" s="76">
        <f t="shared" ca="1" si="17"/>
        <v>0</v>
      </c>
      <c r="AC165" s="75">
        <f t="shared" ca="1" si="3"/>
        <v>0</v>
      </c>
      <c r="AD165" s="76">
        <f t="shared" ca="1" si="18"/>
        <v>12388.42564247685</v>
      </c>
      <c r="AE165" s="76">
        <f t="shared" si="19"/>
        <v>0</v>
      </c>
      <c r="AF165" s="75">
        <f t="shared" si="6"/>
        <v>0</v>
      </c>
      <c r="AG165" s="75">
        <f t="shared" si="7"/>
        <v>0</v>
      </c>
      <c r="AH165" s="31" t="e" cm="1">
        <f t="array" aca="1" ref="AH165" ca="1">IF((AD165) &lt; (INDEX(ResponseSLA[#All],(MATCH((G165),ResponseSLA[Priority],0))+1,3)),"YES","No")</f>
        <v>#N/A</v>
      </c>
      <c r="AI165" s="31" t="str">
        <f>_xlfn.IFNA(IF(AE165 &lt; (INDEX(SLATable[Minimum SLA],MATCH(G165,SLATable[Priority],0))),"YES","NO"),"")</f>
        <v/>
      </c>
      <c r="AJ165" t="str">
        <f>_xlfn.IFNA(IF(AE165 &lt; (INDEX(SLATable[Maximum SLA],MATCH(G165,SLATable[Priority],0))),"YES","NO"),"")</f>
        <v/>
      </c>
    </row>
    <row r="166" spans="26:36" ht="15" customHeight="1">
      <c r="Z166" s="76" t="e">
        <f t="shared" ca="1" si="16"/>
        <v>#N/A</v>
      </c>
      <c r="AA166" s="75" t="e">
        <f t="shared" ca="1" si="1"/>
        <v>#N/A</v>
      </c>
      <c r="AB166" s="76">
        <f t="shared" ca="1" si="17"/>
        <v>0</v>
      </c>
      <c r="AC166" s="75">
        <f t="shared" ca="1" si="3"/>
        <v>0</v>
      </c>
      <c r="AD166" s="76">
        <f t="shared" ca="1" si="18"/>
        <v>12388.42564247685</v>
      </c>
      <c r="AE166" s="76">
        <f t="shared" si="19"/>
        <v>0</v>
      </c>
      <c r="AF166" s="75">
        <f t="shared" si="6"/>
        <v>0</v>
      </c>
      <c r="AG166" s="75">
        <f t="shared" si="7"/>
        <v>0</v>
      </c>
      <c r="AH166" s="31" t="e" cm="1">
        <f t="array" aca="1" ref="AH166" ca="1">IF((AD166) &lt; (INDEX(ResponseSLA[#All],(MATCH((G166),ResponseSLA[Priority],0))+1,3)),"YES","No")</f>
        <v>#N/A</v>
      </c>
      <c r="AI166" s="31" t="str">
        <f>_xlfn.IFNA(IF(AE166 &lt; (INDEX(SLATable[Minimum SLA],MATCH(G166,SLATable[Priority],0))),"YES","NO"),"")</f>
        <v/>
      </c>
      <c r="AJ166" t="str">
        <f>_xlfn.IFNA(IF(AE166 &lt; (INDEX(SLATable[Maximum SLA],MATCH(G166,SLATable[Priority],0))),"YES","NO"),"")</f>
        <v/>
      </c>
    </row>
    <row r="167" spans="26:36" ht="15" customHeight="1">
      <c r="Z167" s="76" t="e">
        <f t="shared" ca="1" si="16"/>
        <v>#N/A</v>
      </c>
      <c r="AA167" s="75" t="e">
        <f t="shared" ca="1" si="1"/>
        <v>#N/A</v>
      </c>
      <c r="AB167" s="76">
        <f t="shared" ca="1" si="17"/>
        <v>0</v>
      </c>
      <c r="AC167" s="75">
        <f t="shared" ca="1" si="3"/>
        <v>0</v>
      </c>
      <c r="AD167" s="76">
        <f t="shared" ca="1" si="18"/>
        <v>12388.42564247685</v>
      </c>
      <c r="AE167" s="76">
        <f t="shared" si="19"/>
        <v>0</v>
      </c>
      <c r="AF167" s="75">
        <f t="shared" si="6"/>
        <v>0</v>
      </c>
      <c r="AG167" s="75">
        <f t="shared" si="7"/>
        <v>0</v>
      </c>
      <c r="AH167" s="31" t="e" cm="1">
        <f t="array" aca="1" ref="AH167" ca="1">IF((AD167) &lt; (INDEX(ResponseSLA[#All],(MATCH((G167),ResponseSLA[Priority],0))+1,3)),"YES","No")</f>
        <v>#N/A</v>
      </c>
      <c r="AI167" s="31" t="str">
        <f>_xlfn.IFNA(IF(AE167 &lt; (INDEX(SLATable[Minimum SLA],MATCH(G167,SLATable[Priority],0))),"YES","NO"),"")</f>
        <v/>
      </c>
      <c r="AJ167" t="str">
        <f>_xlfn.IFNA(IF(AE167 &lt; (INDEX(SLATable[Maximum SLA],MATCH(G167,SLATable[Priority],0))),"YES","NO"),"")</f>
        <v/>
      </c>
    </row>
    <row r="168" spans="26:36" ht="15" customHeight="1">
      <c r="Z168" s="76" t="e">
        <f t="shared" ca="1" si="16"/>
        <v>#N/A</v>
      </c>
      <c r="AA168" s="75" t="e">
        <f t="shared" ca="1" si="1"/>
        <v>#N/A</v>
      </c>
      <c r="AB168" s="76">
        <f t="shared" ca="1" si="17"/>
        <v>0</v>
      </c>
      <c r="AC168" s="75">
        <f t="shared" ca="1" si="3"/>
        <v>0</v>
      </c>
      <c r="AD168" s="76">
        <f t="shared" ca="1" si="18"/>
        <v>12388.42564247685</v>
      </c>
      <c r="AE168" s="76">
        <f t="shared" si="19"/>
        <v>0</v>
      </c>
      <c r="AF168" s="75">
        <f t="shared" si="6"/>
        <v>0</v>
      </c>
      <c r="AG168" s="75">
        <f t="shared" si="7"/>
        <v>0</v>
      </c>
      <c r="AH168" s="31" t="e" cm="1">
        <f t="array" aca="1" ref="AH168" ca="1">IF((AD168) &lt; (INDEX(ResponseSLA[#All],(MATCH((G168),ResponseSLA[Priority],0))+1,3)),"YES","No")</f>
        <v>#N/A</v>
      </c>
      <c r="AI168" s="31" t="str">
        <f>_xlfn.IFNA(IF(AE168 &lt; (INDEX(SLATable[Minimum SLA],MATCH(G168,SLATable[Priority],0))),"YES","NO"),"")</f>
        <v/>
      </c>
      <c r="AJ168" t="str">
        <f>_xlfn.IFNA(IF(AE168 &lt; (INDEX(SLATable[Maximum SLA],MATCH(G168,SLATable[Priority],0))),"YES","NO"),"")</f>
        <v/>
      </c>
    </row>
    <row r="169" spans="26:36" ht="15" customHeight="1">
      <c r="Z169" s="76" t="e">
        <f t="shared" ca="1" si="16"/>
        <v>#N/A</v>
      </c>
      <c r="AA169" s="75" t="e">
        <f t="shared" ca="1" si="1"/>
        <v>#N/A</v>
      </c>
      <c r="AB169" s="76">
        <f t="shared" ca="1" si="17"/>
        <v>0</v>
      </c>
      <c r="AC169" s="75">
        <f t="shared" ca="1" si="3"/>
        <v>0</v>
      </c>
      <c r="AD169" s="76">
        <f t="shared" ca="1" si="18"/>
        <v>12388.42564247685</v>
      </c>
      <c r="AE169" s="76">
        <f t="shared" si="19"/>
        <v>0</v>
      </c>
      <c r="AF169" s="75">
        <f t="shared" si="6"/>
        <v>0</v>
      </c>
      <c r="AG169" s="75">
        <f t="shared" si="7"/>
        <v>0</v>
      </c>
      <c r="AH169" s="31" t="e" cm="1">
        <f t="array" aca="1" ref="AH169" ca="1">IF((AD169) &lt; (INDEX(ResponseSLA[#All],(MATCH((G169),ResponseSLA[Priority],0))+1,3)),"YES","No")</f>
        <v>#N/A</v>
      </c>
      <c r="AI169" s="31" t="str">
        <f>_xlfn.IFNA(IF(AE169 &lt; (INDEX(SLATable[Minimum SLA],MATCH(G169,SLATable[Priority],0))),"YES","NO"),"")</f>
        <v/>
      </c>
      <c r="AJ169" t="str">
        <f>_xlfn.IFNA(IF(AE169 &lt; (INDEX(SLATable[Maximum SLA],MATCH(G169,SLATable[Priority],0))),"YES","NO"),"")</f>
        <v/>
      </c>
    </row>
    <row r="170" spans="26:36" ht="15" customHeight="1">
      <c r="Z170" s="76" t="e">
        <f t="shared" ca="1" si="16"/>
        <v>#N/A</v>
      </c>
      <c r="AA170" s="75" t="e">
        <f t="shared" ca="1" si="1"/>
        <v>#N/A</v>
      </c>
      <c r="AB170" s="76">
        <f t="shared" ca="1" si="17"/>
        <v>0</v>
      </c>
      <c r="AC170" s="75">
        <f t="shared" ca="1" si="3"/>
        <v>0</v>
      </c>
      <c r="AD170" s="76">
        <f t="shared" ca="1" si="18"/>
        <v>12388.42564247685</v>
      </c>
      <c r="AE170" s="76">
        <f t="shared" si="19"/>
        <v>0</v>
      </c>
      <c r="AF170" s="75">
        <f t="shared" si="6"/>
        <v>0</v>
      </c>
      <c r="AG170" s="75">
        <f t="shared" si="7"/>
        <v>0</v>
      </c>
      <c r="AH170" s="31" t="e" cm="1">
        <f t="array" aca="1" ref="AH170" ca="1">IF((AD170) &lt; (INDEX(ResponseSLA[#All],(MATCH((G170),ResponseSLA[Priority],0))+1,3)),"YES","No")</f>
        <v>#N/A</v>
      </c>
      <c r="AI170" s="31" t="str">
        <f>_xlfn.IFNA(IF(AE170 &lt; (INDEX(SLATable[Minimum SLA],MATCH(G170,SLATable[Priority],0))),"YES","NO"),"")</f>
        <v/>
      </c>
      <c r="AJ170" t="str">
        <f>_xlfn.IFNA(IF(AE170 &lt; (INDEX(SLATable[Maximum SLA],MATCH(G170,SLATable[Priority],0))),"YES","NO"),"")</f>
        <v/>
      </c>
    </row>
    <row r="171" spans="26:36" ht="15" customHeight="1">
      <c r="Z171" s="76" t="e">
        <f t="shared" ca="1" si="16"/>
        <v>#N/A</v>
      </c>
      <c r="AA171" s="75" t="e">
        <f t="shared" ca="1" si="1"/>
        <v>#N/A</v>
      </c>
      <c r="AB171" s="76">
        <f t="shared" ca="1" si="17"/>
        <v>0</v>
      </c>
      <c r="AC171" s="75">
        <f t="shared" ca="1" si="3"/>
        <v>0</v>
      </c>
      <c r="AD171" s="76">
        <f t="shared" ca="1" si="18"/>
        <v>12388.42564247685</v>
      </c>
      <c r="AE171" s="76">
        <f t="shared" si="19"/>
        <v>0</v>
      </c>
      <c r="AF171" s="75">
        <f t="shared" si="6"/>
        <v>0</v>
      </c>
      <c r="AG171" s="75">
        <f t="shared" si="7"/>
        <v>0</v>
      </c>
      <c r="AH171" s="31" t="e" cm="1">
        <f t="array" aca="1" ref="AH171" ca="1">IF((AD171) &lt; (INDEX(ResponseSLA[#All],(MATCH((G171),ResponseSLA[Priority],0))+1,3)),"YES","No")</f>
        <v>#N/A</v>
      </c>
      <c r="AI171" s="31" t="str">
        <f>_xlfn.IFNA(IF(AE171 &lt; (INDEX(SLATable[Minimum SLA],MATCH(G171,SLATable[Priority],0))),"YES","NO"),"")</f>
        <v/>
      </c>
      <c r="AJ171" t="str">
        <f>_xlfn.IFNA(IF(AE171 &lt; (INDEX(SLATable[Maximum SLA],MATCH(G171,SLATable[Priority],0))),"YES","NO"),"")</f>
        <v/>
      </c>
    </row>
    <row r="172" spans="26:36" ht="15" customHeight="1">
      <c r="Z172" s="76" t="e">
        <f t="shared" ca="1" si="16"/>
        <v>#N/A</v>
      </c>
      <c r="AA172" s="75" t="e">
        <f t="shared" ca="1" si="1"/>
        <v>#N/A</v>
      </c>
      <c r="AB172" s="76">
        <f t="shared" ca="1" si="17"/>
        <v>0</v>
      </c>
      <c r="AC172" s="75">
        <f t="shared" ca="1" si="3"/>
        <v>0</v>
      </c>
      <c r="AD172" s="76">
        <f t="shared" ca="1" si="18"/>
        <v>12388.42564247685</v>
      </c>
      <c r="AE172" s="76">
        <f t="shared" si="19"/>
        <v>0</v>
      </c>
      <c r="AF172" s="75">
        <f t="shared" si="6"/>
        <v>0</v>
      </c>
      <c r="AG172" s="75">
        <f t="shared" si="7"/>
        <v>0</v>
      </c>
      <c r="AH172" s="31" t="e" cm="1">
        <f t="array" aca="1" ref="AH172" ca="1">IF((AD172) &lt; (INDEX(ResponseSLA[#All],(MATCH((G172),ResponseSLA[Priority],0))+1,3)),"YES","No")</f>
        <v>#N/A</v>
      </c>
      <c r="AI172" s="31" t="str">
        <f>_xlfn.IFNA(IF(AE172 &lt; (INDEX(SLATable[Minimum SLA],MATCH(G172,SLATable[Priority],0))),"YES","NO"),"")</f>
        <v/>
      </c>
      <c r="AJ172" t="str">
        <f>_xlfn.IFNA(IF(AE172 &lt; (INDEX(SLATable[Maximum SLA],MATCH(G172,SLATable[Priority],0))),"YES","NO"),"")</f>
        <v/>
      </c>
    </row>
    <row r="173" spans="26:36" ht="15" customHeight="1">
      <c r="Z173" s="76" t="e">
        <f t="shared" ca="1" si="16"/>
        <v>#N/A</v>
      </c>
      <c r="AA173" s="75" t="e">
        <f t="shared" ca="1" si="1"/>
        <v>#N/A</v>
      </c>
      <c r="AB173" s="76">
        <f t="shared" ca="1" si="17"/>
        <v>0</v>
      </c>
      <c r="AC173" s="75">
        <f t="shared" ca="1" si="3"/>
        <v>0</v>
      </c>
      <c r="AD173" s="76">
        <f t="shared" ca="1" si="18"/>
        <v>12388.42564247685</v>
      </c>
      <c r="AE173" s="76">
        <f t="shared" si="19"/>
        <v>0</v>
      </c>
      <c r="AF173" s="75">
        <f t="shared" si="6"/>
        <v>0</v>
      </c>
      <c r="AG173" s="75">
        <f t="shared" si="7"/>
        <v>0</v>
      </c>
      <c r="AH173" s="31" t="e" cm="1">
        <f t="array" aca="1" ref="AH173" ca="1">IF((AD173) &lt; (INDEX(ResponseSLA[#All],(MATCH((G173),ResponseSLA[Priority],0))+1,3)),"YES","No")</f>
        <v>#N/A</v>
      </c>
      <c r="AI173" s="31" t="str">
        <f>_xlfn.IFNA(IF(AE173 &lt; (INDEX(SLATable[Minimum SLA],MATCH(G173,SLATable[Priority],0))),"YES","NO"),"")</f>
        <v/>
      </c>
      <c r="AJ173" t="str">
        <f>_xlfn.IFNA(IF(AE173 &lt; (INDEX(SLATable[Maximum SLA],MATCH(G173,SLATable[Priority],0))),"YES","NO"),"")</f>
        <v/>
      </c>
    </row>
    <row r="174" spans="26:36" ht="15" customHeight="1">
      <c r="Z174" s="76" t="e">
        <f t="shared" ca="1" si="16"/>
        <v>#N/A</v>
      </c>
      <c r="AA174" s="75" t="e">
        <f t="shared" ca="1" si="1"/>
        <v>#N/A</v>
      </c>
      <c r="AB174" s="76">
        <f t="shared" ca="1" si="17"/>
        <v>0</v>
      </c>
      <c r="AC174" s="75">
        <f t="shared" ca="1" si="3"/>
        <v>0</v>
      </c>
      <c r="AD174" s="76">
        <f t="shared" ca="1" si="18"/>
        <v>12388.42564247685</v>
      </c>
      <c r="AE174" s="76">
        <f t="shared" si="19"/>
        <v>0</v>
      </c>
      <c r="AF174" s="75">
        <f t="shared" si="6"/>
        <v>0</v>
      </c>
      <c r="AG174" s="75">
        <f t="shared" si="7"/>
        <v>0</v>
      </c>
      <c r="AH174" s="31" t="e" cm="1">
        <f t="array" aca="1" ref="AH174" ca="1">IF((AD174) &lt; (INDEX(ResponseSLA[#All],(MATCH((G174),ResponseSLA[Priority],0))+1,3)),"YES","No")</f>
        <v>#N/A</v>
      </c>
      <c r="AI174" s="31" t="str">
        <f>_xlfn.IFNA(IF(AE174 &lt; (INDEX(SLATable[Minimum SLA],MATCH(G174,SLATable[Priority],0))),"YES","NO"),"")</f>
        <v/>
      </c>
      <c r="AJ174" t="str">
        <f>_xlfn.IFNA(IF(AE174 &lt; (INDEX(SLATable[Maximum SLA],MATCH(G174,SLATable[Priority],0))),"YES","NO"),"")</f>
        <v/>
      </c>
    </row>
    <row r="175" spans="26:36" ht="15" customHeight="1">
      <c r="Z175" s="76" t="e">
        <f t="shared" ca="1" si="16"/>
        <v>#N/A</v>
      </c>
      <c r="AA175" s="75" t="e">
        <f t="shared" ca="1" si="1"/>
        <v>#N/A</v>
      </c>
      <c r="AB175" s="76">
        <f t="shared" ca="1" si="17"/>
        <v>0</v>
      </c>
      <c r="AC175" s="75">
        <f t="shared" ca="1" si="3"/>
        <v>0</v>
      </c>
      <c r="AD175" s="76">
        <f t="shared" ca="1" si="18"/>
        <v>12388.42564247685</v>
      </c>
      <c r="AE175" s="76">
        <f t="shared" si="19"/>
        <v>0</v>
      </c>
      <c r="AF175" s="75">
        <f t="shared" si="6"/>
        <v>0</v>
      </c>
      <c r="AG175" s="75">
        <f t="shared" si="7"/>
        <v>0</v>
      </c>
      <c r="AH175" s="31" t="e" cm="1">
        <f t="array" aca="1" ref="AH175" ca="1">IF((AD175) &lt; (INDEX(ResponseSLA[#All],(MATCH((G175),ResponseSLA[Priority],0))+1,3)),"YES","No")</f>
        <v>#N/A</v>
      </c>
      <c r="AI175" s="31" t="str">
        <f>_xlfn.IFNA(IF(AE175 &lt; (INDEX(SLATable[Minimum SLA],MATCH(G175,SLATable[Priority],0))),"YES","NO"),"")</f>
        <v/>
      </c>
      <c r="AJ175" t="str">
        <f>_xlfn.IFNA(IF(AE175 &lt; (INDEX(SLATable[Maximum SLA],MATCH(G175,SLATable[Priority],0))),"YES","NO"),"")</f>
        <v/>
      </c>
    </row>
    <row r="176" spans="26:36" ht="15" customHeight="1">
      <c r="Z176" s="76" t="e">
        <f t="shared" ca="1" si="16"/>
        <v>#N/A</v>
      </c>
      <c r="AA176" s="75" t="e">
        <f t="shared" ca="1" si="1"/>
        <v>#N/A</v>
      </c>
      <c r="AB176" s="76">
        <f t="shared" ca="1" si="17"/>
        <v>0</v>
      </c>
      <c r="AC176" s="75">
        <f t="shared" ca="1" si="3"/>
        <v>0</v>
      </c>
      <c r="AD176" s="76">
        <f t="shared" ca="1" si="18"/>
        <v>12388.42564247685</v>
      </c>
      <c r="AE176" s="76">
        <f t="shared" si="19"/>
        <v>0</v>
      </c>
      <c r="AF176" s="75">
        <f t="shared" si="6"/>
        <v>0</v>
      </c>
      <c r="AG176" s="75">
        <f t="shared" si="7"/>
        <v>0</v>
      </c>
      <c r="AH176" s="31" t="e" cm="1">
        <f t="array" aca="1" ref="AH176" ca="1">IF((AD176) &lt; (INDEX(ResponseSLA[#All],(MATCH((G176),ResponseSLA[Priority],0))+1,3)),"YES","No")</f>
        <v>#N/A</v>
      </c>
      <c r="AI176" s="31" t="str">
        <f>_xlfn.IFNA(IF(AE176 &lt; (INDEX(SLATable[Minimum SLA],MATCH(G176,SLATable[Priority],0))),"YES","NO"),"")</f>
        <v/>
      </c>
      <c r="AJ176" t="str">
        <f>_xlfn.IFNA(IF(AE176 &lt; (INDEX(SLATable[Maximum SLA],MATCH(G176,SLATable[Priority],0))),"YES","NO"),"")</f>
        <v/>
      </c>
    </row>
    <row r="177" spans="26:36" ht="15" customHeight="1">
      <c r="Z177" s="76" t="e">
        <f t="shared" ca="1" si="16"/>
        <v>#N/A</v>
      </c>
      <c r="AA177" s="75" t="e">
        <f t="shared" ca="1" si="1"/>
        <v>#N/A</v>
      </c>
      <c r="AB177" s="76">
        <f t="shared" ca="1" si="17"/>
        <v>0</v>
      </c>
      <c r="AC177" s="75">
        <f t="shared" ca="1" si="3"/>
        <v>0</v>
      </c>
      <c r="AD177" s="76">
        <f t="shared" ca="1" si="18"/>
        <v>12388.42564247685</v>
      </c>
      <c r="AE177" s="76">
        <f t="shared" si="19"/>
        <v>0</v>
      </c>
      <c r="AF177" s="75">
        <f t="shared" si="6"/>
        <v>0</v>
      </c>
      <c r="AG177" s="75">
        <f t="shared" si="7"/>
        <v>0</v>
      </c>
      <c r="AH177" s="31" t="e" cm="1">
        <f t="array" aca="1" ref="AH177" ca="1">IF((AD177) &lt; (INDEX(ResponseSLA[#All],(MATCH((G177),ResponseSLA[Priority],0))+1,3)),"YES","No")</f>
        <v>#N/A</v>
      </c>
      <c r="AI177" s="31" t="str">
        <f>_xlfn.IFNA(IF(AE177 &lt; (INDEX(SLATable[Minimum SLA],MATCH(G177,SLATable[Priority],0))),"YES","NO"),"")</f>
        <v/>
      </c>
      <c r="AJ177" t="str">
        <f>_xlfn.IFNA(IF(AE177 &lt; (INDEX(SLATable[Maximum SLA],MATCH(G177,SLATable[Priority],0))),"YES","NO"),"")</f>
        <v/>
      </c>
    </row>
    <row r="178" spans="26:36" ht="15" customHeight="1">
      <c r="Z178" s="76" t="e">
        <f t="shared" ca="1" si="16"/>
        <v>#N/A</v>
      </c>
      <c r="AA178" s="75" t="e">
        <f t="shared" ca="1" si="1"/>
        <v>#N/A</v>
      </c>
      <c r="AB178" s="76">
        <f t="shared" ca="1" si="17"/>
        <v>0</v>
      </c>
      <c r="AC178" s="75">
        <f t="shared" ca="1" si="3"/>
        <v>0</v>
      </c>
      <c r="AD178" s="76">
        <f t="shared" ca="1" si="18"/>
        <v>12388.42564247685</v>
      </c>
      <c r="AE178" s="76">
        <f t="shared" si="19"/>
        <v>0</v>
      </c>
      <c r="AF178" s="75">
        <f t="shared" si="6"/>
        <v>0</v>
      </c>
      <c r="AG178" s="75">
        <f t="shared" si="7"/>
        <v>0</v>
      </c>
      <c r="AH178" s="31" t="e" cm="1">
        <f t="array" aca="1" ref="AH178" ca="1">IF((AD178) &lt; (INDEX(ResponseSLA[#All],(MATCH((G178),ResponseSLA[Priority],0))+1,3)),"YES","No")</f>
        <v>#N/A</v>
      </c>
      <c r="AI178" s="31" t="str">
        <f>_xlfn.IFNA(IF(AE178 &lt; (INDEX(SLATable[Minimum SLA],MATCH(G178,SLATable[Priority],0))),"YES","NO"),"")</f>
        <v/>
      </c>
      <c r="AJ178" t="str">
        <f>_xlfn.IFNA(IF(AE178 &lt; (INDEX(SLATable[Maximum SLA],MATCH(G178,SLATable[Priority],0))),"YES","NO"),"")</f>
        <v/>
      </c>
    </row>
    <row r="179" spans="26:36" ht="15" customHeight="1">
      <c r="Z179" s="76" t="e">
        <f t="shared" ca="1" si="16"/>
        <v>#N/A</v>
      </c>
      <c r="AA179" s="75" t="e">
        <f t="shared" ca="1" si="1"/>
        <v>#N/A</v>
      </c>
      <c r="AB179" s="76">
        <f t="shared" ca="1" si="17"/>
        <v>0</v>
      </c>
      <c r="AC179" s="75">
        <f t="shared" ca="1" si="3"/>
        <v>0</v>
      </c>
      <c r="AD179" s="76">
        <f t="shared" ca="1" si="18"/>
        <v>12388.42564247685</v>
      </c>
      <c r="AE179" s="76">
        <f t="shared" si="19"/>
        <v>0</v>
      </c>
      <c r="AF179" s="75">
        <f t="shared" si="6"/>
        <v>0</v>
      </c>
      <c r="AG179" s="75">
        <f t="shared" si="7"/>
        <v>0</v>
      </c>
      <c r="AH179" s="31" t="e" cm="1">
        <f t="array" aca="1" ref="AH179" ca="1">IF((AD179) &lt; (INDEX(ResponseSLA[#All],(MATCH((G179),ResponseSLA[Priority],0))+1,3)),"YES","No")</f>
        <v>#N/A</v>
      </c>
      <c r="AI179" s="31" t="str">
        <f>_xlfn.IFNA(IF(AE179 &lt; (INDEX(SLATable[Minimum SLA],MATCH(G179,SLATable[Priority],0))),"YES","NO"),"")</f>
        <v/>
      </c>
      <c r="AJ179" t="str">
        <f>_xlfn.IFNA(IF(AE179 &lt; (INDEX(SLATable[Maximum SLA],MATCH(G179,SLATable[Priority],0))),"YES","NO"),"")</f>
        <v/>
      </c>
    </row>
    <row r="180" spans="26:36" ht="15" customHeight="1">
      <c r="Z180" s="76" t="e">
        <f t="shared" ca="1" si="16"/>
        <v>#N/A</v>
      </c>
      <c r="AA180" s="75" t="e">
        <f t="shared" ca="1" si="1"/>
        <v>#N/A</v>
      </c>
      <c r="AB180" s="76">
        <f t="shared" ca="1" si="17"/>
        <v>0</v>
      </c>
      <c r="AC180" s="75">
        <f t="shared" ca="1" si="3"/>
        <v>0</v>
      </c>
      <c r="AD180" s="76">
        <f t="shared" ca="1" si="18"/>
        <v>12388.42564247685</v>
      </c>
      <c r="AE180" s="76">
        <f t="shared" si="19"/>
        <v>0</v>
      </c>
      <c r="AF180" s="75">
        <f t="shared" si="6"/>
        <v>0</v>
      </c>
      <c r="AG180" s="75">
        <f t="shared" si="7"/>
        <v>0</v>
      </c>
      <c r="AH180" s="31" t="e" cm="1">
        <f t="array" aca="1" ref="AH180" ca="1">IF((AD180) &lt; (INDEX(ResponseSLA[#All],(MATCH((G180),ResponseSLA[Priority],0))+1,3)),"YES","No")</f>
        <v>#N/A</v>
      </c>
      <c r="AI180" s="31" t="str">
        <f>_xlfn.IFNA(IF(AE180 &lt; (INDEX(SLATable[Minimum SLA],MATCH(G180,SLATable[Priority],0))),"YES","NO"),"")</f>
        <v/>
      </c>
      <c r="AJ180" t="str">
        <f>_xlfn.IFNA(IF(AE180 &lt; (INDEX(SLATable[Maximum SLA],MATCH(G180,SLATable[Priority],0))),"YES","NO"),"")</f>
        <v/>
      </c>
    </row>
    <row r="181" spans="26:36" ht="15" customHeight="1">
      <c r="Z181" s="76" t="e">
        <f t="shared" ca="1" si="16"/>
        <v>#N/A</v>
      </c>
      <c r="AA181" s="75" t="e">
        <f t="shared" ca="1" si="1"/>
        <v>#N/A</v>
      </c>
      <c r="AB181" s="76">
        <f t="shared" ca="1" si="17"/>
        <v>0</v>
      </c>
      <c r="AC181" s="75">
        <f t="shared" ca="1" si="3"/>
        <v>0</v>
      </c>
      <c r="AD181" s="76">
        <f t="shared" ca="1" si="18"/>
        <v>12388.42564247685</v>
      </c>
      <c r="AE181" s="76">
        <f t="shared" si="19"/>
        <v>0</v>
      </c>
      <c r="AF181" s="75">
        <f t="shared" si="6"/>
        <v>0</v>
      </c>
      <c r="AG181" s="75">
        <f t="shared" si="7"/>
        <v>0</v>
      </c>
      <c r="AH181" s="31" t="e" cm="1">
        <f t="array" aca="1" ref="AH181" ca="1">IF((AD181) &lt; (INDEX(ResponseSLA[#All],(MATCH((G181),ResponseSLA[Priority],0))+1,3)),"YES","No")</f>
        <v>#N/A</v>
      </c>
      <c r="AI181" s="31" t="str">
        <f>_xlfn.IFNA(IF(AE181 &lt; (INDEX(SLATable[Minimum SLA],MATCH(G181,SLATable[Priority],0))),"YES","NO"),"")</f>
        <v/>
      </c>
      <c r="AJ181" t="str">
        <f>_xlfn.IFNA(IF(AE181 &lt; (INDEX(SLATable[Maximum SLA],MATCH(G181,SLATable[Priority],0))),"YES","NO"),"")</f>
        <v/>
      </c>
    </row>
    <row r="182" spans="26:36" ht="15" customHeight="1">
      <c r="Z182" s="76" t="e">
        <f t="shared" ca="1" si="16"/>
        <v>#N/A</v>
      </c>
      <c r="AA182" s="75" t="e">
        <f t="shared" ca="1" si="1"/>
        <v>#N/A</v>
      </c>
      <c r="AB182" s="76">
        <f t="shared" ca="1" si="17"/>
        <v>0</v>
      </c>
      <c r="AC182" s="75">
        <f t="shared" ca="1" si="3"/>
        <v>0</v>
      </c>
      <c r="AD182" s="76">
        <f t="shared" ca="1" si="18"/>
        <v>12388.42564247685</v>
      </c>
      <c r="AE182" s="76">
        <f t="shared" si="19"/>
        <v>0</v>
      </c>
      <c r="AF182" s="75">
        <f t="shared" si="6"/>
        <v>0</v>
      </c>
      <c r="AG182" s="75">
        <f t="shared" si="7"/>
        <v>0</v>
      </c>
      <c r="AH182" s="31" t="e" cm="1">
        <f t="array" aca="1" ref="AH182" ca="1">IF((AD182) &lt; (INDEX(ResponseSLA[#All],(MATCH((G182),ResponseSLA[Priority],0))+1,3)),"YES","No")</f>
        <v>#N/A</v>
      </c>
      <c r="AI182" s="31" t="str">
        <f>_xlfn.IFNA(IF(AE182 &lt; (INDEX(SLATable[Minimum SLA],MATCH(G182,SLATable[Priority],0))),"YES","NO"),"")</f>
        <v/>
      </c>
      <c r="AJ182" t="str">
        <f>_xlfn.IFNA(IF(AE182 &lt; (INDEX(SLATable[Maximum SLA],MATCH(G182,SLATable[Priority],0))),"YES","NO"),"")</f>
        <v/>
      </c>
    </row>
    <row r="183" spans="26:36" ht="15" customHeight="1">
      <c r="Z183" s="76" t="e">
        <f t="shared" ca="1" si="16"/>
        <v>#N/A</v>
      </c>
      <c r="AA183" s="75" t="e">
        <f t="shared" ca="1" si="1"/>
        <v>#N/A</v>
      </c>
      <c r="AB183" s="76">
        <f t="shared" ca="1" si="17"/>
        <v>0</v>
      </c>
      <c r="AC183" s="75">
        <f t="shared" ca="1" si="3"/>
        <v>0</v>
      </c>
      <c r="AD183" s="76">
        <f t="shared" ca="1" si="18"/>
        <v>12388.42564247685</v>
      </c>
      <c r="AE183" s="76">
        <f t="shared" si="19"/>
        <v>0</v>
      </c>
      <c r="AF183" s="75">
        <f t="shared" si="6"/>
        <v>0</v>
      </c>
      <c r="AG183" s="75">
        <f t="shared" si="7"/>
        <v>0</v>
      </c>
      <c r="AH183" s="31" t="e" cm="1">
        <f t="array" aca="1" ref="AH183" ca="1">IF((AD183) &lt; (INDEX(ResponseSLA[#All],(MATCH((G183),ResponseSLA[Priority],0))+1,3)),"YES","No")</f>
        <v>#N/A</v>
      </c>
      <c r="AI183" s="31" t="str">
        <f>_xlfn.IFNA(IF(AE183 &lt; (INDEX(SLATable[Minimum SLA],MATCH(G183,SLATable[Priority],0))),"YES","NO"),"")</f>
        <v/>
      </c>
      <c r="AJ183" t="str">
        <f>_xlfn.IFNA(IF(AE183 &lt; (INDEX(SLATable[Maximum SLA],MATCH(G183,SLATable[Priority],0))),"YES","NO"),"")</f>
        <v/>
      </c>
    </row>
    <row r="184" spans="26:36" ht="15" customHeight="1">
      <c r="Z184" s="76" t="e">
        <f t="shared" ca="1" si="16"/>
        <v>#N/A</v>
      </c>
      <c r="AA184" s="75" t="e">
        <f t="shared" ca="1" si="1"/>
        <v>#N/A</v>
      </c>
      <c r="AB184" s="76">
        <f t="shared" ca="1" si="17"/>
        <v>0</v>
      </c>
      <c r="AC184" s="75">
        <f t="shared" ca="1" si="3"/>
        <v>0</v>
      </c>
      <c r="AD184" s="76">
        <f t="shared" ca="1" si="18"/>
        <v>12388.42564247685</v>
      </c>
      <c r="AE184" s="76">
        <f t="shared" si="19"/>
        <v>0</v>
      </c>
      <c r="AF184" s="75">
        <f t="shared" si="6"/>
        <v>0</v>
      </c>
      <c r="AG184" s="75">
        <f t="shared" si="7"/>
        <v>0</v>
      </c>
      <c r="AH184" s="31" t="e" cm="1">
        <f t="array" aca="1" ref="AH184" ca="1">IF((AD184) &lt; (INDEX(ResponseSLA[#All],(MATCH((G184),ResponseSLA[Priority],0))+1,3)),"YES","No")</f>
        <v>#N/A</v>
      </c>
      <c r="AI184" s="31" t="str">
        <f>_xlfn.IFNA(IF(AE184 &lt; (INDEX(SLATable[Minimum SLA],MATCH(G184,SLATable[Priority],0))),"YES","NO"),"")</f>
        <v/>
      </c>
      <c r="AJ184" t="str">
        <f>_xlfn.IFNA(IF(AE184 &lt; (INDEX(SLATable[Maximum SLA],MATCH(G184,SLATable[Priority],0))),"YES","NO"),"")</f>
        <v/>
      </c>
    </row>
    <row r="185" spans="26:36" ht="15" customHeight="1">
      <c r="Z185" s="76" t="e">
        <f t="shared" ca="1" si="16"/>
        <v>#N/A</v>
      </c>
      <c r="AA185" s="75" t="e">
        <f t="shared" ca="1" si="1"/>
        <v>#N/A</v>
      </c>
      <c r="AB185" s="76">
        <f t="shared" ca="1" si="17"/>
        <v>0</v>
      </c>
      <c r="AC185" s="75">
        <f t="shared" ca="1" si="3"/>
        <v>0</v>
      </c>
      <c r="AD185" s="76">
        <f t="shared" ca="1" si="18"/>
        <v>12388.42564247685</v>
      </c>
      <c r="AE185" s="76">
        <f t="shared" si="19"/>
        <v>0</v>
      </c>
      <c r="AF185" s="75">
        <f t="shared" si="6"/>
        <v>0</v>
      </c>
      <c r="AG185" s="75">
        <f t="shared" si="7"/>
        <v>0</v>
      </c>
      <c r="AH185" s="31" t="e" cm="1">
        <f t="array" aca="1" ref="AH185" ca="1">IF((AD185) &lt; (INDEX(ResponseSLA[#All],(MATCH((G185),ResponseSLA[Priority],0))+1,3)),"YES","No")</f>
        <v>#N/A</v>
      </c>
      <c r="AI185" s="31" t="str">
        <f>_xlfn.IFNA(IF(AE185 &lt; (INDEX(SLATable[Minimum SLA],MATCH(G185,SLATable[Priority],0))),"YES","NO"),"")</f>
        <v/>
      </c>
      <c r="AJ185" t="str">
        <f>_xlfn.IFNA(IF(AE185 &lt; (INDEX(SLATable[Maximum SLA],MATCH(G185,SLATable[Priority],0))),"YES","NO"),"")</f>
        <v/>
      </c>
    </row>
    <row r="186" spans="26:36" ht="15" customHeight="1">
      <c r="Z186" s="76" t="e">
        <f t="shared" ca="1" si="16"/>
        <v>#N/A</v>
      </c>
      <c r="AA186" s="75" t="e">
        <f t="shared" ca="1" si="1"/>
        <v>#N/A</v>
      </c>
      <c r="AB186" s="76">
        <f t="shared" ca="1" si="17"/>
        <v>0</v>
      </c>
      <c r="AC186" s="75">
        <f t="shared" ca="1" si="3"/>
        <v>0</v>
      </c>
      <c r="AD186" s="76">
        <f t="shared" ca="1" si="18"/>
        <v>12388.42564247685</v>
      </c>
      <c r="AE186" s="76">
        <f t="shared" si="19"/>
        <v>0</v>
      </c>
      <c r="AF186" s="75">
        <f t="shared" si="6"/>
        <v>0</v>
      </c>
      <c r="AG186" s="75">
        <f t="shared" si="7"/>
        <v>0</v>
      </c>
      <c r="AH186" s="31" t="e" cm="1">
        <f t="array" aca="1" ref="AH186" ca="1">IF((AD186) &lt; (INDEX(ResponseSLA[#All],(MATCH((G186),ResponseSLA[Priority],0))+1,3)),"YES","No")</f>
        <v>#N/A</v>
      </c>
      <c r="AI186" s="31" t="str">
        <f>_xlfn.IFNA(IF(AE186 &lt; (INDEX(SLATable[Minimum SLA],MATCH(G186,SLATable[Priority],0))),"YES","NO"),"")</f>
        <v/>
      </c>
      <c r="AJ186" t="str">
        <f>_xlfn.IFNA(IF(AE186 &lt; (INDEX(SLATable[Maximum SLA],MATCH(G186,SLATable[Priority],0))),"YES","NO"),"")</f>
        <v/>
      </c>
    </row>
    <row r="187" spans="26:36" ht="15" customHeight="1">
      <c r="Z187" s="76" t="e">
        <f t="shared" ca="1" si="16"/>
        <v>#N/A</v>
      </c>
      <c r="AA187" s="75" t="e">
        <f t="shared" ca="1" si="1"/>
        <v>#N/A</v>
      </c>
      <c r="AB187" s="76">
        <f t="shared" ca="1" si="17"/>
        <v>0</v>
      </c>
      <c r="AC187" s="75">
        <f t="shared" ca="1" si="3"/>
        <v>0</v>
      </c>
      <c r="AD187" s="76">
        <f t="shared" ca="1" si="18"/>
        <v>12388.42564247685</v>
      </c>
      <c r="AE187" s="76">
        <f t="shared" si="19"/>
        <v>0</v>
      </c>
      <c r="AF187" s="75">
        <f t="shared" si="6"/>
        <v>0</v>
      </c>
      <c r="AG187" s="75">
        <f t="shared" si="7"/>
        <v>0</v>
      </c>
      <c r="AH187" s="31" t="e" cm="1">
        <f t="array" aca="1" ref="AH187" ca="1">IF((AD187) &lt; (INDEX(ResponseSLA[#All],(MATCH((G187),ResponseSLA[Priority],0))+1,3)),"YES","No")</f>
        <v>#N/A</v>
      </c>
      <c r="AI187" s="31" t="str">
        <f>_xlfn.IFNA(IF(AE187 &lt; (INDEX(SLATable[Minimum SLA],MATCH(G187,SLATable[Priority],0))),"YES","NO"),"")</f>
        <v/>
      </c>
      <c r="AJ187" t="str">
        <f>_xlfn.IFNA(IF(AE187 &lt; (INDEX(SLATable[Maximum SLA],MATCH(G187,SLATable[Priority],0))),"YES","NO"),"")</f>
        <v/>
      </c>
    </row>
    <row r="188" spans="26:36" ht="15" customHeight="1">
      <c r="Z188" s="76" t="e">
        <f t="shared" ca="1" si="16"/>
        <v>#N/A</v>
      </c>
      <c r="AA188" s="75" t="e">
        <f t="shared" ca="1" si="1"/>
        <v>#N/A</v>
      </c>
      <c r="AB188" s="76">
        <f t="shared" ca="1" si="17"/>
        <v>0</v>
      </c>
      <c r="AC188" s="75">
        <f t="shared" ca="1" si="3"/>
        <v>0</v>
      </c>
      <c r="AD188" s="76">
        <f t="shared" ca="1" si="18"/>
        <v>12388.425642708335</v>
      </c>
      <c r="AE188" s="76">
        <f t="shared" si="19"/>
        <v>0</v>
      </c>
      <c r="AF188" s="75">
        <f t="shared" si="6"/>
        <v>0</v>
      </c>
      <c r="AG188" s="75">
        <f t="shared" si="7"/>
        <v>0</v>
      </c>
      <c r="AH188" s="31" t="e" cm="1">
        <f t="array" aca="1" ref="AH188" ca="1">IF((AD188) &lt; (INDEX(ResponseSLA[#All],(MATCH((G188),ResponseSLA[Priority],0))+1,3)),"YES","No")</f>
        <v>#N/A</v>
      </c>
      <c r="AI188" s="31" t="str">
        <f>_xlfn.IFNA(IF(AE188 &lt; (INDEX(SLATable[Minimum SLA],MATCH(G188,SLATable[Priority],0))),"YES","NO"),"")</f>
        <v/>
      </c>
      <c r="AJ188" t="str">
        <f>_xlfn.IFNA(IF(AE188 &lt; (INDEX(SLATable[Maximum SLA],MATCH(G188,SLATable[Priority],0))),"YES","NO"),"")</f>
        <v/>
      </c>
    </row>
    <row r="189" spans="26:36" ht="15" customHeight="1">
      <c r="Z189" s="76" t="e">
        <f t="shared" ca="1" si="16"/>
        <v>#N/A</v>
      </c>
      <c r="AA189" s="75" t="e">
        <f t="shared" ca="1" si="1"/>
        <v>#N/A</v>
      </c>
      <c r="AB189" s="76">
        <f t="shared" ca="1" si="17"/>
        <v>0</v>
      </c>
      <c r="AC189" s="75">
        <f t="shared" ca="1" si="3"/>
        <v>0</v>
      </c>
      <c r="AD189" s="76">
        <f t="shared" ca="1" si="18"/>
        <v>12388.42564247685</v>
      </c>
      <c r="AE189" s="76">
        <f t="shared" si="19"/>
        <v>0</v>
      </c>
      <c r="AF189" s="75">
        <f t="shared" si="6"/>
        <v>0</v>
      </c>
      <c r="AG189" s="75">
        <f t="shared" si="7"/>
        <v>0</v>
      </c>
      <c r="AH189" s="31" t="e" cm="1">
        <f t="array" aca="1" ref="AH189" ca="1">IF((AD189) &lt; (INDEX(ResponseSLA[#All],(MATCH((G189),ResponseSLA[Priority],0))+1,3)),"YES","No")</f>
        <v>#N/A</v>
      </c>
      <c r="AI189" s="31" t="str">
        <f>_xlfn.IFNA(IF(AE189 &lt; (INDEX(SLATable[Minimum SLA],MATCH(G189,SLATable[Priority],0))),"YES","NO"),"")</f>
        <v/>
      </c>
      <c r="AJ189" t="str">
        <f>_xlfn.IFNA(IF(AE189 &lt; (INDEX(SLATable[Maximum SLA],MATCH(G189,SLATable[Priority],0))),"YES","NO"),"")</f>
        <v/>
      </c>
    </row>
    <row r="190" spans="26:36" ht="15" customHeight="1">
      <c r="Z190" s="76" t="e">
        <f t="shared" ca="1" si="16"/>
        <v>#N/A</v>
      </c>
      <c r="AA190" s="75" t="e">
        <f t="shared" ca="1" si="1"/>
        <v>#N/A</v>
      </c>
      <c r="AB190" s="76">
        <f t="shared" ca="1" si="17"/>
        <v>0</v>
      </c>
      <c r="AC190" s="75">
        <f t="shared" ca="1" si="3"/>
        <v>0</v>
      </c>
      <c r="AD190" s="76">
        <f t="shared" ca="1" si="18"/>
        <v>12388.42564247685</v>
      </c>
      <c r="AE190" s="76">
        <f t="shared" si="19"/>
        <v>0</v>
      </c>
      <c r="AF190" s="75">
        <f t="shared" si="6"/>
        <v>0</v>
      </c>
      <c r="AG190" s="75">
        <f t="shared" si="7"/>
        <v>0</v>
      </c>
      <c r="AH190" s="31" t="e" cm="1">
        <f t="array" aca="1" ref="AH190" ca="1">IF((AD190) &lt; (INDEX(ResponseSLA[#All],(MATCH((G190),ResponseSLA[Priority],0))+1,3)),"YES","No")</f>
        <v>#N/A</v>
      </c>
      <c r="AI190" s="31" t="str">
        <f>_xlfn.IFNA(IF(AE190 &lt; (INDEX(SLATable[Minimum SLA],MATCH(G190,SLATable[Priority],0))),"YES","NO"),"")</f>
        <v/>
      </c>
      <c r="AJ190" t="str">
        <f>_xlfn.IFNA(IF(AE190 &lt; (INDEX(SLATable[Maximum SLA],MATCH(G190,SLATable[Priority],0))),"YES","NO"),"")</f>
        <v/>
      </c>
    </row>
    <row r="191" spans="26:36" ht="15" customHeight="1">
      <c r="Z191" s="76" t="e">
        <f t="shared" ca="1" si="16"/>
        <v>#N/A</v>
      </c>
      <c r="AA191" s="75" t="e">
        <f t="shared" ca="1" si="1"/>
        <v>#N/A</v>
      </c>
      <c r="AB191" s="76">
        <f t="shared" ca="1" si="17"/>
        <v>0</v>
      </c>
      <c r="AC191" s="75">
        <f t="shared" ca="1" si="3"/>
        <v>0</v>
      </c>
      <c r="AD191" s="76">
        <f t="shared" ca="1" si="18"/>
        <v>12388.425642708335</v>
      </c>
      <c r="AE191" s="76">
        <f t="shared" si="19"/>
        <v>0</v>
      </c>
      <c r="AF191" s="75">
        <f t="shared" si="6"/>
        <v>0</v>
      </c>
      <c r="AG191" s="75">
        <f t="shared" si="7"/>
        <v>0</v>
      </c>
      <c r="AH191" s="31" t="e" cm="1">
        <f t="array" aca="1" ref="AH191" ca="1">IF((AD191) &lt; (INDEX(ResponseSLA[#All],(MATCH((G191),ResponseSLA[Priority],0))+1,3)),"YES","No")</f>
        <v>#N/A</v>
      </c>
      <c r="AI191" s="31" t="str">
        <f>_xlfn.IFNA(IF(AE191 &lt; (INDEX(SLATable[Minimum SLA],MATCH(G191,SLATable[Priority],0))),"YES","NO"),"")</f>
        <v/>
      </c>
      <c r="AJ191" t="str">
        <f>_xlfn.IFNA(IF(AE191 &lt; (INDEX(SLATable[Maximum SLA],MATCH(G191,SLATable[Priority],0))),"YES","NO"),"")</f>
        <v/>
      </c>
    </row>
    <row r="192" spans="26:36" ht="15" customHeight="1">
      <c r="Z192" s="76" t="e">
        <f t="shared" ca="1" si="16"/>
        <v>#N/A</v>
      </c>
      <c r="AA192" s="75" t="e">
        <f t="shared" ca="1" si="1"/>
        <v>#N/A</v>
      </c>
      <c r="AB192" s="76">
        <f t="shared" ca="1" si="17"/>
        <v>0</v>
      </c>
      <c r="AC192" s="75">
        <f t="shared" ca="1" si="3"/>
        <v>0</v>
      </c>
      <c r="AD192" s="76">
        <f t="shared" ca="1" si="18"/>
        <v>12388.42564247685</v>
      </c>
      <c r="AE192" s="76">
        <f t="shared" si="19"/>
        <v>0</v>
      </c>
      <c r="AF192" s="75">
        <f t="shared" si="6"/>
        <v>0</v>
      </c>
      <c r="AG192" s="75">
        <f t="shared" si="7"/>
        <v>0</v>
      </c>
      <c r="AH192" s="31" t="e" cm="1">
        <f t="array" aca="1" ref="AH192" ca="1">IF((AD192) &lt; (INDEX(ResponseSLA[#All],(MATCH((G192),ResponseSLA[Priority],0))+1,3)),"YES","No")</f>
        <v>#N/A</v>
      </c>
      <c r="AI192" s="31" t="str">
        <f>_xlfn.IFNA(IF(AE192 &lt; (INDEX(SLATable[Minimum SLA],MATCH(G192,SLATable[Priority],0))),"YES","NO"),"")</f>
        <v/>
      </c>
      <c r="AJ192" t="str">
        <f>_xlfn.IFNA(IF(AE192 &lt; (INDEX(SLATable[Maximum SLA],MATCH(G192,SLATable[Priority],0))),"YES","NO"),"")</f>
        <v/>
      </c>
    </row>
    <row r="193" spans="26:36" ht="15" customHeight="1">
      <c r="Z193" s="76" t="e">
        <f t="shared" ca="1" si="16"/>
        <v>#N/A</v>
      </c>
      <c r="AA193" s="75" t="e">
        <f t="shared" ca="1" si="1"/>
        <v>#N/A</v>
      </c>
      <c r="AB193" s="76">
        <f t="shared" ca="1" si="17"/>
        <v>0</v>
      </c>
      <c r="AC193" s="75">
        <f t="shared" ca="1" si="3"/>
        <v>0</v>
      </c>
      <c r="AD193" s="76">
        <f t="shared" ca="1" si="18"/>
        <v>12388.42564247685</v>
      </c>
      <c r="AE193" s="76">
        <f t="shared" si="19"/>
        <v>0</v>
      </c>
      <c r="AF193" s="75">
        <f t="shared" si="6"/>
        <v>0</v>
      </c>
      <c r="AG193" s="75">
        <f t="shared" si="7"/>
        <v>0</v>
      </c>
      <c r="AH193" s="31" t="e" cm="1">
        <f t="array" aca="1" ref="AH193" ca="1">IF((AD193) &lt; (INDEX(ResponseSLA[#All],(MATCH((G193),ResponseSLA[Priority],0))+1,3)),"YES","No")</f>
        <v>#N/A</v>
      </c>
      <c r="AI193" s="31" t="str">
        <f>_xlfn.IFNA(IF(AE193 &lt; (INDEX(SLATable[Minimum SLA],MATCH(G193,SLATable[Priority],0))),"YES","NO"),"")</f>
        <v/>
      </c>
      <c r="AJ193" t="str">
        <f>_xlfn.IFNA(IF(AE193 &lt; (INDEX(SLATable[Maximum SLA],MATCH(G193,SLATable[Priority],0))),"YES","NO"),"")</f>
        <v/>
      </c>
    </row>
    <row r="194" spans="26:36" ht="15" customHeight="1">
      <c r="Z194" s="76" t="e">
        <f t="shared" ca="1" si="16"/>
        <v>#N/A</v>
      </c>
      <c r="AA194" s="75" t="e">
        <f t="shared" ca="1" si="1"/>
        <v>#N/A</v>
      </c>
      <c r="AB194" s="76">
        <f t="shared" ca="1" si="17"/>
        <v>0</v>
      </c>
      <c r="AC194" s="75">
        <f t="shared" ca="1" si="3"/>
        <v>0</v>
      </c>
      <c r="AD194" s="76">
        <f t="shared" ca="1" si="18"/>
        <v>12388.425642708335</v>
      </c>
      <c r="AE194" s="76">
        <f t="shared" si="19"/>
        <v>0</v>
      </c>
      <c r="AF194" s="75">
        <f t="shared" si="6"/>
        <v>0</v>
      </c>
      <c r="AG194" s="75">
        <f t="shared" si="7"/>
        <v>0</v>
      </c>
      <c r="AH194" s="31" t="e" cm="1">
        <f t="array" aca="1" ref="AH194" ca="1">IF((AD194) &lt; (INDEX(ResponseSLA[#All],(MATCH((G194),ResponseSLA[Priority],0))+1,3)),"YES","No")</f>
        <v>#N/A</v>
      </c>
      <c r="AI194" s="31" t="str">
        <f>_xlfn.IFNA(IF(AE194 &lt; (INDEX(SLATable[Minimum SLA],MATCH(G194,SLATable[Priority],0))),"YES","NO"),"")</f>
        <v/>
      </c>
      <c r="AJ194" t="str">
        <f>_xlfn.IFNA(IF(AE194 &lt; (INDEX(SLATable[Maximum SLA],MATCH(G194,SLATable[Priority],0))),"YES","NO"),"")</f>
        <v/>
      </c>
    </row>
    <row r="195" spans="26:36" ht="15" customHeight="1">
      <c r="Z195" s="76" t="e">
        <f t="shared" ref="Z195:Z258" ca="1" si="20">IF(NOT(OR(G195=1,G195=2)),MAX(0,_xlfn.IFS(AND(K195&lt;&gt;"",N195&lt;&gt;""),((MAX(NETWORKDAYS(K195,N195,UKBankHolidays)-1,0))*(TIME(17,0,0)-TIME(8,0,0))+IF(NETWORKDAYS(N195,N195,UKBankHolidays)&gt;0,MEDIAN(TIME(8,0,0),MOD(N195,1),TIME(17,0,0)),TIME(8,0,0))-IF(NETWORKDAYS(K195,K195,UKBankHolidays)&gt;0,MEDIAN(TIME(8,0,0),MOD(K195,1),TIME(17,0,0)),TIME(8,0,0)))-IF(AND(O195&lt;&gt;"",P195&lt;&gt;""),((MAX(NETWORKDAYS(O195,P195,UKBankHolidays)-1,0))*(TIME(17,0,0)-TIME(8,0,0))+IF(NETWORKDAYS(P195,P195,UKBankHolidays)&gt;0,MEDIAN(TIME(8,0,0),MOD(P195,1),TIME(17,0,0)),TIME(8,0,0))-IF(NETWORKDAYS(O195,O195,UKBankHolidays)&gt;0,MEDIAN(TIME(8,0,0),MOD(O195,1),TIME(17,0,0)),TIME(8,0,0))),0),AND(K195&lt;&gt;"",N195=""),((MAX(NETWORKDAYS(K195,NOW(),UKBankHolidays)-1,0))*(TIME(17,0,0)-TIME(8,0,0))+IF(NETWORKDAYS(NOW(),NOW(),UKBankHolidays)&gt;0,MEDIAN(TIME(8,0,0),MOD(NOW(),1),TIME(17,0,0)),TIME(8,0,0))-IF(NETWORKDAYS(K195,K195,UKBankHolidays)&gt;0,MEDIAN(TIME(8,0,0),MOD(K195,1),TIME(17,0,0)),TIME(8,0,0))))),IF(N195="",NOW()-K195,N195-K195))</f>
        <v>#N/A</v>
      </c>
      <c r="AA195" s="75" t="e">
        <f t="shared" ca="1" si="1"/>
        <v>#N/A</v>
      </c>
      <c r="AB195" s="76">
        <f t="shared" ref="AB195:AB258" ca="1" si="21">IF(NOT(OR(G195=1,G195=2)),MAX(0,_xlfn.IFS(AND(K195&lt;&gt;"",N195&lt;&gt;""),(((MAX(NETWORKDAYS(L195,N195,UKBankHolidays)-1,0))*(TIME(17,0,0)-TIME(8,0,0)))+IF(NETWORKDAYS(N195,N195,UKBankHolidays)&gt;0,MEDIAN(TIME(8,0,0),MOD(N195,1),TIME(17,0,0)),TIME(8,0,0))-IF(NETWORKDAYS(L195,L195,UKBankHolidays)&gt;0,MEDIAN(TIME(8,0,0),MOD(L195,1),TIME(17,0,0)),TIME(8,0,0)))-IF(AND(O195&lt;&gt;"",P195&lt;&gt;""),(((MAX(NETWORKDAYS(O195,P195,UKBankHolidays)-1,0))*(TIME(17,0,0)-TIME(8,0,0)))+IF(NETWORKDAYS(P195,P195,UKBankHolidays)&gt;0,MEDIAN(TIME(8,0,0),MOD(P195,1),TIME(17,0,0)),TIME(8,0,0))-IF(NETWORKDAYS(O195,O195,UKBankHolidays)&gt;0,MEDIAN(TIME(8,0,0),MOD(O195,1),TIME(17,0,0)),TIME(8,0,0))),0),AND(L195&lt;&gt;"",N195="",O195=""),(((MAX(NETWORKDAYS(L195,NOW(),UKBankHolidays)-1,0))*(TIME(17,0,0)-TIME(8,0,0)))+IF(NETWORKDAYS(NOW(),NOW(),UKBankHolidays)&gt;0,MEDIAN(TIME(8,0,0),MOD(NOW(),1),TIME(17,0,0)),TIME(8,0,0))-IF(NETWORKDAYS(L195,L195,UKBankHolidays)&gt;0,MEDIAN(TIME(8,0,0),MOD(L195,1),TIME(17,0,0)),TIME(8,0,0)))-IF(AND(O195&lt;&gt;"",P195&lt;&gt;""),(((MAX(NETWORKDAYS(O195,P195,UKBankHolidays)-1,0))*(TIME(17,0,0)-TIME(8,0,0)))+IF(NETWORKDAYS(P195,P195,UKBankHolidays)&gt;0,MEDIAN(TIME(8,0,0),MOD(P195,1),TIME(17,0,0)),TIME(8,0,0))-IF(NETWORKDAYS(O195,O195,UKBankHolidays)&gt;0,MEDIAN(TIME(8,0,0),MOD(O195,1),TIME(17,0,0)),TIME(8,0,0))),0),AND(L195&lt;&gt;"",N195="",P195="",O195&lt;&gt;""),(((MAX(NETWORKDAYS(L195,O195,UKBankHolidays)-1,0))*(TIME(17,0,0)-TIME(8,0,0)))+IF(NETWORKDAYS(O195,O195,UKBankHolidays)&gt;0,MEDIAN(TIME(8,0,0),MOD(O195,1),TIME(17,0,0)),TIME(8,0,0))-IF(NETWORKDAYS(L195,L195,UKBankHolidays)&gt;0,MEDIAN(TIME(8,0,0),MOD(L195,1),TIME(17,0,0)),TIME(8,0,0))),ISBLANK(K195),"0")),IF(ISBLANK(N195),NOW()-L195,N195-L195))</f>
        <v>0</v>
      </c>
      <c r="AC195" s="75">
        <f t="shared" ca="1" si="3"/>
        <v>0</v>
      </c>
      <c r="AD195" s="76">
        <f t="shared" ref="AD195:AD258" ca="1" si="22">MAX(0,IF(NOT(OR(G195=1,G195=2)),IF(M195&lt;&gt;"",((MAX(NETWORKDAYS(L195,M195,UKBankHolidays)-1,0))*(TIME(17,0,0)-TIME(8,0,0))+IF(NETWORKDAYS(M195,M195,UKBankHolidays)&gt;0,MEDIAN(TIME(8,0,0),MOD(M195,1),TIME(17,0,0)),TIME(8,0,0))-MEDIAN(TIME(8,0,0),MOD(L195,1),TIME(17,0,0))),((MAX(NETWORKDAYS(L195,NOW(),UKBankHolidays)-1,0))*(TIME(17,0,0)-TIME(8,0,0))+IF(NETWORKDAYS(NOW(),NOW(),UKBankHolidays)&gt;0,MEDIAN(TIME(8,0,0),MOD(NOW(),1),TIME(17,0,0)),TIME(8,0,0))-MEDIAN(TIME(8,0,0),MOD(L195,1),TIME(17,0,0)))),IF(M195&lt;&gt;"",M195-L195,NOW()-L195)))</f>
        <v>12388.42564247685</v>
      </c>
      <c r="AE195" s="76">
        <f t="shared" ref="AE195:AE258" si="23">SUMIFS(AB:AB,E:E,E195)</f>
        <v>0</v>
      </c>
      <c r="AF195" s="75">
        <f t="shared" si="6"/>
        <v>0</v>
      </c>
      <c r="AG195" s="75">
        <f t="shared" si="7"/>
        <v>0</v>
      </c>
      <c r="AH195" s="31" t="e" cm="1">
        <f t="array" aca="1" ref="AH195" ca="1">IF((AD195) &lt; (INDEX(ResponseSLA[#All],(MATCH((G195),ResponseSLA[Priority],0))+1,3)),"YES","No")</f>
        <v>#N/A</v>
      </c>
      <c r="AI195" s="31" t="str">
        <f>_xlfn.IFNA(IF(AE195 &lt; (INDEX(SLATable[Minimum SLA],MATCH(G195,SLATable[Priority],0))),"YES","NO"),"")</f>
        <v/>
      </c>
      <c r="AJ195" t="str">
        <f>_xlfn.IFNA(IF(AE195 &lt; (INDEX(SLATable[Maximum SLA],MATCH(G195,SLATable[Priority],0))),"YES","NO"),"")</f>
        <v/>
      </c>
    </row>
    <row r="196" spans="26:36" ht="15" customHeight="1">
      <c r="Z196" s="76" t="e">
        <f t="shared" ca="1" si="20"/>
        <v>#N/A</v>
      </c>
      <c r="AA196" s="75" t="e">
        <f t="shared" ca="1" si="1"/>
        <v>#N/A</v>
      </c>
      <c r="AB196" s="76">
        <f t="shared" ca="1" si="21"/>
        <v>0</v>
      </c>
      <c r="AC196" s="75">
        <f t="shared" ca="1" si="3"/>
        <v>0</v>
      </c>
      <c r="AD196" s="76">
        <f t="shared" ca="1" si="22"/>
        <v>12388.42564247685</v>
      </c>
      <c r="AE196" s="76">
        <f t="shared" si="23"/>
        <v>0</v>
      </c>
      <c r="AF196" s="75">
        <f t="shared" si="6"/>
        <v>0</v>
      </c>
      <c r="AG196" s="75">
        <f t="shared" si="7"/>
        <v>0</v>
      </c>
      <c r="AH196" s="31" t="e" cm="1">
        <f t="array" aca="1" ref="AH196" ca="1">IF((AD196) &lt; (INDEX(ResponseSLA[#All],(MATCH((G196),ResponseSLA[Priority],0))+1,3)),"YES","No")</f>
        <v>#N/A</v>
      </c>
      <c r="AI196" s="31" t="str">
        <f>_xlfn.IFNA(IF(AE196 &lt; (INDEX(SLATable[Minimum SLA],MATCH(G196,SLATable[Priority],0))),"YES","NO"),"")</f>
        <v/>
      </c>
      <c r="AJ196" t="str">
        <f>_xlfn.IFNA(IF(AE196 &lt; (INDEX(SLATable[Maximum SLA],MATCH(G196,SLATable[Priority],0))),"YES","NO"),"")</f>
        <v/>
      </c>
    </row>
    <row r="197" spans="26:36" ht="15" customHeight="1">
      <c r="Z197" s="76" t="e">
        <f t="shared" ca="1" si="20"/>
        <v>#N/A</v>
      </c>
      <c r="AA197" s="75" t="e">
        <f t="shared" ca="1" si="1"/>
        <v>#N/A</v>
      </c>
      <c r="AB197" s="76">
        <f t="shared" ca="1" si="21"/>
        <v>0</v>
      </c>
      <c r="AC197" s="75">
        <f t="shared" ca="1" si="3"/>
        <v>0</v>
      </c>
      <c r="AD197" s="76">
        <f t="shared" ca="1" si="22"/>
        <v>12388.425642708335</v>
      </c>
      <c r="AE197" s="76">
        <f t="shared" si="23"/>
        <v>0</v>
      </c>
      <c r="AF197" s="75">
        <f t="shared" si="6"/>
        <v>0</v>
      </c>
      <c r="AG197" s="75">
        <f t="shared" si="7"/>
        <v>0</v>
      </c>
      <c r="AH197" s="31" t="e" cm="1">
        <f t="array" aca="1" ref="AH197" ca="1">IF((AD197) &lt; (INDEX(ResponseSLA[#All],(MATCH((G197),ResponseSLA[Priority],0))+1,3)),"YES","No")</f>
        <v>#N/A</v>
      </c>
      <c r="AI197" s="31" t="str">
        <f>_xlfn.IFNA(IF(AE197 &lt; (INDEX(SLATable[Minimum SLA],MATCH(G197,SLATable[Priority],0))),"YES","NO"),"")</f>
        <v/>
      </c>
      <c r="AJ197" t="str">
        <f>_xlfn.IFNA(IF(AE197 &lt; (INDEX(SLATable[Maximum SLA],MATCH(G197,SLATable[Priority],0))),"YES","NO"),"")</f>
        <v/>
      </c>
    </row>
    <row r="198" spans="26:36" ht="15" customHeight="1">
      <c r="Z198" s="76" t="e">
        <f t="shared" ca="1" si="20"/>
        <v>#N/A</v>
      </c>
      <c r="AA198" s="75" t="e">
        <f t="shared" ca="1" si="1"/>
        <v>#N/A</v>
      </c>
      <c r="AB198" s="76">
        <f t="shared" ca="1" si="21"/>
        <v>0</v>
      </c>
      <c r="AC198" s="75">
        <f t="shared" ca="1" si="3"/>
        <v>0</v>
      </c>
      <c r="AD198" s="76">
        <f t="shared" ca="1" si="22"/>
        <v>12388.42564247685</v>
      </c>
      <c r="AE198" s="76">
        <f t="shared" si="23"/>
        <v>0</v>
      </c>
      <c r="AF198" s="75">
        <f t="shared" si="6"/>
        <v>0</v>
      </c>
      <c r="AG198" s="75">
        <f t="shared" si="7"/>
        <v>0</v>
      </c>
      <c r="AH198" s="31" t="e" cm="1">
        <f t="array" aca="1" ref="AH198" ca="1">IF((AD198) &lt; (INDEX(ResponseSLA[#All],(MATCH((G198),ResponseSLA[Priority],0))+1,3)),"YES","No")</f>
        <v>#N/A</v>
      </c>
      <c r="AI198" s="31" t="str">
        <f>_xlfn.IFNA(IF(AE198 &lt; (INDEX(SLATable[Minimum SLA],MATCH(G198,SLATable[Priority],0))),"YES","NO"),"")</f>
        <v/>
      </c>
      <c r="AJ198" t="str">
        <f>_xlfn.IFNA(IF(AE198 &lt; (INDEX(SLATable[Maximum SLA],MATCH(G198,SLATable[Priority],0))),"YES","NO"),"")</f>
        <v/>
      </c>
    </row>
    <row r="199" spans="26:36" ht="15" customHeight="1">
      <c r="Z199" s="76" t="e">
        <f t="shared" ca="1" si="20"/>
        <v>#N/A</v>
      </c>
      <c r="AA199" s="75" t="e">
        <f t="shared" ca="1" si="1"/>
        <v>#N/A</v>
      </c>
      <c r="AB199" s="76">
        <f t="shared" ca="1" si="21"/>
        <v>0</v>
      </c>
      <c r="AC199" s="75">
        <f t="shared" ca="1" si="3"/>
        <v>0</v>
      </c>
      <c r="AD199" s="76">
        <f t="shared" ca="1" si="22"/>
        <v>12388.42564247685</v>
      </c>
      <c r="AE199" s="76">
        <f t="shared" si="23"/>
        <v>0</v>
      </c>
      <c r="AF199" s="75">
        <f t="shared" si="6"/>
        <v>0</v>
      </c>
      <c r="AG199" s="75">
        <f t="shared" si="7"/>
        <v>0</v>
      </c>
      <c r="AH199" s="31" t="e" cm="1">
        <f t="array" aca="1" ref="AH199" ca="1">IF((AD199) &lt; (INDEX(ResponseSLA[#All],(MATCH((G199),ResponseSLA[Priority],0))+1,3)),"YES","No")</f>
        <v>#N/A</v>
      </c>
      <c r="AI199" s="31" t="str">
        <f>_xlfn.IFNA(IF(AE199 &lt; (INDEX(SLATable[Minimum SLA],MATCH(G199,SLATable[Priority],0))),"YES","NO"),"")</f>
        <v/>
      </c>
      <c r="AJ199" t="str">
        <f>_xlfn.IFNA(IF(AE199 &lt; (INDEX(SLATable[Maximum SLA],MATCH(G199,SLATable[Priority],0))),"YES","NO"),"")</f>
        <v/>
      </c>
    </row>
    <row r="200" spans="26:36" ht="15" customHeight="1">
      <c r="Z200" s="76" t="e">
        <f t="shared" ca="1" si="20"/>
        <v>#N/A</v>
      </c>
      <c r="AA200" s="75" t="e">
        <f t="shared" ca="1" si="1"/>
        <v>#N/A</v>
      </c>
      <c r="AB200" s="76">
        <f t="shared" ca="1" si="21"/>
        <v>0</v>
      </c>
      <c r="AC200" s="75">
        <f t="shared" ca="1" si="3"/>
        <v>0</v>
      </c>
      <c r="AD200" s="76">
        <f t="shared" ca="1" si="22"/>
        <v>12388.425642708335</v>
      </c>
      <c r="AE200" s="76">
        <f t="shared" si="23"/>
        <v>0</v>
      </c>
      <c r="AF200" s="75">
        <f t="shared" si="6"/>
        <v>0</v>
      </c>
      <c r="AG200" s="75">
        <f t="shared" si="7"/>
        <v>0</v>
      </c>
      <c r="AH200" s="31" t="e" cm="1">
        <f t="array" aca="1" ref="AH200" ca="1">IF((AD200) &lt; (INDEX(ResponseSLA[#All],(MATCH((G200),ResponseSLA[Priority],0))+1,3)),"YES","No")</f>
        <v>#N/A</v>
      </c>
      <c r="AI200" s="31" t="str">
        <f>_xlfn.IFNA(IF(AE200 &lt; (INDEX(SLATable[Minimum SLA],MATCH(G200,SLATable[Priority],0))),"YES","NO"),"")</f>
        <v/>
      </c>
      <c r="AJ200" t="str">
        <f>_xlfn.IFNA(IF(AE200 &lt; (INDEX(SLATable[Maximum SLA],MATCH(G200,SLATable[Priority],0))),"YES","NO"),"")</f>
        <v/>
      </c>
    </row>
    <row r="201" spans="26:36" ht="15" customHeight="1">
      <c r="Z201" s="76" t="e">
        <f t="shared" ca="1" si="20"/>
        <v>#N/A</v>
      </c>
      <c r="AA201" s="75" t="e">
        <f t="shared" ca="1" si="1"/>
        <v>#N/A</v>
      </c>
      <c r="AB201" s="76">
        <f t="shared" ca="1" si="21"/>
        <v>0</v>
      </c>
      <c r="AC201" s="75">
        <f t="shared" ca="1" si="3"/>
        <v>0</v>
      </c>
      <c r="AD201" s="76">
        <f t="shared" ca="1" si="22"/>
        <v>12388.42564247685</v>
      </c>
      <c r="AE201" s="76">
        <f t="shared" si="23"/>
        <v>0</v>
      </c>
      <c r="AF201" s="75">
        <f t="shared" si="6"/>
        <v>0</v>
      </c>
      <c r="AG201" s="75">
        <f t="shared" si="7"/>
        <v>0</v>
      </c>
      <c r="AH201" s="31" t="e" cm="1">
        <f t="array" aca="1" ref="AH201" ca="1">IF((AD201) &lt; (INDEX(ResponseSLA[#All],(MATCH((G201),ResponseSLA[Priority],0))+1,3)),"YES","No")</f>
        <v>#N/A</v>
      </c>
      <c r="AI201" s="31" t="str">
        <f>_xlfn.IFNA(IF(AE201 &lt; (INDEX(SLATable[Minimum SLA],MATCH(G201,SLATable[Priority],0))),"YES","NO"),"")</f>
        <v/>
      </c>
      <c r="AJ201" t="str">
        <f>_xlfn.IFNA(IF(AE201 &lt; (INDEX(SLATable[Maximum SLA],MATCH(G201,SLATable[Priority],0))),"YES","NO"),"")</f>
        <v/>
      </c>
    </row>
    <row r="202" spans="26:36" ht="15" customHeight="1">
      <c r="Z202" s="76" t="e">
        <f t="shared" ca="1" si="20"/>
        <v>#N/A</v>
      </c>
      <c r="AA202" s="75" t="e">
        <f t="shared" ca="1" si="1"/>
        <v>#N/A</v>
      </c>
      <c r="AB202" s="76">
        <f t="shared" ca="1" si="21"/>
        <v>0</v>
      </c>
      <c r="AC202" s="75">
        <f t="shared" ca="1" si="3"/>
        <v>0</v>
      </c>
      <c r="AD202" s="76">
        <f t="shared" ca="1" si="22"/>
        <v>12388.425642708335</v>
      </c>
      <c r="AE202" s="76">
        <f t="shared" si="23"/>
        <v>0</v>
      </c>
      <c r="AF202" s="75">
        <f t="shared" si="6"/>
        <v>0</v>
      </c>
      <c r="AG202" s="75">
        <f t="shared" si="7"/>
        <v>0</v>
      </c>
      <c r="AH202" s="31" t="e" cm="1">
        <f t="array" aca="1" ref="AH202" ca="1">IF((AD202) &lt; (INDEX(ResponseSLA[#All],(MATCH((G202),ResponseSLA[Priority],0))+1,3)),"YES","No")</f>
        <v>#N/A</v>
      </c>
      <c r="AI202" s="31" t="str">
        <f>_xlfn.IFNA(IF(AE202 &lt; (INDEX(SLATable[Minimum SLA],MATCH(G202,SLATable[Priority],0))),"YES","NO"),"")</f>
        <v/>
      </c>
      <c r="AJ202" t="str">
        <f>_xlfn.IFNA(IF(AE202 &lt; (INDEX(SLATable[Maximum SLA],MATCH(G202,SLATable[Priority],0))),"YES","NO"),"")</f>
        <v/>
      </c>
    </row>
    <row r="203" spans="26:36" ht="15" customHeight="1">
      <c r="Z203" s="76" t="e">
        <f t="shared" ca="1" si="20"/>
        <v>#N/A</v>
      </c>
      <c r="AA203" s="75" t="e">
        <f t="shared" ca="1" si="1"/>
        <v>#N/A</v>
      </c>
      <c r="AB203" s="76">
        <f t="shared" ca="1" si="21"/>
        <v>0</v>
      </c>
      <c r="AC203" s="75">
        <f t="shared" ca="1" si="3"/>
        <v>0</v>
      </c>
      <c r="AD203" s="76">
        <f t="shared" ca="1" si="22"/>
        <v>12388.425642708335</v>
      </c>
      <c r="AE203" s="76">
        <f t="shared" si="23"/>
        <v>0</v>
      </c>
      <c r="AF203" s="75">
        <f t="shared" si="6"/>
        <v>0</v>
      </c>
      <c r="AG203" s="75">
        <f t="shared" si="7"/>
        <v>0</v>
      </c>
      <c r="AH203" s="31" t="e" cm="1">
        <f t="array" aca="1" ref="AH203" ca="1">IF((AD203) &lt; (INDEX(ResponseSLA[#All],(MATCH((G203),ResponseSLA[Priority],0))+1,3)),"YES","No")</f>
        <v>#N/A</v>
      </c>
      <c r="AI203" s="31" t="str">
        <f>_xlfn.IFNA(IF(AE203 &lt; (INDEX(SLATable[Minimum SLA],MATCH(G203,SLATable[Priority],0))),"YES","NO"),"")</f>
        <v/>
      </c>
      <c r="AJ203" t="str">
        <f>_xlfn.IFNA(IF(AE203 &lt; (INDEX(SLATable[Maximum SLA],MATCH(G203,SLATable[Priority],0))),"YES","NO"),"")</f>
        <v/>
      </c>
    </row>
    <row r="204" spans="26:36" ht="15" customHeight="1">
      <c r="Z204" s="76" t="e">
        <f t="shared" ca="1" si="20"/>
        <v>#N/A</v>
      </c>
      <c r="AA204" s="75" t="e">
        <f t="shared" ca="1" si="1"/>
        <v>#N/A</v>
      </c>
      <c r="AB204" s="76">
        <f t="shared" ca="1" si="21"/>
        <v>0</v>
      </c>
      <c r="AC204" s="75">
        <f t="shared" ca="1" si="3"/>
        <v>0</v>
      </c>
      <c r="AD204" s="76">
        <f t="shared" ca="1" si="22"/>
        <v>12388.42564247685</v>
      </c>
      <c r="AE204" s="76">
        <f t="shared" si="23"/>
        <v>0</v>
      </c>
      <c r="AF204" s="75">
        <f t="shared" si="6"/>
        <v>0</v>
      </c>
      <c r="AG204" s="75">
        <f t="shared" si="7"/>
        <v>0</v>
      </c>
      <c r="AH204" s="31" t="e" cm="1">
        <f t="array" aca="1" ref="AH204" ca="1">IF((AD204) &lt; (INDEX(ResponseSLA[#All],(MATCH((G204),ResponseSLA[Priority],0))+1,3)),"YES","No")</f>
        <v>#N/A</v>
      </c>
      <c r="AI204" s="31" t="str">
        <f>_xlfn.IFNA(IF(AE204 &lt; (INDEX(SLATable[Minimum SLA],MATCH(G204,SLATable[Priority],0))),"YES","NO"),"")</f>
        <v/>
      </c>
      <c r="AJ204" t="str">
        <f>_xlfn.IFNA(IF(AE204 &lt; (INDEX(SLATable[Maximum SLA],MATCH(G204,SLATable[Priority],0))),"YES","NO"),"")</f>
        <v/>
      </c>
    </row>
    <row r="205" spans="26:36" ht="15" customHeight="1">
      <c r="Z205" s="76" t="e">
        <f t="shared" ca="1" si="20"/>
        <v>#N/A</v>
      </c>
      <c r="AA205" s="75" t="e">
        <f t="shared" ca="1" si="1"/>
        <v>#N/A</v>
      </c>
      <c r="AB205" s="76">
        <f t="shared" ca="1" si="21"/>
        <v>0</v>
      </c>
      <c r="AC205" s="75">
        <f t="shared" ca="1" si="3"/>
        <v>0</v>
      </c>
      <c r="AD205" s="76">
        <f t="shared" ca="1" si="22"/>
        <v>12388.425642708335</v>
      </c>
      <c r="AE205" s="76">
        <f t="shared" si="23"/>
        <v>0</v>
      </c>
      <c r="AF205" s="75">
        <f t="shared" si="6"/>
        <v>0</v>
      </c>
      <c r="AG205" s="75">
        <f t="shared" si="7"/>
        <v>0</v>
      </c>
      <c r="AH205" s="31" t="e" cm="1">
        <f t="array" aca="1" ref="AH205" ca="1">IF((AD205) &lt; (INDEX(ResponseSLA[#All],(MATCH((G205),ResponseSLA[Priority],0))+1,3)),"YES","No")</f>
        <v>#N/A</v>
      </c>
      <c r="AI205" s="31" t="str">
        <f>_xlfn.IFNA(IF(AE205 &lt; (INDEX(SLATable[Minimum SLA],MATCH(G205,SLATable[Priority],0))),"YES","NO"),"")</f>
        <v/>
      </c>
      <c r="AJ205" t="str">
        <f>_xlfn.IFNA(IF(AE205 &lt; (INDEX(SLATable[Maximum SLA],MATCH(G205,SLATable[Priority],0))),"YES","NO"),"")</f>
        <v/>
      </c>
    </row>
    <row r="206" spans="26:36" ht="15" customHeight="1">
      <c r="Z206" s="76" t="e">
        <f t="shared" ca="1" si="20"/>
        <v>#N/A</v>
      </c>
      <c r="AA206" s="75" t="e">
        <f t="shared" ca="1" si="1"/>
        <v>#N/A</v>
      </c>
      <c r="AB206" s="76">
        <f t="shared" ca="1" si="21"/>
        <v>0</v>
      </c>
      <c r="AC206" s="75">
        <f t="shared" ca="1" si="3"/>
        <v>0</v>
      </c>
      <c r="AD206" s="76">
        <f t="shared" ca="1" si="22"/>
        <v>12388.425642708335</v>
      </c>
      <c r="AE206" s="76">
        <f t="shared" si="23"/>
        <v>0</v>
      </c>
      <c r="AF206" s="75">
        <f t="shared" si="6"/>
        <v>0</v>
      </c>
      <c r="AG206" s="75">
        <f t="shared" si="7"/>
        <v>0</v>
      </c>
      <c r="AH206" s="31" t="e" cm="1">
        <f t="array" aca="1" ref="AH206" ca="1">IF((AD206) &lt; (INDEX(ResponseSLA[#All],(MATCH((G206),ResponseSLA[Priority],0))+1,3)),"YES","No")</f>
        <v>#N/A</v>
      </c>
      <c r="AI206" s="31" t="str">
        <f>_xlfn.IFNA(IF(AE206 &lt; (INDEX(SLATable[Minimum SLA],MATCH(G206,SLATable[Priority],0))),"YES","NO"),"")</f>
        <v/>
      </c>
      <c r="AJ206" t="str">
        <f>_xlfn.IFNA(IF(AE206 &lt; (INDEX(SLATable[Maximum SLA],MATCH(G206,SLATable[Priority],0))),"YES","NO"),"")</f>
        <v/>
      </c>
    </row>
    <row r="207" spans="26:36" ht="15" customHeight="1">
      <c r="Z207" s="76" t="e">
        <f t="shared" ca="1" si="20"/>
        <v>#N/A</v>
      </c>
      <c r="AA207" s="75" t="e">
        <f t="shared" ca="1" si="1"/>
        <v>#N/A</v>
      </c>
      <c r="AB207" s="76">
        <f t="shared" ca="1" si="21"/>
        <v>0</v>
      </c>
      <c r="AC207" s="75">
        <f t="shared" ca="1" si="3"/>
        <v>0</v>
      </c>
      <c r="AD207" s="76">
        <f t="shared" ca="1" si="22"/>
        <v>12388.42564247685</v>
      </c>
      <c r="AE207" s="76">
        <f t="shared" si="23"/>
        <v>0</v>
      </c>
      <c r="AF207" s="75">
        <f t="shared" si="6"/>
        <v>0</v>
      </c>
      <c r="AG207" s="75">
        <f t="shared" si="7"/>
        <v>0</v>
      </c>
      <c r="AH207" s="31" t="e" cm="1">
        <f t="array" aca="1" ref="AH207" ca="1">IF((AD207) &lt; (INDEX(ResponseSLA[#All],(MATCH((G207),ResponseSLA[Priority],0))+1,3)),"YES","No")</f>
        <v>#N/A</v>
      </c>
      <c r="AI207" s="31" t="str">
        <f>_xlfn.IFNA(IF(AE207 &lt; (INDEX(SLATable[Minimum SLA],MATCH(G207,SLATable[Priority],0))),"YES","NO"),"")</f>
        <v/>
      </c>
      <c r="AJ207" t="str">
        <f>_xlfn.IFNA(IF(AE207 &lt; (INDEX(SLATable[Maximum SLA],MATCH(G207,SLATable[Priority],0))),"YES","NO"),"")</f>
        <v/>
      </c>
    </row>
    <row r="208" spans="26:36" ht="15" customHeight="1">
      <c r="Z208" s="76" t="e">
        <f t="shared" ca="1" si="20"/>
        <v>#N/A</v>
      </c>
      <c r="AA208" s="75" t="e">
        <f t="shared" ca="1" si="1"/>
        <v>#N/A</v>
      </c>
      <c r="AB208" s="76">
        <f t="shared" ca="1" si="21"/>
        <v>0</v>
      </c>
      <c r="AC208" s="75">
        <f t="shared" ca="1" si="3"/>
        <v>0</v>
      </c>
      <c r="AD208" s="76">
        <f t="shared" ca="1" si="22"/>
        <v>12388.425642708335</v>
      </c>
      <c r="AE208" s="76">
        <f t="shared" si="23"/>
        <v>0</v>
      </c>
      <c r="AF208" s="75">
        <f t="shared" si="6"/>
        <v>0</v>
      </c>
      <c r="AG208" s="75">
        <f t="shared" si="7"/>
        <v>0</v>
      </c>
      <c r="AH208" s="31" t="e" cm="1">
        <f t="array" aca="1" ref="AH208" ca="1">IF((AD208) &lt; (INDEX(ResponseSLA[#All],(MATCH((G208),ResponseSLA[Priority],0))+1,3)),"YES","No")</f>
        <v>#N/A</v>
      </c>
      <c r="AI208" s="31" t="str">
        <f>_xlfn.IFNA(IF(AE208 &lt; (INDEX(SLATable[Minimum SLA],MATCH(G208,SLATable[Priority],0))),"YES","NO"),"")</f>
        <v/>
      </c>
      <c r="AJ208" t="str">
        <f>_xlfn.IFNA(IF(AE208 &lt; (INDEX(SLATable[Maximum SLA],MATCH(G208,SLATable[Priority],0))),"YES","NO"),"")</f>
        <v/>
      </c>
    </row>
    <row r="209" spans="26:36" ht="15" customHeight="1">
      <c r="Z209" s="76" t="e">
        <f t="shared" ca="1" si="20"/>
        <v>#N/A</v>
      </c>
      <c r="AA209" s="75" t="e">
        <f t="shared" ca="1" si="1"/>
        <v>#N/A</v>
      </c>
      <c r="AB209" s="76">
        <f t="shared" ca="1" si="21"/>
        <v>0</v>
      </c>
      <c r="AC209" s="75">
        <f t="shared" ca="1" si="3"/>
        <v>0</v>
      </c>
      <c r="AD209" s="76">
        <f t="shared" ca="1" si="22"/>
        <v>12388.425642708335</v>
      </c>
      <c r="AE209" s="76">
        <f t="shared" si="23"/>
        <v>0</v>
      </c>
      <c r="AF209" s="75">
        <f t="shared" si="6"/>
        <v>0</v>
      </c>
      <c r="AG209" s="75">
        <f t="shared" si="7"/>
        <v>0</v>
      </c>
      <c r="AH209" s="31" t="e" cm="1">
        <f t="array" aca="1" ref="AH209" ca="1">IF((AD209) &lt; (INDEX(ResponseSLA[#All],(MATCH((G209),ResponseSLA[Priority],0))+1,3)),"YES","No")</f>
        <v>#N/A</v>
      </c>
      <c r="AI209" s="31" t="str">
        <f>_xlfn.IFNA(IF(AE209 &lt; (INDEX(SLATable[Minimum SLA],MATCH(G209,SLATable[Priority],0))),"YES","NO"),"")</f>
        <v/>
      </c>
      <c r="AJ209" t="str">
        <f>_xlfn.IFNA(IF(AE209 &lt; (INDEX(SLATable[Maximum SLA],MATCH(G209,SLATable[Priority],0))),"YES","NO"),"")</f>
        <v/>
      </c>
    </row>
    <row r="210" spans="26:36" ht="15" customHeight="1">
      <c r="Z210" s="76" t="e">
        <f t="shared" ca="1" si="20"/>
        <v>#N/A</v>
      </c>
      <c r="AA210" s="75" t="e">
        <f t="shared" ca="1" si="1"/>
        <v>#N/A</v>
      </c>
      <c r="AB210" s="76">
        <f t="shared" ca="1" si="21"/>
        <v>0</v>
      </c>
      <c r="AC210" s="75">
        <f t="shared" ca="1" si="3"/>
        <v>0</v>
      </c>
      <c r="AD210" s="76">
        <f t="shared" ca="1" si="22"/>
        <v>12388.42564247685</v>
      </c>
      <c r="AE210" s="76">
        <f t="shared" si="23"/>
        <v>0</v>
      </c>
      <c r="AF210" s="75">
        <f t="shared" si="6"/>
        <v>0</v>
      </c>
      <c r="AG210" s="75">
        <f t="shared" si="7"/>
        <v>0</v>
      </c>
      <c r="AH210" s="31" t="e" cm="1">
        <f t="array" aca="1" ref="AH210" ca="1">IF((AD210) &lt; (INDEX(ResponseSLA[#All],(MATCH((G210),ResponseSLA[Priority],0))+1,3)),"YES","No")</f>
        <v>#N/A</v>
      </c>
      <c r="AI210" s="31" t="str">
        <f>_xlfn.IFNA(IF(AE210 &lt; (INDEX(SLATable[Minimum SLA],MATCH(G210,SLATable[Priority],0))),"YES","NO"),"")</f>
        <v/>
      </c>
      <c r="AJ210" t="str">
        <f>_xlfn.IFNA(IF(AE210 &lt; (INDEX(SLATable[Maximum SLA],MATCH(G210,SLATable[Priority],0))),"YES","NO"),"")</f>
        <v/>
      </c>
    </row>
    <row r="211" spans="26:36" ht="15" customHeight="1">
      <c r="Z211" s="76" t="e">
        <f t="shared" ca="1" si="20"/>
        <v>#N/A</v>
      </c>
      <c r="AA211" s="75" t="e">
        <f t="shared" ca="1" si="1"/>
        <v>#N/A</v>
      </c>
      <c r="AB211" s="76">
        <f t="shared" ca="1" si="21"/>
        <v>0</v>
      </c>
      <c r="AC211" s="75">
        <f t="shared" ca="1" si="3"/>
        <v>0</v>
      </c>
      <c r="AD211" s="76">
        <f t="shared" ca="1" si="22"/>
        <v>12388.425642708335</v>
      </c>
      <c r="AE211" s="76">
        <f t="shared" si="23"/>
        <v>0</v>
      </c>
      <c r="AF211" s="75">
        <f t="shared" si="6"/>
        <v>0</v>
      </c>
      <c r="AG211" s="75">
        <f t="shared" si="7"/>
        <v>0</v>
      </c>
      <c r="AH211" s="31" t="e" cm="1">
        <f t="array" aca="1" ref="AH211" ca="1">IF((AD211) &lt; (INDEX(ResponseSLA[#All],(MATCH((G211),ResponseSLA[Priority],0))+1,3)),"YES","No")</f>
        <v>#N/A</v>
      </c>
      <c r="AI211" s="31" t="str">
        <f>_xlfn.IFNA(IF(AE211 &lt; (INDEX(SLATable[Minimum SLA],MATCH(G211,SLATable[Priority],0))),"YES","NO"),"")</f>
        <v/>
      </c>
      <c r="AJ211" t="str">
        <f>_xlfn.IFNA(IF(AE211 &lt; (INDEX(SLATable[Maximum SLA],MATCH(G211,SLATable[Priority],0))),"YES","NO"),"")</f>
        <v/>
      </c>
    </row>
    <row r="212" spans="26:36" ht="15" customHeight="1">
      <c r="Z212" s="76" t="e">
        <f t="shared" ca="1" si="20"/>
        <v>#N/A</v>
      </c>
      <c r="AA212" s="75" t="e">
        <f t="shared" ca="1" si="1"/>
        <v>#N/A</v>
      </c>
      <c r="AB212" s="76">
        <f t="shared" ca="1" si="21"/>
        <v>0</v>
      </c>
      <c r="AC212" s="75">
        <f t="shared" ca="1" si="3"/>
        <v>0</v>
      </c>
      <c r="AD212" s="76">
        <f t="shared" ca="1" si="22"/>
        <v>12388.425642708335</v>
      </c>
      <c r="AE212" s="76">
        <f t="shared" si="23"/>
        <v>0</v>
      </c>
      <c r="AF212" s="75">
        <f t="shared" si="6"/>
        <v>0</v>
      </c>
      <c r="AG212" s="75">
        <f t="shared" si="7"/>
        <v>0</v>
      </c>
      <c r="AH212" s="31" t="e" cm="1">
        <f t="array" aca="1" ref="AH212" ca="1">IF((AD212) &lt; (INDEX(ResponseSLA[#All],(MATCH((G212),ResponseSLA[Priority],0))+1,3)),"YES","No")</f>
        <v>#N/A</v>
      </c>
      <c r="AI212" s="31" t="str">
        <f>_xlfn.IFNA(IF(AE212 &lt; (INDEX(SLATable[Minimum SLA],MATCH(G212,SLATable[Priority],0))),"YES","NO"),"")</f>
        <v/>
      </c>
      <c r="AJ212" t="str">
        <f>_xlfn.IFNA(IF(AE212 &lt; (INDEX(SLATable[Maximum SLA],MATCH(G212,SLATable[Priority],0))),"YES","NO"),"")</f>
        <v/>
      </c>
    </row>
    <row r="213" spans="26:36" ht="15" customHeight="1">
      <c r="Z213" s="76" t="e">
        <f t="shared" ca="1" si="20"/>
        <v>#N/A</v>
      </c>
      <c r="AA213" s="75" t="e">
        <f t="shared" ca="1" si="1"/>
        <v>#N/A</v>
      </c>
      <c r="AB213" s="76">
        <f t="shared" ca="1" si="21"/>
        <v>0</v>
      </c>
      <c r="AC213" s="75">
        <f t="shared" ca="1" si="3"/>
        <v>0</v>
      </c>
      <c r="AD213" s="76">
        <f t="shared" ca="1" si="22"/>
        <v>12388.42564247685</v>
      </c>
      <c r="AE213" s="76">
        <f t="shared" si="23"/>
        <v>0</v>
      </c>
      <c r="AF213" s="75">
        <f t="shared" si="6"/>
        <v>0</v>
      </c>
      <c r="AG213" s="75">
        <f t="shared" si="7"/>
        <v>0</v>
      </c>
      <c r="AH213" s="31" t="e" cm="1">
        <f t="array" aca="1" ref="AH213" ca="1">IF((AD213) &lt; (INDEX(ResponseSLA[#All],(MATCH((G213),ResponseSLA[Priority],0))+1,3)),"YES","No")</f>
        <v>#N/A</v>
      </c>
      <c r="AI213" s="31" t="str">
        <f>_xlfn.IFNA(IF(AE213 &lt; (INDEX(SLATable[Minimum SLA],MATCH(G213,SLATable[Priority],0))),"YES","NO"),"")</f>
        <v/>
      </c>
      <c r="AJ213" t="str">
        <f>_xlfn.IFNA(IF(AE213 &lt; (INDEX(SLATable[Maximum SLA],MATCH(G213,SLATable[Priority],0))),"YES","NO"),"")</f>
        <v/>
      </c>
    </row>
    <row r="214" spans="26:36" ht="15" customHeight="1">
      <c r="Z214" s="76" t="e">
        <f t="shared" ca="1" si="20"/>
        <v>#N/A</v>
      </c>
      <c r="AA214" s="75" t="e">
        <f t="shared" ca="1" si="1"/>
        <v>#N/A</v>
      </c>
      <c r="AB214" s="76">
        <f t="shared" ca="1" si="21"/>
        <v>0</v>
      </c>
      <c r="AC214" s="75">
        <f t="shared" ca="1" si="3"/>
        <v>0</v>
      </c>
      <c r="AD214" s="76">
        <f t="shared" ca="1" si="22"/>
        <v>12388.425642708335</v>
      </c>
      <c r="AE214" s="76">
        <f t="shared" si="23"/>
        <v>0</v>
      </c>
      <c r="AF214" s="75">
        <f t="shared" si="6"/>
        <v>0</v>
      </c>
      <c r="AG214" s="75">
        <f t="shared" si="7"/>
        <v>0</v>
      </c>
      <c r="AH214" s="31" t="e" cm="1">
        <f t="array" aca="1" ref="AH214" ca="1">IF((AD214) &lt; (INDEX(ResponseSLA[#All],(MATCH((G214),ResponseSLA[Priority],0))+1,3)),"YES","No")</f>
        <v>#N/A</v>
      </c>
      <c r="AI214" s="31" t="str">
        <f>_xlfn.IFNA(IF(AE214 &lt; (INDEX(SLATable[Minimum SLA],MATCH(G214,SLATable[Priority],0))),"YES","NO"),"")</f>
        <v/>
      </c>
      <c r="AJ214" t="str">
        <f>_xlfn.IFNA(IF(AE214 &lt; (INDEX(SLATable[Maximum SLA],MATCH(G214,SLATable[Priority],0))),"YES","NO"),"")</f>
        <v/>
      </c>
    </row>
    <row r="215" spans="26:36" ht="15" customHeight="1">
      <c r="Z215" s="76" t="e">
        <f t="shared" ca="1" si="20"/>
        <v>#N/A</v>
      </c>
      <c r="AA215" s="75" t="e">
        <f t="shared" ca="1" si="1"/>
        <v>#N/A</v>
      </c>
      <c r="AB215" s="76">
        <f t="shared" ca="1" si="21"/>
        <v>0</v>
      </c>
      <c r="AC215" s="75">
        <f t="shared" ca="1" si="3"/>
        <v>0</v>
      </c>
      <c r="AD215" s="76">
        <f t="shared" ca="1" si="22"/>
        <v>12388.425642708335</v>
      </c>
      <c r="AE215" s="76">
        <f t="shared" si="23"/>
        <v>0</v>
      </c>
      <c r="AF215" s="75">
        <f t="shared" si="6"/>
        <v>0</v>
      </c>
      <c r="AG215" s="75">
        <f t="shared" si="7"/>
        <v>0</v>
      </c>
      <c r="AH215" s="31" t="e" cm="1">
        <f t="array" aca="1" ref="AH215" ca="1">IF((AD215) &lt; (INDEX(ResponseSLA[#All],(MATCH((G215),ResponseSLA[Priority],0))+1,3)),"YES","No")</f>
        <v>#N/A</v>
      </c>
      <c r="AI215" s="31" t="str">
        <f>_xlfn.IFNA(IF(AE215 &lt; (INDEX(SLATable[Minimum SLA],MATCH(G215,SLATable[Priority],0))),"YES","NO"),"")</f>
        <v/>
      </c>
      <c r="AJ215" t="str">
        <f>_xlfn.IFNA(IF(AE215 &lt; (INDEX(SLATable[Maximum SLA],MATCH(G215,SLATable[Priority],0))),"YES","NO"),"")</f>
        <v/>
      </c>
    </row>
    <row r="216" spans="26:36" ht="15" customHeight="1">
      <c r="Z216" s="76" t="e">
        <f t="shared" ca="1" si="20"/>
        <v>#N/A</v>
      </c>
      <c r="AA216" s="75" t="e">
        <f t="shared" ca="1" si="1"/>
        <v>#N/A</v>
      </c>
      <c r="AB216" s="76">
        <f t="shared" ca="1" si="21"/>
        <v>0</v>
      </c>
      <c r="AC216" s="75">
        <f t="shared" ca="1" si="3"/>
        <v>0</v>
      </c>
      <c r="AD216" s="76">
        <f t="shared" ca="1" si="22"/>
        <v>12388.42564247685</v>
      </c>
      <c r="AE216" s="76">
        <f t="shared" si="23"/>
        <v>0</v>
      </c>
      <c r="AF216" s="75">
        <f t="shared" si="6"/>
        <v>0</v>
      </c>
      <c r="AG216" s="75">
        <f t="shared" si="7"/>
        <v>0</v>
      </c>
      <c r="AH216" s="31" t="e" cm="1">
        <f t="array" aca="1" ref="AH216" ca="1">IF((AD216) &lt; (INDEX(ResponseSLA[#All],(MATCH((G216),ResponseSLA[Priority],0))+1,3)),"YES","No")</f>
        <v>#N/A</v>
      </c>
      <c r="AI216" s="31" t="str">
        <f>_xlfn.IFNA(IF(AE216 &lt; (INDEX(SLATable[Minimum SLA],MATCH(G216,SLATable[Priority],0))),"YES","NO"),"")</f>
        <v/>
      </c>
      <c r="AJ216" t="str">
        <f>_xlfn.IFNA(IF(AE216 &lt; (INDEX(SLATable[Maximum SLA],MATCH(G216,SLATable[Priority],0))),"YES","NO"),"")</f>
        <v/>
      </c>
    </row>
    <row r="217" spans="26:36" ht="15" customHeight="1">
      <c r="Z217" s="76" t="e">
        <f t="shared" ca="1" si="20"/>
        <v>#N/A</v>
      </c>
      <c r="AA217" s="75" t="e">
        <f t="shared" ca="1" si="1"/>
        <v>#N/A</v>
      </c>
      <c r="AB217" s="76">
        <f t="shared" ca="1" si="21"/>
        <v>0</v>
      </c>
      <c r="AC217" s="75">
        <f t="shared" ca="1" si="3"/>
        <v>0</v>
      </c>
      <c r="AD217" s="76">
        <f t="shared" ca="1" si="22"/>
        <v>12388.425642708335</v>
      </c>
      <c r="AE217" s="76">
        <f t="shared" si="23"/>
        <v>0</v>
      </c>
      <c r="AF217" s="75">
        <f t="shared" si="6"/>
        <v>0</v>
      </c>
      <c r="AG217" s="75">
        <f t="shared" si="7"/>
        <v>0</v>
      </c>
      <c r="AH217" s="31" t="e" cm="1">
        <f t="array" aca="1" ref="AH217" ca="1">IF((AD217) &lt; (INDEX(ResponseSLA[#All],(MATCH((G217),ResponseSLA[Priority],0))+1,3)),"YES","No")</f>
        <v>#N/A</v>
      </c>
      <c r="AI217" s="31" t="str">
        <f>_xlfn.IFNA(IF(AE217 &lt; (INDEX(SLATable[Minimum SLA],MATCH(G217,SLATable[Priority],0))),"YES","NO"),"")</f>
        <v/>
      </c>
      <c r="AJ217" t="str">
        <f>_xlfn.IFNA(IF(AE217 &lt; (INDEX(SLATable[Maximum SLA],MATCH(G217,SLATable[Priority],0))),"YES","NO"),"")</f>
        <v/>
      </c>
    </row>
    <row r="218" spans="26:36" ht="15" customHeight="1">
      <c r="Z218" s="76" t="e">
        <f t="shared" ca="1" si="20"/>
        <v>#N/A</v>
      </c>
      <c r="AA218" s="75" t="e">
        <f t="shared" ca="1" si="1"/>
        <v>#N/A</v>
      </c>
      <c r="AB218" s="76">
        <f t="shared" ca="1" si="21"/>
        <v>0</v>
      </c>
      <c r="AC218" s="75">
        <f t="shared" ca="1" si="3"/>
        <v>0</v>
      </c>
      <c r="AD218" s="76">
        <f t="shared" ca="1" si="22"/>
        <v>12388.425642708335</v>
      </c>
      <c r="AE218" s="76">
        <f t="shared" si="23"/>
        <v>0</v>
      </c>
      <c r="AF218" s="75">
        <f t="shared" si="6"/>
        <v>0</v>
      </c>
      <c r="AG218" s="75">
        <f t="shared" si="7"/>
        <v>0</v>
      </c>
      <c r="AH218" s="31" t="e" cm="1">
        <f t="array" aca="1" ref="AH218" ca="1">IF((AD218) &lt; (INDEX(ResponseSLA[#All],(MATCH((G218),ResponseSLA[Priority],0))+1,3)),"YES","No")</f>
        <v>#N/A</v>
      </c>
      <c r="AI218" s="31" t="str">
        <f>_xlfn.IFNA(IF(AE218 &lt; (INDEX(SLATable[Minimum SLA],MATCH(G218,SLATable[Priority],0))),"YES","NO"),"")</f>
        <v/>
      </c>
      <c r="AJ218" t="str">
        <f>_xlfn.IFNA(IF(AE218 &lt; (INDEX(SLATable[Maximum SLA],MATCH(G218,SLATable[Priority],0))),"YES","NO"),"")</f>
        <v/>
      </c>
    </row>
    <row r="219" spans="26:36" ht="15" customHeight="1">
      <c r="Z219" s="76" t="e">
        <f t="shared" ca="1" si="20"/>
        <v>#N/A</v>
      </c>
      <c r="AA219" s="75" t="e">
        <f t="shared" ca="1" si="1"/>
        <v>#N/A</v>
      </c>
      <c r="AB219" s="76">
        <f t="shared" ca="1" si="21"/>
        <v>0</v>
      </c>
      <c r="AC219" s="75">
        <f t="shared" ca="1" si="3"/>
        <v>0</v>
      </c>
      <c r="AD219" s="76">
        <f t="shared" ca="1" si="22"/>
        <v>12388.42564247685</v>
      </c>
      <c r="AE219" s="76">
        <f t="shared" si="23"/>
        <v>0</v>
      </c>
      <c r="AF219" s="75">
        <f t="shared" si="6"/>
        <v>0</v>
      </c>
      <c r="AG219" s="75">
        <f t="shared" si="7"/>
        <v>0</v>
      </c>
      <c r="AH219" s="31" t="e" cm="1">
        <f t="array" aca="1" ref="AH219" ca="1">IF((AD219) &lt; (INDEX(ResponseSLA[#All],(MATCH((G219),ResponseSLA[Priority],0))+1,3)),"YES","No")</f>
        <v>#N/A</v>
      </c>
      <c r="AI219" s="31" t="str">
        <f>_xlfn.IFNA(IF(AE219 &lt; (INDEX(SLATable[Minimum SLA],MATCH(G219,SLATable[Priority],0))),"YES","NO"),"")</f>
        <v/>
      </c>
      <c r="AJ219" t="str">
        <f>_xlfn.IFNA(IF(AE219 &lt; (INDEX(SLATable[Maximum SLA],MATCH(G219,SLATable[Priority],0))),"YES","NO"),"")</f>
        <v/>
      </c>
    </row>
    <row r="220" spans="26:36" ht="15" customHeight="1">
      <c r="Z220" s="76" t="e">
        <f t="shared" ca="1" si="20"/>
        <v>#N/A</v>
      </c>
      <c r="AA220" s="75" t="e">
        <f t="shared" ca="1" si="1"/>
        <v>#N/A</v>
      </c>
      <c r="AB220" s="76">
        <f t="shared" ca="1" si="21"/>
        <v>0</v>
      </c>
      <c r="AC220" s="75">
        <f t="shared" ca="1" si="3"/>
        <v>0</v>
      </c>
      <c r="AD220" s="76">
        <f t="shared" ca="1" si="22"/>
        <v>12388.425642708335</v>
      </c>
      <c r="AE220" s="76">
        <f t="shared" si="23"/>
        <v>0</v>
      </c>
      <c r="AF220" s="75">
        <f t="shared" si="6"/>
        <v>0</v>
      </c>
      <c r="AG220" s="75">
        <f t="shared" si="7"/>
        <v>0</v>
      </c>
      <c r="AH220" s="31" t="e" cm="1">
        <f t="array" aca="1" ref="AH220" ca="1">IF((AD220) &lt; (INDEX(ResponseSLA[#All],(MATCH((G220),ResponseSLA[Priority],0))+1,3)),"YES","No")</f>
        <v>#N/A</v>
      </c>
      <c r="AI220" s="31" t="str">
        <f>_xlfn.IFNA(IF(AE220 &lt; (INDEX(SLATable[Minimum SLA],MATCH(G220,SLATable[Priority],0))),"YES","NO"),"")</f>
        <v/>
      </c>
      <c r="AJ220" t="str">
        <f>_xlfn.IFNA(IF(AE220 &lt; (INDEX(SLATable[Maximum SLA],MATCH(G220,SLATable[Priority],0))),"YES","NO"),"")</f>
        <v/>
      </c>
    </row>
    <row r="221" spans="26:36" ht="15" customHeight="1">
      <c r="Z221" s="76" t="e">
        <f t="shared" ca="1" si="20"/>
        <v>#N/A</v>
      </c>
      <c r="AA221" s="75" t="e">
        <f t="shared" ca="1" si="1"/>
        <v>#N/A</v>
      </c>
      <c r="AB221" s="76">
        <f t="shared" ca="1" si="21"/>
        <v>0</v>
      </c>
      <c r="AC221" s="75">
        <f t="shared" ca="1" si="3"/>
        <v>0</v>
      </c>
      <c r="AD221" s="76">
        <f t="shared" ca="1" si="22"/>
        <v>12388.425642708335</v>
      </c>
      <c r="AE221" s="76">
        <f t="shared" si="23"/>
        <v>0</v>
      </c>
      <c r="AF221" s="75">
        <f t="shared" si="6"/>
        <v>0</v>
      </c>
      <c r="AG221" s="75">
        <f t="shared" si="7"/>
        <v>0</v>
      </c>
      <c r="AH221" s="31" t="e" cm="1">
        <f t="array" aca="1" ref="AH221" ca="1">IF((AD221) &lt; (INDEX(ResponseSLA[#All],(MATCH((G221),ResponseSLA[Priority],0))+1,3)),"YES","No")</f>
        <v>#N/A</v>
      </c>
      <c r="AI221" s="31" t="str">
        <f>_xlfn.IFNA(IF(AE221 &lt; (INDEX(SLATable[Minimum SLA],MATCH(G221,SLATable[Priority],0))),"YES","NO"),"")</f>
        <v/>
      </c>
      <c r="AJ221" t="str">
        <f>_xlfn.IFNA(IF(AE221 &lt; (INDEX(SLATable[Maximum SLA],MATCH(G221,SLATable[Priority],0))),"YES","NO"),"")</f>
        <v/>
      </c>
    </row>
    <row r="222" spans="26:36" ht="15" customHeight="1">
      <c r="Z222" s="76" t="e">
        <f t="shared" ca="1" si="20"/>
        <v>#N/A</v>
      </c>
      <c r="AA222" s="75" t="e">
        <f t="shared" ca="1" si="1"/>
        <v>#N/A</v>
      </c>
      <c r="AB222" s="76">
        <f t="shared" ca="1" si="21"/>
        <v>0</v>
      </c>
      <c r="AC222" s="75">
        <f t="shared" ca="1" si="3"/>
        <v>0</v>
      </c>
      <c r="AD222" s="76">
        <f t="shared" ca="1" si="22"/>
        <v>12388.42564247685</v>
      </c>
      <c r="AE222" s="76">
        <f t="shared" si="23"/>
        <v>0</v>
      </c>
      <c r="AF222" s="75">
        <f t="shared" si="6"/>
        <v>0</v>
      </c>
      <c r="AG222" s="75">
        <f t="shared" si="7"/>
        <v>0</v>
      </c>
      <c r="AH222" s="31" t="e" cm="1">
        <f t="array" aca="1" ref="AH222" ca="1">IF((AD222) &lt; (INDEX(ResponseSLA[#All],(MATCH((G222),ResponseSLA[Priority],0))+1,3)),"YES","No")</f>
        <v>#N/A</v>
      </c>
      <c r="AI222" s="31" t="str">
        <f>_xlfn.IFNA(IF(AE222 &lt; (INDEX(SLATable[Minimum SLA],MATCH(G222,SLATable[Priority],0))),"YES","NO"),"")</f>
        <v/>
      </c>
      <c r="AJ222" t="str">
        <f>_xlfn.IFNA(IF(AE222 &lt; (INDEX(SLATable[Maximum SLA],MATCH(G222,SLATable[Priority],0))),"YES","NO"),"")</f>
        <v/>
      </c>
    </row>
    <row r="223" spans="26:36" ht="15" customHeight="1">
      <c r="Z223" s="76" t="e">
        <f t="shared" ca="1" si="20"/>
        <v>#N/A</v>
      </c>
      <c r="AA223" s="75" t="e">
        <f t="shared" ca="1" si="1"/>
        <v>#N/A</v>
      </c>
      <c r="AB223" s="76">
        <f t="shared" ca="1" si="21"/>
        <v>0</v>
      </c>
      <c r="AC223" s="75">
        <f t="shared" ca="1" si="3"/>
        <v>0</v>
      </c>
      <c r="AD223" s="76">
        <f t="shared" ca="1" si="22"/>
        <v>12388.425642708335</v>
      </c>
      <c r="AE223" s="76">
        <f t="shared" si="23"/>
        <v>0</v>
      </c>
      <c r="AF223" s="75">
        <f t="shared" si="6"/>
        <v>0</v>
      </c>
      <c r="AG223" s="75">
        <f t="shared" si="7"/>
        <v>0</v>
      </c>
      <c r="AH223" s="31" t="e" cm="1">
        <f t="array" aca="1" ref="AH223" ca="1">IF((AD223) &lt; (INDEX(ResponseSLA[#All],(MATCH((G223),ResponseSLA[Priority],0))+1,3)),"YES","No")</f>
        <v>#N/A</v>
      </c>
      <c r="AI223" s="31" t="str">
        <f>_xlfn.IFNA(IF(AE223 &lt; (INDEX(SLATable[Minimum SLA],MATCH(G223,SLATable[Priority],0))),"YES","NO"),"")</f>
        <v/>
      </c>
      <c r="AJ223" t="str">
        <f>_xlfn.IFNA(IF(AE223 &lt; (INDEX(SLATable[Maximum SLA],MATCH(G223,SLATable[Priority],0))),"YES","NO"),"")</f>
        <v/>
      </c>
    </row>
    <row r="224" spans="26:36" ht="15" customHeight="1">
      <c r="Z224" s="76" t="e">
        <f t="shared" ca="1" si="20"/>
        <v>#N/A</v>
      </c>
      <c r="AA224" s="75" t="e">
        <f t="shared" ca="1" si="1"/>
        <v>#N/A</v>
      </c>
      <c r="AB224" s="76">
        <f t="shared" ca="1" si="21"/>
        <v>0</v>
      </c>
      <c r="AC224" s="75">
        <f t="shared" ca="1" si="3"/>
        <v>0</v>
      </c>
      <c r="AD224" s="76">
        <f t="shared" ca="1" si="22"/>
        <v>12388.425642708335</v>
      </c>
      <c r="AE224" s="76">
        <f t="shared" si="23"/>
        <v>0</v>
      </c>
      <c r="AF224" s="75">
        <f t="shared" si="6"/>
        <v>0</v>
      </c>
      <c r="AG224" s="75">
        <f t="shared" si="7"/>
        <v>0</v>
      </c>
      <c r="AH224" s="31" t="e" cm="1">
        <f t="array" aca="1" ref="AH224" ca="1">IF((AD224) &lt; (INDEX(ResponseSLA[#All],(MATCH((G224),ResponseSLA[Priority],0))+1,3)),"YES","No")</f>
        <v>#N/A</v>
      </c>
      <c r="AI224" s="31" t="str">
        <f>_xlfn.IFNA(IF(AE224 &lt; (INDEX(SLATable[Minimum SLA],MATCH(G224,SLATable[Priority],0))),"YES","NO"),"")</f>
        <v/>
      </c>
      <c r="AJ224" t="str">
        <f>_xlfn.IFNA(IF(AE224 &lt; (INDEX(SLATable[Maximum SLA],MATCH(G224,SLATable[Priority],0))),"YES","NO"),"")</f>
        <v/>
      </c>
    </row>
    <row r="225" spans="26:36" ht="15" customHeight="1">
      <c r="Z225" s="76" t="e">
        <f t="shared" ca="1" si="20"/>
        <v>#N/A</v>
      </c>
      <c r="AA225" s="75" t="e">
        <f t="shared" ca="1" si="1"/>
        <v>#N/A</v>
      </c>
      <c r="AB225" s="76">
        <f t="shared" ca="1" si="21"/>
        <v>0</v>
      </c>
      <c r="AC225" s="75">
        <f t="shared" ca="1" si="3"/>
        <v>0</v>
      </c>
      <c r="AD225" s="76">
        <f t="shared" ca="1" si="22"/>
        <v>12388.42564247685</v>
      </c>
      <c r="AE225" s="76">
        <f t="shared" si="23"/>
        <v>0</v>
      </c>
      <c r="AF225" s="75">
        <f t="shared" si="6"/>
        <v>0</v>
      </c>
      <c r="AG225" s="75">
        <f t="shared" si="7"/>
        <v>0</v>
      </c>
      <c r="AH225" s="31" t="e" cm="1">
        <f t="array" aca="1" ref="AH225" ca="1">IF((AD225) &lt; (INDEX(ResponseSLA[#All],(MATCH((G225),ResponseSLA[Priority],0))+1,3)),"YES","No")</f>
        <v>#N/A</v>
      </c>
      <c r="AI225" s="31" t="str">
        <f>_xlfn.IFNA(IF(AE225 &lt; (INDEX(SLATable[Minimum SLA],MATCH(G225,SLATable[Priority],0))),"YES","NO"),"")</f>
        <v/>
      </c>
      <c r="AJ225" t="str">
        <f>_xlfn.IFNA(IF(AE225 &lt; (INDEX(SLATable[Maximum SLA],MATCH(G225,SLATable[Priority],0))),"YES","NO"),"")</f>
        <v/>
      </c>
    </row>
    <row r="226" spans="26:36" ht="15" customHeight="1">
      <c r="Z226" s="76" t="e">
        <f t="shared" ca="1" si="20"/>
        <v>#N/A</v>
      </c>
      <c r="AA226" s="75" t="e">
        <f t="shared" ca="1" si="1"/>
        <v>#N/A</v>
      </c>
      <c r="AB226" s="76">
        <f t="shared" ca="1" si="21"/>
        <v>0</v>
      </c>
      <c r="AC226" s="75">
        <f t="shared" ca="1" si="3"/>
        <v>0</v>
      </c>
      <c r="AD226" s="76">
        <f t="shared" ca="1" si="22"/>
        <v>12388.425642708335</v>
      </c>
      <c r="AE226" s="76">
        <f t="shared" si="23"/>
        <v>0</v>
      </c>
      <c r="AF226" s="75">
        <f t="shared" si="6"/>
        <v>0</v>
      </c>
      <c r="AG226" s="75">
        <f t="shared" si="7"/>
        <v>0</v>
      </c>
      <c r="AH226" s="31" t="e" cm="1">
        <f t="array" aca="1" ref="AH226" ca="1">IF((AD226) &lt; (INDEX(ResponseSLA[#All],(MATCH((G226),ResponseSLA[Priority],0))+1,3)),"YES","No")</f>
        <v>#N/A</v>
      </c>
      <c r="AI226" s="31" t="str">
        <f>_xlfn.IFNA(IF(AE226 &lt; (INDEX(SLATable[Minimum SLA],MATCH(G226,SLATable[Priority],0))),"YES","NO"),"")</f>
        <v/>
      </c>
      <c r="AJ226" t="str">
        <f>_xlfn.IFNA(IF(AE226 &lt; (INDEX(SLATable[Maximum SLA],MATCH(G226,SLATable[Priority],0))),"YES","NO"),"")</f>
        <v/>
      </c>
    </row>
    <row r="227" spans="26:36" ht="15" customHeight="1">
      <c r="Z227" s="76" t="e">
        <f t="shared" ca="1" si="20"/>
        <v>#N/A</v>
      </c>
      <c r="AA227" s="75" t="e">
        <f t="shared" ca="1" si="1"/>
        <v>#N/A</v>
      </c>
      <c r="AB227" s="76">
        <f t="shared" ca="1" si="21"/>
        <v>0</v>
      </c>
      <c r="AC227" s="75">
        <f t="shared" ca="1" si="3"/>
        <v>0</v>
      </c>
      <c r="AD227" s="76">
        <f t="shared" ca="1" si="22"/>
        <v>12388.425642708335</v>
      </c>
      <c r="AE227" s="76">
        <f t="shared" si="23"/>
        <v>0</v>
      </c>
      <c r="AF227" s="75">
        <f t="shared" si="6"/>
        <v>0</v>
      </c>
      <c r="AG227" s="75">
        <f t="shared" si="7"/>
        <v>0</v>
      </c>
      <c r="AH227" s="31" t="e" cm="1">
        <f t="array" aca="1" ref="AH227" ca="1">IF((AD227) &lt; (INDEX(ResponseSLA[#All],(MATCH((G227),ResponseSLA[Priority],0))+1,3)),"YES","No")</f>
        <v>#N/A</v>
      </c>
      <c r="AI227" s="31" t="str">
        <f>_xlfn.IFNA(IF(AE227 &lt; (INDEX(SLATable[Minimum SLA],MATCH(G227,SLATable[Priority],0))),"YES","NO"),"")</f>
        <v/>
      </c>
      <c r="AJ227" t="str">
        <f>_xlfn.IFNA(IF(AE227 &lt; (INDEX(SLATable[Maximum SLA],MATCH(G227,SLATable[Priority],0))),"YES","NO"),"")</f>
        <v/>
      </c>
    </row>
    <row r="228" spans="26:36" ht="15" customHeight="1">
      <c r="Z228" s="76" t="e">
        <f t="shared" ca="1" si="20"/>
        <v>#N/A</v>
      </c>
      <c r="AA228" s="75" t="e">
        <f t="shared" ca="1" si="1"/>
        <v>#N/A</v>
      </c>
      <c r="AB228" s="76">
        <f t="shared" ca="1" si="21"/>
        <v>0</v>
      </c>
      <c r="AC228" s="75">
        <f t="shared" ca="1" si="3"/>
        <v>0</v>
      </c>
      <c r="AD228" s="76">
        <f t="shared" ca="1" si="22"/>
        <v>12388.42564247685</v>
      </c>
      <c r="AE228" s="76">
        <f t="shared" si="23"/>
        <v>0</v>
      </c>
      <c r="AF228" s="75">
        <f t="shared" si="6"/>
        <v>0</v>
      </c>
      <c r="AG228" s="75">
        <f t="shared" si="7"/>
        <v>0</v>
      </c>
      <c r="AH228" s="31" t="e" cm="1">
        <f t="array" aca="1" ref="AH228" ca="1">IF((AD228) &lt; (INDEX(ResponseSLA[#All],(MATCH((G228),ResponseSLA[Priority],0))+1,3)),"YES","No")</f>
        <v>#N/A</v>
      </c>
      <c r="AI228" s="31" t="str">
        <f>_xlfn.IFNA(IF(AE228 &lt; (INDEX(SLATable[Minimum SLA],MATCH(G228,SLATable[Priority],0))),"YES","NO"),"")</f>
        <v/>
      </c>
      <c r="AJ228" t="str">
        <f>_xlfn.IFNA(IF(AE228 &lt; (INDEX(SLATable[Maximum SLA],MATCH(G228,SLATable[Priority],0))),"YES","NO"),"")</f>
        <v/>
      </c>
    </row>
    <row r="229" spans="26:36" ht="15" customHeight="1">
      <c r="Z229" s="76" t="e">
        <f t="shared" ca="1" si="20"/>
        <v>#N/A</v>
      </c>
      <c r="AA229" s="75" t="e">
        <f t="shared" ca="1" si="1"/>
        <v>#N/A</v>
      </c>
      <c r="AB229" s="76">
        <f t="shared" ca="1" si="21"/>
        <v>0</v>
      </c>
      <c r="AC229" s="75">
        <f t="shared" ca="1" si="3"/>
        <v>0</v>
      </c>
      <c r="AD229" s="76">
        <f t="shared" ca="1" si="22"/>
        <v>12388.425642708335</v>
      </c>
      <c r="AE229" s="76">
        <f t="shared" si="23"/>
        <v>0</v>
      </c>
      <c r="AF229" s="75">
        <f t="shared" si="6"/>
        <v>0</v>
      </c>
      <c r="AG229" s="75">
        <f t="shared" si="7"/>
        <v>0</v>
      </c>
      <c r="AH229" s="31" t="e" cm="1">
        <f t="array" aca="1" ref="AH229" ca="1">IF((AD229) &lt; (INDEX(ResponseSLA[#All],(MATCH((G229),ResponseSLA[Priority],0))+1,3)),"YES","No")</f>
        <v>#N/A</v>
      </c>
      <c r="AI229" s="31" t="str">
        <f>_xlfn.IFNA(IF(AE229 &lt; (INDEX(SLATable[Minimum SLA],MATCH(G229,SLATable[Priority],0))),"YES","NO"),"")</f>
        <v/>
      </c>
      <c r="AJ229" t="str">
        <f>_xlfn.IFNA(IF(AE229 &lt; (INDEX(SLATable[Maximum SLA],MATCH(G229,SLATable[Priority],0))),"YES","NO"),"")</f>
        <v/>
      </c>
    </row>
    <row r="230" spans="26:36" ht="15" customHeight="1">
      <c r="Z230" s="76" t="e">
        <f t="shared" ca="1" si="20"/>
        <v>#N/A</v>
      </c>
      <c r="AA230" s="75" t="e">
        <f t="shared" ca="1" si="1"/>
        <v>#N/A</v>
      </c>
      <c r="AB230" s="76">
        <f t="shared" ca="1" si="21"/>
        <v>0</v>
      </c>
      <c r="AC230" s="75">
        <f t="shared" ca="1" si="3"/>
        <v>0</v>
      </c>
      <c r="AD230" s="76">
        <f t="shared" ca="1" si="22"/>
        <v>12388.425642708335</v>
      </c>
      <c r="AE230" s="76">
        <f t="shared" si="23"/>
        <v>0</v>
      </c>
      <c r="AF230" s="75">
        <f t="shared" si="6"/>
        <v>0</v>
      </c>
      <c r="AG230" s="75">
        <f t="shared" si="7"/>
        <v>0</v>
      </c>
      <c r="AH230" s="31" t="e" cm="1">
        <f t="array" aca="1" ref="AH230" ca="1">IF((AD230) &lt; (INDEX(ResponseSLA[#All],(MATCH((G230),ResponseSLA[Priority],0))+1,3)),"YES","No")</f>
        <v>#N/A</v>
      </c>
      <c r="AI230" s="31" t="str">
        <f>_xlfn.IFNA(IF(AE230 &lt; (INDEX(SLATable[Minimum SLA],MATCH(G230,SLATable[Priority],0))),"YES","NO"),"")</f>
        <v/>
      </c>
      <c r="AJ230" t="str">
        <f>_xlfn.IFNA(IF(AE230 &lt; (INDEX(SLATable[Maximum SLA],MATCH(G230,SLATable[Priority],0))),"YES","NO"),"")</f>
        <v/>
      </c>
    </row>
    <row r="231" spans="26:36" ht="15" customHeight="1">
      <c r="Z231" s="76" t="e">
        <f t="shared" ca="1" si="20"/>
        <v>#N/A</v>
      </c>
      <c r="AA231" s="75" t="e">
        <f t="shared" ca="1" si="1"/>
        <v>#N/A</v>
      </c>
      <c r="AB231" s="76">
        <f t="shared" ca="1" si="21"/>
        <v>0</v>
      </c>
      <c r="AC231" s="75">
        <f t="shared" ca="1" si="3"/>
        <v>0</v>
      </c>
      <c r="AD231" s="76">
        <f t="shared" ca="1" si="22"/>
        <v>12388.42564247685</v>
      </c>
      <c r="AE231" s="76">
        <f t="shared" si="23"/>
        <v>0</v>
      </c>
      <c r="AF231" s="75">
        <f t="shared" si="6"/>
        <v>0</v>
      </c>
      <c r="AG231" s="75">
        <f t="shared" si="7"/>
        <v>0</v>
      </c>
      <c r="AH231" s="31" t="e" cm="1">
        <f t="array" aca="1" ref="AH231" ca="1">IF((AD231) &lt; (INDEX(ResponseSLA[#All],(MATCH((G231),ResponseSLA[Priority],0))+1,3)),"YES","No")</f>
        <v>#N/A</v>
      </c>
      <c r="AI231" s="31" t="str">
        <f>_xlfn.IFNA(IF(AE231 &lt; (INDEX(SLATable[Minimum SLA],MATCH(G231,SLATable[Priority],0))),"YES","NO"),"")</f>
        <v/>
      </c>
      <c r="AJ231" t="str">
        <f>_xlfn.IFNA(IF(AE231 &lt; (INDEX(SLATable[Maximum SLA],MATCH(G231,SLATable[Priority],0))),"YES","NO"),"")</f>
        <v/>
      </c>
    </row>
    <row r="232" spans="26:36" ht="15" customHeight="1">
      <c r="Z232" s="76" t="e">
        <f t="shared" ca="1" si="20"/>
        <v>#N/A</v>
      </c>
      <c r="AA232" s="75" t="e">
        <f t="shared" ca="1" si="1"/>
        <v>#N/A</v>
      </c>
      <c r="AB232" s="76">
        <f t="shared" ca="1" si="21"/>
        <v>0</v>
      </c>
      <c r="AC232" s="75">
        <f t="shared" ca="1" si="3"/>
        <v>0</v>
      </c>
      <c r="AD232" s="76">
        <f t="shared" ca="1" si="22"/>
        <v>12388.425642708335</v>
      </c>
      <c r="AE232" s="76">
        <f t="shared" si="23"/>
        <v>0</v>
      </c>
      <c r="AF232" s="75">
        <f t="shared" si="6"/>
        <v>0</v>
      </c>
      <c r="AG232" s="75">
        <f t="shared" si="7"/>
        <v>0</v>
      </c>
      <c r="AH232" s="31" t="e" cm="1">
        <f t="array" aca="1" ref="AH232" ca="1">IF((AD232) &lt; (INDEX(ResponseSLA[#All],(MATCH((G232),ResponseSLA[Priority],0))+1,3)),"YES","No")</f>
        <v>#N/A</v>
      </c>
      <c r="AI232" s="31" t="str">
        <f>_xlfn.IFNA(IF(AE232 &lt; (INDEX(SLATable[Minimum SLA],MATCH(G232,SLATable[Priority],0))),"YES","NO"),"")</f>
        <v/>
      </c>
      <c r="AJ232" t="str">
        <f>_xlfn.IFNA(IF(AE232 &lt; (INDEX(SLATable[Maximum SLA],MATCH(G232,SLATable[Priority],0))),"YES","NO"),"")</f>
        <v/>
      </c>
    </row>
    <row r="233" spans="26:36" ht="15" customHeight="1">
      <c r="Z233" s="76" t="e">
        <f t="shared" ca="1" si="20"/>
        <v>#N/A</v>
      </c>
      <c r="AA233" s="75" t="e">
        <f t="shared" ca="1" si="1"/>
        <v>#N/A</v>
      </c>
      <c r="AB233" s="76">
        <f t="shared" ca="1" si="21"/>
        <v>0</v>
      </c>
      <c r="AC233" s="75">
        <f t="shared" ca="1" si="3"/>
        <v>0</v>
      </c>
      <c r="AD233" s="76">
        <f t="shared" ca="1" si="22"/>
        <v>12388.425642708335</v>
      </c>
      <c r="AE233" s="76">
        <f t="shared" si="23"/>
        <v>0</v>
      </c>
      <c r="AF233" s="75">
        <f t="shared" si="6"/>
        <v>0</v>
      </c>
      <c r="AG233" s="75">
        <f t="shared" si="7"/>
        <v>0</v>
      </c>
      <c r="AH233" s="31" t="e" cm="1">
        <f t="array" aca="1" ref="AH233" ca="1">IF((AD233) &lt; (INDEX(ResponseSLA[#All],(MATCH((G233),ResponseSLA[Priority],0))+1,3)),"YES","No")</f>
        <v>#N/A</v>
      </c>
      <c r="AI233" s="31" t="str">
        <f>_xlfn.IFNA(IF(AE233 &lt; (INDEX(SLATable[Minimum SLA],MATCH(G233,SLATable[Priority],0))),"YES","NO"),"")</f>
        <v/>
      </c>
      <c r="AJ233" t="str">
        <f>_xlfn.IFNA(IF(AE233 &lt; (INDEX(SLATable[Maximum SLA],MATCH(G233,SLATable[Priority],0))),"YES","NO"),"")</f>
        <v/>
      </c>
    </row>
    <row r="234" spans="26:36" ht="15" customHeight="1">
      <c r="Z234" s="76" t="e">
        <f t="shared" ca="1" si="20"/>
        <v>#N/A</v>
      </c>
      <c r="AA234" s="75" t="e">
        <f t="shared" ca="1" si="1"/>
        <v>#N/A</v>
      </c>
      <c r="AB234" s="76">
        <f t="shared" ca="1" si="21"/>
        <v>0</v>
      </c>
      <c r="AC234" s="75">
        <f t="shared" ca="1" si="3"/>
        <v>0</v>
      </c>
      <c r="AD234" s="76">
        <f t="shared" ca="1" si="22"/>
        <v>12388.42564247685</v>
      </c>
      <c r="AE234" s="76">
        <f t="shared" si="23"/>
        <v>0</v>
      </c>
      <c r="AF234" s="75">
        <f t="shared" si="6"/>
        <v>0</v>
      </c>
      <c r="AG234" s="75">
        <f t="shared" si="7"/>
        <v>0</v>
      </c>
      <c r="AH234" s="31" t="e" cm="1">
        <f t="array" aca="1" ref="AH234" ca="1">IF((AD234) &lt; (INDEX(ResponseSLA[#All],(MATCH((G234),ResponseSLA[Priority],0))+1,3)),"YES","No")</f>
        <v>#N/A</v>
      </c>
      <c r="AI234" s="31" t="str">
        <f>_xlfn.IFNA(IF(AE234 &lt; (INDEX(SLATable[Minimum SLA],MATCH(G234,SLATable[Priority],0))),"YES","NO"),"")</f>
        <v/>
      </c>
      <c r="AJ234" t="str">
        <f>_xlfn.IFNA(IF(AE234 &lt; (INDEX(SLATable[Maximum SLA],MATCH(G234,SLATable[Priority],0))),"YES","NO"),"")</f>
        <v/>
      </c>
    </row>
    <row r="235" spans="26:36" ht="15" customHeight="1">
      <c r="Z235" s="76" t="e">
        <f t="shared" ca="1" si="20"/>
        <v>#N/A</v>
      </c>
      <c r="AA235" s="75" t="e">
        <f t="shared" ca="1" si="1"/>
        <v>#N/A</v>
      </c>
      <c r="AB235" s="76">
        <f t="shared" ca="1" si="21"/>
        <v>0</v>
      </c>
      <c r="AC235" s="75">
        <f t="shared" ca="1" si="3"/>
        <v>0</v>
      </c>
      <c r="AD235" s="76">
        <f t="shared" ca="1" si="22"/>
        <v>12388.425642708335</v>
      </c>
      <c r="AE235" s="76">
        <f t="shared" si="23"/>
        <v>0</v>
      </c>
      <c r="AF235" s="75">
        <f t="shared" si="6"/>
        <v>0</v>
      </c>
      <c r="AG235" s="75">
        <f t="shared" si="7"/>
        <v>0</v>
      </c>
      <c r="AH235" s="31" t="e" cm="1">
        <f t="array" aca="1" ref="AH235" ca="1">IF((AD235) &lt; (INDEX(ResponseSLA[#All],(MATCH((G235),ResponseSLA[Priority],0))+1,3)),"YES","No")</f>
        <v>#N/A</v>
      </c>
      <c r="AI235" s="31" t="str">
        <f>_xlfn.IFNA(IF(AE235 &lt; (INDEX(SLATable[Minimum SLA],MATCH(G235,SLATable[Priority],0))),"YES","NO"),"")</f>
        <v/>
      </c>
      <c r="AJ235" t="str">
        <f>_xlfn.IFNA(IF(AE235 &lt; (INDEX(SLATable[Maximum SLA],MATCH(G235,SLATable[Priority],0))),"YES","NO"),"")</f>
        <v/>
      </c>
    </row>
    <row r="236" spans="26:36" ht="15" customHeight="1">
      <c r="Z236" s="76" t="e">
        <f t="shared" ca="1" si="20"/>
        <v>#N/A</v>
      </c>
      <c r="AA236" s="75" t="e">
        <f t="shared" ca="1" si="1"/>
        <v>#N/A</v>
      </c>
      <c r="AB236" s="76">
        <f t="shared" ca="1" si="21"/>
        <v>0</v>
      </c>
      <c r="AC236" s="75">
        <f t="shared" ca="1" si="3"/>
        <v>0</v>
      </c>
      <c r="AD236" s="76">
        <f t="shared" ca="1" si="22"/>
        <v>12388.425642708335</v>
      </c>
      <c r="AE236" s="76">
        <f t="shared" si="23"/>
        <v>0</v>
      </c>
      <c r="AF236" s="75">
        <f t="shared" si="6"/>
        <v>0</v>
      </c>
      <c r="AG236" s="75">
        <f t="shared" si="7"/>
        <v>0</v>
      </c>
      <c r="AH236" s="31" t="e" cm="1">
        <f t="array" aca="1" ref="AH236" ca="1">IF((AD236) &lt; (INDEX(ResponseSLA[#All],(MATCH((G236),ResponseSLA[Priority],0))+1,3)),"YES","No")</f>
        <v>#N/A</v>
      </c>
      <c r="AI236" s="31" t="str">
        <f>_xlfn.IFNA(IF(AE236 &lt; (INDEX(SLATable[Minimum SLA],MATCH(G236,SLATable[Priority],0))),"YES","NO"),"")</f>
        <v/>
      </c>
      <c r="AJ236" t="str">
        <f>_xlfn.IFNA(IF(AE236 &lt; (INDEX(SLATable[Maximum SLA],MATCH(G236,SLATable[Priority],0))),"YES","NO"),"")</f>
        <v/>
      </c>
    </row>
    <row r="237" spans="26:36" ht="15" customHeight="1">
      <c r="Z237" s="76" t="e">
        <f t="shared" ca="1" si="20"/>
        <v>#N/A</v>
      </c>
      <c r="AA237" s="75" t="e">
        <f t="shared" ca="1" si="1"/>
        <v>#N/A</v>
      </c>
      <c r="AB237" s="76">
        <f t="shared" ca="1" si="21"/>
        <v>0</v>
      </c>
      <c r="AC237" s="75">
        <f t="shared" ca="1" si="3"/>
        <v>0</v>
      </c>
      <c r="AD237" s="76">
        <f t="shared" ca="1" si="22"/>
        <v>12388.425642708335</v>
      </c>
      <c r="AE237" s="76">
        <f t="shared" si="23"/>
        <v>0</v>
      </c>
      <c r="AF237" s="75">
        <f t="shared" si="6"/>
        <v>0</v>
      </c>
      <c r="AG237" s="75">
        <f t="shared" si="7"/>
        <v>0</v>
      </c>
      <c r="AH237" s="31" t="e" cm="1">
        <f t="array" aca="1" ref="AH237" ca="1">IF((AD237) &lt; (INDEX(ResponseSLA[#All],(MATCH((G237),ResponseSLA[Priority],0))+1,3)),"YES","No")</f>
        <v>#N/A</v>
      </c>
      <c r="AI237" s="31" t="str">
        <f>_xlfn.IFNA(IF(AE237 &lt; (INDEX(SLATable[Minimum SLA],MATCH(G237,SLATable[Priority],0))),"YES","NO"),"")</f>
        <v/>
      </c>
      <c r="AJ237" t="str">
        <f>_xlfn.IFNA(IF(AE237 &lt; (INDEX(SLATable[Maximum SLA],MATCH(G237,SLATable[Priority],0))),"YES","NO"),"")</f>
        <v/>
      </c>
    </row>
    <row r="238" spans="26:36" ht="15" customHeight="1">
      <c r="Z238" s="76" t="e">
        <f t="shared" ca="1" si="20"/>
        <v>#N/A</v>
      </c>
      <c r="AA238" s="75" t="e">
        <f t="shared" ca="1" si="1"/>
        <v>#N/A</v>
      </c>
      <c r="AB238" s="76">
        <f t="shared" ca="1" si="21"/>
        <v>0</v>
      </c>
      <c r="AC238" s="75">
        <f t="shared" ca="1" si="3"/>
        <v>0</v>
      </c>
      <c r="AD238" s="76">
        <f t="shared" ca="1" si="22"/>
        <v>12388.425642708335</v>
      </c>
      <c r="AE238" s="76">
        <f t="shared" si="23"/>
        <v>0</v>
      </c>
      <c r="AF238" s="75">
        <f t="shared" si="6"/>
        <v>0</v>
      </c>
      <c r="AG238" s="75">
        <f t="shared" si="7"/>
        <v>0</v>
      </c>
      <c r="AH238" s="31" t="e" cm="1">
        <f t="array" aca="1" ref="AH238" ca="1">IF((AD238) &lt; (INDEX(ResponseSLA[#All],(MATCH((G238),ResponseSLA[Priority],0))+1,3)),"YES","No")</f>
        <v>#N/A</v>
      </c>
      <c r="AI238" s="31" t="str">
        <f>_xlfn.IFNA(IF(AE238 &lt; (INDEX(SLATable[Minimum SLA],MATCH(G238,SLATable[Priority],0))),"YES","NO"),"")</f>
        <v/>
      </c>
      <c r="AJ238" t="str">
        <f>_xlfn.IFNA(IF(AE238 &lt; (INDEX(SLATable[Maximum SLA],MATCH(G238,SLATable[Priority],0))),"YES","NO"),"")</f>
        <v/>
      </c>
    </row>
    <row r="239" spans="26:36" ht="15" customHeight="1">
      <c r="Z239" s="76" t="e">
        <f t="shared" ca="1" si="20"/>
        <v>#N/A</v>
      </c>
      <c r="AA239" s="75" t="e">
        <f t="shared" ca="1" si="1"/>
        <v>#N/A</v>
      </c>
      <c r="AB239" s="76">
        <f t="shared" ca="1" si="21"/>
        <v>0</v>
      </c>
      <c r="AC239" s="75">
        <f t="shared" ca="1" si="3"/>
        <v>0</v>
      </c>
      <c r="AD239" s="76">
        <f t="shared" ca="1" si="22"/>
        <v>12388.425642708335</v>
      </c>
      <c r="AE239" s="76">
        <f t="shared" si="23"/>
        <v>0</v>
      </c>
      <c r="AF239" s="75">
        <f t="shared" si="6"/>
        <v>0</v>
      </c>
      <c r="AG239" s="75">
        <f t="shared" si="7"/>
        <v>0</v>
      </c>
      <c r="AH239" s="31" t="e" cm="1">
        <f t="array" aca="1" ref="AH239" ca="1">IF((AD239) &lt; (INDEX(ResponseSLA[#All],(MATCH((G239),ResponseSLA[Priority],0))+1,3)),"YES","No")</f>
        <v>#N/A</v>
      </c>
      <c r="AI239" s="31" t="str">
        <f>_xlfn.IFNA(IF(AE239 &lt; (INDEX(SLATable[Minimum SLA],MATCH(G239,SLATable[Priority],0))),"YES","NO"),"")</f>
        <v/>
      </c>
      <c r="AJ239" t="str">
        <f>_xlfn.IFNA(IF(AE239 &lt; (INDEX(SLATable[Maximum SLA],MATCH(G239,SLATable[Priority],0))),"YES","NO"),"")</f>
        <v/>
      </c>
    </row>
    <row r="240" spans="26:36" ht="15" customHeight="1">
      <c r="Z240" s="76" t="e">
        <f t="shared" ca="1" si="20"/>
        <v>#N/A</v>
      </c>
      <c r="AA240" s="75" t="e">
        <f t="shared" ca="1" si="1"/>
        <v>#N/A</v>
      </c>
      <c r="AB240" s="76">
        <f t="shared" ca="1" si="21"/>
        <v>0</v>
      </c>
      <c r="AC240" s="75">
        <f t="shared" ca="1" si="3"/>
        <v>0</v>
      </c>
      <c r="AD240" s="76">
        <f t="shared" ca="1" si="22"/>
        <v>12388.425642708335</v>
      </c>
      <c r="AE240" s="76">
        <f t="shared" si="23"/>
        <v>0</v>
      </c>
      <c r="AF240" s="75">
        <f t="shared" si="6"/>
        <v>0</v>
      </c>
      <c r="AG240" s="75">
        <f t="shared" si="7"/>
        <v>0</v>
      </c>
      <c r="AH240" s="31" t="e" cm="1">
        <f t="array" aca="1" ref="AH240" ca="1">IF((AD240) &lt; (INDEX(ResponseSLA[#All],(MATCH((G240),ResponseSLA[Priority],0))+1,3)),"YES","No")</f>
        <v>#N/A</v>
      </c>
      <c r="AI240" s="31" t="str">
        <f>_xlfn.IFNA(IF(AE240 &lt; (INDEX(SLATable[Minimum SLA],MATCH(G240,SLATable[Priority],0))),"YES","NO"),"")</f>
        <v/>
      </c>
      <c r="AJ240" t="str">
        <f>_xlfn.IFNA(IF(AE240 &lt; (INDEX(SLATable[Maximum SLA],MATCH(G240,SLATable[Priority],0))),"YES","NO"),"")</f>
        <v/>
      </c>
    </row>
    <row r="241" spans="26:36" ht="15" customHeight="1">
      <c r="Z241" s="76" t="e">
        <f t="shared" ca="1" si="20"/>
        <v>#N/A</v>
      </c>
      <c r="AA241" s="75" t="e">
        <f t="shared" ca="1" si="1"/>
        <v>#N/A</v>
      </c>
      <c r="AB241" s="76">
        <f t="shared" ca="1" si="21"/>
        <v>0</v>
      </c>
      <c r="AC241" s="75">
        <f t="shared" ca="1" si="3"/>
        <v>0</v>
      </c>
      <c r="AD241" s="76">
        <f t="shared" ca="1" si="22"/>
        <v>12388.425642708335</v>
      </c>
      <c r="AE241" s="76">
        <f t="shared" si="23"/>
        <v>0</v>
      </c>
      <c r="AF241" s="75">
        <f t="shared" si="6"/>
        <v>0</v>
      </c>
      <c r="AG241" s="75">
        <f t="shared" si="7"/>
        <v>0</v>
      </c>
      <c r="AH241" s="31" t="e" cm="1">
        <f t="array" aca="1" ref="AH241" ca="1">IF((AD241) &lt; (INDEX(ResponseSLA[#All],(MATCH((G241),ResponseSLA[Priority],0))+1,3)),"YES","No")</f>
        <v>#N/A</v>
      </c>
      <c r="AI241" s="31" t="str">
        <f>_xlfn.IFNA(IF(AE241 &lt; (INDEX(SLATable[Minimum SLA],MATCH(G241,SLATable[Priority],0))),"YES","NO"),"")</f>
        <v/>
      </c>
      <c r="AJ241" t="str">
        <f>_xlfn.IFNA(IF(AE241 &lt; (INDEX(SLATable[Maximum SLA],MATCH(G241,SLATable[Priority],0))),"YES","NO"),"")</f>
        <v/>
      </c>
    </row>
    <row r="242" spans="26:36" ht="15" customHeight="1">
      <c r="Z242" s="76" t="e">
        <f t="shared" ca="1" si="20"/>
        <v>#N/A</v>
      </c>
      <c r="AA242" s="75" t="e">
        <f t="shared" ca="1" si="1"/>
        <v>#N/A</v>
      </c>
      <c r="AB242" s="76">
        <f t="shared" ca="1" si="21"/>
        <v>0</v>
      </c>
      <c r="AC242" s="75">
        <f t="shared" ca="1" si="3"/>
        <v>0</v>
      </c>
      <c r="AD242" s="76">
        <f t="shared" ca="1" si="22"/>
        <v>12388.425642708335</v>
      </c>
      <c r="AE242" s="76">
        <f t="shared" si="23"/>
        <v>0</v>
      </c>
      <c r="AF242" s="75">
        <f t="shared" si="6"/>
        <v>0</v>
      </c>
      <c r="AG242" s="75">
        <f t="shared" si="7"/>
        <v>0</v>
      </c>
      <c r="AH242" s="31" t="e" cm="1">
        <f t="array" aca="1" ref="AH242" ca="1">IF((AD242) &lt; (INDEX(ResponseSLA[#All],(MATCH((G242),ResponseSLA[Priority],0))+1,3)),"YES","No")</f>
        <v>#N/A</v>
      </c>
      <c r="AI242" s="31" t="str">
        <f>_xlfn.IFNA(IF(AE242 &lt; (INDEX(SLATable[Minimum SLA],MATCH(G242,SLATable[Priority],0))),"YES","NO"),"")</f>
        <v/>
      </c>
      <c r="AJ242" t="str">
        <f>_xlfn.IFNA(IF(AE242 &lt; (INDEX(SLATable[Maximum SLA],MATCH(G242,SLATable[Priority],0))),"YES","NO"),"")</f>
        <v/>
      </c>
    </row>
    <row r="243" spans="26:36" ht="15" customHeight="1">
      <c r="Z243" s="76" t="e">
        <f t="shared" ca="1" si="20"/>
        <v>#N/A</v>
      </c>
      <c r="AA243" s="75" t="e">
        <f t="shared" ca="1" si="1"/>
        <v>#N/A</v>
      </c>
      <c r="AB243" s="76">
        <f t="shared" ca="1" si="21"/>
        <v>0</v>
      </c>
      <c r="AC243" s="75">
        <f t="shared" ca="1" si="3"/>
        <v>0</v>
      </c>
      <c r="AD243" s="76">
        <f t="shared" ca="1" si="22"/>
        <v>12388.425642708335</v>
      </c>
      <c r="AE243" s="76">
        <f t="shared" si="23"/>
        <v>0</v>
      </c>
      <c r="AF243" s="75">
        <f t="shared" si="6"/>
        <v>0</v>
      </c>
      <c r="AG243" s="75">
        <f t="shared" si="7"/>
        <v>0</v>
      </c>
      <c r="AH243" s="31" t="e" cm="1">
        <f t="array" aca="1" ref="AH243" ca="1">IF((AD243) &lt; (INDEX(ResponseSLA[#All],(MATCH((G243),ResponseSLA[Priority],0))+1,3)),"YES","No")</f>
        <v>#N/A</v>
      </c>
      <c r="AI243" s="31" t="str">
        <f>_xlfn.IFNA(IF(AE243 &lt; (INDEX(SLATable[Minimum SLA],MATCH(G243,SLATable[Priority],0))),"YES","NO"),"")</f>
        <v/>
      </c>
      <c r="AJ243" t="str">
        <f>_xlfn.IFNA(IF(AE243 &lt; (INDEX(SLATable[Maximum SLA],MATCH(G243,SLATable[Priority],0))),"YES","NO"),"")</f>
        <v/>
      </c>
    </row>
    <row r="244" spans="26:36" ht="15" customHeight="1">
      <c r="Z244" s="76" t="e">
        <f t="shared" ca="1" si="20"/>
        <v>#N/A</v>
      </c>
      <c r="AA244" s="75" t="e">
        <f t="shared" ca="1" si="1"/>
        <v>#N/A</v>
      </c>
      <c r="AB244" s="76">
        <f t="shared" ca="1" si="21"/>
        <v>0</v>
      </c>
      <c r="AC244" s="75">
        <f t="shared" ca="1" si="3"/>
        <v>0</v>
      </c>
      <c r="AD244" s="76">
        <f t="shared" ca="1" si="22"/>
        <v>12388.425642708335</v>
      </c>
      <c r="AE244" s="76">
        <f t="shared" si="23"/>
        <v>0</v>
      </c>
      <c r="AF244" s="75">
        <f t="shared" si="6"/>
        <v>0</v>
      </c>
      <c r="AG244" s="75">
        <f t="shared" si="7"/>
        <v>0</v>
      </c>
      <c r="AH244" s="31" t="e" cm="1">
        <f t="array" aca="1" ref="AH244" ca="1">IF((AD244) &lt; (INDEX(ResponseSLA[#All],(MATCH((G244),ResponseSLA[Priority],0))+1,3)),"YES","No")</f>
        <v>#N/A</v>
      </c>
      <c r="AI244" s="31" t="str">
        <f>_xlfn.IFNA(IF(AE244 &lt; (INDEX(SLATable[Minimum SLA],MATCH(G244,SLATable[Priority],0))),"YES","NO"),"")</f>
        <v/>
      </c>
      <c r="AJ244" t="str">
        <f>_xlfn.IFNA(IF(AE244 &lt; (INDEX(SLATable[Maximum SLA],MATCH(G244,SLATable[Priority],0))),"YES","NO"),"")</f>
        <v/>
      </c>
    </row>
    <row r="245" spans="26:36" ht="15" customHeight="1">
      <c r="Z245" s="76" t="e">
        <f t="shared" ca="1" si="20"/>
        <v>#N/A</v>
      </c>
      <c r="AA245" s="75" t="e">
        <f t="shared" ca="1" si="1"/>
        <v>#N/A</v>
      </c>
      <c r="AB245" s="76">
        <f t="shared" ca="1" si="21"/>
        <v>0</v>
      </c>
      <c r="AC245" s="75">
        <f t="shared" ca="1" si="3"/>
        <v>0</v>
      </c>
      <c r="AD245" s="76">
        <f t="shared" ca="1" si="22"/>
        <v>12388.425642708335</v>
      </c>
      <c r="AE245" s="76">
        <f t="shared" si="23"/>
        <v>0</v>
      </c>
      <c r="AF245" s="75">
        <f t="shared" si="6"/>
        <v>0</v>
      </c>
      <c r="AG245" s="75">
        <f t="shared" si="7"/>
        <v>0</v>
      </c>
      <c r="AH245" s="31" t="e" cm="1">
        <f t="array" aca="1" ref="AH245" ca="1">IF((AD245) &lt; (INDEX(ResponseSLA[#All],(MATCH((G245),ResponseSLA[Priority],0))+1,3)),"YES","No")</f>
        <v>#N/A</v>
      </c>
      <c r="AI245" s="31" t="str">
        <f>_xlfn.IFNA(IF(AE245 &lt; (INDEX(SLATable[Minimum SLA],MATCH(G245,SLATable[Priority],0))),"YES","NO"),"")</f>
        <v/>
      </c>
      <c r="AJ245" t="str">
        <f>_xlfn.IFNA(IF(AE245 &lt; (INDEX(SLATable[Maximum SLA],MATCH(G245,SLATable[Priority],0))),"YES","NO"),"")</f>
        <v/>
      </c>
    </row>
    <row r="246" spans="26:36" ht="15" customHeight="1">
      <c r="Z246" s="76" t="e">
        <f t="shared" ca="1" si="20"/>
        <v>#N/A</v>
      </c>
      <c r="AA246" s="75" t="e">
        <f t="shared" ca="1" si="1"/>
        <v>#N/A</v>
      </c>
      <c r="AB246" s="76">
        <f t="shared" ca="1" si="21"/>
        <v>0</v>
      </c>
      <c r="AC246" s="75">
        <f t="shared" ca="1" si="3"/>
        <v>0</v>
      </c>
      <c r="AD246" s="76">
        <f t="shared" ca="1" si="22"/>
        <v>12388.425642708335</v>
      </c>
      <c r="AE246" s="76">
        <f t="shared" si="23"/>
        <v>0</v>
      </c>
      <c r="AF246" s="75">
        <f t="shared" si="6"/>
        <v>0</v>
      </c>
      <c r="AG246" s="75">
        <f t="shared" si="7"/>
        <v>0</v>
      </c>
      <c r="AH246" s="31" t="e" cm="1">
        <f t="array" aca="1" ref="AH246" ca="1">IF((AD246) &lt; (INDEX(ResponseSLA[#All],(MATCH((G246),ResponseSLA[Priority],0))+1,3)),"YES","No")</f>
        <v>#N/A</v>
      </c>
      <c r="AI246" s="31" t="str">
        <f>_xlfn.IFNA(IF(AE246 &lt; (INDEX(SLATable[Minimum SLA],MATCH(G246,SLATable[Priority],0))),"YES","NO"),"")</f>
        <v/>
      </c>
      <c r="AJ246" t="str">
        <f>_xlfn.IFNA(IF(AE246 &lt; (INDEX(SLATable[Maximum SLA],MATCH(G246,SLATable[Priority],0))),"YES","NO"),"")</f>
        <v/>
      </c>
    </row>
    <row r="247" spans="26:36" ht="15" customHeight="1">
      <c r="Z247" s="76" t="e">
        <f t="shared" ca="1" si="20"/>
        <v>#N/A</v>
      </c>
      <c r="AA247" s="75" t="e">
        <f t="shared" ca="1" si="1"/>
        <v>#N/A</v>
      </c>
      <c r="AB247" s="76">
        <f t="shared" ca="1" si="21"/>
        <v>0</v>
      </c>
      <c r="AC247" s="75">
        <f t="shared" ca="1" si="3"/>
        <v>0</v>
      </c>
      <c r="AD247" s="76">
        <f t="shared" ca="1" si="22"/>
        <v>12388.425642708335</v>
      </c>
      <c r="AE247" s="76">
        <f t="shared" si="23"/>
        <v>0</v>
      </c>
      <c r="AF247" s="75">
        <f t="shared" si="6"/>
        <v>0</v>
      </c>
      <c r="AG247" s="75">
        <f t="shared" si="7"/>
        <v>0</v>
      </c>
      <c r="AH247" s="31" t="e" cm="1">
        <f t="array" aca="1" ref="AH247" ca="1">IF((AD247) &lt; (INDEX(ResponseSLA[#All],(MATCH((G247),ResponseSLA[Priority],0))+1,3)),"YES","No")</f>
        <v>#N/A</v>
      </c>
      <c r="AI247" s="31" t="str">
        <f>_xlfn.IFNA(IF(AE247 &lt; (INDEX(SLATable[Minimum SLA],MATCH(G247,SLATable[Priority],0))),"YES","NO"),"")</f>
        <v/>
      </c>
      <c r="AJ247" t="str">
        <f>_xlfn.IFNA(IF(AE247 &lt; (INDEX(SLATable[Maximum SLA],MATCH(G247,SLATable[Priority],0))),"YES","NO"),"")</f>
        <v/>
      </c>
    </row>
    <row r="248" spans="26:36" ht="15" customHeight="1">
      <c r="Z248" s="76" t="e">
        <f t="shared" ca="1" si="20"/>
        <v>#N/A</v>
      </c>
      <c r="AA248" s="75" t="e">
        <f t="shared" ca="1" si="1"/>
        <v>#N/A</v>
      </c>
      <c r="AB248" s="76">
        <f t="shared" ca="1" si="21"/>
        <v>0</v>
      </c>
      <c r="AC248" s="75">
        <f t="shared" ca="1" si="3"/>
        <v>0</v>
      </c>
      <c r="AD248" s="76">
        <f t="shared" ca="1" si="22"/>
        <v>12388.425642708335</v>
      </c>
      <c r="AE248" s="76">
        <f t="shared" si="23"/>
        <v>0</v>
      </c>
      <c r="AF248" s="75">
        <f t="shared" si="6"/>
        <v>0</v>
      </c>
      <c r="AG248" s="75">
        <f t="shared" si="7"/>
        <v>0</v>
      </c>
      <c r="AH248" s="31" t="e" cm="1">
        <f t="array" aca="1" ref="AH248" ca="1">IF((AD248) &lt; (INDEX(ResponseSLA[#All],(MATCH((G248),ResponseSLA[Priority],0))+1,3)),"YES","No")</f>
        <v>#N/A</v>
      </c>
      <c r="AI248" s="31" t="str">
        <f>_xlfn.IFNA(IF(AE248 &lt; (INDEX(SLATable[Minimum SLA],MATCH(G248,SLATable[Priority],0))),"YES","NO"),"")</f>
        <v/>
      </c>
      <c r="AJ248" t="str">
        <f>_xlfn.IFNA(IF(AE248 &lt; (INDEX(SLATable[Maximum SLA],MATCH(G248,SLATable[Priority],0))),"YES","NO"),"")</f>
        <v/>
      </c>
    </row>
    <row r="249" spans="26:36" ht="15" customHeight="1">
      <c r="Z249" s="76" t="e">
        <f t="shared" ca="1" si="20"/>
        <v>#N/A</v>
      </c>
      <c r="AA249" s="75" t="e">
        <f t="shared" ca="1" si="1"/>
        <v>#N/A</v>
      </c>
      <c r="AB249" s="76">
        <f t="shared" ca="1" si="21"/>
        <v>0</v>
      </c>
      <c r="AC249" s="75">
        <f t="shared" ca="1" si="3"/>
        <v>0</v>
      </c>
      <c r="AD249" s="76">
        <f t="shared" ca="1" si="22"/>
        <v>12388.425642708335</v>
      </c>
      <c r="AE249" s="76">
        <f t="shared" si="23"/>
        <v>0</v>
      </c>
      <c r="AF249" s="75">
        <f t="shared" si="6"/>
        <v>0</v>
      </c>
      <c r="AG249" s="75">
        <f t="shared" si="7"/>
        <v>0</v>
      </c>
      <c r="AH249" s="31" t="e" cm="1">
        <f t="array" aca="1" ref="AH249" ca="1">IF((AD249) &lt; (INDEX(ResponseSLA[#All],(MATCH((G249),ResponseSLA[Priority],0))+1,3)),"YES","No")</f>
        <v>#N/A</v>
      </c>
      <c r="AI249" s="31" t="str">
        <f>_xlfn.IFNA(IF(AE249 &lt; (INDEX(SLATable[Minimum SLA],MATCH(G249,SLATable[Priority],0))),"YES","NO"),"")</f>
        <v/>
      </c>
      <c r="AJ249" t="str">
        <f>_xlfn.IFNA(IF(AE249 &lt; (INDEX(SLATable[Maximum SLA],MATCH(G249,SLATable[Priority],0))),"YES","NO"),"")</f>
        <v/>
      </c>
    </row>
    <row r="250" spans="26:36" ht="15" customHeight="1">
      <c r="Z250" s="76" t="e">
        <f t="shared" ca="1" si="20"/>
        <v>#N/A</v>
      </c>
      <c r="AA250" s="75" t="e">
        <f t="shared" ca="1" si="1"/>
        <v>#N/A</v>
      </c>
      <c r="AB250" s="76">
        <f t="shared" ca="1" si="21"/>
        <v>0</v>
      </c>
      <c r="AC250" s="75">
        <f t="shared" ca="1" si="3"/>
        <v>0</v>
      </c>
      <c r="AD250" s="76">
        <f t="shared" ca="1" si="22"/>
        <v>12388.425642708335</v>
      </c>
      <c r="AE250" s="76">
        <f t="shared" si="23"/>
        <v>0</v>
      </c>
      <c r="AF250" s="75">
        <f t="shared" si="6"/>
        <v>0</v>
      </c>
      <c r="AG250" s="75">
        <f t="shared" si="7"/>
        <v>0</v>
      </c>
      <c r="AH250" s="31" t="e" cm="1">
        <f t="array" aca="1" ref="AH250" ca="1">IF((AD250) &lt; (INDEX(ResponseSLA[#All],(MATCH((G250),ResponseSLA[Priority],0))+1,3)),"YES","No")</f>
        <v>#N/A</v>
      </c>
      <c r="AI250" s="31" t="str">
        <f>_xlfn.IFNA(IF(AE250 &lt; (INDEX(SLATable[Minimum SLA],MATCH(G250,SLATable[Priority],0))),"YES","NO"),"")</f>
        <v/>
      </c>
      <c r="AJ250" t="str">
        <f>_xlfn.IFNA(IF(AE250 &lt; (INDEX(SLATable[Maximum SLA],MATCH(G250,SLATable[Priority],0))),"YES","NO"),"")</f>
        <v/>
      </c>
    </row>
    <row r="251" spans="26:36" ht="15" customHeight="1">
      <c r="Z251" s="76" t="e">
        <f t="shared" ca="1" si="20"/>
        <v>#N/A</v>
      </c>
      <c r="AA251" s="75" t="e">
        <f t="shared" ca="1" si="1"/>
        <v>#N/A</v>
      </c>
      <c r="AB251" s="76">
        <f t="shared" ca="1" si="21"/>
        <v>0</v>
      </c>
      <c r="AC251" s="75">
        <f t="shared" ca="1" si="3"/>
        <v>0</v>
      </c>
      <c r="AD251" s="76">
        <f t="shared" ca="1" si="22"/>
        <v>12388.425642708335</v>
      </c>
      <c r="AE251" s="76">
        <f t="shared" si="23"/>
        <v>0</v>
      </c>
      <c r="AF251" s="75">
        <f t="shared" si="6"/>
        <v>0</v>
      </c>
      <c r="AG251" s="75">
        <f t="shared" si="7"/>
        <v>0</v>
      </c>
      <c r="AH251" s="31" t="e" cm="1">
        <f t="array" aca="1" ref="AH251" ca="1">IF((AD251) &lt; (INDEX(ResponseSLA[#All],(MATCH((G251),ResponseSLA[Priority],0))+1,3)),"YES","No")</f>
        <v>#N/A</v>
      </c>
      <c r="AI251" s="31" t="str">
        <f>_xlfn.IFNA(IF(AE251 &lt; (INDEX(SLATable[Minimum SLA],MATCH(G251,SLATable[Priority],0))),"YES","NO"),"")</f>
        <v/>
      </c>
      <c r="AJ251" t="str">
        <f>_xlfn.IFNA(IF(AE251 &lt; (INDEX(SLATable[Maximum SLA],MATCH(G251,SLATable[Priority],0))),"YES","NO"),"")</f>
        <v/>
      </c>
    </row>
    <row r="252" spans="26:36" ht="15" customHeight="1">
      <c r="Z252" s="76" t="e">
        <f t="shared" ca="1" si="20"/>
        <v>#N/A</v>
      </c>
      <c r="AA252" s="75" t="e">
        <f t="shared" ca="1" si="1"/>
        <v>#N/A</v>
      </c>
      <c r="AB252" s="76">
        <f t="shared" ca="1" si="21"/>
        <v>0</v>
      </c>
      <c r="AC252" s="75">
        <f t="shared" ca="1" si="3"/>
        <v>0</v>
      </c>
      <c r="AD252" s="76">
        <f t="shared" ca="1" si="22"/>
        <v>12388.425642708335</v>
      </c>
      <c r="AE252" s="76">
        <f t="shared" si="23"/>
        <v>0</v>
      </c>
      <c r="AF252" s="75">
        <f t="shared" si="6"/>
        <v>0</v>
      </c>
      <c r="AG252" s="75">
        <f t="shared" si="7"/>
        <v>0</v>
      </c>
      <c r="AH252" s="31" t="e" cm="1">
        <f t="array" aca="1" ref="AH252" ca="1">IF((AD252) &lt; (INDEX(ResponseSLA[#All],(MATCH((G252),ResponseSLA[Priority],0))+1,3)),"YES","No")</f>
        <v>#N/A</v>
      </c>
      <c r="AI252" s="31" t="str">
        <f>_xlfn.IFNA(IF(AE252 &lt; (INDEX(SLATable[Minimum SLA],MATCH(G252,SLATable[Priority],0))),"YES","NO"),"")</f>
        <v/>
      </c>
      <c r="AJ252" t="str">
        <f>_xlfn.IFNA(IF(AE252 &lt; (INDEX(SLATable[Maximum SLA],MATCH(G252,SLATable[Priority],0))),"YES","NO"),"")</f>
        <v/>
      </c>
    </row>
    <row r="253" spans="26:36" ht="15" customHeight="1">
      <c r="Z253" s="76" t="e">
        <f t="shared" ca="1" si="20"/>
        <v>#N/A</v>
      </c>
      <c r="AA253" s="75" t="e">
        <f t="shared" ca="1" si="1"/>
        <v>#N/A</v>
      </c>
      <c r="AB253" s="76">
        <f t="shared" ca="1" si="21"/>
        <v>0</v>
      </c>
      <c r="AC253" s="75">
        <f t="shared" ca="1" si="3"/>
        <v>0</v>
      </c>
      <c r="AD253" s="76">
        <f t="shared" ca="1" si="22"/>
        <v>12388.425642708335</v>
      </c>
      <c r="AE253" s="76">
        <f t="shared" si="23"/>
        <v>0</v>
      </c>
      <c r="AF253" s="75">
        <f t="shared" si="6"/>
        <v>0</v>
      </c>
      <c r="AG253" s="75">
        <f t="shared" si="7"/>
        <v>0</v>
      </c>
      <c r="AH253" s="31" t="e" cm="1">
        <f t="array" aca="1" ref="AH253" ca="1">IF((AD253) &lt; (INDEX(ResponseSLA[#All],(MATCH((G253),ResponseSLA[Priority],0))+1,3)),"YES","No")</f>
        <v>#N/A</v>
      </c>
      <c r="AI253" s="31" t="str">
        <f>_xlfn.IFNA(IF(AE253 &lt; (INDEX(SLATable[Minimum SLA],MATCH(G253,SLATable[Priority],0))),"YES","NO"),"")</f>
        <v/>
      </c>
      <c r="AJ253" t="str">
        <f>_xlfn.IFNA(IF(AE253 &lt; (INDEX(SLATable[Maximum SLA],MATCH(G253,SLATable[Priority],0))),"YES","NO"),"")</f>
        <v/>
      </c>
    </row>
    <row r="254" spans="26:36" ht="15" customHeight="1">
      <c r="Z254" s="76" t="e">
        <f t="shared" ca="1" si="20"/>
        <v>#N/A</v>
      </c>
      <c r="AA254" s="75" t="e">
        <f t="shared" ca="1" si="1"/>
        <v>#N/A</v>
      </c>
      <c r="AB254" s="76">
        <f t="shared" ca="1" si="21"/>
        <v>0</v>
      </c>
      <c r="AC254" s="75">
        <f t="shared" ca="1" si="3"/>
        <v>0</v>
      </c>
      <c r="AD254" s="76">
        <f t="shared" ca="1" si="22"/>
        <v>12388.425642708335</v>
      </c>
      <c r="AE254" s="76">
        <f t="shared" si="23"/>
        <v>0</v>
      </c>
      <c r="AF254" s="75">
        <f t="shared" si="6"/>
        <v>0</v>
      </c>
      <c r="AG254" s="75">
        <f t="shared" si="7"/>
        <v>0</v>
      </c>
      <c r="AH254" s="31" t="e" cm="1">
        <f t="array" aca="1" ref="AH254" ca="1">IF((AD254) &lt; (INDEX(ResponseSLA[#All],(MATCH((G254),ResponseSLA[Priority],0))+1,3)),"YES","No")</f>
        <v>#N/A</v>
      </c>
      <c r="AI254" s="31" t="str">
        <f>_xlfn.IFNA(IF(AE254 &lt; (INDEX(SLATable[Minimum SLA],MATCH(G254,SLATable[Priority],0))),"YES","NO"),"")</f>
        <v/>
      </c>
      <c r="AJ254" t="str">
        <f>_xlfn.IFNA(IF(AE254 &lt; (INDEX(SLATable[Maximum SLA],MATCH(G254,SLATable[Priority],0))),"YES","NO"),"")</f>
        <v/>
      </c>
    </row>
    <row r="255" spans="26:36" ht="15" customHeight="1">
      <c r="Z255" s="76" t="e">
        <f t="shared" ca="1" si="20"/>
        <v>#N/A</v>
      </c>
      <c r="AA255" s="75" t="e">
        <f t="shared" ca="1" si="1"/>
        <v>#N/A</v>
      </c>
      <c r="AB255" s="76">
        <f t="shared" ca="1" si="21"/>
        <v>0</v>
      </c>
      <c r="AC255" s="75">
        <f t="shared" ca="1" si="3"/>
        <v>0</v>
      </c>
      <c r="AD255" s="76">
        <f t="shared" ca="1" si="22"/>
        <v>12388.425642708335</v>
      </c>
      <c r="AE255" s="76">
        <f t="shared" si="23"/>
        <v>0</v>
      </c>
      <c r="AF255" s="75">
        <f t="shared" si="6"/>
        <v>0</v>
      </c>
      <c r="AG255" s="75">
        <f t="shared" si="7"/>
        <v>0</v>
      </c>
      <c r="AH255" s="31" t="e" cm="1">
        <f t="array" aca="1" ref="AH255" ca="1">IF((AD255) &lt; (INDEX(ResponseSLA[#All],(MATCH((G255),ResponseSLA[Priority],0))+1,3)),"YES","No")</f>
        <v>#N/A</v>
      </c>
      <c r="AI255" s="31" t="str">
        <f>_xlfn.IFNA(IF(AE255 &lt; (INDEX(SLATable[Minimum SLA],MATCH(G255,SLATable[Priority],0))),"YES","NO"),"")</f>
        <v/>
      </c>
      <c r="AJ255" t="str">
        <f>_xlfn.IFNA(IF(AE255 &lt; (INDEX(SLATable[Maximum SLA],MATCH(G255,SLATable[Priority],0))),"YES","NO"),"")</f>
        <v/>
      </c>
    </row>
    <row r="256" spans="26:36" ht="15" customHeight="1">
      <c r="Z256" s="76" t="e">
        <f t="shared" ca="1" si="20"/>
        <v>#N/A</v>
      </c>
      <c r="AA256" s="75" t="e">
        <f t="shared" ca="1" si="1"/>
        <v>#N/A</v>
      </c>
      <c r="AB256" s="76">
        <f t="shared" ca="1" si="21"/>
        <v>0</v>
      </c>
      <c r="AC256" s="75">
        <f t="shared" ca="1" si="3"/>
        <v>0</v>
      </c>
      <c r="AD256" s="76">
        <f t="shared" ca="1" si="22"/>
        <v>12388.425642708335</v>
      </c>
      <c r="AE256" s="76">
        <f t="shared" si="23"/>
        <v>0</v>
      </c>
      <c r="AF256" s="75">
        <f t="shared" si="6"/>
        <v>0</v>
      </c>
      <c r="AG256" s="75">
        <f t="shared" si="7"/>
        <v>0</v>
      </c>
      <c r="AH256" s="31" t="e" cm="1">
        <f t="array" aca="1" ref="AH256" ca="1">IF((AD256) &lt; (INDEX(ResponseSLA[#All],(MATCH((G256),ResponseSLA[Priority],0))+1,3)),"YES","No")</f>
        <v>#N/A</v>
      </c>
      <c r="AI256" s="31" t="str">
        <f>_xlfn.IFNA(IF(AE256 &lt; (INDEX(SLATable[Minimum SLA],MATCH(G256,SLATable[Priority],0))),"YES","NO"),"")</f>
        <v/>
      </c>
      <c r="AJ256" t="str">
        <f>_xlfn.IFNA(IF(AE256 &lt; (INDEX(SLATable[Maximum SLA],MATCH(G256,SLATable[Priority],0))),"YES","NO"),"")</f>
        <v/>
      </c>
    </row>
    <row r="257" spans="26:36" ht="15" customHeight="1">
      <c r="Z257" s="76" t="e">
        <f t="shared" ca="1" si="20"/>
        <v>#N/A</v>
      </c>
      <c r="AA257" s="75" t="e">
        <f t="shared" ref="AA257:AA320" ca="1" si="24">(Z257*24)/9</f>
        <v>#N/A</v>
      </c>
      <c r="AB257" s="76">
        <f t="shared" ca="1" si="21"/>
        <v>0</v>
      </c>
      <c r="AC257" s="75">
        <f t="shared" ref="AC257:AC320" ca="1" si="25">(AB257*24)/9</f>
        <v>0</v>
      </c>
      <c r="AD257" s="76">
        <f t="shared" ca="1" si="22"/>
        <v>12388.425642708335</v>
      </c>
      <c r="AE257" s="76">
        <f t="shared" si="23"/>
        <v>0</v>
      </c>
      <c r="AF257" s="75">
        <f t="shared" ref="AF257:AF320" si="26">(AE257*24)/9</f>
        <v>0</v>
      </c>
      <c r="AG257" s="75">
        <f t="shared" ref="AG257:AG320" si="27">AF257</f>
        <v>0</v>
      </c>
      <c r="AH257" s="31" t="e" cm="1">
        <f t="array" aca="1" ref="AH257" ca="1">IF((AD257) &lt; (INDEX(ResponseSLA[#All],(MATCH((G257),ResponseSLA[Priority],0))+1,3)),"YES","No")</f>
        <v>#N/A</v>
      </c>
      <c r="AI257" s="31" t="str">
        <f>_xlfn.IFNA(IF(AE257 &lt; (INDEX(SLATable[Minimum SLA],MATCH(G257,SLATable[Priority],0))),"YES","NO"),"")</f>
        <v/>
      </c>
      <c r="AJ257" t="str">
        <f>_xlfn.IFNA(IF(AE257 &lt; (INDEX(SLATable[Maximum SLA],MATCH(G257,SLATable[Priority],0))),"YES","NO"),"")</f>
        <v/>
      </c>
    </row>
    <row r="258" spans="26:36" ht="15" customHeight="1">
      <c r="Z258" s="76" t="e">
        <f t="shared" ca="1" si="20"/>
        <v>#N/A</v>
      </c>
      <c r="AA258" s="75" t="e">
        <f t="shared" ca="1" si="24"/>
        <v>#N/A</v>
      </c>
      <c r="AB258" s="76">
        <f t="shared" ca="1" si="21"/>
        <v>0</v>
      </c>
      <c r="AC258" s="75">
        <f t="shared" ca="1" si="25"/>
        <v>0</v>
      </c>
      <c r="AD258" s="76">
        <f t="shared" ca="1" si="22"/>
        <v>12388.425642708335</v>
      </c>
      <c r="AE258" s="76">
        <f t="shared" si="23"/>
        <v>0</v>
      </c>
      <c r="AF258" s="75">
        <f t="shared" si="26"/>
        <v>0</v>
      </c>
      <c r="AG258" s="75">
        <f t="shared" si="27"/>
        <v>0</v>
      </c>
      <c r="AH258" s="31" t="e" cm="1">
        <f t="array" aca="1" ref="AH258" ca="1">IF((AD258) &lt; (INDEX(ResponseSLA[#All],(MATCH((G258),ResponseSLA[Priority],0))+1,3)),"YES","No")</f>
        <v>#N/A</v>
      </c>
      <c r="AI258" s="31" t="str">
        <f>_xlfn.IFNA(IF(AE258 &lt; (INDEX(SLATable[Minimum SLA],MATCH(G258,SLATable[Priority],0))),"YES","NO"),"")</f>
        <v/>
      </c>
      <c r="AJ258" t="str">
        <f>_xlfn.IFNA(IF(AE258 &lt; (INDEX(SLATable[Maximum SLA],MATCH(G258,SLATable[Priority],0))),"YES","NO"),"")</f>
        <v/>
      </c>
    </row>
    <row r="259" spans="26:36" ht="15" customHeight="1">
      <c r="Z259" s="76" t="e">
        <f t="shared" ref="Z259:Z322" ca="1" si="28">IF(NOT(OR(G259=1,G259=2)),MAX(0,_xlfn.IFS(AND(K259&lt;&gt;"",N259&lt;&gt;""),((MAX(NETWORKDAYS(K259,N259,UKBankHolidays)-1,0))*(TIME(17,0,0)-TIME(8,0,0))+IF(NETWORKDAYS(N259,N259,UKBankHolidays)&gt;0,MEDIAN(TIME(8,0,0),MOD(N259,1),TIME(17,0,0)),TIME(8,0,0))-IF(NETWORKDAYS(K259,K259,UKBankHolidays)&gt;0,MEDIAN(TIME(8,0,0),MOD(K259,1),TIME(17,0,0)),TIME(8,0,0)))-IF(AND(O259&lt;&gt;"",P259&lt;&gt;""),((MAX(NETWORKDAYS(O259,P259,UKBankHolidays)-1,0))*(TIME(17,0,0)-TIME(8,0,0))+IF(NETWORKDAYS(P259,P259,UKBankHolidays)&gt;0,MEDIAN(TIME(8,0,0),MOD(P259,1),TIME(17,0,0)),TIME(8,0,0))-IF(NETWORKDAYS(O259,O259,UKBankHolidays)&gt;0,MEDIAN(TIME(8,0,0),MOD(O259,1),TIME(17,0,0)),TIME(8,0,0))),0),AND(K259&lt;&gt;"",N259=""),((MAX(NETWORKDAYS(K259,NOW(),UKBankHolidays)-1,0))*(TIME(17,0,0)-TIME(8,0,0))+IF(NETWORKDAYS(NOW(),NOW(),UKBankHolidays)&gt;0,MEDIAN(TIME(8,0,0),MOD(NOW(),1),TIME(17,0,0)),TIME(8,0,0))-IF(NETWORKDAYS(K259,K259,UKBankHolidays)&gt;0,MEDIAN(TIME(8,0,0),MOD(K259,1),TIME(17,0,0)),TIME(8,0,0))))),IF(N259="",NOW()-K259,N259-K259))</f>
        <v>#N/A</v>
      </c>
      <c r="AA259" s="75" t="e">
        <f t="shared" ca="1" si="24"/>
        <v>#N/A</v>
      </c>
      <c r="AB259" s="76">
        <f t="shared" ref="AB259:AB322" ca="1" si="29">IF(NOT(OR(G259=1,G259=2)),MAX(0,_xlfn.IFS(AND(K259&lt;&gt;"",N259&lt;&gt;""),(((MAX(NETWORKDAYS(L259,N259,UKBankHolidays)-1,0))*(TIME(17,0,0)-TIME(8,0,0)))+IF(NETWORKDAYS(N259,N259,UKBankHolidays)&gt;0,MEDIAN(TIME(8,0,0),MOD(N259,1),TIME(17,0,0)),TIME(8,0,0))-IF(NETWORKDAYS(L259,L259,UKBankHolidays)&gt;0,MEDIAN(TIME(8,0,0),MOD(L259,1),TIME(17,0,0)),TIME(8,0,0)))-IF(AND(O259&lt;&gt;"",P259&lt;&gt;""),(((MAX(NETWORKDAYS(O259,P259,UKBankHolidays)-1,0))*(TIME(17,0,0)-TIME(8,0,0)))+IF(NETWORKDAYS(P259,P259,UKBankHolidays)&gt;0,MEDIAN(TIME(8,0,0),MOD(P259,1),TIME(17,0,0)),TIME(8,0,0))-IF(NETWORKDAYS(O259,O259,UKBankHolidays)&gt;0,MEDIAN(TIME(8,0,0),MOD(O259,1),TIME(17,0,0)),TIME(8,0,0))),0),AND(L259&lt;&gt;"",N259="",O259=""),(((MAX(NETWORKDAYS(L259,NOW(),UKBankHolidays)-1,0))*(TIME(17,0,0)-TIME(8,0,0)))+IF(NETWORKDAYS(NOW(),NOW(),UKBankHolidays)&gt;0,MEDIAN(TIME(8,0,0),MOD(NOW(),1),TIME(17,0,0)),TIME(8,0,0))-IF(NETWORKDAYS(L259,L259,UKBankHolidays)&gt;0,MEDIAN(TIME(8,0,0),MOD(L259,1),TIME(17,0,0)),TIME(8,0,0)))-IF(AND(O259&lt;&gt;"",P259&lt;&gt;""),(((MAX(NETWORKDAYS(O259,P259,UKBankHolidays)-1,0))*(TIME(17,0,0)-TIME(8,0,0)))+IF(NETWORKDAYS(P259,P259,UKBankHolidays)&gt;0,MEDIAN(TIME(8,0,0),MOD(P259,1),TIME(17,0,0)),TIME(8,0,0))-IF(NETWORKDAYS(O259,O259,UKBankHolidays)&gt;0,MEDIAN(TIME(8,0,0),MOD(O259,1),TIME(17,0,0)),TIME(8,0,0))),0),AND(L259&lt;&gt;"",N259="",P259="",O259&lt;&gt;""),(((MAX(NETWORKDAYS(L259,O259,UKBankHolidays)-1,0))*(TIME(17,0,0)-TIME(8,0,0)))+IF(NETWORKDAYS(O259,O259,UKBankHolidays)&gt;0,MEDIAN(TIME(8,0,0),MOD(O259,1),TIME(17,0,0)),TIME(8,0,0))-IF(NETWORKDAYS(L259,L259,UKBankHolidays)&gt;0,MEDIAN(TIME(8,0,0),MOD(L259,1),TIME(17,0,0)),TIME(8,0,0))),ISBLANK(K259),"0")),IF(ISBLANK(N259),NOW()-L259,N259-L259))</f>
        <v>0</v>
      </c>
      <c r="AC259" s="75">
        <f t="shared" ca="1" si="25"/>
        <v>0</v>
      </c>
      <c r="AD259" s="76">
        <f t="shared" ref="AD259:AD322" ca="1" si="30">MAX(0,IF(NOT(OR(G259=1,G259=2)),IF(M259&lt;&gt;"",((MAX(NETWORKDAYS(L259,M259,UKBankHolidays)-1,0))*(TIME(17,0,0)-TIME(8,0,0))+IF(NETWORKDAYS(M259,M259,UKBankHolidays)&gt;0,MEDIAN(TIME(8,0,0),MOD(M259,1),TIME(17,0,0)),TIME(8,0,0))-MEDIAN(TIME(8,0,0),MOD(L259,1),TIME(17,0,0))),((MAX(NETWORKDAYS(L259,NOW(),UKBankHolidays)-1,0))*(TIME(17,0,0)-TIME(8,0,0))+IF(NETWORKDAYS(NOW(),NOW(),UKBankHolidays)&gt;0,MEDIAN(TIME(8,0,0),MOD(NOW(),1),TIME(17,0,0)),TIME(8,0,0))-MEDIAN(TIME(8,0,0),MOD(L259,1),TIME(17,0,0)))),IF(M259&lt;&gt;"",M259-L259,NOW()-L259)))</f>
        <v>12388.425642708335</v>
      </c>
      <c r="AE259" s="76">
        <f t="shared" ref="AE259:AE322" si="31">SUMIFS(AB:AB,E:E,E259)</f>
        <v>0</v>
      </c>
      <c r="AF259" s="75">
        <f t="shared" si="26"/>
        <v>0</v>
      </c>
      <c r="AG259" s="75">
        <f t="shared" si="27"/>
        <v>0</v>
      </c>
      <c r="AH259" s="31" t="e" cm="1">
        <f t="array" aca="1" ref="AH259" ca="1">IF((AD259) &lt; (INDEX(ResponseSLA[#All],(MATCH((G259),ResponseSLA[Priority],0))+1,3)),"YES","No")</f>
        <v>#N/A</v>
      </c>
      <c r="AI259" s="31" t="str">
        <f>_xlfn.IFNA(IF(AE259 &lt; (INDEX(SLATable[Minimum SLA],MATCH(G259,SLATable[Priority],0))),"YES","NO"),"")</f>
        <v/>
      </c>
      <c r="AJ259" t="str">
        <f>_xlfn.IFNA(IF(AE259 &lt; (INDEX(SLATable[Maximum SLA],MATCH(G259,SLATable[Priority],0))),"YES","NO"),"")</f>
        <v/>
      </c>
    </row>
    <row r="260" spans="26:36" ht="15" customHeight="1">
      <c r="Z260" s="76" t="e">
        <f t="shared" ca="1" si="28"/>
        <v>#N/A</v>
      </c>
      <c r="AA260" s="75" t="e">
        <f t="shared" ca="1" si="24"/>
        <v>#N/A</v>
      </c>
      <c r="AB260" s="76">
        <f t="shared" ca="1" si="29"/>
        <v>0</v>
      </c>
      <c r="AC260" s="75">
        <f t="shared" ca="1" si="25"/>
        <v>0</v>
      </c>
      <c r="AD260" s="76">
        <f t="shared" ca="1" si="30"/>
        <v>12388.425642708335</v>
      </c>
      <c r="AE260" s="76">
        <f t="shared" si="31"/>
        <v>0</v>
      </c>
      <c r="AF260" s="75">
        <f t="shared" si="26"/>
        <v>0</v>
      </c>
      <c r="AG260" s="75">
        <f t="shared" si="27"/>
        <v>0</v>
      </c>
      <c r="AH260" s="31" t="e" cm="1">
        <f t="array" aca="1" ref="AH260" ca="1">IF((AD260) &lt; (INDEX(ResponseSLA[#All],(MATCH((G260),ResponseSLA[Priority],0))+1,3)),"YES","No")</f>
        <v>#N/A</v>
      </c>
      <c r="AI260" s="31" t="str">
        <f>_xlfn.IFNA(IF(AE260 &lt; (INDEX(SLATable[Minimum SLA],MATCH(G260,SLATable[Priority],0))),"YES","NO"),"")</f>
        <v/>
      </c>
      <c r="AJ260" t="str">
        <f>_xlfn.IFNA(IF(AE260 &lt; (INDEX(SLATable[Maximum SLA],MATCH(G260,SLATable[Priority],0))),"YES","NO"),"")</f>
        <v/>
      </c>
    </row>
    <row r="261" spans="26:36" ht="15" customHeight="1">
      <c r="Z261" s="76" t="e">
        <f t="shared" ca="1" si="28"/>
        <v>#N/A</v>
      </c>
      <c r="AA261" s="75" t="e">
        <f t="shared" ca="1" si="24"/>
        <v>#N/A</v>
      </c>
      <c r="AB261" s="76">
        <f t="shared" ca="1" si="29"/>
        <v>0</v>
      </c>
      <c r="AC261" s="75">
        <f t="shared" ca="1" si="25"/>
        <v>0</v>
      </c>
      <c r="AD261" s="76">
        <f t="shared" ca="1" si="30"/>
        <v>12388.425642708335</v>
      </c>
      <c r="AE261" s="76">
        <f t="shared" si="31"/>
        <v>0</v>
      </c>
      <c r="AF261" s="75">
        <f t="shared" si="26"/>
        <v>0</v>
      </c>
      <c r="AG261" s="75">
        <f t="shared" si="27"/>
        <v>0</v>
      </c>
      <c r="AH261" s="31" t="e" cm="1">
        <f t="array" aca="1" ref="AH261" ca="1">IF((AD261) &lt; (INDEX(ResponseSLA[#All],(MATCH((G261),ResponseSLA[Priority],0))+1,3)),"YES","No")</f>
        <v>#N/A</v>
      </c>
      <c r="AI261" s="31" t="str">
        <f>_xlfn.IFNA(IF(AE261 &lt; (INDEX(SLATable[Minimum SLA],MATCH(G261,SLATable[Priority],0))),"YES","NO"),"")</f>
        <v/>
      </c>
      <c r="AJ261" t="str">
        <f>_xlfn.IFNA(IF(AE261 &lt; (INDEX(SLATable[Maximum SLA],MATCH(G261,SLATable[Priority],0))),"YES","NO"),"")</f>
        <v/>
      </c>
    </row>
    <row r="262" spans="26:36" ht="15" customHeight="1">
      <c r="Z262" s="76" t="e">
        <f t="shared" ca="1" si="28"/>
        <v>#N/A</v>
      </c>
      <c r="AA262" s="75" t="e">
        <f t="shared" ca="1" si="24"/>
        <v>#N/A</v>
      </c>
      <c r="AB262" s="76">
        <f t="shared" ca="1" si="29"/>
        <v>0</v>
      </c>
      <c r="AC262" s="75">
        <f t="shared" ca="1" si="25"/>
        <v>0</v>
      </c>
      <c r="AD262" s="76">
        <f t="shared" ca="1" si="30"/>
        <v>12388.425642708335</v>
      </c>
      <c r="AE262" s="76">
        <f t="shared" si="31"/>
        <v>0</v>
      </c>
      <c r="AF262" s="75">
        <f t="shared" si="26"/>
        <v>0</v>
      </c>
      <c r="AG262" s="75">
        <f t="shared" si="27"/>
        <v>0</v>
      </c>
      <c r="AH262" s="31" t="e" cm="1">
        <f t="array" aca="1" ref="AH262" ca="1">IF((AD262) &lt; (INDEX(ResponseSLA[#All],(MATCH((G262),ResponseSLA[Priority],0))+1,3)),"YES","No")</f>
        <v>#N/A</v>
      </c>
      <c r="AI262" s="31" t="str">
        <f>_xlfn.IFNA(IF(AE262 &lt; (INDEX(SLATable[Minimum SLA],MATCH(G262,SLATable[Priority],0))),"YES","NO"),"")</f>
        <v/>
      </c>
      <c r="AJ262" t="str">
        <f>_xlfn.IFNA(IF(AE262 &lt; (INDEX(SLATable[Maximum SLA],MATCH(G262,SLATable[Priority],0))),"YES","NO"),"")</f>
        <v/>
      </c>
    </row>
    <row r="263" spans="26:36" ht="15" customHeight="1">
      <c r="Z263" s="76" t="e">
        <f t="shared" ca="1" si="28"/>
        <v>#N/A</v>
      </c>
      <c r="AA263" s="75" t="e">
        <f t="shared" ca="1" si="24"/>
        <v>#N/A</v>
      </c>
      <c r="AB263" s="76">
        <f t="shared" ca="1" si="29"/>
        <v>0</v>
      </c>
      <c r="AC263" s="75">
        <f t="shared" ca="1" si="25"/>
        <v>0</v>
      </c>
      <c r="AD263" s="76">
        <f t="shared" ca="1" si="30"/>
        <v>12388.425642708335</v>
      </c>
      <c r="AE263" s="76">
        <f t="shared" si="31"/>
        <v>0</v>
      </c>
      <c r="AF263" s="75">
        <f t="shared" si="26"/>
        <v>0</v>
      </c>
      <c r="AG263" s="75">
        <f t="shared" si="27"/>
        <v>0</v>
      </c>
      <c r="AH263" s="31" t="e" cm="1">
        <f t="array" aca="1" ref="AH263" ca="1">IF((AD263) &lt; (INDEX(ResponseSLA[#All],(MATCH((G263),ResponseSLA[Priority],0))+1,3)),"YES","No")</f>
        <v>#N/A</v>
      </c>
      <c r="AI263" s="31" t="str">
        <f>_xlfn.IFNA(IF(AE263 &lt; (INDEX(SLATable[Minimum SLA],MATCH(G263,SLATable[Priority],0))),"YES","NO"),"")</f>
        <v/>
      </c>
      <c r="AJ263" t="str">
        <f>_xlfn.IFNA(IF(AE263 &lt; (INDEX(SLATable[Maximum SLA],MATCH(G263,SLATable[Priority],0))),"YES","NO"),"")</f>
        <v/>
      </c>
    </row>
    <row r="264" spans="26:36" ht="15" customHeight="1">
      <c r="Z264" s="76" t="e">
        <f t="shared" ca="1" si="28"/>
        <v>#N/A</v>
      </c>
      <c r="AA264" s="75" t="e">
        <f t="shared" ca="1" si="24"/>
        <v>#N/A</v>
      </c>
      <c r="AB264" s="76">
        <f t="shared" ca="1" si="29"/>
        <v>0</v>
      </c>
      <c r="AC264" s="75">
        <f t="shared" ca="1" si="25"/>
        <v>0</v>
      </c>
      <c r="AD264" s="76">
        <f t="shared" ca="1" si="30"/>
        <v>12388.425642708335</v>
      </c>
      <c r="AE264" s="76">
        <f t="shared" si="31"/>
        <v>0</v>
      </c>
      <c r="AF264" s="75">
        <f t="shared" si="26"/>
        <v>0</v>
      </c>
      <c r="AG264" s="75">
        <f t="shared" si="27"/>
        <v>0</v>
      </c>
      <c r="AH264" s="31" t="e" cm="1">
        <f t="array" aca="1" ref="AH264" ca="1">IF((AD264) &lt; (INDEX(ResponseSLA[#All],(MATCH((G264),ResponseSLA[Priority],0))+1,3)),"YES","No")</f>
        <v>#N/A</v>
      </c>
      <c r="AI264" s="31" t="str">
        <f>_xlfn.IFNA(IF(AE264 &lt; (INDEX(SLATable[Minimum SLA],MATCH(G264,SLATable[Priority],0))),"YES","NO"),"")</f>
        <v/>
      </c>
      <c r="AJ264" t="str">
        <f>_xlfn.IFNA(IF(AE264 &lt; (INDEX(SLATable[Maximum SLA],MATCH(G264,SLATable[Priority],0))),"YES","NO"),"")</f>
        <v/>
      </c>
    </row>
    <row r="265" spans="26:36" ht="15" customHeight="1">
      <c r="Z265" s="76" t="e">
        <f t="shared" ca="1" si="28"/>
        <v>#N/A</v>
      </c>
      <c r="AA265" s="75" t="e">
        <f t="shared" ca="1" si="24"/>
        <v>#N/A</v>
      </c>
      <c r="AB265" s="76">
        <f t="shared" ca="1" si="29"/>
        <v>0</v>
      </c>
      <c r="AC265" s="75">
        <f t="shared" ca="1" si="25"/>
        <v>0</v>
      </c>
      <c r="AD265" s="76">
        <f t="shared" ca="1" si="30"/>
        <v>12388.425642708335</v>
      </c>
      <c r="AE265" s="76">
        <f t="shared" si="31"/>
        <v>0</v>
      </c>
      <c r="AF265" s="75">
        <f t="shared" si="26"/>
        <v>0</v>
      </c>
      <c r="AG265" s="75">
        <f t="shared" si="27"/>
        <v>0</v>
      </c>
      <c r="AH265" s="31" t="e" cm="1">
        <f t="array" aca="1" ref="AH265" ca="1">IF((AD265) &lt; (INDEX(ResponseSLA[#All],(MATCH((G265),ResponseSLA[Priority],0))+1,3)),"YES","No")</f>
        <v>#N/A</v>
      </c>
      <c r="AI265" s="31" t="str">
        <f>_xlfn.IFNA(IF(AE265 &lt; (INDEX(SLATable[Minimum SLA],MATCH(G265,SLATable[Priority],0))),"YES","NO"),"")</f>
        <v/>
      </c>
      <c r="AJ265" t="str">
        <f>_xlfn.IFNA(IF(AE265 &lt; (INDEX(SLATable[Maximum SLA],MATCH(G265,SLATable[Priority],0))),"YES","NO"),"")</f>
        <v/>
      </c>
    </row>
    <row r="266" spans="26:36" ht="15" customHeight="1">
      <c r="Z266" s="76" t="e">
        <f t="shared" ca="1" si="28"/>
        <v>#N/A</v>
      </c>
      <c r="AA266" s="75" t="e">
        <f t="shared" ca="1" si="24"/>
        <v>#N/A</v>
      </c>
      <c r="AB266" s="76">
        <f t="shared" ca="1" si="29"/>
        <v>0</v>
      </c>
      <c r="AC266" s="75">
        <f t="shared" ca="1" si="25"/>
        <v>0</v>
      </c>
      <c r="AD266" s="76">
        <f t="shared" ca="1" si="30"/>
        <v>12388.425642708335</v>
      </c>
      <c r="AE266" s="76">
        <f t="shared" si="31"/>
        <v>0</v>
      </c>
      <c r="AF266" s="75">
        <f t="shared" si="26"/>
        <v>0</v>
      </c>
      <c r="AG266" s="75">
        <f t="shared" si="27"/>
        <v>0</v>
      </c>
      <c r="AH266" s="31" t="e" cm="1">
        <f t="array" aca="1" ref="AH266" ca="1">IF((AD266) &lt; (INDEX(ResponseSLA[#All],(MATCH((G266),ResponseSLA[Priority],0))+1,3)),"YES","No")</f>
        <v>#N/A</v>
      </c>
      <c r="AI266" s="31" t="str">
        <f>_xlfn.IFNA(IF(AE266 &lt; (INDEX(SLATable[Minimum SLA],MATCH(G266,SLATable[Priority],0))),"YES","NO"),"")</f>
        <v/>
      </c>
      <c r="AJ266" t="str">
        <f>_xlfn.IFNA(IF(AE266 &lt; (INDEX(SLATable[Maximum SLA],MATCH(G266,SLATable[Priority],0))),"YES","NO"),"")</f>
        <v/>
      </c>
    </row>
    <row r="267" spans="26:36" ht="15" customHeight="1">
      <c r="Z267" s="76" t="e">
        <f t="shared" ca="1" si="28"/>
        <v>#N/A</v>
      </c>
      <c r="AA267" s="75" t="e">
        <f t="shared" ca="1" si="24"/>
        <v>#N/A</v>
      </c>
      <c r="AB267" s="76">
        <f t="shared" ca="1" si="29"/>
        <v>0</v>
      </c>
      <c r="AC267" s="75">
        <f t="shared" ca="1" si="25"/>
        <v>0</v>
      </c>
      <c r="AD267" s="76">
        <f t="shared" ca="1" si="30"/>
        <v>12388.425642708335</v>
      </c>
      <c r="AE267" s="76">
        <f t="shared" si="31"/>
        <v>0</v>
      </c>
      <c r="AF267" s="75">
        <f t="shared" si="26"/>
        <v>0</v>
      </c>
      <c r="AG267" s="75">
        <f t="shared" si="27"/>
        <v>0</v>
      </c>
      <c r="AH267" s="31" t="e" cm="1">
        <f t="array" aca="1" ref="AH267" ca="1">IF((AD267) &lt; (INDEX(ResponseSLA[#All],(MATCH((G267),ResponseSLA[Priority],0))+1,3)),"YES","No")</f>
        <v>#N/A</v>
      </c>
      <c r="AI267" s="31" t="str">
        <f>_xlfn.IFNA(IF(AE267 &lt; (INDEX(SLATable[Minimum SLA],MATCH(G267,SLATable[Priority],0))),"YES","NO"),"")</f>
        <v/>
      </c>
      <c r="AJ267" t="str">
        <f>_xlfn.IFNA(IF(AE267 &lt; (INDEX(SLATable[Maximum SLA],MATCH(G267,SLATable[Priority],0))),"YES","NO"),"")</f>
        <v/>
      </c>
    </row>
    <row r="268" spans="26:36" ht="15" customHeight="1">
      <c r="Z268" s="76" t="e">
        <f t="shared" ca="1" si="28"/>
        <v>#N/A</v>
      </c>
      <c r="AA268" s="75" t="e">
        <f t="shared" ca="1" si="24"/>
        <v>#N/A</v>
      </c>
      <c r="AB268" s="76">
        <f t="shared" ca="1" si="29"/>
        <v>0</v>
      </c>
      <c r="AC268" s="75">
        <f t="shared" ca="1" si="25"/>
        <v>0</v>
      </c>
      <c r="AD268" s="76">
        <f t="shared" ca="1" si="30"/>
        <v>12388.425642708335</v>
      </c>
      <c r="AE268" s="76">
        <f t="shared" si="31"/>
        <v>0</v>
      </c>
      <c r="AF268" s="75">
        <f t="shared" si="26"/>
        <v>0</v>
      </c>
      <c r="AG268" s="75">
        <f t="shared" si="27"/>
        <v>0</v>
      </c>
      <c r="AH268" s="31" t="e" cm="1">
        <f t="array" aca="1" ref="AH268" ca="1">IF((AD268) &lt; (INDEX(ResponseSLA[#All],(MATCH((G268),ResponseSLA[Priority],0))+1,3)),"YES","No")</f>
        <v>#N/A</v>
      </c>
      <c r="AI268" s="31" t="str">
        <f>_xlfn.IFNA(IF(AE268 &lt; (INDEX(SLATable[Minimum SLA],MATCH(G268,SLATable[Priority],0))),"YES","NO"),"")</f>
        <v/>
      </c>
      <c r="AJ268" t="str">
        <f>_xlfn.IFNA(IF(AE268 &lt; (INDEX(SLATable[Maximum SLA],MATCH(G268,SLATable[Priority],0))),"YES","NO"),"")</f>
        <v/>
      </c>
    </row>
    <row r="269" spans="26:36" ht="15" customHeight="1">
      <c r="Z269" s="76" t="e">
        <f t="shared" ca="1" si="28"/>
        <v>#N/A</v>
      </c>
      <c r="AA269" s="75" t="e">
        <f t="shared" ca="1" si="24"/>
        <v>#N/A</v>
      </c>
      <c r="AB269" s="76">
        <f t="shared" ca="1" si="29"/>
        <v>0</v>
      </c>
      <c r="AC269" s="75">
        <f t="shared" ca="1" si="25"/>
        <v>0</v>
      </c>
      <c r="AD269" s="76">
        <f t="shared" ca="1" si="30"/>
        <v>12388.425642708335</v>
      </c>
      <c r="AE269" s="76">
        <f t="shared" si="31"/>
        <v>0</v>
      </c>
      <c r="AF269" s="75">
        <f t="shared" si="26"/>
        <v>0</v>
      </c>
      <c r="AG269" s="75">
        <f t="shared" si="27"/>
        <v>0</v>
      </c>
      <c r="AH269" s="31" t="e" cm="1">
        <f t="array" aca="1" ref="AH269" ca="1">IF((AD269) &lt; (INDEX(ResponseSLA[#All],(MATCH((G269),ResponseSLA[Priority],0))+1,3)),"YES","No")</f>
        <v>#N/A</v>
      </c>
      <c r="AI269" s="31" t="str">
        <f>_xlfn.IFNA(IF(AE269 &lt; (INDEX(SLATable[Minimum SLA],MATCH(G269,SLATable[Priority],0))),"YES","NO"),"")</f>
        <v/>
      </c>
      <c r="AJ269" t="str">
        <f>_xlfn.IFNA(IF(AE269 &lt; (INDEX(SLATable[Maximum SLA],MATCH(G269,SLATable[Priority],0))),"YES","NO"),"")</f>
        <v/>
      </c>
    </row>
    <row r="270" spans="26:36" ht="15" customHeight="1">
      <c r="Z270" s="76" t="e">
        <f t="shared" ca="1" si="28"/>
        <v>#N/A</v>
      </c>
      <c r="AA270" s="75" t="e">
        <f t="shared" ca="1" si="24"/>
        <v>#N/A</v>
      </c>
      <c r="AB270" s="76">
        <f t="shared" ca="1" si="29"/>
        <v>0</v>
      </c>
      <c r="AC270" s="75">
        <f t="shared" ca="1" si="25"/>
        <v>0</v>
      </c>
      <c r="AD270" s="76">
        <f t="shared" ca="1" si="30"/>
        <v>12388.425642708335</v>
      </c>
      <c r="AE270" s="76">
        <f t="shared" si="31"/>
        <v>0</v>
      </c>
      <c r="AF270" s="75">
        <f t="shared" si="26"/>
        <v>0</v>
      </c>
      <c r="AG270" s="75">
        <f t="shared" si="27"/>
        <v>0</v>
      </c>
      <c r="AH270" s="31" t="e" cm="1">
        <f t="array" aca="1" ref="AH270" ca="1">IF((AD270) &lt; (INDEX(ResponseSLA[#All],(MATCH((G270),ResponseSLA[Priority],0))+1,3)),"YES","No")</f>
        <v>#N/A</v>
      </c>
      <c r="AI270" s="31" t="str">
        <f>_xlfn.IFNA(IF(AE270 &lt; (INDEX(SLATable[Minimum SLA],MATCH(G270,SLATable[Priority],0))),"YES","NO"),"")</f>
        <v/>
      </c>
      <c r="AJ270" t="str">
        <f>_xlfn.IFNA(IF(AE270 &lt; (INDEX(SLATable[Maximum SLA],MATCH(G270,SLATable[Priority],0))),"YES","NO"),"")</f>
        <v/>
      </c>
    </row>
    <row r="271" spans="26:36" ht="15" customHeight="1">
      <c r="Z271" s="76" t="e">
        <f t="shared" ca="1" si="28"/>
        <v>#N/A</v>
      </c>
      <c r="AA271" s="75" t="e">
        <f t="shared" ca="1" si="24"/>
        <v>#N/A</v>
      </c>
      <c r="AB271" s="76">
        <f t="shared" ca="1" si="29"/>
        <v>0</v>
      </c>
      <c r="AC271" s="75">
        <f t="shared" ca="1" si="25"/>
        <v>0</v>
      </c>
      <c r="AD271" s="76">
        <f t="shared" ca="1" si="30"/>
        <v>12388.425642708335</v>
      </c>
      <c r="AE271" s="76">
        <f t="shared" si="31"/>
        <v>0</v>
      </c>
      <c r="AF271" s="75">
        <f t="shared" si="26"/>
        <v>0</v>
      </c>
      <c r="AG271" s="75">
        <f t="shared" si="27"/>
        <v>0</v>
      </c>
      <c r="AH271" s="31" t="e" cm="1">
        <f t="array" aca="1" ref="AH271" ca="1">IF((AD271) &lt; (INDEX(ResponseSLA[#All],(MATCH((G271),ResponseSLA[Priority],0))+1,3)),"YES","No")</f>
        <v>#N/A</v>
      </c>
      <c r="AI271" s="31" t="str">
        <f>_xlfn.IFNA(IF(AE271 &lt; (INDEX(SLATable[Minimum SLA],MATCH(G271,SLATable[Priority],0))),"YES","NO"),"")</f>
        <v/>
      </c>
      <c r="AJ271" t="str">
        <f>_xlfn.IFNA(IF(AE271 &lt; (INDEX(SLATable[Maximum SLA],MATCH(G271,SLATable[Priority],0))),"YES","NO"),"")</f>
        <v/>
      </c>
    </row>
    <row r="272" spans="26:36" ht="15" customHeight="1">
      <c r="Z272" s="76" t="e">
        <f t="shared" ca="1" si="28"/>
        <v>#N/A</v>
      </c>
      <c r="AA272" s="75" t="e">
        <f t="shared" ca="1" si="24"/>
        <v>#N/A</v>
      </c>
      <c r="AB272" s="76">
        <f t="shared" ca="1" si="29"/>
        <v>0</v>
      </c>
      <c r="AC272" s="75">
        <f t="shared" ca="1" si="25"/>
        <v>0</v>
      </c>
      <c r="AD272" s="76">
        <f t="shared" ca="1" si="30"/>
        <v>12388.425642708335</v>
      </c>
      <c r="AE272" s="76">
        <f t="shared" si="31"/>
        <v>0</v>
      </c>
      <c r="AF272" s="75">
        <f t="shared" si="26"/>
        <v>0</v>
      </c>
      <c r="AG272" s="75">
        <f t="shared" si="27"/>
        <v>0</v>
      </c>
      <c r="AH272" s="31" t="e" cm="1">
        <f t="array" aca="1" ref="AH272" ca="1">IF((AD272) &lt; (INDEX(ResponseSLA[#All],(MATCH((G272),ResponseSLA[Priority],0))+1,3)),"YES","No")</f>
        <v>#N/A</v>
      </c>
      <c r="AI272" s="31" t="str">
        <f>_xlfn.IFNA(IF(AE272 &lt; (INDEX(SLATable[Minimum SLA],MATCH(G272,SLATable[Priority],0))),"YES","NO"),"")</f>
        <v/>
      </c>
      <c r="AJ272" t="str">
        <f>_xlfn.IFNA(IF(AE272 &lt; (INDEX(SLATable[Maximum SLA],MATCH(G272,SLATable[Priority],0))),"YES","NO"),"")</f>
        <v/>
      </c>
    </row>
    <row r="273" spans="26:36" ht="15" customHeight="1">
      <c r="Z273" s="76" t="e">
        <f t="shared" ca="1" si="28"/>
        <v>#N/A</v>
      </c>
      <c r="AA273" s="75" t="e">
        <f t="shared" ca="1" si="24"/>
        <v>#N/A</v>
      </c>
      <c r="AB273" s="76">
        <f t="shared" ca="1" si="29"/>
        <v>0</v>
      </c>
      <c r="AC273" s="75">
        <f t="shared" ca="1" si="25"/>
        <v>0</v>
      </c>
      <c r="AD273" s="76">
        <f t="shared" ca="1" si="30"/>
        <v>12388.425642708335</v>
      </c>
      <c r="AE273" s="76">
        <f t="shared" si="31"/>
        <v>0</v>
      </c>
      <c r="AF273" s="75">
        <f t="shared" si="26"/>
        <v>0</v>
      </c>
      <c r="AG273" s="75">
        <f t="shared" si="27"/>
        <v>0</v>
      </c>
      <c r="AH273" s="31" t="e" cm="1">
        <f t="array" aca="1" ref="AH273" ca="1">IF((AD273) &lt; (INDEX(ResponseSLA[#All],(MATCH((G273),ResponseSLA[Priority],0))+1,3)),"YES","No")</f>
        <v>#N/A</v>
      </c>
      <c r="AI273" s="31" t="str">
        <f>_xlfn.IFNA(IF(AE273 &lt; (INDEX(SLATable[Minimum SLA],MATCH(G273,SLATable[Priority],0))),"YES","NO"),"")</f>
        <v/>
      </c>
      <c r="AJ273" t="str">
        <f>_xlfn.IFNA(IF(AE273 &lt; (INDEX(SLATable[Maximum SLA],MATCH(G273,SLATable[Priority],0))),"YES","NO"),"")</f>
        <v/>
      </c>
    </row>
    <row r="274" spans="26:36" ht="15" customHeight="1">
      <c r="Z274" s="76" t="e">
        <f t="shared" ca="1" si="28"/>
        <v>#N/A</v>
      </c>
      <c r="AA274" s="75" t="e">
        <f t="shared" ca="1" si="24"/>
        <v>#N/A</v>
      </c>
      <c r="AB274" s="76">
        <f t="shared" ca="1" si="29"/>
        <v>0</v>
      </c>
      <c r="AC274" s="75">
        <f t="shared" ca="1" si="25"/>
        <v>0</v>
      </c>
      <c r="AD274" s="76">
        <f t="shared" ca="1" si="30"/>
        <v>12388.425642708335</v>
      </c>
      <c r="AE274" s="76">
        <f t="shared" si="31"/>
        <v>0</v>
      </c>
      <c r="AF274" s="75">
        <f t="shared" si="26"/>
        <v>0</v>
      </c>
      <c r="AG274" s="75">
        <f t="shared" si="27"/>
        <v>0</v>
      </c>
      <c r="AH274" s="31" t="e" cm="1">
        <f t="array" aca="1" ref="AH274" ca="1">IF((AD274) &lt; (INDEX(ResponseSLA[#All],(MATCH((G274),ResponseSLA[Priority],0))+1,3)),"YES","No")</f>
        <v>#N/A</v>
      </c>
      <c r="AI274" s="31" t="str">
        <f>_xlfn.IFNA(IF(AE274 &lt; (INDEX(SLATable[Minimum SLA],MATCH(G274,SLATable[Priority],0))),"YES","NO"),"")</f>
        <v/>
      </c>
      <c r="AJ274" t="str">
        <f>_xlfn.IFNA(IF(AE274 &lt; (INDEX(SLATable[Maximum SLA],MATCH(G274,SLATable[Priority],0))),"YES","NO"),"")</f>
        <v/>
      </c>
    </row>
    <row r="275" spans="26:36" ht="15" customHeight="1">
      <c r="Z275" s="76" t="e">
        <f t="shared" ca="1" si="28"/>
        <v>#N/A</v>
      </c>
      <c r="AA275" s="75" t="e">
        <f t="shared" ca="1" si="24"/>
        <v>#N/A</v>
      </c>
      <c r="AB275" s="76">
        <f t="shared" ca="1" si="29"/>
        <v>0</v>
      </c>
      <c r="AC275" s="75">
        <f t="shared" ca="1" si="25"/>
        <v>0</v>
      </c>
      <c r="AD275" s="76">
        <f t="shared" ca="1" si="30"/>
        <v>12388.425642708335</v>
      </c>
      <c r="AE275" s="76">
        <f t="shared" si="31"/>
        <v>0</v>
      </c>
      <c r="AF275" s="75">
        <f t="shared" si="26"/>
        <v>0</v>
      </c>
      <c r="AG275" s="75">
        <f t="shared" si="27"/>
        <v>0</v>
      </c>
      <c r="AH275" s="31" t="e" cm="1">
        <f t="array" aca="1" ref="AH275" ca="1">IF((AD275) &lt; (INDEX(ResponseSLA[#All],(MATCH((G275),ResponseSLA[Priority],0))+1,3)),"YES","No")</f>
        <v>#N/A</v>
      </c>
      <c r="AI275" s="31" t="str">
        <f>_xlfn.IFNA(IF(AE275 &lt; (INDEX(SLATable[Minimum SLA],MATCH(G275,SLATable[Priority],0))),"YES","NO"),"")</f>
        <v/>
      </c>
      <c r="AJ275" t="str">
        <f>_xlfn.IFNA(IF(AE275 &lt; (INDEX(SLATable[Maximum SLA],MATCH(G275,SLATable[Priority],0))),"YES","NO"),"")</f>
        <v/>
      </c>
    </row>
    <row r="276" spans="26:36" ht="15" customHeight="1">
      <c r="Z276" s="76" t="e">
        <f t="shared" ca="1" si="28"/>
        <v>#N/A</v>
      </c>
      <c r="AA276" s="75" t="e">
        <f t="shared" ca="1" si="24"/>
        <v>#N/A</v>
      </c>
      <c r="AB276" s="76">
        <f t="shared" ca="1" si="29"/>
        <v>0</v>
      </c>
      <c r="AC276" s="75">
        <f t="shared" ca="1" si="25"/>
        <v>0</v>
      </c>
      <c r="AD276" s="76">
        <f t="shared" ca="1" si="30"/>
        <v>12388.425642708335</v>
      </c>
      <c r="AE276" s="76">
        <f t="shared" si="31"/>
        <v>0</v>
      </c>
      <c r="AF276" s="75">
        <f t="shared" si="26"/>
        <v>0</v>
      </c>
      <c r="AG276" s="75">
        <f t="shared" si="27"/>
        <v>0</v>
      </c>
      <c r="AH276" s="31" t="e" cm="1">
        <f t="array" aca="1" ref="AH276" ca="1">IF((AD276) &lt; (INDEX(ResponseSLA[#All],(MATCH((G276),ResponseSLA[Priority],0))+1,3)),"YES","No")</f>
        <v>#N/A</v>
      </c>
      <c r="AI276" s="31" t="str">
        <f>_xlfn.IFNA(IF(AE276 &lt; (INDEX(SLATable[Minimum SLA],MATCH(G276,SLATable[Priority],0))),"YES","NO"),"")</f>
        <v/>
      </c>
      <c r="AJ276" t="str">
        <f>_xlfn.IFNA(IF(AE276 &lt; (INDEX(SLATable[Maximum SLA],MATCH(G276,SLATable[Priority],0))),"YES","NO"),"")</f>
        <v/>
      </c>
    </row>
    <row r="277" spans="26:36" ht="15" customHeight="1">
      <c r="Z277" s="76" t="e">
        <f t="shared" ca="1" si="28"/>
        <v>#N/A</v>
      </c>
      <c r="AA277" s="75" t="e">
        <f t="shared" ca="1" si="24"/>
        <v>#N/A</v>
      </c>
      <c r="AB277" s="76">
        <f t="shared" ca="1" si="29"/>
        <v>0</v>
      </c>
      <c r="AC277" s="75">
        <f t="shared" ca="1" si="25"/>
        <v>0</v>
      </c>
      <c r="AD277" s="76">
        <f t="shared" ca="1" si="30"/>
        <v>12388.425642708335</v>
      </c>
      <c r="AE277" s="76">
        <f t="shared" si="31"/>
        <v>0</v>
      </c>
      <c r="AF277" s="75">
        <f t="shared" si="26"/>
        <v>0</v>
      </c>
      <c r="AG277" s="75">
        <f t="shared" si="27"/>
        <v>0</v>
      </c>
      <c r="AH277" s="31" t="e" cm="1">
        <f t="array" aca="1" ref="AH277" ca="1">IF((AD277) &lt; (INDEX(ResponseSLA[#All],(MATCH((G277),ResponseSLA[Priority],0))+1,3)),"YES","No")</f>
        <v>#N/A</v>
      </c>
      <c r="AI277" s="31" t="str">
        <f>_xlfn.IFNA(IF(AE277 &lt; (INDEX(SLATable[Minimum SLA],MATCH(G277,SLATable[Priority],0))),"YES","NO"),"")</f>
        <v/>
      </c>
      <c r="AJ277" t="str">
        <f>_xlfn.IFNA(IF(AE277 &lt; (INDEX(SLATable[Maximum SLA],MATCH(G277,SLATable[Priority],0))),"YES","NO"),"")</f>
        <v/>
      </c>
    </row>
    <row r="278" spans="26:36" ht="15" customHeight="1">
      <c r="Z278" s="76" t="e">
        <f t="shared" ca="1" si="28"/>
        <v>#N/A</v>
      </c>
      <c r="AA278" s="75" t="e">
        <f t="shared" ca="1" si="24"/>
        <v>#N/A</v>
      </c>
      <c r="AB278" s="76">
        <f t="shared" ca="1" si="29"/>
        <v>0</v>
      </c>
      <c r="AC278" s="75">
        <f t="shared" ca="1" si="25"/>
        <v>0</v>
      </c>
      <c r="AD278" s="76">
        <f t="shared" ca="1" si="30"/>
        <v>12388.425642708335</v>
      </c>
      <c r="AE278" s="76">
        <f t="shared" si="31"/>
        <v>0</v>
      </c>
      <c r="AF278" s="75">
        <f t="shared" si="26"/>
        <v>0</v>
      </c>
      <c r="AG278" s="75">
        <f t="shared" si="27"/>
        <v>0</v>
      </c>
      <c r="AH278" s="31" t="e" cm="1">
        <f t="array" aca="1" ref="AH278" ca="1">IF((AD278) &lt; (INDEX(ResponseSLA[#All],(MATCH((G278),ResponseSLA[Priority],0))+1,3)),"YES","No")</f>
        <v>#N/A</v>
      </c>
      <c r="AI278" s="31" t="str">
        <f>_xlfn.IFNA(IF(AE278 &lt; (INDEX(SLATable[Minimum SLA],MATCH(G278,SLATable[Priority],0))),"YES","NO"),"")</f>
        <v/>
      </c>
      <c r="AJ278" t="str">
        <f>_xlfn.IFNA(IF(AE278 &lt; (INDEX(SLATable[Maximum SLA],MATCH(G278,SLATable[Priority],0))),"YES","NO"),"")</f>
        <v/>
      </c>
    </row>
    <row r="279" spans="26:36" ht="15" customHeight="1">
      <c r="Z279" s="76" t="e">
        <f t="shared" ca="1" si="28"/>
        <v>#N/A</v>
      </c>
      <c r="AA279" s="75" t="e">
        <f t="shared" ca="1" si="24"/>
        <v>#N/A</v>
      </c>
      <c r="AB279" s="76">
        <f t="shared" ca="1" si="29"/>
        <v>0</v>
      </c>
      <c r="AC279" s="75">
        <f t="shared" ca="1" si="25"/>
        <v>0</v>
      </c>
      <c r="AD279" s="76">
        <f t="shared" ca="1" si="30"/>
        <v>12388.425642708335</v>
      </c>
      <c r="AE279" s="76">
        <f t="shared" si="31"/>
        <v>0</v>
      </c>
      <c r="AF279" s="75">
        <f t="shared" si="26"/>
        <v>0</v>
      </c>
      <c r="AG279" s="75">
        <f t="shared" si="27"/>
        <v>0</v>
      </c>
      <c r="AH279" s="31" t="e" cm="1">
        <f t="array" aca="1" ref="AH279" ca="1">IF((AD279) &lt; (INDEX(ResponseSLA[#All],(MATCH((G279),ResponseSLA[Priority],0))+1,3)),"YES","No")</f>
        <v>#N/A</v>
      </c>
      <c r="AI279" s="31" t="str">
        <f>_xlfn.IFNA(IF(AE279 &lt; (INDEX(SLATable[Minimum SLA],MATCH(G279,SLATable[Priority],0))),"YES","NO"),"")</f>
        <v/>
      </c>
      <c r="AJ279" t="str">
        <f>_xlfn.IFNA(IF(AE279 &lt; (INDEX(SLATable[Maximum SLA],MATCH(G279,SLATable[Priority],0))),"YES","NO"),"")</f>
        <v/>
      </c>
    </row>
    <row r="280" spans="26:36" ht="15" customHeight="1">
      <c r="Z280" s="76" t="e">
        <f t="shared" ca="1" si="28"/>
        <v>#N/A</v>
      </c>
      <c r="AA280" s="75" t="e">
        <f t="shared" ca="1" si="24"/>
        <v>#N/A</v>
      </c>
      <c r="AB280" s="76">
        <f t="shared" ca="1" si="29"/>
        <v>0</v>
      </c>
      <c r="AC280" s="75">
        <f t="shared" ca="1" si="25"/>
        <v>0</v>
      </c>
      <c r="AD280" s="76">
        <f t="shared" ca="1" si="30"/>
        <v>12388.425642708335</v>
      </c>
      <c r="AE280" s="76">
        <f t="shared" si="31"/>
        <v>0</v>
      </c>
      <c r="AF280" s="75">
        <f t="shared" si="26"/>
        <v>0</v>
      </c>
      <c r="AG280" s="75">
        <f t="shared" si="27"/>
        <v>0</v>
      </c>
      <c r="AH280" s="31" t="e" cm="1">
        <f t="array" aca="1" ref="AH280" ca="1">IF((AD280) &lt; (INDEX(ResponseSLA[#All],(MATCH((G280),ResponseSLA[Priority],0))+1,3)),"YES","No")</f>
        <v>#N/A</v>
      </c>
      <c r="AI280" s="31" t="str">
        <f>_xlfn.IFNA(IF(AE280 &lt; (INDEX(SLATable[Minimum SLA],MATCH(G280,SLATable[Priority],0))),"YES","NO"),"")</f>
        <v/>
      </c>
      <c r="AJ280" t="str">
        <f>_xlfn.IFNA(IF(AE280 &lt; (INDEX(SLATable[Maximum SLA],MATCH(G280,SLATable[Priority],0))),"YES","NO"),"")</f>
        <v/>
      </c>
    </row>
    <row r="281" spans="26:36" ht="15" customHeight="1">
      <c r="Z281" s="76" t="e">
        <f t="shared" ca="1" si="28"/>
        <v>#N/A</v>
      </c>
      <c r="AA281" s="75" t="e">
        <f t="shared" ca="1" si="24"/>
        <v>#N/A</v>
      </c>
      <c r="AB281" s="76">
        <f t="shared" ca="1" si="29"/>
        <v>0</v>
      </c>
      <c r="AC281" s="75">
        <f t="shared" ca="1" si="25"/>
        <v>0</v>
      </c>
      <c r="AD281" s="76">
        <f t="shared" ca="1" si="30"/>
        <v>12388.425642708335</v>
      </c>
      <c r="AE281" s="76">
        <f t="shared" si="31"/>
        <v>0</v>
      </c>
      <c r="AF281" s="75">
        <f t="shared" si="26"/>
        <v>0</v>
      </c>
      <c r="AG281" s="75">
        <f t="shared" si="27"/>
        <v>0</v>
      </c>
      <c r="AH281" s="31" t="e" cm="1">
        <f t="array" aca="1" ref="AH281" ca="1">IF((AD281) &lt; (INDEX(ResponseSLA[#All],(MATCH((G281),ResponseSLA[Priority],0))+1,3)),"YES","No")</f>
        <v>#N/A</v>
      </c>
      <c r="AI281" s="31" t="str">
        <f>_xlfn.IFNA(IF(AE281 &lt; (INDEX(SLATable[Minimum SLA],MATCH(G281,SLATable[Priority],0))),"YES","NO"),"")</f>
        <v/>
      </c>
      <c r="AJ281" t="str">
        <f>_xlfn.IFNA(IF(AE281 &lt; (INDEX(SLATable[Maximum SLA],MATCH(G281,SLATable[Priority],0))),"YES","NO"),"")</f>
        <v/>
      </c>
    </row>
    <row r="282" spans="26:36" ht="15" customHeight="1">
      <c r="Z282" s="76" t="e">
        <f t="shared" ca="1" si="28"/>
        <v>#N/A</v>
      </c>
      <c r="AA282" s="75" t="e">
        <f t="shared" ca="1" si="24"/>
        <v>#N/A</v>
      </c>
      <c r="AB282" s="76">
        <f t="shared" ca="1" si="29"/>
        <v>0</v>
      </c>
      <c r="AC282" s="75">
        <f t="shared" ca="1" si="25"/>
        <v>0</v>
      </c>
      <c r="AD282" s="76">
        <f t="shared" ca="1" si="30"/>
        <v>12388.425642708335</v>
      </c>
      <c r="AE282" s="76">
        <f t="shared" si="31"/>
        <v>0</v>
      </c>
      <c r="AF282" s="75">
        <f t="shared" si="26"/>
        <v>0</v>
      </c>
      <c r="AG282" s="75">
        <f t="shared" si="27"/>
        <v>0</v>
      </c>
      <c r="AH282" s="31" t="e" cm="1">
        <f t="array" aca="1" ref="AH282" ca="1">IF((AD282) &lt; (INDEX(ResponseSLA[#All],(MATCH((G282),ResponseSLA[Priority],0))+1,3)),"YES","No")</f>
        <v>#N/A</v>
      </c>
      <c r="AI282" s="31" t="str">
        <f>_xlfn.IFNA(IF(AE282 &lt; (INDEX(SLATable[Minimum SLA],MATCH(G282,SLATable[Priority],0))),"YES","NO"),"")</f>
        <v/>
      </c>
      <c r="AJ282" t="str">
        <f>_xlfn.IFNA(IF(AE282 &lt; (INDEX(SLATable[Maximum SLA],MATCH(G282,SLATable[Priority],0))),"YES","NO"),"")</f>
        <v/>
      </c>
    </row>
    <row r="283" spans="26:36" ht="15" customHeight="1">
      <c r="Z283" s="76" t="e">
        <f t="shared" ca="1" si="28"/>
        <v>#N/A</v>
      </c>
      <c r="AA283" s="75" t="e">
        <f t="shared" ca="1" si="24"/>
        <v>#N/A</v>
      </c>
      <c r="AB283" s="76">
        <f t="shared" ca="1" si="29"/>
        <v>0</v>
      </c>
      <c r="AC283" s="75">
        <f t="shared" ca="1" si="25"/>
        <v>0</v>
      </c>
      <c r="AD283" s="76">
        <f t="shared" ca="1" si="30"/>
        <v>12388.425642708335</v>
      </c>
      <c r="AE283" s="76">
        <f t="shared" si="31"/>
        <v>0</v>
      </c>
      <c r="AF283" s="75">
        <f t="shared" si="26"/>
        <v>0</v>
      </c>
      <c r="AG283" s="75">
        <f t="shared" si="27"/>
        <v>0</v>
      </c>
      <c r="AH283" s="31" t="e" cm="1">
        <f t="array" aca="1" ref="AH283" ca="1">IF((AD283) &lt; (INDEX(ResponseSLA[#All],(MATCH((G283),ResponseSLA[Priority],0))+1,3)),"YES","No")</f>
        <v>#N/A</v>
      </c>
      <c r="AI283" s="31" t="str">
        <f>_xlfn.IFNA(IF(AE283 &lt; (INDEX(SLATable[Minimum SLA],MATCH(G283,SLATable[Priority],0))),"YES","NO"),"")</f>
        <v/>
      </c>
      <c r="AJ283" t="str">
        <f>_xlfn.IFNA(IF(AE283 &lt; (INDEX(SLATable[Maximum SLA],MATCH(G283,SLATable[Priority],0))),"YES","NO"),"")</f>
        <v/>
      </c>
    </row>
    <row r="284" spans="26:36" ht="15" customHeight="1">
      <c r="Z284" s="76" t="e">
        <f t="shared" ca="1" si="28"/>
        <v>#N/A</v>
      </c>
      <c r="AA284" s="75" t="e">
        <f t="shared" ca="1" si="24"/>
        <v>#N/A</v>
      </c>
      <c r="AB284" s="76">
        <f t="shared" ca="1" si="29"/>
        <v>0</v>
      </c>
      <c r="AC284" s="75">
        <f t="shared" ca="1" si="25"/>
        <v>0</v>
      </c>
      <c r="AD284" s="76">
        <f t="shared" ca="1" si="30"/>
        <v>12388.425642824073</v>
      </c>
      <c r="AE284" s="76">
        <f t="shared" si="31"/>
        <v>0</v>
      </c>
      <c r="AF284" s="75">
        <f t="shared" si="26"/>
        <v>0</v>
      </c>
      <c r="AG284" s="75">
        <f t="shared" si="27"/>
        <v>0</v>
      </c>
      <c r="AH284" s="31" t="e" cm="1">
        <f t="array" aca="1" ref="AH284" ca="1">IF((AD284) &lt; (INDEX(ResponseSLA[#All],(MATCH((G284),ResponseSLA[Priority],0))+1,3)),"YES","No")</f>
        <v>#N/A</v>
      </c>
      <c r="AI284" s="31" t="str">
        <f>_xlfn.IFNA(IF(AE284 &lt; (INDEX(SLATable[Minimum SLA],MATCH(G284,SLATable[Priority],0))),"YES","NO"),"")</f>
        <v/>
      </c>
      <c r="AJ284" t="str">
        <f>_xlfn.IFNA(IF(AE284 &lt; (INDEX(SLATable[Maximum SLA],MATCH(G284,SLATable[Priority],0))),"YES","NO"),"")</f>
        <v/>
      </c>
    </row>
    <row r="285" spans="26:36" ht="15" customHeight="1">
      <c r="Z285" s="76" t="e">
        <f t="shared" ca="1" si="28"/>
        <v>#N/A</v>
      </c>
      <c r="AA285" s="75" t="e">
        <f t="shared" ca="1" si="24"/>
        <v>#N/A</v>
      </c>
      <c r="AB285" s="76">
        <f t="shared" ca="1" si="29"/>
        <v>0</v>
      </c>
      <c r="AC285" s="75">
        <f t="shared" ca="1" si="25"/>
        <v>0</v>
      </c>
      <c r="AD285" s="76">
        <f t="shared" ca="1" si="30"/>
        <v>12388.425642708335</v>
      </c>
      <c r="AE285" s="76">
        <f t="shared" si="31"/>
        <v>0</v>
      </c>
      <c r="AF285" s="75">
        <f t="shared" si="26"/>
        <v>0</v>
      </c>
      <c r="AG285" s="75">
        <f t="shared" si="27"/>
        <v>0</v>
      </c>
      <c r="AH285" s="31" t="e" cm="1">
        <f t="array" aca="1" ref="AH285" ca="1">IF((AD285) &lt; (INDEX(ResponseSLA[#All],(MATCH((G285),ResponseSLA[Priority],0))+1,3)),"YES","No")</f>
        <v>#N/A</v>
      </c>
      <c r="AI285" s="31" t="str">
        <f>_xlfn.IFNA(IF(AE285 &lt; (INDEX(SLATable[Minimum SLA],MATCH(G285,SLATable[Priority],0))),"YES","NO"),"")</f>
        <v/>
      </c>
      <c r="AJ285" t="str">
        <f>_xlfn.IFNA(IF(AE285 &lt; (INDEX(SLATable[Maximum SLA],MATCH(G285,SLATable[Priority],0))),"YES","NO"),"")</f>
        <v/>
      </c>
    </row>
    <row r="286" spans="26:36" ht="15" customHeight="1">
      <c r="Z286" s="76" t="e">
        <f t="shared" ca="1" si="28"/>
        <v>#N/A</v>
      </c>
      <c r="AA286" s="75" t="e">
        <f t="shared" ca="1" si="24"/>
        <v>#N/A</v>
      </c>
      <c r="AB286" s="76">
        <f t="shared" ca="1" si="29"/>
        <v>0</v>
      </c>
      <c r="AC286" s="75">
        <f t="shared" ca="1" si="25"/>
        <v>0</v>
      </c>
      <c r="AD286" s="76">
        <f t="shared" ca="1" si="30"/>
        <v>12388.425642708335</v>
      </c>
      <c r="AE286" s="76">
        <f t="shared" si="31"/>
        <v>0</v>
      </c>
      <c r="AF286" s="75">
        <f t="shared" si="26"/>
        <v>0</v>
      </c>
      <c r="AG286" s="75">
        <f t="shared" si="27"/>
        <v>0</v>
      </c>
      <c r="AH286" s="31" t="e" cm="1">
        <f t="array" aca="1" ref="AH286" ca="1">IF((AD286) &lt; (INDEX(ResponseSLA[#All],(MATCH((G286),ResponseSLA[Priority],0))+1,3)),"YES","No")</f>
        <v>#N/A</v>
      </c>
      <c r="AI286" s="31" t="str">
        <f>_xlfn.IFNA(IF(AE286 &lt; (INDEX(SLATable[Minimum SLA],MATCH(G286,SLATable[Priority],0))),"YES","NO"),"")</f>
        <v/>
      </c>
      <c r="AJ286" t="str">
        <f>_xlfn.IFNA(IF(AE286 &lt; (INDEX(SLATable[Maximum SLA],MATCH(G286,SLATable[Priority],0))),"YES","NO"),"")</f>
        <v/>
      </c>
    </row>
    <row r="287" spans="26:36" ht="15" customHeight="1">
      <c r="Z287" s="76" t="e">
        <f t="shared" ca="1" si="28"/>
        <v>#N/A</v>
      </c>
      <c r="AA287" s="75" t="e">
        <f t="shared" ca="1" si="24"/>
        <v>#N/A</v>
      </c>
      <c r="AB287" s="76">
        <f t="shared" ca="1" si="29"/>
        <v>0</v>
      </c>
      <c r="AC287" s="75">
        <f t="shared" ca="1" si="25"/>
        <v>0</v>
      </c>
      <c r="AD287" s="76">
        <f t="shared" ca="1" si="30"/>
        <v>12388.425642824073</v>
      </c>
      <c r="AE287" s="76">
        <f t="shared" si="31"/>
        <v>0</v>
      </c>
      <c r="AF287" s="75">
        <f t="shared" si="26"/>
        <v>0</v>
      </c>
      <c r="AG287" s="75">
        <f t="shared" si="27"/>
        <v>0</v>
      </c>
      <c r="AH287" s="31" t="e" cm="1">
        <f t="array" aca="1" ref="AH287" ca="1">IF((AD287) &lt; (INDEX(ResponseSLA[#All],(MATCH((G287),ResponseSLA[Priority],0))+1,3)),"YES","No")</f>
        <v>#N/A</v>
      </c>
      <c r="AI287" s="31" t="str">
        <f>_xlfn.IFNA(IF(AE287 &lt; (INDEX(SLATable[Minimum SLA],MATCH(G287,SLATable[Priority],0))),"YES","NO"),"")</f>
        <v/>
      </c>
      <c r="AJ287" t="str">
        <f>_xlfn.IFNA(IF(AE287 &lt; (INDEX(SLATable[Maximum SLA],MATCH(G287,SLATable[Priority],0))),"YES","NO"),"")</f>
        <v/>
      </c>
    </row>
    <row r="288" spans="26:36" ht="15" customHeight="1">
      <c r="Z288" s="76" t="e">
        <f t="shared" ca="1" si="28"/>
        <v>#N/A</v>
      </c>
      <c r="AA288" s="75" t="e">
        <f t="shared" ca="1" si="24"/>
        <v>#N/A</v>
      </c>
      <c r="AB288" s="76">
        <f t="shared" ca="1" si="29"/>
        <v>0</v>
      </c>
      <c r="AC288" s="75">
        <f t="shared" ca="1" si="25"/>
        <v>0</v>
      </c>
      <c r="AD288" s="76">
        <f t="shared" ca="1" si="30"/>
        <v>12388.425642708335</v>
      </c>
      <c r="AE288" s="76">
        <f t="shared" si="31"/>
        <v>0</v>
      </c>
      <c r="AF288" s="75">
        <f t="shared" si="26"/>
        <v>0</v>
      </c>
      <c r="AG288" s="75">
        <f t="shared" si="27"/>
        <v>0</v>
      </c>
      <c r="AH288" s="31" t="e" cm="1">
        <f t="array" aca="1" ref="AH288" ca="1">IF((AD288) &lt; (INDEX(ResponseSLA[#All],(MATCH((G288),ResponseSLA[Priority],0))+1,3)),"YES","No")</f>
        <v>#N/A</v>
      </c>
      <c r="AI288" s="31" t="str">
        <f>_xlfn.IFNA(IF(AE288 &lt; (INDEX(SLATable[Minimum SLA],MATCH(G288,SLATable[Priority],0))),"YES","NO"),"")</f>
        <v/>
      </c>
      <c r="AJ288" t="str">
        <f>_xlfn.IFNA(IF(AE288 &lt; (INDEX(SLATable[Maximum SLA],MATCH(G288,SLATable[Priority],0))),"YES","NO"),"")</f>
        <v/>
      </c>
    </row>
    <row r="289" spans="26:36" ht="15" customHeight="1">
      <c r="Z289" s="76" t="e">
        <f t="shared" ca="1" si="28"/>
        <v>#N/A</v>
      </c>
      <c r="AA289" s="75" t="e">
        <f t="shared" ca="1" si="24"/>
        <v>#N/A</v>
      </c>
      <c r="AB289" s="76">
        <f t="shared" ca="1" si="29"/>
        <v>0</v>
      </c>
      <c r="AC289" s="75">
        <f t="shared" ca="1" si="25"/>
        <v>0</v>
      </c>
      <c r="AD289" s="76">
        <f t="shared" ca="1" si="30"/>
        <v>12388.425642708335</v>
      </c>
      <c r="AE289" s="76">
        <f t="shared" si="31"/>
        <v>0</v>
      </c>
      <c r="AF289" s="75">
        <f t="shared" si="26"/>
        <v>0</v>
      </c>
      <c r="AG289" s="75">
        <f t="shared" si="27"/>
        <v>0</v>
      </c>
      <c r="AH289" s="31" t="e" cm="1">
        <f t="array" aca="1" ref="AH289" ca="1">IF((AD289) &lt; (INDEX(ResponseSLA[#All],(MATCH((G289),ResponseSLA[Priority],0))+1,3)),"YES","No")</f>
        <v>#N/A</v>
      </c>
      <c r="AI289" s="31" t="str">
        <f>_xlfn.IFNA(IF(AE289 &lt; (INDEX(SLATable[Minimum SLA],MATCH(G289,SLATable[Priority],0))),"YES","NO"),"")</f>
        <v/>
      </c>
      <c r="AJ289" t="str">
        <f>_xlfn.IFNA(IF(AE289 &lt; (INDEX(SLATable[Maximum SLA],MATCH(G289,SLATable[Priority],0))),"YES","NO"),"")</f>
        <v/>
      </c>
    </row>
    <row r="290" spans="26:36" ht="15" customHeight="1">
      <c r="Z290" s="76" t="e">
        <f t="shared" ca="1" si="28"/>
        <v>#N/A</v>
      </c>
      <c r="AA290" s="75" t="e">
        <f t="shared" ca="1" si="24"/>
        <v>#N/A</v>
      </c>
      <c r="AB290" s="76">
        <f t="shared" ca="1" si="29"/>
        <v>0</v>
      </c>
      <c r="AC290" s="75">
        <f t="shared" ca="1" si="25"/>
        <v>0</v>
      </c>
      <c r="AD290" s="76">
        <f t="shared" ca="1" si="30"/>
        <v>12388.425642824073</v>
      </c>
      <c r="AE290" s="76">
        <f t="shared" si="31"/>
        <v>0</v>
      </c>
      <c r="AF290" s="75">
        <f t="shared" si="26"/>
        <v>0</v>
      </c>
      <c r="AG290" s="75">
        <f t="shared" si="27"/>
        <v>0</v>
      </c>
      <c r="AH290" s="31" t="e" cm="1">
        <f t="array" aca="1" ref="AH290" ca="1">IF((AD290) &lt; (INDEX(ResponseSLA[#All],(MATCH((G290),ResponseSLA[Priority],0))+1,3)),"YES","No")</f>
        <v>#N/A</v>
      </c>
      <c r="AI290" s="31" t="str">
        <f>_xlfn.IFNA(IF(AE290 &lt; (INDEX(SLATable[Minimum SLA],MATCH(G290,SLATable[Priority],0))),"YES","NO"),"")</f>
        <v/>
      </c>
      <c r="AJ290" t="str">
        <f>_xlfn.IFNA(IF(AE290 &lt; (INDEX(SLATable[Maximum SLA],MATCH(G290,SLATable[Priority],0))),"YES","NO"),"")</f>
        <v/>
      </c>
    </row>
    <row r="291" spans="26:36" ht="15" customHeight="1">
      <c r="Z291" s="76" t="e">
        <f t="shared" ca="1" si="28"/>
        <v>#N/A</v>
      </c>
      <c r="AA291" s="75" t="e">
        <f t="shared" ca="1" si="24"/>
        <v>#N/A</v>
      </c>
      <c r="AB291" s="76">
        <f t="shared" ca="1" si="29"/>
        <v>0</v>
      </c>
      <c r="AC291" s="75">
        <f t="shared" ca="1" si="25"/>
        <v>0</v>
      </c>
      <c r="AD291" s="76">
        <f t="shared" ca="1" si="30"/>
        <v>12388.425642708335</v>
      </c>
      <c r="AE291" s="76">
        <f t="shared" si="31"/>
        <v>0</v>
      </c>
      <c r="AF291" s="75">
        <f t="shared" si="26"/>
        <v>0</v>
      </c>
      <c r="AG291" s="75">
        <f t="shared" si="27"/>
        <v>0</v>
      </c>
      <c r="AH291" s="31" t="e" cm="1">
        <f t="array" aca="1" ref="AH291" ca="1">IF((AD291) &lt; (INDEX(ResponseSLA[#All],(MATCH((G291),ResponseSLA[Priority],0))+1,3)),"YES","No")</f>
        <v>#N/A</v>
      </c>
      <c r="AI291" s="31" t="str">
        <f>_xlfn.IFNA(IF(AE291 &lt; (INDEX(SLATable[Minimum SLA],MATCH(G291,SLATable[Priority],0))),"YES","NO"),"")</f>
        <v/>
      </c>
      <c r="AJ291" t="str">
        <f>_xlfn.IFNA(IF(AE291 &lt; (INDEX(SLATable[Maximum SLA],MATCH(G291,SLATable[Priority],0))),"YES","NO"),"")</f>
        <v/>
      </c>
    </row>
    <row r="292" spans="26:36" ht="15" customHeight="1">
      <c r="Z292" s="76" t="e">
        <f t="shared" ca="1" si="28"/>
        <v>#N/A</v>
      </c>
      <c r="AA292" s="75" t="e">
        <f t="shared" ca="1" si="24"/>
        <v>#N/A</v>
      </c>
      <c r="AB292" s="76">
        <f t="shared" ca="1" si="29"/>
        <v>0</v>
      </c>
      <c r="AC292" s="75">
        <f t="shared" ca="1" si="25"/>
        <v>0</v>
      </c>
      <c r="AD292" s="76">
        <f t="shared" ca="1" si="30"/>
        <v>12388.425642708335</v>
      </c>
      <c r="AE292" s="76">
        <f t="shared" si="31"/>
        <v>0</v>
      </c>
      <c r="AF292" s="75">
        <f t="shared" si="26"/>
        <v>0</v>
      </c>
      <c r="AG292" s="75">
        <f t="shared" si="27"/>
        <v>0</v>
      </c>
      <c r="AH292" s="31" t="e" cm="1">
        <f t="array" aca="1" ref="AH292" ca="1">IF((AD292) &lt; (INDEX(ResponseSLA[#All],(MATCH((G292),ResponseSLA[Priority],0))+1,3)),"YES","No")</f>
        <v>#N/A</v>
      </c>
      <c r="AI292" s="31" t="str">
        <f>_xlfn.IFNA(IF(AE292 &lt; (INDEX(SLATable[Minimum SLA],MATCH(G292,SLATable[Priority],0))),"YES","NO"),"")</f>
        <v/>
      </c>
      <c r="AJ292" t="str">
        <f>_xlfn.IFNA(IF(AE292 &lt; (INDEX(SLATable[Maximum SLA],MATCH(G292,SLATable[Priority],0))),"YES","NO"),"")</f>
        <v/>
      </c>
    </row>
    <row r="293" spans="26:36" ht="15" customHeight="1">
      <c r="Z293" s="76" t="e">
        <f t="shared" ca="1" si="28"/>
        <v>#N/A</v>
      </c>
      <c r="AA293" s="75" t="e">
        <f t="shared" ca="1" si="24"/>
        <v>#N/A</v>
      </c>
      <c r="AB293" s="76">
        <f t="shared" ca="1" si="29"/>
        <v>0</v>
      </c>
      <c r="AC293" s="75">
        <f t="shared" ca="1" si="25"/>
        <v>0</v>
      </c>
      <c r="AD293" s="76">
        <f t="shared" ca="1" si="30"/>
        <v>12388.425642824073</v>
      </c>
      <c r="AE293" s="76">
        <f t="shared" si="31"/>
        <v>0</v>
      </c>
      <c r="AF293" s="75">
        <f t="shared" si="26"/>
        <v>0</v>
      </c>
      <c r="AG293" s="75">
        <f t="shared" si="27"/>
        <v>0</v>
      </c>
      <c r="AH293" s="31" t="e" cm="1">
        <f t="array" aca="1" ref="AH293" ca="1">IF((AD293) &lt; (INDEX(ResponseSLA[#All],(MATCH((G293),ResponseSLA[Priority],0))+1,3)),"YES","No")</f>
        <v>#N/A</v>
      </c>
      <c r="AI293" s="31" t="str">
        <f>_xlfn.IFNA(IF(AE293 &lt; (INDEX(SLATable[Minimum SLA],MATCH(G293,SLATable[Priority],0))),"YES","NO"),"")</f>
        <v/>
      </c>
      <c r="AJ293" t="str">
        <f>_xlfn.IFNA(IF(AE293 &lt; (INDEX(SLATable[Maximum SLA],MATCH(G293,SLATable[Priority],0))),"YES","NO"),"")</f>
        <v/>
      </c>
    </row>
    <row r="294" spans="26:36" ht="15" customHeight="1">
      <c r="Z294" s="76" t="e">
        <f t="shared" ca="1" si="28"/>
        <v>#N/A</v>
      </c>
      <c r="AA294" s="75" t="e">
        <f t="shared" ca="1" si="24"/>
        <v>#N/A</v>
      </c>
      <c r="AB294" s="76">
        <f t="shared" ca="1" si="29"/>
        <v>0</v>
      </c>
      <c r="AC294" s="75">
        <f t="shared" ca="1" si="25"/>
        <v>0</v>
      </c>
      <c r="AD294" s="76">
        <f t="shared" ca="1" si="30"/>
        <v>12388.425642708335</v>
      </c>
      <c r="AE294" s="76">
        <f t="shared" si="31"/>
        <v>0</v>
      </c>
      <c r="AF294" s="75">
        <f t="shared" si="26"/>
        <v>0</v>
      </c>
      <c r="AG294" s="75">
        <f t="shared" si="27"/>
        <v>0</v>
      </c>
      <c r="AH294" s="31" t="e" cm="1">
        <f t="array" aca="1" ref="AH294" ca="1">IF((AD294) &lt; (INDEX(ResponseSLA[#All],(MATCH((G294),ResponseSLA[Priority],0))+1,3)),"YES","No")</f>
        <v>#N/A</v>
      </c>
      <c r="AI294" s="31" t="str">
        <f>_xlfn.IFNA(IF(AE294 &lt; (INDEX(SLATable[Minimum SLA],MATCH(G294,SLATable[Priority],0))),"YES","NO"),"")</f>
        <v/>
      </c>
      <c r="AJ294" t="str">
        <f>_xlfn.IFNA(IF(AE294 &lt; (INDEX(SLATable[Maximum SLA],MATCH(G294,SLATable[Priority],0))),"YES","NO"),"")</f>
        <v/>
      </c>
    </row>
    <row r="295" spans="26:36" ht="15" customHeight="1">
      <c r="Z295" s="76" t="e">
        <f t="shared" ca="1" si="28"/>
        <v>#N/A</v>
      </c>
      <c r="AA295" s="75" t="e">
        <f t="shared" ca="1" si="24"/>
        <v>#N/A</v>
      </c>
      <c r="AB295" s="76">
        <f t="shared" ca="1" si="29"/>
        <v>0</v>
      </c>
      <c r="AC295" s="75">
        <f t="shared" ca="1" si="25"/>
        <v>0</v>
      </c>
      <c r="AD295" s="76">
        <f t="shared" ca="1" si="30"/>
        <v>12388.425642824073</v>
      </c>
      <c r="AE295" s="76">
        <f t="shared" si="31"/>
        <v>0</v>
      </c>
      <c r="AF295" s="75">
        <f t="shared" si="26"/>
        <v>0</v>
      </c>
      <c r="AG295" s="75">
        <f t="shared" si="27"/>
        <v>0</v>
      </c>
      <c r="AH295" s="31" t="e" cm="1">
        <f t="array" aca="1" ref="AH295" ca="1">IF((AD295) &lt; (INDEX(ResponseSLA[#All],(MATCH((G295),ResponseSLA[Priority],0))+1,3)),"YES","No")</f>
        <v>#N/A</v>
      </c>
      <c r="AI295" s="31" t="str">
        <f>_xlfn.IFNA(IF(AE295 &lt; (INDEX(SLATable[Minimum SLA],MATCH(G295,SLATable[Priority],0))),"YES","NO"),"")</f>
        <v/>
      </c>
      <c r="AJ295" t="str">
        <f>_xlfn.IFNA(IF(AE295 &lt; (INDEX(SLATable[Maximum SLA],MATCH(G295,SLATable[Priority],0))),"YES","NO"),"")</f>
        <v/>
      </c>
    </row>
    <row r="296" spans="26:36" ht="15" customHeight="1">
      <c r="Z296" s="76" t="e">
        <f t="shared" ca="1" si="28"/>
        <v>#N/A</v>
      </c>
      <c r="AA296" s="75" t="e">
        <f t="shared" ca="1" si="24"/>
        <v>#N/A</v>
      </c>
      <c r="AB296" s="76">
        <f t="shared" ca="1" si="29"/>
        <v>0</v>
      </c>
      <c r="AC296" s="75">
        <f t="shared" ca="1" si="25"/>
        <v>0</v>
      </c>
      <c r="AD296" s="76">
        <f t="shared" ca="1" si="30"/>
        <v>12388.425642824073</v>
      </c>
      <c r="AE296" s="76">
        <f t="shared" si="31"/>
        <v>0</v>
      </c>
      <c r="AF296" s="75">
        <f t="shared" si="26"/>
        <v>0</v>
      </c>
      <c r="AG296" s="75">
        <f t="shared" si="27"/>
        <v>0</v>
      </c>
      <c r="AH296" s="31" t="e" cm="1">
        <f t="array" aca="1" ref="AH296" ca="1">IF((AD296) &lt; (INDEX(ResponseSLA[#All],(MATCH((G296),ResponseSLA[Priority],0))+1,3)),"YES","No")</f>
        <v>#N/A</v>
      </c>
      <c r="AI296" s="31" t="str">
        <f>_xlfn.IFNA(IF(AE296 &lt; (INDEX(SLATable[Minimum SLA],MATCH(G296,SLATable[Priority],0))),"YES","NO"),"")</f>
        <v/>
      </c>
      <c r="AJ296" t="str">
        <f>_xlfn.IFNA(IF(AE296 &lt; (INDEX(SLATable[Maximum SLA],MATCH(G296,SLATable[Priority],0))),"YES","NO"),"")</f>
        <v/>
      </c>
    </row>
    <row r="297" spans="26:36" ht="15" customHeight="1">
      <c r="Z297" s="76" t="e">
        <f t="shared" ca="1" si="28"/>
        <v>#N/A</v>
      </c>
      <c r="AA297" s="75" t="e">
        <f t="shared" ca="1" si="24"/>
        <v>#N/A</v>
      </c>
      <c r="AB297" s="76">
        <f t="shared" ca="1" si="29"/>
        <v>0</v>
      </c>
      <c r="AC297" s="75">
        <f t="shared" ca="1" si="25"/>
        <v>0</v>
      </c>
      <c r="AD297" s="76">
        <f t="shared" ca="1" si="30"/>
        <v>12388.425642708335</v>
      </c>
      <c r="AE297" s="76">
        <f t="shared" si="31"/>
        <v>0</v>
      </c>
      <c r="AF297" s="75">
        <f t="shared" si="26"/>
        <v>0</v>
      </c>
      <c r="AG297" s="75">
        <f t="shared" si="27"/>
        <v>0</v>
      </c>
      <c r="AH297" s="31" t="e" cm="1">
        <f t="array" aca="1" ref="AH297" ca="1">IF((AD297) &lt; (INDEX(ResponseSLA[#All],(MATCH((G297),ResponseSLA[Priority],0))+1,3)),"YES","No")</f>
        <v>#N/A</v>
      </c>
      <c r="AI297" s="31" t="str">
        <f>_xlfn.IFNA(IF(AE297 &lt; (INDEX(SLATable[Minimum SLA],MATCH(G297,SLATable[Priority],0))),"YES","NO"),"")</f>
        <v/>
      </c>
      <c r="AJ297" t="str">
        <f>_xlfn.IFNA(IF(AE297 &lt; (INDEX(SLATable[Maximum SLA],MATCH(G297,SLATable[Priority],0))),"YES","NO"),"")</f>
        <v/>
      </c>
    </row>
    <row r="298" spans="26:36" ht="15" customHeight="1">
      <c r="Z298" s="76" t="e">
        <f t="shared" ca="1" si="28"/>
        <v>#N/A</v>
      </c>
      <c r="AA298" s="75" t="e">
        <f t="shared" ca="1" si="24"/>
        <v>#N/A</v>
      </c>
      <c r="AB298" s="76">
        <f t="shared" ca="1" si="29"/>
        <v>0</v>
      </c>
      <c r="AC298" s="75">
        <f t="shared" ca="1" si="25"/>
        <v>0</v>
      </c>
      <c r="AD298" s="76">
        <f t="shared" ca="1" si="30"/>
        <v>12388.425642824073</v>
      </c>
      <c r="AE298" s="76">
        <f t="shared" si="31"/>
        <v>0</v>
      </c>
      <c r="AF298" s="75">
        <f t="shared" si="26"/>
        <v>0</v>
      </c>
      <c r="AG298" s="75">
        <f t="shared" si="27"/>
        <v>0</v>
      </c>
      <c r="AH298" s="31" t="e" cm="1">
        <f t="array" aca="1" ref="AH298" ca="1">IF((AD298) &lt; (INDEX(ResponseSLA[#All],(MATCH((G298),ResponseSLA[Priority],0))+1,3)),"YES","No")</f>
        <v>#N/A</v>
      </c>
      <c r="AI298" s="31" t="str">
        <f>_xlfn.IFNA(IF(AE298 &lt; (INDEX(SLATable[Minimum SLA],MATCH(G298,SLATable[Priority],0))),"YES","NO"),"")</f>
        <v/>
      </c>
      <c r="AJ298" t="str">
        <f>_xlfn.IFNA(IF(AE298 &lt; (INDEX(SLATable[Maximum SLA],MATCH(G298,SLATable[Priority],0))),"YES","NO"),"")</f>
        <v/>
      </c>
    </row>
    <row r="299" spans="26:36" ht="15" customHeight="1">
      <c r="Z299" s="76" t="e">
        <f t="shared" ca="1" si="28"/>
        <v>#N/A</v>
      </c>
      <c r="AA299" s="75" t="e">
        <f t="shared" ca="1" si="24"/>
        <v>#N/A</v>
      </c>
      <c r="AB299" s="76">
        <f t="shared" ca="1" si="29"/>
        <v>0</v>
      </c>
      <c r="AC299" s="75">
        <f t="shared" ca="1" si="25"/>
        <v>0</v>
      </c>
      <c r="AD299" s="76">
        <f t="shared" ca="1" si="30"/>
        <v>12388.425642824073</v>
      </c>
      <c r="AE299" s="76">
        <f t="shared" si="31"/>
        <v>0</v>
      </c>
      <c r="AF299" s="75">
        <f t="shared" si="26"/>
        <v>0</v>
      </c>
      <c r="AG299" s="75">
        <f t="shared" si="27"/>
        <v>0</v>
      </c>
      <c r="AH299" s="31" t="e" cm="1">
        <f t="array" aca="1" ref="AH299" ca="1">IF((AD299) &lt; (INDEX(ResponseSLA[#All],(MATCH((G299),ResponseSLA[Priority],0))+1,3)),"YES","No")</f>
        <v>#N/A</v>
      </c>
      <c r="AI299" s="31" t="str">
        <f>_xlfn.IFNA(IF(AE299 &lt; (INDEX(SLATable[Minimum SLA],MATCH(G299,SLATable[Priority],0))),"YES","NO"),"")</f>
        <v/>
      </c>
      <c r="AJ299" t="str">
        <f>_xlfn.IFNA(IF(AE299 &lt; (INDEX(SLATable[Maximum SLA],MATCH(G299,SLATable[Priority],0))),"YES","NO"),"")</f>
        <v/>
      </c>
    </row>
    <row r="300" spans="26:36" ht="15" customHeight="1">
      <c r="Z300" s="76" t="e">
        <f t="shared" ca="1" si="28"/>
        <v>#N/A</v>
      </c>
      <c r="AA300" s="75" t="e">
        <f t="shared" ca="1" si="24"/>
        <v>#N/A</v>
      </c>
      <c r="AB300" s="76">
        <f t="shared" ca="1" si="29"/>
        <v>0</v>
      </c>
      <c r="AC300" s="75">
        <f t="shared" ca="1" si="25"/>
        <v>0</v>
      </c>
      <c r="AD300" s="76">
        <f t="shared" ca="1" si="30"/>
        <v>12388.425642708335</v>
      </c>
      <c r="AE300" s="76">
        <f t="shared" si="31"/>
        <v>0</v>
      </c>
      <c r="AF300" s="75">
        <f t="shared" si="26"/>
        <v>0</v>
      </c>
      <c r="AG300" s="75">
        <f t="shared" si="27"/>
        <v>0</v>
      </c>
      <c r="AH300" s="31" t="e" cm="1">
        <f t="array" aca="1" ref="AH300" ca="1">IF((AD300) &lt; (INDEX(ResponseSLA[#All],(MATCH((G300),ResponseSLA[Priority],0))+1,3)),"YES","No")</f>
        <v>#N/A</v>
      </c>
      <c r="AI300" s="31" t="str">
        <f>_xlfn.IFNA(IF(AE300 &lt; (INDEX(SLATable[Minimum SLA],MATCH(G300,SLATable[Priority],0))),"YES","NO"),"")</f>
        <v/>
      </c>
      <c r="AJ300" t="str">
        <f>_xlfn.IFNA(IF(AE300 &lt; (INDEX(SLATable[Maximum SLA],MATCH(G300,SLATable[Priority],0))),"YES","NO"),"")</f>
        <v/>
      </c>
    </row>
    <row r="301" spans="26:36" ht="15" customHeight="1">
      <c r="Z301" s="76" t="e">
        <f t="shared" ca="1" si="28"/>
        <v>#N/A</v>
      </c>
      <c r="AA301" s="75" t="e">
        <f t="shared" ca="1" si="24"/>
        <v>#N/A</v>
      </c>
      <c r="AB301" s="76">
        <f t="shared" ca="1" si="29"/>
        <v>0</v>
      </c>
      <c r="AC301" s="75">
        <f t="shared" ca="1" si="25"/>
        <v>0</v>
      </c>
      <c r="AD301" s="76">
        <f t="shared" ca="1" si="30"/>
        <v>12388.425642824073</v>
      </c>
      <c r="AE301" s="76">
        <f t="shared" si="31"/>
        <v>0</v>
      </c>
      <c r="AF301" s="75">
        <f t="shared" si="26"/>
        <v>0</v>
      </c>
      <c r="AG301" s="75">
        <f t="shared" si="27"/>
        <v>0</v>
      </c>
      <c r="AH301" s="31" t="e" cm="1">
        <f t="array" aca="1" ref="AH301" ca="1">IF((AD301) &lt; (INDEX(ResponseSLA[#All],(MATCH((G301),ResponseSLA[Priority],0))+1,3)),"YES","No")</f>
        <v>#N/A</v>
      </c>
      <c r="AI301" s="31" t="str">
        <f>_xlfn.IFNA(IF(AE301 &lt; (INDEX(SLATable[Minimum SLA],MATCH(G301,SLATable[Priority],0))),"YES","NO"),"")</f>
        <v/>
      </c>
      <c r="AJ301" t="str">
        <f>_xlfn.IFNA(IF(AE301 &lt; (INDEX(SLATable[Maximum SLA],MATCH(G301,SLATable[Priority],0))),"YES","NO"),"")</f>
        <v/>
      </c>
    </row>
    <row r="302" spans="26:36" ht="15" customHeight="1">
      <c r="Z302" s="76" t="e">
        <f t="shared" ca="1" si="28"/>
        <v>#N/A</v>
      </c>
      <c r="AA302" s="75" t="e">
        <f t="shared" ca="1" si="24"/>
        <v>#N/A</v>
      </c>
      <c r="AB302" s="76">
        <f t="shared" ca="1" si="29"/>
        <v>0</v>
      </c>
      <c r="AC302" s="75">
        <f t="shared" ca="1" si="25"/>
        <v>0</v>
      </c>
      <c r="AD302" s="76">
        <f t="shared" ca="1" si="30"/>
        <v>12388.425642824073</v>
      </c>
      <c r="AE302" s="76">
        <f t="shared" si="31"/>
        <v>0</v>
      </c>
      <c r="AF302" s="75">
        <f t="shared" si="26"/>
        <v>0</v>
      </c>
      <c r="AG302" s="75">
        <f t="shared" si="27"/>
        <v>0</v>
      </c>
      <c r="AH302" s="31" t="e" cm="1">
        <f t="array" aca="1" ref="AH302" ca="1">IF((AD302) &lt; (INDEX(ResponseSLA[#All],(MATCH((G302),ResponseSLA[Priority],0))+1,3)),"YES","No")</f>
        <v>#N/A</v>
      </c>
      <c r="AI302" s="31" t="str">
        <f>_xlfn.IFNA(IF(AE302 &lt; (INDEX(SLATable[Minimum SLA],MATCH(G302,SLATable[Priority],0))),"YES","NO"),"")</f>
        <v/>
      </c>
      <c r="AJ302" t="str">
        <f>_xlfn.IFNA(IF(AE302 &lt; (INDEX(SLATable[Maximum SLA],MATCH(G302,SLATable[Priority],0))),"YES","NO"),"")</f>
        <v/>
      </c>
    </row>
    <row r="303" spans="26:36" ht="15" customHeight="1">
      <c r="Z303" s="76" t="e">
        <f t="shared" ca="1" si="28"/>
        <v>#N/A</v>
      </c>
      <c r="AA303" s="75" t="e">
        <f t="shared" ca="1" si="24"/>
        <v>#N/A</v>
      </c>
      <c r="AB303" s="76">
        <f t="shared" ca="1" si="29"/>
        <v>0</v>
      </c>
      <c r="AC303" s="75">
        <f t="shared" ca="1" si="25"/>
        <v>0</v>
      </c>
      <c r="AD303" s="76">
        <f t="shared" ca="1" si="30"/>
        <v>12388.425642708335</v>
      </c>
      <c r="AE303" s="76">
        <f t="shared" si="31"/>
        <v>0</v>
      </c>
      <c r="AF303" s="75">
        <f t="shared" si="26"/>
        <v>0</v>
      </c>
      <c r="AG303" s="75">
        <f t="shared" si="27"/>
        <v>0</v>
      </c>
      <c r="AH303" s="31" t="e" cm="1">
        <f t="array" aca="1" ref="AH303" ca="1">IF((AD303) &lt; (INDEX(ResponseSLA[#All],(MATCH((G303),ResponseSLA[Priority],0))+1,3)),"YES","No")</f>
        <v>#N/A</v>
      </c>
      <c r="AI303" s="31" t="str">
        <f>_xlfn.IFNA(IF(AE303 &lt; (INDEX(SLATable[Minimum SLA],MATCH(G303,SLATable[Priority],0))),"YES","NO"),"")</f>
        <v/>
      </c>
      <c r="AJ303" t="str">
        <f>_xlfn.IFNA(IF(AE303 &lt; (INDEX(SLATable[Maximum SLA],MATCH(G303,SLATable[Priority],0))),"YES","NO"),"")</f>
        <v/>
      </c>
    </row>
    <row r="304" spans="26:36" ht="15" customHeight="1">
      <c r="Z304" s="76" t="e">
        <f t="shared" ca="1" si="28"/>
        <v>#N/A</v>
      </c>
      <c r="AA304" s="75" t="e">
        <f t="shared" ca="1" si="24"/>
        <v>#N/A</v>
      </c>
      <c r="AB304" s="76">
        <f t="shared" ca="1" si="29"/>
        <v>0</v>
      </c>
      <c r="AC304" s="75">
        <f t="shared" ca="1" si="25"/>
        <v>0</v>
      </c>
      <c r="AD304" s="76">
        <f t="shared" ca="1" si="30"/>
        <v>12388.425642824073</v>
      </c>
      <c r="AE304" s="76">
        <f t="shared" si="31"/>
        <v>0</v>
      </c>
      <c r="AF304" s="75">
        <f t="shared" si="26"/>
        <v>0</v>
      </c>
      <c r="AG304" s="75">
        <f t="shared" si="27"/>
        <v>0</v>
      </c>
      <c r="AH304" s="31" t="e" cm="1">
        <f t="array" aca="1" ref="AH304" ca="1">IF((AD304) &lt; (INDEX(ResponseSLA[#All],(MATCH((G304),ResponseSLA[Priority],0))+1,3)),"YES","No")</f>
        <v>#N/A</v>
      </c>
      <c r="AI304" s="31" t="str">
        <f>_xlfn.IFNA(IF(AE304 &lt; (INDEX(SLATable[Minimum SLA],MATCH(G304,SLATable[Priority],0))),"YES","NO"),"")</f>
        <v/>
      </c>
      <c r="AJ304" t="str">
        <f>_xlfn.IFNA(IF(AE304 &lt; (INDEX(SLATable[Maximum SLA],MATCH(G304,SLATable[Priority],0))),"YES","NO"),"")</f>
        <v/>
      </c>
    </row>
    <row r="305" spans="26:36" ht="15" customHeight="1">
      <c r="Z305" s="76" t="e">
        <f t="shared" ca="1" si="28"/>
        <v>#N/A</v>
      </c>
      <c r="AA305" s="75" t="e">
        <f t="shared" ca="1" si="24"/>
        <v>#N/A</v>
      </c>
      <c r="AB305" s="76">
        <f t="shared" ca="1" si="29"/>
        <v>0</v>
      </c>
      <c r="AC305" s="75">
        <f t="shared" ca="1" si="25"/>
        <v>0</v>
      </c>
      <c r="AD305" s="76">
        <f t="shared" ca="1" si="30"/>
        <v>12388.425642824073</v>
      </c>
      <c r="AE305" s="76">
        <f t="shared" si="31"/>
        <v>0</v>
      </c>
      <c r="AF305" s="75">
        <f t="shared" si="26"/>
        <v>0</v>
      </c>
      <c r="AG305" s="75">
        <f t="shared" si="27"/>
        <v>0</v>
      </c>
      <c r="AH305" s="31" t="e" cm="1">
        <f t="array" aca="1" ref="AH305" ca="1">IF((AD305) &lt; (INDEX(ResponseSLA[#All],(MATCH((G305),ResponseSLA[Priority],0))+1,3)),"YES","No")</f>
        <v>#N/A</v>
      </c>
      <c r="AI305" s="31" t="str">
        <f>_xlfn.IFNA(IF(AE305 &lt; (INDEX(SLATable[Minimum SLA],MATCH(G305,SLATable[Priority],0))),"YES","NO"),"")</f>
        <v/>
      </c>
      <c r="AJ305" t="str">
        <f>_xlfn.IFNA(IF(AE305 &lt; (INDEX(SLATable[Maximum SLA],MATCH(G305,SLATable[Priority],0))),"YES","NO"),"")</f>
        <v/>
      </c>
    </row>
    <row r="306" spans="26:36" ht="15" customHeight="1">
      <c r="Z306" s="76" t="e">
        <f t="shared" ca="1" si="28"/>
        <v>#N/A</v>
      </c>
      <c r="AA306" s="75" t="e">
        <f t="shared" ca="1" si="24"/>
        <v>#N/A</v>
      </c>
      <c r="AB306" s="76">
        <f t="shared" ca="1" si="29"/>
        <v>0</v>
      </c>
      <c r="AC306" s="75">
        <f t="shared" ca="1" si="25"/>
        <v>0</v>
      </c>
      <c r="AD306" s="76">
        <f t="shared" ca="1" si="30"/>
        <v>12388.425642708335</v>
      </c>
      <c r="AE306" s="76">
        <f t="shared" si="31"/>
        <v>0</v>
      </c>
      <c r="AF306" s="75">
        <f t="shared" si="26"/>
        <v>0</v>
      </c>
      <c r="AG306" s="75">
        <f t="shared" si="27"/>
        <v>0</v>
      </c>
      <c r="AH306" s="31" t="e" cm="1">
        <f t="array" aca="1" ref="AH306" ca="1">IF((AD306) &lt; (INDEX(ResponseSLA[#All],(MATCH((G306),ResponseSLA[Priority],0))+1,3)),"YES","No")</f>
        <v>#N/A</v>
      </c>
      <c r="AI306" s="31" t="str">
        <f>_xlfn.IFNA(IF(AE306 &lt; (INDEX(SLATable[Minimum SLA],MATCH(G306,SLATable[Priority],0))),"YES","NO"),"")</f>
        <v/>
      </c>
      <c r="AJ306" t="str">
        <f>_xlfn.IFNA(IF(AE306 &lt; (INDEX(SLATable[Maximum SLA],MATCH(G306,SLATable[Priority],0))),"YES","NO"),"")</f>
        <v/>
      </c>
    </row>
    <row r="307" spans="26:36" ht="15" customHeight="1">
      <c r="Z307" s="76" t="e">
        <f t="shared" ca="1" si="28"/>
        <v>#N/A</v>
      </c>
      <c r="AA307" s="75" t="e">
        <f t="shared" ca="1" si="24"/>
        <v>#N/A</v>
      </c>
      <c r="AB307" s="76">
        <f t="shared" ca="1" si="29"/>
        <v>0</v>
      </c>
      <c r="AC307" s="75">
        <f t="shared" ca="1" si="25"/>
        <v>0</v>
      </c>
      <c r="AD307" s="76">
        <f t="shared" ca="1" si="30"/>
        <v>12388.425642824073</v>
      </c>
      <c r="AE307" s="76">
        <f t="shared" si="31"/>
        <v>0</v>
      </c>
      <c r="AF307" s="75">
        <f t="shared" si="26"/>
        <v>0</v>
      </c>
      <c r="AG307" s="75">
        <f t="shared" si="27"/>
        <v>0</v>
      </c>
      <c r="AH307" s="31" t="e" cm="1">
        <f t="array" aca="1" ref="AH307" ca="1">IF((AD307) &lt; (INDEX(ResponseSLA[#All],(MATCH((G307),ResponseSLA[Priority],0))+1,3)),"YES","No")</f>
        <v>#N/A</v>
      </c>
      <c r="AI307" s="31" t="str">
        <f>_xlfn.IFNA(IF(AE307 &lt; (INDEX(SLATable[Minimum SLA],MATCH(G307,SLATable[Priority],0))),"YES","NO"),"")</f>
        <v/>
      </c>
      <c r="AJ307" t="str">
        <f>_xlfn.IFNA(IF(AE307 &lt; (INDEX(SLATable[Maximum SLA],MATCH(G307,SLATable[Priority],0))),"YES","NO"),"")</f>
        <v/>
      </c>
    </row>
    <row r="308" spans="26:36" ht="15" customHeight="1">
      <c r="Z308" s="76" t="e">
        <f t="shared" ca="1" si="28"/>
        <v>#N/A</v>
      </c>
      <c r="AA308" s="75" t="e">
        <f t="shared" ca="1" si="24"/>
        <v>#N/A</v>
      </c>
      <c r="AB308" s="76">
        <f t="shared" ca="1" si="29"/>
        <v>0</v>
      </c>
      <c r="AC308" s="75">
        <f t="shared" ca="1" si="25"/>
        <v>0</v>
      </c>
      <c r="AD308" s="76">
        <f t="shared" ca="1" si="30"/>
        <v>12388.425642824073</v>
      </c>
      <c r="AE308" s="76">
        <f t="shared" si="31"/>
        <v>0</v>
      </c>
      <c r="AF308" s="75">
        <f t="shared" si="26"/>
        <v>0</v>
      </c>
      <c r="AG308" s="75">
        <f t="shared" si="27"/>
        <v>0</v>
      </c>
      <c r="AH308" s="31" t="e" cm="1">
        <f t="array" aca="1" ref="AH308" ca="1">IF((AD308) &lt; (INDEX(ResponseSLA[#All],(MATCH((G308),ResponseSLA[Priority],0))+1,3)),"YES","No")</f>
        <v>#N/A</v>
      </c>
      <c r="AI308" s="31" t="str">
        <f>_xlfn.IFNA(IF(AE308 &lt; (INDEX(SLATable[Minimum SLA],MATCH(G308,SLATable[Priority],0))),"YES","NO"),"")</f>
        <v/>
      </c>
      <c r="AJ308" t="str">
        <f>_xlfn.IFNA(IF(AE308 &lt; (INDEX(SLATable[Maximum SLA],MATCH(G308,SLATable[Priority],0))),"YES","NO"),"")</f>
        <v/>
      </c>
    </row>
    <row r="309" spans="26:36" ht="15" customHeight="1">
      <c r="Z309" s="76" t="e">
        <f t="shared" ca="1" si="28"/>
        <v>#N/A</v>
      </c>
      <c r="AA309" s="75" t="e">
        <f t="shared" ca="1" si="24"/>
        <v>#N/A</v>
      </c>
      <c r="AB309" s="76">
        <f t="shared" ca="1" si="29"/>
        <v>0</v>
      </c>
      <c r="AC309" s="75">
        <f t="shared" ca="1" si="25"/>
        <v>0</v>
      </c>
      <c r="AD309" s="76">
        <f t="shared" ca="1" si="30"/>
        <v>12388.425642708335</v>
      </c>
      <c r="AE309" s="76">
        <f t="shared" si="31"/>
        <v>0</v>
      </c>
      <c r="AF309" s="75">
        <f t="shared" si="26"/>
        <v>0</v>
      </c>
      <c r="AG309" s="75">
        <f t="shared" si="27"/>
        <v>0</v>
      </c>
      <c r="AH309" s="31" t="e" cm="1">
        <f t="array" aca="1" ref="AH309" ca="1">IF((AD309) &lt; (INDEX(ResponseSLA[#All],(MATCH((G309),ResponseSLA[Priority],0))+1,3)),"YES","No")</f>
        <v>#N/A</v>
      </c>
      <c r="AI309" s="31" t="str">
        <f>_xlfn.IFNA(IF(AE309 &lt; (INDEX(SLATable[Minimum SLA],MATCH(G309,SLATable[Priority],0))),"YES","NO"),"")</f>
        <v/>
      </c>
      <c r="AJ309" t="str">
        <f>_xlfn.IFNA(IF(AE309 &lt; (INDEX(SLATable[Maximum SLA],MATCH(G309,SLATable[Priority],0))),"YES","NO"),"")</f>
        <v/>
      </c>
    </row>
    <row r="310" spans="26:36" ht="15" customHeight="1">
      <c r="Z310" s="76" t="e">
        <f t="shared" ca="1" si="28"/>
        <v>#N/A</v>
      </c>
      <c r="AA310" s="75" t="e">
        <f t="shared" ca="1" si="24"/>
        <v>#N/A</v>
      </c>
      <c r="AB310" s="76">
        <f t="shared" ca="1" si="29"/>
        <v>0</v>
      </c>
      <c r="AC310" s="75">
        <f t="shared" ca="1" si="25"/>
        <v>0</v>
      </c>
      <c r="AD310" s="76">
        <f t="shared" ca="1" si="30"/>
        <v>12388.425642824073</v>
      </c>
      <c r="AE310" s="76">
        <f t="shared" si="31"/>
        <v>0</v>
      </c>
      <c r="AF310" s="75">
        <f t="shared" si="26"/>
        <v>0</v>
      </c>
      <c r="AG310" s="75">
        <f t="shared" si="27"/>
        <v>0</v>
      </c>
      <c r="AH310" s="31" t="e" cm="1">
        <f t="array" aca="1" ref="AH310" ca="1">IF((AD310) &lt; (INDEX(ResponseSLA[#All],(MATCH((G310),ResponseSLA[Priority],0))+1,3)),"YES","No")</f>
        <v>#N/A</v>
      </c>
      <c r="AI310" s="31" t="str">
        <f>_xlfn.IFNA(IF(AE310 &lt; (INDEX(SLATable[Minimum SLA],MATCH(G310,SLATable[Priority],0))),"YES","NO"),"")</f>
        <v/>
      </c>
      <c r="AJ310" t="str">
        <f>_xlfn.IFNA(IF(AE310 &lt; (INDEX(SLATable[Maximum SLA],MATCH(G310,SLATable[Priority],0))),"YES","NO"),"")</f>
        <v/>
      </c>
    </row>
    <row r="311" spans="26:36" ht="15" customHeight="1">
      <c r="Z311" s="76" t="e">
        <f t="shared" ca="1" si="28"/>
        <v>#N/A</v>
      </c>
      <c r="AA311" s="75" t="e">
        <f t="shared" ca="1" si="24"/>
        <v>#N/A</v>
      </c>
      <c r="AB311" s="76">
        <f t="shared" ca="1" si="29"/>
        <v>0</v>
      </c>
      <c r="AC311" s="75">
        <f t="shared" ca="1" si="25"/>
        <v>0</v>
      </c>
      <c r="AD311" s="76">
        <f t="shared" ca="1" si="30"/>
        <v>12388.425642824073</v>
      </c>
      <c r="AE311" s="76">
        <f t="shared" si="31"/>
        <v>0</v>
      </c>
      <c r="AF311" s="75">
        <f t="shared" si="26"/>
        <v>0</v>
      </c>
      <c r="AG311" s="75">
        <f t="shared" si="27"/>
        <v>0</v>
      </c>
      <c r="AH311" s="31" t="e" cm="1">
        <f t="array" aca="1" ref="AH311" ca="1">IF((AD311) &lt; (INDEX(ResponseSLA[#All],(MATCH((G311),ResponseSLA[Priority],0))+1,3)),"YES","No")</f>
        <v>#N/A</v>
      </c>
      <c r="AI311" s="31" t="str">
        <f>_xlfn.IFNA(IF(AE311 &lt; (INDEX(SLATable[Minimum SLA],MATCH(G311,SLATable[Priority],0))),"YES","NO"),"")</f>
        <v/>
      </c>
      <c r="AJ311" t="str">
        <f>_xlfn.IFNA(IF(AE311 &lt; (INDEX(SLATable[Maximum SLA],MATCH(G311,SLATable[Priority],0))),"YES","NO"),"")</f>
        <v/>
      </c>
    </row>
    <row r="312" spans="26:36" ht="15" customHeight="1">
      <c r="Z312" s="76" t="e">
        <f t="shared" ca="1" si="28"/>
        <v>#N/A</v>
      </c>
      <c r="AA312" s="75" t="e">
        <f t="shared" ca="1" si="24"/>
        <v>#N/A</v>
      </c>
      <c r="AB312" s="76">
        <f t="shared" ca="1" si="29"/>
        <v>0</v>
      </c>
      <c r="AC312" s="75">
        <f t="shared" ca="1" si="25"/>
        <v>0</v>
      </c>
      <c r="AD312" s="76">
        <f t="shared" ca="1" si="30"/>
        <v>12388.425642708335</v>
      </c>
      <c r="AE312" s="76">
        <f t="shared" si="31"/>
        <v>0</v>
      </c>
      <c r="AF312" s="75">
        <f t="shared" si="26"/>
        <v>0</v>
      </c>
      <c r="AG312" s="75">
        <f t="shared" si="27"/>
        <v>0</v>
      </c>
      <c r="AH312" s="31" t="e" cm="1">
        <f t="array" aca="1" ref="AH312" ca="1">IF((AD312) &lt; (INDEX(ResponseSLA[#All],(MATCH((G312),ResponseSLA[Priority],0))+1,3)),"YES","No")</f>
        <v>#N/A</v>
      </c>
      <c r="AI312" s="31" t="str">
        <f>_xlfn.IFNA(IF(AE312 &lt; (INDEX(SLATable[Minimum SLA],MATCH(G312,SLATable[Priority],0))),"YES","NO"),"")</f>
        <v/>
      </c>
      <c r="AJ312" t="str">
        <f>_xlfn.IFNA(IF(AE312 &lt; (INDEX(SLATable[Maximum SLA],MATCH(G312,SLATable[Priority],0))),"YES","NO"),"")</f>
        <v/>
      </c>
    </row>
    <row r="313" spans="26:36" ht="15" customHeight="1">
      <c r="Z313" s="76" t="e">
        <f t="shared" ca="1" si="28"/>
        <v>#N/A</v>
      </c>
      <c r="AA313" s="75" t="e">
        <f t="shared" ca="1" si="24"/>
        <v>#N/A</v>
      </c>
      <c r="AB313" s="76">
        <f t="shared" ca="1" si="29"/>
        <v>0</v>
      </c>
      <c r="AC313" s="75">
        <f t="shared" ca="1" si="25"/>
        <v>0</v>
      </c>
      <c r="AD313" s="76">
        <f t="shared" ca="1" si="30"/>
        <v>12388.425642824073</v>
      </c>
      <c r="AE313" s="76">
        <f t="shared" si="31"/>
        <v>0</v>
      </c>
      <c r="AF313" s="75">
        <f t="shared" si="26"/>
        <v>0</v>
      </c>
      <c r="AG313" s="75">
        <f t="shared" si="27"/>
        <v>0</v>
      </c>
      <c r="AH313" s="31" t="e" cm="1">
        <f t="array" aca="1" ref="AH313" ca="1">IF((AD313) &lt; (INDEX(ResponseSLA[#All],(MATCH((G313),ResponseSLA[Priority],0))+1,3)),"YES","No")</f>
        <v>#N/A</v>
      </c>
      <c r="AI313" s="31" t="str">
        <f>_xlfn.IFNA(IF(AE313 &lt; (INDEX(SLATable[Minimum SLA],MATCH(G313,SLATable[Priority],0))),"YES","NO"),"")</f>
        <v/>
      </c>
      <c r="AJ313" t="str">
        <f>_xlfn.IFNA(IF(AE313 &lt; (INDEX(SLATable[Maximum SLA],MATCH(G313,SLATable[Priority],0))),"YES","NO"),"")</f>
        <v/>
      </c>
    </row>
    <row r="314" spans="26:36" ht="15" customHeight="1">
      <c r="Z314" s="76" t="e">
        <f t="shared" ca="1" si="28"/>
        <v>#N/A</v>
      </c>
      <c r="AA314" s="75" t="e">
        <f t="shared" ca="1" si="24"/>
        <v>#N/A</v>
      </c>
      <c r="AB314" s="76">
        <f t="shared" ca="1" si="29"/>
        <v>0</v>
      </c>
      <c r="AC314" s="75">
        <f t="shared" ca="1" si="25"/>
        <v>0</v>
      </c>
      <c r="AD314" s="76">
        <f t="shared" ca="1" si="30"/>
        <v>12388.425642824073</v>
      </c>
      <c r="AE314" s="76">
        <f t="shared" si="31"/>
        <v>0</v>
      </c>
      <c r="AF314" s="75">
        <f t="shared" si="26"/>
        <v>0</v>
      </c>
      <c r="AG314" s="75">
        <f t="shared" si="27"/>
        <v>0</v>
      </c>
      <c r="AH314" s="31" t="e" cm="1">
        <f t="array" aca="1" ref="AH314" ca="1">IF((AD314) &lt; (INDEX(ResponseSLA[#All],(MATCH((G314),ResponseSLA[Priority],0))+1,3)),"YES","No")</f>
        <v>#N/A</v>
      </c>
      <c r="AI314" s="31" t="str">
        <f>_xlfn.IFNA(IF(AE314 &lt; (INDEX(SLATable[Minimum SLA],MATCH(G314,SLATable[Priority],0))),"YES","NO"),"")</f>
        <v/>
      </c>
      <c r="AJ314" t="str">
        <f>_xlfn.IFNA(IF(AE314 &lt; (INDEX(SLATable[Maximum SLA],MATCH(G314,SLATable[Priority],0))),"YES","NO"),"")</f>
        <v/>
      </c>
    </row>
    <row r="315" spans="26:36" ht="15" customHeight="1">
      <c r="Z315" s="76" t="e">
        <f t="shared" ca="1" si="28"/>
        <v>#N/A</v>
      </c>
      <c r="AA315" s="75" t="e">
        <f t="shared" ca="1" si="24"/>
        <v>#N/A</v>
      </c>
      <c r="AB315" s="76">
        <f t="shared" ca="1" si="29"/>
        <v>0</v>
      </c>
      <c r="AC315" s="75">
        <f t="shared" ca="1" si="25"/>
        <v>0</v>
      </c>
      <c r="AD315" s="76">
        <f t="shared" ca="1" si="30"/>
        <v>12388.425642708335</v>
      </c>
      <c r="AE315" s="76">
        <f t="shared" si="31"/>
        <v>0</v>
      </c>
      <c r="AF315" s="75">
        <f t="shared" si="26"/>
        <v>0</v>
      </c>
      <c r="AG315" s="75">
        <f t="shared" si="27"/>
        <v>0</v>
      </c>
      <c r="AH315" s="31" t="e" cm="1">
        <f t="array" aca="1" ref="AH315" ca="1">IF((AD315) &lt; (INDEX(ResponseSLA[#All],(MATCH((G315),ResponseSLA[Priority],0))+1,3)),"YES","No")</f>
        <v>#N/A</v>
      </c>
      <c r="AI315" s="31" t="str">
        <f>_xlfn.IFNA(IF(AE315 &lt; (INDEX(SLATable[Minimum SLA],MATCH(G315,SLATable[Priority],0))),"YES","NO"),"")</f>
        <v/>
      </c>
      <c r="AJ315" t="str">
        <f>_xlfn.IFNA(IF(AE315 &lt; (INDEX(SLATable[Maximum SLA],MATCH(G315,SLATable[Priority],0))),"YES","NO"),"")</f>
        <v/>
      </c>
    </row>
    <row r="316" spans="26:36" ht="15" customHeight="1">
      <c r="Z316" s="76" t="e">
        <f t="shared" ca="1" si="28"/>
        <v>#N/A</v>
      </c>
      <c r="AA316" s="75" t="e">
        <f t="shared" ca="1" si="24"/>
        <v>#N/A</v>
      </c>
      <c r="AB316" s="76">
        <f t="shared" ca="1" si="29"/>
        <v>0</v>
      </c>
      <c r="AC316" s="75">
        <f t="shared" ca="1" si="25"/>
        <v>0</v>
      </c>
      <c r="AD316" s="76">
        <f t="shared" ca="1" si="30"/>
        <v>12388.425642824073</v>
      </c>
      <c r="AE316" s="76">
        <f t="shared" si="31"/>
        <v>0</v>
      </c>
      <c r="AF316" s="75">
        <f t="shared" si="26"/>
        <v>0</v>
      </c>
      <c r="AG316" s="75">
        <f t="shared" si="27"/>
        <v>0</v>
      </c>
      <c r="AH316" s="31" t="e" cm="1">
        <f t="array" aca="1" ref="AH316" ca="1">IF((AD316) &lt; (INDEX(ResponseSLA[#All],(MATCH((G316),ResponseSLA[Priority],0))+1,3)),"YES","No")</f>
        <v>#N/A</v>
      </c>
      <c r="AI316" s="31" t="str">
        <f>_xlfn.IFNA(IF(AE316 &lt; (INDEX(SLATable[Minimum SLA],MATCH(G316,SLATable[Priority],0))),"YES","NO"),"")</f>
        <v/>
      </c>
      <c r="AJ316" t="str">
        <f>_xlfn.IFNA(IF(AE316 &lt; (INDEX(SLATable[Maximum SLA],MATCH(G316,SLATable[Priority],0))),"YES","NO"),"")</f>
        <v/>
      </c>
    </row>
    <row r="317" spans="26:36" ht="15" customHeight="1">
      <c r="Z317" s="76" t="e">
        <f t="shared" ca="1" si="28"/>
        <v>#N/A</v>
      </c>
      <c r="AA317" s="75" t="e">
        <f t="shared" ca="1" si="24"/>
        <v>#N/A</v>
      </c>
      <c r="AB317" s="76">
        <f t="shared" ca="1" si="29"/>
        <v>0</v>
      </c>
      <c r="AC317" s="75">
        <f t="shared" ca="1" si="25"/>
        <v>0</v>
      </c>
      <c r="AD317" s="76">
        <f t="shared" ca="1" si="30"/>
        <v>12388.425642824073</v>
      </c>
      <c r="AE317" s="76">
        <f t="shared" si="31"/>
        <v>0</v>
      </c>
      <c r="AF317" s="75">
        <f t="shared" si="26"/>
        <v>0</v>
      </c>
      <c r="AG317" s="75">
        <f t="shared" si="27"/>
        <v>0</v>
      </c>
      <c r="AH317" s="31" t="e" cm="1">
        <f t="array" aca="1" ref="AH317" ca="1">IF((AD317) &lt; (INDEX(ResponseSLA[#All],(MATCH((G317),ResponseSLA[Priority],0))+1,3)),"YES","No")</f>
        <v>#N/A</v>
      </c>
      <c r="AI317" s="31" t="str">
        <f>_xlfn.IFNA(IF(AE317 &lt; (INDEX(SLATable[Minimum SLA],MATCH(G317,SLATable[Priority],0))),"YES","NO"),"")</f>
        <v/>
      </c>
      <c r="AJ317" t="str">
        <f>_xlfn.IFNA(IF(AE317 &lt; (INDEX(SLATable[Maximum SLA],MATCH(G317,SLATable[Priority],0))),"YES","NO"),"")</f>
        <v/>
      </c>
    </row>
    <row r="318" spans="26:36" ht="15" customHeight="1">
      <c r="Z318" s="76" t="e">
        <f t="shared" ca="1" si="28"/>
        <v>#N/A</v>
      </c>
      <c r="AA318" s="75" t="e">
        <f t="shared" ca="1" si="24"/>
        <v>#N/A</v>
      </c>
      <c r="AB318" s="76">
        <f t="shared" ca="1" si="29"/>
        <v>0</v>
      </c>
      <c r="AC318" s="75">
        <f t="shared" ca="1" si="25"/>
        <v>0</v>
      </c>
      <c r="AD318" s="76">
        <f t="shared" ca="1" si="30"/>
        <v>12388.425642708335</v>
      </c>
      <c r="AE318" s="76">
        <f t="shared" si="31"/>
        <v>0</v>
      </c>
      <c r="AF318" s="75">
        <f t="shared" si="26"/>
        <v>0</v>
      </c>
      <c r="AG318" s="75">
        <f t="shared" si="27"/>
        <v>0</v>
      </c>
      <c r="AH318" s="31" t="e" cm="1">
        <f t="array" aca="1" ref="AH318" ca="1">IF((AD318) &lt; (INDEX(ResponseSLA[#All],(MATCH((G318),ResponseSLA[Priority],0))+1,3)),"YES","No")</f>
        <v>#N/A</v>
      </c>
      <c r="AI318" s="31" t="str">
        <f>_xlfn.IFNA(IF(AE318 &lt; (INDEX(SLATable[Minimum SLA],MATCH(G318,SLATable[Priority],0))),"YES","NO"),"")</f>
        <v/>
      </c>
      <c r="AJ318" t="str">
        <f>_xlfn.IFNA(IF(AE318 &lt; (INDEX(SLATable[Maximum SLA],MATCH(G318,SLATable[Priority],0))),"YES","NO"),"")</f>
        <v/>
      </c>
    </row>
    <row r="319" spans="26:36" ht="15" customHeight="1">
      <c r="Z319" s="76" t="e">
        <f t="shared" ca="1" si="28"/>
        <v>#N/A</v>
      </c>
      <c r="AA319" s="75" t="e">
        <f t="shared" ca="1" si="24"/>
        <v>#N/A</v>
      </c>
      <c r="AB319" s="76">
        <f t="shared" ca="1" si="29"/>
        <v>0</v>
      </c>
      <c r="AC319" s="75">
        <f t="shared" ca="1" si="25"/>
        <v>0</v>
      </c>
      <c r="AD319" s="76">
        <f t="shared" ca="1" si="30"/>
        <v>12388.425642824073</v>
      </c>
      <c r="AE319" s="76">
        <f t="shared" si="31"/>
        <v>0</v>
      </c>
      <c r="AF319" s="75">
        <f t="shared" si="26"/>
        <v>0</v>
      </c>
      <c r="AG319" s="75">
        <f t="shared" si="27"/>
        <v>0</v>
      </c>
      <c r="AH319" s="31" t="e" cm="1">
        <f t="array" aca="1" ref="AH319" ca="1">IF((AD319) &lt; (INDEX(ResponseSLA[#All],(MATCH((G319),ResponseSLA[Priority],0))+1,3)),"YES","No")</f>
        <v>#N/A</v>
      </c>
      <c r="AI319" s="31" t="str">
        <f>_xlfn.IFNA(IF(AE319 &lt; (INDEX(SLATable[Minimum SLA],MATCH(G319,SLATable[Priority],0))),"YES","NO"),"")</f>
        <v/>
      </c>
      <c r="AJ319" t="str">
        <f>_xlfn.IFNA(IF(AE319 &lt; (INDEX(SLATable[Maximum SLA],MATCH(G319,SLATable[Priority],0))),"YES","NO"),"")</f>
        <v/>
      </c>
    </row>
    <row r="320" spans="26:36" ht="15" customHeight="1">
      <c r="Z320" s="76" t="e">
        <f t="shared" ca="1" si="28"/>
        <v>#N/A</v>
      </c>
      <c r="AA320" s="75" t="e">
        <f t="shared" ca="1" si="24"/>
        <v>#N/A</v>
      </c>
      <c r="AB320" s="76">
        <f t="shared" ca="1" si="29"/>
        <v>0</v>
      </c>
      <c r="AC320" s="75">
        <f t="shared" ca="1" si="25"/>
        <v>0</v>
      </c>
      <c r="AD320" s="76">
        <f t="shared" ca="1" si="30"/>
        <v>12388.425642824073</v>
      </c>
      <c r="AE320" s="76">
        <f t="shared" si="31"/>
        <v>0</v>
      </c>
      <c r="AF320" s="75">
        <f t="shared" si="26"/>
        <v>0</v>
      </c>
      <c r="AG320" s="75">
        <f t="shared" si="27"/>
        <v>0</v>
      </c>
      <c r="AH320" s="31" t="e" cm="1">
        <f t="array" aca="1" ref="AH320" ca="1">IF((AD320) &lt; (INDEX(ResponseSLA[#All],(MATCH((G320),ResponseSLA[Priority],0))+1,3)),"YES","No")</f>
        <v>#N/A</v>
      </c>
      <c r="AI320" s="31" t="str">
        <f>_xlfn.IFNA(IF(AE320 &lt; (INDEX(SLATable[Minimum SLA],MATCH(G320,SLATable[Priority],0))),"YES","NO"),"")</f>
        <v/>
      </c>
      <c r="AJ320" t="str">
        <f>_xlfn.IFNA(IF(AE320 &lt; (INDEX(SLATable[Maximum SLA],MATCH(G320,SLATable[Priority],0))),"YES","NO"),"")</f>
        <v/>
      </c>
    </row>
    <row r="321" spans="26:36" ht="15" customHeight="1">
      <c r="Z321" s="76" t="e">
        <f t="shared" ca="1" si="28"/>
        <v>#N/A</v>
      </c>
      <c r="AA321" s="75" t="e">
        <f t="shared" ref="AA321:AA384" ca="1" si="32">(Z321*24)/9</f>
        <v>#N/A</v>
      </c>
      <c r="AB321" s="76">
        <f t="shared" ca="1" si="29"/>
        <v>0</v>
      </c>
      <c r="AC321" s="75">
        <f t="shared" ref="AC321:AC384" ca="1" si="33">(AB321*24)/9</f>
        <v>0</v>
      </c>
      <c r="AD321" s="76">
        <f t="shared" ca="1" si="30"/>
        <v>12388.425642708335</v>
      </c>
      <c r="AE321" s="76">
        <f t="shared" si="31"/>
        <v>0</v>
      </c>
      <c r="AF321" s="75">
        <f t="shared" ref="AF321:AF384" si="34">(AE321*24)/9</f>
        <v>0</v>
      </c>
      <c r="AG321" s="75">
        <f t="shared" ref="AG321:AG384" si="35">AF321</f>
        <v>0</v>
      </c>
      <c r="AH321" s="31" t="e" cm="1">
        <f t="array" aca="1" ref="AH321" ca="1">IF((AD321) &lt; (INDEX(ResponseSLA[#All],(MATCH((G321),ResponseSLA[Priority],0))+1,3)),"YES","No")</f>
        <v>#N/A</v>
      </c>
      <c r="AI321" s="31" t="str">
        <f>_xlfn.IFNA(IF(AE321 &lt; (INDEX(SLATable[Minimum SLA],MATCH(G321,SLATable[Priority],0))),"YES","NO"),"")</f>
        <v/>
      </c>
      <c r="AJ321" t="str">
        <f>_xlfn.IFNA(IF(AE321 &lt; (INDEX(SLATable[Maximum SLA],MATCH(G321,SLATable[Priority],0))),"YES","NO"),"")</f>
        <v/>
      </c>
    </row>
    <row r="322" spans="26:36" ht="15" customHeight="1">
      <c r="Z322" s="76" t="e">
        <f t="shared" ca="1" si="28"/>
        <v>#N/A</v>
      </c>
      <c r="AA322" s="75" t="e">
        <f t="shared" ca="1" si="32"/>
        <v>#N/A</v>
      </c>
      <c r="AB322" s="76">
        <f t="shared" ca="1" si="29"/>
        <v>0</v>
      </c>
      <c r="AC322" s="75">
        <f t="shared" ca="1" si="33"/>
        <v>0</v>
      </c>
      <c r="AD322" s="76">
        <f t="shared" ca="1" si="30"/>
        <v>12388.425642824073</v>
      </c>
      <c r="AE322" s="76">
        <f t="shared" si="31"/>
        <v>0</v>
      </c>
      <c r="AF322" s="75">
        <f t="shared" si="34"/>
        <v>0</v>
      </c>
      <c r="AG322" s="75">
        <f t="shared" si="35"/>
        <v>0</v>
      </c>
      <c r="AH322" s="31" t="e" cm="1">
        <f t="array" aca="1" ref="AH322" ca="1">IF((AD322) &lt; (INDEX(ResponseSLA[#All],(MATCH((G322),ResponseSLA[Priority],0))+1,3)),"YES","No")</f>
        <v>#N/A</v>
      </c>
      <c r="AI322" s="31" t="str">
        <f>_xlfn.IFNA(IF(AE322 &lt; (INDEX(SLATable[Minimum SLA],MATCH(G322,SLATable[Priority],0))),"YES","NO"),"")</f>
        <v/>
      </c>
      <c r="AJ322" t="str">
        <f>_xlfn.IFNA(IF(AE322 &lt; (INDEX(SLATable[Maximum SLA],MATCH(G322,SLATable[Priority],0))),"YES","NO"),"")</f>
        <v/>
      </c>
    </row>
    <row r="323" spans="26:36" ht="15" customHeight="1">
      <c r="Z323" s="76" t="e">
        <f t="shared" ref="Z323:Z386" ca="1" si="36">IF(NOT(OR(G323=1,G323=2)),MAX(0,_xlfn.IFS(AND(K323&lt;&gt;"",N323&lt;&gt;""),((MAX(NETWORKDAYS(K323,N323,UKBankHolidays)-1,0))*(TIME(17,0,0)-TIME(8,0,0))+IF(NETWORKDAYS(N323,N323,UKBankHolidays)&gt;0,MEDIAN(TIME(8,0,0),MOD(N323,1),TIME(17,0,0)),TIME(8,0,0))-IF(NETWORKDAYS(K323,K323,UKBankHolidays)&gt;0,MEDIAN(TIME(8,0,0),MOD(K323,1),TIME(17,0,0)),TIME(8,0,0)))-IF(AND(O323&lt;&gt;"",P323&lt;&gt;""),((MAX(NETWORKDAYS(O323,P323,UKBankHolidays)-1,0))*(TIME(17,0,0)-TIME(8,0,0))+IF(NETWORKDAYS(P323,P323,UKBankHolidays)&gt;0,MEDIAN(TIME(8,0,0),MOD(P323,1),TIME(17,0,0)),TIME(8,0,0))-IF(NETWORKDAYS(O323,O323,UKBankHolidays)&gt;0,MEDIAN(TIME(8,0,0),MOD(O323,1),TIME(17,0,0)),TIME(8,0,0))),0),AND(K323&lt;&gt;"",N323=""),((MAX(NETWORKDAYS(K323,NOW(),UKBankHolidays)-1,0))*(TIME(17,0,0)-TIME(8,0,0))+IF(NETWORKDAYS(NOW(),NOW(),UKBankHolidays)&gt;0,MEDIAN(TIME(8,0,0),MOD(NOW(),1),TIME(17,0,0)),TIME(8,0,0))-IF(NETWORKDAYS(K323,K323,UKBankHolidays)&gt;0,MEDIAN(TIME(8,0,0),MOD(K323,1),TIME(17,0,0)),TIME(8,0,0))))),IF(N323="",NOW()-K323,N323-K323))</f>
        <v>#N/A</v>
      </c>
      <c r="AA323" s="75" t="e">
        <f t="shared" ca="1" si="32"/>
        <v>#N/A</v>
      </c>
      <c r="AB323" s="76">
        <f t="shared" ref="AB323:AB386" ca="1" si="37">IF(NOT(OR(G323=1,G323=2)),MAX(0,_xlfn.IFS(AND(K323&lt;&gt;"",N323&lt;&gt;""),(((MAX(NETWORKDAYS(L323,N323,UKBankHolidays)-1,0))*(TIME(17,0,0)-TIME(8,0,0)))+IF(NETWORKDAYS(N323,N323,UKBankHolidays)&gt;0,MEDIAN(TIME(8,0,0),MOD(N323,1),TIME(17,0,0)),TIME(8,0,0))-IF(NETWORKDAYS(L323,L323,UKBankHolidays)&gt;0,MEDIAN(TIME(8,0,0),MOD(L323,1),TIME(17,0,0)),TIME(8,0,0)))-IF(AND(O323&lt;&gt;"",P323&lt;&gt;""),(((MAX(NETWORKDAYS(O323,P323,UKBankHolidays)-1,0))*(TIME(17,0,0)-TIME(8,0,0)))+IF(NETWORKDAYS(P323,P323,UKBankHolidays)&gt;0,MEDIAN(TIME(8,0,0),MOD(P323,1),TIME(17,0,0)),TIME(8,0,0))-IF(NETWORKDAYS(O323,O323,UKBankHolidays)&gt;0,MEDIAN(TIME(8,0,0),MOD(O323,1),TIME(17,0,0)),TIME(8,0,0))),0),AND(L323&lt;&gt;"",N323="",O323=""),(((MAX(NETWORKDAYS(L323,NOW(),UKBankHolidays)-1,0))*(TIME(17,0,0)-TIME(8,0,0)))+IF(NETWORKDAYS(NOW(),NOW(),UKBankHolidays)&gt;0,MEDIAN(TIME(8,0,0),MOD(NOW(),1),TIME(17,0,0)),TIME(8,0,0))-IF(NETWORKDAYS(L323,L323,UKBankHolidays)&gt;0,MEDIAN(TIME(8,0,0),MOD(L323,1),TIME(17,0,0)),TIME(8,0,0)))-IF(AND(O323&lt;&gt;"",P323&lt;&gt;""),(((MAX(NETWORKDAYS(O323,P323,UKBankHolidays)-1,0))*(TIME(17,0,0)-TIME(8,0,0)))+IF(NETWORKDAYS(P323,P323,UKBankHolidays)&gt;0,MEDIAN(TIME(8,0,0),MOD(P323,1),TIME(17,0,0)),TIME(8,0,0))-IF(NETWORKDAYS(O323,O323,UKBankHolidays)&gt;0,MEDIAN(TIME(8,0,0),MOD(O323,1),TIME(17,0,0)),TIME(8,0,0))),0),AND(L323&lt;&gt;"",N323="",P323="",O323&lt;&gt;""),(((MAX(NETWORKDAYS(L323,O323,UKBankHolidays)-1,0))*(TIME(17,0,0)-TIME(8,0,0)))+IF(NETWORKDAYS(O323,O323,UKBankHolidays)&gt;0,MEDIAN(TIME(8,0,0),MOD(O323,1),TIME(17,0,0)),TIME(8,0,0))-IF(NETWORKDAYS(L323,L323,UKBankHolidays)&gt;0,MEDIAN(TIME(8,0,0),MOD(L323,1),TIME(17,0,0)),TIME(8,0,0))),ISBLANK(K323),"0")),IF(ISBLANK(N323),NOW()-L323,N323-L323))</f>
        <v>0</v>
      </c>
      <c r="AC323" s="75">
        <f t="shared" ca="1" si="33"/>
        <v>0</v>
      </c>
      <c r="AD323" s="76">
        <f t="shared" ref="AD323:AD386" ca="1" si="38">MAX(0,IF(NOT(OR(G323=1,G323=2)),IF(M323&lt;&gt;"",((MAX(NETWORKDAYS(L323,M323,UKBankHolidays)-1,0))*(TIME(17,0,0)-TIME(8,0,0))+IF(NETWORKDAYS(M323,M323,UKBankHolidays)&gt;0,MEDIAN(TIME(8,0,0),MOD(M323,1),TIME(17,0,0)),TIME(8,0,0))-MEDIAN(TIME(8,0,0),MOD(L323,1),TIME(17,0,0))),((MAX(NETWORKDAYS(L323,NOW(),UKBankHolidays)-1,0))*(TIME(17,0,0)-TIME(8,0,0))+IF(NETWORKDAYS(NOW(),NOW(),UKBankHolidays)&gt;0,MEDIAN(TIME(8,0,0),MOD(NOW(),1),TIME(17,0,0)),TIME(8,0,0))-MEDIAN(TIME(8,0,0),MOD(L323,1),TIME(17,0,0)))),IF(M323&lt;&gt;"",M323-L323,NOW()-L323)))</f>
        <v>12388.425642824073</v>
      </c>
      <c r="AE323" s="76">
        <f t="shared" ref="AE323:AE386" si="39">SUMIFS(AB:AB,E:E,E323)</f>
        <v>0</v>
      </c>
      <c r="AF323" s="75">
        <f t="shared" si="34"/>
        <v>0</v>
      </c>
      <c r="AG323" s="75">
        <f t="shared" si="35"/>
        <v>0</v>
      </c>
      <c r="AH323" s="31" t="e" cm="1">
        <f t="array" aca="1" ref="AH323" ca="1">IF((AD323) &lt; (INDEX(ResponseSLA[#All],(MATCH((G323),ResponseSLA[Priority],0))+1,3)),"YES","No")</f>
        <v>#N/A</v>
      </c>
      <c r="AI323" s="31" t="str">
        <f>_xlfn.IFNA(IF(AE323 &lt; (INDEX(SLATable[Minimum SLA],MATCH(G323,SLATable[Priority],0))),"YES","NO"),"")</f>
        <v/>
      </c>
      <c r="AJ323" t="str">
        <f>_xlfn.IFNA(IF(AE323 &lt; (INDEX(SLATable[Maximum SLA],MATCH(G323,SLATable[Priority],0))),"YES","NO"),"")</f>
        <v/>
      </c>
    </row>
    <row r="324" spans="26:36" ht="15" customHeight="1">
      <c r="Z324" s="76" t="e">
        <f t="shared" ca="1" si="36"/>
        <v>#N/A</v>
      </c>
      <c r="AA324" s="75" t="e">
        <f t="shared" ca="1" si="32"/>
        <v>#N/A</v>
      </c>
      <c r="AB324" s="76">
        <f t="shared" ca="1" si="37"/>
        <v>0</v>
      </c>
      <c r="AC324" s="75">
        <f t="shared" ca="1" si="33"/>
        <v>0</v>
      </c>
      <c r="AD324" s="76">
        <f t="shared" ca="1" si="38"/>
        <v>12388.425642708335</v>
      </c>
      <c r="AE324" s="76">
        <f t="shared" si="39"/>
        <v>0</v>
      </c>
      <c r="AF324" s="75">
        <f t="shared" si="34"/>
        <v>0</v>
      </c>
      <c r="AG324" s="75">
        <f t="shared" si="35"/>
        <v>0</v>
      </c>
      <c r="AH324" s="31" t="e" cm="1">
        <f t="array" aca="1" ref="AH324" ca="1">IF((AD324) &lt; (INDEX(ResponseSLA[#All],(MATCH((G324),ResponseSLA[Priority],0))+1,3)),"YES","No")</f>
        <v>#N/A</v>
      </c>
      <c r="AI324" s="31" t="str">
        <f>_xlfn.IFNA(IF(AE324 &lt; (INDEX(SLATable[Minimum SLA],MATCH(G324,SLATable[Priority],0))),"YES","NO"),"")</f>
        <v/>
      </c>
      <c r="AJ324" t="str">
        <f>_xlfn.IFNA(IF(AE324 &lt; (INDEX(SLATable[Maximum SLA],MATCH(G324,SLATable[Priority],0))),"YES","NO"),"")</f>
        <v/>
      </c>
    </row>
    <row r="325" spans="26:36" ht="15" customHeight="1">
      <c r="Z325" s="76" t="e">
        <f t="shared" ca="1" si="36"/>
        <v>#N/A</v>
      </c>
      <c r="AA325" s="75" t="e">
        <f t="shared" ca="1" si="32"/>
        <v>#N/A</v>
      </c>
      <c r="AB325" s="76">
        <f t="shared" ca="1" si="37"/>
        <v>0</v>
      </c>
      <c r="AC325" s="75">
        <f t="shared" ca="1" si="33"/>
        <v>0</v>
      </c>
      <c r="AD325" s="76">
        <f t="shared" ca="1" si="38"/>
        <v>12388.425642824073</v>
      </c>
      <c r="AE325" s="76">
        <f t="shared" si="39"/>
        <v>0</v>
      </c>
      <c r="AF325" s="75">
        <f t="shared" si="34"/>
        <v>0</v>
      </c>
      <c r="AG325" s="75">
        <f t="shared" si="35"/>
        <v>0</v>
      </c>
      <c r="AH325" s="31" t="e" cm="1">
        <f t="array" aca="1" ref="AH325" ca="1">IF((AD325) &lt; (INDEX(ResponseSLA[#All],(MATCH((G325),ResponseSLA[Priority],0))+1,3)),"YES","No")</f>
        <v>#N/A</v>
      </c>
      <c r="AI325" s="31" t="str">
        <f>_xlfn.IFNA(IF(AE325 &lt; (INDEX(SLATable[Minimum SLA],MATCH(G325,SLATable[Priority],0))),"YES","NO"),"")</f>
        <v/>
      </c>
      <c r="AJ325" t="str">
        <f>_xlfn.IFNA(IF(AE325 &lt; (INDEX(SLATable[Maximum SLA],MATCH(G325,SLATable[Priority],0))),"YES","NO"),"")</f>
        <v/>
      </c>
    </row>
    <row r="326" spans="26:36" ht="15" customHeight="1">
      <c r="Z326" s="76" t="e">
        <f t="shared" ca="1" si="36"/>
        <v>#N/A</v>
      </c>
      <c r="AA326" s="75" t="e">
        <f t="shared" ca="1" si="32"/>
        <v>#N/A</v>
      </c>
      <c r="AB326" s="76">
        <f t="shared" ca="1" si="37"/>
        <v>0</v>
      </c>
      <c r="AC326" s="75">
        <f t="shared" ca="1" si="33"/>
        <v>0</v>
      </c>
      <c r="AD326" s="76">
        <f t="shared" ca="1" si="38"/>
        <v>12388.425642824073</v>
      </c>
      <c r="AE326" s="76">
        <f t="shared" si="39"/>
        <v>0</v>
      </c>
      <c r="AF326" s="75">
        <f t="shared" si="34"/>
        <v>0</v>
      </c>
      <c r="AG326" s="75">
        <f t="shared" si="35"/>
        <v>0</v>
      </c>
      <c r="AH326" s="31" t="e" cm="1">
        <f t="array" aca="1" ref="AH326" ca="1">IF((AD326) &lt; (INDEX(ResponseSLA[#All],(MATCH((G326),ResponseSLA[Priority],0))+1,3)),"YES","No")</f>
        <v>#N/A</v>
      </c>
      <c r="AI326" s="31" t="str">
        <f>_xlfn.IFNA(IF(AE326 &lt; (INDEX(SLATable[Minimum SLA],MATCH(G326,SLATable[Priority],0))),"YES","NO"),"")</f>
        <v/>
      </c>
      <c r="AJ326" t="str">
        <f>_xlfn.IFNA(IF(AE326 &lt; (INDEX(SLATable[Maximum SLA],MATCH(G326,SLATable[Priority],0))),"YES","NO"),"")</f>
        <v/>
      </c>
    </row>
    <row r="327" spans="26:36" ht="15" customHeight="1">
      <c r="Z327" s="76" t="e">
        <f t="shared" ca="1" si="36"/>
        <v>#N/A</v>
      </c>
      <c r="AA327" s="75" t="e">
        <f t="shared" ca="1" si="32"/>
        <v>#N/A</v>
      </c>
      <c r="AB327" s="76">
        <f t="shared" ca="1" si="37"/>
        <v>0</v>
      </c>
      <c r="AC327" s="75">
        <f t="shared" ca="1" si="33"/>
        <v>0</v>
      </c>
      <c r="AD327" s="76">
        <f t="shared" ca="1" si="38"/>
        <v>12388.425642708335</v>
      </c>
      <c r="AE327" s="76">
        <f t="shared" si="39"/>
        <v>0</v>
      </c>
      <c r="AF327" s="75">
        <f t="shared" si="34"/>
        <v>0</v>
      </c>
      <c r="AG327" s="75">
        <f t="shared" si="35"/>
        <v>0</v>
      </c>
      <c r="AH327" s="31" t="e" cm="1">
        <f t="array" aca="1" ref="AH327" ca="1">IF((AD327) &lt; (INDEX(ResponseSLA[#All],(MATCH((G327),ResponseSLA[Priority],0))+1,3)),"YES","No")</f>
        <v>#N/A</v>
      </c>
      <c r="AI327" s="31" t="str">
        <f>_xlfn.IFNA(IF(AE327 &lt; (INDEX(SLATable[Minimum SLA],MATCH(G327,SLATable[Priority],0))),"YES","NO"),"")</f>
        <v/>
      </c>
      <c r="AJ327" t="str">
        <f>_xlfn.IFNA(IF(AE327 &lt; (INDEX(SLATable[Maximum SLA],MATCH(G327,SLATable[Priority],0))),"YES","NO"),"")</f>
        <v/>
      </c>
    </row>
    <row r="328" spans="26:36" ht="15" customHeight="1">
      <c r="Z328" s="76" t="e">
        <f t="shared" ca="1" si="36"/>
        <v>#N/A</v>
      </c>
      <c r="AA328" s="75" t="e">
        <f t="shared" ca="1" si="32"/>
        <v>#N/A</v>
      </c>
      <c r="AB328" s="76">
        <f t="shared" ca="1" si="37"/>
        <v>0</v>
      </c>
      <c r="AC328" s="75">
        <f t="shared" ca="1" si="33"/>
        <v>0</v>
      </c>
      <c r="AD328" s="76">
        <f t="shared" ca="1" si="38"/>
        <v>12388.425642824073</v>
      </c>
      <c r="AE328" s="76">
        <f t="shared" si="39"/>
        <v>0</v>
      </c>
      <c r="AF328" s="75">
        <f t="shared" si="34"/>
        <v>0</v>
      </c>
      <c r="AG328" s="75">
        <f t="shared" si="35"/>
        <v>0</v>
      </c>
      <c r="AH328" s="31" t="e" cm="1">
        <f t="array" aca="1" ref="AH328" ca="1">IF((AD328) &lt; (INDEX(ResponseSLA[#All],(MATCH((G328),ResponseSLA[Priority],0))+1,3)),"YES","No")</f>
        <v>#N/A</v>
      </c>
      <c r="AI328" s="31" t="str">
        <f>_xlfn.IFNA(IF(AE328 &lt; (INDEX(SLATable[Minimum SLA],MATCH(G328,SLATable[Priority],0))),"YES","NO"),"")</f>
        <v/>
      </c>
      <c r="AJ328" t="str">
        <f>_xlfn.IFNA(IF(AE328 &lt; (INDEX(SLATable[Maximum SLA],MATCH(G328,SLATable[Priority],0))),"YES","NO"),"")</f>
        <v/>
      </c>
    </row>
    <row r="329" spans="26:36" ht="15" customHeight="1">
      <c r="Z329" s="76" t="e">
        <f t="shared" ca="1" si="36"/>
        <v>#N/A</v>
      </c>
      <c r="AA329" s="75" t="e">
        <f t="shared" ca="1" si="32"/>
        <v>#N/A</v>
      </c>
      <c r="AB329" s="76">
        <f t="shared" ca="1" si="37"/>
        <v>0</v>
      </c>
      <c r="AC329" s="75">
        <f t="shared" ca="1" si="33"/>
        <v>0</v>
      </c>
      <c r="AD329" s="76">
        <f t="shared" ca="1" si="38"/>
        <v>12388.425642824073</v>
      </c>
      <c r="AE329" s="76">
        <f t="shared" si="39"/>
        <v>0</v>
      </c>
      <c r="AF329" s="75">
        <f t="shared" si="34"/>
        <v>0</v>
      </c>
      <c r="AG329" s="75">
        <f t="shared" si="35"/>
        <v>0</v>
      </c>
      <c r="AH329" s="31" t="e" cm="1">
        <f t="array" aca="1" ref="AH329" ca="1">IF((AD329) &lt; (INDEX(ResponseSLA[#All],(MATCH((G329),ResponseSLA[Priority],0))+1,3)),"YES","No")</f>
        <v>#N/A</v>
      </c>
      <c r="AI329" s="31" t="str">
        <f>_xlfn.IFNA(IF(AE329 &lt; (INDEX(SLATable[Minimum SLA],MATCH(G329,SLATable[Priority],0))),"YES","NO"),"")</f>
        <v/>
      </c>
      <c r="AJ329" t="str">
        <f>_xlfn.IFNA(IF(AE329 &lt; (INDEX(SLATable[Maximum SLA],MATCH(G329,SLATable[Priority],0))),"YES","NO"),"")</f>
        <v/>
      </c>
    </row>
    <row r="330" spans="26:36" ht="15" customHeight="1">
      <c r="Z330" s="76" t="e">
        <f t="shared" ca="1" si="36"/>
        <v>#N/A</v>
      </c>
      <c r="AA330" s="75" t="e">
        <f t="shared" ca="1" si="32"/>
        <v>#N/A</v>
      </c>
      <c r="AB330" s="76">
        <f t="shared" ca="1" si="37"/>
        <v>0</v>
      </c>
      <c r="AC330" s="75">
        <f t="shared" ca="1" si="33"/>
        <v>0</v>
      </c>
      <c r="AD330" s="76">
        <f t="shared" ca="1" si="38"/>
        <v>12388.425642708335</v>
      </c>
      <c r="AE330" s="76">
        <f t="shared" si="39"/>
        <v>0</v>
      </c>
      <c r="AF330" s="75">
        <f t="shared" si="34"/>
        <v>0</v>
      </c>
      <c r="AG330" s="75">
        <f t="shared" si="35"/>
        <v>0</v>
      </c>
      <c r="AH330" s="31" t="e" cm="1">
        <f t="array" aca="1" ref="AH330" ca="1">IF((AD330) &lt; (INDEX(ResponseSLA[#All],(MATCH((G330),ResponseSLA[Priority],0))+1,3)),"YES","No")</f>
        <v>#N/A</v>
      </c>
      <c r="AI330" s="31" t="str">
        <f>_xlfn.IFNA(IF(AE330 &lt; (INDEX(SLATable[Minimum SLA],MATCH(G330,SLATable[Priority],0))),"YES","NO"),"")</f>
        <v/>
      </c>
      <c r="AJ330" t="str">
        <f>_xlfn.IFNA(IF(AE330 &lt; (INDEX(SLATable[Maximum SLA],MATCH(G330,SLATable[Priority],0))),"YES","NO"),"")</f>
        <v/>
      </c>
    </row>
    <row r="331" spans="26:36" ht="15" customHeight="1">
      <c r="Z331" s="76" t="e">
        <f t="shared" ca="1" si="36"/>
        <v>#N/A</v>
      </c>
      <c r="AA331" s="75" t="e">
        <f t="shared" ca="1" si="32"/>
        <v>#N/A</v>
      </c>
      <c r="AB331" s="76">
        <f t="shared" ca="1" si="37"/>
        <v>0</v>
      </c>
      <c r="AC331" s="75">
        <f t="shared" ca="1" si="33"/>
        <v>0</v>
      </c>
      <c r="AD331" s="76">
        <f t="shared" ca="1" si="38"/>
        <v>12388.425642824073</v>
      </c>
      <c r="AE331" s="76">
        <f t="shared" si="39"/>
        <v>0</v>
      </c>
      <c r="AF331" s="75">
        <f t="shared" si="34"/>
        <v>0</v>
      </c>
      <c r="AG331" s="75">
        <f t="shared" si="35"/>
        <v>0</v>
      </c>
      <c r="AH331" s="31" t="e" cm="1">
        <f t="array" aca="1" ref="AH331" ca="1">IF((AD331) &lt; (INDEX(ResponseSLA[#All],(MATCH((G331),ResponseSLA[Priority],0))+1,3)),"YES","No")</f>
        <v>#N/A</v>
      </c>
      <c r="AI331" s="31" t="str">
        <f>_xlfn.IFNA(IF(AE331 &lt; (INDEX(SLATable[Minimum SLA],MATCH(G331,SLATable[Priority],0))),"YES","NO"),"")</f>
        <v/>
      </c>
      <c r="AJ331" t="str">
        <f>_xlfn.IFNA(IF(AE331 &lt; (INDEX(SLATable[Maximum SLA],MATCH(G331,SLATable[Priority],0))),"YES","NO"),"")</f>
        <v/>
      </c>
    </row>
    <row r="332" spans="26:36" ht="15" customHeight="1">
      <c r="Z332" s="76" t="e">
        <f t="shared" ca="1" si="36"/>
        <v>#N/A</v>
      </c>
      <c r="AA332" s="75" t="e">
        <f t="shared" ca="1" si="32"/>
        <v>#N/A</v>
      </c>
      <c r="AB332" s="76">
        <f t="shared" ca="1" si="37"/>
        <v>0</v>
      </c>
      <c r="AC332" s="75">
        <f t="shared" ca="1" si="33"/>
        <v>0</v>
      </c>
      <c r="AD332" s="76">
        <f t="shared" ca="1" si="38"/>
        <v>12388.425642824073</v>
      </c>
      <c r="AE332" s="76">
        <f t="shared" si="39"/>
        <v>0</v>
      </c>
      <c r="AF332" s="75">
        <f t="shared" si="34"/>
        <v>0</v>
      </c>
      <c r="AG332" s="75">
        <f t="shared" si="35"/>
        <v>0</v>
      </c>
      <c r="AH332" s="31" t="e" cm="1">
        <f t="array" aca="1" ref="AH332" ca="1">IF((AD332) &lt; (INDEX(ResponseSLA[#All],(MATCH((G332),ResponseSLA[Priority],0))+1,3)),"YES","No")</f>
        <v>#N/A</v>
      </c>
      <c r="AI332" s="31" t="str">
        <f>_xlfn.IFNA(IF(AE332 &lt; (INDEX(SLATable[Minimum SLA],MATCH(G332,SLATable[Priority],0))),"YES","NO"),"")</f>
        <v/>
      </c>
      <c r="AJ332" t="str">
        <f>_xlfn.IFNA(IF(AE332 &lt; (INDEX(SLATable[Maximum SLA],MATCH(G332,SLATable[Priority],0))),"YES","NO"),"")</f>
        <v/>
      </c>
    </row>
    <row r="333" spans="26:36" ht="15" customHeight="1">
      <c r="Z333" s="76" t="e">
        <f t="shared" ca="1" si="36"/>
        <v>#N/A</v>
      </c>
      <c r="AA333" s="75" t="e">
        <f t="shared" ca="1" si="32"/>
        <v>#N/A</v>
      </c>
      <c r="AB333" s="76">
        <f t="shared" ca="1" si="37"/>
        <v>0</v>
      </c>
      <c r="AC333" s="75">
        <f t="shared" ca="1" si="33"/>
        <v>0</v>
      </c>
      <c r="AD333" s="76">
        <f t="shared" ca="1" si="38"/>
        <v>12388.425642708335</v>
      </c>
      <c r="AE333" s="76">
        <f t="shared" si="39"/>
        <v>0</v>
      </c>
      <c r="AF333" s="75">
        <f t="shared" si="34"/>
        <v>0</v>
      </c>
      <c r="AG333" s="75">
        <f t="shared" si="35"/>
        <v>0</v>
      </c>
      <c r="AH333" s="31" t="e" cm="1">
        <f t="array" aca="1" ref="AH333" ca="1">IF((AD333) &lt; (INDEX(ResponseSLA[#All],(MATCH((G333),ResponseSLA[Priority],0))+1,3)),"YES","No")</f>
        <v>#N/A</v>
      </c>
      <c r="AI333" s="31" t="str">
        <f>_xlfn.IFNA(IF(AE333 &lt; (INDEX(SLATable[Minimum SLA],MATCH(G333,SLATable[Priority],0))),"YES","NO"),"")</f>
        <v/>
      </c>
      <c r="AJ333" t="str">
        <f>_xlfn.IFNA(IF(AE333 &lt; (INDEX(SLATable[Maximum SLA],MATCH(G333,SLATable[Priority],0))),"YES","NO"),"")</f>
        <v/>
      </c>
    </row>
    <row r="334" spans="26:36" ht="15" customHeight="1">
      <c r="Z334" s="76" t="e">
        <f t="shared" ca="1" si="36"/>
        <v>#N/A</v>
      </c>
      <c r="AA334" s="75" t="e">
        <f t="shared" ca="1" si="32"/>
        <v>#N/A</v>
      </c>
      <c r="AB334" s="76">
        <f t="shared" ca="1" si="37"/>
        <v>0</v>
      </c>
      <c r="AC334" s="75">
        <f t="shared" ca="1" si="33"/>
        <v>0</v>
      </c>
      <c r="AD334" s="76">
        <f t="shared" ca="1" si="38"/>
        <v>12388.425642824073</v>
      </c>
      <c r="AE334" s="76">
        <f t="shared" si="39"/>
        <v>0</v>
      </c>
      <c r="AF334" s="75">
        <f t="shared" si="34"/>
        <v>0</v>
      </c>
      <c r="AG334" s="75">
        <f t="shared" si="35"/>
        <v>0</v>
      </c>
      <c r="AH334" s="31" t="e" cm="1">
        <f t="array" aca="1" ref="AH334" ca="1">IF((AD334) &lt; (INDEX(ResponseSLA[#All],(MATCH((G334),ResponseSLA[Priority],0))+1,3)),"YES","No")</f>
        <v>#N/A</v>
      </c>
      <c r="AI334" s="31" t="str">
        <f>_xlfn.IFNA(IF(AE334 &lt; (INDEX(SLATable[Minimum SLA],MATCH(G334,SLATable[Priority],0))),"YES","NO"),"")</f>
        <v/>
      </c>
      <c r="AJ334" t="str">
        <f>_xlfn.IFNA(IF(AE334 &lt; (INDEX(SLATable[Maximum SLA],MATCH(G334,SLATable[Priority],0))),"YES","NO"),"")</f>
        <v/>
      </c>
    </row>
    <row r="335" spans="26:36" ht="15" customHeight="1">
      <c r="Z335" s="76" t="e">
        <f t="shared" ca="1" si="36"/>
        <v>#N/A</v>
      </c>
      <c r="AA335" s="75" t="e">
        <f t="shared" ca="1" si="32"/>
        <v>#N/A</v>
      </c>
      <c r="AB335" s="76">
        <f t="shared" ca="1" si="37"/>
        <v>0</v>
      </c>
      <c r="AC335" s="75">
        <f t="shared" ca="1" si="33"/>
        <v>0</v>
      </c>
      <c r="AD335" s="76">
        <f t="shared" ca="1" si="38"/>
        <v>12388.425642824073</v>
      </c>
      <c r="AE335" s="76">
        <f t="shared" si="39"/>
        <v>0</v>
      </c>
      <c r="AF335" s="75">
        <f t="shared" si="34"/>
        <v>0</v>
      </c>
      <c r="AG335" s="75">
        <f t="shared" si="35"/>
        <v>0</v>
      </c>
      <c r="AH335" s="31" t="e" cm="1">
        <f t="array" aca="1" ref="AH335" ca="1">IF((AD335) &lt; (INDEX(ResponseSLA[#All],(MATCH((G335),ResponseSLA[Priority],0))+1,3)),"YES","No")</f>
        <v>#N/A</v>
      </c>
      <c r="AI335" s="31" t="str">
        <f>_xlfn.IFNA(IF(AE335 &lt; (INDEX(SLATable[Minimum SLA],MATCH(G335,SLATable[Priority],0))),"YES","NO"),"")</f>
        <v/>
      </c>
      <c r="AJ335" t="str">
        <f>_xlfn.IFNA(IF(AE335 &lt; (INDEX(SLATable[Maximum SLA],MATCH(G335,SLATable[Priority],0))),"YES","NO"),"")</f>
        <v/>
      </c>
    </row>
    <row r="336" spans="26:36" ht="15" customHeight="1">
      <c r="Z336" s="76" t="e">
        <f t="shared" ca="1" si="36"/>
        <v>#N/A</v>
      </c>
      <c r="AA336" s="75" t="e">
        <f t="shared" ca="1" si="32"/>
        <v>#N/A</v>
      </c>
      <c r="AB336" s="76">
        <f t="shared" ca="1" si="37"/>
        <v>0</v>
      </c>
      <c r="AC336" s="75">
        <f t="shared" ca="1" si="33"/>
        <v>0</v>
      </c>
      <c r="AD336" s="76">
        <f t="shared" ca="1" si="38"/>
        <v>12388.425642708335</v>
      </c>
      <c r="AE336" s="76">
        <f t="shared" si="39"/>
        <v>0</v>
      </c>
      <c r="AF336" s="75">
        <f t="shared" si="34"/>
        <v>0</v>
      </c>
      <c r="AG336" s="75">
        <f t="shared" si="35"/>
        <v>0</v>
      </c>
      <c r="AH336" s="31" t="e" cm="1">
        <f t="array" aca="1" ref="AH336" ca="1">IF((AD336) &lt; (INDEX(ResponseSLA[#All],(MATCH((G336),ResponseSLA[Priority],0))+1,3)),"YES","No")</f>
        <v>#N/A</v>
      </c>
      <c r="AI336" s="31" t="str">
        <f>_xlfn.IFNA(IF(AE336 &lt; (INDEX(SLATable[Minimum SLA],MATCH(G336,SLATable[Priority],0))),"YES","NO"),"")</f>
        <v/>
      </c>
      <c r="AJ336" t="str">
        <f>_xlfn.IFNA(IF(AE336 &lt; (INDEX(SLATable[Maximum SLA],MATCH(G336,SLATable[Priority],0))),"YES","NO"),"")</f>
        <v/>
      </c>
    </row>
    <row r="337" spans="26:36" ht="15" customHeight="1">
      <c r="Z337" s="76" t="e">
        <f t="shared" ca="1" si="36"/>
        <v>#N/A</v>
      </c>
      <c r="AA337" s="75" t="e">
        <f t="shared" ca="1" si="32"/>
        <v>#N/A</v>
      </c>
      <c r="AB337" s="76">
        <f t="shared" ca="1" si="37"/>
        <v>0</v>
      </c>
      <c r="AC337" s="75">
        <f t="shared" ca="1" si="33"/>
        <v>0</v>
      </c>
      <c r="AD337" s="76">
        <f t="shared" ca="1" si="38"/>
        <v>12388.425642824073</v>
      </c>
      <c r="AE337" s="76">
        <f t="shared" si="39"/>
        <v>0</v>
      </c>
      <c r="AF337" s="75">
        <f t="shared" si="34"/>
        <v>0</v>
      </c>
      <c r="AG337" s="75">
        <f t="shared" si="35"/>
        <v>0</v>
      </c>
      <c r="AH337" s="31" t="e" cm="1">
        <f t="array" aca="1" ref="AH337" ca="1">IF((AD337) &lt; (INDEX(ResponseSLA[#All],(MATCH((G337),ResponseSLA[Priority],0))+1,3)),"YES","No")</f>
        <v>#N/A</v>
      </c>
      <c r="AI337" s="31" t="str">
        <f>_xlfn.IFNA(IF(AE337 &lt; (INDEX(SLATable[Minimum SLA],MATCH(G337,SLATable[Priority],0))),"YES","NO"),"")</f>
        <v/>
      </c>
      <c r="AJ337" t="str">
        <f>_xlfn.IFNA(IF(AE337 &lt; (INDEX(SLATable[Maximum SLA],MATCH(G337,SLATable[Priority],0))),"YES","NO"),"")</f>
        <v/>
      </c>
    </row>
    <row r="338" spans="26:36" ht="15" customHeight="1">
      <c r="Z338" s="76" t="e">
        <f t="shared" ca="1" si="36"/>
        <v>#N/A</v>
      </c>
      <c r="AA338" s="75" t="e">
        <f t="shared" ca="1" si="32"/>
        <v>#N/A</v>
      </c>
      <c r="AB338" s="76">
        <f t="shared" ca="1" si="37"/>
        <v>0</v>
      </c>
      <c r="AC338" s="75">
        <f t="shared" ca="1" si="33"/>
        <v>0</v>
      </c>
      <c r="AD338" s="76">
        <f t="shared" ca="1" si="38"/>
        <v>12388.425642824073</v>
      </c>
      <c r="AE338" s="76">
        <f t="shared" si="39"/>
        <v>0</v>
      </c>
      <c r="AF338" s="75">
        <f t="shared" si="34"/>
        <v>0</v>
      </c>
      <c r="AG338" s="75">
        <f t="shared" si="35"/>
        <v>0</v>
      </c>
      <c r="AH338" s="31" t="e" cm="1">
        <f t="array" aca="1" ref="AH338" ca="1">IF((AD338) &lt; (INDEX(ResponseSLA[#All],(MATCH((G338),ResponseSLA[Priority],0))+1,3)),"YES","No")</f>
        <v>#N/A</v>
      </c>
      <c r="AI338" s="31" t="str">
        <f>_xlfn.IFNA(IF(AE338 &lt; (INDEX(SLATable[Minimum SLA],MATCH(G338,SLATable[Priority],0))),"YES","NO"),"")</f>
        <v/>
      </c>
      <c r="AJ338" t="str">
        <f>_xlfn.IFNA(IF(AE338 &lt; (INDEX(SLATable[Maximum SLA],MATCH(G338,SLATable[Priority],0))),"YES","NO"),"")</f>
        <v/>
      </c>
    </row>
    <row r="339" spans="26:36" ht="15" customHeight="1">
      <c r="Z339" s="76" t="e">
        <f t="shared" ca="1" si="36"/>
        <v>#N/A</v>
      </c>
      <c r="AA339" s="75" t="e">
        <f t="shared" ca="1" si="32"/>
        <v>#N/A</v>
      </c>
      <c r="AB339" s="76">
        <f t="shared" ca="1" si="37"/>
        <v>0</v>
      </c>
      <c r="AC339" s="75">
        <f t="shared" ca="1" si="33"/>
        <v>0</v>
      </c>
      <c r="AD339" s="76">
        <f t="shared" ca="1" si="38"/>
        <v>12388.425642708335</v>
      </c>
      <c r="AE339" s="76">
        <f t="shared" si="39"/>
        <v>0</v>
      </c>
      <c r="AF339" s="75">
        <f t="shared" si="34"/>
        <v>0</v>
      </c>
      <c r="AG339" s="75">
        <f t="shared" si="35"/>
        <v>0</v>
      </c>
      <c r="AH339" s="31" t="e" cm="1">
        <f t="array" aca="1" ref="AH339" ca="1">IF((AD339) &lt; (INDEX(ResponseSLA[#All],(MATCH((G339),ResponseSLA[Priority],0))+1,3)),"YES","No")</f>
        <v>#N/A</v>
      </c>
      <c r="AI339" s="31" t="str">
        <f>_xlfn.IFNA(IF(AE339 &lt; (INDEX(SLATable[Minimum SLA],MATCH(G339,SLATable[Priority],0))),"YES","NO"),"")</f>
        <v/>
      </c>
      <c r="AJ339" t="str">
        <f>_xlfn.IFNA(IF(AE339 &lt; (INDEX(SLATable[Maximum SLA],MATCH(G339,SLATable[Priority],0))),"YES","NO"),"")</f>
        <v/>
      </c>
    </row>
    <row r="340" spans="26:36" ht="15" customHeight="1">
      <c r="Z340" s="76" t="e">
        <f t="shared" ca="1" si="36"/>
        <v>#N/A</v>
      </c>
      <c r="AA340" s="75" t="e">
        <f t="shared" ca="1" si="32"/>
        <v>#N/A</v>
      </c>
      <c r="AB340" s="76">
        <f t="shared" ca="1" si="37"/>
        <v>0</v>
      </c>
      <c r="AC340" s="75">
        <f t="shared" ca="1" si="33"/>
        <v>0</v>
      </c>
      <c r="AD340" s="76">
        <f t="shared" ca="1" si="38"/>
        <v>12388.425642824073</v>
      </c>
      <c r="AE340" s="76">
        <f t="shared" si="39"/>
        <v>0</v>
      </c>
      <c r="AF340" s="75">
        <f t="shared" si="34"/>
        <v>0</v>
      </c>
      <c r="AG340" s="75">
        <f t="shared" si="35"/>
        <v>0</v>
      </c>
      <c r="AH340" s="31" t="e" cm="1">
        <f t="array" aca="1" ref="AH340" ca="1">IF((AD340) &lt; (INDEX(ResponseSLA[#All],(MATCH((G340),ResponseSLA[Priority],0))+1,3)),"YES","No")</f>
        <v>#N/A</v>
      </c>
      <c r="AI340" s="31" t="str">
        <f>_xlfn.IFNA(IF(AE340 &lt; (INDEX(SLATable[Minimum SLA],MATCH(G340,SLATable[Priority],0))),"YES","NO"),"")</f>
        <v/>
      </c>
      <c r="AJ340" t="str">
        <f>_xlfn.IFNA(IF(AE340 &lt; (INDEX(SLATable[Maximum SLA],MATCH(G340,SLATable[Priority],0))),"YES","NO"),"")</f>
        <v/>
      </c>
    </row>
    <row r="341" spans="26:36" ht="15" customHeight="1">
      <c r="Z341" s="76" t="e">
        <f t="shared" ca="1" si="36"/>
        <v>#N/A</v>
      </c>
      <c r="AA341" s="75" t="e">
        <f t="shared" ca="1" si="32"/>
        <v>#N/A</v>
      </c>
      <c r="AB341" s="76">
        <f t="shared" ca="1" si="37"/>
        <v>0</v>
      </c>
      <c r="AC341" s="75">
        <f t="shared" ca="1" si="33"/>
        <v>0</v>
      </c>
      <c r="AD341" s="76">
        <f t="shared" ca="1" si="38"/>
        <v>12388.425642824073</v>
      </c>
      <c r="AE341" s="76">
        <f t="shared" si="39"/>
        <v>0</v>
      </c>
      <c r="AF341" s="75">
        <f t="shared" si="34"/>
        <v>0</v>
      </c>
      <c r="AG341" s="75">
        <f t="shared" si="35"/>
        <v>0</v>
      </c>
      <c r="AH341" s="31" t="e" cm="1">
        <f t="array" aca="1" ref="AH341" ca="1">IF((AD341) &lt; (INDEX(ResponseSLA[#All],(MATCH((G341),ResponseSLA[Priority],0))+1,3)),"YES","No")</f>
        <v>#N/A</v>
      </c>
      <c r="AI341" s="31" t="str">
        <f>_xlfn.IFNA(IF(AE341 &lt; (INDEX(SLATable[Minimum SLA],MATCH(G341,SLATable[Priority],0))),"YES","NO"),"")</f>
        <v/>
      </c>
      <c r="AJ341" t="str">
        <f>_xlfn.IFNA(IF(AE341 &lt; (INDEX(SLATable[Maximum SLA],MATCH(G341,SLATable[Priority],0))),"YES","NO"),"")</f>
        <v/>
      </c>
    </row>
    <row r="342" spans="26:36" ht="15" customHeight="1">
      <c r="Z342" s="76" t="e">
        <f t="shared" ca="1" si="36"/>
        <v>#N/A</v>
      </c>
      <c r="AA342" s="75" t="e">
        <f t="shared" ca="1" si="32"/>
        <v>#N/A</v>
      </c>
      <c r="AB342" s="76">
        <f t="shared" ca="1" si="37"/>
        <v>0</v>
      </c>
      <c r="AC342" s="75">
        <f t="shared" ca="1" si="33"/>
        <v>0</v>
      </c>
      <c r="AD342" s="76">
        <f t="shared" ca="1" si="38"/>
        <v>12388.425642708335</v>
      </c>
      <c r="AE342" s="76">
        <f t="shared" si="39"/>
        <v>0</v>
      </c>
      <c r="AF342" s="75">
        <f t="shared" si="34"/>
        <v>0</v>
      </c>
      <c r="AG342" s="75">
        <f t="shared" si="35"/>
        <v>0</v>
      </c>
      <c r="AH342" s="31" t="e" cm="1">
        <f t="array" aca="1" ref="AH342" ca="1">IF((AD342) &lt; (INDEX(ResponseSLA[#All],(MATCH((G342),ResponseSLA[Priority],0))+1,3)),"YES","No")</f>
        <v>#N/A</v>
      </c>
      <c r="AI342" s="31" t="str">
        <f>_xlfn.IFNA(IF(AE342 &lt; (INDEX(SLATable[Minimum SLA],MATCH(G342,SLATable[Priority],0))),"YES","NO"),"")</f>
        <v/>
      </c>
      <c r="AJ342" t="str">
        <f>_xlfn.IFNA(IF(AE342 &lt; (INDEX(SLATable[Maximum SLA],MATCH(G342,SLATable[Priority],0))),"YES","NO"),"")</f>
        <v/>
      </c>
    </row>
    <row r="343" spans="26:36" ht="15" customHeight="1">
      <c r="Z343" s="76" t="e">
        <f t="shared" ca="1" si="36"/>
        <v>#N/A</v>
      </c>
      <c r="AA343" s="75" t="e">
        <f t="shared" ca="1" si="32"/>
        <v>#N/A</v>
      </c>
      <c r="AB343" s="76">
        <f t="shared" ca="1" si="37"/>
        <v>0</v>
      </c>
      <c r="AC343" s="75">
        <f t="shared" ca="1" si="33"/>
        <v>0</v>
      </c>
      <c r="AD343" s="76">
        <f t="shared" ca="1" si="38"/>
        <v>12388.425642824073</v>
      </c>
      <c r="AE343" s="76">
        <f t="shared" si="39"/>
        <v>0</v>
      </c>
      <c r="AF343" s="75">
        <f t="shared" si="34"/>
        <v>0</v>
      </c>
      <c r="AG343" s="75">
        <f t="shared" si="35"/>
        <v>0</v>
      </c>
      <c r="AH343" s="31" t="e" cm="1">
        <f t="array" aca="1" ref="AH343" ca="1">IF((AD343) &lt; (INDEX(ResponseSLA[#All],(MATCH((G343),ResponseSLA[Priority],0))+1,3)),"YES","No")</f>
        <v>#N/A</v>
      </c>
      <c r="AI343" s="31" t="str">
        <f>_xlfn.IFNA(IF(AE343 &lt; (INDEX(SLATable[Minimum SLA],MATCH(G343,SLATable[Priority],0))),"YES","NO"),"")</f>
        <v/>
      </c>
      <c r="AJ343" t="str">
        <f>_xlfn.IFNA(IF(AE343 &lt; (INDEX(SLATable[Maximum SLA],MATCH(G343,SLATable[Priority],0))),"YES","NO"),"")</f>
        <v/>
      </c>
    </row>
    <row r="344" spans="26:36" ht="15" customHeight="1">
      <c r="Z344" s="76" t="e">
        <f t="shared" ca="1" si="36"/>
        <v>#N/A</v>
      </c>
      <c r="AA344" s="75" t="e">
        <f t="shared" ca="1" si="32"/>
        <v>#N/A</v>
      </c>
      <c r="AB344" s="76">
        <f t="shared" ca="1" si="37"/>
        <v>0</v>
      </c>
      <c r="AC344" s="75">
        <f t="shared" ca="1" si="33"/>
        <v>0</v>
      </c>
      <c r="AD344" s="76">
        <f t="shared" ca="1" si="38"/>
        <v>12388.425642824073</v>
      </c>
      <c r="AE344" s="76">
        <f t="shared" si="39"/>
        <v>0</v>
      </c>
      <c r="AF344" s="75">
        <f t="shared" si="34"/>
        <v>0</v>
      </c>
      <c r="AG344" s="75">
        <f t="shared" si="35"/>
        <v>0</v>
      </c>
      <c r="AH344" s="31" t="e" cm="1">
        <f t="array" aca="1" ref="AH344" ca="1">IF((AD344) &lt; (INDEX(ResponseSLA[#All],(MATCH((G344),ResponseSLA[Priority],0))+1,3)),"YES","No")</f>
        <v>#N/A</v>
      </c>
      <c r="AI344" s="31" t="str">
        <f>_xlfn.IFNA(IF(AE344 &lt; (INDEX(SLATable[Minimum SLA],MATCH(G344,SLATable[Priority],0))),"YES","NO"),"")</f>
        <v/>
      </c>
      <c r="AJ344" t="str">
        <f>_xlfn.IFNA(IF(AE344 &lt; (INDEX(SLATable[Maximum SLA],MATCH(G344,SLATable[Priority],0))),"YES","NO"),"")</f>
        <v/>
      </c>
    </row>
    <row r="345" spans="26:36" ht="15" customHeight="1">
      <c r="Z345" s="76" t="e">
        <f t="shared" ca="1" si="36"/>
        <v>#N/A</v>
      </c>
      <c r="AA345" s="75" t="e">
        <f t="shared" ca="1" si="32"/>
        <v>#N/A</v>
      </c>
      <c r="AB345" s="76">
        <f t="shared" ca="1" si="37"/>
        <v>0</v>
      </c>
      <c r="AC345" s="75">
        <f t="shared" ca="1" si="33"/>
        <v>0</v>
      </c>
      <c r="AD345" s="76">
        <f t="shared" ca="1" si="38"/>
        <v>12388.425642708335</v>
      </c>
      <c r="AE345" s="76">
        <f t="shared" si="39"/>
        <v>0</v>
      </c>
      <c r="AF345" s="75">
        <f t="shared" si="34"/>
        <v>0</v>
      </c>
      <c r="AG345" s="75">
        <f t="shared" si="35"/>
        <v>0</v>
      </c>
      <c r="AH345" s="31" t="e" cm="1">
        <f t="array" aca="1" ref="AH345" ca="1">IF((AD345) &lt; (INDEX(ResponseSLA[#All],(MATCH((G345),ResponseSLA[Priority],0))+1,3)),"YES","No")</f>
        <v>#N/A</v>
      </c>
      <c r="AI345" s="31" t="str">
        <f>_xlfn.IFNA(IF(AE345 &lt; (INDEX(SLATable[Minimum SLA],MATCH(G345,SLATable[Priority],0))),"YES","NO"),"")</f>
        <v/>
      </c>
      <c r="AJ345" t="str">
        <f>_xlfn.IFNA(IF(AE345 &lt; (INDEX(SLATable[Maximum SLA],MATCH(G345,SLATable[Priority],0))),"YES","NO"),"")</f>
        <v/>
      </c>
    </row>
    <row r="346" spans="26:36" ht="15" customHeight="1">
      <c r="Z346" s="76" t="e">
        <f t="shared" ca="1" si="36"/>
        <v>#N/A</v>
      </c>
      <c r="AA346" s="75" t="e">
        <f t="shared" ca="1" si="32"/>
        <v>#N/A</v>
      </c>
      <c r="AB346" s="76">
        <f t="shared" ca="1" si="37"/>
        <v>0</v>
      </c>
      <c r="AC346" s="75">
        <f t="shared" ca="1" si="33"/>
        <v>0</v>
      </c>
      <c r="AD346" s="76">
        <f t="shared" ca="1" si="38"/>
        <v>12388.425642824073</v>
      </c>
      <c r="AE346" s="76">
        <f t="shared" si="39"/>
        <v>0</v>
      </c>
      <c r="AF346" s="75">
        <f t="shared" si="34"/>
        <v>0</v>
      </c>
      <c r="AG346" s="75">
        <f t="shared" si="35"/>
        <v>0</v>
      </c>
      <c r="AH346" s="31" t="e" cm="1">
        <f t="array" aca="1" ref="AH346" ca="1">IF((AD346) &lt; (INDEX(ResponseSLA[#All],(MATCH((G346),ResponseSLA[Priority],0))+1,3)),"YES","No")</f>
        <v>#N/A</v>
      </c>
      <c r="AI346" s="31" t="str">
        <f>_xlfn.IFNA(IF(AE346 &lt; (INDEX(SLATable[Minimum SLA],MATCH(G346,SLATable[Priority],0))),"YES","NO"),"")</f>
        <v/>
      </c>
      <c r="AJ346" t="str">
        <f>_xlfn.IFNA(IF(AE346 &lt; (INDEX(SLATable[Maximum SLA],MATCH(G346,SLATable[Priority],0))),"YES","NO"),"")</f>
        <v/>
      </c>
    </row>
    <row r="347" spans="26:36" ht="15" customHeight="1">
      <c r="Z347" s="76" t="e">
        <f t="shared" ca="1" si="36"/>
        <v>#N/A</v>
      </c>
      <c r="AA347" s="75" t="e">
        <f t="shared" ca="1" si="32"/>
        <v>#N/A</v>
      </c>
      <c r="AB347" s="76">
        <f t="shared" ca="1" si="37"/>
        <v>0</v>
      </c>
      <c r="AC347" s="75">
        <f t="shared" ca="1" si="33"/>
        <v>0</v>
      </c>
      <c r="AD347" s="76">
        <f t="shared" ca="1" si="38"/>
        <v>12388.425642824073</v>
      </c>
      <c r="AE347" s="76">
        <f t="shared" si="39"/>
        <v>0</v>
      </c>
      <c r="AF347" s="75">
        <f t="shared" si="34"/>
        <v>0</v>
      </c>
      <c r="AG347" s="75">
        <f t="shared" si="35"/>
        <v>0</v>
      </c>
      <c r="AH347" s="31" t="e" cm="1">
        <f t="array" aca="1" ref="AH347" ca="1">IF((AD347) &lt; (INDEX(ResponseSLA[#All],(MATCH((G347),ResponseSLA[Priority],0))+1,3)),"YES","No")</f>
        <v>#N/A</v>
      </c>
      <c r="AI347" s="31" t="str">
        <f>_xlfn.IFNA(IF(AE347 &lt; (INDEX(SLATable[Minimum SLA],MATCH(G347,SLATable[Priority],0))),"YES","NO"),"")</f>
        <v/>
      </c>
      <c r="AJ347" t="str">
        <f>_xlfn.IFNA(IF(AE347 &lt; (INDEX(SLATable[Maximum SLA],MATCH(G347,SLATable[Priority],0))),"YES","NO"),"")</f>
        <v/>
      </c>
    </row>
    <row r="348" spans="26:36" ht="15" customHeight="1">
      <c r="Z348" s="76" t="e">
        <f t="shared" ca="1" si="36"/>
        <v>#N/A</v>
      </c>
      <c r="AA348" s="75" t="e">
        <f t="shared" ca="1" si="32"/>
        <v>#N/A</v>
      </c>
      <c r="AB348" s="76">
        <f t="shared" ca="1" si="37"/>
        <v>0</v>
      </c>
      <c r="AC348" s="75">
        <f t="shared" ca="1" si="33"/>
        <v>0</v>
      </c>
      <c r="AD348" s="76">
        <f t="shared" ca="1" si="38"/>
        <v>12388.425642708335</v>
      </c>
      <c r="AE348" s="76">
        <f t="shared" si="39"/>
        <v>0</v>
      </c>
      <c r="AF348" s="75">
        <f t="shared" si="34"/>
        <v>0</v>
      </c>
      <c r="AG348" s="75">
        <f t="shared" si="35"/>
        <v>0</v>
      </c>
      <c r="AH348" s="31" t="e" cm="1">
        <f t="array" aca="1" ref="AH348" ca="1">IF((AD348) &lt; (INDEX(ResponseSLA[#All],(MATCH((G348),ResponseSLA[Priority],0))+1,3)),"YES","No")</f>
        <v>#N/A</v>
      </c>
      <c r="AI348" s="31" t="str">
        <f>_xlfn.IFNA(IF(AE348 &lt; (INDEX(SLATable[Minimum SLA],MATCH(G348,SLATable[Priority],0))),"YES","NO"),"")</f>
        <v/>
      </c>
      <c r="AJ348" t="str">
        <f>_xlfn.IFNA(IF(AE348 &lt; (INDEX(SLATable[Maximum SLA],MATCH(G348,SLATable[Priority],0))),"YES","NO"),"")</f>
        <v/>
      </c>
    </row>
    <row r="349" spans="26:36" ht="15" customHeight="1">
      <c r="Z349" s="76" t="e">
        <f t="shared" ca="1" si="36"/>
        <v>#N/A</v>
      </c>
      <c r="AA349" s="75" t="e">
        <f t="shared" ca="1" si="32"/>
        <v>#N/A</v>
      </c>
      <c r="AB349" s="76">
        <f t="shared" ca="1" si="37"/>
        <v>0</v>
      </c>
      <c r="AC349" s="75">
        <f t="shared" ca="1" si="33"/>
        <v>0</v>
      </c>
      <c r="AD349" s="76">
        <f t="shared" ca="1" si="38"/>
        <v>12388.425642824073</v>
      </c>
      <c r="AE349" s="76">
        <f t="shared" si="39"/>
        <v>0</v>
      </c>
      <c r="AF349" s="75">
        <f t="shared" si="34"/>
        <v>0</v>
      </c>
      <c r="AG349" s="75">
        <f t="shared" si="35"/>
        <v>0</v>
      </c>
      <c r="AH349" s="31" t="e" cm="1">
        <f t="array" aca="1" ref="AH349" ca="1">IF((AD349) &lt; (INDEX(ResponseSLA[#All],(MATCH((G349),ResponseSLA[Priority],0))+1,3)),"YES","No")</f>
        <v>#N/A</v>
      </c>
      <c r="AI349" s="31" t="str">
        <f>_xlfn.IFNA(IF(AE349 &lt; (INDEX(SLATable[Minimum SLA],MATCH(G349,SLATable[Priority],0))),"YES","NO"),"")</f>
        <v/>
      </c>
      <c r="AJ349" t="str">
        <f>_xlfn.IFNA(IF(AE349 &lt; (INDEX(SLATable[Maximum SLA],MATCH(G349,SLATable[Priority],0))),"YES","NO"),"")</f>
        <v/>
      </c>
    </row>
    <row r="350" spans="26:36" ht="15" customHeight="1">
      <c r="Z350" s="76" t="e">
        <f t="shared" ca="1" si="36"/>
        <v>#N/A</v>
      </c>
      <c r="AA350" s="75" t="e">
        <f t="shared" ca="1" si="32"/>
        <v>#N/A</v>
      </c>
      <c r="AB350" s="76">
        <f t="shared" ca="1" si="37"/>
        <v>0</v>
      </c>
      <c r="AC350" s="75">
        <f t="shared" ca="1" si="33"/>
        <v>0</v>
      </c>
      <c r="AD350" s="76">
        <f t="shared" ca="1" si="38"/>
        <v>12388.425642824073</v>
      </c>
      <c r="AE350" s="76">
        <f t="shared" si="39"/>
        <v>0</v>
      </c>
      <c r="AF350" s="75">
        <f t="shared" si="34"/>
        <v>0</v>
      </c>
      <c r="AG350" s="75">
        <f t="shared" si="35"/>
        <v>0</v>
      </c>
      <c r="AH350" s="31" t="e" cm="1">
        <f t="array" aca="1" ref="AH350" ca="1">IF((AD350) &lt; (INDEX(ResponseSLA[#All],(MATCH((G350),ResponseSLA[Priority],0))+1,3)),"YES","No")</f>
        <v>#N/A</v>
      </c>
      <c r="AI350" s="31" t="str">
        <f>_xlfn.IFNA(IF(AE350 &lt; (INDEX(SLATable[Minimum SLA],MATCH(G350,SLATable[Priority],0))),"YES","NO"),"")</f>
        <v/>
      </c>
      <c r="AJ350" t="str">
        <f>_xlfn.IFNA(IF(AE350 &lt; (INDEX(SLATable[Maximum SLA],MATCH(G350,SLATable[Priority],0))),"YES","NO"),"")</f>
        <v/>
      </c>
    </row>
    <row r="351" spans="26:36" ht="15" customHeight="1">
      <c r="Z351" s="76" t="e">
        <f t="shared" ca="1" si="36"/>
        <v>#N/A</v>
      </c>
      <c r="AA351" s="75" t="e">
        <f t="shared" ca="1" si="32"/>
        <v>#N/A</v>
      </c>
      <c r="AB351" s="76">
        <f t="shared" ca="1" si="37"/>
        <v>0</v>
      </c>
      <c r="AC351" s="75">
        <f t="shared" ca="1" si="33"/>
        <v>0</v>
      </c>
      <c r="AD351" s="76">
        <f t="shared" ca="1" si="38"/>
        <v>12388.425642708335</v>
      </c>
      <c r="AE351" s="76">
        <f t="shared" si="39"/>
        <v>0</v>
      </c>
      <c r="AF351" s="75">
        <f t="shared" si="34"/>
        <v>0</v>
      </c>
      <c r="AG351" s="75">
        <f t="shared" si="35"/>
        <v>0</v>
      </c>
      <c r="AH351" s="31" t="e" cm="1">
        <f t="array" aca="1" ref="AH351" ca="1">IF((AD351) &lt; (INDEX(ResponseSLA[#All],(MATCH((G351),ResponseSLA[Priority],0))+1,3)),"YES","No")</f>
        <v>#N/A</v>
      </c>
      <c r="AI351" s="31" t="str">
        <f>_xlfn.IFNA(IF(AE351 &lt; (INDEX(SLATable[Minimum SLA],MATCH(G351,SLATable[Priority],0))),"YES","NO"),"")</f>
        <v/>
      </c>
      <c r="AJ351" t="str">
        <f>_xlfn.IFNA(IF(AE351 &lt; (INDEX(SLATable[Maximum SLA],MATCH(G351,SLATable[Priority],0))),"YES","NO"),"")</f>
        <v/>
      </c>
    </row>
    <row r="352" spans="26:36" ht="15" customHeight="1">
      <c r="Z352" s="76" t="e">
        <f t="shared" ca="1" si="36"/>
        <v>#N/A</v>
      </c>
      <c r="AA352" s="75" t="e">
        <f t="shared" ca="1" si="32"/>
        <v>#N/A</v>
      </c>
      <c r="AB352" s="76">
        <f t="shared" ca="1" si="37"/>
        <v>0</v>
      </c>
      <c r="AC352" s="75">
        <f t="shared" ca="1" si="33"/>
        <v>0</v>
      </c>
      <c r="AD352" s="76">
        <f t="shared" ca="1" si="38"/>
        <v>12388.425642824073</v>
      </c>
      <c r="AE352" s="76">
        <f t="shared" si="39"/>
        <v>0</v>
      </c>
      <c r="AF352" s="75">
        <f t="shared" si="34"/>
        <v>0</v>
      </c>
      <c r="AG352" s="75">
        <f t="shared" si="35"/>
        <v>0</v>
      </c>
      <c r="AH352" s="31" t="e" cm="1">
        <f t="array" aca="1" ref="AH352" ca="1">IF((AD352) &lt; (INDEX(ResponseSLA[#All],(MATCH((G352),ResponseSLA[Priority],0))+1,3)),"YES","No")</f>
        <v>#N/A</v>
      </c>
      <c r="AI352" s="31" t="str">
        <f>_xlfn.IFNA(IF(AE352 &lt; (INDEX(SLATable[Minimum SLA],MATCH(G352,SLATable[Priority],0))),"YES","NO"),"")</f>
        <v/>
      </c>
      <c r="AJ352" t="str">
        <f>_xlfn.IFNA(IF(AE352 &lt; (INDEX(SLATable[Maximum SLA],MATCH(G352,SLATable[Priority],0))),"YES","NO"),"")</f>
        <v/>
      </c>
    </row>
    <row r="353" spans="26:36" ht="15" customHeight="1">
      <c r="Z353" s="76" t="e">
        <f t="shared" ca="1" si="36"/>
        <v>#N/A</v>
      </c>
      <c r="AA353" s="75" t="e">
        <f t="shared" ca="1" si="32"/>
        <v>#N/A</v>
      </c>
      <c r="AB353" s="76">
        <f t="shared" ca="1" si="37"/>
        <v>0</v>
      </c>
      <c r="AC353" s="75">
        <f t="shared" ca="1" si="33"/>
        <v>0</v>
      </c>
      <c r="AD353" s="76">
        <f t="shared" ca="1" si="38"/>
        <v>12388.425642824073</v>
      </c>
      <c r="AE353" s="76">
        <f t="shared" si="39"/>
        <v>0</v>
      </c>
      <c r="AF353" s="75">
        <f t="shared" si="34"/>
        <v>0</v>
      </c>
      <c r="AG353" s="75">
        <f t="shared" si="35"/>
        <v>0</v>
      </c>
      <c r="AH353" s="31" t="e" cm="1">
        <f t="array" aca="1" ref="AH353" ca="1">IF((AD353) &lt; (INDEX(ResponseSLA[#All],(MATCH((G353),ResponseSLA[Priority],0))+1,3)),"YES","No")</f>
        <v>#N/A</v>
      </c>
      <c r="AI353" s="31" t="str">
        <f>_xlfn.IFNA(IF(AE353 &lt; (INDEX(SLATable[Minimum SLA],MATCH(G353,SLATable[Priority],0))),"YES","NO"),"")</f>
        <v/>
      </c>
      <c r="AJ353" t="str">
        <f>_xlfn.IFNA(IF(AE353 &lt; (INDEX(SLATable[Maximum SLA],MATCH(G353,SLATable[Priority],0))),"YES","NO"),"")</f>
        <v/>
      </c>
    </row>
    <row r="354" spans="26:36" ht="15" customHeight="1">
      <c r="Z354" s="76" t="e">
        <f t="shared" ca="1" si="36"/>
        <v>#N/A</v>
      </c>
      <c r="AA354" s="75" t="e">
        <f t="shared" ca="1" si="32"/>
        <v>#N/A</v>
      </c>
      <c r="AB354" s="76">
        <f t="shared" ca="1" si="37"/>
        <v>0</v>
      </c>
      <c r="AC354" s="75">
        <f t="shared" ca="1" si="33"/>
        <v>0</v>
      </c>
      <c r="AD354" s="76">
        <f t="shared" ca="1" si="38"/>
        <v>12388.425642708335</v>
      </c>
      <c r="AE354" s="76">
        <f t="shared" si="39"/>
        <v>0</v>
      </c>
      <c r="AF354" s="75">
        <f t="shared" si="34"/>
        <v>0</v>
      </c>
      <c r="AG354" s="75">
        <f t="shared" si="35"/>
        <v>0</v>
      </c>
      <c r="AH354" s="31" t="e" cm="1">
        <f t="array" aca="1" ref="AH354" ca="1">IF((AD354) &lt; (INDEX(ResponseSLA[#All],(MATCH((G354),ResponseSLA[Priority],0))+1,3)),"YES","No")</f>
        <v>#N/A</v>
      </c>
      <c r="AI354" s="31" t="str">
        <f>_xlfn.IFNA(IF(AE354 &lt; (INDEX(SLATable[Minimum SLA],MATCH(G354,SLATable[Priority],0))),"YES","NO"),"")</f>
        <v/>
      </c>
      <c r="AJ354" t="str">
        <f>_xlfn.IFNA(IF(AE354 &lt; (INDEX(SLATable[Maximum SLA],MATCH(G354,SLATable[Priority],0))),"YES","NO"),"")</f>
        <v/>
      </c>
    </row>
    <row r="355" spans="26:36" ht="15" customHeight="1">
      <c r="Z355" s="76" t="e">
        <f t="shared" ca="1" si="36"/>
        <v>#N/A</v>
      </c>
      <c r="AA355" s="75" t="e">
        <f t="shared" ca="1" si="32"/>
        <v>#N/A</v>
      </c>
      <c r="AB355" s="76">
        <f t="shared" ca="1" si="37"/>
        <v>0</v>
      </c>
      <c r="AC355" s="75">
        <f t="shared" ca="1" si="33"/>
        <v>0</v>
      </c>
      <c r="AD355" s="76">
        <f t="shared" ca="1" si="38"/>
        <v>12388.425642824073</v>
      </c>
      <c r="AE355" s="76">
        <f t="shared" si="39"/>
        <v>0</v>
      </c>
      <c r="AF355" s="75">
        <f t="shared" si="34"/>
        <v>0</v>
      </c>
      <c r="AG355" s="75">
        <f t="shared" si="35"/>
        <v>0</v>
      </c>
      <c r="AH355" s="31" t="e" cm="1">
        <f t="array" aca="1" ref="AH355" ca="1">IF((AD355) &lt; (INDEX(ResponseSLA[#All],(MATCH((G355),ResponseSLA[Priority],0))+1,3)),"YES","No")</f>
        <v>#N/A</v>
      </c>
      <c r="AI355" s="31" t="str">
        <f>_xlfn.IFNA(IF(AE355 &lt; (INDEX(SLATable[Minimum SLA],MATCH(G355,SLATable[Priority],0))),"YES","NO"),"")</f>
        <v/>
      </c>
      <c r="AJ355" t="str">
        <f>_xlfn.IFNA(IF(AE355 &lt; (INDEX(SLATable[Maximum SLA],MATCH(G355,SLATable[Priority],0))),"YES","NO"),"")</f>
        <v/>
      </c>
    </row>
    <row r="356" spans="26:36" ht="15" customHeight="1">
      <c r="Z356" s="76" t="e">
        <f t="shared" ca="1" si="36"/>
        <v>#N/A</v>
      </c>
      <c r="AA356" s="75" t="e">
        <f t="shared" ca="1" si="32"/>
        <v>#N/A</v>
      </c>
      <c r="AB356" s="76">
        <f t="shared" ca="1" si="37"/>
        <v>0</v>
      </c>
      <c r="AC356" s="75">
        <f t="shared" ca="1" si="33"/>
        <v>0</v>
      </c>
      <c r="AD356" s="76">
        <f t="shared" ca="1" si="38"/>
        <v>12388.425642824073</v>
      </c>
      <c r="AE356" s="76">
        <f t="shared" si="39"/>
        <v>0</v>
      </c>
      <c r="AF356" s="75">
        <f t="shared" si="34"/>
        <v>0</v>
      </c>
      <c r="AG356" s="75">
        <f t="shared" si="35"/>
        <v>0</v>
      </c>
      <c r="AH356" s="31" t="e" cm="1">
        <f t="array" aca="1" ref="AH356" ca="1">IF((AD356) &lt; (INDEX(ResponseSLA[#All],(MATCH((G356),ResponseSLA[Priority],0))+1,3)),"YES","No")</f>
        <v>#N/A</v>
      </c>
      <c r="AI356" s="31" t="str">
        <f>_xlfn.IFNA(IF(AE356 &lt; (INDEX(SLATable[Minimum SLA],MATCH(G356,SLATable[Priority],0))),"YES","NO"),"")</f>
        <v/>
      </c>
      <c r="AJ356" t="str">
        <f>_xlfn.IFNA(IF(AE356 &lt; (INDEX(SLATable[Maximum SLA],MATCH(G356,SLATable[Priority],0))),"YES","NO"),"")</f>
        <v/>
      </c>
    </row>
    <row r="357" spans="26:36" ht="15" customHeight="1">
      <c r="Z357" s="76" t="e">
        <f t="shared" ca="1" si="36"/>
        <v>#N/A</v>
      </c>
      <c r="AA357" s="75" t="e">
        <f t="shared" ca="1" si="32"/>
        <v>#N/A</v>
      </c>
      <c r="AB357" s="76">
        <f t="shared" ca="1" si="37"/>
        <v>0</v>
      </c>
      <c r="AC357" s="75">
        <f t="shared" ca="1" si="33"/>
        <v>0</v>
      </c>
      <c r="AD357" s="76">
        <f t="shared" ca="1" si="38"/>
        <v>12388.425642708335</v>
      </c>
      <c r="AE357" s="76">
        <f t="shared" si="39"/>
        <v>0</v>
      </c>
      <c r="AF357" s="75">
        <f t="shared" si="34"/>
        <v>0</v>
      </c>
      <c r="AG357" s="75">
        <f t="shared" si="35"/>
        <v>0</v>
      </c>
      <c r="AH357" s="31" t="e" cm="1">
        <f t="array" aca="1" ref="AH357" ca="1">IF((AD357) &lt; (INDEX(ResponseSLA[#All],(MATCH((G357),ResponseSLA[Priority],0))+1,3)),"YES","No")</f>
        <v>#N/A</v>
      </c>
      <c r="AI357" s="31" t="str">
        <f>_xlfn.IFNA(IF(AE357 &lt; (INDEX(SLATable[Minimum SLA],MATCH(G357,SLATable[Priority],0))),"YES","NO"),"")</f>
        <v/>
      </c>
      <c r="AJ357" t="str">
        <f>_xlfn.IFNA(IF(AE357 &lt; (INDEX(SLATable[Maximum SLA],MATCH(G357,SLATable[Priority],0))),"YES","NO"),"")</f>
        <v/>
      </c>
    </row>
    <row r="358" spans="26:36" ht="15" customHeight="1">
      <c r="Z358" s="76" t="e">
        <f t="shared" ca="1" si="36"/>
        <v>#N/A</v>
      </c>
      <c r="AA358" s="75" t="e">
        <f t="shared" ca="1" si="32"/>
        <v>#N/A</v>
      </c>
      <c r="AB358" s="76">
        <f t="shared" ca="1" si="37"/>
        <v>0</v>
      </c>
      <c r="AC358" s="75">
        <f t="shared" ca="1" si="33"/>
        <v>0</v>
      </c>
      <c r="AD358" s="76">
        <f t="shared" ca="1" si="38"/>
        <v>12388.425642824073</v>
      </c>
      <c r="AE358" s="76">
        <f t="shared" si="39"/>
        <v>0</v>
      </c>
      <c r="AF358" s="75">
        <f t="shared" si="34"/>
        <v>0</v>
      </c>
      <c r="AG358" s="75">
        <f t="shared" si="35"/>
        <v>0</v>
      </c>
      <c r="AH358" s="31" t="e" cm="1">
        <f t="array" aca="1" ref="AH358" ca="1">IF((AD358) &lt; (INDEX(ResponseSLA[#All],(MATCH((G358),ResponseSLA[Priority],0))+1,3)),"YES","No")</f>
        <v>#N/A</v>
      </c>
      <c r="AI358" s="31" t="str">
        <f>_xlfn.IFNA(IF(AE358 &lt; (INDEX(SLATable[Minimum SLA],MATCH(G358,SLATable[Priority],0))),"YES","NO"),"")</f>
        <v/>
      </c>
      <c r="AJ358" t="str">
        <f>_xlfn.IFNA(IF(AE358 &lt; (INDEX(SLATable[Maximum SLA],MATCH(G358,SLATable[Priority],0))),"YES","NO"),"")</f>
        <v/>
      </c>
    </row>
    <row r="359" spans="26:36" ht="15" customHeight="1">
      <c r="Z359" s="76" t="e">
        <f t="shared" ca="1" si="36"/>
        <v>#N/A</v>
      </c>
      <c r="AA359" s="75" t="e">
        <f t="shared" ca="1" si="32"/>
        <v>#N/A</v>
      </c>
      <c r="AB359" s="76">
        <f t="shared" ca="1" si="37"/>
        <v>0</v>
      </c>
      <c r="AC359" s="75">
        <f t="shared" ca="1" si="33"/>
        <v>0</v>
      </c>
      <c r="AD359" s="76">
        <f t="shared" ca="1" si="38"/>
        <v>12388.425642824073</v>
      </c>
      <c r="AE359" s="76">
        <f t="shared" si="39"/>
        <v>0</v>
      </c>
      <c r="AF359" s="75">
        <f t="shared" si="34"/>
        <v>0</v>
      </c>
      <c r="AG359" s="75">
        <f t="shared" si="35"/>
        <v>0</v>
      </c>
      <c r="AH359" s="31" t="e" cm="1">
        <f t="array" aca="1" ref="AH359" ca="1">IF((AD359) &lt; (INDEX(ResponseSLA[#All],(MATCH((G359),ResponseSLA[Priority],0))+1,3)),"YES","No")</f>
        <v>#N/A</v>
      </c>
      <c r="AI359" s="31" t="str">
        <f>_xlfn.IFNA(IF(AE359 &lt; (INDEX(SLATable[Minimum SLA],MATCH(G359,SLATable[Priority],0))),"YES","NO"),"")</f>
        <v/>
      </c>
      <c r="AJ359" t="str">
        <f>_xlfn.IFNA(IF(AE359 &lt; (INDEX(SLATable[Maximum SLA],MATCH(G359,SLATable[Priority],0))),"YES","NO"),"")</f>
        <v/>
      </c>
    </row>
    <row r="360" spans="26:36" ht="15" customHeight="1">
      <c r="Z360" s="76" t="e">
        <f t="shared" ca="1" si="36"/>
        <v>#N/A</v>
      </c>
      <c r="AA360" s="75" t="e">
        <f t="shared" ca="1" si="32"/>
        <v>#N/A</v>
      </c>
      <c r="AB360" s="76">
        <f t="shared" ca="1" si="37"/>
        <v>0</v>
      </c>
      <c r="AC360" s="75">
        <f t="shared" ca="1" si="33"/>
        <v>0</v>
      </c>
      <c r="AD360" s="76">
        <f t="shared" ca="1" si="38"/>
        <v>12388.425642708335</v>
      </c>
      <c r="AE360" s="76">
        <f t="shared" si="39"/>
        <v>0</v>
      </c>
      <c r="AF360" s="75">
        <f t="shared" si="34"/>
        <v>0</v>
      </c>
      <c r="AG360" s="75">
        <f t="shared" si="35"/>
        <v>0</v>
      </c>
      <c r="AH360" s="31" t="e" cm="1">
        <f t="array" aca="1" ref="AH360" ca="1">IF((AD360) &lt; (INDEX(ResponseSLA[#All],(MATCH((G360),ResponseSLA[Priority],0))+1,3)),"YES","No")</f>
        <v>#N/A</v>
      </c>
      <c r="AI360" s="31" t="str">
        <f>_xlfn.IFNA(IF(AE360 &lt; (INDEX(SLATable[Minimum SLA],MATCH(G360,SLATable[Priority],0))),"YES","NO"),"")</f>
        <v/>
      </c>
      <c r="AJ360" t="str">
        <f>_xlfn.IFNA(IF(AE360 &lt; (INDEX(SLATable[Maximum SLA],MATCH(G360,SLATable[Priority],0))),"YES","NO"),"")</f>
        <v/>
      </c>
    </row>
    <row r="361" spans="26:36" ht="15" customHeight="1">
      <c r="Z361" s="76" t="e">
        <f t="shared" ca="1" si="36"/>
        <v>#N/A</v>
      </c>
      <c r="AA361" s="75" t="e">
        <f t="shared" ca="1" si="32"/>
        <v>#N/A</v>
      </c>
      <c r="AB361" s="76">
        <f t="shared" ca="1" si="37"/>
        <v>0</v>
      </c>
      <c r="AC361" s="75">
        <f t="shared" ca="1" si="33"/>
        <v>0</v>
      </c>
      <c r="AD361" s="76">
        <f t="shared" ca="1" si="38"/>
        <v>12388.425642824073</v>
      </c>
      <c r="AE361" s="76">
        <f t="shared" si="39"/>
        <v>0</v>
      </c>
      <c r="AF361" s="75">
        <f t="shared" si="34"/>
        <v>0</v>
      </c>
      <c r="AG361" s="75">
        <f t="shared" si="35"/>
        <v>0</v>
      </c>
      <c r="AH361" s="31" t="e" cm="1">
        <f t="array" aca="1" ref="AH361" ca="1">IF((AD361) &lt; (INDEX(ResponseSLA[#All],(MATCH((G361),ResponseSLA[Priority],0))+1,3)),"YES","No")</f>
        <v>#N/A</v>
      </c>
      <c r="AI361" s="31" t="str">
        <f>_xlfn.IFNA(IF(AE361 &lt; (INDEX(SLATable[Minimum SLA],MATCH(G361,SLATable[Priority],0))),"YES","NO"),"")</f>
        <v/>
      </c>
      <c r="AJ361" t="str">
        <f>_xlfn.IFNA(IF(AE361 &lt; (INDEX(SLATable[Maximum SLA],MATCH(G361,SLATable[Priority],0))),"YES","NO"),"")</f>
        <v/>
      </c>
    </row>
    <row r="362" spans="26:36" ht="15" customHeight="1">
      <c r="Z362" s="76" t="e">
        <f t="shared" ca="1" si="36"/>
        <v>#N/A</v>
      </c>
      <c r="AA362" s="75" t="e">
        <f t="shared" ca="1" si="32"/>
        <v>#N/A</v>
      </c>
      <c r="AB362" s="76">
        <f t="shared" ca="1" si="37"/>
        <v>0</v>
      </c>
      <c r="AC362" s="75">
        <f t="shared" ca="1" si="33"/>
        <v>0</v>
      </c>
      <c r="AD362" s="76">
        <f t="shared" ca="1" si="38"/>
        <v>12388.425642824073</v>
      </c>
      <c r="AE362" s="76">
        <f t="shared" si="39"/>
        <v>0</v>
      </c>
      <c r="AF362" s="75">
        <f t="shared" si="34"/>
        <v>0</v>
      </c>
      <c r="AG362" s="75">
        <f t="shared" si="35"/>
        <v>0</v>
      </c>
      <c r="AH362" s="31" t="e" cm="1">
        <f t="array" aca="1" ref="AH362" ca="1">IF((AD362) &lt; (INDEX(ResponseSLA[#All],(MATCH((G362),ResponseSLA[Priority],0))+1,3)),"YES","No")</f>
        <v>#N/A</v>
      </c>
      <c r="AI362" s="31" t="str">
        <f>_xlfn.IFNA(IF(AE362 &lt; (INDEX(SLATable[Minimum SLA],MATCH(G362,SLATable[Priority],0))),"YES","NO"),"")</f>
        <v/>
      </c>
      <c r="AJ362" t="str">
        <f>_xlfn.IFNA(IF(AE362 &lt; (INDEX(SLATable[Maximum SLA],MATCH(G362,SLATable[Priority],0))),"YES","NO"),"")</f>
        <v/>
      </c>
    </row>
    <row r="363" spans="26:36" ht="15" customHeight="1">
      <c r="Z363" s="76" t="e">
        <f t="shared" ca="1" si="36"/>
        <v>#N/A</v>
      </c>
      <c r="AA363" s="75" t="e">
        <f t="shared" ca="1" si="32"/>
        <v>#N/A</v>
      </c>
      <c r="AB363" s="76">
        <f t="shared" ca="1" si="37"/>
        <v>0</v>
      </c>
      <c r="AC363" s="75">
        <f t="shared" ca="1" si="33"/>
        <v>0</v>
      </c>
      <c r="AD363" s="76">
        <f t="shared" ca="1" si="38"/>
        <v>12388.425642708335</v>
      </c>
      <c r="AE363" s="76">
        <f t="shared" si="39"/>
        <v>0</v>
      </c>
      <c r="AF363" s="75">
        <f t="shared" si="34"/>
        <v>0</v>
      </c>
      <c r="AG363" s="75">
        <f t="shared" si="35"/>
        <v>0</v>
      </c>
      <c r="AH363" s="31" t="e" cm="1">
        <f t="array" aca="1" ref="AH363" ca="1">IF((AD363) &lt; (INDEX(ResponseSLA[#All],(MATCH((G363),ResponseSLA[Priority],0))+1,3)),"YES","No")</f>
        <v>#N/A</v>
      </c>
      <c r="AI363" s="31" t="str">
        <f>_xlfn.IFNA(IF(AE363 &lt; (INDEX(SLATable[Minimum SLA],MATCH(G363,SLATable[Priority],0))),"YES","NO"),"")</f>
        <v/>
      </c>
      <c r="AJ363" t="str">
        <f>_xlfn.IFNA(IF(AE363 &lt; (INDEX(SLATable[Maximum SLA],MATCH(G363,SLATable[Priority],0))),"YES","NO"),"")</f>
        <v/>
      </c>
    </row>
    <row r="364" spans="26:36" ht="15" customHeight="1">
      <c r="Z364" s="76" t="e">
        <f t="shared" ca="1" si="36"/>
        <v>#N/A</v>
      </c>
      <c r="AA364" s="75" t="e">
        <f t="shared" ca="1" si="32"/>
        <v>#N/A</v>
      </c>
      <c r="AB364" s="76">
        <f t="shared" ca="1" si="37"/>
        <v>0</v>
      </c>
      <c r="AC364" s="75">
        <f t="shared" ca="1" si="33"/>
        <v>0</v>
      </c>
      <c r="AD364" s="76">
        <f t="shared" ca="1" si="38"/>
        <v>12388.425642824073</v>
      </c>
      <c r="AE364" s="76">
        <f t="shared" si="39"/>
        <v>0</v>
      </c>
      <c r="AF364" s="75">
        <f t="shared" si="34"/>
        <v>0</v>
      </c>
      <c r="AG364" s="75">
        <f t="shared" si="35"/>
        <v>0</v>
      </c>
      <c r="AH364" s="31" t="e" cm="1">
        <f t="array" aca="1" ref="AH364" ca="1">IF((AD364) &lt; (INDEX(ResponseSLA[#All],(MATCH((G364),ResponseSLA[Priority],0))+1,3)),"YES","No")</f>
        <v>#N/A</v>
      </c>
      <c r="AI364" s="31" t="str">
        <f>_xlfn.IFNA(IF(AE364 &lt; (INDEX(SLATable[Minimum SLA],MATCH(G364,SLATable[Priority],0))),"YES","NO"),"")</f>
        <v/>
      </c>
      <c r="AJ364" t="str">
        <f>_xlfn.IFNA(IF(AE364 &lt; (INDEX(SLATable[Maximum SLA],MATCH(G364,SLATable[Priority],0))),"YES","NO"),"")</f>
        <v/>
      </c>
    </row>
    <row r="365" spans="26:36" ht="15" customHeight="1">
      <c r="Z365" s="76" t="e">
        <f t="shared" ca="1" si="36"/>
        <v>#N/A</v>
      </c>
      <c r="AA365" s="75" t="e">
        <f t="shared" ca="1" si="32"/>
        <v>#N/A</v>
      </c>
      <c r="AB365" s="76">
        <f t="shared" ca="1" si="37"/>
        <v>0</v>
      </c>
      <c r="AC365" s="75">
        <f t="shared" ca="1" si="33"/>
        <v>0</v>
      </c>
      <c r="AD365" s="76">
        <f t="shared" ca="1" si="38"/>
        <v>12388.425642824073</v>
      </c>
      <c r="AE365" s="76">
        <f t="shared" si="39"/>
        <v>0</v>
      </c>
      <c r="AF365" s="75">
        <f t="shared" si="34"/>
        <v>0</v>
      </c>
      <c r="AG365" s="75">
        <f t="shared" si="35"/>
        <v>0</v>
      </c>
      <c r="AH365" s="31" t="e" cm="1">
        <f t="array" aca="1" ref="AH365" ca="1">IF((AD365) &lt; (INDEX(ResponseSLA[#All],(MATCH((G365),ResponseSLA[Priority],0))+1,3)),"YES","No")</f>
        <v>#N/A</v>
      </c>
      <c r="AI365" s="31" t="str">
        <f>_xlfn.IFNA(IF(AE365 &lt; (INDEX(SLATable[Minimum SLA],MATCH(G365,SLATable[Priority],0))),"YES","NO"),"")</f>
        <v/>
      </c>
      <c r="AJ365" t="str">
        <f>_xlfn.IFNA(IF(AE365 &lt; (INDEX(SLATable[Maximum SLA],MATCH(G365,SLATable[Priority],0))),"YES","NO"),"")</f>
        <v/>
      </c>
    </row>
    <row r="366" spans="26:36" ht="15" customHeight="1">
      <c r="Z366" s="76" t="e">
        <f t="shared" ca="1" si="36"/>
        <v>#N/A</v>
      </c>
      <c r="AA366" s="75" t="e">
        <f t="shared" ca="1" si="32"/>
        <v>#N/A</v>
      </c>
      <c r="AB366" s="76">
        <f t="shared" ca="1" si="37"/>
        <v>0</v>
      </c>
      <c r="AC366" s="75">
        <f t="shared" ca="1" si="33"/>
        <v>0</v>
      </c>
      <c r="AD366" s="76">
        <f t="shared" ca="1" si="38"/>
        <v>12388.425642708335</v>
      </c>
      <c r="AE366" s="76">
        <f t="shared" si="39"/>
        <v>0</v>
      </c>
      <c r="AF366" s="75">
        <f t="shared" si="34"/>
        <v>0</v>
      </c>
      <c r="AG366" s="75">
        <f t="shared" si="35"/>
        <v>0</v>
      </c>
      <c r="AH366" s="31" t="e" cm="1">
        <f t="array" aca="1" ref="AH366" ca="1">IF((AD366) &lt; (INDEX(ResponseSLA[#All],(MATCH((G366),ResponseSLA[Priority],0))+1,3)),"YES","No")</f>
        <v>#N/A</v>
      </c>
      <c r="AI366" s="31" t="str">
        <f>_xlfn.IFNA(IF(AE366 &lt; (INDEX(SLATable[Minimum SLA],MATCH(G366,SLATable[Priority],0))),"YES","NO"),"")</f>
        <v/>
      </c>
      <c r="AJ366" t="str">
        <f>_xlfn.IFNA(IF(AE366 &lt; (INDEX(SLATable[Maximum SLA],MATCH(G366,SLATable[Priority],0))),"YES","NO"),"")</f>
        <v/>
      </c>
    </row>
    <row r="367" spans="26:36" ht="15" customHeight="1">
      <c r="Z367" s="76" t="e">
        <f t="shared" ca="1" si="36"/>
        <v>#N/A</v>
      </c>
      <c r="AA367" s="75" t="e">
        <f t="shared" ca="1" si="32"/>
        <v>#N/A</v>
      </c>
      <c r="AB367" s="76">
        <f t="shared" ca="1" si="37"/>
        <v>0</v>
      </c>
      <c r="AC367" s="75">
        <f t="shared" ca="1" si="33"/>
        <v>0</v>
      </c>
      <c r="AD367" s="76">
        <f t="shared" ca="1" si="38"/>
        <v>12388.425642824073</v>
      </c>
      <c r="AE367" s="76">
        <f t="shared" si="39"/>
        <v>0</v>
      </c>
      <c r="AF367" s="75">
        <f t="shared" si="34"/>
        <v>0</v>
      </c>
      <c r="AG367" s="75">
        <f t="shared" si="35"/>
        <v>0</v>
      </c>
      <c r="AH367" s="31" t="e" cm="1">
        <f t="array" aca="1" ref="AH367" ca="1">IF((AD367) &lt; (INDEX(ResponseSLA[#All],(MATCH((G367),ResponseSLA[Priority],0))+1,3)),"YES","No")</f>
        <v>#N/A</v>
      </c>
      <c r="AI367" s="31" t="str">
        <f>_xlfn.IFNA(IF(AE367 &lt; (INDEX(SLATable[Minimum SLA],MATCH(G367,SLATable[Priority],0))),"YES","NO"),"")</f>
        <v/>
      </c>
      <c r="AJ367" t="str">
        <f>_xlfn.IFNA(IF(AE367 &lt; (INDEX(SLATable[Maximum SLA],MATCH(G367,SLATable[Priority],0))),"YES","NO"),"")</f>
        <v/>
      </c>
    </row>
    <row r="368" spans="26:36" ht="15" customHeight="1">
      <c r="Z368" s="76" t="e">
        <f t="shared" ca="1" si="36"/>
        <v>#N/A</v>
      </c>
      <c r="AA368" s="75" t="e">
        <f t="shared" ca="1" si="32"/>
        <v>#N/A</v>
      </c>
      <c r="AB368" s="76">
        <f t="shared" ca="1" si="37"/>
        <v>0</v>
      </c>
      <c r="AC368" s="75">
        <f t="shared" ca="1" si="33"/>
        <v>0</v>
      </c>
      <c r="AD368" s="76">
        <f t="shared" ca="1" si="38"/>
        <v>12388.425642824073</v>
      </c>
      <c r="AE368" s="76">
        <f t="shared" si="39"/>
        <v>0</v>
      </c>
      <c r="AF368" s="75">
        <f t="shared" si="34"/>
        <v>0</v>
      </c>
      <c r="AG368" s="75">
        <f t="shared" si="35"/>
        <v>0</v>
      </c>
      <c r="AH368" s="31" t="e" cm="1">
        <f t="array" aca="1" ref="AH368" ca="1">IF((AD368) &lt; (INDEX(ResponseSLA[#All],(MATCH((G368),ResponseSLA[Priority],0))+1,3)),"YES","No")</f>
        <v>#N/A</v>
      </c>
      <c r="AI368" s="31" t="str">
        <f>_xlfn.IFNA(IF(AE368 &lt; (INDEX(SLATable[Minimum SLA],MATCH(G368,SLATable[Priority],0))),"YES","NO"),"")</f>
        <v/>
      </c>
      <c r="AJ368" t="str">
        <f>_xlfn.IFNA(IF(AE368 &lt; (INDEX(SLATable[Maximum SLA],MATCH(G368,SLATable[Priority],0))),"YES","NO"),"")</f>
        <v/>
      </c>
    </row>
    <row r="369" spans="26:36" ht="15" customHeight="1">
      <c r="Z369" s="76" t="e">
        <f t="shared" ca="1" si="36"/>
        <v>#N/A</v>
      </c>
      <c r="AA369" s="75" t="e">
        <f t="shared" ca="1" si="32"/>
        <v>#N/A</v>
      </c>
      <c r="AB369" s="76">
        <f t="shared" ca="1" si="37"/>
        <v>0</v>
      </c>
      <c r="AC369" s="75">
        <f t="shared" ca="1" si="33"/>
        <v>0</v>
      </c>
      <c r="AD369" s="76">
        <f t="shared" ca="1" si="38"/>
        <v>12388.425642824073</v>
      </c>
      <c r="AE369" s="76">
        <f t="shared" si="39"/>
        <v>0</v>
      </c>
      <c r="AF369" s="75">
        <f t="shared" si="34"/>
        <v>0</v>
      </c>
      <c r="AG369" s="75">
        <f t="shared" si="35"/>
        <v>0</v>
      </c>
      <c r="AH369" s="31" t="e" cm="1">
        <f t="array" aca="1" ref="AH369" ca="1">IF((AD369) &lt; (INDEX(ResponseSLA[#All],(MATCH((G369),ResponseSLA[Priority],0))+1,3)),"YES","No")</f>
        <v>#N/A</v>
      </c>
      <c r="AI369" s="31" t="str">
        <f>_xlfn.IFNA(IF(AE369 &lt; (INDEX(SLATable[Minimum SLA],MATCH(G369,SLATable[Priority],0))),"YES","NO"),"")</f>
        <v/>
      </c>
      <c r="AJ369" t="str">
        <f>_xlfn.IFNA(IF(AE369 &lt; (INDEX(SLATable[Maximum SLA],MATCH(G369,SLATable[Priority],0))),"YES","NO"),"")</f>
        <v/>
      </c>
    </row>
    <row r="370" spans="26:36" ht="15" customHeight="1">
      <c r="Z370" s="76" t="e">
        <f t="shared" ca="1" si="36"/>
        <v>#N/A</v>
      </c>
      <c r="AA370" s="75" t="e">
        <f t="shared" ca="1" si="32"/>
        <v>#N/A</v>
      </c>
      <c r="AB370" s="76">
        <f t="shared" ca="1" si="37"/>
        <v>0</v>
      </c>
      <c r="AC370" s="75">
        <f t="shared" ca="1" si="33"/>
        <v>0</v>
      </c>
      <c r="AD370" s="76">
        <f t="shared" ca="1" si="38"/>
        <v>12388.425642824073</v>
      </c>
      <c r="AE370" s="76">
        <f t="shared" si="39"/>
        <v>0</v>
      </c>
      <c r="AF370" s="75">
        <f t="shared" si="34"/>
        <v>0</v>
      </c>
      <c r="AG370" s="75">
        <f t="shared" si="35"/>
        <v>0</v>
      </c>
      <c r="AH370" s="31" t="e" cm="1">
        <f t="array" aca="1" ref="AH370" ca="1">IF((AD370) &lt; (INDEX(ResponseSLA[#All],(MATCH((G370),ResponseSLA[Priority],0))+1,3)),"YES","No")</f>
        <v>#N/A</v>
      </c>
      <c r="AI370" s="31" t="str">
        <f>_xlfn.IFNA(IF(AE370 &lt; (INDEX(SLATable[Minimum SLA],MATCH(G370,SLATable[Priority],0))),"YES","NO"),"")</f>
        <v/>
      </c>
      <c r="AJ370" t="str">
        <f>_xlfn.IFNA(IF(AE370 &lt; (INDEX(SLATable[Maximum SLA],MATCH(G370,SLATable[Priority],0))),"YES","NO"),"")</f>
        <v/>
      </c>
    </row>
    <row r="371" spans="26:36" ht="15" customHeight="1">
      <c r="Z371" s="76" t="e">
        <f t="shared" ca="1" si="36"/>
        <v>#N/A</v>
      </c>
      <c r="AA371" s="75" t="e">
        <f t="shared" ca="1" si="32"/>
        <v>#N/A</v>
      </c>
      <c r="AB371" s="76">
        <f t="shared" ca="1" si="37"/>
        <v>0</v>
      </c>
      <c r="AC371" s="75">
        <f t="shared" ca="1" si="33"/>
        <v>0</v>
      </c>
      <c r="AD371" s="76">
        <f t="shared" ca="1" si="38"/>
        <v>12388.425642824073</v>
      </c>
      <c r="AE371" s="76">
        <f t="shared" si="39"/>
        <v>0</v>
      </c>
      <c r="AF371" s="75">
        <f t="shared" si="34"/>
        <v>0</v>
      </c>
      <c r="AG371" s="75">
        <f t="shared" si="35"/>
        <v>0</v>
      </c>
      <c r="AH371" s="31" t="e" cm="1">
        <f t="array" aca="1" ref="AH371" ca="1">IF((AD371) &lt; (INDEX(ResponseSLA[#All],(MATCH((G371),ResponseSLA[Priority],0))+1,3)),"YES","No")</f>
        <v>#N/A</v>
      </c>
      <c r="AI371" s="31" t="str">
        <f>_xlfn.IFNA(IF(AE371 &lt; (INDEX(SLATable[Minimum SLA],MATCH(G371,SLATable[Priority],0))),"YES","NO"),"")</f>
        <v/>
      </c>
      <c r="AJ371" t="str">
        <f>_xlfn.IFNA(IF(AE371 &lt; (INDEX(SLATable[Maximum SLA],MATCH(G371,SLATable[Priority],0))),"YES","NO"),"")</f>
        <v/>
      </c>
    </row>
    <row r="372" spans="26:36" ht="15" customHeight="1">
      <c r="Z372" s="76" t="e">
        <f t="shared" ca="1" si="36"/>
        <v>#N/A</v>
      </c>
      <c r="AA372" s="75" t="e">
        <f t="shared" ca="1" si="32"/>
        <v>#N/A</v>
      </c>
      <c r="AB372" s="76">
        <f t="shared" ca="1" si="37"/>
        <v>0</v>
      </c>
      <c r="AC372" s="75">
        <f t="shared" ca="1" si="33"/>
        <v>0</v>
      </c>
      <c r="AD372" s="76">
        <f t="shared" ca="1" si="38"/>
        <v>12388.425642824073</v>
      </c>
      <c r="AE372" s="76">
        <f t="shared" si="39"/>
        <v>0</v>
      </c>
      <c r="AF372" s="75">
        <f t="shared" si="34"/>
        <v>0</v>
      </c>
      <c r="AG372" s="75">
        <f t="shared" si="35"/>
        <v>0</v>
      </c>
      <c r="AH372" s="31" t="e" cm="1">
        <f t="array" aca="1" ref="AH372" ca="1">IF((AD372) &lt; (INDEX(ResponseSLA[#All],(MATCH((G372),ResponseSLA[Priority],0))+1,3)),"YES","No")</f>
        <v>#N/A</v>
      </c>
      <c r="AI372" s="31" t="str">
        <f>_xlfn.IFNA(IF(AE372 &lt; (INDEX(SLATable[Minimum SLA],MATCH(G372,SLATable[Priority],0))),"YES","NO"),"")</f>
        <v/>
      </c>
      <c r="AJ372" t="str">
        <f>_xlfn.IFNA(IF(AE372 &lt; (INDEX(SLATable[Maximum SLA],MATCH(G372,SLATable[Priority],0))),"YES","NO"),"")</f>
        <v/>
      </c>
    </row>
    <row r="373" spans="26:36" ht="15" customHeight="1">
      <c r="Z373" s="76" t="e">
        <f t="shared" ca="1" si="36"/>
        <v>#N/A</v>
      </c>
      <c r="AA373" s="75" t="e">
        <f t="shared" ca="1" si="32"/>
        <v>#N/A</v>
      </c>
      <c r="AB373" s="76">
        <f t="shared" ca="1" si="37"/>
        <v>0</v>
      </c>
      <c r="AC373" s="75">
        <f t="shared" ca="1" si="33"/>
        <v>0</v>
      </c>
      <c r="AD373" s="76">
        <f t="shared" ca="1" si="38"/>
        <v>12388.425642824073</v>
      </c>
      <c r="AE373" s="76">
        <f t="shared" si="39"/>
        <v>0</v>
      </c>
      <c r="AF373" s="75">
        <f t="shared" si="34"/>
        <v>0</v>
      </c>
      <c r="AG373" s="75">
        <f t="shared" si="35"/>
        <v>0</v>
      </c>
      <c r="AH373" s="31" t="e" cm="1">
        <f t="array" aca="1" ref="AH373" ca="1">IF((AD373) &lt; (INDEX(ResponseSLA[#All],(MATCH((G373),ResponseSLA[Priority],0))+1,3)),"YES","No")</f>
        <v>#N/A</v>
      </c>
      <c r="AI373" s="31" t="str">
        <f>_xlfn.IFNA(IF(AE373 &lt; (INDEX(SLATable[Minimum SLA],MATCH(G373,SLATable[Priority],0))),"YES","NO"),"")</f>
        <v/>
      </c>
      <c r="AJ373" t="str">
        <f>_xlfn.IFNA(IF(AE373 &lt; (INDEX(SLATable[Maximum SLA],MATCH(G373,SLATable[Priority],0))),"YES","NO"),"")</f>
        <v/>
      </c>
    </row>
    <row r="374" spans="26:36" ht="15" customHeight="1">
      <c r="Z374" s="76" t="e">
        <f t="shared" ca="1" si="36"/>
        <v>#N/A</v>
      </c>
      <c r="AA374" s="75" t="e">
        <f t="shared" ca="1" si="32"/>
        <v>#N/A</v>
      </c>
      <c r="AB374" s="76">
        <f t="shared" ca="1" si="37"/>
        <v>0</v>
      </c>
      <c r="AC374" s="75">
        <f t="shared" ca="1" si="33"/>
        <v>0</v>
      </c>
      <c r="AD374" s="76">
        <f t="shared" ca="1" si="38"/>
        <v>12388.425642824073</v>
      </c>
      <c r="AE374" s="76">
        <f t="shared" si="39"/>
        <v>0</v>
      </c>
      <c r="AF374" s="75">
        <f t="shared" si="34"/>
        <v>0</v>
      </c>
      <c r="AG374" s="75">
        <f t="shared" si="35"/>
        <v>0</v>
      </c>
      <c r="AH374" s="31" t="e" cm="1">
        <f t="array" aca="1" ref="AH374" ca="1">IF((AD374) &lt; (INDEX(ResponseSLA[#All],(MATCH((G374),ResponseSLA[Priority],0))+1,3)),"YES","No")</f>
        <v>#N/A</v>
      </c>
      <c r="AI374" s="31" t="str">
        <f>_xlfn.IFNA(IF(AE374 &lt; (INDEX(SLATable[Minimum SLA],MATCH(G374,SLATable[Priority],0))),"YES","NO"),"")</f>
        <v/>
      </c>
      <c r="AJ374" t="str">
        <f>_xlfn.IFNA(IF(AE374 &lt; (INDEX(SLATable[Maximum SLA],MATCH(G374,SLATable[Priority],0))),"YES","NO"),"")</f>
        <v/>
      </c>
    </row>
    <row r="375" spans="26:36" ht="15" customHeight="1">
      <c r="Z375" s="76" t="e">
        <f t="shared" ca="1" si="36"/>
        <v>#N/A</v>
      </c>
      <c r="AA375" s="75" t="e">
        <f t="shared" ca="1" si="32"/>
        <v>#N/A</v>
      </c>
      <c r="AB375" s="76">
        <f t="shared" ca="1" si="37"/>
        <v>0</v>
      </c>
      <c r="AC375" s="75">
        <f t="shared" ca="1" si="33"/>
        <v>0</v>
      </c>
      <c r="AD375" s="76">
        <f t="shared" ca="1" si="38"/>
        <v>12388.425642824073</v>
      </c>
      <c r="AE375" s="76">
        <f t="shared" si="39"/>
        <v>0</v>
      </c>
      <c r="AF375" s="75">
        <f t="shared" si="34"/>
        <v>0</v>
      </c>
      <c r="AG375" s="75">
        <f t="shared" si="35"/>
        <v>0</v>
      </c>
      <c r="AH375" s="31" t="e" cm="1">
        <f t="array" aca="1" ref="AH375" ca="1">IF((AD375) &lt; (INDEX(ResponseSLA[#All],(MATCH((G375),ResponseSLA[Priority],0))+1,3)),"YES","No")</f>
        <v>#N/A</v>
      </c>
      <c r="AI375" s="31" t="str">
        <f>_xlfn.IFNA(IF(AE375 &lt; (INDEX(SLATable[Minimum SLA],MATCH(G375,SLATable[Priority],0))),"YES","NO"),"")</f>
        <v/>
      </c>
      <c r="AJ375" t="str">
        <f>_xlfn.IFNA(IF(AE375 &lt; (INDEX(SLATable[Maximum SLA],MATCH(G375,SLATable[Priority],0))),"YES","NO"),"")</f>
        <v/>
      </c>
    </row>
    <row r="376" spans="26:36" ht="15" customHeight="1">
      <c r="Z376" s="76" t="e">
        <f t="shared" ca="1" si="36"/>
        <v>#N/A</v>
      </c>
      <c r="AA376" s="75" t="e">
        <f t="shared" ca="1" si="32"/>
        <v>#N/A</v>
      </c>
      <c r="AB376" s="76">
        <f t="shared" ca="1" si="37"/>
        <v>0</v>
      </c>
      <c r="AC376" s="75">
        <f t="shared" ca="1" si="33"/>
        <v>0</v>
      </c>
      <c r="AD376" s="76">
        <f t="shared" ca="1" si="38"/>
        <v>12388.425642824073</v>
      </c>
      <c r="AE376" s="76">
        <f t="shared" si="39"/>
        <v>0</v>
      </c>
      <c r="AF376" s="75">
        <f t="shared" si="34"/>
        <v>0</v>
      </c>
      <c r="AG376" s="75">
        <f t="shared" si="35"/>
        <v>0</v>
      </c>
      <c r="AH376" s="31" t="e" cm="1">
        <f t="array" aca="1" ref="AH376" ca="1">IF((AD376) &lt; (INDEX(ResponseSLA[#All],(MATCH((G376),ResponseSLA[Priority],0))+1,3)),"YES","No")</f>
        <v>#N/A</v>
      </c>
      <c r="AI376" s="31" t="str">
        <f>_xlfn.IFNA(IF(AE376 &lt; (INDEX(SLATable[Minimum SLA],MATCH(G376,SLATable[Priority],0))),"YES","NO"),"")</f>
        <v/>
      </c>
      <c r="AJ376" t="str">
        <f>_xlfn.IFNA(IF(AE376 &lt; (INDEX(SLATable[Maximum SLA],MATCH(G376,SLATable[Priority],0))),"YES","NO"),"")</f>
        <v/>
      </c>
    </row>
    <row r="377" spans="26:36" ht="15" customHeight="1">
      <c r="Z377" s="76" t="e">
        <f t="shared" ca="1" si="36"/>
        <v>#N/A</v>
      </c>
      <c r="AA377" s="75" t="e">
        <f t="shared" ca="1" si="32"/>
        <v>#N/A</v>
      </c>
      <c r="AB377" s="76">
        <f t="shared" ca="1" si="37"/>
        <v>0</v>
      </c>
      <c r="AC377" s="75">
        <f t="shared" ca="1" si="33"/>
        <v>0</v>
      </c>
      <c r="AD377" s="76">
        <f t="shared" ca="1" si="38"/>
        <v>12388.425642824073</v>
      </c>
      <c r="AE377" s="76">
        <f t="shared" si="39"/>
        <v>0</v>
      </c>
      <c r="AF377" s="75">
        <f t="shared" si="34"/>
        <v>0</v>
      </c>
      <c r="AG377" s="75">
        <f t="shared" si="35"/>
        <v>0</v>
      </c>
      <c r="AH377" s="31" t="e" cm="1">
        <f t="array" aca="1" ref="AH377" ca="1">IF((AD377) &lt; (INDEX(ResponseSLA[#All],(MATCH((G377),ResponseSLA[Priority],0))+1,3)),"YES","No")</f>
        <v>#N/A</v>
      </c>
      <c r="AI377" s="31" t="str">
        <f>_xlfn.IFNA(IF(AE377 &lt; (INDEX(SLATable[Minimum SLA],MATCH(G377,SLATable[Priority],0))),"YES","NO"),"")</f>
        <v/>
      </c>
      <c r="AJ377" t="str">
        <f>_xlfn.IFNA(IF(AE377 &lt; (INDEX(SLATable[Maximum SLA],MATCH(G377,SLATable[Priority],0))),"YES","NO"),"")</f>
        <v/>
      </c>
    </row>
    <row r="378" spans="26:36" ht="15" customHeight="1">
      <c r="Z378" s="76" t="e">
        <f t="shared" ca="1" si="36"/>
        <v>#N/A</v>
      </c>
      <c r="AA378" s="75" t="e">
        <f t="shared" ca="1" si="32"/>
        <v>#N/A</v>
      </c>
      <c r="AB378" s="76">
        <f t="shared" ca="1" si="37"/>
        <v>0</v>
      </c>
      <c r="AC378" s="75">
        <f t="shared" ca="1" si="33"/>
        <v>0</v>
      </c>
      <c r="AD378" s="76">
        <f t="shared" ca="1" si="38"/>
        <v>12388.425642824073</v>
      </c>
      <c r="AE378" s="76">
        <f t="shared" si="39"/>
        <v>0</v>
      </c>
      <c r="AF378" s="75">
        <f t="shared" si="34"/>
        <v>0</v>
      </c>
      <c r="AG378" s="75">
        <f t="shared" si="35"/>
        <v>0</v>
      </c>
      <c r="AH378" s="31" t="e" cm="1">
        <f t="array" aca="1" ref="AH378" ca="1">IF((AD378) &lt; (INDEX(ResponseSLA[#All],(MATCH((G378),ResponseSLA[Priority],0))+1,3)),"YES","No")</f>
        <v>#N/A</v>
      </c>
      <c r="AI378" s="31" t="str">
        <f>_xlfn.IFNA(IF(AE378 &lt; (INDEX(SLATable[Minimum SLA],MATCH(G378,SLATable[Priority],0))),"YES","NO"),"")</f>
        <v/>
      </c>
      <c r="AJ378" t="str">
        <f>_xlfn.IFNA(IF(AE378 &lt; (INDEX(SLATable[Maximum SLA],MATCH(G378,SLATable[Priority],0))),"YES","NO"),"")</f>
        <v/>
      </c>
    </row>
    <row r="379" spans="26:36" ht="15" customHeight="1">
      <c r="Z379" s="76" t="e">
        <f t="shared" ca="1" si="36"/>
        <v>#N/A</v>
      </c>
      <c r="AA379" s="75" t="e">
        <f t="shared" ca="1" si="32"/>
        <v>#N/A</v>
      </c>
      <c r="AB379" s="76">
        <f t="shared" ca="1" si="37"/>
        <v>0</v>
      </c>
      <c r="AC379" s="75">
        <f t="shared" ca="1" si="33"/>
        <v>0</v>
      </c>
      <c r="AD379" s="76">
        <f t="shared" ca="1" si="38"/>
        <v>12388.425642824073</v>
      </c>
      <c r="AE379" s="76">
        <f t="shared" si="39"/>
        <v>0</v>
      </c>
      <c r="AF379" s="75">
        <f t="shared" si="34"/>
        <v>0</v>
      </c>
      <c r="AG379" s="75">
        <f t="shared" si="35"/>
        <v>0</v>
      </c>
      <c r="AH379" s="31" t="e" cm="1">
        <f t="array" aca="1" ref="AH379" ca="1">IF((AD379) &lt; (INDEX(ResponseSLA[#All],(MATCH((G379),ResponseSLA[Priority],0))+1,3)),"YES","No")</f>
        <v>#N/A</v>
      </c>
      <c r="AI379" s="31" t="str">
        <f>_xlfn.IFNA(IF(AE379 &lt; (INDEX(SLATable[Minimum SLA],MATCH(G379,SLATable[Priority],0))),"YES","NO"),"")</f>
        <v/>
      </c>
      <c r="AJ379" t="str">
        <f>_xlfn.IFNA(IF(AE379 &lt; (INDEX(SLATable[Maximum SLA],MATCH(G379,SLATable[Priority],0))),"YES","NO"),"")</f>
        <v/>
      </c>
    </row>
    <row r="380" spans="26:36" ht="15" customHeight="1">
      <c r="Z380" s="76" t="e">
        <f t="shared" ca="1" si="36"/>
        <v>#N/A</v>
      </c>
      <c r="AA380" s="75" t="e">
        <f t="shared" ca="1" si="32"/>
        <v>#N/A</v>
      </c>
      <c r="AB380" s="76">
        <f t="shared" ca="1" si="37"/>
        <v>0</v>
      </c>
      <c r="AC380" s="75">
        <f t="shared" ca="1" si="33"/>
        <v>0</v>
      </c>
      <c r="AD380" s="76">
        <f t="shared" ca="1" si="38"/>
        <v>12388.425642824073</v>
      </c>
      <c r="AE380" s="76">
        <f t="shared" si="39"/>
        <v>0</v>
      </c>
      <c r="AF380" s="75">
        <f t="shared" si="34"/>
        <v>0</v>
      </c>
      <c r="AG380" s="75">
        <f t="shared" si="35"/>
        <v>0</v>
      </c>
      <c r="AH380" s="31" t="e" cm="1">
        <f t="array" aca="1" ref="AH380" ca="1">IF((AD380) &lt; (INDEX(ResponseSLA[#All],(MATCH((G380),ResponseSLA[Priority],0))+1,3)),"YES","No")</f>
        <v>#N/A</v>
      </c>
      <c r="AI380" s="31" t="str">
        <f>_xlfn.IFNA(IF(AE380 &lt; (INDEX(SLATable[Minimum SLA],MATCH(G380,SLATable[Priority],0))),"YES","NO"),"")</f>
        <v/>
      </c>
      <c r="AJ380" t="str">
        <f>_xlfn.IFNA(IF(AE380 &lt; (INDEX(SLATable[Maximum SLA],MATCH(G380,SLATable[Priority],0))),"YES","NO"),"")</f>
        <v/>
      </c>
    </row>
    <row r="381" spans="26:36" ht="15" customHeight="1">
      <c r="Z381" s="76" t="e">
        <f t="shared" ca="1" si="36"/>
        <v>#N/A</v>
      </c>
      <c r="AA381" s="75" t="e">
        <f t="shared" ca="1" si="32"/>
        <v>#N/A</v>
      </c>
      <c r="AB381" s="76">
        <f t="shared" ca="1" si="37"/>
        <v>0</v>
      </c>
      <c r="AC381" s="75">
        <f t="shared" ca="1" si="33"/>
        <v>0</v>
      </c>
      <c r="AD381" s="76">
        <f t="shared" ca="1" si="38"/>
        <v>12388.425642824073</v>
      </c>
      <c r="AE381" s="76">
        <f t="shared" si="39"/>
        <v>0</v>
      </c>
      <c r="AF381" s="75">
        <f t="shared" si="34"/>
        <v>0</v>
      </c>
      <c r="AG381" s="75">
        <f t="shared" si="35"/>
        <v>0</v>
      </c>
      <c r="AH381" s="31" t="e" cm="1">
        <f t="array" aca="1" ref="AH381" ca="1">IF((AD381) &lt; (INDEX(ResponseSLA[#All],(MATCH((G381),ResponseSLA[Priority],0))+1,3)),"YES","No")</f>
        <v>#N/A</v>
      </c>
      <c r="AI381" s="31" t="str">
        <f>_xlfn.IFNA(IF(AE381 &lt; (INDEX(SLATable[Minimum SLA],MATCH(G381,SLATable[Priority],0))),"YES","NO"),"")</f>
        <v/>
      </c>
      <c r="AJ381" t="str">
        <f>_xlfn.IFNA(IF(AE381 &lt; (INDEX(SLATable[Maximum SLA],MATCH(G381,SLATable[Priority],0))),"YES","NO"),"")</f>
        <v/>
      </c>
    </row>
    <row r="382" spans="26:36" ht="15" customHeight="1">
      <c r="Z382" s="76" t="e">
        <f t="shared" ca="1" si="36"/>
        <v>#N/A</v>
      </c>
      <c r="AA382" s="75" t="e">
        <f t="shared" ca="1" si="32"/>
        <v>#N/A</v>
      </c>
      <c r="AB382" s="76">
        <f t="shared" ca="1" si="37"/>
        <v>0</v>
      </c>
      <c r="AC382" s="75">
        <f t="shared" ca="1" si="33"/>
        <v>0</v>
      </c>
      <c r="AD382" s="76">
        <f t="shared" ca="1" si="38"/>
        <v>12388.425642824073</v>
      </c>
      <c r="AE382" s="76">
        <f t="shared" si="39"/>
        <v>0</v>
      </c>
      <c r="AF382" s="75">
        <f t="shared" si="34"/>
        <v>0</v>
      </c>
      <c r="AG382" s="75">
        <f t="shared" si="35"/>
        <v>0</v>
      </c>
      <c r="AH382" s="31" t="e" cm="1">
        <f t="array" aca="1" ref="AH382" ca="1">IF((AD382) &lt; (INDEX(ResponseSLA[#All],(MATCH((G382),ResponseSLA[Priority],0))+1,3)),"YES","No")</f>
        <v>#N/A</v>
      </c>
      <c r="AI382" s="31" t="str">
        <f>_xlfn.IFNA(IF(AE382 &lt; (INDEX(SLATable[Minimum SLA],MATCH(G382,SLATable[Priority],0))),"YES","NO"),"")</f>
        <v/>
      </c>
      <c r="AJ382" t="str">
        <f>_xlfn.IFNA(IF(AE382 &lt; (INDEX(SLATable[Maximum SLA],MATCH(G382,SLATable[Priority],0))),"YES","NO"),"")</f>
        <v/>
      </c>
    </row>
    <row r="383" spans="26:36" ht="15" customHeight="1">
      <c r="Z383" s="76" t="e">
        <f t="shared" ca="1" si="36"/>
        <v>#N/A</v>
      </c>
      <c r="AA383" s="75" t="e">
        <f t="shared" ca="1" si="32"/>
        <v>#N/A</v>
      </c>
      <c r="AB383" s="76">
        <f t="shared" ca="1" si="37"/>
        <v>0</v>
      </c>
      <c r="AC383" s="75">
        <f t="shared" ca="1" si="33"/>
        <v>0</v>
      </c>
      <c r="AD383" s="76">
        <f t="shared" ca="1" si="38"/>
        <v>12388.425642824073</v>
      </c>
      <c r="AE383" s="76">
        <f t="shared" si="39"/>
        <v>0</v>
      </c>
      <c r="AF383" s="75">
        <f t="shared" si="34"/>
        <v>0</v>
      </c>
      <c r="AG383" s="75">
        <f t="shared" si="35"/>
        <v>0</v>
      </c>
      <c r="AH383" s="31" t="e" cm="1">
        <f t="array" aca="1" ref="AH383" ca="1">IF((AD383) &lt; (INDEX(ResponseSLA[#All],(MATCH((G383),ResponseSLA[Priority],0))+1,3)),"YES","No")</f>
        <v>#N/A</v>
      </c>
      <c r="AI383" s="31" t="str">
        <f>_xlfn.IFNA(IF(AE383 &lt; (INDEX(SLATable[Minimum SLA],MATCH(G383,SLATable[Priority],0))),"YES","NO"),"")</f>
        <v/>
      </c>
      <c r="AJ383" t="str">
        <f>_xlfn.IFNA(IF(AE383 &lt; (INDEX(SLATable[Maximum SLA],MATCH(G383,SLATable[Priority],0))),"YES","NO"),"")</f>
        <v/>
      </c>
    </row>
    <row r="384" spans="26:36" ht="15" customHeight="1">
      <c r="Z384" s="76" t="e">
        <f t="shared" ca="1" si="36"/>
        <v>#N/A</v>
      </c>
      <c r="AA384" s="75" t="e">
        <f t="shared" ca="1" si="32"/>
        <v>#N/A</v>
      </c>
      <c r="AB384" s="76">
        <f t="shared" ca="1" si="37"/>
        <v>0</v>
      </c>
      <c r="AC384" s="75">
        <f t="shared" ca="1" si="33"/>
        <v>0</v>
      </c>
      <c r="AD384" s="76">
        <f t="shared" ca="1" si="38"/>
        <v>12388.425642824073</v>
      </c>
      <c r="AE384" s="76">
        <f t="shared" si="39"/>
        <v>0</v>
      </c>
      <c r="AF384" s="75">
        <f t="shared" si="34"/>
        <v>0</v>
      </c>
      <c r="AG384" s="75">
        <f t="shared" si="35"/>
        <v>0</v>
      </c>
      <c r="AH384" s="31" t="e" cm="1">
        <f t="array" aca="1" ref="AH384" ca="1">IF((AD384) &lt; (INDEX(ResponseSLA[#All],(MATCH((G384),ResponseSLA[Priority],0))+1,3)),"YES","No")</f>
        <v>#N/A</v>
      </c>
      <c r="AI384" s="31" t="str">
        <f>_xlfn.IFNA(IF(AE384 &lt; (INDEX(SLATable[Minimum SLA],MATCH(G384,SLATable[Priority],0))),"YES","NO"),"")</f>
        <v/>
      </c>
      <c r="AJ384" t="str">
        <f>_xlfn.IFNA(IF(AE384 &lt; (INDEX(SLATable[Maximum SLA],MATCH(G384,SLATable[Priority],0))),"YES","NO"),"")</f>
        <v/>
      </c>
    </row>
    <row r="385" spans="26:36" ht="15" customHeight="1">
      <c r="Z385" s="76" t="e">
        <f t="shared" ca="1" si="36"/>
        <v>#N/A</v>
      </c>
      <c r="AA385" s="75" t="e">
        <f t="shared" ref="AA385:AA448" ca="1" si="40">(Z385*24)/9</f>
        <v>#N/A</v>
      </c>
      <c r="AB385" s="76">
        <f t="shared" ca="1" si="37"/>
        <v>0</v>
      </c>
      <c r="AC385" s="75">
        <f t="shared" ref="AC385:AC448" ca="1" si="41">(AB385*24)/9</f>
        <v>0</v>
      </c>
      <c r="AD385" s="76">
        <f t="shared" ca="1" si="38"/>
        <v>12388.425642824073</v>
      </c>
      <c r="AE385" s="76">
        <f t="shared" si="39"/>
        <v>0</v>
      </c>
      <c r="AF385" s="75">
        <f t="shared" ref="AF385:AF448" si="42">(AE385*24)/9</f>
        <v>0</v>
      </c>
      <c r="AG385" s="75">
        <f t="shared" ref="AG385:AG448" si="43">AF385</f>
        <v>0</v>
      </c>
      <c r="AH385" s="31" t="e" cm="1">
        <f t="array" aca="1" ref="AH385" ca="1">IF((AD385) &lt; (INDEX(ResponseSLA[#All],(MATCH((G385),ResponseSLA[Priority],0))+1,3)),"YES","No")</f>
        <v>#N/A</v>
      </c>
      <c r="AI385" s="31" t="str">
        <f>_xlfn.IFNA(IF(AE385 &lt; (INDEX(SLATable[Minimum SLA],MATCH(G385,SLATable[Priority],0))),"YES","NO"),"")</f>
        <v/>
      </c>
      <c r="AJ385" t="str">
        <f>_xlfn.IFNA(IF(AE385 &lt; (INDEX(SLATable[Maximum SLA],MATCH(G385,SLATable[Priority],0))),"YES","NO"),"")</f>
        <v/>
      </c>
    </row>
    <row r="386" spans="26:36" ht="15" customHeight="1">
      <c r="Z386" s="76" t="e">
        <f t="shared" ca="1" si="36"/>
        <v>#N/A</v>
      </c>
      <c r="AA386" s="75" t="e">
        <f t="shared" ca="1" si="40"/>
        <v>#N/A</v>
      </c>
      <c r="AB386" s="76">
        <f t="shared" ca="1" si="37"/>
        <v>0</v>
      </c>
      <c r="AC386" s="75">
        <f t="shared" ca="1" si="41"/>
        <v>0</v>
      </c>
      <c r="AD386" s="76">
        <f t="shared" ca="1" si="38"/>
        <v>12388.425642824073</v>
      </c>
      <c r="AE386" s="76">
        <f t="shared" si="39"/>
        <v>0</v>
      </c>
      <c r="AF386" s="75">
        <f t="shared" si="42"/>
        <v>0</v>
      </c>
      <c r="AG386" s="75">
        <f t="shared" si="43"/>
        <v>0</v>
      </c>
      <c r="AH386" s="31" t="e" cm="1">
        <f t="array" aca="1" ref="AH386" ca="1">IF((AD386) &lt; (INDEX(ResponseSLA[#All],(MATCH((G386),ResponseSLA[Priority],0))+1,3)),"YES","No")</f>
        <v>#N/A</v>
      </c>
      <c r="AI386" s="31" t="str">
        <f>_xlfn.IFNA(IF(AE386 &lt; (INDEX(SLATable[Minimum SLA],MATCH(G386,SLATable[Priority],0))),"YES","NO"),"")</f>
        <v/>
      </c>
      <c r="AJ386" t="str">
        <f>_xlfn.IFNA(IF(AE386 &lt; (INDEX(SLATable[Maximum SLA],MATCH(G386,SLATable[Priority],0))),"YES","NO"),"")</f>
        <v/>
      </c>
    </row>
    <row r="387" spans="26:36" ht="15" customHeight="1">
      <c r="Z387" s="76" t="e">
        <f t="shared" ref="Z387:Z450" ca="1" si="44">IF(NOT(OR(G387=1,G387=2)),MAX(0,_xlfn.IFS(AND(K387&lt;&gt;"",N387&lt;&gt;""),((MAX(NETWORKDAYS(K387,N387,UKBankHolidays)-1,0))*(TIME(17,0,0)-TIME(8,0,0))+IF(NETWORKDAYS(N387,N387,UKBankHolidays)&gt;0,MEDIAN(TIME(8,0,0),MOD(N387,1),TIME(17,0,0)),TIME(8,0,0))-IF(NETWORKDAYS(K387,K387,UKBankHolidays)&gt;0,MEDIAN(TIME(8,0,0),MOD(K387,1),TIME(17,0,0)),TIME(8,0,0)))-IF(AND(O387&lt;&gt;"",P387&lt;&gt;""),((MAX(NETWORKDAYS(O387,P387,UKBankHolidays)-1,0))*(TIME(17,0,0)-TIME(8,0,0))+IF(NETWORKDAYS(P387,P387,UKBankHolidays)&gt;0,MEDIAN(TIME(8,0,0),MOD(P387,1),TIME(17,0,0)),TIME(8,0,0))-IF(NETWORKDAYS(O387,O387,UKBankHolidays)&gt;0,MEDIAN(TIME(8,0,0),MOD(O387,1),TIME(17,0,0)),TIME(8,0,0))),0),AND(K387&lt;&gt;"",N387=""),((MAX(NETWORKDAYS(K387,NOW(),UKBankHolidays)-1,0))*(TIME(17,0,0)-TIME(8,0,0))+IF(NETWORKDAYS(NOW(),NOW(),UKBankHolidays)&gt;0,MEDIAN(TIME(8,0,0),MOD(NOW(),1),TIME(17,0,0)),TIME(8,0,0))-IF(NETWORKDAYS(K387,K387,UKBankHolidays)&gt;0,MEDIAN(TIME(8,0,0),MOD(K387,1),TIME(17,0,0)),TIME(8,0,0))))),IF(N387="",NOW()-K387,N387-K387))</f>
        <v>#N/A</v>
      </c>
      <c r="AA387" s="75" t="e">
        <f t="shared" ca="1" si="40"/>
        <v>#N/A</v>
      </c>
      <c r="AB387" s="76">
        <f t="shared" ref="AB387:AB450" ca="1" si="45">IF(NOT(OR(G387=1,G387=2)),MAX(0,_xlfn.IFS(AND(K387&lt;&gt;"",N387&lt;&gt;""),(((MAX(NETWORKDAYS(L387,N387,UKBankHolidays)-1,0))*(TIME(17,0,0)-TIME(8,0,0)))+IF(NETWORKDAYS(N387,N387,UKBankHolidays)&gt;0,MEDIAN(TIME(8,0,0),MOD(N387,1),TIME(17,0,0)),TIME(8,0,0))-IF(NETWORKDAYS(L387,L387,UKBankHolidays)&gt;0,MEDIAN(TIME(8,0,0),MOD(L387,1),TIME(17,0,0)),TIME(8,0,0)))-IF(AND(O387&lt;&gt;"",P387&lt;&gt;""),(((MAX(NETWORKDAYS(O387,P387,UKBankHolidays)-1,0))*(TIME(17,0,0)-TIME(8,0,0)))+IF(NETWORKDAYS(P387,P387,UKBankHolidays)&gt;0,MEDIAN(TIME(8,0,0),MOD(P387,1),TIME(17,0,0)),TIME(8,0,0))-IF(NETWORKDAYS(O387,O387,UKBankHolidays)&gt;0,MEDIAN(TIME(8,0,0),MOD(O387,1),TIME(17,0,0)),TIME(8,0,0))),0),AND(L387&lt;&gt;"",N387="",O387=""),(((MAX(NETWORKDAYS(L387,NOW(),UKBankHolidays)-1,0))*(TIME(17,0,0)-TIME(8,0,0)))+IF(NETWORKDAYS(NOW(),NOW(),UKBankHolidays)&gt;0,MEDIAN(TIME(8,0,0),MOD(NOW(),1),TIME(17,0,0)),TIME(8,0,0))-IF(NETWORKDAYS(L387,L387,UKBankHolidays)&gt;0,MEDIAN(TIME(8,0,0),MOD(L387,1),TIME(17,0,0)),TIME(8,0,0)))-IF(AND(O387&lt;&gt;"",P387&lt;&gt;""),(((MAX(NETWORKDAYS(O387,P387,UKBankHolidays)-1,0))*(TIME(17,0,0)-TIME(8,0,0)))+IF(NETWORKDAYS(P387,P387,UKBankHolidays)&gt;0,MEDIAN(TIME(8,0,0),MOD(P387,1),TIME(17,0,0)),TIME(8,0,0))-IF(NETWORKDAYS(O387,O387,UKBankHolidays)&gt;0,MEDIAN(TIME(8,0,0),MOD(O387,1),TIME(17,0,0)),TIME(8,0,0))),0),AND(L387&lt;&gt;"",N387="",P387="",O387&lt;&gt;""),(((MAX(NETWORKDAYS(L387,O387,UKBankHolidays)-1,0))*(TIME(17,0,0)-TIME(8,0,0)))+IF(NETWORKDAYS(O387,O387,UKBankHolidays)&gt;0,MEDIAN(TIME(8,0,0),MOD(O387,1),TIME(17,0,0)),TIME(8,0,0))-IF(NETWORKDAYS(L387,L387,UKBankHolidays)&gt;0,MEDIAN(TIME(8,0,0),MOD(L387,1),TIME(17,0,0)),TIME(8,0,0))),ISBLANK(K387),"0")),IF(ISBLANK(N387),NOW()-L387,N387-L387))</f>
        <v>0</v>
      </c>
      <c r="AC387" s="75">
        <f t="shared" ca="1" si="41"/>
        <v>0</v>
      </c>
      <c r="AD387" s="76">
        <f t="shared" ref="AD387:AD450" ca="1" si="46">MAX(0,IF(NOT(OR(G387=1,G387=2)),IF(M387&lt;&gt;"",((MAX(NETWORKDAYS(L387,M387,UKBankHolidays)-1,0))*(TIME(17,0,0)-TIME(8,0,0))+IF(NETWORKDAYS(M387,M387,UKBankHolidays)&gt;0,MEDIAN(TIME(8,0,0),MOD(M387,1),TIME(17,0,0)),TIME(8,0,0))-MEDIAN(TIME(8,0,0),MOD(L387,1),TIME(17,0,0))),((MAX(NETWORKDAYS(L387,NOW(),UKBankHolidays)-1,0))*(TIME(17,0,0)-TIME(8,0,0))+IF(NETWORKDAYS(NOW(),NOW(),UKBankHolidays)&gt;0,MEDIAN(TIME(8,0,0),MOD(NOW(),1),TIME(17,0,0)),TIME(8,0,0))-MEDIAN(TIME(8,0,0),MOD(L387,1),TIME(17,0,0)))),IF(M387&lt;&gt;"",M387-L387,NOW()-L387)))</f>
        <v>12388.425642824073</v>
      </c>
      <c r="AE387" s="76">
        <f t="shared" ref="AE387:AE450" si="47">SUMIFS(AB:AB,E:E,E387)</f>
        <v>0</v>
      </c>
      <c r="AF387" s="75">
        <f t="shared" si="42"/>
        <v>0</v>
      </c>
      <c r="AG387" s="75">
        <f t="shared" si="43"/>
        <v>0</v>
      </c>
      <c r="AH387" s="31" t="e" cm="1">
        <f t="array" aca="1" ref="AH387" ca="1">IF((AD387) &lt; (INDEX(ResponseSLA[#All],(MATCH((G387),ResponseSLA[Priority],0))+1,3)),"YES","No")</f>
        <v>#N/A</v>
      </c>
      <c r="AI387" s="31" t="str">
        <f>_xlfn.IFNA(IF(AE387 &lt; (INDEX(SLATable[Minimum SLA],MATCH(G387,SLATable[Priority],0))),"YES","NO"),"")</f>
        <v/>
      </c>
      <c r="AJ387" t="str">
        <f>_xlfn.IFNA(IF(AE387 &lt; (INDEX(SLATable[Maximum SLA],MATCH(G387,SLATable[Priority],0))),"YES","NO"),"")</f>
        <v/>
      </c>
    </row>
    <row r="388" spans="26:36" ht="15" customHeight="1">
      <c r="Z388" s="76" t="e">
        <f t="shared" ca="1" si="44"/>
        <v>#N/A</v>
      </c>
      <c r="AA388" s="75" t="e">
        <f t="shared" ca="1" si="40"/>
        <v>#N/A</v>
      </c>
      <c r="AB388" s="76">
        <f t="shared" ca="1" si="45"/>
        <v>0</v>
      </c>
      <c r="AC388" s="75">
        <f t="shared" ca="1" si="41"/>
        <v>0</v>
      </c>
      <c r="AD388" s="76">
        <f t="shared" ca="1" si="46"/>
        <v>12388.425642824073</v>
      </c>
      <c r="AE388" s="76">
        <f t="shared" si="47"/>
        <v>0</v>
      </c>
      <c r="AF388" s="75">
        <f t="shared" si="42"/>
        <v>0</v>
      </c>
      <c r="AG388" s="75">
        <f t="shared" si="43"/>
        <v>0</v>
      </c>
      <c r="AH388" s="31" t="e" cm="1">
        <f t="array" aca="1" ref="AH388" ca="1">IF((AD388) &lt; (INDEX(ResponseSLA[#All],(MATCH((G388),ResponseSLA[Priority],0))+1,3)),"YES","No")</f>
        <v>#N/A</v>
      </c>
      <c r="AI388" s="31" t="str">
        <f>_xlfn.IFNA(IF(AE388 &lt; (INDEX(SLATable[Minimum SLA],MATCH(G388,SLATable[Priority],0))),"YES","NO"),"")</f>
        <v/>
      </c>
      <c r="AJ388" t="str">
        <f>_xlfn.IFNA(IF(AE388 &lt; (INDEX(SLATable[Maximum SLA],MATCH(G388,SLATable[Priority],0))),"YES","NO"),"")</f>
        <v/>
      </c>
    </row>
    <row r="389" spans="26:36" ht="15" customHeight="1">
      <c r="Z389" s="76" t="e">
        <f t="shared" ca="1" si="44"/>
        <v>#N/A</v>
      </c>
      <c r="AA389" s="75" t="e">
        <f t="shared" ca="1" si="40"/>
        <v>#N/A</v>
      </c>
      <c r="AB389" s="76">
        <f t="shared" ca="1" si="45"/>
        <v>0</v>
      </c>
      <c r="AC389" s="75">
        <f t="shared" ca="1" si="41"/>
        <v>0</v>
      </c>
      <c r="AD389" s="76">
        <f t="shared" ca="1" si="46"/>
        <v>12388.425642824073</v>
      </c>
      <c r="AE389" s="76">
        <f t="shared" si="47"/>
        <v>0</v>
      </c>
      <c r="AF389" s="75">
        <f t="shared" si="42"/>
        <v>0</v>
      </c>
      <c r="AG389" s="75">
        <f t="shared" si="43"/>
        <v>0</v>
      </c>
      <c r="AH389" s="31" t="e" cm="1">
        <f t="array" aca="1" ref="AH389" ca="1">IF((AD389) &lt; (INDEX(ResponseSLA[#All],(MATCH((G389),ResponseSLA[Priority],0))+1,3)),"YES","No")</f>
        <v>#N/A</v>
      </c>
      <c r="AI389" s="31" t="str">
        <f>_xlfn.IFNA(IF(AE389 &lt; (INDEX(SLATable[Minimum SLA],MATCH(G389,SLATable[Priority],0))),"YES","NO"),"")</f>
        <v/>
      </c>
      <c r="AJ389" t="str">
        <f>_xlfn.IFNA(IF(AE389 &lt; (INDEX(SLATable[Maximum SLA],MATCH(G389,SLATable[Priority],0))),"YES","NO"),"")</f>
        <v/>
      </c>
    </row>
    <row r="390" spans="26:36" ht="15" customHeight="1">
      <c r="Z390" s="76" t="e">
        <f t="shared" ca="1" si="44"/>
        <v>#N/A</v>
      </c>
      <c r="AA390" s="75" t="e">
        <f t="shared" ca="1" si="40"/>
        <v>#N/A</v>
      </c>
      <c r="AB390" s="76">
        <f t="shared" ca="1" si="45"/>
        <v>0</v>
      </c>
      <c r="AC390" s="75">
        <f t="shared" ca="1" si="41"/>
        <v>0</v>
      </c>
      <c r="AD390" s="76">
        <f t="shared" ca="1" si="46"/>
        <v>12388.425642824073</v>
      </c>
      <c r="AE390" s="76">
        <f t="shared" si="47"/>
        <v>0</v>
      </c>
      <c r="AF390" s="75">
        <f t="shared" si="42"/>
        <v>0</v>
      </c>
      <c r="AG390" s="75">
        <f t="shared" si="43"/>
        <v>0</v>
      </c>
      <c r="AH390" s="31" t="e" cm="1">
        <f t="array" aca="1" ref="AH390" ca="1">IF((AD390) &lt; (INDEX(ResponseSLA[#All],(MATCH((G390),ResponseSLA[Priority],0))+1,3)),"YES","No")</f>
        <v>#N/A</v>
      </c>
      <c r="AI390" s="31" t="str">
        <f>_xlfn.IFNA(IF(AE390 &lt; (INDEX(SLATable[Minimum SLA],MATCH(G390,SLATable[Priority],0))),"YES","NO"),"")</f>
        <v/>
      </c>
      <c r="AJ390" t="str">
        <f>_xlfn.IFNA(IF(AE390 &lt; (INDEX(SLATable[Maximum SLA],MATCH(G390,SLATable[Priority],0))),"YES","NO"),"")</f>
        <v/>
      </c>
    </row>
    <row r="391" spans="26:36" ht="15" customHeight="1">
      <c r="Z391" s="76" t="e">
        <f t="shared" ca="1" si="44"/>
        <v>#N/A</v>
      </c>
      <c r="AA391" s="75" t="e">
        <f t="shared" ca="1" si="40"/>
        <v>#N/A</v>
      </c>
      <c r="AB391" s="76">
        <f t="shared" ca="1" si="45"/>
        <v>0</v>
      </c>
      <c r="AC391" s="75">
        <f t="shared" ca="1" si="41"/>
        <v>0</v>
      </c>
      <c r="AD391" s="76">
        <f t="shared" ca="1" si="46"/>
        <v>12388.425642824073</v>
      </c>
      <c r="AE391" s="76">
        <f t="shared" si="47"/>
        <v>0</v>
      </c>
      <c r="AF391" s="75">
        <f t="shared" si="42"/>
        <v>0</v>
      </c>
      <c r="AG391" s="75">
        <f t="shared" si="43"/>
        <v>0</v>
      </c>
      <c r="AH391" s="31" t="e" cm="1">
        <f t="array" aca="1" ref="AH391" ca="1">IF((AD391) &lt; (INDEX(ResponseSLA[#All],(MATCH((G391),ResponseSLA[Priority],0))+1,3)),"YES","No")</f>
        <v>#N/A</v>
      </c>
      <c r="AI391" s="31" t="str">
        <f>_xlfn.IFNA(IF(AE391 &lt; (INDEX(SLATable[Minimum SLA],MATCH(G391,SLATable[Priority],0))),"YES","NO"),"")</f>
        <v/>
      </c>
      <c r="AJ391" t="str">
        <f>_xlfn.IFNA(IF(AE391 &lt; (INDEX(SLATable[Maximum SLA],MATCH(G391,SLATable[Priority],0))),"YES","NO"),"")</f>
        <v/>
      </c>
    </row>
    <row r="392" spans="26:36" ht="15" customHeight="1">
      <c r="Z392" s="76" t="e">
        <f t="shared" ca="1" si="44"/>
        <v>#N/A</v>
      </c>
      <c r="AA392" s="75" t="e">
        <f t="shared" ca="1" si="40"/>
        <v>#N/A</v>
      </c>
      <c r="AB392" s="76">
        <f t="shared" ca="1" si="45"/>
        <v>0</v>
      </c>
      <c r="AC392" s="75">
        <f t="shared" ca="1" si="41"/>
        <v>0</v>
      </c>
      <c r="AD392" s="76">
        <f t="shared" ca="1" si="46"/>
        <v>12388.425643055558</v>
      </c>
      <c r="AE392" s="76">
        <f t="shared" si="47"/>
        <v>0</v>
      </c>
      <c r="AF392" s="75">
        <f t="shared" si="42"/>
        <v>0</v>
      </c>
      <c r="AG392" s="75">
        <f t="shared" si="43"/>
        <v>0</v>
      </c>
      <c r="AH392" s="31" t="e" cm="1">
        <f t="array" aca="1" ref="AH392" ca="1">IF((AD392) &lt; (INDEX(ResponseSLA[#All],(MATCH((G392),ResponseSLA[Priority],0))+1,3)),"YES","No")</f>
        <v>#N/A</v>
      </c>
      <c r="AI392" s="31" t="str">
        <f>_xlfn.IFNA(IF(AE392 &lt; (INDEX(SLATable[Minimum SLA],MATCH(G392,SLATable[Priority],0))),"YES","NO"),"")</f>
        <v/>
      </c>
      <c r="AJ392" t="str">
        <f>_xlfn.IFNA(IF(AE392 &lt; (INDEX(SLATable[Maximum SLA],MATCH(G392,SLATable[Priority],0))),"YES","NO"),"")</f>
        <v/>
      </c>
    </row>
    <row r="393" spans="26:36" ht="15" customHeight="1">
      <c r="Z393" s="76" t="e">
        <f t="shared" ca="1" si="44"/>
        <v>#N/A</v>
      </c>
      <c r="AA393" s="75" t="e">
        <f t="shared" ca="1" si="40"/>
        <v>#N/A</v>
      </c>
      <c r="AB393" s="76">
        <f t="shared" ca="1" si="45"/>
        <v>0</v>
      </c>
      <c r="AC393" s="75">
        <f t="shared" ca="1" si="41"/>
        <v>0</v>
      </c>
      <c r="AD393" s="76">
        <f t="shared" ca="1" si="46"/>
        <v>12388.425642824073</v>
      </c>
      <c r="AE393" s="76">
        <f t="shared" si="47"/>
        <v>0</v>
      </c>
      <c r="AF393" s="75">
        <f t="shared" si="42"/>
        <v>0</v>
      </c>
      <c r="AG393" s="75">
        <f t="shared" si="43"/>
        <v>0</v>
      </c>
      <c r="AH393" s="31" t="e" cm="1">
        <f t="array" aca="1" ref="AH393" ca="1">IF((AD393) &lt; (INDEX(ResponseSLA[#All],(MATCH((G393),ResponseSLA[Priority],0))+1,3)),"YES","No")</f>
        <v>#N/A</v>
      </c>
      <c r="AI393" s="31" t="str">
        <f>_xlfn.IFNA(IF(AE393 &lt; (INDEX(SLATable[Minimum SLA],MATCH(G393,SLATable[Priority],0))),"YES","NO"),"")</f>
        <v/>
      </c>
      <c r="AJ393" t="str">
        <f>_xlfn.IFNA(IF(AE393 &lt; (INDEX(SLATable[Maximum SLA],MATCH(G393,SLATable[Priority],0))),"YES","NO"),"")</f>
        <v/>
      </c>
    </row>
    <row r="394" spans="26:36" ht="15" customHeight="1">
      <c r="Z394" s="76" t="e">
        <f t="shared" ca="1" si="44"/>
        <v>#N/A</v>
      </c>
      <c r="AA394" s="75" t="e">
        <f t="shared" ca="1" si="40"/>
        <v>#N/A</v>
      </c>
      <c r="AB394" s="76">
        <f t="shared" ca="1" si="45"/>
        <v>0</v>
      </c>
      <c r="AC394" s="75">
        <f t="shared" ca="1" si="41"/>
        <v>0</v>
      </c>
      <c r="AD394" s="76">
        <f t="shared" ca="1" si="46"/>
        <v>12388.425642824073</v>
      </c>
      <c r="AE394" s="76">
        <f t="shared" si="47"/>
        <v>0</v>
      </c>
      <c r="AF394" s="75">
        <f t="shared" si="42"/>
        <v>0</v>
      </c>
      <c r="AG394" s="75">
        <f t="shared" si="43"/>
        <v>0</v>
      </c>
      <c r="AH394" s="31" t="e" cm="1">
        <f t="array" aca="1" ref="AH394" ca="1">IF((AD394) &lt; (INDEX(ResponseSLA[#All],(MATCH((G394),ResponseSLA[Priority],0))+1,3)),"YES","No")</f>
        <v>#N/A</v>
      </c>
      <c r="AI394" s="31" t="str">
        <f>_xlfn.IFNA(IF(AE394 &lt; (INDEX(SLATable[Minimum SLA],MATCH(G394,SLATable[Priority],0))),"YES","NO"),"")</f>
        <v/>
      </c>
      <c r="AJ394" t="str">
        <f>_xlfn.IFNA(IF(AE394 &lt; (INDEX(SLATable[Maximum SLA],MATCH(G394,SLATable[Priority],0))),"YES","NO"),"")</f>
        <v/>
      </c>
    </row>
    <row r="395" spans="26:36" ht="15" customHeight="1">
      <c r="Z395" s="76" t="e">
        <f t="shared" ca="1" si="44"/>
        <v>#N/A</v>
      </c>
      <c r="AA395" s="75" t="e">
        <f t="shared" ca="1" si="40"/>
        <v>#N/A</v>
      </c>
      <c r="AB395" s="76">
        <f t="shared" ca="1" si="45"/>
        <v>0</v>
      </c>
      <c r="AC395" s="75">
        <f t="shared" ca="1" si="41"/>
        <v>0</v>
      </c>
      <c r="AD395" s="76">
        <f t="shared" ca="1" si="46"/>
        <v>12388.425643055558</v>
      </c>
      <c r="AE395" s="76">
        <f t="shared" si="47"/>
        <v>0</v>
      </c>
      <c r="AF395" s="75">
        <f t="shared" si="42"/>
        <v>0</v>
      </c>
      <c r="AG395" s="75">
        <f t="shared" si="43"/>
        <v>0</v>
      </c>
      <c r="AH395" s="31" t="e" cm="1">
        <f t="array" aca="1" ref="AH395" ca="1">IF((AD395) &lt; (INDEX(ResponseSLA[#All],(MATCH((G395),ResponseSLA[Priority],0))+1,3)),"YES","No")</f>
        <v>#N/A</v>
      </c>
      <c r="AI395" s="31" t="str">
        <f>_xlfn.IFNA(IF(AE395 &lt; (INDEX(SLATable[Minimum SLA],MATCH(G395,SLATable[Priority],0))),"YES","NO"),"")</f>
        <v/>
      </c>
      <c r="AJ395" t="str">
        <f>_xlfn.IFNA(IF(AE395 &lt; (INDEX(SLATable[Maximum SLA],MATCH(G395,SLATable[Priority],0))),"YES","NO"),"")</f>
        <v/>
      </c>
    </row>
    <row r="396" spans="26:36" ht="15" customHeight="1">
      <c r="Z396" s="76" t="e">
        <f t="shared" ca="1" si="44"/>
        <v>#N/A</v>
      </c>
      <c r="AA396" s="75" t="e">
        <f t="shared" ca="1" si="40"/>
        <v>#N/A</v>
      </c>
      <c r="AB396" s="76">
        <f t="shared" ca="1" si="45"/>
        <v>0</v>
      </c>
      <c r="AC396" s="75">
        <f t="shared" ca="1" si="41"/>
        <v>0</v>
      </c>
      <c r="AD396" s="76">
        <f t="shared" ca="1" si="46"/>
        <v>12388.425642824073</v>
      </c>
      <c r="AE396" s="76">
        <f t="shared" si="47"/>
        <v>0</v>
      </c>
      <c r="AF396" s="75">
        <f t="shared" si="42"/>
        <v>0</v>
      </c>
      <c r="AG396" s="75">
        <f t="shared" si="43"/>
        <v>0</v>
      </c>
      <c r="AH396" s="31" t="e" cm="1">
        <f t="array" aca="1" ref="AH396" ca="1">IF((AD396) &lt; (INDEX(ResponseSLA[#All],(MATCH((G396),ResponseSLA[Priority],0))+1,3)),"YES","No")</f>
        <v>#N/A</v>
      </c>
      <c r="AI396" s="31" t="str">
        <f>_xlfn.IFNA(IF(AE396 &lt; (INDEX(SLATable[Minimum SLA],MATCH(G396,SLATable[Priority],0))),"YES","NO"),"")</f>
        <v/>
      </c>
      <c r="AJ396" t="str">
        <f>_xlfn.IFNA(IF(AE396 &lt; (INDEX(SLATable[Maximum SLA],MATCH(G396,SLATable[Priority],0))),"YES","NO"),"")</f>
        <v/>
      </c>
    </row>
    <row r="397" spans="26:36" ht="15" customHeight="1">
      <c r="Z397" s="76" t="e">
        <f t="shared" ca="1" si="44"/>
        <v>#N/A</v>
      </c>
      <c r="AA397" s="75" t="e">
        <f t="shared" ca="1" si="40"/>
        <v>#N/A</v>
      </c>
      <c r="AB397" s="76">
        <f t="shared" ca="1" si="45"/>
        <v>0</v>
      </c>
      <c r="AC397" s="75">
        <f t="shared" ca="1" si="41"/>
        <v>0</v>
      </c>
      <c r="AD397" s="76">
        <f t="shared" ca="1" si="46"/>
        <v>12388.425642824073</v>
      </c>
      <c r="AE397" s="76">
        <f t="shared" si="47"/>
        <v>0</v>
      </c>
      <c r="AF397" s="75">
        <f t="shared" si="42"/>
        <v>0</v>
      </c>
      <c r="AG397" s="75">
        <f t="shared" si="43"/>
        <v>0</v>
      </c>
      <c r="AH397" s="31" t="e" cm="1">
        <f t="array" aca="1" ref="AH397" ca="1">IF((AD397) &lt; (INDEX(ResponseSLA[#All],(MATCH((G397),ResponseSLA[Priority],0))+1,3)),"YES","No")</f>
        <v>#N/A</v>
      </c>
      <c r="AI397" s="31" t="str">
        <f>_xlfn.IFNA(IF(AE397 &lt; (INDEX(SLATable[Minimum SLA],MATCH(G397,SLATable[Priority],0))),"YES","NO"),"")</f>
        <v/>
      </c>
      <c r="AJ397" t="str">
        <f>_xlfn.IFNA(IF(AE397 &lt; (INDEX(SLATable[Maximum SLA],MATCH(G397,SLATable[Priority],0))),"YES","NO"),"")</f>
        <v/>
      </c>
    </row>
    <row r="398" spans="26:36" ht="15" customHeight="1">
      <c r="Z398" s="76" t="e">
        <f t="shared" ca="1" si="44"/>
        <v>#N/A</v>
      </c>
      <c r="AA398" s="75" t="e">
        <f t="shared" ca="1" si="40"/>
        <v>#N/A</v>
      </c>
      <c r="AB398" s="76">
        <f t="shared" ca="1" si="45"/>
        <v>0</v>
      </c>
      <c r="AC398" s="75">
        <f t="shared" ca="1" si="41"/>
        <v>0</v>
      </c>
      <c r="AD398" s="76">
        <f t="shared" ca="1" si="46"/>
        <v>12388.425643055558</v>
      </c>
      <c r="AE398" s="76">
        <f t="shared" si="47"/>
        <v>0</v>
      </c>
      <c r="AF398" s="75">
        <f t="shared" si="42"/>
        <v>0</v>
      </c>
      <c r="AG398" s="75">
        <f t="shared" si="43"/>
        <v>0</v>
      </c>
      <c r="AH398" s="31" t="e" cm="1">
        <f t="array" aca="1" ref="AH398" ca="1">IF((AD398) &lt; (INDEX(ResponseSLA[#All],(MATCH((G398),ResponseSLA[Priority],0))+1,3)),"YES","No")</f>
        <v>#N/A</v>
      </c>
      <c r="AI398" s="31" t="str">
        <f>_xlfn.IFNA(IF(AE398 &lt; (INDEX(SLATable[Minimum SLA],MATCH(G398,SLATable[Priority],0))),"YES","NO"),"")</f>
        <v/>
      </c>
      <c r="AJ398" t="str">
        <f>_xlfn.IFNA(IF(AE398 &lt; (INDEX(SLATable[Maximum SLA],MATCH(G398,SLATable[Priority],0))),"YES","NO"),"")</f>
        <v/>
      </c>
    </row>
    <row r="399" spans="26:36" ht="15" customHeight="1">
      <c r="Z399" s="76" t="e">
        <f t="shared" ca="1" si="44"/>
        <v>#N/A</v>
      </c>
      <c r="AA399" s="75" t="e">
        <f t="shared" ca="1" si="40"/>
        <v>#N/A</v>
      </c>
      <c r="AB399" s="76">
        <f t="shared" ca="1" si="45"/>
        <v>0</v>
      </c>
      <c r="AC399" s="75">
        <f t="shared" ca="1" si="41"/>
        <v>0</v>
      </c>
      <c r="AD399" s="76">
        <f t="shared" ca="1" si="46"/>
        <v>12388.425642824073</v>
      </c>
      <c r="AE399" s="76">
        <f t="shared" si="47"/>
        <v>0</v>
      </c>
      <c r="AF399" s="75">
        <f t="shared" si="42"/>
        <v>0</v>
      </c>
      <c r="AG399" s="75">
        <f t="shared" si="43"/>
        <v>0</v>
      </c>
      <c r="AH399" s="31" t="e" cm="1">
        <f t="array" aca="1" ref="AH399" ca="1">IF((AD399) &lt; (INDEX(ResponseSLA[#All],(MATCH((G399),ResponseSLA[Priority],0))+1,3)),"YES","No")</f>
        <v>#N/A</v>
      </c>
      <c r="AI399" s="31" t="str">
        <f>_xlfn.IFNA(IF(AE399 &lt; (INDEX(SLATable[Minimum SLA],MATCH(G399,SLATable[Priority],0))),"YES","NO"),"")</f>
        <v/>
      </c>
      <c r="AJ399" t="str">
        <f>_xlfn.IFNA(IF(AE399 &lt; (INDEX(SLATable[Maximum SLA],MATCH(G399,SLATable[Priority],0))),"YES","NO"),"")</f>
        <v/>
      </c>
    </row>
    <row r="400" spans="26:36" ht="15" customHeight="1">
      <c r="Z400" s="76" t="e">
        <f t="shared" ca="1" si="44"/>
        <v>#N/A</v>
      </c>
      <c r="AA400" s="75" t="e">
        <f t="shared" ca="1" si="40"/>
        <v>#N/A</v>
      </c>
      <c r="AB400" s="76">
        <f t="shared" ca="1" si="45"/>
        <v>0</v>
      </c>
      <c r="AC400" s="75">
        <f t="shared" ca="1" si="41"/>
        <v>0</v>
      </c>
      <c r="AD400" s="76">
        <f t="shared" ca="1" si="46"/>
        <v>12388.425642824073</v>
      </c>
      <c r="AE400" s="76">
        <f t="shared" si="47"/>
        <v>0</v>
      </c>
      <c r="AF400" s="75">
        <f t="shared" si="42"/>
        <v>0</v>
      </c>
      <c r="AG400" s="75">
        <f t="shared" si="43"/>
        <v>0</v>
      </c>
      <c r="AH400" s="31" t="e" cm="1">
        <f t="array" aca="1" ref="AH400" ca="1">IF((AD400) &lt; (INDEX(ResponseSLA[#All],(MATCH((G400),ResponseSLA[Priority],0))+1,3)),"YES","No")</f>
        <v>#N/A</v>
      </c>
      <c r="AI400" s="31" t="str">
        <f>_xlfn.IFNA(IF(AE400 &lt; (INDEX(SLATable[Minimum SLA],MATCH(G400,SLATable[Priority],0))),"YES","NO"),"")</f>
        <v/>
      </c>
      <c r="AJ400" t="str">
        <f>_xlfn.IFNA(IF(AE400 &lt; (INDEX(SLATable[Maximum SLA],MATCH(G400,SLATable[Priority],0))),"YES","NO"),"")</f>
        <v/>
      </c>
    </row>
    <row r="401" spans="26:36" ht="15" customHeight="1">
      <c r="Z401" s="76" t="e">
        <f t="shared" ca="1" si="44"/>
        <v>#N/A</v>
      </c>
      <c r="AA401" s="75" t="e">
        <f t="shared" ca="1" si="40"/>
        <v>#N/A</v>
      </c>
      <c r="AB401" s="76">
        <f t="shared" ca="1" si="45"/>
        <v>0</v>
      </c>
      <c r="AC401" s="75">
        <f t="shared" ca="1" si="41"/>
        <v>0</v>
      </c>
      <c r="AD401" s="76">
        <f t="shared" ca="1" si="46"/>
        <v>12388.425643055558</v>
      </c>
      <c r="AE401" s="76">
        <f t="shared" si="47"/>
        <v>0</v>
      </c>
      <c r="AF401" s="75">
        <f t="shared" si="42"/>
        <v>0</v>
      </c>
      <c r="AG401" s="75">
        <f t="shared" si="43"/>
        <v>0</v>
      </c>
      <c r="AH401" s="31" t="e" cm="1">
        <f t="array" aca="1" ref="AH401" ca="1">IF((AD401) &lt; (INDEX(ResponseSLA[#All],(MATCH((G401),ResponseSLA[Priority],0))+1,3)),"YES","No")</f>
        <v>#N/A</v>
      </c>
      <c r="AI401" s="31" t="str">
        <f>_xlfn.IFNA(IF(AE401 &lt; (INDEX(SLATable[Minimum SLA],MATCH(G401,SLATable[Priority],0))),"YES","NO"),"")</f>
        <v/>
      </c>
      <c r="AJ401" t="str">
        <f>_xlfn.IFNA(IF(AE401 &lt; (INDEX(SLATable[Maximum SLA],MATCH(G401,SLATable[Priority],0))),"YES","NO"),"")</f>
        <v/>
      </c>
    </row>
    <row r="402" spans="26:36" ht="15" customHeight="1">
      <c r="Z402" s="76" t="e">
        <f t="shared" ca="1" si="44"/>
        <v>#N/A</v>
      </c>
      <c r="AA402" s="75" t="e">
        <f t="shared" ca="1" si="40"/>
        <v>#N/A</v>
      </c>
      <c r="AB402" s="76">
        <f t="shared" ca="1" si="45"/>
        <v>0</v>
      </c>
      <c r="AC402" s="75">
        <f t="shared" ca="1" si="41"/>
        <v>0</v>
      </c>
      <c r="AD402" s="76">
        <f t="shared" ca="1" si="46"/>
        <v>12388.425642824073</v>
      </c>
      <c r="AE402" s="76">
        <f t="shared" si="47"/>
        <v>0</v>
      </c>
      <c r="AF402" s="75">
        <f t="shared" si="42"/>
        <v>0</v>
      </c>
      <c r="AG402" s="75">
        <f t="shared" si="43"/>
        <v>0</v>
      </c>
      <c r="AH402" s="31" t="e" cm="1">
        <f t="array" aca="1" ref="AH402" ca="1">IF((AD402) &lt; (INDEX(ResponseSLA[#All],(MATCH((G402),ResponseSLA[Priority],0))+1,3)),"YES","No")</f>
        <v>#N/A</v>
      </c>
      <c r="AI402" s="31" t="str">
        <f>_xlfn.IFNA(IF(AE402 &lt; (INDEX(SLATable[Minimum SLA],MATCH(G402,SLATable[Priority],0))),"YES","NO"),"")</f>
        <v/>
      </c>
      <c r="AJ402" t="str">
        <f>_xlfn.IFNA(IF(AE402 &lt; (INDEX(SLATable[Maximum SLA],MATCH(G402,SLATable[Priority],0))),"YES","NO"),"")</f>
        <v/>
      </c>
    </row>
    <row r="403" spans="26:36" ht="15" customHeight="1">
      <c r="Z403" s="76" t="e">
        <f t="shared" ca="1" si="44"/>
        <v>#N/A</v>
      </c>
      <c r="AA403" s="75" t="e">
        <f t="shared" ca="1" si="40"/>
        <v>#N/A</v>
      </c>
      <c r="AB403" s="76">
        <f t="shared" ca="1" si="45"/>
        <v>0</v>
      </c>
      <c r="AC403" s="75">
        <f t="shared" ca="1" si="41"/>
        <v>0</v>
      </c>
      <c r="AD403" s="76">
        <f t="shared" ca="1" si="46"/>
        <v>12388.425643055558</v>
      </c>
      <c r="AE403" s="76">
        <f t="shared" si="47"/>
        <v>0</v>
      </c>
      <c r="AF403" s="75">
        <f t="shared" si="42"/>
        <v>0</v>
      </c>
      <c r="AG403" s="75">
        <f t="shared" si="43"/>
        <v>0</v>
      </c>
      <c r="AH403" s="31" t="e" cm="1">
        <f t="array" aca="1" ref="AH403" ca="1">IF((AD403) &lt; (INDEX(ResponseSLA[#All],(MATCH((G403),ResponseSLA[Priority],0))+1,3)),"YES","No")</f>
        <v>#N/A</v>
      </c>
      <c r="AI403" s="31" t="str">
        <f>_xlfn.IFNA(IF(AE403 &lt; (INDEX(SLATable[Minimum SLA],MATCH(G403,SLATable[Priority],0))),"YES","NO"),"")</f>
        <v/>
      </c>
      <c r="AJ403" t="str">
        <f>_xlfn.IFNA(IF(AE403 &lt; (INDEX(SLATable[Maximum SLA],MATCH(G403,SLATable[Priority],0))),"YES","NO"),"")</f>
        <v/>
      </c>
    </row>
    <row r="404" spans="26:36" ht="15" customHeight="1">
      <c r="Z404" s="76" t="e">
        <f t="shared" ca="1" si="44"/>
        <v>#N/A</v>
      </c>
      <c r="AA404" s="75" t="e">
        <f t="shared" ca="1" si="40"/>
        <v>#N/A</v>
      </c>
      <c r="AB404" s="76">
        <f t="shared" ca="1" si="45"/>
        <v>0</v>
      </c>
      <c r="AC404" s="75">
        <f t="shared" ca="1" si="41"/>
        <v>0</v>
      </c>
      <c r="AD404" s="76">
        <f t="shared" ca="1" si="46"/>
        <v>12388.425643055558</v>
      </c>
      <c r="AE404" s="76">
        <f t="shared" si="47"/>
        <v>0</v>
      </c>
      <c r="AF404" s="75">
        <f t="shared" si="42"/>
        <v>0</v>
      </c>
      <c r="AG404" s="75">
        <f t="shared" si="43"/>
        <v>0</v>
      </c>
      <c r="AH404" s="31" t="e" cm="1">
        <f t="array" aca="1" ref="AH404" ca="1">IF((AD404) &lt; (INDEX(ResponseSLA[#All],(MATCH((G404),ResponseSLA[Priority],0))+1,3)),"YES","No")</f>
        <v>#N/A</v>
      </c>
      <c r="AI404" s="31" t="str">
        <f>_xlfn.IFNA(IF(AE404 &lt; (INDEX(SLATable[Minimum SLA],MATCH(G404,SLATable[Priority],0))),"YES","NO"),"")</f>
        <v/>
      </c>
      <c r="AJ404" t="str">
        <f>_xlfn.IFNA(IF(AE404 &lt; (INDEX(SLATable[Maximum SLA],MATCH(G404,SLATable[Priority],0))),"YES","NO"),"")</f>
        <v/>
      </c>
    </row>
    <row r="405" spans="26:36" ht="15" customHeight="1">
      <c r="Z405" s="76" t="e">
        <f t="shared" ca="1" si="44"/>
        <v>#N/A</v>
      </c>
      <c r="AA405" s="75" t="e">
        <f t="shared" ca="1" si="40"/>
        <v>#N/A</v>
      </c>
      <c r="AB405" s="76">
        <f t="shared" ca="1" si="45"/>
        <v>0</v>
      </c>
      <c r="AC405" s="75">
        <f t="shared" ca="1" si="41"/>
        <v>0</v>
      </c>
      <c r="AD405" s="76">
        <f t="shared" ca="1" si="46"/>
        <v>12388.425642824073</v>
      </c>
      <c r="AE405" s="76">
        <f t="shared" si="47"/>
        <v>0</v>
      </c>
      <c r="AF405" s="75">
        <f t="shared" si="42"/>
        <v>0</v>
      </c>
      <c r="AG405" s="75">
        <f t="shared" si="43"/>
        <v>0</v>
      </c>
      <c r="AH405" s="31" t="e" cm="1">
        <f t="array" aca="1" ref="AH405" ca="1">IF((AD405) &lt; (INDEX(ResponseSLA[#All],(MATCH((G405),ResponseSLA[Priority],0))+1,3)),"YES","No")</f>
        <v>#N/A</v>
      </c>
      <c r="AI405" s="31" t="str">
        <f>_xlfn.IFNA(IF(AE405 &lt; (INDEX(SLATable[Minimum SLA],MATCH(G405,SLATable[Priority],0))),"YES","NO"),"")</f>
        <v/>
      </c>
      <c r="AJ405" t="str">
        <f>_xlfn.IFNA(IF(AE405 &lt; (INDEX(SLATable[Maximum SLA],MATCH(G405,SLATable[Priority],0))),"YES","NO"),"")</f>
        <v/>
      </c>
    </row>
    <row r="406" spans="26:36" ht="15" customHeight="1">
      <c r="Z406" s="76" t="e">
        <f t="shared" ca="1" si="44"/>
        <v>#N/A</v>
      </c>
      <c r="AA406" s="75" t="e">
        <f t="shared" ca="1" si="40"/>
        <v>#N/A</v>
      </c>
      <c r="AB406" s="76">
        <f t="shared" ca="1" si="45"/>
        <v>0</v>
      </c>
      <c r="AC406" s="75">
        <f t="shared" ca="1" si="41"/>
        <v>0</v>
      </c>
      <c r="AD406" s="76">
        <f t="shared" ca="1" si="46"/>
        <v>12388.425643055558</v>
      </c>
      <c r="AE406" s="76">
        <f t="shared" si="47"/>
        <v>0</v>
      </c>
      <c r="AF406" s="75">
        <f t="shared" si="42"/>
        <v>0</v>
      </c>
      <c r="AG406" s="75">
        <f t="shared" si="43"/>
        <v>0</v>
      </c>
      <c r="AH406" s="31" t="e" cm="1">
        <f t="array" aca="1" ref="AH406" ca="1">IF((AD406) &lt; (INDEX(ResponseSLA[#All],(MATCH((G406),ResponseSLA[Priority],0))+1,3)),"YES","No")</f>
        <v>#N/A</v>
      </c>
      <c r="AI406" s="31" t="str">
        <f>_xlfn.IFNA(IF(AE406 &lt; (INDEX(SLATable[Minimum SLA],MATCH(G406,SLATable[Priority],0))),"YES","NO"),"")</f>
        <v/>
      </c>
      <c r="AJ406" t="str">
        <f>_xlfn.IFNA(IF(AE406 &lt; (INDEX(SLATable[Maximum SLA],MATCH(G406,SLATable[Priority],0))),"YES","NO"),"")</f>
        <v/>
      </c>
    </row>
    <row r="407" spans="26:36" ht="15" customHeight="1">
      <c r="Z407" s="76" t="e">
        <f t="shared" ca="1" si="44"/>
        <v>#N/A</v>
      </c>
      <c r="AA407" s="75" t="e">
        <f t="shared" ca="1" si="40"/>
        <v>#N/A</v>
      </c>
      <c r="AB407" s="76">
        <f t="shared" ca="1" si="45"/>
        <v>0</v>
      </c>
      <c r="AC407" s="75">
        <f t="shared" ca="1" si="41"/>
        <v>0</v>
      </c>
      <c r="AD407" s="76">
        <f t="shared" ca="1" si="46"/>
        <v>12388.425643055558</v>
      </c>
      <c r="AE407" s="76">
        <f t="shared" si="47"/>
        <v>0</v>
      </c>
      <c r="AF407" s="75">
        <f t="shared" si="42"/>
        <v>0</v>
      </c>
      <c r="AG407" s="75">
        <f t="shared" si="43"/>
        <v>0</v>
      </c>
      <c r="AH407" s="31" t="e" cm="1">
        <f t="array" aca="1" ref="AH407" ca="1">IF((AD407) &lt; (INDEX(ResponseSLA[#All],(MATCH((G407),ResponseSLA[Priority],0))+1,3)),"YES","No")</f>
        <v>#N/A</v>
      </c>
      <c r="AI407" s="31" t="str">
        <f>_xlfn.IFNA(IF(AE407 &lt; (INDEX(SLATable[Minimum SLA],MATCH(G407,SLATable[Priority],0))),"YES","NO"),"")</f>
        <v/>
      </c>
      <c r="AJ407" t="str">
        <f>_xlfn.IFNA(IF(AE407 &lt; (INDEX(SLATable[Maximum SLA],MATCH(G407,SLATable[Priority],0))),"YES","NO"),"")</f>
        <v/>
      </c>
    </row>
    <row r="408" spans="26:36" ht="15" customHeight="1">
      <c r="Z408" s="76" t="e">
        <f t="shared" ca="1" si="44"/>
        <v>#N/A</v>
      </c>
      <c r="AA408" s="75" t="e">
        <f t="shared" ca="1" si="40"/>
        <v>#N/A</v>
      </c>
      <c r="AB408" s="76">
        <f t="shared" ca="1" si="45"/>
        <v>0</v>
      </c>
      <c r="AC408" s="75">
        <f t="shared" ca="1" si="41"/>
        <v>0</v>
      </c>
      <c r="AD408" s="76">
        <f t="shared" ca="1" si="46"/>
        <v>12388.425642824073</v>
      </c>
      <c r="AE408" s="76">
        <f t="shared" si="47"/>
        <v>0</v>
      </c>
      <c r="AF408" s="75">
        <f t="shared" si="42"/>
        <v>0</v>
      </c>
      <c r="AG408" s="75">
        <f t="shared" si="43"/>
        <v>0</v>
      </c>
      <c r="AH408" s="31" t="e" cm="1">
        <f t="array" aca="1" ref="AH408" ca="1">IF((AD408) &lt; (INDEX(ResponseSLA[#All],(MATCH((G408),ResponseSLA[Priority],0))+1,3)),"YES","No")</f>
        <v>#N/A</v>
      </c>
      <c r="AI408" s="31" t="str">
        <f>_xlfn.IFNA(IF(AE408 &lt; (INDEX(SLATable[Minimum SLA],MATCH(G408,SLATable[Priority],0))),"YES","NO"),"")</f>
        <v/>
      </c>
      <c r="AJ408" t="str">
        <f>_xlfn.IFNA(IF(AE408 &lt; (INDEX(SLATable[Maximum SLA],MATCH(G408,SLATable[Priority],0))),"YES","NO"),"")</f>
        <v/>
      </c>
    </row>
    <row r="409" spans="26:36" ht="15" customHeight="1">
      <c r="Z409" s="76" t="e">
        <f t="shared" ca="1" si="44"/>
        <v>#N/A</v>
      </c>
      <c r="AA409" s="75" t="e">
        <f t="shared" ca="1" si="40"/>
        <v>#N/A</v>
      </c>
      <c r="AB409" s="76">
        <f t="shared" ca="1" si="45"/>
        <v>0</v>
      </c>
      <c r="AC409" s="75">
        <f t="shared" ca="1" si="41"/>
        <v>0</v>
      </c>
      <c r="AD409" s="76">
        <f t="shared" ca="1" si="46"/>
        <v>12388.425643055558</v>
      </c>
      <c r="AE409" s="76">
        <f t="shared" si="47"/>
        <v>0</v>
      </c>
      <c r="AF409" s="75">
        <f t="shared" si="42"/>
        <v>0</v>
      </c>
      <c r="AG409" s="75">
        <f t="shared" si="43"/>
        <v>0</v>
      </c>
      <c r="AH409" s="31" t="e" cm="1">
        <f t="array" aca="1" ref="AH409" ca="1">IF((AD409) &lt; (INDEX(ResponseSLA[#All],(MATCH((G409),ResponseSLA[Priority],0))+1,3)),"YES","No")</f>
        <v>#N/A</v>
      </c>
      <c r="AI409" s="31" t="str">
        <f>_xlfn.IFNA(IF(AE409 &lt; (INDEX(SLATable[Minimum SLA],MATCH(G409,SLATable[Priority],0))),"YES","NO"),"")</f>
        <v/>
      </c>
      <c r="AJ409" t="str">
        <f>_xlfn.IFNA(IF(AE409 &lt; (INDEX(SLATable[Maximum SLA],MATCH(G409,SLATable[Priority],0))),"YES","NO"),"")</f>
        <v/>
      </c>
    </row>
    <row r="410" spans="26:36" ht="15" customHeight="1">
      <c r="Z410" s="76" t="e">
        <f t="shared" ca="1" si="44"/>
        <v>#N/A</v>
      </c>
      <c r="AA410" s="75" t="e">
        <f t="shared" ca="1" si="40"/>
        <v>#N/A</v>
      </c>
      <c r="AB410" s="76">
        <f t="shared" ca="1" si="45"/>
        <v>0</v>
      </c>
      <c r="AC410" s="75">
        <f t="shared" ca="1" si="41"/>
        <v>0</v>
      </c>
      <c r="AD410" s="76">
        <f t="shared" ca="1" si="46"/>
        <v>12388.425643055558</v>
      </c>
      <c r="AE410" s="76">
        <f t="shared" si="47"/>
        <v>0</v>
      </c>
      <c r="AF410" s="75">
        <f t="shared" si="42"/>
        <v>0</v>
      </c>
      <c r="AG410" s="75">
        <f t="shared" si="43"/>
        <v>0</v>
      </c>
      <c r="AH410" s="31" t="e" cm="1">
        <f t="array" aca="1" ref="AH410" ca="1">IF((AD410) &lt; (INDEX(ResponseSLA[#All],(MATCH((G410),ResponseSLA[Priority],0))+1,3)),"YES","No")</f>
        <v>#N/A</v>
      </c>
      <c r="AI410" s="31" t="str">
        <f>_xlfn.IFNA(IF(AE410 &lt; (INDEX(SLATable[Minimum SLA],MATCH(G410,SLATable[Priority],0))),"YES","NO"),"")</f>
        <v/>
      </c>
      <c r="AJ410" t="str">
        <f>_xlfn.IFNA(IF(AE410 &lt; (INDEX(SLATable[Maximum SLA],MATCH(G410,SLATable[Priority],0))),"YES","NO"),"")</f>
        <v/>
      </c>
    </row>
    <row r="411" spans="26:36" ht="15" customHeight="1">
      <c r="Z411" s="76" t="e">
        <f t="shared" ca="1" si="44"/>
        <v>#N/A</v>
      </c>
      <c r="AA411" s="75" t="e">
        <f t="shared" ca="1" si="40"/>
        <v>#N/A</v>
      </c>
      <c r="AB411" s="76">
        <f t="shared" ca="1" si="45"/>
        <v>0</v>
      </c>
      <c r="AC411" s="75">
        <f t="shared" ca="1" si="41"/>
        <v>0</v>
      </c>
      <c r="AD411" s="76">
        <f t="shared" ca="1" si="46"/>
        <v>12388.425642824073</v>
      </c>
      <c r="AE411" s="76">
        <f t="shared" si="47"/>
        <v>0</v>
      </c>
      <c r="AF411" s="75">
        <f t="shared" si="42"/>
        <v>0</v>
      </c>
      <c r="AG411" s="75">
        <f t="shared" si="43"/>
        <v>0</v>
      </c>
      <c r="AH411" s="31" t="e" cm="1">
        <f t="array" aca="1" ref="AH411" ca="1">IF((AD411) &lt; (INDEX(ResponseSLA[#All],(MATCH((G411),ResponseSLA[Priority],0))+1,3)),"YES","No")</f>
        <v>#N/A</v>
      </c>
      <c r="AI411" s="31" t="str">
        <f>_xlfn.IFNA(IF(AE411 &lt; (INDEX(SLATable[Minimum SLA],MATCH(G411,SLATable[Priority],0))),"YES","NO"),"")</f>
        <v/>
      </c>
      <c r="AJ411" t="str">
        <f>_xlfn.IFNA(IF(AE411 &lt; (INDEX(SLATable[Maximum SLA],MATCH(G411,SLATable[Priority],0))),"YES","NO"),"")</f>
        <v/>
      </c>
    </row>
    <row r="412" spans="26:36" ht="15" customHeight="1">
      <c r="Z412" s="76" t="e">
        <f t="shared" ca="1" si="44"/>
        <v>#N/A</v>
      </c>
      <c r="AA412" s="75" t="e">
        <f t="shared" ca="1" si="40"/>
        <v>#N/A</v>
      </c>
      <c r="AB412" s="76">
        <f t="shared" ca="1" si="45"/>
        <v>0</v>
      </c>
      <c r="AC412" s="75">
        <f t="shared" ca="1" si="41"/>
        <v>0</v>
      </c>
      <c r="AD412" s="76">
        <f t="shared" ca="1" si="46"/>
        <v>12388.425643055558</v>
      </c>
      <c r="AE412" s="76">
        <f t="shared" si="47"/>
        <v>0</v>
      </c>
      <c r="AF412" s="75">
        <f t="shared" si="42"/>
        <v>0</v>
      </c>
      <c r="AG412" s="75">
        <f t="shared" si="43"/>
        <v>0</v>
      </c>
      <c r="AH412" s="31" t="e" cm="1">
        <f t="array" aca="1" ref="AH412" ca="1">IF((AD412) &lt; (INDEX(ResponseSLA[#All],(MATCH((G412),ResponseSLA[Priority],0))+1,3)),"YES","No")</f>
        <v>#N/A</v>
      </c>
      <c r="AI412" s="31" t="str">
        <f>_xlfn.IFNA(IF(AE412 &lt; (INDEX(SLATable[Minimum SLA],MATCH(G412,SLATable[Priority],0))),"YES","NO"),"")</f>
        <v/>
      </c>
      <c r="AJ412" t="str">
        <f>_xlfn.IFNA(IF(AE412 &lt; (INDEX(SLATable[Maximum SLA],MATCH(G412,SLATable[Priority],0))),"YES","NO"),"")</f>
        <v/>
      </c>
    </row>
    <row r="413" spans="26:36" ht="15" customHeight="1">
      <c r="Z413" s="76" t="e">
        <f t="shared" ca="1" si="44"/>
        <v>#N/A</v>
      </c>
      <c r="AA413" s="75" t="e">
        <f t="shared" ca="1" si="40"/>
        <v>#N/A</v>
      </c>
      <c r="AB413" s="76">
        <f t="shared" ca="1" si="45"/>
        <v>0</v>
      </c>
      <c r="AC413" s="75">
        <f t="shared" ca="1" si="41"/>
        <v>0</v>
      </c>
      <c r="AD413" s="76">
        <f t="shared" ca="1" si="46"/>
        <v>12388.425643055558</v>
      </c>
      <c r="AE413" s="76">
        <f t="shared" si="47"/>
        <v>0</v>
      </c>
      <c r="AF413" s="75">
        <f t="shared" si="42"/>
        <v>0</v>
      </c>
      <c r="AG413" s="75">
        <f t="shared" si="43"/>
        <v>0</v>
      </c>
      <c r="AH413" s="31" t="e" cm="1">
        <f t="array" aca="1" ref="AH413" ca="1">IF((AD413) &lt; (INDEX(ResponseSLA[#All],(MATCH((G413),ResponseSLA[Priority],0))+1,3)),"YES","No")</f>
        <v>#N/A</v>
      </c>
      <c r="AI413" s="31" t="str">
        <f>_xlfn.IFNA(IF(AE413 &lt; (INDEX(SLATable[Minimum SLA],MATCH(G413,SLATable[Priority],0))),"YES","NO"),"")</f>
        <v/>
      </c>
      <c r="AJ413" t="str">
        <f>_xlfn.IFNA(IF(AE413 &lt; (INDEX(SLATable[Maximum SLA],MATCH(G413,SLATable[Priority],0))),"YES","NO"),"")</f>
        <v/>
      </c>
    </row>
    <row r="414" spans="26:36" ht="15" customHeight="1">
      <c r="Z414" s="76" t="e">
        <f t="shared" ca="1" si="44"/>
        <v>#N/A</v>
      </c>
      <c r="AA414" s="75" t="e">
        <f t="shared" ca="1" si="40"/>
        <v>#N/A</v>
      </c>
      <c r="AB414" s="76">
        <f t="shared" ca="1" si="45"/>
        <v>0</v>
      </c>
      <c r="AC414" s="75">
        <f t="shared" ca="1" si="41"/>
        <v>0</v>
      </c>
      <c r="AD414" s="76">
        <f t="shared" ca="1" si="46"/>
        <v>12388.425642824073</v>
      </c>
      <c r="AE414" s="76">
        <f t="shared" si="47"/>
        <v>0</v>
      </c>
      <c r="AF414" s="75">
        <f t="shared" si="42"/>
        <v>0</v>
      </c>
      <c r="AG414" s="75">
        <f t="shared" si="43"/>
        <v>0</v>
      </c>
      <c r="AH414" s="31" t="e" cm="1">
        <f t="array" aca="1" ref="AH414" ca="1">IF((AD414) &lt; (INDEX(ResponseSLA[#All],(MATCH((G414),ResponseSLA[Priority],0))+1,3)),"YES","No")</f>
        <v>#N/A</v>
      </c>
      <c r="AI414" s="31" t="str">
        <f>_xlfn.IFNA(IF(AE414 &lt; (INDEX(SLATable[Minimum SLA],MATCH(G414,SLATable[Priority],0))),"YES","NO"),"")</f>
        <v/>
      </c>
      <c r="AJ414" t="str">
        <f>_xlfn.IFNA(IF(AE414 &lt; (INDEX(SLATable[Maximum SLA],MATCH(G414,SLATable[Priority],0))),"YES","NO"),"")</f>
        <v/>
      </c>
    </row>
    <row r="415" spans="26:36" ht="15" customHeight="1">
      <c r="Z415" s="76" t="e">
        <f t="shared" ca="1" si="44"/>
        <v>#N/A</v>
      </c>
      <c r="AA415" s="75" t="e">
        <f t="shared" ca="1" si="40"/>
        <v>#N/A</v>
      </c>
      <c r="AB415" s="76">
        <f t="shared" ca="1" si="45"/>
        <v>0</v>
      </c>
      <c r="AC415" s="75">
        <f t="shared" ca="1" si="41"/>
        <v>0</v>
      </c>
      <c r="AD415" s="76">
        <f t="shared" ca="1" si="46"/>
        <v>12388.425643055558</v>
      </c>
      <c r="AE415" s="76">
        <f t="shared" si="47"/>
        <v>0</v>
      </c>
      <c r="AF415" s="75">
        <f t="shared" si="42"/>
        <v>0</v>
      </c>
      <c r="AG415" s="75">
        <f t="shared" si="43"/>
        <v>0</v>
      </c>
      <c r="AH415" s="31" t="e" cm="1">
        <f t="array" aca="1" ref="AH415" ca="1">IF((AD415) &lt; (INDEX(ResponseSLA[#All],(MATCH((G415),ResponseSLA[Priority],0))+1,3)),"YES","No")</f>
        <v>#N/A</v>
      </c>
      <c r="AI415" s="31" t="str">
        <f>_xlfn.IFNA(IF(AE415 &lt; (INDEX(SLATable[Minimum SLA],MATCH(G415,SLATable[Priority],0))),"YES","NO"),"")</f>
        <v/>
      </c>
      <c r="AJ415" t="str">
        <f>_xlfn.IFNA(IF(AE415 &lt; (INDEX(SLATable[Maximum SLA],MATCH(G415,SLATable[Priority],0))),"YES","NO"),"")</f>
        <v/>
      </c>
    </row>
    <row r="416" spans="26:36" ht="15" customHeight="1">
      <c r="Z416" s="76" t="e">
        <f t="shared" ca="1" si="44"/>
        <v>#N/A</v>
      </c>
      <c r="AA416" s="75" t="e">
        <f t="shared" ca="1" si="40"/>
        <v>#N/A</v>
      </c>
      <c r="AB416" s="76">
        <f t="shared" ca="1" si="45"/>
        <v>0</v>
      </c>
      <c r="AC416" s="75">
        <f t="shared" ca="1" si="41"/>
        <v>0</v>
      </c>
      <c r="AD416" s="76">
        <f t="shared" ca="1" si="46"/>
        <v>12388.425643055558</v>
      </c>
      <c r="AE416" s="76">
        <f t="shared" si="47"/>
        <v>0</v>
      </c>
      <c r="AF416" s="75">
        <f t="shared" si="42"/>
        <v>0</v>
      </c>
      <c r="AG416" s="75">
        <f t="shared" si="43"/>
        <v>0</v>
      </c>
      <c r="AH416" s="31" t="e" cm="1">
        <f t="array" aca="1" ref="AH416" ca="1">IF((AD416) &lt; (INDEX(ResponseSLA[#All],(MATCH((G416),ResponseSLA[Priority],0))+1,3)),"YES","No")</f>
        <v>#N/A</v>
      </c>
      <c r="AI416" s="31" t="str">
        <f>_xlfn.IFNA(IF(AE416 &lt; (INDEX(SLATable[Minimum SLA],MATCH(G416,SLATable[Priority],0))),"YES","NO"),"")</f>
        <v/>
      </c>
      <c r="AJ416" t="str">
        <f>_xlfn.IFNA(IF(AE416 &lt; (INDEX(SLATable[Maximum SLA],MATCH(G416,SLATable[Priority],0))),"YES","NO"),"")</f>
        <v/>
      </c>
    </row>
    <row r="417" spans="26:36" ht="15" customHeight="1">
      <c r="Z417" s="76" t="e">
        <f t="shared" ca="1" si="44"/>
        <v>#N/A</v>
      </c>
      <c r="AA417" s="75" t="e">
        <f t="shared" ca="1" si="40"/>
        <v>#N/A</v>
      </c>
      <c r="AB417" s="76">
        <f t="shared" ca="1" si="45"/>
        <v>0</v>
      </c>
      <c r="AC417" s="75">
        <f t="shared" ca="1" si="41"/>
        <v>0</v>
      </c>
      <c r="AD417" s="76">
        <f t="shared" ca="1" si="46"/>
        <v>12388.425642824073</v>
      </c>
      <c r="AE417" s="76">
        <f t="shared" si="47"/>
        <v>0</v>
      </c>
      <c r="AF417" s="75">
        <f t="shared" si="42"/>
        <v>0</v>
      </c>
      <c r="AG417" s="75">
        <f t="shared" si="43"/>
        <v>0</v>
      </c>
      <c r="AH417" s="31" t="e" cm="1">
        <f t="array" aca="1" ref="AH417" ca="1">IF((AD417) &lt; (INDEX(ResponseSLA[#All],(MATCH((G417),ResponseSLA[Priority],0))+1,3)),"YES","No")</f>
        <v>#N/A</v>
      </c>
      <c r="AI417" s="31" t="str">
        <f>_xlfn.IFNA(IF(AE417 &lt; (INDEX(SLATable[Minimum SLA],MATCH(G417,SLATable[Priority],0))),"YES","NO"),"")</f>
        <v/>
      </c>
      <c r="AJ417" t="str">
        <f>_xlfn.IFNA(IF(AE417 &lt; (INDEX(SLATable[Maximum SLA],MATCH(G417,SLATable[Priority],0))),"YES","NO"),"")</f>
        <v/>
      </c>
    </row>
    <row r="418" spans="26:36" ht="15" customHeight="1">
      <c r="Z418" s="76" t="e">
        <f t="shared" ca="1" si="44"/>
        <v>#N/A</v>
      </c>
      <c r="AA418" s="75" t="e">
        <f t="shared" ca="1" si="40"/>
        <v>#N/A</v>
      </c>
      <c r="AB418" s="76">
        <f t="shared" ca="1" si="45"/>
        <v>0</v>
      </c>
      <c r="AC418" s="75">
        <f t="shared" ca="1" si="41"/>
        <v>0</v>
      </c>
      <c r="AD418" s="76">
        <f t="shared" ca="1" si="46"/>
        <v>12388.425643055558</v>
      </c>
      <c r="AE418" s="76">
        <f t="shared" si="47"/>
        <v>0</v>
      </c>
      <c r="AF418" s="75">
        <f t="shared" si="42"/>
        <v>0</v>
      </c>
      <c r="AG418" s="75">
        <f t="shared" si="43"/>
        <v>0</v>
      </c>
      <c r="AH418" s="31" t="e" cm="1">
        <f t="array" aca="1" ref="AH418" ca="1">IF((AD418) &lt; (INDEX(ResponseSLA[#All],(MATCH((G418),ResponseSLA[Priority],0))+1,3)),"YES","No")</f>
        <v>#N/A</v>
      </c>
      <c r="AI418" s="31" t="str">
        <f>_xlfn.IFNA(IF(AE418 &lt; (INDEX(SLATable[Minimum SLA],MATCH(G418,SLATable[Priority],0))),"YES","NO"),"")</f>
        <v/>
      </c>
      <c r="AJ418" t="str">
        <f>_xlfn.IFNA(IF(AE418 &lt; (INDEX(SLATable[Maximum SLA],MATCH(G418,SLATable[Priority],0))),"YES","NO"),"")</f>
        <v/>
      </c>
    </row>
    <row r="419" spans="26:36" ht="15" customHeight="1">
      <c r="Z419" s="76" t="e">
        <f t="shared" ca="1" si="44"/>
        <v>#N/A</v>
      </c>
      <c r="AA419" s="75" t="e">
        <f t="shared" ca="1" si="40"/>
        <v>#N/A</v>
      </c>
      <c r="AB419" s="76">
        <f t="shared" ca="1" si="45"/>
        <v>0</v>
      </c>
      <c r="AC419" s="75">
        <f t="shared" ca="1" si="41"/>
        <v>0</v>
      </c>
      <c r="AD419" s="76">
        <f t="shared" ca="1" si="46"/>
        <v>12388.425643055558</v>
      </c>
      <c r="AE419" s="76">
        <f t="shared" si="47"/>
        <v>0</v>
      </c>
      <c r="AF419" s="75">
        <f t="shared" si="42"/>
        <v>0</v>
      </c>
      <c r="AG419" s="75">
        <f t="shared" si="43"/>
        <v>0</v>
      </c>
      <c r="AH419" s="31" t="e" cm="1">
        <f t="array" aca="1" ref="AH419" ca="1">IF((AD419) &lt; (INDEX(ResponseSLA[#All],(MATCH((G419),ResponseSLA[Priority],0))+1,3)),"YES","No")</f>
        <v>#N/A</v>
      </c>
      <c r="AI419" s="31" t="str">
        <f>_xlfn.IFNA(IF(AE419 &lt; (INDEX(SLATable[Minimum SLA],MATCH(G419,SLATable[Priority],0))),"YES","NO"),"")</f>
        <v/>
      </c>
      <c r="AJ419" t="str">
        <f>_xlfn.IFNA(IF(AE419 &lt; (INDEX(SLATable[Maximum SLA],MATCH(G419,SLATable[Priority],0))),"YES","NO"),"")</f>
        <v/>
      </c>
    </row>
    <row r="420" spans="26:36" ht="15" customHeight="1">
      <c r="Z420" s="76" t="e">
        <f t="shared" ca="1" si="44"/>
        <v>#N/A</v>
      </c>
      <c r="AA420" s="75" t="e">
        <f t="shared" ca="1" si="40"/>
        <v>#N/A</v>
      </c>
      <c r="AB420" s="76">
        <f t="shared" ca="1" si="45"/>
        <v>0</v>
      </c>
      <c r="AC420" s="75">
        <f t="shared" ca="1" si="41"/>
        <v>0</v>
      </c>
      <c r="AD420" s="76">
        <f t="shared" ca="1" si="46"/>
        <v>12388.425642824073</v>
      </c>
      <c r="AE420" s="76">
        <f t="shared" si="47"/>
        <v>0</v>
      </c>
      <c r="AF420" s="75">
        <f t="shared" si="42"/>
        <v>0</v>
      </c>
      <c r="AG420" s="75">
        <f t="shared" si="43"/>
        <v>0</v>
      </c>
      <c r="AH420" s="31" t="e" cm="1">
        <f t="array" aca="1" ref="AH420" ca="1">IF((AD420) &lt; (INDEX(ResponseSLA[#All],(MATCH((G420),ResponseSLA[Priority],0))+1,3)),"YES","No")</f>
        <v>#N/A</v>
      </c>
      <c r="AI420" s="31" t="str">
        <f>_xlfn.IFNA(IF(AE420 &lt; (INDEX(SLATable[Minimum SLA],MATCH(G420,SLATable[Priority],0))),"YES","NO"),"")</f>
        <v/>
      </c>
      <c r="AJ420" t="str">
        <f>_xlfn.IFNA(IF(AE420 &lt; (INDEX(SLATable[Maximum SLA],MATCH(G420,SLATable[Priority],0))),"YES","NO"),"")</f>
        <v/>
      </c>
    </row>
    <row r="421" spans="26:36" ht="15" customHeight="1">
      <c r="Z421" s="76" t="e">
        <f t="shared" ca="1" si="44"/>
        <v>#N/A</v>
      </c>
      <c r="AA421" s="75" t="e">
        <f t="shared" ca="1" si="40"/>
        <v>#N/A</v>
      </c>
      <c r="AB421" s="76">
        <f t="shared" ca="1" si="45"/>
        <v>0</v>
      </c>
      <c r="AC421" s="75">
        <f t="shared" ca="1" si="41"/>
        <v>0</v>
      </c>
      <c r="AD421" s="76">
        <f t="shared" ca="1" si="46"/>
        <v>12388.425643055558</v>
      </c>
      <c r="AE421" s="76">
        <f t="shared" si="47"/>
        <v>0</v>
      </c>
      <c r="AF421" s="75">
        <f t="shared" si="42"/>
        <v>0</v>
      </c>
      <c r="AG421" s="75">
        <f t="shared" si="43"/>
        <v>0</v>
      </c>
      <c r="AH421" s="31" t="e" cm="1">
        <f t="array" aca="1" ref="AH421" ca="1">IF((AD421) &lt; (INDEX(ResponseSLA[#All],(MATCH((G421),ResponseSLA[Priority],0))+1,3)),"YES","No")</f>
        <v>#N/A</v>
      </c>
      <c r="AI421" s="31" t="str">
        <f>_xlfn.IFNA(IF(AE421 &lt; (INDEX(SLATable[Minimum SLA],MATCH(G421,SLATable[Priority],0))),"YES","NO"),"")</f>
        <v/>
      </c>
      <c r="AJ421" t="str">
        <f>_xlfn.IFNA(IF(AE421 &lt; (INDEX(SLATable[Maximum SLA],MATCH(G421,SLATable[Priority],0))),"YES","NO"),"")</f>
        <v/>
      </c>
    </row>
    <row r="422" spans="26:36" ht="15" customHeight="1">
      <c r="Z422" s="76" t="e">
        <f t="shared" ca="1" si="44"/>
        <v>#N/A</v>
      </c>
      <c r="AA422" s="75" t="e">
        <f t="shared" ca="1" si="40"/>
        <v>#N/A</v>
      </c>
      <c r="AB422" s="76">
        <f t="shared" ca="1" si="45"/>
        <v>0</v>
      </c>
      <c r="AC422" s="75">
        <f t="shared" ca="1" si="41"/>
        <v>0</v>
      </c>
      <c r="AD422" s="76">
        <f t="shared" ca="1" si="46"/>
        <v>12388.425643055558</v>
      </c>
      <c r="AE422" s="76">
        <f t="shared" si="47"/>
        <v>0</v>
      </c>
      <c r="AF422" s="75">
        <f t="shared" si="42"/>
        <v>0</v>
      </c>
      <c r="AG422" s="75">
        <f t="shared" si="43"/>
        <v>0</v>
      </c>
      <c r="AH422" s="31" t="e" cm="1">
        <f t="array" aca="1" ref="AH422" ca="1">IF((AD422) &lt; (INDEX(ResponseSLA[#All],(MATCH((G422),ResponseSLA[Priority],0))+1,3)),"YES","No")</f>
        <v>#N/A</v>
      </c>
      <c r="AI422" s="31" t="str">
        <f>_xlfn.IFNA(IF(AE422 &lt; (INDEX(SLATable[Minimum SLA],MATCH(G422,SLATable[Priority],0))),"YES","NO"),"")</f>
        <v/>
      </c>
      <c r="AJ422" t="str">
        <f>_xlfn.IFNA(IF(AE422 &lt; (INDEX(SLATable[Maximum SLA],MATCH(G422,SLATable[Priority],0))),"YES","NO"),"")</f>
        <v/>
      </c>
    </row>
    <row r="423" spans="26:36" ht="15" customHeight="1">
      <c r="Z423" s="76" t="e">
        <f t="shared" ca="1" si="44"/>
        <v>#N/A</v>
      </c>
      <c r="AA423" s="75" t="e">
        <f t="shared" ca="1" si="40"/>
        <v>#N/A</v>
      </c>
      <c r="AB423" s="76">
        <f t="shared" ca="1" si="45"/>
        <v>0</v>
      </c>
      <c r="AC423" s="75">
        <f t="shared" ca="1" si="41"/>
        <v>0</v>
      </c>
      <c r="AD423" s="76">
        <f t="shared" ca="1" si="46"/>
        <v>12388.425642824073</v>
      </c>
      <c r="AE423" s="76">
        <f t="shared" si="47"/>
        <v>0</v>
      </c>
      <c r="AF423" s="75">
        <f t="shared" si="42"/>
        <v>0</v>
      </c>
      <c r="AG423" s="75">
        <f t="shared" si="43"/>
        <v>0</v>
      </c>
      <c r="AH423" s="31" t="e" cm="1">
        <f t="array" aca="1" ref="AH423" ca="1">IF((AD423) &lt; (INDEX(ResponseSLA[#All],(MATCH((G423),ResponseSLA[Priority],0))+1,3)),"YES","No")</f>
        <v>#N/A</v>
      </c>
      <c r="AI423" s="31" t="str">
        <f>_xlfn.IFNA(IF(AE423 &lt; (INDEX(SLATable[Minimum SLA],MATCH(G423,SLATable[Priority],0))),"YES","NO"),"")</f>
        <v/>
      </c>
      <c r="AJ423" t="str">
        <f>_xlfn.IFNA(IF(AE423 &lt; (INDEX(SLATable[Maximum SLA],MATCH(G423,SLATable[Priority],0))),"YES","NO"),"")</f>
        <v/>
      </c>
    </row>
    <row r="424" spans="26:36" ht="15" customHeight="1">
      <c r="Z424" s="76" t="e">
        <f t="shared" ca="1" si="44"/>
        <v>#N/A</v>
      </c>
      <c r="AA424" s="75" t="e">
        <f t="shared" ca="1" si="40"/>
        <v>#N/A</v>
      </c>
      <c r="AB424" s="76">
        <f t="shared" ca="1" si="45"/>
        <v>0</v>
      </c>
      <c r="AC424" s="75">
        <f t="shared" ca="1" si="41"/>
        <v>0</v>
      </c>
      <c r="AD424" s="76">
        <f t="shared" ca="1" si="46"/>
        <v>12388.425643055558</v>
      </c>
      <c r="AE424" s="76">
        <f t="shared" si="47"/>
        <v>0</v>
      </c>
      <c r="AF424" s="75">
        <f t="shared" si="42"/>
        <v>0</v>
      </c>
      <c r="AG424" s="75">
        <f t="shared" si="43"/>
        <v>0</v>
      </c>
      <c r="AH424" s="31" t="e" cm="1">
        <f t="array" aca="1" ref="AH424" ca="1">IF((AD424) &lt; (INDEX(ResponseSLA[#All],(MATCH((G424),ResponseSLA[Priority],0))+1,3)),"YES","No")</f>
        <v>#N/A</v>
      </c>
      <c r="AI424" s="31" t="str">
        <f>_xlfn.IFNA(IF(AE424 &lt; (INDEX(SLATable[Minimum SLA],MATCH(G424,SLATable[Priority],0))),"YES","NO"),"")</f>
        <v/>
      </c>
      <c r="AJ424" t="str">
        <f>_xlfn.IFNA(IF(AE424 &lt; (INDEX(SLATable[Maximum SLA],MATCH(G424,SLATable[Priority],0))),"YES","NO"),"")</f>
        <v/>
      </c>
    </row>
    <row r="425" spans="26:36" ht="15" customHeight="1">
      <c r="Z425" s="76" t="e">
        <f t="shared" ca="1" si="44"/>
        <v>#N/A</v>
      </c>
      <c r="AA425" s="75" t="e">
        <f t="shared" ca="1" si="40"/>
        <v>#N/A</v>
      </c>
      <c r="AB425" s="76">
        <f t="shared" ca="1" si="45"/>
        <v>0</v>
      </c>
      <c r="AC425" s="75">
        <f t="shared" ca="1" si="41"/>
        <v>0</v>
      </c>
      <c r="AD425" s="76">
        <f t="shared" ca="1" si="46"/>
        <v>12388.425643055558</v>
      </c>
      <c r="AE425" s="76">
        <f t="shared" si="47"/>
        <v>0</v>
      </c>
      <c r="AF425" s="75">
        <f t="shared" si="42"/>
        <v>0</v>
      </c>
      <c r="AG425" s="75">
        <f t="shared" si="43"/>
        <v>0</v>
      </c>
      <c r="AH425" s="31" t="e" cm="1">
        <f t="array" aca="1" ref="AH425" ca="1">IF((AD425) &lt; (INDEX(ResponseSLA[#All],(MATCH((G425),ResponseSLA[Priority],0))+1,3)),"YES","No")</f>
        <v>#N/A</v>
      </c>
      <c r="AI425" s="31" t="str">
        <f>_xlfn.IFNA(IF(AE425 &lt; (INDEX(SLATable[Minimum SLA],MATCH(G425,SLATable[Priority],0))),"YES","NO"),"")</f>
        <v/>
      </c>
      <c r="AJ425" t="str">
        <f>_xlfn.IFNA(IF(AE425 &lt; (INDEX(SLATable[Maximum SLA],MATCH(G425,SLATable[Priority],0))),"YES","NO"),"")</f>
        <v/>
      </c>
    </row>
    <row r="426" spans="26:36" ht="15" customHeight="1">
      <c r="Z426" s="76" t="e">
        <f t="shared" ca="1" si="44"/>
        <v>#N/A</v>
      </c>
      <c r="AA426" s="75" t="e">
        <f t="shared" ca="1" si="40"/>
        <v>#N/A</v>
      </c>
      <c r="AB426" s="76">
        <f t="shared" ca="1" si="45"/>
        <v>0</v>
      </c>
      <c r="AC426" s="75">
        <f t="shared" ca="1" si="41"/>
        <v>0</v>
      </c>
      <c r="AD426" s="76">
        <f t="shared" ca="1" si="46"/>
        <v>12388.425642824073</v>
      </c>
      <c r="AE426" s="76">
        <f t="shared" si="47"/>
        <v>0</v>
      </c>
      <c r="AF426" s="75">
        <f t="shared" si="42"/>
        <v>0</v>
      </c>
      <c r="AG426" s="75">
        <f t="shared" si="43"/>
        <v>0</v>
      </c>
      <c r="AH426" s="31" t="e" cm="1">
        <f t="array" aca="1" ref="AH426" ca="1">IF((AD426) &lt; (INDEX(ResponseSLA[#All],(MATCH((G426),ResponseSLA[Priority],0))+1,3)),"YES","No")</f>
        <v>#N/A</v>
      </c>
      <c r="AI426" s="31" t="str">
        <f>_xlfn.IFNA(IF(AE426 &lt; (INDEX(SLATable[Minimum SLA],MATCH(G426,SLATable[Priority],0))),"YES","NO"),"")</f>
        <v/>
      </c>
      <c r="AJ426" t="str">
        <f>_xlfn.IFNA(IF(AE426 &lt; (INDEX(SLATable[Maximum SLA],MATCH(G426,SLATable[Priority],0))),"YES","NO"),"")</f>
        <v/>
      </c>
    </row>
    <row r="427" spans="26:36" ht="15" customHeight="1">
      <c r="Z427" s="76" t="e">
        <f t="shared" ca="1" si="44"/>
        <v>#N/A</v>
      </c>
      <c r="AA427" s="75" t="e">
        <f t="shared" ca="1" si="40"/>
        <v>#N/A</v>
      </c>
      <c r="AB427" s="76">
        <f t="shared" ca="1" si="45"/>
        <v>0</v>
      </c>
      <c r="AC427" s="75">
        <f t="shared" ca="1" si="41"/>
        <v>0</v>
      </c>
      <c r="AD427" s="76">
        <f t="shared" ca="1" si="46"/>
        <v>12388.425643055558</v>
      </c>
      <c r="AE427" s="76">
        <f t="shared" si="47"/>
        <v>0</v>
      </c>
      <c r="AF427" s="75">
        <f t="shared" si="42"/>
        <v>0</v>
      </c>
      <c r="AG427" s="75">
        <f t="shared" si="43"/>
        <v>0</v>
      </c>
      <c r="AH427" s="31" t="e" cm="1">
        <f t="array" aca="1" ref="AH427" ca="1">IF((AD427) &lt; (INDEX(ResponseSLA[#All],(MATCH((G427),ResponseSLA[Priority],0))+1,3)),"YES","No")</f>
        <v>#N/A</v>
      </c>
      <c r="AI427" s="31" t="str">
        <f>_xlfn.IFNA(IF(AE427 &lt; (INDEX(SLATable[Minimum SLA],MATCH(G427,SLATable[Priority],0))),"YES","NO"),"")</f>
        <v/>
      </c>
      <c r="AJ427" t="str">
        <f>_xlfn.IFNA(IF(AE427 &lt; (INDEX(SLATable[Maximum SLA],MATCH(G427,SLATable[Priority],0))),"YES","NO"),"")</f>
        <v/>
      </c>
    </row>
    <row r="428" spans="26:36" ht="15" customHeight="1">
      <c r="Z428" s="76" t="e">
        <f t="shared" ca="1" si="44"/>
        <v>#N/A</v>
      </c>
      <c r="AA428" s="75" t="e">
        <f t="shared" ca="1" si="40"/>
        <v>#N/A</v>
      </c>
      <c r="AB428" s="76">
        <f t="shared" ca="1" si="45"/>
        <v>0</v>
      </c>
      <c r="AC428" s="75">
        <f t="shared" ca="1" si="41"/>
        <v>0</v>
      </c>
      <c r="AD428" s="76">
        <f t="shared" ca="1" si="46"/>
        <v>12388.425643055558</v>
      </c>
      <c r="AE428" s="76">
        <f t="shared" si="47"/>
        <v>0</v>
      </c>
      <c r="AF428" s="75">
        <f t="shared" si="42"/>
        <v>0</v>
      </c>
      <c r="AG428" s="75">
        <f t="shared" si="43"/>
        <v>0</v>
      </c>
      <c r="AH428" s="31" t="e" cm="1">
        <f t="array" aca="1" ref="AH428" ca="1">IF((AD428) &lt; (INDEX(ResponseSLA[#All],(MATCH((G428),ResponseSLA[Priority],0))+1,3)),"YES","No")</f>
        <v>#N/A</v>
      </c>
      <c r="AI428" s="31" t="str">
        <f>_xlfn.IFNA(IF(AE428 &lt; (INDEX(SLATable[Minimum SLA],MATCH(G428,SLATable[Priority],0))),"YES","NO"),"")</f>
        <v/>
      </c>
      <c r="AJ428" t="str">
        <f>_xlfn.IFNA(IF(AE428 &lt; (INDEX(SLATable[Maximum SLA],MATCH(G428,SLATable[Priority],0))),"YES","NO"),"")</f>
        <v/>
      </c>
    </row>
    <row r="429" spans="26:36" ht="15" customHeight="1">
      <c r="Z429" s="76" t="e">
        <f t="shared" ca="1" si="44"/>
        <v>#N/A</v>
      </c>
      <c r="AA429" s="75" t="e">
        <f t="shared" ca="1" si="40"/>
        <v>#N/A</v>
      </c>
      <c r="AB429" s="76">
        <f t="shared" ca="1" si="45"/>
        <v>0</v>
      </c>
      <c r="AC429" s="75">
        <f t="shared" ca="1" si="41"/>
        <v>0</v>
      </c>
      <c r="AD429" s="76">
        <f t="shared" ca="1" si="46"/>
        <v>12388.425642824073</v>
      </c>
      <c r="AE429" s="76">
        <f t="shared" si="47"/>
        <v>0</v>
      </c>
      <c r="AF429" s="75">
        <f t="shared" si="42"/>
        <v>0</v>
      </c>
      <c r="AG429" s="75">
        <f t="shared" si="43"/>
        <v>0</v>
      </c>
      <c r="AH429" s="31" t="e" cm="1">
        <f t="array" aca="1" ref="AH429" ca="1">IF((AD429) &lt; (INDEX(ResponseSLA[#All],(MATCH((G429),ResponseSLA[Priority],0))+1,3)),"YES","No")</f>
        <v>#N/A</v>
      </c>
      <c r="AI429" s="31" t="str">
        <f>_xlfn.IFNA(IF(AE429 &lt; (INDEX(SLATable[Minimum SLA],MATCH(G429,SLATable[Priority],0))),"YES","NO"),"")</f>
        <v/>
      </c>
      <c r="AJ429" t="str">
        <f>_xlfn.IFNA(IF(AE429 &lt; (INDEX(SLATable[Maximum SLA],MATCH(G429,SLATable[Priority],0))),"YES","NO"),"")</f>
        <v/>
      </c>
    </row>
    <row r="430" spans="26:36" ht="15" customHeight="1">
      <c r="Z430" s="76" t="e">
        <f t="shared" ca="1" si="44"/>
        <v>#N/A</v>
      </c>
      <c r="AA430" s="75" t="e">
        <f t="shared" ca="1" si="40"/>
        <v>#N/A</v>
      </c>
      <c r="AB430" s="76">
        <f t="shared" ca="1" si="45"/>
        <v>0</v>
      </c>
      <c r="AC430" s="75">
        <f t="shared" ca="1" si="41"/>
        <v>0</v>
      </c>
      <c r="AD430" s="76">
        <f t="shared" ca="1" si="46"/>
        <v>12388.425643055558</v>
      </c>
      <c r="AE430" s="76">
        <f t="shared" si="47"/>
        <v>0</v>
      </c>
      <c r="AF430" s="75">
        <f t="shared" si="42"/>
        <v>0</v>
      </c>
      <c r="AG430" s="75">
        <f t="shared" si="43"/>
        <v>0</v>
      </c>
      <c r="AH430" s="31" t="e" cm="1">
        <f t="array" aca="1" ref="AH430" ca="1">IF((AD430) &lt; (INDEX(ResponseSLA[#All],(MATCH((G430),ResponseSLA[Priority],0))+1,3)),"YES","No")</f>
        <v>#N/A</v>
      </c>
      <c r="AI430" s="31" t="str">
        <f>_xlfn.IFNA(IF(AE430 &lt; (INDEX(SLATable[Minimum SLA],MATCH(G430,SLATable[Priority],0))),"YES","NO"),"")</f>
        <v/>
      </c>
      <c r="AJ430" t="str">
        <f>_xlfn.IFNA(IF(AE430 &lt; (INDEX(SLATable[Maximum SLA],MATCH(G430,SLATable[Priority],0))),"YES","NO"),"")</f>
        <v/>
      </c>
    </row>
    <row r="431" spans="26:36" ht="15" customHeight="1">
      <c r="Z431" s="76" t="e">
        <f t="shared" ca="1" si="44"/>
        <v>#N/A</v>
      </c>
      <c r="AA431" s="75" t="e">
        <f t="shared" ca="1" si="40"/>
        <v>#N/A</v>
      </c>
      <c r="AB431" s="76">
        <f t="shared" ca="1" si="45"/>
        <v>0</v>
      </c>
      <c r="AC431" s="75">
        <f t="shared" ca="1" si="41"/>
        <v>0</v>
      </c>
      <c r="AD431" s="76">
        <f t="shared" ca="1" si="46"/>
        <v>12388.425643055558</v>
      </c>
      <c r="AE431" s="76">
        <f t="shared" si="47"/>
        <v>0</v>
      </c>
      <c r="AF431" s="75">
        <f t="shared" si="42"/>
        <v>0</v>
      </c>
      <c r="AG431" s="75">
        <f t="shared" si="43"/>
        <v>0</v>
      </c>
      <c r="AH431" s="31" t="e" cm="1">
        <f t="array" aca="1" ref="AH431" ca="1">IF((AD431) &lt; (INDEX(ResponseSLA[#All],(MATCH((G431),ResponseSLA[Priority],0))+1,3)),"YES","No")</f>
        <v>#N/A</v>
      </c>
      <c r="AI431" s="31" t="str">
        <f>_xlfn.IFNA(IF(AE431 &lt; (INDEX(SLATable[Minimum SLA],MATCH(G431,SLATable[Priority],0))),"YES","NO"),"")</f>
        <v/>
      </c>
      <c r="AJ431" t="str">
        <f>_xlfn.IFNA(IF(AE431 &lt; (INDEX(SLATable[Maximum SLA],MATCH(G431,SLATable[Priority],0))),"YES","NO"),"")</f>
        <v/>
      </c>
    </row>
    <row r="432" spans="26:36" ht="15" customHeight="1">
      <c r="Z432" s="76" t="e">
        <f t="shared" ca="1" si="44"/>
        <v>#N/A</v>
      </c>
      <c r="AA432" s="75" t="e">
        <f t="shared" ca="1" si="40"/>
        <v>#N/A</v>
      </c>
      <c r="AB432" s="76">
        <f t="shared" ca="1" si="45"/>
        <v>0</v>
      </c>
      <c r="AC432" s="75">
        <f t="shared" ca="1" si="41"/>
        <v>0</v>
      </c>
      <c r="AD432" s="76">
        <f t="shared" ca="1" si="46"/>
        <v>12388.425642824073</v>
      </c>
      <c r="AE432" s="76">
        <f t="shared" si="47"/>
        <v>0</v>
      </c>
      <c r="AF432" s="75">
        <f t="shared" si="42"/>
        <v>0</v>
      </c>
      <c r="AG432" s="75">
        <f t="shared" si="43"/>
        <v>0</v>
      </c>
      <c r="AH432" s="31" t="e" cm="1">
        <f t="array" aca="1" ref="AH432" ca="1">IF((AD432) &lt; (INDEX(ResponseSLA[#All],(MATCH((G432),ResponseSLA[Priority],0))+1,3)),"YES","No")</f>
        <v>#N/A</v>
      </c>
      <c r="AI432" s="31" t="str">
        <f>_xlfn.IFNA(IF(AE432 &lt; (INDEX(SLATable[Minimum SLA],MATCH(G432,SLATable[Priority],0))),"YES","NO"),"")</f>
        <v/>
      </c>
      <c r="AJ432" t="str">
        <f>_xlfn.IFNA(IF(AE432 &lt; (INDEX(SLATable[Maximum SLA],MATCH(G432,SLATable[Priority],0))),"YES","NO"),"")</f>
        <v/>
      </c>
    </row>
    <row r="433" spans="26:36" ht="15" customHeight="1">
      <c r="Z433" s="76" t="e">
        <f t="shared" ca="1" si="44"/>
        <v>#N/A</v>
      </c>
      <c r="AA433" s="75" t="e">
        <f t="shared" ca="1" si="40"/>
        <v>#N/A</v>
      </c>
      <c r="AB433" s="76">
        <f t="shared" ca="1" si="45"/>
        <v>0</v>
      </c>
      <c r="AC433" s="75">
        <f t="shared" ca="1" si="41"/>
        <v>0</v>
      </c>
      <c r="AD433" s="76">
        <f t="shared" ca="1" si="46"/>
        <v>12388.425643055558</v>
      </c>
      <c r="AE433" s="76">
        <f t="shared" si="47"/>
        <v>0</v>
      </c>
      <c r="AF433" s="75">
        <f t="shared" si="42"/>
        <v>0</v>
      </c>
      <c r="AG433" s="75">
        <f t="shared" si="43"/>
        <v>0</v>
      </c>
      <c r="AH433" s="31" t="e" cm="1">
        <f t="array" aca="1" ref="AH433" ca="1">IF((AD433) &lt; (INDEX(ResponseSLA[#All],(MATCH((G433),ResponseSLA[Priority],0))+1,3)),"YES","No")</f>
        <v>#N/A</v>
      </c>
      <c r="AI433" s="31" t="str">
        <f>_xlfn.IFNA(IF(AE433 &lt; (INDEX(SLATable[Minimum SLA],MATCH(G433,SLATable[Priority],0))),"YES","NO"),"")</f>
        <v/>
      </c>
      <c r="AJ433" t="str">
        <f>_xlfn.IFNA(IF(AE433 &lt; (INDEX(SLATable[Maximum SLA],MATCH(G433,SLATable[Priority],0))),"YES","NO"),"")</f>
        <v/>
      </c>
    </row>
    <row r="434" spans="26:36" ht="15" customHeight="1">
      <c r="Z434" s="76" t="e">
        <f t="shared" ca="1" si="44"/>
        <v>#N/A</v>
      </c>
      <c r="AA434" s="75" t="e">
        <f t="shared" ca="1" si="40"/>
        <v>#N/A</v>
      </c>
      <c r="AB434" s="76">
        <f t="shared" ca="1" si="45"/>
        <v>0</v>
      </c>
      <c r="AC434" s="75">
        <f t="shared" ca="1" si="41"/>
        <v>0</v>
      </c>
      <c r="AD434" s="76">
        <f t="shared" ca="1" si="46"/>
        <v>12388.425643055558</v>
      </c>
      <c r="AE434" s="76">
        <f t="shared" si="47"/>
        <v>0</v>
      </c>
      <c r="AF434" s="75">
        <f t="shared" si="42"/>
        <v>0</v>
      </c>
      <c r="AG434" s="75">
        <f t="shared" si="43"/>
        <v>0</v>
      </c>
      <c r="AH434" s="31" t="e" cm="1">
        <f t="array" aca="1" ref="AH434" ca="1">IF((AD434) &lt; (INDEX(ResponseSLA[#All],(MATCH((G434),ResponseSLA[Priority],0))+1,3)),"YES","No")</f>
        <v>#N/A</v>
      </c>
      <c r="AI434" s="31" t="str">
        <f>_xlfn.IFNA(IF(AE434 &lt; (INDEX(SLATable[Minimum SLA],MATCH(G434,SLATable[Priority],0))),"YES","NO"),"")</f>
        <v/>
      </c>
      <c r="AJ434" t="str">
        <f>_xlfn.IFNA(IF(AE434 &lt; (INDEX(SLATable[Maximum SLA],MATCH(G434,SLATable[Priority],0))),"YES","NO"),"")</f>
        <v/>
      </c>
    </row>
    <row r="435" spans="26:36" ht="15" customHeight="1">
      <c r="Z435" s="76" t="e">
        <f t="shared" ca="1" si="44"/>
        <v>#N/A</v>
      </c>
      <c r="AA435" s="75" t="e">
        <f t="shared" ca="1" si="40"/>
        <v>#N/A</v>
      </c>
      <c r="AB435" s="76">
        <f t="shared" ca="1" si="45"/>
        <v>0</v>
      </c>
      <c r="AC435" s="75">
        <f t="shared" ca="1" si="41"/>
        <v>0</v>
      </c>
      <c r="AD435" s="76">
        <f t="shared" ca="1" si="46"/>
        <v>12388.425642824073</v>
      </c>
      <c r="AE435" s="76">
        <f t="shared" si="47"/>
        <v>0</v>
      </c>
      <c r="AF435" s="75">
        <f t="shared" si="42"/>
        <v>0</v>
      </c>
      <c r="AG435" s="75">
        <f t="shared" si="43"/>
        <v>0</v>
      </c>
      <c r="AH435" s="31" t="e" cm="1">
        <f t="array" aca="1" ref="AH435" ca="1">IF((AD435) &lt; (INDEX(ResponseSLA[#All],(MATCH((G435),ResponseSLA[Priority],0))+1,3)),"YES","No")</f>
        <v>#N/A</v>
      </c>
      <c r="AI435" s="31" t="str">
        <f>_xlfn.IFNA(IF(AE435 &lt; (INDEX(SLATable[Minimum SLA],MATCH(G435,SLATable[Priority],0))),"YES","NO"),"")</f>
        <v/>
      </c>
      <c r="AJ435" t="str">
        <f>_xlfn.IFNA(IF(AE435 &lt; (INDEX(SLATable[Maximum SLA],MATCH(G435,SLATable[Priority],0))),"YES","NO"),"")</f>
        <v/>
      </c>
    </row>
    <row r="436" spans="26:36" ht="15" customHeight="1">
      <c r="Z436" s="76" t="e">
        <f t="shared" ca="1" si="44"/>
        <v>#N/A</v>
      </c>
      <c r="AA436" s="75" t="e">
        <f t="shared" ca="1" si="40"/>
        <v>#N/A</v>
      </c>
      <c r="AB436" s="76">
        <f t="shared" ca="1" si="45"/>
        <v>0</v>
      </c>
      <c r="AC436" s="75">
        <f t="shared" ca="1" si="41"/>
        <v>0</v>
      </c>
      <c r="AD436" s="76">
        <f t="shared" ca="1" si="46"/>
        <v>12388.425643055558</v>
      </c>
      <c r="AE436" s="76">
        <f t="shared" si="47"/>
        <v>0</v>
      </c>
      <c r="AF436" s="75">
        <f t="shared" si="42"/>
        <v>0</v>
      </c>
      <c r="AG436" s="75">
        <f t="shared" si="43"/>
        <v>0</v>
      </c>
      <c r="AH436" s="31" t="e" cm="1">
        <f t="array" aca="1" ref="AH436" ca="1">IF((AD436) &lt; (INDEX(ResponseSLA[#All],(MATCH((G436),ResponseSLA[Priority],0))+1,3)),"YES","No")</f>
        <v>#N/A</v>
      </c>
      <c r="AI436" s="31" t="str">
        <f>_xlfn.IFNA(IF(AE436 &lt; (INDEX(SLATable[Minimum SLA],MATCH(G436,SLATable[Priority],0))),"YES","NO"),"")</f>
        <v/>
      </c>
      <c r="AJ436" t="str">
        <f>_xlfn.IFNA(IF(AE436 &lt; (INDEX(SLATable[Maximum SLA],MATCH(G436,SLATable[Priority],0))),"YES","NO"),"")</f>
        <v/>
      </c>
    </row>
    <row r="437" spans="26:36" ht="15" customHeight="1">
      <c r="Z437" s="76" t="e">
        <f t="shared" ca="1" si="44"/>
        <v>#N/A</v>
      </c>
      <c r="AA437" s="75" t="e">
        <f t="shared" ca="1" si="40"/>
        <v>#N/A</v>
      </c>
      <c r="AB437" s="76">
        <f t="shared" ca="1" si="45"/>
        <v>0</v>
      </c>
      <c r="AC437" s="75">
        <f t="shared" ca="1" si="41"/>
        <v>0</v>
      </c>
      <c r="AD437" s="76">
        <f t="shared" ca="1" si="46"/>
        <v>12388.425643055558</v>
      </c>
      <c r="AE437" s="76">
        <f t="shared" si="47"/>
        <v>0</v>
      </c>
      <c r="AF437" s="75">
        <f t="shared" si="42"/>
        <v>0</v>
      </c>
      <c r="AG437" s="75">
        <f t="shared" si="43"/>
        <v>0</v>
      </c>
      <c r="AH437" s="31" t="e" cm="1">
        <f t="array" aca="1" ref="AH437" ca="1">IF((AD437) &lt; (INDEX(ResponseSLA[#All],(MATCH((G437),ResponseSLA[Priority],0))+1,3)),"YES","No")</f>
        <v>#N/A</v>
      </c>
      <c r="AI437" s="31" t="str">
        <f>_xlfn.IFNA(IF(AE437 &lt; (INDEX(SLATable[Minimum SLA],MATCH(G437,SLATable[Priority],0))),"YES","NO"),"")</f>
        <v/>
      </c>
      <c r="AJ437" t="str">
        <f>_xlfn.IFNA(IF(AE437 &lt; (INDEX(SLATable[Maximum SLA],MATCH(G437,SLATable[Priority],0))),"YES","NO"),"")</f>
        <v/>
      </c>
    </row>
    <row r="438" spans="26:36" ht="15" customHeight="1">
      <c r="Z438" s="76" t="e">
        <f t="shared" ca="1" si="44"/>
        <v>#N/A</v>
      </c>
      <c r="AA438" s="75" t="e">
        <f t="shared" ca="1" si="40"/>
        <v>#N/A</v>
      </c>
      <c r="AB438" s="76">
        <f t="shared" ca="1" si="45"/>
        <v>0</v>
      </c>
      <c r="AC438" s="75">
        <f t="shared" ca="1" si="41"/>
        <v>0</v>
      </c>
      <c r="AD438" s="76">
        <f t="shared" ca="1" si="46"/>
        <v>12388.425642824073</v>
      </c>
      <c r="AE438" s="76">
        <f t="shared" si="47"/>
        <v>0</v>
      </c>
      <c r="AF438" s="75">
        <f t="shared" si="42"/>
        <v>0</v>
      </c>
      <c r="AG438" s="75">
        <f t="shared" si="43"/>
        <v>0</v>
      </c>
      <c r="AH438" s="31" t="e" cm="1">
        <f t="array" aca="1" ref="AH438" ca="1">IF((AD438) &lt; (INDEX(ResponseSLA[#All],(MATCH((G438),ResponseSLA[Priority],0))+1,3)),"YES","No")</f>
        <v>#N/A</v>
      </c>
      <c r="AI438" s="31" t="str">
        <f>_xlfn.IFNA(IF(AE438 &lt; (INDEX(SLATable[Minimum SLA],MATCH(G438,SLATable[Priority],0))),"YES","NO"),"")</f>
        <v/>
      </c>
      <c r="AJ438" t="str">
        <f>_xlfn.IFNA(IF(AE438 &lt; (INDEX(SLATable[Maximum SLA],MATCH(G438,SLATable[Priority],0))),"YES","NO"),"")</f>
        <v/>
      </c>
    </row>
    <row r="439" spans="26:36" ht="15" customHeight="1">
      <c r="Z439" s="76" t="e">
        <f t="shared" ca="1" si="44"/>
        <v>#N/A</v>
      </c>
      <c r="AA439" s="75" t="e">
        <f t="shared" ca="1" si="40"/>
        <v>#N/A</v>
      </c>
      <c r="AB439" s="76">
        <f t="shared" ca="1" si="45"/>
        <v>0</v>
      </c>
      <c r="AC439" s="75">
        <f t="shared" ca="1" si="41"/>
        <v>0</v>
      </c>
      <c r="AD439" s="76">
        <f t="shared" ca="1" si="46"/>
        <v>12388.425643055558</v>
      </c>
      <c r="AE439" s="76">
        <f t="shared" si="47"/>
        <v>0</v>
      </c>
      <c r="AF439" s="75">
        <f t="shared" si="42"/>
        <v>0</v>
      </c>
      <c r="AG439" s="75">
        <f t="shared" si="43"/>
        <v>0</v>
      </c>
      <c r="AH439" s="31" t="e" cm="1">
        <f t="array" aca="1" ref="AH439" ca="1">IF((AD439) &lt; (INDEX(ResponseSLA[#All],(MATCH((G439),ResponseSLA[Priority],0))+1,3)),"YES","No")</f>
        <v>#N/A</v>
      </c>
      <c r="AI439" s="31" t="str">
        <f>_xlfn.IFNA(IF(AE439 &lt; (INDEX(SLATable[Minimum SLA],MATCH(G439,SLATable[Priority],0))),"YES","NO"),"")</f>
        <v/>
      </c>
      <c r="AJ439" t="str">
        <f>_xlfn.IFNA(IF(AE439 &lt; (INDEX(SLATable[Maximum SLA],MATCH(G439,SLATable[Priority],0))),"YES","NO"),"")</f>
        <v/>
      </c>
    </row>
    <row r="440" spans="26:36" ht="15" customHeight="1">
      <c r="Z440" s="76" t="e">
        <f t="shared" ca="1" si="44"/>
        <v>#N/A</v>
      </c>
      <c r="AA440" s="75" t="e">
        <f t="shared" ca="1" si="40"/>
        <v>#N/A</v>
      </c>
      <c r="AB440" s="76">
        <f t="shared" ca="1" si="45"/>
        <v>0</v>
      </c>
      <c r="AC440" s="75">
        <f t="shared" ca="1" si="41"/>
        <v>0</v>
      </c>
      <c r="AD440" s="76">
        <f t="shared" ca="1" si="46"/>
        <v>12388.425643055558</v>
      </c>
      <c r="AE440" s="76">
        <f t="shared" si="47"/>
        <v>0</v>
      </c>
      <c r="AF440" s="75">
        <f t="shared" si="42"/>
        <v>0</v>
      </c>
      <c r="AG440" s="75">
        <f t="shared" si="43"/>
        <v>0</v>
      </c>
      <c r="AH440" s="31" t="e" cm="1">
        <f t="array" aca="1" ref="AH440" ca="1">IF((AD440) &lt; (INDEX(ResponseSLA[#All],(MATCH((G440),ResponseSLA[Priority],0))+1,3)),"YES","No")</f>
        <v>#N/A</v>
      </c>
      <c r="AI440" s="31" t="str">
        <f>_xlfn.IFNA(IF(AE440 &lt; (INDEX(SLATable[Minimum SLA],MATCH(G440,SLATable[Priority],0))),"YES","NO"),"")</f>
        <v/>
      </c>
      <c r="AJ440" t="str">
        <f>_xlfn.IFNA(IF(AE440 &lt; (INDEX(SLATable[Maximum SLA],MATCH(G440,SLATable[Priority],0))),"YES","NO"),"")</f>
        <v/>
      </c>
    </row>
    <row r="441" spans="26:36" ht="15" customHeight="1">
      <c r="Z441" s="76" t="e">
        <f t="shared" ca="1" si="44"/>
        <v>#N/A</v>
      </c>
      <c r="AA441" s="75" t="e">
        <f t="shared" ca="1" si="40"/>
        <v>#N/A</v>
      </c>
      <c r="AB441" s="76">
        <f t="shared" ca="1" si="45"/>
        <v>0</v>
      </c>
      <c r="AC441" s="75">
        <f t="shared" ca="1" si="41"/>
        <v>0</v>
      </c>
      <c r="AD441" s="76">
        <f t="shared" ca="1" si="46"/>
        <v>12388.425642824073</v>
      </c>
      <c r="AE441" s="76">
        <f t="shared" si="47"/>
        <v>0</v>
      </c>
      <c r="AF441" s="75">
        <f t="shared" si="42"/>
        <v>0</v>
      </c>
      <c r="AG441" s="75">
        <f t="shared" si="43"/>
        <v>0</v>
      </c>
      <c r="AH441" s="31" t="e" cm="1">
        <f t="array" aca="1" ref="AH441" ca="1">IF((AD441) &lt; (INDEX(ResponseSLA[#All],(MATCH((G441),ResponseSLA[Priority],0))+1,3)),"YES","No")</f>
        <v>#N/A</v>
      </c>
      <c r="AI441" s="31" t="str">
        <f>_xlfn.IFNA(IF(AE441 &lt; (INDEX(SLATable[Minimum SLA],MATCH(G441,SLATable[Priority],0))),"YES","NO"),"")</f>
        <v/>
      </c>
      <c r="AJ441" t="str">
        <f>_xlfn.IFNA(IF(AE441 &lt; (INDEX(SLATable[Maximum SLA],MATCH(G441,SLATable[Priority],0))),"YES","NO"),"")</f>
        <v/>
      </c>
    </row>
    <row r="442" spans="26:36" ht="15" customHeight="1">
      <c r="Z442" s="76" t="e">
        <f t="shared" ca="1" si="44"/>
        <v>#N/A</v>
      </c>
      <c r="AA442" s="75" t="e">
        <f t="shared" ca="1" si="40"/>
        <v>#N/A</v>
      </c>
      <c r="AB442" s="76">
        <f t="shared" ca="1" si="45"/>
        <v>0</v>
      </c>
      <c r="AC442" s="75">
        <f t="shared" ca="1" si="41"/>
        <v>0</v>
      </c>
      <c r="AD442" s="76">
        <f t="shared" ca="1" si="46"/>
        <v>12388.425643055558</v>
      </c>
      <c r="AE442" s="76">
        <f t="shared" si="47"/>
        <v>0</v>
      </c>
      <c r="AF442" s="75">
        <f t="shared" si="42"/>
        <v>0</v>
      </c>
      <c r="AG442" s="75">
        <f t="shared" si="43"/>
        <v>0</v>
      </c>
      <c r="AH442" s="31" t="e" cm="1">
        <f t="array" aca="1" ref="AH442" ca="1">IF((AD442) &lt; (INDEX(ResponseSLA[#All],(MATCH((G442),ResponseSLA[Priority],0))+1,3)),"YES","No")</f>
        <v>#N/A</v>
      </c>
      <c r="AI442" s="31" t="str">
        <f>_xlfn.IFNA(IF(AE442 &lt; (INDEX(SLATable[Minimum SLA],MATCH(G442,SLATable[Priority],0))),"YES","NO"),"")</f>
        <v/>
      </c>
      <c r="AJ442" t="str">
        <f>_xlfn.IFNA(IF(AE442 &lt; (INDEX(SLATable[Maximum SLA],MATCH(G442,SLATable[Priority],0))),"YES","NO"),"")</f>
        <v/>
      </c>
    </row>
    <row r="443" spans="26:36" ht="15" customHeight="1">
      <c r="Z443" s="76" t="e">
        <f t="shared" ca="1" si="44"/>
        <v>#N/A</v>
      </c>
      <c r="AA443" s="75" t="e">
        <f t="shared" ca="1" si="40"/>
        <v>#N/A</v>
      </c>
      <c r="AB443" s="76">
        <f t="shared" ca="1" si="45"/>
        <v>0</v>
      </c>
      <c r="AC443" s="75">
        <f t="shared" ca="1" si="41"/>
        <v>0</v>
      </c>
      <c r="AD443" s="76">
        <f t="shared" ca="1" si="46"/>
        <v>12388.425643055558</v>
      </c>
      <c r="AE443" s="76">
        <f t="shared" si="47"/>
        <v>0</v>
      </c>
      <c r="AF443" s="75">
        <f t="shared" si="42"/>
        <v>0</v>
      </c>
      <c r="AG443" s="75">
        <f t="shared" si="43"/>
        <v>0</v>
      </c>
      <c r="AH443" s="31" t="e" cm="1">
        <f t="array" aca="1" ref="AH443" ca="1">IF((AD443) &lt; (INDEX(ResponseSLA[#All],(MATCH((G443),ResponseSLA[Priority],0))+1,3)),"YES","No")</f>
        <v>#N/A</v>
      </c>
      <c r="AI443" s="31" t="str">
        <f>_xlfn.IFNA(IF(AE443 &lt; (INDEX(SLATable[Minimum SLA],MATCH(G443,SLATable[Priority],0))),"YES","NO"),"")</f>
        <v/>
      </c>
      <c r="AJ443" t="str">
        <f>_xlfn.IFNA(IF(AE443 &lt; (INDEX(SLATable[Maximum SLA],MATCH(G443,SLATable[Priority],0))),"YES","NO"),"")</f>
        <v/>
      </c>
    </row>
    <row r="444" spans="26:36" ht="15" customHeight="1">
      <c r="Z444" s="76" t="e">
        <f t="shared" ca="1" si="44"/>
        <v>#N/A</v>
      </c>
      <c r="AA444" s="75" t="e">
        <f t="shared" ca="1" si="40"/>
        <v>#N/A</v>
      </c>
      <c r="AB444" s="76">
        <f t="shared" ca="1" si="45"/>
        <v>0</v>
      </c>
      <c r="AC444" s="75">
        <f t="shared" ca="1" si="41"/>
        <v>0</v>
      </c>
      <c r="AD444" s="76">
        <f t="shared" ca="1" si="46"/>
        <v>12388.425642824073</v>
      </c>
      <c r="AE444" s="76">
        <f t="shared" si="47"/>
        <v>0</v>
      </c>
      <c r="AF444" s="75">
        <f t="shared" si="42"/>
        <v>0</v>
      </c>
      <c r="AG444" s="75">
        <f t="shared" si="43"/>
        <v>0</v>
      </c>
      <c r="AH444" s="31" t="e" cm="1">
        <f t="array" aca="1" ref="AH444" ca="1">IF((AD444) &lt; (INDEX(ResponseSLA[#All],(MATCH((G444),ResponseSLA[Priority],0))+1,3)),"YES","No")</f>
        <v>#N/A</v>
      </c>
      <c r="AI444" s="31" t="str">
        <f>_xlfn.IFNA(IF(AE444 &lt; (INDEX(SLATable[Minimum SLA],MATCH(G444,SLATable[Priority],0))),"YES","NO"),"")</f>
        <v/>
      </c>
      <c r="AJ444" t="str">
        <f>_xlfn.IFNA(IF(AE444 &lt; (INDEX(SLATable[Maximum SLA],MATCH(G444,SLATable[Priority],0))),"YES","NO"),"")</f>
        <v/>
      </c>
    </row>
    <row r="445" spans="26:36" ht="15" customHeight="1">
      <c r="Z445" s="76" t="e">
        <f t="shared" ca="1" si="44"/>
        <v>#N/A</v>
      </c>
      <c r="AA445" s="75" t="e">
        <f t="shared" ca="1" si="40"/>
        <v>#N/A</v>
      </c>
      <c r="AB445" s="76">
        <f t="shared" ca="1" si="45"/>
        <v>0</v>
      </c>
      <c r="AC445" s="75">
        <f t="shared" ca="1" si="41"/>
        <v>0</v>
      </c>
      <c r="AD445" s="76">
        <f t="shared" ca="1" si="46"/>
        <v>12388.425643055558</v>
      </c>
      <c r="AE445" s="76">
        <f t="shared" si="47"/>
        <v>0</v>
      </c>
      <c r="AF445" s="75">
        <f t="shared" si="42"/>
        <v>0</v>
      </c>
      <c r="AG445" s="75">
        <f t="shared" si="43"/>
        <v>0</v>
      </c>
      <c r="AH445" s="31" t="e" cm="1">
        <f t="array" aca="1" ref="AH445" ca="1">IF((AD445) &lt; (INDEX(ResponseSLA[#All],(MATCH((G445),ResponseSLA[Priority],0))+1,3)),"YES","No")</f>
        <v>#N/A</v>
      </c>
      <c r="AI445" s="31" t="str">
        <f>_xlfn.IFNA(IF(AE445 &lt; (INDEX(SLATable[Minimum SLA],MATCH(G445,SLATable[Priority],0))),"YES","NO"),"")</f>
        <v/>
      </c>
      <c r="AJ445" t="str">
        <f>_xlfn.IFNA(IF(AE445 &lt; (INDEX(SLATable[Maximum SLA],MATCH(G445,SLATable[Priority],0))),"YES","NO"),"")</f>
        <v/>
      </c>
    </row>
    <row r="446" spans="26:36" ht="15" customHeight="1">
      <c r="Z446" s="76" t="e">
        <f t="shared" ca="1" si="44"/>
        <v>#N/A</v>
      </c>
      <c r="AA446" s="75" t="e">
        <f t="shared" ca="1" si="40"/>
        <v>#N/A</v>
      </c>
      <c r="AB446" s="76">
        <f t="shared" ca="1" si="45"/>
        <v>0</v>
      </c>
      <c r="AC446" s="75">
        <f t="shared" ca="1" si="41"/>
        <v>0</v>
      </c>
      <c r="AD446" s="76">
        <f t="shared" ca="1" si="46"/>
        <v>12388.425643055558</v>
      </c>
      <c r="AE446" s="76">
        <f t="shared" si="47"/>
        <v>0</v>
      </c>
      <c r="AF446" s="75">
        <f t="shared" si="42"/>
        <v>0</v>
      </c>
      <c r="AG446" s="75">
        <f t="shared" si="43"/>
        <v>0</v>
      </c>
      <c r="AH446" s="31" t="e" cm="1">
        <f t="array" aca="1" ref="AH446" ca="1">IF((AD446) &lt; (INDEX(ResponseSLA[#All],(MATCH((G446),ResponseSLA[Priority],0))+1,3)),"YES","No")</f>
        <v>#N/A</v>
      </c>
      <c r="AI446" s="31" t="str">
        <f>_xlfn.IFNA(IF(AE446 &lt; (INDEX(SLATable[Minimum SLA],MATCH(G446,SLATable[Priority],0))),"YES","NO"),"")</f>
        <v/>
      </c>
      <c r="AJ446" t="str">
        <f>_xlfn.IFNA(IF(AE446 &lt; (INDEX(SLATable[Maximum SLA],MATCH(G446,SLATable[Priority],0))),"YES","NO"),"")</f>
        <v/>
      </c>
    </row>
    <row r="447" spans="26:36" ht="15" customHeight="1">
      <c r="Z447" s="76" t="e">
        <f t="shared" ca="1" si="44"/>
        <v>#N/A</v>
      </c>
      <c r="AA447" s="75" t="e">
        <f t="shared" ca="1" si="40"/>
        <v>#N/A</v>
      </c>
      <c r="AB447" s="76">
        <f t="shared" ca="1" si="45"/>
        <v>0</v>
      </c>
      <c r="AC447" s="75">
        <f t="shared" ca="1" si="41"/>
        <v>0</v>
      </c>
      <c r="AD447" s="76">
        <f t="shared" ca="1" si="46"/>
        <v>12388.425642824073</v>
      </c>
      <c r="AE447" s="76">
        <f t="shared" si="47"/>
        <v>0</v>
      </c>
      <c r="AF447" s="75">
        <f t="shared" si="42"/>
        <v>0</v>
      </c>
      <c r="AG447" s="75">
        <f t="shared" si="43"/>
        <v>0</v>
      </c>
      <c r="AH447" s="31" t="e" cm="1">
        <f t="array" aca="1" ref="AH447" ca="1">IF((AD447) &lt; (INDEX(ResponseSLA[#All],(MATCH((G447),ResponseSLA[Priority],0))+1,3)),"YES","No")</f>
        <v>#N/A</v>
      </c>
      <c r="AI447" s="31" t="str">
        <f>_xlfn.IFNA(IF(AE447 &lt; (INDEX(SLATable[Minimum SLA],MATCH(G447,SLATable[Priority],0))),"YES","NO"),"")</f>
        <v/>
      </c>
      <c r="AJ447" t="str">
        <f>_xlfn.IFNA(IF(AE447 &lt; (INDEX(SLATable[Maximum SLA],MATCH(G447,SLATable[Priority],0))),"YES","NO"),"")</f>
        <v/>
      </c>
    </row>
    <row r="448" spans="26:36" ht="15" customHeight="1">
      <c r="Z448" s="76" t="e">
        <f t="shared" ca="1" si="44"/>
        <v>#N/A</v>
      </c>
      <c r="AA448" s="75" t="e">
        <f t="shared" ca="1" si="40"/>
        <v>#N/A</v>
      </c>
      <c r="AB448" s="76">
        <f t="shared" ca="1" si="45"/>
        <v>0</v>
      </c>
      <c r="AC448" s="75">
        <f t="shared" ca="1" si="41"/>
        <v>0</v>
      </c>
      <c r="AD448" s="76">
        <f t="shared" ca="1" si="46"/>
        <v>12388.425643055558</v>
      </c>
      <c r="AE448" s="76">
        <f t="shared" si="47"/>
        <v>0</v>
      </c>
      <c r="AF448" s="75">
        <f t="shared" si="42"/>
        <v>0</v>
      </c>
      <c r="AG448" s="75">
        <f t="shared" si="43"/>
        <v>0</v>
      </c>
      <c r="AH448" s="31" t="e" cm="1">
        <f t="array" aca="1" ref="AH448" ca="1">IF((AD448) &lt; (INDEX(ResponseSLA[#All],(MATCH((G448),ResponseSLA[Priority],0))+1,3)),"YES","No")</f>
        <v>#N/A</v>
      </c>
      <c r="AI448" s="31" t="str">
        <f>_xlfn.IFNA(IF(AE448 &lt; (INDEX(SLATable[Minimum SLA],MATCH(G448,SLATable[Priority],0))),"YES","NO"),"")</f>
        <v/>
      </c>
      <c r="AJ448" t="str">
        <f>_xlfn.IFNA(IF(AE448 &lt; (INDEX(SLATable[Maximum SLA],MATCH(G448,SLATable[Priority],0))),"YES","NO"),"")</f>
        <v/>
      </c>
    </row>
    <row r="449" spans="26:36" ht="15" customHeight="1">
      <c r="Z449" s="76" t="e">
        <f t="shared" ca="1" si="44"/>
        <v>#N/A</v>
      </c>
      <c r="AA449" s="75" t="e">
        <f t="shared" ref="AA449:AA501" ca="1" si="48">(Z449*24)/9</f>
        <v>#N/A</v>
      </c>
      <c r="AB449" s="76">
        <f t="shared" ca="1" si="45"/>
        <v>0</v>
      </c>
      <c r="AC449" s="75">
        <f t="shared" ref="AC449:AC501" ca="1" si="49">(AB449*24)/9</f>
        <v>0</v>
      </c>
      <c r="AD449" s="76">
        <f t="shared" ca="1" si="46"/>
        <v>12388.425643055558</v>
      </c>
      <c r="AE449" s="76">
        <f t="shared" si="47"/>
        <v>0</v>
      </c>
      <c r="AF449" s="75">
        <f t="shared" ref="AF449:AF501" si="50">(AE449*24)/9</f>
        <v>0</v>
      </c>
      <c r="AG449" s="75">
        <f t="shared" ref="AG449:AG501" si="51">AF449</f>
        <v>0</v>
      </c>
      <c r="AH449" s="31" t="e" cm="1">
        <f t="array" aca="1" ref="AH449" ca="1">IF((AD449) &lt; (INDEX(ResponseSLA[#All],(MATCH((G449),ResponseSLA[Priority],0))+1,3)),"YES","No")</f>
        <v>#N/A</v>
      </c>
      <c r="AI449" s="31" t="str">
        <f>_xlfn.IFNA(IF(AE449 &lt; (INDEX(SLATable[Minimum SLA],MATCH(G449,SLATable[Priority],0))),"YES","NO"),"")</f>
        <v/>
      </c>
      <c r="AJ449" t="str">
        <f>_xlfn.IFNA(IF(AE449 &lt; (INDEX(SLATable[Maximum SLA],MATCH(G449,SLATable[Priority],0))),"YES","NO"),"")</f>
        <v/>
      </c>
    </row>
    <row r="450" spans="26:36" ht="15" customHeight="1">
      <c r="Z450" s="76" t="e">
        <f t="shared" ca="1" si="44"/>
        <v>#N/A</v>
      </c>
      <c r="AA450" s="75" t="e">
        <f t="shared" ca="1" si="48"/>
        <v>#N/A</v>
      </c>
      <c r="AB450" s="76">
        <f t="shared" ca="1" si="45"/>
        <v>0</v>
      </c>
      <c r="AC450" s="75">
        <f t="shared" ca="1" si="49"/>
        <v>0</v>
      </c>
      <c r="AD450" s="76">
        <f t="shared" ca="1" si="46"/>
        <v>12388.425642824073</v>
      </c>
      <c r="AE450" s="76">
        <f t="shared" si="47"/>
        <v>0</v>
      </c>
      <c r="AF450" s="75">
        <f t="shared" si="50"/>
        <v>0</v>
      </c>
      <c r="AG450" s="75">
        <f t="shared" si="51"/>
        <v>0</v>
      </c>
      <c r="AH450" s="31" t="e" cm="1">
        <f t="array" aca="1" ref="AH450" ca="1">IF((AD450) &lt; (INDEX(ResponseSLA[#All],(MATCH((G450),ResponseSLA[Priority],0))+1,3)),"YES","No")</f>
        <v>#N/A</v>
      </c>
      <c r="AI450" s="31" t="str">
        <f>_xlfn.IFNA(IF(AE450 &lt; (INDEX(SLATable[Minimum SLA],MATCH(G450,SLATable[Priority],0))),"YES","NO"),"")</f>
        <v/>
      </c>
      <c r="AJ450" t="str">
        <f>_xlfn.IFNA(IF(AE450 &lt; (INDEX(SLATable[Maximum SLA],MATCH(G450,SLATable[Priority],0))),"YES","NO"),"")</f>
        <v/>
      </c>
    </row>
    <row r="451" spans="26:36" ht="15" customHeight="1">
      <c r="Z451" s="76" t="e">
        <f t="shared" ref="Z451:Z501" ca="1" si="52">IF(NOT(OR(G451=1,G451=2)),MAX(0,_xlfn.IFS(AND(K451&lt;&gt;"",N451&lt;&gt;""),((MAX(NETWORKDAYS(K451,N451,UKBankHolidays)-1,0))*(TIME(17,0,0)-TIME(8,0,0))+IF(NETWORKDAYS(N451,N451,UKBankHolidays)&gt;0,MEDIAN(TIME(8,0,0),MOD(N451,1),TIME(17,0,0)),TIME(8,0,0))-IF(NETWORKDAYS(K451,K451,UKBankHolidays)&gt;0,MEDIAN(TIME(8,0,0),MOD(K451,1),TIME(17,0,0)),TIME(8,0,0)))-IF(AND(O451&lt;&gt;"",P451&lt;&gt;""),((MAX(NETWORKDAYS(O451,P451,UKBankHolidays)-1,0))*(TIME(17,0,0)-TIME(8,0,0))+IF(NETWORKDAYS(P451,P451,UKBankHolidays)&gt;0,MEDIAN(TIME(8,0,0),MOD(P451,1),TIME(17,0,0)),TIME(8,0,0))-IF(NETWORKDAYS(O451,O451,UKBankHolidays)&gt;0,MEDIAN(TIME(8,0,0),MOD(O451,1),TIME(17,0,0)),TIME(8,0,0))),0),AND(K451&lt;&gt;"",N451=""),((MAX(NETWORKDAYS(K451,NOW(),UKBankHolidays)-1,0))*(TIME(17,0,0)-TIME(8,0,0))+IF(NETWORKDAYS(NOW(),NOW(),UKBankHolidays)&gt;0,MEDIAN(TIME(8,0,0),MOD(NOW(),1),TIME(17,0,0)),TIME(8,0,0))-IF(NETWORKDAYS(K451,K451,UKBankHolidays)&gt;0,MEDIAN(TIME(8,0,0),MOD(K451,1),TIME(17,0,0)),TIME(8,0,0))))),IF(N451="",NOW()-K451,N451-K451))</f>
        <v>#N/A</v>
      </c>
      <c r="AA451" s="75" t="e">
        <f t="shared" ca="1" si="48"/>
        <v>#N/A</v>
      </c>
      <c r="AB451" s="76">
        <f t="shared" ref="AB451:AB501" ca="1" si="53">IF(NOT(OR(G451=1,G451=2)),MAX(0,_xlfn.IFS(AND(K451&lt;&gt;"",N451&lt;&gt;""),(((MAX(NETWORKDAYS(L451,N451,UKBankHolidays)-1,0))*(TIME(17,0,0)-TIME(8,0,0)))+IF(NETWORKDAYS(N451,N451,UKBankHolidays)&gt;0,MEDIAN(TIME(8,0,0),MOD(N451,1),TIME(17,0,0)),TIME(8,0,0))-IF(NETWORKDAYS(L451,L451,UKBankHolidays)&gt;0,MEDIAN(TIME(8,0,0),MOD(L451,1),TIME(17,0,0)),TIME(8,0,0)))-IF(AND(O451&lt;&gt;"",P451&lt;&gt;""),(((MAX(NETWORKDAYS(O451,P451,UKBankHolidays)-1,0))*(TIME(17,0,0)-TIME(8,0,0)))+IF(NETWORKDAYS(P451,P451,UKBankHolidays)&gt;0,MEDIAN(TIME(8,0,0),MOD(P451,1),TIME(17,0,0)),TIME(8,0,0))-IF(NETWORKDAYS(O451,O451,UKBankHolidays)&gt;0,MEDIAN(TIME(8,0,0),MOD(O451,1),TIME(17,0,0)),TIME(8,0,0))),0),AND(L451&lt;&gt;"",N451="",O451=""),(((MAX(NETWORKDAYS(L451,NOW(),UKBankHolidays)-1,0))*(TIME(17,0,0)-TIME(8,0,0)))+IF(NETWORKDAYS(NOW(),NOW(),UKBankHolidays)&gt;0,MEDIAN(TIME(8,0,0),MOD(NOW(),1),TIME(17,0,0)),TIME(8,0,0))-IF(NETWORKDAYS(L451,L451,UKBankHolidays)&gt;0,MEDIAN(TIME(8,0,0),MOD(L451,1),TIME(17,0,0)),TIME(8,0,0)))-IF(AND(O451&lt;&gt;"",P451&lt;&gt;""),(((MAX(NETWORKDAYS(O451,P451,UKBankHolidays)-1,0))*(TIME(17,0,0)-TIME(8,0,0)))+IF(NETWORKDAYS(P451,P451,UKBankHolidays)&gt;0,MEDIAN(TIME(8,0,0),MOD(P451,1),TIME(17,0,0)),TIME(8,0,0))-IF(NETWORKDAYS(O451,O451,UKBankHolidays)&gt;0,MEDIAN(TIME(8,0,0),MOD(O451,1),TIME(17,0,0)),TIME(8,0,0))),0),AND(L451&lt;&gt;"",N451="",P451="",O451&lt;&gt;""),(((MAX(NETWORKDAYS(L451,O451,UKBankHolidays)-1,0))*(TIME(17,0,0)-TIME(8,0,0)))+IF(NETWORKDAYS(O451,O451,UKBankHolidays)&gt;0,MEDIAN(TIME(8,0,0),MOD(O451,1),TIME(17,0,0)),TIME(8,0,0))-IF(NETWORKDAYS(L451,L451,UKBankHolidays)&gt;0,MEDIAN(TIME(8,0,0),MOD(L451,1),TIME(17,0,0)),TIME(8,0,0))),ISBLANK(K451),"0")),IF(ISBLANK(N451),NOW()-L451,N451-L451))</f>
        <v>0</v>
      </c>
      <c r="AC451" s="75">
        <f t="shared" ca="1" si="49"/>
        <v>0</v>
      </c>
      <c r="AD451" s="76">
        <f t="shared" ref="AD451:AD501" ca="1" si="54">MAX(0,IF(NOT(OR(G451=1,G451=2)),IF(M451&lt;&gt;"",((MAX(NETWORKDAYS(L451,M451,UKBankHolidays)-1,0))*(TIME(17,0,0)-TIME(8,0,0))+IF(NETWORKDAYS(M451,M451,UKBankHolidays)&gt;0,MEDIAN(TIME(8,0,0),MOD(M451,1),TIME(17,0,0)),TIME(8,0,0))-MEDIAN(TIME(8,0,0),MOD(L451,1),TIME(17,0,0))),((MAX(NETWORKDAYS(L451,NOW(),UKBankHolidays)-1,0))*(TIME(17,0,0)-TIME(8,0,0))+IF(NETWORKDAYS(NOW(),NOW(),UKBankHolidays)&gt;0,MEDIAN(TIME(8,0,0),MOD(NOW(),1),TIME(17,0,0)),TIME(8,0,0))-MEDIAN(TIME(8,0,0),MOD(L451,1),TIME(17,0,0)))),IF(M451&lt;&gt;"",M451-L451,NOW()-L451)))</f>
        <v>12388.425643055558</v>
      </c>
      <c r="AE451" s="76">
        <f t="shared" ref="AE451:AE501" si="55">SUMIFS(AB:AB,E:E,E451)</f>
        <v>0</v>
      </c>
      <c r="AF451" s="75">
        <f t="shared" si="50"/>
        <v>0</v>
      </c>
      <c r="AG451" s="75">
        <f t="shared" si="51"/>
        <v>0</v>
      </c>
      <c r="AH451" s="31" t="e" cm="1">
        <f t="array" aca="1" ref="AH451" ca="1">IF((AD451) &lt; (INDEX(ResponseSLA[#All],(MATCH((G451),ResponseSLA[Priority],0))+1,3)),"YES","No")</f>
        <v>#N/A</v>
      </c>
      <c r="AI451" s="31" t="str">
        <f>_xlfn.IFNA(IF(AE451 &lt; (INDEX(SLATable[Minimum SLA],MATCH(G451,SLATable[Priority],0))),"YES","NO"),"")</f>
        <v/>
      </c>
      <c r="AJ451" t="str">
        <f>_xlfn.IFNA(IF(AE451 &lt; (INDEX(SLATable[Maximum SLA],MATCH(G451,SLATable[Priority],0))),"YES","NO"),"")</f>
        <v/>
      </c>
    </row>
    <row r="452" spans="26:36" ht="15" customHeight="1">
      <c r="Z452" s="76" t="e">
        <f t="shared" ca="1" si="52"/>
        <v>#N/A</v>
      </c>
      <c r="AA452" s="75" t="e">
        <f t="shared" ca="1" si="48"/>
        <v>#N/A</v>
      </c>
      <c r="AB452" s="76">
        <f t="shared" ca="1" si="53"/>
        <v>0</v>
      </c>
      <c r="AC452" s="75">
        <f t="shared" ca="1" si="49"/>
        <v>0</v>
      </c>
      <c r="AD452" s="76">
        <f t="shared" ca="1" si="54"/>
        <v>12388.425643055558</v>
      </c>
      <c r="AE452" s="76">
        <f t="shared" si="55"/>
        <v>0</v>
      </c>
      <c r="AF452" s="75">
        <f t="shared" si="50"/>
        <v>0</v>
      </c>
      <c r="AG452" s="75">
        <f t="shared" si="51"/>
        <v>0</v>
      </c>
      <c r="AH452" s="31" t="e" cm="1">
        <f t="array" aca="1" ref="AH452" ca="1">IF((AD452) &lt; (INDEX(ResponseSLA[#All],(MATCH((G452),ResponseSLA[Priority],0))+1,3)),"YES","No")</f>
        <v>#N/A</v>
      </c>
      <c r="AI452" s="31" t="str">
        <f>_xlfn.IFNA(IF(AE452 &lt; (INDEX(SLATable[Minimum SLA],MATCH(G452,SLATable[Priority],0))),"YES","NO"),"")</f>
        <v/>
      </c>
      <c r="AJ452" t="str">
        <f>_xlfn.IFNA(IF(AE452 &lt; (INDEX(SLATable[Maximum SLA],MATCH(G452,SLATable[Priority],0))),"YES","NO"),"")</f>
        <v/>
      </c>
    </row>
    <row r="453" spans="26:36" ht="15" customHeight="1">
      <c r="Z453" s="76" t="e">
        <f t="shared" ca="1" si="52"/>
        <v>#N/A</v>
      </c>
      <c r="AA453" s="75" t="e">
        <f t="shared" ca="1" si="48"/>
        <v>#N/A</v>
      </c>
      <c r="AB453" s="76">
        <f t="shared" ca="1" si="53"/>
        <v>0</v>
      </c>
      <c r="AC453" s="75">
        <f t="shared" ca="1" si="49"/>
        <v>0</v>
      </c>
      <c r="AD453" s="76">
        <f t="shared" ca="1" si="54"/>
        <v>12388.425642824073</v>
      </c>
      <c r="AE453" s="76">
        <f t="shared" si="55"/>
        <v>0</v>
      </c>
      <c r="AF453" s="75">
        <f t="shared" si="50"/>
        <v>0</v>
      </c>
      <c r="AG453" s="75">
        <f t="shared" si="51"/>
        <v>0</v>
      </c>
      <c r="AH453" s="31" t="e" cm="1">
        <f t="array" aca="1" ref="AH453" ca="1">IF((AD453) &lt; (INDEX(ResponseSLA[#All],(MATCH((G453),ResponseSLA[Priority],0))+1,3)),"YES","No")</f>
        <v>#N/A</v>
      </c>
      <c r="AI453" s="31" t="str">
        <f>_xlfn.IFNA(IF(AE453 &lt; (INDEX(SLATable[Minimum SLA],MATCH(G453,SLATable[Priority],0))),"YES","NO"),"")</f>
        <v/>
      </c>
      <c r="AJ453" t="str">
        <f>_xlfn.IFNA(IF(AE453 &lt; (INDEX(SLATable[Maximum SLA],MATCH(G453,SLATable[Priority],0))),"YES","NO"),"")</f>
        <v/>
      </c>
    </row>
    <row r="454" spans="26:36" ht="15" customHeight="1">
      <c r="Z454" s="76" t="e">
        <f t="shared" ca="1" si="52"/>
        <v>#N/A</v>
      </c>
      <c r="AA454" s="75" t="e">
        <f t="shared" ca="1" si="48"/>
        <v>#N/A</v>
      </c>
      <c r="AB454" s="76">
        <f t="shared" ca="1" si="53"/>
        <v>0</v>
      </c>
      <c r="AC454" s="75">
        <f t="shared" ca="1" si="49"/>
        <v>0</v>
      </c>
      <c r="AD454" s="76">
        <f t="shared" ca="1" si="54"/>
        <v>12388.425643055558</v>
      </c>
      <c r="AE454" s="76">
        <f t="shared" si="55"/>
        <v>0</v>
      </c>
      <c r="AF454" s="75">
        <f t="shared" si="50"/>
        <v>0</v>
      </c>
      <c r="AG454" s="75">
        <f t="shared" si="51"/>
        <v>0</v>
      </c>
      <c r="AH454" s="31" t="e" cm="1">
        <f t="array" aca="1" ref="AH454" ca="1">IF((AD454) &lt; (INDEX(ResponseSLA[#All],(MATCH((G454),ResponseSLA[Priority],0))+1,3)),"YES","No")</f>
        <v>#N/A</v>
      </c>
      <c r="AI454" s="31" t="str">
        <f>_xlfn.IFNA(IF(AE454 &lt; (INDEX(SLATable[Minimum SLA],MATCH(G454,SLATable[Priority],0))),"YES","NO"),"")</f>
        <v/>
      </c>
      <c r="AJ454" t="str">
        <f>_xlfn.IFNA(IF(AE454 &lt; (INDEX(SLATable[Maximum SLA],MATCH(G454,SLATable[Priority],0))),"YES","NO"),"")</f>
        <v/>
      </c>
    </row>
    <row r="455" spans="26:36" ht="15" customHeight="1">
      <c r="Z455" s="76" t="e">
        <f t="shared" ca="1" si="52"/>
        <v>#N/A</v>
      </c>
      <c r="AA455" s="75" t="e">
        <f t="shared" ca="1" si="48"/>
        <v>#N/A</v>
      </c>
      <c r="AB455" s="76">
        <f t="shared" ca="1" si="53"/>
        <v>0</v>
      </c>
      <c r="AC455" s="75">
        <f t="shared" ca="1" si="49"/>
        <v>0</v>
      </c>
      <c r="AD455" s="76">
        <f t="shared" ca="1" si="54"/>
        <v>12388.425643055558</v>
      </c>
      <c r="AE455" s="76">
        <f t="shared" si="55"/>
        <v>0</v>
      </c>
      <c r="AF455" s="75">
        <f t="shared" si="50"/>
        <v>0</v>
      </c>
      <c r="AG455" s="75">
        <f t="shared" si="51"/>
        <v>0</v>
      </c>
      <c r="AH455" s="31" t="e" cm="1">
        <f t="array" aca="1" ref="AH455" ca="1">IF((AD455) &lt; (INDEX(ResponseSLA[#All],(MATCH((G455),ResponseSLA[Priority],0))+1,3)),"YES","No")</f>
        <v>#N/A</v>
      </c>
      <c r="AI455" s="31" t="str">
        <f>_xlfn.IFNA(IF(AE455 &lt; (INDEX(SLATable[Minimum SLA],MATCH(G455,SLATable[Priority],0))),"YES","NO"),"")</f>
        <v/>
      </c>
      <c r="AJ455" t="str">
        <f>_xlfn.IFNA(IF(AE455 &lt; (INDEX(SLATable[Maximum SLA],MATCH(G455,SLATable[Priority],0))),"YES","NO"),"")</f>
        <v/>
      </c>
    </row>
    <row r="456" spans="26:36" ht="15" customHeight="1">
      <c r="Z456" s="76" t="e">
        <f t="shared" ca="1" si="52"/>
        <v>#N/A</v>
      </c>
      <c r="AA456" s="75" t="e">
        <f t="shared" ca="1" si="48"/>
        <v>#N/A</v>
      </c>
      <c r="AB456" s="76">
        <f t="shared" ca="1" si="53"/>
        <v>0</v>
      </c>
      <c r="AC456" s="75">
        <f t="shared" ca="1" si="49"/>
        <v>0</v>
      </c>
      <c r="AD456" s="76">
        <f t="shared" ca="1" si="54"/>
        <v>12388.425642824073</v>
      </c>
      <c r="AE456" s="76">
        <f t="shared" si="55"/>
        <v>0</v>
      </c>
      <c r="AF456" s="75">
        <f t="shared" si="50"/>
        <v>0</v>
      </c>
      <c r="AG456" s="75">
        <f t="shared" si="51"/>
        <v>0</v>
      </c>
      <c r="AH456" s="31" t="e" cm="1">
        <f t="array" aca="1" ref="AH456" ca="1">IF((AD456) &lt; (INDEX(ResponseSLA[#All],(MATCH((G456),ResponseSLA[Priority],0))+1,3)),"YES","No")</f>
        <v>#N/A</v>
      </c>
      <c r="AI456" s="31" t="str">
        <f>_xlfn.IFNA(IF(AE456 &lt; (INDEX(SLATable[Minimum SLA],MATCH(G456,SLATable[Priority],0))),"YES","NO"),"")</f>
        <v/>
      </c>
      <c r="AJ456" t="str">
        <f>_xlfn.IFNA(IF(AE456 &lt; (INDEX(SLATable[Maximum SLA],MATCH(G456,SLATable[Priority],0))),"YES","NO"),"")</f>
        <v/>
      </c>
    </row>
    <row r="457" spans="26:36" ht="15" customHeight="1">
      <c r="Z457" s="76" t="e">
        <f t="shared" ca="1" si="52"/>
        <v>#N/A</v>
      </c>
      <c r="AA457" s="75" t="e">
        <f t="shared" ca="1" si="48"/>
        <v>#N/A</v>
      </c>
      <c r="AB457" s="76">
        <f t="shared" ca="1" si="53"/>
        <v>0</v>
      </c>
      <c r="AC457" s="75">
        <f t="shared" ca="1" si="49"/>
        <v>0</v>
      </c>
      <c r="AD457" s="76">
        <f t="shared" ca="1" si="54"/>
        <v>12388.425643055558</v>
      </c>
      <c r="AE457" s="76">
        <f t="shared" si="55"/>
        <v>0</v>
      </c>
      <c r="AF457" s="75">
        <f t="shared" si="50"/>
        <v>0</v>
      </c>
      <c r="AG457" s="75">
        <f t="shared" si="51"/>
        <v>0</v>
      </c>
      <c r="AH457" s="31" t="e" cm="1">
        <f t="array" aca="1" ref="AH457" ca="1">IF((AD457) &lt; (INDEX(ResponseSLA[#All],(MATCH((G457),ResponseSLA[Priority],0))+1,3)),"YES","No")</f>
        <v>#N/A</v>
      </c>
      <c r="AI457" s="31" t="str">
        <f>_xlfn.IFNA(IF(AE457 &lt; (INDEX(SLATable[Minimum SLA],MATCH(G457,SLATable[Priority],0))),"YES","NO"),"")</f>
        <v/>
      </c>
      <c r="AJ457" t="str">
        <f>_xlfn.IFNA(IF(AE457 &lt; (INDEX(SLATable[Maximum SLA],MATCH(G457,SLATable[Priority],0))),"YES","NO"),"")</f>
        <v/>
      </c>
    </row>
    <row r="458" spans="26:36" ht="15" customHeight="1">
      <c r="Z458" s="76" t="e">
        <f t="shared" ca="1" si="52"/>
        <v>#N/A</v>
      </c>
      <c r="AA458" s="75" t="e">
        <f t="shared" ca="1" si="48"/>
        <v>#N/A</v>
      </c>
      <c r="AB458" s="76">
        <f t="shared" ca="1" si="53"/>
        <v>0</v>
      </c>
      <c r="AC458" s="75">
        <f t="shared" ca="1" si="49"/>
        <v>0</v>
      </c>
      <c r="AD458" s="76">
        <f t="shared" ca="1" si="54"/>
        <v>12388.425643055558</v>
      </c>
      <c r="AE458" s="76">
        <f t="shared" si="55"/>
        <v>0</v>
      </c>
      <c r="AF458" s="75">
        <f t="shared" si="50"/>
        <v>0</v>
      </c>
      <c r="AG458" s="75">
        <f t="shared" si="51"/>
        <v>0</v>
      </c>
      <c r="AH458" s="31" t="e" cm="1">
        <f t="array" aca="1" ref="AH458" ca="1">IF((AD458) &lt; (INDEX(ResponseSLA[#All],(MATCH((G458),ResponseSLA[Priority],0))+1,3)),"YES","No")</f>
        <v>#N/A</v>
      </c>
      <c r="AI458" s="31" t="str">
        <f>_xlfn.IFNA(IF(AE458 &lt; (INDEX(SLATable[Minimum SLA],MATCH(G458,SLATable[Priority],0))),"YES","NO"),"")</f>
        <v/>
      </c>
      <c r="AJ458" t="str">
        <f>_xlfn.IFNA(IF(AE458 &lt; (INDEX(SLATable[Maximum SLA],MATCH(G458,SLATable[Priority],0))),"YES","NO"),"")</f>
        <v/>
      </c>
    </row>
    <row r="459" spans="26:36" ht="15" customHeight="1">
      <c r="Z459" s="76" t="e">
        <f t="shared" ca="1" si="52"/>
        <v>#N/A</v>
      </c>
      <c r="AA459" s="75" t="e">
        <f t="shared" ca="1" si="48"/>
        <v>#N/A</v>
      </c>
      <c r="AB459" s="76">
        <f t="shared" ca="1" si="53"/>
        <v>0</v>
      </c>
      <c r="AC459" s="75">
        <f t="shared" ca="1" si="49"/>
        <v>0</v>
      </c>
      <c r="AD459" s="76">
        <f t="shared" ca="1" si="54"/>
        <v>12388.425642824073</v>
      </c>
      <c r="AE459" s="76">
        <f t="shared" si="55"/>
        <v>0</v>
      </c>
      <c r="AF459" s="75">
        <f t="shared" si="50"/>
        <v>0</v>
      </c>
      <c r="AG459" s="75">
        <f t="shared" si="51"/>
        <v>0</v>
      </c>
      <c r="AH459" s="31" t="e" cm="1">
        <f t="array" aca="1" ref="AH459" ca="1">IF((AD459) &lt; (INDEX(ResponseSLA[#All],(MATCH((G459),ResponseSLA[Priority],0))+1,3)),"YES","No")</f>
        <v>#N/A</v>
      </c>
      <c r="AI459" s="31" t="str">
        <f>_xlfn.IFNA(IF(AE459 &lt; (INDEX(SLATable[Minimum SLA],MATCH(G459,SLATable[Priority],0))),"YES","NO"),"")</f>
        <v/>
      </c>
      <c r="AJ459" t="str">
        <f>_xlfn.IFNA(IF(AE459 &lt; (INDEX(SLATable[Maximum SLA],MATCH(G459,SLATable[Priority],0))),"YES","NO"),"")</f>
        <v/>
      </c>
    </row>
    <row r="460" spans="26:36" ht="15" customHeight="1">
      <c r="Z460" s="76" t="e">
        <f t="shared" ca="1" si="52"/>
        <v>#N/A</v>
      </c>
      <c r="AA460" s="75" t="e">
        <f t="shared" ca="1" si="48"/>
        <v>#N/A</v>
      </c>
      <c r="AB460" s="76">
        <f t="shared" ca="1" si="53"/>
        <v>0</v>
      </c>
      <c r="AC460" s="75">
        <f t="shared" ca="1" si="49"/>
        <v>0</v>
      </c>
      <c r="AD460" s="76">
        <f t="shared" ca="1" si="54"/>
        <v>12388.425643055558</v>
      </c>
      <c r="AE460" s="76">
        <f t="shared" si="55"/>
        <v>0</v>
      </c>
      <c r="AF460" s="75">
        <f t="shared" si="50"/>
        <v>0</v>
      </c>
      <c r="AG460" s="75">
        <f t="shared" si="51"/>
        <v>0</v>
      </c>
      <c r="AH460" s="31" t="e" cm="1">
        <f t="array" aca="1" ref="AH460" ca="1">IF((AD460) &lt; (INDEX(ResponseSLA[#All],(MATCH((G460),ResponseSLA[Priority],0))+1,3)),"YES","No")</f>
        <v>#N/A</v>
      </c>
      <c r="AI460" s="31" t="str">
        <f>_xlfn.IFNA(IF(AE460 &lt; (INDEX(SLATable[Minimum SLA],MATCH(G460,SLATable[Priority],0))),"YES","NO"),"")</f>
        <v/>
      </c>
      <c r="AJ460" t="str">
        <f>_xlfn.IFNA(IF(AE460 &lt; (INDEX(SLATable[Maximum SLA],MATCH(G460,SLATable[Priority],0))),"YES","NO"),"")</f>
        <v/>
      </c>
    </row>
    <row r="461" spans="26:36" ht="15" customHeight="1">
      <c r="Z461" s="76" t="e">
        <f t="shared" ca="1" si="52"/>
        <v>#N/A</v>
      </c>
      <c r="AA461" s="75" t="e">
        <f t="shared" ca="1" si="48"/>
        <v>#N/A</v>
      </c>
      <c r="AB461" s="76">
        <f t="shared" ca="1" si="53"/>
        <v>0</v>
      </c>
      <c r="AC461" s="75">
        <f t="shared" ca="1" si="49"/>
        <v>0</v>
      </c>
      <c r="AD461" s="76">
        <f t="shared" ca="1" si="54"/>
        <v>12388.425643055558</v>
      </c>
      <c r="AE461" s="76">
        <f t="shared" si="55"/>
        <v>0</v>
      </c>
      <c r="AF461" s="75">
        <f t="shared" si="50"/>
        <v>0</v>
      </c>
      <c r="AG461" s="75">
        <f t="shared" si="51"/>
        <v>0</v>
      </c>
      <c r="AH461" s="31" t="e" cm="1">
        <f t="array" aca="1" ref="AH461" ca="1">IF((AD461) &lt; (INDEX(ResponseSLA[#All],(MATCH((G461),ResponseSLA[Priority],0))+1,3)),"YES","No")</f>
        <v>#N/A</v>
      </c>
      <c r="AI461" s="31" t="str">
        <f>_xlfn.IFNA(IF(AE461 &lt; (INDEX(SLATable[Minimum SLA],MATCH(G461,SLATable[Priority],0))),"YES","NO"),"")</f>
        <v/>
      </c>
      <c r="AJ461" t="str">
        <f>_xlfn.IFNA(IF(AE461 &lt; (INDEX(SLATable[Maximum SLA],MATCH(G461,SLATable[Priority],0))),"YES","NO"),"")</f>
        <v/>
      </c>
    </row>
    <row r="462" spans="26:36" ht="15" customHeight="1">
      <c r="Z462" s="76" t="e">
        <f t="shared" ca="1" si="52"/>
        <v>#N/A</v>
      </c>
      <c r="AA462" s="75" t="e">
        <f t="shared" ca="1" si="48"/>
        <v>#N/A</v>
      </c>
      <c r="AB462" s="76">
        <f t="shared" ca="1" si="53"/>
        <v>0</v>
      </c>
      <c r="AC462" s="75">
        <f t="shared" ca="1" si="49"/>
        <v>0</v>
      </c>
      <c r="AD462" s="76">
        <f t="shared" ca="1" si="54"/>
        <v>12388.425642824073</v>
      </c>
      <c r="AE462" s="76">
        <f t="shared" si="55"/>
        <v>0</v>
      </c>
      <c r="AF462" s="75">
        <f t="shared" si="50"/>
        <v>0</v>
      </c>
      <c r="AG462" s="75">
        <f t="shared" si="51"/>
        <v>0</v>
      </c>
      <c r="AH462" s="31" t="e" cm="1">
        <f t="array" aca="1" ref="AH462" ca="1">IF((AD462) &lt; (INDEX(ResponseSLA[#All],(MATCH((G462),ResponseSLA[Priority],0))+1,3)),"YES","No")</f>
        <v>#N/A</v>
      </c>
      <c r="AI462" s="31" t="str">
        <f>_xlfn.IFNA(IF(AE462 &lt; (INDEX(SLATable[Minimum SLA],MATCH(G462,SLATable[Priority],0))),"YES","NO"),"")</f>
        <v/>
      </c>
      <c r="AJ462" t="str">
        <f>_xlfn.IFNA(IF(AE462 &lt; (INDEX(SLATable[Maximum SLA],MATCH(G462,SLATable[Priority],0))),"YES","NO"),"")</f>
        <v/>
      </c>
    </row>
    <row r="463" spans="26:36" ht="15" customHeight="1">
      <c r="Z463" s="76" t="e">
        <f t="shared" ca="1" si="52"/>
        <v>#N/A</v>
      </c>
      <c r="AA463" s="75" t="e">
        <f t="shared" ca="1" si="48"/>
        <v>#N/A</v>
      </c>
      <c r="AB463" s="76">
        <f t="shared" ca="1" si="53"/>
        <v>0</v>
      </c>
      <c r="AC463" s="75">
        <f t="shared" ca="1" si="49"/>
        <v>0</v>
      </c>
      <c r="AD463" s="76">
        <f t="shared" ca="1" si="54"/>
        <v>12388.425643055558</v>
      </c>
      <c r="AE463" s="76">
        <f t="shared" si="55"/>
        <v>0</v>
      </c>
      <c r="AF463" s="75">
        <f t="shared" si="50"/>
        <v>0</v>
      </c>
      <c r="AG463" s="75">
        <f t="shared" si="51"/>
        <v>0</v>
      </c>
      <c r="AH463" s="31" t="e" cm="1">
        <f t="array" aca="1" ref="AH463" ca="1">IF((AD463) &lt; (INDEX(ResponseSLA[#All],(MATCH((G463),ResponseSLA[Priority],0))+1,3)),"YES","No")</f>
        <v>#N/A</v>
      </c>
      <c r="AI463" s="31" t="str">
        <f>_xlfn.IFNA(IF(AE463 &lt; (INDEX(SLATable[Minimum SLA],MATCH(G463,SLATable[Priority],0))),"YES","NO"),"")</f>
        <v/>
      </c>
      <c r="AJ463" t="str">
        <f>_xlfn.IFNA(IF(AE463 &lt; (INDEX(SLATable[Maximum SLA],MATCH(G463,SLATable[Priority],0))),"YES","NO"),"")</f>
        <v/>
      </c>
    </row>
    <row r="464" spans="26:36" ht="15" customHeight="1">
      <c r="Z464" s="76" t="e">
        <f t="shared" ca="1" si="52"/>
        <v>#N/A</v>
      </c>
      <c r="AA464" s="75" t="e">
        <f t="shared" ca="1" si="48"/>
        <v>#N/A</v>
      </c>
      <c r="AB464" s="76">
        <f t="shared" ca="1" si="53"/>
        <v>0</v>
      </c>
      <c r="AC464" s="75">
        <f t="shared" ca="1" si="49"/>
        <v>0</v>
      </c>
      <c r="AD464" s="76">
        <f t="shared" ca="1" si="54"/>
        <v>12388.425643055558</v>
      </c>
      <c r="AE464" s="76">
        <f t="shared" si="55"/>
        <v>0</v>
      </c>
      <c r="AF464" s="75">
        <f t="shared" si="50"/>
        <v>0</v>
      </c>
      <c r="AG464" s="75">
        <f t="shared" si="51"/>
        <v>0</v>
      </c>
      <c r="AH464" s="31" t="e" cm="1">
        <f t="array" aca="1" ref="AH464" ca="1">IF((AD464) &lt; (INDEX(ResponseSLA[#All],(MATCH((G464),ResponseSLA[Priority],0))+1,3)),"YES","No")</f>
        <v>#N/A</v>
      </c>
      <c r="AI464" s="31" t="str">
        <f>_xlfn.IFNA(IF(AE464 &lt; (INDEX(SLATable[Minimum SLA],MATCH(G464,SLATable[Priority],0))),"YES","NO"),"")</f>
        <v/>
      </c>
      <c r="AJ464" t="str">
        <f>_xlfn.IFNA(IF(AE464 &lt; (INDEX(SLATable[Maximum SLA],MATCH(G464,SLATable[Priority],0))),"YES","NO"),"")</f>
        <v/>
      </c>
    </row>
    <row r="465" spans="26:36" ht="15" customHeight="1">
      <c r="Z465" s="76" t="e">
        <f t="shared" ca="1" si="52"/>
        <v>#N/A</v>
      </c>
      <c r="AA465" s="75" t="e">
        <f t="shared" ca="1" si="48"/>
        <v>#N/A</v>
      </c>
      <c r="AB465" s="76">
        <f t="shared" ca="1" si="53"/>
        <v>0</v>
      </c>
      <c r="AC465" s="75">
        <f t="shared" ca="1" si="49"/>
        <v>0</v>
      </c>
      <c r="AD465" s="76">
        <f t="shared" ca="1" si="54"/>
        <v>12388.425642824073</v>
      </c>
      <c r="AE465" s="76">
        <f t="shared" si="55"/>
        <v>0</v>
      </c>
      <c r="AF465" s="75">
        <f t="shared" si="50"/>
        <v>0</v>
      </c>
      <c r="AG465" s="75">
        <f t="shared" si="51"/>
        <v>0</v>
      </c>
      <c r="AH465" s="31" t="e" cm="1">
        <f t="array" aca="1" ref="AH465" ca="1">IF((AD465) &lt; (INDEX(ResponseSLA[#All],(MATCH((G465),ResponseSLA[Priority],0))+1,3)),"YES","No")</f>
        <v>#N/A</v>
      </c>
      <c r="AI465" s="31" t="str">
        <f>_xlfn.IFNA(IF(AE465 &lt; (INDEX(SLATable[Minimum SLA],MATCH(G465,SLATable[Priority],0))),"YES","NO"),"")</f>
        <v/>
      </c>
      <c r="AJ465" t="str">
        <f>_xlfn.IFNA(IF(AE465 &lt; (INDEX(SLATable[Maximum SLA],MATCH(G465,SLATable[Priority],0))),"YES","NO"),"")</f>
        <v/>
      </c>
    </row>
    <row r="466" spans="26:36" ht="15" customHeight="1">
      <c r="Z466" s="76" t="e">
        <f t="shared" ca="1" si="52"/>
        <v>#N/A</v>
      </c>
      <c r="AA466" s="75" t="e">
        <f t="shared" ca="1" si="48"/>
        <v>#N/A</v>
      </c>
      <c r="AB466" s="76">
        <f t="shared" ca="1" si="53"/>
        <v>0</v>
      </c>
      <c r="AC466" s="75">
        <f t="shared" ca="1" si="49"/>
        <v>0</v>
      </c>
      <c r="AD466" s="76">
        <f t="shared" ca="1" si="54"/>
        <v>12388.425643055558</v>
      </c>
      <c r="AE466" s="76">
        <f t="shared" si="55"/>
        <v>0</v>
      </c>
      <c r="AF466" s="75">
        <f t="shared" si="50"/>
        <v>0</v>
      </c>
      <c r="AG466" s="75">
        <f t="shared" si="51"/>
        <v>0</v>
      </c>
      <c r="AH466" s="31" t="e" cm="1">
        <f t="array" aca="1" ref="AH466" ca="1">IF((AD466) &lt; (INDEX(ResponseSLA[#All],(MATCH((G466),ResponseSLA[Priority],0))+1,3)),"YES","No")</f>
        <v>#N/A</v>
      </c>
      <c r="AI466" s="31" t="str">
        <f>_xlfn.IFNA(IF(AE466 &lt; (INDEX(SLATable[Minimum SLA],MATCH(G466,SLATable[Priority],0))),"YES","NO"),"")</f>
        <v/>
      </c>
      <c r="AJ466" t="str">
        <f>_xlfn.IFNA(IF(AE466 &lt; (INDEX(SLATable[Maximum SLA],MATCH(G466,SLATable[Priority],0))),"YES","NO"),"")</f>
        <v/>
      </c>
    </row>
    <row r="467" spans="26:36" ht="15" customHeight="1">
      <c r="Z467" s="76" t="e">
        <f t="shared" ca="1" si="52"/>
        <v>#N/A</v>
      </c>
      <c r="AA467" s="75" t="e">
        <f t="shared" ca="1" si="48"/>
        <v>#N/A</v>
      </c>
      <c r="AB467" s="76">
        <f t="shared" ca="1" si="53"/>
        <v>0</v>
      </c>
      <c r="AC467" s="75">
        <f t="shared" ca="1" si="49"/>
        <v>0</v>
      </c>
      <c r="AD467" s="76">
        <f t="shared" ca="1" si="54"/>
        <v>12388.425643055558</v>
      </c>
      <c r="AE467" s="76">
        <f t="shared" si="55"/>
        <v>0</v>
      </c>
      <c r="AF467" s="75">
        <f t="shared" si="50"/>
        <v>0</v>
      </c>
      <c r="AG467" s="75">
        <f t="shared" si="51"/>
        <v>0</v>
      </c>
      <c r="AH467" s="31" t="e" cm="1">
        <f t="array" aca="1" ref="AH467" ca="1">IF((AD467) &lt; (INDEX(ResponseSLA[#All],(MATCH((G467),ResponseSLA[Priority],0))+1,3)),"YES","No")</f>
        <v>#N/A</v>
      </c>
      <c r="AI467" s="31" t="str">
        <f>_xlfn.IFNA(IF(AE467 &lt; (INDEX(SLATable[Minimum SLA],MATCH(G467,SLATable[Priority],0))),"YES","NO"),"")</f>
        <v/>
      </c>
      <c r="AJ467" t="str">
        <f>_xlfn.IFNA(IF(AE467 &lt; (INDEX(SLATable[Maximum SLA],MATCH(G467,SLATable[Priority],0))),"YES","NO"),"")</f>
        <v/>
      </c>
    </row>
    <row r="468" spans="26:36" ht="15" customHeight="1">
      <c r="Z468" s="76" t="e">
        <f t="shared" ca="1" si="52"/>
        <v>#N/A</v>
      </c>
      <c r="AA468" s="75" t="e">
        <f t="shared" ca="1" si="48"/>
        <v>#N/A</v>
      </c>
      <c r="AB468" s="76">
        <f t="shared" ca="1" si="53"/>
        <v>0</v>
      </c>
      <c r="AC468" s="75">
        <f t="shared" ca="1" si="49"/>
        <v>0</v>
      </c>
      <c r="AD468" s="76">
        <f t="shared" ca="1" si="54"/>
        <v>12388.425642824073</v>
      </c>
      <c r="AE468" s="76">
        <f t="shared" si="55"/>
        <v>0</v>
      </c>
      <c r="AF468" s="75">
        <f t="shared" si="50"/>
        <v>0</v>
      </c>
      <c r="AG468" s="75">
        <f t="shared" si="51"/>
        <v>0</v>
      </c>
      <c r="AH468" s="31" t="e" cm="1">
        <f t="array" aca="1" ref="AH468" ca="1">IF((AD468) &lt; (INDEX(ResponseSLA[#All],(MATCH((G468),ResponseSLA[Priority],0))+1,3)),"YES","No")</f>
        <v>#N/A</v>
      </c>
      <c r="AI468" s="31" t="str">
        <f>_xlfn.IFNA(IF(AE468 &lt; (INDEX(SLATable[Minimum SLA],MATCH(G468,SLATable[Priority],0))),"YES","NO"),"")</f>
        <v/>
      </c>
      <c r="AJ468" t="str">
        <f>_xlfn.IFNA(IF(AE468 &lt; (INDEX(SLATable[Maximum SLA],MATCH(G468,SLATable[Priority],0))),"YES","NO"),"")</f>
        <v/>
      </c>
    </row>
    <row r="469" spans="26:36" ht="15" customHeight="1">
      <c r="Z469" s="76" t="e">
        <f t="shared" ca="1" si="52"/>
        <v>#N/A</v>
      </c>
      <c r="AA469" s="75" t="e">
        <f t="shared" ca="1" si="48"/>
        <v>#N/A</v>
      </c>
      <c r="AB469" s="76">
        <f t="shared" ca="1" si="53"/>
        <v>0</v>
      </c>
      <c r="AC469" s="75">
        <f t="shared" ca="1" si="49"/>
        <v>0</v>
      </c>
      <c r="AD469" s="76">
        <f t="shared" ca="1" si="54"/>
        <v>12388.425643055558</v>
      </c>
      <c r="AE469" s="76">
        <f t="shared" si="55"/>
        <v>0</v>
      </c>
      <c r="AF469" s="75">
        <f t="shared" si="50"/>
        <v>0</v>
      </c>
      <c r="AG469" s="75">
        <f t="shared" si="51"/>
        <v>0</v>
      </c>
      <c r="AH469" s="31" t="e" cm="1">
        <f t="array" aca="1" ref="AH469" ca="1">IF((AD469) &lt; (INDEX(ResponseSLA[#All],(MATCH((G469),ResponseSLA[Priority],0))+1,3)),"YES","No")</f>
        <v>#N/A</v>
      </c>
      <c r="AI469" s="31" t="str">
        <f>_xlfn.IFNA(IF(AE469 &lt; (INDEX(SLATable[Minimum SLA],MATCH(G469,SLATable[Priority],0))),"YES","NO"),"")</f>
        <v/>
      </c>
      <c r="AJ469" t="str">
        <f>_xlfn.IFNA(IF(AE469 &lt; (INDEX(SLATable[Maximum SLA],MATCH(G469,SLATable[Priority],0))),"YES","NO"),"")</f>
        <v/>
      </c>
    </row>
    <row r="470" spans="26:36" ht="15" customHeight="1">
      <c r="Z470" s="76" t="e">
        <f t="shared" ca="1" si="52"/>
        <v>#N/A</v>
      </c>
      <c r="AA470" s="75" t="e">
        <f t="shared" ca="1" si="48"/>
        <v>#N/A</v>
      </c>
      <c r="AB470" s="76">
        <f t="shared" ca="1" si="53"/>
        <v>0</v>
      </c>
      <c r="AC470" s="75">
        <f t="shared" ca="1" si="49"/>
        <v>0</v>
      </c>
      <c r="AD470" s="76">
        <f t="shared" ca="1" si="54"/>
        <v>12388.425643055558</v>
      </c>
      <c r="AE470" s="76">
        <f t="shared" si="55"/>
        <v>0</v>
      </c>
      <c r="AF470" s="75">
        <f t="shared" si="50"/>
        <v>0</v>
      </c>
      <c r="AG470" s="75">
        <f t="shared" si="51"/>
        <v>0</v>
      </c>
      <c r="AH470" s="31" t="e" cm="1">
        <f t="array" aca="1" ref="AH470" ca="1">IF((AD470) &lt; (INDEX(ResponseSLA[#All],(MATCH((G470),ResponseSLA[Priority],0))+1,3)),"YES","No")</f>
        <v>#N/A</v>
      </c>
      <c r="AI470" s="31" t="str">
        <f>_xlfn.IFNA(IF(AE470 &lt; (INDEX(SLATable[Minimum SLA],MATCH(G470,SLATable[Priority],0))),"YES","NO"),"")</f>
        <v/>
      </c>
      <c r="AJ470" t="str">
        <f>_xlfn.IFNA(IF(AE470 &lt; (INDEX(SLATable[Maximum SLA],MATCH(G470,SLATable[Priority],0))),"YES","NO"),"")</f>
        <v/>
      </c>
    </row>
    <row r="471" spans="26:36" ht="15" customHeight="1">
      <c r="Z471" s="76" t="e">
        <f t="shared" ca="1" si="52"/>
        <v>#N/A</v>
      </c>
      <c r="AA471" s="75" t="e">
        <f t="shared" ca="1" si="48"/>
        <v>#N/A</v>
      </c>
      <c r="AB471" s="76">
        <f t="shared" ca="1" si="53"/>
        <v>0</v>
      </c>
      <c r="AC471" s="75">
        <f t="shared" ca="1" si="49"/>
        <v>0</v>
      </c>
      <c r="AD471" s="76">
        <f t="shared" ca="1" si="54"/>
        <v>12388.425642824073</v>
      </c>
      <c r="AE471" s="76">
        <f t="shared" si="55"/>
        <v>0</v>
      </c>
      <c r="AF471" s="75">
        <f t="shared" si="50"/>
        <v>0</v>
      </c>
      <c r="AG471" s="75">
        <f t="shared" si="51"/>
        <v>0</v>
      </c>
      <c r="AH471" s="31" t="e" cm="1">
        <f t="array" aca="1" ref="AH471" ca="1">IF((AD471) &lt; (INDEX(ResponseSLA[#All],(MATCH((G471),ResponseSLA[Priority],0))+1,3)),"YES","No")</f>
        <v>#N/A</v>
      </c>
      <c r="AI471" s="31" t="str">
        <f>_xlfn.IFNA(IF(AE471 &lt; (INDEX(SLATable[Minimum SLA],MATCH(G471,SLATable[Priority],0))),"YES","NO"),"")</f>
        <v/>
      </c>
      <c r="AJ471" t="str">
        <f>_xlfn.IFNA(IF(AE471 &lt; (INDEX(SLATable[Maximum SLA],MATCH(G471,SLATable[Priority],0))),"YES","NO"),"")</f>
        <v/>
      </c>
    </row>
    <row r="472" spans="26:36" ht="15" customHeight="1">
      <c r="Z472" s="76" t="e">
        <f t="shared" ca="1" si="52"/>
        <v>#N/A</v>
      </c>
      <c r="AA472" s="75" t="e">
        <f t="shared" ca="1" si="48"/>
        <v>#N/A</v>
      </c>
      <c r="AB472" s="76">
        <f t="shared" ca="1" si="53"/>
        <v>0</v>
      </c>
      <c r="AC472" s="75">
        <f t="shared" ca="1" si="49"/>
        <v>0</v>
      </c>
      <c r="AD472" s="76">
        <f t="shared" ca="1" si="54"/>
        <v>12388.425643055558</v>
      </c>
      <c r="AE472" s="76">
        <f t="shared" si="55"/>
        <v>0</v>
      </c>
      <c r="AF472" s="75">
        <f t="shared" si="50"/>
        <v>0</v>
      </c>
      <c r="AG472" s="75">
        <f t="shared" si="51"/>
        <v>0</v>
      </c>
      <c r="AH472" s="31" t="e" cm="1">
        <f t="array" aca="1" ref="AH472" ca="1">IF((AD472) &lt; (INDEX(ResponseSLA[#All],(MATCH((G472),ResponseSLA[Priority],0))+1,3)),"YES","No")</f>
        <v>#N/A</v>
      </c>
      <c r="AI472" s="31" t="str">
        <f>_xlfn.IFNA(IF(AE472 &lt; (INDEX(SLATable[Minimum SLA],MATCH(G472,SLATable[Priority],0))),"YES","NO"),"")</f>
        <v/>
      </c>
      <c r="AJ472" t="str">
        <f>_xlfn.IFNA(IF(AE472 &lt; (INDEX(SLATable[Maximum SLA],MATCH(G472,SLATable[Priority],0))),"YES","NO"),"")</f>
        <v/>
      </c>
    </row>
    <row r="473" spans="26:36" ht="15" customHeight="1">
      <c r="Z473" s="76" t="e">
        <f t="shared" ca="1" si="52"/>
        <v>#N/A</v>
      </c>
      <c r="AA473" s="75" t="e">
        <f t="shared" ca="1" si="48"/>
        <v>#N/A</v>
      </c>
      <c r="AB473" s="76">
        <f t="shared" ca="1" si="53"/>
        <v>0</v>
      </c>
      <c r="AC473" s="75">
        <f t="shared" ca="1" si="49"/>
        <v>0</v>
      </c>
      <c r="AD473" s="76">
        <f t="shared" ca="1" si="54"/>
        <v>12388.425643055558</v>
      </c>
      <c r="AE473" s="76">
        <f t="shared" si="55"/>
        <v>0</v>
      </c>
      <c r="AF473" s="75">
        <f t="shared" si="50"/>
        <v>0</v>
      </c>
      <c r="AG473" s="75">
        <f t="shared" si="51"/>
        <v>0</v>
      </c>
      <c r="AH473" s="31" t="e" cm="1">
        <f t="array" aca="1" ref="AH473" ca="1">IF((AD473) &lt; (INDEX(ResponseSLA[#All],(MATCH((G473),ResponseSLA[Priority],0))+1,3)),"YES","No")</f>
        <v>#N/A</v>
      </c>
      <c r="AI473" s="31" t="str">
        <f>_xlfn.IFNA(IF(AE473 &lt; (INDEX(SLATable[Minimum SLA],MATCH(G473,SLATable[Priority],0))),"YES","NO"),"")</f>
        <v/>
      </c>
      <c r="AJ473" t="str">
        <f>_xlfn.IFNA(IF(AE473 &lt; (INDEX(SLATable[Maximum SLA],MATCH(G473,SLATable[Priority],0))),"YES","NO"),"")</f>
        <v/>
      </c>
    </row>
    <row r="474" spans="26:36" ht="15" customHeight="1">
      <c r="Z474" s="76" t="e">
        <f t="shared" ca="1" si="52"/>
        <v>#N/A</v>
      </c>
      <c r="AA474" s="75" t="e">
        <f t="shared" ca="1" si="48"/>
        <v>#N/A</v>
      </c>
      <c r="AB474" s="76">
        <f t="shared" ca="1" si="53"/>
        <v>0</v>
      </c>
      <c r="AC474" s="75">
        <f t="shared" ca="1" si="49"/>
        <v>0</v>
      </c>
      <c r="AD474" s="76">
        <f t="shared" ca="1" si="54"/>
        <v>12388.425642824073</v>
      </c>
      <c r="AE474" s="76">
        <f t="shared" si="55"/>
        <v>0</v>
      </c>
      <c r="AF474" s="75">
        <f t="shared" si="50"/>
        <v>0</v>
      </c>
      <c r="AG474" s="75">
        <f t="shared" si="51"/>
        <v>0</v>
      </c>
      <c r="AH474" s="31" t="e" cm="1">
        <f t="array" aca="1" ref="AH474" ca="1">IF((AD474) &lt; (INDEX(ResponseSLA[#All],(MATCH((G474),ResponseSLA[Priority],0))+1,3)),"YES","No")</f>
        <v>#N/A</v>
      </c>
      <c r="AI474" s="31" t="str">
        <f>_xlfn.IFNA(IF(AE474 &lt; (INDEX(SLATable[Minimum SLA],MATCH(G474,SLATable[Priority],0))),"YES","NO"),"")</f>
        <v/>
      </c>
      <c r="AJ474" t="str">
        <f>_xlfn.IFNA(IF(AE474 &lt; (INDEX(SLATable[Maximum SLA],MATCH(G474,SLATable[Priority],0))),"YES","NO"),"")</f>
        <v/>
      </c>
    </row>
    <row r="475" spans="26:36" ht="15" customHeight="1">
      <c r="Z475" s="76" t="e">
        <f t="shared" ca="1" si="52"/>
        <v>#N/A</v>
      </c>
      <c r="AA475" s="75" t="e">
        <f t="shared" ca="1" si="48"/>
        <v>#N/A</v>
      </c>
      <c r="AB475" s="76">
        <f t="shared" ca="1" si="53"/>
        <v>0</v>
      </c>
      <c r="AC475" s="75">
        <f t="shared" ca="1" si="49"/>
        <v>0</v>
      </c>
      <c r="AD475" s="76">
        <f t="shared" ca="1" si="54"/>
        <v>12388.425643055558</v>
      </c>
      <c r="AE475" s="76">
        <f t="shared" si="55"/>
        <v>0</v>
      </c>
      <c r="AF475" s="75">
        <f t="shared" si="50"/>
        <v>0</v>
      </c>
      <c r="AG475" s="75">
        <f t="shared" si="51"/>
        <v>0</v>
      </c>
      <c r="AH475" s="31" t="e" cm="1">
        <f t="array" aca="1" ref="AH475" ca="1">IF((AD475) &lt; (INDEX(ResponseSLA[#All],(MATCH((G475),ResponseSLA[Priority],0))+1,3)),"YES","No")</f>
        <v>#N/A</v>
      </c>
      <c r="AI475" s="31" t="str">
        <f>_xlfn.IFNA(IF(AE475 &lt; (INDEX(SLATable[Minimum SLA],MATCH(G475,SLATable[Priority],0))),"YES","NO"),"")</f>
        <v/>
      </c>
      <c r="AJ475" t="str">
        <f>_xlfn.IFNA(IF(AE475 &lt; (INDEX(SLATable[Maximum SLA],MATCH(G475,SLATable[Priority],0))),"YES","NO"),"")</f>
        <v/>
      </c>
    </row>
    <row r="476" spans="26:36" ht="15" customHeight="1">
      <c r="Z476" s="76" t="e">
        <f t="shared" ca="1" si="52"/>
        <v>#N/A</v>
      </c>
      <c r="AA476" s="75" t="e">
        <f t="shared" ca="1" si="48"/>
        <v>#N/A</v>
      </c>
      <c r="AB476" s="76">
        <f t="shared" ca="1" si="53"/>
        <v>0</v>
      </c>
      <c r="AC476" s="75">
        <f t="shared" ca="1" si="49"/>
        <v>0</v>
      </c>
      <c r="AD476" s="76">
        <f t="shared" ca="1" si="54"/>
        <v>12388.425643055558</v>
      </c>
      <c r="AE476" s="76">
        <f t="shared" si="55"/>
        <v>0</v>
      </c>
      <c r="AF476" s="75">
        <f t="shared" si="50"/>
        <v>0</v>
      </c>
      <c r="AG476" s="75">
        <f t="shared" si="51"/>
        <v>0</v>
      </c>
      <c r="AH476" s="31" t="e" cm="1">
        <f t="array" aca="1" ref="AH476" ca="1">IF((AD476) &lt; (INDEX(ResponseSLA[#All],(MATCH((G476),ResponseSLA[Priority],0))+1,3)),"YES","No")</f>
        <v>#N/A</v>
      </c>
      <c r="AI476" s="31" t="str">
        <f>_xlfn.IFNA(IF(AE476 &lt; (INDEX(SLATable[Minimum SLA],MATCH(G476,SLATable[Priority],0))),"YES","NO"),"")</f>
        <v/>
      </c>
      <c r="AJ476" t="str">
        <f>_xlfn.IFNA(IF(AE476 &lt; (INDEX(SLATable[Maximum SLA],MATCH(G476,SLATable[Priority],0))),"YES","NO"),"")</f>
        <v/>
      </c>
    </row>
    <row r="477" spans="26:36" ht="15" customHeight="1">
      <c r="Z477" s="76" t="e">
        <f t="shared" ca="1" si="52"/>
        <v>#N/A</v>
      </c>
      <c r="AA477" s="75" t="e">
        <f t="shared" ca="1" si="48"/>
        <v>#N/A</v>
      </c>
      <c r="AB477" s="76">
        <f t="shared" ca="1" si="53"/>
        <v>0</v>
      </c>
      <c r="AC477" s="75">
        <f t="shared" ca="1" si="49"/>
        <v>0</v>
      </c>
      <c r="AD477" s="76">
        <f t="shared" ca="1" si="54"/>
        <v>12388.425642824073</v>
      </c>
      <c r="AE477" s="76">
        <f t="shared" si="55"/>
        <v>0</v>
      </c>
      <c r="AF477" s="75">
        <f t="shared" si="50"/>
        <v>0</v>
      </c>
      <c r="AG477" s="75">
        <f t="shared" si="51"/>
        <v>0</v>
      </c>
      <c r="AH477" s="31" t="e" cm="1">
        <f t="array" aca="1" ref="AH477" ca="1">IF((AD477) &lt; (INDEX(ResponseSLA[#All],(MATCH((G477),ResponseSLA[Priority],0))+1,3)),"YES","No")</f>
        <v>#N/A</v>
      </c>
      <c r="AI477" s="31" t="str">
        <f>_xlfn.IFNA(IF(AE477 &lt; (INDEX(SLATable[Minimum SLA],MATCH(G477,SLATable[Priority],0))),"YES","NO"),"")</f>
        <v/>
      </c>
      <c r="AJ477" t="str">
        <f>_xlfn.IFNA(IF(AE477 &lt; (INDEX(SLATable[Maximum SLA],MATCH(G477,SLATable[Priority],0))),"YES","NO"),"")</f>
        <v/>
      </c>
    </row>
    <row r="478" spans="26:36" ht="15" customHeight="1">
      <c r="Z478" s="76" t="e">
        <f t="shared" ca="1" si="52"/>
        <v>#N/A</v>
      </c>
      <c r="AA478" s="75" t="e">
        <f t="shared" ca="1" si="48"/>
        <v>#N/A</v>
      </c>
      <c r="AB478" s="76">
        <f t="shared" ca="1" si="53"/>
        <v>0</v>
      </c>
      <c r="AC478" s="75">
        <f t="shared" ca="1" si="49"/>
        <v>0</v>
      </c>
      <c r="AD478" s="76">
        <f t="shared" ca="1" si="54"/>
        <v>12388.425643055558</v>
      </c>
      <c r="AE478" s="76">
        <f t="shared" si="55"/>
        <v>0</v>
      </c>
      <c r="AF478" s="75">
        <f t="shared" si="50"/>
        <v>0</v>
      </c>
      <c r="AG478" s="75">
        <f t="shared" si="51"/>
        <v>0</v>
      </c>
      <c r="AH478" s="31" t="e" cm="1">
        <f t="array" aca="1" ref="AH478" ca="1">IF((AD478) &lt; (INDEX(ResponseSLA[#All],(MATCH((G478),ResponseSLA[Priority],0))+1,3)),"YES","No")</f>
        <v>#N/A</v>
      </c>
      <c r="AI478" s="31" t="str">
        <f>_xlfn.IFNA(IF(AE478 &lt; (INDEX(SLATable[Minimum SLA],MATCH(G478,SLATable[Priority],0))),"YES","NO"),"")</f>
        <v/>
      </c>
      <c r="AJ478" t="str">
        <f>_xlfn.IFNA(IF(AE478 &lt; (INDEX(SLATable[Maximum SLA],MATCH(G478,SLATable[Priority],0))),"YES","NO"),"")</f>
        <v/>
      </c>
    </row>
    <row r="479" spans="26:36" ht="15" customHeight="1">
      <c r="Z479" s="76" t="e">
        <f t="shared" ca="1" si="52"/>
        <v>#N/A</v>
      </c>
      <c r="AA479" s="75" t="e">
        <f t="shared" ca="1" si="48"/>
        <v>#N/A</v>
      </c>
      <c r="AB479" s="76">
        <f t="shared" ca="1" si="53"/>
        <v>0</v>
      </c>
      <c r="AC479" s="75">
        <f t="shared" ca="1" si="49"/>
        <v>0</v>
      </c>
      <c r="AD479" s="76">
        <f t="shared" ca="1" si="54"/>
        <v>12388.425643055558</v>
      </c>
      <c r="AE479" s="76">
        <f t="shared" si="55"/>
        <v>0</v>
      </c>
      <c r="AF479" s="75">
        <f t="shared" si="50"/>
        <v>0</v>
      </c>
      <c r="AG479" s="75">
        <f t="shared" si="51"/>
        <v>0</v>
      </c>
      <c r="AH479" s="31" t="e" cm="1">
        <f t="array" aca="1" ref="AH479" ca="1">IF((AD479) &lt; (INDEX(ResponseSLA[#All],(MATCH((G479),ResponseSLA[Priority],0))+1,3)),"YES","No")</f>
        <v>#N/A</v>
      </c>
      <c r="AI479" s="31" t="str">
        <f>_xlfn.IFNA(IF(AE479 &lt; (INDEX(SLATable[Minimum SLA],MATCH(G479,SLATable[Priority],0))),"YES","NO"),"")</f>
        <v/>
      </c>
      <c r="AJ479" t="str">
        <f>_xlfn.IFNA(IF(AE479 &lt; (INDEX(SLATable[Maximum SLA],MATCH(G479,SLATable[Priority],0))),"YES","NO"),"")</f>
        <v/>
      </c>
    </row>
    <row r="480" spans="26:36" ht="15" customHeight="1">
      <c r="Z480" s="76" t="e">
        <f t="shared" ca="1" si="52"/>
        <v>#N/A</v>
      </c>
      <c r="AA480" s="75" t="e">
        <f t="shared" ca="1" si="48"/>
        <v>#N/A</v>
      </c>
      <c r="AB480" s="76">
        <f t="shared" ca="1" si="53"/>
        <v>0</v>
      </c>
      <c r="AC480" s="75">
        <f t="shared" ca="1" si="49"/>
        <v>0</v>
      </c>
      <c r="AD480" s="76">
        <f t="shared" ca="1" si="54"/>
        <v>12388.425642824073</v>
      </c>
      <c r="AE480" s="76">
        <f t="shared" si="55"/>
        <v>0</v>
      </c>
      <c r="AF480" s="75">
        <f t="shared" si="50"/>
        <v>0</v>
      </c>
      <c r="AG480" s="75">
        <f t="shared" si="51"/>
        <v>0</v>
      </c>
      <c r="AH480" s="31" t="e" cm="1">
        <f t="array" aca="1" ref="AH480" ca="1">IF((AD480) &lt; (INDEX(ResponseSLA[#All],(MATCH((G480),ResponseSLA[Priority],0))+1,3)),"YES","No")</f>
        <v>#N/A</v>
      </c>
      <c r="AI480" s="31" t="str">
        <f>_xlfn.IFNA(IF(AE480 &lt; (INDEX(SLATable[Minimum SLA],MATCH(G480,SLATable[Priority],0))),"YES","NO"),"")</f>
        <v/>
      </c>
      <c r="AJ480" t="str">
        <f>_xlfn.IFNA(IF(AE480 &lt; (INDEX(SLATable[Maximum SLA],MATCH(G480,SLATable[Priority],0))),"YES","NO"),"")</f>
        <v/>
      </c>
    </row>
    <row r="481" spans="26:36" ht="15" customHeight="1">
      <c r="Z481" s="76" t="e">
        <f t="shared" ca="1" si="52"/>
        <v>#N/A</v>
      </c>
      <c r="AA481" s="75" t="e">
        <f t="shared" ca="1" si="48"/>
        <v>#N/A</v>
      </c>
      <c r="AB481" s="76">
        <f t="shared" ca="1" si="53"/>
        <v>0</v>
      </c>
      <c r="AC481" s="75">
        <f t="shared" ca="1" si="49"/>
        <v>0</v>
      </c>
      <c r="AD481" s="76">
        <f t="shared" ca="1" si="54"/>
        <v>12388.425643055558</v>
      </c>
      <c r="AE481" s="76">
        <f t="shared" si="55"/>
        <v>0</v>
      </c>
      <c r="AF481" s="75">
        <f t="shared" si="50"/>
        <v>0</v>
      </c>
      <c r="AG481" s="75">
        <f t="shared" si="51"/>
        <v>0</v>
      </c>
      <c r="AH481" s="31" t="e" cm="1">
        <f t="array" aca="1" ref="AH481" ca="1">IF((AD481) &lt; (INDEX(ResponseSLA[#All],(MATCH((G481),ResponseSLA[Priority],0))+1,3)),"YES","No")</f>
        <v>#N/A</v>
      </c>
      <c r="AI481" s="31" t="str">
        <f>_xlfn.IFNA(IF(AE481 &lt; (INDEX(SLATable[Minimum SLA],MATCH(G481,SLATable[Priority],0))),"YES","NO"),"")</f>
        <v/>
      </c>
      <c r="AJ481" t="str">
        <f>_xlfn.IFNA(IF(AE481 &lt; (INDEX(SLATable[Maximum SLA],MATCH(G481,SLATable[Priority],0))),"YES","NO"),"")</f>
        <v/>
      </c>
    </row>
    <row r="482" spans="26:36" ht="15" customHeight="1">
      <c r="Z482" s="76" t="e">
        <f t="shared" ca="1" si="52"/>
        <v>#N/A</v>
      </c>
      <c r="AA482" s="75" t="e">
        <f t="shared" ca="1" si="48"/>
        <v>#N/A</v>
      </c>
      <c r="AB482" s="76">
        <f t="shared" ca="1" si="53"/>
        <v>0</v>
      </c>
      <c r="AC482" s="75">
        <f t="shared" ca="1" si="49"/>
        <v>0</v>
      </c>
      <c r="AD482" s="76">
        <f t="shared" ca="1" si="54"/>
        <v>12388.425643055558</v>
      </c>
      <c r="AE482" s="76">
        <f t="shared" si="55"/>
        <v>0</v>
      </c>
      <c r="AF482" s="75">
        <f t="shared" si="50"/>
        <v>0</v>
      </c>
      <c r="AG482" s="75">
        <f t="shared" si="51"/>
        <v>0</v>
      </c>
      <c r="AH482" s="31" t="e" cm="1">
        <f t="array" aca="1" ref="AH482" ca="1">IF((AD482) &lt; (INDEX(ResponseSLA[#All],(MATCH((G482),ResponseSLA[Priority],0))+1,3)),"YES","No")</f>
        <v>#N/A</v>
      </c>
      <c r="AI482" s="31" t="str">
        <f>_xlfn.IFNA(IF(AE482 &lt; (INDEX(SLATable[Minimum SLA],MATCH(G482,SLATable[Priority],0))),"YES","NO"),"")</f>
        <v/>
      </c>
      <c r="AJ482" t="str">
        <f>_xlfn.IFNA(IF(AE482 &lt; (INDEX(SLATable[Maximum SLA],MATCH(G482,SLATable[Priority],0))),"YES","NO"),"")</f>
        <v/>
      </c>
    </row>
    <row r="483" spans="26:36" ht="15" customHeight="1">
      <c r="Z483" s="76" t="e">
        <f t="shared" ca="1" si="52"/>
        <v>#N/A</v>
      </c>
      <c r="AA483" s="75" t="e">
        <f t="shared" ca="1" si="48"/>
        <v>#N/A</v>
      </c>
      <c r="AB483" s="76">
        <f t="shared" ca="1" si="53"/>
        <v>0</v>
      </c>
      <c r="AC483" s="75">
        <f t="shared" ca="1" si="49"/>
        <v>0</v>
      </c>
      <c r="AD483" s="76">
        <f t="shared" ca="1" si="54"/>
        <v>12388.425642824073</v>
      </c>
      <c r="AE483" s="76">
        <f t="shared" si="55"/>
        <v>0</v>
      </c>
      <c r="AF483" s="75">
        <f t="shared" si="50"/>
        <v>0</v>
      </c>
      <c r="AG483" s="75">
        <f t="shared" si="51"/>
        <v>0</v>
      </c>
      <c r="AH483" s="31" t="e" cm="1">
        <f t="array" aca="1" ref="AH483" ca="1">IF((AD483) &lt; (INDEX(ResponseSLA[#All],(MATCH((G483),ResponseSLA[Priority],0))+1,3)),"YES","No")</f>
        <v>#N/A</v>
      </c>
      <c r="AI483" s="31" t="str">
        <f>_xlfn.IFNA(IF(AE483 &lt; (INDEX(SLATable[Minimum SLA],MATCH(G483,SLATable[Priority],0))),"YES","NO"),"")</f>
        <v/>
      </c>
      <c r="AJ483" t="str">
        <f>_xlfn.IFNA(IF(AE483 &lt; (INDEX(SLATable[Maximum SLA],MATCH(G483,SLATable[Priority],0))),"YES","NO"),"")</f>
        <v/>
      </c>
    </row>
    <row r="484" spans="26:36" ht="15" customHeight="1">
      <c r="Z484" s="76" t="e">
        <f t="shared" ca="1" si="52"/>
        <v>#N/A</v>
      </c>
      <c r="AA484" s="75" t="e">
        <f t="shared" ca="1" si="48"/>
        <v>#N/A</v>
      </c>
      <c r="AB484" s="76">
        <f t="shared" ca="1" si="53"/>
        <v>0</v>
      </c>
      <c r="AC484" s="75">
        <f t="shared" ca="1" si="49"/>
        <v>0</v>
      </c>
      <c r="AD484" s="76">
        <f t="shared" ca="1" si="54"/>
        <v>12388.425643055558</v>
      </c>
      <c r="AE484" s="76">
        <f t="shared" si="55"/>
        <v>0</v>
      </c>
      <c r="AF484" s="75">
        <f t="shared" si="50"/>
        <v>0</v>
      </c>
      <c r="AG484" s="75">
        <f t="shared" si="51"/>
        <v>0</v>
      </c>
      <c r="AH484" s="31" t="e" cm="1">
        <f t="array" aca="1" ref="AH484" ca="1">IF((AD484) &lt; (INDEX(ResponseSLA[#All],(MATCH((G484),ResponseSLA[Priority],0))+1,3)),"YES","No")</f>
        <v>#N/A</v>
      </c>
      <c r="AI484" s="31" t="str">
        <f>_xlfn.IFNA(IF(AE484 &lt; (INDEX(SLATable[Minimum SLA],MATCH(G484,SLATable[Priority],0))),"YES","NO"),"")</f>
        <v/>
      </c>
      <c r="AJ484" t="str">
        <f>_xlfn.IFNA(IF(AE484 &lt; (INDEX(SLATable[Maximum SLA],MATCH(G484,SLATable[Priority],0))),"YES","NO"),"")</f>
        <v/>
      </c>
    </row>
    <row r="485" spans="26:36" ht="15" customHeight="1">
      <c r="Z485" s="76" t="e">
        <f t="shared" ca="1" si="52"/>
        <v>#N/A</v>
      </c>
      <c r="AA485" s="75" t="e">
        <f t="shared" ca="1" si="48"/>
        <v>#N/A</v>
      </c>
      <c r="AB485" s="76">
        <f t="shared" ca="1" si="53"/>
        <v>0</v>
      </c>
      <c r="AC485" s="75">
        <f t="shared" ca="1" si="49"/>
        <v>0</v>
      </c>
      <c r="AD485" s="76">
        <f t="shared" ca="1" si="54"/>
        <v>12388.425643055558</v>
      </c>
      <c r="AE485" s="76">
        <f t="shared" si="55"/>
        <v>0</v>
      </c>
      <c r="AF485" s="75">
        <f t="shared" si="50"/>
        <v>0</v>
      </c>
      <c r="AG485" s="75">
        <f t="shared" si="51"/>
        <v>0</v>
      </c>
      <c r="AH485" s="31" t="e" cm="1">
        <f t="array" aca="1" ref="AH485" ca="1">IF((AD485) &lt; (INDEX(ResponseSLA[#All],(MATCH((G485),ResponseSLA[Priority],0))+1,3)),"YES","No")</f>
        <v>#N/A</v>
      </c>
      <c r="AI485" s="31" t="str">
        <f>_xlfn.IFNA(IF(AE485 &lt; (INDEX(SLATable[Minimum SLA],MATCH(G485,SLATable[Priority],0))),"YES","NO"),"")</f>
        <v/>
      </c>
      <c r="AJ485" t="str">
        <f>_xlfn.IFNA(IF(AE485 &lt; (INDEX(SLATable[Maximum SLA],MATCH(G485,SLATable[Priority],0))),"YES","NO"),"")</f>
        <v/>
      </c>
    </row>
    <row r="486" spans="26:36" ht="15" customHeight="1">
      <c r="Z486" s="76" t="e">
        <f t="shared" ca="1" si="52"/>
        <v>#N/A</v>
      </c>
      <c r="AA486" s="75" t="e">
        <f t="shared" ca="1" si="48"/>
        <v>#N/A</v>
      </c>
      <c r="AB486" s="76">
        <f t="shared" ca="1" si="53"/>
        <v>0</v>
      </c>
      <c r="AC486" s="75">
        <f t="shared" ca="1" si="49"/>
        <v>0</v>
      </c>
      <c r="AD486" s="76">
        <f t="shared" ca="1" si="54"/>
        <v>12388.425643055558</v>
      </c>
      <c r="AE486" s="76">
        <f t="shared" si="55"/>
        <v>0</v>
      </c>
      <c r="AF486" s="75">
        <f t="shared" si="50"/>
        <v>0</v>
      </c>
      <c r="AG486" s="75">
        <f t="shared" si="51"/>
        <v>0</v>
      </c>
      <c r="AH486" s="31" t="e" cm="1">
        <f t="array" aca="1" ref="AH486" ca="1">IF((AD486) &lt; (INDEX(ResponseSLA[#All],(MATCH((G486),ResponseSLA[Priority],0))+1,3)),"YES","No")</f>
        <v>#N/A</v>
      </c>
      <c r="AI486" s="31" t="str">
        <f>_xlfn.IFNA(IF(AE486 &lt; (INDEX(SLATable[Minimum SLA],MATCH(G486,SLATable[Priority],0))),"YES","NO"),"")</f>
        <v/>
      </c>
      <c r="AJ486" t="str">
        <f>_xlfn.IFNA(IF(AE486 &lt; (INDEX(SLATable[Maximum SLA],MATCH(G486,SLATable[Priority],0))),"YES","NO"),"")</f>
        <v/>
      </c>
    </row>
    <row r="487" spans="26:36" ht="15" customHeight="1">
      <c r="Z487" s="76" t="e">
        <f t="shared" ca="1" si="52"/>
        <v>#N/A</v>
      </c>
      <c r="AA487" s="75" t="e">
        <f t="shared" ca="1" si="48"/>
        <v>#N/A</v>
      </c>
      <c r="AB487" s="76">
        <f t="shared" ca="1" si="53"/>
        <v>0</v>
      </c>
      <c r="AC487" s="75">
        <f t="shared" ca="1" si="49"/>
        <v>0</v>
      </c>
      <c r="AD487" s="76">
        <f t="shared" ca="1" si="54"/>
        <v>12388.425643055558</v>
      </c>
      <c r="AE487" s="76">
        <f t="shared" si="55"/>
        <v>0</v>
      </c>
      <c r="AF487" s="75">
        <f t="shared" si="50"/>
        <v>0</v>
      </c>
      <c r="AG487" s="75">
        <f t="shared" si="51"/>
        <v>0</v>
      </c>
      <c r="AH487" s="31" t="e" cm="1">
        <f t="array" aca="1" ref="AH487" ca="1">IF((AD487) &lt; (INDEX(ResponseSLA[#All],(MATCH((G487),ResponseSLA[Priority],0))+1,3)),"YES","No")</f>
        <v>#N/A</v>
      </c>
      <c r="AI487" s="31" t="str">
        <f>_xlfn.IFNA(IF(AE487 &lt; (INDEX(SLATable[Minimum SLA],MATCH(G487,SLATable[Priority],0))),"YES","NO"),"")</f>
        <v/>
      </c>
      <c r="AJ487" t="str">
        <f>_xlfn.IFNA(IF(AE487 &lt; (INDEX(SLATable[Maximum SLA],MATCH(G487,SLATable[Priority],0))),"YES","NO"),"")</f>
        <v/>
      </c>
    </row>
    <row r="488" spans="26:36" ht="15" customHeight="1">
      <c r="Z488" s="76" t="e">
        <f t="shared" ca="1" si="52"/>
        <v>#N/A</v>
      </c>
      <c r="AA488" s="75" t="e">
        <f t="shared" ca="1" si="48"/>
        <v>#N/A</v>
      </c>
      <c r="AB488" s="76">
        <f t="shared" ca="1" si="53"/>
        <v>0</v>
      </c>
      <c r="AC488" s="75">
        <f t="shared" ca="1" si="49"/>
        <v>0</v>
      </c>
      <c r="AD488" s="76">
        <f t="shared" ca="1" si="54"/>
        <v>12388.425643055558</v>
      </c>
      <c r="AE488" s="76">
        <f t="shared" si="55"/>
        <v>0</v>
      </c>
      <c r="AF488" s="75">
        <f t="shared" si="50"/>
        <v>0</v>
      </c>
      <c r="AG488" s="75">
        <f t="shared" si="51"/>
        <v>0</v>
      </c>
      <c r="AH488" s="31" t="e" cm="1">
        <f t="array" aca="1" ref="AH488" ca="1">IF((AD488) &lt; (INDEX(ResponseSLA[#All],(MATCH((G488),ResponseSLA[Priority],0))+1,3)),"YES","No")</f>
        <v>#N/A</v>
      </c>
      <c r="AI488" s="31" t="str">
        <f>_xlfn.IFNA(IF(AE488 &lt; (INDEX(SLATable[Minimum SLA],MATCH(G488,SLATable[Priority],0))),"YES","NO"),"")</f>
        <v/>
      </c>
      <c r="AJ488" t="str">
        <f>_xlfn.IFNA(IF(AE488 &lt; (INDEX(SLATable[Maximum SLA],MATCH(G488,SLATable[Priority],0))),"YES","NO"),"")</f>
        <v/>
      </c>
    </row>
    <row r="489" spans="26:36" ht="15" customHeight="1">
      <c r="Z489" s="76" t="e">
        <f t="shared" ca="1" si="52"/>
        <v>#N/A</v>
      </c>
      <c r="AA489" s="75" t="e">
        <f t="shared" ca="1" si="48"/>
        <v>#N/A</v>
      </c>
      <c r="AB489" s="76">
        <f t="shared" ca="1" si="53"/>
        <v>0</v>
      </c>
      <c r="AC489" s="75">
        <f t="shared" ca="1" si="49"/>
        <v>0</v>
      </c>
      <c r="AD489" s="76">
        <f t="shared" ca="1" si="54"/>
        <v>12388.425643055558</v>
      </c>
      <c r="AE489" s="76">
        <f t="shared" si="55"/>
        <v>0</v>
      </c>
      <c r="AF489" s="75">
        <f t="shared" si="50"/>
        <v>0</v>
      </c>
      <c r="AG489" s="75">
        <f t="shared" si="51"/>
        <v>0</v>
      </c>
      <c r="AH489" s="31" t="e" cm="1">
        <f t="array" aca="1" ref="AH489" ca="1">IF((AD489) &lt; (INDEX(ResponseSLA[#All],(MATCH((G489),ResponseSLA[Priority],0))+1,3)),"YES","No")</f>
        <v>#N/A</v>
      </c>
      <c r="AI489" s="31" t="str">
        <f>_xlfn.IFNA(IF(AE489 &lt; (INDEX(SLATable[Minimum SLA],MATCH(G489,SLATable[Priority],0))),"YES","NO"),"")</f>
        <v/>
      </c>
      <c r="AJ489" t="str">
        <f>_xlfn.IFNA(IF(AE489 &lt; (INDEX(SLATable[Maximum SLA],MATCH(G489,SLATable[Priority],0))),"YES","NO"),"")</f>
        <v/>
      </c>
    </row>
    <row r="490" spans="26:36" ht="15" customHeight="1">
      <c r="Z490" s="76" t="e">
        <f t="shared" ca="1" si="52"/>
        <v>#N/A</v>
      </c>
      <c r="AA490" s="75" t="e">
        <f t="shared" ca="1" si="48"/>
        <v>#N/A</v>
      </c>
      <c r="AB490" s="76">
        <f t="shared" ca="1" si="53"/>
        <v>0</v>
      </c>
      <c r="AC490" s="75">
        <f t="shared" ca="1" si="49"/>
        <v>0</v>
      </c>
      <c r="AD490" s="76">
        <f t="shared" ca="1" si="54"/>
        <v>12388.425643055558</v>
      </c>
      <c r="AE490" s="76">
        <f t="shared" si="55"/>
        <v>0</v>
      </c>
      <c r="AF490" s="75">
        <f t="shared" si="50"/>
        <v>0</v>
      </c>
      <c r="AG490" s="75">
        <f t="shared" si="51"/>
        <v>0</v>
      </c>
      <c r="AH490" s="31" t="e" cm="1">
        <f t="array" aca="1" ref="AH490" ca="1">IF((AD490) &lt; (INDEX(ResponseSLA[#All],(MATCH((G490),ResponseSLA[Priority],0))+1,3)),"YES","No")</f>
        <v>#N/A</v>
      </c>
      <c r="AI490" s="31" t="str">
        <f>_xlfn.IFNA(IF(AE490 &lt; (INDEX(SLATable[Minimum SLA],MATCH(G490,SLATable[Priority],0))),"YES","NO"),"")</f>
        <v/>
      </c>
      <c r="AJ490" t="str">
        <f>_xlfn.IFNA(IF(AE490 &lt; (INDEX(SLATable[Maximum SLA],MATCH(G490,SLATable[Priority],0))),"YES","NO"),"")</f>
        <v/>
      </c>
    </row>
    <row r="491" spans="26:36" ht="15" customHeight="1">
      <c r="Z491" s="76" t="e">
        <f t="shared" ca="1" si="52"/>
        <v>#N/A</v>
      </c>
      <c r="AA491" s="75" t="e">
        <f t="shared" ca="1" si="48"/>
        <v>#N/A</v>
      </c>
      <c r="AB491" s="76">
        <f t="shared" ca="1" si="53"/>
        <v>0</v>
      </c>
      <c r="AC491" s="75">
        <f t="shared" ca="1" si="49"/>
        <v>0</v>
      </c>
      <c r="AD491" s="76">
        <f t="shared" ca="1" si="54"/>
        <v>12388.425643055558</v>
      </c>
      <c r="AE491" s="76">
        <f t="shared" si="55"/>
        <v>0</v>
      </c>
      <c r="AF491" s="75">
        <f t="shared" si="50"/>
        <v>0</v>
      </c>
      <c r="AG491" s="75">
        <f t="shared" si="51"/>
        <v>0</v>
      </c>
      <c r="AH491" s="31" t="e" cm="1">
        <f t="array" aca="1" ref="AH491" ca="1">IF((AD491) &lt; (INDEX(ResponseSLA[#All],(MATCH((G491),ResponseSLA[Priority],0))+1,3)),"YES","No")</f>
        <v>#N/A</v>
      </c>
      <c r="AI491" s="31" t="str">
        <f>_xlfn.IFNA(IF(AE491 &lt; (INDEX(SLATable[Minimum SLA],MATCH(G491,SLATable[Priority],0))),"YES","NO"),"")</f>
        <v/>
      </c>
      <c r="AJ491" t="str">
        <f>_xlfn.IFNA(IF(AE491 &lt; (INDEX(SLATable[Maximum SLA],MATCH(G491,SLATable[Priority],0))),"YES","NO"),"")</f>
        <v/>
      </c>
    </row>
    <row r="492" spans="26:36" ht="15" customHeight="1">
      <c r="Z492" s="76" t="e">
        <f t="shared" ca="1" si="52"/>
        <v>#N/A</v>
      </c>
      <c r="AA492" s="75" t="e">
        <f t="shared" ca="1" si="48"/>
        <v>#N/A</v>
      </c>
      <c r="AB492" s="76">
        <f t="shared" ca="1" si="53"/>
        <v>0</v>
      </c>
      <c r="AC492" s="75">
        <f t="shared" ca="1" si="49"/>
        <v>0</v>
      </c>
      <c r="AD492" s="76">
        <f t="shared" ca="1" si="54"/>
        <v>12388.425643055558</v>
      </c>
      <c r="AE492" s="76">
        <f t="shared" si="55"/>
        <v>0</v>
      </c>
      <c r="AF492" s="75">
        <f t="shared" si="50"/>
        <v>0</v>
      </c>
      <c r="AG492" s="75">
        <f t="shared" si="51"/>
        <v>0</v>
      </c>
      <c r="AH492" s="31" t="e" cm="1">
        <f t="array" aca="1" ref="AH492" ca="1">IF((AD492) &lt; (INDEX(ResponseSLA[#All],(MATCH((G492),ResponseSLA[Priority],0))+1,3)),"YES","No")</f>
        <v>#N/A</v>
      </c>
      <c r="AI492" s="31" t="str">
        <f>_xlfn.IFNA(IF(AE492 &lt; (INDEX(SLATable[Minimum SLA],MATCH(G492,SLATable[Priority],0))),"YES","NO"),"")</f>
        <v/>
      </c>
      <c r="AJ492" t="str">
        <f>_xlfn.IFNA(IF(AE492 &lt; (INDEX(SLATable[Maximum SLA],MATCH(G492,SLATable[Priority],0))),"YES","NO"),"")</f>
        <v/>
      </c>
    </row>
    <row r="493" spans="26:36" ht="15" customHeight="1">
      <c r="Z493" s="76" t="e">
        <f t="shared" ca="1" si="52"/>
        <v>#N/A</v>
      </c>
      <c r="AA493" s="75" t="e">
        <f t="shared" ca="1" si="48"/>
        <v>#N/A</v>
      </c>
      <c r="AB493" s="76">
        <f t="shared" ca="1" si="53"/>
        <v>0</v>
      </c>
      <c r="AC493" s="75">
        <f t="shared" ca="1" si="49"/>
        <v>0</v>
      </c>
      <c r="AD493" s="76">
        <f t="shared" ca="1" si="54"/>
        <v>12388.425643055558</v>
      </c>
      <c r="AE493" s="76">
        <f t="shared" si="55"/>
        <v>0</v>
      </c>
      <c r="AF493" s="75">
        <f t="shared" si="50"/>
        <v>0</v>
      </c>
      <c r="AG493" s="75">
        <f t="shared" si="51"/>
        <v>0</v>
      </c>
      <c r="AH493" s="31" t="e" cm="1">
        <f t="array" aca="1" ref="AH493" ca="1">IF((AD493) &lt; (INDEX(ResponseSLA[#All],(MATCH((G493),ResponseSLA[Priority],0))+1,3)),"YES","No")</f>
        <v>#N/A</v>
      </c>
      <c r="AI493" s="31" t="str">
        <f>_xlfn.IFNA(IF(AE493 &lt; (INDEX(SLATable[Minimum SLA],MATCH(G493,SLATable[Priority],0))),"YES","NO"),"")</f>
        <v/>
      </c>
      <c r="AJ493" t="str">
        <f>_xlfn.IFNA(IF(AE493 &lt; (INDEX(SLATable[Maximum SLA],MATCH(G493,SLATable[Priority],0))),"YES","NO"),"")</f>
        <v/>
      </c>
    </row>
    <row r="494" spans="26:36" ht="15" customHeight="1">
      <c r="Z494" s="76" t="e">
        <f t="shared" ca="1" si="52"/>
        <v>#N/A</v>
      </c>
      <c r="AA494" s="75" t="e">
        <f t="shared" ca="1" si="48"/>
        <v>#N/A</v>
      </c>
      <c r="AB494" s="76">
        <f t="shared" ca="1" si="53"/>
        <v>0</v>
      </c>
      <c r="AC494" s="75">
        <f t="shared" ca="1" si="49"/>
        <v>0</v>
      </c>
      <c r="AD494" s="76">
        <f t="shared" ca="1" si="54"/>
        <v>12388.425643055558</v>
      </c>
      <c r="AE494" s="76">
        <f t="shared" si="55"/>
        <v>0</v>
      </c>
      <c r="AF494" s="75">
        <f t="shared" si="50"/>
        <v>0</v>
      </c>
      <c r="AG494" s="75">
        <f t="shared" si="51"/>
        <v>0</v>
      </c>
      <c r="AH494" s="31" t="e" cm="1">
        <f t="array" aca="1" ref="AH494" ca="1">IF((AD494) &lt; (INDEX(ResponseSLA[#All],(MATCH((G494),ResponseSLA[Priority],0))+1,3)),"YES","No")</f>
        <v>#N/A</v>
      </c>
      <c r="AI494" s="31" t="str">
        <f>_xlfn.IFNA(IF(AE494 &lt; (INDEX(SLATable[Minimum SLA],MATCH(G494,SLATable[Priority],0))),"YES","NO"),"")</f>
        <v/>
      </c>
      <c r="AJ494" t="str">
        <f>_xlfn.IFNA(IF(AE494 &lt; (INDEX(SLATable[Maximum SLA],MATCH(G494,SLATable[Priority],0))),"YES","NO"),"")</f>
        <v/>
      </c>
    </row>
    <row r="495" spans="26:36" ht="15" customHeight="1">
      <c r="Z495" s="76" t="e">
        <f t="shared" ca="1" si="52"/>
        <v>#N/A</v>
      </c>
      <c r="AA495" s="75" t="e">
        <f t="shared" ca="1" si="48"/>
        <v>#N/A</v>
      </c>
      <c r="AB495" s="76">
        <f t="shared" ca="1" si="53"/>
        <v>0</v>
      </c>
      <c r="AC495" s="75">
        <f t="shared" ca="1" si="49"/>
        <v>0</v>
      </c>
      <c r="AD495" s="76">
        <f t="shared" ca="1" si="54"/>
        <v>12388.425643055558</v>
      </c>
      <c r="AE495" s="76">
        <f t="shared" si="55"/>
        <v>0</v>
      </c>
      <c r="AF495" s="75">
        <f t="shared" si="50"/>
        <v>0</v>
      </c>
      <c r="AG495" s="75">
        <f t="shared" si="51"/>
        <v>0</v>
      </c>
      <c r="AH495" s="31" t="e" cm="1">
        <f t="array" aca="1" ref="AH495" ca="1">IF((AD495) &lt; (INDEX(ResponseSLA[#All],(MATCH((G495),ResponseSLA[Priority],0))+1,3)),"YES","No")</f>
        <v>#N/A</v>
      </c>
      <c r="AI495" s="31" t="str">
        <f>_xlfn.IFNA(IF(AE495 &lt; (INDEX(SLATable[Minimum SLA],MATCH(G495,SLATable[Priority],0))),"YES","NO"),"")</f>
        <v/>
      </c>
      <c r="AJ495" t="str">
        <f>_xlfn.IFNA(IF(AE495 &lt; (INDEX(SLATable[Maximum SLA],MATCH(G495,SLATable[Priority],0))),"YES","NO"),"")</f>
        <v/>
      </c>
    </row>
    <row r="496" spans="26:36" ht="15" customHeight="1">
      <c r="Z496" s="76" t="e">
        <f t="shared" ca="1" si="52"/>
        <v>#N/A</v>
      </c>
      <c r="AA496" s="75" t="e">
        <f t="shared" ca="1" si="48"/>
        <v>#N/A</v>
      </c>
      <c r="AB496" s="76">
        <f t="shared" ca="1" si="53"/>
        <v>0</v>
      </c>
      <c r="AC496" s="75">
        <f t="shared" ca="1" si="49"/>
        <v>0</v>
      </c>
      <c r="AD496" s="76">
        <f t="shared" ca="1" si="54"/>
        <v>12388.425643055558</v>
      </c>
      <c r="AE496" s="76">
        <f t="shared" si="55"/>
        <v>0</v>
      </c>
      <c r="AF496" s="75">
        <f t="shared" si="50"/>
        <v>0</v>
      </c>
      <c r="AG496" s="75">
        <f t="shared" si="51"/>
        <v>0</v>
      </c>
      <c r="AH496" s="31" t="e" cm="1">
        <f t="array" aca="1" ref="AH496" ca="1">IF((AD496) &lt; (INDEX(ResponseSLA[#All],(MATCH((G496),ResponseSLA[Priority],0))+1,3)),"YES","No")</f>
        <v>#N/A</v>
      </c>
      <c r="AI496" s="31" t="str">
        <f>_xlfn.IFNA(IF(AE496 &lt; (INDEX(SLATable[Minimum SLA],MATCH(G496,SLATable[Priority],0))),"YES","NO"),"")</f>
        <v/>
      </c>
      <c r="AJ496" t="str">
        <f>_xlfn.IFNA(IF(AE496 &lt; (INDEX(SLATable[Maximum SLA],MATCH(G496,SLATable[Priority],0))),"YES","NO"),"")</f>
        <v/>
      </c>
    </row>
    <row r="497" spans="11:36" ht="15" customHeight="1">
      <c r="Z497" s="76" t="e">
        <f t="shared" ca="1" si="52"/>
        <v>#N/A</v>
      </c>
      <c r="AA497" s="75" t="e">
        <f t="shared" ca="1" si="48"/>
        <v>#N/A</v>
      </c>
      <c r="AB497" s="76">
        <f t="shared" ca="1" si="53"/>
        <v>0</v>
      </c>
      <c r="AC497" s="75">
        <f t="shared" ca="1" si="49"/>
        <v>0</v>
      </c>
      <c r="AD497" s="76">
        <f t="shared" ca="1" si="54"/>
        <v>12388.425643055558</v>
      </c>
      <c r="AE497" s="76">
        <f t="shared" si="55"/>
        <v>0</v>
      </c>
      <c r="AF497" s="75">
        <f t="shared" si="50"/>
        <v>0</v>
      </c>
      <c r="AG497" s="75">
        <f t="shared" si="51"/>
        <v>0</v>
      </c>
      <c r="AH497" s="31" t="e" cm="1">
        <f t="array" aca="1" ref="AH497" ca="1">IF((AD497) &lt; (INDEX(ResponseSLA[#All],(MATCH((G497),ResponseSLA[Priority],0))+1,3)),"YES","No")</f>
        <v>#N/A</v>
      </c>
      <c r="AI497" s="31" t="str">
        <f>_xlfn.IFNA(IF(AE497 &lt; (INDEX(SLATable[Minimum SLA],MATCH(G497,SLATable[Priority],0))),"YES","NO"),"")</f>
        <v/>
      </c>
      <c r="AJ497" t="str">
        <f>_xlfn.IFNA(IF(AE497 &lt; (INDEX(SLATable[Maximum SLA],MATCH(G497,SLATable[Priority],0))),"YES","NO"),"")</f>
        <v/>
      </c>
    </row>
    <row r="498" spans="11:36" ht="15" customHeight="1">
      <c r="Z498" s="76" t="e">
        <f t="shared" ca="1" si="52"/>
        <v>#N/A</v>
      </c>
      <c r="AA498" s="75" t="e">
        <f t="shared" ca="1" si="48"/>
        <v>#N/A</v>
      </c>
      <c r="AB498" s="76">
        <f t="shared" ca="1" si="53"/>
        <v>0</v>
      </c>
      <c r="AC498" s="75">
        <f t="shared" ca="1" si="49"/>
        <v>0</v>
      </c>
      <c r="AD498" s="76">
        <f t="shared" ca="1" si="54"/>
        <v>12388.425643055558</v>
      </c>
      <c r="AE498" s="76">
        <f t="shared" si="55"/>
        <v>0</v>
      </c>
      <c r="AF498" s="75">
        <f t="shared" si="50"/>
        <v>0</v>
      </c>
      <c r="AG498" s="75">
        <f t="shared" si="51"/>
        <v>0</v>
      </c>
      <c r="AH498" s="31" t="e" cm="1">
        <f t="array" aca="1" ref="AH498" ca="1">IF((AD498) &lt; (INDEX(ResponseSLA[#All],(MATCH((G498),ResponseSLA[Priority],0))+1,3)),"YES","No")</f>
        <v>#N/A</v>
      </c>
      <c r="AI498" s="31" t="str">
        <f>_xlfn.IFNA(IF(AE498 &lt; (INDEX(SLATable[Minimum SLA],MATCH(G498,SLATable[Priority],0))),"YES","NO"),"")</f>
        <v/>
      </c>
      <c r="AJ498" t="str">
        <f>_xlfn.IFNA(IF(AE498 &lt; (INDEX(SLATable[Maximum SLA],MATCH(G498,SLATable[Priority],0))),"YES","NO"),"")</f>
        <v/>
      </c>
    </row>
    <row r="499" spans="11:36" ht="15" customHeight="1">
      <c r="Z499" s="76" t="e">
        <f t="shared" ca="1" si="52"/>
        <v>#N/A</v>
      </c>
      <c r="AA499" s="75" t="e">
        <f t="shared" ca="1" si="48"/>
        <v>#N/A</v>
      </c>
      <c r="AB499" s="76">
        <f t="shared" ca="1" si="53"/>
        <v>0</v>
      </c>
      <c r="AC499" s="75">
        <f t="shared" ca="1" si="49"/>
        <v>0</v>
      </c>
      <c r="AD499" s="76">
        <f t="shared" ca="1" si="54"/>
        <v>12388.425643055558</v>
      </c>
      <c r="AE499" s="76">
        <f t="shared" si="55"/>
        <v>0</v>
      </c>
      <c r="AF499" s="75">
        <f t="shared" si="50"/>
        <v>0</v>
      </c>
      <c r="AG499" s="75">
        <f t="shared" si="51"/>
        <v>0</v>
      </c>
      <c r="AH499" s="31" t="e" cm="1">
        <f t="array" aca="1" ref="AH499" ca="1">IF((AD499) &lt; (INDEX(ResponseSLA[#All],(MATCH((G499),ResponseSLA[Priority],0))+1,3)),"YES","No")</f>
        <v>#N/A</v>
      </c>
      <c r="AI499" s="31" t="str">
        <f>_xlfn.IFNA(IF(AE499 &lt; (INDEX(SLATable[Minimum SLA],MATCH(G499,SLATable[Priority],0))),"YES","NO"),"")</f>
        <v/>
      </c>
      <c r="AJ499" t="str">
        <f>_xlfn.IFNA(IF(AE499 &lt; (INDEX(SLATable[Maximum SLA],MATCH(G499,SLATable[Priority],0))),"YES","NO"),"")</f>
        <v/>
      </c>
    </row>
    <row r="500" spans="11:36" ht="15" customHeight="1">
      <c r="Z500" s="76" t="e">
        <f t="shared" ca="1" si="52"/>
        <v>#N/A</v>
      </c>
      <c r="AA500" s="75" t="e">
        <f t="shared" ca="1" si="48"/>
        <v>#N/A</v>
      </c>
      <c r="AB500" s="76">
        <f t="shared" ca="1" si="53"/>
        <v>0</v>
      </c>
      <c r="AC500" s="75">
        <f t="shared" ca="1" si="49"/>
        <v>0</v>
      </c>
      <c r="AD500" s="76">
        <f t="shared" ca="1" si="54"/>
        <v>12388.425643055558</v>
      </c>
      <c r="AE500" s="76">
        <f t="shared" si="55"/>
        <v>0</v>
      </c>
      <c r="AF500" s="75">
        <f t="shared" si="50"/>
        <v>0</v>
      </c>
      <c r="AG500" s="75">
        <f t="shared" si="51"/>
        <v>0</v>
      </c>
      <c r="AH500" s="31" t="e" cm="1">
        <f t="array" aca="1" ref="AH500" ca="1">IF((AD500) &lt; (INDEX(ResponseSLA[#All],(MATCH((G500),ResponseSLA[Priority],0))+1,3)),"YES","No")</f>
        <v>#N/A</v>
      </c>
      <c r="AI500" s="31" t="str">
        <f>_xlfn.IFNA(IF(AE500 &lt; (INDEX(SLATable[Minimum SLA],MATCH(G500,SLATable[Priority],0))),"YES","NO"),"")</f>
        <v/>
      </c>
      <c r="AJ500" t="str">
        <f>_xlfn.IFNA(IF(AE500 &lt; (INDEX(SLATable[Maximum SLA],MATCH(G500,SLATable[Priority],0))),"YES","NO"),"")</f>
        <v/>
      </c>
    </row>
    <row r="501" spans="11:36" ht="15" customHeight="1">
      <c r="Z501" s="76" t="e">
        <f t="shared" ca="1" si="52"/>
        <v>#N/A</v>
      </c>
      <c r="AA501" s="75" t="e">
        <f t="shared" ca="1" si="48"/>
        <v>#N/A</v>
      </c>
      <c r="AB501" s="76">
        <f t="shared" ca="1" si="53"/>
        <v>0</v>
      </c>
      <c r="AC501" s="75">
        <f t="shared" ca="1" si="49"/>
        <v>0</v>
      </c>
      <c r="AD501" s="76">
        <f t="shared" ca="1" si="54"/>
        <v>12388.425643055558</v>
      </c>
      <c r="AE501" s="76">
        <f t="shared" si="55"/>
        <v>0</v>
      </c>
      <c r="AF501" s="75">
        <f t="shared" si="50"/>
        <v>0</v>
      </c>
      <c r="AG501" s="75">
        <f t="shared" si="51"/>
        <v>0</v>
      </c>
      <c r="AH501" s="31" t="e" cm="1">
        <f t="array" aca="1" ref="AH501" ca="1">IF((AD501) &lt; (INDEX(ResponseSLA[#All],(MATCH((G501),ResponseSLA[Priority],0))+1,3)),"YES","No")</f>
        <v>#N/A</v>
      </c>
      <c r="AI501" s="31" t="str">
        <f>_xlfn.IFNA(IF(AE501 &lt; (INDEX(SLATable[Minimum SLA],MATCH(G501,SLATable[Priority],0))),"YES","NO"),"")</f>
        <v/>
      </c>
      <c r="AJ501" t="str">
        <f>_xlfn.IFNA(IF(AE501 &lt; (INDEX(SLATable[Maximum SLA],MATCH(G501,SLATable[Priority],0))),"YES","NO"),"")</f>
        <v/>
      </c>
    </row>
    <row r="502" spans="11:36" ht="15" customHeight="1">
      <c r="K502" s="45"/>
    </row>
  </sheetData>
  <sheetProtection sheet="1" objects="1" scenarios="1" autoFilter="0"/>
  <protectedRanges>
    <protectedRange algorithmName="SHA-512" hashValue="99OQ+VOyYeTgkyp5V2h7IJuhOY+ByGUUH4Kc0xKuZgn2w66Z/zb6NCagB6+bjIBmhadenmL7/H2PSKzd599e6Q==" saltValue="s8mGfn7WVHJZXEYeB6j8Yw==" spinCount="100000" sqref="U1 AB1:AJ1" name="Formula Cells"/>
  </protectedRanges>
  <autoFilter ref="A1:AJ501" xr:uid="{F403F860-CF8B-4FE7-9F49-1D3A2EF82558}"/>
  <conditionalFormatting sqref="E1">
    <cfRule type="duplicateValues" dxfId="13" priority="2"/>
  </conditionalFormatting>
  <conditionalFormatting sqref="E1:E102 E106:E1048576">
    <cfRule type="duplicateValues" dxfId="12" priority="65"/>
  </conditionalFormatting>
  <dataValidations count="14">
    <dataValidation type="list" allowBlank="1" showInputMessage="1" showErrorMessage="1" sqref="U1:U1048576" xr:uid="{58AF30EF-8BCE-4AA9-8939-258DFF137374}">
      <formula1>"Yes,No"</formula1>
    </dataValidation>
    <dataValidation type="list" allowBlank="1" showInputMessage="1" showErrorMessage="1" sqref="R1:R1048576" xr:uid="{C1769919-12FA-4536-AD46-076EFB950D80}">
      <formula1>Resolution_List</formula1>
    </dataValidation>
    <dataValidation type="list" allowBlank="1" showInputMessage="1" showErrorMessage="1" sqref="U1 T1:T1048576" xr:uid="{AE7C2892-8977-4A1F-BEC7-DE7F69C72928}">
      <formula1>SubCategory</formula1>
    </dataValidation>
    <dataValidation type="date" allowBlank="1" showInputMessage="1" showErrorMessage="1" sqref="K1:N3 O1:P6 M5:M21 K5:L46 M23:M46 N5:N46 K48:N102 K106:K495 M106:N495 L106:L134 L136:L495" xr:uid="{13BE1EA8-290F-4804-A385-57CF7F7282CA}">
      <formula1>36526</formula1>
      <formula2>73050</formula2>
    </dataValidation>
    <dataValidation allowBlank="1" showInputMessage="1" showErrorMessage="1" sqref="S1" xr:uid="{55EB26D8-4D39-4A4F-84C9-321611529704}"/>
    <dataValidation allowBlank="1" showInputMessage="1" showErrorMessage="1" errorTitle="Assigned to" error="dont type idiot" sqref="J1:J6" xr:uid="{71BEA925-250F-4388-83D0-3408112D45DA}"/>
    <dataValidation type="list" allowBlank="1" showInputMessage="1" showErrorMessage="1" sqref="F1:F46 F48:F102 F106:F1048576" xr:uid="{A6500B34-7697-428E-861A-6C1A8B923F7B}">
      <formula1>Queue_List</formula1>
    </dataValidation>
    <dataValidation type="list" allowBlank="1" showInputMessage="1" showErrorMessage="1" sqref="D1:D46 D48:D102 D106:D1048576" xr:uid="{3A6A3C39-1845-4C24-A784-EA31501C95A4}">
      <formula1>Type_List</formula1>
    </dataValidation>
    <dataValidation type="list" allowBlank="1" showInputMessage="1" showErrorMessage="1" sqref="C1:C46 C48:C102 C106:C1048576" xr:uid="{31F47976-F328-464B-877D-41C65D8875C6}">
      <formula1>Domain_List</formula1>
    </dataValidation>
    <dataValidation type="list" allowBlank="1" showInputMessage="1" showErrorMessage="1" sqref="B1:B46 B48:B102 B106:B1048576" xr:uid="{C444E4E8-F1CB-437A-AB31-6D24F286775B}">
      <formula1>OpCo_List</formula1>
    </dataValidation>
    <dataValidation type="list" allowBlank="1" showInputMessage="1" showErrorMessage="1" sqref="I1:I46 I48:I102 I106:I1048576" xr:uid="{B75FFB8F-AE8F-4A43-BD87-2D80D984DD86}">
      <formula1>Status_List</formula1>
    </dataValidation>
    <dataValidation type="list" showInputMessage="1" showErrorMessage="1" errorTitle="Invalid Entry" error="Please select a value in TYPE before entering Priority" sqref="G1:G46 G48:G102 G503:G1048576 G106:G501" xr:uid="{092EAD25-C75B-4027-AFBC-447C079E8FD4}">
      <formula1>IF(D1="","",INDIRECT(D1&amp;"_PR"))</formula1>
    </dataValidation>
    <dataValidation type="list" showInputMessage="1" showErrorMessage="1" errorTitle="Invalid Entry" error="Please select a value in TYPE before entering Priority" sqref="K502" xr:uid="{64AB5232-E065-4CB7-9222-3D481B7CFE57}">
      <formula1>IF(D502="","",INDIRECT(D502&amp;"_PR"))</formula1>
    </dataValidation>
    <dataValidation type="list" allowBlank="1" showInputMessage="1" showErrorMessage="1" sqref="S2:S1048576" xr:uid="{23771E0B-FF94-448E-9F58-4F317711E51F}">
      <formula1>IF(D2="","",INDIRECT(D2))</formula1>
    </dataValidation>
  </dataValidation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0BC6E-F764-44A8-8CA8-79E58D9A39BF}">
  <sheetPr codeName="Sheet14"/>
  <dimension ref="A1:AJ500"/>
  <sheetViews>
    <sheetView topLeftCell="A267" zoomScale="70" zoomScaleNormal="98" workbookViewId="0">
      <selection activeCell="A2" sqref="A2:A277"/>
    </sheetView>
  </sheetViews>
  <sheetFormatPr defaultColWidth="9.140625" defaultRowHeight="15" customHeight="1"/>
  <cols>
    <col min="1" max="1" width="6.42578125" style="45" customWidth="1"/>
    <col min="2" max="2" width="7.85546875" style="45" customWidth="1"/>
    <col min="3" max="3" width="10.42578125" style="45" customWidth="1"/>
    <col min="4" max="4" width="8.28515625" style="45" customWidth="1"/>
    <col min="5" max="5" width="12.140625" style="45" customWidth="1"/>
    <col min="6" max="6" width="13.7109375" style="45" customWidth="1"/>
    <col min="7" max="7" width="9" style="66" customWidth="1"/>
    <col min="8" max="8" width="16.85546875" style="45" customWidth="1"/>
    <col min="9" max="9" width="8.140625" style="45" customWidth="1"/>
    <col min="10" max="10" width="12.42578125" style="45" customWidth="1"/>
    <col min="11" max="11" width="20.140625" style="47" customWidth="1"/>
    <col min="12" max="12" width="16.42578125" style="47" customWidth="1"/>
    <col min="13" max="13" width="24.7109375" style="47" customWidth="1"/>
    <col min="14" max="14" width="23.42578125" style="47" customWidth="1"/>
    <col min="15" max="15" width="21.42578125" style="47" customWidth="1"/>
    <col min="16" max="16" width="18.42578125" style="47" customWidth="1"/>
    <col min="17" max="17" width="20.42578125" style="45" customWidth="1"/>
    <col min="18" max="18" width="16.140625" style="45" customWidth="1"/>
    <col min="19" max="19" width="19.42578125" style="45" customWidth="1"/>
    <col min="20" max="20" width="13.85546875" style="45" customWidth="1"/>
    <col min="21" max="21" width="18" style="45" customWidth="1"/>
    <col min="22" max="22" width="17.85546875" style="45" customWidth="1"/>
    <col min="23" max="23" width="15.42578125" style="45" customWidth="1"/>
    <col min="24" max="24" width="25" style="45" customWidth="1"/>
    <col min="25" max="25" width="10.42578125" style="45" customWidth="1"/>
    <col min="26" max="26" width="19.28515625" style="45" customWidth="1"/>
    <col min="27" max="27" width="16.42578125" style="45" customWidth="1"/>
    <col min="28" max="28" width="21.85546875" style="45" customWidth="1"/>
    <col min="29" max="29" width="19.85546875" style="45" customWidth="1"/>
    <col min="30" max="30" width="13.42578125" style="45" customWidth="1"/>
    <col min="31" max="31" width="14" style="45" customWidth="1"/>
    <col min="32" max="32" width="18.85546875" style="45" customWidth="1"/>
    <col min="33" max="33" width="21" style="45" customWidth="1"/>
    <col min="34" max="34" width="17.85546875" style="45" bestFit="1" customWidth="1"/>
    <col min="35" max="35" width="28.28515625" style="45" bestFit="1" customWidth="1"/>
    <col min="36" max="36" width="28.7109375" style="45" bestFit="1" customWidth="1"/>
    <col min="37" max="16384" width="9.140625" style="45"/>
  </cols>
  <sheetData>
    <row r="1" spans="1:36" s="44" customFormat="1" ht="15" customHeight="1">
      <c r="A1" s="43" t="s">
        <v>347</v>
      </c>
      <c r="B1" s="43" t="s">
        <v>2</v>
      </c>
      <c r="C1" s="43" t="s">
        <v>3</v>
      </c>
      <c r="D1" s="43" t="s">
        <v>253</v>
      </c>
      <c r="E1" s="43" t="s">
        <v>348</v>
      </c>
      <c r="F1" s="43" t="s">
        <v>1</v>
      </c>
      <c r="G1" s="65" t="s">
        <v>324</v>
      </c>
      <c r="H1" s="43" t="s">
        <v>349</v>
      </c>
      <c r="I1" s="43" t="s">
        <v>254</v>
      </c>
      <c r="J1" s="43" t="s">
        <v>350</v>
      </c>
      <c r="K1" s="43" t="s">
        <v>351</v>
      </c>
      <c r="L1" s="43" t="s">
        <v>352</v>
      </c>
      <c r="M1" s="43" t="s">
        <v>353</v>
      </c>
      <c r="N1" s="43" t="s">
        <v>354</v>
      </c>
      <c r="O1" s="43" t="s">
        <v>355</v>
      </c>
      <c r="P1" s="43" t="s">
        <v>356</v>
      </c>
      <c r="Q1" s="43" t="s">
        <v>357</v>
      </c>
      <c r="R1" s="43" t="s">
        <v>358</v>
      </c>
      <c r="S1" s="43" t="s">
        <v>359</v>
      </c>
      <c r="T1" s="43" t="s">
        <v>258</v>
      </c>
      <c r="U1" s="43" t="s">
        <v>360</v>
      </c>
      <c r="V1" s="43" t="s">
        <v>361</v>
      </c>
      <c r="W1" s="43" t="s">
        <v>362</v>
      </c>
      <c r="X1" s="43" t="s">
        <v>363</v>
      </c>
      <c r="Y1" s="43" t="s">
        <v>364</v>
      </c>
      <c r="Z1" s="32" t="s">
        <v>82</v>
      </c>
      <c r="AA1" s="32" t="s">
        <v>90</v>
      </c>
      <c r="AB1" s="32" t="s">
        <v>84</v>
      </c>
      <c r="AC1" s="32" t="s">
        <v>92</v>
      </c>
      <c r="AD1" s="32" t="s">
        <v>86</v>
      </c>
      <c r="AE1" s="32" t="s">
        <v>88</v>
      </c>
      <c r="AF1" s="32" t="s">
        <v>365</v>
      </c>
      <c r="AG1" s="32" t="s">
        <v>366</v>
      </c>
      <c r="AH1" s="32" t="s">
        <v>94</v>
      </c>
      <c r="AI1" s="32" t="s">
        <v>96</v>
      </c>
      <c r="AJ1" s="33" t="s">
        <v>98</v>
      </c>
    </row>
    <row r="2" spans="1:36" ht="15" customHeight="1">
      <c r="A2" s="45">
        <v>1</v>
      </c>
      <c r="B2" s="45" t="s">
        <v>26</v>
      </c>
      <c r="C2" s="45" t="s">
        <v>41</v>
      </c>
      <c r="D2" s="45" t="s">
        <v>207</v>
      </c>
      <c r="E2" s="63" t="s">
        <v>8118</v>
      </c>
      <c r="F2" s="53" t="s">
        <v>40</v>
      </c>
      <c r="G2" s="66">
        <v>4</v>
      </c>
      <c r="H2" s="63" t="s">
        <v>8119</v>
      </c>
      <c r="I2" s="45" t="s">
        <v>271</v>
      </c>
      <c r="J2" s="45" t="s">
        <v>8120</v>
      </c>
      <c r="K2" s="71">
        <v>46168.171481481484</v>
      </c>
      <c r="L2" s="52">
        <v>46168.312858796293</v>
      </c>
      <c r="M2" s="52">
        <v>46168.315104166664</v>
      </c>
      <c r="N2" s="64">
        <v>46168.316458333335</v>
      </c>
      <c r="Q2" s="45" t="s">
        <v>8121</v>
      </c>
      <c r="S2" s="63" t="s">
        <v>8122</v>
      </c>
      <c r="T2" s="63" t="s">
        <v>1519</v>
      </c>
      <c r="U2" s="45" t="s">
        <v>371</v>
      </c>
      <c r="Z2" s="76">
        <f t="shared" ref="Z2" ca="1" si="0">IF(NOT(OR(G2=1,G2=2)),MAX(0,_xlfn.IFS(AND(K2&lt;&gt;"",N2&lt;&gt;""),((MAX(NETWORKDAYS(K2,N2,UKBankHolidays)-1,0))*(TIME(17,0,0)-TIME(8,0,0))+IF(NETWORKDAYS(N2,N2,UKBankHolidays)&gt;0,MEDIAN(TIME(8,0,0),MOD(N2,1),TIME(17,0,0)),TIME(8,0,0))-IF(NETWORKDAYS(K2,K2,UKBankHolidays)&gt;0,MEDIAN(TIME(8,0,0),MOD(K2,1),TIME(17,0,0)),TIME(8,0,0)))-IF(AND(O2&lt;&gt;"",P2&lt;&gt;""),((MAX(NETWORKDAYS(O2,P2,UKBankHolidays)-1,0))*(TIME(17,0,0)-TIME(8,0,0))+IF(NETWORKDAYS(P2,P2,UKBankHolidays)&gt;0,MEDIAN(TIME(8,0,0),MOD(P2,1),TIME(17,0,0)),TIME(8,0,0))-IF(NETWORKDAYS(O2,O2,UKBankHolidays)&gt;0,MEDIAN(TIME(8,0,0),MOD(O2,1),TIME(17,0,0)),TIME(8,0,0))),0),AND(K2&lt;&gt;"",N2=""),((MAX(NETWORKDAYS(K2,NOW(),UKBankHolidays)-1,0))*(TIME(17,0,0)-TIME(8,0,0))+IF(NETWORKDAYS(NOW(),NOW(),UKBankHolidays)&gt;0,MEDIAN(TIME(8,0,0),MOD(NOW(),1),TIME(17,0,0)),TIME(8,0,0))-IF(NETWORKDAYS(K2,K2,UKBankHolidays)&gt;0,MEDIAN(TIME(8,0,0),MOD(K2,1),TIME(17,0,0)),TIME(8,0,0))))),IF(N2="",NOW()-K2,N2-K2))</f>
        <v>0</v>
      </c>
      <c r="AA2" s="75">
        <f t="shared" ref="AA2:AA256" ca="1" si="1">(Z2*24)/9</f>
        <v>0</v>
      </c>
      <c r="AB2" s="76">
        <f t="shared" ref="AB2" ca="1" si="2">IF(NOT(OR(G2=1,G2=2)),MAX(0,_xlfn.IFS(AND(K2&lt;&gt;"",N2&lt;&gt;""),(((MAX(NETWORKDAYS(L2,N2,UKBankHolidays)-1,0))*(TIME(17,0,0)-TIME(8,0,0)))+IF(NETWORKDAYS(N2,N2,UKBankHolidays)&gt;0,MEDIAN(TIME(8,0,0),MOD(N2,1),TIME(17,0,0)),TIME(8,0,0))-IF(NETWORKDAYS(L2,L2,UKBankHolidays)&gt;0,MEDIAN(TIME(8,0,0),MOD(L2,1),TIME(17,0,0)),TIME(8,0,0)))-IF(AND(O2&lt;&gt;"",P2&lt;&gt;""),(((MAX(NETWORKDAYS(O2,P2,UKBankHolidays)-1,0))*(TIME(17,0,0)-TIME(8,0,0)))+IF(NETWORKDAYS(P2,P2,UKBankHolidays)&gt;0,MEDIAN(TIME(8,0,0),MOD(P2,1),TIME(17,0,0)),TIME(8,0,0))-IF(NETWORKDAYS(O2,O2,UKBankHolidays)&gt;0,MEDIAN(TIME(8,0,0),MOD(O2,1),TIME(17,0,0)),TIME(8,0,0))),0),AND(L2&lt;&gt;"",N2="",O2=""),(((MAX(NETWORKDAYS(L2,NOW(),UKBankHolidays)-1,0))*(TIME(17,0,0)-TIME(8,0,0)))+IF(NETWORKDAYS(NOW(),NOW(),UKBankHolidays)&gt;0,MEDIAN(TIME(8,0,0),MOD(NOW(),1),TIME(17,0,0)),TIME(8,0,0))-IF(NETWORKDAYS(L2,L2,UKBankHolidays)&gt;0,MEDIAN(TIME(8,0,0),MOD(L2,1),TIME(17,0,0)),TIME(8,0,0)))-IF(AND(O2&lt;&gt;"",P2&lt;&gt;""),(((MAX(NETWORKDAYS(O2,P2,UKBankHolidays)-1,0))*(TIME(17,0,0)-TIME(8,0,0)))+IF(NETWORKDAYS(P2,P2,UKBankHolidays)&gt;0,MEDIAN(TIME(8,0,0),MOD(P2,1),TIME(17,0,0)),TIME(8,0,0))-IF(NETWORKDAYS(O2,O2,UKBankHolidays)&gt;0,MEDIAN(TIME(8,0,0),MOD(O2,1),TIME(17,0,0)),TIME(8,0,0))),0),AND(L2&lt;&gt;"",N2="",P2="",O2&lt;&gt;""),(((MAX(NETWORKDAYS(L2,O2,UKBankHolidays)-1,0))*(TIME(17,0,0)-TIME(8,0,0)))+IF(NETWORKDAYS(O2,O2,UKBankHolidays)&gt;0,MEDIAN(TIME(8,0,0),MOD(O2,1),TIME(17,0,0)),TIME(8,0,0))-IF(NETWORKDAYS(L2,L2,UKBankHolidays)&gt;0,MEDIAN(TIME(8,0,0),MOD(L2,1),TIME(17,0,0)),TIME(8,0,0))),ISBLANK(K2),"0")),IF(ISBLANK(N2),NOW()-L2,N2-L2))</f>
        <v>0</v>
      </c>
      <c r="AC2" s="75">
        <f t="shared" ref="AC2:AC256" ca="1" si="3">(AB2*24)/9</f>
        <v>0</v>
      </c>
      <c r="AD2" s="76">
        <f t="shared" ref="AD2" ca="1" si="4">MAX(0,IF(NOT(OR(G2=1,G2=2)),IF(M2&lt;&gt;"",((MAX(NETWORKDAYS(L2,M2,UKBankHolidays)-1,0))*(TIME(17,0,0)-TIME(8,0,0))+IF(NETWORKDAYS(M2,M2,UKBankHolidays)&gt;0,MEDIAN(TIME(8,0,0),MOD(M2,1),TIME(17,0,0)),TIME(8,0,0))-MEDIAN(TIME(8,0,0),MOD(L2,1),TIME(17,0,0))),((MAX(NETWORKDAYS(L2,NOW(),UKBankHolidays)-1,0))*(TIME(17,0,0)-TIME(8,0,0))+IF(NETWORKDAYS(NOW(),NOW(),UKBankHolidays)&gt;0,MEDIAN(TIME(8,0,0),MOD(NOW(),1),TIME(17,0,0)),TIME(8,0,0))-MEDIAN(TIME(8,0,0),MOD(L2,1),TIME(17,0,0)))),IF(M2&lt;&gt;"",M2-L2,NOW()-L2)))</f>
        <v>0</v>
      </c>
      <c r="AE2" s="76">
        <f t="shared" ref="AE2" ca="1" si="5">SUMIFS(AB:AB,E:E,E2)</f>
        <v>0</v>
      </c>
      <c r="AF2" s="75">
        <f t="shared" ref="AF2:AF256" ca="1" si="6">(AE2*24)/9</f>
        <v>0</v>
      </c>
      <c r="AG2" s="75">
        <f t="shared" ref="AG2:AG256" ca="1" si="7">AF2</f>
        <v>0</v>
      </c>
      <c r="AH2" s="31" t="str" cm="1">
        <f t="array" aca="1" ref="AH2" ca="1">IF((AD2) &lt; (INDEX(ResponseSLA[#All],(MATCH((G2),ResponseSLA[Priority],0))+1,3)),"YES","No")</f>
        <v>YES</v>
      </c>
      <c r="AI2" s="31" t="str">
        <f ca="1">_xlfn.IFNA(IF(AE2 &lt; (INDEX(SLATable[Minimum SLA],MATCH(G2,SLATable[Priority],0))),"YES","NO"),"")</f>
        <v>YES</v>
      </c>
      <c r="AJ2" t="str">
        <f ca="1">_xlfn.IFNA(IF(AE2 &lt; (INDEX(SLATable[Maximum SLA],MATCH(G2,SLATable[Priority],0))),"YES","NO"),"")</f>
        <v>YES</v>
      </c>
    </row>
    <row r="3" spans="1:36" ht="15" customHeight="1">
      <c r="A3" s="45">
        <v>2</v>
      </c>
      <c r="B3" s="45" t="s">
        <v>26</v>
      </c>
      <c r="C3" s="45" t="s">
        <v>41</v>
      </c>
      <c r="D3" s="45" t="s">
        <v>207</v>
      </c>
      <c r="E3" s="69" t="s">
        <v>8123</v>
      </c>
      <c r="F3" s="45" t="s">
        <v>40</v>
      </c>
      <c r="G3" s="66">
        <v>4</v>
      </c>
      <c r="H3" s="55" t="s">
        <v>8124</v>
      </c>
      <c r="I3" s="45" t="s">
        <v>271</v>
      </c>
      <c r="J3" s="45" t="s">
        <v>8120</v>
      </c>
      <c r="K3" s="70">
        <v>46167.899074074077</v>
      </c>
      <c r="L3" s="47">
        <v>46168.173113425924</v>
      </c>
      <c r="M3" s="47">
        <v>46168.258333333331</v>
      </c>
      <c r="N3" s="70">
        <v>46168.259884259256</v>
      </c>
      <c r="Q3" s="45" t="s">
        <v>8121</v>
      </c>
      <c r="S3" s="45" t="s">
        <v>8122</v>
      </c>
      <c r="T3" s="45" t="s">
        <v>1519</v>
      </c>
      <c r="U3" s="45" t="s">
        <v>371</v>
      </c>
      <c r="Z3" s="76">
        <f t="shared" ref="Z3:Z66" ca="1" si="8">IF(NOT(OR(G3=1,G3=2)),MAX(0,_xlfn.IFS(AND(K3&lt;&gt;"",N3&lt;&gt;""),((MAX(NETWORKDAYS(K3,N3,UKBankHolidays)-1,0))*(TIME(17,0,0)-TIME(8,0,0))+IF(NETWORKDAYS(N3,N3,UKBankHolidays)&gt;0,MEDIAN(TIME(8,0,0),MOD(N3,1),TIME(17,0,0)),TIME(8,0,0))-IF(NETWORKDAYS(K3,K3,UKBankHolidays)&gt;0,MEDIAN(TIME(8,0,0),MOD(K3,1),TIME(17,0,0)),TIME(8,0,0)))-IF(AND(O3&lt;&gt;"",P3&lt;&gt;""),((MAX(NETWORKDAYS(O3,P3,UKBankHolidays)-1,0))*(TIME(17,0,0)-TIME(8,0,0))+IF(NETWORKDAYS(P3,P3,UKBankHolidays)&gt;0,MEDIAN(TIME(8,0,0),MOD(P3,1),TIME(17,0,0)),TIME(8,0,0))-IF(NETWORKDAYS(O3,O3,UKBankHolidays)&gt;0,MEDIAN(TIME(8,0,0),MOD(O3,1),TIME(17,0,0)),TIME(8,0,0))),0),AND(K3&lt;&gt;"",N3=""),((MAX(NETWORKDAYS(K3,NOW(),UKBankHolidays)-1,0))*(TIME(17,0,0)-TIME(8,0,0))+IF(NETWORKDAYS(NOW(),NOW(),UKBankHolidays)&gt;0,MEDIAN(TIME(8,0,0),MOD(NOW(),1),TIME(17,0,0)),TIME(8,0,0))-IF(NETWORKDAYS(K3,K3,UKBankHolidays)&gt;0,MEDIAN(TIME(8,0,0),MOD(K3,1),TIME(17,0,0)),TIME(8,0,0))))),IF(N3="",NOW()-K3,N3-K3))</f>
        <v>0</v>
      </c>
      <c r="AA3" s="75">
        <f t="shared" ca="1" si="1"/>
        <v>0</v>
      </c>
      <c r="AB3" s="76">
        <f t="shared" ref="AB3:AB66" ca="1" si="9">IF(NOT(OR(G3=1,G3=2)),MAX(0,_xlfn.IFS(AND(K3&lt;&gt;"",N3&lt;&gt;""),(((MAX(NETWORKDAYS(L3,N3,UKBankHolidays)-1,0))*(TIME(17,0,0)-TIME(8,0,0)))+IF(NETWORKDAYS(N3,N3,UKBankHolidays)&gt;0,MEDIAN(TIME(8,0,0),MOD(N3,1),TIME(17,0,0)),TIME(8,0,0))-IF(NETWORKDAYS(L3,L3,UKBankHolidays)&gt;0,MEDIAN(TIME(8,0,0),MOD(L3,1),TIME(17,0,0)),TIME(8,0,0)))-IF(AND(O3&lt;&gt;"",P3&lt;&gt;""),(((MAX(NETWORKDAYS(O3,P3,UKBankHolidays)-1,0))*(TIME(17,0,0)-TIME(8,0,0)))+IF(NETWORKDAYS(P3,P3,UKBankHolidays)&gt;0,MEDIAN(TIME(8,0,0),MOD(P3,1),TIME(17,0,0)),TIME(8,0,0))-IF(NETWORKDAYS(O3,O3,UKBankHolidays)&gt;0,MEDIAN(TIME(8,0,0),MOD(O3,1),TIME(17,0,0)),TIME(8,0,0))),0),AND(L3&lt;&gt;"",N3="",O3=""),(((MAX(NETWORKDAYS(L3,NOW(),UKBankHolidays)-1,0))*(TIME(17,0,0)-TIME(8,0,0)))+IF(NETWORKDAYS(NOW(),NOW(),UKBankHolidays)&gt;0,MEDIAN(TIME(8,0,0),MOD(NOW(),1),TIME(17,0,0)),TIME(8,0,0))-IF(NETWORKDAYS(L3,L3,UKBankHolidays)&gt;0,MEDIAN(TIME(8,0,0),MOD(L3,1),TIME(17,0,0)),TIME(8,0,0)))-IF(AND(O3&lt;&gt;"",P3&lt;&gt;""),(((MAX(NETWORKDAYS(O3,P3,UKBankHolidays)-1,0))*(TIME(17,0,0)-TIME(8,0,0)))+IF(NETWORKDAYS(P3,P3,UKBankHolidays)&gt;0,MEDIAN(TIME(8,0,0),MOD(P3,1),TIME(17,0,0)),TIME(8,0,0))-IF(NETWORKDAYS(O3,O3,UKBankHolidays)&gt;0,MEDIAN(TIME(8,0,0),MOD(O3,1),TIME(17,0,0)),TIME(8,0,0))),0),AND(L3&lt;&gt;"",N3="",P3="",O3&lt;&gt;""),(((MAX(NETWORKDAYS(L3,O3,UKBankHolidays)-1,0))*(TIME(17,0,0)-TIME(8,0,0)))+IF(NETWORKDAYS(O3,O3,UKBankHolidays)&gt;0,MEDIAN(TIME(8,0,0),MOD(O3,1),TIME(17,0,0)),TIME(8,0,0))-IF(NETWORKDAYS(L3,L3,UKBankHolidays)&gt;0,MEDIAN(TIME(8,0,0),MOD(L3,1),TIME(17,0,0)),TIME(8,0,0))),ISBLANK(K3),"0")),IF(ISBLANK(N3),NOW()-L3,N3-L3))</f>
        <v>0</v>
      </c>
      <c r="AC3" s="75">
        <f t="shared" ca="1" si="3"/>
        <v>0</v>
      </c>
      <c r="AD3" s="76">
        <f t="shared" ref="AD3:AD66" ca="1" si="10">MAX(0,IF(NOT(OR(G3=1,G3=2)),IF(M3&lt;&gt;"",((MAX(NETWORKDAYS(L3,M3,UKBankHolidays)-1,0))*(TIME(17,0,0)-TIME(8,0,0))+IF(NETWORKDAYS(M3,M3,UKBankHolidays)&gt;0,MEDIAN(TIME(8,0,0),MOD(M3,1),TIME(17,0,0)),TIME(8,0,0))-MEDIAN(TIME(8,0,0),MOD(L3,1),TIME(17,0,0))),((MAX(NETWORKDAYS(L3,NOW(),UKBankHolidays)-1,0))*(TIME(17,0,0)-TIME(8,0,0))+IF(NETWORKDAYS(NOW(),NOW(),UKBankHolidays)&gt;0,MEDIAN(TIME(8,0,0),MOD(NOW(),1),TIME(17,0,0)),TIME(8,0,0))-MEDIAN(TIME(8,0,0),MOD(L3,1),TIME(17,0,0)))),IF(M3&lt;&gt;"",M3-L3,NOW()-L3)))</f>
        <v>0</v>
      </c>
      <c r="AE3" s="76">
        <f t="shared" ref="AE3:AE66" ca="1" si="11">SUMIFS(AB:AB,E:E,E3)</f>
        <v>0</v>
      </c>
      <c r="AF3" s="75">
        <f t="shared" ca="1" si="6"/>
        <v>0</v>
      </c>
      <c r="AG3" s="75">
        <f t="shared" ca="1" si="7"/>
        <v>0</v>
      </c>
      <c r="AH3" s="31" t="str" cm="1">
        <f t="array" aca="1" ref="AH3" ca="1">IF((AD3) &lt; (INDEX(ResponseSLA[#All],(MATCH((G3),ResponseSLA[Priority],0))+1,3)),"YES","No")</f>
        <v>YES</v>
      </c>
      <c r="AI3" s="31" t="str">
        <f ca="1">_xlfn.IFNA(IF(AE3 &lt; (INDEX(SLATable[Minimum SLA],MATCH(G3,SLATable[Priority],0))),"YES","NO"),"")</f>
        <v>YES</v>
      </c>
      <c r="AJ3" t="str">
        <f ca="1">_xlfn.IFNA(IF(AE3 &lt; (INDEX(SLATable[Maximum SLA],MATCH(G3,SLATable[Priority],0))),"YES","NO"),"")</f>
        <v>YES</v>
      </c>
    </row>
    <row r="4" spans="1:36" ht="15" customHeight="1">
      <c r="A4" s="45">
        <v>3</v>
      </c>
      <c r="B4" s="45" t="s">
        <v>26</v>
      </c>
      <c r="C4" s="45" t="s">
        <v>41</v>
      </c>
      <c r="D4" s="45" t="s">
        <v>207</v>
      </c>
      <c r="E4" s="69" t="s">
        <v>8125</v>
      </c>
      <c r="F4" s="45" t="s">
        <v>40</v>
      </c>
      <c r="G4" s="66">
        <v>4</v>
      </c>
      <c r="H4" s="63" t="s">
        <v>8126</v>
      </c>
      <c r="I4" s="45" t="s">
        <v>271</v>
      </c>
      <c r="J4" s="45" t="s">
        <v>8120</v>
      </c>
      <c r="K4" s="71">
        <v>46163.911689814813</v>
      </c>
      <c r="L4" s="54">
        <v>46163.913425925923</v>
      </c>
      <c r="M4" s="54">
        <v>46164.253935185188</v>
      </c>
      <c r="N4" s="70">
        <v>46167.26059027778</v>
      </c>
      <c r="Q4" s="45" t="s">
        <v>8121</v>
      </c>
      <c r="S4" s="45" t="s">
        <v>8122</v>
      </c>
      <c r="T4" s="45" t="s">
        <v>1519</v>
      </c>
      <c r="U4" s="45" t="s">
        <v>371</v>
      </c>
      <c r="Z4" s="76">
        <f t="shared" ca="1" si="8"/>
        <v>0</v>
      </c>
      <c r="AA4" s="75">
        <f t="shared" ca="1" si="1"/>
        <v>0</v>
      </c>
      <c r="AB4" s="76">
        <f t="shared" ca="1" si="9"/>
        <v>0</v>
      </c>
      <c r="AC4" s="75">
        <f t="shared" ca="1" si="3"/>
        <v>0</v>
      </c>
      <c r="AD4" s="76">
        <f t="shared" ca="1" si="10"/>
        <v>0</v>
      </c>
      <c r="AE4" s="76">
        <f t="shared" ca="1" si="11"/>
        <v>0</v>
      </c>
      <c r="AF4" s="75">
        <f t="shared" ca="1" si="6"/>
        <v>0</v>
      </c>
      <c r="AG4" s="75">
        <f t="shared" ca="1" si="7"/>
        <v>0</v>
      </c>
      <c r="AH4" s="31" t="str" cm="1">
        <f t="array" aca="1" ref="AH4" ca="1">IF((AD4) &lt; (INDEX(ResponseSLA[#All],(MATCH((G4),ResponseSLA[Priority],0))+1,3)),"YES","No")</f>
        <v>YES</v>
      </c>
      <c r="AI4" s="31" t="str">
        <f ca="1">_xlfn.IFNA(IF(AE4 &lt; (INDEX(SLATable[Minimum SLA],MATCH(G4,SLATable[Priority],0))),"YES","NO"),"")</f>
        <v>YES</v>
      </c>
      <c r="AJ4" t="str">
        <f ca="1">_xlfn.IFNA(IF(AE4 &lt; (INDEX(SLATable[Maximum SLA],MATCH(G4,SLATable[Priority],0))),"YES","NO"),"")</f>
        <v>YES</v>
      </c>
    </row>
    <row r="5" spans="1:36" ht="15" customHeight="1">
      <c r="A5" s="45">
        <v>4</v>
      </c>
      <c r="B5" s="45" t="s">
        <v>26</v>
      </c>
      <c r="C5" s="45" t="s">
        <v>41</v>
      </c>
      <c r="D5" s="45" t="s">
        <v>207</v>
      </c>
      <c r="E5" s="69" t="s">
        <v>8127</v>
      </c>
      <c r="F5" s="45" t="s">
        <v>40</v>
      </c>
      <c r="G5" s="66">
        <v>4</v>
      </c>
      <c r="H5" s="63" t="s">
        <v>8128</v>
      </c>
      <c r="I5" s="45" t="s">
        <v>271</v>
      </c>
      <c r="J5" s="45" t="s">
        <v>8120</v>
      </c>
      <c r="K5" s="70">
        <v>46163.175439814811</v>
      </c>
      <c r="L5" s="47">
        <v>46163.195625</v>
      </c>
      <c r="M5" s="47">
        <v>46163.256574074076</v>
      </c>
      <c r="N5" s="70">
        <v>46166.260092592594</v>
      </c>
      <c r="Q5" s="45" t="s">
        <v>8121</v>
      </c>
      <c r="S5" s="45" t="s">
        <v>8122</v>
      </c>
      <c r="T5" s="45" t="s">
        <v>1519</v>
      </c>
      <c r="U5" s="45" t="s">
        <v>371</v>
      </c>
      <c r="Z5" s="76">
        <f t="shared" ca="1" si="8"/>
        <v>0.37500000000000006</v>
      </c>
      <c r="AA5" s="75">
        <f t="shared" ca="1" si="1"/>
        <v>1.0000000000000002</v>
      </c>
      <c r="AB5" s="76">
        <f t="shared" ca="1" si="9"/>
        <v>0.37500000000000006</v>
      </c>
      <c r="AC5" s="75">
        <f t="shared" ca="1" si="3"/>
        <v>1.0000000000000002</v>
      </c>
      <c r="AD5" s="76">
        <f t="shared" ca="1" si="10"/>
        <v>0</v>
      </c>
      <c r="AE5" s="76">
        <f t="shared" ca="1" si="11"/>
        <v>0.37500000000000006</v>
      </c>
      <c r="AF5" s="75">
        <f t="shared" ca="1" si="6"/>
        <v>1.0000000000000002</v>
      </c>
      <c r="AG5" s="75">
        <f t="shared" ca="1" si="7"/>
        <v>1.0000000000000002</v>
      </c>
      <c r="AH5" s="31" t="str" cm="1">
        <f t="array" aca="1" ref="AH5" ca="1">IF((AD5) &lt; (INDEX(ResponseSLA[#All],(MATCH((G5),ResponseSLA[Priority],0))+1,3)),"YES","No")</f>
        <v>YES</v>
      </c>
      <c r="AI5" s="31" t="str">
        <f ca="1">_xlfn.IFNA(IF(AE5 &lt; (INDEX(SLATable[Minimum SLA],MATCH(G5,SLATable[Priority],0))),"YES","NO"),"")</f>
        <v>YES</v>
      </c>
      <c r="AJ5" t="str">
        <f ca="1">_xlfn.IFNA(IF(AE5 &lt; (INDEX(SLATable[Maximum SLA],MATCH(G5,SLATable[Priority],0))),"YES","NO"),"")</f>
        <v>YES</v>
      </c>
    </row>
    <row r="6" spans="1:36" ht="15" customHeight="1">
      <c r="A6" s="45">
        <v>5</v>
      </c>
      <c r="B6" s="45" t="s">
        <v>26</v>
      </c>
      <c r="C6" s="45" t="s">
        <v>41</v>
      </c>
      <c r="D6" s="45" t="s">
        <v>207</v>
      </c>
      <c r="E6" s="69" t="s">
        <v>8129</v>
      </c>
      <c r="F6" s="45" t="s">
        <v>40</v>
      </c>
      <c r="G6" s="66">
        <v>4</v>
      </c>
      <c r="H6" s="63" t="s">
        <v>8130</v>
      </c>
      <c r="I6" s="45" t="s">
        <v>271</v>
      </c>
      <c r="J6" s="45" t="s">
        <v>8120</v>
      </c>
      <c r="K6" s="70">
        <v>46158.172777777778</v>
      </c>
      <c r="L6" s="47">
        <v>46158.203414351854</v>
      </c>
      <c r="M6" s="47">
        <v>46160.25990740741</v>
      </c>
      <c r="N6" s="70">
        <v>46163.301458333335</v>
      </c>
      <c r="Q6" s="45" t="s">
        <v>8121</v>
      </c>
      <c r="S6" s="45" t="s">
        <v>8122</v>
      </c>
      <c r="T6" s="45" t="s">
        <v>1519</v>
      </c>
      <c r="U6" s="45" t="s">
        <v>371</v>
      </c>
      <c r="Z6" s="76">
        <f t="shared" ca="1" si="8"/>
        <v>1.1250000000000002</v>
      </c>
      <c r="AA6" s="75">
        <f t="shared" ca="1" si="1"/>
        <v>3.0000000000000009</v>
      </c>
      <c r="AB6" s="76">
        <f t="shared" ca="1" si="9"/>
        <v>1.1250000000000002</v>
      </c>
      <c r="AC6" s="75">
        <f t="shared" ca="1" si="3"/>
        <v>3.0000000000000009</v>
      </c>
      <c r="AD6" s="76">
        <f t="shared" ca="1" si="10"/>
        <v>0</v>
      </c>
      <c r="AE6" s="76">
        <f t="shared" ca="1" si="11"/>
        <v>1.1250000000000002</v>
      </c>
      <c r="AF6" s="75">
        <f t="shared" ca="1" si="6"/>
        <v>3.0000000000000009</v>
      </c>
      <c r="AG6" s="75">
        <f t="shared" ca="1" si="7"/>
        <v>3.0000000000000009</v>
      </c>
      <c r="AH6" s="31" t="str" cm="1">
        <f t="array" aca="1" ref="AH6" ca="1">IF((AD6) &lt; (INDEX(ResponseSLA[#All],(MATCH((G6),ResponseSLA[Priority],0))+1,3)),"YES","No")</f>
        <v>YES</v>
      </c>
      <c r="AI6" s="31" t="str">
        <f ca="1">_xlfn.IFNA(IF(AE6 &lt; (INDEX(SLATable[Minimum SLA],MATCH(G6,SLATable[Priority],0))),"YES","NO"),"")</f>
        <v>YES</v>
      </c>
      <c r="AJ6" t="str">
        <f ca="1">_xlfn.IFNA(IF(AE6 &lt; (INDEX(SLATable[Maximum SLA],MATCH(G6,SLATable[Priority],0))),"YES","NO"),"")</f>
        <v>YES</v>
      </c>
    </row>
    <row r="7" spans="1:36" ht="15" customHeight="1">
      <c r="A7" s="45">
        <v>6</v>
      </c>
      <c r="B7" s="45" t="s">
        <v>26</v>
      </c>
      <c r="C7" s="45" t="s">
        <v>41</v>
      </c>
      <c r="D7" s="45" t="s">
        <v>207</v>
      </c>
      <c r="E7" s="45" t="s">
        <v>8131</v>
      </c>
      <c r="F7" s="45" t="s">
        <v>40</v>
      </c>
      <c r="G7" s="66">
        <v>4</v>
      </c>
      <c r="H7" s="45" t="s">
        <v>8132</v>
      </c>
      <c r="I7" s="45" t="s">
        <v>271</v>
      </c>
      <c r="J7" s="45" t="s">
        <v>8120</v>
      </c>
      <c r="K7" s="71">
        <v>46157.907071759262</v>
      </c>
      <c r="L7" s="54">
        <v>46157.907071759262</v>
      </c>
      <c r="M7" s="54">
        <v>46160.256967592592</v>
      </c>
      <c r="N7" s="70">
        <v>46163.259942129633</v>
      </c>
      <c r="Q7" s="45" t="s">
        <v>8121</v>
      </c>
      <c r="S7" s="45" t="s">
        <v>8122</v>
      </c>
      <c r="T7" s="45" t="s">
        <v>1519</v>
      </c>
      <c r="U7" s="45" t="s">
        <v>371</v>
      </c>
      <c r="Z7" s="76">
        <f t="shared" ca="1" si="8"/>
        <v>1.125</v>
      </c>
      <c r="AA7" s="75">
        <f t="shared" ca="1" si="1"/>
        <v>3</v>
      </c>
      <c r="AB7" s="76">
        <f t="shared" ca="1" si="9"/>
        <v>1.125</v>
      </c>
      <c r="AC7" s="75">
        <f t="shared" ca="1" si="3"/>
        <v>3</v>
      </c>
      <c r="AD7" s="76">
        <f t="shared" ca="1" si="10"/>
        <v>0</v>
      </c>
      <c r="AE7" s="76">
        <f t="shared" ca="1" si="11"/>
        <v>1.125</v>
      </c>
      <c r="AF7" s="75">
        <f t="shared" ca="1" si="6"/>
        <v>3</v>
      </c>
      <c r="AG7" s="75">
        <f t="shared" ca="1" si="7"/>
        <v>3</v>
      </c>
      <c r="AH7" s="31" t="str" cm="1">
        <f t="array" aca="1" ref="AH7" ca="1">IF((AD7) &lt; (INDEX(ResponseSLA[#All],(MATCH((G7),ResponseSLA[Priority],0))+1,3)),"YES","No")</f>
        <v>YES</v>
      </c>
      <c r="AI7" s="31" t="str">
        <f ca="1">_xlfn.IFNA(IF(AE7 &lt; (INDEX(SLATable[Minimum SLA],MATCH(G7,SLATable[Priority],0))),"YES","NO"),"")</f>
        <v>YES</v>
      </c>
      <c r="AJ7" t="str">
        <f ca="1">_xlfn.IFNA(IF(AE7 &lt; (INDEX(SLATable[Maximum SLA],MATCH(G7,SLATable[Priority],0))),"YES","NO"),"")</f>
        <v>YES</v>
      </c>
    </row>
    <row r="8" spans="1:36" ht="15" customHeight="1">
      <c r="A8" s="45">
        <v>7</v>
      </c>
      <c r="B8" s="45" t="s">
        <v>26</v>
      </c>
      <c r="C8" s="45" t="s">
        <v>41</v>
      </c>
      <c r="D8" s="45" t="s">
        <v>207</v>
      </c>
      <c r="E8" s="45" t="s">
        <v>8133</v>
      </c>
      <c r="F8" s="45" t="s">
        <v>40</v>
      </c>
      <c r="G8" s="66">
        <v>4</v>
      </c>
      <c r="H8" s="45" t="s">
        <v>8134</v>
      </c>
      <c r="I8" s="45" t="s">
        <v>271</v>
      </c>
      <c r="J8" s="45" t="s">
        <v>8120</v>
      </c>
      <c r="K8" s="47">
        <v>46157.906886574077</v>
      </c>
      <c r="L8" s="47">
        <v>46160.403553240743</v>
      </c>
      <c r="M8" s="47">
        <v>46160.462083333332</v>
      </c>
      <c r="N8" s="47">
        <v>46166.260162037041</v>
      </c>
      <c r="Q8" s="45" t="s">
        <v>8121</v>
      </c>
      <c r="S8" s="45" t="s">
        <v>8122</v>
      </c>
      <c r="T8" s="45" t="s">
        <v>1519</v>
      </c>
      <c r="U8" s="45" t="s">
        <v>371</v>
      </c>
      <c r="Z8" s="76">
        <f t="shared" ca="1" si="8"/>
        <v>1.5</v>
      </c>
      <c r="AA8" s="75">
        <f t="shared" ca="1" si="1"/>
        <v>4</v>
      </c>
      <c r="AB8" s="76">
        <f t="shared" ca="1" si="9"/>
        <v>1.4297800925899842</v>
      </c>
      <c r="AC8" s="75">
        <f t="shared" ca="1" si="3"/>
        <v>3.8127469135732905</v>
      </c>
      <c r="AD8" s="76">
        <f t="shared" ca="1" si="10"/>
        <v>5.8530092588625848E-2</v>
      </c>
      <c r="AE8" s="76">
        <f t="shared" ca="1" si="11"/>
        <v>1.4297800925899842</v>
      </c>
      <c r="AF8" s="75">
        <f t="shared" ca="1" si="6"/>
        <v>3.8127469135732905</v>
      </c>
      <c r="AG8" s="75">
        <f t="shared" ca="1" si="7"/>
        <v>3.8127469135732905</v>
      </c>
      <c r="AH8" s="31" t="str" cm="1">
        <f t="array" aca="1" ref="AH8" ca="1">IF((AD8) &lt; (INDEX(ResponseSLA[#All],(MATCH((G8),ResponseSLA[Priority],0))+1,3)),"YES","No")</f>
        <v>YES</v>
      </c>
      <c r="AI8" s="31" t="str">
        <f ca="1">_xlfn.IFNA(IF(AE8 &lt; (INDEX(SLATable[Minimum SLA],MATCH(G8,SLATable[Priority],0))),"YES","NO"),"")</f>
        <v>YES</v>
      </c>
      <c r="AJ8" t="str">
        <f ca="1">_xlfn.IFNA(IF(AE8 &lt; (INDEX(SLATable[Maximum SLA],MATCH(G8,SLATable[Priority],0))),"YES","NO"),"")</f>
        <v>YES</v>
      </c>
    </row>
    <row r="9" spans="1:36" ht="15" customHeight="1">
      <c r="A9" s="45">
        <v>8</v>
      </c>
      <c r="B9" s="45" t="s">
        <v>26</v>
      </c>
      <c r="C9" s="45" t="s">
        <v>41</v>
      </c>
      <c r="D9" s="45" t="s">
        <v>207</v>
      </c>
      <c r="E9" s="45" t="s">
        <v>8135</v>
      </c>
      <c r="F9" s="45" t="s">
        <v>40</v>
      </c>
      <c r="G9" s="66">
        <v>4</v>
      </c>
      <c r="H9" s="45" t="s">
        <v>8136</v>
      </c>
      <c r="I9" s="45" t="s">
        <v>271</v>
      </c>
      <c r="J9" s="45" t="s">
        <v>8120</v>
      </c>
      <c r="K9" s="47">
        <v>46157.177557870367</v>
      </c>
      <c r="L9" s="52">
        <v>46157.178993055553</v>
      </c>
      <c r="M9" s="52">
        <v>46157.277696759258</v>
      </c>
      <c r="N9" s="52">
        <v>46160.301226851851</v>
      </c>
      <c r="Q9" s="45" t="s">
        <v>8121</v>
      </c>
      <c r="S9" s="45" t="s">
        <v>8122</v>
      </c>
      <c r="T9" s="45" t="s">
        <v>1519</v>
      </c>
      <c r="U9" s="45" t="s">
        <v>371</v>
      </c>
      <c r="Z9" s="76">
        <f t="shared" ca="1" si="8"/>
        <v>0.37500000000000006</v>
      </c>
      <c r="AA9" s="75">
        <f t="shared" ca="1" si="1"/>
        <v>1.0000000000000002</v>
      </c>
      <c r="AB9" s="76">
        <f t="shared" ca="1" si="9"/>
        <v>0.37500000000000006</v>
      </c>
      <c r="AC9" s="75">
        <f t="shared" ca="1" si="3"/>
        <v>1.0000000000000002</v>
      </c>
      <c r="AD9" s="76">
        <f t="shared" ca="1" si="10"/>
        <v>0</v>
      </c>
      <c r="AE9" s="76">
        <f t="shared" ca="1" si="11"/>
        <v>0.37500000000000006</v>
      </c>
      <c r="AF9" s="75">
        <f t="shared" ca="1" si="6"/>
        <v>1.0000000000000002</v>
      </c>
      <c r="AG9" s="75">
        <f t="shared" ca="1" si="7"/>
        <v>1.0000000000000002</v>
      </c>
      <c r="AH9" s="31" t="str" cm="1">
        <f t="array" aca="1" ref="AH9" ca="1">IF((AD9) &lt; (INDEX(ResponseSLA[#All],(MATCH((G9),ResponseSLA[Priority],0))+1,3)),"YES","No")</f>
        <v>YES</v>
      </c>
      <c r="AI9" s="31" t="str">
        <f ca="1">_xlfn.IFNA(IF(AE9 &lt; (INDEX(SLATable[Minimum SLA],MATCH(G9,SLATable[Priority],0))),"YES","NO"),"")</f>
        <v>YES</v>
      </c>
      <c r="AJ9" t="str">
        <f ca="1">_xlfn.IFNA(IF(AE9 &lt; (INDEX(SLATable[Maximum SLA],MATCH(G9,SLATable[Priority],0))),"YES","NO"),"")</f>
        <v>YES</v>
      </c>
    </row>
    <row r="10" spans="1:36" ht="15" customHeight="1">
      <c r="A10" s="45">
        <v>9</v>
      </c>
      <c r="B10" s="45" t="s">
        <v>26</v>
      </c>
      <c r="C10" s="45" t="s">
        <v>41</v>
      </c>
      <c r="D10" s="45" t="s">
        <v>207</v>
      </c>
      <c r="E10" s="45" t="s">
        <v>8137</v>
      </c>
      <c r="F10" s="45" t="s">
        <v>40</v>
      </c>
      <c r="G10" s="66">
        <v>4</v>
      </c>
      <c r="H10" s="45" t="s">
        <v>8138</v>
      </c>
      <c r="I10" s="45" t="s">
        <v>271</v>
      </c>
      <c r="J10" s="45" t="s">
        <v>8120</v>
      </c>
      <c r="K10" s="47">
        <v>46156.906168981484</v>
      </c>
      <c r="L10" s="52">
        <v>46156.911192129628</v>
      </c>
      <c r="M10" s="52">
        <v>46157.276331018518</v>
      </c>
      <c r="N10" s="52">
        <v>46160.301192129627</v>
      </c>
      <c r="Q10" s="45" t="s">
        <v>8121</v>
      </c>
      <c r="S10" s="45" t="s">
        <v>8122</v>
      </c>
      <c r="T10" s="45" t="s">
        <v>1519</v>
      </c>
      <c r="U10" s="45" t="s">
        <v>371</v>
      </c>
      <c r="Z10" s="76">
        <f t="shared" ca="1" si="8"/>
        <v>0.37500000000000011</v>
      </c>
      <c r="AA10" s="75">
        <f t="shared" ca="1" si="1"/>
        <v>1.0000000000000004</v>
      </c>
      <c r="AB10" s="76">
        <f t="shared" ca="1" si="9"/>
        <v>0.37500000000000011</v>
      </c>
      <c r="AC10" s="75">
        <f t="shared" ca="1" si="3"/>
        <v>1.0000000000000004</v>
      </c>
      <c r="AD10" s="76">
        <f t="shared" ca="1" si="10"/>
        <v>0</v>
      </c>
      <c r="AE10" s="76">
        <f t="shared" ca="1" si="11"/>
        <v>0.37500000000000011</v>
      </c>
      <c r="AF10" s="75">
        <f t="shared" ca="1" si="6"/>
        <v>1.0000000000000004</v>
      </c>
      <c r="AG10" s="75">
        <f t="shared" ca="1" si="7"/>
        <v>1.0000000000000004</v>
      </c>
      <c r="AH10" s="31" t="str" cm="1">
        <f t="array" aca="1" ref="AH10" ca="1">IF((AD10) &lt; (INDEX(ResponseSLA[#All],(MATCH((G10),ResponseSLA[Priority],0))+1,3)),"YES","No")</f>
        <v>YES</v>
      </c>
      <c r="AI10" s="31" t="str">
        <f ca="1">_xlfn.IFNA(IF(AE10 &lt; (INDEX(SLATable[Minimum SLA],MATCH(G10,SLATable[Priority],0))),"YES","NO"),"")</f>
        <v>YES</v>
      </c>
      <c r="AJ10" t="str">
        <f ca="1">_xlfn.IFNA(IF(AE10 &lt; (INDEX(SLATable[Maximum SLA],MATCH(G10,SLATable[Priority],0))),"YES","NO"),"")</f>
        <v>YES</v>
      </c>
    </row>
    <row r="11" spans="1:36" ht="15" customHeight="1">
      <c r="A11" s="45">
        <v>10</v>
      </c>
      <c r="B11" s="45" t="s">
        <v>26</v>
      </c>
      <c r="C11" s="45" t="s">
        <v>41</v>
      </c>
      <c r="D11" s="45" t="s">
        <v>207</v>
      </c>
      <c r="E11" s="45" t="s">
        <v>8139</v>
      </c>
      <c r="F11" s="45" t="s">
        <v>40</v>
      </c>
      <c r="G11" s="66">
        <v>4</v>
      </c>
      <c r="H11" s="45" t="s">
        <v>8140</v>
      </c>
      <c r="I11" s="45" t="s">
        <v>271</v>
      </c>
      <c r="J11" s="45" t="s">
        <v>8120</v>
      </c>
      <c r="K11" s="47">
        <v>46156.174780092595</v>
      </c>
      <c r="L11" s="47">
        <v>46156.234259259261</v>
      </c>
      <c r="M11" s="47">
        <v>46156.26390046296</v>
      </c>
      <c r="N11" s="47">
        <v>46159.301319444443</v>
      </c>
      <c r="Q11" s="45" t="s">
        <v>8121</v>
      </c>
      <c r="S11" s="45" t="s">
        <v>8122</v>
      </c>
      <c r="T11" s="45" t="s">
        <v>1519</v>
      </c>
      <c r="U11" s="45" t="s">
        <v>371</v>
      </c>
      <c r="Z11" s="76">
        <f t="shared" ca="1" si="8"/>
        <v>0.37500000000000006</v>
      </c>
      <c r="AA11" s="75">
        <f t="shared" ca="1" si="1"/>
        <v>1.0000000000000002</v>
      </c>
      <c r="AB11" s="76">
        <f t="shared" ca="1" si="9"/>
        <v>0.37500000000000006</v>
      </c>
      <c r="AC11" s="75">
        <f t="shared" ca="1" si="3"/>
        <v>1.0000000000000002</v>
      </c>
      <c r="AD11" s="76">
        <f t="shared" ca="1" si="10"/>
        <v>0</v>
      </c>
      <c r="AE11" s="76">
        <f t="shared" ca="1" si="11"/>
        <v>0.37500000000000006</v>
      </c>
      <c r="AF11" s="75">
        <f t="shared" ca="1" si="6"/>
        <v>1.0000000000000002</v>
      </c>
      <c r="AG11" s="75">
        <f t="shared" ca="1" si="7"/>
        <v>1.0000000000000002</v>
      </c>
      <c r="AH11" s="31" t="str" cm="1">
        <f t="array" aca="1" ref="AH11" ca="1">IF((AD11) &lt; (INDEX(ResponseSLA[#All],(MATCH((G11),ResponseSLA[Priority],0))+1,3)),"YES","No")</f>
        <v>YES</v>
      </c>
      <c r="AI11" s="31" t="str">
        <f ca="1">_xlfn.IFNA(IF(AE11 &lt; (INDEX(SLATable[Minimum SLA],MATCH(G11,SLATable[Priority],0))),"YES","NO"),"")</f>
        <v>YES</v>
      </c>
      <c r="AJ11" t="str">
        <f ca="1">_xlfn.IFNA(IF(AE11 &lt; (INDEX(SLATable[Maximum SLA],MATCH(G11,SLATable[Priority],0))),"YES","NO"),"")</f>
        <v>YES</v>
      </c>
    </row>
    <row r="12" spans="1:36" ht="15" customHeight="1">
      <c r="A12" s="45">
        <v>11</v>
      </c>
      <c r="B12" s="45" t="s">
        <v>26</v>
      </c>
      <c r="C12" s="45" t="s">
        <v>41</v>
      </c>
      <c r="D12" s="45" t="s">
        <v>207</v>
      </c>
      <c r="E12" s="45" t="s">
        <v>8141</v>
      </c>
      <c r="F12" s="45" t="s">
        <v>40</v>
      </c>
      <c r="G12" s="66">
        <v>4</v>
      </c>
      <c r="H12" s="45" t="s">
        <v>8142</v>
      </c>
      <c r="I12" s="45" t="s">
        <v>271</v>
      </c>
      <c r="J12" s="45" t="s">
        <v>8120</v>
      </c>
      <c r="K12" s="47">
        <v>46155.906215277777</v>
      </c>
      <c r="L12" s="47">
        <v>46155.942152777781</v>
      </c>
      <c r="M12" s="47">
        <v>46156.262384259258</v>
      </c>
      <c r="N12" s="47">
        <v>46159.30127314815</v>
      </c>
      <c r="Q12" s="45" t="s">
        <v>8121</v>
      </c>
      <c r="S12" s="45" t="s">
        <v>8122</v>
      </c>
      <c r="T12" s="45" t="s">
        <v>1519</v>
      </c>
      <c r="U12" s="45" t="s">
        <v>371</v>
      </c>
      <c r="Z12" s="76">
        <f t="shared" ca="1" si="8"/>
        <v>0.37500000000000011</v>
      </c>
      <c r="AA12" s="75">
        <f t="shared" ca="1" si="1"/>
        <v>1.0000000000000004</v>
      </c>
      <c r="AB12" s="76">
        <f t="shared" ca="1" si="9"/>
        <v>0.37500000000000011</v>
      </c>
      <c r="AC12" s="75">
        <f t="shared" ca="1" si="3"/>
        <v>1.0000000000000004</v>
      </c>
      <c r="AD12" s="76">
        <f t="shared" ca="1" si="10"/>
        <v>0</v>
      </c>
      <c r="AE12" s="76">
        <f t="shared" ca="1" si="11"/>
        <v>0.37500000000000011</v>
      </c>
      <c r="AF12" s="75">
        <f t="shared" ca="1" si="6"/>
        <v>1.0000000000000004</v>
      </c>
      <c r="AG12" s="75">
        <f t="shared" ca="1" si="7"/>
        <v>1.0000000000000004</v>
      </c>
      <c r="AH12" s="31" t="str" cm="1">
        <f t="array" aca="1" ref="AH12" ca="1">IF((AD12) &lt; (INDEX(ResponseSLA[#All],(MATCH((G12),ResponseSLA[Priority],0))+1,3)),"YES","No")</f>
        <v>YES</v>
      </c>
      <c r="AI12" s="31" t="str">
        <f ca="1">_xlfn.IFNA(IF(AE12 &lt; (INDEX(SLATable[Minimum SLA],MATCH(G12,SLATable[Priority],0))),"YES","NO"),"")</f>
        <v>YES</v>
      </c>
      <c r="AJ12" t="str">
        <f ca="1">_xlfn.IFNA(IF(AE12 &lt; (INDEX(SLATable[Maximum SLA],MATCH(G12,SLATable[Priority],0))),"YES","NO"),"")</f>
        <v>YES</v>
      </c>
    </row>
    <row r="13" spans="1:36" ht="15" customHeight="1">
      <c r="A13" s="45">
        <v>12</v>
      </c>
      <c r="B13" s="45" t="s">
        <v>26</v>
      </c>
      <c r="C13" s="45" t="s">
        <v>41</v>
      </c>
      <c r="D13" s="45" t="s">
        <v>207</v>
      </c>
      <c r="E13" s="45" t="s">
        <v>8143</v>
      </c>
      <c r="F13" s="45" t="s">
        <v>40</v>
      </c>
      <c r="G13" s="66">
        <v>4</v>
      </c>
      <c r="H13" s="45" t="s">
        <v>8144</v>
      </c>
      <c r="I13" s="45" t="s">
        <v>271</v>
      </c>
      <c r="J13" s="45" t="s">
        <v>8120</v>
      </c>
      <c r="K13" s="47">
        <v>46155.170011574075</v>
      </c>
      <c r="L13" s="47">
        <v>46155.186145833337</v>
      </c>
      <c r="M13" s="47">
        <v>46155.25576388889</v>
      </c>
      <c r="N13" s="47">
        <v>46158.259606481479</v>
      </c>
      <c r="Q13" s="45" t="s">
        <v>8121</v>
      </c>
      <c r="S13" s="45" t="s">
        <v>8122</v>
      </c>
      <c r="T13" s="45" t="s">
        <v>1519</v>
      </c>
      <c r="U13" s="45" t="s">
        <v>371</v>
      </c>
      <c r="Z13" s="76">
        <f t="shared" ca="1" si="8"/>
        <v>0.75000000000000022</v>
      </c>
      <c r="AA13" s="75">
        <f t="shared" ca="1" si="1"/>
        <v>2.0000000000000009</v>
      </c>
      <c r="AB13" s="76">
        <f t="shared" ca="1" si="9"/>
        <v>0.75000000000000022</v>
      </c>
      <c r="AC13" s="75">
        <f t="shared" ca="1" si="3"/>
        <v>2.0000000000000009</v>
      </c>
      <c r="AD13" s="76">
        <f t="shared" ca="1" si="10"/>
        <v>0</v>
      </c>
      <c r="AE13" s="76">
        <f t="shared" ca="1" si="11"/>
        <v>0.75000000000000022</v>
      </c>
      <c r="AF13" s="75">
        <f t="shared" ca="1" si="6"/>
        <v>2.0000000000000009</v>
      </c>
      <c r="AG13" s="75">
        <f t="shared" ca="1" si="7"/>
        <v>2.0000000000000009</v>
      </c>
      <c r="AH13" s="31" t="str" cm="1">
        <f t="array" aca="1" ref="AH13" ca="1">IF((AD13) &lt; (INDEX(ResponseSLA[#All],(MATCH((G13),ResponseSLA[Priority],0))+1,3)),"YES","No")</f>
        <v>YES</v>
      </c>
      <c r="AI13" s="31" t="str">
        <f ca="1">_xlfn.IFNA(IF(AE13 &lt; (INDEX(SLATable[Minimum SLA],MATCH(G13,SLATable[Priority],0))),"YES","NO"),"")</f>
        <v>YES</v>
      </c>
      <c r="AJ13" t="str">
        <f ca="1">_xlfn.IFNA(IF(AE13 &lt; (INDEX(SLATable[Maximum SLA],MATCH(G13,SLATable[Priority],0))),"YES","NO"),"")</f>
        <v>YES</v>
      </c>
    </row>
    <row r="14" spans="1:36" ht="15" customHeight="1">
      <c r="A14" s="45">
        <v>13</v>
      </c>
      <c r="B14" s="45" t="s">
        <v>26</v>
      </c>
      <c r="C14" s="45" t="s">
        <v>41</v>
      </c>
      <c r="D14" s="45" t="s">
        <v>207</v>
      </c>
      <c r="E14" s="45" t="s">
        <v>8145</v>
      </c>
      <c r="F14" s="45" t="s">
        <v>40</v>
      </c>
      <c r="G14" s="66">
        <v>4</v>
      </c>
      <c r="H14" s="45" t="s">
        <v>8146</v>
      </c>
      <c r="I14" s="45" t="s">
        <v>271</v>
      </c>
      <c r="J14" s="45" t="s">
        <v>8120</v>
      </c>
      <c r="K14" s="47">
        <v>46154.912465277775</v>
      </c>
      <c r="L14" s="47">
        <v>46154.915868055556</v>
      </c>
      <c r="M14" s="47">
        <v>46155.254143518519</v>
      </c>
      <c r="N14" s="47">
        <v>46158.259652777779</v>
      </c>
      <c r="Q14" s="45" t="s">
        <v>8121</v>
      </c>
      <c r="S14" s="45" t="s">
        <v>8122</v>
      </c>
      <c r="T14" s="45" t="s">
        <v>1519</v>
      </c>
      <c r="U14" s="45" t="s">
        <v>371</v>
      </c>
      <c r="Z14" s="76">
        <f t="shared" ca="1" si="8"/>
        <v>0.75000000000000011</v>
      </c>
      <c r="AA14" s="75">
        <f t="shared" ca="1" si="1"/>
        <v>2.0000000000000004</v>
      </c>
      <c r="AB14" s="76">
        <f t="shared" ca="1" si="9"/>
        <v>0.75000000000000011</v>
      </c>
      <c r="AC14" s="75">
        <f t="shared" ca="1" si="3"/>
        <v>2.0000000000000004</v>
      </c>
      <c r="AD14" s="76">
        <f t="shared" ca="1" si="10"/>
        <v>0</v>
      </c>
      <c r="AE14" s="76">
        <f t="shared" ca="1" si="11"/>
        <v>0.75000000000000011</v>
      </c>
      <c r="AF14" s="75">
        <f t="shared" ca="1" si="6"/>
        <v>2.0000000000000004</v>
      </c>
      <c r="AG14" s="75">
        <f t="shared" ca="1" si="7"/>
        <v>2.0000000000000004</v>
      </c>
      <c r="AH14" s="31" t="str" cm="1">
        <f t="array" aca="1" ref="AH14" ca="1">IF((AD14) &lt; (INDEX(ResponseSLA[#All],(MATCH((G14),ResponseSLA[Priority],0))+1,3)),"YES","No")</f>
        <v>YES</v>
      </c>
      <c r="AI14" s="31" t="str">
        <f ca="1">_xlfn.IFNA(IF(AE14 &lt; (INDEX(SLATable[Minimum SLA],MATCH(G14,SLATable[Priority],0))),"YES","NO"),"")</f>
        <v>YES</v>
      </c>
      <c r="AJ14" t="str">
        <f ca="1">_xlfn.IFNA(IF(AE14 &lt; (INDEX(SLATable[Maximum SLA],MATCH(G14,SLATable[Priority],0))),"YES","NO"),"")</f>
        <v>YES</v>
      </c>
    </row>
    <row r="15" spans="1:36" ht="15" customHeight="1">
      <c r="A15" s="45">
        <v>14</v>
      </c>
      <c r="B15" s="45" t="s">
        <v>26</v>
      </c>
      <c r="C15" s="45" t="s">
        <v>41</v>
      </c>
      <c r="D15" s="45" t="s">
        <v>207</v>
      </c>
      <c r="E15" s="45" t="s">
        <v>8147</v>
      </c>
      <c r="F15" s="45" t="s">
        <v>40</v>
      </c>
      <c r="G15" s="66">
        <v>4</v>
      </c>
      <c r="H15" s="45" t="s">
        <v>8148</v>
      </c>
      <c r="I15" s="45" t="s">
        <v>271</v>
      </c>
      <c r="J15" s="45" t="s">
        <v>8120</v>
      </c>
      <c r="K15" s="47">
        <v>46154.4296875</v>
      </c>
      <c r="L15" s="47">
        <v>46154.4296875</v>
      </c>
      <c r="M15" s="47">
        <v>46154.453101851854</v>
      </c>
      <c r="N15" s="47">
        <v>46157.468460648146</v>
      </c>
      <c r="Q15" s="45" t="s">
        <v>8121</v>
      </c>
      <c r="S15" s="45" t="s">
        <v>8122</v>
      </c>
      <c r="T15" s="45" t="s">
        <v>1519</v>
      </c>
      <c r="U15" s="45" t="s">
        <v>371</v>
      </c>
      <c r="Z15" s="76">
        <f t="shared" ca="1" si="8"/>
        <v>1.1637731481459925</v>
      </c>
      <c r="AA15" s="75">
        <f t="shared" ca="1" si="1"/>
        <v>3.1033950617226469</v>
      </c>
      <c r="AB15" s="76">
        <f t="shared" ca="1" si="9"/>
        <v>1.1637731481459925</v>
      </c>
      <c r="AC15" s="75">
        <f t="shared" ca="1" si="3"/>
        <v>3.1033950617226469</v>
      </c>
      <c r="AD15" s="76">
        <f t="shared" ca="1" si="10"/>
        <v>2.3414351853716653E-2</v>
      </c>
      <c r="AE15" s="76">
        <f t="shared" ca="1" si="11"/>
        <v>1.1637731481459925</v>
      </c>
      <c r="AF15" s="75">
        <f t="shared" ca="1" si="6"/>
        <v>3.1033950617226469</v>
      </c>
      <c r="AG15" s="75">
        <f t="shared" ca="1" si="7"/>
        <v>3.1033950617226469</v>
      </c>
      <c r="AH15" s="31" t="str" cm="1">
        <f t="array" aca="1" ref="AH15" ca="1">IF((AD15) &lt; (INDEX(ResponseSLA[#All],(MATCH((G15),ResponseSLA[Priority],0))+1,3)),"YES","No")</f>
        <v>YES</v>
      </c>
      <c r="AI15" s="31" t="str">
        <f ca="1">_xlfn.IFNA(IF(AE15 &lt; (INDEX(SLATable[Minimum SLA],MATCH(G15,SLATable[Priority],0))),"YES","NO"),"")</f>
        <v>YES</v>
      </c>
      <c r="AJ15" t="str">
        <f ca="1">_xlfn.IFNA(IF(AE15 &lt; (INDEX(SLATable[Maximum SLA],MATCH(G15,SLATable[Priority],0))),"YES","NO"),"")</f>
        <v>YES</v>
      </c>
    </row>
    <row r="16" spans="1:36" ht="15" customHeight="1">
      <c r="A16" s="45">
        <v>15</v>
      </c>
      <c r="B16" s="45" t="s">
        <v>26</v>
      </c>
      <c r="C16" s="45" t="s">
        <v>41</v>
      </c>
      <c r="D16" s="45" t="s">
        <v>207</v>
      </c>
      <c r="E16" s="45" t="s">
        <v>8149</v>
      </c>
      <c r="F16" s="45" t="s">
        <v>40</v>
      </c>
      <c r="G16" s="66">
        <v>4</v>
      </c>
      <c r="H16" s="46" t="s">
        <v>8150</v>
      </c>
      <c r="I16" s="45" t="s">
        <v>271</v>
      </c>
      <c r="J16" s="45" t="s">
        <v>8120</v>
      </c>
      <c r="K16" s="47">
        <v>46154.168564814812</v>
      </c>
      <c r="L16" s="47">
        <v>46154.168564814812</v>
      </c>
      <c r="M16" s="47">
        <v>46154.257743055554</v>
      </c>
      <c r="N16" s="47">
        <v>46157.259930555556</v>
      </c>
      <c r="Q16" s="45" t="s">
        <v>8121</v>
      </c>
      <c r="S16" s="45" t="s">
        <v>8122</v>
      </c>
      <c r="T16" s="45" t="s">
        <v>1519</v>
      </c>
      <c r="U16" s="45" t="s">
        <v>371</v>
      </c>
      <c r="Z16" s="76">
        <f t="shared" ca="1" si="8"/>
        <v>1.1250000000000002</v>
      </c>
      <c r="AA16" s="75">
        <f t="shared" ca="1" si="1"/>
        <v>3.0000000000000009</v>
      </c>
      <c r="AB16" s="76">
        <f t="shared" ca="1" si="9"/>
        <v>1.1250000000000002</v>
      </c>
      <c r="AC16" s="75">
        <f t="shared" ca="1" si="3"/>
        <v>3.0000000000000009</v>
      </c>
      <c r="AD16" s="76">
        <f t="shared" ca="1" si="10"/>
        <v>0</v>
      </c>
      <c r="AE16" s="76">
        <f t="shared" ca="1" si="11"/>
        <v>1.1250000000000002</v>
      </c>
      <c r="AF16" s="75">
        <f t="shared" ca="1" si="6"/>
        <v>3.0000000000000009</v>
      </c>
      <c r="AG16" s="75">
        <f t="shared" ca="1" si="7"/>
        <v>3.0000000000000009</v>
      </c>
      <c r="AH16" s="31" t="str" cm="1">
        <f t="array" aca="1" ref="AH16" ca="1">IF((AD16) &lt; (INDEX(ResponseSLA[#All],(MATCH((G16),ResponseSLA[Priority],0))+1,3)),"YES","No")</f>
        <v>YES</v>
      </c>
      <c r="AI16" s="31" t="str">
        <f ca="1">_xlfn.IFNA(IF(AE16 &lt; (INDEX(SLATable[Minimum SLA],MATCH(G16,SLATable[Priority],0))),"YES","NO"),"")</f>
        <v>YES</v>
      </c>
      <c r="AJ16" t="str">
        <f ca="1">_xlfn.IFNA(IF(AE16 &lt; (INDEX(SLATable[Maximum SLA],MATCH(G16,SLATable[Priority],0))),"YES","NO"),"")</f>
        <v>YES</v>
      </c>
    </row>
    <row r="17" spans="1:36" ht="15" customHeight="1">
      <c r="A17" s="45">
        <v>16</v>
      </c>
      <c r="B17" s="45" t="s">
        <v>26</v>
      </c>
      <c r="C17" s="45" t="s">
        <v>41</v>
      </c>
      <c r="D17" s="45" t="s">
        <v>207</v>
      </c>
      <c r="E17" s="45" t="s">
        <v>8151</v>
      </c>
      <c r="F17" s="45" t="s">
        <v>40</v>
      </c>
      <c r="G17" s="66">
        <v>4</v>
      </c>
      <c r="H17" s="45" t="s">
        <v>8152</v>
      </c>
      <c r="I17" s="45" t="s">
        <v>271</v>
      </c>
      <c r="J17" s="45" t="s">
        <v>8120</v>
      </c>
      <c r="K17" s="47">
        <v>46153.905509259261</v>
      </c>
      <c r="L17" s="47">
        <v>46153.907638888886</v>
      </c>
      <c r="M17" s="47">
        <v>46154.256388888891</v>
      </c>
      <c r="N17" s="47">
        <v>46157.259872685187</v>
      </c>
      <c r="Q17" s="45" t="s">
        <v>8121</v>
      </c>
      <c r="S17" s="45" t="s">
        <v>8122</v>
      </c>
      <c r="T17" s="45" t="s">
        <v>1519</v>
      </c>
      <c r="U17" s="45" t="s">
        <v>371</v>
      </c>
      <c r="Z17" s="76">
        <f t="shared" ca="1" si="8"/>
        <v>1.125</v>
      </c>
      <c r="AA17" s="75">
        <f t="shared" ca="1" si="1"/>
        <v>3</v>
      </c>
      <c r="AB17" s="76">
        <f t="shared" ca="1" si="9"/>
        <v>1.125</v>
      </c>
      <c r="AC17" s="75">
        <f t="shared" ca="1" si="3"/>
        <v>3</v>
      </c>
      <c r="AD17" s="76">
        <f t="shared" ca="1" si="10"/>
        <v>0</v>
      </c>
      <c r="AE17" s="76">
        <f t="shared" ca="1" si="11"/>
        <v>1.125</v>
      </c>
      <c r="AF17" s="75">
        <f t="shared" ca="1" si="6"/>
        <v>3</v>
      </c>
      <c r="AG17" s="75">
        <f t="shared" ca="1" si="7"/>
        <v>3</v>
      </c>
      <c r="AH17" s="31" t="str" cm="1">
        <f t="array" aca="1" ref="AH17" ca="1">IF((AD17) &lt; (INDEX(ResponseSLA[#All],(MATCH((G17),ResponseSLA[Priority],0))+1,3)),"YES","No")</f>
        <v>YES</v>
      </c>
      <c r="AI17" s="31" t="str">
        <f ca="1">_xlfn.IFNA(IF(AE17 &lt; (INDEX(SLATable[Minimum SLA],MATCH(G17,SLATable[Priority],0))),"YES","NO"),"")</f>
        <v>YES</v>
      </c>
      <c r="AJ17" t="str">
        <f ca="1">_xlfn.IFNA(IF(AE17 &lt; (INDEX(SLATable[Maximum SLA],MATCH(G17,SLATable[Priority],0))),"YES","NO"),"")</f>
        <v>YES</v>
      </c>
    </row>
    <row r="18" spans="1:36" ht="15" customHeight="1">
      <c r="A18" s="45">
        <v>17</v>
      </c>
      <c r="B18" s="45" t="s">
        <v>26</v>
      </c>
      <c r="C18" s="45" t="s">
        <v>41</v>
      </c>
      <c r="D18" s="45" t="s">
        <v>207</v>
      </c>
      <c r="E18" s="45" t="s">
        <v>8153</v>
      </c>
      <c r="F18" s="45" t="s">
        <v>40</v>
      </c>
      <c r="G18" s="66">
        <v>4</v>
      </c>
      <c r="H18" s="45" t="s">
        <v>8154</v>
      </c>
      <c r="I18" s="45" t="s">
        <v>271</v>
      </c>
      <c r="J18" s="45" t="s">
        <v>8120</v>
      </c>
      <c r="K18" s="47">
        <v>46151.176238425927</v>
      </c>
      <c r="L18" s="47">
        <v>46151.211863425924</v>
      </c>
      <c r="M18" s="52">
        <v>46153.279016203705</v>
      </c>
      <c r="N18" s="47">
        <v>46153.282696759263</v>
      </c>
      <c r="Q18" s="45" t="s">
        <v>8121</v>
      </c>
      <c r="S18" s="45" t="s">
        <v>8122</v>
      </c>
      <c r="T18" s="45" t="s">
        <v>1519</v>
      </c>
      <c r="U18" s="45" t="s">
        <v>371</v>
      </c>
      <c r="Z18" s="76">
        <f t="shared" ca="1" si="8"/>
        <v>0</v>
      </c>
      <c r="AA18" s="75">
        <f t="shared" ca="1" si="1"/>
        <v>0</v>
      </c>
      <c r="AB18" s="76">
        <f t="shared" ca="1" si="9"/>
        <v>0</v>
      </c>
      <c r="AC18" s="75">
        <f t="shared" ca="1" si="3"/>
        <v>0</v>
      </c>
      <c r="AD18" s="76">
        <f t="shared" ca="1" si="10"/>
        <v>0</v>
      </c>
      <c r="AE18" s="76">
        <f t="shared" ca="1" si="11"/>
        <v>0</v>
      </c>
      <c r="AF18" s="75">
        <f t="shared" ca="1" si="6"/>
        <v>0</v>
      </c>
      <c r="AG18" s="75">
        <f t="shared" ca="1" si="7"/>
        <v>0</v>
      </c>
      <c r="AH18" s="31" t="str" cm="1">
        <f t="array" aca="1" ref="AH18" ca="1">IF((AD18) &lt; (INDEX(ResponseSLA[#All],(MATCH((G18),ResponseSLA[Priority],0))+1,3)),"YES","No")</f>
        <v>YES</v>
      </c>
      <c r="AI18" s="31" t="str">
        <f ca="1">_xlfn.IFNA(IF(AE18 &lt; (INDEX(SLATable[Minimum SLA],MATCH(G18,SLATable[Priority],0))),"YES","NO"),"")</f>
        <v>YES</v>
      </c>
      <c r="AJ18" t="str">
        <f ca="1">_xlfn.IFNA(IF(AE18 &lt; (INDEX(SLATable[Maximum SLA],MATCH(G18,SLATable[Priority],0))),"YES","NO"),"")</f>
        <v>YES</v>
      </c>
    </row>
    <row r="19" spans="1:36" ht="15" customHeight="1">
      <c r="A19" s="45">
        <v>18</v>
      </c>
      <c r="B19" s="45" t="s">
        <v>26</v>
      </c>
      <c r="C19" s="45" t="s">
        <v>41</v>
      </c>
      <c r="D19" s="45" t="s">
        <v>207</v>
      </c>
      <c r="E19" s="45" t="s">
        <v>8155</v>
      </c>
      <c r="F19" s="45" t="s">
        <v>40</v>
      </c>
      <c r="G19" s="66">
        <v>4</v>
      </c>
      <c r="H19" s="45" t="s">
        <v>8156</v>
      </c>
      <c r="I19" s="45" t="s">
        <v>271</v>
      </c>
      <c r="J19" s="45" t="s">
        <v>8120</v>
      </c>
      <c r="K19" s="47">
        <v>46150.911041666666</v>
      </c>
      <c r="L19" s="47">
        <v>46150.939467592594</v>
      </c>
      <c r="M19" s="47">
        <v>46153.274375000001</v>
      </c>
      <c r="N19" s="47">
        <v>46156.302037037036</v>
      </c>
      <c r="Q19" s="45" t="s">
        <v>8121</v>
      </c>
      <c r="S19" s="45" t="s">
        <v>8122</v>
      </c>
      <c r="T19" s="45" t="s">
        <v>1519</v>
      </c>
      <c r="U19" s="45" t="s">
        <v>371</v>
      </c>
      <c r="Z19" s="76">
        <f t="shared" ca="1" si="8"/>
        <v>1.125</v>
      </c>
      <c r="AA19" s="75">
        <f t="shared" ca="1" si="1"/>
        <v>3</v>
      </c>
      <c r="AB19" s="76">
        <f t="shared" ca="1" si="9"/>
        <v>1.125</v>
      </c>
      <c r="AC19" s="75">
        <f t="shared" ca="1" si="3"/>
        <v>3</v>
      </c>
      <c r="AD19" s="76">
        <f t="shared" ca="1" si="10"/>
        <v>0</v>
      </c>
      <c r="AE19" s="76">
        <f t="shared" ca="1" si="11"/>
        <v>1.125</v>
      </c>
      <c r="AF19" s="75">
        <f t="shared" ca="1" si="6"/>
        <v>3</v>
      </c>
      <c r="AG19" s="75">
        <f t="shared" ca="1" si="7"/>
        <v>3</v>
      </c>
      <c r="AH19" s="31" t="str" cm="1">
        <f t="array" aca="1" ref="AH19" ca="1">IF((AD19) &lt; (INDEX(ResponseSLA[#All],(MATCH((G19),ResponseSLA[Priority],0))+1,3)),"YES","No")</f>
        <v>YES</v>
      </c>
      <c r="AI19" s="31" t="str">
        <f ca="1">_xlfn.IFNA(IF(AE19 &lt; (INDEX(SLATable[Minimum SLA],MATCH(G19,SLATable[Priority],0))),"YES","NO"),"")</f>
        <v>YES</v>
      </c>
      <c r="AJ19" t="str">
        <f ca="1">_xlfn.IFNA(IF(AE19 &lt; (INDEX(SLATable[Maximum SLA],MATCH(G19,SLATable[Priority],0))),"YES","NO"),"")</f>
        <v>YES</v>
      </c>
    </row>
    <row r="20" spans="1:36" ht="15" customHeight="1">
      <c r="A20" s="45">
        <v>19</v>
      </c>
      <c r="B20" s="45" t="s">
        <v>26</v>
      </c>
      <c r="C20" s="45" t="s">
        <v>41</v>
      </c>
      <c r="D20" s="45" t="s">
        <v>207</v>
      </c>
      <c r="E20" s="45" t="s">
        <v>8157</v>
      </c>
      <c r="F20" s="45" t="s">
        <v>40</v>
      </c>
      <c r="G20" s="66">
        <v>4</v>
      </c>
      <c r="H20" s="45" t="s">
        <v>8158</v>
      </c>
      <c r="I20" s="45" t="s">
        <v>271</v>
      </c>
      <c r="J20" s="45" t="s">
        <v>8120</v>
      </c>
      <c r="K20" s="47">
        <v>46150.175798611112</v>
      </c>
      <c r="L20" s="47">
        <v>46150.355706018519</v>
      </c>
      <c r="M20" s="47">
        <v>46150.407500000001</v>
      </c>
      <c r="N20" s="47">
        <v>46153.426458333335</v>
      </c>
      <c r="Q20" s="45" t="s">
        <v>8121</v>
      </c>
      <c r="S20" s="45" t="s">
        <v>8122</v>
      </c>
      <c r="T20" s="45" t="s">
        <v>1519</v>
      </c>
      <c r="U20" s="45" t="s">
        <v>371</v>
      </c>
      <c r="Z20" s="76">
        <f t="shared" ca="1" si="8"/>
        <v>0.46812500000184326</v>
      </c>
      <c r="AA20" s="75">
        <f t="shared" ca="1" si="1"/>
        <v>1.2483333333382487</v>
      </c>
      <c r="AB20" s="76">
        <f t="shared" ca="1" si="9"/>
        <v>0.44575231481576338</v>
      </c>
      <c r="AC20" s="75">
        <f t="shared" ca="1" si="3"/>
        <v>1.1886728395087023</v>
      </c>
      <c r="AD20" s="76">
        <f t="shared" ca="1" si="10"/>
        <v>5.1793981481750961E-2</v>
      </c>
      <c r="AE20" s="76">
        <f t="shared" ca="1" si="11"/>
        <v>0.44575231481576338</v>
      </c>
      <c r="AF20" s="75">
        <f t="shared" ca="1" si="6"/>
        <v>1.1886728395087023</v>
      </c>
      <c r="AG20" s="75">
        <f t="shared" ca="1" si="7"/>
        <v>1.1886728395087023</v>
      </c>
      <c r="AH20" s="31" t="str" cm="1">
        <f t="array" aca="1" ref="AH20" ca="1">IF((AD20) &lt; (INDEX(ResponseSLA[#All],(MATCH((G20),ResponseSLA[Priority],0))+1,3)),"YES","No")</f>
        <v>YES</v>
      </c>
      <c r="AI20" s="31" t="str">
        <f ca="1">_xlfn.IFNA(IF(AE20 &lt; (INDEX(SLATable[Minimum SLA],MATCH(G20,SLATable[Priority],0))),"YES","NO"),"")</f>
        <v>YES</v>
      </c>
      <c r="AJ20" t="str">
        <f ca="1">_xlfn.IFNA(IF(AE20 &lt; (INDEX(SLATable[Maximum SLA],MATCH(G20,SLATable[Priority],0))),"YES","NO"),"")</f>
        <v>YES</v>
      </c>
    </row>
    <row r="21" spans="1:36" ht="15" customHeight="1">
      <c r="A21" s="45">
        <v>20</v>
      </c>
      <c r="B21" s="45" t="s">
        <v>26</v>
      </c>
      <c r="C21" s="45" t="s">
        <v>41</v>
      </c>
      <c r="D21" s="45" t="s">
        <v>207</v>
      </c>
      <c r="E21" s="45" t="s">
        <v>8159</v>
      </c>
      <c r="F21" s="45" t="s">
        <v>40</v>
      </c>
      <c r="G21" s="66">
        <v>4</v>
      </c>
      <c r="H21" s="45" t="s">
        <v>8160</v>
      </c>
      <c r="I21" s="45" t="s">
        <v>271</v>
      </c>
      <c r="J21" s="45" t="s">
        <v>8120</v>
      </c>
      <c r="K21" s="47">
        <v>46149.911111111112</v>
      </c>
      <c r="L21" s="47">
        <v>46149.962395833332</v>
      </c>
      <c r="M21" s="47">
        <v>46150.261446759258</v>
      </c>
      <c r="N21" s="47">
        <v>46153.301585648151</v>
      </c>
      <c r="Q21" s="45" t="s">
        <v>8121</v>
      </c>
      <c r="S21" s="45" t="s">
        <v>8122</v>
      </c>
      <c r="T21" s="45" t="s">
        <v>1519</v>
      </c>
      <c r="U21" s="45" t="s">
        <v>371</v>
      </c>
      <c r="Z21" s="76">
        <f t="shared" ca="1" si="8"/>
        <v>0.37500000000000011</v>
      </c>
      <c r="AA21" s="75">
        <f t="shared" ca="1" si="1"/>
        <v>1.0000000000000004</v>
      </c>
      <c r="AB21" s="76">
        <f t="shared" ca="1" si="9"/>
        <v>0.37500000000000011</v>
      </c>
      <c r="AC21" s="75">
        <f t="shared" ca="1" si="3"/>
        <v>1.0000000000000004</v>
      </c>
      <c r="AD21" s="76">
        <f t="shared" ca="1" si="10"/>
        <v>0</v>
      </c>
      <c r="AE21" s="76">
        <f t="shared" ca="1" si="11"/>
        <v>0.37500000000000011</v>
      </c>
      <c r="AF21" s="75">
        <f t="shared" ca="1" si="6"/>
        <v>1.0000000000000004</v>
      </c>
      <c r="AG21" s="75">
        <f t="shared" ca="1" si="7"/>
        <v>1.0000000000000004</v>
      </c>
      <c r="AH21" s="31" t="str" cm="1">
        <f t="array" aca="1" ref="AH21" ca="1">IF((AD21) &lt; (INDEX(ResponseSLA[#All],(MATCH((G21),ResponseSLA[Priority],0))+1,3)),"YES","No")</f>
        <v>YES</v>
      </c>
      <c r="AI21" s="31" t="str">
        <f ca="1">_xlfn.IFNA(IF(AE21 &lt; (INDEX(SLATable[Minimum SLA],MATCH(G21,SLATable[Priority],0))),"YES","NO"),"")</f>
        <v>YES</v>
      </c>
      <c r="AJ21" t="str">
        <f ca="1">_xlfn.IFNA(IF(AE21 &lt; (INDEX(SLATable[Maximum SLA],MATCH(G21,SLATable[Priority],0))),"YES","NO"),"")</f>
        <v>YES</v>
      </c>
    </row>
    <row r="22" spans="1:36" ht="15" customHeight="1">
      <c r="A22" s="45">
        <v>21</v>
      </c>
      <c r="B22" s="45" t="s">
        <v>26</v>
      </c>
      <c r="C22" s="45" t="s">
        <v>41</v>
      </c>
      <c r="D22" s="45" t="s">
        <v>207</v>
      </c>
      <c r="E22" s="45" t="s">
        <v>8161</v>
      </c>
      <c r="F22" s="45" t="s">
        <v>40</v>
      </c>
      <c r="G22" s="66">
        <v>4</v>
      </c>
      <c r="H22" s="45" t="s">
        <v>8162</v>
      </c>
      <c r="I22" s="45" t="s">
        <v>271</v>
      </c>
      <c r="J22" s="45" t="s">
        <v>8120</v>
      </c>
      <c r="K22" s="47">
        <v>46149.445034722223</v>
      </c>
      <c r="L22" s="47">
        <v>46149.523680555554</v>
      </c>
      <c r="M22" s="47">
        <v>46150.260034722225</v>
      </c>
      <c r="N22" s="47">
        <v>46153.301446759258</v>
      </c>
      <c r="Q22" s="45" t="s">
        <v>8121</v>
      </c>
      <c r="S22" s="45" t="s">
        <v>8122</v>
      </c>
      <c r="T22" s="45" t="s">
        <v>1519</v>
      </c>
      <c r="U22" s="45" t="s">
        <v>371</v>
      </c>
      <c r="Z22" s="76">
        <f t="shared" ca="1" si="8"/>
        <v>0.63829861111056152</v>
      </c>
      <c r="AA22" s="75">
        <f t="shared" ca="1" si="1"/>
        <v>1.7021296296281641</v>
      </c>
      <c r="AB22" s="76">
        <f t="shared" ca="1" si="9"/>
        <v>0.55965277777916844</v>
      </c>
      <c r="AC22" s="75">
        <f t="shared" ca="1" si="3"/>
        <v>1.4924074074111158</v>
      </c>
      <c r="AD22" s="76">
        <f t="shared" ca="1" si="10"/>
        <v>0.18465277777916833</v>
      </c>
      <c r="AE22" s="76">
        <f t="shared" ca="1" si="11"/>
        <v>0.55965277777916844</v>
      </c>
      <c r="AF22" s="75">
        <f t="shared" ca="1" si="6"/>
        <v>1.4924074074111158</v>
      </c>
      <c r="AG22" s="75">
        <f t="shared" ca="1" si="7"/>
        <v>1.4924074074111158</v>
      </c>
      <c r="AH22" s="31" t="str" cm="1">
        <f t="array" aca="1" ref="AH22" ca="1">IF((AD22) &lt; (INDEX(ResponseSLA[#All],(MATCH((G22),ResponseSLA[Priority],0))+1,3)),"YES","No")</f>
        <v>No</v>
      </c>
      <c r="AI22" s="31" t="str">
        <f ca="1">_xlfn.IFNA(IF(AE22 &lt; (INDEX(SLATable[Minimum SLA],MATCH(G22,SLATable[Priority],0))),"YES","NO"),"")</f>
        <v>YES</v>
      </c>
      <c r="AJ22" t="str">
        <f ca="1">_xlfn.IFNA(IF(AE22 &lt; (INDEX(SLATable[Maximum SLA],MATCH(G22,SLATable[Priority],0))),"YES","NO"),"")</f>
        <v>YES</v>
      </c>
    </row>
    <row r="23" spans="1:36" ht="15" customHeight="1">
      <c r="A23" s="45">
        <v>22</v>
      </c>
      <c r="B23" s="45" t="s">
        <v>26</v>
      </c>
      <c r="C23" s="45" t="s">
        <v>41</v>
      </c>
      <c r="D23" s="45" t="s">
        <v>207</v>
      </c>
      <c r="E23" s="45" t="s">
        <v>8163</v>
      </c>
      <c r="F23" s="45" t="s">
        <v>40</v>
      </c>
      <c r="G23" s="66">
        <v>4</v>
      </c>
      <c r="H23" s="45" t="s">
        <v>8164</v>
      </c>
      <c r="I23" s="45" t="s">
        <v>271</v>
      </c>
      <c r="J23" s="45" t="s">
        <v>8120</v>
      </c>
      <c r="K23" s="47">
        <v>46149.174884259257</v>
      </c>
      <c r="L23" s="47">
        <v>46149.28570601852</v>
      </c>
      <c r="M23" s="47">
        <v>46149.301527777781</v>
      </c>
      <c r="N23" s="47">
        <v>46152.343993055554</v>
      </c>
      <c r="Q23" s="45" t="s">
        <v>8121</v>
      </c>
      <c r="S23" s="45" t="s">
        <v>8122</v>
      </c>
      <c r="T23" s="45" t="s">
        <v>1519</v>
      </c>
      <c r="U23" s="45" t="s">
        <v>371</v>
      </c>
      <c r="Z23" s="76">
        <f t="shared" ca="1" si="8"/>
        <v>0.37500000000000006</v>
      </c>
      <c r="AA23" s="75">
        <f t="shared" ca="1" si="1"/>
        <v>1.0000000000000002</v>
      </c>
      <c r="AB23" s="76">
        <f t="shared" ca="1" si="9"/>
        <v>0.37500000000000006</v>
      </c>
      <c r="AC23" s="75">
        <f t="shared" ca="1" si="3"/>
        <v>1.0000000000000002</v>
      </c>
      <c r="AD23" s="76">
        <f t="shared" ca="1" si="10"/>
        <v>0</v>
      </c>
      <c r="AE23" s="76">
        <f t="shared" ca="1" si="11"/>
        <v>0.37500000000000006</v>
      </c>
      <c r="AF23" s="75">
        <f t="shared" ca="1" si="6"/>
        <v>1.0000000000000002</v>
      </c>
      <c r="AG23" s="75">
        <f t="shared" ca="1" si="7"/>
        <v>1.0000000000000002</v>
      </c>
      <c r="AH23" s="31" t="str" cm="1">
        <f t="array" aca="1" ref="AH23" ca="1">IF((AD23) &lt; (INDEX(ResponseSLA[#All],(MATCH((G23),ResponseSLA[Priority],0))+1,3)),"YES","No")</f>
        <v>YES</v>
      </c>
      <c r="AI23" s="31" t="str">
        <f ca="1">_xlfn.IFNA(IF(AE23 &lt; (INDEX(SLATable[Minimum SLA],MATCH(G23,SLATable[Priority],0))),"YES","NO"),"")</f>
        <v>YES</v>
      </c>
      <c r="AJ23" t="str">
        <f ca="1">_xlfn.IFNA(IF(AE23 &lt; (INDEX(SLATable[Maximum SLA],MATCH(G23,SLATable[Priority],0))),"YES","NO"),"")</f>
        <v>YES</v>
      </c>
    </row>
    <row r="24" spans="1:36" ht="15" customHeight="1">
      <c r="A24" s="45">
        <v>23</v>
      </c>
      <c r="B24" s="45" t="s">
        <v>26</v>
      </c>
      <c r="C24" s="45" t="s">
        <v>41</v>
      </c>
      <c r="D24" s="45" t="s">
        <v>207</v>
      </c>
      <c r="E24" s="45" t="s">
        <v>8165</v>
      </c>
      <c r="F24" s="45" t="s">
        <v>40</v>
      </c>
      <c r="G24" s="66">
        <v>4</v>
      </c>
      <c r="H24" s="45" t="s">
        <v>8166</v>
      </c>
      <c r="I24" s="45" t="s">
        <v>271</v>
      </c>
      <c r="J24" s="45" t="s">
        <v>8120</v>
      </c>
      <c r="K24" s="47">
        <v>46148.169560185182</v>
      </c>
      <c r="L24" s="47">
        <v>46155.408854166664</v>
      </c>
      <c r="M24" s="47">
        <v>46155.439305555556</v>
      </c>
      <c r="N24" s="47">
        <v>46158.469039351854</v>
      </c>
      <c r="Q24" s="45" t="s">
        <v>8121</v>
      </c>
      <c r="S24" s="45" t="s">
        <v>8122</v>
      </c>
      <c r="T24" s="45" t="s">
        <v>1519</v>
      </c>
      <c r="U24" s="45" t="s">
        <v>371</v>
      </c>
      <c r="Z24" s="76">
        <f t="shared" ca="1" si="8"/>
        <v>2.6250000000000004</v>
      </c>
      <c r="AA24" s="75">
        <f t="shared" ca="1" si="1"/>
        <v>7.0000000000000018</v>
      </c>
      <c r="AB24" s="76">
        <f t="shared" ca="1" si="9"/>
        <v>0.67447916666909213</v>
      </c>
      <c r="AC24" s="75">
        <f t="shared" ca="1" si="3"/>
        <v>1.7986111111175791</v>
      </c>
      <c r="AD24" s="76">
        <f t="shared" ca="1" si="10"/>
        <v>3.0451388891378883E-2</v>
      </c>
      <c r="AE24" s="76">
        <f t="shared" ca="1" si="11"/>
        <v>0.67447916666909213</v>
      </c>
      <c r="AF24" s="75">
        <f t="shared" ca="1" si="6"/>
        <v>1.7986111111175791</v>
      </c>
      <c r="AG24" s="75">
        <f t="shared" ca="1" si="7"/>
        <v>1.7986111111175791</v>
      </c>
      <c r="AH24" s="31" t="str" cm="1">
        <f t="array" aca="1" ref="AH24" ca="1">IF((AD24) &lt; (INDEX(ResponseSLA[#All],(MATCH((G24),ResponseSLA[Priority],0))+1,3)),"YES","No")</f>
        <v>YES</v>
      </c>
      <c r="AI24" s="31" t="str">
        <f ca="1">_xlfn.IFNA(IF(AE24 &lt; (INDEX(SLATable[Minimum SLA],MATCH(G24,SLATable[Priority],0))),"YES","NO"),"")</f>
        <v>YES</v>
      </c>
      <c r="AJ24" t="str">
        <f ca="1">_xlfn.IFNA(IF(AE24 &lt; (INDEX(SLATable[Maximum SLA],MATCH(G24,SLATable[Priority],0))),"YES","NO"),"")</f>
        <v>YES</v>
      </c>
    </row>
    <row r="25" spans="1:36" ht="15" customHeight="1">
      <c r="A25" s="45">
        <v>24</v>
      </c>
      <c r="B25" s="45" t="s">
        <v>26</v>
      </c>
      <c r="C25" s="45" t="s">
        <v>41</v>
      </c>
      <c r="D25" s="45" t="s">
        <v>207</v>
      </c>
      <c r="E25" s="45" t="s">
        <v>8167</v>
      </c>
      <c r="F25" s="45" t="s">
        <v>40</v>
      </c>
      <c r="G25" s="66">
        <v>4</v>
      </c>
      <c r="H25" s="45" t="s">
        <v>8168</v>
      </c>
      <c r="I25" s="45" t="s">
        <v>271</v>
      </c>
      <c r="J25" s="45" t="s">
        <v>8120</v>
      </c>
      <c r="K25" s="47">
        <v>46147.903252314813</v>
      </c>
      <c r="L25" s="47">
        <v>46147.903252314813</v>
      </c>
      <c r="M25" s="47">
        <v>46148.276979166665</v>
      </c>
      <c r="N25" s="47">
        <v>46151.301585648151</v>
      </c>
      <c r="Q25" s="45" t="s">
        <v>8121</v>
      </c>
      <c r="S25" s="45" t="s">
        <v>8122</v>
      </c>
      <c r="T25" s="45" t="s">
        <v>1519</v>
      </c>
      <c r="U25" s="45" t="s">
        <v>371</v>
      </c>
      <c r="Z25" s="76">
        <f t="shared" ca="1" si="8"/>
        <v>0.75000000000000011</v>
      </c>
      <c r="AA25" s="75">
        <f t="shared" ca="1" si="1"/>
        <v>2.0000000000000004</v>
      </c>
      <c r="AB25" s="76">
        <f t="shared" ca="1" si="9"/>
        <v>0.75000000000000011</v>
      </c>
      <c r="AC25" s="75">
        <f t="shared" ca="1" si="3"/>
        <v>2.0000000000000004</v>
      </c>
      <c r="AD25" s="76">
        <f t="shared" ca="1" si="10"/>
        <v>0</v>
      </c>
      <c r="AE25" s="76">
        <f t="shared" ca="1" si="11"/>
        <v>0.75000000000000011</v>
      </c>
      <c r="AF25" s="75">
        <f t="shared" ca="1" si="6"/>
        <v>2.0000000000000004</v>
      </c>
      <c r="AG25" s="75">
        <f t="shared" ca="1" si="7"/>
        <v>2.0000000000000004</v>
      </c>
      <c r="AH25" s="31" t="str" cm="1">
        <f t="array" aca="1" ref="AH25" ca="1">IF((AD25) &lt; (INDEX(ResponseSLA[#All],(MATCH((G25),ResponseSLA[Priority],0))+1,3)),"YES","No")</f>
        <v>YES</v>
      </c>
      <c r="AI25" s="31" t="str">
        <f ca="1">_xlfn.IFNA(IF(AE25 &lt; (INDEX(SLATable[Minimum SLA],MATCH(G25,SLATable[Priority],0))),"YES","NO"),"")</f>
        <v>YES</v>
      </c>
      <c r="AJ25" t="str">
        <f ca="1">_xlfn.IFNA(IF(AE25 &lt; (INDEX(SLATable[Maximum SLA],MATCH(G25,SLATable[Priority],0))),"YES","NO"),"")</f>
        <v>YES</v>
      </c>
    </row>
    <row r="26" spans="1:36" ht="15" customHeight="1">
      <c r="A26" s="45">
        <v>25</v>
      </c>
      <c r="B26" s="45" t="s">
        <v>26</v>
      </c>
      <c r="C26" s="45" t="s">
        <v>41</v>
      </c>
      <c r="D26" s="45" t="s">
        <v>207</v>
      </c>
      <c r="E26" s="45" t="s">
        <v>8169</v>
      </c>
      <c r="F26" s="45" t="s">
        <v>40</v>
      </c>
      <c r="G26" s="66">
        <v>4</v>
      </c>
      <c r="H26" s="45" t="s">
        <v>8170</v>
      </c>
      <c r="I26" s="45" t="s">
        <v>271</v>
      </c>
      <c r="J26" s="45" t="s">
        <v>8120</v>
      </c>
      <c r="K26" s="47">
        <v>46144.901932870373</v>
      </c>
      <c r="L26" s="47">
        <v>46144.903680555559</v>
      </c>
      <c r="M26" s="47">
        <v>46147.296168981484</v>
      </c>
      <c r="N26" s="47">
        <v>46150.302268518521</v>
      </c>
      <c r="Q26" s="45" t="s">
        <v>8121</v>
      </c>
      <c r="S26" s="45" t="s">
        <v>8122</v>
      </c>
      <c r="T26" s="45" t="s">
        <v>1519</v>
      </c>
      <c r="U26" s="45" t="s">
        <v>371</v>
      </c>
      <c r="Z26" s="76">
        <f t="shared" ca="1" si="8"/>
        <v>1.1250000000000002</v>
      </c>
      <c r="AA26" s="75">
        <f t="shared" ca="1" si="1"/>
        <v>3.0000000000000009</v>
      </c>
      <c r="AB26" s="76">
        <f t="shared" ca="1" si="9"/>
        <v>1.1250000000000002</v>
      </c>
      <c r="AC26" s="75">
        <f t="shared" ca="1" si="3"/>
        <v>3.0000000000000009</v>
      </c>
      <c r="AD26" s="76">
        <f t="shared" ca="1" si="10"/>
        <v>0</v>
      </c>
      <c r="AE26" s="76">
        <f t="shared" ca="1" si="11"/>
        <v>1.1250000000000002</v>
      </c>
      <c r="AF26" s="75">
        <f t="shared" ca="1" si="6"/>
        <v>3.0000000000000009</v>
      </c>
      <c r="AG26" s="75">
        <f t="shared" ca="1" si="7"/>
        <v>3.0000000000000009</v>
      </c>
      <c r="AH26" s="31" t="str" cm="1">
        <f t="array" aca="1" ref="AH26" ca="1">IF((AD26) &lt; (INDEX(ResponseSLA[#All],(MATCH((G26),ResponseSLA[Priority],0))+1,3)),"YES","No")</f>
        <v>YES</v>
      </c>
      <c r="AI26" s="31" t="str">
        <f ca="1">_xlfn.IFNA(IF(AE26 &lt; (INDEX(SLATable[Minimum SLA],MATCH(G26,SLATable[Priority],0))),"YES","NO"),"")</f>
        <v>YES</v>
      </c>
      <c r="AJ26" t="str">
        <f ca="1">_xlfn.IFNA(IF(AE26 &lt; (INDEX(SLATable[Maximum SLA],MATCH(G26,SLATable[Priority],0))),"YES","NO"),"")</f>
        <v>YES</v>
      </c>
    </row>
    <row r="27" spans="1:36" ht="15" customHeight="1">
      <c r="A27" s="45">
        <v>26</v>
      </c>
      <c r="B27" s="45" t="s">
        <v>26</v>
      </c>
      <c r="C27" s="45" t="s">
        <v>41</v>
      </c>
      <c r="D27" s="45" t="s">
        <v>207</v>
      </c>
      <c r="E27" s="45" t="s">
        <v>8171</v>
      </c>
      <c r="F27" s="45" t="s">
        <v>40</v>
      </c>
      <c r="G27" s="66">
        <v>4</v>
      </c>
      <c r="H27" s="45" t="s">
        <v>8172</v>
      </c>
      <c r="I27" s="45" t="s">
        <v>271</v>
      </c>
      <c r="J27" s="45" t="s">
        <v>8120</v>
      </c>
      <c r="K27" s="47">
        <v>46143.179143518515</v>
      </c>
      <c r="L27" s="47">
        <v>46143.18072916667</v>
      </c>
      <c r="M27" s="47">
        <v>46147.279803240737</v>
      </c>
      <c r="N27" s="47">
        <v>46150.301493055558</v>
      </c>
      <c r="Q27" s="45" t="s">
        <v>8121</v>
      </c>
      <c r="S27" s="45" t="s">
        <v>8122</v>
      </c>
      <c r="T27" s="45" t="s">
        <v>1519</v>
      </c>
      <c r="U27" s="45" t="s">
        <v>371</v>
      </c>
      <c r="Z27" s="76">
        <f t="shared" ca="1" si="8"/>
        <v>1.1250000000000002</v>
      </c>
      <c r="AA27" s="75">
        <f t="shared" ca="1" si="1"/>
        <v>3.0000000000000009</v>
      </c>
      <c r="AB27" s="76">
        <f t="shared" ca="1" si="9"/>
        <v>1.1250000000000002</v>
      </c>
      <c r="AC27" s="75">
        <f t="shared" ca="1" si="3"/>
        <v>3.0000000000000009</v>
      </c>
      <c r="AD27" s="76">
        <f t="shared" ca="1" si="10"/>
        <v>0</v>
      </c>
      <c r="AE27" s="76">
        <f t="shared" ca="1" si="11"/>
        <v>1.1250000000000002</v>
      </c>
      <c r="AF27" s="75">
        <f t="shared" ca="1" si="6"/>
        <v>3.0000000000000009</v>
      </c>
      <c r="AG27" s="75">
        <f t="shared" ca="1" si="7"/>
        <v>3.0000000000000009</v>
      </c>
      <c r="AH27" s="31" t="str" cm="1">
        <f t="array" aca="1" ref="AH27" ca="1">IF((AD27) &lt; (INDEX(ResponseSLA[#All],(MATCH((G27),ResponseSLA[Priority],0))+1,3)),"YES","No")</f>
        <v>YES</v>
      </c>
      <c r="AI27" s="31" t="str">
        <f ca="1">_xlfn.IFNA(IF(AE27 &lt; (INDEX(SLATable[Minimum SLA],MATCH(G27,SLATable[Priority],0))),"YES","NO"),"")</f>
        <v>YES</v>
      </c>
      <c r="AJ27" t="str">
        <f ca="1">_xlfn.IFNA(IF(AE27 &lt; (INDEX(SLATable[Maximum SLA],MATCH(G27,SLATable[Priority],0))),"YES","NO"),"")</f>
        <v>YES</v>
      </c>
    </row>
    <row r="28" spans="1:36" ht="15" customHeight="1">
      <c r="A28" s="45">
        <v>27</v>
      </c>
      <c r="B28" s="45" t="s">
        <v>26</v>
      </c>
      <c r="C28" s="45" t="s">
        <v>41</v>
      </c>
      <c r="D28" s="45" t="s">
        <v>207</v>
      </c>
      <c r="E28" s="45" t="s">
        <v>8173</v>
      </c>
      <c r="F28" s="45" t="s">
        <v>40</v>
      </c>
      <c r="G28" s="66">
        <v>4</v>
      </c>
      <c r="H28" s="45" t="s">
        <v>8174</v>
      </c>
      <c r="I28" s="45" t="s">
        <v>271</v>
      </c>
      <c r="J28" s="45" t="s">
        <v>8120</v>
      </c>
      <c r="K28" s="47">
        <v>46142.908182870371</v>
      </c>
      <c r="L28" s="47">
        <v>46142.936932870369</v>
      </c>
      <c r="M28" s="47">
        <v>46147.275682870371</v>
      </c>
      <c r="N28" s="47">
        <v>46150.301712962966</v>
      </c>
      <c r="Q28" s="45" t="s">
        <v>8121</v>
      </c>
      <c r="S28" s="45" t="s">
        <v>8122</v>
      </c>
      <c r="T28" s="45" t="s">
        <v>1519</v>
      </c>
      <c r="U28" s="45" t="s">
        <v>371</v>
      </c>
      <c r="Z28" s="76">
        <f t="shared" ca="1" si="8"/>
        <v>1.125</v>
      </c>
      <c r="AA28" s="75">
        <f t="shared" ca="1" si="1"/>
        <v>3</v>
      </c>
      <c r="AB28" s="76">
        <f t="shared" ca="1" si="9"/>
        <v>1.125</v>
      </c>
      <c r="AC28" s="75">
        <f t="shared" ca="1" si="3"/>
        <v>3</v>
      </c>
      <c r="AD28" s="76">
        <f t="shared" ca="1" si="10"/>
        <v>0</v>
      </c>
      <c r="AE28" s="76">
        <f t="shared" ca="1" si="11"/>
        <v>1.125</v>
      </c>
      <c r="AF28" s="75">
        <f t="shared" ca="1" si="6"/>
        <v>3</v>
      </c>
      <c r="AG28" s="75">
        <f t="shared" ca="1" si="7"/>
        <v>3</v>
      </c>
      <c r="AH28" s="31" t="str" cm="1">
        <f t="array" aca="1" ref="AH28" ca="1">IF((AD28) &lt; (INDEX(ResponseSLA[#All],(MATCH((G28),ResponseSLA[Priority],0))+1,3)),"YES","No")</f>
        <v>YES</v>
      </c>
      <c r="AI28" s="31" t="str">
        <f ca="1">_xlfn.IFNA(IF(AE28 &lt; (INDEX(SLATable[Minimum SLA],MATCH(G28,SLATable[Priority],0))),"YES","NO"),"")</f>
        <v>YES</v>
      </c>
      <c r="AJ28" t="str">
        <f ca="1">_xlfn.IFNA(IF(AE28 &lt; (INDEX(SLATable[Maximum SLA],MATCH(G28,SLATable[Priority],0))),"YES","NO"),"")</f>
        <v>YES</v>
      </c>
    </row>
    <row r="29" spans="1:36" ht="15" customHeight="1">
      <c r="A29" s="45">
        <v>28</v>
      </c>
      <c r="B29" s="45" t="s">
        <v>26</v>
      </c>
      <c r="C29" s="45" t="s">
        <v>41</v>
      </c>
      <c r="D29" s="45" t="s">
        <v>207</v>
      </c>
      <c r="E29" s="45" t="s">
        <v>8175</v>
      </c>
      <c r="F29" s="45" t="s">
        <v>40</v>
      </c>
      <c r="G29" s="66">
        <v>4</v>
      </c>
      <c r="H29" s="45" t="s">
        <v>8176</v>
      </c>
      <c r="I29" s="45" t="s">
        <v>271</v>
      </c>
      <c r="J29" s="45" t="s">
        <v>8177</v>
      </c>
      <c r="K29" s="47">
        <v>46167.169074074074</v>
      </c>
      <c r="L29" s="47">
        <v>46167.210416666669</v>
      </c>
      <c r="M29" s="47">
        <v>46167.275671296295</v>
      </c>
      <c r="N29" s="47">
        <v>46167.275671296295</v>
      </c>
      <c r="Q29" s="45" t="s">
        <v>8121</v>
      </c>
      <c r="S29" s="45" t="s">
        <v>8122</v>
      </c>
      <c r="T29" s="45" t="s">
        <v>1519</v>
      </c>
      <c r="U29" s="45" t="s">
        <v>371</v>
      </c>
      <c r="Z29" s="76">
        <f t="shared" ca="1" si="8"/>
        <v>0</v>
      </c>
      <c r="AA29" s="75">
        <f t="shared" ca="1" si="1"/>
        <v>0</v>
      </c>
      <c r="AB29" s="76">
        <f t="shared" ca="1" si="9"/>
        <v>0</v>
      </c>
      <c r="AC29" s="75">
        <f t="shared" ca="1" si="3"/>
        <v>0</v>
      </c>
      <c r="AD29" s="76">
        <f t="shared" ca="1" si="10"/>
        <v>0</v>
      </c>
      <c r="AE29" s="76">
        <f t="shared" ca="1" si="11"/>
        <v>0</v>
      </c>
      <c r="AF29" s="75">
        <f t="shared" ca="1" si="6"/>
        <v>0</v>
      </c>
      <c r="AG29" s="75">
        <f t="shared" ca="1" si="7"/>
        <v>0</v>
      </c>
      <c r="AH29" s="31" t="str" cm="1">
        <f t="array" aca="1" ref="AH29" ca="1">IF((AD29) &lt; (INDEX(ResponseSLA[#All],(MATCH((G29),ResponseSLA[Priority],0))+1,3)),"YES","No")</f>
        <v>YES</v>
      </c>
      <c r="AI29" s="31" t="str">
        <f ca="1">_xlfn.IFNA(IF(AE29 &lt; (INDEX(SLATable[Minimum SLA],MATCH(G29,SLATable[Priority],0))),"YES","NO"),"")</f>
        <v>YES</v>
      </c>
      <c r="AJ29" t="str">
        <f ca="1">_xlfn.IFNA(IF(AE29 &lt; (INDEX(SLATable[Maximum SLA],MATCH(G29,SLATable[Priority],0))),"YES","NO"),"")</f>
        <v>YES</v>
      </c>
    </row>
    <row r="30" spans="1:36" ht="15" customHeight="1">
      <c r="A30" s="45">
        <v>29</v>
      </c>
      <c r="B30" s="45" t="s">
        <v>26</v>
      </c>
      <c r="C30" s="45" t="s">
        <v>41</v>
      </c>
      <c r="D30" s="45" t="s">
        <v>207</v>
      </c>
      <c r="E30" s="45" t="s">
        <v>8178</v>
      </c>
      <c r="F30" s="45" t="s">
        <v>40</v>
      </c>
      <c r="G30" s="66">
        <v>4</v>
      </c>
      <c r="H30" s="45" t="s">
        <v>8179</v>
      </c>
      <c r="I30" s="45" t="s">
        <v>271</v>
      </c>
      <c r="J30" s="45" t="s">
        <v>8177</v>
      </c>
      <c r="K30" s="47">
        <v>46166.899652777778</v>
      </c>
      <c r="L30" s="47">
        <v>46166.92560185185</v>
      </c>
      <c r="M30" s="47">
        <v>46167.282696759263</v>
      </c>
      <c r="N30" s="47">
        <v>46167.282696759263</v>
      </c>
      <c r="Q30" s="45" t="s">
        <v>8121</v>
      </c>
      <c r="S30" s="45" t="s">
        <v>8122</v>
      </c>
      <c r="T30" s="45" t="s">
        <v>1519</v>
      </c>
      <c r="U30" s="45" t="s">
        <v>371</v>
      </c>
      <c r="Z30" s="76">
        <f t="shared" ca="1" si="8"/>
        <v>0</v>
      </c>
      <c r="AA30" s="75">
        <f t="shared" ca="1" si="1"/>
        <v>0</v>
      </c>
      <c r="AB30" s="76">
        <f t="shared" ca="1" si="9"/>
        <v>0</v>
      </c>
      <c r="AC30" s="75">
        <f t="shared" ca="1" si="3"/>
        <v>0</v>
      </c>
      <c r="AD30" s="76">
        <f t="shared" ca="1" si="10"/>
        <v>0</v>
      </c>
      <c r="AE30" s="76">
        <f t="shared" ca="1" si="11"/>
        <v>0</v>
      </c>
      <c r="AF30" s="75">
        <f t="shared" ca="1" si="6"/>
        <v>0</v>
      </c>
      <c r="AG30" s="75">
        <f t="shared" ca="1" si="7"/>
        <v>0</v>
      </c>
      <c r="AH30" s="31" t="str" cm="1">
        <f t="array" aca="1" ref="AH30" ca="1">IF((AD30) &lt; (INDEX(ResponseSLA[#All],(MATCH((G30),ResponseSLA[Priority],0))+1,3)),"YES","No")</f>
        <v>YES</v>
      </c>
      <c r="AI30" s="31" t="str">
        <f ca="1">_xlfn.IFNA(IF(AE30 &lt; (INDEX(SLATable[Minimum SLA],MATCH(G30,SLATable[Priority],0))),"YES","NO"),"")</f>
        <v>YES</v>
      </c>
      <c r="AJ30" t="str">
        <f ca="1">_xlfn.IFNA(IF(AE30 &lt; (INDEX(SLATable[Maximum SLA],MATCH(G30,SLATable[Priority],0))),"YES","NO"),"")</f>
        <v>YES</v>
      </c>
    </row>
    <row r="31" spans="1:36" ht="15" customHeight="1">
      <c r="A31" s="45">
        <v>30</v>
      </c>
      <c r="B31" s="45" t="s">
        <v>26</v>
      </c>
      <c r="C31" s="45" t="s">
        <v>41</v>
      </c>
      <c r="D31" s="45" t="s">
        <v>207</v>
      </c>
      <c r="E31" s="45" t="s">
        <v>8180</v>
      </c>
      <c r="F31" s="45" t="s">
        <v>40</v>
      </c>
      <c r="G31" s="66">
        <v>4</v>
      </c>
      <c r="H31" s="45" t="s">
        <v>8181</v>
      </c>
      <c r="I31" s="45" t="s">
        <v>271</v>
      </c>
      <c r="J31" s="45" t="s">
        <v>8177</v>
      </c>
      <c r="K31" s="47">
        <v>46162.172581018516</v>
      </c>
      <c r="L31" s="47">
        <v>46162.172581018516</v>
      </c>
      <c r="M31" s="47">
        <v>46162.260324074072</v>
      </c>
      <c r="N31" s="47">
        <v>46165.260324074072</v>
      </c>
      <c r="Q31" s="45" t="s">
        <v>8121</v>
      </c>
      <c r="S31" s="45" t="s">
        <v>8122</v>
      </c>
      <c r="T31" s="45" t="s">
        <v>1519</v>
      </c>
      <c r="U31" s="45" t="s">
        <v>371</v>
      </c>
      <c r="Z31" s="76">
        <f t="shared" ca="1" si="8"/>
        <v>0.75000000000000022</v>
      </c>
      <c r="AA31" s="75">
        <f t="shared" ca="1" si="1"/>
        <v>2.0000000000000009</v>
      </c>
      <c r="AB31" s="76">
        <f t="shared" ca="1" si="9"/>
        <v>0.75000000000000022</v>
      </c>
      <c r="AC31" s="75">
        <f t="shared" ca="1" si="3"/>
        <v>2.0000000000000009</v>
      </c>
      <c r="AD31" s="76">
        <f t="shared" ca="1" si="10"/>
        <v>0</v>
      </c>
      <c r="AE31" s="76">
        <f t="shared" ca="1" si="11"/>
        <v>0.75000000000000022</v>
      </c>
      <c r="AF31" s="75">
        <f t="shared" ca="1" si="6"/>
        <v>2.0000000000000009</v>
      </c>
      <c r="AG31" s="75">
        <f t="shared" ca="1" si="7"/>
        <v>2.0000000000000009</v>
      </c>
      <c r="AH31" s="31" t="str" cm="1">
        <f t="array" aca="1" ref="AH31" ca="1">IF((AD31) &lt; (INDEX(ResponseSLA[#All],(MATCH((G31),ResponseSLA[Priority],0))+1,3)),"YES","No")</f>
        <v>YES</v>
      </c>
      <c r="AI31" s="31" t="str">
        <f ca="1">_xlfn.IFNA(IF(AE31 &lt; (INDEX(SLATable[Minimum SLA],MATCH(G31,SLATable[Priority],0))),"YES","NO"),"")</f>
        <v>YES</v>
      </c>
      <c r="AJ31" t="str">
        <f ca="1">_xlfn.IFNA(IF(AE31 &lt; (INDEX(SLATable[Maximum SLA],MATCH(G31,SLATable[Priority],0))),"YES","NO"),"")</f>
        <v>YES</v>
      </c>
    </row>
    <row r="32" spans="1:36" ht="15" customHeight="1">
      <c r="A32" s="45">
        <v>31</v>
      </c>
      <c r="B32" s="45" t="s">
        <v>26</v>
      </c>
      <c r="C32" s="45" t="s">
        <v>41</v>
      </c>
      <c r="D32" s="45" t="s">
        <v>207</v>
      </c>
      <c r="E32" s="45" t="s">
        <v>8182</v>
      </c>
      <c r="F32" s="45" t="s">
        <v>40</v>
      </c>
      <c r="G32" s="66">
        <v>4</v>
      </c>
      <c r="H32" s="45" t="s">
        <v>8183</v>
      </c>
      <c r="I32" s="45" t="s">
        <v>271</v>
      </c>
      <c r="J32" s="45" t="s">
        <v>8177</v>
      </c>
      <c r="K32" s="47">
        <v>46161.169722222221</v>
      </c>
      <c r="L32" s="47">
        <v>46161.169722222221</v>
      </c>
      <c r="M32" s="47">
        <v>46161.260046296295</v>
      </c>
      <c r="N32" s="47">
        <v>46164.59337962963</v>
      </c>
      <c r="Q32" s="45" t="s">
        <v>8121</v>
      </c>
      <c r="S32" s="45" t="s">
        <v>8122</v>
      </c>
      <c r="T32" s="45" t="s">
        <v>1519</v>
      </c>
      <c r="U32" s="45" t="s">
        <v>371</v>
      </c>
      <c r="Z32" s="76">
        <f t="shared" ca="1" si="8"/>
        <v>1.3850462962970296</v>
      </c>
      <c r="AA32" s="75">
        <f t="shared" ca="1" si="1"/>
        <v>3.6934567901254121</v>
      </c>
      <c r="AB32" s="76">
        <f t="shared" ca="1" si="9"/>
        <v>1.3850462962970296</v>
      </c>
      <c r="AC32" s="75">
        <f t="shared" ca="1" si="3"/>
        <v>3.6934567901254121</v>
      </c>
      <c r="AD32" s="76">
        <f t="shared" ca="1" si="10"/>
        <v>0</v>
      </c>
      <c r="AE32" s="76">
        <f t="shared" ca="1" si="11"/>
        <v>1.3850462962970296</v>
      </c>
      <c r="AF32" s="75">
        <f t="shared" ca="1" si="6"/>
        <v>3.6934567901254121</v>
      </c>
      <c r="AG32" s="75">
        <f t="shared" ca="1" si="7"/>
        <v>3.6934567901254121</v>
      </c>
      <c r="AH32" s="31" t="str" cm="1">
        <f t="array" aca="1" ref="AH32" ca="1">IF((AD32) &lt; (INDEX(ResponseSLA[#All],(MATCH((G32),ResponseSLA[Priority],0))+1,3)),"YES","No")</f>
        <v>YES</v>
      </c>
      <c r="AI32" s="31" t="str">
        <f ca="1">_xlfn.IFNA(IF(AE32 &lt; (INDEX(SLATable[Minimum SLA],MATCH(G32,SLATable[Priority],0))),"YES","NO"),"")</f>
        <v>YES</v>
      </c>
      <c r="AJ32" t="str">
        <f ca="1">_xlfn.IFNA(IF(AE32 &lt; (INDEX(SLATable[Maximum SLA],MATCH(G32,SLATable[Priority],0))),"YES","NO"),"")</f>
        <v>YES</v>
      </c>
    </row>
    <row r="33" spans="1:36" ht="15" customHeight="1">
      <c r="A33" s="45">
        <v>32</v>
      </c>
      <c r="B33" s="45" t="s">
        <v>26</v>
      </c>
      <c r="C33" s="45" t="s">
        <v>41</v>
      </c>
      <c r="D33" s="45" t="s">
        <v>207</v>
      </c>
      <c r="E33" s="45" t="s">
        <v>8184</v>
      </c>
      <c r="F33" s="45" t="s">
        <v>40</v>
      </c>
      <c r="G33" s="66">
        <v>4</v>
      </c>
      <c r="H33" s="45" t="s">
        <v>8185</v>
      </c>
      <c r="I33" s="45" t="s">
        <v>271</v>
      </c>
      <c r="J33" s="45" t="s">
        <v>8177</v>
      </c>
      <c r="K33" s="47">
        <v>46160.901701388888</v>
      </c>
      <c r="L33" s="47">
        <v>46160.901701388888</v>
      </c>
      <c r="M33" s="47">
        <v>46161.260127314818</v>
      </c>
      <c r="N33" s="47">
        <v>46164.593460648146</v>
      </c>
      <c r="Q33" s="45" t="s">
        <v>8121</v>
      </c>
      <c r="S33" s="45" t="s">
        <v>8122</v>
      </c>
      <c r="T33" s="45" t="s">
        <v>1519</v>
      </c>
      <c r="U33" s="45" t="s">
        <v>371</v>
      </c>
      <c r="Z33" s="76">
        <f t="shared" ca="1" si="8"/>
        <v>1.3851273148126588</v>
      </c>
      <c r="AA33" s="75">
        <f t="shared" ca="1" si="1"/>
        <v>3.6936728395004241</v>
      </c>
      <c r="AB33" s="76">
        <f t="shared" ca="1" si="9"/>
        <v>1.3851273148126588</v>
      </c>
      <c r="AC33" s="75">
        <f t="shared" ca="1" si="3"/>
        <v>3.6936728395004241</v>
      </c>
      <c r="AD33" s="76">
        <f t="shared" ca="1" si="10"/>
        <v>0</v>
      </c>
      <c r="AE33" s="76">
        <f t="shared" ca="1" si="11"/>
        <v>1.3851273148126588</v>
      </c>
      <c r="AF33" s="75">
        <f t="shared" ca="1" si="6"/>
        <v>3.6936728395004241</v>
      </c>
      <c r="AG33" s="75">
        <f t="shared" ca="1" si="7"/>
        <v>3.6936728395004241</v>
      </c>
      <c r="AH33" s="31" t="str" cm="1">
        <f t="array" aca="1" ref="AH33" ca="1">IF((AD33) &lt; (INDEX(ResponseSLA[#All],(MATCH((G33),ResponseSLA[Priority],0))+1,3)),"YES","No")</f>
        <v>YES</v>
      </c>
      <c r="AI33" s="31" t="str">
        <f ca="1">_xlfn.IFNA(IF(AE33 &lt; (INDEX(SLATable[Minimum SLA],MATCH(G33,SLATable[Priority],0))),"YES","NO"),"")</f>
        <v>YES</v>
      </c>
      <c r="AJ33" t="str">
        <f ca="1">_xlfn.IFNA(IF(AE33 &lt; (INDEX(SLATable[Maximum SLA],MATCH(G33,SLATable[Priority],0))),"YES","NO"),"")</f>
        <v>YES</v>
      </c>
    </row>
    <row r="34" spans="1:36" ht="15" customHeight="1">
      <c r="A34" s="45">
        <v>33</v>
      </c>
      <c r="B34" s="45" t="s">
        <v>26</v>
      </c>
      <c r="C34" s="45" t="s">
        <v>41</v>
      </c>
      <c r="D34" s="45" t="s">
        <v>207</v>
      </c>
      <c r="E34" s="45" t="s">
        <v>8186</v>
      </c>
      <c r="F34" s="45" t="s">
        <v>40</v>
      </c>
      <c r="G34" s="66">
        <v>4</v>
      </c>
      <c r="H34" s="45" t="s">
        <v>8187</v>
      </c>
      <c r="I34" s="45" t="s">
        <v>271</v>
      </c>
      <c r="J34" s="45" t="s">
        <v>8120</v>
      </c>
      <c r="K34" s="52">
        <v>46168.949212962965</v>
      </c>
      <c r="L34" s="52">
        <v>46168.953518518516</v>
      </c>
      <c r="M34" s="52">
        <v>46169.269143518519</v>
      </c>
      <c r="N34" s="52">
        <v>46169.271608796298</v>
      </c>
      <c r="Q34" s="45" t="s">
        <v>8121</v>
      </c>
      <c r="S34" s="45" t="s">
        <v>8122</v>
      </c>
      <c r="T34" s="45" t="s">
        <v>1519</v>
      </c>
      <c r="U34" s="45" t="s">
        <v>371</v>
      </c>
      <c r="Z34" s="76">
        <f t="shared" ca="1" si="8"/>
        <v>0</v>
      </c>
      <c r="AA34" s="75">
        <f t="shared" ca="1" si="1"/>
        <v>0</v>
      </c>
      <c r="AB34" s="76">
        <f t="shared" ca="1" si="9"/>
        <v>0</v>
      </c>
      <c r="AC34" s="75">
        <f t="shared" ca="1" si="3"/>
        <v>0</v>
      </c>
      <c r="AD34" s="76">
        <f t="shared" ca="1" si="10"/>
        <v>0</v>
      </c>
      <c r="AE34" s="76">
        <f t="shared" ca="1" si="11"/>
        <v>0</v>
      </c>
      <c r="AF34" s="75">
        <f t="shared" ca="1" si="6"/>
        <v>0</v>
      </c>
      <c r="AG34" s="75">
        <f t="shared" ca="1" si="7"/>
        <v>0</v>
      </c>
      <c r="AH34" s="31" t="str" cm="1">
        <f t="array" aca="1" ref="AH34" ca="1">IF((AD34) &lt; (INDEX(ResponseSLA[#All],(MATCH((G34),ResponseSLA[Priority],0))+1,3)),"YES","No")</f>
        <v>YES</v>
      </c>
      <c r="AI34" s="31" t="str">
        <f ca="1">_xlfn.IFNA(IF(AE34 &lt; (INDEX(SLATable[Minimum SLA],MATCH(G34,SLATable[Priority],0))),"YES","NO"),"")</f>
        <v>YES</v>
      </c>
      <c r="AJ34" t="str">
        <f ca="1">_xlfn.IFNA(IF(AE34 &lt; (INDEX(SLATable[Maximum SLA],MATCH(G34,SLATable[Priority],0))),"YES","NO"),"")</f>
        <v>YES</v>
      </c>
    </row>
    <row r="35" spans="1:36" ht="15" customHeight="1">
      <c r="A35" s="45">
        <v>34</v>
      </c>
      <c r="B35" s="45" t="s">
        <v>26</v>
      </c>
      <c r="C35" s="45" t="s">
        <v>41</v>
      </c>
      <c r="D35" s="45" t="s">
        <v>207</v>
      </c>
      <c r="E35" s="63" t="s">
        <v>8188</v>
      </c>
      <c r="F35" s="45" t="s">
        <v>40</v>
      </c>
      <c r="G35" s="66">
        <v>4</v>
      </c>
      <c r="H35" s="63" t="s">
        <v>8189</v>
      </c>
      <c r="I35" s="45" t="s">
        <v>271</v>
      </c>
      <c r="J35" s="45" t="s">
        <v>8190</v>
      </c>
      <c r="K35" s="72">
        <v>46160.284236111111</v>
      </c>
      <c r="L35" s="52">
        <v>46160.284236111111</v>
      </c>
      <c r="M35" s="52">
        <v>46160.308240740742</v>
      </c>
      <c r="N35" s="72">
        <v>46161.319594907407</v>
      </c>
      <c r="Q35" s="63" t="s">
        <v>8191</v>
      </c>
      <c r="S35" s="45" t="s">
        <v>8122</v>
      </c>
      <c r="T35" s="63" t="s">
        <v>8192</v>
      </c>
      <c r="U35" s="45" t="s">
        <v>371</v>
      </c>
      <c r="Z35" s="76">
        <f t="shared" ca="1" si="8"/>
        <v>0.37500000000000006</v>
      </c>
      <c r="AA35" s="75">
        <f t="shared" ca="1" si="1"/>
        <v>1.0000000000000002</v>
      </c>
      <c r="AB35" s="76">
        <f t="shared" ca="1" si="9"/>
        <v>0.37500000000000006</v>
      </c>
      <c r="AC35" s="75">
        <f t="shared" ca="1" si="3"/>
        <v>1.0000000000000002</v>
      </c>
      <c r="AD35" s="76">
        <f t="shared" ca="1" si="10"/>
        <v>0</v>
      </c>
      <c r="AE35" s="76">
        <f t="shared" ca="1" si="11"/>
        <v>0.37500000000000006</v>
      </c>
      <c r="AF35" s="75">
        <f t="shared" ca="1" si="6"/>
        <v>1.0000000000000002</v>
      </c>
      <c r="AG35" s="75">
        <f t="shared" ca="1" si="7"/>
        <v>1.0000000000000002</v>
      </c>
      <c r="AH35" s="31" t="str" cm="1">
        <f t="array" aca="1" ref="AH35" ca="1">IF((AD35) &lt; (INDEX(ResponseSLA[#All],(MATCH((G35),ResponseSLA[Priority],0))+1,3)),"YES","No")</f>
        <v>YES</v>
      </c>
      <c r="AI35" s="31" t="str">
        <f ca="1">_xlfn.IFNA(IF(AE35 &lt; (INDEX(SLATable[Minimum SLA],MATCH(G35,SLATable[Priority],0))),"YES","NO"),"")</f>
        <v>YES</v>
      </c>
      <c r="AJ35" t="str">
        <f ca="1">_xlfn.IFNA(IF(AE35 &lt; (INDEX(SLATable[Maximum SLA],MATCH(G35,SLATable[Priority],0))),"YES","NO"),"")</f>
        <v>YES</v>
      </c>
    </row>
    <row r="36" spans="1:36" ht="15" customHeight="1">
      <c r="A36" s="45">
        <v>35</v>
      </c>
      <c r="B36" s="45" t="s">
        <v>26</v>
      </c>
      <c r="C36" s="45" t="s">
        <v>41</v>
      </c>
      <c r="D36" s="45" t="s">
        <v>207</v>
      </c>
      <c r="E36" s="63" t="s">
        <v>8193</v>
      </c>
      <c r="F36" s="45" t="s">
        <v>40</v>
      </c>
      <c r="G36" s="73">
        <v>3</v>
      </c>
      <c r="H36" s="63" t="s">
        <v>8194</v>
      </c>
      <c r="I36" s="45" t="s">
        <v>271</v>
      </c>
      <c r="J36" s="45" t="s">
        <v>8190</v>
      </c>
      <c r="K36" s="72">
        <v>46157.213877314818</v>
      </c>
      <c r="L36" s="52">
        <v>46157.319490740738</v>
      </c>
      <c r="M36" s="52">
        <v>46157.339074074072</v>
      </c>
      <c r="N36" s="72">
        <v>46160.458078703705</v>
      </c>
      <c r="Q36" s="63" t="s">
        <v>6907</v>
      </c>
      <c r="S36" s="63" t="s">
        <v>8195</v>
      </c>
      <c r="T36" s="63" t="s">
        <v>8196</v>
      </c>
      <c r="U36" s="45" t="s">
        <v>371</v>
      </c>
      <c r="Z36" s="76">
        <f t="shared" ca="1" si="8"/>
        <v>0.49974537037148065</v>
      </c>
      <c r="AA36" s="75">
        <f t="shared" ca="1" si="1"/>
        <v>1.332654320990615</v>
      </c>
      <c r="AB36" s="76">
        <f t="shared" ca="1" si="9"/>
        <v>0.49974537037148065</v>
      </c>
      <c r="AC36" s="75">
        <f t="shared" ca="1" si="3"/>
        <v>1.332654320990615</v>
      </c>
      <c r="AD36" s="76">
        <f t="shared" ca="1" si="10"/>
        <v>5.740740739080763E-3</v>
      </c>
      <c r="AE36" s="76">
        <f t="shared" ca="1" si="11"/>
        <v>0.49974537037148065</v>
      </c>
      <c r="AF36" s="75">
        <f t="shared" ca="1" si="6"/>
        <v>1.332654320990615</v>
      </c>
      <c r="AG36" s="75">
        <f t="shared" ca="1" si="7"/>
        <v>1.332654320990615</v>
      </c>
      <c r="AH36" s="31" t="str" cm="1">
        <f t="array" aca="1" ref="AH36" ca="1">IF((AD36) &lt; (INDEX(ResponseSLA[#All],(MATCH((G36),ResponseSLA[Priority],0))+1,3)),"YES","No")</f>
        <v>YES</v>
      </c>
      <c r="AI36" s="31" t="str">
        <f ca="1">_xlfn.IFNA(IF(AE36 &lt; (INDEX(SLATable[Minimum SLA],MATCH(G36,SLATable[Priority],0))),"YES","NO"),"")</f>
        <v>NO</v>
      </c>
      <c r="AJ36" t="str">
        <f ca="1">_xlfn.IFNA(IF(AE36 &lt; (INDEX(SLATable[Maximum SLA],MATCH(G36,SLATable[Priority],0))),"YES","NO"),"")</f>
        <v>YES</v>
      </c>
    </row>
    <row r="37" spans="1:36" ht="15" customHeight="1">
      <c r="A37" s="45">
        <v>36</v>
      </c>
      <c r="B37" s="45" t="s">
        <v>26</v>
      </c>
      <c r="C37" s="45" t="s">
        <v>41</v>
      </c>
      <c r="D37" s="45" t="s">
        <v>207</v>
      </c>
      <c r="E37" s="63" t="s">
        <v>8197</v>
      </c>
      <c r="F37" s="45" t="s">
        <v>40</v>
      </c>
      <c r="G37" s="73">
        <v>4</v>
      </c>
      <c r="H37" s="63" t="s">
        <v>8198</v>
      </c>
      <c r="I37" s="45" t="s">
        <v>271</v>
      </c>
      <c r="J37" s="45" t="s">
        <v>8199</v>
      </c>
      <c r="K37" s="52">
        <v>46154.493460648147</v>
      </c>
      <c r="L37" s="52">
        <v>46154.493460648147</v>
      </c>
      <c r="M37" s="52">
        <v>46154.51153935185</v>
      </c>
      <c r="N37" s="72">
        <v>46162.321284722224</v>
      </c>
      <c r="Q37" s="63" t="s">
        <v>8191</v>
      </c>
      <c r="S37" s="63" t="s">
        <v>8122</v>
      </c>
      <c r="T37" s="63" t="s">
        <v>8200</v>
      </c>
      <c r="U37" s="45" t="s">
        <v>371</v>
      </c>
      <c r="Z37" s="76">
        <f t="shared" ca="1" si="8"/>
        <v>2.0898726851858864</v>
      </c>
      <c r="AA37" s="75">
        <f t="shared" ca="1" si="1"/>
        <v>5.5729938271623638</v>
      </c>
      <c r="AB37" s="76">
        <f t="shared" ca="1" si="9"/>
        <v>2.0898726851858864</v>
      </c>
      <c r="AC37" s="75">
        <f t="shared" ca="1" si="3"/>
        <v>5.5729938271623638</v>
      </c>
      <c r="AD37" s="76">
        <f t="shared" ca="1" si="10"/>
        <v>1.8078703702485655E-2</v>
      </c>
      <c r="AE37" s="76">
        <f t="shared" ca="1" si="11"/>
        <v>2.0898726851858864</v>
      </c>
      <c r="AF37" s="75">
        <f t="shared" ca="1" si="6"/>
        <v>5.5729938271623638</v>
      </c>
      <c r="AG37" s="75">
        <f t="shared" ca="1" si="7"/>
        <v>5.5729938271623638</v>
      </c>
      <c r="AH37" s="31" t="str" cm="1">
        <f t="array" aca="1" ref="AH37" ca="1">IF((AD37) &lt; (INDEX(ResponseSLA[#All],(MATCH((G37),ResponseSLA[Priority],0))+1,3)),"YES","No")</f>
        <v>YES</v>
      </c>
      <c r="AI37" s="31" t="str">
        <f ca="1">_xlfn.IFNA(IF(AE37 &lt; (INDEX(SLATable[Minimum SLA],MATCH(G37,SLATable[Priority],0))),"YES","NO"),"")</f>
        <v>YES</v>
      </c>
      <c r="AJ37" t="str">
        <f ca="1">_xlfn.IFNA(IF(AE37 &lt; (INDEX(SLATable[Maximum SLA],MATCH(G37,SLATable[Priority],0))),"YES","NO"),"")</f>
        <v>YES</v>
      </c>
    </row>
    <row r="38" spans="1:36" ht="15" customHeight="1">
      <c r="A38" s="45">
        <v>37</v>
      </c>
      <c r="B38" s="45" t="s">
        <v>26</v>
      </c>
      <c r="C38" s="45" t="s">
        <v>41</v>
      </c>
      <c r="D38" s="45" t="s">
        <v>207</v>
      </c>
      <c r="E38" s="63" t="s">
        <v>5565</v>
      </c>
      <c r="F38" s="45" t="s">
        <v>40</v>
      </c>
      <c r="G38" s="73">
        <v>4</v>
      </c>
      <c r="H38" s="63" t="s">
        <v>5566</v>
      </c>
      <c r="I38" s="45" t="s">
        <v>271</v>
      </c>
      <c r="J38" s="45" t="s">
        <v>8190</v>
      </c>
      <c r="K38" s="72">
        <v>46147.604097222225</v>
      </c>
      <c r="L38" s="52">
        <v>46147.604097222225</v>
      </c>
      <c r="M38" s="52">
        <v>46148.218425925923</v>
      </c>
      <c r="N38" s="72">
        <v>46157.460509259261</v>
      </c>
      <c r="O38" s="52">
        <v>46149.459537037037</v>
      </c>
      <c r="P38" s="52">
        <v>46160.468078703707</v>
      </c>
      <c r="Q38" s="63" t="s">
        <v>8191</v>
      </c>
      <c r="S38" s="63" t="s">
        <v>8122</v>
      </c>
      <c r="T38" s="63" t="s">
        <v>1455</v>
      </c>
      <c r="U38" s="45" t="s">
        <v>371</v>
      </c>
      <c r="Z38" s="76">
        <f t="shared" ca="1" si="8"/>
        <v>0.22287037036585389</v>
      </c>
      <c r="AA38" s="75">
        <f t="shared" ca="1" si="1"/>
        <v>0.59432098764227703</v>
      </c>
      <c r="AB38" s="76">
        <f t="shared" ca="1" si="9"/>
        <v>0.22287037036585389</v>
      </c>
      <c r="AC38" s="75">
        <f t="shared" ca="1" si="3"/>
        <v>0.59432098764227703</v>
      </c>
      <c r="AD38" s="76">
        <f t="shared" ca="1" si="10"/>
        <v>0.10423611110794206</v>
      </c>
      <c r="AE38" s="76">
        <f t="shared" ca="1" si="11"/>
        <v>0.22287037036585389</v>
      </c>
      <c r="AF38" s="75">
        <f t="shared" ca="1" si="6"/>
        <v>0.59432098764227703</v>
      </c>
      <c r="AG38" s="75">
        <f t="shared" ca="1" si="7"/>
        <v>0.59432098764227703</v>
      </c>
      <c r="AH38" s="31" t="str" cm="1">
        <f t="array" aca="1" ref="AH38" ca="1">IF((AD38) &lt; (INDEX(ResponseSLA[#All],(MATCH((G38),ResponseSLA[Priority],0))+1,3)),"YES","No")</f>
        <v>YES</v>
      </c>
      <c r="AI38" s="31" t="str">
        <f ca="1">_xlfn.IFNA(IF(AE38 &lt; (INDEX(SLATable[Minimum SLA],MATCH(G38,SLATable[Priority],0))),"YES","NO"),"")</f>
        <v>YES</v>
      </c>
      <c r="AJ38" t="str">
        <f ca="1">_xlfn.IFNA(IF(AE38 &lt; (INDEX(SLATable[Maximum SLA],MATCH(G38,SLATable[Priority],0))),"YES","NO"),"")</f>
        <v>YES</v>
      </c>
    </row>
    <row r="39" spans="1:36" ht="15" customHeight="1">
      <c r="A39" s="45">
        <v>38</v>
      </c>
      <c r="B39" s="45" t="s">
        <v>26</v>
      </c>
      <c r="C39" s="45" t="s">
        <v>41</v>
      </c>
      <c r="D39" s="45" t="s">
        <v>207</v>
      </c>
      <c r="E39" s="63" t="s">
        <v>8201</v>
      </c>
      <c r="F39" s="45" t="s">
        <v>40</v>
      </c>
      <c r="G39" s="73">
        <v>4</v>
      </c>
      <c r="H39" s="63" t="s">
        <v>8202</v>
      </c>
      <c r="I39" s="45" t="s">
        <v>271</v>
      </c>
      <c r="J39" s="45" t="s">
        <v>8190</v>
      </c>
      <c r="K39" s="72">
        <v>46142.486238425925</v>
      </c>
      <c r="L39" s="52">
        <v>46148.630324074074</v>
      </c>
      <c r="M39" s="52">
        <v>46149.217627314814</v>
      </c>
      <c r="N39" s="72">
        <v>46150.221631944441</v>
      </c>
      <c r="O39" s="52">
        <v>46149.487962962965</v>
      </c>
      <c r="P39" s="52">
        <v>46153.259328703702</v>
      </c>
      <c r="Q39" s="63" t="s">
        <v>8203</v>
      </c>
      <c r="S39" s="63" t="s">
        <v>8122</v>
      </c>
      <c r="T39" s="63" t="s">
        <v>1519</v>
      </c>
      <c r="U39" s="45" t="s">
        <v>371</v>
      </c>
      <c r="Z39" s="76">
        <f t="shared" ca="1" si="8"/>
        <v>0.75172453703999054</v>
      </c>
      <c r="AA39" s="75">
        <f t="shared" ca="1" si="1"/>
        <v>2.0045987654399746</v>
      </c>
      <c r="AB39" s="76">
        <f t="shared" ca="1" si="9"/>
        <v>0</v>
      </c>
      <c r="AC39" s="75">
        <f t="shared" ca="1" si="3"/>
        <v>0</v>
      </c>
      <c r="AD39" s="76">
        <f t="shared" ca="1" si="10"/>
        <v>7.8009259258882024E-2</v>
      </c>
      <c r="AE39" s="76">
        <f t="shared" ca="1" si="11"/>
        <v>0</v>
      </c>
      <c r="AF39" s="75">
        <f t="shared" ca="1" si="6"/>
        <v>0</v>
      </c>
      <c r="AG39" s="75">
        <f t="shared" ca="1" si="7"/>
        <v>0</v>
      </c>
      <c r="AH39" s="31" t="str" cm="1">
        <f t="array" aca="1" ref="AH39" ca="1">IF((AD39) &lt; (INDEX(ResponseSLA[#All],(MATCH((G39),ResponseSLA[Priority],0))+1,3)),"YES","No")</f>
        <v>YES</v>
      </c>
      <c r="AI39" s="31" t="str">
        <f ca="1">_xlfn.IFNA(IF(AE39 &lt; (INDEX(SLATable[Minimum SLA],MATCH(G39,SLATable[Priority],0))),"YES","NO"),"")</f>
        <v>YES</v>
      </c>
      <c r="AJ39" t="str">
        <f ca="1">_xlfn.IFNA(IF(AE39 &lt; (INDEX(SLATable[Maximum SLA],MATCH(G39,SLATable[Priority],0))),"YES","NO"),"")</f>
        <v>YES</v>
      </c>
    </row>
    <row r="40" spans="1:36" ht="15" customHeight="1">
      <c r="A40" s="45">
        <v>39</v>
      </c>
      <c r="B40" s="45" t="s">
        <v>26</v>
      </c>
      <c r="C40" s="45" t="s">
        <v>41</v>
      </c>
      <c r="D40" s="45" t="s">
        <v>207</v>
      </c>
      <c r="E40" s="63" t="s">
        <v>8204</v>
      </c>
      <c r="F40" s="45" t="s">
        <v>40</v>
      </c>
      <c r="G40" s="73">
        <v>3</v>
      </c>
      <c r="H40" s="63" t="s">
        <v>8205</v>
      </c>
      <c r="I40" s="45" t="s">
        <v>271</v>
      </c>
      <c r="J40" s="45" t="s">
        <v>8120</v>
      </c>
      <c r="K40" s="72">
        <v>46140.890983796293</v>
      </c>
      <c r="L40" s="52">
        <v>46141.435023148151</v>
      </c>
      <c r="M40" s="52">
        <v>46141.464317129627</v>
      </c>
      <c r="N40" s="72">
        <v>46150.545891203707</v>
      </c>
      <c r="O40" s="52">
        <v>46142.482222222221</v>
      </c>
      <c r="P40" s="52">
        <v>46153.55127314815</v>
      </c>
      <c r="Q40" s="63" t="s">
        <v>8203</v>
      </c>
      <c r="S40" s="63" t="s">
        <v>8122</v>
      </c>
      <c r="T40" s="63" t="s">
        <v>1519</v>
      </c>
      <c r="U40" s="45" t="s">
        <v>371</v>
      </c>
      <c r="Z40" s="76">
        <f t="shared" ca="1" si="8"/>
        <v>0.143506944443895</v>
      </c>
      <c r="AA40" s="75">
        <f t="shared" ca="1" si="1"/>
        <v>0.38268518518372002</v>
      </c>
      <c r="AB40" s="76">
        <f t="shared" ca="1" si="9"/>
        <v>4.181712962599704E-2</v>
      </c>
      <c r="AC40" s="75">
        <f t="shared" ca="1" si="3"/>
        <v>0.11151234566932544</v>
      </c>
      <c r="AD40" s="76">
        <f t="shared" ca="1" si="10"/>
        <v>2.9293981475348119E-2</v>
      </c>
      <c r="AE40" s="76">
        <f t="shared" ca="1" si="11"/>
        <v>4.181712962599704E-2</v>
      </c>
      <c r="AF40" s="75">
        <f t="shared" ca="1" si="6"/>
        <v>0.11151234566932544</v>
      </c>
      <c r="AG40" s="75">
        <f t="shared" ca="1" si="7"/>
        <v>0.11151234566932544</v>
      </c>
      <c r="AH40" s="31" t="str" cm="1">
        <f t="array" aca="1" ref="AH40" ca="1">IF((AD40) &lt; (INDEX(ResponseSLA[#All],(MATCH((G40),ResponseSLA[Priority],0))+1,3)),"YES","No")</f>
        <v>YES</v>
      </c>
      <c r="AI40" s="31" t="str">
        <f ca="1">_xlfn.IFNA(IF(AE40 &lt; (INDEX(SLATable[Minimum SLA],MATCH(G40,SLATable[Priority],0))),"YES","NO"),"")</f>
        <v>YES</v>
      </c>
      <c r="AJ40" t="str">
        <f ca="1">_xlfn.IFNA(IF(AE40 &lt; (INDEX(SLATable[Maximum SLA],MATCH(G40,SLATable[Priority],0))),"YES","NO"),"")</f>
        <v>YES</v>
      </c>
    </row>
    <row r="41" spans="1:36" ht="15" customHeight="1">
      <c r="A41" s="45">
        <v>40</v>
      </c>
      <c r="B41" s="45" t="s">
        <v>26</v>
      </c>
      <c r="C41" s="45" t="s">
        <v>41</v>
      </c>
      <c r="D41" s="45" t="s">
        <v>207</v>
      </c>
      <c r="E41" s="63" t="s">
        <v>8206</v>
      </c>
      <c r="F41" s="45" t="s">
        <v>40</v>
      </c>
      <c r="G41" s="73">
        <v>3</v>
      </c>
      <c r="H41" s="63" t="s">
        <v>8207</v>
      </c>
      <c r="I41" s="45" t="s">
        <v>271</v>
      </c>
      <c r="J41" s="45" t="s">
        <v>8190</v>
      </c>
      <c r="K41" s="72">
        <v>46135.431875000002</v>
      </c>
      <c r="L41" s="52">
        <v>46135.451319444444</v>
      </c>
      <c r="M41" s="52">
        <v>46135.458969907406</v>
      </c>
      <c r="N41" s="72">
        <v>46146.750451388885</v>
      </c>
      <c r="O41" s="52">
        <v>46139.282372685186</v>
      </c>
      <c r="P41" s="52">
        <v>46149.759328703702</v>
      </c>
      <c r="Q41" s="63" t="s">
        <v>8191</v>
      </c>
      <c r="S41" s="63" t="s">
        <v>8122</v>
      </c>
      <c r="T41" s="63" t="s">
        <v>1455</v>
      </c>
      <c r="U41" s="45" t="s">
        <v>371</v>
      </c>
      <c r="Z41" s="76">
        <f t="shared" ca="1" si="8"/>
        <v>0</v>
      </c>
      <c r="AA41" s="75">
        <f t="shared" ca="1" si="1"/>
        <v>0</v>
      </c>
      <c r="AB41" s="76">
        <f t="shared" ca="1" si="9"/>
        <v>0</v>
      </c>
      <c r="AC41" s="75">
        <f t="shared" ca="1" si="3"/>
        <v>0</v>
      </c>
      <c r="AD41" s="76">
        <f t="shared" ca="1" si="10"/>
        <v>7.6504629614646547E-3</v>
      </c>
      <c r="AE41" s="76">
        <f t="shared" ca="1" si="11"/>
        <v>0</v>
      </c>
      <c r="AF41" s="75">
        <f t="shared" ca="1" si="6"/>
        <v>0</v>
      </c>
      <c r="AG41" s="75">
        <f t="shared" ca="1" si="7"/>
        <v>0</v>
      </c>
      <c r="AH41" s="31" t="str" cm="1">
        <f t="array" aca="1" ref="AH41" ca="1">IF((AD41) &lt; (INDEX(ResponseSLA[#All],(MATCH((G41),ResponseSLA[Priority],0))+1,3)),"YES","No")</f>
        <v>YES</v>
      </c>
      <c r="AI41" s="31" t="str">
        <f ca="1">_xlfn.IFNA(IF(AE41 &lt; (INDEX(SLATable[Minimum SLA],MATCH(G41,SLATable[Priority],0))),"YES","NO"),"")</f>
        <v>YES</v>
      </c>
      <c r="AJ41" t="str">
        <f ca="1">_xlfn.IFNA(IF(AE41 &lt; (INDEX(SLATable[Maximum SLA],MATCH(G41,SLATable[Priority],0))),"YES","NO"),"")</f>
        <v>YES</v>
      </c>
    </row>
    <row r="42" spans="1:36" ht="15" customHeight="1">
      <c r="A42" s="45">
        <v>41</v>
      </c>
      <c r="B42" s="45" t="s">
        <v>26</v>
      </c>
      <c r="C42" s="45" t="s">
        <v>41</v>
      </c>
      <c r="D42" s="45" t="s">
        <v>207</v>
      </c>
      <c r="E42" s="63" t="s">
        <v>8208</v>
      </c>
      <c r="F42" s="45" t="s">
        <v>40</v>
      </c>
      <c r="G42" s="73">
        <v>3</v>
      </c>
      <c r="H42" s="63" t="s">
        <v>8209</v>
      </c>
      <c r="I42" s="45" t="s">
        <v>271</v>
      </c>
      <c r="J42" s="45" t="s">
        <v>8120</v>
      </c>
      <c r="K42" s="72">
        <v>46128.394062500003</v>
      </c>
      <c r="L42" s="52">
        <v>46128.394062500003</v>
      </c>
      <c r="M42" s="52">
        <v>46128.424803240741</v>
      </c>
      <c r="N42" s="72">
        <v>46160.421458333331</v>
      </c>
      <c r="O42" s="52">
        <v>46129.28502314815</v>
      </c>
      <c r="P42" s="52">
        <v>46163.426111111112</v>
      </c>
      <c r="Q42" s="63" t="s">
        <v>8191</v>
      </c>
      <c r="S42" s="63" t="s">
        <v>8122</v>
      </c>
      <c r="T42" s="45" t="s">
        <v>1455</v>
      </c>
      <c r="U42" s="45" t="s">
        <v>371</v>
      </c>
      <c r="Z42" s="76">
        <f t="shared" ca="1" si="8"/>
        <v>0</v>
      </c>
      <c r="AA42" s="75">
        <f t="shared" ca="1" si="1"/>
        <v>0</v>
      </c>
      <c r="AB42" s="76">
        <f t="shared" ca="1" si="9"/>
        <v>0</v>
      </c>
      <c r="AC42" s="75">
        <f t="shared" ca="1" si="3"/>
        <v>0</v>
      </c>
      <c r="AD42" s="76">
        <f t="shared" ca="1" si="10"/>
        <v>3.0740740738110617E-2</v>
      </c>
      <c r="AE42" s="76">
        <f t="shared" ca="1" si="11"/>
        <v>0</v>
      </c>
      <c r="AF42" s="75">
        <f t="shared" ca="1" si="6"/>
        <v>0</v>
      </c>
      <c r="AG42" s="75">
        <f t="shared" ca="1" si="7"/>
        <v>0</v>
      </c>
      <c r="AH42" s="31" t="str" cm="1">
        <f t="array" aca="1" ref="AH42" ca="1">IF((AD42) &lt; (INDEX(ResponseSLA[#All],(MATCH((G42),ResponseSLA[Priority],0))+1,3)),"YES","No")</f>
        <v>YES</v>
      </c>
      <c r="AI42" s="31" t="str">
        <f ca="1">_xlfn.IFNA(IF(AE42 &lt; (INDEX(SLATable[Minimum SLA],MATCH(G42,SLATable[Priority],0))),"YES","NO"),"")</f>
        <v>YES</v>
      </c>
      <c r="AJ42" t="str">
        <f ca="1">_xlfn.IFNA(IF(AE42 &lt; (INDEX(SLATable[Maximum SLA],MATCH(G42,SLATable[Priority],0))),"YES","NO"),"")</f>
        <v>YES</v>
      </c>
    </row>
    <row r="43" spans="1:36" ht="15" customHeight="1">
      <c r="A43" s="45">
        <v>42</v>
      </c>
      <c r="B43" s="45" t="s">
        <v>26</v>
      </c>
      <c r="C43" s="45" t="s">
        <v>41</v>
      </c>
      <c r="D43" s="45" t="s">
        <v>207</v>
      </c>
      <c r="E43" s="63" t="s">
        <v>8210</v>
      </c>
      <c r="F43" s="45" t="s">
        <v>40</v>
      </c>
      <c r="G43" s="73">
        <v>3</v>
      </c>
      <c r="H43" s="63" t="s">
        <v>8211</v>
      </c>
      <c r="I43" s="45" t="s">
        <v>271</v>
      </c>
      <c r="J43" s="45" t="s">
        <v>8212</v>
      </c>
      <c r="K43" s="72">
        <v>46125.502997685187</v>
      </c>
      <c r="L43" s="52">
        <v>46125.502997685187</v>
      </c>
      <c r="M43" s="52">
        <v>46125.574305555558</v>
      </c>
      <c r="N43" s="72">
        <v>46147.357222222221</v>
      </c>
      <c r="O43" s="52">
        <v>46126.618726851855</v>
      </c>
      <c r="P43" s="52">
        <v>46150.384456018517</v>
      </c>
      <c r="Q43" s="63" t="s">
        <v>8191</v>
      </c>
      <c r="S43" s="63" t="s">
        <v>8122</v>
      </c>
      <c r="T43" s="63" t="s">
        <v>8192</v>
      </c>
      <c r="U43" s="45" t="s">
        <v>371</v>
      </c>
      <c r="Z43" s="76">
        <f t="shared" ca="1" si="8"/>
        <v>0</v>
      </c>
      <c r="AA43" s="75">
        <f t="shared" ca="1" si="1"/>
        <v>0</v>
      </c>
      <c r="AB43" s="76">
        <f t="shared" ca="1" si="9"/>
        <v>0</v>
      </c>
      <c r="AC43" s="75">
        <f t="shared" ca="1" si="3"/>
        <v>0</v>
      </c>
      <c r="AD43" s="76">
        <f t="shared" ca="1" si="10"/>
        <v>7.1307870370219462E-2</v>
      </c>
      <c r="AE43" s="76">
        <f t="shared" ca="1" si="11"/>
        <v>0</v>
      </c>
      <c r="AF43" s="75">
        <f t="shared" ca="1" si="6"/>
        <v>0</v>
      </c>
      <c r="AG43" s="75">
        <f t="shared" ca="1" si="7"/>
        <v>0</v>
      </c>
      <c r="AH43" s="31" t="str" cm="1">
        <f t="array" aca="1" ref="AH43" ca="1">IF((AD43) &lt; (INDEX(ResponseSLA[#All],(MATCH((G43),ResponseSLA[Priority],0))+1,3)),"YES","No")</f>
        <v>YES</v>
      </c>
      <c r="AI43" s="31" t="str">
        <f ca="1">_xlfn.IFNA(IF(AE43 &lt; (INDEX(SLATable[Minimum SLA],MATCH(G43,SLATable[Priority],0))),"YES","NO"),"")</f>
        <v>YES</v>
      </c>
      <c r="AJ43" t="str">
        <f ca="1">_xlfn.IFNA(IF(AE43 &lt; (INDEX(SLATable[Maximum SLA],MATCH(G43,SLATable[Priority],0))),"YES","NO"),"")</f>
        <v>YES</v>
      </c>
    </row>
    <row r="44" spans="1:36" ht="15" customHeight="1">
      <c r="A44" s="45">
        <v>43</v>
      </c>
      <c r="B44" s="45" t="s">
        <v>26</v>
      </c>
      <c r="C44" s="45" t="s">
        <v>41</v>
      </c>
      <c r="D44" s="45" t="s">
        <v>207</v>
      </c>
      <c r="E44" s="45" t="s">
        <v>8213</v>
      </c>
      <c r="F44" s="45" t="s">
        <v>40</v>
      </c>
      <c r="G44" s="73">
        <v>3</v>
      </c>
      <c r="H44" s="45" t="s">
        <v>8214</v>
      </c>
      <c r="I44" s="45" t="s">
        <v>271</v>
      </c>
      <c r="J44" s="45" t="s">
        <v>8120</v>
      </c>
      <c r="K44" s="52">
        <v>46150.527326388888</v>
      </c>
      <c r="L44" s="52">
        <v>46157.64707175926</v>
      </c>
      <c r="M44" s="52">
        <v>46160.238402777781</v>
      </c>
      <c r="N44" s="52">
        <v>46167.339571759258</v>
      </c>
      <c r="O44" s="52">
        <v>46160.460590277777</v>
      </c>
      <c r="P44" s="52">
        <v>46167.339571759258</v>
      </c>
      <c r="Q44" s="45" t="s">
        <v>8191</v>
      </c>
      <c r="S44" s="45" t="s">
        <v>8122</v>
      </c>
      <c r="T44" s="45" t="s">
        <v>1455</v>
      </c>
      <c r="U44" s="45" t="s">
        <v>371</v>
      </c>
      <c r="Z44" s="76">
        <f t="shared" ca="1" si="8"/>
        <v>2.1832638888881779</v>
      </c>
      <c r="AA44" s="75">
        <f t="shared" ca="1" si="1"/>
        <v>5.8220370370351411</v>
      </c>
      <c r="AB44" s="76">
        <f t="shared" ca="1" si="9"/>
        <v>0.18851851851650281</v>
      </c>
      <c r="AC44" s="75">
        <f t="shared" ca="1" si="3"/>
        <v>0.50271604937734082</v>
      </c>
      <c r="AD44" s="76">
        <f t="shared" ca="1" si="10"/>
        <v>6.1261574073190217E-2</v>
      </c>
      <c r="AE44" s="76">
        <f t="shared" ca="1" si="11"/>
        <v>0.18851851851650281</v>
      </c>
      <c r="AF44" s="75">
        <f t="shared" ca="1" si="6"/>
        <v>0.50271604937734082</v>
      </c>
      <c r="AG44" s="75">
        <f t="shared" ca="1" si="7"/>
        <v>0.50271604937734082</v>
      </c>
      <c r="AH44" s="31" t="str" cm="1">
        <f t="array" aca="1" ref="AH44" ca="1">IF((AD44) &lt; (INDEX(ResponseSLA[#All],(MATCH((G44),ResponseSLA[Priority],0))+1,3)),"YES","No")</f>
        <v>YES</v>
      </c>
      <c r="AI44" s="31" t="str">
        <f ca="1">_xlfn.IFNA(IF(AE44 &lt; (INDEX(SLATable[Minimum SLA],MATCH(G44,SLATable[Priority],0))),"YES","NO"),"")</f>
        <v>YES</v>
      </c>
      <c r="AJ44" t="str">
        <f ca="1">_xlfn.IFNA(IF(AE44 &lt; (INDEX(SLATable[Maximum SLA],MATCH(G44,SLATable[Priority],0))),"YES","NO"),"")</f>
        <v>YES</v>
      </c>
    </row>
    <row r="45" spans="1:36" ht="15" customHeight="1">
      <c r="A45" s="45">
        <v>44</v>
      </c>
      <c r="B45" s="45" t="s">
        <v>26</v>
      </c>
      <c r="C45" s="45" t="s">
        <v>41</v>
      </c>
      <c r="D45" s="45" t="s">
        <v>207</v>
      </c>
      <c r="E45" s="45" t="s">
        <v>8215</v>
      </c>
      <c r="F45" s="45" t="s">
        <v>40</v>
      </c>
      <c r="G45" s="73">
        <v>3</v>
      </c>
      <c r="H45" s="45" t="s">
        <v>8216</v>
      </c>
      <c r="I45" s="45" t="s">
        <v>271</v>
      </c>
      <c r="J45" s="45" t="s">
        <v>8177</v>
      </c>
      <c r="K45" s="47">
        <v>46160.532523148147</v>
      </c>
      <c r="L45" s="47">
        <v>46160.532523148147</v>
      </c>
      <c r="M45" s="47">
        <v>46160.556689814817</v>
      </c>
      <c r="N45" s="52">
        <v>46169.263784722221</v>
      </c>
      <c r="O45" s="52">
        <v>46161.465960648151</v>
      </c>
      <c r="P45" s="52">
        <v>46169.263784722221</v>
      </c>
      <c r="Q45" s="45" t="s">
        <v>8191</v>
      </c>
      <c r="S45" s="45" t="s">
        <v>181</v>
      </c>
      <c r="T45" s="45" t="s">
        <v>268</v>
      </c>
      <c r="U45" s="45" t="s">
        <v>371</v>
      </c>
      <c r="Z45" s="76">
        <f t="shared" ca="1" si="8"/>
        <v>0.3084375000034929</v>
      </c>
      <c r="AA45" s="75">
        <f t="shared" ca="1" si="1"/>
        <v>0.82250000000931445</v>
      </c>
      <c r="AB45" s="76">
        <f t="shared" ca="1" si="9"/>
        <v>0.3084375000034929</v>
      </c>
      <c r="AC45" s="75">
        <f t="shared" ca="1" si="3"/>
        <v>0.82250000000931445</v>
      </c>
      <c r="AD45" s="76">
        <f t="shared" ca="1" si="10"/>
        <v>2.4166666669771075E-2</v>
      </c>
      <c r="AE45" s="76">
        <f t="shared" ca="1" si="11"/>
        <v>0.3084375000034929</v>
      </c>
      <c r="AF45" s="75">
        <f t="shared" ca="1" si="6"/>
        <v>0.82250000000931445</v>
      </c>
      <c r="AG45" s="75">
        <f t="shared" ca="1" si="7"/>
        <v>0.82250000000931445</v>
      </c>
      <c r="AH45" s="31" t="str" cm="1">
        <f t="array" aca="1" ref="AH45" ca="1">IF((AD45) &lt; (INDEX(ResponseSLA[#All],(MATCH((G45),ResponseSLA[Priority],0))+1,3)),"YES","No")</f>
        <v>YES</v>
      </c>
      <c r="AI45" s="31" t="str">
        <f ca="1">_xlfn.IFNA(IF(AE45 &lt; (INDEX(SLATable[Minimum SLA],MATCH(G45,SLATable[Priority],0))),"YES","NO"),"")</f>
        <v>YES</v>
      </c>
      <c r="AJ45" t="str">
        <f ca="1">_xlfn.IFNA(IF(AE45 &lt; (INDEX(SLATable[Maximum SLA],MATCH(G45,SLATable[Priority],0))),"YES","NO"),"")</f>
        <v>YES</v>
      </c>
    </row>
    <row r="46" spans="1:36" ht="15" customHeight="1">
      <c r="A46" s="45">
        <v>45</v>
      </c>
      <c r="B46" s="45" t="s">
        <v>26</v>
      </c>
      <c r="C46" s="45" t="s">
        <v>41</v>
      </c>
      <c r="D46" s="45" t="s">
        <v>207</v>
      </c>
      <c r="E46" s="45" t="s">
        <v>8217</v>
      </c>
      <c r="F46" s="45" t="s">
        <v>40</v>
      </c>
      <c r="G46" s="66">
        <v>4</v>
      </c>
      <c r="H46" s="45" t="s">
        <v>8218</v>
      </c>
      <c r="I46" s="45" t="s">
        <v>271</v>
      </c>
      <c r="J46" s="45" t="s">
        <v>8120</v>
      </c>
      <c r="K46" s="52">
        <v>46169.170138888891</v>
      </c>
      <c r="L46" s="52">
        <v>46169.18136574074</v>
      </c>
      <c r="M46" s="52">
        <v>46169.272604166668</v>
      </c>
      <c r="N46" s="52">
        <v>46169.275451388887</v>
      </c>
      <c r="Q46" s="45" t="s">
        <v>8191</v>
      </c>
      <c r="S46" s="45" t="s">
        <v>8122</v>
      </c>
      <c r="T46" s="45" t="s">
        <v>1519</v>
      </c>
      <c r="U46" s="45" t="s">
        <v>371</v>
      </c>
      <c r="Z46" s="76">
        <f t="shared" ca="1" si="8"/>
        <v>0</v>
      </c>
      <c r="AA46" s="75">
        <f t="shared" ca="1" si="1"/>
        <v>0</v>
      </c>
      <c r="AB46" s="76">
        <f t="shared" ca="1" si="9"/>
        <v>0</v>
      </c>
      <c r="AC46" s="75">
        <f t="shared" ca="1" si="3"/>
        <v>0</v>
      </c>
      <c r="AD46" s="76">
        <f t="shared" ca="1" si="10"/>
        <v>0</v>
      </c>
      <c r="AE46" s="76">
        <f t="shared" ca="1" si="11"/>
        <v>0</v>
      </c>
      <c r="AF46" s="75">
        <f t="shared" ca="1" si="6"/>
        <v>0</v>
      </c>
      <c r="AG46" s="75">
        <f t="shared" ca="1" si="7"/>
        <v>0</v>
      </c>
      <c r="AH46" s="31" t="str" cm="1">
        <f t="array" aca="1" ref="AH46" ca="1">IF((AD46) &lt; (INDEX(ResponseSLA[#All],(MATCH((G46),ResponseSLA[Priority],0))+1,3)),"YES","No")</f>
        <v>YES</v>
      </c>
      <c r="AI46" s="31" t="str">
        <f ca="1">_xlfn.IFNA(IF(AE46 &lt; (INDEX(SLATable[Minimum SLA],MATCH(G46,SLATable[Priority],0))),"YES","NO"),"")</f>
        <v>YES</v>
      </c>
      <c r="AJ46" t="str">
        <f ca="1">_xlfn.IFNA(IF(AE46 &lt; (INDEX(SLATable[Maximum SLA],MATCH(G46,SLATable[Priority],0))),"YES","NO"),"")</f>
        <v>YES</v>
      </c>
    </row>
    <row r="47" spans="1:36" ht="15" customHeight="1">
      <c r="A47" s="45">
        <v>46</v>
      </c>
      <c r="B47" s="45" t="s">
        <v>26</v>
      </c>
      <c r="C47" s="45" t="s">
        <v>41</v>
      </c>
      <c r="D47" s="45" t="s">
        <v>207</v>
      </c>
      <c r="E47" s="45" t="s">
        <v>8219</v>
      </c>
      <c r="F47" s="45" t="s">
        <v>40</v>
      </c>
      <c r="G47" s="66">
        <v>3</v>
      </c>
      <c r="H47" s="45" t="s">
        <v>8220</v>
      </c>
      <c r="I47" s="45" t="s">
        <v>271</v>
      </c>
      <c r="J47" s="45" t="s">
        <v>8190</v>
      </c>
      <c r="K47" s="52">
        <v>46161.455659722225</v>
      </c>
      <c r="L47" s="47">
        <v>46161.455659722225</v>
      </c>
      <c r="M47" s="52">
        <v>46161.535358796296</v>
      </c>
      <c r="N47" s="52">
        <v>46169.750381944446</v>
      </c>
      <c r="O47" s="52">
        <v>46162.220648148148</v>
      </c>
      <c r="P47" s="52">
        <v>46169.750381944446</v>
      </c>
      <c r="Q47" s="45" t="s">
        <v>8191</v>
      </c>
      <c r="S47" s="45" t="s">
        <v>8122</v>
      </c>
      <c r="T47" s="45" t="s">
        <v>277</v>
      </c>
      <c r="U47" s="45" t="s">
        <v>371</v>
      </c>
      <c r="Z47" s="76">
        <f t="shared" ca="1" si="8"/>
        <v>0.25267361110794195</v>
      </c>
      <c r="AA47" s="75">
        <f t="shared" ca="1" si="1"/>
        <v>0.67379629628784521</v>
      </c>
      <c r="AB47" s="76">
        <f t="shared" ca="1" si="9"/>
        <v>0.25267361110794195</v>
      </c>
      <c r="AC47" s="75">
        <f t="shared" ca="1" si="3"/>
        <v>0.67379629628784521</v>
      </c>
      <c r="AD47" s="76">
        <f t="shared" ca="1" si="10"/>
        <v>7.9699074070958886E-2</v>
      </c>
      <c r="AE47" s="76">
        <f t="shared" ca="1" si="11"/>
        <v>0.25267361110794195</v>
      </c>
      <c r="AF47" s="75">
        <f t="shared" ca="1" si="6"/>
        <v>0.67379629628784521</v>
      </c>
      <c r="AG47" s="75">
        <f t="shared" ca="1" si="7"/>
        <v>0.67379629628784521</v>
      </c>
      <c r="AH47" s="31" t="str" cm="1">
        <f t="array" aca="1" ref="AH47" ca="1">IF((AD47) &lt; (INDEX(ResponseSLA[#All],(MATCH((G47),ResponseSLA[Priority],0))+1,3)),"YES","No")</f>
        <v>YES</v>
      </c>
      <c r="AI47" s="31" t="str">
        <f ca="1">_xlfn.IFNA(IF(AE47 &lt; (INDEX(SLATable[Minimum SLA],MATCH(G47,SLATable[Priority],0))),"YES","NO"),"")</f>
        <v>YES</v>
      </c>
      <c r="AJ47" t="str">
        <f ca="1">_xlfn.IFNA(IF(AE47 &lt; (INDEX(SLATable[Maximum SLA],MATCH(G47,SLATable[Priority],0))),"YES","NO"),"")</f>
        <v>YES</v>
      </c>
    </row>
    <row r="48" spans="1:36" ht="15" customHeight="1">
      <c r="A48" s="45">
        <v>47</v>
      </c>
      <c r="B48" s="45" t="s">
        <v>26</v>
      </c>
      <c r="C48" s="45" t="s">
        <v>41</v>
      </c>
      <c r="D48" s="45" t="s">
        <v>207</v>
      </c>
      <c r="E48" s="45" t="s">
        <v>8221</v>
      </c>
      <c r="F48" s="45" t="s">
        <v>40</v>
      </c>
      <c r="G48" s="66">
        <v>4</v>
      </c>
      <c r="H48" s="45" t="s">
        <v>8222</v>
      </c>
      <c r="I48" s="45" t="s">
        <v>271</v>
      </c>
      <c r="J48" s="45" t="s">
        <v>8120</v>
      </c>
      <c r="K48" s="52">
        <v>46169.90693287037</v>
      </c>
      <c r="L48" s="52">
        <v>46169.90693287037</v>
      </c>
      <c r="M48" s="52">
        <v>46170.257337962961</v>
      </c>
      <c r="N48" s="52">
        <v>46170.257870370369</v>
      </c>
      <c r="Q48" s="45" t="s">
        <v>8191</v>
      </c>
      <c r="S48" s="45" t="s">
        <v>8122</v>
      </c>
      <c r="T48" s="45" t="s">
        <v>1519</v>
      </c>
      <c r="U48" s="45" t="s">
        <v>371</v>
      </c>
      <c r="Z48" s="76">
        <f t="shared" ca="1" si="8"/>
        <v>0</v>
      </c>
      <c r="AA48" s="75">
        <f t="shared" ca="1" si="1"/>
        <v>0</v>
      </c>
      <c r="AB48" s="76">
        <f t="shared" ca="1" si="9"/>
        <v>0</v>
      </c>
      <c r="AC48" s="75">
        <f t="shared" ca="1" si="3"/>
        <v>0</v>
      </c>
      <c r="AD48" s="76">
        <f t="shared" ca="1" si="10"/>
        <v>0</v>
      </c>
      <c r="AE48" s="76">
        <f t="shared" ca="1" si="11"/>
        <v>0</v>
      </c>
      <c r="AF48" s="75">
        <f t="shared" ca="1" si="6"/>
        <v>0</v>
      </c>
      <c r="AG48" s="75">
        <f t="shared" ca="1" si="7"/>
        <v>0</v>
      </c>
      <c r="AH48" s="31" t="str" cm="1">
        <f t="array" aca="1" ref="AH48" ca="1">IF((AD48) &lt; (INDEX(ResponseSLA[#All],(MATCH((G48),ResponseSLA[Priority],0))+1,3)),"YES","No")</f>
        <v>YES</v>
      </c>
      <c r="AI48" s="31" t="str">
        <f ca="1">_xlfn.IFNA(IF(AE48 &lt; (INDEX(SLATable[Minimum SLA],MATCH(G48,SLATable[Priority],0))),"YES","NO"),"")</f>
        <v>YES</v>
      </c>
      <c r="AJ48" t="str">
        <f ca="1">_xlfn.IFNA(IF(AE48 &lt; (INDEX(SLATable[Maximum SLA],MATCH(G48,SLATable[Priority],0))),"YES","NO"),"")</f>
        <v>YES</v>
      </c>
    </row>
    <row r="49" spans="1:36" ht="15" customHeight="1">
      <c r="A49" s="45">
        <v>48</v>
      </c>
      <c r="B49" s="45" t="s">
        <v>26</v>
      </c>
      <c r="C49" s="45" t="s">
        <v>41</v>
      </c>
      <c r="D49" s="45" t="s">
        <v>207</v>
      </c>
      <c r="E49" s="45" t="s">
        <v>8223</v>
      </c>
      <c r="F49" s="45" t="s">
        <v>40</v>
      </c>
      <c r="G49" s="66">
        <v>4</v>
      </c>
      <c r="H49" s="45" t="s">
        <v>8224</v>
      </c>
      <c r="I49" s="45" t="s">
        <v>271</v>
      </c>
      <c r="J49" s="45" t="s">
        <v>8120</v>
      </c>
      <c r="K49" s="52">
        <v>46170.174224537041</v>
      </c>
      <c r="L49" s="52">
        <v>46170.188981481479</v>
      </c>
      <c r="M49" s="52">
        <v>46170.264664351853</v>
      </c>
      <c r="N49" s="52">
        <v>46170.266331018516</v>
      </c>
      <c r="Q49" s="45" t="s">
        <v>8191</v>
      </c>
      <c r="S49" s="45" t="s">
        <v>8122</v>
      </c>
      <c r="T49" s="45" t="s">
        <v>1519</v>
      </c>
      <c r="U49" s="45" t="s">
        <v>371</v>
      </c>
      <c r="Z49" s="76">
        <f t="shared" ca="1" si="8"/>
        <v>0</v>
      </c>
      <c r="AA49" s="75">
        <f t="shared" ca="1" si="1"/>
        <v>0</v>
      </c>
      <c r="AB49" s="76">
        <f t="shared" ca="1" si="9"/>
        <v>0</v>
      </c>
      <c r="AC49" s="75">
        <f t="shared" ca="1" si="3"/>
        <v>0</v>
      </c>
      <c r="AD49" s="76">
        <f t="shared" ca="1" si="10"/>
        <v>0</v>
      </c>
      <c r="AE49" s="76">
        <f t="shared" ca="1" si="11"/>
        <v>0</v>
      </c>
      <c r="AF49" s="75">
        <f t="shared" ca="1" si="6"/>
        <v>0</v>
      </c>
      <c r="AG49" s="75">
        <f t="shared" ca="1" si="7"/>
        <v>0</v>
      </c>
      <c r="AH49" s="31" t="str" cm="1">
        <f t="array" aca="1" ref="AH49" ca="1">IF((AD49) &lt; (INDEX(ResponseSLA[#All],(MATCH((G49),ResponseSLA[Priority],0))+1,3)),"YES","No")</f>
        <v>YES</v>
      </c>
      <c r="AI49" s="31" t="str">
        <f ca="1">_xlfn.IFNA(IF(AE49 &lt; (INDEX(SLATable[Minimum SLA],MATCH(G49,SLATable[Priority],0))),"YES","NO"),"")</f>
        <v>YES</v>
      </c>
      <c r="AJ49" t="str">
        <f ca="1">_xlfn.IFNA(IF(AE49 &lt; (INDEX(SLATable[Maximum SLA],MATCH(G49,SLATable[Priority],0))),"YES","NO"),"")</f>
        <v>YES</v>
      </c>
    </row>
    <row r="50" spans="1:36" ht="15" customHeight="1">
      <c r="A50" s="45">
        <v>49</v>
      </c>
      <c r="B50" s="45" t="s">
        <v>26</v>
      </c>
      <c r="C50" s="45" t="s">
        <v>41</v>
      </c>
      <c r="D50" s="45" t="s">
        <v>207</v>
      </c>
      <c r="E50" s="45" t="s">
        <v>8225</v>
      </c>
      <c r="F50" s="45" t="s">
        <v>40</v>
      </c>
      <c r="G50" s="66">
        <v>4</v>
      </c>
      <c r="H50" s="45" t="s">
        <v>8226</v>
      </c>
      <c r="I50" s="45" t="s">
        <v>271</v>
      </c>
      <c r="J50" s="45" t="s">
        <v>8120</v>
      </c>
      <c r="K50" s="52">
        <v>46169.907025462962</v>
      </c>
      <c r="L50" s="52">
        <v>46170.408368055556</v>
      </c>
      <c r="M50" s="52">
        <v>46170.409942129627</v>
      </c>
      <c r="N50" s="52">
        <v>46170.412511574075</v>
      </c>
      <c r="Q50" s="45" t="s">
        <v>8191</v>
      </c>
      <c r="S50" s="45" t="s">
        <v>8122</v>
      </c>
      <c r="T50" s="45" t="s">
        <v>1519</v>
      </c>
      <c r="U50" s="45" t="s">
        <v>371</v>
      </c>
      <c r="Z50" s="76">
        <f t="shared" ca="1" si="8"/>
        <v>7.9178240741991091E-2</v>
      </c>
      <c r="AA50" s="75">
        <f t="shared" ca="1" si="1"/>
        <v>0.21114197531197623</v>
      </c>
      <c r="AB50" s="76">
        <f t="shared" ca="1" si="9"/>
        <v>4.1435185194131918E-3</v>
      </c>
      <c r="AC50" s="75">
        <f t="shared" ca="1" si="3"/>
        <v>1.1049382718435178E-2</v>
      </c>
      <c r="AD50" s="76">
        <f t="shared" ca="1" si="10"/>
        <v>1.5740740709588863E-3</v>
      </c>
      <c r="AE50" s="76">
        <f t="shared" ca="1" si="11"/>
        <v>4.1435185194131918E-3</v>
      </c>
      <c r="AF50" s="75">
        <f t="shared" ca="1" si="6"/>
        <v>1.1049382718435178E-2</v>
      </c>
      <c r="AG50" s="75">
        <f t="shared" ca="1" si="7"/>
        <v>1.1049382718435178E-2</v>
      </c>
      <c r="AH50" s="31" t="str" cm="1">
        <f t="array" aca="1" ref="AH50" ca="1">IF((AD50) &lt; (INDEX(ResponseSLA[#All],(MATCH((G50),ResponseSLA[Priority],0))+1,3)),"YES","No")</f>
        <v>YES</v>
      </c>
      <c r="AI50" s="31" t="str">
        <f ca="1">_xlfn.IFNA(IF(AE50 &lt; (INDEX(SLATable[Minimum SLA],MATCH(G50,SLATable[Priority],0))),"YES","NO"),"")</f>
        <v>YES</v>
      </c>
      <c r="AJ50" t="str">
        <f ca="1">_xlfn.IFNA(IF(AE50 &lt; (INDEX(SLATable[Maximum SLA],MATCH(G50,SLATable[Priority],0))),"YES","NO"),"")</f>
        <v>YES</v>
      </c>
    </row>
    <row r="51" spans="1:36" ht="15" customHeight="1">
      <c r="A51" s="45">
        <v>50</v>
      </c>
      <c r="B51" s="45" t="s">
        <v>26</v>
      </c>
      <c r="C51" s="45" t="s">
        <v>41</v>
      </c>
      <c r="D51" s="45" t="s">
        <v>207</v>
      </c>
      <c r="E51" s="45" t="s">
        <v>8227</v>
      </c>
      <c r="F51" s="45" t="s">
        <v>40</v>
      </c>
      <c r="G51" s="66">
        <v>4</v>
      </c>
      <c r="H51" s="45" t="s">
        <v>8228</v>
      </c>
      <c r="I51" s="45" t="s">
        <v>271</v>
      </c>
      <c r="J51" s="45" t="s">
        <v>8120</v>
      </c>
      <c r="K51" s="52">
        <v>46168.907256944447</v>
      </c>
      <c r="L51" s="52">
        <v>46170.417546296296</v>
      </c>
      <c r="M51" s="52">
        <v>46170.434074074074</v>
      </c>
      <c r="N51" s="52">
        <v>46170.434687499997</v>
      </c>
      <c r="Q51" s="45" t="s">
        <v>8191</v>
      </c>
      <c r="S51" s="45" t="s">
        <v>8122</v>
      </c>
      <c r="T51" s="45" t="s">
        <v>1519</v>
      </c>
      <c r="U51" s="45" t="s">
        <v>371</v>
      </c>
      <c r="Z51" s="76">
        <f t="shared" ca="1" si="8"/>
        <v>0.47635416666404728</v>
      </c>
      <c r="AA51" s="75">
        <f t="shared" ca="1" si="1"/>
        <v>1.2702777777707928</v>
      </c>
      <c r="AB51" s="76">
        <f t="shared" ca="1" si="9"/>
        <v>1.714120370161254E-2</v>
      </c>
      <c r="AC51" s="75">
        <f t="shared" ca="1" si="3"/>
        <v>4.5709876537633441E-2</v>
      </c>
      <c r="AD51" s="76">
        <f t="shared" ca="1" si="10"/>
        <v>1.6527777777810115E-2</v>
      </c>
      <c r="AE51" s="76">
        <f t="shared" ca="1" si="11"/>
        <v>1.714120370161254E-2</v>
      </c>
      <c r="AF51" s="75">
        <f t="shared" ca="1" si="6"/>
        <v>4.5709876537633441E-2</v>
      </c>
      <c r="AG51" s="75">
        <f t="shared" ca="1" si="7"/>
        <v>4.5709876537633441E-2</v>
      </c>
      <c r="AH51" s="31" t="str" cm="1">
        <f t="array" aca="1" ref="AH51" ca="1">IF((AD51) &lt; (INDEX(ResponseSLA[#All],(MATCH((G51),ResponseSLA[Priority],0))+1,3)),"YES","No")</f>
        <v>YES</v>
      </c>
      <c r="AI51" s="31" t="str">
        <f ca="1">_xlfn.IFNA(IF(AE51 &lt; (INDEX(SLATable[Minimum SLA],MATCH(G51,SLATable[Priority],0))),"YES","NO"),"")</f>
        <v>YES</v>
      </c>
      <c r="AJ51" t="str">
        <f ca="1">_xlfn.IFNA(IF(AE51 &lt; (INDEX(SLATable[Maximum SLA],MATCH(G51,SLATable[Priority],0))),"YES","NO"),"")</f>
        <v>YES</v>
      </c>
    </row>
    <row r="52" spans="1:36" ht="15" customHeight="1">
      <c r="A52" s="45">
        <v>51</v>
      </c>
      <c r="B52" s="45" t="s">
        <v>26</v>
      </c>
      <c r="C52" s="45" t="s">
        <v>41</v>
      </c>
      <c r="D52" s="45" t="s">
        <v>207</v>
      </c>
      <c r="E52" s="45" t="s">
        <v>8229</v>
      </c>
      <c r="F52" s="45" t="s">
        <v>40</v>
      </c>
      <c r="G52" s="66">
        <v>3</v>
      </c>
      <c r="H52" s="45" t="s">
        <v>8230</v>
      </c>
      <c r="I52" s="45" t="s">
        <v>271</v>
      </c>
      <c r="J52" s="45" t="s">
        <v>8190</v>
      </c>
      <c r="K52" s="52">
        <v>46162.733541666668</v>
      </c>
      <c r="L52" s="47">
        <v>46162.733541666668</v>
      </c>
      <c r="M52" s="52">
        <v>46163.266284722224</v>
      </c>
      <c r="N52" s="52">
        <v>46171.22519675926</v>
      </c>
      <c r="O52" s="52">
        <v>46163.266597222224</v>
      </c>
      <c r="P52" s="47">
        <v>46171.22519675926</v>
      </c>
      <c r="Q52" s="45" t="s">
        <v>8231</v>
      </c>
      <c r="S52" s="45" t="s">
        <v>190</v>
      </c>
      <c r="T52" s="45" t="s">
        <v>268</v>
      </c>
      <c r="U52" s="45" t="s">
        <v>371</v>
      </c>
      <c r="Z52" s="76">
        <f t="shared" ca="1" si="8"/>
        <v>2.2204460492503131E-16</v>
      </c>
      <c r="AA52" s="75">
        <f t="shared" ca="1" si="1"/>
        <v>5.9211894646675012E-16</v>
      </c>
      <c r="AB52" s="76">
        <f t="shared" ca="1" si="9"/>
        <v>2.2204460492503131E-16</v>
      </c>
      <c r="AC52" s="75">
        <f t="shared" ca="1" si="3"/>
        <v>5.9211894646675012E-16</v>
      </c>
      <c r="AD52" s="76">
        <f t="shared" ca="1" si="10"/>
        <v>0</v>
      </c>
      <c r="AE52" s="76">
        <f t="shared" ca="1" si="11"/>
        <v>2.2204460492503131E-16</v>
      </c>
      <c r="AF52" s="75">
        <f t="shared" ca="1" si="6"/>
        <v>5.9211894646675012E-16</v>
      </c>
      <c r="AG52" s="75">
        <f t="shared" ca="1" si="7"/>
        <v>5.9211894646675012E-16</v>
      </c>
      <c r="AH52" s="31" t="str" cm="1">
        <f t="array" aca="1" ref="AH52" ca="1">IF((AD52) &lt; (INDEX(ResponseSLA[#All],(MATCH((G52),ResponseSLA[Priority],0))+1,3)),"YES","No")</f>
        <v>YES</v>
      </c>
      <c r="AI52" s="31" t="str">
        <f ca="1">_xlfn.IFNA(IF(AE52 &lt; (INDEX(SLATable[Minimum SLA],MATCH(G52,SLATable[Priority],0))),"YES","NO"),"")</f>
        <v>YES</v>
      </c>
      <c r="AJ52" t="str">
        <f ca="1">_xlfn.IFNA(IF(AE52 &lt; (INDEX(SLATable[Maximum SLA],MATCH(G52,SLATable[Priority],0))),"YES","NO"),"")</f>
        <v>YES</v>
      </c>
    </row>
    <row r="53" spans="1:36" ht="15" customHeight="1">
      <c r="A53" s="45">
        <v>52</v>
      </c>
      <c r="B53" s="45" t="s">
        <v>26</v>
      </c>
      <c r="C53" s="45" t="s">
        <v>41</v>
      </c>
      <c r="D53" s="45" t="s">
        <v>207</v>
      </c>
      <c r="E53" s="45" t="s">
        <v>8232</v>
      </c>
      <c r="F53" s="45" t="s">
        <v>40</v>
      </c>
      <c r="G53" s="66">
        <v>4</v>
      </c>
      <c r="H53" s="45" t="s">
        <v>8233</v>
      </c>
      <c r="I53" s="45" t="s">
        <v>271</v>
      </c>
      <c r="J53" s="45" t="s">
        <v>8120</v>
      </c>
      <c r="K53" s="52">
        <v>46170.907870370371</v>
      </c>
      <c r="L53" s="52">
        <v>46171.158773148149</v>
      </c>
      <c r="M53" s="52">
        <v>46171.284143518518</v>
      </c>
      <c r="N53" s="52">
        <v>46171.285266203704</v>
      </c>
      <c r="Q53" s="45" t="s">
        <v>8191</v>
      </c>
      <c r="S53" s="45" t="s">
        <v>8122</v>
      </c>
      <c r="T53" s="45" t="s">
        <v>1519</v>
      </c>
      <c r="U53" s="45" t="s">
        <v>371</v>
      </c>
      <c r="Z53" s="76">
        <f t="shared" ca="1" si="8"/>
        <v>0</v>
      </c>
      <c r="AA53" s="75">
        <f t="shared" ca="1" si="1"/>
        <v>0</v>
      </c>
      <c r="AB53" s="76">
        <f t="shared" ca="1" si="9"/>
        <v>0</v>
      </c>
      <c r="AC53" s="75">
        <f t="shared" ca="1" si="3"/>
        <v>0</v>
      </c>
      <c r="AD53" s="76">
        <f t="shared" ca="1" si="10"/>
        <v>0</v>
      </c>
      <c r="AE53" s="76">
        <f t="shared" ca="1" si="11"/>
        <v>0</v>
      </c>
      <c r="AF53" s="75">
        <f t="shared" ca="1" si="6"/>
        <v>0</v>
      </c>
      <c r="AG53" s="75">
        <f t="shared" ca="1" si="7"/>
        <v>0</v>
      </c>
      <c r="AH53" s="31" t="str" cm="1">
        <f t="array" aca="1" ref="AH53" ca="1">IF((AD53) &lt; (INDEX(ResponseSLA[#All],(MATCH((G53),ResponseSLA[Priority],0))+1,3)),"YES","No")</f>
        <v>YES</v>
      </c>
      <c r="AI53" s="31" t="str">
        <f ca="1">_xlfn.IFNA(IF(AE53 &lt; (INDEX(SLATable[Minimum SLA],MATCH(G53,SLATable[Priority],0))),"YES","NO"),"")</f>
        <v>YES</v>
      </c>
      <c r="AJ53" t="str">
        <f ca="1">_xlfn.IFNA(IF(AE53 &lt; (INDEX(SLATable[Maximum SLA],MATCH(G53,SLATable[Priority],0))),"YES","NO"),"")</f>
        <v>YES</v>
      </c>
    </row>
    <row r="54" spans="1:36" ht="15" customHeight="1">
      <c r="A54" s="45">
        <v>53</v>
      </c>
      <c r="B54" s="45" t="s">
        <v>26</v>
      </c>
      <c r="C54" s="45" t="s">
        <v>41</v>
      </c>
      <c r="D54" s="45" t="s">
        <v>207</v>
      </c>
      <c r="E54" s="45" t="s">
        <v>8234</v>
      </c>
      <c r="F54" s="45" t="s">
        <v>40</v>
      </c>
      <c r="G54" s="66">
        <v>4</v>
      </c>
      <c r="H54" s="45" t="s">
        <v>8235</v>
      </c>
      <c r="I54" s="45" t="s">
        <v>271</v>
      </c>
      <c r="J54" s="45" t="s">
        <v>8120</v>
      </c>
      <c r="K54" s="52">
        <v>46171.170937499999</v>
      </c>
      <c r="L54" s="52">
        <v>46171.170937499999</v>
      </c>
      <c r="M54" s="52">
        <v>46171.287037037036</v>
      </c>
      <c r="N54" s="52">
        <v>46171.288321759261</v>
      </c>
      <c r="Q54" s="45" t="s">
        <v>8191</v>
      </c>
      <c r="S54" s="45" t="s">
        <v>8122</v>
      </c>
      <c r="T54" s="45" t="s">
        <v>1519</v>
      </c>
      <c r="U54" s="45" t="s">
        <v>371</v>
      </c>
      <c r="Z54" s="76">
        <f t="shared" ca="1" si="8"/>
        <v>0</v>
      </c>
      <c r="AA54" s="75">
        <f t="shared" ca="1" si="1"/>
        <v>0</v>
      </c>
      <c r="AB54" s="76">
        <f t="shared" ca="1" si="9"/>
        <v>0</v>
      </c>
      <c r="AC54" s="75">
        <f t="shared" ca="1" si="3"/>
        <v>0</v>
      </c>
      <c r="AD54" s="76">
        <f t="shared" ca="1" si="10"/>
        <v>0</v>
      </c>
      <c r="AE54" s="76">
        <f t="shared" ca="1" si="11"/>
        <v>0</v>
      </c>
      <c r="AF54" s="75">
        <f t="shared" ca="1" si="6"/>
        <v>0</v>
      </c>
      <c r="AG54" s="75">
        <f t="shared" ca="1" si="7"/>
        <v>0</v>
      </c>
      <c r="AH54" s="31" t="str" cm="1">
        <f t="array" aca="1" ref="AH54" ca="1">IF((AD54) &lt; (INDEX(ResponseSLA[#All],(MATCH((G54),ResponseSLA[Priority],0))+1,3)),"YES","No")</f>
        <v>YES</v>
      </c>
      <c r="AI54" s="31" t="str">
        <f ca="1">_xlfn.IFNA(IF(AE54 &lt; (INDEX(SLATable[Minimum SLA],MATCH(G54,SLATable[Priority],0))),"YES","NO"),"")</f>
        <v>YES</v>
      </c>
      <c r="AJ54" t="str">
        <f ca="1">_xlfn.IFNA(IF(AE54 &lt; (INDEX(SLATable[Maximum SLA],MATCH(G54,SLATable[Priority],0))),"YES","NO"),"")</f>
        <v>YES</v>
      </c>
    </row>
    <row r="55" spans="1:36" ht="15" customHeight="1">
      <c r="A55" s="45">
        <v>54</v>
      </c>
      <c r="B55" s="45" t="s">
        <v>26</v>
      </c>
      <c r="C55" s="45" t="s">
        <v>41</v>
      </c>
      <c r="D55" s="45" t="s">
        <v>208</v>
      </c>
      <c r="E55" s="45" t="s">
        <v>8236</v>
      </c>
      <c r="F55" s="45" t="s">
        <v>40</v>
      </c>
      <c r="G55" s="66" t="s">
        <v>208</v>
      </c>
      <c r="H55" s="45" t="s">
        <v>8237</v>
      </c>
      <c r="I55" s="45" t="s">
        <v>266</v>
      </c>
      <c r="J55" s="45" t="s">
        <v>8177</v>
      </c>
      <c r="K55" s="47">
        <v>46155.549872685187</v>
      </c>
      <c r="L55" s="47">
        <v>46155.549872685187</v>
      </c>
      <c r="M55" s="47">
        <v>46156.28701388889</v>
      </c>
      <c r="O55" s="47">
        <v>46161.303668981483</v>
      </c>
      <c r="Z55" s="76">
        <f t="shared" ca="1" si="8"/>
        <v>27.459102430555507</v>
      </c>
      <c r="AA55" s="75">
        <f t="shared" ca="1" si="1"/>
        <v>73.224273148148029</v>
      </c>
      <c r="AB55" s="76">
        <f t="shared" ca="1" si="9"/>
        <v>1.2834606481458954</v>
      </c>
      <c r="AC55" s="75">
        <f t="shared" ca="1" si="3"/>
        <v>3.4225617283890544</v>
      </c>
      <c r="AD55" s="76">
        <f t="shared" ca="1" si="10"/>
        <v>0.15846064814589533</v>
      </c>
      <c r="AE55" s="76">
        <f t="shared" ca="1" si="11"/>
        <v>1.2834606481458954</v>
      </c>
      <c r="AF55" s="75">
        <f t="shared" ca="1" si="6"/>
        <v>3.4225617283890544</v>
      </c>
      <c r="AG55" s="75">
        <f t="shared" ca="1" si="7"/>
        <v>3.4225617283890544</v>
      </c>
      <c r="AH55" s="31" t="str" cm="1">
        <f t="array" aca="1" ref="AH55" ca="1">IF((AD55) &lt; (INDEX(ResponseSLA[#All],(MATCH((G55),ResponseSLA[Priority],0))+1,3)),"YES","No")</f>
        <v>YES</v>
      </c>
      <c r="AI55" s="31" t="str">
        <f ca="1">_xlfn.IFNA(IF(AE55 &lt; (INDEX(SLATable[Minimum SLA],MATCH(G55,SLATable[Priority],0))),"YES","NO"),"")</f>
        <v>NO</v>
      </c>
      <c r="AJ55" t="str">
        <f ca="1">_xlfn.IFNA(IF(AE55 &lt; (INDEX(SLATable[Maximum SLA],MATCH(G55,SLATable[Priority],0))),"YES","NO"),"")</f>
        <v>NO</v>
      </c>
    </row>
    <row r="56" spans="1:36" ht="15" customHeight="1">
      <c r="A56" s="45">
        <v>55</v>
      </c>
      <c r="B56" s="45" t="s">
        <v>26</v>
      </c>
      <c r="C56" s="45" t="s">
        <v>41</v>
      </c>
      <c r="D56" s="45" t="s">
        <v>208</v>
      </c>
      <c r="E56" s="45" t="s">
        <v>8238</v>
      </c>
      <c r="F56" s="45" t="s">
        <v>40</v>
      </c>
      <c r="G56" s="66" t="s">
        <v>208</v>
      </c>
      <c r="H56" s="45" t="s">
        <v>8189</v>
      </c>
      <c r="I56" s="45" t="s">
        <v>271</v>
      </c>
      <c r="J56" s="45" t="s">
        <v>8199</v>
      </c>
      <c r="K56" s="47">
        <v>46162.287662037037</v>
      </c>
      <c r="L56" s="47">
        <v>46162.287662037037</v>
      </c>
      <c r="M56" s="47">
        <v>46162.318518518521</v>
      </c>
      <c r="N56" s="147">
        <v>46185.298831018517</v>
      </c>
      <c r="Q56" s="45" t="s">
        <v>8191</v>
      </c>
      <c r="S56" s="45" t="s">
        <v>8122</v>
      </c>
      <c r="T56" s="45" t="s">
        <v>334</v>
      </c>
      <c r="U56" s="45" t="s">
        <v>371</v>
      </c>
      <c r="Z56" s="76">
        <f t="shared" ca="1" si="8"/>
        <v>6.0000000000000009</v>
      </c>
      <c r="AA56" s="75">
        <f t="shared" ca="1" si="1"/>
        <v>16.000000000000004</v>
      </c>
      <c r="AB56" s="76">
        <f t="shared" ca="1" si="9"/>
        <v>6.0000000000000009</v>
      </c>
      <c r="AC56" s="75">
        <f t="shared" ca="1" si="3"/>
        <v>16.000000000000004</v>
      </c>
      <c r="AD56" s="76">
        <f t="shared" ca="1" si="10"/>
        <v>0</v>
      </c>
      <c r="AE56" s="76">
        <f t="shared" ca="1" si="11"/>
        <v>6.0000000000000009</v>
      </c>
      <c r="AF56" s="75">
        <f t="shared" ca="1" si="6"/>
        <v>16.000000000000004</v>
      </c>
      <c r="AG56" s="75">
        <f t="shared" ca="1" si="7"/>
        <v>16.000000000000004</v>
      </c>
      <c r="AH56" s="31" t="str" cm="1">
        <f t="array" aca="1" ref="AH56" ca="1">IF((AD56) &lt; (INDEX(ResponseSLA[#All],(MATCH((G56),ResponseSLA[Priority],0))+1,3)),"YES","No")</f>
        <v>YES</v>
      </c>
      <c r="AI56" s="31" t="str">
        <f ca="1">_xlfn.IFNA(IF(AE56 &lt; (INDEX(SLATable[Minimum SLA],MATCH(G56,SLATable[Priority],0))),"YES","NO"),"")</f>
        <v>NO</v>
      </c>
      <c r="AJ56" t="str">
        <f ca="1">_xlfn.IFNA(IF(AE56 &lt; (INDEX(SLATable[Maximum SLA],MATCH(G56,SLATable[Priority],0))),"YES","NO"),"")</f>
        <v>NO</v>
      </c>
    </row>
    <row r="57" spans="1:36" ht="15" customHeight="1">
      <c r="A57" s="45">
        <v>56</v>
      </c>
      <c r="B57" s="45" t="s">
        <v>26</v>
      </c>
      <c r="C57" s="45" t="s">
        <v>41</v>
      </c>
      <c r="D57" s="45" t="s">
        <v>208</v>
      </c>
      <c r="E57" s="45" t="s">
        <v>8239</v>
      </c>
      <c r="F57" s="45" t="s">
        <v>40</v>
      </c>
      <c r="G57" s="66" t="s">
        <v>208</v>
      </c>
      <c r="H57" s="45" t="s">
        <v>8240</v>
      </c>
      <c r="I57" s="45" t="s">
        <v>271</v>
      </c>
      <c r="J57" s="45" t="s">
        <v>8190</v>
      </c>
      <c r="K57" s="47">
        <v>46160.261874999997</v>
      </c>
      <c r="L57" s="47">
        <v>46170.198506944442</v>
      </c>
      <c r="M57" s="47">
        <v>46170.263124999998</v>
      </c>
      <c r="N57" s="147">
        <v>46205.506678240738</v>
      </c>
      <c r="Q57" s="45" t="s">
        <v>8241</v>
      </c>
      <c r="S57" s="45" t="s">
        <v>8122</v>
      </c>
      <c r="U57" s="45" t="s">
        <v>371</v>
      </c>
      <c r="Z57" s="76">
        <f t="shared" ca="1" si="8"/>
        <v>12.173344907404196</v>
      </c>
      <c r="AA57" s="75">
        <f t="shared" ca="1" si="1"/>
        <v>32.462253086411188</v>
      </c>
      <c r="AB57" s="76">
        <f t="shared" ca="1" si="9"/>
        <v>9.5483449074041964</v>
      </c>
      <c r="AC57" s="75">
        <f t="shared" ca="1" si="3"/>
        <v>25.462253086411192</v>
      </c>
      <c r="AD57" s="76">
        <f t="shared" ca="1" si="10"/>
        <v>0</v>
      </c>
      <c r="AE57" s="76">
        <f t="shared" ca="1" si="11"/>
        <v>9.5483449074041964</v>
      </c>
      <c r="AF57" s="75">
        <f t="shared" ca="1" si="6"/>
        <v>25.462253086411192</v>
      </c>
      <c r="AG57" s="75">
        <f t="shared" ca="1" si="7"/>
        <v>25.462253086411192</v>
      </c>
      <c r="AH57" s="31" t="str" cm="1">
        <f t="array" aca="1" ref="AH57" ca="1">IF((AD57) &lt; (INDEX(ResponseSLA[#All],(MATCH((G57),ResponseSLA[Priority],0))+1,3)),"YES","No")</f>
        <v>YES</v>
      </c>
      <c r="AI57" s="31" t="str">
        <f ca="1">_xlfn.IFNA(IF(AE57 &lt; (INDEX(SLATable[Minimum SLA],MATCH(G57,SLATable[Priority],0))),"YES","NO"),"")</f>
        <v>NO</v>
      </c>
      <c r="AJ57" t="str">
        <f ca="1">_xlfn.IFNA(IF(AE57 &lt; (INDEX(SLATable[Maximum SLA],MATCH(G57,SLATable[Priority],0))),"YES","NO"),"")</f>
        <v>NO</v>
      </c>
    </row>
    <row r="58" spans="1:36" ht="15" customHeight="1">
      <c r="A58" s="45">
        <v>57</v>
      </c>
      <c r="B58" s="45" t="s">
        <v>26</v>
      </c>
      <c r="C58" s="45" t="s">
        <v>41</v>
      </c>
      <c r="D58" s="45" t="s">
        <v>207</v>
      </c>
      <c r="E58" s="45" t="s">
        <v>8242</v>
      </c>
      <c r="F58" s="45" t="s">
        <v>40</v>
      </c>
      <c r="G58" s="66">
        <v>4</v>
      </c>
      <c r="H58" s="45" t="s">
        <v>8243</v>
      </c>
      <c r="I58" s="45" t="s">
        <v>271</v>
      </c>
      <c r="J58" s="45" t="s">
        <v>8120</v>
      </c>
      <c r="K58" s="47">
        <v>46171.171041666668</v>
      </c>
      <c r="L58" s="52">
        <v>46174.184907407405</v>
      </c>
      <c r="M58" s="52">
        <v>46174.27579861111</v>
      </c>
      <c r="N58" s="52">
        <v>46174.280636574076</v>
      </c>
      <c r="Q58" s="45" t="s">
        <v>8191</v>
      </c>
      <c r="S58" s="45" t="s">
        <v>8122</v>
      </c>
      <c r="T58" s="45" t="s">
        <v>1519</v>
      </c>
      <c r="U58" s="45" t="s">
        <v>371</v>
      </c>
      <c r="Z58" s="76">
        <f t="shared" ca="1" si="8"/>
        <v>0.37500000000000006</v>
      </c>
      <c r="AA58" s="75">
        <f t="shared" ca="1" si="1"/>
        <v>1.0000000000000002</v>
      </c>
      <c r="AB58" s="76">
        <f t="shared" ca="1" si="9"/>
        <v>0</v>
      </c>
      <c r="AC58" s="75">
        <f t="shared" ca="1" si="3"/>
        <v>0</v>
      </c>
      <c r="AD58" s="76">
        <f t="shared" ca="1" si="10"/>
        <v>0</v>
      </c>
      <c r="AE58" s="76">
        <f t="shared" ca="1" si="11"/>
        <v>0</v>
      </c>
      <c r="AF58" s="75">
        <f t="shared" ca="1" si="6"/>
        <v>0</v>
      </c>
      <c r="AG58" s="75">
        <f t="shared" ca="1" si="7"/>
        <v>0</v>
      </c>
      <c r="AH58" s="31" t="str" cm="1">
        <f t="array" aca="1" ref="AH58" ca="1">IF((AD58) &lt; (INDEX(ResponseSLA[#All],(MATCH((G58),ResponseSLA[Priority],0))+1,3)),"YES","No")</f>
        <v>YES</v>
      </c>
      <c r="AI58" s="31" t="str">
        <f ca="1">_xlfn.IFNA(IF(AE58 &lt; (INDEX(SLATable[Minimum SLA],MATCH(G58,SLATable[Priority],0))),"YES","NO"),"")</f>
        <v>YES</v>
      </c>
      <c r="AJ58" t="str">
        <f ca="1">_xlfn.IFNA(IF(AE58 &lt; (INDEX(SLATable[Maximum SLA],MATCH(G58,SLATable[Priority],0))),"YES","NO"),"")</f>
        <v>YES</v>
      </c>
    </row>
    <row r="59" spans="1:36" ht="15" customHeight="1">
      <c r="A59" s="45">
        <v>58</v>
      </c>
      <c r="B59" s="45" t="s">
        <v>26</v>
      </c>
      <c r="C59" s="45" t="s">
        <v>41</v>
      </c>
      <c r="D59" s="45" t="s">
        <v>207</v>
      </c>
      <c r="E59" s="45" t="s">
        <v>8244</v>
      </c>
      <c r="F59" s="45" t="s">
        <v>40</v>
      </c>
      <c r="G59" s="66">
        <v>4</v>
      </c>
      <c r="H59" s="45" t="s">
        <v>8245</v>
      </c>
      <c r="I59" s="45" t="s">
        <v>271</v>
      </c>
      <c r="J59" s="45" t="s">
        <v>8120</v>
      </c>
      <c r="K59" s="52">
        <v>46171.901701388888</v>
      </c>
      <c r="L59" s="52">
        <v>46171.901701388888</v>
      </c>
      <c r="M59" s="52">
        <v>46174.284050925926</v>
      </c>
      <c r="N59" s="52">
        <v>46174.285937499997</v>
      </c>
      <c r="Q59" s="45" t="s">
        <v>8191</v>
      </c>
      <c r="S59" s="45" t="s">
        <v>8122</v>
      </c>
      <c r="T59" s="45" t="s">
        <v>1519</v>
      </c>
      <c r="U59" s="45" t="s">
        <v>371</v>
      </c>
      <c r="Z59" s="76">
        <f t="shared" ca="1" si="8"/>
        <v>0</v>
      </c>
      <c r="AA59" s="75">
        <f t="shared" ca="1" si="1"/>
        <v>0</v>
      </c>
      <c r="AB59" s="76">
        <f t="shared" ca="1" si="9"/>
        <v>0</v>
      </c>
      <c r="AC59" s="75">
        <f t="shared" ca="1" si="3"/>
        <v>0</v>
      </c>
      <c r="AD59" s="76">
        <f t="shared" ca="1" si="10"/>
        <v>0</v>
      </c>
      <c r="AE59" s="76">
        <f t="shared" ca="1" si="11"/>
        <v>0</v>
      </c>
      <c r="AF59" s="75">
        <f t="shared" ca="1" si="6"/>
        <v>0</v>
      </c>
      <c r="AG59" s="75">
        <f t="shared" ca="1" si="7"/>
        <v>0</v>
      </c>
      <c r="AH59" s="31" t="str" cm="1">
        <f t="array" aca="1" ref="AH59" ca="1">IF((AD59) &lt; (INDEX(ResponseSLA[#All],(MATCH((G59),ResponseSLA[Priority],0))+1,3)),"YES","No")</f>
        <v>YES</v>
      </c>
      <c r="AI59" s="31" t="str">
        <f ca="1">_xlfn.IFNA(IF(AE59 &lt; (INDEX(SLATable[Minimum SLA],MATCH(G59,SLATable[Priority],0))),"YES","NO"),"")</f>
        <v>YES</v>
      </c>
      <c r="AJ59" t="str">
        <f ca="1">_xlfn.IFNA(IF(AE59 &lt; (INDEX(SLATable[Maximum SLA],MATCH(G59,SLATable[Priority],0))),"YES","NO"),"")</f>
        <v>YES</v>
      </c>
    </row>
    <row r="60" spans="1:36" ht="15" customHeight="1">
      <c r="A60" s="45">
        <v>59</v>
      </c>
      <c r="B60" s="45" t="s">
        <v>26</v>
      </c>
      <c r="C60" s="45" t="s">
        <v>41</v>
      </c>
      <c r="D60" s="45" t="s">
        <v>207</v>
      </c>
      <c r="E60" s="45" t="s">
        <v>8246</v>
      </c>
      <c r="F60" s="45" t="s">
        <v>40</v>
      </c>
      <c r="G60" s="66">
        <v>4</v>
      </c>
      <c r="H60" s="45" t="s">
        <v>8247</v>
      </c>
      <c r="I60" s="45" t="s">
        <v>271</v>
      </c>
      <c r="J60" s="45" t="s">
        <v>8120</v>
      </c>
      <c r="K60" s="52">
        <v>46173.175358796296</v>
      </c>
      <c r="L60" s="52">
        <v>46173.196099537039</v>
      </c>
      <c r="M60" s="52">
        <v>46174.288252314815</v>
      </c>
      <c r="N60" s="52">
        <v>46174.288634259261</v>
      </c>
      <c r="Q60" s="45" t="s">
        <v>8191</v>
      </c>
      <c r="S60" s="45" t="s">
        <v>8122</v>
      </c>
      <c r="T60" s="45" t="s">
        <v>1519</v>
      </c>
      <c r="U60" s="45" t="s">
        <v>371</v>
      </c>
      <c r="Z60" s="76">
        <f t="shared" ca="1" si="8"/>
        <v>0</v>
      </c>
      <c r="AA60" s="75">
        <f t="shared" ca="1" si="1"/>
        <v>0</v>
      </c>
      <c r="AB60" s="76">
        <f t="shared" ca="1" si="9"/>
        <v>0</v>
      </c>
      <c r="AC60" s="75">
        <f t="shared" ca="1" si="3"/>
        <v>0</v>
      </c>
      <c r="AD60" s="76">
        <f t="shared" ca="1" si="10"/>
        <v>0</v>
      </c>
      <c r="AE60" s="76">
        <f t="shared" ca="1" si="11"/>
        <v>0</v>
      </c>
      <c r="AF60" s="75">
        <f t="shared" ca="1" si="6"/>
        <v>0</v>
      </c>
      <c r="AG60" s="75">
        <f t="shared" ca="1" si="7"/>
        <v>0</v>
      </c>
      <c r="AH60" s="31" t="str" cm="1">
        <f t="array" aca="1" ref="AH60" ca="1">IF((AD60) &lt; (INDEX(ResponseSLA[#All],(MATCH((G60),ResponseSLA[Priority],0))+1,3)),"YES","No")</f>
        <v>YES</v>
      </c>
      <c r="AI60" s="31" t="str">
        <f ca="1">_xlfn.IFNA(IF(AE60 &lt; (INDEX(SLATable[Minimum SLA],MATCH(G60,SLATable[Priority],0))),"YES","NO"),"")</f>
        <v>YES</v>
      </c>
      <c r="AJ60" t="str">
        <f ca="1">_xlfn.IFNA(IF(AE60 &lt; (INDEX(SLATable[Maximum SLA],MATCH(G60,SLATable[Priority],0))),"YES","NO"),"")</f>
        <v>YES</v>
      </c>
    </row>
    <row r="61" spans="1:36" ht="15" customHeight="1">
      <c r="A61" s="45">
        <v>60</v>
      </c>
      <c r="B61" s="45" t="s">
        <v>26</v>
      </c>
      <c r="C61" s="45" t="s">
        <v>41</v>
      </c>
      <c r="D61" s="45" t="s">
        <v>207</v>
      </c>
      <c r="E61" s="45" t="s">
        <v>8248</v>
      </c>
      <c r="F61" s="45" t="s">
        <v>40</v>
      </c>
      <c r="G61" s="66">
        <v>4</v>
      </c>
      <c r="H61" s="45" t="s">
        <v>8249</v>
      </c>
      <c r="I61" s="45" t="s">
        <v>271</v>
      </c>
      <c r="J61" s="45" t="s">
        <v>8120</v>
      </c>
      <c r="K61" s="52">
        <v>46169.907268518517</v>
      </c>
      <c r="L61" s="52">
        <v>46174.359861111108</v>
      </c>
      <c r="M61" s="52">
        <v>46174.387048611112</v>
      </c>
      <c r="N61" s="147">
        <v>46174.388368055559</v>
      </c>
      <c r="Q61" s="45" t="s">
        <v>8191</v>
      </c>
      <c r="S61" s="45" t="s">
        <v>8122</v>
      </c>
      <c r="T61" s="45" t="s">
        <v>1519</v>
      </c>
      <c r="U61" s="45" t="s">
        <v>371</v>
      </c>
      <c r="Z61" s="76">
        <f t="shared" ca="1" si="8"/>
        <v>0.80503472222577954</v>
      </c>
      <c r="AA61" s="75">
        <f t="shared" ca="1" si="1"/>
        <v>2.1467592592687454</v>
      </c>
      <c r="AB61" s="76">
        <f t="shared" ca="1" si="9"/>
        <v>2.8506944450782612E-2</v>
      </c>
      <c r="AC61" s="75">
        <f t="shared" ca="1" si="3"/>
        <v>7.6018518535420299E-2</v>
      </c>
      <c r="AD61" s="76">
        <f t="shared" ca="1" si="10"/>
        <v>2.718750000349246E-2</v>
      </c>
      <c r="AE61" s="76">
        <f t="shared" ca="1" si="11"/>
        <v>2.8506944450782612E-2</v>
      </c>
      <c r="AF61" s="75">
        <f t="shared" ca="1" si="6"/>
        <v>7.6018518535420299E-2</v>
      </c>
      <c r="AG61" s="75">
        <f t="shared" ca="1" si="7"/>
        <v>7.6018518535420299E-2</v>
      </c>
      <c r="AH61" s="31" t="str" cm="1">
        <f t="array" aca="1" ref="AH61" ca="1">IF((AD61) &lt; (INDEX(ResponseSLA[#All],(MATCH((G61),ResponseSLA[Priority],0))+1,3)),"YES","No")</f>
        <v>YES</v>
      </c>
      <c r="AI61" s="31" t="str">
        <f ca="1">_xlfn.IFNA(IF(AE61 &lt; (INDEX(SLATable[Minimum SLA],MATCH(G61,SLATable[Priority],0))),"YES","NO"),"")</f>
        <v>YES</v>
      </c>
      <c r="AJ61" t="str">
        <f ca="1">_xlfn.IFNA(IF(AE61 &lt; (INDEX(SLATable[Maximum SLA],MATCH(G61,SLATable[Priority],0))),"YES","NO"),"")</f>
        <v>YES</v>
      </c>
    </row>
    <row r="62" spans="1:36" ht="15" customHeight="1">
      <c r="A62" s="45">
        <v>61</v>
      </c>
      <c r="B62" s="45" t="s">
        <v>26</v>
      </c>
      <c r="C62" s="45" t="s">
        <v>41</v>
      </c>
      <c r="D62" s="45" t="s">
        <v>207</v>
      </c>
      <c r="E62" s="45" t="s">
        <v>8250</v>
      </c>
      <c r="F62" s="45" t="s">
        <v>40</v>
      </c>
      <c r="G62" s="66">
        <v>4</v>
      </c>
      <c r="H62" s="45" t="s">
        <v>8251</v>
      </c>
      <c r="I62" s="45" t="s">
        <v>271</v>
      </c>
      <c r="J62" s="45" t="s">
        <v>8120</v>
      </c>
      <c r="K62" s="52">
        <v>46174.909166666665</v>
      </c>
      <c r="L62" s="52">
        <v>46174.909166666665</v>
      </c>
      <c r="M62" s="52">
        <v>46175.258472222224</v>
      </c>
      <c r="N62" s="52">
        <v>46175.259976851848</v>
      </c>
      <c r="Q62" s="45" t="s">
        <v>8191</v>
      </c>
      <c r="S62" s="45" t="s">
        <v>8122</v>
      </c>
      <c r="T62" s="45" t="s">
        <v>1519</v>
      </c>
      <c r="U62" s="45" t="s">
        <v>371</v>
      </c>
      <c r="Z62" s="76">
        <f t="shared" ca="1" si="8"/>
        <v>0</v>
      </c>
      <c r="AA62" s="75">
        <f t="shared" ca="1" si="1"/>
        <v>0</v>
      </c>
      <c r="AB62" s="76">
        <f t="shared" ca="1" si="9"/>
        <v>0</v>
      </c>
      <c r="AC62" s="75">
        <f t="shared" ca="1" si="3"/>
        <v>0</v>
      </c>
      <c r="AD62" s="76">
        <f t="shared" ca="1" si="10"/>
        <v>0</v>
      </c>
      <c r="AE62" s="76">
        <f t="shared" ca="1" si="11"/>
        <v>0</v>
      </c>
      <c r="AF62" s="75">
        <f t="shared" ca="1" si="6"/>
        <v>0</v>
      </c>
      <c r="AG62" s="75">
        <f t="shared" ca="1" si="7"/>
        <v>0</v>
      </c>
      <c r="AH62" s="31" t="str" cm="1">
        <f t="array" aca="1" ref="AH62" ca="1">IF((AD62) &lt; (INDEX(ResponseSLA[#All],(MATCH((G62),ResponseSLA[Priority],0))+1,3)),"YES","No")</f>
        <v>YES</v>
      </c>
      <c r="AI62" s="31" t="str">
        <f ca="1">_xlfn.IFNA(IF(AE62 &lt; (INDEX(SLATable[Minimum SLA],MATCH(G62,SLATable[Priority],0))),"YES","NO"),"")</f>
        <v>YES</v>
      </c>
      <c r="AJ62" t="str">
        <f ca="1">_xlfn.IFNA(IF(AE62 &lt; (INDEX(SLATable[Maximum SLA],MATCH(G62,SLATable[Priority],0))),"YES","NO"),"")</f>
        <v>YES</v>
      </c>
    </row>
    <row r="63" spans="1:36" ht="15" customHeight="1">
      <c r="A63" s="45">
        <v>62</v>
      </c>
      <c r="B63" s="45" t="s">
        <v>26</v>
      </c>
      <c r="C63" s="45" t="s">
        <v>41</v>
      </c>
      <c r="D63" s="45" t="s">
        <v>207</v>
      </c>
      <c r="E63" s="45" t="s">
        <v>8252</v>
      </c>
      <c r="F63" s="45" t="s">
        <v>40</v>
      </c>
      <c r="G63" s="66">
        <v>4</v>
      </c>
      <c r="H63" s="45" t="s">
        <v>8253</v>
      </c>
      <c r="I63" s="45" t="s">
        <v>271</v>
      </c>
      <c r="J63" s="45" t="s">
        <v>8120</v>
      </c>
      <c r="K63" s="52">
        <v>46175.176203703704</v>
      </c>
      <c r="L63" s="52">
        <v>46175.196967592594</v>
      </c>
      <c r="M63" s="52">
        <v>46175.262280092589</v>
      </c>
      <c r="N63" s="52">
        <v>46175.263171296298</v>
      </c>
      <c r="Q63" s="45" t="s">
        <v>8191</v>
      </c>
      <c r="S63" s="45" t="s">
        <v>8122</v>
      </c>
      <c r="T63" s="45" t="s">
        <v>1519</v>
      </c>
      <c r="U63" s="45" t="s">
        <v>371</v>
      </c>
      <c r="Z63" s="76">
        <f t="shared" ca="1" si="8"/>
        <v>0</v>
      </c>
      <c r="AA63" s="75">
        <f t="shared" ca="1" si="1"/>
        <v>0</v>
      </c>
      <c r="AB63" s="76">
        <f t="shared" ca="1" si="9"/>
        <v>0</v>
      </c>
      <c r="AC63" s="75">
        <f t="shared" ca="1" si="3"/>
        <v>0</v>
      </c>
      <c r="AD63" s="76">
        <f t="shared" ca="1" si="10"/>
        <v>0</v>
      </c>
      <c r="AE63" s="76">
        <f t="shared" ca="1" si="11"/>
        <v>0</v>
      </c>
      <c r="AF63" s="75">
        <f t="shared" ca="1" si="6"/>
        <v>0</v>
      </c>
      <c r="AG63" s="75">
        <f t="shared" ca="1" si="7"/>
        <v>0</v>
      </c>
      <c r="AH63" s="31" t="str" cm="1">
        <f t="array" aca="1" ref="AH63" ca="1">IF((AD63) &lt; (INDEX(ResponseSLA[#All],(MATCH((G63),ResponseSLA[Priority],0))+1,3)),"YES","No")</f>
        <v>YES</v>
      </c>
      <c r="AI63" s="31" t="str">
        <f ca="1">_xlfn.IFNA(IF(AE63 &lt; (INDEX(SLATable[Minimum SLA],MATCH(G63,SLATable[Priority],0))),"YES","NO"),"")</f>
        <v>YES</v>
      </c>
      <c r="AJ63" t="str">
        <f ca="1">_xlfn.IFNA(IF(AE63 &lt; (INDEX(SLATable[Maximum SLA],MATCH(G63,SLATable[Priority],0))),"YES","NO"),"")</f>
        <v>YES</v>
      </c>
    </row>
    <row r="64" spans="1:36" ht="15" customHeight="1">
      <c r="A64" s="45">
        <v>63</v>
      </c>
      <c r="B64" s="45" t="s">
        <v>26</v>
      </c>
      <c r="C64" s="45" t="s">
        <v>41</v>
      </c>
      <c r="D64" s="45" t="s">
        <v>207</v>
      </c>
      <c r="E64" s="45" t="s">
        <v>8254</v>
      </c>
      <c r="F64" s="45" t="s">
        <v>40</v>
      </c>
      <c r="G64" s="66">
        <v>4</v>
      </c>
      <c r="H64" s="45" t="s">
        <v>8255</v>
      </c>
      <c r="I64" s="45" t="s">
        <v>271</v>
      </c>
      <c r="J64" s="45" t="s">
        <v>8120</v>
      </c>
      <c r="K64" s="147">
        <v>46176.172465277778</v>
      </c>
      <c r="L64" s="147">
        <v>46176.183518518519</v>
      </c>
      <c r="M64" s="147">
        <v>46176.292187500003</v>
      </c>
      <c r="N64" s="147">
        <v>46176.293356481481</v>
      </c>
      <c r="Q64" s="45" t="s">
        <v>8191</v>
      </c>
      <c r="S64" s="45" t="s">
        <v>8122</v>
      </c>
      <c r="T64" s="45" t="s">
        <v>1519</v>
      </c>
      <c r="U64" s="45" t="s">
        <v>371</v>
      </c>
      <c r="Z64" s="76">
        <f t="shared" ca="1" si="8"/>
        <v>0</v>
      </c>
      <c r="AA64" s="75">
        <f t="shared" ca="1" si="1"/>
        <v>0</v>
      </c>
      <c r="AB64" s="76">
        <f t="shared" ca="1" si="9"/>
        <v>0</v>
      </c>
      <c r="AC64" s="75">
        <f t="shared" ca="1" si="3"/>
        <v>0</v>
      </c>
      <c r="AD64" s="76">
        <f t="shared" ca="1" si="10"/>
        <v>0</v>
      </c>
      <c r="AE64" s="76">
        <f t="shared" ca="1" si="11"/>
        <v>0</v>
      </c>
      <c r="AF64" s="75">
        <f t="shared" ca="1" si="6"/>
        <v>0</v>
      </c>
      <c r="AG64" s="75">
        <f t="shared" ca="1" si="7"/>
        <v>0</v>
      </c>
      <c r="AH64" s="31" t="str" cm="1">
        <f t="array" aca="1" ref="AH64" ca="1">IF((AD64) &lt; (INDEX(ResponseSLA[#All],(MATCH((G64),ResponseSLA[Priority],0))+1,3)),"YES","No")</f>
        <v>YES</v>
      </c>
      <c r="AI64" s="31" t="str">
        <f ca="1">_xlfn.IFNA(IF(AE64 &lt; (INDEX(SLATable[Minimum SLA],MATCH(G64,SLATable[Priority],0))),"YES","NO"),"")</f>
        <v>YES</v>
      </c>
      <c r="AJ64" t="str">
        <f ca="1">_xlfn.IFNA(IF(AE64 &lt; (INDEX(SLATable[Maximum SLA],MATCH(G64,SLATable[Priority],0))),"YES","NO"),"")</f>
        <v>YES</v>
      </c>
    </row>
    <row r="65" spans="1:36" ht="15" customHeight="1">
      <c r="A65" s="45">
        <v>64</v>
      </c>
      <c r="B65" s="45" t="s">
        <v>26</v>
      </c>
      <c r="C65" s="45" t="s">
        <v>41</v>
      </c>
      <c r="D65" s="45" t="s">
        <v>207</v>
      </c>
      <c r="E65" s="45" t="s">
        <v>8256</v>
      </c>
      <c r="F65" s="45" t="s">
        <v>40</v>
      </c>
      <c r="G65" s="66">
        <v>4</v>
      </c>
      <c r="H65" s="45" t="s">
        <v>8257</v>
      </c>
      <c r="I65" s="45" t="s">
        <v>271</v>
      </c>
      <c r="J65" s="45" t="s">
        <v>8120</v>
      </c>
      <c r="K65" s="147">
        <v>46175.903229166666</v>
      </c>
      <c r="L65" s="147">
        <v>46175.927453703705</v>
      </c>
      <c r="M65" s="147">
        <v>46176.294456018521</v>
      </c>
      <c r="N65" s="147">
        <v>46176.296284722222</v>
      </c>
      <c r="Q65" s="45" t="s">
        <v>8191</v>
      </c>
      <c r="S65" s="45" t="s">
        <v>8122</v>
      </c>
      <c r="T65" s="45" t="s">
        <v>1519</v>
      </c>
      <c r="U65" s="45" t="s">
        <v>371</v>
      </c>
      <c r="Z65" s="76">
        <f t="shared" ca="1" si="8"/>
        <v>0</v>
      </c>
      <c r="AA65" s="75">
        <f t="shared" ca="1" si="1"/>
        <v>0</v>
      </c>
      <c r="AB65" s="76">
        <f t="shared" ca="1" si="9"/>
        <v>0</v>
      </c>
      <c r="AC65" s="75">
        <f t="shared" ca="1" si="3"/>
        <v>0</v>
      </c>
      <c r="AD65" s="76">
        <f t="shared" ca="1" si="10"/>
        <v>0</v>
      </c>
      <c r="AE65" s="76">
        <f t="shared" ca="1" si="11"/>
        <v>0</v>
      </c>
      <c r="AF65" s="75">
        <f t="shared" ca="1" si="6"/>
        <v>0</v>
      </c>
      <c r="AG65" s="75">
        <f t="shared" ca="1" si="7"/>
        <v>0</v>
      </c>
      <c r="AH65" s="31" t="str" cm="1">
        <f t="array" aca="1" ref="AH65" ca="1">IF((AD65) &lt; (INDEX(ResponseSLA[#All],(MATCH((G65),ResponseSLA[Priority],0))+1,3)),"YES","No")</f>
        <v>YES</v>
      </c>
      <c r="AI65" s="31" t="str">
        <f ca="1">_xlfn.IFNA(IF(AE65 &lt; (INDEX(SLATable[Minimum SLA],MATCH(G65,SLATable[Priority],0))),"YES","NO"),"")</f>
        <v>YES</v>
      </c>
      <c r="AJ65" t="str">
        <f ca="1">_xlfn.IFNA(IF(AE65 &lt; (INDEX(SLATable[Maximum SLA],MATCH(G65,SLATable[Priority],0))),"YES","NO"),"")</f>
        <v>YES</v>
      </c>
    </row>
    <row r="66" spans="1:36" ht="15" customHeight="1">
      <c r="A66" s="45">
        <v>65</v>
      </c>
      <c r="B66" s="45" t="s">
        <v>26</v>
      </c>
      <c r="C66" s="45" t="s">
        <v>41</v>
      </c>
      <c r="D66" s="45" t="s">
        <v>207</v>
      </c>
      <c r="E66" s="45" t="s">
        <v>8258</v>
      </c>
      <c r="F66" s="45" t="s">
        <v>40</v>
      </c>
      <c r="G66" s="66">
        <v>4</v>
      </c>
      <c r="H66" s="45" t="s">
        <v>8259</v>
      </c>
      <c r="I66" s="45" t="s">
        <v>271</v>
      </c>
      <c r="J66" s="45" t="s">
        <v>8120</v>
      </c>
      <c r="K66" s="166">
        <v>46177.171099537038</v>
      </c>
      <c r="L66" s="166">
        <v>46177.186249999999</v>
      </c>
      <c r="M66" s="166">
        <v>46177.253229166665</v>
      </c>
      <c r="N66" s="166">
        <v>46177.254918981482</v>
      </c>
      <c r="Q66" s="45" t="s">
        <v>8191</v>
      </c>
      <c r="S66" s="45" t="s">
        <v>8122</v>
      </c>
      <c r="T66" s="45" t="s">
        <v>1519</v>
      </c>
      <c r="U66" s="45" t="s">
        <v>371</v>
      </c>
      <c r="Z66" s="76">
        <f t="shared" ca="1" si="8"/>
        <v>0</v>
      </c>
      <c r="AA66" s="75">
        <f t="shared" ca="1" si="1"/>
        <v>0</v>
      </c>
      <c r="AB66" s="76">
        <f t="shared" ca="1" si="9"/>
        <v>0</v>
      </c>
      <c r="AC66" s="75">
        <f t="shared" ca="1" si="3"/>
        <v>0</v>
      </c>
      <c r="AD66" s="76">
        <f t="shared" ca="1" si="10"/>
        <v>0</v>
      </c>
      <c r="AE66" s="76">
        <f t="shared" ca="1" si="11"/>
        <v>0</v>
      </c>
      <c r="AF66" s="75">
        <f t="shared" ca="1" si="6"/>
        <v>0</v>
      </c>
      <c r="AG66" s="75">
        <f t="shared" ca="1" si="7"/>
        <v>0</v>
      </c>
      <c r="AH66" s="31" t="str" cm="1">
        <f t="array" aca="1" ref="AH66" ca="1">IF((AD66) &lt; (INDEX(ResponseSLA[#All],(MATCH((G66),ResponseSLA[Priority],0))+1,3)),"YES","No")</f>
        <v>YES</v>
      </c>
      <c r="AI66" s="31" t="str">
        <f ca="1">_xlfn.IFNA(IF(AE66 &lt; (INDEX(SLATable[Minimum SLA],MATCH(G66,SLATable[Priority],0))),"YES","NO"),"")</f>
        <v>YES</v>
      </c>
      <c r="AJ66" t="str">
        <f ca="1">_xlfn.IFNA(IF(AE66 &lt; (INDEX(SLATable[Maximum SLA],MATCH(G66,SLATable[Priority],0))),"YES","NO"),"")</f>
        <v>YES</v>
      </c>
    </row>
    <row r="67" spans="1:36" ht="15" customHeight="1">
      <c r="A67" s="45">
        <v>66</v>
      </c>
      <c r="B67" s="45" t="s">
        <v>26</v>
      </c>
      <c r="C67" s="45" t="s">
        <v>41</v>
      </c>
      <c r="D67" s="45" t="s">
        <v>207</v>
      </c>
      <c r="E67" s="45" t="s">
        <v>8260</v>
      </c>
      <c r="F67" s="45" t="s">
        <v>40</v>
      </c>
      <c r="G67" s="66">
        <v>4</v>
      </c>
      <c r="H67" s="45" t="s">
        <v>8261</v>
      </c>
      <c r="I67" s="45" t="s">
        <v>271</v>
      </c>
      <c r="J67" s="45" t="s">
        <v>8120</v>
      </c>
      <c r="K67" s="166">
        <v>46176.910254629627</v>
      </c>
      <c r="L67" s="166">
        <v>46176.926782407405</v>
      </c>
      <c r="M67" s="166">
        <v>46177.256782407407</v>
      </c>
      <c r="N67" s="166">
        <v>46177.257800925923</v>
      </c>
      <c r="Q67" s="45" t="s">
        <v>8191</v>
      </c>
      <c r="S67" s="45" t="s">
        <v>8122</v>
      </c>
      <c r="T67" s="45" t="s">
        <v>1519</v>
      </c>
      <c r="U67" s="45" t="s">
        <v>371</v>
      </c>
      <c r="Z67" s="76">
        <f t="shared" ref="Z67:Z130" ca="1" si="12">IF(NOT(OR(G67=1,G67=2)),MAX(0,_xlfn.IFS(AND(K67&lt;&gt;"",N67&lt;&gt;""),((MAX(NETWORKDAYS(K67,N67,UKBankHolidays)-1,0))*(TIME(17,0,0)-TIME(8,0,0))+IF(NETWORKDAYS(N67,N67,UKBankHolidays)&gt;0,MEDIAN(TIME(8,0,0),MOD(N67,1),TIME(17,0,0)),TIME(8,0,0))-IF(NETWORKDAYS(K67,K67,UKBankHolidays)&gt;0,MEDIAN(TIME(8,0,0),MOD(K67,1),TIME(17,0,0)),TIME(8,0,0)))-IF(AND(O67&lt;&gt;"",P67&lt;&gt;""),((MAX(NETWORKDAYS(O67,P67,UKBankHolidays)-1,0))*(TIME(17,0,0)-TIME(8,0,0))+IF(NETWORKDAYS(P67,P67,UKBankHolidays)&gt;0,MEDIAN(TIME(8,0,0),MOD(P67,1),TIME(17,0,0)),TIME(8,0,0))-IF(NETWORKDAYS(O67,O67,UKBankHolidays)&gt;0,MEDIAN(TIME(8,0,0),MOD(O67,1),TIME(17,0,0)),TIME(8,0,0))),0),AND(K67&lt;&gt;"",N67=""),((MAX(NETWORKDAYS(K67,NOW(),UKBankHolidays)-1,0))*(TIME(17,0,0)-TIME(8,0,0))+IF(NETWORKDAYS(NOW(),NOW(),UKBankHolidays)&gt;0,MEDIAN(TIME(8,0,0),MOD(NOW(),1),TIME(17,0,0)),TIME(8,0,0))-IF(NETWORKDAYS(K67,K67,UKBankHolidays)&gt;0,MEDIAN(TIME(8,0,0),MOD(K67,1),TIME(17,0,0)),TIME(8,0,0))))),IF(N67="",NOW()-K67,N67-K67))</f>
        <v>0</v>
      </c>
      <c r="AA67" s="75">
        <f t="shared" ca="1" si="1"/>
        <v>0</v>
      </c>
      <c r="AB67" s="76">
        <f t="shared" ref="AB67:AB130" ca="1" si="13">IF(NOT(OR(G67=1,G67=2)),MAX(0,_xlfn.IFS(AND(K67&lt;&gt;"",N67&lt;&gt;""),(((MAX(NETWORKDAYS(L67,N67,UKBankHolidays)-1,0))*(TIME(17,0,0)-TIME(8,0,0)))+IF(NETWORKDAYS(N67,N67,UKBankHolidays)&gt;0,MEDIAN(TIME(8,0,0),MOD(N67,1),TIME(17,0,0)),TIME(8,0,0))-IF(NETWORKDAYS(L67,L67,UKBankHolidays)&gt;0,MEDIAN(TIME(8,0,0),MOD(L67,1),TIME(17,0,0)),TIME(8,0,0)))-IF(AND(O67&lt;&gt;"",P67&lt;&gt;""),(((MAX(NETWORKDAYS(O67,P67,UKBankHolidays)-1,0))*(TIME(17,0,0)-TIME(8,0,0)))+IF(NETWORKDAYS(P67,P67,UKBankHolidays)&gt;0,MEDIAN(TIME(8,0,0),MOD(P67,1),TIME(17,0,0)),TIME(8,0,0))-IF(NETWORKDAYS(O67,O67,UKBankHolidays)&gt;0,MEDIAN(TIME(8,0,0),MOD(O67,1),TIME(17,0,0)),TIME(8,0,0))),0),AND(L67&lt;&gt;"",N67="",O67=""),(((MAX(NETWORKDAYS(L67,NOW(),UKBankHolidays)-1,0))*(TIME(17,0,0)-TIME(8,0,0)))+IF(NETWORKDAYS(NOW(),NOW(),UKBankHolidays)&gt;0,MEDIAN(TIME(8,0,0),MOD(NOW(),1),TIME(17,0,0)),TIME(8,0,0))-IF(NETWORKDAYS(L67,L67,UKBankHolidays)&gt;0,MEDIAN(TIME(8,0,0),MOD(L67,1),TIME(17,0,0)),TIME(8,0,0)))-IF(AND(O67&lt;&gt;"",P67&lt;&gt;""),(((MAX(NETWORKDAYS(O67,P67,UKBankHolidays)-1,0))*(TIME(17,0,0)-TIME(8,0,0)))+IF(NETWORKDAYS(P67,P67,UKBankHolidays)&gt;0,MEDIAN(TIME(8,0,0),MOD(P67,1),TIME(17,0,0)),TIME(8,0,0))-IF(NETWORKDAYS(O67,O67,UKBankHolidays)&gt;0,MEDIAN(TIME(8,0,0),MOD(O67,1),TIME(17,0,0)),TIME(8,0,0))),0),AND(L67&lt;&gt;"",N67="",P67="",O67&lt;&gt;""),(((MAX(NETWORKDAYS(L67,O67,UKBankHolidays)-1,0))*(TIME(17,0,0)-TIME(8,0,0)))+IF(NETWORKDAYS(O67,O67,UKBankHolidays)&gt;0,MEDIAN(TIME(8,0,0),MOD(O67,1),TIME(17,0,0)),TIME(8,0,0))-IF(NETWORKDAYS(L67,L67,UKBankHolidays)&gt;0,MEDIAN(TIME(8,0,0),MOD(L67,1),TIME(17,0,0)),TIME(8,0,0))),ISBLANK(K67),"0")),IF(ISBLANK(N67),NOW()-L67,N67-L67))</f>
        <v>0</v>
      </c>
      <c r="AC67" s="75">
        <f t="shared" ca="1" si="3"/>
        <v>0</v>
      </c>
      <c r="AD67" s="76">
        <f t="shared" ref="AD67:AD130" ca="1" si="14">MAX(0,IF(NOT(OR(G67=1,G67=2)),IF(M67&lt;&gt;"",((MAX(NETWORKDAYS(L67,M67,UKBankHolidays)-1,0))*(TIME(17,0,0)-TIME(8,0,0))+IF(NETWORKDAYS(M67,M67,UKBankHolidays)&gt;0,MEDIAN(TIME(8,0,0),MOD(M67,1),TIME(17,0,0)),TIME(8,0,0))-MEDIAN(TIME(8,0,0),MOD(L67,1),TIME(17,0,0))),((MAX(NETWORKDAYS(L67,NOW(),UKBankHolidays)-1,0))*(TIME(17,0,0)-TIME(8,0,0))+IF(NETWORKDAYS(NOW(),NOW(),UKBankHolidays)&gt;0,MEDIAN(TIME(8,0,0),MOD(NOW(),1),TIME(17,0,0)),TIME(8,0,0))-MEDIAN(TIME(8,0,0),MOD(L67,1),TIME(17,0,0)))),IF(M67&lt;&gt;"",M67-L67,NOW()-L67)))</f>
        <v>0</v>
      </c>
      <c r="AE67" s="76">
        <f t="shared" ref="AE67:AE130" ca="1" si="15">SUMIFS(AB:AB,E:E,E67)</f>
        <v>0</v>
      </c>
      <c r="AF67" s="75">
        <f t="shared" ca="1" si="6"/>
        <v>0</v>
      </c>
      <c r="AG67" s="75">
        <f t="shared" ca="1" si="7"/>
        <v>0</v>
      </c>
      <c r="AH67" s="31" t="str" cm="1">
        <f t="array" aca="1" ref="AH67" ca="1">IF((AD67) &lt; (INDEX(ResponseSLA[#All],(MATCH((G67),ResponseSLA[Priority],0))+1,3)),"YES","No")</f>
        <v>YES</v>
      </c>
      <c r="AI67" s="31" t="str">
        <f ca="1">_xlfn.IFNA(IF(AE67 &lt; (INDEX(SLATable[Minimum SLA],MATCH(G67,SLATable[Priority],0))),"YES","NO"),"")</f>
        <v>YES</v>
      </c>
      <c r="AJ67" t="str">
        <f ca="1">_xlfn.IFNA(IF(AE67 &lt; (INDEX(SLATable[Maximum SLA],MATCH(G67,SLATable[Priority],0))),"YES","NO"),"")</f>
        <v>YES</v>
      </c>
    </row>
    <row r="68" spans="1:36" ht="15" customHeight="1">
      <c r="A68" s="45">
        <v>67</v>
      </c>
      <c r="B68" s="45" t="s">
        <v>26</v>
      </c>
      <c r="C68" s="45" t="s">
        <v>41</v>
      </c>
      <c r="D68" s="45" t="s">
        <v>207</v>
      </c>
      <c r="E68" s="45" t="s">
        <v>8262</v>
      </c>
      <c r="F68" s="45" t="s">
        <v>40</v>
      </c>
      <c r="G68" s="66">
        <v>4</v>
      </c>
      <c r="H68" s="45" t="s">
        <v>8263</v>
      </c>
      <c r="I68" s="45" t="s">
        <v>271</v>
      </c>
      <c r="J68" s="45" t="s">
        <v>8120</v>
      </c>
      <c r="K68" s="147">
        <v>46177.910775462966</v>
      </c>
      <c r="L68" s="147">
        <v>46177.914675925924</v>
      </c>
      <c r="M68" s="147">
        <v>46178.2653125</v>
      </c>
      <c r="N68" s="147">
        <v>46178.266261574077</v>
      </c>
      <c r="Q68" s="45" t="s">
        <v>8191</v>
      </c>
      <c r="S68" s="45" t="s">
        <v>8122</v>
      </c>
      <c r="T68" s="45" t="s">
        <v>1519</v>
      </c>
      <c r="U68" s="45" t="s">
        <v>371</v>
      </c>
      <c r="Z68" s="76">
        <f t="shared" ca="1" si="12"/>
        <v>0</v>
      </c>
      <c r="AA68" s="75">
        <f t="shared" ca="1" si="1"/>
        <v>0</v>
      </c>
      <c r="AB68" s="76">
        <f t="shared" ca="1" si="13"/>
        <v>0</v>
      </c>
      <c r="AC68" s="75">
        <f t="shared" ca="1" si="3"/>
        <v>0</v>
      </c>
      <c r="AD68" s="76">
        <f t="shared" ca="1" si="14"/>
        <v>0</v>
      </c>
      <c r="AE68" s="76">
        <f t="shared" ca="1" si="15"/>
        <v>0</v>
      </c>
      <c r="AF68" s="75">
        <f t="shared" ca="1" si="6"/>
        <v>0</v>
      </c>
      <c r="AG68" s="75">
        <f t="shared" ca="1" si="7"/>
        <v>0</v>
      </c>
      <c r="AH68" s="31" t="str" cm="1">
        <f t="array" aca="1" ref="AH68" ca="1">IF((AD68) &lt; (INDEX(ResponseSLA[#All],(MATCH((G68),ResponseSLA[Priority],0))+1,3)),"YES","No")</f>
        <v>YES</v>
      </c>
      <c r="AI68" s="31" t="str">
        <f ca="1">_xlfn.IFNA(IF(AE68 &lt; (INDEX(SLATable[Minimum SLA],MATCH(G68,SLATable[Priority],0))),"YES","NO"),"")</f>
        <v>YES</v>
      </c>
      <c r="AJ68" t="str">
        <f ca="1">_xlfn.IFNA(IF(AE68 &lt; (INDEX(SLATable[Maximum SLA],MATCH(G68,SLATable[Priority],0))),"YES","NO"),"")</f>
        <v>YES</v>
      </c>
    </row>
    <row r="69" spans="1:36" ht="15" customHeight="1">
      <c r="A69" s="45">
        <v>68</v>
      </c>
      <c r="B69" s="45" t="s">
        <v>26</v>
      </c>
      <c r="C69" s="45" t="s">
        <v>41</v>
      </c>
      <c r="D69" s="45" t="s">
        <v>207</v>
      </c>
      <c r="E69" s="45" t="s">
        <v>8264</v>
      </c>
      <c r="F69" s="45" t="s">
        <v>40</v>
      </c>
      <c r="G69" s="66">
        <v>4</v>
      </c>
      <c r="H69" s="45" t="s">
        <v>8265</v>
      </c>
      <c r="I69" s="45" t="s">
        <v>271</v>
      </c>
      <c r="J69" s="45" t="s">
        <v>8120</v>
      </c>
      <c r="K69" s="147">
        <v>46178.17224537037</v>
      </c>
      <c r="L69" s="147">
        <v>46178.17224537037</v>
      </c>
      <c r="M69" s="147">
        <v>46178.269618055558</v>
      </c>
      <c r="N69" s="147">
        <v>46178.27</v>
      </c>
      <c r="Q69" s="45" t="s">
        <v>8191</v>
      </c>
      <c r="S69" s="45" t="s">
        <v>8122</v>
      </c>
      <c r="T69" s="45" t="s">
        <v>1519</v>
      </c>
      <c r="U69" s="45" t="s">
        <v>371</v>
      </c>
      <c r="Z69" s="76">
        <f t="shared" ca="1" si="12"/>
        <v>0</v>
      </c>
      <c r="AA69" s="75">
        <f t="shared" ca="1" si="1"/>
        <v>0</v>
      </c>
      <c r="AB69" s="76">
        <f t="shared" ca="1" si="13"/>
        <v>0</v>
      </c>
      <c r="AC69" s="75">
        <f t="shared" ca="1" si="3"/>
        <v>0</v>
      </c>
      <c r="AD69" s="76">
        <f t="shared" ca="1" si="14"/>
        <v>0</v>
      </c>
      <c r="AE69" s="76">
        <f t="shared" ca="1" si="15"/>
        <v>0</v>
      </c>
      <c r="AF69" s="75">
        <f t="shared" ca="1" si="6"/>
        <v>0</v>
      </c>
      <c r="AG69" s="75">
        <f t="shared" ca="1" si="7"/>
        <v>0</v>
      </c>
      <c r="AH69" s="31" t="str" cm="1">
        <f t="array" aca="1" ref="AH69" ca="1">IF((AD69) &lt; (INDEX(ResponseSLA[#All],(MATCH((G69),ResponseSLA[Priority],0))+1,3)),"YES","No")</f>
        <v>YES</v>
      </c>
      <c r="AI69" s="31" t="str">
        <f ca="1">_xlfn.IFNA(IF(AE69 &lt; (INDEX(SLATable[Minimum SLA],MATCH(G69,SLATable[Priority],0))),"YES","NO"),"")</f>
        <v>YES</v>
      </c>
      <c r="AJ69" t="str">
        <f ca="1">_xlfn.IFNA(IF(AE69 &lt; (INDEX(SLATable[Maximum SLA],MATCH(G69,SLATable[Priority],0))),"YES","NO"),"")</f>
        <v>YES</v>
      </c>
    </row>
    <row r="70" spans="1:36" ht="15" customHeight="1">
      <c r="A70" s="45">
        <v>69</v>
      </c>
      <c r="B70" s="45" t="s">
        <v>26</v>
      </c>
      <c r="C70" s="45" t="s">
        <v>41</v>
      </c>
      <c r="D70" s="45" t="s">
        <v>207</v>
      </c>
      <c r="E70" s="45" t="s">
        <v>8266</v>
      </c>
      <c r="F70" s="45" t="s">
        <v>40</v>
      </c>
      <c r="G70" s="66">
        <v>4</v>
      </c>
      <c r="H70" s="45" t="s">
        <v>8267</v>
      </c>
      <c r="I70" s="45" t="s">
        <v>271</v>
      </c>
      <c r="J70" s="45" t="s">
        <v>8120</v>
      </c>
      <c r="K70" s="147">
        <v>46180.174583333333</v>
      </c>
      <c r="L70" s="147">
        <v>46180.174583333333</v>
      </c>
      <c r="M70" s="147">
        <v>46181.254988425928</v>
      </c>
      <c r="N70" s="147">
        <v>46181.2578587963</v>
      </c>
      <c r="Q70" s="45" t="s">
        <v>8191</v>
      </c>
      <c r="S70" s="45" t="s">
        <v>8122</v>
      </c>
      <c r="T70" s="45" t="s">
        <v>1519</v>
      </c>
      <c r="U70" s="45" t="s">
        <v>371</v>
      </c>
      <c r="Z70" s="76">
        <f t="shared" ca="1" si="12"/>
        <v>0</v>
      </c>
      <c r="AA70" s="75">
        <f t="shared" ca="1" si="1"/>
        <v>0</v>
      </c>
      <c r="AB70" s="76">
        <f t="shared" ca="1" si="13"/>
        <v>0</v>
      </c>
      <c r="AC70" s="75">
        <f t="shared" ca="1" si="3"/>
        <v>0</v>
      </c>
      <c r="AD70" s="76">
        <f t="shared" ca="1" si="14"/>
        <v>0</v>
      </c>
      <c r="AE70" s="76">
        <f t="shared" ca="1" si="15"/>
        <v>0</v>
      </c>
      <c r="AF70" s="75">
        <f t="shared" ca="1" si="6"/>
        <v>0</v>
      </c>
      <c r="AG70" s="75">
        <f t="shared" ca="1" si="7"/>
        <v>0</v>
      </c>
      <c r="AH70" s="31" t="str" cm="1">
        <f t="array" aca="1" ref="AH70" ca="1">IF((AD70) &lt; (INDEX(ResponseSLA[#All],(MATCH((G70),ResponseSLA[Priority],0))+1,3)),"YES","No")</f>
        <v>YES</v>
      </c>
      <c r="AI70" s="31" t="str">
        <f ca="1">_xlfn.IFNA(IF(AE70 &lt; (INDEX(SLATable[Minimum SLA],MATCH(G70,SLATable[Priority],0))),"YES","NO"),"")</f>
        <v>YES</v>
      </c>
      <c r="AJ70" t="str">
        <f ca="1">_xlfn.IFNA(IF(AE70 &lt; (INDEX(SLATable[Maximum SLA],MATCH(G70,SLATable[Priority],0))),"YES","NO"),"")</f>
        <v>YES</v>
      </c>
    </row>
    <row r="71" spans="1:36" ht="15" customHeight="1">
      <c r="A71" s="45">
        <v>70</v>
      </c>
      <c r="B71" s="45" t="s">
        <v>26</v>
      </c>
      <c r="C71" s="45" t="s">
        <v>41</v>
      </c>
      <c r="D71" s="45" t="s">
        <v>207</v>
      </c>
      <c r="E71" s="45" t="s">
        <v>8268</v>
      </c>
      <c r="F71" s="45" t="s">
        <v>40</v>
      </c>
      <c r="G71" s="66">
        <v>4</v>
      </c>
      <c r="H71" s="45" t="s">
        <v>8269</v>
      </c>
      <c r="I71" s="45" t="s">
        <v>271</v>
      </c>
      <c r="J71" s="45" t="s">
        <v>8120</v>
      </c>
      <c r="K71" s="147">
        <v>46180.904467592591</v>
      </c>
      <c r="L71" s="147">
        <v>46180.93005787037</v>
      </c>
      <c r="M71" s="147">
        <v>46181.259953703702</v>
      </c>
      <c r="N71" s="147">
        <v>46181.262199074074</v>
      </c>
      <c r="Q71" s="45" t="s">
        <v>8191</v>
      </c>
      <c r="S71" s="45" t="s">
        <v>8122</v>
      </c>
      <c r="T71" s="45" t="s">
        <v>1519</v>
      </c>
      <c r="U71" s="45" t="s">
        <v>371</v>
      </c>
      <c r="Z71" s="76">
        <f t="shared" ca="1" si="12"/>
        <v>0</v>
      </c>
      <c r="AA71" s="75">
        <f t="shared" ca="1" si="1"/>
        <v>0</v>
      </c>
      <c r="AB71" s="76">
        <f t="shared" ca="1" si="13"/>
        <v>0</v>
      </c>
      <c r="AC71" s="75">
        <f t="shared" ca="1" si="3"/>
        <v>0</v>
      </c>
      <c r="AD71" s="76">
        <f t="shared" ca="1" si="14"/>
        <v>0</v>
      </c>
      <c r="AE71" s="76">
        <f t="shared" ca="1" si="15"/>
        <v>0</v>
      </c>
      <c r="AF71" s="75">
        <f t="shared" ca="1" si="6"/>
        <v>0</v>
      </c>
      <c r="AG71" s="75">
        <f t="shared" ca="1" si="7"/>
        <v>0</v>
      </c>
      <c r="AH71" s="31" t="str" cm="1">
        <f t="array" aca="1" ref="AH71" ca="1">IF((AD71) &lt; (INDEX(ResponseSLA[#All],(MATCH((G71),ResponseSLA[Priority],0))+1,3)),"YES","No")</f>
        <v>YES</v>
      </c>
      <c r="AI71" s="31" t="str">
        <f ca="1">_xlfn.IFNA(IF(AE71 &lt; (INDEX(SLATable[Minimum SLA],MATCH(G71,SLATable[Priority],0))),"YES","NO"),"")</f>
        <v>YES</v>
      </c>
      <c r="AJ71" t="str">
        <f ca="1">_xlfn.IFNA(IF(AE71 &lt; (INDEX(SLATable[Maximum SLA],MATCH(G71,SLATable[Priority],0))),"YES","NO"),"")</f>
        <v>YES</v>
      </c>
    </row>
    <row r="72" spans="1:36" ht="15" customHeight="1">
      <c r="A72" s="45">
        <v>71</v>
      </c>
      <c r="B72" s="45" t="s">
        <v>26</v>
      </c>
      <c r="C72" s="45" t="s">
        <v>41</v>
      </c>
      <c r="D72" s="45" t="s">
        <v>207</v>
      </c>
      <c r="E72" s="45" t="s">
        <v>8270</v>
      </c>
      <c r="F72" s="45" t="s">
        <v>40</v>
      </c>
      <c r="G72" s="66">
        <v>4</v>
      </c>
      <c r="H72" s="45" t="s">
        <v>8271</v>
      </c>
      <c r="I72" s="45" t="s">
        <v>271</v>
      </c>
      <c r="J72" s="45" t="s">
        <v>8120</v>
      </c>
      <c r="K72" s="147">
        <v>46178.172152777777</v>
      </c>
      <c r="L72" s="147">
        <v>46181.264930555553</v>
      </c>
      <c r="M72" s="147">
        <v>46181.266435185185</v>
      </c>
      <c r="N72" s="147">
        <v>46181.268437500003</v>
      </c>
      <c r="Q72" s="45" t="s">
        <v>8191</v>
      </c>
      <c r="S72" s="45" t="s">
        <v>8122</v>
      </c>
      <c r="T72" s="45" t="s">
        <v>1519</v>
      </c>
      <c r="U72" s="45" t="s">
        <v>371</v>
      </c>
      <c r="Z72" s="76">
        <f t="shared" ca="1" si="12"/>
        <v>0.37500000000000006</v>
      </c>
      <c r="AA72" s="75">
        <f t="shared" ca="1" si="1"/>
        <v>1.0000000000000002</v>
      </c>
      <c r="AB72" s="76">
        <f t="shared" ca="1" si="13"/>
        <v>0</v>
      </c>
      <c r="AC72" s="75">
        <f t="shared" ca="1" si="3"/>
        <v>0</v>
      </c>
      <c r="AD72" s="76">
        <f t="shared" ca="1" si="14"/>
        <v>0</v>
      </c>
      <c r="AE72" s="76">
        <f t="shared" ca="1" si="15"/>
        <v>0</v>
      </c>
      <c r="AF72" s="75">
        <f t="shared" ca="1" si="6"/>
        <v>0</v>
      </c>
      <c r="AG72" s="75">
        <f t="shared" ca="1" si="7"/>
        <v>0</v>
      </c>
      <c r="AH72" s="31" t="str" cm="1">
        <f t="array" aca="1" ref="AH72" ca="1">IF((AD72) &lt; (INDEX(ResponseSLA[#All],(MATCH((G72),ResponseSLA[Priority],0))+1,3)),"YES","No")</f>
        <v>YES</v>
      </c>
      <c r="AI72" s="31" t="str">
        <f ca="1">_xlfn.IFNA(IF(AE72 &lt; (INDEX(SLATable[Minimum SLA],MATCH(G72,SLATable[Priority],0))),"YES","NO"),"")</f>
        <v>YES</v>
      </c>
      <c r="AJ72" t="str">
        <f ca="1">_xlfn.IFNA(IF(AE72 &lt; (INDEX(SLATable[Maximum SLA],MATCH(G72,SLATable[Priority],0))),"YES","NO"),"")</f>
        <v>YES</v>
      </c>
    </row>
    <row r="73" spans="1:36" ht="15" customHeight="1">
      <c r="A73" s="45">
        <v>72</v>
      </c>
      <c r="B73" s="45" t="s">
        <v>26</v>
      </c>
      <c r="C73" s="45" t="s">
        <v>41</v>
      </c>
      <c r="D73" s="45" t="s">
        <v>207</v>
      </c>
      <c r="E73" s="45" t="s">
        <v>8272</v>
      </c>
      <c r="F73" s="45" t="s">
        <v>40</v>
      </c>
      <c r="G73" s="66">
        <v>3</v>
      </c>
      <c r="H73" s="45" t="s">
        <v>8273</v>
      </c>
      <c r="I73" s="45" t="s">
        <v>271</v>
      </c>
      <c r="J73" s="45" t="s">
        <v>8190</v>
      </c>
      <c r="K73" s="147">
        <v>46163.797349537039</v>
      </c>
      <c r="L73" s="147">
        <v>46164.60837962963</v>
      </c>
      <c r="M73" s="147">
        <v>46167.288113425922</v>
      </c>
      <c r="N73" s="147">
        <v>46181.302997685183</v>
      </c>
      <c r="O73" s="147">
        <v>46171.586597222224</v>
      </c>
      <c r="P73" s="147">
        <v>46181.303124999999</v>
      </c>
      <c r="Q73" s="45" t="s">
        <v>8191</v>
      </c>
      <c r="S73" s="45" t="s">
        <v>8122</v>
      </c>
      <c r="T73" s="45" t="s">
        <v>1519</v>
      </c>
      <c r="U73" s="45" t="s">
        <v>371</v>
      </c>
      <c r="Z73" s="76">
        <f t="shared" ca="1" si="12"/>
        <v>1.7532638888903116</v>
      </c>
      <c r="AA73" s="75">
        <f t="shared" ca="1" si="1"/>
        <v>4.6753703703741643</v>
      </c>
      <c r="AB73" s="76">
        <f t="shared" ca="1" si="13"/>
        <v>1.4782175925938645</v>
      </c>
      <c r="AC73" s="75">
        <f t="shared" ca="1" si="3"/>
        <v>3.9419135802503056</v>
      </c>
      <c r="AD73" s="76">
        <f t="shared" ca="1" si="14"/>
        <v>0</v>
      </c>
      <c r="AE73" s="76">
        <f t="shared" ca="1" si="15"/>
        <v>1.4782175925938645</v>
      </c>
      <c r="AF73" s="75">
        <f t="shared" ca="1" si="6"/>
        <v>3.9419135802503056</v>
      </c>
      <c r="AG73" s="75">
        <f t="shared" ca="1" si="7"/>
        <v>3.9419135802503056</v>
      </c>
      <c r="AH73" s="31" t="str" cm="1">
        <f t="array" aca="1" ref="AH73" ca="1">IF((AD73) &lt; (INDEX(ResponseSLA[#All],(MATCH((G73),ResponseSLA[Priority],0))+1,3)),"YES","No")</f>
        <v>YES</v>
      </c>
      <c r="AI73" s="31" t="str">
        <f ca="1">_xlfn.IFNA(IF(AE73 &lt; (INDEX(SLATable[Minimum SLA],MATCH(G73,SLATable[Priority],0))),"YES","NO"),"")</f>
        <v>NO</v>
      </c>
      <c r="AJ73" t="str">
        <f ca="1">_xlfn.IFNA(IF(AE73 &lt; (INDEX(SLATable[Maximum SLA],MATCH(G73,SLATable[Priority],0))),"YES","NO"),"")</f>
        <v>YES</v>
      </c>
    </row>
    <row r="74" spans="1:36" ht="15" customHeight="1">
      <c r="A74" s="45">
        <v>73</v>
      </c>
      <c r="B74" s="45" t="s">
        <v>26</v>
      </c>
      <c r="C74" s="45" t="s">
        <v>41</v>
      </c>
      <c r="D74" s="45" t="s">
        <v>207</v>
      </c>
      <c r="E74" s="45" t="s">
        <v>8274</v>
      </c>
      <c r="F74" s="45" t="s">
        <v>40</v>
      </c>
      <c r="G74" s="66">
        <v>4</v>
      </c>
      <c r="H74" s="45" t="s">
        <v>8275</v>
      </c>
      <c r="I74" s="45" t="s">
        <v>271</v>
      </c>
      <c r="J74" s="45" t="s">
        <v>8120</v>
      </c>
      <c r="K74" s="147">
        <v>46181.170532407406</v>
      </c>
      <c r="L74" s="147">
        <v>46181.374050925922</v>
      </c>
      <c r="M74" s="147">
        <v>46181.429224537038</v>
      </c>
      <c r="N74" s="147">
        <v>46181.430011574077</v>
      </c>
      <c r="Q74" s="45" t="s">
        <v>8191</v>
      </c>
      <c r="S74" s="45" t="s">
        <v>8122</v>
      </c>
      <c r="T74" s="45" t="s">
        <v>1519</v>
      </c>
      <c r="U74" s="45" t="s">
        <v>371</v>
      </c>
      <c r="Z74" s="76">
        <f t="shared" ca="1" si="12"/>
        <v>9.6678240743737376E-2</v>
      </c>
      <c r="AA74" s="75">
        <f t="shared" ca="1" si="1"/>
        <v>0.25780864198329967</v>
      </c>
      <c r="AB74" s="76">
        <f t="shared" ca="1" si="13"/>
        <v>5.5960648154723458E-2</v>
      </c>
      <c r="AC74" s="75">
        <f t="shared" ca="1" si="3"/>
        <v>0.14922839507926255</v>
      </c>
      <c r="AD74" s="76">
        <f t="shared" ca="1" si="14"/>
        <v>5.5173611115606036E-2</v>
      </c>
      <c r="AE74" s="76">
        <f t="shared" ca="1" si="15"/>
        <v>5.5960648154723458E-2</v>
      </c>
      <c r="AF74" s="75">
        <f t="shared" ca="1" si="6"/>
        <v>0.14922839507926255</v>
      </c>
      <c r="AG74" s="75">
        <f t="shared" ca="1" si="7"/>
        <v>0.14922839507926255</v>
      </c>
      <c r="AH74" s="31" t="str" cm="1">
        <f t="array" aca="1" ref="AH74" ca="1">IF((AD74) &lt; (INDEX(ResponseSLA[#All],(MATCH((G74),ResponseSLA[Priority],0))+1,3)),"YES","No")</f>
        <v>YES</v>
      </c>
      <c r="AI74" s="31" t="str">
        <f ca="1">_xlfn.IFNA(IF(AE74 &lt; (INDEX(SLATable[Minimum SLA],MATCH(G74,SLATable[Priority],0))),"YES","NO"),"")</f>
        <v>YES</v>
      </c>
      <c r="AJ74" t="str">
        <f ca="1">_xlfn.IFNA(IF(AE74 &lt; (INDEX(SLATable[Maximum SLA],MATCH(G74,SLATable[Priority],0))),"YES","NO"),"")</f>
        <v>YES</v>
      </c>
    </row>
    <row r="75" spans="1:36" ht="15" customHeight="1">
      <c r="A75" s="45">
        <v>74</v>
      </c>
      <c r="B75" s="45" t="s">
        <v>26</v>
      </c>
      <c r="C75" s="45" t="s">
        <v>41</v>
      </c>
      <c r="D75" s="45" t="s">
        <v>207</v>
      </c>
      <c r="E75" s="45" t="s">
        <v>8276</v>
      </c>
      <c r="F75" s="45" t="s">
        <v>40</v>
      </c>
      <c r="G75" s="66">
        <v>4</v>
      </c>
      <c r="H75" s="45" t="s">
        <v>8277</v>
      </c>
      <c r="I75" s="45" t="s">
        <v>271</v>
      </c>
      <c r="J75" s="45" t="s">
        <v>8120</v>
      </c>
      <c r="K75" s="147">
        <v>46182.169108796297</v>
      </c>
      <c r="L75" s="147">
        <v>46182.191863425927</v>
      </c>
      <c r="M75" s="147">
        <v>46182.271122685182</v>
      </c>
      <c r="N75" s="147">
        <v>46182.27238425926</v>
      </c>
      <c r="Q75" s="45" t="s">
        <v>8191</v>
      </c>
      <c r="S75" s="45" t="s">
        <v>8122</v>
      </c>
      <c r="T75" s="45" t="s">
        <v>1519</v>
      </c>
      <c r="U75" s="45" t="s">
        <v>371</v>
      </c>
      <c r="Z75" s="76">
        <f t="shared" ca="1" si="12"/>
        <v>0</v>
      </c>
      <c r="AA75" s="75">
        <f t="shared" ca="1" si="1"/>
        <v>0</v>
      </c>
      <c r="AB75" s="76">
        <f t="shared" ca="1" si="13"/>
        <v>0</v>
      </c>
      <c r="AC75" s="75">
        <f t="shared" ca="1" si="3"/>
        <v>0</v>
      </c>
      <c r="AD75" s="76">
        <f t="shared" ca="1" si="14"/>
        <v>0</v>
      </c>
      <c r="AE75" s="76">
        <f t="shared" ca="1" si="15"/>
        <v>0</v>
      </c>
      <c r="AF75" s="75">
        <f t="shared" ca="1" si="6"/>
        <v>0</v>
      </c>
      <c r="AG75" s="75">
        <f t="shared" ca="1" si="7"/>
        <v>0</v>
      </c>
      <c r="AH75" s="31" t="str" cm="1">
        <f t="array" aca="1" ref="AH75" ca="1">IF((AD75) &lt; (INDEX(ResponseSLA[#All],(MATCH((G75),ResponseSLA[Priority],0))+1,3)),"YES","No")</f>
        <v>YES</v>
      </c>
      <c r="AI75" s="31" t="str">
        <f ca="1">_xlfn.IFNA(IF(AE75 &lt; (INDEX(SLATable[Minimum SLA],MATCH(G75,SLATable[Priority],0))),"YES","NO"),"")</f>
        <v>YES</v>
      </c>
      <c r="AJ75" t="str">
        <f ca="1">_xlfn.IFNA(IF(AE75 &lt; (INDEX(SLATable[Maximum SLA],MATCH(G75,SLATable[Priority],0))),"YES","NO"),"")</f>
        <v>YES</v>
      </c>
    </row>
    <row r="76" spans="1:36" ht="15" customHeight="1">
      <c r="A76" s="45">
        <v>75</v>
      </c>
      <c r="B76" s="45" t="s">
        <v>26</v>
      </c>
      <c r="C76" s="45" t="s">
        <v>41</v>
      </c>
      <c r="D76" s="45" t="s">
        <v>207</v>
      </c>
      <c r="E76" s="45" t="s">
        <v>8278</v>
      </c>
      <c r="F76" s="45" t="s">
        <v>40</v>
      </c>
      <c r="G76" s="66">
        <v>4</v>
      </c>
      <c r="H76" s="45" t="s">
        <v>8279</v>
      </c>
      <c r="I76" s="45" t="s">
        <v>271</v>
      </c>
      <c r="J76" s="45" t="s">
        <v>8120</v>
      </c>
      <c r="K76" s="147">
        <v>46181.912199074075</v>
      </c>
      <c r="L76" s="147">
        <v>46181.917708333334</v>
      </c>
      <c r="M76" s="147">
        <v>46182.274594907409</v>
      </c>
      <c r="N76" s="147">
        <v>46182.277187500003</v>
      </c>
      <c r="Q76" s="45" t="s">
        <v>8191</v>
      </c>
      <c r="S76" s="45" t="s">
        <v>8122</v>
      </c>
      <c r="T76" s="45" t="s">
        <v>1519</v>
      </c>
      <c r="U76" s="45" t="s">
        <v>371</v>
      </c>
      <c r="Z76" s="76">
        <f t="shared" ca="1" si="12"/>
        <v>0</v>
      </c>
      <c r="AA76" s="75">
        <f t="shared" ca="1" si="1"/>
        <v>0</v>
      </c>
      <c r="AB76" s="76">
        <f t="shared" ca="1" si="13"/>
        <v>0</v>
      </c>
      <c r="AC76" s="75">
        <f t="shared" ca="1" si="3"/>
        <v>0</v>
      </c>
      <c r="AD76" s="76">
        <f t="shared" ca="1" si="14"/>
        <v>0</v>
      </c>
      <c r="AE76" s="76">
        <f t="shared" ca="1" si="15"/>
        <v>0</v>
      </c>
      <c r="AF76" s="75">
        <f t="shared" ca="1" si="6"/>
        <v>0</v>
      </c>
      <c r="AG76" s="75">
        <f t="shared" ca="1" si="7"/>
        <v>0</v>
      </c>
      <c r="AH76" s="31" t="str" cm="1">
        <f t="array" aca="1" ref="AH76" ca="1">IF((AD76) &lt; (INDEX(ResponseSLA[#All],(MATCH((G76),ResponseSLA[Priority],0))+1,3)),"YES","No")</f>
        <v>YES</v>
      </c>
      <c r="AI76" s="31" t="str">
        <f ca="1">_xlfn.IFNA(IF(AE76 &lt; (INDEX(SLATable[Minimum SLA],MATCH(G76,SLATable[Priority],0))),"YES","NO"),"")</f>
        <v>YES</v>
      </c>
      <c r="AJ76" t="str">
        <f ca="1">_xlfn.IFNA(IF(AE76 &lt; (INDEX(SLATable[Maximum SLA],MATCH(G76,SLATable[Priority],0))),"YES","NO"),"")</f>
        <v>YES</v>
      </c>
    </row>
    <row r="77" spans="1:36" ht="15" customHeight="1">
      <c r="A77" s="45">
        <v>76</v>
      </c>
      <c r="B77" s="45" t="s">
        <v>26</v>
      </c>
      <c r="C77" s="45" t="s">
        <v>41</v>
      </c>
      <c r="D77" s="45" t="s">
        <v>207</v>
      </c>
      <c r="E77" s="45" t="s">
        <v>8280</v>
      </c>
      <c r="F77" s="45" t="s">
        <v>40</v>
      </c>
      <c r="G77" s="66">
        <v>4</v>
      </c>
      <c r="H77" s="45" t="s">
        <v>8279</v>
      </c>
      <c r="I77" s="45" t="s">
        <v>271</v>
      </c>
      <c r="J77" s="45" t="s">
        <v>8177</v>
      </c>
      <c r="K77" s="47">
        <v>46171.901585648149</v>
      </c>
      <c r="L77" s="47">
        <v>46182.313611111109</v>
      </c>
      <c r="M77" s="47">
        <v>46182.41914351852</v>
      </c>
      <c r="N77" s="47">
        <v>46182.41914351852</v>
      </c>
      <c r="Q77" s="45" t="s">
        <v>8191</v>
      </c>
      <c r="S77" s="45" t="s">
        <v>8122</v>
      </c>
      <c r="T77" s="45" t="s">
        <v>1519</v>
      </c>
      <c r="U77" s="45" t="s">
        <v>371</v>
      </c>
      <c r="Z77" s="76">
        <f t="shared" ca="1" si="12"/>
        <v>2.3358101851869533</v>
      </c>
      <c r="AA77" s="75">
        <f t="shared" ca="1" si="1"/>
        <v>6.2288271604985423</v>
      </c>
      <c r="AB77" s="76">
        <f t="shared" ca="1" si="13"/>
        <v>8.5810185186952992E-2</v>
      </c>
      <c r="AC77" s="75">
        <f t="shared" ca="1" si="3"/>
        <v>0.22882716049854132</v>
      </c>
      <c r="AD77" s="76">
        <f t="shared" ca="1" si="14"/>
        <v>8.5810185186952992E-2</v>
      </c>
      <c r="AE77" s="76">
        <f t="shared" ca="1" si="15"/>
        <v>8.5810185186952992E-2</v>
      </c>
      <c r="AF77" s="75">
        <f t="shared" ca="1" si="6"/>
        <v>0.22882716049854132</v>
      </c>
      <c r="AG77" s="75">
        <f t="shared" ca="1" si="7"/>
        <v>0.22882716049854132</v>
      </c>
      <c r="AH77" s="31" t="str" cm="1">
        <f t="array" aca="1" ref="AH77" ca="1">IF((AD77) &lt; (INDEX(ResponseSLA[#All],(MATCH((G77),ResponseSLA[Priority],0))+1,3)),"YES","No")</f>
        <v>YES</v>
      </c>
      <c r="AI77" s="31" t="str">
        <f ca="1">_xlfn.IFNA(IF(AE77 &lt; (INDEX(SLATable[Minimum SLA],MATCH(G77,SLATable[Priority],0))),"YES","NO"),"")</f>
        <v>YES</v>
      </c>
      <c r="AJ77" t="str">
        <f ca="1">_xlfn.IFNA(IF(AE77 &lt; (INDEX(SLATable[Maximum SLA],MATCH(G77,SLATable[Priority],0))),"YES","NO"),"")</f>
        <v>YES</v>
      </c>
    </row>
    <row r="78" spans="1:36" ht="15" customHeight="1">
      <c r="A78" s="45">
        <v>77</v>
      </c>
      <c r="B78" s="45" t="s">
        <v>26</v>
      </c>
      <c r="C78" s="45" t="s">
        <v>41</v>
      </c>
      <c r="D78" s="45" t="s">
        <v>207</v>
      </c>
      <c r="E78" s="45" t="s">
        <v>8281</v>
      </c>
      <c r="F78" s="45" t="s">
        <v>40</v>
      </c>
      <c r="G78" s="66">
        <v>4</v>
      </c>
      <c r="H78" s="45" t="s">
        <v>8279</v>
      </c>
      <c r="I78" s="45" t="s">
        <v>271</v>
      </c>
      <c r="J78" s="45" t="s">
        <v>8177</v>
      </c>
      <c r="K78" s="47">
        <v>46171.90152777778</v>
      </c>
      <c r="L78" s="47">
        <v>46182.314027777778</v>
      </c>
      <c r="M78" s="47">
        <v>46182.41914351852</v>
      </c>
      <c r="N78" s="47">
        <v>46182.41914351852</v>
      </c>
      <c r="Q78" s="45" t="s">
        <v>8191</v>
      </c>
      <c r="S78" s="45" t="s">
        <v>8122</v>
      </c>
      <c r="T78" s="45" t="s">
        <v>1519</v>
      </c>
      <c r="U78" s="45" t="s">
        <v>371</v>
      </c>
      <c r="Z78" s="76">
        <f t="shared" ca="1" si="12"/>
        <v>2.3358101851869533</v>
      </c>
      <c r="AA78" s="75">
        <f t="shared" ca="1" si="1"/>
        <v>6.2288271604985423</v>
      </c>
      <c r="AB78" s="76">
        <f t="shared" ca="1" si="13"/>
        <v>8.5810185186952992E-2</v>
      </c>
      <c r="AC78" s="75">
        <f t="shared" ca="1" si="3"/>
        <v>0.22882716049854132</v>
      </c>
      <c r="AD78" s="76">
        <f t="shared" ca="1" si="14"/>
        <v>8.5810185186952992E-2</v>
      </c>
      <c r="AE78" s="76">
        <f t="shared" ca="1" si="15"/>
        <v>8.5810185186952992E-2</v>
      </c>
      <c r="AF78" s="75">
        <f t="shared" ca="1" si="6"/>
        <v>0.22882716049854132</v>
      </c>
      <c r="AG78" s="75">
        <f t="shared" ca="1" si="7"/>
        <v>0.22882716049854132</v>
      </c>
      <c r="AH78" s="31" t="str" cm="1">
        <f t="array" aca="1" ref="AH78" ca="1">IF((AD78) &lt; (INDEX(ResponseSLA[#All],(MATCH((G78),ResponseSLA[Priority],0))+1,3)),"YES","No")</f>
        <v>YES</v>
      </c>
      <c r="AI78" s="31" t="str">
        <f ca="1">_xlfn.IFNA(IF(AE78 &lt; (INDEX(SLATable[Minimum SLA],MATCH(G78,SLATable[Priority],0))),"YES","NO"),"")</f>
        <v>YES</v>
      </c>
      <c r="AJ78" t="str">
        <f ca="1">_xlfn.IFNA(IF(AE78 &lt; (INDEX(SLATable[Maximum SLA],MATCH(G78,SLATable[Priority],0))),"YES","NO"),"")</f>
        <v>YES</v>
      </c>
    </row>
    <row r="79" spans="1:36" ht="15" customHeight="1">
      <c r="A79" s="45">
        <v>78</v>
      </c>
      <c r="B79" s="45" t="s">
        <v>26</v>
      </c>
      <c r="C79" s="45" t="s">
        <v>41</v>
      </c>
      <c r="D79" s="45" t="s">
        <v>207</v>
      </c>
      <c r="E79" s="45" t="s">
        <v>8282</v>
      </c>
      <c r="F79" s="45" t="s">
        <v>40</v>
      </c>
      <c r="G79" s="66">
        <v>4</v>
      </c>
      <c r="H79" s="45" t="s">
        <v>8283</v>
      </c>
      <c r="I79" s="45" t="s">
        <v>271</v>
      </c>
      <c r="J79" s="45" t="s">
        <v>8120</v>
      </c>
      <c r="K79" s="147">
        <v>46182.90525462963</v>
      </c>
      <c r="L79" s="147">
        <v>46182.92564814815</v>
      </c>
      <c r="M79" s="147">
        <v>46183.256261574075</v>
      </c>
      <c r="N79" s="147">
        <v>46183.257430555554</v>
      </c>
      <c r="Q79" s="45" t="s">
        <v>8191</v>
      </c>
      <c r="S79" s="45" t="s">
        <v>8122</v>
      </c>
      <c r="T79" s="45" t="s">
        <v>1519</v>
      </c>
      <c r="U79" s="45" t="s">
        <v>371</v>
      </c>
      <c r="Z79" s="76">
        <f t="shared" ca="1" si="12"/>
        <v>0</v>
      </c>
      <c r="AA79" s="75">
        <f t="shared" ca="1" si="1"/>
        <v>0</v>
      </c>
      <c r="AB79" s="76">
        <f t="shared" ca="1" si="13"/>
        <v>0</v>
      </c>
      <c r="AC79" s="75">
        <f t="shared" ca="1" si="3"/>
        <v>0</v>
      </c>
      <c r="AD79" s="76">
        <f t="shared" ca="1" si="14"/>
        <v>0</v>
      </c>
      <c r="AE79" s="76">
        <f t="shared" ca="1" si="15"/>
        <v>0</v>
      </c>
      <c r="AF79" s="75">
        <f t="shared" ca="1" si="6"/>
        <v>0</v>
      </c>
      <c r="AG79" s="75">
        <f t="shared" ca="1" si="7"/>
        <v>0</v>
      </c>
      <c r="AH79" s="31" t="str" cm="1">
        <f t="array" aca="1" ref="AH79" ca="1">IF((AD79) &lt; (INDEX(ResponseSLA[#All],(MATCH((G79),ResponseSLA[Priority],0))+1,3)),"YES","No")</f>
        <v>YES</v>
      </c>
      <c r="AI79" s="31" t="str">
        <f ca="1">_xlfn.IFNA(IF(AE79 &lt; (INDEX(SLATable[Minimum SLA],MATCH(G79,SLATable[Priority],0))),"YES","NO"),"")</f>
        <v>YES</v>
      </c>
      <c r="AJ79" t="str">
        <f ca="1">_xlfn.IFNA(IF(AE79 &lt; (INDEX(SLATable[Maximum SLA],MATCH(G79,SLATable[Priority],0))),"YES","NO"),"")</f>
        <v>YES</v>
      </c>
    </row>
    <row r="80" spans="1:36" ht="15" customHeight="1">
      <c r="A80" s="45">
        <v>79</v>
      </c>
      <c r="B80" s="45" t="s">
        <v>26</v>
      </c>
      <c r="C80" s="45" t="s">
        <v>41</v>
      </c>
      <c r="D80" s="45" t="s">
        <v>207</v>
      </c>
      <c r="E80" s="45" t="s">
        <v>8284</v>
      </c>
      <c r="F80" s="45" t="s">
        <v>40</v>
      </c>
      <c r="G80" s="66">
        <v>4</v>
      </c>
      <c r="H80" s="45" t="s">
        <v>8285</v>
      </c>
      <c r="I80" s="45" t="s">
        <v>271</v>
      </c>
      <c r="J80" s="45" t="s">
        <v>8120</v>
      </c>
      <c r="K80" s="147">
        <v>46183.172488425924</v>
      </c>
      <c r="L80" s="147">
        <v>46183.172488425924</v>
      </c>
      <c r="M80" s="147">
        <v>46183.259155092594</v>
      </c>
      <c r="N80" s="147">
        <v>46183.259687500002</v>
      </c>
      <c r="Q80" s="45" t="s">
        <v>8191</v>
      </c>
      <c r="S80" s="45" t="s">
        <v>8122</v>
      </c>
      <c r="T80" s="45" t="s">
        <v>1519</v>
      </c>
      <c r="U80" s="45" t="s">
        <v>371</v>
      </c>
      <c r="Z80" s="76">
        <f t="shared" ca="1" si="12"/>
        <v>0</v>
      </c>
      <c r="AA80" s="75">
        <f t="shared" ca="1" si="1"/>
        <v>0</v>
      </c>
      <c r="AB80" s="76">
        <f t="shared" ca="1" si="13"/>
        <v>0</v>
      </c>
      <c r="AC80" s="75">
        <f t="shared" ca="1" si="3"/>
        <v>0</v>
      </c>
      <c r="AD80" s="76">
        <f t="shared" ca="1" si="14"/>
        <v>0</v>
      </c>
      <c r="AE80" s="76">
        <f t="shared" ca="1" si="15"/>
        <v>0</v>
      </c>
      <c r="AF80" s="75">
        <f t="shared" ca="1" si="6"/>
        <v>0</v>
      </c>
      <c r="AG80" s="75">
        <f t="shared" ca="1" si="7"/>
        <v>0</v>
      </c>
      <c r="AH80" s="31" t="str" cm="1">
        <f t="array" aca="1" ref="AH80" ca="1">IF((AD80) &lt; (INDEX(ResponseSLA[#All],(MATCH((G80),ResponseSLA[Priority],0))+1,3)),"YES","No")</f>
        <v>YES</v>
      </c>
      <c r="AI80" s="31" t="str">
        <f ca="1">_xlfn.IFNA(IF(AE80 &lt; (INDEX(SLATable[Minimum SLA],MATCH(G80,SLATable[Priority],0))),"YES","NO"),"")</f>
        <v>YES</v>
      </c>
      <c r="AJ80" t="str">
        <f ca="1">_xlfn.IFNA(IF(AE80 &lt; (INDEX(SLATable[Maximum SLA],MATCH(G80,SLATable[Priority],0))),"YES","NO"),"")</f>
        <v>YES</v>
      </c>
    </row>
    <row r="81" spans="1:36" ht="15" customHeight="1">
      <c r="A81" s="45">
        <v>80</v>
      </c>
      <c r="B81" s="45" t="s">
        <v>26</v>
      </c>
      <c r="C81" s="45" t="s">
        <v>41</v>
      </c>
      <c r="D81" s="45" t="s">
        <v>207</v>
      </c>
      <c r="E81" s="45" t="s">
        <v>8286</v>
      </c>
      <c r="F81" s="45" t="s">
        <v>40</v>
      </c>
      <c r="G81" s="66">
        <v>3</v>
      </c>
      <c r="H81" s="45" t="s">
        <v>8287</v>
      </c>
      <c r="I81" s="45" t="s">
        <v>271</v>
      </c>
      <c r="J81" s="45" t="s">
        <v>8120</v>
      </c>
      <c r="K81" s="147">
        <v>46175.563078703701</v>
      </c>
      <c r="L81" s="147">
        <v>46175.6877662037</v>
      </c>
      <c r="M81" s="147">
        <v>46176.195474537039</v>
      </c>
      <c r="N81" s="147">
        <v>46183.311053240737</v>
      </c>
      <c r="O81" s="147">
        <v>46176.551354166666</v>
      </c>
      <c r="P81" s="47">
        <v>46183.311053240737</v>
      </c>
      <c r="Q81" s="45" t="s">
        <v>8191</v>
      </c>
      <c r="S81" s="45" t="s">
        <v>8122</v>
      </c>
      <c r="T81" s="45" t="s">
        <v>1455</v>
      </c>
      <c r="U81" s="45" t="s">
        <v>371</v>
      </c>
      <c r="Z81" s="76">
        <f t="shared" ca="1" si="12"/>
        <v>0.3632754629652486</v>
      </c>
      <c r="AA81" s="75">
        <f t="shared" ca="1" si="1"/>
        <v>0.96873456790732959</v>
      </c>
      <c r="AB81" s="76">
        <f t="shared" ca="1" si="13"/>
        <v>0.23858796296553964</v>
      </c>
      <c r="AC81" s="75">
        <f t="shared" ca="1" si="3"/>
        <v>0.63623456790810573</v>
      </c>
      <c r="AD81" s="76">
        <f t="shared" ca="1" si="14"/>
        <v>2.0567129632884984E-2</v>
      </c>
      <c r="AE81" s="76">
        <f t="shared" ca="1" si="15"/>
        <v>0.23858796296553964</v>
      </c>
      <c r="AF81" s="75">
        <f t="shared" ca="1" si="6"/>
        <v>0.63623456790810573</v>
      </c>
      <c r="AG81" s="75">
        <f t="shared" ca="1" si="7"/>
        <v>0.63623456790810573</v>
      </c>
      <c r="AH81" s="31" t="str" cm="1">
        <f t="array" aca="1" ref="AH81" ca="1">IF((AD81) &lt; (INDEX(ResponseSLA[#All],(MATCH((G81),ResponseSLA[Priority],0))+1,3)),"YES","No")</f>
        <v>YES</v>
      </c>
      <c r="AI81" s="31" t="str">
        <f ca="1">_xlfn.IFNA(IF(AE81 &lt; (INDEX(SLATable[Minimum SLA],MATCH(G81,SLATable[Priority],0))),"YES","NO"),"")</f>
        <v>YES</v>
      </c>
      <c r="AJ81" t="str">
        <f ca="1">_xlfn.IFNA(IF(AE81 &lt; (INDEX(SLATable[Maximum SLA],MATCH(G81,SLATable[Priority],0))),"YES","NO"),"")</f>
        <v>YES</v>
      </c>
    </row>
    <row r="82" spans="1:36" ht="15" customHeight="1">
      <c r="A82" s="45">
        <v>81</v>
      </c>
      <c r="B82" s="45" t="s">
        <v>26</v>
      </c>
      <c r="C82" s="45" t="s">
        <v>41</v>
      </c>
      <c r="D82" s="45" t="s">
        <v>207</v>
      </c>
      <c r="E82" s="45" t="s">
        <v>8288</v>
      </c>
      <c r="F82" s="45" t="s">
        <v>40</v>
      </c>
      <c r="G82" s="66">
        <v>4</v>
      </c>
      <c r="H82" s="45" t="s">
        <v>8289</v>
      </c>
      <c r="I82" s="45" t="s">
        <v>271</v>
      </c>
      <c r="J82" s="45" t="s">
        <v>8120</v>
      </c>
      <c r="K82" s="147">
        <v>46183.17260416667</v>
      </c>
      <c r="L82" s="147">
        <v>46183.342164351852</v>
      </c>
      <c r="M82" s="147">
        <v>46183.352870370371</v>
      </c>
      <c r="N82" s="147">
        <v>46183.353506944448</v>
      </c>
      <c r="Q82" s="45" t="s">
        <v>8191</v>
      </c>
      <c r="S82" s="45" t="s">
        <v>8122</v>
      </c>
      <c r="T82" s="45" t="s">
        <v>1519</v>
      </c>
      <c r="U82" s="45" t="s">
        <v>371</v>
      </c>
      <c r="Z82" s="76">
        <f t="shared" ca="1" si="12"/>
        <v>2.0173611114538914E-2</v>
      </c>
      <c r="AA82" s="75">
        <f t="shared" ca="1" si="1"/>
        <v>5.3796296305437107E-2</v>
      </c>
      <c r="AB82" s="76">
        <f t="shared" ca="1" si="13"/>
        <v>1.1342592595610768E-2</v>
      </c>
      <c r="AC82" s="75">
        <f t="shared" ca="1" si="3"/>
        <v>3.0246913588295381E-2</v>
      </c>
      <c r="AD82" s="76">
        <f t="shared" ca="1" si="14"/>
        <v>1.0706018518249039E-2</v>
      </c>
      <c r="AE82" s="76">
        <f t="shared" ca="1" si="15"/>
        <v>1.1342592595610768E-2</v>
      </c>
      <c r="AF82" s="75">
        <f t="shared" ca="1" si="6"/>
        <v>3.0246913588295381E-2</v>
      </c>
      <c r="AG82" s="75">
        <f t="shared" ca="1" si="7"/>
        <v>3.0246913588295381E-2</v>
      </c>
      <c r="AH82" s="31" t="str" cm="1">
        <f t="array" aca="1" ref="AH82" ca="1">IF((AD82) &lt; (INDEX(ResponseSLA[#All],(MATCH((G82),ResponseSLA[Priority],0))+1,3)),"YES","No")</f>
        <v>YES</v>
      </c>
      <c r="AI82" s="31" t="str">
        <f ca="1">_xlfn.IFNA(IF(AE82 &lt; (INDEX(SLATable[Minimum SLA],MATCH(G82,SLATable[Priority],0))),"YES","NO"),"")</f>
        <v>YES</v>
      </c>
      <c r="AJ82" t="str">
        <f ca="1">_xlfn.IFNA(IF(AE82 &lt; (INDEX(SLATable[Maximum SLA],MATCH(G82,SLATable[Priority],0))),"YES","NO"),"")</f>
        <v>YES</v>
      </c>
    </row>
    <row r="83" spans="1:36" ht="15" customHeight="1">
      <c r="A83" s="45">
        <v>82</v>
      </c>
      <c r="B83" s="45" t="s">
        <v>26</v>
      </c>
      <c r="C83" s="45" t="s">
        <v>41</v>
      </c>
      <c r="D83" s="45" t="s">
        <v>207</v>
      </c>
      <c r="E83" s="45" t="s">
        <v>8290</v>
      </c>
      <c r="F83" s="45" t="s">
        <v>40</v>
      </c>
      <c r="G83" s="66">
        <v>4</v>
      </c>
      <c r="H83" s="45" t="s">
        <v>8291</v>
      </c>
      <c r="I83" s="45" t="s">
        <v>271</v>
      </c>
      <c r="J83" s="45" t="s">
        <v>8177</v>
      </c>
      <c r="K83" s="47">
        <v>46184.174629629626</v>
      </c>
      <c r="L83" s="147">
        <v>46184.259398148148</v>
      </c>
      <c r="M83" s="147">
        <v>46184.259398148148</v>
      </c>
      <c r="N83" s="147">
        <v>46184.259398148148</v>
      </c>
      <c r="Q83" s="45" t="s">
        <v>8191</v>
      </c>
      <c r="S83" s="45" t="s">
        <v>8122</v>
      </c>
      <c r="T83" s="45" t="s">
        <v>1519</v>
      </c>
      <c r="U83" s="45" t="s">
        <v>371</v>
      </c>
      <c r="Z83" s="76">
        <f t="shared" ca="1" si="12"/>
        <v>0</v>
      </c>
      <c r="AA83" s="75">
        <f t="shared" ca="1" si="1"/>
        <v>0</v>
      </c>
      <c r="AB83" s="76">
        <f t="shared" ca="1" si="13"/>
        <v>0</v>
      </c>
      <c r="AC83" s="75">
        <f t="shared" ca="1" si="3"/>
        <v>0</v>
      </c>
      <c r="AD83" s="76">
        <f t="shared" ca="1" si="14"/>
        <v>0</v>
      </c>
      <c r="AE83" s="76">
        <f t="shared" ca="1" si="15"/>
        <v>0</v>
      </c>
      <c r="AF83" s="75">
        <f t="shared" ca="1" si="6"/>
        <v>0</v>
      </c>
      <c r="AG83" s="75">
        <f t="shared" ca="1" si="7"/>
        <v>0</v>
      </c>
      <c r="AH83" s="31" t="str" cm="1">
        <f t="array" aca="1" ref="AH83" ca="1">IF((AD83) &lt; (INDEX(ResponseSLA[#All],(MATCH((G83),ResponseSLA[Priority],0))+1,3)),"YES","No")</f>
        <v>YES</v>
      </c>
      <c r="AI83" s="31" t="str">
        <f ca="1">_xlfn.IFNA(IF(AE83 &lt; (INDEX(SLATable[Minimum SLA],MATCH(G83,SLATable[Priority],0))),"YES","NO"),"")</f>
        <v>YES</v>
      </c>
      <c r="AJ83" t="str">
        <f ca="1">_xlfn.IFNA(IF(AE83 &lt; (INDEX(SLATable[Maximum SLA],MATCH(G83,SLATable[Priority],0))),"YES","NO"),"")</f>
        <v>YES</v>
      </c>
    </row>
    <row r="84" spans="1:36" ht="15" customHeight="1">
      <c r="A84" s="45">
        <v>83</v>
      </c>
      <c r="B84" s="45" t="s">
        <v>26</v>
      </c>
      <c r="C84" s="45" t="s">
        <v>41</v>
      </c>
      <c r="D84" s="45" t="s">
        <v>207</v>
      </c>
      <c r="E84" s="45" t="s">
        <v>8292</v>
      </c>
      <c r="F84" s="45" t="s">
        <v>40</v>
      </c>
      <c r="G84" s="66">
        <v>4</v>
      </c>
      <c r="H84" s="45" t="s">
        <v>8293</v>
      </c>
      <c r="I84" s="45" t="s">
        <v>271</v>
      </c>
      <c r="J84" s="45" t="s">
        <v>8177</v>
      </c>
      <c r="K84" s="47">
        <v>46183.89570601852</v>
      </c>
      <c r="L84" s="47">
        <v>46185.259398090275</v>
      </c>
      <c r="M84" s="47">
        <v>46185.259398090275</v>
      </c>
      <c r="N84" s="47">
        <v>46185.259398090275</v>
      </c>
      <c r="Q84" s="45" t="s">
        <v>8191</v>
      </c>
      <c r="S84" s="45" t="s">
        <v>8122</v>
      </c>
      <c r="T84" s="45" t="s">
        <v>1519</v>
      </c>
      <c r="U84" s="45" t="s">
        <v>371</v>
      </c>
      <c r="Z84" s="76">
        <f t="shared" ca="1" si="12"/>
        <v>0.37500000000000011</v>
      </c>
      <c r="AA84" s="75">
        <f t="shared" ca="1" si="1"/>
        <v>1.0000000000000004</v>
      </c>
      <c r="AB84" s="76">
        <f t="shared" ca="1" si="13"/>
        <v>0</v>
      </c>
      <c r="AC84" s="75">
        <f t="shared" ca="1" si="3"/>
        <v>0</v>
      </c>
      <c r="AD84" s="76">
        <f t="shared" ca="1" si="14"/>
        <v>0</v>
      </c>
      <c r="AE84" s="76">
        <f t="shared" ca="1" si="15"/>
        <v>0</v>
      </c>
      <c r="AF84" s="75">
        <f t="shared" ca="1" si="6"/>
        <v>0</v>
      </c>
      <c r="AG84" s="75">
        <f t="shared" ca="1" si="7"/>
        <v>0</v>
      </c>
      <c r="AH84" s="31" t="str" cm="1">
        <f t="array" aca="1" ref="AH84" ca="1">IF((AD84) &lt; (INDEX(ResponseSLA[#All],(MATCH((G84),ResponseSLA[Priority],0))+1,3)),"YES","No")</f>
        <v>YES</v>
      </c>
      <c r="AI84" s="31" t="str">
        <f ca="1">_xlfn.IFNA(IF(AE84 &lt; (INDEX(SLATable[Minimum SLA],MATCH(G84,SLATable[Priority],0))),"YES","NO"),"")</f>
        <v>YES</v>
      </c>
      <c r="AJ84" t="str">
        <f ca="1">_xlfn.IFNA(IF(AE84 &lt; (INDEX(SLATable[Maximum SLA],MATCH(G84,SLATable[Priority],0))),"YES","NO"),"")</f>
        <v>YES</v>
      </c>
    </row>
    <row r="85" spans="1:36" ht="15" customHeight="1">
      <c r="A85" s="45">
        <v>84</v>
      </c>
      <c r="B85" s="45" t="s">
        <v>26</v>
      </c>
      <c r="C85" s="45" t="s">
        <v>41</v>
      </c>
      <c r="D85" s="45" t="s">
        <v>207</v>
      </c>
      <c r="E85" s="45" t="s">
        <v>8294</v>
      </c>
      <c r="F85" s="45" t="s">
        <v>40</v>
      </c>
      <c r="G85" s="66">
        <v>4</v>
      </c>
      <c r="H85" s="45" t="s">
        <v>8293</v>
      </c>
      <c r="I85" s="45" t="s">
        <v>271</v>
      </c>
      <c r="J85" s="45" t="s">
        <v>8177</v>
      </c>
      <c r="K85" s="47">
        <v>46184.89570601852</v>
      </c>
      <c r="L85" s="47">
        <v>46186.259398090275</v>
      </c>
      <c r="M85" s="47">
        <v>46186.259398090275</v>
      </c>
      <c r="N85" s="47">
        <v>46186.259398090275</v>
      </c>
      <c r="Q85" s="45" t="s">
        <v>8191</v>
      </c>
      <c r="S85" s="45" t="s">
        <v>8122</v>
      </c>
      <c r="T85" s="45" t="s">
        <v>1519</v>
      </c>
      <c r="U85" s="45" t="s">
        <v>371</v>
      </c>
      <c r="Z85" s="76">
        <f t="shared" ca="1" si="12"/>
        <v>0</v>
      </c>
      <c r="AA85" s="75">
        <f t="shared" ca="1" si="1"/>
        <v>0</v>
      </c>
      <c r="AB85" s="76">
        <f t="shared" ca="1" si="13"/>
        <v>0</v>
      </c>
      <c r="AC85" s="75">
        <f t="shared" ca="1" si="3"/>
        <v>0</v>
      </c>
      <c r="AD85" s="76">
        <f t="shared" ca="1" si="14"/>
        <v>0</v>
      </c>
      <c r="AE85" s="76">
        <f t="shared" ca="1" si="15"/>
        <v>0</v>
      </c>
      <c r="AF85" s="75">
        <f t="shared" ca="1" si="6"/>
        <v>0</v>
      </c>
      <c r="AG85" s="75">
        <f t="shared" ca="1" si="7"/>
        <v>0</v>
      </c>
      <c r="AH85" s="31" t="str" cm="1">
        <f t="array" aca="1" ref="AH85" ca="1">IF((AD85) &lt; (INDEX(ResponseSLA[#All],(MATCH((G85),ResponseSLA[Priority],0))+1,3)),"YES","No")</f>
        <v>YES</v>
      </c>
      <c r="AI85" s="31" t="str">
        <f ca="1">_xlfn.IFNA(IF(AE85 &lt; (INDEX(SLATable[Minimum SLA],MATCH(G85,SLATable[Priority],0))),"YES","NO"),"")</f>
        <v>YES</v>
      </c>
      <c r="AJ85" t="str">
        <f ca="1">_xlfn.IFNA(IF(AE85 &lt; (INDEX(SLATable[Maximum SLA],MATCH(G85,SLATable[Priority],0))),"YES","NO"),"")</f>
        <v>YES</v>
      </c>
    </row>
    <row r="86" spans="1:36" ht="15" customHeight="1">
      <c r="A86" s="45">
        <v>85</v>
      </c>
      <c r="B86" s="45" t="s">
        <v>26</v>
      </c>
      <c r="C86" s="45" t="s">
        <v>41</v>
      </c>
      <c r="D86" s="45" t="s">
        <v>207</v>
      </c>
      <c r="E86" s="45" t="s">
        <v>8295</v>
      </c>
      <c r="F86" s="45" t="s">
        <v>40</v>
      </c>
      <c r="G86" s="66">
        <v>4</v>
      </c>
      <c r="H86" s="45" t="s">
        <v>8293</v>
      </c>
      <c r="I86" s="45" t="s">
        <v>271</v>
      </c>
      <c r="J86" s="45" t="s">
        <v>8177</v>
      </c>
      <c r="K86" s="47">
        <v>46185.89570601852</v>
      </c>
      <c r="L86" s="47">
        <v>46187.259398090275</v>
      </c>
      <c r="M86" s="47">
        <v>46187.259398090275</v>
      </c>
      <c r="N86" s="47">
        <v>46187.259398090275</v>
      </c>
      <c r="Q86" s="45" t="s">
        <v>8191</v>
      </c>
      <c r="S86" s="45" t="s">
        <v>8122</v>
      </c>
      <c r="T86" s="45" t="s">
        <v>1519</v>
      </c>
      <c r="U86" s="45" t="s">
        <v>371</v>
      </c>
      <c r="Z86" s="76">
        <f t="shared" ca="1" si="12"/>
        <v>0</v>
      </c>
      <c r="AA86" s="75">
        <f t="shared" ca="1" si="1"/>
        <v>0</v>
      </c>
      <c r="AB86" s="76">
        <f t="shared" ca="1" si="13"/>
        <v>0</v>
      </c>
      <c r="AC86" s="75">
        <f t="shared" ca="1" si="3"/>
        <v>0</v>
      </c>
      <c r="AD86" s="76">
        <f t="shared" ca="1" si="14"/>
        <v>0</v>
      </c>
      <c r="AE86" s="76">
        <f t="shared" ca="1" si="15"/>
        <v>0</v>
      </c>
      <c r="AF86" s="75">
        <f t="shared" ca="1" si="6"/>
        <v>0</v>
      </c>
      <c r="AG86" s="75">
        <f t="shared" ca="1" si="7"/>
        <v>0</v>
      </c>
      <c r="AH86" s="31" t="str" cm="1">
        <f t="array" aca="1" ref="AH86" ca="1">IF((AD86) &lt; (INDEX(ResponseSLA[#All],(MATCH((G86),ResponseSLA[Priority],0))+1,3)),"YES","No")</f>
        <v>YES</v>
      </c>
      <c r="AI86" s="31" t="str">
        <f ca="1">_xlfn.IFNA(IF(AE86 &lt; (INDEX(SLATable[Minimum SLA],MATCH(G86,SLATable[Priority],0))),"YES","NO"),"")</f>
        <v>YES</v>
      </c>
      <c r="AJ86" t="str">
        <f ca="1">_xlfn.IFNA(IF(AE86 &lt; (INDEX(SLATable[Maximum SLA],MATCH(G86,SLATable[Priority],0))),"YES","NO"),"")</f>
        <v>YES</v>
      </c>
    </row>
    <row r="87" spans="1:36" ht="15" customHeight="1">
      <c r="A87" s="45">
        <v>86</v>
      </c>
      <c r="B87" s="45" t="s">
        <v>26</v>
      </c>
      <c r="C87" s="45" t="s">
        <v>41</v>
      </c>
      <c r="D87" s="45" t="s">
        <v>207</v>
      </c>
      <c r="E87" s="45" t="s">
        <v>8296</v>
      </c>
      <c r="F87" s="45" t="s">
        <v>40</v>
      </c>
      <c r="G87" s="66">
        <v>4</v>
      </c>
      <c r="H87" s="45" t="s">
        <v>8293</v>
      </c>
      <c r="I87" s="45" t="s">
        <v>271</v>
      </c>
      <c r="J87" s="45" t="s">
        <v>8177</v>
      </c>
      <c r="K87" s="47">
        <v>46186.89570601852</v>
      </c>
      <c r="L87" s="47">
        <v>46188.259398032409</v>
      </c>
      <c r="M87" s="47">
        <v>46188.259398032409</v>
      </c>
      <c r="N87" s="47">
        <v>46188.259398032409</v>
      </c>
      <c r="Q87" s="45" t="s">
        <v>8191</v>
      </c>
      <c r="S87" s="45" t="s">
        <v>8122</v>
      </c>
      <c r="T87" s="45" t="s">
        <v>1519</v>
      </c>
      <c r="U87" s="45" t="s">
        <v>371</v>
      </c>
      <c r="Z87" s="76">
        <f t="shared" ca="1" si="12"/>
        <v>0</v>
      </c>
      <c r="AA87" s="75">
        <f t="shared" ca="1" si="1"/>
        <v>0</v>
      </c>
      <c r="AB87" s="76">
        <f t="shared" ca="1" si="13"/>
        <v>0</v>
      </c>
      <c r="AC87" s="75">
        <f t="shared" ca="1" si="3"/>
        <v>0</v>
      </c>
      <c r="AD87" s="76">
        <f t="shared" ca="1" si="14"/>
        <v>0</v>
      </c>
      <c r="AE87" s="76">
        <f t="shared" ca="1" si="15"/>
        <v>0</v>
      </c>
      <c r="AF87" s="75">
        <f t="shared" ca="1" si="6"/>
        <v>0</v>
      </c>
      <c r="AG87" s="75">
        <f t="shared" ca="1" si="7"/>
        <v>0</v>
      </c>
      <c r="AH87" s="31" t="str" cm="1">
        <f t="array" aca="1" ref="AH87" ca="1">IF((AD87) &lt; (INDEX(ResponseSLA[#All],(MATCH((G87),ResponseSLA[Priority],0))+1,3)),"YES","No")</f>
        <v>YES</v>
      </c>
      <c r="AI87" s="31" t="str">
        <f ca="1">_xlfn.IFNA(IF(AE87 &lt; (INDEX(SLATable[Minimum SLA],MATCH(G87,SLATable[Priority],0))),"YES","NO"),"")</f>
        <v>YES</v>
      </c>
      <c r="AJ87" t="str">
        <f ca="1">_xlfn.IFNA(IF(AE87 &lt; (INDEX(SLATable[Maximum SLA],MATCH(G87,SLATable[Priority],0))),"YES","NO"),"")</f>
        <v>YES</v>
      </c>
    </row>
    <row r="88" spans="1:36" ht="15" customHeight="1">
      <c r="A88" s="45">
        <v>87</v>
      </c>
      <c r="B88" s="45" t="s">
        <v>26</v>
      </c>
      <c r="C88" s="45" t="s">
        <v>41</v>
      </c>
      <c r="D88" s="45" t="s">
        <v>207</v>
      </c>
      <c r="E88" s="45" t="s">
        <v>8297</v>
      </c>
      <c r="F88" s="45" t="s">
        <v>40</v>
      </c>
      <c r="G88" s="66">
        <v>3</v>
      </c>
      <c r="H88" s="45" t="s">
        <v>8298</v>
      </c>
      <c r="I88" s="45" t="s">
        <v>271</v>
      </c>
      <c r="J88" s="45" t="s">
        <v>8120</v>
      </c>
      <c r="K88" s="147">
        <v>46170.64</v>
      </c>
      <c r="L88" s="147">
        <v>46170.64</v>
      </c>
      <c r="M88" s="147">
        <v>46171.195034722223</v>
      </c>
      <c r="N88" s="147">
        <v>46184.555798611109</v>
      </c>
      <c r="O88" s="147">
        <v>46171.465601851851</v>
      </c>
      <c r="P88" s="47">
        <v>46184.555798611109</v>
      </c>
      <c r="Q88" s="45" t="s">
        <v>8191</v>
      </c>
      <c r="S88" s="45" t="s">
        <v>8122</v>
      </c>
      <c r="T88" s="45" t="s">
        <v>1455</v>
      </c>
      <c r="U88" s="45" t="s">
        <v>371</v>
      </c>
      <c r="Z88" s="76">
        <f t="shared" ca="1" si="12"/>
        <v>0.2006018518513879</v>
      </c>
      <c r="AA88" s="75">
        <f t="shared" ca="1" si="1"/>
        <v>0.53493827160370111</v>
      </c>
      <c r="AB88" s="76">
        <f t="shared" ca="1" si="13"/>
        <v>0.2006018518513879</v>
      </c>
      <c r="AC88" s="75">
        <f t="shared" ca="1" si="3"/>
        <v>0.53493827160370111</v>
      </c>
      <c r="AD88" s="76">
        <f t="shared" ca="1" si="14"/>
        <v>6.8333333333915447E-2</v>
      </c>
      <c r="AE88" s="76">
        <f t="shared" ca="1" si="15"/>
        <v>0.2006018518513879</v>
      </c>
      <c r="AF88" s="75">
        <f t="shared" ca="1" si="6"/>
        <v>0.53493827160370111</v>
      </c>
      <c r="AG88" s="75">
        <f t="shared" ca="1" si="7"/>
        <v>0.53493827160370111</v>
      </c>
      <c r="AH88" s="31" t="str" cm="1">
        <f t="array" aca="1" ref="AH88" ca="1">IF((AD88) &lt; (INDEX(ResponseSLA[#All],(MATCH((G88),ResponseSLA[Priority],0))+1,3)),"YES","No")</f>
        <v>YES</v>
      </c>
      <c r="AI88" s="31" t="str">
        <f ca="1">_xlfn.IFNA(IF(AE88 &lt; (INDEX(SLATable[Minimum SLA],MATCH(G88,SLATable[Priority],0))),"YES","NO"),"")</f>
        <v>YES</v>
      </c>
      <c r="AJ88" t="str">
        <f ca="1">_xlfn.IFNA(IF(AE88 &lt; (INDEX(SLATable[Maximum SLA],MATCH(G88,SLATable[Priority],0))),"YES","NO"),"")</f>
        <v>YES</v>
      </c>
    </row>
    <row r="89" spans="1:36" ht="15" customHeight="1">
      <c r="A89" s="45">
        <v>88</v>
      </c>
      <c r="B89" s="45" t="s">
        <v>26</v>
      </c>
      <c r="C89" s="45" t="s">
        <v>41</v>
      </c>
      <c r="D89" s="45" t="s">
        <v>207</v>
      </c>
      <c r="E89" s="45" t="s">
        <v>8299</v>
      </c>
      <c r="F89" s="45" t="s">
        <v>40</v>
      </c>
      <c r="G89" s="66">
        <v>4</v>
      </c>
      <c r="H89" s="45" t="s">
        <v>8300</v>
      </c>
      <c r="I89" s="45" t="s">
        <v>271</v>
      </c>
      <c r="J89" s="45" t="s">
        <v>8120</v>
      </c>
      <c r="K89" s="147">
        <v>46185.169861111113</v>
      </c>
      <c r="L89" s="147">
        <v>46185.183368055557</v>
      </c>
      <c r="M89" s="147">
        <v>46185.25540509259</v>
      </c>
      <c r="N89" s="147">
        <v>46185.258726851855</v>
      </c>
      <c r="Q89" s="45" t="s">
        <v>8191</v>
      </c>
      <c r="S89" s="45" t="s">
        <v>8122</v>
      </c>
      <c r="T89" s="45" t="s">
        <v>1519</v>
      </c>
      <c r="U89" s="45" t="s">
        <v>371</v>
      </c>
      <c r="Z89" s="76">
        <f t="shared" ca="1" si="12"/>
        <v>0</v>
      </c>
      <c r="AA89" s="75">
        <f t="shared" ca="1" si="1"/>
        <v>0</v>
      </c>
      <c r="AB89" s="76">
        <f t="shared" ca="1" si="13"/>
        <v>0</v>
      </c>
      <c r="AC89" s="75">
        <f t="shared" ca="1" si="3"/>
        <v>0</v>
      </c>
      <c r="AD89" s="76">
        <f t="shared" ca="1" si="14"/>
        <v>0</v>
      </c>
      <c r="AE89" s="76">
        <f t="shared" ca="1" si="15"/>
        <v>0</v>
      </c>
      <c r="AF89" s="75">
        <f t="shared" ca="1" si="6"/>
        <v>0</v>
      </c>
      <c r="AG89" s="75">
        <f t="shared" ca="1" si="7"/>
        <v>0</v>
      </c>
      <c r="AH89" s="31" t="str" cm="1">
        <f t="array" aca="1" ref="AH89" ca="1">IF((AD89) &lt; (INDEX(ResponseSLA[#All],(MATCH((G89),ResponseSLA[Priority],0))+1,3)),"YES","No")</f>
        <v>YES</v>
      </c>
      <c r="AI89" s="31" t="str">
        <f ca="1">_xlfn.IFNA(IF(AE89 &lt; (INDEX(SLATable[Minimum SLA],MATCH(G89,SLATable[Priority],0))),"YES","NO"),"")</f>
        <v>YES</v>
      </c>
      <c r="AJ89" t="str">
        <f ca="1">_xlfn.IFNA(IF(AE89 &lt; (INDEX(SLATable[Maximum SLA],MATCH(G89,SLATable[Priority],0))),"YES","NO"),"")</f>
        <v>YES</v>
      </c>
    </row>
    <row r="90" spans="1:36" ht="15" customHeight="1">
      <c r="A90" s="45">
        <v>89</v>
      </c>
      <c r="B90" s="45" t="s">
        <v>26</v>
      </c>
      <c r="C90" s="45" t="s">
        <v>41</v>
      </c>
      <c r="D90" s="45" t="s">
        <v>207</v>
      </c>
      <c r="E90" s="45" t="s">
        <v>8301</v>
      </c>
      <c r="F90" s="45" t="s">
        <v>40</v>
      </c>
      <c r="G90" s="66">
        <v>4</v>
      </c>
      <c r="H90" s="45" t="s">
        <v>8302</v>
      </c>
      <c r="I90" s="45" t="s">
        <v>271</v>
      </c>
      <c r="J90" s="45" t="s">
        <v>8120</v>
      </c>
      <c r="K90" s="147">
        <v>46184.903912037036</v>
      </c>
      <c r="L90" s="147">
        <v>46184.911435185182</v>
      </c>
      <c r="M90" s="147">
        <v>46185.259201388886</v>
      </c>
      <c r="N90" s="147">
        <v>46185.260243055556</v>
      </c>
      <c r="Q90" s="45" t="s">
        <v>8191</v>
      </c>
      <c r="S90" s="45" t="s">
        <v>8122</v>
      </c>
      <c r="T90" s="45" t="s">
        <v>1519</v>
      </c>
      <c r="U90" s="45" t="s">
        <v>371</v>
      </c>
      <c r="Z90" s="76">
        <f t="shared" ca="1" si="12"/>
        <v>0</v>
      </c>
      <c r="AA90" s="75">
        <f t="shared" ca="1" si="1"/>
        <v>0</v>
      </c>
      <c r="AB90" s="76">
        <f t="shared" ca="1" si="13"/>
        <v>0</v>
      </c>
      <c r="AC90" s="75">
        <f t="shared" ca="1" si="3"/>
        <v>0</v>
      </c>
      <c r="AD90" s="76">
        <f t="shared" ca="1" si="14"/>
        <v>0</v>
      </c>
      <c r="AE90" s="76">
        <f t="shared" ca="1" si="15"/>
        <v>0</v>
      </c>
      <c r="AF90" s="75">
        <f t="shared" ca="1" si="6"/>
        <v>0</v>
      </c>
      <c r="AG90" s="75">
        <f t="shared" ca="1" si="7"/>
        <v>0</v>
      </c>
      <c r="AH90" s="31" t="str" cm="1">
        <f t="array" aca="1" ref="AH90" ca="1">IF((AD90) &lt; (INDEX(ResponseSLA[#All],(MATCH((G90),ResponseSLA[Priority],0))+1,3)),"YES","No")</f>
        <v>YES</v>
      </c>
      <c r="AI90" s="31" t="str">
        <f ca="1">_xlfn.IFNA(IF(AE90 &lt; (INDEX(SLATable[Minimum SLA],MATCH(G90,SLATable[Priority],0))),"YES","NO"),"")</f>
        <v>YES</v>
      </c>
      <c r="AJ90" t="str">
        <f ca="1">_xlfn.IFNA(IF(AE90 &lt; (INDEX(SLATable[Maximum SLA],MATCH(G90,SLATable[Priority],0))),"YES","NO"),"")</f>
        <v>YES</v>
      </c>
    </row>
    <row r="91" spans="1:36" ht="15" customHeight="1">
      <c r="A91" s="45">
        <v>90</v>
      </c>
      <c r="B91" s="45" t="s">
        <v>26</v>
      </c>
      <c r="C91" s="45" t="s">
        <v>41</v>
      </c>
      <c r="D91" s="45" t="s">
        <v>207</v>
      </c>
      <c r="E91" s="45" t="s">
        <v>8303</v>
      </c>
      <c r="F91" s="45" t="s">
        <v>40</v>
      </c>
      <c r="G91" s="66">
        <v>4</v>
      </c>
      <c r="H91" s="45" t="s">
        <v>8304</v>
      </c>
      <c r="I91" s="45" t="s">
        <v>271</v>
      </c>
      <c r="J91" s="45" t="s">
        <v>8120</v>
      </c>
      <c r="K91" s="147">
        <v>46181.170451388891</v>
      </c>
      <c r="L91" s="147">
        <v>46185.415150462963</v>
      </c>
      <c r="M91" s="147">
        <v>46185.47928240741</v>
      </c>
      <c r="N91" s="147">
        <v>46185.479745370372</v>
      </c>
      <c r="Q91" s="45" t="s">
        <v>8191</v>
      </c>
      <c r="S91" s="45" t="s">
        <v>8122</v>
      </c>
      <c r="T91" s="45" t="s">
        <v>1519</v>
      </c>
      <c r="U91" s="45" t="s">
        <v>371</v>
      </c>
      <c r="Z91" s="76">
        <f t="shared" ca="1" si="12"/>
        <v>1.6464120370389237</v>
      </c>
      <c r="AA91" s="75">
        <f t="shared" ca="1" si="1"/>
        <v>4.3904320987704635</v>
      </c>
      <c r="AB91" s="76">
        <f t="shared" ca="1" si="13"/>
        <v>6.4594907409627922E-2</v>
      </c>
      <c r="AC91" s="75">
        <f t="shared" ca="1" si="3"/>
        <v>0.17225308642567447</v>
      </c>
      <c r="AD91" s="76">
        <f t="shared" ca="1" si="14"/>
        <v>6.4131944447581191E-2</v>
      </c>
      <c r="AE91" s="76">
        <f t="shared" ca="1" si="15"/>
        <v>6.4594907409627922E-2</v>
      </c>
      <c r="AF91" s="75">
        <f t="shared" ca="1" si="6"/>
        <v>0.17225308642567447</v>
      </c>
      <c r="AG91" s="75">
        <f t="shared" ca="1" si="7"/>
        <v>0.17225308642567447</v>
      </c>
      <c r="AH91" s="31" t="str" cm="1">
        <f t="array" aca="1" ref="AH91" ca="1">IF((AD91) &lt; (INDEX(ResponseSLA[#All],(MATCH((G91),ResponseSLA[Priority],0))+1,3)),"YES","No")</f>
        <v>YES</v>
      </c>
      <c r="AI91" s="31" t="str">
        <f ca="1">_xlfn.IFNA(IF(AE91 &lt; (INDEX(SLATable[Minimum SLA],MATCH(G91,SLATable[Priority],0))),"YES","NO"),"")</f>
        <v>YES</v>
      </c>
      <c r="AJ91" t="str">
        <f ca="1">_xlfn.IFNA(IF(AE91 &lt; (INDEX(SLATable[Maximum SLA],MATCH(G91,SLATable[Priority],0))),"YES","NO"),"")</f>
        <v>YES</v>
      </c>
    </row>
    <row r="92" spans="1:36" ht="15" customHeight="1">
      <c r="A92" s="45">
        <v>91</v>
      </c>
      <c r="B92" s="45" t="s">
        <v>26</v>
      </c>
      <c r="C92" s="45" t="s">
        <v>41</v>
      </c>
      <c r="D92" s="45" t="s">
        <v>207</v>
      </c>
      <c r="E92" s="45" t="s">
        <v>8305</v>
      </c>
      <c r="F92" s="45" t="s">
        <v>40</v>
      </c>
      <c r="G92" s="66">
        <v>3</v>
      </c>
      <c r="H92" s="45" t="s">
        <v>8306</v>
      </c>
      <c r="I92" s="45" t="s">
        <v>271</v>
      </c>
      <c r="J92" s="45" t="s">
        <v>8190</v>
      </c>
      <c r="K92" s="147">
        <v>46182.896840277775</v>
      </c>
      <c r="L92" s="147">
        <v>46183.476226851853</v>
      </c>
      <c r="M92" s="147">
        <v>46183.526724537034</v>
      </c>
      <c r="N92" s="147">
        <v>46192.273125</v>
      </c>
      <c r="O92" s="147">
        <v>46185.253263888888</v>
      </c>
      <c r="P92" s="47">
        <v>46192.273125</v>
      </c>
      <c r="Q92" s="45" t="s">
        <v>8191</v>
      </c>
      <c r="S92" s="45" t="s">
        <v>8122</v>
      </c>
      <c r="T92" s="45" t="s">
        <v>1519</v>
      </c>
      <c r="U92" s="45" t="s">
        <v>371</v>
      </c>
      <c r="Z92" s="76">
        <f t="shared" ca="1" si="12"/>
        <v>0.75000000000000022</v>
      </c>
      <c r="AA92" s="75">
        <f t="shared" ca="1" si="1"/>
        <v>2.0000000000000009</v>
      </c>
      <c r="AB92" s="76">
        <f t="shared" ca="1" si="13"/>
        <v>0.60710648147990809</v>
      </c>
      <c r="AC92" s="75">
        <f t="shared" ca="1" si="3"/>
        <v>1.618950617279755</v>
      </c>
      <c r="AD92" s="76">
        <f t="shared" ca="1" si="14"/>
        <v>5.0497685180744156E-2</v>
      </c>
      <c r="AE92" s="76">
        <f t="shared" ca="1" si="15"/>
        <v>0.60710648147990809</v>
      </c>
      <c r="AF92" s="75">
        <f t="shared" ca="1" si="6"/>
        <v>1.618950617279755</v>
      </c>
      <c r="AG92" s="75">
        <f t="shared" ca="1" si="7"/>
        <v>1.618950617279755</v>
      </c>
      <c r="AH92" s="31" t="str" cm="1">
        <f t="array" aca="1" ref="AH92" ca="1">IF((AD92) &lt; (INDEX(ResponseSLA[#All],(MATCH((G92),ResponseSLA[Priority],0))+1,3)),"YES","No")</f>
        <v>YES</v>
      </c>
      <c r="AI92" s="31" t="str">
        <f ca="1">_xlfn.IFNA(IF(AE92 &lt; (INDEX(SLATable[Minimum SLA],MATCH(G92,SLATable[Priority],0))),"YES","NO"),"")</f>
        <v>NO</v>
      </c>
      <c r="AJ92" t="str">
        <f ca="1">_xlfn.IFNA(IF(AE92 &lt; (INDEX(SLATable[Maximum SLA],MATCH(G92,SLATable[Priority],0))),"YES","NO"),"")</f>
        <v>YES</v>
      </c>
    </row>
    <row r="93" spans="1:36" ht="15" customHeight="1">
      <c r="A93" s="45">
        <v>92</v>
      </c>
      <c r="B93" s="45" t="s">
        <v>26</v>
      </c>
      <c r="C93" s="45" t="s">
        <v>41</v>
      </c>
      <c r="D93" s="45" t="s">
        <v>207</v>
      </c>
      <c r="E93" s="45" t="s">
        <v>8307</v>
      </c>
      <c r="F93" s="45" t="s">
        <v>40</v>
      </c>
      <c r="G93" s="66">
        <v>4</v>
      </c>
      <c r="H93" s="45" t="s">
        <v>8308</v>
      </c>
      <c r="I93" s="45" t="s">
        <v>271</v>
      </c>
      <c r="J93" s="45" t="s">
        <v>8190</v>
      </c>
      <c r="K93" s="147">
        <v>46179.664421296293</v>
      </c>
      <c r="L93" s="147">
        <v>46179.664421296293</v>
      </c>
      <c r="M93" s="147">
        <v>46181.247465277775</v>
      </c>
      <c r="N93" s="147">
        <v>46190.304178240738</v>
      </c>
      <c r="O93" s="147">
        <v>46182.271909722222</v>
      </c>
      <c r="P93" s="47">
        <v>46190.304178240738</v>
      </c>
      <c r="Q93" s="45" t="s">
        <v>8231</v>
      </c>
      <c r="S93" s="45" t="s">
        <v>8122</v>
      </c>
      <c r="T93" s="45" t="s">
        <v>1455</v>
      </c>
      <c r="U93" s="45" t="s">
        <v>371</v>
      </c>
      <c r="Z93" s="76">
        <f t="shared" ca="1" si="12"/>
        <v>0.375</v>
      </c>
      <c r="AA93" s="75">
        <f t="shared" ca="1" si="1"/>
        <v>1</v>
      </c>
      <c r="AB93" s="76">
        <f t="shared" ca="1" si="13"/>
        <v>0.375</v>
      </c>
      <c r="AC93" s="75">
        <f t="shared" ca="1" si="3"/>
        <v>1</v>
      </c>
      <c r="AD93" s="76">
        <f t="shared" ca="1" si="14"/>
        <v>0</v>
      </c>
      <c r="AE93" s="76">
        <f t="shared" ca="1" si="15"/>
        <v>0.375</v>
      </c>
      <c r="AF93" s="75">
        <f t="shared" ca="1" si="6"/>
        <v>1</v>
      </c>
      <c r="AG93" s="75">
        <f t="shared" ca="1" si="7"/>
        <v>1</v>
      </c>
      <c r="AH93" s="31" t="str" cm="1">
        <f t="array" aca="1" ref="AH93" ca="1">IF((AD93) &lt; (INDEX(ResponseSLA[#All],(MATCH((G93),ResponseSLA[Priority],0))+1,3)),"YES","No")</f>
        <v>YES</v>
      </c>
      <c r="AI93" s="31" t="str">
        <f ca="1">_xlfn.IFNA(IF(AE93 &lt; (INDEX(SLATable[Minimum SLA],MATCH(G93,SLATable[Priority],0))),"YES","NO"),"")</f>
        <v>YES</v>
      </c>
      <c r="AJ93" t="str">
        <f ca="1">_xlfn.IFNA(IF(AE93 &lt; (INDEX(SLATable[Maximum SLA],MATCH(G93,SLATable[Priority],0))),"YES","NO"),"")</f>
        <v>YES</v>
      </c>
    </row>
    <row r="94" spans="1:36" ht="15" customHeight="1">
      <c r="A94" s="45">
        <v>93</v>
      </c>
      <c r="B94" s="45" t="s">
        <v>26</v>
      </c>
      <c r="C94" s="45" t="s">
        <v>41</v>
      </c>
      <c r="D94" s="45" t="s">
        <v>207</v>
      </c>
      <c r="E94" s="45" t="s">
        <v>8309</v>
      </c>
      <c r="F94" s="45" t="s">
        <v>40</v>
      </c>
      <c r="G94" s="66">
        <v>4</v>
      </c>
      <c r="H94" s="45" t="s">
        <v>8310</v>
      </c>
      <c r="I94" s="45" t="s">
        <v>271</v>
      </c>
      <c r="J94" s="45" t="s">
        <v>8120</v>
      </c>
      <c r="K94" s="147">
        <v>46181.639490740738</v>
      </c>
      <c r="L94" s="147">
        <v>46181.639490740738</v>
      </c>
      <c r="M94" s="147">
        <v>46182.226909722223</v>
      </c>
      <c r="N94" s="147">
        <v>46191.424340277779</v>
      </c>
      <c r="O94" s="147">
        <v>46183.423564814817</v>
      </c>
      <c r="P94" s="47">
        <v>46191.424340277779</v>
      </c>
      <c r="Q94" s="45" t="s">
        <v>8191</v>
      </c>
      <c r="S94" s="45" t="s">
        <v>8122</v>
      </c>
      <c r="T94" s="45" t="s">
        <v>1455</v>
      </c>
      <c r="U94" s="45" t="s">
        <v>371</v>
      </c>
      <c r="Z94" s="76">
        <f t="shared" ca="1" si="12"/>
        <v>0.534074074079399</v>
      </c>
      <c r="AA94" s="75">
        <f t="shared" ca="1" si="1"/>
        <v>1.4241975308783974</v>
      </c>
      <c r="AB94" s="76">
        <f t="shared" ca="1" si="13"/>
        <v>0.534074074079399</v>
      </c>
      <c r="AC94" s="75">
        <f t="shared" ca="1" si="3"/>
        <v>1.4241975308783974</v>
      </c>
      <c r="AD94" s="76">
        <f t="shared" ca="1" si="14"/>
        <v>6.884259259580483E-2</v>
      </c>
      <c r="AE94" s="76">
        <f t="shared" ca="1" si="15"/>
        <v>0.534074074079399</v>
      </c>
      <c r="AF94" s="75">
        <f t="shared" ca="1" si="6"/>
        <v>1.4241975308783974</v>
      </c>
      <c r="AG94" s="75">
        <f t="shared" ca="1" si="7"/>
        <v>1.4241975308783974</v>
      </c>
      <c r="AH94" s="31" t="str" cm="1">
        <f t="array" aca="1" ref="AH94" ca="1">IF((AD94) &lt; (INDEX(ResponseSLA[#All],(MATCH((G94),ResponseSLA[Priority],0))+1,3)),"YES","No")</f>
        <v>YES</v>
      </c>
      <c r="AI94" s="31" t="str">
        <f ca="1">_xlfn.IFNA(IF(AE94 &lt; (INDEX(SLATable[Minimum SLA],MATCH(G94,SLATable[Priority],0))),"YES","NO"),"")</f>
        <v>YES</v>
      </c>
      <c r="AJ94" t="str">
        <f ca="1">_xlfn.IFNA(IF(AE94 &lt; (INDEX(SLATable[Maximum SLA],MATCH(G94,SLATable[Priority],0))),"YES","NO"),"")</f>
        <v>YES</v>
      </c>
    </row>
    <row r="95" spans="1:36" ht="15" customHeight="1">
      <c r="A95" s="45">
        <v>94</v>
      </c>
      <c r="B95" s="45" t="s">
        <v>26</v>
      </c>
      <c r="C95" s="45" t="s">
        <v>41</v>
      </c>
      <c r="D95" s="45" t="s">
        <v>207</v>
      </c>
      <c r="E95" s="45" t="s">
        <v>8311</v>
      </c>
      <c r="F95" s="45" t="s">
        <v>40</v>
      </c>
      <c r="G95" s="66">
        <v>3</v>
      </c>
      <c r="H95" s="45" t="s">
        <v>8312</v>
      </c>
      <c r="I95" s="45" t="s">
        <v>271</v>
      </c>
      <c r="J95" s="45" t="s">
        <v>8120</v>
      </c>
      <c r="K95" s="147">
        <v>46184.564247685186</v>
      </c>
      <c r="L95" s="147">
        <v>46184.598657407405</v>
      </c>
      <c r="M95" s="147">
        <v>46185.240011574075</v>
      </c>
      <c r="N95" s="147">
        <v>46185.596412037034</v>
      </c>
      <c r="O95" s="147">
        <v>46185.402627314812</v>
      </c>
      <c r="P95" s="47">
        <v>46185.596412037034</v>
      </c>
      <c r="Q95" s="45" t="s">
        <v>8191</v>
      </c>
      <c r="S95" s="45" t="s">
        <v>8122</v>
      </c>
      <c r="T95" s="45" t="s">
        <v>1455</v>
      </c>
      <c r="U95" s="45" t="s">
        <v>371</v>
      </c>
      <c r="Z95" s="76">
        <f t="shared" ca="1" si="12"/>
        <v>0.213379629625706</v>
      </c>
      <c r="AA95" s="75">
        <f t="shared" ca="1" si="1"/>
        <v>0.5690123456685493</v>
      </c>
      <c r="AB95" s="76">
        <f t="shared" ca="1" si="13"/>
        <v>0.17896990740700858</v>
      </c>
      <c r="AC95" s="75">
        <f t="shared" ca="1" si="3"/>
        <v>0.47725308641868952</v>
      </c>
      <c r="AD95" s="76">
        <f t="shared" ca="1" si="14"/>
        <v>0.10967592592836206</v>
      </c>
      <c r="AE95" s="76">
        <f t="shared" ca="1" si="15"/>
        <v>0.17896990740700858</v>
      </c>
      <c r="AF95" s="75">
        <f t="shared" ca="1" si="6"/>
        <v>0.47725308641868952</v>
      </c>
      <c r="AG95" s="75">
        <f t="shared" ca="1" si="7"/>
        <v>0.47725308641868952</v>
      </c>
      <c r="AH95" s="31" t="str" cm="1">
        <f t="array" aca="1" ref="AH95" ca="1">IF((AD95) &lt; (INDEX(ResponseSLA[#All],(MATCH((G95),ResponseSLA[Priority],0))+1,3)),"YES","No")</f>
        <v>No</v>
      </c>
      <c r="AI95" s="31" t="str">
        <f ca="1">_xlfn.IFNA(IF(AE95 &lt; (INDEX(SLATable[Minimum SLA],MATCH(G95,SLATable[Priority],0))),"YES","NO"),"")</f>
        <v>YES</v>
      </c>
      <c r="AJ95" t="str">
        <f ca="1">_xlfn.IFNA(IF(AE95 &lt; (INDEX(SLATable[Maximum SLA],MATCH(G95,SLATable[Priority],0))),"YES","NO"),"")</f>
        <v>YES</v>
      </c>
    </row>
    <row r="96" spans="1:36" ht="15" customHeight="1">
      <c r="A96" s="45">
        <v>95</v>
      </c>
      <c r="B96" s="45" t="s">
        <v>26</v>
      </c>
      <c r="C96" s="45" t="s">
        <v>41</v>
      </c>
      <c r="D96" s="45" t="s">
        <v>207</v>
      </c>
      <c r="E96" s="45" t="s">
        <v>8313</v>
      </c>
      <c r="F96" s="45" t="s">
        <v>40</v>
      </c>
      <c r="G96" s="66">
        <v>4</v>
      </c>
      <c r="H96" s="45" t="s">
        <v>8314</v>
      </c>
      <c r="I96" s="45" t="s">
        <v>271</v>
      </c>
      <c r="J96" s="45" t="s">
        <v>8120</v>
      </c>
      <c r="K96" s="147">
        <v>46188.168229166666</v>
      </c>
      <c r="L96" s="147">
        <v>46188.174016203702</v>
      </c>
      <c r="M96" s="147">
        <v>46188.25509259259</v>
      </c>
      <c r="N96" s="147">
        <v>46188.257604166669</v>
      </c>
      <c r="Q96" s="45" t="s">
        <v>8191</v>
      </c>
      <c r="S96" s="45" t="s">
        <v>8122</v>
      </c>
      <c r="T96" s="45" t="s">
        <v>1519</v>
      </c>
      <c r="U96" s="45" t="s">
        <v>371</v>
      </c>
      <c r="Z96" s="76">
        <f t="shared" ca="1" si="12"/>
        <v>0</v>
      </c>
      <c r="AA96" s="75">
        <f t="shared" ca="1" si="1"/>
        <v>0</v>
      </c>
      <c r="AB96" s="76">
        <f t="shared" ca="1" si="13"/>
        <v>0</v>
      </c>
      <c r="AC96" s="75">
        <f t="shared" ca="1" si="3"/>
        <v>0</v>
      </c>
      <c r="AD96" s="76">
        <f t="shared" ca="1" si="14"/>
        <v>0</v>
      </c>
      <c r="AE96" s="76">
        <f t="shared" ca="1" si="15"/>
        <v>0</v>
      </c>
      <c r="AF96" s="75">
        <f t="shared" ca="1" si="6"/>
        <v>0</v>
      </c>
      <c r="AG96" s="75">
        <f t="shared" ca="1" si="7"/>
        <v>0</v>
      </c>
      <c r="AH96" s="31" t="str" cm="1">
        <f t="array" aca="1" ref="AH96" ca="1">IF((AD96) &lt; (INDEX(ResponseSLA[#All],(MATCH((G96),ResponseSLA[Priority],0))+1,3)),"YES","No")</f>
        <v>YES</v>
      </c>
      <c r="AI96" s="31" t="str">
        <f ca="1">_xlfn.IFNA(IF(AE96 &lt; (INDEX(SLATable[Minimum SLA],MATCH(G96,SLATable[Priority],0))),"YES","NO"),"")</f>
        <v>YES</v>
      </c>
      <c r="AJ96" t="str">
        <f ca="1">_xlfn.IFNA(IF(AE96 &lt; (INDEX(SLATable[Maximum SLA],MATCH(G96,SLATable[Priority],0))),"YES","NO"),"")</f>
        <v>YES</v>
      </c>
    </row>
    <row r="97" spans="1:36" ht="15" customHeight="1">
      <c r="A97" s="45">
        <v>96</v>
      </c>
      <c r="B97" s="45" t="s">
        <v>26</v>
      </c>
      <c r="C97" s="45" t="s">
        <v>41</v>
      </c>
      <c r="D97" s="45" t="s">
        <v>207</v>
      </c>
      <c r="E97" s="45" t="s">
        <v>8315</v>
      </c>
      <c r="F97" s="45" t="s">
        <v>40</v>
      </c>
      <c r="G97" s="66">
        <v>4</v>
      </c>
      <c r="H97" s="45" t="s">
        <v>8316</v>
      </c>
      <c r="I97" s="45" t="s">
        <v>271</v>
      </c>
      <c r="J97" s="45" t="s">
        <v>8120</v>
      </c>
      <c r="K97" s="147">
        <v>46187.911550925928</v>
      </c>
      <c r="L97" s="147">
        <v>46187.921168981484</v>
      </c>
      <c r="M97" s="147">
        <v>46188.259201388886</v>
      </c>
      <c r="N97" s="147">
        <v>46188.260682870372</v>
      </c>
      <c r="Q97" s="45" t="s">
        <v>8191</v>
      </c>
      <c r="S97" s="45" t="s">
        <v>8122</v>
      </c>
      <c r="T97" s="45" t="s">
        <v>1519</v>
      </c>
      <c r="U97" s="45" t="s">
        <v>371</v>
      </c>
      <c r="Z97" s="76">
        <f t="shared" ca="1" si="12"/>
        <v>0</v>
      </c>
      <c r="AA97" s="75">
        <f t="shared" ca="1" si="1"/>
        <v>0</v>
      </c>
      <c r="AB97" s="76">
        <f t="shared" ca="1" si="13"/>
        <v>0</v>
      </c>
      <c r="AC97" s="75">
        <f t="shared" ca="1" si="3"/>
        <v>0</v>
      </c>
      <c r="AD97" s="76">
        <f t="shared" ca="1" si="14"/>
        <v>0</v>
      </c>
      <c r="AE97" s="76">
        <f t="shared" ca="1" si="15"/>
        <v>0</v>
      </c>
      <c r="AF97" s="75">
        <f t="shared" ca="1" si="6"/>
        <v>0</v>
      </c>
      <c r="AG97" s="75">
        <f t="shared" ca="1" si="7"/>
        <v>0</v>
      </c>
      <c r="AH97" s="31" t="str" cm="1">
        <f t="array" aca="1" ref="AH97" ca="1">IF((AD97) &lt; (INDEX(ResponseSLA[#All],(MATCH((G97),ResponseSLA[Priority],0))+1,3)),"YES","No")</f>
        <v>YES</v>
      </c>
      <c r="AI97" s="31" t="str">
        <f ca="1">_xlfn.IFNA(IF(AE97 &lt; (INDEX(SLATable[Minimum SLA],MATCH(G97,SLATable[Priority],0))),"YES","NO"),"")</f>
        <v>YES</v>
      </c>
      <c r="AJ97" t="str">
        <f ca="1">_xlfn.IFNA(IF(AE97 &lt; (INDEX(SLATable[Maximum SLA],MATCH(G97,SLATable[Priority],0))),"YES","NO"),"")</f>
        <v>YES</v>
      </c>
    </row>
    <row r="98" spans="1:36" ht="15" customHeight="1">
      <c r="A98" s="45">
        <v>97</v>
      </c>
      <c r="B98" s="45" t="s">
        <v>26</v>
      </c>
      <c r="C98" s="45" t="s">
        <v>41</v>
      </c>
      <c r="D98" s="45" t="s">
        <v>207</v>
      </c>
      <c r="E98" s="45" t="s">
        <v>8317</v>
      </c>
      <c r="F98" s="45" t="s">
        <v>40</v>
      </c>
      <c r="G98" s="66">
        <v>4</v>
      </c>
      <c r="H98" s="45" t="s">
        <v>8318</v>
      </c>
      <c r="I98" s="45" t="s">
        <v>271</v>
      </c>
      <c r="J98" s="45" t="s">
        <v>8120</v>
      </c>
      <c r="K98" s="147">
        <v>46188.441423611112</v>
      </c>
      <c r="L98" s="147">
        <v>46188.45212962963</v>
      </c>
      <c r="M98" s="147">
        <v>46188.458784722221</v>
      </c>
      <c r="N98" s="147">
        <v>46188.460231481484</v>
      </c>
      <c r="Q98" s="45" t="s">
        <v>8191</v>
      </c>
      <c r="S98" s="45" t="s">
        <v>8122</v>
      </c>
      <c r="T98" s="45" t="s">
        <v>1519</v>
      </c>
      <c r="U98" s="45" t="s">
        <v>371</v>
      </c>
      <c r="Z98" s="76">
        <f t="shared" ca="1" si="12"/>
        <v>1.880787037225673E-2</v>
      </c>
      <c r="AA98" s="75">
        <f t="shared" ca="1" si="1"/>
        <v>5.015432099268461E-2</v>
      </c>
      <c r="AB98" s="76">
        <f t="shared" ca="1" si="13"/>
        <v>8.1018518540076911E-3</v>
      </c>
      <c r="AC98" s="75">
        <f t="shared" ca="1" si="3"/>
        <v>2.1604938277353842E-2</v>
      </c>
      <c r="AD98" s="76">
        <f t="shared" ca="1" si="14"/>
        <v>6.655092591245193E-3</v>
      </c>
      <c r="AE98" s="76">
        <f t="shared" ca="1" si="15"/>
        <v>8.1018518540076911E-3</v>
      </c>
      <c r="AF98" s="75">
        <f t="shared" ca="1" si="6"/>
        <v>2.1604938277353842E-2</v>
      </c>
      <c r="AG98" s="75">
        <f t="shared" ca="1" si="7"/>
        <v>2.1604938277353842E-2</v>
      </c>
      <c r="AH98" s="31" t="str" cm="1">
        <f t="array" aca="1" ref="AH98" ca="1">IF((AD98) &lt; (INDEX(ResponseSLA[#All],(MATCH((G98),ResponseSLA[Priority],0))+1,3)),"YES","No")</f>
        <v>YES</v>
      </c>
      <c r="AI98" s="31" t="str">
        <f ca="1">_xlfn.IFNA(IF(AE98 &lt; (INDEX(SLATable[Minimum SLA],MATCH(G98,SLATable[Priority],0))),"YES","NO"),"")</f>
        <v>YES</v>
      </c>
      <c r="AJ98" t="str">
        <f ca="1">_xlfn.IFNA(IF(AE98 &lt; (INDEX(SLATable[Maximum SLA],MATCH(G98,SLATable[Priority],0))),"YES","NO"),"")</f>
        <v>YES</v>
      </c>
    </row>
    <row r="99" spans="1:36" ht="15" customHeight="1">
      <c r="A99" s="45">
        <v>98</v>
      </c>
      <c r="B99" s="45" t="s">
        <v>26</v>
      </c>
      <c r="C99" s="45" t="s">
        <v>41</v>
      </c>
      <c r="D99" s="45" t="s">
        <v>207</v>
      </c>
      <c r="E99" s="45" t="s">
        <v>8319</v>
      </c>
      <c r="F99" s="45" t="s">
        <v>40</v>
      </c>
      <c r="G99" s="66">
        <v>4</v>
      </c>
      <c r="H99" s="45" t="s">
        <v>8320</v>
      </c>
      <c r="I99" s="45" t="s">
        <v>271</v>
      </c>
      <c r="J99" s="45" t="s">
        <v>8120</v>
      </c>
      <c r="K99" s="147">
        <v>46189.170590277776</v>
      </c>
      <c r="L99" s="147">
        <v>46189.207812499997</v>
      </c>
      <c r="M99" s="147">
        <v>46189.253298611111</v>
      </c>
      <c r="N99" s="147">
        <v>46189.254293981481</v>
      </c>
      <c r="Q99" s="45" t="s">
        <v>8191</v>
      </c>
      <c r="S99" s="45" t="s">
        <v>8122</v>
      </c>
      <c r="T99" s="45" t="s">
        <v>1519</v>
      </c>
      <c r="U99" s="45" t="s">
        <v>371</v>
      </c>
      <c r="Z99" s="76">
        <f t="shared" ca="1" si="12"/>
        <v>0</v>
      </c>
      <c r="AA99" s="75">
        <f t="shared" ca="1" si="1"/>
        <v>0</v>
      </c>
      <c r="AB99" s="76">
        <f t="shared" ca="1" si="13"/>
        <v>0</v>
      </c>
      <c r="AC99" s="75">
        <f t="shared" ca="1" si="3"/>
        <v>0</v>
      </c>
      <c r="AD99" s="76">
        <f t="shared" ca="1" si="14"/>
        <v>0</v>
      </c>
      <c r="AE99" s="76">
        <f t="shared" ca="1" si="15"/>
        <v>0</v>
      </c>
      <c r="AF99" s="75">
        <f t="shared" ca="1" si="6"/>
        <v>0</v>
      </c>
      <c r="AG99" s="75">
        <f t="shared" ca="1" si="7"/>
        <v>0</v>
      </c>
      <c r="AH99" s="31" t="str" cm="1">
        <f t="array" aca="1" ref="AH99" ca="1">IF((AD99) &lt; (INDEX(ResponseSLA[#All],(MATCH((G99),ResponseSLA[Priority],0))+1,3)),"YES","No")</f>
        <v>YES</v>
      </c>
      <c r="AI99" s="31" t="str">
        <f ca="1">_xlfn.IFNA(IF(AE99 &lt; (INDEX(SLATable[Minimum SLA],MATCH(G99,SLATable[Priority],0))),"YES","NO"),"")</f>
        <v>YES</v>
      </c>
      <c r="AJ99" t="str">
        <f ca="1">_xlfn.IFNA(IF(AE99 &lt; (INDEX(SLATable[Maximum SLA],MATCH(G99,SLATable[Priority],0))),"YES","NO"),"")</f>
        <v>YES</v>
      </c>
    </row>
    <row r="100" spans="1:36" ht="15" customHeight="1">
      <c r="A100" s="45">
        <v>99</v>
      </c>
      <c r="B100" s="45" t="s">
        <v>26</v>
      </c>
      <c r="C100" s="45" t="s">
        <v>41</v>
      </c>
      <c r="D100" s="45" t="s">
        <v>207</v>
      </c>
      <c r="E100" s="45" t="s">
        <v>8321</v>
      </c>
      <c r="F100" s="45" t="s">
        <v>40</v>
      </c>
      <c r="G100" s="66">
        <v>4</v>
      </c>
      <c r="H100" s="45" t="s">
        <v>8322</v>
      </c>
      <c r="I100" s="45" t="s">
        <v>271</v>
      </c>
      <c r="J100" s="45" t="s">
        <v>8120</v>
      </c>
      <c r="K100" s="147">
        <v>46188.905300925922</v>
      </c>
      <c r="L100" s="147">
        <v>46188.972395833334</v>
      </c>
      <c r="M100" s="147">
        <v>46189.255868055552</v>
      </c>
      <c r="N100" s="147">
        <v>46189.256898148145</v>
      </c>
      <c r="Q100" s="45" t="s">
        <v>8191</v>
      </c>
      <c r="S100" s="45" t="s">
        <v>8122</v>
      </c>
      <c r="T100" s="45" t="s">
        <v>1519</v>
      </c>
      <c r="U100" s="45" t="s">
        <v>371</v>
      </c>
      <c r="Z100" s="76">
        <f t="shared" ca="1" si="12"/>
        <v>0</v>
      </c>
      <c r="AA100" s="75">
        <f t="shared" ca="1" si="1"/>
        <v>0</v>
      </c>
      <c r="AB100" s="76">
        <f t="shared" ca="1" si="13"/>
        <v>0</v>
      </c>
      <c r="AC100" s="75">
        <f t="shared" ca="1" si="3"/>
        <v>0</v>
      </c>
      <c r="AD100" s="76">
        <f t="shared" ca="1" si="14"/>
        <v>0</v>
      </c>
      <c r="AE100" s="76">
        <f t="shared" ca="1" si="15"/>
        <v>0</v>
      </c>
      <c r="AF100" s="75">
        <f t="shared" ca="1" si="6"/>
        <v>0</v>
      </c>
      <c r="AG100" s="75">
        <f t="shared" ca="1" si="7"/>
        <v>0</v>
      </c>
      <c r="AH100" s="31" t="str" cm="1">
        <f t="array" aca="1" ref="AH100" ca="1">IF((AD100) &lt; (INDEX(ResponseSLA[#All],(MATCH((G100),ResponseSLA[Priority],0))+1,3)),"YES","No")</f>
        <v>YES</v>
      </c>
      <c r="AI100" s="31" t="str">
        <f ca="1">_xlfn.IFNA(IF(AE100 &lt; (INDEX(SLATable[Minimum SLA],MATCH(G100,SLATable[Priority],0))),"YES","NO"),"")</f>
        <v>YES</v>
      </c>
      <c r="AJ100" t="str">
        <f ca="1">_xlfn.IFNA(IF(AE100 &lt; (INDEX(SLATable[Maximum SLA],MATCH(G100,SLATable[Priority],0))),"YES","NO"),"")</f>
        <v>YES</v>
      </c>
    </row>
    <row r="101" spans="1:36" ht="15" customHeight="1">
      <c r="A101" s="45">
        <v>100</v>
      </c>
      <c r="B101" s="45" t="s">
        <v>26</v>
      </c>
      <c r="C101" s="45" t="s">
        <v>41</v>
      </c>
      <c r="D101" s="45" t="s">
        <v>207</v>
      </c>
      <c r="E101" s="45" t="s">
        <v>8323</v>
      </c>
      <c r="F101" s="45" t="s">
        <v>40</v>
      </c>
      <c r="G101" s="66">
        <v>4</v>
      </c>
      <c r="H101" s="45" t="s">
        <v>8324</v>
      </c>
      <c r="I101" s="45" t="s">
        <v>271</v>
      </c>
      <c r="J101" s="45" t="s">
        <v>8120</v>
      </c>
      <c r="K101" s="147">
        <v>46190.178935185184</v>
      </c>
      <c r="L101" s="147">
        <v>46190.195138888892</v>
      </c>
      <c r="M101" s="147">
        <v>46190.252870370372</v>
      </c>
      <c r="N101" s="147">
        <v>46190.25408564815</v>
      </c>
      <c r="Q101" s="45" t="s">
        <v>8191</v>
      </c>
      <c r="S101" s="45" t="s">
        <v>8122</v>
      </c>
      <c r="T101" s="45" t="s">
        <v>1519</v>
      </c>
      <c r="U101" s="45" t="s">
        <v>371</v>
      </c>
      <c r="Z101" s="76">
        <f t="shared" ca="1" si="12"/>
        <v>0</v>
      </c>
      <c r="AA101" s="75">
        <f t="shared" ca="1" si="1"/>
        <v>0</v>
      </c>
      <c r="AB101" s="76">
        <f t="shared" ca="1" si="13"/>
        <v>0</v>
      </c>
      <c r="AC101" s="75">
        <f t="shared" ca="1" si="3"/>
        <v>0</v>
      </c>
      <c r="AD101" s="76">
        <f t="shared" ca="1" si="14"/>
        <v>0</v>
      </c>
      <c r="AE101" s="76">
        <f t="shared" ca="1" si="15"/>
        <v>0</v>
      </c>
      <c r="AF101" s="75">
        <f t="shared" ca="1" si="6"/>
        <v>0</v>
      </c>
      <c r="AG101" s="75">
        <f t="shared" ca="1" si="7"/>
        <v>0</v>
      </c>
      <c r="AH101" s="31" t="str" cm="1">
        <f t="array" aca="1" ref="AH101" ca="1">IF((AD101) &lt; (INDEX(ResponseSLA[#All],(MATCH((G101),ResponseSLA[Priority],0))+1,3)),"YES","No")</f>
        <v>YES</v>
      </c>
      <c r="AI101" s="31" t="str">
        <f ca="1">_xlfn.IFNA(IF(AE101 &lt; (INDEX(SLATable[Minimum SLA],MATCH(G101,SLATable[Priority],0))),"YES","NO"),"")</f>
        <v>YES</v>
      </c>
      <c r="AJ101" t="str">
        <f ca="1">_xlfn.IFNA(IF(AE101 &lt; (INDEX(SLATable[Maximum SLA],MATCH(G101,SLATable[Priority],0))),"YES","NO"),"")</f>
        <v>YES</v>
      </c>
    </row>
    <row r="102" spans="1:36" ht="15" customHeight="1">
      <c r="A102" s="45">
        <v>101</v>
      </c>
      <c r="B102" s="45" t="s">
        <v>26</v>
      </c>
      <c r="C102" s="45" t="s">
        <v>41</v>
      </c>
      <c r="D102" s="45" t="s">
        <v>207</v>
      </c>
      <c r="E102" s="45" t="s">
        <v>8325</v>
      </c>
      <c r="F102" s="45" t="s">
        <v>40</v>
      </c>
      <c r="G102" s="66">
        <v>4</v>
      </c>
      <c r="H102" s="45" t="s">
        <v>8326</v>
      </c>
      <c r="I102" s="45" t="s">
        <v>271</v>
      </c>
      <c r="J102" s="45" t="s">
        <v>8120</v>
      </c>
      <c r="K102" s="147">
        <v>46189.906018518515</v>
      </c>
      <c r="L102" s="147">
        <v>46189.925462962965</v>
      </c>
      <c r="M102" s="147">
        <v>46190.255486111113</v>
      </c>
      <c r="N102" s="147">
        <v>46190.256458333337</v>
      </c>
      <c r="Q102" s="45" t="s">
        <v>8191</v>
      </c>
      <c r="S102" s="45" t="s">
        <v>8122</v>
      </c>
      <c r="T102" s="45" t="s">
        <v>1519</v>
      </c>
      <c r="U102" s="45" t="s">
        <v>371</v>
      </c>
      <c r="Z102" s="76">
        <f t="shared" ca="1" si="12"/>
        <v>0</v>
      </c>
      <c r="AA102" s="75">
        <f t="shared" ca="1" si="1"/>
        <v>0</v>
      </c>
      <c r="AB102" s="76">
        <f t="shared" ca="1" si="13"/>
        <v>0</v>
      </c>
      <c r="AC102" s="75">
        <f t="shared" ca="1" si="3"/>
        <v>0</v>
      </c>
      <c r="AD102" s="76">
        <f t="shared" ca="1" si="14"/>
        <v>0</v>
      </c>
      <c r="AE102" s="76">
        <f t="shared" ca="1" si="15"/>
        <v>0</v>
      </c>
      <c r="AF102" s="75">
        <f t="shared" ca="1" si="6"/>
        <v>0</v>
      </c>
      <c r="AG102" s="75">
        <f t="shared" ca="1" si="7"/>
        <v>0</v>
      </c>
      <c r="AH102" s="31" t="str" cm="1">
        <f t="array" aca="1" ref="AH102" ca="1">IF((AD102) &lt; (INDEX(ResponseSLA[#All],(MATCH((G102),ResponseSLA[Priority],0))+1,3)),"YES","No")</f>
        <v>YES</v>
      </c>
      <c r="AI102" s="31" t="str">
        <f ca="1">_xlfn.IFNA(IF(AE102 &lt; (INDEX(SLATable[Minimum SLA],MATCH(G102,SLATable[Priority],0))),"YES","NO"),"")</f>
        <v>YES</v>
      </c>
      <c r="AJ102" t="str">
        <f ca="1">_xlfn.IFNA(IF(AE102 &lt; (INDEX(SLATable[Maximum SLA],MATCH(G102,SLATable[Priority],0))),"YES","NO"),"")</f>
        <v>YES</v>
      </c>
    </row>
    <row r="103" spans="1:36" ht="15" customHeight="1">
      <c r="A103" s="45">
        <v>102</v>
      </c>
      <c r="B103" s="45" t="s">
        <v>26</v>
      </c>
      <c r="C103" s="45" t="s">
        <v>41</v>
      </c>
      <c r="D103" s="45" t="s">
        <v>207</v>
      </c>
      <c r="E103" s="45" t="s">
        <v>8327</v>
      </c>
      <c r="F103" s="45" t="s">
        <v>40</v>
      </c>
      <c r="G103" s="66">
        <v>4</v>
      </c>
      <c r="H103" s="45" t="s">
        <v>8328</v>
      </c>
      <c r="I103" s="45" t="s">
        <v>271</v>
      </c>
      <c r="J103" s="45" t="s">
        <v>8120</v>
      </c>
      <c r="K103" s="147">
        <v>46190.393460648149</v>
      </c>
      <c r="L103" s="147">
        <v>46190.398726851854</v>
      </c>
      <c r="M103" s="147">
        <v>46190.440046296295</v>
      </c>
      <c r="N103" s="147">
        <v>46190.473229166666</v>
      </c>
      <c r="Q103" s="45" t="s">
        <v>8191</v>
      </c>
      <c r="S103" s="45" t="s">
        <v>8122</v>
      </c>
      <c r="T103" s="45" t="s">
        <v>1519</v>
      </c>
      <c r="U103" s="45" t="s">
        <v>371</v>
      </c>
      <c r="Z103" s="76">
        <f t="shared" ca="1" si="12"/>
        <v>7.9768518517084885E-2</v>
      </c>
      <c r="AA103" s="75">
        <f t="shared" ca="1" si="1"/>
        <v>0.21271604937889302</v>
      </c>
      <c r="AB103" s="76">
        <f t="shared" ca="1" si="13"/>
        <v>7.4502314811979886E-2</v>
      </c>
      <c r="AC103" s="75">
        <f t="shared" ca="1" si="3"/>
        <v>0.19867283949861303</v>
      </c>
      <c r="AD103" s="76">
        <f t="shared" ca="1" si="14"/>
        <v>4.131944444088731E-2</v>
      </c>
      <c r="AE103" s="76">
        <f t="shared" ca="1" si="15"/>
        <v>7.4502314811979886E-2</v>
      </c>
      <c r="AF103" s="75">
        <f t="shared" ca="1" si="6"/>
        <v>0.19867283949861303</v>
      </c>
      <c r="AG103" s="75">
        <f t="shared" ca="1" si="7"/>
        <v>0.19867283949861303</v>
      </c>
      <c r="AH103" s="31" t="str" cm="1">
        <f t="array" aca="1" ref="AH103" ca="1">IF((AD103) &lt; (INDEX(ResponseSLA[#All],(MATCH((G103),ResponseSLA[Priority],0))+1,3)),"YES","No")</f>
        <v>YES</v>
      </c>
      <c r="AI103" s="31" t="str">
        <f ca="1">_xlfn.IFNA(IF(AE103 &lt; (INDEX(SLATable[Minimum SLA],MATCH(G103,SLATable[Priority],0))),"YES","NO"),"")</f>
        <v>YES</v>
      </c>
      <c r="AJ103" t="str">
        <f ca="1">_xlfn.IFNA(IF(AE103 &lt; (INDEX(SLATable[Maximum SLA],MATCH(G103,SLATable[Priority],0))),"YES","NO"),"")</f>
        <v>YES</v>
      </c>
    </row>
    <row r="104" spans="1:36" ht="15" customHeight="1">
      <c r="A104" s="45">
        <v>103</v>
      </c>
      <c r="B104" s="45" t="s">
        <v>26</v>
      </c>
      <c r="C104" s="45" t="s">
        <v>41</v>
      </c>
      <c r="D104" s="45" t="s">
        <v>207</v>
      </c>
      <c r="E104" s="45" t="s">
        <v>8329</v>
      </c>
      <c r="F104" s="45" t="s">
        <v>40</v>
      </c>
      <c r="G104" s="66">
        <v>3</v>
      </c>
      <c r="H104" s="45" t="s">
        <v>8330</v>
      </c>
      <c r="I104" s="45" t="s">
        <v>271</v>
      </c>
      <c r="J104" s="45" t="s">
        <v>8120</v>
      </c>
      <c r="K104" s="47">
        <v>46189.721597222226</v>
      </c>
      <c r="L104" s="147">
        <v>46189.721597222226</v>
      </c>
      <c r="M104" s="147">
        <v>46190.206886574073</v>
      </c>
      <c r="N104" s="147">
        <v>46195.55978009259</v>
      </c>
      <c r="O104" s="147">
        <v>46190.323854166665</v>
      </c>
      <c r="P104" s="47">
        <v>46195.55978009259</v>
      </c>
      <c r="Q104" s="45" t="s">
        <v>8191</v>
      </c>
      <c r="S104" s="45" t="s">
        <v>8122</v>
      </c>
      <c r="T104" s="45" t="s">
        <v>1455</v>
      </c>
      <c r="U104" s="45" t="s">
        <v>371</v>
      </c>
      <c r="Z104" s="76">
        <f t="shared" ca="1" si="12"/>
        <v>0</v>
      </c>
      <c r="AA104" s="75">
        <f t="shared" ca="1" si="1"/>
        <v>0</v>
      </c>
      <c r="AB104" s="76">
        <f t="shared" ca="1" si="13"/>
        <v>0</v>
      </c>
      <c r="AC104" s="75">
        <f t="shared" ca="1" si="3"/>
        <v>0</v>
      </c>
      <c r="AD104" s="76">
        <f t="shared" ca="1" si="14"/>
        <v>0</v>
      </c>
      <c r="AE104" s="76">
        <f t="shared" ca="1" si="15"/>
        <v>0</v>
      </c>
      <c r="AF104" s="75">
        <f t="shared" ca="1" si="6"/>
        <v>0</v>
      </c>
      <c r="AG104" s="75">
        <f t="shared" ca="1" si="7"/>
        <v>0</v>
      </c>
      <c r="AH104" s="31" t="str" cm="1">
        <f t="array" aca="1" ref="AH104" ca="1">IF((AD104) &lt; (INDEX(ResponseSLA[#All],(MATCH((G104),ResponseSLA[Priority],0))+1,3)),"YES","No")</f>
        <v>YES</v>
      </c>
      <c r="AI104" s="31" t="str">
        <f ca="1">_xlfn.IFNA(IF(AE104 &lt; (INDEX(SLATable[Minimum SLA],MATCH(G104,SLATable[Priority],0))),"YES","NO"),"")</f>
        <v>YES</v>
      </c>
      <c r="AJ104" t="str">
        <f ca="1">_xlfn.IFNA(IF(AE104 &lt; (INDEX(SLATable[Maximum SLA],MATCH(G104,SLATable[Priority],0))),"YES","NO"),"")</f>
        <v>YES</v>
      </c>
    </row>
    <row r="105" spans="1:36" ht="15" customHeight="1">
      <c r="A105" s="45">
        <v>104</v>
      </c>
      <c r="B105" s="45" t="s">
        <v>26</v>
      </c>
      <c r="C105" s="45" t="s">
        <v>41</v>
      </c>
      <c r="D105" s="45" t="s">
        <v>207</v>
      </c>
      <c r="E105" s="45" t="s">
        <v>8331</v>
      </c>
      <c r="F105" s="45" t="s">
        <v>40</v>
      </c>
      <c r="G105" s="66">
        <v>4</v>
      </c>
      <c r="H105" s="45" t="s">
        <v>8332</v>
      </c>
      <c r="I105" s="45" t="s">
        <v>271</v>
      </c>
      <c r="J105" s="45" t="s">
        <v>8120</v>
      </c>
      <c r="K105" s="147">
        <v>46190.90587962963</v>
      </c>
      <c r="L105" s="147">
        <v>46190.90965277778</v>
      </c>
      <c r="M105" s="147">
        <v>46191.254270833335</v>
      </c>
      <c r="N105" s="147">
        <v>46191.255497685182</v>
      </c>
      <c r="Q105" s="45" t="s">
        <v>8191</v>
      </c>
      <c r="S105" s="45" t="s">
        <v>8122</v>
      </c>
      <c r="T105" s="45" t="s">
        <v>1519</v>
      </c>
      <c r="U105" s="45" t="s">
        <v>371</v>
      </c>
      <c r="Z105" s="76">
        <f t="shared" ca="1" si="12"/>
        <v>0</v>
      </c>
      <c r="AA105" s="75">
        <f t="shared" ca="1" si="1"/>
        <v>0</v>
      </c>
      <c r="AB105" s="76">
        <f t="shared" ca="1" si="13"/>
        <v>0</v>
      </c>
      <c r="AC105" s="75">
        <f t="shared" ca="1" si="3"/>
        <v>0</v>
      </c>
      <c r="AD105" s="76">
        <f t="shared" ca="1" si="14"/>
        <v>0</v>
      </c>
      <c r="AE105" s="76">
        <f t="shared" ca="1" si="15"/>
        <v>0</v>
      </c>
      <c r="AF105" s="75">
        <f t="shared" ca="1" si="6"/>
        <v>0</v>
      </c>
      <c r="AG105" s="75">
        <f t="shared" ca="1" si="7"/>
        <v>0</v>
      </c>
      <c r="AH105" s="31" t="str" cm="1">
        <f t="array" aca="1" ref="AH105" ca="1">IF((AD105) &lt; (INDEX(ResponseSLA[#All],(MATCH((G105),ResponseSLA[Priority],0))+1,3)),"YES","No")</f>
        <v>YES</v>
      </c>
      <c r="AI105" s="31" t="str">
        <f ca="1">_xlfn.IFNA(IF(AE105 &lt; (INDEX(SLATable[Minimum SLA],MATCH(G105,SLATable[Priority],0))),"YES","NO"),"")</f>
        <v>YES</v>
      </c>
      <c r="AJ105" t="str">
        <f ca="1">_xlfn.IFNA(IF(AE105 &lt; (INDEX(SLATable[Maximum SLA],MATCH(G105,SLATable[Priority],0))),"YES","NO"),"")</f>
        <v>YES</v>
      </c>
    </row>
    <row r="106" spans="1:36" ht="15" customHeight="1">
      <c r="A106" s="45">
        <v>105</v>
      </c>
      <c r="B106" s="45" t="s">
        <v>26</v>
      </c>
      <c r="C106" s="45" t="s">
        <v>41</v>
      </c>
      <c r="D106" s="45" t="s">
        <v>207</v>
      </c>
      <c r="E106" s="45" t="s">
        <v>8333</v>
      </c>
      <c r="F106" s="45" t="s">
        <v>40</v>
      </c>
      <c r="G106" s="66">
        <v>4</v>
      </c>
      <c r="H106" s="45" t="s">
        <v>8334</v>
      </c>
      <c r="I106" s="45" t="s">
        <v>271</v>
      </c>
      <c r="J106" s="45" t="s">
        <v>8120</v>
      </c>
      <c r="K106" s="147">
        <v>46191.171550925923</v>
      </c>
      <c r="L106" s="147">
        <v>46191.171550925923</v>
      </c>
      <c r="M106" s="147">
        <v>46191.256539351853</v>
      </c>
      <c r="N106" s="147">
        <v>46191.257048611114</v>
      </c>
      <c r="Q106" s="45" t="s">
        <v>8191</v>
      </c>
      <c r="S106" s="45" t="s">
        <v>8122</v>
      </c>
      <c r="T106" s="45" t="s">
        <v>1519</v>
      </c>
      <c r="U106" s="45" t="s">
        <v>371</v>
      </c>
      <c r="Z106" s="76">
        <f t="shared" ca="1" si="12"/>
        <v>0</v>
      </c>
      <c r="AA106" s="75">
        <f t="shared" ca="1" si="1"/>
        <v>0</v>
      </c>
      <c r="AB106" s="76">
        <f t="shared" ca="1" si="13"/>
        <v>0</v>
      </c>
      <c r="AC106" s="75">
        <f t="shared" ca="1" si="3"/>
        <v>0</v>
      </c>
      <c r="AD106" s="76">
        <f t="shared" ca="1" si="14"/>
        <v>0</v>
      </c>
      <c r="AE106" s="76">
        <f t="shared" ca="1" si="15"/>
        <v>0</v>
      </c>
      <c r="AF106" s="75">
        <f t="shared" ca="1" si="6"/>
        <v>0</v>
      </c>
      <c r="AG106" s="75">
        <f t="shared" ca="1" si="7"/>
        <v>0</v>
      </c>
      <c r="AH106" s="31" t="str" cm="1">
        <f t="array" aca="1" ref="AH106" ca="1">IF((AD106) &lt; (INDEX(ResponseSLA[#All],(MATCH((G106),ResponseSLA[Priority],0))+1,3)),"YES","No")</f>
        <v>YES</v>
      </c>
      <c r="AI106" s="31" t="str">
        <f ca="1">_xlfn.IFNA(IF(AE106 &lt; (INDEX(SLATable[Minimum SLA],MATCH(G106,SLATable[Priority],0))),"YES","NO"),"")</f>
        <v>YES</v>
      </c>
      <c r="AJ106" t="str">
        <f ca="1">_xlfn.IFNA(IF(AE106 &lt; (INDEX(SLATable[Maximum SLA],MATCH(G106,SLATable[Priority],0))),"YES","NO"),"")</f>
        <v>YES</v>
      </c>
    </row>
    <row r="107" spans="1:36" ht="15" customHeight="1">
      <c r="A107" s="45">
        <v>106</v>
      </c>
      <c r="B107" s="45" t="s">
        <v>26</v>
      </c>
      <c r="C107" s="45" t="s">
        <v>41</v>
      </c>
      <c r="D107" s="45" t="s">
        <v>207</v>
      </c>
      <c r="E107" s="45" t="s">
        <v>8335</v>
      </c>
      <c r="F107" s="45" t="s">
        <v>40</v>
      </c>
      <c r="G107" s="66">
        <v>4</v>
      </c>
      <c r="H107" s="45" t="s">
        <v>8336</v>
      </c>
      <c r="I107" s="45" t="s">
        <v>271</v>
      </c>
      <c r="J107" s="45" t="s">
        <v>8120</v>
      </c>
      <c r="K107" s="147">
        <v>46191.9062962963</v>
      </c>
      <c r="L107" s="147">
        <v>46191.911851851852</v>
      </c>
      <c r="M107" s="147">
        <v>46192.278969907406</v>
      </c>
      <c r="N107" s="147">
        <v>46192.2809837963</v>
      </c>
      <c r="Q107" s="45" t="s">
        <v>8191</v>
      </c>
      <c r="S107" s="45" t="s">
        <v>8122</v>
      </c>
      <c r="T107" s="45" t="s">
        <v>1519</v>
      </c>
      <c r="U107" s="45" t="s">
        <v>371</v>
      </c>
      <c r="Z107" s="76">
        <f t="shared" ca="1" si="12"/>
        <v>0</v>
      </c>
      <c r="AA107" s="75">
        <f t="shared" ca="1" si="1"/>
        <v>0</v>
      </c>
      <c r="AB107" s="76">
        <f t="shared" ca="1" si="13"/>
        <v>0</v>
      </c>
      <c r="AC107" s="75">
        <f t="shared" ca="1" si="3"/>
        <v>0</v>
      </c>
      <c r="AD107" s="76">
        <f t="shared" ca="1" si="14"/>
        <v>0</v>
      </c>
      <c r="AE107" s="76">
        <f t="shared" ca="1" si="15"/>
        <v>0</v>
      </c>
      <c r="AF107" s="75">
        <f t="shared" ca="1" si="6"/>
        <v>0</v>
      </c>
      <c r="AG107" s="75">
        <f t="shared" ca="1" si="7"/>
        <v>0</v>
      </c>
      <c r="AH107" s="31" t="str" cm="1">
        <f t="array" aca="1" ref="AH107" ca="1">IF((AD107) &lt; (INDEX(ResponseSLA[#All],(MATCH((G107),ResponseSLA[Priority],0))+1,3)),"YES","No")</f>
        <v>YES</v>
      </c>
      <c r="AI107" s="31" t="str">
        <f ca="1">_xlfn.IFNA(IF(AE107 &lt; (INDEX(SLATable[Minimum SLA],MATCH(G107,SLATable[Priority],0))),"YES","NO"),"")</f>
        <v>YES</v>
      </c>
      <c r="AJ107" t="str">
        <f ca="1">_xlfn.IFNA(IF(AE107 &lt; (INDEX(SLATable[Maximum SLA],MATCH(G107,SLATable[Priority],0))),"YES","NO"),"")</f>
        <v>YES</v>
      </c>
    </row>
    <row r="108" spans="1:36" ht="15" customHeight="1">
      <c r="A108" s="45">
        <v>107</v>
      </c>
      <c r="B108" s="45" t="s">
        <v>26</v>
      </c>
      <c r="C108" s="45" t="s">
        <v>41</v>
      </c>
      <c r="D108" s="45" t="s">
        <v>207</v>
      </c>
      <c r="E108" s="45" t="s">
        <v>8337</v>
      </c>
      <c r="F108" s="45" t="s">
        <v>40</v>
      </c>
      <c r="G108" s="66">
        <v>4</v>
      </c>
      <c r="H108" s="45" t="s">
        <v>8338</v>
      </c>
      <c r="I108" s="45" t="s">
        <v>271</v>
      </c>
      <c r="J108" s="45" t="s">
        <v>8120</v>
      </c>
      <c r="K108" s="147">
        <v>46192.16878472222</v>
      </c>
      <c r="L108" s="147">
        <v>46192.16878472222</v>
      </c>
      <c r="M108" s="147">
        <v>46192.281377314815</v>
      </c>
      <c r="N108" s="147">
        <v>46192.281701388885</v>
      </c>
      <c r="Q108" s="45" t="s">
        <v>8191</v>
      </c>
      <c r="S108" s="45" t="s">
        <v>8122</v>
      </c>
      <c r="T108" s="45" t="s">
        <v>1519</v>
      </c>
      <c r="U108" s="45" t="s">
        <v>371</v>
      </c>
      <c r="Z108" s="76">
        <f t="shared" ca="1" si="12"/>
        <v>0</v>
      </c>
      <c r="AA108" s="75">
        <f t="shared" ca="1" si="1"/>
        <v>0</v>
      </c>
      <c r="AB108" s="76">
        <f t="shared" ca="1" si="13"/>
        <v>0</v>
      </c>
      <c r="AC108" s="75">
        <f t="shared" ca="1" si="3"/>
        <v>0</v>
      </c>
      <c r="AD108" s="76">
        <f t="shared" ca="1" si="14"/>
        <v>0</v>
      </c>
      <c r="AE108" s="76">
        <f t="shared" ca="1" si="15"/>
        <v>0</v>
      </c>
      <c r="AF108" s="75">
        <f t="shared" ca="1" si="6"/>
        <v>0</v>
      </c>
      <c r="AG108" s="75">
        <f t="shared" ca="1" si="7"/>
        <v>0</v>
      </c>
      <c r="AH108" s="31" t="str" cm="1">
        <f t="array" aca="1" ref="AH108" ca="1">IF((AD108) &lt; (INDEX(ResponseSLA[#All],(MATCH((G108),ResponseSLA[Priority],0))+1,3)),"YES","No")</f>
        <v>YES</v>
      </c>
      <c r="AI108" s="31" t="str">
        <f ca="1">_xlfn.IFNA(IF(AE108 &lt; (INDEX(SLATable[Minimum SLA],MATCH(G108,SLATable[Priority],0))),"YES","NO"),"")</f>
        <v>YES</v>
      </c>
      <c r="AJ108" t="str">
        <f ca="1">_xlfn.IFNA(IF(AE108 &lt; (INDEX(SLATable[Maximum SLA],MATCH(G108,SLATable[Priority],0))),"YES","NO"),"")</f>
        <v>YES</v>
      </c>
    </row>
    <row r="109" spans="1:36" ht="15" customHeight="1">
      <c r="A109" s="45">
        <v>108</v>
      </c>
      <c r="B109" s="45" t="s">
        <v>26</v>
      </c>
      <c r="C109" s="45" t="s">
        <v>41</v>
      </c>
      <c r="D109" s="45" t="s">
        <v>207</v>
      </c>
      <c r="E109" s="45" t="s">
        <v>8339</v>
      </c>
      <c r="F109" s="45" t="s">
        <v>40</v>
      </c>
      <c r="G109" s="66">
        <v>4</v>
      </c>
      <c r="H109" s="45" t="s">
        <v>8340</v>
      </c>
      <c r="I109" s="45" t="s">
        <v>271</v>
      </c>
      <c r="J109" s="45" t="s">
        <v>8120</v>
      </c>
      <c r="K109" s="147">
        <v>46191.171701388892</v>
      </c>
      <c r="L109" s="147">
        <v>46192.295335648145</v>
      </c>
      <c r="M109" s="147">
        <v>46192.297488425924</v>
      </c>
      <c r="N109" s="147">
        <v>46192.298136574071</v>
      </c>
      <c r="Q109" s="45" t="s">
        <v>8191</v>
      </c>
      <c r="S109" s="45" t="s">
        <v>8122</v>
      </c>
      <c r="T109" s="45" t="s">
        <v>1519</v>
      </c>
      <c r="U109" s="45" t="s">
        <v>371</v>
      </c>
      <c r="Z109" s="76">
        <f t="shared" ca="1" si="12"/>
        <v>0.37500000000000006</v>
      </c>
      <c r="AA109" s="75">
        <f t="shared" ca="1" si="1"/>
        <v>1.0000000000000002</v>
      </c>
      <c r="AB109" s="76">
        <f t="shared" ca="1" si="13"/>
        <v>0</v>
      </c>
      <c r="AC109" s="75">
        <f t="shared" ca="1" si="3"/>
        <v>0</v>
      </c>
      <c r="AD109" s="76">
        <f t="shared" ca="1" si="14"/>
        <v>0</v>
      </c>
      <c r="AE109" s="76">
        <f t="shared" ca="1" si="15"/>
        <v>0</v>
      </c>
      <c r="AF109" s="75">
        <f t="shared" ca="1" si="6"/>
        <v>0</v>
      </c>
      <c r="AG109" s="75">
        <f t="shared" ca="1" si="7"/>
        <v>0</v>
      </c>
      <c r="AH109" s="31" t="str" cm="1">
        <f t="array" aca="1" ref="AH109" ca="1">IF((AD109) &lt; (INDEX(ResponseSLA[#All],(MATCH((G109),ResponseSLA[Priority],0))+1,3)),"YES","No")</f>
        <v>YES</v>
      </c>
      <c r="AI109" s="31" t="str">
        <f ca="1">_xlfn.IFNA(IF(AE109 &lt; (INDEX(SLATable[Minimum SLA],MATCH(G109,SLATable[Priority],0))),"YES","NO"),"")</f>
        <v>YES</v>
      </c>
      <c r="AJ109" t="str">
        <f ca="1">_xlfn.IFNA(IF(AE109 &lt; (INDEX(SLATable[Maximum SLA],MATCH(G109,SLATable[Priority],0))),"YES","NO"),"")</f>
        <v>YES</v>
      </c>
    </row>
    <row r="110" spans="1:36" ht="15" customHeight="1">
      <c r="A110" s="45">
        <v>109</v>
      </c>
      <c r="B110" s="45" t="s">
        <v>26</v>
      </c>
      <c r="C110" s="45" t="s">
        <v>41</v>
      </c>
      <c r="D110" s="45" t="s">
        <v>207</v>
      </c>
      <c r="E110" s="45" t="s">
        <v>8341</v>
      </c>
      <c r="F110" s="45" t="s">
        <v>40</v>
      </c>
      <c r="G110" s="66">
        <v>4</v>
      </c>
      <c r="H110" s="45" t="s">
        <v>8342</v>
      </c>
      <c r="I110" s="45" t="s">
        <v>271</v>
      </c>
      <c r="J110" s="45" t="s">
        <v>8120</v>
      </c>
      <c r="K110" s="147">
        <v>46191.171979166669</v>
      </c>
      <c r="L110" s="147">
        <v>46192.303055555552</v>
      </c>
      <c r="M110" s="147">
        <v>46192.308252314811</v>
      </c>
      <c r="N110" s="147">
        <v>46192.308611111112</v>
      </c>
      <c r="Q110" s="45" t="s">
        <v>8191</v>
      </c>
      <c r="S110" s="45" t="s">
        <v>8122</v>
      </c>
      <c r="T110" s="45" t="s">
        <v>1519</v>
      </c>
      <c r="U110" s="45" t="s">
        <v>371</v>
      </c>
      <c r="Z110" s="76">
        <f t="shared" ca="1" si="12"/>
        <v>0.37500000000000006</v>
      </c>
      <c r="AA110" s="75">
        <f t="shared" ca="1" si="1"/>
        <v>1.0000000000000002</v>
      </c>
      <c r="AB110" s="76">
        <f t="shared" ca="1" si="13"/>
        <v>0</v>
      </c>
      <c r="AC110" s="75">
        <f t="shared" ca="1" si="3"/>
        <v>0</v>
      </c>
      <c r="AD110" s="76">
        <f t="shared" ca="1" si="14"/>
        <v>0</v>
      </c>
      <c r="AE110" s="76">
        <f t="shared" ca="1" si="15"/>
        <v>0</v>
      </c>
      <c r="AF110" s="75">
        <f t="shared" ca="1" si="6"/>
        <v>0</v>
      </c>
      <c r="AG110" s="75">
        <f t="shared" ca="1" si="7"/>
        <v>0</v>
      </c>
      <c r="AH110" s="31" t="str" cm="1">
        <f t="array" aca="1" ref="AH110" ca="1">IF((AD110) &lt; (INDEX(ResponseSLA[#All],(MATCH((G110),ResponseSLA[Priority],0))+1,3)),"YES","No")</f>
        <v>YES</v>
      </c>
      <c r="AI110" s="31" t="str">
        <f ca="1">_xlfn.IFNA(IF(AE110 &lt; (INDEX(SLATable[Minimum SLA],MATCH(G110,SLATable[Priority],0))),"YES","NO"),"")</f>
        <v>YES</v>
      </c>
      <c r="AJ110" t="str">
        <f ca="1">_xlfn.IFNA(IF(AE110 &lt; (INDEX(SLATable[Maximum SLA],MATCH(G110,SLATable[Priority],0))),"YES","NO"),"")</f>
        <v>YES</v>
      </c>
    </row>
    <row r="111" spans="1:36" ht="15" customHeight="1">
      <c r="A111" s="45">
        <v>110</v>
      </c>
      <c r="B111" s="45" t="s">
        <v>26</v>
      </c>
      <c r="C111" s="45" t="s">
        <v>41</v>
      </c>
      <c r="D111" s="45" t="s">
        <v>207</v>
      </c>
      <c r="E111" s="45" t="s">
        <v>8343</v>
      </c>
      <c r="F111" s="45" t="s">
        <v>40</v>
      </c>
      <c r="G111" s="66">
        <v>4</v>
      </c>
      <c r="H111" s="45" t="s">
        <v>8344</v>
      </c>
      <c r="I111" s="45" t="s">
        <v>271</v>
      </c>
      <c r="J111" s="45" t="s">
        <v>8120</v>
      </c>
      <c r="K111" s="147">
        <v>46192.169189814813</v>
      </c>
      <c r="L111" s="147">
        <v>46192.319363425922</v>
      </c>
      <c r="M111" s="147">
        <v>46192.331828703704</v>
      </c>
      <c r="N111" s="147">
        <v>46192.332430555558</v>
      </c>
      <c r="Q111" s="45" t="s">
        <v>8191</v>
      </c>
      <c r="S111" s="45" t="s">
        <v>8122</v>
      </c>
      <c r="T111" s="45" t="s">
        <v>1519</v>
      </c>
      <c r="U111" s="45" t="s">
        <v>371</v>
      </c>
      <c r="Z111" s="76">
        <f t="shared" ca="1" si="12"/>
        <v>0</v>
      </c>
      <c r="AA111" s="75">
        <f t="shared" ca="1" si="1"/>
        <v>0</v>
      </c>
      <c r="AB111" s="76">
        <f t="shared" ca="1" si="13"/>
        <v>0</v>
      </c>
      <c r="AC111" s="75">
        <f t="shared" ca="1" si="3"/>
        <v>0</v>
      </c>
      <c r="AD111" s="76">
        <f t="shared" ca="1" si="14"/>
        <v>0</v>
      </c>
      <c r="AE111" s="76">
        <f t="shared" ca="1" si="15"/>
        <v>0</v>
      </c>
      <c r="AF111" s="75">
        <f t="shared" ca="1" si="6"/>
        <v>0</v>
      </c>
      <c r="AG111" s="75">
        <f t="shared" ca="1" si="7"/>
        <v>0</v>
      </c>
      <c r="AH111" s="31" t="str" cm="1">
        <f t="array" aca="1" ref="AH111" ca="1">IF((AD111) &lt; (INDEX(ResponseSLA[#All],(MATCH((G111),ResponseSLA[Priority],0))+1,3)),"YES","No")</f>
        <v>YES</v>
      </c>
      <c r="AI111" s="31" t="str">
        <f ca="1">_xlfn.IFNA(IF(AE111 &lt; (INDEX(SLATable[Minimum SLA],MATCH(G111,SLATable[Priority],0))),"YES","NO"),"")</f>
        <v>YES</v>
      </c>
      <c r="AJ111" t="str">
        <f ca="1">_xlfn.IFNA(IF(AE111 &lt; (INDEX(SLATable[Maximum SLA],MATCH(G111,SLATable[Priority],0))),"YES","NO"),"")</f>
        <v>YES</v>
      </c>
    </row>
    <row r="112" spans="1:36" ht="15" customHeight="1">
      <c r="A112" s="45">
        <v>111</v>
      </c>
      <c r="B112" s="45" t="s">
        <v>26</v>
      </c>
      <c r="C112" s="45" t="s">
        <v>41</v>
      </c>
      <c r="D112" s="45" t="s">
        <v>208</v>
      </c>
      <c r="E112" s="45" t="s">
        <v>8345</v>
      </c>
      <c r="F112" s="45" t="s">
        <v>40</v>
      </c>
      <c r="G112" s="66" t="s">
        <v>208</v>
      </c>
      <c r="H112" s="45" t="s">
        <v>8346</v>
      </c>
      <c r="I112" s="45" t="s">
        <v>275</v>
      </c>
      <c r="J112" s="45" t="s">
        <v>8120</v>
      </c>
      <c r="K112" s="147">
        <v>46169.499259259261</v>
      </c>
      <c r="L112" s="147">
        <v>46171.652384259258</v>
      </c>
      <c r="M112" s="147">
        <v>46174.250601851854</v>
      </c>
      <c r="N112" s="147">
        <v>46205.330833333333</v>
      </c>
      <c r="Q112" s="45" t="s">
        <v>8191</v>
      </c>
      <c r="S112" s="45" t="s">
        <v>8122</v>
      </c>
      <c r="T112" s="45" t="s">
        <v>1455</v>
      </c>
      <c r="U112" s="45" t="s">
        <v>371</v>
      </c>
      <c r="Z112" s="76">
        <f t="shared" ca="1" si="12"/>
        <v>9.5840740740726105</v>
      </c>
      <c r="AA112" s="75">
        <f t="shared" ca="1" si="1"/>
        <v>25.557530864193627</v>
      </c>
      <c r="AB112" s="76">
        <f t="shared" ca="1" si="13"/>
        <v>8.6809490740755209</v>
      </c>
      <c r="AC112" s="75">
        <f t="shared" ca="1" si="3"/>
        <v>23.149197530868054</v>
      </c>
      <c r="AD112" s="76">
        <f t="shared" ca="1" si="14"/>
        <v>5.5949074075518523E-2</v>
      </c>
      <c r="AE112" s="76">
        <f t="shared" ca="1" si="15"/>
        <v>8.6809490740755209</v>
      </c>
      <c r="AF112" s="75">
        <f t="shared" ca="1" si="6"/>
        <v>23.149197530868054</v>
      </c>
      <c r="AG112" s="75">
        <f t="shared" ca="1" si="7"/>
        <v>23.149197530868054</v>
      </c>
      <c r="AH112" s="31" t="str" cm="1">
        <f t="array" aca="1" ref="AH112" ca="1">IF((AD112) &lt; (INDEX(ResponseSLA[#All],(MATCH((G112),ResponseSLA[Priority],0))+1,3)),"YES","No")</f>
        <v>YES</v>
      </c>
      <c r="AI112" s="31" t="str">
        <f ca="1">_xlfn.IFNA(IF(AE112 &lt; (INDEX(SLATable[Minimum SLA],MATCH(G112,SLATable[Priority],0))),"YES","NO"),"")</f>
        <v>NO</v>
      </c>
      <c r="AJ112" t="str">
        <f ca="1">_xlfn.IFNA(IF(AE112 &lt; (INDEX(SLATable[Maximum SLA],MATCH(G112,SLATable[Priority],0))),"YES","NO"),"")</f>
        <v>NO</v>
      </c>
    </row>
    <row r="113" spans="1:36" ht="15" customHeight="1">
      <c r="A113" s="45">
        <v>112</v>
      </c>
      <c r="B113" s="45" t="s">
        <v>26</v>
      </c>
      <c r="C113" s="45" t="s">
        <v>41</v>
      </c>
      <c r="D113" s="45" t="s">
        <v>208</v>
      </c>
      <c r="E113" s="45" t="s">
        <v>8347</v>
      </c>
      <c r="F113" s="45" t="s">
        <v>40</v>
      </c>
      <c r="G113" s="66" t="s">
        <v>208</v>
      </c>
      <c r="H113" s="45" t="s">
        <v>8348</v>
      </c>
      <c r="I113" s="45" t="s">
        <v>271</v>
      </c>
      <c r="J113" s="45" t="s">
        <v>8190</v>
      </c>
      <c r="K113" s="147">
        <v>46190.487060185187</v>
      </c>
      <c r="L113" s="147">
        <v>46190.487060185187</v>
      </c>
      <c r="M113" s="147">
        <v>46190.50209490741</v>
      </c>
      <c r="N113" s="147">
        <v>46205.750381944446</v>
      </c>
      <c r="U113" s="45" t="s">
        <v>371</v>
      </c>
      <c r="Z113" s="76">
        <f t="shared" ca="1" si="12"/>
        <v>4.3462731481461869</v>
      </c>
      <c r="AA113" s="75">
        <f t="shared" ca="1" si="1"/>
        <v>11.590061728389832</v>
      </c>
      <c r="AB113" s="76">
        <f t="shared" ca="1" si="13"/>
        <v>4.3462731481461869</v>
      </c>
      <c r="AC113" s="75">
        <f t="shared" ca="1" si="3"/>
        <v>11.590061728389832</v>
      </c>
      <c r="AD113" s="76">
        <f t="shared" ca="1" si="14"/>
        <v>1.5034722222480923E-2</v>
      </c>
      <c r="AE113" s="76">
        <f t="shared" ca="1" si="15"/>
        <v>4.3462731481461869</v>
      </c>
      <c r="AF113" s="75">
        <f t="shared" ca="1" si="6"/>
        <v>11.590061728389832</v>
      </c>
      <c r="AG113" s="75">
        <f t="shared" ca="1" si="7"/>
        <v>11.590061728389832</v>
      </c>
      <c r="AH113" s="31" t="str" cm="1">
        <f t="array" aca="1" ref="AH113" ca="1">IF((AD113) &lt; (INDEX(ResponseSLA[#All],(MATCH((G113),ResponseSLA[Priority],0))+1,3)),"YES","No")</f>
        <v>YES</v>
      </c>
      <c r="AI113" s="31" t="str">
        <f ca="1">_xlfn.IFNA(IF(AE113 &lt; (INDEX(SLATable[Minimum SLA],MATCH(G113,SLATable[Priority],0))),"YES","NO"),"")</f>
        <v>NO</v>
      </c>
      <c r="AJ113" t="str">
        <f ca="1">_xlfn.IFNA(IF(AE113 &lt; (INDEX(SLATable[Maximum SLA],MATCH(G113,SLATable[Priority],0))),"YES","NO"),"")</f>
        <v>NO</v>
      </c>
    </row>
    <row r="114" spans="1:36" ht="15" customHeight="1">
      <c r="A114" s="45">
        <v>113</v>
      </c>
      <c r="B114" s="45" t="s">
        <v>26</v>
      </c>
      <c r="C114" s="45" t="s">
        <v>41</v>
      </c>
      <c r="D114" s="45" t="s">
        <v>207</v>
      </c>
      <c r="E114" s="45" t="s">
        <v>8349</v>
      </c>
      <c r="F114" s="45" t="s">
        <v>40</v>
      </c>
      <c r="G114" s="66">
        <v>4</v>
      </c>
      <c r="H114" s="45" t="s">
        <v>8350</v>
      </c>
      <c r="I114" s="45" t="s">
        <v>271</v>
      </c>
      <c r="J114" s="45" t="s">
        <v>8120</v>
      </c>
      <c r="K114" s="47">
        <v>46195.16951388889</v>
      </c>
      <c r="L114" s="47">
        <v>46195.16951388889</v>
      </c>
      <c r="M114" s="147">
        <v>46195.266157407408</v>
      </c>
      <c r="N114" s="147">
        <v>46195.269120370373</v>
      </c>
      <c r="Q114" s="45" t="s">
        <v>8191</v>
      </c>
      <c r="S114" s="45" t="s">
        <v>8122</v>
      </c>
      <c r="T114" s="45" t="s">
        <v>1519</v>
      </c>
      <c r="U114" s="45" t="s">
        <v>371</v>
      </c>
      <c r="Z114" s="76">
        <f t="shared" ca="1" si="12"/>
        <v>0</v>
      </c>
      <c r="AA114" s="75">
        <f t="shared" ca="1" si="1"/>
        <v>0</v>
      </c>
      <c r="AB114" s="76">
        <f t="shared" ca="1" si="13"/>
        <v>0</v>
      </c>
      <c r="AC114" s="75">
        <f t="shared" ca="1" si="3"/>
        <v>0</v>
      </c>
      <c r="AD114" s="76">
        <f t="shared" ca="1" si="14"/>
        <v>0</v>
      </c>
      <c r="AE114" s="76">
        <f t="shared" ca="1" si="15"/>
        <v>0</v>
      </c>
      <c r="AF114" s="75">
        <f t="shared" ca="1" si="6"/>
        <v>0</v>
      </c>
      <c r="AG114" s="75">
        <f t="shared" ca="1" si="7"/>
        <v>0</v>
      </c>
      <c r="AH114" s="31" t="str" cm="1">
        <f t="array" aca="1" ref="AH114" ca="1">IF((AD114) &lt; (INDEX(ResponseSLA[#All],(MATCH((G114),ResponseSLA[Priority],0))+1,3)),"YES","No")</f>
        <v>YES</v>
      </c>
      <c r="AI114" s="31" t="str">
        <f ca="1">_xlfn.IFNA(IF(AE114 &lt; (INDEX(SLATable[Minimum SLA],MATCH(G114,SLATable[Priority],0))),"YES","NO"),"")</f>
        <v>YES</v>
      </c>
      <c r="AJ114" t="str">
        <f ca="1">_xlfn.IFNA(IF(AE114 &lt; (INDEX(SLATable[Maximum SLA],MATCH(G114,SLATable[Priority],0))),"YES","NO"),"")</f>
        <v>YES</v>
      </c>
    </row>
    <row r="115" spans="1:36" ht="15" customHeight="1">
      <c r="A115" s="45">
        <v>114</v>
      </c>
      <c r="B115" s="45" t="s">
        <v>26</v>
      </c>
      <c r="C115" s="45" t="s">
        <v>41</v>
      </c>
      <c r="D115" s="45" t="s">
        <v>207</v>
      </c>
      <c r="E115" s="45" t="s">
        <v>8351</v>
      </c>
      <c r="F115" s="45" t="s">
        <v>40</v>
      </c>
      <c r="G115" s="66">
        <v>4</v>
      </c>
      <c r="H115" s="45" t="s">
        <v>8352</v>
      </c>
      <c r="I115" s="45" t="s">
        <v>271</v>
      </c>
      <c r="J115" s="45" t="s">
        <v>8120</v>
      </c>
      <c r="K115" s="147">
        <v>46194.907199074078</v>
      </c>
      <c r="L115" s="147">
        <v>46194.948368055557</v>
      </c>
      <c r="M115" s="147">
        <v>46195.274791666663</v>
      </c>
      <c r="N115" s="147">
        <v>46195.277025462965</v>
      </c>
      <c r="Q115" s="45" t="s">
        <v>8191</v>
      </c>
      <c r="S115" s="45" t="s">
        <v>8122</v>
      </c>
      <c r="T115" s="45" t="s">
        <v>1519</v>
      </c>
      <c r="U115" s="45" t="s">
        <v>371</v>
      </c>
      <c r="Z115" s="76">
        <f t="shared" ca="1" si="12"/>
        <v>0</v>
      </c>
      <c r="AA115" s="75">
        <f t="shared" ca="1" si="1"/>
        <v>0</v>
      </c>
      <c r="AB115" s="76">
        <f t="shared" ca="1" si="13"/>
        <v>0</v>
      </c>
      <c r="AC115" s="75">
        <f t="shared" ca="1" si="3"/>
        <v>0</v>
      </c>
      <c r="AD115" s="76">
        <f t="shared" ca="1" si="14"/>
        <v>0</v>
      </c>
      <c r="AE115" s="76">
        <f t="shared" ca="1" si="15"/>
        <v>0</v>
      </c>
      <c r="AF115" s="75">
        <f t="shared" ca="1" si="6"/>
        <v>0</v>
      </c>
      <c r="AG115" s="75">
        <f t="shared" ca="1" si="7"/>
        <v>0</v>
      </c>
      <c r="AH115" s="31" t="str" cm="1">
        <f t="array" aca="1" ref="AH115" ca="1">IF((AD115) &lt; (INDEX(ResponseSLA[#All],(MATCH((G115),ResponseSLA[Priority],0))+1,3)),"YES","No")</f>
        <v>YES</v>
      </c>
      <c r="AI115" s="31" t="str">
        <f ca="1">_xlfn.IFNA(IF(AE115 &lt; (INDEX(SLATable[Minimum SLA],MATCH(G115,SLATable[Priority],0))),"YES","NO"),"")</f>
        <v>YES</v>
      </c>
      <c r="AJ115" t="str">
        <f ca="1">_xlfn.IFNA(IF(AE115 &lt; (INDEX(SLATable[Maximum SLA],MATCH(G115,SLATable[Priority],0))),"YES","NO"),"")</f>
        <v>YES</v>
      </c>
    </row>
    <row r="116" spans="1:36" ht="15" customHeight="1">
      <c r="A116" s="45">
        <v>115</v>
      </c>
      <c r="B116" s="45" t="s">
        <v>26</v>
      </c>
      <c r="C116" s="45" t="s">
        <v>41</v>
      </c>
      <c r="D116" s="45" t="s">
        <v>207</v>
      </c>
      <c r="E116" s="45" t="s">
        <v>8353</v>
      </c>
      <c r="F116" s="45" t="s">
        <v>40</v>
      </c>
      <c r="G116" s="66">
        <v>4</v>
      </c>
      <c r="H116" s="45" t="s">
        <v>8354</v>
      </c>
      <c r="I116" s="45" t="s">
        <v>271</v>
      </c>
      <c r="J116" s="45" t="s">
        <v>8120</v>
      </c>
      <c r="K116" s="147">
        <v>46195.169722222221</v>
      </c>
      <c r="L116" s="147">
        <v>46195.283495370371</v>
      </c>
      <c r="M116" s="147">
        <v>46195.289212962962</v>
      </c>
      <c r="N116" s="147">
        <v>46195.290277777778</v>
      </c>
      <c r="Q116" s="45" t="s">
        <v>8191</v>
      </c>
      <c r="S116" s="45" t="s">
        <v>8122</v>
      </c>
      <c r="T116" s="45" t="s">
        <v>1519</v>
      </c>
      <c r="U116" s="45" t="s">
        <v>371</v>
      </c>
      <c r="Z116" s="76">
        <f t="shared" ca="1" si="12"/>
        <v>0</v>
      </c>
      <c r="AA116" s="75">
        <f t="shared" ca="1" si="1"/>
        <v>0</v>
      </c>
      <c r="AB116" s="76">
        <f t="shared" ca="1" si="13"/>
        <v>0</v>
      </c>
      <c r="AC116" s="75">
        <f t="shared" ca="1" si="3"/>
        <v>0</v>
      </c>
      <c r="AD116" s="76">
        <f t="shared" ca="1" si="14"/>
        <v>0</v>
      </c>
      <c r="AE116" s="76">
        <f t="shared" ca="1" si="15"/>
        <v>0</v>
      </c>
      <c r="AF116" s="75">
        <f t="shared" ca="1" si="6"/>
        <v>0</v>
      </c>
      <c r="AG116" s="75">
        <f t="shared" ca="1" si="7"/>
        <v>0</v>
      </c>
      <c r="AH116" s="31" t="str" cm="1">
        <f t="array" aca="1" ref="AH116" ca="1">IF((AD116) &lt; (INDEX(ResponseSLA[#All],(MATCH((G116),ResponseSLA[Priority],0))+1,3)),"YES","No")</f>
        <v>YES</v>
      </c>
      <c r="AI116" s="31" t="str">
        <f ca="1">_xlfn.IFNA(IF(AE116 &lt; (INDEX(SLATable[Minimum SLA],MATCH(G116,SLATable[Priority],0))),"YES","NO"),"")</f>
        <v>YES</v>
      </c>
      <c r="AJ116" t="str">
        <f ca="1">_xlfn.IFNA(IF(AE116 &lt; (INDEX(SLATable[Maximum SLA],MATCH(G116,SLATable[Priority],0))),"YES","NO"),"")</f>
        <v>YES</v>
      </c>
    </row>
    <row r="117" spans="1:36" ht="15" customHeight="1">
      <c r="A117" s="45">
        <v>116</v>
      </c>
      <c r="B117" s="45" t="s">
        <v>26</v>
      </c>
      <c r="C117" s="45" t="s">
        <v>41</v>
      </c>
      <c r="D117" s="45" t="s">
        <v>207</v>
      </c>
      <c r="E117" s="45" t="s">
        <v>8355</v>
      </c>
      <c r="F117" s="45" t="s">
        <v>40</v>
      </c>
      <c r="G117" s="66">
        <v>4</v>
      </c>
      <c r="H117" s="45" t="s">
        <v>8356</v>
      </c>
      <c r="I117" s="45" t="s">
        <v>271</v>
      </c>
      <c r="J117" s="45" t="s">
        <v>8120</v>
      </c>
      <c r="K117" s="147">
        <v>46192.706400462965</v>
      </c>
      <c r="L117" s="147">
        <v>46192.706400462965</v>
      </c>
      <c r="M117" s="147">
        <v>46195.230706018519</v>
      </c>
      <c r="N117" s="147">
        <v>46203.417500000003</v>
      </c>
      <c r="O117" s="147">
        <v>46195.416666666664</v>
      </c>
      <c r="P117" s="47">
        <v>46203.417500000003</v>
      </c>
      <c r="Q117" s="45" t="s">
        <v>8191</v>
      </c>
      <c r="S117" s="45" t="s">
        <v>8122</v>
      </c>
      <c r="T117" s="45" t="s">
        <v>1455</v>
      </c>
      <c r="U117" s="45" t="s">
        <v>371</v>
      </c>
      <c r="Z117" s="76">
        <f t="shared" ca="1" si="12"/>
        <v>8.5266203699575271E-2</v>
      </c>
      <c r="AA117" s="75">
        <f t="shared" ca="1" si="1"/>
        <v>0.22737654319886738</v>
      </c>
      <c r="AB117" s="76">
        <f t="shared" ca="1" si="13"/>
        <v>8.5266203699575271E-2</v>
      </c>
      <c r="AC117" s="75">
        <f t="shared" ca="1" si="3"/>
        <v>0.22737654319886738</v>
      </c>
      <c r="AD117" s="76">
        <f t="shared" ca="1" si="14"/>
        <v>1.9328703686672943E-3</v>
      </c>
      <c r="AE117" s="76">
        <f t="shared" ca="1" si="15"/>
        <v>8.5266203699575271E-2</v>
      </c>
      <c r="AF117" s="75">
        <f t="shared" ca="1" si="6"/>
        <v>0.22737654319886738</v>
      </c>
      <c r="AG117" s="75">
        <f t="shared" ca="1" si="7"/>
        <v>0.22737654319886738</v>
      </c>
      <c r="AH117" s="31" t="str" cm="1">
        <f t="array" aca="1" ref="AH117" ca="1">IF((AD117) &lt; (INDEX(ResponseSLA[#All],(MATCH((G117),ResponseSLA[Priority],0))+1,3)),"YES","No")</f>
        <v>YES</v>
      </c>
      <c r="AI117" s="31" t="str">
        <f ca="1">_xlfn.IFNA(IF(AE117 &lt; (INDEX(SLATable[Minimum SLA],MATCH(G117,SLATable[Priority],0))),"YES","NO"),"")</f>
        <v>YES</v>
      </c>
      <c r="AJ117" t="str">
        <f ca="1">_xlfn.IFNA(IF(AE117 &lt; (INDEX(SLATable[Maximum SLA],MATCH(G117,SLATable[Priority],0))),"YES","NO"),"")</f>
        <v>YES</v>
      </c>
    </row>
    <row r="118" spans="1:36" ht="15" customHeight="1">
      <c r="A118" s="45">
        <v>117</v>
      </c>
      <c r="B118" s="45" t="s">
        <v>26</v>
      </c>
      <c r="C118" s="45" t="s">
        <v>41</v>
      </c>
      <c r="D118" s="45" t="s">
        <v>207</v>
      </c>
      <c r="E118" s="45" t="s">
        <v>8357</v>
      </c>
      <c r="F118" s="45" t="s">
        <v>40</v>
      </c>
      <c r="G118" s="66">
        <v>4</v>
      </c>
      <c r="H118" s="45" t="s">
        <v>8358</v>
      </c>
      <c r="I118" s="45" t="s">
        <v>271</v>
      </c>
      <c r="J118" s="45" t="s">
        <v>8190</v>
      </c>
      <c r="K118" s="147">
        <v>46191.349016203705</v>
      </c>
      <c r="L118" s="147">
        <v>46191.349016203705</v>
      </c>
      <c r="M118" s="147">
        <v>46191.355150462965</v>
      </c>
      <c r="N118" s="147">
        <v>46211.750196759262</v>
      </c>
      <c r="O118" s="147">
        <v>46204.219548611109</v>
      </c>
      <c r="P118" s="47">
        <v>46211.750196759262</v>
      </c>
      <c r="Q118" s="45" t="s">
        <v>8191</v>
      </c>
      <c r="S118" s="45" t="s">
        <v>8122</v>
      </c>
      <c r="T118" s="45" t="s">
        <v>1455</v>
      </c>
      <c r="U118" s="45" t="s">
        <v>371</v>
      </c>
      <c r="Z118" s="76">
        <f t="shared" ca="1" si="12"/>
        <v>3.3593171296282289</v>
      </c>
      <c r="AA118" s="75">
        <f t="shared" ca="1" si="1"/>
        <v>8.9581790123419438</v>
      </c>
      <c r="AB118" s="76">
        <f t="shared" ca="1" si="13"/>
        <v>3.3593171296282289</v>
      </c>
      <c r="AC118" s="75">
        <f t="shared" ca="1" si="3"/>
        <v>8.9581790123419438</v>
      </c>
      <c r="AD118" s="76">
        <f t="shared" ca="1" si="14"/>
        <v>6.1342592598521151E-3</v>
      </c>
      <c r="AE118" s="76">
        <f t="shared" ca="1" si="15"/>
        <v>3.3593171296282289</v>
      </c>
      <c r="AF118" s="75">
        <f t="shared" ca="1" si="6"/>
        <v>8.9581790123419438</v>
      </c>
      <c r="AG118" s="75">
        <f t="shared" ca="1" si="7"/>
        <v>8.9581790123419438</v>
      </c>
      <c r="AH118" s="31" t="str" cm="1">
        <f t="array" aca="1" ref="AH118" ca="1">IF((AD118) &lt; (INDEX(ResponseSLA[#All],(MATCH((G118),ResponseSLA[Priority],0))+1,3)),"YES","No")</f>
        <v>YES</v>
      </c>
      <c r="AI118" s="31" t="str">
        <f ca="1">_xlfn.IFNA(IF(AE118 &lt; (INDEX(SLATable[Minimum SLA],MATCH(G118,SLATable[Priority],0))),"YES","NO"),"")</f>
        <v>YES</v>
      </c>
      <c r="AJ118" t="str">
        <f ca="1">_xlfn.IFNA(IF(AE118 &lt; (INDEX(SLATable[Maximum SLA],MATCH(G118,SLATable[Priority],0))),"YES","NO"),"")</f>
        <v>YES</v>
      </c>
    </row>
    <row r="119" spans="1:36" ht="15" customHeight="1">
      <c r="A119" s="45">
        <v>118</v>
      </c>
      <c r="B119" s="45" t="s">
        <v>26</v>
      </c>
      <c r="C119" s="45" t="s">
        <v>41</v>
      </c>
      <c r="D119" s="45" t="s">
        <v>207</v>
      </c>
      <c r="E119" s="45" t="s">
        <v>8359</v>
      </c>
      <c r="F119" s="45" t="s">
        <v>40</v>
      </c>
      <c r="G119" s="66">
        <v>4</v>
      </c>
      <c r="H119" s="45" t="s">
        <v>8360</v>
      </c>
      <c r="I119" s="45" t="s">
        <v>271</v>
      </c>
      <c r="J119" s="45" t="s">
        <v>8120</v>
      </c>
      <c r="K119" s="147">
        <v>46195.411111111112</v>
      </c>
      <c r="L119" s="147">
        <v>46195.411111111112</v>
      </c>
      <c r="M119" s="147">
        <v>46195.418043981481</v>
      </c>
      <c r="N119" s="147">
        <v>46195.418402777781</v>
      </c>
      <c r="Q119" s="45" t="s">
        <v>8191</v>
      </c>
      <c r="S119" s="45" t="s">
        <v>8122</v>
      </c>
      <c r="T119" s="45" t="s">
        <v>1519</v>
      </c>
      <c r="U119" s="45" t="s">
        <v>371</v>
      </c>
      <c r="Z119" s="76">
        <f t="shared" ca="1" si="12"/>
        <v>7.291666668606922E-3</v>
      </c>
      <c r="AA119" s="75">
        <f t="shared" ca="1" si="1"/>
        <v>1.9444444449618459E-2</v>
      </c>
      <c r="AB119" s="76">
        <f t="shared" ca="1" si="13"/>
        <v>7.291666668606922E-3</v>
      </c>
      <c r="AC119" s="75">
        <f t="shared" ca="1" si="3"/>
        <v>1.9444444449618459E-2</v>
      </c>
      <c r="AD119" s="76">
        <f t="shared" ca="1" si="14"/>
        <v>6.9328703684732318E-3</v>
      </c>
      <c r="AE119" s="76">
        <f t="shared" ca="1" si="15"/>
        <v>7.291666668606922E-3</v>
      </c>
      <c r="AF119" s="75">
        <f t="shared" ca="1" si="6"/>
        <v>1.9444444449618459E-2</v>
      </c>
      <c r="AG119" s="75">
        <f t="shared" ca="1" si="7"/>
        <v>1.9444444449618459E-2</v>
      </c>
      <c r="AH119" s="31" t="str" cm="1">
        <f t="array" aca="1" ref="AH119" ca="1">IF((AD119) &lt; (INDEX(ResponseSLA[#All],(MATCH((G119),ResponseSLA[Priority],0))+1,3)),"YES","No")</f>
        <v>YES</v>
      </c>
      <c r="AI119" s="31" t="str">
        <f ca="1">_xlfn.IFNA(IF(AE119 &lt; (INDEX(SLATable[Minimum SLA],MATCH(G119,SLATable[Priority],0))),"YES","NO"),"")</f>
        <v>YES</v>
      </c>
      <c r="AJ119" t="str">
        <f ca="1">_xlfn.IFNA(IF(AE119 &lt; (INDEX(SLATable[Maximum SLA],MATCH(G119,SLATable[Priority],0))),"YES","NO"),"")</f>
        <v>YES</v>
      </c>
    </row>
    <row r="120" spans="1:36" ht="15" customHeight="1">
      <c r="A120" s="45">
        <v>119</v>
      </c>
      <c r="B120" s="45" t="s">
        <v>26</v>
      </c>
      <c r="C120" s="45" t="s">
        <v>41</v>
      </c>
      <c r="D120" s="45" t="s">
        <v>207</v>
      </c>
      <c r="E120" s="45" t="s">
        <v>8361</v>
      </c>
      <c r="F120" s="45" t="s">
        <v>40</v>
      </c>
      <c r="G120" s="66">
        <v>4</v>
      </c>
      <c r="H120" s="45" t="s">
        <v>8362</v>
      </c>
      <c r="I120" s="45" t="s">
        <v>271</v>
      </c>
      <c r="J120" s="45" t="s">
        <v>8120</v>
      </c>
      <c r="K120" s="147">
        <v>46195.907685185186</v>
      </c>
      <c r="L120" s="147">
        <v>46195.920937499999</v>
      </c>
      <c r="M120" s="147">
        <v>46196.257708333331</v>
      </c>
      <c r="N120" s="147">
        <v>46196.259282407409</v>
      </c>
      <c r="Q120" s="45" t="s">
        <v>8191</v>
      </c>
      <c r="S120" s="45" t="s">
        <v>8122</v>
      </c>
      <c r="T120" s="45" t="s">
        <v>1519</v>
      </c>
      <c r="U120" s="45" t="s">
        <v>371</v>
      </c>
      <c r="Z120" s="76">
        <f t="shared" ca="1" si="12"/>
        <v>0</v>
      </c>
      <c r="AA120" s="75">
        <f t="shared" ca="1" si="1"/>
        <v>0</v>
      </c>
      <c r="AB120" s="76">
        <f t="shared" ca="1" si="13"/>
        <v>0</v>
      </c>
      <c r="AC120" s="75">
        <f t="shared" ca="1" si="3"/>
        <v>0</v>
      </c>
      <c r="AD120" s="76">
        <f t="shared" ca="1" si="14"/>
        <v>0</v>
      </c>
      <c r="AE120" s="76">
        <f t="shared" ca="1" si="15"/>
        <v>0</v>
      </c>
      <c r="AF120" s="75">
        <f t="shared" ca="1" si="6"/>
        <v>0</v>
      </c>
      <c r="AG120" s="75">
        <f t="shared" ca="1" si="7"/>
        <v>0</v>
      </c>
      <c r="AH120" s="31" t="str" cm="1">
        <f t="array" aca="1" ref="AH120" ca="1">IF((AD120) &lt; (INDEX(ResponseSLA[#All],(MATCH((G120),ResponseSLA[Priority],0))+1,3)),"YES","No")</f>
        <v>YES</v>
      </c>
      <c r="AI120" s="31" t="str">
        <f ca="1">_xlfn.IFNA(IF(AE120 &lt; (INDEX(SLATable[Minimum SLA],MATCH(G120,SLATable[Priority],0))),"YES","NO"),"")</f>
        <v>YES</v>
      </c>
      <c r="AJ120" t="str">
        <f ca="1">_xlfn.IFNA(IF(AE120 &lt; (INDEX(SLATable[Maximum SLA],MATCH(G120,SLATable[Priority],0))),"YES","NO"),"")</f>
        <v>YES</v>
      </c>
    </row>
    <row r="121" spans="1:36" ht="15" customHeight="1">
      <c r="A121" s="45">
        <v>120</v>
      </c>
      <c r="B121" s="45" t="s">
        <v>26</v>
      </c>
      <c r="C121" s="45" t="s">
        <v>41</v>
      </c>
      <c r="D121" s="45" t="s">
        <v>207</v>
      </c>
      <c r="E121" s="45" t="s">
        <v>8363</v>
      </c>
      <c r="F121" s="45" t="s">
        <v>40</v>
      </c>
      <c r="G121" s="66">
        <v>4</v>
      </c>
      <c r="H121" s="45" t="s">
        <v>8364</v>
      </c>
      <c r="I121" s="45" t="s">
        <v>271</v>
      </c>
      <c r="J121" s="45" t="s">
        <v>8120</v>
      </c>
      <c r="K121" s="147">
        <v>46196.170324074075</v>
      </c>
      <c r="L121" s="147">
        <v>46196.172673611109</v>
      </c>
      <c r="M121" s="147">
        <v>46196.261134259257</v>
      </c>
      <c r="N121" s="147">
        <v>46196.261967592596</v>
      </c>
      <c r="Q121" s="45" t="s">
        <v>8191</v>
      </c>
      <c r="S121" s="45" t="s">
        <v>8122</v>
      </c>
      <c r="T121" s="45" t="s">
        <v>1519</v>
      </c>
      <c r="U121" s="45" t="s">
        <v>371</v>
      </c>
      <c r="Z121" s="76">
        <f t="shared" ca="1" si="12"/>
        <v>0</v>
      </c>
      <c r="AA121" s="75">
        <f t="shared" ca="1" si="1"/>
        <v>0</v>
      </c>
      <c r="AB121" s="76">
        <f t="shared" ca="1" si="13"/>
        <v>0</v>
      </c>
      <c r="AC121" s="75">
        <f t="shared" ca="1" si="3"/>
        <v>0</v>
      </c>
      <c r="AD121" s="76">
        <f t="shared" ca="1" si="14"/>
        <v>0</v>
      </c>
      <c r="AE121" s="76">
        <f t="shared" ca="1" si="15"/>
        <v>0</v>
      </c>
      <c r="AF121" s="75">
        <f t="shared" ca="1" si="6"/>
        <v>0</v>
      </c>
      <c r="AG121" s="75">
        <f t="shared" ca="1" si="7"/>
        <v>0</v>
      </c>
      <c r="AH121" s="31" t="str" cm="1">
        <f t="array" aca="1" ref="AH121" ca="1">IF((AD121) &lt; (INDEX(ResponseSLA[#All],(MATCH((G121),ResponseSLA[Priority],0))+1,3)),"YES","No")</f>
        <v>YES</v>
      </c>
      <c r="AI121" s="31" t="str">
        <f ca="1">_xlfn.IFNA(IF(AE121 &lt; (INDEX(SLATable[Minimum SLA],MATCH(G121,SLATable[Priority],0))),"YES","NO"),"")</f>
        <v>YES</v>
      </c>
      <c r="AJ121" t="str">
        <f ca="1">_xlfn.IFNA(IF(AE121 &lt; (INDEX(SLATable[Maximum SLA],MATCH(G121,SLATable[Priority],0))),"YES","NO"),"")</f>
        <v>YES</v>
      </c>
    </row>
    <row r="122" spans="1:36" ht="15" customHeight="1">
      <c r="A122" s="45">
        <v>121</v>
      </c>
      <c r="B122" s="45" t="s">
        <v>26</v>
      </c>
      <c r="C122" s="45" t="s">
        <v>41</v>
      </c>
      <c r="D122" s="45" t="s">
        <v>207</v>
      </c>
      <c r="E122" s="45" t="s">
        <v>8365</v>
      </c>
      <c r="F122" s="45" t="s">
        <v>40</v>
      </c>
      <c r="G122" s="66">
        <v>4</v>
      </c>
      <c r="H122" s="45" t="s">
        <v>8366</v>
      </c>
      <c r="I122" s="45" t="s">
        <v>271</v>
      </c>
      <c r="J122" s="45" t="s">
        <v>8120</v>
      </c>
      <c r="K122" s="147">
        <v>46196.907685185186</v>
      </c>
      <c r="L122" s="147">
        <v>46196.908854166664</v>
      </c>
      <c r="M122" s="147">
        <v>46197.266064814816</v>
      </c>
      <c r="N122" s="147">
        <v>46197.267141203702</v>
      </c>
      <c r="Q122" s="45" t="s">
        <v>8191</v>
      </c>
      <c r="S122" s="45" t="s">
        <v>8122</v>
      </c>
      <c r="T122" s="45" t="s">
        <v>1519</v>
      </c>
      <c r="U122" s="45" t="s">
        <v>371</v>
      </c>
      <c r="Z122" s="76">
        <f t="shared" ca="1" si="12"/>
        <v>0</v>
      </c>
      <c r="AA122" s="75">
        <f t="shared" ca="1" si="1"/>
        <v>0</v>
      </c>
      <c r="AB122" s="76">
        <f t="shared" ca="1" si="13"/>
        <v>0</v>
      </c>
      <c r="AC122" s="75">
        <f t="shared" ca="1" si="3"/>
        <v>0</v>
      </c>
      <c r="AD122" s="76">
        <f t="shared" ca="1" si="14"/>
        <v>0</v>
      </c>
      <c r="AE122" s="76">
        <f t="shared" ca="1" si="15"/>
        <v>0</v>
      </c>
      <c r="AF122" s="75">
        <f t="shared" ca="1" si="6"/>
        <v>0</v>
      </c>
      <c r="AG122" s="75">
        <f t="shared" ca="1" si="7"/>
        <v>0</v>
      </c>
      <c r="AH122" s="31" t="str" cm="1">
        <f t="array" aca="1" ref="AH122" ca="1">IF((AD122) &lt; (INDEX(ResponseSLA[#All],(MATCH((G122),ResponseSLA[Priority],0))+1,3)),"YES","No")</f>
        <v>YES</v>
      </c>
      <c r="AI122" s="31" t="str">
        <f ca="1">_xlfn.IFNA(IF(AE122 &lt; (INDEX(SLATable[Minimum SLA],MATCH(G122,SLATable[Priority],0))),"YES","NO"),"")</f>
        <v>YES</v>
      </c>
      <c r="AJ122" t="str">
        <f ca="1">_xlfn.IFNA(IF(AE122 &lt; (INDEX(SLATable[Maximum SLA],MATCH(G122,SLATable[Priority],0))),"YES","NO"),"")</f>
        <v>YES</v>
      </c>
    </row>
    <row r="123" spans="1:36" ht="15" customHeight="1">
      <c r="A123" s="45">
        <v>122</v>
      </c>
      <c r="B123" s="45" t="s">
        <v>26</v>
      </c>
      <c r="C123" s="45" t="s">
        <v>41</v>
      </c>
      <c r="D123" s="45" t="s">
        <v>207</v>
      </c>
      <c r="E123" s="45" t="s">
        <v>8367</v>
      </c>
      <c r="F123" s="45" t="s">
        <v>40</v>
      </c>
      <c r="G123" s="66">
        <v>4</v>
      </c>
      <c r="H123" s="45" t="s">
        <v>8368</v>
      </c>
      <c r="I123" s="45" t="s">
        <v>271</v>
      </c>
      <c r="J123" s="45" t="s">
        <v>8120</v>
      </c>
      <c r="K123" s="147">
        <v>46197.174375000002</v>
      </c>
      <c r="L123" s="147">
        <v>46197.174375000002</v>
      </c>
      <c r="M123" s="147">
        <v>46197.269085648149</v>
      </c>
      <c r="N123" s="147">
        <v>46197.270462962966</v>
      </c>
      <c r="Q123" s="45" t="s">
        <v>8191</v>
      </c>
      <c r="S123" s="45" t="s">
        <v>8122</v>
      </c>
      <c r="T123" s="45" t="s">
        <v>1519</v>
      </c>
      <c r="U123" s="45" t="s">
        <v>371</v>
      </c>
      <c r="Z123" s="76">
        <f t="shared" ca="1" si="12"/>
        <v>0</v>
      </c>
      <c r="AA123" s="75">
        <f t="shared" ca="1" si="1"/>
        <v>0</v>
      </c>
      <c r="AB123" s="76">
        <f t="shared" ca="1" si="13"/>
        <v>0</v>
      </c>
      <c r="AC123" s="75">
        <f t="shared" ca="1" si="3"/>
        <v>0</v>
      </c>
      <c r="AD123" s="76">
        <f t="shared" ca="1" si="14"/>
        <v>0</v>
      </c>
      <c r="AE123" s="76">
        <f t="shared" ca="1" si="15"/>
        <v>0</v>
      </c>
      <c r="AF123" s="75">
        <f t="shared" ca="1" si="6"/>
        <v>0</v>
      </c>
      <c r="AG123" s="75">
        <f t="shared" ca="1" si="7"/>
        <v>0</v>
      </c>
      <c r="AH123" s="31" t="str" cm="1">
        <f t="array" aca="1" ref="AH123" ca="1">IF((AD123) &lt; (INDEX(ResponseSLA[#All],(MATCH((G123),ResponseSLA[Priority],0))+1,3)),"YES","No")</f>
        <v>YES</v>
      </c>
      <c r="AI123" s="31" t="str">
        <f ca="1">_xlfn.IFNA(IF(AE123 &lt; (INDEX(SLATable[Minimum SLA],MATCH(G123,SLATable[Priority],0))),"YES","NO"),"")</f>
        <v>YES</v>
      </c>
      <c r="AJ123" t="str">
        <f ca="1">_xlfn.IFNA(IF(AE123 &lt; (INDEX(SLATable[Maximum SLA],MATCH(G123,SLATable[Priority],0))),"YES","NO"),"")</f>
        <v>YES</v>
      </c>
    </row>
    <row r="124" spans="1:36" ht="15" customHeight="1">
      <c r="A124" s="45">
        <v>123</v>
      </c>
      <c r="B124" s="45" t="s">
        <v>26</v>
      </c>
      <c r="C124" s="45" t="s">
        <v>41</v>
      </c>
      <c r="D124" s="45" t="s">
        <v>207</v>
      </c>
      <c r="E124" s="45" t="s">
        <v>8369</v>
      </c>
      <c r="F124" s="45" t="s">
        <v>40</v>
      </c>
      <c r="G124" s="66">
        <v>4</v>
      </c>
      <c r="H124" s="45" t="s">
        <v>8370</v>
      </c>
      <c r="I124" s="45" t="s">
        <v>271</v>
      </c>
      <c r="J124" s="45" t="s">
        <v>8120</v>
      </c>
      <c r="K124" s="147">
        <v>46198.171817129631</v>
      </c>
      <c r="L124" s="147">
        <v>46198.240416666667</v>
      </c>
      <c r="M124" s="147">
        <v>46198.262175925927</v>
      </c>
      <c r="N124" s="147">
        <v>46198.26326388889</v>
      </c>
      <c r="Q124" s="45" t="s">
        <v>8191</v>
      </c>
      <c r="S124" s="45" t="s">
        <v>8122</v>
      </c>
      <c r="T124" s="45" t="s">
        <v>1519</v>
      </c>
      <c r="U124" s="45" t="s">
        <v>371</v>
      </c>
      <c r="Z124" s="76">
        <f t="shared" ca="1" si="12"/>
        <v>0</v>
      </c>
      <c r="AA124" s="75">
        <f t="shared" ca="1" si="1"/>
        <v>0</v>
      </c>
      <c r="AB124" s="76">
        <f t="shared" ca="1" si="13"/>
        <v>0</v>
      </c>
      <c r="AC124" s="75">
        <f t="shared" ca="1" si="3"/>
        <v>0</v>
      </c>
      <c r="AD124" s="76">
        <f t="shared" ca="1" si="14"/>
        <v>0</v>
      </c>
      <c r="AE124" s="76">
        <f t="shared" ca="1" si="15"/>
        <v>0</v>
      </c>
      <c r="AF124" s="75">
        <f t="shared" ca="1" si="6"/>
        <v>0</v>
      </c>
      <c r="AG124" s="75">
        <f t="shared" ca="1" si="7"/>
        <v>0</v>
      </c>
      <c r="AH124" s="31" t="str" cm="1">
        <f t="array" aca="1" ref="AH124" ca="1">IF((AD124) &lt; (INDEX(ResponseSLA[#All],(MATCH((G124),ResponseSLA[Priority],0))+1,3)),"YES","No")</f>
        <v>YES</v>
      </c>
      <c r="AI124" s="31" t="str">
        <f ca="1">_xlfn.IFNA(IF(AE124 &lt; (INDEX(SLATable[Minimum SLA],MATCH(G124,SLATable[Priority],0))),"YES","NO"),"")</f>
        <v>YES</v>
      </c>
      <c r="AJ124" t="str">
        <f ca="1">_xlfn.IFNA(IF(AE124 &lt; (INDEX(SLATable[Maximum SLA],MATCH(G124,SLATable[Priority],0))),"YES","NO"),"")</f>
        <v>YES</v>
      </c>
    </row>
    <row r="125" spans="1:36" ht="15" customHeight="1">
      <c r="A125" s="45">
        <v>124</v>
      </c>
      <c r="B125" s="45" t="s">
        <v>26</v>
      </c>
      <c r="C125" s="45" t="s">
        <v>41</v>
      </c>
      <c r="D125" s="45" t="s">
        <v>207</v>
      </c>
      <c r="E125" s="45" t="s">
        <v>8371</v>
      </c>
      <c r="F125" s="45" t="s">
        <v>40</v>
      </c>
      <c r="G125" s="66">
        <v>4</v>
      </c>
      <c r="H125" s="45" t="s">
        <v>8372</v>
      </c>
      <c r="I125" s="45" t="s">
        <v>271</v>
      </c>
      <c r="J125" s="45" t="s">
        <v>8120</v>
      </c>
      <c r="K125" s="147">
        <v>46197.908587962964</v>
      </c>
      <c r="L125" s="147">
        <v>46197.909675925926</v>
      </c>
      <c r="M125" s="147">
        <v>46198.264826388891</v>
      </c>
      <c r="N125" s="147">
        <v>46198.266041666669</v>
      </c>
      <c r="Q125" s="45" t="s">
        <v>8191</v>
      </c>
      <c r="S125" s="45" t="s">
        <v>8122</v>
      </c>
      <c r="T125" s="45" t="s">
        <v>1519</v>
      </c>
      <c r="U125" s="45" t="s">
        <v>371</v>
      </c>
      <c r="Z125" s="76">
        <f t="shared" ca="1" si="12"/>
        <v>0</v>
      </c>
      <c r="AA125" s="75">
        <f t="shared" ca="1" si="1"/>
        <v>0</v>
      </c>
      <c r="AB125" s="76">
        <f t="shared" ca="1" si="13"/>
        <v>0</v>
      </c>
      <c r="AC125" s="75">
        <f t="shared" ca="1" si="3"/>
        <v>0</v>
      </c>
      <c r="AD125" s="76">
        <f t="shared" ca="1" si="14"/>
        <v>0</v>
      </c>
      <c r="AE125" s="76">
        <f t="shared" ca="1" si="15"/>
        <v>0</v>
      </c>
      <c r="AF125" s="75">
        <f t="shared" ca="1" si="6"/>
        <v>0</v>
      </c>
      <c r="AG125" s="75">
        <f t="shared" ca="1" si="7"/>
        <v>0</v>
      </c>
      <c r="AH125" s="31" t="str" cm="1">
        <f t="array" aca="1" ref="AH125" ca="1">IF((AD125) &lt; (INDEX(ResponseSLA[#All],(MATCH((G125),ResponseSLA[Priority],0))+1,3)),"YES","No")</f>
        <v>YES</v>
      </c>
      <c r="AI125" s="31" t="str">
        <f ca="1">_xlfn.IFNA(IF(AE125 &lt; (INDEX(SLATable[Minimum SLA],MATCH(G125,SLATable[Priority],0))),"YES","NO"),"")</f>
        <v>YES</v>
      </c>
      <c r="AJ125" t="str">
        <f ca="1">_xlfn.IFNA(IF(AE125 &lt; (INDEX(SLATable[Maximum SLA],MATCH(G125,SLATable[Priority],0))),"YES","NO"),"")</f>
        <v>YES</v>
      </c>
    </row>
    <row r="126" spans="1:36" ht="15" customHeight="1">
      <c r="A126" s="45">
        <v>125</v>
      </c>
      <c r="B126" s="45" t="s">
        <v>26</v>
      </c>
      <c r="C126" s="45" t="s">
        <v>41</v>
      </c>
      <c r="D126" s="45" t="s">
        <v>207</v>
      </c>
      <c r="E126" s="45" t="s">
        <v>8373</v>
      </c>
      <c r="F126" s="45" t="s">
        <v>40</v>
      </c>
      <c r="G126" s="66">
        <v>3</v>
      </c>
      <c r="H126" s="45" t="s">
        <v>8374</v>
      </c>
      <c r="I126" s="45" t="s">
        <v>271</v>
      </c>
      <c r="J126" s="45" t="s">
        <v>8120</v>
      </c>
      <c r="K126" s="147">
        <v>46196.60015046296</v>
      </c>
      <c r="L126" s="147">
        <v>46196.60015046296</v>
      </c>
      <c r="M126" s="147">
        <v>46197.251585648148</v>
      </c>
      <c r="N126" s="147">
        <v>46198.547002314815</v>
      </c>
      <c r="O126" s="147">
        <v>46198.528865740744</v>
      </c>
      <c r="P126" s="47">
        <v>46198.547002314815</v>
      </c>
      <c r="Q126" s="45" t="s">
        <v>8191</v>
      </c>
      <c r="S126" s="45" t="s">
        <v>8122</v>
      </c>
      <c r="T126" s="45" t="s">
        <v>1455</v>
      </c>
      <c r="U126" s="45" t="s">
        <v>371</v>
      </c>
      <c r="Z126" s="76">
        <f t="shared" ca="1" si="12"/>
        <v>0.67871527778333984</v>
      </c>
      <c r="AA126" s="75">
        <f t="shared" ca="1" si="1"/>
        <v>1.8099074074222397</v>
      </c>
      <c r="AB126" s="76">
        <f t="shared" ca="1" si="13"/>
        <v>0.67871527778333984</v>
      </c>
      <c r="AC126" s="75">
        <f t="shared" ca="1" si="3"/>
        <v>1.8099074074222397</v>
      </c>
      <c r="AD126" s="76">
        <f t="shared" ca="1" si="14"/>
        <v>0.10818287037303287</v>
      </c>
      <c r="AE126" s="76">
        <f t="shared" ca="1" si="15"/>
        <v>0.67871527778333984</v>
      </c>
      <c r="AF126" s="75">
        <f t="shared" ca="1" si="6"/>
        <v>1.8099074074222397</v>
      </c>
      <c r="AG126" s="75">
        <f t="shared" ca="1" si="7"/>
        <v>1.8099074074222397</v>
      </c>
      <c r="AH126" s="31" t="str" cm="1">
        <f t="array" aca="1" ref="AH126" ca="1">IF((AD126) &lt; (INDEX(ResponseSLA[#All],(MATCH((G126),ResponseSLA[Priority],0))+1,3)),"YES","No")</f>
        <v>No</v>
      </c>
      <c r="AI126" s="31" t="str">
        <f ca="1">_xlfn.IFNA(IF(AE126 &lt; (INDEX(SLATable[Minimum SLA],MATCH(G126,SLATable[Priority],0))),"YES","NO"),"")</f>
        <v>NO</v>
      </c>
      <c r="AJ126" t="str">
        <f ca="1">_xlfn.IFNA(IF(AE126 &lt; (INDEX(SLATable[Maximum SLA],MATCH(G126,SLATable[Priority],0))),"YES","NO"),"")</f>
        <v>YES</v>
      </c>
    </row>
    <row r="127" spans="1:36" ht="15" customHeight="1">
      <c r="A127" s="45">
        <v>126</v>
      </c>
      <c r="B127" s="45" t="s">
        <v>26</v>
      </c>
      <c r="C127" s="45" t="s">
        <v>41</v>
      </c>
      <c r="D127" s="45" t="s">
        <v>207</v>
      </c>
      <c r="E127" s="45" t="s">
        <v>8375</v>
      </c>
      <c r="F127" s="45" t="s">
        <v>40</v>
      </c>
      <c r="G127" s="66">
        <v>4</v>
      </c>
      <c r="H127" s="45" t="s">
        <v>8376</v>
      </c>
      <c r="I127" s="45" t="s">
        <v>271</v>
      </c>
      <c r="J127" s="45" t="s">
        <v>8120</v>
      </c>
      <c r="K127" s="147">
        <v>46199.168969907405</v>
      </c>
      <c r="L127" s="147">
        <v>46199.172361111108</v>
      </c>
      <c r="M127" s="147">
        <v>46199.259143518517</v>
      </c>
      <c r="N127" s="147">
        <v>46199.260925925926</v>
      </c>
      <c r="Q127" s="45" t="s">
        <v>8191</v>
      </c>
      <c r="S127" s="45" t="s">
        <v>8122</v>
      </c>
      <c r="T127" s="45" t="s">
        <v>1519</v>
      </c>
      <c r="U127" s="45" t="s">
        <v>371</v>
      </c>
      <c r="Z127" s="76">
        <f t="shared" ca="1" si="12"/>
        <v>0</v>
      </c>
      <c r="AA127" s="75">
        <f t="shared" ca="1" si="1"/>
        <v>0</v>
      </c>
      <c r="AB127" s="76">
        <f t="shared" ca="1" si="13"/>
        <v>0</v>
      </c>
      <c r="AC127" s="75">
        <f t="shared" ca="1" si="3"/>
        <v>0</v>
      </c>
      <c r="AD127" s="76">
        <f t="shared" ca="1" si="14"/>
        <v>0</v>
      </c>
      <c r="AE127" s="76">
        <f t="shared" ca="1" si="15"/>
        <v>0</v>
      </c>
      <c r="AF127" s="75">
        <f t="shared" ca="1" si="6"/>
        <v>0</v>
      </c>
      <c r="AG127" s="75">
        <f t="shared" ca="1" si="7"/>
        <v>0</v>
      </c>
      <c r="AH127" s="31" t="str" cm="1">
        <f t="array" aca="1" ref="AH127" ca="1">IF((AD127) &lt; (INDEX(ResponseSLA[#All],(MATCH((G127),ResponseSLA[Priority],0))+1,3)),"YES","No")</f>
        <v>YES</v>
      </c>
      <c r="AI127" s="31" t="str">
        <f ca="1">_xlfn.IFNA(IF(AE127 &lt; (INDEX(SLATable[Minimum SLA],MATCH(G127,SLATable[Priority],0))),"YES","NO"),"")</f>
        <v>YES</v>
      </c>
      <c r="AJ127" t="str">
        <f ca="1">_xlfn.IFNA(IF(AE127 &lt; (INDEX(SLATable[Maximum SLA],MATCH(G127,SLATable[Priority],0))),"YES","NO"),"")</f>
        <v>YES</v>
      </c>
    </row>
    <row r="128" spans="1:36" ht="15" customHeight="1">
      <c r="A128" s="45">
        <v>127</v>
      </c>
      <c r="B128" s="45" t="s">
        <v>26</v>
      </c>
      <c r="C128" s="45" t="s">
        <v>41</v>
      </c>
      <c r="D128" s="45" t="s">
        <v>207</v>
      </c>
      <c r="E128" s="45" t="s">
        <v>8377</v>
      </c>
      <c r="F128" s="45" t="s">
        <v>40</v>
      </c>
      <c r="G128" s="66">
        <v>4</v>
      </c>
      <c r="H128" s="45" t="s">
        <v>8378</v>
      </c>
      <c r="I128" s="45" t="s">
        <v>271</v>
      </c>
      <c r="J128" s="45" t="s">
        <v>8120</v>
      </c>
      <c r="K128" s="147">
        <v>46198.908634259256</v>
      </c>
      <c r="L128" s="147">
        <v>46198.91028935185</v>
      </c>
      <c r="M128" s="147">
        <v>46199.261805555558</v>
      </c>
      <c r="N128" s="147">
        <v>46199.262789351851</v>
      </c>
      <c r="Q128" s="45" t="s">
        <v>8191</v>
      </c>
      <c r="S128" s="45" t="s">
        <v>8122</v>
      </c>
      <c r="T128" s="45" t="s">
        <v>1519</v>
      </c>
      <c r="U128" s="45" t="s">
        <v>371</v>
      </c>
      <c r="Z128" s="76">
        <f t="shared" ca="1" si="12"/>
        <v>0</v>
      </c>
      <c r="AA128" s="75">
        <f t="shared" ca="1" si="1"/>
        <v>0</v>
      </c>
      <c r="AB128" s="76">
        <f t="shared" ca="1" si="13"/>
        <v>0</v>
      </c>
      <c r="AC128" s="75">
        <f t="shared" ca="1" si="3"/>
        <v>0</v>
      </c>
      <c r="AD128" s="76">
        <f t="shared" ca="1" si="14"/>
        <v>0</v>
      </c>
      <c r="AE128" s="76">
        <f t="shared" ca="1" si="15"/>
        <v>0</v>
      </c>
      <c r="AF128" s="75">
        <f t="shared" ca="1" si="6"/>
        <v>0</v>
      </c>
      <c r="AG128" s="75">
        <f t="shared" ca="1" si="7"/>
        <v>0</v>
      </c>
      <c r="AH128" s="31" t="str" cm="1">
        <f t="array" aca="1" ref="AH128" ca="1">IF((AD128) &lt; (INDEX(ResponseSLA[#All],(MATCH((G128),ResponseSLA[Priority],0))+1,3)),"YES","No")</f>
        <v>YES</v>
      </c>
      <c r="AI128" s="31" t="str">
        <f ca="1">_xlfn.IFNA(IF(AE128 &lt; (INDEX(SLATable[Minimum SLA],MATCH(G128,SLATable[Priority],0))),"YES","NO"),"")</f>
        <v>YES</v>
      </c>
      <c r="AJ128" t="str">
        <f ca="1">_xlfn.IFNA(IF(AE128 &lt; (INDEX(SLATable[Maximum SLA],MATCH(G128,SLATable[Priority],0))),"YES","NO"),"")</f>
        <v>YES</v>
      </c>
    </row>
    <row r="129" spans="1:36" ht="15" customHeight="1">
      <c r="A129" s="45">
        <v>128</v>
      </c>
      <c r="B129" s="45" t="s">
        <v>26</v>
      </c>
      <c r="C129" s="45" t="s">
        <v>41</v>
      </c>
      <c r="D129" s="45" t="s">
        <v>207</v>
      </c>
      <c r="E129" s="45" t="s">
        <v>8379</v>
      </c>
      <c r="F129" s="45" t="s">
        <v>40</v>
      </c>
      <c r="G129" s="66">
        <v>4</v>
      </c>
      <c r="H129" s="45" t="s">
        <v>8380</v>
      </c>
      <c r="I129" s="45" t="s">
        <v>271</v>
      </c>
      <c r="J129" s="45" t="s">
        <v>8120</v>
      </c>
      <c r="K129" s="147">
        <v>46202.17454861111</v>
      </c>
      <c r="L129" s="147">
        <v>46202.18644675926</v>
      </c>
      <c r="M129" s="147">
        <v>46202.234340277777</v>
      </c>
      <c r="N129" s="147">
        <v>46202.23777777778</v>
      </c>
      <c r="Q129" s="45" t="s">
        <v>8191</v>
      </c>
      <c r="S129" s="45" t="s">
        <v>8122</v>
      </c>
      <c r="T129" s="45" t="s">
        <v>1519</v>
      </c>
      <c r="U129" s="45" t="s">
        <v>371</v>
      </c>
      <c r="Z129" s="76">
        <f t="shared" ca="1" si="12"/>
        <v>0</v>
      </c>
      <c r="AA129" s="75">
        <f t="shared" ca="1" si="1"/>
        <v>0</v>
      </c>
      <c r="AB129" s="76">
        <f t="shared" ca="1" si="13"/>
        <v>0</v>
      </c>
      <c r="AC129" s="75">
        <f t="shared" ca="1" si="3"/>
        <v>0</v>
      </c>
      <c r="AD129" s="76">
        <f t="shared" ca="1" si="14"/>
        <v>0</v>
      </c>
      <c r="AE129" s="76">
        <f t="shared" ca="1" si="15"/>
        <v>0</v>
      </c>
      <c r="AF129" s="75">
        <f t="shared" ca="1" si="6"/>
        <v>0</v>
      </c>
      <c r="AG129" s="75">
        <f t="shared" ca="1" si="7"/>
        <v>0</v>
      </c>
      <c r="AH129" s="31" t="str" cm="1">
        <f t="array" aca="1" ref="AH129" ca="1">IF((AD129) &lt; (INDEX(ResponseSLA[#All],(MATCH((G129),ResponseSLA[Priority],0))+1,3)),"YES","No")</f>
        <v>YES</v>
      </c>
      <c r="AI129" s="31" t="str">
        <f ca="1">_xlfn.IFNA(IF(AE129 &lt; (INDEX(SLATable[Minimum SLA],MATCH(G129,SLATable[Priority],0))),"YES","NO"),"")</f>
        <v>YES</v>
      </c>
      <c r="AJ129" t="str">
        <f ca="1">_xlfn.IFNA(IF(AE129 &lt; (INDEX(SLATable[Maximum SLA],MATCH(G129,SLATable[Priority],0))),"YES","NO"),"")</f>
        <v>YES</v>
      </c>
    </row>
    <row r="130" spans="1:36" ht="15" customHeight="1">
      <c r="A130" s="45">
        <v>129</v>
      </c>
      <c r="B130" s="45" t="s">
        <v>26</v>
      </c>
      <c r="C130" s="45" t="s">
        <v>41</v>
      </c>
      <c r="D130" s="45" t="s">
        <v>207</v>
      </c>
      <c r="E130" s="45" t="s">
        <v>8381</v>
      </c>
      <c r="F130" s="45" t="s">
        <v>40</v>
      </c>
      <c r="G130" s="66">
        <v>4</v>
      </c>
      <c r="H130" s="45" t="s">
        <v>8382</v>
      </c>
      <c r="I130" s="45" t="s">
        <v>271</v>
      </c>
      <c r="J130" s="45" t="s">
        <v>8120</v>
      </c>
      <c r="K130" s="147">
        <v>46201.903194444443</v>
      </c>
      <c r="L130" s="147">
        <v>46201.920451388891</v>
      </c>
      <c r="M130" s="147">
        <v>46202.238379629627</v>
      </c>
      <c r="N130" s="147">
        <v>46202.241053240738</v>
      </c>
      <c r="Q130" s="45" t="s">
        <v>8191</v>
      </c>
      <c r="S130" s="45" t="s">
        <v>8122</v>
      </c>
      <c r="T130" s="45" t="s">
        <v>1519</v>
      </c>
      <c r="U130" s="45" t="s">
        <v>371</v>
      </c>
      <c r="Z130" s="76">
        <f t="shared" ca="1" si="12"/>
        <v>0</v>
      </c>
      <c r="AA130" s="75">
        <f t="shared" ca="1" si="1"/>
        <v>0</v>
      </c>
      <c r="AB130" s="76">
        <f t="shared" ca="1" si="13"/>
        <v>0</v>
      </c>
      <c r="AC130" s="75">
        <f t="shared" ca="1" si="3"/>
        <v>0</v>
      </c>
      <c r="AD130" s="76">
        <f t="shared" ca="1" si="14"/>
        <v>0</v>
      </c>
      <c r="AE130" s="76">
        <f t="shared" ca="1" si="15"/>
        <v>0</v>
      </c>
      <c r="AF130" s="75">
        <f t="shared" ca="1" si="6"/>
        <v>0</v>
      </c>
      <c r="AG130" s="75">
        <f t="shared" ca="1" si="7"/>
        <v>0</v>
      </c>
      <c r="AH130" s="31" t="str" cm="1">
        <f t="array" aca="1" ref="AH130" ca="1">IF((AD130) &lt; (INDEX(ResponseSLA[#All],(MATCH((G130),ResponseSLA[Priority],0))+1,3)),"YES","No")</f>
        <v>YES</v>
      </c>
      <c r="AI130" s="31" t="str">
        <f ca="1">_xlfn.IFNA(IF(AE130 &lt; (INDEX(SLATable[Minimum SLA],MATCH(G130,SLATable[Priority],0))),"YES","NO"),"")</f>
        <v>YES</v>
      </c>
      <c r="AJ130" t="str">
        <f ca="1">_xlfn.IFNA(IF(AE130 &lt; (INDEX(SLATable[Maximum SLA],MATCH(G130,SLATable[Priority],0))),"YES","NO"),"")</f>
        <v>YES</v>
      </c>
    </row>
    <row r="131" spans="1:36" ht="15" customHeight="1">
      <c r="A131" s="45">
        <v>130</v>
      </c>
      <c r="B131" s="45" t="s">
        <v>26</v>
      </c>
      <c r="C131" s="45" t="s">
        <v>41</v>
      </c>
      <c r="D131" s="45" t="s">
        <v>207</v>
      </c>
      <c r="E131" s="45" t="s">
        <v>8383</v>
      </c>
      <c r="F131" s="45" t="s">
        <v>40</v>
      </c>
      <c r="G131" s="66">
        <v>4</v>
      </c>
      <c r="H131" s="45" t="s">
        <v>8384</v>
      </c>
      <c r="I131" s="45" t="s">
        <v>271</v>
      </c>
      <c r="J131" s="45" t="s">
        <v>8120</v>
      </c>
      <c r="K131" s="147">
        <v>46201.601990740739</v>
      </c>
      <c r="L131" s="147">
        <v>46201.601990740739</v>
      </c>
      <c r="M131" s="147">
        <v>46202.229409722226</v>
      </c>
      <c r="N131" s="147">
        <v>46210.467465277776</v>
      </c>
      <c r="O131" s="147">
        <v>46202.466874999998</v>
      </c>
      <c r="P131" s="47">
        <v>46210.467465277776</v>
      </c>
      <c r="Q131" s="45" t="s">
        <v>8191</v>
      </c>
      <c r="S131" s="45" t="s">
        <v>8122</v>
      </c>
      <c r="T131" s="45" t="s">
        <v>1455</v>
      </c>
      <c r="U131" s="45" t="s">
        <v>371</v>
      </c>
      <c r="Z131" s="76">
        <f t="shared" ref="Z131:Z192" ca="1" si="16">IF(NOT(OR(G131=1,G131=2)),MAX(0,_xlfn.IFS(AND(K131&lt;&gt;"",N131&lt;&gt;""),((MAX(NETWORKDAYS(K131,N131,UKBankHolidays)-1,0))*(TIME(17,0,0)-TIME(8,0,0))+IF(NETWORKDAYS(N131,N131,UKBankHolidays)&gt;0,MEDIAN(TIME(8,0,0),MOD(N131,1),TIME(17,0,0)),TIME(8,0,0))-IF(NETWORKDAYS(K131,K131,UKBankHolidays)&gt;0,MEDIAN(TIME(8,0,0),MOD(K131,1),TIME(17,0,0)),TIME(8,0,0)))-IF(AND(O131&lt;&gt;"",P131&lt;&gt;""),((MAX(NETWORKDAYS(O131,P131,UKBankHolidays)-1,0))*(TIME(17,0,0)-TIME(8,0,0))+IF(NETWORKDAYS(P131,P131,UKBankHolidays)&gt;0,MEDIAN(TIME(8,0,0),MOD(P131,1),TIME(17,0,0)),TIME(8,0,0))-IF(NETWORKDAYS(O131,O131,UKBankHolidays)&gt;0,MEDIAN(TIME(8,0,0),MOD(O131,1),TIME(17,0,0)),TIME(8,0,0))),0),AND(K131&lt;&gt;"",N131=""),((MAX(NETWORKDAYS(K131,NOW(),UKBankHolidays)-1,0))*(TIME(17,0,0)-TIME(8,0,0))+IF(NETWORKDAYS(NOW(),NOW(),UKBankHolidays)&gt;0,MEDIAN(TIME(8,0,0),MOD(NOW(),1),TIME(17,0,0)),TIME(8,0,0))-IF(NETWORKDAYS(K131,K131,UKBankHolidays)&gt;0,MEDIAN(TIME(8,0,0),MOD(K131,1),TIME(17,0,0)),TIME(8,0,0))))),IF(N131="",NOW()-K131,N131-K131))</f>
        <v>0.13354166666492029</v>
      </c>
      <c r="AA131" s="75">
        <f t="shared" ca="1" si="1"/>
        <v>0.3561111111064541</v>
      </c>
      <c r="AB131" s="76">
        <f t="shared" ref="AB131:AB192" ca="1" si="17">IF(NOT(OR(G131=1,G131=2)),MAX(0,_xlfn.IFS(AND(K131&lt;&gt;"",N131&lt;&gt;""),(((MAX(NETWORKDAYS(L131,N131,UKBankHolidays)-1,0))*(TIME(17,0,0)-TIME(8,0,0)))+IF(NETWORKDAYS(N131,N131,UKBankHolidays)&gt;0,MEDIAN(TIME(8,0,0),MOD(N131,1),TIME(17,0,0)),TIME(8,0,0))-IF(NETWORKDAYS(L131,L131,UKBankHolidays)&gt;0,MEDIAN(TIME(8,0,0),MOD(L131,1),TIME(17,0,0)),TIME(8,0,0)))-IF(AND(O131&lt;&gt;"",P131&lt;&gt;""),(((MAX(NETWORKDAYS(O131,P131,UKBankHolidays)-1,0))*(TIME(17,0,0)-TIME(8,0,0)))+IF(NETWORKDAYS(P131,P131,UKBankHolidays)&gt;0,MEDIAN(TIME(8,0,0),MOD(P131,1),TIME(17,0,0)),TIME(8,0,0))-IF(NETWORKDAYS(O131,O131,UKBankHolidays)&gt;0,MEDIAN(TIME(8,0,0),MOD(O131,1),TIME(17,0,0)),TIME(8,0,0))),0),AND(L131&lt;&gt;"",N131="",O131=""),(((MAX(NETWORKDAYS(L131,NOW(),UKBankHolidays)-1,0))*(TIME(17,0,0)-TIME(8,0,0)))+IF(NETWORKDAYS(NOW(),NOW(),UKBankHolidays)&gt;0,MEDIAN(TIME(8,0,0),MOD(NOW(),1),TIME(17,0,0)),TIME(8,0,0))-IF(NETWORKDAYS(L131,L131,UKBankHolidays)&gt;0,MEDIAN(TIME(8,0,0),MOD(L131,1),TIME(17,0,0)),TIME(8,0,0)))-IF(AND(O131&lt;&gt;"",P131&lt;&gt;""),(((MAX(NETWORKDAYS(O131,P131,UKBankHolidays)-1,0))*(TIME(17,0,0)-TIME(8,0,0)))+IF(NETWORKDAYS(P131,P131,UKBankHolidays)&gt;0,MEDIAN(TIME(8,0,0),MOD(P131,1),TIME(17,0,0)),TIME(8,0,0))-IF(NETWORKDAYS(O131,O131,UKBankHolidays)&gt;0,MEDIAN(TIME(8,0,0),MOD(O131,1),TIME(17,0,0)),TIME(8,0,0))),0),AND(L131&lt;&gt;"",N131="",P131="",O131&lt;&gt;""),(((MAX(NETWORKDAYS(L131,O131,UKBankHolidays)-1,0))*(TIME(17,0,0)-TIME(8,0,0)))+IF(NETWORKDAYS(O131,O131,UKBankHolidays)&gt;0,MEDIAN(TIME(8,0,0),MOD(O131,1),TIME(17,0,0)),TIME(8,0,0))-IF(NETWORKDAYS(L131,L131,UKBankHolidays)&gt;0,MEDIAN(TIME(8,0,0),MOD(L131,1),TIME(17,0,0)),TIME(8,0,0))),ISBLANK(K131),"0")),IF(ISBLANK(N131),NOW()-L131,N131-L131))</f>
        <v>0.13354166666492029</v>
      </c>
      <c r="AC131" s="75">
        <f t="shared" ca="1" si="3"/>
        <v>0.3561111111064541</v>
      </c>
      <c r="AD131" s="76">
        <f t="shared" ref="AD131:AD192" ca="1" si="18">MAX(0,IF(NOT(OR(G131=1,G131=2)),IF(M131&lt;&gt;"",((MAX(NETWORKDAYS(L131,M131,UKBankHolidays)-1,0))*(TIME(17,0,0)-TIME(8,0,0))+IF(NETWORKDAYS(M131,M131,UKBankHolidays)&gt;0,MEDIAN(TIME(8,0,0),MOD(M131,1),TIME(17,0,0)),TIME(8,0,0))-MEDIAN(TIME(8,0,0),MOD(L131,1),TIME(17,0,0))),((MAX(NETWORKDAYS(L131,NOW(),UKBankHolidays)-1,0))*(TIME(17,0,0)-TIME(8,0,0))+IF(NETWORKDAYS(NOW(),NOW(),UKBankHolidays)&gt;0,MEDIAN(TIME(8,0,0),MOD(NOW(),1),TIME(17,0,0)),TIME(8,0,0))-MEDIAN(TIME(8,0,0),MOD(L131,1),TIME(17,0,0)))),IF(M131&lt;&gt;"",M131-L131,NOW()-L131)))</f>
        <v>0</v>
      </c>
      <c r="AE131" s="76">
        <f t="shared" ref="AE131:AE192" ca="1" si="19">SUMIFS(AB:AB,E:E,E131)</f>
        <v>0.13354166666492029</v>
      </c>
      <c r="AF131" s="75">
        <f t="shared" ca="1" si="6"/>
        <v>0.3561111111064541</v>
      </c>
      <c r="AG131" s="75">
        <f t="shared" ca="1" si="7"/>
        <v>0.3561111111064541</v>
      </c>
      <c r="AH131" s="31" t="str" cm="1">
        <f t="array" aca="1" ref="AH131" ca="1">IF((AD131) &lt; (INDEX(ResponseSLA[#All],(MATCH((G131),ResponseSLA[Priority],0))+1,3)),"YES","No")</f>
        <v>YES</v>
      </c>
      <c r="AI131" s="31" t="str">
        <f ca="1">_xlfn.IFNA(IF(AE131 &lt; (INDEX(SLATable[Minimum SLA],MATCH(G131,SLATable[Priority],0))),"YES","NO"),"")</f>
        <v>YES</v>
      </c>
      <c r="AJ131" t="str">
        <f ca="1">_xlfn.IFNA(IF(AE131 &lt; (INDEX(SLATable[Maximum SLA],MATCH(G131,SLATable[Priority],0))),"YES","NO"),"")</f>
        <v>YES</v>
      </c>
    </row>
    <row r="132" spans="1:36" ht="15" customHeight="1">
      <c r="A132" s="45">
        <v>131</v>
      </c>
      <c r="B132" s="45" t="s">
        <v>26</v>
      </c>
      <c r="C132" s="45" t="s">
        <v>41</v>
      </c>
      <c r="D132" s="45" t="s">
        <v>207</v>
      </c>
      <c r="E132" s="45" t="s">
        <v>8385</v>
      </c>
      <c r="F132" s="45" t="s">
        <v>40</v>
      </c>
      <c r="G132" s="66">
        <v>4</v>
      </c>
      <c r="H132" s="45" t="s">
        <v>8384</v>
      </c>
      <c r="I132" s="45" t="s">
        <v>271</v>
      </c>
      <c r="J132" s="45" t="s">
        <v>8120</v>
      </c>
      <c r="K132" s="147">
        <v>46201.599803240744</v>
      </c>
      <c r="L132" s="147">
        <v>46201.599803240744</v>
      </c>
      <c r="M132" s="147">
        <v>46202.229780092595</v>
      </c>
      <c r="N132" s="147">
        <v>46210.467013888891</v>
      </c>
      <c r="O132" s="147">
        <v>46202.466458333336</v>
      </c>
      <c r="P132" s="47">
        <v>46210.467013888891</v>
      </c>
      <c r="Q132" s="45" t="s">
        <v>8191</v>
      </c>
      <c r="S132" s="45" t="s">
        <v>8122</v>
      </c>
      <c r="T132" s="45" t="s">
        <v>1455</v>
      </c>
      <c r="U132" s="45" t="s">
        <v>371</v>
      </c>
      <c r="Z132" s="76">
        <f t="shared" ca="1" si="16"/>
        <v>0.13312500000271621</v>
      </c>
      <c r="AA132" s="75">
        <f t="shared" ca="1" si="1"/>
        <v>0.35500000000724324</v>
      </c>
      <c r="AB132" s="76">
        <f t="shared" ca="1" si="17"/>
        <v>0.13312500000271621</v>
      </c>
      <c r="AC132" s="75">
        <f t="shared" ca="1" si="3"/>
        <v>0.35500000000724324</v>
      </c>
      <c r="AD132" s="76">
        <f t="shared" ca="1" si="18"/>
        <v>0</v>
      </c>
      <c r="AE132" s="76">
        <f t="shared" ca="1" si="19"/>
        <v>0.13312500000271621</v>
      </c>
      <c r="AF132" s="75">
        <f t="shared" ca="1" si="6"/>
        <v>0.35500000000724324</v>
      </c>
      <c r="AG132" s="75">
        <f t="shared" ca="1" si="7"/>
        <v>0.35500000000724324</v>
      </c>
      <c r="AH132" s="31" t="str" cm="1">
        <f t="array" aca="1" ref="AH132" ca="1">IF((AD132) &lt; (INDEX(ResponseSLA[#All],(MATCH((G132),ResponseSLA[Priority],0))+1,3)),"YES","No")</f>
        <v>YES</v>
      </c>
      <c r="AI132" s="31" t="str">
        <f ca="1">_xlfn.IFNA(IF(AE132 &lt; (INDEX(SLATable[Minimum SLA],MATCH(G132,SLATable[Priority],0))),"YES","NO"),"")</f>
        <v>YES</v>
      </c>
      <c r="AJ132" t="str">
        <f ca="1">_xlfn.IFNA(IF(AE132 &lt; (INDEX(SLATable[Maximum SLA],MATCH(G132,SLATable[Priority],0))),"YES","NO"),"")</f>
        <v>YES</v>
      </c>
    </row>
    <row r="133" spans="1:36" ht="15" customHeight="1">
      <c r="A133" s="45">
        <v>132</v>
      </c>
      <c r="B133" s="45" t="s">
        <v>26</v>
      </c>
      <c r="C133" s="45" t="s">
        <v>41</v>
      </c>
      <c r="D133" s="45" t="s">
        <v>207</v>
      </c>
      <c r="E133" s="45" t="s">
        <v>8386</v>
      </c>
      <c r="F133" s="45" t="s">
        <v>40</v>
      </c>
      <c r="G133" s="66">
        <v>4</v>
      </c>
      <c r="H133" s="45" t="s">
        <v>8387</v>
      </c>
      <c r="I133" s="45" t="s">
        <v>271</v>
      </c>
      <c r="J133" s="45" t="s">
        <v>8120</v>
      </c>
      <c r="K133" s="147">
        <v>46202.462384259263</v>
      </c>
      <c r="L133" s="147">
        <v>46202.462384259263</v>
      </c>
      <c r="M133" s="147">
        <v>46202.46738425926</v>
      </c>
      <c r="N133" s="147">
        <v>46202.467824074076</v>
      </c>
      <c r="Q133" s="45" t="s">
        <v>8191</v>
      </c>
      <c r="S133" s="45" t="s">
        <v>8122</v>
      </c>
      <c r="T133" s="45" t="s">
        <v>1519</v>
      </c>
      <c r="U133" s="45" t="s">
        <v>371</v>
      </c>
      <c r="Z133" s="76">
        <f t="shared" ca="1" si="16"/>
        <v>5.4398148131440394E-3</v>
      </c>
      <c r="AA133" s="75">
        <f t="shared" ca="1" si="1"/>
        <v>1.4506172835050771E-2</v>
      </c>
      <c r="AB133" s="76">
        <f t="shared" ca="1" si="17"/>
        <v>5.4398148131440394E-3</v>
      </c>
      <c r="AC133" s="75">
        <f t="shared" ca="1" si="3"/>
        <v>1.4506172835050771E-2</v>
      </c>
      <c r="AD133" s="76">
        <f t="shared" ca="1" si="18"/>
        <v>4.9999999973806553E-3</v>
      </c>
      <c r="AE133" s="76">
        <f t="shared" ca="1" si="19"/>
        <v>5.4398148131440394E-3</v>
      </c>
      <c r="AF133" s="75">
        <f t="shared" ca="1" si="6"/>
        <v>1.4506172835050771E-2</v>
      </c>
      <c r="AG133" s="75">
        <f t="shared" ca="1" si="7"/>
        <v>1.4506172835050771E-2</v>
      </c>
      <c r="AH133" s="31" t="str" cm="1">
        <f t="array" aca="1" ref="AH133" ca="1">IF((AD133) &lt; (INDEX(ResponseSLA[#All],(MATCH((G133),ResponseSLA[Priority],0))+1,3)),"YES","No")</f>
        <v>YES</v>
      </c>
      <c r="AI133" s="31" t="str">
        <f ca="1">_xlfn.IFNA(IF(AE133 &lt; (INDEX(SLATable[Minimum SLA],MATCH(G133,SLATable[Priority],0))),"YES","NO"),"")</f>
        <v>YES</v>
      </c>
      <c r="AJ133" t="str">
        <f ca="1">_xlfn.IFNA(IF(AE133 &lt; (INDEX(SLATable[Maximum SLA],MATCH(G133,SLATable[Priority],0))),"YES","NO"),"")</f>
        <v>YES</v>
      </c>
    </row>
    <row r="134" spans="1:36" ht="15" customHeight="1">
      <c r="A134" s="45">
        <v>133</v>
      </c>
      <c r="B134" s="45" t="s">
        <v>26</v>
      </c>
      <c r="C134" s="45" t="s">
        <v>41</v>
      </c>
      <c r="D134" s="45" t="s">
        <v>207</v>
      </c>
      <c r="E134" s="45" t="s">
        <v>8388</v>
      </c>
      <c r="F134" s="45" t="s">
        <v>40</v>
      </c>
      <c r="G134" s="66">
        <v>4</v>
      </c>
      <c r="H134" s="45" t="s">
        <v>8389</v>
      </c>
      <c r="I134" s="45" t="s">
        <v>271</v>
      </c>
      <c r="J134" s="45" t="s">
        <v>8120</v>
      </c>
      <c r="K134" s="147">
        <v>46202.462766203702</v>
      </c>
      <c r="L134" s="147">
        <v>46202.485173611109</v>
      </c>
      <c r="M134" s="147">
        <v>46202.510335648149</v>
      </c>
      <c r="N134" s="147">
        <v>46202.511064814818</v>
      </c>
      <c r="Q134" s="45" t="s">
        <v>8191</v>
      </c>
      <c r="S134" s="45" t="s">
        <v>8122</v>
      </c>
      <c r="T134" s="45" t="s">
        <v>1519</v>
      </c>
      <c r="U134" s="45" t="s">
        <v>371</v>
      </c>
      <c r="Z134" s="76">
        <f t="shared" ca="1" si="16"/>
        <v>4.8298611116479151E-2</v>
      </c>
      <c r="AA134" s="75">
        <f t="shared" ca="1" si="1"/>
        <v>0.12879629631061107</v>
      </c>
      <c r="AB134" s="76">
        <f t="shared" ca="1" si="17"/>
        <v>2.5891203709761612E-2</v>
      </c>
      <c r="AC134" s="75">
        <f t="shared" ca="1" si="3"/>
        <v>6.9043209892697632E-2</v>
      </c>
      <c r="AD134" s="76">
        <f t="shared" ca="1" si="18"/>
        <v>2.5162037039990537E-2</v>
      </c>
      <c r="AE134" s="76">
        <f t="shared" ca="1" si="19"/>
        <v>2.5891203709761612E-2</v>
      </c>
      <c r="AF134" s="75">
        <f t="shared" ca="1" si="6"/>
        <v>6.9043209892697632E-2</v>
      </c>
      <c r="AG134" s="75">
        <f t="shared" ca="1" si="7"/>
        <v>6.9043209892697632E-2</v>
      </c>
      <c r="AH134" s="31" t="str" cm="1">
        <f t="array" aca="1" ref="AH134" ca="1">IF((AD134) &lt; (INDEX(ResponseSLA[#All],(MATCH((G134),ResponseSLA[Priority],0))+1,3)),"YES","No")</f>
        <v>YES</v>
      </c>
      <c r="AI134" s="31" t="str">
        <f ca="1">_xlfn.IFNA(IF(AE134 &lt; (INDEX(SLATable[Minimum SLA],MATCH(G134,SLATable[Priority],0))),"YES","NO"),"")</f>
        <v>YES</v>
      </c>
      <c r="AJ134" t="str">
        <f ca="1">_xlfn.IFNA(IF(AE134 &lt; (INDEX(SLATable[Maximum SLA],MATCH(G134,SLATable[Priority],0))),"YES","NO"),"")</f>
        <v>YES</v>
      </c>
    </row>
    <row r="135" spans="1:36" ht="15" customHeight="1">
      <c r="A135" s="45">
        <v>134</v>
      </c>
      <c r="B135" s="45" t="s">
        <v>26</v>
      </c>
      <c r="C135" s="45" t="s">
        <v>41</v>
      </c>
      <c r="D135" s="45" t="s">
        <v>207</v>
      </c>
      <c r="E135" s="45" t="s">
        <v>8390</v>
      </c>
      <c r="F135" s="45" t="s">
        <v>40</v>
      </c>
      <c r="G135" s="66">
        <v>4</v>
      </c>
      <c r="H135" s="45" t="s">
        <v>8391</v>
      </c>
      <c r="I135" s="45" t="s">
        <v>271</v>
      </c>
      <c r="J135" s="45" t="s">
        <v>8120</v>
      </c>
      <c r="K135" s="147">
        <v>46203.168391203704</v>
      </c>
      <c r="L135" s="147">
        <v>46203.175451388888</v>
      </c>
      <c r="M135" s="147">
        <v>46203.234398148146</v>
      </c>
      <c r="N135" s="147">
        <v>46203.235509259262</v>
      </c>
      <c r="Q135" s="45" t="s">
        <v>8191</v>
      </c>
      <c r="S135" s="45" t="s">
        <v>8122</v>
      </c>
      <c r="T135" s="45" t="s">
        <v>1519</v>
      </c>
      <c r="U135" s="45" t="s">
        <v>371</v>
      </c>
      <c r="Z135" s="76">
        <f t="shared" ca="1" si="16"/>
        <v>0</v>
      </c>
      <c r="AA135" s="75">
        <f t="shared" ca="1" si="1"/>
        <v>0</v>
      </c>
      <c r="AB135" s="76">
        <f t="shared" ca="1" si="17"/>
        <v>0</v>
      </c>
      <c r="AC135" s="75">
        <f t="shared" ca="1" si="3"/>
        <v>0</v>
      </c>
      <c r="AD135" s="76">
        <f t="shared" ca="1" si="18"/>
        <v>0</v>
      </c>
      <c r="AE135" s="76">
        <f t="shared" ca="1" si="19"/>
        <v>0</v>
      </c>
      <c r="AF135" s="75">
        <f t="shared" ca="1" si="6"/>
        <v>0</v>
      </c>
      <c r="AG135" s="75">
        <f t="shared" ca="1" si="7"/>
        <v>0</v>
      </c>
      <c r="AH135" s="31" t="str" cm="1">
        <f t="array" aca="1" ref="AH135" ca="1">IF((AD135) &lt; (INDEX(ResponseSLA[#All],(MATCH((G135),ResponseSLA[Priority],0))+1,3)),"YES","No")</f>
        <v>YES</v>
      </c>
      <c r="AI135" s="31" t="str">
        <f ca="1">_xlfn.IFNA(IF(AE135 &lt; (INDEX(SLATable[Minimum SLA],MATCH(G135,SLATable[Priority],0))),"YES","NO"),"")</f>
        <v>YES</v>
      </c>
      <c r="AJ135" t="str">
        <f ca="1">_xlfn.IFNA(IF(AE135 &lt; (INDEX(SLATable[Maximum SLA],MATCH(G135,SLATable[Priority],0))),"YES","NO"),"")</f>
        <v>YES</v>
      </c>
    </row>
    <row r="136" spans="1:36" ht="15" customHeight="1">
      <c r="A136" s="45">
        <v>135</v>
      </c>
      <c r="B136" s="45" t="s">
        <v>26</v>
      </c>
      <c r="C136" s="45" t="s">
        <v>41</v>
      </c>
      <c r="D136" s="45" t="s">
        <v>207</v>
      </c>
      <c r="E136" s="45" t="s">
        <v>8392</v>
      </c>
      <c r="F136" s="45" t="s">
        <v>40</v>
      </c>
      <c r="G136" s="66">
        <v>4</v>
      </c>
      <c r="H136" s="45" t="s">
        <v>8393</v>
      </c>
      <c r="I136" s="45" t="s">
        <v>271</v>
      </c>
      <c r="J136" s="45" t="s">
        <v>8120</v>
      </c>
      <c r="K136" s="147">
        <v>46202.904108796298</v>
      </c>
      <c r="L136" s="147">
        <v>46202.920173611114</v>
      </c>
      <c r="M136" s="147">
        <v>46203.238877314812</v>
      </c>
      <c r="N136" s="147">
        <v>46203.239814814813</v>
      </c>
      <c r="Q136" s="45" t="s">
        <v>8191</v>
      </c>
      <c r="S136" s="45" t="s">
        <v>8122</v>
      </c>
      <c r="T136" s="45" t="s">
        <v>1519</v>
      </c>
      <c r="U136" s="45" t="s">
        <v>371</v>
      </c>
      <c r="Z136" s="76">
        <f ca="1">IF(NOT(OR(G137=1,G137=2)),MAX(0,_xlfn.IFS(AND(K136&lt;&gt;"",N136&lt;&gt;""),((MAX(NETWORKDAYS(K136,N136,UKBankHolidays)-1,0))*(TIME(17,0,0)-TIME(8,0,0))+IF(NETWORKDAYS(N136,N136,UKBankHolidays)&gt;0,MEDIAN(TIME(8,0,0),MOD(N136,1),TIME(17,0,0)),TIME(8,0,0))-IF(NETWORKDAYS(K136,K136,UKBankHolidays)&gt;0,MEDIAN(TIME(8,0,0),MOD(K136,1),TIME(17,0,0)),TIME(8,0,0)))-IF(AND(O136&lt;&gt;"",P136&lt;&gt;""),((MAX(NETWORKDAYS(O136,P136,UKBankHolidays)-1,0))*(TIME(17,0,0)-TIME(8,0,0))+IF(NETWORKDAYS(P136,P136,UKBankHolidays)&gt;0,MEDIAN(TIME(8,0,0),MOD(P136,1),TIME(17,0,0)),TIME(8,0,0))-IF(NETWORKDAYS(O136,O136,UKBankHolidays)&gt;0,MEDIAN(TIME(8,0,0),MOD(O136,1),TIME(17,0,0)),TIME(8,0,0))),0),AND(K136&lt;&gt;"",N136=""),((MAX(NETWORKDAYS(K136,NOW(),UKBankHolidays)-1,0))*(TIME(17,0,0)-TIME(8,0,0))+IF(NETWORKDAYS(NOW(),NOW(),UKBankHolidays)&gt;0,MEDIAN(TIME(8,0,0),MOD(NOW(),1),TIME(17,0,0)),TIME(8,0,0))-IF(NETWORKDAYS(K136,K136,UKBankHolidays)&gt;0,MEDIAN(TIME(8,0,0),MOD(K136,1),TIME(17,0,0)),TIME(8,0,0))))),IF(N136="",NOW()-K136,N136-K136))</f>
        <v>0</v>
      </c>
      <c r="AA136" s="75">
        <f t="shared" ca="1" si="1"/>
        <v>0</v>
      </c>
      <c r="AB136" s="76">
        <f ca="1">IF(NOT(OR(G137=1,G137=2)),MAX(0,_xlfn.IFS(AND(K136&lt;&gt;"",N136&lt;&gt;""),(((MAX(NETWORKDAYS(L136,N136,UKBankHolidays)-1,0))*(TIME(17,0,0)-TIME(8,0,0)))+IF(NETWORKDAYS(N136,N136,UKBankHolidays)&gt;0,MEDIAN(TIME(8,0,0),MOD(N136,1),TIME(17,0,0)),TIME(8,0,0))-IF(NETWORKDAYS(L136,L136,UKBankHolidays)&gt;0,MEDIAN(TIME(8,0,0),MOD(L136,1),TIME(17,0,0)),TIME(8,0,0)))-IF(AND(O136&lt;&gt;"",P136&lt;&gt;""),(((MAX(NETWORKDAYS(O136,P136,UKBankHolidays)-1,0))*(TIME(17,0,0)-TIME(8,0,0)))+IF(NETWORKDAYS(P136,P136,UKBankHolidays)&gt;0,MEDIAN(TIME(8,0,0),MOD(P136,1),TIME(17,0,0)),TIME(8,0,0))-IF(NETWORKDAYS(O136,O136,UKBankHolidays)&gt;0,MEDIAN(TIME(8,0,0),MOD(O136,1),TIME(17,0,0)),TIME(8,0,0))),0),AND(L136&lt;&gt;"",N136="",O136=""),(((MAX(NETWORKDAYS(L136,NOW(),UKBankHolidays)-1,0))*(TIME(17,0,0)-TIME(8,0,0)))+IF(NETWORKDAYS(NOW(),NOW(),UKBankHolidays)&gt;0,MEDIAN(TIME(8,0,0),MOD(NOW(),1),TIME(17,0,0)),TIME(8,0,0))-IF(NETWORKDAYS(L136,L136,UKBankHolidays)&gt;0,MEDIAN(TIME(8,0,0),MOD(L136,1),TIME(17,0,0)),TIME(8,0,0)))-IF(AND(O136&lt;&gt;"",P136&lt;&gt;""),(((MAX(NETWORKDAYS(O136,P136,UKBankHolidays)-1,0))*(TIME(17,0,0)-TIME(8,0,0)))+IF(NETWORKDAYS(P136,P136,UKBankHolidays)&gt;0,MEDIAN(TIME(8,0,0),MOD(P136,1),TIME(17,0,0)),TIME(8,0,0))-IF(NETWORKDAYS(O136,O136,UKBankHolidays)&gt;0,MEDIAN(TIME(8,0,0),MOD(O136,1),TIME(17,0,0)),TIME(8,0,0))),0),AND(L136&lt;&gt;"",N136="",P136="",O136&lt;&gt;""),(((MAX(NETWORKDAYS(L136,O136,UKBankHolidays)-1,0))*(TIME(17,0,0)-TIME(8,0,0)))+IF(NETWORKDAYS(O136,O136,UKBankHolidays)&gt;0,MEDIAN(TIME(8,0,0),MOD(O136,1),TIME(17,0,0)),TIME(8,0,0))-IF(NETWORKDAYS(L136,L136,UKBankHolidays)&gt;0,MEDIAN(TIME(8,0,0),MOD(L136,1),TIME(17,0,0)),TIME(8,0,0))),ISBLANK(K136),"0")),IF(ISBLANK(N136),NOW()-L136,N136-L136))</f>
        <v>0</v>
      </c>
      <c r="AC136" s="75">
        <f t="shared" ca="1" si="3"/>
        <v>0</v>
      </c>
      <c r="AD136" s="76">
        <f ca="1">MAX(0,IF(NOT(OR(G137=1,G137=2)),IF(M136&lt;&gt;"",((MAX(NETWORKDAYS(L136,M136,UKBankHolidays)-1,0))*(TIME(17,0,0)-TIME(8,0,0))+IF(NETWORKDAYS(M136,M136,UKBankHolidays)&gt;0,MEDIAN(TIME(8,0,0),MOD(M136,1),TIME(17,0,0)),TIME(8,0,0))-MEDIAN(TIME(8,0,0),MOD(L136,1),TIME(17,0,0))),((MAX(NETWORKDAYS(L136,NOW(),UKBankHolidays)-1,0))*(TIME(17,0,0)-TIME(8,0,0))+IF(NETWORKDAYS(NOW(),NOW(),UKBankHolidays)&gt;0,MEDIAN(TIME(8,0,0),MOD(NOW(),1),TIME(17,0,0)),TIME(8,0,0))-MEDIAN(TIME(8,0,0),MOD(L136,1),TIME(17,0,0)))),IF(M136&lt;&gt;"",M136-L136,NOW()-L136)))</f>
        <v>0</v>
      </c>
      <c r="AE136" s="76">
        <f>SUMIFS(AB:AB,E:E,#REF!)</f>
        <v>0</v>
      </c>
      <c r="AF136" s="75">
        <f t="shared" si="6"/>
        <v>0</v>
      </c>
      <c r="AG136" s="75">
        <f t="shared" si="7"/>
        <v>0</v>
      </c>
      <c r="AH136" s="31" t="str" cm="1">
        <f t="array" aca="1" ref="AH136" ca="1">IF((AD136) &lt; (INDEX(ResponseSLA[#All],(MATCH((G137),ResponseSLA[Priority],0))+1,3)),"YES","No")</f>
        <v>YES</v>
      </c>
      <c r="AI136" s="31" t="str">
        <f>_xlfn.IFNA(IF(AE136 &lt; (INDEX(SLATable[Minimum SLA],MATCH(G137,SLATable[Priority],0))),"YES","NO"),"")</f>
        <v>YES</v>
      </c>
      <c r="AJ136" t="str">
        <f>_xlfn.IFNA(IF(AE136 &lt; (INDEX(SLATable[Maximum SLA],MATCH(G137,SLATable[Priority],0))),"YES","NO"),"")</f>
        <v>YES</v>
      </c>
    </row>
    <row r="137" spans="1:36" ht="15" customHeight="1">
      <c r="A137" s="45">
        <v>136</v>
      </c>
      <c r="B137" s="45" t="s">
        <v>26</v>
      </c>
      <c r="C137" s="45" t="s">
        <v>41</v>
      </c>
      <c r="D137" s="45" t="s">
        <v>207</v>
      </c>
      <c r="E137" s="45" t="s">
        <v>8394</v>
      </c>
      <c r="F137" s="45" t="s">
        <v>40</v>
      </c>
      <c r="G137" s="66">
        <v>4</v>
      </c>
      <c r="H137" s="45" t="s">
        <v>8395</v>
      </c>
      <c r="I137" s="45" t="s">
        <v>271</v>
      </c>
      <c r="J137" s="45" t="s">
        <v>8120</v>
      </c>
      <c r="K137" s="147">
        <v>46203.463483796295</v>
      </c>
      <c r="L137" s="147">
        <v>46203.463865740741</v>
      </c>
      <c r="M137" s="147">
        <v>46203.545995370368</v>
      </c>
      <c r="N137" s="147">
        <v>46203.547233796293</v>
      </c>
      <c r="Q137" s="45" t="s">
        <v>8191</v>
      </c>
      <c r="S137" s="45" t="s">
        <v>8122</v>
      </c>
      <c r="T137" s="45" t="s">
        <v>1519</v>
      </c>
      <c r="U137" s="45" t="s">
        <v>371</v>
      </c>
      <c r="Z137" s="76" t="e">
        <f ca="1">IF(NOT(OR(#REF!=1,#REF!=2)),MAX(0,_xlfn.IFS(AND(K137&lt;&gt;"",N137&lt;&gt;""),((MAX(NETWORKDAYS(K137,N137,UKBankHolidays)-1,0))*(TIME(17,0,0)-TIME(8,0,0))+IF(NETWORKDAYS(N137,N137,UKBankHolidays)&gt;0,MEDIAN(TIME(8,0,0),MOD(N137,1),TIME(17,0,0)),TIME(8,0,0))-IF(NETWORKDAYS(K137,K137,UKBankHolidays)&gt;0,MEDIAN(TIME(8,0,0),MOD(K137,1),TIME(17,0,0)),TIME(8,0,0)))-IF(AND(O137&lt;&gt;"",P137&lt;&gt;""),((MAX(NETWORKDAYS(O137,P137,UKBankHolidays)-1,0))*(TIME(17,0,0)-TIME(8,0,0))+IF(NETWORKDAYS(P137,P137,UKBankHolidays)&gt;0,MEDIAN(TIME(8,0,0),MOD(P137,1),TIME(17,0,0)),TIME(8,0,0))-IF(NETWORKDAYS(O137,O137,UKBankHolidays)&gt;0,MEDIAN(TIME(8,0,0),MOD(O137,1),TIME(17,0,0)),TIME(8,0,0))),0),AND(K137&lt;&gt;"",N137=""),((MAX(NETWORKDAYS(K137,NOW(),UKBankHolidays)-1,0))*(TIME(17,0,0)-TIME(8,0,0))+IF(NETWORKDAYS(NOW(),NOW(),UKBankHolidays)&gt;0,MEDIAN(TIME(8,0,0),MOD(NOW(),1),TIME(17,0,0)),TIME(8,0,0))-IF(NETWORKDAYS(K137,K137,UKBankHolidays)&gt;0,MEDIAN(TIME(8,0,0),MOD(K137,1),TIME(17,0,0)),TIME(8,0,0))))),IF(N137="",NOW()-K137,N137-K137))</f>
        <v>#REF!</v>
      </c>
      <c r="AA137" s="75" t="e">
        <f t="shared" ca="1" si="1"/>
        <v>#REF!</v>
      </c>
      <c r="AB137" s="76" t="e">
        <f ca="1">IF(NOT(OR(#REF!=1,#REF!=2)),MAX(0,_xlfn.IFS(AND(K137&lt;&gt;"",N137&lt;&gt;""),(((MAX(NETWORKDAYS(L137,N137,UKBankHolidays)-1,0))*(TIME(17,0,0)-TIME(8,0,0)))+IF(NETWORKDAYS(N137,N137,UKBankHolidays)&gt;0,MEDIAN(TIME(8,0,0),MOD(N137,1),TIME(17,0,0)),TIME(8,0,0))-IF(NETWORKDAYS(L137,L137,UKBankHolidays)&gt;0,MEDIAN(TIME(8,0,0),MOD(L137,1),TIME(17,0,0)),TIME(8,0,0)))-IF(AND(O137&lt;&gt;"",P137&lt;&gt;""),(((MAX(NETWORKDAYS(O137,P137,UKBankHolidays)-1,0))*(TIME(17,0,0)-TIME(8,0,0)))+IF(NETWORKDAYS(P137,P137,UKBankHolidays)&gt;0,MEDIAN(TIME(8,0,0),MOD(P137,1),TIME(17,0,0)),TIME(8,0,0))-IF(NETWORKDAYS(O137,O137,UKBankHolidays)&gt;0,MEDIAN(TIME(8,0,0),MOD(O137,1),TIME(17,0,0)),TIME(8,0,0))),0),AND(L137&lt;&gt;"",N137="",O137=""),(((MAX(NETWORKDAYS(L137,NOW(),UKBankHolidays)-1,0))*(TIME(17,0,0)-TIME(8,0,0)))+IF(NETWORKDAYS(NOW(),NOW(),UKBankHolidays)&gt;0,MEDIAN(TIME(8,0,0),MOD(NOW(),1),TIME(17,0,0)),TIME(8,0,0))-IF(NETWORKDAYS(L137,L137,UKBankHolidays)&gt;0,MEDIAN(TIME(8,0,0),MOD(L137,1),TIME(17,0,0)),TIME(8,0,0)))-IF(AND(O137&lt;&gt;"",P137&lt;&gt;""),(((MAX(NETWORKDAYS(O137,P137,UKBankHolidays)-1,0))*(TIME(17,0,0)-TIME(8,0,0)))+IF(NETWORKDAYS(P137,P137,UKBankHolidays)&gt;0,MEDIAN(TIME(8,0,0),MOD(P137,1),TIME(17,0,0)),TIME(8,0,0))-IF(NETWORKDAYS(O137,O137,UKBankHolidays)&gt;0,MEDIAN(TIME(8,0,0),MOD(O137,1),TIME(17,0,0)),TIME(8,0,0))),0),AND(L137&lt;&gt;"",N137="",P137="",O137&lt;&gt;""),(((MAX(NETWORKDAYS(L137,O137,UKBankHolidays)-1,0))*(TIME(17,0,0)-TIME(8,0,0)))+IF(NETWORKDAYS(O137,O137,UKBankHolidays)&gt;0,MEDIAN(TIME(8,0,0),MOD(O137,1),TIME(17,0,0)),TIME(8,0,0))-IF(NETWORKDAYS(L137,L137,UKBankHolidays)&gt;0,MEDIAN(TIME(8,0,0),MOD(L137,1),TIME(17,0,0)),TIME(8,0,0))),ISBLANK(K137),"0")),IF(ISBLANK(N137),NOW()-L137,N137-L137))</f>
        <v>#REF!</v>
      </c>
      <c r="AC137" s="75" t="e">
        <f t="shared" ca="1" si="3"/>
        <v>#REF!</v>
      </c>
      <c r="AD137" s="76" t="e">
        <f ca="1">MAX(0,IF(NOT(OR(#REF!=1,#REF!=2)),IF(M137&lt;&gt;"",((MAX(NETWORKDAYS(L137,M137,UKBankHolidays)-1,0))*(TIME(17,0,0)-TIME(8,0,0))+IF(NETWORKDAYS(M137,M137,UKBankHolidays)&gt;0,MEDIAN(TIME(8,0,0),MOD(M137,1),TIME(17,0,0)),TIME(8,0,0))-MEDIAN(TIME(8,0,0),MOD(L137,1),TIME(17,0,0))),((MAX(NETWORKDAYS(L137,NOW(),UKBankHolidays)-1,0))*(TIME(17,0,0)-TIME(8,0,0))+IF(NETWORKDAYS(NOW(),NOW(),UKBankHolidays)&gt;0,MEDIAN(TIME(8,0,0),MOD(NOW(),1),TIME(17,0,0)),TIME(8,0,0))-MEDIAN(TIME(8,0,0),MOD(L137,1),TIME(17,0,0)))),IF(M137&lt;&gt;"",M137-L137,NOW()-L137)))</f>
        <v>#REF!</v>
      </c>
      <c r="AE137" s="76" t="e">
        <f t="shared" ca="1" si="19"/>
        <v>#REF!</v>
      </c>
      <c r="AF137" s="75" t="e">
        <f t="shared" ca="1" si="6"/>
        <v>#REF!</v>
      </c>
      <c r="AG137" s="75" t="e">
        <f t="shared" ca="1" si="7"/>
        <v>#REF!</v>
      </c>
      <c r="AH137" s="31" t="e" cm="1">
        <f t="array" aca="1" ref="AH137" ca="1">IF((AD137) &lt; (INDEX(ResponseSLA[#All],(MATCH((#REF!),ResponseSLA[Priority],0))+1,3)),"YES","No")</f>
        <v>#REF!</v>
      </c>
      <c r="AI137" s="31" t="e">
        <f ca="1">_xlfn.IFNA(IF(AE137 &lt; (INDEX(SLATable[Minimum SLA],MATCH(#REF!,SLATable[Priority],0))),"YES","NO"),"")</f>
        <v>#REF!</v>
      </c>
      <c r="AJ137" t="e">
        <f ca="1">_xlfn.IFNA(IF(AE137 &lt; (INDEX(SLATable[Maximum SLA],MATCH(#REF!,SLATable[Priority],0))),"YES","NO"),"")</f>
        <v>#REF!</v>
      </c>
    </row>
    <row r="138" spans="1:36" ht="15" customHeight="1">
      <c r="A138" s="45">
        <v>137</v>
      </c>
      <c r="B138" s="45" t="s">
        <v>26</v>
      </c>
      <c r="C138" s="45" t="s">
        <v>41</v>
      </c>
      <c r="D138" s="45" t="s">
        <v>207</v>
      </c>
      <c r="E138" s="45" t="s">
        <v>8396</v>
      </c>
      <c r="F138" s="45" t="s">
        <v>40</v>
      </c>
      <c r="G138" s="66">
        <v>4</v>
      </c>
      <c r="H138" s="45" t="s">
        <v>8397</v>
      </c>
      <c r="I138" s="45" t="s">
        <v>271</v>
      </c>
      <c r="J138" s="45" t="s">
        <v>8120</v>
      </c>
      <c r="K138" s="147">
        <v>46204.170902777776</v>
      </c>
      <c r="L138" s="147">
        <v>46204.170902777776</v>
      </c>
      <c r="M138" s="147">
        <v>46204.220196759263</v>
      </c>
      <c r="N138" s="147">
        <v>46204.220706018517</v>
      </c>
      <c r="Q138" s="45" t="s">
        <v>8191</v>
      </c>
      <c r="S138" s="45" t="s">
        <v>8122</v>
      </c>
      <c r="T138" s="45" t="s">
        <v>1519</v>
      </c>
      <c r="U138" s="45" t="s">
        <v>371</v>
      </c>
      <c r="Z138" s="76">
        <f t="shared" ca="1" si="16"/>
        <v>0</v>
      </c>
      <c r="AA138" s="75">
        <f t="shared" ca="1" si="1"/>
        <v>0</v>
      </c>
      <c r="AB138" s="76">
        <f t="shared" ca="1" si="17"/>
        <v>0</v>
      </c>
      <c r="AC138" s="75">
        <f t="shared" ca="1" si="3"/>
        <v>0</v>
      </c>
      <c r="AD138" s="76">
        <f t="shared" ca="1" si="18"/>
        <v>0</v>
      </c>
      <c r="AE138" s="76">
        <f t="shared" ca="1" si="19"/>
        <v>0</v>
      </c>
      <c r="AF138" s="75">
        <f t="shared" ca="1" si="6"/>
        <v>0</v>
      </c>
      <c r="AG138" s="75">
        <f t="shared" ca="1" si="7"/>
        <v>0</v>
      </c>
      <c r="AH138" s="31" t="str" cm="1">
        <f t="array" aca="1" ref="AH138" ca="1">IF((AD138) &lt; (INDEX(ResponseSLA[#All],(MATCH((G138),ResponseSLA[Priority],0))+1,3)),"YES","No")</f>
        <v>YES</v>
      </c>
      <c r="AI138" s="31" t="str">
        <f ca="1">_xlfn.IFNA(IF(AE138 &lt; (INDEX(SLATable[Minimum SLA],MATCH(G138,SLATable[Priority],0))),"YES","NO"),"")</f>
        <v>YES</v>
      </c>
      <c r="AJ138" t="str">
        <f ca="1">_xlfn.IFNA(IF(AE138 &lt; (INDEX(SLATable[Maximum SLA],MATCH(G138,SLATable[Priority],0))),"YES","NO"),"")</f>
        <v>YES</v>
      </c>
    </row>
    <row r="139" spans="1:36" ht="15" customHeight="1">
      <c r="A139" s="45">
        <v>138</v>
      </c>
      <c r="B139" s="45" t="s">
        <v>26</v>
      </c>
      <c r="C139" s="45" t="s">
        <v>41</v>
      </c>
      <c r="D139" s="45" t="s">
        <v>207</v>
      </c>
      <c r="E139" s="45" t="s">
        <v>8398</v>
      </c>
      <c r="F139" s="45" t="s">
        <v>40</v>
      </c>
      <c r="G139" s="66">
        <v>4</v>
      </c>
      <c r="H139" s="45" t="s">
        <v>8399</v>
      </c>
      <c r="I139" s="45" t="s">
        <v>271</v>
      </c>
      <c r="J139" s="45" t="s">
        <v>8120</v>
      </c>
      <c r="K139" s="147">
        <v>46203.903425925928</v>
      </c>
      <c r="L139" s="147">
        <v>46203.903425925928</v>
      </c>
      <c r="M139" s="147">
        <v>46204.222430555557</v>
      </c>
      <c r="N139" s="147">
        <v>46204.223391203705</v>
      </c>
      <c r="Q139" s="45" t="s">
        <v>8191</v>
      </c>
      <c r="S139" s="45" t="s">
        <v>8122</v>
      </c>
      <c r="T139" s="45" t="s">
        <v>1519</v>
      </c>
      <c r="U139" s="45" t="s">
        <v>371</v>
      </c>
      <c r="Z139" s="76">
        <f t="shared" ca="1" si="16"/>
        <v>0</v>
      </c>
      <c r="AA139" s="75">
        <f t="shared" ca="1" si="1"/>
        <v>0</v>
      </c>
      <c r="AB139" s="76">
        <f t="shared" ca="1" si="17"/>
        <v>0</v>
      </c>
      <c r="AC139" s="75">
        <f t="shared" ca="1" si="3"/>
        <v>0</v>
      </c>
      <c r="AD139" s="76">
        <f t="shared" ca="1" si="18"/>
        <v>0</v>
      </c>
      <c r="AE139" s="76">
        <f t="shared" ca="1" si="19"/>
        <v>0</v>
      </c>
      <c r="AF139" s="75">
        <f t="shared" ca="1" si="6"/>
        <v>0</v>
      </c>
      <c r="AG139" s="75">
        <f t="shared" ca="1" si="7"/>
        <v>0</v>
      </c>
      <c r="AH139" s="31" t="str" cm="1">
        <f t="array" aca="1" ref="AH139" ca="1">IF((AD139) &lt; (INDEX(ResponseSLA[#All],(MATCH((G139),ResponseSLA[Priority],0))+1,3)),"YES","No")</f>
        <v>YES</v>
      </c>
      <c r="AI139" s="31" t="str">
        <f ca="1">_xlfn.IFNA(IF(AE139 &lt; (INDEX(SLATable[Minimum SLA],MATCH(G139,SLATable[Priority],0))),"YES","NO"),"")</f>
        <v>YES</v>
      </c>
      <c r="AJ139" t="str">
        <f ca="1">_xlfn.IFNA(IF(AE139 &lt; (INDEX(SLATable[Maximum SLA],MATCH(G139,SLATable[Priority],0))),"YES","NO"),"")</f>
        <v>YES</v>
      </c>
    </row>
    <row r="140" spans="1:36" ht="15" customHeight="1">
      <c r="A140" s="45">
        <v>139</v>
      </c>
      <c r="B140" s="45" t="s">
        <v>26</v>
      </c>
      <c r="C140" s="45" t="s">
        <v>41</v>
      </c>
      <c r="D140" s="45" t="s">
        <v>207</v>
      </c>
      <c r="E140" s="45" t="s">
        <v>6645</v>
      </c>
      <c r="F140" s="45" t="s">
        <v>40</v>
      </c>
      <c r="G140" s="66">
        <v>4</v>
      </c>
      <c r="H140" s="45" t="s">
        <v>6646</v>
      </c>
      <c r="I140" s="45" t="s">
        <v>271</v>
      </c>
      <c r="J140" s="45" t="s">
        <v>8120</v>
      </c>
      <c r="K140" s="147">
        <v>46174.483402777776</v>
      </c>
      <c r="L140" s="147">
        <v>46195.715069444443</v>
      </c>
      <c r="M140" s="147">
        <v>46196.262939814813</v>
      </c>
      <c r="N140" s="147">
        <v>46203.750138888892</v>
      </c>
      <c r="O140" s="147">
        <v>46196.292002314818</v>
      </c>
      <c r="P140" s="47">
        <v>46203.750138888892</v>
      </c>
      <c r="Q140" s="45" t="s">
        <v>8191</v>
      </c>
      <c r="S140" s="45" t="s">
        <v>8122</v>
      </c>
      <c r="T140" s="45" t="s">
        <v>1455</v>
      </c>
      <c r="U140" s="45" t="s">
        <v>371</v>
      </c>
      <c r="Z140" s="76">
        <f t="shared" ca="1" si="16"/>
        <v>5.84993055555727</v>
      </c>
      <c r="AA140" s="75">
        <f t="shared" ca="1" si="1"/>
        <v>15.599814814819386</v>
      </c>
      <c r="AB140" s="76">
        <f t="shared" ca="1" si="17"/>
        <v>4.4408920985006262E-16</v>
      </c>
      <c r="AC140" s="75">
        <f t="shared" ca="1" si="3"/>
        <v>1.1842378929335002E-15</v>
      </c>
      <c r="AD140" s="76">
        <f t="shared" ca="1" si="18"/>
        <v>0</v>
      </c>
      <c r="AE140" s="76">
        <f>SUMIFS(AB:AB,E:E,#REF!)</f>
        <v>0</v>
      </c>
      <c r="AF140" s="75">
        <f t="shared" si="6"/>
        <v>0</v>
      </c>
      <c r="AG140" s="75">
        <f t="shared" si="7"/>
        <v>0</v>
      </c>
      <c r="AH140" s="31" t="str" cm="1">
        <f t="array" aca="1" ref="AH140" ca="1">IF((AD140) &lt; (INDEX(ResponseSLA[#All],(MATCH((G140),ResponseSLA[Priority],0))+1,3)),"YES","No")</f>
        <v>YES</v>
      </c>
      <c r="AI140" s="31" t="str">
        <f>_xlfn.IFNA(IF(AE140 &lt; (INDEX(SLATable[Minimum SLA],MATCH(G140,SLATable[Priority],0))),"YES","NO"),"")</f>
        <v>YES</v>
      </c>
      <c r="AJ140" t="str">
        <f>_xlfn.IFNA(IF(AE140 &lt; (INDEX(SLATable[Maximum SLA],MATCH(G140,SLATable[Priority],0))),"YES","NO"),"")</f>
        <v>YES</v>
      </c>
    </row>
    <row r="141" spans="1:36" ht="15" customHeight="1">
      <c r="A141" s="45">
        <v>140</v>
      </c>
      <c r="B141" s="45" t="s">
        <v>26</v>
      </c>
      <c r="C141" s="45" t="s">
        <v>41</v>
      </c>
      <c r="D141" s="45" t="s">
        <v>207</v>
      </c>
      <c r="E141" s="45" t="s">
        <v>8400</v>
      </c>
      <c r="F141" s="45" t="s">
        <v>40</v>
      </c>
      <c r="G141" s="66">
        <v>4</v>
      </c>
      <c r="H141" s="45" t="s">
        <v>8401</v>
      </c>
      <c r="I141" s="45" t="s">
        <v>271</v>
      </c>
      <c r="J141" s="45" t="s">
        <v>8120</v>
      </c>
      <c r="K141" s="147">
        <v>46204.36278935185</v>
      </c>
      <c r="L141" s="147">
        <v>46204.377881944441</v>
      </c>
      <c r="M141" s="147">
        <v>46204.432766203703</v>
      </c>
      <c r="N141" s="147">
        <v>46204.433634259258</v>
      </c>
      <c r="Q141" s="45" t="s">
        <v>8191</v>
      </c>
      <c r="S141" s="45" t="s">
        <v>8122</v>
      </c>
      <c r="T141" s="45" t="s">
        <v>1519</v>
      </c>
      <c r="U141" s="45" t="s">
        <v>371</v>
      </c>
      <c r="Z141" s="76">
        <f t="shared" ca="1" si="16"/>
        <v>7.084490740817273E-2</v>
      </c>
      <c r="AA141" s="75">
        <f t="shared" ca="1" si="1"/>
        <v>0.18891975308846062</v>
      </c>
      <c r="AB141" s="76">
        <f t="shared" ca="1" si="17"/>
        <v>5.5752314816345461E-2</v>
      </c>
      <c r="AC141" s="75">
        <f t="shared" ca="1" si="3"/>
        <v>0.14867283951025456</v>
      </c>
      <c r="AD141" s="76">
        <f t="shared" ca="1" si="18"/>
        <v>5.4884259261598345E-2</v>
      </c>
      <c r="AE141" s="76">
        <f ca="1">SUMIFS(AB:AB,E:E,E140)</f>
        <v>4.4408920985006262E-16</v>
      </c>
      <c r="AF141" s="75">
        <f t="shared" ca="1" si="6"/>
        <v>1.1842378929335002E-15</v>
      </c>
      <c r="AG141" s="75">
        <f t="shared" ca="1" si="7"/>
        <v>1.1842378929335002E-15</v>
      </c>
      <c r="AH141" s="31" t="str" cm="1">
        <f t="array" aca="1" ref="AH141" ca="1">IF((AD141) &lt; (INDEX(ResponseSLA[#All],(MATCH((G141),ResponseSLA[Priority],0))+1,3)),"YES","No")</f>
        <v>YES</v>
      </c>
      <c r="AI141" s="31" t="str">
        <f ca="1">_xlfn.IFNA(IF(AE141 &lt; (INDEX(SLATable[Minimum SLA],MATCH(G141,SLATable[Priority],0))),"YES","NO"),"")</f>
        <v>YES</v>
      </c>
      <c r="AJ141" t="str">
        <f ca="1">_xlfn.IFNA(IF(AE141 &lt; (INDEX(SLATable[Maximum SLA],MATCH(G141,SLATable[Priority],0))),"YES","NO"),"")</f>
        <v>YES</v>
      </c>
    </row>
    <row r="142" spans="1:36" ht="15" customHeight="1">
      <c r="A142" s="45">
        <v>141</v>
      </c>
      <c r="B142" s="45" t="s">
        <v>26</v>
      </c>
      <c r="C142" s="45" t="s">
        <v>41</v>
      </c>
      <c r="D142" s="45" t="s">
        <v>207</v>
      </c>
      <c r="E142" s="45" t="s">
        <v>8402</v>
      </c>
      <c r="F142" s="45" t="s">
        <v>40</v>
      </c>
      <c r="G142" s="66">
        <v>4</v>
      </c>
      <c r="H142" s="45" t="s">
        <v>8403</v>
      </c>
      <c r="I142" s="45" t="s">
        <v>271</v>
      </c>
      <c r="J142" s="45" t="s">
        <v>8120</v>
      </c>
      <c r="K142" s="147">
        <v>46205.176550925928</v>
      </c>
      <c r="L142" s="147">
        <v>46205.176550925928</v>
      </c>
      <c r="M142" s="147">
        <v>46205.256458333337</v>
      </c>
      <c r="N142" s="147">
        <v>46205.256967592592</v>
      </c>
      <c r="Q142" s="45" t="s">
        <v>8191</v>
      </c>
      <c r="S142" s="45" t="s">
        <v>8122</v>
      </c>
      <c r="T142" s="45" t="s">
        <v>1519</v>
      </c>
      <c r="U142" s="45" t="s">
        <v>371</v>
      </c>
      <c r="Z142" s="76">
        <f t="shared" ca="1" si="16"/>
        <v>0</v>
      </c>
      <c r="AA142" s="75">
        <f t="shared" ca="1" si="1"/>
        <v>0</v>
      </c>
      <c r="AB142" s="76">
        <f t="shared" ca="1" si="17"/>
        <v>0</v>
      </c>
      <c r="AC142" s="75">
        <f t="shared" ca="1" si="3"/>
        <v>0</v>
      </c>
      <c r="AD142" s="76">
        <f t="shared" ca="1" si="18"/>
        <v>0</v>
      </c>
      <c r="AE142" s="76">
        <f t="shared" ca="1" si="19"/>
        <v>0</v>
      </c>
      <c r="AF142" s="75">
        <f t="shared" ca="1" si="6"/>
        <v>0</v>
      </c>
      <c r="AG142" s="75">
        <f t="shared" ca="1" si="7"/>
        <v>0</v>
      </c>
      <c r="AH142" s="31" t="str" cm="1">
        <f t="array" aca="1" ref="AH142" ca="1">IF((AD142) &lt; (INDEX(ResponseSLA[#All],(MATCH((G142),ResponseSLA[Priority],0))+1,3)),"YES","No")</f>
        <v>YES</v>
      </c>
      <c r="AI142" s="31" t="str">
        <f ca="1">_xlfn.IFNA(IF(AE142 &lt; (INDEX(SLATable[Minimum SLA],MATCH(G142,SLATable[Priority],0))),"YES","NO"),"")</f>
        <v>YES</v>
      </c>
      <c r="AJ142" t="str">
        <f ca="1">_xlfn.IFNA(IF(AE142 &lt; (INDEX(SLATable[Maximum SLA],MATCH(G142,SLATable[Priority],0))),"YES","NO"),"")</f>
        <v>YES</v>
      </c>
    </row>
    <row r="143" spans="1:36" ht="15" customHeight="1">
      <c r="A143" s="45">
        <v>142</v>
      </c>
      <c r="B143" s="45" t="s">
        <v>26</v>
      </c>
      <c r="C143" s="45" t="s">
        <v>41</v>
      </c>
      <c r="D143" s="45" t="s">
        <v>207</v>
      </c>
      <c r="E143" s="45" t="s">
        <v>8404</v>
      </c>
      <c r="F143" s="45" t="s">
        <v>40</v>
      </c>
      <c r="G143" s="66">
        <v>4</v>
      </c>
      <c r="H143" s="45" t="s">
        <v>8405</v>
      </c>
      <c r="I143" s="45" t="s">
        <v>271</v>
      </c>
      <c r="J143" s="45" t="s">
        <v>8120</v>
      </c>
      <c r="K143" s="147">
        <v>46204.904224537036</v>
      </c>
      <c r="L143" s="147">
        <v>46204.904224537036</v>
      </c>
      <c r="M143" s="147">
        <v>46205.258553240739</v>
      </c>
      <c r="N143" s="147">
        <v>46205.259513888886</v>
      </c>
      <c r="Q143" s="45" t="s">
        <v>8191</v>
      </c>
      <c r="S143" s="45" t="s">
        <v>8122</v>
      </c>
      <c r="T143" s="45" t="s">
        <v>1519</v>
      </c>
      <c r="U143" s="45" t="s">
        <v>371</v>
      </c>
      <c r="Z143" s="76">
        <f t="shared" ca="1" si="16"/>
        <v>0</v>
      </c>
      <c r="AA143" s="75">
        <f t="shared" ca="1" si="1"/>
        <v>0</v>
      </c>
      <c r="AB143" s="76">
        <f t="shared" ca="1" si="17"/>
        <v>0</v>
      </c>
      <c r="AC143" s="75">
        <f t="shared" ca="1" si="3"/>
        <v>0</v>
      </c>
      <c r="AD143" s="76">
        <f t="shared" ca="1" si="18"/>
        <v>0</v>
      </c>
      <c r="AE143" s="76">
        <f t="shared" ca="1" si="19"/>
        <v>0</v>
      </c>
      <c r="AF143" s="75">
        <f t="shared" ca="1" si="6"/>
        <v>0</v>
      </c>
      <c r="AG143" s="75">
        <f t="shared" ca="1" si="7"/>
        <v>0</v>
      </c>
      <c r="AH143" s="31" t="str" cm="1">
        <f t="array" aca="1" ref="AH143" ca="1">IF((AD143) &lt; (INDEX(ResponseSLA[#All],(MATCH((G143),ResponseSLA[Priority],0))+1,3)),"YES","No")</f>
        <v>YES</v>
      </c>
      <c r="AI143" s="31" t="str">
        <f ca="1">_xlfn.IFNA(IF(AE143 &lt; (INDEX(SLATable[Minimum SLA],MATCH(G143,SLATable[Priority],0))),"YES","NO"),"")</f>
        <v>YES</v>
      </c>
      <c r="AJ143" t="str">
        <f ca="1">_xlfn.IFNA(IF(AE143 &lt; (INDEX(SLATable[Maximum SLA],MATCH(G143,SLATable[Priority],0))),"YES","NO"),"")</f>
        <v>YES</v>
      </c>
    </row>
    <row r="144" spans="1:36" ht="15" customHeight="1">
      <c r="A144" s="45">
        <v>143</v>
      </c>
      <c r="B144" s="45" t="s">
        <v>26</v>
      </c>
      <c r="C144" s="45" t="s">
        <v>41</v>
      </c>
      <c r="D144" s="45" t="s">
        <v>207</v>
      </c>
      <c r="E144" s="45" t="s">
        <v>8406</v>
      </c>
      <c r="F144" s="45" t="s">
        <v>40</v>
      </c>
      <c r="G144" s="66">
        <v>4</v>
      </c>
      <c r="H144" s="45" t="s">
        <v>8407</v>
      </c>
      <c r="I144" s="45" t="s">
        <v>271</v>
      </c>
      <c r="J144" s="45" t="s">
        <v>8120</v>
      </c>
      <c r="K144" s="147">
        <v>46205.334849537037</v>
      </c>
      <c r="L144" s="147">
        <v>46205.334849537037</v>
      </c>
      <c r="M144" s="147">
        <v>46205.339861111112</v>
      </c>
      <c r="N144" s="147">
        <v>46205.340254629627</v>
      </c>
      <c r="Q144" s="45" t="s">
        <v>8191</v>
      </c>
      <c r="S144" s="45" t="s">
        <v>8122</v>
      </c>
      <c r="T144" s="45" t="s">
        <v>1519</v>
      </c>
      <c r="U144" s="45" t="s">
        <v>371</v>
      </c>
      <c r="Z144" s="76">
        <f t="shared" ca="1" si="16"/>
        <v>5.4050925900810398E-3</v>
      </c>
      <c r="AA144" s="75">
        <f t="shared" ca="1" si="1"/>
        <v>1.4413580240216106E-2</v>
      </c>
      <c r="AB144" s="76">
        <f t="shared" ca="1" si="17"/>
        <v>5.4050925900810398E-3</v>
      </c>
      <c r="AC144" s="75">
        <f t="shared" ca="1" si="3"/>
        <v>1.4413580240216106E-2</v>
      </c>
      <c r="AD144" s="76">
        <f t="shared" ca="1" si="18"/>
        <v>5.0115740741603076E-3</v>
      </c>
      <c r="AE144" s="76">
        <f t="shared" ca="1" si="19"/>
        <v>5.4050925900810398E-3</v>
      </c>
      <c r="AF144" s="75">
        <f t="shared" ca="1" si="6"/>
        <v>1.4413580240216106E-2</v>
      </c>
      <c r="AG144" s="75">
        <f t="shared" ca="1" si="7"/>
        <v>1.4413580240216106E-2</v>
      </c>
      <c r="AH144" s="31" t="str" cm="1">
        <f t="array" aca="1" ref="AH144" ca="1">IF((AD144) &lt; (INDEX(ResponseSLA[#All],(MATCH((G144),ResponseSLA[Priority],0))+1,3)),"YES","No")</f>
        <v>YES</v>
      </c>
      <c r="AI144" s="31" t="str">
        <f ca="1">_xlfn.IFNA(IF(AE144 &lt; (INDEX(SLATable[Minimum SLA],MATCH(G144,SLATable[Priority],0))),"YES","NO"),"")</f>
        <v>YES</v>
      </c>
      <c r="AJ144" t="str">
        <f ca="1">_xlfn.IFNA(IF(AE144 &lt; (INDEX(SLATable[Maximum SLA],MATCH(G144,SLATable[Priority],0))),"YES","NO"),"")</f>
        <v>YES</v>
      </c>
    </row>
    <row r="145" spans="1:36" ht="15" customHeight="1">
      <c r="A145" s="45">
        <v>144</v>
      </c>
      <c r="B145" s="45" t="s">
        <v>26</v>
      </c>
      <c r="C145" s="45" t="s">
        <v>41</v>
      </c>
      <c r="D145" s="45" t="s">
        <v>207</v>
      </c>
      <c r="E145" s="45" t="s">
        <v>8408</v>
      </c>
      <c r="F145" s="45" t="s">
        <v>40</v>
      </c>
      <c r="G145" s="66">
        <v>4</v>
      </c>
      <c r="H145" s="45" t="s">
        <v>8409</v>
      </c>
      <c r="I145" s="45" t="s">
        <v>271</v>
      </c>
      <c r="J145" s="45" t="s">
        <v>8120</v>
      </c>
      <c r="K145" s="147">
        <v>46205.335057870368</v>
      </c>
      <c r="L145" s="147">
        <v>46205.375034722223</v>
      </c>
      <c r="M145" s="147">
        <v>46205.406909722224</v>
      </c>
      <c r="N145" s="147">
        <v>46205.407395833332</v>
      </c>
      <c r="Q145" s="45" t="s">
        <v>8191</v>
      </c>
      <c r="S145" s="45" t="s">
        <v>8122</v>
      </c>
      <c r="T145" s="45" t="s">
        <v>1519</v>
      </c>
      <c r="U145" s="45" t="s">
        <v>371</v>
      </c>
      <c r="Z145" s="76">
        <f t="shared" ca="1" si="16"/>
        <v>7.2337962963501923E-2</v>
      </c>
      <c r="AA145" s="75">
        <f t="shared" ca="1" si="1"/>
        <v>0.19290123456933847</v>
      </c>
      <c r="AB145" s="76">
        <f t="shared" ca="1" si="17"/>
        <v>3.2361111108912155E-2</v>
      </c>
      <c r="AC145" s="75">
        <f t="shared" ca="1" si="3"/>
        <v>8.6296296290432409E-2</v>
      </c>
      <c r="AD145" s="76">
        <f t="shared" ca="1" si="18"/>
        <v>3.1875000000582077E-2</v>
      </c>
      <c r="AE145" s="76">
        <f t="shared" ca="1" si="19"/>
        <v>3.2361111108912155E-2</v>
      </c>
      <c r="AF145" s="75">
        <f t="shared" ca="1" si="6"/>
        <v>8.6296296290432409E-2</v>
      </c>
      <c r="AG145" s="75">
        <f t="shared" ca="1" si="7"/>
        <v>8.6296296290432409E-2</v>
      </c>
      <c r="AH145" s="31" t="str" cm="1">
        <f t="array" aca="1" ref="AH145" ca="1">IF((AD145) &lt; (INDEX(ResponseSLA[#All],(MATCH((G145),ResponseSLA[Priority],0))+1,3)),"YES","No")</f>
        <v>YES</v>
      </c>
      <c r="AI145" s="31" t="str">
        <f ca="1">_xlfn.IFNA(IF(AE145 &lt; (INDEX(SLATable[Minimum SLA],MATCH(G145,SLATable[Priority],0))),"YES","NO"),"")</f>
        <v>YES</v>
      </c>
      <c r="AJ145" t="str">
        <f ca="1">_xlfn.IFNA(IF(AE145 &lt; (INDEX(SLATable[Maximum SLA],MATCH(G145,SLATable[Priority],0))),"YES","NO"),"")</f>
        <v>YES</v>
      </c>
    </row>
    <row r="146" spans="1:36" ht="15" customHeight="1">
      <c r="A146" s="45">
        <v>145</v>
      </c>
      <c r="B146" s="45" t="s">
        <v>26</v>
      </c>
      <c r="C146" s="45" t="s">
        <v>41</v>
      </c>
      <c r="D146" s="45" t="s">
        <v>208</v>
      </c>
      <c r="E146" s="45" t="s">
        <v>8410</v>
      </c>
      <c r="F146" s="45" t="s">
        <v>40</v>
      </c>
      <c r="G146" s="66" t="s">
        <v>208</v>
      </c>
      <c r="H146" s="45" t="s">
        <v>8411</v>
      </c>
      <c r="I146" s="45" t="s">
        <v>271</v>
      </c>
      <c r="J146" s="45" t="s">
        <v>8190</v>
      </c>
      <c r="K146" s="147">
        <v>46195.269004629627</v>
      </c>
      <c r="L146" s="147">
        <v>46195.269004629627</v>
      </c>
      <c r="M146" s="147">
        <v>46195.3046412037</v>
      </c>
      <c r="N146" s="147">
        <v>46209.750231481485</v>
      </c>
      <c r="O146" s="147">
        <v>46195.304930555554</v>
      </c>
      <c r="P146" s="47">
        <v>46209.750231481485</v>
      </c>
      <c r="Q146" s="45" t="s">
        <v>8241</v>
      </c>
      <c r="S146" s="45" t="s">
        <v>8122</v>
      </c>
      <c r="U146" s="45" t="s">
        <v>371</v>
      </c>
      <c r="Z146" s="76">
        <f t="shared" ca="1" si="16"/>
        <v>0</v>
      </c>
      <c r="AA146" s="75">
        <f t="shared" ca="1" si="1"/>
        <v>0</v>
      </c>
      <c r="AB146" s="76">
        <f t="shared" ca="1" si="17"/>
        <v>0</v>
      </c>
      <c r="AC146" s="75">
        <f t="shared" ca="1" si="3"/>
        <v>0</v>
      </c>
      <c r="AD146" s="76">
        <f t="shared" ca="1" si="18"/>
        <v>0</v>
      </c>
      <c r="AE146" s="76">
        <f t="shared" ca="1" si="19"/>
        <v>0</v>
      </c>
      <c r="AF146" s="75">
        <f t="shared" ca="1" si="6"/>
        <v>0</v>
      </c>
      <c r="AG146" s="75">
        <f t="shared" ca="1" si="7"/>
        <v>0</v>
      </c>
      <c r="AH146" s="31" t="str" cm="1">
        <f t="array" aca="1" ref="AH146" ca="1">IF((AD146) &lt; (INDEX(ResponseSLA[#All],(MATCH((G146),ResponseSLA[Priority],0))+1,3)),"YES","No")</f>
        <v>YES</v>
      </c>
      <c r="AI146" s="31" t="str">
        <f ca="1">_xlfn.IFNA(IF(AE146 &lt; (INDEX(SLATable[Minimum SLA],MATCH(G146,SLATable[Priority],0))),"YES","NO"),"")</f>
        <v>YES</v>
      </c>
      <c r="AJ146" t="str">
        <f ca="1">_xlfn.IFNA(IF(AE146 &lt; (INDEX(SLATable[Maximum SLA],MATCH(G146,SLATable[Priority],0))),"YES","NO"),"")</f>
        <v>YES</v>
      </c>
    </row>
    <row r="147" spans="1:36" ht="15" customHeight="1">
      <c r="A147" s="45">
        <v>146</v>
      </c>
      <c r="B147" s="45" t="s">
        <v>26</v>
      </c>
      <c r="C147" s="45" t="s">
        <v>41</v>
      </c>
      <c r="D147" s="45" t="s">
        <v>208</v>
      </c>
      <c r="E147" s="45" t="s">
        <v>8412</v>
      </c>
      <c r="F147" s="45" t="s">
        <v>40</v>
      </c>
      <c r="G147" s="66" t="s">
        <v>208</v>
      </c>
      <c r="H147" s="45" t="s">
        <v>8413</v>
      </c>
      <c r="I147" s="45" t="s">
        <v>271</v>
      </c>
      <c r="J147" s="45" t="s">
        <v>8120</v>
      </c>
      <c r="K147" s="147">
        <v>46202.270787037036</v>
      </c>
      <c r="L147" s="147">
        <v>46202.270787037036</v>
      </c>
      <c r="M147" s="147">
        <v>46202.351550925923</v>
      </c>
      <c r="N147" s="147">
        <v>46216.750185185185</v>
      </c>
      <c r="O147" s="147">
        <v>46202.352094907408</v>
      </c>
      <c r="P147" s="47">
        <v>46216.750185185185</v>
      </c>
      <c r="U147" s="45" t="s">
        <v>371</v>
      </c>
      <c r="Z147" s="76">
        <f t="shared" ca="1" si="16"/>
        <v>1.8761574074839693E-2</v>
      </c>
      <c r="AA147" s="75">
        <f t="shared" ca="1" si="1"/>
        <v>5.0030864199572513E-2</v>
      </c>
      <c r="AB147" s="76">
        <f t="shared" ca="1" si="17"/>
        <v>1.8761574074839693E-2</v>
      </c>
      <c r="AC147" s="75">
        <f t="shared" ca="1" si="3"/>
        <v>5.0030864199572513E-2</v>
      </c>
      <c r="AD147" s="76">
        <f t="shared" ca="1" si="18"/>
        <v>1.8217592589887033E-2</v>
      </c>
      <c r="AE147" s="76">
        <f t="shared" ca="1" si="19"/>
        <v>1.8761574074839693E-2</v>
      </c>
      <c r="AF147" s="75">
        <f t="shared" ca="1" si="6"/>
        <v>5.0030864199572513E-2</v>
      </c>
      <c r="AG147" s="75">
        <f t="shared" ca="1" si="7"/>
        <v>5.0030864199572513E-2</v>
      </c>
      <c r="AH147" s="31" t="str" cm="1">
        <f t="array" aca="1" ref="AH147" ca="1">IF((AD147) &lt; (INDEX(ResponseSLA[#All],(MATCH((G147),ResponseSLA[Priority],0))+1,3)),"YES","No")</f>
        <v>YES</v>
      </c>
      <c r="AI147" s="31" t="str">
        <f ca="1">_xlfn.IFNA(IF(AE147 &lt; (INDEX(SLATable[Minimum SLA],MATCH(G147,SLATable[Priority],0))),"YES","NO"),"")</f>
        <v>YES</v>
      </c>
      <c r="AJ147" t="str">
        <f ca="1">_xlfn.IFNA(IF(AE147 &lt; (INDEX(SLATable[Maximum SLA],MATCH(G147,SLATable[Priority],0))),"YES","NO"),"")</f>
        <v>YES</v>
      </c>
    </row>
    <row r="148" spans="1:36" ht="15" customHeight="1">
      <c r="A148" s="45">
        <v>147</v>
      </c>
      <c r="B148" s="45" t="s">
        <v>26</v>
      </c>
      <c r="C148" s="45" t="s">
        <v>41</v>
      </c>
      <c r="D148" s="45" t="s">
        <v>207</v>
      </c>
      <c r="E148" s="45" t="s">
        <v>8414</v>
      </c>
      <c r="F148" s="45" t="s">
        <v>40</v>
      </c>
      <c r="G148" s="66">
        <v>4</v>
      </c>
      <c r="H148" s="45" t="s">
        <v>8415</v>
      </c>
      <c r="I148" s="45" t="s">
        <v>271</v>
      </c>
      <c r="J148" s="45" t="s">
        <v>8120</v>
      </c>
      <c r="K148" s="47">
        <v>46206.173680555556</v>
      </c>
      <c r="L148" s="147">
        <v>46206.173680555556</v>
      </c>
      <c r="M148" s="147">
        <v>46206.251643518517</v>
      </c>
      <c r="N148" s="147">
        <v>46206.252789351849</v>
      </c>
      <c r="Q148" s="45" t="s">
        <v>8191</v>
      </c>
      <c r="S148" s="45" t="s">
        <v>8122</v>
      </c>
      <c r="T148" s="45" t="s">
        <v>1519</v>
      </c>
      <c r="U148" s="45" t="s">
        <v>371</v>
      </c>
      <c r="Z148" s="76">
        <f t="shared" ca="1" si="16"/>
        <v>0</v>
      </c>
      <c r="AA148" s="75">
        <f t="shared" ca="1" si="1"/>
        <v>0</v>
      </c>
      <c r="AB148" s="76">
        <f t="shared" ca="1" si="17"/>
        <v>0</v>
      </c>
      <c r="AC148" s="75">
        <f t="shared" ca="1" si="3"/>
        <v>0</v>
      </c>
      <c r="AD148" s="76">
        <f t="shared" ca="1" si="18"/>
        <v>0</v>
      </c>
      <c r="AE148" s="76">
        <f t="shared" ca="1" si="19"/>
        <v>0</v>
      </c>
      <c r="AF148" s="75">
        <f t="shared" ca="1" si="6"/>
        <v>0</v>
      </c>
      <c r="AG148" s="75">
        <f t="shared" ca="1" si="7"/>
        <v>0</v>
      </c>
      <c r="AH148" s="31" t="str" cm="1">
        <f t="array" aca="1" ref="AH148" ca="1">IF((AD148) &lt; (INDEX(ResponseSLA[#All],(MATCH((G148),ResponseSLA[Priority],0))+1,3)),"YES","No")</f>
        <v>YES</v>
      </c>
      <c r="AI148" s="31" t="str">
        <f ca="1">_xlfn.IFNA(IF(AE148 &lt; (INDEX(SLATable[Minimum SLA],MATCH(G148,SLATable[Priority],0))),"YES","NO"),"")</f>
        <v>YES</v>
      </c>
      <c r="AJ148" t="str">
        <f ca="1">_xlfn.IFNA(IF(AE148 &lt; (INDEX(SLATable[Maximum SLA],MATCH(G148,SLATable[Priority],0))),"YES","NO"),"")</f>
        <v>YES</v>
      </c>
    </row>
    <row r="149" spans="1:36" ht="15" customHeight="1">
      <c r="A149" s="45">
        <v>148</v>
      </c>
      <c r="B149" s="45" t="s">
        <v>26</v>
      </c>
      <c r="C149" s="45" t="s">
        <v>41</v>
      </c>
      <c r="D149" s="45" t="s">
        <v>207</v>
      </c>
      <c r="E149" s="45" t="s">
        <v>8416</v>
      </c>
      <c r="F149" s="45" t="s">
        <v>40</v>
      </c>
      <c r="G149" s="66">
        <v>4</v>
      </c>
      <c r="H149" s="45" t="s">
        <v>8417</v>
      </c>
      <c r="I149" s="45" t="s">
        <v>271</v>
      </c>
      <c r="J149" s="45" t="s">
        <v>8120</v>
      </c>
      <c r="K149" s="147">
        <v>46205.904282407406</v>
      </c>
      <c r="L149" s="147">
        <v>46205.97378472222</v>
      </c>
      <c r="M149" s="147">
        <v>46206.253969907404</v>
      </c>
      <c r="N149" s="147">
        <v>46206.254884259259</v>
      </c>
      <c r="Q149" s="45" t="s">
        <v>8191</v>
      </c>
      <c r="S149" s="45" t="s">
        <v>8122</v>
      </c>
      <c r="T149" s="45" t="s">
        <v>1519</v>
      </c>
      <c r="U149" s="45" t="s">
        <v>371</v>
      </c>
      <c r="Z149" s="76">
        <f t="shared" ca="1" si="16"/>
        <v>0</v>
      </c>
      <c r="AA149" s="75">
        <f t="shared" ca="1" si="1"/>
        <v>0</v>
      </c>
      <c r="AB149" s="76">
        <f t="shared" ca="1" si="17"/>
        <v>0</v>
      </c>
      <c r="AC149" s="75">
        <f t="shared" ca="1" si="3"/>
        <v>0</v>
      </c>
      <c r="AD149" s="76">
        <f t="shared" ca="1" si="18"/>
        <v>0</v>
      </c>
      <c r="AE149" s="76">
        <f t="shared" ca="1" si="19"/>
        <v>0</v>
      </c>
      <c r="AF149" s="75">
        <f t="shared" ca="1" si="6"/>
        <v>0</v>
      </c>
      <c r="AG149" s="75">
        <f t="shared" ca="1" si="7"/>
        <v>0</v>
      </c>
      <c r="AH149" s="31" t="str" cm="1">
        <f t="array" aca="1" ref="AH149" ca="1">IF((AD149) &lt; (INDEX(ResponseSLA[#All],(MATCH((G149),ResponseSLA[Priority],0))+1,3)),"YES","No")</f>
        <v>YES</v>
      </c>
      <c r="AI149" s="31" t="str">
        <f ca="1">_xlfn.IFNA(IF(AE149 &lt; (INDEX(SLATable[Minimum SLA],MATCH(G149,SLATable[Priority],0))),"YES","NO"),"")</f>
        <v>YES</v>
      </c>
      <c r="AJ149" t="str">
        <f ca="1">_xlfn.IFNA(IF(AE149 &lt; (INDEX(SLATable[Maximum SLA],MATCH(G149,SLATable[Priority],0))),"YES","NO"),"")</f>
        <v>YES</v>
      </c>
    </row>
    <row r="150" spans="1:36" ht="15" customHeight="1">
      <c r="A150" s="45">
        <v>149</v>
      </c>
      <c r="B150" s="45" t="s">
        <v>26</v>
      </c>
      <c r="C150" s="45" t="s">
        <v>41</v>
      </c>
      <c r="D150" s="45" t="s">
        <v>207</v>
      </c>
      <c r="E150" s="45" t="s">
        <v>8418</v>
      </c>
      <c r="F150" s="45" t="s">
        <v>40</v>
      </c>
      <c r="G150" s="66">
        <v>4</v>
      </c>
      <c r="H150" s="45" t="s">
        <v>8419</v>
      </c>
      <c r="I150" s="45" t="s">
        <v>271</v>
      </c>
      <c r="J150" s="45" t="s">
        <v>8120</v>
      </c>
      <c r="K150" s="147">
        <v>46205.176701388889</v>
      </c>
      <c r="L150" s="147">
        <v>46206.356006944443</v>
      </c>
      <c r="M150" s="147">
        <v>46206.430115740739</v>
      </c>
      <c r="N150" s="147">
        <v>46206.430983796294</v>
      </c>
      <c r="Q150" s="45" t="s">
        <v>8191</v>
      </c>
      <c r="S150" s="45" t="s">
        <v>8122</v>
      </c>
      <c r="T150" s="45" t="s">
        <v>1519</v>
      </c>
      <c r="U150" s="45" t="s">
        <v>371</v>
      </c>
      <c r="Z150" s="76">
        <f t="shared" ca="1" si="16"/>
        <v>0.47265046296039753</v>
      </c>
      <c r="AA150" s="75">
        <f t="shared" ca="1" si="1"/>
        <v>1.26040123456106</v>
      </c>
      <c r="AB150" s="76">
        <f t="shared" ca="1" si="17"/>
        <v>7.497685185080627E-2</v>
      </c>
      <c r="AC150" s="75">
        <f t="shared" ca="1" si="3"/>
        <v>0.19993827160215005</v>
      </c>
      <c r="AD150" s="76">
        <f t="shared" ca="1" si="18"/>
        <v>7.4108796296059154E-2</v>
      </c>
      <c r="AE150" s="76">
        <f t="shared" ca="1" si="19"/>
        <v>7.497685185080627E-2</v>
      </c>
      <c r="AF150" s="75">
        <f t="shared" ca="1" si="6"/>
        <v>0.19993827160215005</v>
      </c>
      <c r="AG150" s="75">
        <f t="shared" ca="1" si="7"/>
        <v>0.19993827160215005</v>
      </c>
      <c r="AH150" s="31" t="str" cm="1">
        <f t="array" aca="1" ref="AH150" ca="1">IF((AD150) &lt; (INDEX(ResponseSLA[#All],(MATCH((G150),ResponseSLA[Priority],0))+1,3)),"YES","No")</f>
        <v>YES</v>
      </c>
      <c r="AI150" s="31" t="str">
        <f ca="1">_xlfn.IFNA(IF(AE150 &lt; (INDEX(SLATable[Minimum SLA],MATCH(G150,SLATable[Priority],0))),"YES","NO"),"")</f>
        <v>YES</v>
      </c>
      <c r="AJ150" t="str">
        <f ca="1">_xlfn.IFNA(IF(AE150 &lt; (INDEX(SLATable[Maximum SLA],MATCH(G150,SLATable[Priority],0))),"YES","NO"),"")</f>
        <v>YES</v>
      </c>
    </row>
    <row r="151" spans="1:36" ht="15" customHeight="1">
      <c r="A151" s="45">
        <v>150</v>
      </c>
      <c r="B151" s="45" t="s">
        <v>26</v>
      </c>
      <c r="C151" s="45" t="s">
        <v>41</v>
      </c>
      <c r="D151" s="45" t="s">
        <v>207</v>
      </c>
      <c r="E151" s="45" t="s">
        <v>8420</v>
      </c>
      <c r="F151" s="45" t="s">
        <v>40</v>
      </c>
      <c r="G151" s="66">
        <v>4</v>
      </c>
      <c r="H151" s="45" t="s">
        <v>8421</v>
      </c>
      <c r="I151" s="45" t="s">
        <v>271</v>
      </c>
      <c r="J151" s="45" t="s">
        <v>8120</v>
      </c>
      <c r="K151" s="147">
        <v>46209.171597222223</v>
      </c>
      <c r="L151" s="147">
        <v>46209.171597222223</v>
      </c>
      <c r="M151" s="147">
        <v>46209.265949074077</v>
      </c>
      <c r="N151" s="147">
        <v>46209.269131944442</v>
      </c>
      <c r="Q151" s="45" t="s">
        <v>8191</v>
      </c>
      <c r="S151" s="45" t="s">
        <v>8122</v>
      </c>
      <c r="T151" s="45" t="s">
        <v>1519</v>
      </c>
      <c r="U151" s="45" t="s">
        <v>371</v>
      </c>
      <c r="Z151" s="76">
        <f t="shared" ca="1" si="16"/>
        <v>0</v>
      </c>
      <c r="AA151" s="75">
        <f t="shared" ca="1" si="1"/>
        <v>0</v>
      </c>
      <c r="AB151" s="76">
        <f t="shared" ca="1" si="17"/>
        <v>0</v>
      </c>
      <c r="AC151" s="75">
        <f t="shared" ca="1" si="3"/>
        <v>0</v>
      </c>
      <c r="AD151" s="76">
        <f t="shared" ca="1" si="18"/>
        <v>0</v>
      </c>
      <c r="AE151" s="76">
        <f t="shared" ca="1" si="19"/>
        <v>0</v>
      </c>
      <c r="AF151" s="75">
        <f t="shared" ca="1" si="6"/>
        <v>0</v>
      </c>
      <c r="AG151" s="75">
        <f t="shared" ca="1" si="7"/>
        <v>0</v>
      </c>
      <c r="AH151" s="31" t="str" cm="1">
        <f t="array" aca="1" ref="AH151" ca="1">IF((AD151) &lt; (INDEX(ResponseSLA[#All],(MATCH((G151),ResponseSLA[Priority],0))+1,3)),"YES","No")</f>
        <v>YES</v>
      </c>
      <c r="AI151" s="31" t="str">
        <f ca="1">_xlfn.IFNA(IF(AE151 &lt; (INDEX(SLATable[Minimum SLA],MATCH(G151,SLATable[Priority],0))),"YES","NO"),"")</f>
        <v>YES</v>
      </c>
      <c r="AJ151" t="str">
        <f ca="1">_xlfn.IFNA(IF(AE151 &lt; (INDEX(SLATable[Maximum SLA],MATCH(G151,SLATable[Priority],0))),"YES","NO"),"")</f>
        <v>YES</v>
      </c>
    </row>
    <row r="152" spans="1:36" ht="15" customHeight="1">
      <c r="A152" s="45">
        <v>151</v>
      </c>
      <c r="B152" s="45" t="s">
        <v>26</v>
      </c>
      <c r="C152" s="45" t="s">
        <v>41</v>
      </c>
      <c r="D152" s="45" t="s">
        <v>207</v>
      </c>
      <c r="E152" s="45" t="s">
        <v>8422</v>
      </c>
      <c r="F152" s="45" t="s">
        <v>40</v>
      </c>
      <c r="G152" s="66">
        <v>4</v>
      </c>
      <c r="H152" s="45" t="s">
        <v>8423</v>
      </c>
      <c r="I152" s="45" t="s">
        <v>271</v>
      </c>
      <c r="J152" s="45" t="s">
        <v>8120</v>
      </c>
      <c r="K152" s="147">
        <v>46208.912604166668</v>
      </c>
      <c r="L152" s="147">
        <v>46209.01834490741</v>
      </c>
      <c r="M152" s="147">
        <v>46209.26966435185</v>
      </c>
      <c r="N152" s="147">
        <v>46209.273530092592</v>
      </c>
      <c r="Q152" s="45" t="s">
        <v>8191</v>
      </c>
      <c r="S152" s="45" t="s">
        <v>8122</v>
      </c>
      <c r="T152" s="45" t="s">
        <v>1519</v>
      </c>
      <c r="U152" s="45" t="s">
        <v>371</v>
      </c>
      <c r="Z152" s="76">
        <f t="shared" ca="1" si="16"/>
        <v>0</v>
      </c>
      <c r="AA152" s="75">
        <f t="shared" ca="1" si="1"/>
        <v>0</v>
      </c>
      <c r="AB152" s="76">
        <f t="shared" ca="1" si="17"/>
        <v>0</v>
      </c>
      <c r="AC152" s="75">
        <f t="shared" ca="1" si="3"/>
        <v>0</v>
      </c>
      <c r="AD152" s="76">
        <f t="shared" ca="1" si="18"/>
        <v>0</v>
      </c>
      <c r="AE152" s="76">
        <f t="shared" ca="1" si="19"/>
        <v>0</v>
      </c>
      <c r="AF152" s="75">
        <f t="shared" ca="1" si="6"/>
        <v>0</v>
      </c>
      <c r="AG152" s="75">
        <f t="shared" ca="1" si="7"/>
        <v>0</v>
      </c>
      <c r="AH152" s="31" t="str" cm="1">
        <f t="array" aca="1" ref="AH152" ca="1">IF((AD152) &lt; (INDEX(ResponseSLA[#All],(MATCH((G152),ResponseSLA[Priority],0))+1,3)),"YES","No")</f>
        <v>YES</v>
      </c>
      <c r="AI152" s="31" t="str">
        <f ca="1">_xlfn.IFNA(IF(AE152 &lt; (INDEX(SLATable[Minimum SLA],MATCH(G152,SLATable[Priority],0))),"YES","NO"),"")</f>
        <v>YES</v>
      </c>
      <c r="AJ152" t="str">
        <f ca="1">_xlfn.IFNA(IF(AE152 &lt; (INDEX(SLATable[Maximum SLA],MATCH(G152,SLATable[Priority],0))),"YES","NO"),"")</f>
        <v>YES</v>
      </c>
    </row>
    <row r="153" spans="1:36" ht="15" customHeight="1">
      <c r="A153" s="45">
        <v>152</v>
      </c>
      <c r="B153" s="45" t="s">
        <v>26</v>
      </c>
      <c r="C153" s="45" t="s">
        <v>41</v>
      </c>
      <c r="D153" s="45" t="s">
        <v>207</v>
      </c>
      <c r="E153" s="45" t="s">
        <v>8424</v>
      </c>
      <c r="F153" s="45" t="s">
        <v>40</v>
      </c>
      <c r="G153" s="66">
        <v>4</v>
      </c>
      <c r="H153" s="45" t="s">
        <v>8425</v>
      </c>
      <c r="I153" s="45" t="s">
        <v>271</v>
      </c>
      <c r="J153" s="45" t="s">
        <v>8190</v>
      </c>
      <c r="K153" s="147">
        <v>46210.173043981478</v>
      </c>
      <c r="L153" s="147">
        <v>46210.173043981478</v>
      </c>
      <c r="M153" s="147">
        <v>46210.262766203705</v>
      </c>
      <c r="N153" s="147">
        <v>46210.26284722222</v>
      </c>
      <c r="Q153" s="45" t="s">
        <v>8191</v>
      </c>
      <c r="S153" s="45" t="s">
        <v>8122</v>
      </c>
      <c r="T153" s="45" t="s">
        <v>1519</v>
      </c>
      <c r="U153" s="45" t="s">
        <v>371</v>
      </c>
      <c r="Z153" s="76">
        <f t="shared" ca="1" si="16"/>
        <v>0</v>
      </c>
      <c r="AA153" s="75">
        <f t="shared" ca="1" si="1"/>
        <v>0</v>
      </c>
      <c r="AB153" s="76">
        <f t="shared" ca="1" si="17"/>
        <v>0</v>
      </c>
      <c r="AC153" s="75">
        <f t="shared" ca="1" si="3"/>
        <v>0</v>
      </c>
      <c r="AD153" s="76">
        <f t="shared" ca="1" si="18"/>
        <v>0</v>
      </c>
      <c r="AE153" s="76">
        <f t="shared" ca="1" si="19"/>
        <v>0</v>
      </c>
      <c r="AF153" s="75">
        <f t="shared" ca="1" si="6"/>
        <v>0</v>
      </c>
      <c r="AG153" s="75">
        <f t="shared" ca="1" si="7"/>
        <v>0</v>
      </c>
      <c r="AH153" s="31" t="str" cm="1">
        <f t="array" aca="1" ref="AH153" ca="1">IF((AD153) &lt; (INDEX(ResponseSLA[#All],(MATCH((G153),ResponseSLA[Priority],0))+1,3)),"YES","No")</f>
        <v>YES</v>
      </c>
      <c r="AI153" s="31" t="str">
        <f ca="1">_xlfn.IFNA(IF(AE153 &lt; (INDEX(SLATable[Minimum SLA],MATCH(G153,SLATable[Priority],0))),"YES","NO"),"")</f>
        <v>YES</v>
      </c>
      <c r="AJ153" t="str">
        <f ca="1">_xlfn.IFNA(IF(AE153 &lt; (INDEX(SLATable[Maximum SLA],MATCH(G153,SLATable[Priority],0))),"YES","NO"),"")</f>
        <v>YES</v>
      </c>
    </row>
    <row r="154" spans="1:36" ht="15" customHeight="1">
      <c r="A154" s="45">
        <v>153</v>
      </c>
      <c r="B154" s="45" t="s">
        <v>26</v>
      </c>
      <c r="C154" s="45" t="s">
        <v>41</v>
      </c>
      <c r="D154" s="45" t="s">
        <v>207</v>
      </c>
      <c r="E154" s="45" t="s">
        <v>8426</v>
      </c>
      <c r="F154" s="45" t="s">
        <v>40</v>
      </c>
      <c r="G154" s="66">
        <v>4</v>
      </c>
      <c r="H154" s="45" t="s">
        <v>8427</v>
      </c>
      <c r="I154" s="45" t="s">
        <v>271</v>
      </c>
      <c r="J154" s="45" t="s">
        <v>8190</v>
      </c>
      <c r="K154" s="147">
        <v>46209.905682870369</v>
      </c>
      <c r="L154" s="147">
        <v>46209.908460648148</v>
      </c>
      <c r="M154" s="147">
        <v>46210.264398148145</v>
      </c>
      <c r="N154" s="147">
        <v>46210.264398148145</v>
      </c>
      <c r="Q154" s="45" t="s">
        <v>8191</v>
      </c>
      <c r="S154" s="45" t="s">
        <v>8122</v>
      </c>
      <c r="T154" s="45" t="s">
        <v>1519</v>
      </c>
      <c r="U154" s="45" t="s">
        <v>371</v>
      </c>
      <c r="Z154" s="76">
        <f t="shared" ca="1" si="16"/>
        <v>0</v>
      </c>
      <c r="AA154" s="75">
        <f t="shared" ca="1" si="1"/>
        <v>0</v>
      </c>
      <c r="AB154" s="76">
        <f t="shared" ca="1" si="17"/>
        <v>0</v>
      </c>
      <c r="AC154" s="75">
        <f t="shared" ca="1" si="3"/>
        <v>0</v>
      </c>
      <c r="AD154" s="76">
        <f t="shared" ca="1" si="18"/>
        <v>0</v>
      </c>
      <c r="AE154" s="76">
        <f t="shared" ca="1" si="19"/>
        <v>0</v>
      </c>
      <c r="AF154" s="75">
        <f t="shared" ca="1" si="6"/>
        <v>0</v>
      </c>
      <c r="AG154" s="75">
        <f t="shared" ca="1" si="7"/>
        <v>0</v>
      </c>
      <c r="AH154" s="31" t="str" cm="1">
        <f t="array" aca="1" ref="AH154" ca="1">IF((AD154) &lt; (INDEX(ResponseSLA[#All],(MATCH((G154),ResponseSLA[Priority],0))+1,3)),"YES","No")</f>
        <v>YES</v>
      </c>
      <c r="AI154" s="31" t="str">
        <f ca="1">_xlfn.IFNA(IF(AE154 &lt; (INDEX(SLATable[Minimum SLA],MATCH(G154,SLATable[Priority],0))),"YES","NO"),"")</f>
        <v>YES</v>
      </c>
      <c r="AJ154" t="str">
        <f ca="1">_xlfn.IFNA(IF(AE154 &lt; (INDEX(SLATable[Maximum SLA],MATCH(G154,SLATable[Priority],0))),"YES","NO"),"")</f>
        <v>YES</v>
      </c>
    </row>
    <row r="155" spans="1:36" ht="15" customHeight="1">
      <c r="A155" s="45">
        <v>154</v>
      </c>
      <c r="B155" s="45" t="s">
        <v>26</v>
      </c>
      <c r="C155" s="45" t="s">
        <v>41</v>
      </c>
      <c r="D155" s="45" t="s">
        <v>207</v>
      </c>
      <c r="E155" s="45" t="s">
        <v>8428</v>
      </c>
      <c r="F155" s="45" t="s">
        <v>40</v>
      </c>
      <c r="G155" s="66">
        <v>4</v>
      </c>
      <c r="H155" s="45" t="s">
        <v>8429</v>
      </c>
      <c r="I155" s="45" t="s">
        <v>271</v>
      </c>
      <c r="J155" s="45" t="s">
        <v>8120</v>
      </c>
      <c r="K155" s="147">
        <v>46206.689895833333</v>
      </c>
      <c r="L155" s="147">
        <v>46206.689895833333</v>
      </c>
      <c r="M155" s="147">
        <v>46209.265393518515</v>
      </c>
      <c r="N155" s="147">
        <v>46217.477500000001</v>
      </c>
      <c r="O155" s="147">
        <v>46209.477013888885</v>
      </c>
      <c r="P155" s="147">
        <v>46217.477500000001</v>
      </c>
      <c r="Q155" s="45" t="s">
        <v>8191</v>
      </c>
      <c r="S155" s="45" t="s">
        <v>8122</v>
      </c>
      <c r="T155" s="45" t="s">
        <v>1455</v>
      </c>
      <c r="U155" s="45" t="s">
        <v>371</v>
      </c>
      <c r="Z155" s="76">
        <f t="shared" ca="1" si="16"/>
        <v>0.16211805555212777</v>
      </c>
      <c r="AA155" s="75">
        <f t="shared" ca="1" si="1"/>
        <v>0.43231481480567407</v>
      </c>
      <c r="AB155" s="76">
        <f t="shared" ca="1" si="17"/>
        <v>0.16211805555212777</v>
      </c>
      <c r="AC155" s="75">
        <f t="shared" ca="1" si="3"/>
        <v>0.43231481480567407</v>
      </c>
      <c r="AD155" s="76">
        <f t="shared" ca="1" si="18"/>
        <v>1.8437500000194063E-2</v>
      </c>
      <c r="AE155" s="76">
        <f t="shared" ca="1" si="19"/>
        <v>0.16211805555212777</v>
      </c>
      <c r="AF155" s="75">
        <f t="shared" ca="1" si="6"/>
        <v>0.43231481480567407</v>
      </c>
      <c r="AG155" s="75">
        <f t="shared" ca="1" si="7"/>
        <v>0.43231481480567407</v>
      </c>
      <c r="AH155" s="31" t="str" cm="1">
        <f t="array" aca="1" ref="AH155" ca="1">IF((AD155) &lt; (INDEX(ResponseSLA[#All],(MATCH((G155),ResponseSLA[Priority],0))+1,3)),"YES","No")</f>
        <v>YES</v>
      </c>
      <c r="AI155" s="31" t="str">
        <f ca="1">_xlfn.IFNA(IF(AE155 &lt; (INDEX(SLATable[Minimum SLA],MATCH(G155,SLATable[Priority],0))),"YES","NO"),"")</f>
        <v>YES</v>
      </c>
      <c r="AJ155" t="str">
        <f ca="1">_xlfn.IFNA(IF(AE155 &lt; (INDEX(SLATable[Maximum SLA],MATCH(G155,SLATable[Priority],0))),"YES","NO"),"")</f>
        <v>YES</v>
      </c>
    </row>
    <row r="156" spans="1:36" ht="15" customHeight="1">
      <c r="A156" s="45">
        <v>155</v>
      </c>
      <c r="B156" s="45" t="s">
        <v>26</v>
      </c>
      <c r="C156" s="45" t="s">
        <v>41</v>
      </c>
      <c r="D156" s="45" t="s">
        <v>207</v>
      </c>
      <c r="E156" s="45" t="s">
        <v>8430</v>
      </c>
      <c r="F156" s="45" t="s">
        <v>40</v>
      </c>
      <c r="G156" s="66">
        <v>3</v>
      </c>
      <c r="H156" s="45" t="s">
        <v>8431</v>
      </c>
      <c r="I156" s="45" t="s">
        <v>271</v>
      </c>
      <c r="J156" s="45" t="s">
        <v>8190</v>
      </c>
      <c r="K156" s="147">
        <v>46199.495671296296</v>
      </c>
      <c r="L156" s="147">
        <v>46199.495671296296</v>
      </c>
      <c r="M156" s="147">
        <v>46199.505659722221</v>
      </c>
      <c r="N156" s="147">
        <v>46211.275312500002</v>
      </c>
      <c r="O156" s="147">
        <v>46202.297893518517</v>
      </c>
      <c r="P156" s="47">
        <v>46211.275312500002</v>
      </c>
      <c r="Q156" s="45" t="s">
        <v>8191</v>
      </c>
      <c r="S156" s="45" t="s">
        <v>8122</v>
      </c>
      <c r="T156" s="45" t="s">
        <v>1455</v>
      </c>
      <c r="U156" s="45" t="s">
        <v>371</v>
      </c>
      <c r="Z156" s="76">
        <f t="shared" ca="1" si="16"/>
        <v>0.21266203703756537</v>
      </c>
      <c r="AA156" s="75">
        <f t="shared" ca="1" si="1"/>
        <v>0.56709876543350768</v>
      </c>
      <c r="AB156" s="76">
        <f t="shared" ca="1" si="17"/>
        <v>0.21266203703756537</v>
      </c>
      <c r="AC156" s="75">
        <f t="shared" ca="1" si="3"/>
        <v>0.56709876543350768</v>
      </c>
      <c r="AD156" s="76">
        <f t="shared" ca="1" si="18"/>
        <v>9.9884259252576157E-3</v>
      </c>
      <c r="AE156" s="76">
        <f>SUMIFS(AB:AB,E:E,#REF!)</f>
        <v>0</v>
      </c>
      <c r="AF156" s="75">
        <f t="shared" si="6"/>
        <v>0</v>
      </c>
      <c r="AG156" s="75">
        <f t="shared" si="7"/>
        <v>0</v>
      </c>
      <c r="AH156" s="31" t="str" cm="1">
        <f t="array" aca="1" ref="AH156" ca="1">IF((AD156) &lt; (INDEX(ResponseSLA[#All],(MATCH((G156),ResponseSLA[Priority],0))+1,3)),"YES","No")</f>
        <v>YES</v>
      </c>
      <c r="AI156" s="31" t="str">
        <f>_xlfn.IFNA(IF(AE156 &lt; (INDEX(SLATable[Minimum SLA],MATCH(G156,SLATable[Priority],0))),"YES","NO"),"")</f>
        <v>YES</v>
      </c>
      <c r="AJ156" t="str">
        <f>_xlfn.IFNA(IF(AE156 &lt; (INDEX(SLATable[Maximum SLA],MATCH(G156,SLATable[Priority],0))),"YES","NO"),"")</f>
        <v>YES</v>
      </c>
    </row>
    <row r="157" spans="1:36" ht="15" customHeight="1">
      <c r="A157" s="45">
        <v>156</v>
      </c>
      <c r="B157" s="45" t="s">
        <v>26</v>
      </c>
      <c r="C157" s="45" t="s">
        <v>41</v>
      </c>
      <c r="D157" s="45" t="s">
        <v>207</v>
      </c>
      <c r="E157" s="45" t="s">
        <v>8432</v>
      </c>
      <c r="F157" s="45" t="s">
        <v>40</v>
      </c>
      <c r="G157" s="66">
        <v>4</v>
      </c>
      <c r="H157" s="45" t="s">
        <v>8433</v>
      </c>
      <c r="I157" s="45" t="s">
        <v>271</v>
      </c>
      <c r="J157" s="45" t="s">
        <v>8120</v>
      </c>
      <c r="K157" s="147">
        <v>46205.451944444445</v>
      </c>
      <c r="L157" s="147">
        <v>46205.451944444445</v>
      </c>
      <c r="M157" s="147">
        <v>46205.473379629628</v>
      </c>
      <c r="N157" s="147">
        <v>46223.271122685182</v>
      </c>
      <c r="O157" s="147">
        <v>46205.481886574074</v>
      </c>
      <c r="P157" s="47">
        <v>46223.271122685182</v>
      </c>
      <c r="Q157" s="45" t="s">
        <v>8191</v>
      </c>
      <c r="S157" s="45" t="s">
        <v>8122</v>
      </c>
      <c r="T157" s="45" t="s">
        <v>1455</v>
      </c>
      <c r="U157" s="45" t="s">
        <v>371</v>
      </c>
      <c r="Z157" s="76">
        <f t="shared" ca="1" si="16"/>
        <v>2.99421296294895E-2</v>
      </c>
      <c r="AA157" s="75">
        <f t="shared" ca="1" si="1"/>
        <v>7.9845679011971996E-2</v>
      </c>
      <c r="AB157" s="76">
        <f t="shared" ca="1" si="17"/>
        <v>2.99421296294895E-2</v>
      </c>
      <c r="AC157" s="75">
        <f t="shared" ca="1" si="3"/>
        <v>7.9845679011971996E-2</v>
      </c>
      <c r="AD157" s="76">
        <f t="shared" ca="1" si="18"/>
        <v>2.1435185182781424E-2</v>
      </c>
      <c r="AE157" s="76">
        <f>SUMIFS(AB:AB,E:E,#REF!)</f>
        <v>0</v>
      </c>
      <c r="AF157" s="75">
        <f t="shared" si="6"/>
        <v>0</v>
      </c>
      <c r="AG157" s="75">
        <f t="shared" si="7"/>
        <v>0</v>
      </c>
      <c r="AH157" s="31" t="str" cm="1">
        <f t="array" aca="1" ref="AH157" ca="1">IF((AD157) &lt; (INDEX(ResponseSLA[#All],(MATCH((G157),ResponseSLA[Priority],0))+1,3)),"YES","No")</f>
        <v>YES</v>
      </c>
      <c r="AI157" s="31" t="str">
        <f>_xlfn.IFNA(IF(AE157 &lt; (INDEX(SLATable[Minimum SLA],MATCH(G157,SLATable[Priority],0))),"YES","NO"),"")</f>
        <v>YES</v>
      </c>
      <c r="AJ157" t="str">
        <f>_xlfn.IFNA(IF(AE157 &lt; (INDEX(SLATable[Maximum SLA],MATCH(G157,SLATable[Priority],0))),"YES","NO"),"")</f>
        <v>YES</v>
      </c>
    </row>
    <row r="158" spans="1:36" ht="15" customHeight="1">
      <c r="A158" s="45">
        <v>157</v>
      </c>
      <c r="B158" s="45" t="s">
        <v>26</v>
      </c>
      <c r="C158" s="45" t="s">
        <v>41</v>
      </c>
      <c r="D158" s="45" t="s">
        <v>207</v>
      </c>
      <c r="E158" s="45" t="s">
        <v>8434</v>
      </c>
      <c r="F158" s="45" t="s">
        <v>40</v>
      </c>
      <c r="G158" s="66">
        <v>4</v>
      </c>
      <c r="H158" s="45" t="s">
        <v>8435</v>
      </c>
      <c r="I158" s="45" t="s">
        <v>271</v>
      </c>
      <c r="J158" s="45" t="s">
        <v>8120</v>
      </c>
      <c r="K158" s="147">
        <v>46211.175810185188</v>
      </c>
      <c r="L158" s="147">
        <v>46211.175810185188</v>
      </c>
      <c r="M158" s="147">
        <v>46211.262546296297</v>
      </c>
      <c r="N158" s="147">
        <v>46211.263518518521</v>
      </c>
      <c r="Q158" s="45" t="s">
        <v>8191</v>
      </c>
      <c r="S158" s="45" t="s">
        <v>8122</v>
      </c>
      <c r="T158" s="45" t="s">
        <v>1519</v>
      </c>
      <c r="U158" s="45" t="s">
        <v>371</v>
      </c>
      <c r="Z158" s="76">
        <f t="shared" ca="1" si="16"/>
        <v>0</v>
      </c>
      <c r="AA158" s="75">
        <f t="shared" ca="1" si="1"/>
        <v>0</v>
      </c>
      <c r="AB158" s="76">
        <f t="shared" ca="1" si="17"/>
        <v>0</v>
      </c>
      <c r="AC158" s="75">
        <f t="shared" ca="1" si="3"/>
        <v>0</v>
      </c>
      <c r="AD158" s="76">
        <f t="shared" ca="1" si="18"/>
        <v>0</v>
      </c>
      <c r="AE158" s="76">
        <f t="shared" ca="1" si="19"/>
        <v>0</v>
      </c>
      <c r="AF158" s="75">
        <f t="shared" ca="1" si="6"/>
        <v>0</v>
      </c>
      <c r="AG158" s="75">
        <f t="shared" ca="1" si="7"/>
        <v>0</v>
      </c>
      <c r="AH158" s="31" t="str" cm="1">
        <f t="array" aca="1" ref="AH158" ca="1">IF((AD158) &lt; (INDEX(ResponseSLA[#All],(MATCH((G158),ResponseSLA[Priority],0))+1,3)),"YES","No")</f>
        <v>YES</v>
      </c>
      <c r="AI158" s="31" t="str">
        <f ca="1">_xlfn.IFNA(IF(AE158 &lt; (INDEX(SLATable[Minimum SLA],MATCH(G158,SLATable[Priority],0))),"YES","NO"),"")</f>
        <v>YES</v>
      </c>
      <c r="AJ158" t="str">
        <f ca="1">_xlfn.IFNA(IF(AE158 &lt; (INDEX(SLATable[Maximum SLA],MATCH(G158,SLATable[Priority],0))),"YES","NO"),"")</f>
        <v>YES</v>
      </c>
    </row>
    <row r="159" spans="1:36" ht="15" customHeight="1">
      <c r="A159" s="45">
        <v>158</v>
      </c>
      <c r="B159" s="45" t="s">
        <v>26</v>
      </c>
      <c r="C159" s="45" t="s">
        <v>41</v>
      </c>
      <c r="D159" s="45" t="s">
        <v>207</v>
      </c>
      <c r="E159" s="45" t="s">
        <v>8436</v>
      </c>
      <c r="F159" s="45" t="s">
        <v>40</v>
      </c>
      <c r="G159" s="66">
        <v>4</v>
      </c>
      <c r="H159" s="45" t="s">
        <v>8437</v>
      </c>
      <c r="I159" s="45" t="s">
        <v>271</v>
      </c>
      <c r="J159" s="45" t="s">
        <v>8120</v>
      </c>
      <c r="K159" s="147">
        <v>46210.906377314815</v>
      </c>
      <c r="L159" s="147">
        <v>46210.907025462962</v>
      </c>
      <c r="M159" s="147">
        <v>46211.265092592592</v>
      </c>
      <c r="N159" s="147">
        <v>46211.266203703701</v>
      </c>
      <c r="Q159" s="45" t="s">
        <v>8191</v>
      </c>
      <c r="S159" s="45" t="s">
        <v>8122</v>
      </c>
      <c r="T159" s="45" t="s">
        <v>1519</v>
      </c>
      <c r="U159" s="45" t="s">
        <v>371</v>
      </c>
      <c r="Z159" s="76">
        <f t="shared" ca="1" si="16"/>
        <v>0</v>
      </c>
      <c r="AA159" s="75">
        <f t="shared" ca="1" si="1"/>
        <v>0</v>
      </c>
      <c r="AB159" s="76">
        <f t="shared" ca="1" si="17"/>
        <v>0</v>
      </c>
      <c r="AC159" s="75">
        <f t="shared" ca="1" si="3"/>
        <v>0</v>
      </c>
      <c r="AD159" s="76">
        <f t="shared" ca="1" si="18"/>
        <v>0</v>
      </c>
      <c r="AE159" s="76">
        <f ca="1">SUMIFS(AB:AB,E:E,E156)</f>
        <v>0.21266203703756537</v>
      </c>
      <c r="AF159" s="75">
        <f t="shared" ca="1" si="6"/>
        <v>0.56709876543350768</v>
      </c>
      <c r="AG159" s="75">
        <f t="shared" ca="1" si="7"/>
        <v>0.56709876543350768</v>
      </c>
      <c r="AH159" s="31" t="str" cm="1">
        <f t="array" aca="1" ref="AH159" ca="1">IF((AD159) &lt; (INDEX(ResponseSLA[#All],(MATCH((G159),ResponseSLA[Priority],0))+1,3)),"YES","No")</f>
        <v>YES</v>
      </c>
      <c r="AI159" s="31" t="str">
        <f ca="1">_xlfn.IFNA(IF(AE159 &lt; (INDEX(SLATable[Minimum SLA],MATCH(G159,SLATable[Priority],0))),"YES","NO"),"")</f>
        <v>YES</v>
      </c>
      <c r="AJ159" t="str">
        <f ca="1">_xlfn.IFNA(IF(AE159 &lt; (INDEX(SLATable[Maximum SLA],MATCH(G159,SLATable[Priority],0))),"YES","NO"),"")</f>
        <v>YES</v>
      </c>
    </row>
    <row r="160" spans="1:36" ht="15" customHeight="1">
      <c r="A160" s="45">
        <v>159</v>
      </c>
      <c r="B160" s="45" t="s">
        <v>26</v>
      </c>
      <c r="C160" s="45" t="s">
        <v>41</v>
      </c>
      <c r="D160" s="45" t="s">
        <v>208</v>
      </c>
      <c r="E160" s="46" t="s">
        <v>8438</v>
      </c>
      <c r="F160" s="45" t="s">
        <v>40</v>
      </c>
      <c r="G160" s="66" t="s">
        <v>208</v>
      </c>
      <c r="H160" s="45" t="s">
        <v>8439</v>
      </c>
      <c r="I160" s="45" t="s">
        <v>271</v>
      </c>
      <c r="J160" s="45" t="s">
        <v>8190</v>
      </c>
      <c r="K160" s="147">
        <v>46211.288958333331</v>
      </c>
      <c r="L160" s="147">
        <v>46211.288958333331</v>
      </c>
      <c r="M160" s="147">
        <v>46211.318194444444</v>
      </c>
      <c r="N160" s="147">
        <v>46223.353981481479</v>
      </c>
      <c r="Z160" s="76">
        <f t="shared" ca="1" si="16"/>
        <v>3.0206481481460896</v>
      </c>
      <c r="AA160" s="75">
        <f t="shared" ca="1" si="1"/>
        <v>8.0550617283895711</v>
      </c>
      <c r="AB160" s="76">
        <f t="shared" ca="1" si="17"/>
        <v>3.0206481481460896</v>
      </c>
      <c r="AC160" s="75">
        <f t="shared" ca="1" si="3"/>
        <v>8.0550617283895711</v>
      </c>
      <c r="AD160" s="76">
        <f t="shared" ca="1" si="18"/>
        <v>0</v>
      </c>
      <c r="AE160" s="76">
        <f ca="1">SUMIFS(AB:AB,E:E,E157)</f>
        <v>2.99421296294895E-2</v>
      </c>
      <c r="AF160" s="75">
        <f t="shared" ca="1" si="6"/>
        <v>7.9845679011971996E-2</v>
      </c>
      <c r="AG160" s="75">
        <f t="shared" ca="1" si="7"/>
        <v>7.9845679011971996E-2</v>
      </c>
      <c r="AH160" s="31" t="str" cm="1">
        <f t="array" aca="1" ref="AH160" ca="1">IF((AD160) &lt; (INDEX(ResponseSLA[#All],(MATCH((G160),ResponseSLA[Priority],0))+1,3)),"YES","No")</f>
        <v>YES</v>
      </c>
      <c r="AI160" s="31" t="str">
        <f ca="1">_xlfn.IFNA(IF(AE160 &lt; (INDEX(SLATable[Minimum SLA],MATCH(G160,SLATable[Priority],0))),"YES","NO"),"")</f>
        <v>YES</v>
      </c>
      <c r="AJ160" t="str">
        <f ca="1">_xlfn.IFNA(IF(AE160 &lt; (INDEX(SLATable[Maximum SLA],MATCH(G160,SLATable[Priority],0))),"YES","NO"),"")</f>
        <v>YES</v>
      </c>
    </row>
    <row r="161" spans="1:36" ht="15" customHeight="1">
      <c r="A161" s="45">
        <v>160</v>
      </c>
      <c r="B161" s="45" t="s">
        <v>26</v>
      </c>
      <c r="C161" s="45" t="s">
        <v>41</v>
      </c>
      <c r="D161" s="45" t="s">
        <v>207</v>
      </c>
      <c r="E161" s="45" t="s">
        <v>8440</v>
      </c>
      <c r="F161" s="45" t="s">
        <v>40</v>
      </c>
      <c r="G161" s="66">
        <v>4</v>
      </c>
      <c r="H161" s="45" t="s">
        <v>8441</v>
      </c>
      <c r="I161" s="45" t="s">
        <v>271</v>
      </c>
      <c r="J161" s="45" t="s">
        <v>8120</v>
      </c>
      <c r="K161" s="147">
        <v>46211.906111111108</v>
      </c>
      <c r="L161" s="147">
        <v>46211.909814814811</v>
      </c>
      <c r="M161" s="147">
        <v>46212.287986111114</v>
      </c>
      <c r="N161" s="147">
        <v>46212.311331018522</v>
      </c>
      <c r="Q161" s="45" t="s">
        <v>8191</v>
      </c>
      <c r="S161" s="45" t="s">
        <v>8122</v>
      </c>
      <c r="T161" s="45" t="s">
        <v>1519</v>
      </c>
      <c r="U161" s="45" t="s">
        <v>371</v>
      </c>
      <c r="Z161" s="76">
        <f t="shared" ca="1" si="16"/>
        <v>0</v>
      </c>
      <c r="AA161" s="75">
        <f t="shared" ca="1" si="1"/>
        <v>0</v>
      </c>
      <c r="AB161" s="76">
        <f t="shared" ca="1" si="17"/>
        <v>0</v>
      </c>
      <c r="AC161" s="75">
        <f t="shared" ca="1" si="3"/>
        <v>0</v>
      </c>
      <c r="AD161" s="76">
        <f t="shared" ca="1" si="18"/>
        <v>0</v>
      </c>
      <c r="AE161" s="76">
        <f t="shared" ca="1" si="19"/>
        <v>0</v>
      </c>
      <c r="AF161" s="75">
        <f t="shared" ca="1" si="6"/>
        <v>0</v>
      </c>
      <c r="AG161" s="75">
        <f t="shared" ca="1" si="7"/>
        <v>0</v>
      </c>
      <c r="AH161" s="31" t="str" cm="1">
        <f t="array" aca="1" ref="AH161" ca="1">IF((AD161) &lt; (INDEX(ResponseSLA[#All],(MATCH((G161),ResponseSLA[Priority],0))+1,3)),"YES","No")</f>
        <v>YES</v>
      </c>
      <c r="AI161" s="31" t="str">
        <f ca="1">_xlfn.IFNA(IF(AE161 &lt; (INDEX(SLATable[Minimum SLA],MATCH(G161,SLATable[Priority],0))),"YES","NO"),"")</f>
        <v>YES</v>
      </c>
      <c r="AJ161" t="str">
        <f ca="1">_xlfn.IFNA(IF(AE161 &lt; (INDEX(SLATable[Maximum SLA],MATCH(G161,SLATable[Priority],0))),"YES","NO"),"")</f>
        <v>YES</v>
      </c>
    </row>
    <row r="162" spans="1:36" ht="15" customHeight="1">
      <c r="A162" s="45">
        <v>161</v>
      </c>
      <c r="B162" s="45" t="s">
        <v>26</v>
      </c>
      <c r="C162" s="45" t="s">
        <v>41</v>
      </c>
      <c r="D162" s="45" t="s">
        <v>207</v>
      </c>
      <c r="E162" s="45" t="s">
        <v>8442</v>
      </c>
      <c r="F162" s="45" t="s">
        <v>40</v>
      </c>
      <c r="G162" s="66">
        <v>4</v>
      </c>
      <c r="H162" s="45" t="s">
        <v>8443</v>
      </c>
      <c r="I162" s="45" t="s">
        <v>271</v>
      </c>
      <c r="J162" s="45" t="s">
        <v>8120</v>
      </c>
      <c r="K162" s="147">
        <v>46212.168645833335</v>
      </c>
      <c r="L162" s="147">
        <v>46212.177569444444</v>
      </c>
      <c r="M162" s="147">
        <v>46212.315567129626</v>
      </c>
      <c r="N162" s="147">
        <v>46212.316446759258</v>
      </c>
      <c r="Q162" s="45" t="s">
        <v>8191</v>
      </c>
      <c r="S162" s="45" t="s">
        <v>8122</v>
      </c>
      <c r="T162" s="45" t="s">
        <v>1519</v>
      </c>
      <c r="U162" s="45" t="s">
        <v>371</v>
      </c>
      <c r="Z162" s="76">
        <f t="shared" ca="1" si="16"/>
        <v>0</v>
      </c>
      <c r="AA162" s="75">
        <f t="shared" ca="1" si="1"/>
        <v>0</v>
      </c>
      <c r="AB162" s="76">
        <f t="shared" ca="1" si="17"/>
        <v>0</v>
      </c>
      <c r="AC162" s="75">
        <f t="shared" ca="1" si="3"/>
        <v>0</v>
      </c>
      <c r="AD162" s="76">
        <f t="shared" ca="1" si="18"/>
        <v>0</v>
      </c>
      <c r="AE162" s="76">
        <f t="shared" ca="1" si="19"/>
        <v>0</v>
      </c>
      <c r="AF162" s="75">
        <f t="shared" ca="1" si="6"/>
        <v>0</v>
      </c>
      <c r="AG162" s="75">
        <f t="shared" ca="1" si="7"/>
        <v>0</v>
      </c>
      <c r="AH162" s="31" t="str" cm="1">
        <f t="array" aca="1" ref="AH162" ca="1">IF((AD162) &lt; (INDEX(ResponseSLA[#All],(MATCH((G162),ResponseSLA[Priority],0))+1,3)),"YES","No")</f>
        <v>YES</v>
      </c>
      <c r="AI162" s="31" t="str">
        <f ca="1">_xlfn.IFNA(IF(AE162 &lt; (INDEX(SLATable[Minimum SLA],MATCH(G162,SLATable[Priority],0))),"YES","NO"),"")</f>
        <v>YES</v>
      </c>
      <c r="AJ162" t="str">
        <f ca="1">_xlfn.IFNA(IF(AE162 &lt; (INDEX(SLATable[Maximum SLA],MATCH(G162,SLATable[Priority],0))),"YES","NO"),"")</f>
        <v>YES</v>
      </c>
    </row>
    <row r="163" spans="1:36" ht="15" customHeight="1">
      <c r="A163" s="45">
        <v>162</v>
      </c>
      <c r="B163" s="45" t="s">
        <v>26</v>
      </c>
      <c r="C163" s="45" t="s">
        <v>41</v>
      </c>
      <c r="D163" s="45" t="s">
        <v>207</v>
      </c>
      <c r="E163" s="45" t="s">
        <v>8444</v>
      </c>
      <c r="F163" s="45" t="s">
        <v>40</v>
      </c>
      <c r="G163" s="66">
        <v>3</v>
      </c>
      <c r="H163" s="45" t="s">
        <v>8445</v>
      </c>
      <c r="I163" s="45" t="s">
        <v>271</v>
      </c>
      <c r="J163" s="45" t="s">
        <v>8120</v>
      </c>
      <c r="K163" s="147">
        <v>46208.586724537039</v>
      </c>
      <c r="L163" s="147">
        <v>46211.559016203704</v>
      </c>
      <c r="M163" s="147">
        <v>46211.581643518519</v>
      </c>
      <c r="N163" s="147">
        <v>46217.233738425923</v>
      </c>
      <c r="O163" s="147">
        <v>46212.540254629632</v>
      </c>
      <c r="P163" s="47">
        <v>46217.233738425923</v>
      </c>
      <c r="Q163" s="45" t="s">
        <v>8191</v>
      </c>
      <c r="S163" s="45" t="s">
        <v>8122</v>
      </c>
      <c r="T163" s="45" t="s">
        <v>1455</v>
      </c>
      <c r="U163" s="45" t="s">
        <v>371</v>
      </c>
      <c r="Z163" s="76">
        <f t="shared" ca="1" si="16"/>
        <v>1.3319212962984848</v>
      </c>
      <c r="AA163" s="75">
        <f t="shared" ca="1" si="1"/>
        <v>3.5517901234626259</v>
      </c>
      <c r="AB163" s="76">
        <f t="shared" ca="1" si="17"/>
        <v>0.35623842592758592</v>
      </c>
      <c r="AC163" s="75">
        <f t="shared" ca="1" si="3"/>
        <v>0.94996913580689579</v>
      </c>
      <c r="AD163" s="76">
        <f t="shared" ca="1" si="18"/>
        <v>2.2627314814599231E-2</v>
      </c>
      <c r="AE163" s="76">
        <f t="shared" ca="1" si="19"/>
        <v>0.35623842592758592</v>
      </c>
      <c r="AF163" s="75">
        <f t="shared" ca="1" si="6"/>
        <v>0.94996913580689579</v>
      </c>
      <c r="AG163" s="75">
        <f t="shared" ca="1" si="7"/>
        <v>0.94996913580689579</v>
      </c>
      <c r="AH163" s="31" t="str" cm="1">
        <f t="array" aca="1" ref="AH163" ca="1">IF((AD163) &lt; (INDEX(ResponseSLA[#All],(MATCH((G163),ResponseSLA[Priority],0))+1,3)),"YES","No")</f>
        <v>YES</v>
      </c>
      <c r="AI163" s="31" t="str">
        <f ca="1">_xlfn.IFNA(IF(AE163 &lt; (INDEX(SLATable[Minimum SLA],MATCH(G163,SLATable[Priority],0))),"YES","NO"),"")</f>
        <v>YES</v>
      </c>
      <c r="AJ163" t="str">
        <f ca="1">_xlfn.IFNA(IF(AE163 &lt; (INDEX(SLATable[Maximum SLA],MATCH(G163,SLATable[Priority],0))),"YES","NO"),"")</f>
        <v>YES</v>
      </c>
    </row>
    <row r="164" spans="1:36" ht="15" customHeight="1">
      <c r="A164" s="45">
        <v>163</v>
      </c>
      <c r="B164" s="45" t="s">
        <v>26</v>
      </c>
      <c r="C164" s="45" t="s">
        <v>41</v>
      </c>
      <c r="D164" s="45" t="s">
        <v>207</v>
      </c>
      <c r="E164" s="45" t="s">
        <v>8446</v>
      </c>
      <c r="F164" s="45" t="s">
        <v>40</v>
      </c>
      <c r="G164" s="66">
        <v>4</v>
      </c>
      <c r="H164" s="45" t="s">
        <v>8447</v>
      </c>
      <c r="I164" s="45" t="s">
        <v>271</v>
      </c>
      <c r="J164" s="45" t="s">
        <v>8120</v>
      </c>
      <c r="K164" s="147">
        <v>46204.171168981484</v>
      </c>
      <c r="L164" s="147">
        <v>46216.651261574072</v>
      </c>
      <c r="M164" s="147">
        <v>46217.236793981479</v>
      </c>
      <c r="N164" s="147">
        <v>46217.238159722219</v>
      </c>
      <c r="Q164" s="45" t="s">
        <v>8191</v>
      </c>
      <c r="S164" s="45" t="s">
        <v>8122</v>
      </c>
      <c r="T164" s="45" t="s">
        <v>1519</v>
      </c>
      <c r="U164" s="45" t="s">
        <v>371</v>
      </c>
      <c r="Z164" s="76">
        <f t="shared" ca="1" si="16"/>
        <v>3.3750000000000004</v>
      </c>
      <c r="AA164" s="75">
        <f t="shared" ca="1" si="1"/>
        <v>9.0000000000000018</v>
      </c>
      <c r="AB164" s="76">
        <f t="shared" ca="1" si="17"/>
        <v>5.7071759261210331E-2</v>
      </c>
      <c r="AC164" s="75">
        <f t="shared" ca="1" si="3"/>
        <v>0.15219135802989422</v>
      </c>
      <c r="AD164" s="76">
        <f t="shared" ca="1" si="18"/>
        <v>5.7071759261210331E-2</v>
      </c>
      <c r="AE164" s="76">
        <f t="shared" ca="1" si="19"/>
        <v>5.7071759261210331E-2</v>
      </c>
      <c r="AF164" s="75">
        <f t="shared" ca="1" si="6"/>
        <v>0.15219135802989422</v>
      </c>
      <c r="AG164" s="75">
        <f t="shared" ca="1" si="7"/>
        <v>0.15219135802989422</v>
      </c>
      <c r="AH164" s="31" t="str" cm="1">
        <f t="array" aca="1" ref="AH164" ca="1">IF((AD164) &lt; (INDEX(ResponseSLA[#All],(MATCH((G164),ResponseSLA[Priority],0))+1,3)),"YES","No")</f>
        <v>YES</v>
      </c>
      <c r="AI164" s="31" t="str">
        <f ca="1">_xlfn.IFNA(IF(AE164 &lt; (INDEX(SLATable[Minimum SLA],MATCH(G164,SLATable[Priority],0))),"YES","NO"),"")</f>
        <v>YES</v>
      </c>
      <c r="AJ164" t="str">
        <f ca="1">_xlfn.IFNA(IF(AE164 &lt; (INDEX(SLATable[Maximum SLA],MATCH(G164,SLATable[Priority],0))),"YES","NO"),"")</f>
        <v>YES</v>
      </c>
    </row>
    <row r="165" spans="1:36" ht="15" customHeight="1">
      <c r="A165" s="45">
        <v>164</v>
      </c>
      <c r="B165" s="45" t="s">
        <v>26</v>
      </c>
      <c r="C165" s="45" t="s">
        <v>41</v>
      </c>
      <c r="D165" s="45" t="s">
        <v>207</v>
      </c>
      <c r="E165" s="45" t="s">
        <v>8448</v>
      </c>
      <c r="F165" s="45" t="s">
        <v>40</v>
      </c>
      <c r="G165" s="66">
        <v>4</v>
      </c>
      <c r="H165" s="45" t="s">
        <v>8449</v>
      </c>
      <c r="I165" s="45" t="s">
        <v>271</v>
      </c>
      <c r="J165" s="45" t="s">
        <v>8120</v>
      </c>
      <c r="K165" s="147">
        <v>46216.915381944447</v>
      </c>
      <c r="L165" s="147">
        <v>46216.918402777781</v>
      </c>
      <c r="M165" s="147">
        <v>46217.239305555559</v>
      </c>
      <c r="N165" s="147">
        <v>46217.240254629629</v>
      </c>
      <c r="Q165" s="45" t="s">
        <v>8191</v>
      </c>
      <c r="S165" s="45" t="s">
        <v>8122</v>
      </c>
      <c r="T165" s="45" t="s">
        <v>1519</v>
      </c>
      <c r="U165" s="45" t="s">
        <v>371</v>
      </c>
      <c r="Z165" s="76">
        <f t="shared" ca="1" si="16"/>
        <v>0</v>
      </c>
      <c r="AA165" s="75">
        <f t="shared" ca="1" si="1"/>
        <v>0</v>
      </c>
      <c r="AB165" s="76">
        <f t="shared" ca="1" si="17"/>
        <v>0</v>
      </c>
      <c r="AC165" s="75">
        <f t="shared" ca="1" si="3"/>
        <v>0</v>
      </c>
      <c r="AD165" s="76">
        <f t="shared" ca="1" si="18"/>
        <v>0</v>
      </c>
      <c r="AE165" s="76">
        <f t="shared" ca="1" si="19"/>
        <v>0</v>
      </c>
      <c r="AF165" s="75">
        <f t="shared" ca="1" si="6"/>
        <v>0</v>
      </c>
      <c r="AG165" s="75">
        <f t="shared" ca="1" si="7"/>
        <v>0</v>
      </c>
      <c r="AH165" s="31" t="str" cm="1">
        <f t="array" aca="1" ref="AH165" ca="1">IF((AD165) &lt; (INDEX(ResponseSLA[#All],(MATCH((G165),ResponseSLA[Priority],0))+1,3)),"YES","No")</f>
        <v>YES</v>
      </c>
      <c r="AI165" s="31" t="str">
        <f ca="1">_xlfn.IFNA(IF(AE165 &lt; (INDEX(SLATable[Minimum SLA],MATCH(G165,SLATable[Priority],0))),"YES","NO"),"")</f>
        <v>YES</v>
      </c>
      <c r="AJ165" t="str">
        <f ca="1">_xlfn.IFNA(IF(AE165 &lt; (INDEX(SLATable[Maximum SLA],MATCH(G165,SLATable[Priority],0))),"YES","NO"),"")</f>
        <v>YES</v>
      </c>
    </row>
    <row r="166" spans="1:36" ht="15" customHeight="1">
      <c r="A166" s="45">
        <v>165</v>
      </c>
      <c r="B166" s="45" t="s">
        <v>26</v>
      </c>
      <c r="C166" s="45" t="s">
        <v>41</v>
      </c>
      <c r="D166" s="45" t="s">
        <v>207</v>
      </c>
      <c r="E166" s="45" t="s">
        <v>8450</v>
      </c>
      <c r="F166" s="45" t="s">
        <v>40</v>
      </c>
      <c r="G166" s="66">
        <v>3</v>
      </c>
      <c r="H166" s="45" t="s">
        <v>8451</v>
      </c>
      <c r="I166" s="45" t="s">
        <v>271</v>
      </c>
      <c r="J166" s="45" t="s">
        <v>8212</v>
      </c>
      <c r="K166" s="147">
        <v>46216.373402777775</v>
      </c>
      <c r="L166" s="147">
        <v>46216.373402777775</v>
      </c>
      <c r="M166" s="147">
        <v>46216.493217592593</v>
      </c>
      <c r="N166" s="147">
        <v>46226.585775462961</v>
      </c>
      <c r="O166" s="147">
        <v>46217.55878472222</v>
      </c>
      <c r="P166" s="47">
        <v>46226.585775462961</v>
      </c>
      <c r="Q166" s="45" t="s">
        <v>8191</v>
      </c>
      <c r="S166" s="45" t="s">
        <v>8122</v>
      </c>
      <c r="T166" s="45" t="s">
        <v>1455</v>
      </c>
      <c r="U166" s="45" t="s">
        <v>371</v>
      </c>
      <c r="Z166" s="76">
        <f t="shared" ca="1" si="16"/>
        <v>0.56038194444408873</v>
      </c>
      <c r="AA166" s="75">
        <f t="shared" ca="1" si="1"/>
        <v>1.4943518518509034</v>
      </c>
      <c r="AB166" s="76">
        <f t="shared" ca="1" si="17"/>
        <v>0.56038194444408873</v>
      </c>
      <c r="AC166" s="75">
        <f t="shared" ca="1" si="3"/>
        <v>1.4943518518509034</v>
      </c>
      <c r="AD166" s="76">
        <f t="shared" ca="1" si="18"/>
        <v>0.11981481481780065</v>
      </c>
      <c r="AE166" s="76">
        <f t="shared" ca="1" si="19"/>
        <v>0.56038194444408873</v>
      </c>
      <c r="AF166" s="75">
        <f t="shared" ca="1" si="6"/>
        <v>1.4943518518509034</v>
      </c>
      <c r="AG166" s="75">
        <f t="shared" ca="1" si="7"/>
        <v>1.4943518518509034</v>
      </c>
      <c r="AH166" s="31" t="str" cm="1">
        <f t="array" aca="1" ref="AH166" ca="1">IF((AD166) &lt; (INDEX(ResponseSLA[#All],(MATCH((G166),ResponseSLA[Priority],0))+1,3)),"YES","No")</f>
        <v>No</v>
      </c>
      <c r="AI166" s="31" t="str">
        <f ca="1">_xlfn.IFNA(IF(AE166 &lt; (INDEX(SLATable[Minimum SLA],MATCH(G166,SLATable[Priority],0))),"YES","NO"),"")</f>
        <v>NO</v>
      </c>
      <c r="AJ166" t="str">
        <f ca="1">_xlfn.IFNA(IF(AE166 &lt; (INDEX(SLATable[Maximum SLA],MATCH(G166,SLATable[Priority],0))),"YES","NO"),"")</f>
        <v>YES</v>
      </c>
    </row>
    <row r="167" spans="1:36" ht="15" customHeight="1">
      <c r="A167" s="45">
        <v>166</v>
      </c>
      <c r="B167" s="45" t="s">
        <v>26</v>
      </c>
      <c r="C167" s="45" t="s">
        <v>41</v>
      </c>
      <c r="D167" s="45" t="s">
        <v>207</v>
      </c>
      <c r="E167" s="45" t="s">
        <v>8452</v>
      </c>
      <c r="F167" s="45" t="s">
        <v>40</v>
      </c>
      <c r="G167" s="66">
        <v>4</v>
      </c>
      <c r="H167" s="45" t="s">
        <v>8453</v>
      </c>
      <c r="I167" s="45" t="s">
        <v>271</v>
      </c>
      <c r="J167" s="45" t="s">
        <v>8199</v>
      </c>
      <c r="K167" s="147">
        <v>46212.907048611109</v>
      </c>
      <c r="L167" s="147">
        <v>46212.908888888887</v>
      </c>
      <c r="M167" s="147">
        <v>46213.249074074076</v>
      </c>
      <c r="N167" s="147">
        <v>46213.249074074076</v>
      </c>
      <c r="Q167" s="45" t="s">
        <v>8191</v>
      </c>
      <c r="S167" s="45" t="s">
        <v>8122</v>
      </c>
      <c r="T167" s="45" t="s">
        <v>1519</v>
      </c>
      <c r="U167" s="45" t="s">
        <v>371</v>
      </c>
      <c r="Z167" s="76">
        <f t="shared" ca="1" si="16"/>
        <v>0</v>
      </c>
      <c r="AA167" s="75">
        <f t="shared" ca="1" si="1"/>
        <v>0</v>
      </c>
      <c r="AB167" s="76">
        <f t="shared" ca="1" si="17"/>
        <v>0</v>
      </c>
      <c r="AC167" s="75">
        <f t="shared" ca="1" si="3"/>
        <v>0</v>
      </c>
      <c r="AD167" s="76">
        <f t="shared" ca="1" si="18"/>
        <v>0</v>
      </c>
      <c r="AE167" s="76">
        <f t="shared" ca="1" si="19"/>
        <v>0</v>
      </c>
      <c r="AF167" s="75">
        <f t="shared" ca="1" si="6"/>
        <v>0</v>
      </c>
      <c r="AG167" s="75">
        <f t="shared" ca="1" si="7"/>
        <v>0</v>
      </c>
      <c r="AH167" s="31" t="str" cm="1">
        <f t="array" aca="1" ref="AH167" ca="1">IF((AD167) &lt; (INDEX(ResponseSLA[#All],(MATCH((G167),ResponseSLA[Priority],0))+1,3)),"YES","No")</f>
        <v>YES</v>
      </c>
      <c r="AI167" s="31" t="str">
        <f ca="1">_xlfn.IFNA(IF(AE167 &lt; (INDEX(SLATable[Minimum SLA],MATCH(G167,SLATable[Priority],0))),"YES","NO"),"")</f>
        <v>YES</v>
      </c>
      <c r="AJ167" t="str">
        <f ca="1">_xlfn.IFNA(IF(AE167 &lt; (INDEX(SLATable[Maximum SLA],MATCH(G167,SLATable[Priority],0))),"YES","NO"),"")</f>
        <v>YES</v>
      </c>
    </row>
    <row r="168" spans="1:36" ht="15" customHeight="1">
      <c r="A168" s="45">
        <v>167</v>
      </c>
      <c r="B168" s="45" t="s">
        <v>26</v>
      </c>
      <c r="C168" s="45" t="s">
        <v>41</v>
      </c>
      <c r="D168" s="45" t="s">
        <v>207</v>
      </c>
      <c r="E168" s="45" t="s">
        <v>8454</v>
      </c>
      <c r="F168" s="45" t="s">
        <v>40</v>
      </c>
      <c r="G168" s="66">
        <v>4</v>
      </c>
      <c r="H168" s="45" t="s">
        <v>8455</v>
      </c>
      <c r="I168" s="45" t="s">
        <v>271</v>
      </c>
      <c r="J168" s="45" t="s">
        <v>8199</v>
      </c>
      <c r="K168" s="147">
        <v>46213.172326388885</v>
      </c>
      <c r="L168" s="147">
        <v>46213.192118055558</v>
      </c>
      <c r="M168" s="147">
        <v>46213.245150462964</v>
      </c>
      <c r="N168" s="147">
        <v>46213.248090277775</v>
      </c>
      <c r="Q168" s="45" t="s">
        <v>8191</v>
      </c>
      <c r="S168" s="45" t="s">
        <v>8122</v>
      </c>
      <c r="T168" s="45" t="s">
        <v>1519</v>
      </c>
      <c r="U168" s="45" t="s">
        <v>371</v>
      </c>
      <c r="Z168" s="76">
        <f t="shared" ca="1" si="16"/>
        <v>0</v>
      </c>
      <c r="AA168" s="75">
        <f t="shared" ca="1" si="1"/>
        <v>0</v>
      </c>
      <c r="AB168" s="76">
        <f t="shared" ca="1" si="17"/>
        <v>0</v>
      </c>
      <c r="AC168" s="75">
        <f t="shared" ca="1" si="3"/>
        <v>0</v>
      </c>
      <c r="AD168" s="76">
        <f t="shared" ca="1" si="18"/>
        <v>0</v>
      </c>
      <c r="AE168" s="76">
        <f t="shared" ca="1" si="19"/>
        <v>0</v>
      </c>
      <c r="AF168" s="75">
        <f t="shared" ca="1" si="6"/>
        <v>0</v>
      </c>
      <c r="AG168" s="75">
        <f t="shared" ca="1" si="7"/>
        <v>0</v>
      </c>
      <c r="AH168" s="31" t="str" cm="1">
        <f t="array" aca="1" ref="AH168" ca="1">IF((AD168) &lt; (INDEX(ResponseSLA[#All],(MATCH((G168),ResponseSLA[Priority],0))+1,3)),"YES","No")</f>
        <v>YES</v>
      </c>
      <c r="AI168" s="31" t="str">
        <f ca="1">_xlfn.IFNA(IF(AE168 &lt; (INDEX(SLATable[Minimum SLA],MATCH(G168,SLATable[Priority],0))),"YES","NO"),"")</f>
        <v>YES</v>
      </c>
      <c r="AJ168" t="str">
        <f ca="1">_xlfn.IFNA(IF(AE168 &lt; (INDEX(SLATable[Maximum SLA],MATCH(G168,SLATable[Priority],0))),"YES","NO"),"")</f>
        <v>YES</v>
      </c>
    </row>
    <row r="169" spans="1:36" ht="15" customHeight="1">
      <c r="A169" s="45">
        <v>168</v>
      </c>
      <c r="B169" s="45" t="s">
        <v>26</v>
      </c>
      <c r="C169" s="45" t="s">
        <v>41</v>
      </c>
      <c r="D169" s="45" t="s">
        <v>207</v>
      </c>
      <c r="E169" s="45" t="s">
        <v>8456</v>
      </c>
      <c r="F169" s="45" t="s">
        <v>40</v>
      </c>
      <c r="G169" s="66">
        <v>4</v>
      </c>
      <c r="H169" s="45" t="s">
        <v>8457</v>
      </c>
      <c r="I169" s="45" t="s">
        <v>271</v>
      </c>
      <c r="J169" s="45" t="s">
        <v>8199</v>
      </c>
      <c r="K169" s="147">
        <v>46213.172314814816</v>
      </c>
      <c r="L169" s="147">
        <v>46213.172314814816</v>
      </c>
      <c r="M169" s="147">
        <v>46213.246469907404</v>
      </c>
      <c r="N169" s="147">
        <v>46213.246469907404</v>
      </c>
      <c r="Q169" s="45" t="s">
        <v>8191</v>
      </c>
      <c r="S169" s="45" t="s">
        <v>8122</v>
      </c>
      <c r="T169" s="45" t="s">
        <v>1519</v>
      </c>
      <c r="U169" s="45" t="s">
        <v>371</v>
      </c>
      <c r="Z169" s="76">
        <f t="shared" ca="1" si="16"/>
        <v>0</v>
      </c>
      <c r="AA169" s="75">
        <f t="shared" ca="1" si="1"/>
        <v>0</v>
      </c>
      <c r="AB169" s="76">
        <f t="shared" ca="1" si="17"/>
        <v>0</v>
      </c>
      <c r="AC169" s="75">
        <f t="shared" ca="1" si="3"/>
        <v>0</v>
      </c>
      <c r="AD169" s="76">
        <f t="shared" ca="1" si="18"/>
        <v>0</v>
      </c>
      <c r="AE169" s="76">
        <f t="shared" ca="1" si="19"/>
        <v>0</v>
      </c>
      <c r="AF169" s="75">
        <f t="shared" ca="1" si="6"/>
        <v>0</v>
      </c>
      <c r="AG169" s="75">
        <f t="shared" ca="1" si="7"/>
        <v>0</v>
      </c>
      <c r="AH169" s="31" t="str" cm="1">
        <f t="array" aca="1" ref="AH169" ca="1">IF((AD169) &lt; (INDEX(ResponseSLA[#All],(MATCH((G169),ResponseSLA[Priority],0))+1,3)),"YES","No")</f>
        <v>YES</v>
      </c>
      <c r="AI169" s="31" t="str">
        <f ca="1">_xlfn.IFNA(IF(AE169 &lt; (INDEX(SLATable[Minimum SLA],MATCH(G169,SLATable[Priority],0))),"YES","NO"),"")</f>
        <v>YES</v>
      </c>
      <c r="AJ169" t="str">
        <f ca="1">_xlfn.IFNA(IF(AE169 &lt; (INDEX(SLATable[Maximum SLA],MATCH(G169,SLATable[Priority],0))),"YES","NO"),"")</f>
        <v>YES</v>
      </c>
    </row>
    <row r="170" spans="1:36" ht="15" customHeight="1">
      <c r="A170" s="45">
        <v>169</v>
      </c>
      <c r="B170" s="45" t="s">
        <v>26</v>
      </c>
      <c r="C170" s="45" t="s">
        <v>41</v>
      </c>
      <c r="D170" s="45" t="s">
        <v>207</v>
      </c>
      <c r="E170" s="45" t="s">
        <v>8458</v>
      </c>
      <c r="F170" s="45" t="s">
        <v>40</v>
      </c>
      <c r="G170" s="66">
        <v>4</v>
      </c>
      <c r="H170" s="45" t="s">
        <v>8459</v>
      </c>
      <c r="I170" s="45" t="s">
        <v>271</v>
      </c>
      <c r="J170" s="45" t="s">
        <v>8199</v>
      </c>
      <c r="K170" s="147">
        <v>46213.90079861111</v>
      </c>
      <c r="L170" s="147">
        <v>46213.914490740739</v>
      </c>
      <c r="M170" s="147">
        <v>46216.232303240744</v>
      </c>
      <c r="N170" s="147">
        <v>46216.233831018515</v>
      </c>
      <c r="Q170" s="45" t="s">
        <v>8191</v>
      </c>
      <c r="S170" s="45" t="s">
        <v>8122</v>
      </c>
      <c r="T170" s="45" t="s">
        <v>1519</v>
      </c>
      <c r="U170" s="45" t="s">
        <v>371</v>
      </c>
      <c r="Z170" s="76">
        <f t="shared" ca="1" si="16"/>
        <v>0</v>
      </c>
      <c r="AA170" s="75">
        <f t="shared" ca="1" si="1"/>
        <v>0</v>
      </c>
      <c r="AB170" s="76">
        <f t="shared" ca="1" si="17"/>
        <v>0</v>
      </c>
      <c r="AC170" s="75">
        <f t="shared" ca="1" si="3"/>
        <v>0</v>
      </c>
      <c r="AD170" s="76">
        <f t="shared" ca="1" si="18"/>
        <v>0</v>
      </c>
      <c r="AE170" s="76">
        <f t="shared" ca="1" si="19"/>
        <v>0</v>
      </c>
      <c r="AF170" s="75">
        <f t="shared" ca="1" si="6"/>
        <v>0</v>
      </c>
      <c r="AG170" s="75">
        <f t="shared" ca="1" si="7"/>
        <v>0</v>
      </c>
      <c r="AH170" s="31" t="str" cm="1">
        <f t="array" aca="1" ref="AH170" ca="1">IF((AD170) &lt; (INDEX(ResponseSLA[#All],(MATCH((G170),ResponseSLA[Priority],0))+1,3)),"YES","No")</f>
        <v>YES</v>
      </c>
      <c r="AI170" s="31" t="str">
        <f ca="1">_xlfn.IFNA(IF(AE170 &lt; (INDEX(SLATable[Minimum SLA],MATCH(G170,SLATable[Priority],0))),"YES","NO"),"")</f>
        <v>YES</v>
      </c>
      <c r="AJ170" t="str">
        <f ca="1">_xlfn.IFNA(IF(AE170 &lt; (INDEX(SLATable[Maximum SLA],MATCH(G170,SLATable[Priority],0))),"YES","NO"),"")</f>
        <v>YES</v>
      </c>
    </row>
    <row r="171" spans="1:36" ht="15" customHeight="1">
      <c r="A171" s="45">
        <v>170</v>
      </c>
      <c r="B171" s="45" t="s">
        <v>26</v>
      </c>
      <c r="C171" s="45" t="s">
        <v>41</v>
      </c>
      <c r="D171" s="45" t="s">
        <v>207</v>
      </c>
      <c r="E171" s="45" t="s">
        <v>8460</v>
      </c>
      <c r="F171" s="45" t="s">
        <v>40</v>
      </c>
      <c r="G171" s="66">
        <v>4</v>
      </c>
      <c r="H171" s="45" t="s">
        <v>8461</v>
      </c>
      <c r="I171" s="45" t="s">
        <v>271</v>
      </c>
      <c r="J171" s="45" t="s">
        <v>8199</v>
      </c>
      <c r="K171" s="147">
        <v>46214.900937500002</v>
      </c>
      <c r="L171" s="147">
        <v>46214.902789351851</v>
      </c>
      <c r="M171" s="147">
        <v>46216.240636574075</v>
      </c>
      <c r="N171" s="147">
        <v>46216.243113425924</v>
      </c>
      <c r="Q171" s="45" t="s">
        <v>8191</v>
      </c>
      <c r="S171" s="45" t="s">
        <v>8122</v>
      </c>
      <c r="T171" s="45" t="s">
        <v>1519</v>
      </c>
      <c r="U171" s="45" t="s">
        <v>371</v>
      </c>
      <c r="Z171" s="76">
        <f t="shared" ca="1" si="16"/>
        <v>0</v>
      </c>
      <c r="AA171" s="75">
        <f t="shared" ca="1" si="1"/>
        <v>0</v>
      </c>
      <c r="AB171" s="76">
        <f t="shared" ca="1" si="17"/>
        <v>0</v>
      </c>
      <c r="AC171" s="75">
        <f t="shared" ca="1" si="3"/>
        <v>0</v>
      </c>
      <c r="AD171" s="76">
        <f t="shared" ca="1" si="18"/>
        <v>0</v>
      </c>
      <c r="AE171" s="76">
        <f t="shared" ca="1" si="19"/>
        <v>0</v>
      </c>
      <c r="AF171" s="75">
        <f t="shared" ca="1" si="6"/>
        <v>0</v>
      </c>
      <c r="AG171" s="75">
        <f t="shared" ca="1" si="7"/>
        <v>0</v>
      </c>
      <c r="AH171" s="31" t="str" cm="1">
        <f t="array" aca="1" ref="AH171" ca="1">IF((AD171) &lt; (INDEX(ResponseSLA[#All],(MATCH((G171),ResponseSLA[Priority],0))+1,3)),"YES","No")</f>
        <v>YES</v>
      </c>
      <c r="AI171" s="31" t="str">
        <f ca="1">_xlfn.IFNA(IF(AE171 &lt; (INDEX(SLATable[Minimum SLA],MATCH(G171,SLATable[Priority],0))),"YES","NO"),"")</f>
        <v>YES</v>
      </c>
      <c r="AJ171" t="str">
        <f ca="1">_xlfn.IFNA(IF(AE171 &lt; (INDEX(SLATable[Maximum SLA],MATCH(G171,SLATable[Priority],0))),"YES","NO"),"")</f>
        <v>YES</v>
      </c>
    </row>
    <row r="172" spans="1:36" ht="15" customHeight="1">
      <c r="A172" s="45">
        <v>171</v>
      </c>
      <c r="B172" s="45" t="s">
        <v>26</v>
      </c>
      <c r="C172" s="45" t="s">
        <v>41</v>
      </c>
      <c r="D172" s="45" t="s">
        <v>207</v>
      </c>
      <c r="E172" s="45" t="s">
        <v>8462</v>
      </c>
      <c r="F172" s="45" t="s">
        <v>40</v>
      </c>
      <c r="G172" s="66">
        <v>4</v>
      </c>
      <c r="H172" s="45" t="s">
        <v>8463</v>
      </c>
      <c r="I172" s="45" t="s">
        <v>271</v>
      </c>
      <c r="J172" s="45" t="s">
        <v>8199</v>
      </c>
      <c r="K172" s="147">
        <v>46215.915671296294</v>
      </c>
      <c r="L172" s="147">
        <v>46215.915671296294</v>
      </c>
      <c r="M172" s="147">
        <v>46216.236701388887</v>
      </c>
      <c r="N172" s="147">
        <v>46216.240023148152</v>
      </c>
      <c r="Q172" s="45" t="s">
        <v>8191</v>
      </c>
      <c r="S172" s="45" t="s">
        <v>8122</v>
      </c>
      <c r="T172" s="45" t="s">
        <v>1519</v>
      </c>
      <c r="U172" s="45" t="s">
        <v>371</v>
      </c>
      <c r="Z172" s="76">
        <f t="shared" ca="1" si="16"/>
        <v>0</v>
      </c>
      <c r="AA172" s="75">
        <f t="shared" ca="1" si="1"/>
        <v>0</v>
      </c>
      <c r="AB172" s="76">
        <f t="shared" ca="1" si="17"/>
        <v>0</v>
      </c>
      <c r="AC172" s="75">
        <f t="shared" ca="1" si="3"/>
        <v>0</v>
      </c>
      <c r="AD172" s="76">
        <f t="shared" ca="1" si="18"/>
        <v>0</v>
      </c>
      <c r="AE172" s="76">
        <f t="shared" ca="1" si="19"/>
        <v>0</v>
      </c>
      <c r="AF172" s="75">
        <f t="shared" ca="1" si="6"/>
        <v>0</v>
      </c>
      <c r="AG172" s="75">
        <f t="shared" ca="1" si="7"/>
        <v>0</v>
      </c>
      <c r="AH172" s="31" t="str" cm="1">
        <f t="array" aca="1" ref="AH172" ca="1">IF((AD172) &lt; (INDEX(ResponseSLA[#All],(MATCH((G172),ResponseSLA[Priority],0))+1,3)),"YES","No")</f>
        <v>YES</v>
      </c>
      <c r="AI172" s="31" t="str">
        <f ca="1">_xlfn.IFNA(IF(AE172 &lt; (INDEX(SLATable[Minimum SLA],MATCH(G172,SLATable[Priority],0))),"YES","NO"),"")</f>
        <v>YES</v>
      </c>
      <c r="AJ172" t="str">
        <f ca="1">_xlfn.IFNA(IF(AE172 &lt; (INDEX(SLATable[Maximum SLA],MATCH(G172,SLATable[Priority],0))),"YES","NO"),"")</f>
        <v>YES</v>
      </c>
    </row>
    <row r="173" spans="1:36" ht="15" customHeight="1">
      <c r="A173" s="45">
        <v>172</v>
      </c>
      <c r="B173" s="45" t="s">
        <v>26</v>
      </c>
      <c r="C173" s="45" t="s">
        <v>41</v>
      </c>
      <c r="D173" s="45" t="s">
        <v>207</v>
      </c>
      <c r="E173" s="45" t="s">
        <v>8464</v>
      </c>
      <c r="F173" s="45" t="s">
        <v>40</v>
      </c>
      <c r="G173" s="66">
        <v>4</v>
      </c>
      <c r="H173" s="45" t="s">
        <v>8465</v>
      </c>
      <c r="I173" s="45" t="s">
        <v>271</v>
      </c>
      <c r="J173" s="45" t="s">
        <v>8199</v>
      </c>
      <c r="K173" s="147">
        <v>46216.168368055558</v>
      </c>
      <c r="L173" s="147">
        <v>46216.170219907406</v>
      </c>
      <c r="M173" s="147">
        <v>46216.234467592592</v>
      </c>
      <c r="N173" s="147">
        <v>46216.236342592594</v>
      </c>
      <c r="Q173" s="45" t="s">
        <v>8191</v>
      </c>
      <c r="S173" s="45" t="s">
        <v>8122</v>
      </c>
      <c r="T173" s="45" t="s">
        <v>1519</v>
      </c>
      <c r="U173" s="45" t="s">
        <v>371</v>
      </c>
      <c r="Z173" s="76">
        <f t="shared" ca="1" si="16"/>
        <v>0</v>
      </c>
      <c r="AA173" s="75">
        <f t="shared" ca="1" si="1"/>
        <v>0</v>
      </c>
      <c r="AB173" s="76">
        <f t="shared" ca="1" si="17"/>
        <v>0</v>
      </c>
      <c r="AC173" s="75">
        <f t="shared" ca="1" si="3"/>
        <v>0</v>
      </c>
      <c r="AD173" s="76">
        <f t="shared" ca="1" si="18"/>
        <v>0</v>
      </c>
      <c r="AE173" s="76">
        <f t="shared" ca="1" si="19"/>
        <v>0</v>
      </c>
      <c r="AF173" s="75">
        <f t="shared" ca="1" si="6"/>
        <v>0</v>
      </c>
      <c r="AG173" s="75">
        <f t="shared" ca="1" si="7"/>
        <v>0</v>
      </c>
      <c r="AH173" s="31" t="str" cm="1">
        <f t="array" aca="1" ref="AH173" ca="1">IF((AD173) &lt; (INDEX(ResponseSLA[#All],(MATCH((G173),ResponseSLA[Priority],0))+1,3)),"YES","No")</f>
        <v>YES</v>
      </c>
      <c r="AI173" s="31" t="str">
        <f ca="1">_xlfn.IFNA(IF(AE173 &lt; (INDEX(SLATable[Minimum SLA],MATCH(G173,SLATable[Priority],0))),"YES","NO"),"")</f>
        <v>YES</v>
      </c>
      <c r="AJ173" t="str">
        <f ca="1">_xlfn.IFNA(IF(AE173 &lt; (INDEX(SLATable[Maximum SLA],MATCH(G173,SLATable[Priority],0))),"YES","NO"),"")</f>
        <v>YES</v>
      </c>
    </row>
    <row r="174" spans="1:36" ht="15" customHeight="1">
      <c r="A174" s="45">
        <v>173</v>
      </c>
      <c r="B174" s="45" t="s">
        <v>26</v>
      </c>
      <c r="C174" s="45" t="s">
        <v>41</v>
      </c>
      <c r="D174" s="45" t="s">
        <v>207</v>
      </c>
      <c r="E174" s="45" t="s">
        <v>8466</v>
      </c>
      <c r="F174" s="45" t="s">
        <v>40</v>
      </c>
      <c r="G174" s="66">
        <v>4</v>
      </c>
      <c r="H174" s="45" t="s">
        <v>8467</v>
      </c>
      <c r="I174" s="45" t="s">
        <v>271</v>
      </c>
      <c r="J174" s="45" t="s">
        <v>8120</v>
      </c>
      <c r="K174" s="147">
        <v>46217.908877314818</v>
      </c>
      <c r="L174" s="147">
        <v>46217.910405092596</v>
      </c>
      <c r="M174" s="147">
        <v>46218.242002314815</v>
      </c>
      <c r="N174" s="147">
        <v>46218.243078703701</v>
      </c>
      <c r="Q174" s="45" t="s">
        <v>8191</v>
      </c>
      <c r="S174" s="45" t="s">
        <v>8122</v>
      </c>
      <c r="T174" s="45" t="s">
        <v>1519</v>
      </c>
      <c r="U174" s="45" t="s">
        <v>371</v>
      </c>
      <c r="Z174" s="76">
        <f t="shared" ca="1" si="16"/>
        <v>0</v>
      </c>
      <c r="AA174" s="75">
        <f t="shared" ca="1" si="1"/>
        <v>0</v>
      </c>
      <c r="AB174" s="76">
        <f t="shared" ca="1" si="17"/>
        <v>0</v>
      </c>
      <c r="AC174" s="75">
        <f t="shared" ca="1" si="3"/>
        <v>0</v>
      </c>
      <c r="AD174" s="76">
        <f t="shared" ca="1" si="18"/>
        <v>0</v>
      </c>
      <c r="AE174" s="76">
        <f t="shared" ca="1" si="19"/>
        <v>0</v>
      </c>
      <c r="AF174" s="75">
        <f t="shared" ca="1" si="6"/>
        <v>0</v>
      </c>
      <c r="AG174" s="75">
        <f t="shared" ca="1" si="7"/>
        <v>0</v>
      </c>
      <c r="AH174" s="31" t="str" cm="1">
        <f t="array" aca="1" ref="AH174" ca="1">IF((AD174) &lt; (INDEX(ResponseSLA[#All],(MATCH((G174),ResponseSLA[Priority],0))+1,3)),"YES","No")</f>
        <v>YES</v>
      </c>
      <c r="AI174" s="31" t="str">
        <f ca="1">_xlfn.IFNA(IF(AE174 &lt; (INDEX(SLATable[Minimum SLA],MATCH(G174,SLATable[Priority],0))),"YES","NO"),"")</f>
        <v>YES</v>
      </c>
      <c r="AJ174" t="str">
        <f ca="1">_xlfn.IFNA(IF(AE174 &lt; (INDEX(SLATable[Maximum SLA],MATCH(G174,SLATable[Priority],0))),"YES","NO"),"")</f>
        <v>YES</v>
      </c>
    </row>
    <row r="175" spans="1:36" ht="15" customHeight="1">
      <c r="A175" s="45">
        <v>174</v>
      </c>
      <c r="B175" s="45" t="s">
        <v>26</v>
      </c>
      <c r="C175" s="45" t="s">
        <v>41</v>
      </c>
      <c r="D175" s="45" t="s">
        <v>207</v>
      </c>
      <c r="E175" s="45" t="s">
        <v>8468</v>
      </c>
      <c r="F175" s="45" t="s">
        <v>40</v>
      </c>
      <c r="G175" s="66">
        <v>4</v>
      </c>
      <c r="H175" s="45" t="s">
        <v>8469</v>
      </c>
      <c r="I175" s="45" t="s">
        <v>271</v>
      </c>
      <c r="J175" s="45" t="s">
        <v>8120</v>
      </c>
      <c r="K175" s="147">
        <v>46218.173564814817</v>
      </c>
      <c r="L175" s="147">
        <v>46218.173564814817</v>
      </c>
      <c r="M175" s="147">
        <v>46218.243414351855</v>
      </c>
      <c r="N175" s="147">
        <v>46218.244270833333</v>
      </c>
      <c r="Q175" s="45" t="s">
        <v>8191</v>
      </c>
      <c r="S175" s="45" t="s">
        <v>8122</v>
      </c>
      <c r="T175" s="45" t="s">
        <v>1519</v>
      </c>
      <c r="U175" s="45" t="s">
        <v>371</v>
      </c>
      <c r="Z175" s="76">
        <f t="shared" ca="1" si="16"/>
        <v>0</v>
      </c>
      <c r="AA175" s="75">
        <f t="shared" ca="1" si="1"/>
        <v>0</v>
      </c>
      <c r="AB175" s="76">
        <f t="shared" ca="1" si="17"/>
        <v>0</v>
      </c>
      <c r="AC175" s="75">
        <f t="shared" ca="1" si="3"/>
        <v>0</v>
      </c>
      <c r="AD175" s="76">
        <f t="shared" ca="1" si="18"/>
        <v>0</v>
      </c>
      <c r="AE175" s="76">
        <f t="shared" ca="1" si="19"/>
        <v>0</v>
      </c>
      <c r="AF175" s="75">
        <f t="shared" ca="1" si="6"/>
        <v>0</v>
      </c>
      <c r="AG175" s="75">
        <f t="shared" ca="1" si="7"/>
        <v>0</v>
      </c>
      <c r="AH175" s="31" t="str" cm="1">
        <f t="array" aca="1" ref="AH175" ca="1">IF((AD175) &lt; (INDEX(ResponseSLA[#All],(MATCH((G175),ResponseSLA[Priority],0))+1,3)),"YES","No")</f>
        <v>YES</v>
      </c>
      <c r="AI175" s="31" t="str">
        <f ca="1">_xlfn.IFNA(IF(AE175 &lt; (INDEX(SLATable[Minimum SLA],MATCH(G175,SLATable[Priority],0))),"YES","NO"),"")</f>
        <v>YES</v>
      </c>
      <c r="AJ175" t="str">
        <f ca="1">_xlfn.IFNA(IF(AE175 &lt; (INDEX(SLATable[Maximum SLA],MATCH(G175,SLATable[Priority],0))),"YES","NO"),"")</f>
        <v>YES</v>
      </c>
    </row>
    <row r="176" spans="1:36" ht="15" customHeight="1">
      <c r="A176" s="45">
        <v>175</v>
      </c>
      <c r="B176" s="45" t="s">
        <v>26</v>
      </c>
      <c r="C176" s="45" t="s">
        <v>41</v>
      </c>
      <c r="D176" s="45" t="s">
        <v>207</v>
      </c>
      <c r="E176" s="45" t="s">
        <v>8470</v>
      </c>
      <c r="F176" s="45" t="s">
        <v>40</v>
      </c>
      <c r="G176" s="66">
        <v>4</v>
      </c>
      <c r="H176" s="45" t="s">
        <v>8471</v>
      </c>
      <c r="I176" s="45" t="s">
        <v>271</v>
      </c>
      <c r="J176" s="45" t="s">
        <v>8120</v>
      </c>
      <c r="K176" s="147">
        <v>46218.90185185185</v>
      </c>
      <c r="L176" s="147">
        <v>46218.903148148151</v>
      </c>
      <c r="M176" s="147">
        <v>46219.247662037036</v>
      </c>
      <c r="N176" s="147">
        <v>46219.24858796296</v>
      </c>
      <c r="Q176" s="45" t="s">
        <v>8191</v>
      </c>
      <c r="S176" s="45" t="s">
        <v>8122</v>
      </c>
      <c r="T176" s="45" t="s">
        <v>1519</v>
      </c>
      <c r="U176" s="45" t="s">
        <v>371</v>
      </c>
      <c r="Z176" s="76">
        <f t="shared" ca="1" si="16"/>
        <v>0</v>
      </c>
      <c r="AA176" s="75">
        <f t="shared" ca="1" si="1"/>
        <v>0</v>
      </c>
      <c r="AB176" s="76">
        <f t="shared" ca="1" si="17"/>
        <v>0</v>
      </c>
      <c r="AC176" s="75">
        <f t="shared" ca="1" si="3"/>
        <v>0</v>
      </c>
      <c r="AD176" s="76">
        <f t="shared" ca="1" si="18"/>
        <v>0</v>
      </c>
      <c r="AE176" s="76">
        <f t="shared" ca="1" si="19"/>
        <v>0</v>
      </c>
      <c r="AF176" s="75">
        <f t="shared" ca="1" si="6"/>
        <v>0</v>
      </c>
      <c r="AG176" s="75">
        <f t="shared" ca="1" si="7"/>
        <v>0</v>
      </c>
      <c r="AH176" s="31" t="str" cm="1">
        <f t="array" aca="1" ref="AH176" ca="1">IF((AD176) &lt; (INDEX(ResponseSLA[#All],(MATCH((G176),ResponseSLA[Priority],0))+1,3)),"YES","No")</f>
        <v>YES</v>
      </c>
      <c r="AI176" s="31" t="str">
        <f ca="1">_xlfn.IFNA(IF(AE176 &lt; (INDEX(SLATable[Minimum SLA],MATCH(G176,SLATable[Priority],0))),"YES","NO"),"")</f>
        <v>YES</v>
      </c>
      <c r="AJ176" t="str">
        <f ca="1">_xlfn.IFNA(IF(AE176 &lt; (INDEX(SLATable[Maximum SLA],MATCH(G176,SLATable[Priority],0))),"YES","NO"),"")</f>
        <v>YES</v>
      </c>
    </row>
    <row r="177" spans="1:36" ht="15" customHeight="1">
      <c r="A177" s="45">
        <v>176</v>
      </c>
      <c r="B177" s="45" t="s">
        <v>26</v>
      </c>
      <c r="C177" s="45" t="s">
        <v>41</v>
      </c>
      <c r="D177" s="45" t="s">
        <v>207</v>
      </c>
      <c r="E177" s="45" t="s">
        <v>8472</v>
      </c>
      <c r="F177" s="45" t="s">
        <v>40</v>
      </c>
      <c r="G177" s="66">
        <v>4</v>
      </c>
      <c r="H177" s="45" t="s">
        <v>8473</v>
      </c>
      <c r="I177" s="45" t="s">
        <v>271</v>
      </c>
      <c r="J177" s="45" t="s">
        <v>8120</v>
      </c>
      <c r="K177" s="147">
        <v>46219.177048611113</v>
      </c>
      <c r="L177" s="147">
        <v>46219.177048611113</v>
      </c>
      <c r="M177" s="147">
        <v>46219.249062499999</v>
      </c>
      <c r="N177" s="147">
        <v>46219.250243055554</v>
      </c>
      <c r="Q177" s="45" t="s">
        <v>8191</v>
      </c>
      <c r="S177" s="45" t="s">
        <v>8122</v>
      </c>
      <c r="T177" s="45" t="s">
        <v>1519</v>
      </c>
      <c r="U177" s="45" t="s">
        <v>371</v>
      </c>
      <c r="Z177" s="76">
        <f t="shared" ca="1" si="16"/>
        <v>0</v>
      </c>
      <c r="AA177" s="75">
        <f t="shared" ca="1" si="1"/>
        <v>0</v>
      </c>
      <c r="AB177" s="76">
        <f t="shared" ca="1" si="17"/>
        <v>0</v>
      </c>
      <c r="AC177" s="75">
        <f t="shared" ca="1" si="3"/>
        <v>0</v>
      </c>
      <c r="AD177" s="76">
        <f t="shared" ca="1" si="18"/>
        <v>0</v>
      </c>
      <c r="AE177" s="76">
        <f t="shared" ca="1" si="19"/>
        <v>0</v>
      </c>
      <c r="AF177" s="75">
        <f t="shared" ca="1" si="6"/>
        <v>0</v>
      </c>
      <c r="AG177" s="75">
        <f t="shared" ca="1" si="7"/>
        <v>0</v>
      </c>
      <c r="AH177" s="31" t="str" cm="1">
        <f t="array" aca="1" ref="AH177" ca="1">IF((AD177) &lt; (INDEX(ResponseSLA[#All],(MATCH((G177),ResponseSLA[Priority],0))+1,3)),"YES","No")</f>
        <v>YES</v>
      </c>
      <c r="AI177" s="31" t="str">
        <f ca="1">_xlfn.IFNA(IF(AE177 &lt; (INDEX(SLATable[Minimum SLA],MATCH(G177,SLATable[Priority],0))),"YES","NO"),"")</f>
        <v>YES</v>
      </c>
      <c r="AJ177" t="str">
        <f ca="1">_xlfn.IFNA(IF(AE177 &lt; (INDEX(SLATable[Maximum SLA],MATCH(G177,SLATable[Priority],0))),"YES","NO"),"")</f>
        <v>YES</v>
      </c>
    </row>
    <row r="178" spans="1:36" ht="15" customHeight="1">
      <c r="A178" s="45">
        <v>177</v>
      </c>
      <c r="B178" s="45" t="s">
        <v>26</v>
      </c>
      <c r="C178" s="45" t="s">
        <v>41</v>
      </c>
      <c r="D178" s="45" t="s">
        <v>207</v>
      </c>
      <c r="E178" s="45" t="s">
        <v>8474</v>
      </c>
      <c r="F178" s="45" t="s">
        <v>40</v>
      </c>
      <c r="G178" s="66">
        <v>3</v>
      </c>
      <c r="H178" s="45" t="s">
        <v>8475</v>
      </c>
      <c r="I178" s="45" t="s">
        <v>271</v>
      </c>
      <c r="J178" s="45" t="s">
        <v>8120</v>
      </c>
      <c r="K178" s="147">
        <v>46218.446273148147</v>
      </c>
      <c r="L178" s="147">
        <v>46218.549467592595</v>
      </c>
      <c r="M178" s="147">
        <v>46219.243402777778</v>
      </c>
      <c r="N178" s="147">
        <v>46219.499884259261</v>
      </c>
      <c r="O178" s="147">
        <v>46219.461840277778</v>
      </c>
      <c r="P178" s="147">
        <v>46219.499884259261</v>
      </c>
      <c r="Q178" s="45" t="s">
        <v>8191</v>
      </c>
      <c r="S178" s="45" t="s">
        <v>8122</v>
      </c>
      <c r="T178" s="45" t="s">
        <v>1455</v>
      </c>
      <c r="U178" s="45" t="s">
        <v>371</v>
      </c>
      <c r="Z178" s="76">
        <f t="shared" ca="1" si="16"/>
        <v>0.39056712963065365</v>
      </c>
      <c r="AA178" s="75">
        <f t="shared" ca="1" si="1"/>
        <v>1.041512345681743</v>
      </c>
      <c r="AB178" s="76">
        <f t="shared" ca="1" si="17"/>
        <v>0.28737268518307246</v>
      </c>
      <c r="AC178" s="75">
        <f t="shared" ca="1" si="3"/>
        <v>0.76632716048819327</v>
      </c>
      <c r="AD178" s="76">
        <f t="shared" ca="1" si="18"/>
        <v>0.15886574073859572</v>
      </c>
      <c r="AE178" s="76">
        <f t="shared" ca="1" si="19"/>
        <v>0.28737268518307246</v>
      </c>
      <c r="AF178" s="75">
        <f t="shared" ca="1" si="6"/>
        <v>0.76632716048819327</v>
      </c>
      <c r="AG178" s="75">
        <f t="shared" ca="1" si="7"/>
        <v>0.76632716048819327</v>
      </c>
      <c r="AH178" s="31" t="str" cm="1">
        <f t="array" aca="1" ref="AH178" ca="1">IF((AD178) &lt; (INDEX(ResponseSLA[#All],(MATCH((G178),ResponseSLA[Priority],0))+1,3)),"YES","No")</f>
        <v>No</v>
      </c>
      <c r="AI178" s="31" t="str">
        <f ca="1">_xlfn.IFNA(IF(AE178 &lt; (INDEX(SLATable[Minimum SLA],MATCH(G178,SLATable[Priority],0))),"YES","NO"),"")</f>
        <v>YES</v>
      </c>
      <c r="AJ178" t="str">
        <f ca="1">_xlfn.IFNA(IF(AE178 &lt; (INDEX(SLATable[Maximum SLA],MATCH(G178,SLATable[Priority],0))),"YES","NO"),"")</f>
        <v>YES</v>
      </c>
    </row>
    <row r="179" spans="1:36" ht="15" customHeight="1">
      <c r="A179" s="45">
        <v>178</v>
      </c>
      <c r="B179" s="45" t="s">
        <v>26</v>
      </c>
      <c r="C179" s="45" t="s">
        <v>41</v>
      </c>
      <c r="D179" s="45" t="s">
        <v>207</v>
      </c>
      <c r="E179" s="45" t="s">
        <v>8476</v>
      </c>
      <c r="F179" s="45" t="s">
        <v>40</v>
      </c>
      <c r="G179" s="66">
        <v>4</v>
      </c>
      <c r="H179" s="45" t="s">
        <v>8477</v>
      </c>
      <c r="I179" s="45" t="s">
        <v>271</v>
      </c>
      <c r="J179" s="45" t="s">
        <v>8120</v>
      </c>
      <c r="K179" s="147">
        <v>46218.347951388889</v>
      </c>
      <c r="L179" s="147">
        <v>46218.347951388889</v>
      </c>
      <c r="M179" s="147">
        <v>46218.414270833331</v>
      </c>
      <c r="N179" s="147">
        <v>46227.460138888891</v>
      </c>
      <c r="O179" s="147">
        <v>46219.460046296299</v>
      </c>
      <c r="P179" s="47">
        <v>46227.460138888891</v>
      </c>
      <c r="Q179" s="45" t="s">
        <v>8191</v>
      </c>
      <c r="S179" s="45" t="s">
        <v>8122</v>
      </c>
      <c r="T179" s="45" t="s">
        <v>1455</v>
      </c>
      <c r="U179" s="45" t="s">
        <v>371</v>
      </c>
      <c r="Z179" s="76">
        <f t="shared" ca="1" si="16"/>
        <v>0.48709490741021</v>
      </c>
      <c r="AA179" s="75">
        <f t="shared" ca="1" si="1"/>
        <v>1.2989197530938934</v>
      </c>
      <c r="AB179" s="76">
        <f t="shared" ca="1" si="17"/>
        <v>0.48709490741021</v>
      </c>
      <c r="AC179" s="75">
        <f t="shared" ca="1" si="3"/>
        <v>1.2989197530938934</v>
      </c>
      <c r="AD179" s="76">
        <f t="shared" ca="1" si="18"/>
        <v>6.6319444442342501E-2</v>
      </c>
      <c r="AE179" s="76">
        <f t="shared" ca="1" si="19"/>
        <v>0.48709490741021</v>
      </c>
      <c r="AF179" s="75">
        <f t="shared" ca="1" si="6"/>
        <v>1.2989197530938934</v>
      </c>
      <c r="AG179" s="75">
        <f t="shared" ca="1" si="7"/>
        <v>1.2989197530938934</v>
      </c>
      <c r="AH179" s="31" t="str" cm="1">
        <f t="array" aca="1" ref="AH179" ca="1">IF((AD179) &lt; (INDEX(ResponseSLA[#All],(MATCH((G179),ResponseSLA[Priority],0))+1,3)),"YES","No")</f>
        <v>YES</v>
      </c>
      <c r="AI179" s="31" t="str">
        <f ca="1">_xlfn.IFNA(IF(AE179 &lt; (INDEX(SLATable[Minimum SLA],MATCH(G179,SLATable[Priority],0))),"YES","NO"),"")</f>
        <v>YES</v>
      </c>
      <c r="AJ179" t="str">
        <f ca="1">_xlfn.IFNA(IF(AE179 &lt; (INDEX(SLATable[Maximum SLA],MATCH(G179,SLATable[Priority],0))),"YES","NO"),"")</f>
        <v>YES</v>
      </c>
    </row>
    <row r="180" spans="1:36" ht="15" customHeight="1">
      <c r="A180" s="45">
        <v>179</v>
      </c>
      <c r="B180" s="45" t="s">
        <v>26</v>
      </c>
      <c r="C180" s="45" t="s">
        <v>41</v>
      </c>
      <c r="D180" s="45" t="s">
        <v>207</v>
      </c>
      <c r="E180" s="45" t="s">
        <v>8478</v>
      </c>
      <c r="F180" s="45" t="s">
        <v>40</v>
      </c>
      <c r="G180" s="66">
        <v>4</v>
      </c>
      <c r="H180" s="45" t="s">
        <v>8479</v>
      </c>
      <c r="I180" s="45" t="s">
        <v>271</v>
      </c>
      <c r="J180" s="45" t="s">
        <v>8120</v>
      </c>
      <c r="K180" s="147">
        <v>46219.902546296296</v>
      </c>
      <c r="L180" s="147">
        <v>46219.903854166667</v>
      </c>
      <c r="M180" s="147">
        <v>46220.225092592591</v>
      </c>
      <c r="N180" s="147">
        <v>46220.226273148146</v>
      </c>
      <c r="Q180" s="45" t="s">
        <v>8191</v>
      </c>
      <c r="S180" s="45" t="s">
        <v>8122</v>
      </c>
      <c r="T180" s="45" t="s">
        <v>1519</v>
      </c>
      <c r="U180" s="45" t="s">
        <v>371</v>
      </c>
      <c r="Z180" s="76">
        <f t="shared" ca="1" si="16"/>
        <v>0</v>
      </c>
      <c r="AA180" s="75">
        <f t="shared" ca="1" si="1"/>
        <v>0</v>
      </c>
      <c r="AB180" s="76">
        <f t="shared" ca="1" si="17"/>
        <v>0</v>
      </c>
      <c r="AC180" s="75">
        <f t="shared" ca="1" si="3"/>
        <v>0</v>
      </c>
      <c r="AD180" s="76">
        <f t="shared" ca="1" si="18"/>
        <v>0</v>
      </c>
      <c r="AE180" s="76">
        <f t="shared" ca="1" si="19"/>
        <v>0</v>
      </c>
      <c r="AF180" s="75">
        <f t="shared" ca="1" si="6"/>
        <v>0</v>
      </c>
      <c r="AG180" s="75">
        <f t="shared" ca="1" si="7"/>
        <v>0</v>
      </c>
      <c r="AH180" s="31" t="str" cm="1">
        <f t="array" aca="1" ref="AH180" ca="1">IF((AD180) &lt; (INDEX(ResponseSLA[#All],(MATCH((G180),ResponseSLA[Priority],0))+1,3)),"YES","No")</f>
        <v>YES</v>
      </c>
      <c r="AI180" s="31" t="str">
        <f ca="1">_xlfn.IFNA(IF(AE180 &lt; (INDEX(SLATable[Minimum SLA],MATCH(G180,SLATable[Priority],0))),"YES","NO"),"")</f>
        <v>YES</v>
      </c>
      <c r="AJ180" t="str">
        <f ca="1">_xlfn.IFNA(IF(AE180 &lt; (INDEX(SLATable[Maximum SLA],MATCH(G180,SLATable[Priority],0))),"YES","NO"),"")</f>
        <v>YES</v>
      </c>
    </row>
    <row r="181" spans="1:36" ht="15" customHeight="1">
      <c r="A181" s="45">
        <v>180</v>
      </c>
      <c r="B181" s="45" t="s">
        <v>26</v>
      </c>
      <c r="C181" s="45" t="s">
        <v>41</v>
      </c>
      <c r="D181" s="45" t="s">
        <v>207</v>
      </c>
      <c r="E181" s="45" t="s">
        <v>8480</v>
      </c>
      <c r="F181" s="45" t="s">
        <v>40</v>
      </c>
      <c r="G181" s="66">
        <v>4</v>
      </c>
      <c r="H181" s="45" t="s">
        <v>8481</v>
      </c>
      <c r="I181" s="45" t="s">
        <v>271</v>
      </c>
      <c r="J181" s="45" t="s">
        <v>8120</v>
      </c>
      <c r="K181" s="147">
        <v>46220.168634259258</v>
      </c>
      <c r="L181" s="147">
        <v>46220.168634259258</v>
      </c>
      <c r="M181" s="147">
        <v>46220.226724537039</v>
      </c>
      <c r="N181" s="147">
        <v>46220.22755787037</v>
      </c>
      <c r="Q181" s="45" t="s">
        <v>8191</v>
      </c>
      <c r="S181" s="45" t="s">
        <v>8122</v>
      </c>
      <c r="T181" s="45" t="s">
        <v>1519</v>
      </c>
      <c r="U181" s="45" t="s">
        <v>371</v>
      </c>
      <c r="Z181" s="76">
        <f t="shared" ca="1" si="16"/>
        <v>0</v>
      </c>
      <c r="AA181" s="75">
        <f t="shared" ca="1" si="1"/>
        <v>0</v>
      </c>
      <c r="AB181" s="76">
        <f t="shared" ca="1" si="17"/>
        <v>0</v>
      </c>
      <c r="AC181" s="75">
        <f t="shared" ca="1" si="3"/>
        <v>0</v>
      </c>
      <c r="AD181" s="76">
        <f t="shared" ca="1" si="18"/>
        <v>0</v>
      </c>
      <c r="AE181" s="76">
        <f t="shared" ca="1" si="19"/>
        <v>0</v>
      </c>
      <c r="AF181" s="75">
        <f t="shared" ca="1" si="6"/>
        <v>0</v>
      </c>
      <c r="AG181" s="75">
        <f t="shared" ca="1" si="7"/>
        <v>0</v>
      </c>
      <c r="AH181" s="31" t="str" cm="1">
        <f t="array" aca="1" ref="AH181" ca="1">IF((AD181) &lt; (INDEX(ResponseSLA[#All],(MATCH((G181),ResponseSLA[Priority],0))+1,3)),"YES","No")</f>
        <v>YES</v>
      </c>
      <c r="AI181" s="31" t="str">
        <f ca="1">_xlfn.IFNA(IF(AE181 &lt; (INDEX(SLATable[Minimum SLA],MATCH(G181,SLATable[Priority],0))),"YES","NO"),"")</f>
        <v>YES</v>
      </c>
      <c r="AJ181" t="str">
        <f ca="1">_xlfn.IFNA(IF(AE181 &lt; (INDEX(SLATable[Maximum SLA],MATCH(G181,SLATable[Priority],0))),"YES","NO"),"")</f>
        <v>YES</v>
      </c>
    </row>
    <row r="182" spans="1:36" ht="15" customHeight="1">
      <c r="A182" s="45">
        <v>181</v>
      </c>
      <c r="B182" s="45" t="s">
        <v>26</v>
      </c>
      <c r="C182" s="45" t="s">
        <v>41</v>
      </c>
      <c r="D182" s="45" t="s">
        <v>207</v>
      </c>
      <c r="E182" s="45" t="s">
        <v>8482</v>
      </c>
      <c r="F182" s="45" t="s">
        <v>40</v>
      </c>
      <c r="G182" s="66">
        <v>4</v>
      </c>
      <c r="H182" s="45" t="s">
        <v>8483</v>
      </c>
      <c r="I182" s="45" t="s">
        <v>271</v>
      </c>
      <c r="J182" s="45" t="s">
        <v>8120</v>
      </c>
      <c r="K182" s="147">
        <v>46220.902581018519</v>
      </c>
      <c r="L182" s="147">
        <v>46220.909212962964</v>
      </c>
      <c r="M182" s="147">
        <v>46223.260474537034</v>
      </c>
      <c r="N182" s="147">
        <v>46223.263159722221</v>
      </c>
      <c r="Q182" s="45" t="s">
        <v>8191</v>
      </c>
      <c r="S182" s="45" t="s">
        <v>8122</v>
      </c>
      <c r="T182" s="45" t="s">
        <v>1519</v>
      </c>
      <c r="U182" s="45" t="s">
        <v>371</v>
      </c>
      <c r="Z182" s="76">
        <f t="shared" ca="1" si="16"/>
        <v>0</v>
      </c>
      <c r="AA182" s="75">
        <f t="shared" ca="1" si="1"/>
        <v>0</v>
      </c>
      <c r="AB182" s="76">
        <f t="shared" ca="1" si="17"/>
        <v>0</v>
      </c>
      <c r="AC182" s="75">
        <f t="shared" ca="1" si="3"/>
        <v>0</v>
      </c>
      <c r="AD182" s="76">
        <f t="shared" ca="1" si="18"/>
        <v>0</v>
      </c>
      <c r="AE182" s="76">
        <f t="shared" ca="1" si="19"/>
        <v>0</v>
      </c>
      <c r="AF182" s="75">
        <f t="shared" ca="1" si="6"/>
        <v>0</v>
      </c>
      <c r="AG182" s="75">
        <f t="shared" ca="1" si="7"/>
        <v>0</v>
      </c>
      <c r="AH182" s="31" t="str" cm="1">
        <f t="array" aca="1" ref="AH182" ca="1">IF((AD182) &lt; (INDEX(ResponseSLA[#All],(MATCH((G182),ResponseSLA[Priority],0))+1,3)),"YES","No")</f>
        <v>YES</v>
      </c>
      <c r="AI182" s="31" t="str">
        <f ca="1">_xlfn.IFNA(IF(AE182 &lt; (INDEX(SLATable[Minimum SLA],MATCH(G182,SLATable[Priority],0))),"YES","NO"),"")</f>
        <v>YES</v>
      </c>
      <c r="AJ182" t="str">
        <f ca="1">_xlfn.IFNA(IF(AE182 &lt; (INDEX(SLATable[Maximum SLA],MATCH(G182,SLATable[Priority],0))),"YES","NO"),"")</f>
        <v>YES</v>
      </c>
    </row>
    <row r="183" spans="1:36" ht="15" customHeight="1">
      <c r="A183" s="45">
        <v>182</v>
      </c>
      <c r="B183" s="45" t="s">
        <v>26</v>
      </c>
      <c r="C183" s="45" t="s">
        <v>41</v>
      </c>
      <c r="D183" s="45" t="s">
        <v>207</v>
      </c>
      <c r="E183" s="45" t="s">
        <v>8484</v>
      </c>
      <c r="F183" s="45" t="s">
        <v>40</v>
      </c>
      <c r="G183" s="66">
        <v>4</v>
      </c>
      <c r="H183" s="45" t="s">
        <v>8485</v>
      </c>
      <c r="I183" s="45" t="s">
        <v>271</v>
      </c>
      <c r="J183" s="45" t="s">
        <v>8120</v>
      </c>
      <c r="K183" s="147">
        <v>46223.173807870371</v>
      </c>
      <c r="L183" s="147">
        <v>46223.182025462964</v>
      </c>
      <c r="M183" s="147">
        <v>46223.263692129629</v>
      </c>
      <c r="N183" s="147">
        <v>46223.266041666669</v>
      </c>
      <c r="Q183" s="45" t="s">
        <v>8191</v>
      </c>
      <c r="S183" s="45" t="s">
        <v>8122</v>
      </c>
      <c r="T183" s="45" t="s">
        <v>1519</v>
      </c>
      <c r="U183" s="45" t="s">
        <v>371</v>
      </c>
      <c r="Z183" s="76">
        <f t="shared" ca="1" si="16"/>
        <v>0</v>
      </c>
      <c r="AA183" s="75">
        <f t="shared" ca="1" si="1"/>
        <v>0</v>
      </c>
      <c r="AB183" s="76">
        <f t="shared" ca="1" si="17"/>
        <v>0</v>
      </c>
      <c r="AC183" s="75">
        <f t="shared" ca="1" si="3"/>
        <v>0</v>
      </c>
      <c r="AD183" s="76">
        <f t="shared" ca="1" si="18"/>
        <v>0</v>
      </c>
      <c r="AE183" s="76">
        <f t="shared" ca="1" si="19"/>
        <v>0</v>
      </c>
      <c r="AF183" s="75">
        <f t="shared" ca="1" si="6"/>
        <v>0</v>
      </c>
      <c r="AG183" s="75">
        <f t="shared" ca="1" si="7"/>
        <v>0</v>
      </c>
      <c r="AH183" s="31" t="str" cm="1">
        <f t="array" aca="1" ref="AH183" ca="1">IF((AD183) &lt; (INDEX(ResponseSLA[#All],(MATCH((G183),ResponseSLA[Priority],0))+1,3)),"YES","No")</f>
        <v>YES</v>
      </c>
      <c r="AI183" s="31" t="str">
        <f ca="1">_xlfn.IFNA(IF(AE183 &lt; (INDEX(SLATable[Minimum SLA],MATCH(G183,SLATable[Priority],0))),"YES","NO"),"")</f>
        <v>YES</v>
      </c>
      <c r="AJ183" t="str">
        <f ca="1">_xlfn.IFNA(IF(AE183 &lt; (INDEX(SLATable[Maximum SLA],MATCH(G183,SLATable[Priority],0))),"YES","NO"),"")</f>
        <v>YES</v>
      </c>
    </row>
    <row r="184" spans="1:36" ht="15" customHeight="1">
      <c r="A184" s="45">
        <v>183</v>
      </c>
      <c r="B184" s="45" t="s">
        <v>26</v>
      </c>
      <c r="C184" s="45" t="s">
        <v>41</v>
      </c>
      <c r="D184" s="45" t="s">
        <v>207</v>
      </c>
      <c r="E184" s="45" t="s">
        <v>8486</v>
      </c>
      <c r="F184" s="45" t="s">
        <v>40</v>
      </c>
      <c r="G184" s="66">
        <v>4</v>
      </c>
      <c r="H184" s="45" t="s">
        <v>8487</v>
      </c>
      <c r="I184" s="45" t="s">
        <v>271</v>
      </c>
      <c r="J184" s="45" t="s">
        <v>8120</v>
      </c>
      <c r="K184" s="147">
        <v>46223.491793981484</v>
      </c>
      <c r="L184" s="147">
        <v>46223.491793981484</v>
      </c>
      <c r="M184" s="147">
        <v>46223.551296296297</v>
      </c>
      <c r="N184" s="147">
        <v>46223.553055555552</v>
      </c>
      <c r="Q184" s="45" t="s">
        <v>8191</v>
      </c>
      <c r="S184" s="45" t="s">
        <v>8122</v>
      </c>
      <c r="T184" s="45" t="s">
        <v>1519</v>
      </c>
      <c r="U184" s="45" t="s">
        <v>371</v>
      </c>
      <c r="Z184" s="76">
        <f t="shared" ca="1" si="16"/>
        <v>6.1261574068339542E-2</v>
      </c>
      <c r="AA184" s="75">
        <f t="shared" ca="1" si="1"/>
        <v>0.1633641975155721</v>
      </c>
      <c r="AB184" s="76">
        <f t="shared" ca="1" si="17"/>
        <v>6.1261574068339542E-2</v>
      </c>
      <c r="AC184" s="75">
        <f t="shared" ca="1" si="3"/>
        <v>0.1633641975155721</v>
      </c>
      <c r="AD184" s="76">
        <f t="shared" ca="1" si="18"/>
        <v>5.9502314812561963E-2</v>
      </c>
      <c r="AE184" s="76">
        <f t="shared" ca="1" si="19"/>
        <v>6.1261574068339542E-2</v>
      </c>
      <c r="AF184" s="75">
        <f t="shared" ca="1" si="6"/>
        <v>0.1633641975155721</v>
      </c>
      <c r="AG184" s="75">
        <f t="shared" ca="1" si="7"/>
        <v>0.1633641975155721</v>
      </c>
      <c r="AH184" s="31" t="str" cm="1">
        <f t="array" aca="1" ref="AH184" ca="1">IF((AD184) &lt; (INDEX(ResponseSLA[#All],(MATCH((G184),ResponseSLA[Priority],0))+1,3)),"YES","No")</f>
        <v>YES</v>
      </c>
      <c r="AI184" s="31" t="str">
        <f ca="1">_xlfn.IFNA(IF(AE184 &lt; (INDEX(SLATable[Minimum SLA],MATCH(G184,SLATable[Priority],0))),"YES","NO"),"")</f>
        <v>YES</v>
      </c>
      <c r="AJ184" t="str">
        <f ca="1">_xlfn.IFNA(IF(AE184 &lt; (INDEX(SLATable[Maximum SLA],MATCH(G184,SLATable[Priority],0))),"YES","NO"),"")</f>
        <v>YES</v>
      </c>
    </row>
    <row r="185" spans="1:36" ht="15" customHeight="1">
      <c r="A185" s="45">
        <v>184</v>
      </c>
      <c r="B185" s="45" t="s">
        <v>26</v>
      </c>
      <c r="C185" s="45" t="s">
        <v>41</v>
      </c>
      <c r="D185" s="45" t="s">
        <v>207</v>
      </c>
      <c r="E185" s="45" t="s">
        <v>8488</v>
      </c>
      <c r="F185" s="45" t="s">
        <v>40</v>
      </c>
      <c r="G185" s="66">
        <v>4</v>
      </c>
      <c r="H185" s="45" t="s">
        <v>8489</v>
      </c>
      <c r="I185" s="45" t="s">
        <v>271</v>
      </c>
      <c r="J185" s="45" t="s">
        <v>8120</v>
      </c>
      <c r="K185" s="147">
        <v>46223.481435185182</v>
      </c>
      <c r="L185" s="147">
        <v>46223.481435185182</v>
      </c>
      <c r="M185" s="147">
        <v>46223.482557870368</v>
      </c>
      <c r="N185" s="147">
        <v>46223.488391203704</v>
      </c>
      <c r="Q185" s="45" t="s">
        <v>8191</v>
      </c>
      <c r="S185" s="45" t="s">
        <v>8122</v>
      </c>
      <c r="T185" s="45" t="s">
        <v>1519</v>
      </c>
      <c r="U185" s="45" t="s">
        <v>371</v>
      </c>
      <c r="Z185" s="76">
        <f t="shared" ca="1" si="16"/>
        <v>6.9560185220325366E-3</v>
      </c>
      <c r="AA185" s="75">
        <f t="shared" ca="1" si="1"/>
        <v>1.8549382725420099E-2</v>
      </c>
      <c r="AB185" s="76">
        <f t="shared" ca="1" si="17"/>
        <v>6.9560185220325366E-3</v>
      </c>
      <c r="AC185" s="75">
        <f t="shared" ca="1" si="3"/>
        <v>1.8549382725420099E-2</v>
      </c>
      <c r="AD185" s="76">
        <f t="shared" ca="1" si="18"/>
        <v>1.1226851856918074E-3</v>
      </c>
      <c r="AE185" s="76">
        <f t="shared" ca="1" si="19"/>
        <v>6.9560185220325366E-3</v>
      </c>
      <c r="AF185" s="75">
        <f t="shared" ca="1" si="6"/>
        <v>1.8549382725420099E-2</v>
      </c>
      <c r="AG185" s="75">
        <f t="shared" ca="1" si="7"/>
        <v>1.8549382725420099E-2</v>
      </c>
      <c r="AH185" s="31" t="str" cm="1">
        <f t="array" aca="1" ref="AH185" ca="1">IF((AD185) &lt; (INDEX(ResponseSLA[#All],(MATCH((G185),ResponseSLA[Priority],0))+1,3)),"YES","No")</f>
        <v>YES</v>
      </c>
      <c r="AI185" s="31" t="str">
        <f ca="1">_xlfn.IFNA(IF(AE185 &lt; (INDEX(SLATable[Minimum SLA],MATCH(G185,SLATable[Priority],0))),"YES","NO"),"")</f>
        <v>YES</v>
      </c>
      <c r="AJ185" t="str">
        <f ca="1">_xlfn.IFNA(IF(AE185 &lt; (INDEX(SLATable[Maximum SLA],MATCH(G185,SLATable[Priority],0))),"YES","NO"),"")</f>
        <v>YES</v>
      </c>
    </row>
    <row r="186" spans="1:36" ht="15" customHeight="1">
      <c r="A186" s="45">
        <v>185</v>
      </c>
      <c r="B186" s="45" t="s">
        <v>26</v>
      </c>
      <c r="C186" s="45" t="s">
        <v>41</v>
      </c>
      <c r="D186" s="45" t="s">
        <v>207</v>
      </c>
      <c r="E186" s="45" t="s">
        <v>8490</v>
      </c>
      <c r="F186" s="45" t="s">
        <v>40</v>
      </c>
      <c r="G186" s="66">
        <v>4</v>
      </c>
      <c r="H186" s="45" t="s">
        <v>8491</v>
      </c>
      <c r="I186" s="45" t="s">
        <v>271</v>
      </c>
      <c r="J186" s="45" t="s">
        <v>8120</v>
      </c>
      <c r="K186" s="147">
        <v>46223.906053240738</v>
      </c>
      <c r="L186" s="147">
        <v>46223.906053240738</v>
      </c>
      <c r="M186" s="147">
        <v>46224.222627314812</v>
      </c>
      <c r="N186" s="147">
        <v>46224.22383101852</v>
      </c>
      <c r="Q186" s="45" t="s">
        <v>8191</v>
      </c>
      <c r="S186" s="45" t="s">
        <v>8122</v>
      </c>
      <c r="T186" s="45" t="s">
        <v>1519</v>
      </c>
      <c r="U186" s="45" t="s">
        <v>371</v>
      </c>
      <c r="Z186" s="76">
        <f t="shared" ca="1" si="16"/>
        <v>0</v>
      </c>
      <c r="AA186" s="75">
        <f t="shared" ca="1" si="1"/>
        <v>0</v>
      </c>
      <c r="AB186" s="76">
        <f t="shared" ca="1" si="17"/>
        <v>0</v>
      </c>
      <c r="AC186" s="75">
        <f t="shared" ca="1" si="3"/>
        <v>0</v>
      </c>
      <c r="AD186" s="76">
        <f t="shared" ca="1" si="18"/>
        <v>0</v>
      </c>
      <c r="AE186" s="76">
        <f t="shared" ca="1" si="19"/>
        <v>0</v>
      </c>
      <c r="AF186" s="75">
        <f t="shared" ca="1" si="6"/>
        <v>0</v>
      </c>
      <c r="AG186" s="75">
        <f t="shared" ca="1" si="7"/>
        <v>0</v>
      </c>
      <c r="AH186" s="31" t="str" cm="1">
        <f t="array" aca="1" ref="AH186" ca="1">IF((AD186) &lt; (INDEX(ResponseSLA[#All],(MATCH((G186),ResponseSLA[Priority],0))+1,3)),"YES","No")</f>
        <v>YES</v>
      </c>
      <c r="AI186" s="31" t="str">
        <f ca="1">_xlfn.IFNA(IF(AE186 &lt; (INDEX(SLATable[Minimum SLA],MATCH(G186,SLATable[Priority],0))),"YES","NO"),"")</f>
        <v>YES</v>
      </c>
      <c r="AJ186" t="str">
        <f ca="1">_xlfn.IFNA(IF(AE186 &lt; (INDEX(SLATable[Maximum SLA],MATCH(G186,SLATable[Priority],0))),"YES","NO"),"")</f>
        <v>YES</v>
      </c>
    </row>
    <row r="187" spans="1:36" ht="15" customHeight="1">
      <c r="A187" s="45">
        <v>186</v>
      </c>
      <c r="B187" s="45" t="s">
        <v>26</v>
      </c>
      <c r="C187" s="45" t="s">
        <v>41</v>
      </c>
      <c r="D187" s="45" t="s">
        <v>207</v>
      </c>
      <c r="E187" s="45" t="s">
        <v>8492</v>
      </c>
      <c r="F187" s="45" t="s">
        <v>40</v>
      </c>
      <c r="G187" s="66">
        <v>4</v>
      </c>
      <c r="H187" s="45" t="s">
        <v>8493</v>
      </c>
      <c r="I187" s="45" t="s">
        <v>271</v>
      </c>
      <c r="J187" s="45" t="s">
        <v>8199</v>
      </c>
      <c r="K187" s="147">
        <v>46223.911724537036</v>
      </c>
      <c r="L187" s="147">
        <v>46223.911724537036</v>
      </c>
      <c r="M187" s="147">
        <v>46224.224351851852</v>
      </c>
      <c r="N187" s="147">
        <v>46224.254953703705</v>
      </c>
      <c r="Q187" s="45" t="s">
        <v>8191</v>
      </c>
      <c r="S187" s="45" t="s">
        <v>8122</v>
      </c>
      <c r="T187" s="45" t="s">
        <v>1519</v>
      </c>
      <c r="U187" s="45" t="s">
        <v>371</v>
      </c>
      <c r="Z187" s="76">
        <f t="shared" ca="1" si="16"/>
        <v>0</v>
      </c>
      <c r="AA187" s="75">
        <f t="shared" ca="1" si="1"/>
        <v>0</v>
      </c>
      <c r="AB187" s="76">
        <f t="shared" ca="1" si="17"/>
        <v>0</v>
      </c>
      <c r="AC187" s="75">
        <f t="shared" ca="1" si="3"/>
        <v>0</v>
      </c>
      <c r="AD187" s="76">
        <f t="shared" ca="1" si="18"/>
        <v>0</v>
      </c>
      <c r="AE187" s="76">
        <f t="shared" ca="1" si="19"/>
        <v>0</v>
      </c>
      <c r="AF187" s="75">
        <f t="shared" ca="1" si="6"/>
        <v>0</v>
      </c>
      <c r="AG187" s="75">
        <f t="shared" ca="1" si="7"/>
        <v>0</v>
      </c>
      <c r="AH187" s="31" t="str" cm="1">
        <f t="array" aca="1" ref="AH187" ca="1">IF((AD187) &lt; (INDEX(ResponseSLA[#All],(MATCH((G187),ResponseSLA[Priority],0))+1,3)),"YES","No")</f>
        <v>YES</v>
      </c>
      <c r="AI187" s="31" t="str">
        <f ca="1">_xlfn.IFNA(IF(AE187 &lt; (INDEX(SLATable[Minimum SLA],MATCH(G187,SLATable[Priority],0))),"YES","NO"),"")</f>
        <v>YES</v>
      </c>
      <c r="AJ187" t="str">
        <f ca="1">_xlfn.IFNA(IF(AE187 &lt; (INDEX(SLATable[Maximum SLA],MATCH(G187,SLATable[Priority],0))),"YES","NO"),"")</f>
        <v>YES</v>
      </c>
    </row>
    <row r="188" spans="1:36" ht="15" customHeight="1">
      <c r="A188" s="45">
        <v>187</v>
      </c>
      <c r="B188" s="45" t="s">
        <v>26</v>
      </c>
      <c r="C188" s="45" t="s">
        <v>41</v>
      </c>
      <c r="D188" s="45" t="s">
        <v>207</v>
      </c>
      <c r="E188" s="45" t="s">
        <v>8494</v>
      </c>
      <c r="F188" s="45" t="s">
        <v>40</v>
      </c>
      <c r="G188" s="66">
        <v>4</v>
      </c>
      <c r="H188" s="45" t="s">
        <v>8495</v>
      </c>
      <c r="I188" s="45" t="s">
        <v>271</v>
      </c>
      <c r="J188" s="45" t="s">
        <v>8199</v>
      </c>
      <c r="K188" s="147">
        <v>46223.906076388892</v>
      </c>
      <c r="L188" s="147">
        <v>46223.906076388892</v>
      </c>
      <c r="M188" s="147">
        <v>46224.224178240744</v>
      </c>
      <c r="N188" s="147">
        <v>46224.255300925928</v>
      </c>
      <c r="Q188" s="45" t="s">
        <v>8191</v>
      </c>
      <c r="S188" s="45" t="s">
        <v>8122</v>
      </c>
      <c r="T188" s="45" t="s">
        <v>1519</v>
      </c>
      <c r="U188" s="45" t="s">
        <v>371</v>
      </c>
      <c r="Z188" s="76">
        <f t="shared" ca="1" si="16"/>
        <v>0</v>
      </c>
      <c r="AA188" s="75">
        <f t="shared" ca="1" si="1"/>
        <v>0</v>
      </c>
      <c r="AB188" s="76">
        <f t="shared" ca="1" si="17"/>
        <v>0</v>
      </c>
      <c r="AC188" s="75">
        <f t="shared" ca="1" si="3"/>
        <v>0</v>
      </c>
      <c r="AD188" s="76">
        <f t="shared" ca="1" si="18"/>
        <v>0</v>
      </c>
      <c r="AE188" s="76">
        <f t="shared" ca="1" si="19"/>
        <v>0</v>
      </c>
      <c r="AF188" s="75">
        <f t="shared" ca="1" si="6"/>
        <v>0</v>
      </c>
      <c r="AG188" s="75">
        <f t="shared" ca="1" si="7"/>
        <v>0</v>
      </c>
      <c r="AH188" s="31" t="str" cm="1">
        <f t="array" aca="1" ref="AH188" ca="1">IF((AD188) &lt; (INDEX(ResponseSLA[#All],(MATCH((G188),ResponseSLA[Priority],0))+1,3)),"YES","No")</f>
        <v>YES</v>
      </c>
      <c r="AI188" s="31" t="str">
        <f ca="1">_xlfn.IFNA(IF(AE188 &lt; (INDEX(SLATable[Minimum SLA],MATCH(G188,SLATable[Priority],0))),"YES","NO"),"")</f>
        <v>YES</v>
      </c>
      <c r="AJ188" t="str">
        <f ca="1">_xlfn.IFNA(IF(AE188 &lt; (INDEX(SLATable[Maximum SLA],MATCH(G188,SLATable[Priority],0))),"YES","NO"),"")</f>
        <v>YES</v>
      </c>
    </row>
    <row r="189" spans="1:36" ht="15" customHeight="1">
      <c r="A189" s="45">
        <v>188</v>
      </c>
      <c r="B189" s="45" t="s">
        <v>26</v>
      </c>
      <c r="C189" s="45" t="s">
        <v>41</v>
      </c>
      <c r="D189" s="45" t="s">
        <v>207</v>
      </c>
      <c r="E189" s="45" t="s">
        <v>8496</v>
      </c>
      <c r="F189" s="45" t="s">
        <v>40</v>
      </c>
      <c r="G189" s="66">
        <v>4</v>
      </c>
      <c r="H189" s="45" t="s">
        <v>8497</v>
      </c>
      <c r="I189" s="45" t="s">
        <v>271</v>
      </c>
      <c r="J189" s="45" t="s">
        <v>8120</v>
      </c>
      <c r="K189" s="147">
        <v>46221.374583333331</v>
      </c>
      <c r="L189" s="147">
        <v>46223.603541666664</v>
      </c>
      <c r="M189" s="147">
        <v>46224.220856481479</v>
      </c>
      <c r="N189" s="147">
        <v>46232.58730324074</v>
      </c>
      <c r="O189" s="147">
        <v>46224.486134259256</v>
      </c>
      <c r="P189" s="147">
        <v>46232.58730324074</v>
      </c>
      <c r="Q189" s="45" t="s">
        <v>8191</v>
      </c>
      <c r="S189" s="45" t="s">
        <v>8122</v>
      </c>
      <c r="T189" s="45" t="s">
        <v>1455</v>
      </c>
      <c r="U189" s="45" t="s">
        <v>371</v>
      </c>
      <c r="Z189" s="76">
        <f t="shared" ca="1" si="16"/>
        <v>0.5278009259224441</v>
      </c>
      <c r="AA189" s="75">
        <f t="shared" ca="1" si="1"/>
        <v>1.4074691357931843</v>
      </c>
      <c r="AB189" s="76">
        <f t="shared" ca="1" si="17"/>
        <v>0.25759259259211831</v>
      </c>
      <c r="AC189" s="75">
        <f t="shared" ca="1" si="3"/>
        <v>0.68691358024564886</v>
      </c>
      <c r="AD189" s="76">
        <f t="shared" ca="1" si="18"/>
        <v>0.1047916666696741</v>
      </c>
      <c r="AE189" s="76">
        <f t="shared" ca="1" si="19"/>
        <v>0.25759259259211831</v>
      </c>
      <c r="AF189" s="75">
        <f t="shared" ca="1" si="6"/>
        <v>0.68691358024564886</v>
      </c>
      <c r="AG189" s="75">
        <f t="shared" ca="1" si="7"/>
        <v>0.68691358024564886</v>
      </c>
      <c r="AH189" s="31" t="str" cm="1">
        <f t="array" aca="1" ref="AH189" ca="1">IF((AD189) &lt; (INDEX(ResponseSLA[#All],(MATCH((G189),ResponseSLA[Priority],0))+1,3)),"YES","No")</f>
        <v>YES</v>
      </c>
      <c r="AI189" s="31" t="str">
        <f ca="1">_xlfn.IFNA(IF(AE189 &lt; (INDEX(SLATable[Minimum SLA],MATCH(G189,SLATable[Priority],0))),"YES","NO"),"")</f>
        <v>YES</v>
      </c>
      <c r="AJ189" t="str">
        <f ca="1">_xlfn.IFNA(IF(AE189 &lt; (INDEX(SLATable[Maximum SLA],MATCH(G189,SLATable[Priority],0))),"YES","NO"),"")</f>
        <v>YES</v>
      </c>
    </row>
    <row r="190" spans="1:36" ht="15" customHeight="1">
      <c r="A190" s="45">
        <v>189</v>
      </c>
      <c r="B190" s="45" t="s">
        <v>26</v>
      </c>
      <c r="C190" s="45" t="s">
        <v>41</v>
      </c>
      <c r="D190" s="45" t="s">
        <v>207</v>
      </c>
      <c r="E190" s="45" t="s">
        <v>8498</v>
      </c>
      <c r="F190" s="45" t="s">
        <v>40</v>
      </c>
      <c r="G190" s="66">
        <v>4</v>
      </c>
      <c r="H190" s="45" t="s">
        <v>8499</v>
      </c>
      <c r="I190" s="45" t="s">
        <v>3073</v>
      </c>
      <c r="J190" s="45" t="s">
        <v>8120</v>
      </c>
      <c r="K190" s="147">
        <v>46222.588310185187</v>
      </c>
      <c r="L190" s="147">
        <v>46224.444212962961</v>
      </c>
      <c r="M190" s="147">
        <v>46224.44940972222</v>
      </c>
      <c r="N190" s="147">
        <v>46232.487673611111</v>
      </c>
      <c r="O190" s="147">
        <v>46224.487013888887</v>
      </c>
      <c r="P190" s="147">
        <v>46232.487673611111</v>
      </c>
      <c r="Q190" s="45" t="s">
        <v>8191</v>
      </c>
      <c r="S190" s="45" t="s">
        <v>8122</v>
      </c>
      <c r="T190" s="45" t="s">
        <v>1455</v>
      </c>
      <c r="U190" s="45" t="s">
        <v>371</v>
      </c>
      <c r="Z190" s="76">
        <f t="shared" ca="1" si="16"/>
        <v>0.52868055555397087</v>
      </c>
      <c r="AA190" s="75">
        <f t="shared" ca="1" si="1"/>
        <v>1.4098148148105889</v>
      </c>
      <c r="AB190" s="76">
        <f t="shared" ca="1" si="17"/>
        <v>4.2800925926712807E-2</v>
      </c>
      <c r="AC190" s="75">
        <f t="shared" ca="1" si="3"/>
        <v>0.11413580247123416</v>
      </c>
      <c r="AD190" s="76">
        <f t="shared" ca="1" si="18"/>
        <v>5.1967592589790002E-3</v>
      </c>
      <c r="AE190" s="76">
        <f t="shared" ca="1" si="19"/>
        <v>4.2800925926712807E-2</v>
      </c>
      <c r="AF190" s="75">
        <f t="shared" ca="1" si="6"/>
        <v>0.11413580247123416</v>
      </c>
      <c r="AG190" s="75">
        <f t="shared" ca="1" si="7"/>
        <v>0.11413580247123416</v>
      </c>
      <c r="AH190" s="31" t="str" cm="1">
        <f t="array" aca="1" ref="AH190" ca="1">IF((AD190) &lt; (INDEX(ResponseSLA[#All],(MATCH((G190),ResponseSLA[Priority],0))+1,3)),"YES","No")</f>
        <v>YES</v>
      </c>
      <c r="AI190" s="31" t="str">
        <f ca="1">_xlfn.IFNA(IF(AE190 &lt; (INDEX(SLATable[Minimum SLA],MATCH(G190,SLATable[Priority],0))),"YES","NO"),"")</f>
        <v>YES</v>
      </c>
      <c r="AJ190" t="str">
        <f ca="1">_xlfn.IFNA(IF(AE190 &lt; (INDEX(SLATable[Maximum SLA],MATCH(G190,SLATable[Priority],0))),"YES","NO"),"")</f>
        <v>YES</v>
      </c>
    </row>
    <row r="191" spans="1:36" ht="15" customHeight="1">
      <c r="A191" s="45">
        <v>190</v>
      </c>
      <c r="B191" s="45" t="s">
        <v>26</v>
      </c>
      <c r="C191" s="45" t="s">
        <v>41</v>
      </c>
      <c r="D191" s="45" t="s">
        <v>207</v>
      </c>
      <c r="E191" s="45" t="s">
        <v>8500</v>
      </c>
      <c r="F191" s="45" t="s">
        <v>40</v>
      </c>
      <c r="G191" s="66">
        <v>4</v>
      </c>
      <c r="H191" s="45" t="s">
        <v>8501</v>
      </c>
      <c r="I191" s="45" t="s">
        <v>271</v>
      </c>
      <c r="J191" s="45" t="s">
        <v>8120</v>
      </c>
      <c r="K191" s="147">
        <v>46224.906840277778</v>
      </c>
      <c r="L191" s="147">
        <v>46224.906840277778</v>
      </c>
      <c r="M191" s="147">
        <v>46225.304525462961</v>
      </c>
      <c r="N191" s="147">
        <v>46225.306180555555</v>
      </c>
      <c r="Q191" s="45" t="s">
        <v>8191</v>
      </c>
      <c r="S191" s="45" t="s">
        <v>8122</v>
      </c>
      <c r="T191" s="45" t="s">
        <v>1455</v>
      </c>
      <c r="U191" s="45" t="s">
        <v>371</v>
      </c>
      <c r="Z191" s="76">
        <f t="shared" ca="1" si="16"/>
        <v>0</v>
      </c>
      <c r="AA191" s="75">
        <f t="shared" ca="1" si="1"/>
        <v>0</v>
      </c>
      <c r="AB191" s="76">
        <f t="shared" ca="1" si="17"/>
        <v>0</v>
      </c>
      <c r="AC191" s="75">
        <f t="shared" ca="1" si="3"/>
        <v>0</v>
      </c>
      <c r="AD191" s="76">
        <f t="shared" ca="1" si="18"/>
        <v>0</v>
      </c>
      <c r="AE191" s="76">
        <f t="shared" ca="1" si="19"/>
        <v>0</v>
      </c>
      <c r="AF191" s="75">
        <f t="shared" ca="1" si="6"/>
        <v>0</v>
      </c>
      <c r="AG191" s="75">
        <f t="shared" ca="1" si="7"/>
        <v>0</v>
      </c>
      <c r="AH191" s="31" t="str" cm="1">
        <f t="array" aca="1" ref="AH191" ca="1">IF((AD191) &lt; (INDEX(ResponseSLA[#All],(MATCH((G191),ResponseSLA[Priority],0))+1,3)),"YES","No")</f>
        <v>YES</v>
      </c>
      <c r="AI191" s="31" t="str">
        <f ca="1">_xlfn.IFNA(IF(AE191 &lt; (INDEX(SLATable[Minimum SLA],MATCH(G191,SLATable[Priority],0))),"YES","NO"),"")</f>
        <v>YES</v>
      </c>
      <c r="AJ191" t="str">
        <f ca="1">_xlfn.IFNA(IF(AE191 &lt; (INDEX(SLATable[Maximum SLA],MATCH(G191,SLATable[Priority],0))),"YES","NO"),"")</f>
        <v>YES</v>
      </c>
    </row>
    <row r="192" spans="1:36" ht="15" customHeight="1">
      <c r="A192" s="45">
        <v>191</v>
      </c>
      <c r="B192" s="45" t="s">
        <v>26</v>
      </c>
      <c r="C192" s="45" t="s">
        <v>41</v>
      </c>
      <c r="D192" s="45" t="s">
        <v>207</v>
      </c>
      <c r="E192" s="45" t="s">
        <v>8502</v>
      </c>
      <c r="F192" s="45" t="s">
        <v>40</v>
      </c>
      <c r="G192" s="66">
        <v>4</v>
      </c>
      <c r="H192" s="45" t="s">
        <v>8503</v>
      </c>
      <c r="I192" s="45" t="s">
        <v>271</v>
      </c>
      <c r="J192" s="45" t="s">
        <v>8120</v>
      </c>
      <c r="K192" s="147">
        <v>46225.90729166667</v>
      </c>
      <c r="L192" s="147">
        <v>46225.90729166667</v>
      </c>
      <c r="M192" s="147">
        <v>46226.242094907408</v>
      </c>
      <c r="N192" s="147">
        <v>46231.282800925925</v>
      </c>
      <c r="Q192" s="45" t="s">
        <v>8191</v>
      </c>
      <c r="S192" s="45" t="s">
        <v>8122</v>
      </c>
      <c r="T192" s="45" t="s">
        <v>1519</v>
      </c>
      <c r="U192" s="45" t="s">
        <v>371</v>
      </c>
      <c r="Z192" s="76">
        <f t="shared" ca="1" si="16"/>
        <v>1.125</v>
      </c>
      <c r="AA192" s="75">
        <f t="shared" ca="1" si="1"/>
        <v>3</v>
      </c>
      <c r="AB192" s="76">
        <f t="shared" ca="1" si="17"/>
        <v>1.125</v>
      </c>
      <c r="AC192" s="75">
        <f t="shared" ca="1" si="3"/>
        <v>3</v>
      </c>
      <c r="AD192" s="76">
        <f t="shared" ca="1" si="18"/>
        <v>0</v>
      </c>
      <c r="AE192" s="76">
        <f t="shared" ca="1" si="19"/>
        <v>1.125</v>
      </c>
      <c r="AF192" s="75">
        <f t="shared" ca="1" si="6"/>
        <v>3</v>
      </c>
      <c r="AG192" s="75">
        <f t="shared" ca="1" si="7"/>
        <v>3</v>
      </c>
      <c r="AH192" s="31" t="str" cm="1">
        <f t="array" aca="1" ref="AH192" ca="1">IF((AD192) &lt; (INDEX(ResponseSLA[#All],(MATCH((G192),ResponseSLA[Priority],0))+1,3)),"YES","No")</f>
        <v>YES</v>
      </c>
      <c r="AI192" s="31" t="str">
        <f ca="1">_xlfn.IFNA(IF(AE192 &lt; (INDEX(SLATable[Minimum SLA],MATCH(G192,SLATable[Priority],0))),"YES","NO"),"")</f>
        <v>YES</v>
      </c>
      <c r="AJ192" t="str">
        <f ca="1">_xlfn.IFNA(IF(AE192 &lt; (INDEX(SLATable[Maximum SLA],MATCH(G192,SLATable[Priority],0))),"YES","NO"),"")</f>
        <v>YES</v>
      </c>
    </row>
    <row r="193" spans="1:36" ht="15" customHeight="1">
      <c r="A193" s="45">
        <v>192</v>
      </c>
      <c r="B193" s="45" t="s">
        <v>26</v>
      </c>
      <c r="C193" s="45" t="s">
        <v>41</v>
      </c>
      <c r="D193" s="45" t="s">
        <v>207</v>
      </c>
      <c r="E193" s="45" t="s">
        <v>8504</v>
      </c>
      <c r="F193" s="45" t="s">
        <v>40</v>
      </c>
      <c r="G193" s="66">
        <v>4</v>
      </c>
      <c r="H193" s="45" t="s">
        <v>8505</v>
      </c>
      <c r="I193" s="45" t="s">
        <v>271</v>
      </c>
      <c r="J193" s="45" t="s">
        <v>8120</v>
      </c>
      <c r="K193" s="147">
        <v>46225.912407407406</v>
      </c>
      <c r="L193" s="147">
        <v>46225.912407407406</v>
      </c>
      <c r="M193" s="147">
        <v>46226.242418981485</v>
      </c>
      <c r="N193" s="147">
        <v>46227.272083333337</v>
      </c>
      <c r="Q193" s="45" t="s">
        <v>8191</v>
      </c>
      <c r="S193" s="45" t="s">
        <v>8122</v>
      </c>
      <c r="T193" s="45" t="s">
        <v>1519</v>
      </c>
      <c r="U193" s="45" t="s">
        <v>371</v>
      </c>
      <c r="Z193" s="76" t="e">
        <f ca="1">IF(NOT(OR(#REF!=1,#REF!=2)),MAX(0,_xlfn.IFS(AND(#REF!&lt;&gt;"",#REF!&lt;&gt;""),((MAX(NETWORKDAYS(#REF!,#REF!,UKBankHolidays)-1,0))*(TIME(17,0,0)-TIME(8,0,0))+IF(NETWORKDAYS(#REF!,#REF!,UKBankHolidays)&gt;0,MEDIAN(TIME(8,0,0),MOD(#REF!,1),TIME(17,0,0)),TIME(8,0,0))-IF(NETWORKDAYS(#REF!,#REF!,UKBankHolidays)&gt;0,MEDIAN(TIME(8,0,0),MOD(#REF!,1),TIME(17,0,0)),TIME(8,0,0)))-IF(AND(#REF!&lt;&gt;"",#REF!&lt;&gt;""),((MAX(NETWORKDAYS(#REF!,#REF!,UKBankHolidays)-1,0))*(TIME(17,0,0)-TIME(8,0,0))+IF(NETWORKDAYS(#REF!,#REF!,UKBankHolidays)&gt;0,MEDIAN(TIME(8,0,0),MOD(#REF!,1),TIME(17,0,0)),TIME(8,0,0))-IF(NETWORKDAYS(#REF!,#REF!,UKBankHolidays)&gt;0,MEDIAN(TIME(8,0,0),MOD(#REF!,1),TIME(17,0,0)),TIME(8,0,0))),0),AND(#REF!&lt;&gt;"",#REF!=""),((MAX(NETWORKDAYS(#REF!,NOW(),UKBankHolidays)-1,0))*(TIME(17,0,0)-TIME(8,0,0))+IF(NETWORKDAYS(NOW(),NOW(),UKBankHolidays)&gt;0,MEDIAN(TIME(8,0,0),MOD(NOW(),1),TIME(17,0,0)),TIME(8,0,0))-IF(NETWORKDAYS(#REF!,#REF!,UKBankHolidays)&gt;0,MEDIAN(TIME(8,0,0),MOD(#REF!,1),TIME(17,0,0)),TIME(8,0,0))))),IF(#REF!="",NOW()-#REF!,#REF!-#REF!))</f>
        <v>#REF!</v>
      </c>
      <c r="AA193" s="75" t="e">
        <f t="shared" ca="1" si="1"/>
        <v>#REF!</v>
      </c>
      <c r="AB193" s="76" t="e">
        <f ca="1">IF(NOT(OR(#REF!=1,#REF!=2)),MAX(0,_xlfn.IFS(AND(#REF!&lt;&gt;"",#REF!&lt;&gt;""),(((MAX(NETWORKDAYS(#REF!,#REF!,UKBankHolidays)-1,0))*(TIME(17,0,0)-TIME(8,0,0)))+IF(NETWORKDAYS(#REF!,#REF!,UKBankHolidays)&gt;0,MEDIAN(TIME(8,0,0),MOD(#REF!,1),TIME(17,0,0)),TIME(8,0,0))-IF(NETWORKDAYS(#REF!,#REF!,UKBankHolidays)&gt;0,MEDIAN(TIME(8,0,0),MOD(#REF!,1),TIME(17,0,0)),TIME(8,0,0)))-IF(AND(#REF!&lt;&gt;"",#REF!&lt;&gt;""),(((MAX(NETWORKDAYS(#REF!,#REF!,UKBankHolidays)-1,0))*(TIME(17,0,0)-TIME(8,0,0)))+IF(NETWORKDAYS(#REF!,#REF!,UKBankHolidays)&gt;0,MEDIAN(TIME(8,0,0),MOD(#REF!,1),TIME(17,0,0)),TIME(8,0,0))-IF(NETWORKDAYS(#REF!,#REF!,UKBankHolidays)&gt;0,MEDIAN(TIME(8,0,0),MOD(#REF!,1),TIME(17,0,0)),TIME(8,0,0))),0),AND(#REF!&lt;&gt;"",#REF!="",#REF!=""),(((MAX(NETWORKDAYS(#REF!,NOW(),UKBankHolidays)-1,0))*(TIME(17,0,0)-TIME(8,0,0)))+IF(NETWORKDAYS(NOW(),NOW(),UKBankHolidays)&gt;0,MEDIAN(TIME(8,0,0),MOD(NOW(),1),TIME(17,0,0)),TIME(8,0,0))-IF(NETWORKDAYS(#REF!,#REF!,UKBankHolidays)&gt;0,MEDIAN(TIME(8,0,0),MOD(#REF!,1),TIME(17,0,0)),TIME(8,0,0)))-IF(AND(#REF!&lt;&gt;"",#REF!&lt;&gt;""),(((MAX(NETWORKDAYS(#REF!,#REF!,UKBankHolidays)-1,0))*(TIME(17,0,0)-TIME(8,0,0)))+IF(NETWORKDAYS(#REF!,#REF!,UKBankHolidays)&gt;0,MEDIAN(TIME(8,0,0),MOD(#REF!,1),TIME(17,0,0)),TIME(8,0,0))-IF(NETWORKDAYS(#REF!,#REF!,UKBankHolidays)&gt;0,MEDIAN(TIME(8,0,0),MOD(#REF!,1),TIME(17,0,0)),TIME(8,0,0))),0),AND(#REF!&lt;&gt;"",#REF!="",#REF!="",#REF!&lt;&gt;""),(((MAX(NETWORKDAYS(#REF!,#REF!,UKBankHolidays)-1,0))*(TIME(17,0,0)-TIME(8,0,0)))+IF(NETWORKDAYS(#REF!,#REF!,UKBankHolidays)&gt;0,MEDIAN(TIME(8,0,0),MOD(#REF!,1),TIME(17,0,0)),TIME(8,0,0))-IF(NETWORKDAYS(#REF!,#REF!,UKBankHolidays)&gt;0,MEDIAN(TIME(8,0,0),MOD(#REF!,1),TIME(17,0,0)),TIME(8,0,0))),ISBLANK(#REF!),"0")),IF(ISBLANK(#REF!),NOW()-#REF!,#REF!-#REF!))</f>
        <v>#REF!</v>
      </c>
      <c r="AC193" s="75" t="e">
        <f t="shared" ca="1" si="3"/>
        <v>#REF!</v>
      </c>
      <c r="AD193" s="76" t="e">
        <f ca="1">MAX(0,IF(NOT(OR(#REF!=1,#REF!=2)),IF(#REF!&lt;&gt;"",((MAX(NETWORKDAYS(#REF!,#REF!,UKBankHolidays)-1,0))*(TIME(17,0,0)-TIME(8,0,0))+IF(NETWORKDAYS(#REF!,#REF!,UKBankHolidays)&gt;0,MEDIAN(TIME(8,0,0),MOD(#REF!,1),TIME(17,0,0)),TIME(8,0,0))-MEDIAN(TIME(8,0,0),MOD(#REF!,1),TIME(17,0,0))),((MAX(NETWORKDAYS(#REF!,NOW(),UKBankHolidays)-1,0))*(TIME(17,0,0)-TIME(8,0,0))+IF(NETWORKDAYS(NOW(),NOW(),UKBankHolidays)&gt;0,MEDIAN(TIME(8,0,0),MOD(NOW(),1),TIME(17,0,0)),TIME(8,0,0))-MEDIAN(TIME(8,0,0),MOD(#REF!,1),TIME(17,0,0)))),IF(#REF!&lt;&gt;"",#REF!-#REF!,NOW()-#REF!)))</f>
        <v>#REF!</v>
      </c>
      <c r="AE193" s="76">
        <f>SUMIFS(AB:AB,E:E,#REF!)</f>
        <v>0</v>
      </c>
      <c r="AF193" s="75">
        <f t="shared" si="6"/>
        <v>0</v>
      </c>
      <c r="AG193" s="75">
        <f t="shared" si="7"/>
        <v>0</v>
      </c>
      <c r="AH193" s="31" t="e" cm="1">
        <f t="array" aca="1" ref="AH193" ca="1">IF((AD193) &lt; (INDEX(ResponseSLA[#All],(MATCH((#REF!),ResponseSLA[Priority],0))+1,3)),"YES","No")</f>
        <v>#REF!</v>
      </c>
      <c r="AI193" s="31" t="e">
        <f>_xlfn.IFNA(IF(AE193 &lt; (INDEX(SLATable[Minimum SLA],MATCH(#REF!,SLATable[Priority],0))),"YES","NO"),"")</f>
        <v>#REF!</v>
      </c>
      <c r="AJ193" t="e">
        <f>_xlfn.IFNA(IF(AE193 &lt; (INDEX(SLATable[Maximum SLA],MATCH(#REF!,SLATable[Priority],0))),"YES","NO"),"")</f>
        <v>#REF!</v>
      </c>
    </row>
    <row r="194" spans="1:36" ht="15" customHeight="1">
      <c r="A194" s="45">
        <v>193</v>
      </c>
      <c r="B194" s="45" t="s">
        <v>26</v>
      </c>
      <c r="C194" s="45" t="s">
        <v>41</v>
      </c>
      <c r="D194" s="45" t="s">
        <v>207</v>
      </c>
      <c r="E194" s="45" t="s">
        <v>8506</v>
      </c>
      <c r="F194" s="45" t="s">
        <v>40</v>
      </c>
      <c r="G194" s="66">
        <v>4</v>
      </c>
      <c r="H194" s="45" t="s">
        <v>8507</v>
      </c>
      <c r="I194" s="45" t="s">
        <v>271</v>
      </c>
      <c r="J194" s="45" t="s">
        <v>8120</v>
      </c>
      <c r="K194" s="147">
        <v>46225.907488425924</v>
      </c>
      <c r="L194" s="147">
        <v>46225.907488425924</v>
      </c>
      <c r="M194" s="147">
        <v>46226.241886574076</v>
      </c>
      <c r="N194" s="147">
        <v>46241.242986111109</v>
      </c>
      <c r="O194" s="147">
        <v>46230.433287037034</v>
      </c>
      <c r="P194" s="47">
        <v>46241.242986111109</v>
      </c>
      <c r="Q194" s="45" t="s">
        <v>8191</v>
      </c>
      <c r="S194" s="45" t="s">
        <v>8122</v>
      </c>
      <c r="T194" s="45" t="s">
        <v>1519</v>
      </c>
      <c r="U194" s="45" t="s">
        <v>371</v>
      </c>
      <c r="Z194" s="76">
        <f t="shared" ref="Z194:Z205" ca="1" si="20">IF(NOT(OR(G193=1,G193=2)),MAX(0,_xlfn.IFS(AND(K193&lt;&gt;"",N193&lt;&gt;""),((MAX(NETWORKDAYS(K193,N193,UKBankHolidays)-1,0))*(TIME(17,0,0)-TIME(8,0,0))+IF(NETWORKDAYS(N193,N193,UKBankHolidays)&gt;0,MEDIAN(TIME(8,0,0),MOD(N193,1),TIME(17,0,0)),TIME(8,0,0))-IF(NETWORKDAYS(K193,K193,UKBankHolidays)&gt;0,MEDIAN(TIME(8,0,0),MOD(K193,1),TIME(17,0,0)),TIME(8,0,0)))-IF(AND(O193&lt;&gt;"",P193&lt;&gt;""),((MAX(NETWORKDAYS(O193,P193,UKBankHolidays)-1,0))*(TIME(17,0,0)-TIME(8,0,0))+IF(NETWORKDAYS(P193,P193,UKBankHolidays)&gt;0,MEDIAN(TIME(8,0,0),MOD(P193,1),TIME(17,0,0)),TIME(8,0,0))-IF(NETWORKDAYS(O193,O193,UKBankHolidays)&gt;0,MEDIAN(TIME(8,0,0),MOD(O193,1),TIME(17,0,0)),TIME(8,0,0))),0),AND(K193&lt;&gt;"",N193=""),((MAX(NETWORKDAYS(K193,NOW(),UKBankHolidays)-1,0))*(TIME(17,0,0)-TIME(8,0,0))+IF(NETWORKDAYS(NOW(),NOW(),UKBankHolidays)&gt;0,MEDIAN(TIME(8,0,0),MOD(NOW(),1),TIME(17,0,0)),TIME(8,0,0))-IF(NETWORKDAYS(K193,K193,UKBankHolidays)&gt;0,MEDIAN(TIME(8,0,0),MOD(K193,1),TIME(17,0,0)),TIME(8,0,0))))),IF(N193="",NOW()-K193,N193-K193))</f>
        <v>0.37500000000000011</v>
      </c>
      <c r="AA194" s="75">
        <f t="shared" ca="1" si="1"/>
        <v>1.0000000000000004</v>
      </c>
      <c r="AB194" s="76">
        <f t="shared" ref="AB194:AB205" ca="1" si="21">IF(NOT(OR(G193=1,G193=2)),MAX(0,_xlfn.IFS(AND(K193&lt;&gt;"",N193&lt;&gt;""),(((MAX(NETWORKDAYS(L193,N193,UKBankHolidays)-1,0))*(TIME(17,0,0)-TIME(8,0,0)))+IF(NETWORKDAYS(N193,N193,UKBankHolidays)&gt;0,MEDIAN(TIME(8,0,0),MOD(N193,1),TIME(17,0,0)),TIME(8,0,0))-IF(NETWORKDAYS(L193,L193,UKBankHolidays)&gt;0,MEDIAN(TIME(8,0,0),MOD(L193,1),TIME(17,0,0)),TIME(8,0,0)))-IF(AND(O193&lt;&gt;"",P193&lt;&gt;""),(((MAX(NETWORKDAYS(O193,P193,UKBankHolidays)-1,0))*(TIME(17,0,0)-TIME(8,0,0)))+IF(NETWORKDAYS(P193,P193,UKBankHolidays)&gt;0,MEDIAN(TIME(8,0,0),MOD(P193,1),TIME(17,0,0)),TIME(8,0,0))-IF(NETWORKDAYS(O193,O193,UKBankHolidays)&gt;0,MEDIAN(TIME(8,0,0),MOD(O193,1),TIME(17,0,0)),TIME(8,0,0))),0),AND(L193&lt;&gt;"",N193="",O193=""),(((MAX(NETWORKDAYS(L193,NOW(),UKBankHolidays)-1,0))*(TIME(17,0,0)-TIME(8,0,0)))+IF(NETWORKDAYS(NOW(),NOW(),UKBankHolidays)&gt;0,MEDIAN(TIME(8,0,0),MOD(NOW(),1),TIME(17,0,0)),TIME(8,0,0))-IF(NETWORKDAYS(L193,L193,UKBankHolidays)&gt;0,MEDIAN(TIME(8,0,0),MOD(L193,1),TIME(17,0,0)),TIME(8,0,0)))-IF(AND(O193&lt;&gt;"",P193&lt;&gt;""),(((MAX(NETWORKDAYS(O193,P193,UKBankHolidays)-1,0))*(TIME(17,0,0)-TIME(8,0,0)))+IF(NETWORKDAYS(P193,P193,UKBankHolidays)&gt;0,MEDIAN(TIME(8,0,0),MOD(P193,1),TIME(17,0,0)),TIME(8,0,0))-IF(NETWORKDAYS(O193,O193,UKBankHolidays)&gt;0,MEDIAN(TIME(8,0,0),MOD(O193,1),TIME(17,0,0)),TIME(8,0,0))),0),AND(L193&lt;&gt;"",N193="",P193="",O193&lt;&gt;""),(((MAX(NETWORKDAYS(L193,O193,UKBankHolidays)-1,0))*(TIME(17,0,0)-TIME(8,0,0)))+IF(NETWORKDAYS(O193,O193,UKBankHolidays)&gt;0,MEDIAN(TIME(8,0,0),MOD(O193,1),TIME(17,0,0)),TIME(8,0,0))-IF(NETWORKDAYS(L193,L193,UKBankHolidays)&gt;0,MEDIAN(TIME(8,0,0),MOD(L193,1),TIME(17,0,0)),TIME(8,0,0))),ISBLANK(K193),"0")),IF(ISBLANK(N193),NOW()-L193,N193-L193))</f>
        <v>0.37500000000000011</v>
      </c>
      <c r="AC194" s="75">
        <f t="shared" ca="1" si="3"/>
        <v>1.0000000000000004</v>
      </c>
      <c r="AD194" s="76">
        <f t="shared" ref="AD194:AD205" ca="1" si="22">MAX(0,IF(NOT(OR(G193=1,G193=2)),IF(M193&lt;&gt;"",((MAX(NETWORKDAYS(L193,M193,UKBankHolidays)-1,0))*(TIME(17,0,0)-TIME(8,0,0))+IF(NETWORKDAYS(M193,M193,UKBankHolidays)&gt;0,MEDIAN(TIME(8,0,0),MOD(M193,1),TIME(17,0,0)),TIME(8,0,0))-MEDIAN(TIME(8,0,0),MOD(L193,1),TIME(17,0,0))),((MAX(NETWORKDAYS(L193,NOW(),UKBankHolidays)-1,0))*(TIME(17,0,0)-TIME(8,0,0))+IF(NETWORKDAYS(NOW(),NOW(),UKBankHolidays)&gt;0,MEDIAN(TIME(8,0,0),MOD(NOW(),1),TIME(17,0,0)),TIME(8,0,0))-MEDIAN(TIME(8,0,0),MOD(L193,1),TIME(17,0,0)))),IF(M193&lt;&gt;"",M193-L193,NOW()-L193)))</f>
        <v>0</v>
      </c>
      <c r="AE194" s="76" t="e">
        <f t="shared" ref="AE194:AE206" ca="1" si="23">SUMIFS(AB:AB,E:E,E193)</f>
        <v>#REF!</v>
      </c>
      <c r="AF194" s="75" t="e">
        <f t="shared" ca="1" si="6"/>
        <v>#REF!</v>
      </c>
      <c r="AG194" s="75" t="e">
        <f t="shared" ca="1" si="7"/>
        <v>#REF!</v>
      </c>
      <c r="AH194" s="31" t="str" cm="1">
        <f t="array" aca="1" ref="AH194" ca="1">IF((AD194) &lt; (INDEX(ResponseSLA[#All],(MATCH((G193),ResponseSLA[Priority],0))+1,3)),"YES","No")</f>
        <v>YES</v>
      </c>
      <c r="AI194" s="31" t="e">
        <f ca="1">_xlfn.IFNA(IF(AE194 &lt; (INDEX(SLATable[Minimum SLA],MATCH(G193,SLATable[Priority],0))),"YES","NO"),"")</f>
        <v>#REF!</v>
      </c>
      <c r="AJ194" t="e">
        <f ca="1">_xlfn.IFNA(IF(AE194 &lt; (INDEX(SLATable[Maximum SLA],MATCH(G193,SLATable[Priority],0))),"YES","NO"),"")</f>
        <v>#REF!</v>
      </c>
    </row>
    <row r="195" spans="1:36" ht="15" customHeight="1">
      <c r="A195" s="45">
        <v>194</v>
      </c>
      <c r="B195" s="45" t="s">
        <v>26</v>
      </c>
      <c r="C195" s="45" t="s">
        <v>41</v>
      </c>
      <c r="D195" s="45" t="s">
        <v>207</v>
      </c>
      <c r="E195" s="45" t="s">
        <v>8508</v>
      </c>
      <c r="F195" s="45" t="s">
        <v>40</v>
      </c>
      <c r="G195" s="66">
        <v>4</v>
      </c>
      <c r="H195" s="45" t="s">
        <v>8509</v>
      </c>
      <c r="I195" s="45" t="s">
        <v>271</v>
      </c>
      <c r="J195" s="45" t="s">
        <v>8120</v>
      </c>
      <c r="K195" s="147">
        <v>46226.48878472222</v>
      </c>
      <c r="L195" s="147">
        <v>46226.48878472222</v>
      </c>
      <c r="M195" s="147">
        <v>46226.587731481479</v>
      </c>
      <c r="N195" s="147">
        <v>46227.27144675926</v>
      </c>
      <c r="Q195" s="45" t="s">
        <v>8191</v>
      </c>
      <c r="S195" s="45" t="s">
        <v>8122</v>
      </c>
      <c r="T195" s="45" t="s">
        <v>1519</v>
      </c>
      <c r="U195" s="45" t="s">
        <v>371</v>
      </c>
      <c r="Z195" s="76">
        <f t="shared" ca="1" si="20"/>
        <v>0.84995370370112777</v>
      </c>
      <c r="AA195" s="75">
        <f t="shared" ca="1" si="1"/>
        <v>2.2665432098696741</v>
      </c>
      <c r="AB195" s="76">
        <f t="shared" ca="1" si="21"/>
        <v>0.84995370370112777</v>
      </c>
      <c r="AC195" s="75">
        <f t="shared" ca="1" si="3"/>
        <v>2.2665432098696741</v>
      </c>
      <c r="AD195" s="76">
        <f t="shared" ca="1" si="22"/>
        <v>0</v>
      </c>
      <c r="AE195" s="76">
        <f t="shared" ca="1" si="23"/>
        <v>0.37500000000000011</v>
      </c>
      <c r="AF195" s="75">
        <f t="shared" ca="1" si="6"/>
        <v>1.0000000000000004</v>
      </c>
      <c r="AG195" s="75">
        <f t="shared" ca="1" si="7"/>
        <v>1.0000000000000004</v>
      </c>
      <c r="AH195" s="31" t="str" cm="1">
        <f t="array" aca="1" ref="AH195" ca="1">IF((AD195) &lt; (INDEX(ResponseSLA[#All],(MATCH((G194),ResponseSLA[Priority],0))+1,3)),"YES","No")</f>
        <v>YES</v>
      </c>
      <c r="AI195" s="31" t="str">
        <f ca="1">_xlfn.IFNA(IF(AE195 &lt; (INDEX(SLATable[Minimum SLA],MATCH(G194,SLATable[Priority],0))),"YES","NO"),"")</f>
        <v>YES</v>
      </c>
      <c r="AJ195" t="str">
        <f ca="1">_xlfn.IFNA(IF(AE195 &lt; (INDEX(SLATable[Maximum SLA],MATCH(G194,SLATable[Priority],0))),"YES","NO"),"")</f>
        <v>YES</v>
      </c>
    </row>
    <row r="196" spans="1:36" ht="15" customHeight="1">
      <c r="A196" s="45">
        <v>195</v>
      </c>
      <c r="B196" s="45" t="s">
        <v>26</v>
      </c>
      <c r="C196" s="45" t="s">
        <v>41</v>
      </c>
      <c r="D196" s="45" t="s">
        <v>207</v>
      </c>
      <c r="E196" s="45" t="s">
        <v>8510</v>
      </c>
      <c r="F196" s="45" t="s">
        <v>40</v>
      </c>
      <c r="G196" s="66">
        <v>4</v>
      </c>
      <c r="H196" s="45" t="s">
        <v>8511</v>
      </c>
      <c r="I196" s="45" t="s">
        <v>271</v>
      </c>
      <c r="J196" s="45" t="s">
        <v>8120</v>
      </c>
      <c r="K196" s="147">
        <v>46226.495115740741</v>
      </c>
      <c r="L196" s="147">
        <v>46226.495115740741</v>
      </c>
      <c r="M196" s="147">
        <v>46226.588078703702</v>
      </c>
      <c r="N196" s="147">
        <v>46227.271006944444</v>
      </c>
      <c r="Q196" s="45" t="s">
        <v>8191</v>
      </c>
      <c r="S196" s="45" t="s">
        <v>8122</v>
      </c>
      <c r="T196" s="45" t="s">
        <v>1519</v>
      </c>
      <c r="U196" s="45" t="s">
        <v>371</v>
      </c>
      <c r="Z196" s="76">
        <f t="shared" ca="1" si="20"/>
        <v>0.21954861111347179</v>
      </c>
      <c r="AA196" s="75">
        <f t="shared" ca="1" si="1"/>
        <v>0.58546296296925815</v>
      </c>
      <c r="AB196" s="76">
        <f t="shared" ca="1" si="21"/>
        <v>0.21954861111347179</v>
      </c>
      <c r="AC196" s="75">
        <f t="shared" ca="1" si="3"/>
        <v>0.58546296296925815</v>
      </c>
      <c r="AD196" s="76">
        <f t="shared" ca="1" si="22"/>
        <v>9.8946759258979E-2</v>
      </c>
      <c r="AE196" s="76">
        <f t="shared" ca="1" si="23"/>
        <v>0.84995370370112777</v>
      </c>
      <c r="AF196" s="75">
        <f t="shared" ca="1" si="6"/>
        <v>2.2665432098696741</v>
      </c>
      <c r="AG196" s="75">
        <f t="shared" ca="1" si="7"/>
        <v>2.2665432098696741</v>
      </c>
      <c r="AH196" s="31" t="str" cm="1">
        <f t="array" aca="1" ref="AH196" ca="1">IF((AD196) &lt; (INDEX(ResponseSLA[#All],(MATCH((G195),ResponseSLA[Priority],0))+1,3)),"YES","No")</f>
        <v>YES</v>
      </c>
      <c r="AI196" s="31" t="str">
        <f ca="1">_xlfn.IFNA(IF(AE196 &lt; (INDEX(SLATable[Minimum SLA],MATCH(G195,SLATable[Priority],0))),"YES","NO"),"")</f>
        <v>YES</v>
      </c>
      <c r="AJ196" t="str">
        <f ca="1">_xlfn.IFNA(IF(AE196 &lt; (INDEX(SLATable[Maximum SLA],MATCH(G195,SLATable[Priority],0))),"YES","NO"),"")</f>
        <v>YES</v>
      </c>
    </row>
    <row r="197" spans="1:36" ht="15" customHeight="1">
      <c r="A197" s="45">
        <v>196</v>
      </c>
      <c r="B197" s="45" t="s">
        <v>26</v>
      </c>
      <c r="C197" s="45" t="s">
        <v>41</v>
      </c>
      <c r="D197" s="45" t="s">
        <v>207</v>
      </c>
      <c r="E197" s="45" t="s">
        <v>8512</v>
      </c>
      <c r="F197" s="45" t="s">
        <v>40</v>
      </c>
      <c r="G197" s="66">
        <v>4</v>
      </c>
      <c r="H197" s="45" t="s">
        <v>8513</v>
      </c>
      <c r="I197" s="45" t="s">
        <v>271</v>
      </c>
      <c r="J197" s="45" t="s">
        <v>8120</v>
      </c>
      <c r="K197" s="147">
        <v>46226.900543981479</v>
      </c>
      <c r="L197" s="147">
        <v>46226.900543981479</v>
      </c>
      <c r="M197" s="147">
        <v>46227.249768518515</v>
      </c>
      <c r="N197" s="147">
        <v>46241.244131944448</v>
      </c>
      <c r="O197" s="147">
        <v>46230.432245370372</v>
      </c>
      <c r="P197" s="147">
        <v>46241.244131944448</v>
      </c>
      <c r="Q197" s="45" t="s">
        <v>8191</v>
      </c>
      <c r="S197" s="45" t="s">
        <v>8122</v>
      </c>
      <c r="T197" s="45" t="s">
        <v>1519</v>
      </c>
      <c r="U197" s="45" t="s">
        <v>371</v>
      </c>
      <c r="Z197" s="76">
        <f t="shared" ca="1" si="20"/>
        <v>0.21321759259202133</v>
      </c>
      <c r="AA197" s="75">
        <f t="shared" ca="1" si="1"/>
        <v>0.56858024691205689</v>
      </c>
      <c r="AB197" s="76">
        <f t="shared" ca="1" si="21"/>
        <v>0.21321759259202133</v>
      </c>
      <c r="AC197" s="75">
        <f t="shared" ca="1" si="3"/>
        <v>0.56858024691205689</v>
      </c>
      <c r="AD197" s="76">
        <f t="shared" ca="1" si="22"/>
        <v>9.2962962960882578E-2</v>
      </c>
      <c r="AE197" s="76">
        <f t="shared" ca="1" si="23"/>
        <v>0.21954861111347179</v>
      </c>
      <c r="AF197" s="75">
        <f t="shared" ca="1" si="6"/>
        <v>0.58546296296925815</v>
      </c>
      <c r="AG197" s="75">
        <f t="shared" ca="1" si="7"/>
        <v>0.58546296296925815</v>
      </c>
      <c r="AH197" s="31" t="str" cm="1">
        <f t="array" aca="1" ref="AH197" ca="1">IF((AD197) &lt; (INDEX(ResponseSLA[#All],(MATCH((G196),ResponseSLA[Priority],0))+1,3)),"YES","No")</f>
        <v>YES</v>
      </c>
      <c r="AI197" s="31" t="str">
        <f ca="1">_xlfn.IFNA(IF(AE197 &lt; (INDEX(SLATable[Minimum SLA],MATCH(G196,SLATable[Priority],0))),"YES","NO"),"")</f>
        <v>YES</v>
      </c>
      <c r="AJ197" t="str">
        <f ca="1">_xlfn.IFNA(IF(AE197 &lt; (INDEX(SLATable[Maximum SLA],MATCH(G196,SLATable[Priority],0))),"YES","NO"),"")</f>
        <v>YES</v>
      </c>
    </row>
    <row r="198" spans="1:36" ht="15" customHeight="1">
      <c r="A198" s="45">
        <v>197</v>
      </c>
      <c r="B198" s="45" t="s">
        <v>26</v>
      </c>
      <c r="C198" s="45" t="s">
        <v>41</v>
      </c>
      <c r="D198" s="45" t="s">
        <v>207</v>
      </c>
      <c r="E198" s="45" t="s">
        <v>8514</v>
      </c>
      <c r="F198" s="45" t="s">
        <v>40</v>
      </c>
      <c r="G198" s="66">
        <v>4</v>
      </c>
      <c r="H198" s="45" t="s">
        <v>8515</v>
      </c>
      <c r="I198" s="45" t="s">
        <v>271</v>
      </c>
      <c r="J198" s="45" t="s">
        <v>8120</v>
      </c>
      <c r="K198" s="147">
        <v>46192.169004629628</v>
      </c>
      <c r="L198" s="147">
        <v>46227.432222222225</v>
      </c>
      <c r="M198" s="147">
        <v>46227.458194444444</v>
      </c>
      <c r="N198" s="147">
        <v>46227.458634259259</v>
      </c>
      <c r="Q198" s="45" t="s">
        <v>8191</v>
      </c>
      <c r="S198" s="45" t="s">
        <v>8122</v>
      </c>
      <c r="T198" s="45" t="s">
        <v>1519</v>
      </c>
      <c r="U198" s="45" t="s">
        <v>371</v>
      </c>
      <c r="Z198" s="76">
        <f t="shared" ca="1" si="20"/>
        <v>0.47391203703834117</v>
      </c>
      <c r="AA198" s="75">
        <f t="shared" ca="1" si="1"/>
        <v>1.2637654321022431</v>
      </c>
      <c r="AB198" s="76">
        <f t="shared" ca="1" si="21"/>
        <v>0.47391203703834117</v>
      </c>
      <c r="AC198" s="75">
        <f t="shared" ca="1" si="3"/>
        <v>1.2637654321022431</v>
      </c>
      <c r="AD198" s="76">
        <f t="shared" ca="1" si="22"/>
        <v>0</v>
      </c>
      <c r="AE198" s="76">
        <f t="shared" ca="1" si="23"/>
        <v>0.21321759259202133</v>
      </c>
      <c r="AF198" s="75">
        <f t="shared" ca="1" si="6"/>
        <v>0.56858024691205689</v>
      </c>
      <c r="AG198" s="75">
        <f t="shared" ca="1" si="7"/>
        <v>0.56858024691205689</v>
      </c>
      <c r="AH198" s="31" t="str" cm="1">
        <f t="array" aca="1" ref="AH198" ca="1">IF((AD198) &lt; (INDEX(ResponseSLA[#All],(MATCH((G197),ResponseSLA[Priority],0))+1,3)),"YES","No")</f>
        <v>YES</v>
      </c>
      <c r="AI198" s="31" t="str">
        <f ca="1">_xlfn.IFNA(IF(AE198 &lt; (INDEX(SLATable[Minimum SLA],MATCH(G197,SLATable[Priority],0))),"YES","NO"),"")</f>
        <v>YES</v>
      </c>
      <c r="AJ198" t="str">
        <f ca="1">_xlfn.IFNA(IF(AE198 &lt; (INDEX(SLATable[Maximum SLA],MATCH(G197,SLATable[Priority],0))),"YES","NO"),"")</f>
        <v>YES</v>
      </c>
    </row>
    <row r="199" spans="1:36" ht="15" customHeight="1">
      <c r="A199" s="45">
        <v>198</v>
      </c>
      <c r="B199" s="45" t="s">
        <v>26</v>
      </c>
      <c r="C199" s="45" t="s">
        <v>41</v>
      </c>
      <c r="D199" s="45" t="s">
        <v>207</v>
      </c>
      <c r="E199" s="45" t="s">
        <v>8516</v>
      </c>
      <c r="F199" s="45" t="s">
        <v>40</v>
      </c>
      <c r="G199" s="66">
        <v>4</v>
      </c>
      <c r="H199" s="45" t="s">
        <v>8517</v>
      </c>
      <c r="I199" s="45" t="s">
        <v>271</v>
      </c>
      <c r="J199" s="45" t="s">
        <v>8120</v>
      </c>
      <c r="K199" s="147">
        <v>46229.90892361111</v>
      </c>
      <c r="L199" s="147">
        <v>46229.90892361111</v>
      </c>
      <c r="M199" s="147">
        <v>46230.275092592594</v>
      </c>
      <c r="N199" s="147">
        <v>46241.244212962964</v>
      </c>
      <c r="O199" s="47">
        <v>46230.432256944441</v>
      </c>
      <c r="P199" s="147">
        <v>46241.244212962964</v>
      </c>
      <c r="Q199" s="45" t="s">
        <v>8191</v>
      </c>
      <c r="S199" s="45" t="s">
        <v>8122</v>
      </c>
      <c r="T199" s="45" t="s">
        <v>1519</v>
      </c>
      <c r="U199" s="45" t="s">
        <v>371</v>
      </c>
      <c r="Z199" s="76">
        <f t="shared" ca="1" si="20"/>
        <v>9.5003009259259379</v>
      </c>
      <c r="AA199" s="75">
        <f t="shared" ca="1" si="1"/>
        <v>25.334135802469167</v>
      </c>
      <c r="AB199" s="76">
        <f t="shared" ca="1" si="21"/>
        <v>2.6412037033878732E-2</v>
      </c>
      <c r="AC199" s="75">
        <f t="shared" ca="1" si="3"/>
        <v>7.0432098757009953E-2</v>
      </c>
      <c r="AD199" s="76">
        <f t="shared" ca="1" si="22"/>
        <v>2.5972222218115348E-2</v>
      </c>
      <c r="AE199" s="76">
        <f t="shared" ca="1" si="23"/>
        <v>0.47391203703834117</v>
      </c>
      <c r="AF199" s="75">
        <f t="shared" ca="1" si="6"/>
        <v>1.2637654321022431</v>
      </c>
      <c r="AG199" s="75">
        <f t="shared" ca="1" si="7"/>
        <v>1.2637654321022431</v>
      </c>
      <c r="AH199" s="31" t="str" cm="1">
        <f t="array" aca="1" ref="AH199" ca="1">IF((AD199) &lt; (INDEX(ResponseSLA[#All],(MATCH((G198),ResponseSLA[Priority],0))+1,3)),"YES","No")</f>
        <v>YES</v>
      </c>
      <c r="AI199" s="31" t="str">
        <f ca="1">_xlfn.IFNA(IF(AE199 &lt; (INDEX(SLATable[Minimum SLA],MATCH(G198,SLATable[Priority],0))),"YES","NO"),"")</f>
        <v>YES</v>
      </c>
      <c r="AJ199" t="str">
        <f ca="1">_xlfn.IFNA(IF(AE199 &lt; (INDEX(SLATable[Maximum SLA],MATCH(G198,SLATable[Priority],0))),"YES","NO"),"")</f>
        <v>YES</v>
      </c>
    </row>
    <row r="200" spans="1:36" ht="15" customHeight="1">
      <c r="A200" s="45">
        <v>199</v>
      </c>
      <c r="B200" s="45" t="s">
        <v>26</v>
      </c>
      <c r="C200" s="45" t="s">
        <v>41</v>
      </c>
      <c r="D200" s="45" t="s">
        <v>207</v>
      </c>
      <c r="E200" s="45" t="s">
        <v>8518</v>
      </c>
      <c r="F200" s="45" t="s">
        <v>40</v>
      </c>
      <c r="G200" s="66">
        <v>4</v>
      </c>
      <c r="H200" s="45" t="s">
        <v>8519</v>
      </c>
      <c r="I200" s="45" t="s">
        <v>271</v>
      </c>
      <c r="J200" s="45" t="s">
        <v>8120</v>
      </c>
      <c r="K200" s="147">
        <v>46227.908368055556</v>
      </c>
      <c r="L200" s="147">
        <v>46227.908368055556</v>
      </c>
      <c r="M200" s="147">
        <v>46230.289375</v>
      </c>
      <c r="N200" s="147">
        <v>46231.358877314815</v>
      </c>
      <c r="Q200" s="45" t="s">
        <v>8191</v>
      </c>
      <c r="S200" s="45" t="s">
        <v>8122</v>
      </c>
      <c r="T200" s="45" t="s">
        <v>1519</v>
      </c>
      <c r="U200" s="45" t="s">
        <v>371</v>
      </c>
      <c r="Z200" s="76">
        <f t="shared" ca="1" si="20"/>
        <v>9.8923611107844867E-2</v>
      </c>
      <c r="AA200" s="75">
        <f t="shared" ca="1" si="1"/>
        <v>0.26379629628758633</v>
      </c>
      <c r="AB200" s="76">
        <f t="shared" ca="1" si="21"/>
        <v>9.8923611107844867E-2</v>
      </c>
      <c r="AC200" s="75">
        <f t="shared" ca="1" si="3"/>
        <v>0.26379629628758633</v>
      </c>
      <c r="AD200" s="76">
        <f t="shared" ca="1" si="22"/>
        <v>0</v>
      </c>
      <c r="AE200" s="76">
        <f t="shared" ca="1" si="23"/>
        <v>2.6412037033878732E-2</v>
      </c>
      <c r="AF200" s="75">
        <f t="shared" ca="1" si="6"/>
        <v>7.0432098757009953E-2</v>
      </c>
      <c r="AG200" s="75">
        <f t="shared" ca="1" si="7"/>
        <v>7.0432098757009953E-2</v>
      </c>
      <c r="AH200" s="31" t="str" cm="1">
        <f t="array" aca="1" ref="AH200" ca="1">IF((AD200) &lt; (INDEX(ResponseSLA[#All],(MATCH((G199),ResponseSLA[Priority],0))+1,3)),"YES","No")</f>
        <v>YES</v>
      </c>
      <c r="AI200" s="31" t="str">
        <f ca="1">_xlfn.IFNA(IF(AE200 &lt; (INDEX(SLATable[Minimum SLA],MATCH(G199,SLATable[Priority],0))),"YES","NO"),"")</f>
        <v>YES</v>
      </c>
      <c r="AJ200" t="str">
        <f ca="1">_xlfn.IFNA(IF(AE200 &lt; (INDEX(SLATable[Maximum SLA],MATCH(G199,SLATable[Priority],0))),"YES","NO"),"")</f>
        <v>YES</v>
      </c>
    </row>
    <row r="201" spans="1:36" ht="15" customHeight="1">
      <c r="A201" s="45">
        <v>200</v>
      </c>
      <c r="B201" s="45" t="s">
        <v>26</v>
      </c>
      <c r="C201" s="45" t="s">
        <v>41</v>
      </c>
      <c r="D201" s="45" t="s">
        <v>208</v>
      </c>
      <c r="E201" s="45" t="s">
        <v>8520</v>
      </c>
      <c r="F201" s="45" t="s">
        <v>40</v>
      </c>
      <c r="G201" s="66" t="s">
        <v>208</v>
      </c>
      <c r="H201" s="45" t="s">
        <v>8521</v>
      </c>
      <c r="I201" s="45" t="s">
        <v>275</v>
      </c>
      <c r="J201" s="45" t="s">
        <v>8120</v>
      </c>
      <c r="K201" s="147">
        <v>46230.274108796293</v>
      </c>
      <c r="L201" s="147">
        <v>46230.274108796293</v>
      </c>
      <c r="M201" s="147">
        <v>46230.318645833337</v>
      </c>
      <c r="N201" s="147">
        <v>46230.329675925925</v>
      </c>
      <c r="Q201" s="45" t="s">
        <v>8191</v>
      </c>
      <c r="S201" s="45" t="s">
        <v>8122</v>
      </c>
      <c r="U201" s="45" t="s">
        <v>371</v>
      </c>
      <c r="Z201" s="76">
        <f t="shared" ca="1" si="20"/>
        <v>0.4005439814815569</v>
      </c>
      <c r="AA201" s="75">
        <f t="shared" ca="1" si="1"/>
        <v>1.0681172839508184</v>
      </c>
      <c r="AB201" s="76">
        <f t="shared" ca="1" si="21"/>
        <v>0.4005439814815569</v>
      </c>
      <c r="AC201" s="75">
        <f t="shared" ca="1" si="3"/>
        <v>1.0681172839508184</v>
      </c>
      <c r="AD201" s="76">
        <f t="shared" ca="1" si="22"/>
        <v>0</v>
      </c>
      <c r="AE201" s="76">
        <f t="shared" ca="1" si="23"/>
        <v>9.8923611107844867E-2</v>
      </c>
      <c r="AF201" s="75">
        <f t="shared" ca="1" si="6"/>
        <v>0.26379629628758633</v>
      </c>
      <c r="AG201" s="75">
        <f t="shared" ca="1" si="7"/>
        <v>0.26379629628758633</v>
      </c>
      <c r="AH201" s="31" t="str" cm="1">
        <f t="array" aca="1" ref="AH201" ca="1">IF((AD201) &lt; (INDEX(ResponseSLA[#All],(MATCH((G200),ResponseSLA[Priority],0))+1,3)),"YES","No")</f>
        <v>YES</v>
      </c>
      <c r="AI201" s="31" t="str">
        <f ca="1">_xlfn.IFNA(IF(AE201 &lt; (INDEX(SLATable[Minimum SLA],MATCH(G200,SLATable[Priority],0))),"YES","NO"),"")</f>
        <v>YES</v>
      </c>
      <c r="AJ201" t="str">
        <f ca="1">_xlfn.IFNA(IF(AE201 &lt; (INDEX(SLATable[Maximum SLA],MATCH(G200,SLATable[Priority],0))),"YES","NO"),"")</f>
        <v>YES</v>
      </c>
    </row>
    <row r="202" spans="1:36" ht="15" customHeight="1">
      <c r="A202" s="45">
        <v>201</v>
      </c>
      <c r="B202" s="45" t="s">
        <v>26</v>
      </c>
      <c r="C202" s="45" t="s">
        <v>41</v>
      </c>
      <c r="D202" s="45" t="s">
        <v>208</v>
      </c>
      <c r="E202" s="45" t="s">
        <v>8522</v>
      </c>
      <c r="F202" s="45" t="s">
        <v>40</v>
      </c>
      <c r="G202" s="66" t="s">
        <v>208</v>
      </c>
      <c r="H202" s="45" t="s">
        <v>8523</v>
      </c>
      <c r="I202" s="45" t="s">
        <v>275</v>
      </c>
      <c r="J202" s="45" t="s">
        <v>8120</v>
      </c>
      <c r="K202" s="147">
        <v>46230.269745370373</v>
      </c>
      <c r="L202" s="147">
        <v>46230.269745370373</v>
      </c>
      <c r="M202" s="147">
        <v>46230.465162037035</v>
      </c>
      <c r="N202" s="147">
        <v>46238.30740740741</v>
      </c>
      <c r="Q202" s="45" t="s">
        <v>8241</v>
      </c>
      <c r="S202" s="45" t="s">
        <v>8122</v>
      </c>
      <c r="U202" s="45" t="s">
        <v>371</v>
      </c>
      <c r="Z202" s="76">
        <f t="shared" ca="1" si="20"/>
        <v>0</v>
      </c>
      <c r="AA202" s="75">
        <f t="shared" ca="1" si="1"/>
        <v>0</v>
      </c>
      <c r="AB202" s="76">
        <f t="shared" ca="1" si="21"/>
        <v>0</v>
      </c>
      <c r="AC202" s="75">
        <f t="shared" ca="1" si="3"/>
        <v>0</v>
      </c>
      <c r="AD202" s="76">
        <f t="shared" ca="1" si="22"/>
        <v>0</v>
      </c>
      <c r="AE202" s="76">
        <f t="shared" ca="1" si="23"/>
        <v>0.4005439814815569</v>
      </c>
      <c r="AF202" s="75">
        <f t="shared" ca="1" si="6"/>
        <v>1.0681172839508184</v>
      </c>
      <c r="AG202" s="75">
        <f t="shared" ca="1" si="7"/>
        <v>1.0681172839508184</v>
      </c>
      <c r="AH202" s="31" t="str" cm="1">
        <f t="array" aca="1" ref="AH202" ca="1">IF((AD202) &lt; (INDEX(ResponseSLA[#All],(MATCH((G201),ResponseSLA[Priority],0))+1,3)),"YES","No")</f>
        <v>YES</v>
      </c>
      <c r="AI202" s="31" t="str">
        <f ca="1">_xlfn.IFNA(IF(AE202 &lt; (INDEX(SLATable[Minimum SLA],MATCH(G201,SLATable[Priority],0))),"YES","NO"),"")</f>
        <v>YES</v>
      </c>
      <c r="AJ202" t="str">
        <f ca="1">_xlfn.IFNA(IF(AE202 &lt; (INDEX(SLATable[Maximum SLA],MATCH(G201,SLATable[Priority],0))),"YES","NO"),"")</f>
        <v>YES</v>
      </c>
    </row>
    <row r="203" spans="1:36" ht="15" customHeight="1">
      <c r="A203" s="45">
        <v>202</v>
      </c>
      <c r="B203" s="45" t="s">
        <v>26</v>
      </c>
      <c r="C203" s="45" t="s">
        <v>41</v>
      </c>
      <c r="D203" s="45" t="s">
        <v>208</v>
      </c>
      <c r="E203" s="45" t="s">
        <v>8524</v>
      </c>
      <c r="F203" s="45" t="s">
        <v>40</v>
      </c>
      <c r="G203" s="66" t="s">
        <v>208</v>
      </c>
      <c r="H203" s="45" t="s">
        <v>8525</v>
      </c>
      <c r="I203" s="45" t="s">
        <v>260</v>
      </c>
      <c r="J203" s="45" t="s">
        <v>8199</v>
      </c>
      <c r="K203" s="147">
        <v>46178.481666666667</v>
      </c>
      <c r="L203" s="147">
        <v>46178.481666666667</v>
      </c>
      <c r="M203" s="147">
        <v>46188.237037037034</v>
      </c>
      <c r="U203" s="45" t="s">
        <v>371</v>
      </c>
      <c r="Z203" s="76">
        <f t="shared" ca="1" si="20"/>
        <v>2.2500000000000004</v>
      </c>
      <c r="AA203" s="75">
        <f t="shared" ca="1" si="1"/>
        <v>6.0000000000000018</v>
      </c>
      <c r="AB203" s="76">
        <f t="shared" ca="1" si="21"/>
        <v>2.2500000000000004</v>
      </c>
      <c r="AC203" s="75">
        <f t="shared" ca="1" si="3"/>
        <v>6.0000000000000018</v>
      </c>
      <c r="AD203" s="76">
        <f t="shared" ca="1" si="22"/>
        <v>0.13182870370170957</v>
      </c>
      <c r="AE203" s="76">
        <f t="shared" ca="1" si="23"/>
        <v>0</v>
      </c>
      <c r="AF203" s="75">
        <f t="shared" ca="1" si="6"/>
        <v>0</v>
      </c>
      <c r="AG203" s="75">
        <f t="shared" ca="1" si="7"/>
        <v>0</v>
      </c>
      <c r="AH203" s="31" t="str" cm="1">
        <f t="array" aca="1" ref="AH203" ca="1">IF((AD203) &lt; (INDEX(ResponseSLA[#All],(MATCH((G202),ResponseSLA[Priority],0))+1,3)),"YES","No")</f>
        <v>YES</v>
      </c>
      <c r="AI203" s="31" t="str">
        <f ca="1">_xlfn.IFNA(IF(AE203 &lt; (INDEX(SLATable[Minimum SLA],MATCH(G202,SLATable[Priority],0))),"YES","NO"),"")</f>
        <v>YES</v>
      </c>
      <c r="AJ203" t="str">
        <f ca="1">_xlfn.IFNA(IF(AE203 &lt; (INDEX(SLATable[Maximum SLA],MATCH(G202,SLATable[Priority],0))),"YES","NO"),"")</f>
        <v>YES</v>
      </c>
    </row>
    <row r="204" spans="1:36" ht="15" customHeight="1">
      <c r="A204" s="45">
        <v>203</v>
      </c>
      <c r="B204" s="45" t="s">
        <v>26</v>
      </c>
      <c r="C204" s="45" t="s">
        <v>41</v>
      </c>
      <c r="D204" s="45" t="s">
        <v>207</v>
      </c>
      <c r="E204" s="45" t="s">
        <v>8526</v>
      </c>
      <c r="F204" s="45" t="s">
        <v>40</v>
      </c>
      <c r="G204" s="66">
        <v>4</v>
      </c>
      <c r="H204" s="45" t="s">
        <v>8527</v>
      </c>
      <c r="I204" s="45" t="s">
        <v>271</v>
      </c>
      <c r="J204" s="45" t="s">
        <v>8120</v>
      </c>
      <c r="K204" s="147">
        <v>46230.356006944443</v>
      </c>
      <c r="L204" s="147">
        <v>46230.356006944443</v>
      </c>
      <c r="M204" s="147">
        <v>46230.36105324074</v>
      </c>
      <c r="N204" s="147">
        <v>46230.362210648149</v>
      </c>
      <c r="Q204" s="45" t="s">
        <v>8191</v>
      </c>
      <c r="S204" s="45" t="s">
        <v>8122</v>
      </c>
      <c r="T204" s="45" t="s">
        <v>1519</v>
      </c>
      <c r="U204" s="45" t="s">
        <v>371</v>
      </c>
      <c r="Z204" s="76">
        <f t="shared" ca="1" si="20"/>
        <v>21.527308449076376</v>
      </c>
      <c r="AA204" s="75">
        <f t="shared" ca="1" si="1"/>
        <v>57.406155864203669</v>
      </c>
      <c r="AB204" s="76">
        <f t="shared" ca="1" si="21"/>
        <v>21.527308564815034</v>
      </c>
      <c r="AC204" s="75">
        <f t="shared" ca="1" si="3"/>
        <v>57.406156172840092</v>
      </c>
      <c r="AD204" s="76">
        <f t="shared" ca="1" si="22"/>
        <v>2.1016666666667643</v>
      </c>
      <c r="AE204" s="76">
        <f t="shared" ca="1" si="23"/>
        <v>2.2500000000000004</v>
      </c>
      <c r="AF204" s="75">
        <f t="shared" ca="1" si="6"/>
        <v>6.0000000000000018</v>
      </c>
      <c r="AG204" s="75">
        <f t="shared" ca="1" si="7"/>
        <v>6.0000000000000018</v>
      </c>
      <c r="AH204" s="31" t="str" cm="1">
        <f t="array" aca="1" ref="AH204" ca="1">IF((AD204) &lt; (INDEX(ResponseSLA[#All],(MATCH((G203),ResponseSLA[Priority],0))+1,3)),"YES","No")</f>
        <v>No</v>
      </c>
      <c r="AI204" s="31" t="str">
        <f ca="1">_xlfn.IFNA(IF(AE204 &lt; (INDEX(SLATable[Minimum SLA],MATCH(G203,SLATable[Priority],0))),"YES","NO"),"")</f>
        <v>NO</v>
      </c>
      <c r="AJ204" t="str">
        <f ca="1">_xlfn.IFNA(IF(AE204 &lt; (INDEX(SLATable[Maximum SLA],MATCH(G203,SLATable[Priority],0))),"YES","NO"),"")</f>
        <v>NO</v>
      </c>
    </row>
    <row r="205" spans="1:36" ht="15" customHeight="1">
      <c r="A205" s="45">
        <v>204</v>
      </c>
      <c r="B205" s="45" t="s">
        <v>26</v>
      </c>
      <c r="C205" s="45" t="s">
        <v>41</v>
      </c>
      <c r="D205" s="45" t="s">
        <v>207</v>
      </c>
      <c r="E205" s="45" t="s">
        <v>8528</v>
      </c>
      <c r="F205" s="45" t="s">
        <v>40</v>
      </c>
      <c r="G205" s="66">
        <v>4</v>
      </c>
      <c r="H205" s="45" t="s">
        <v>8529</v>
      </c>
      <c r="I205" s="45" t="s">
        <v>271</v>
      </c>
      <c r="J205" s="45" t="s">
        <v>8120</v>
      </c>
      <c r="K205" s="147">
        <v>46230.916215277779</v>
      </c>
      <c r="L205" s="147">
        <v>46230.916215277779</v>
      </c>
      <c r="M205" s="147">
        <v>46231.257407407407</v>
      </c>
      <c r="N205" s="147">
        <v>46241.242824074077</v>
      </c>
      <c r="O205" s="147">
        <v>46231.261018518519</v>
      </c>
      <c r="P205" s="147">
        <v>46241.242824074077</v>
      </c>
      <c r="Q205" s="45" t="s">
        <v>8191</v>
      </c>
      <c r="S205" s="45" t="s">
        <v>8122</v>
      </c>
      <c r="T205" s="45" t="s">
        <v>1519</v>
      </c>
      <c r="U205" s="45" t="s">
        <v>371</v>
      </c>
      <c r="Z205" s="76">
        <f t="shared" ca="1" si="20"/>
        <v>6.2037037059781142E-3</v>
      </c>
      <c r="AA205" s="75">
        <f t="shared" ca="1" si="1"/>
        <v>1.6543209882608306E-2</v>
      </c>
      <c r="AB205" s="76">
        <f t="shared" ca="1" si="21"/>
        <v>6.2037037059781142E-3</v>
      </c>
      <c r="AC205" s="75">
        <f t="shared" ca="1" si="3"/>
        <v>1.6543209882608306E-2</v>
      </c>
      <c r="AD205" s="76">
        <f t="shared" ca="1" si="22"/>
        <v>5.0462962972233072E-3</v>
      </c>
      <c r="AE205" s="76">
        <f t="shared" ca="1" si="23"/>
        <v>21.527308564815034</v>
      </c>
      <c r="AF205" s="75">
        <f t="shared" ca="1" si="6"/>
        <v>57.406156172840092</v>
      </c>
      <c r="AG205" s="75">
        <f t="shared" ca="1" si="7"/>
        <v>57.406156172840092</v>
      </c>
      <c r="AH205" s="31" t="str" cm="1">
        <f t="array" aca="1" ref="AH205" ca="1">IF((AD205) &lt; (INDEX(ResponseSLA[#All],(MATCH((G204),ResponseSLA[Priority],0))+1,3)),"YES","No")</f>
        <v>YES</v>
      </c>
      <c r="AI205" s="31" t="str">
        <f ca="1">_xlfn.IFNA(IF(AE205 &lt; (INDEX(SLATable[Minimum SLA],MATCH(G204,SLATable[Priority],0))),"YES","NO"),"")</f>
        <v>NO</v>
      </c>
      <c r="AJ205" t="str">
        <f ca="1">_xlfn.IFNA(IF(AE205 &lt; (INDEX(SLATable[Maximum SLA],MATCH(G204,SLATable[Priority],0))),"YES","NO"),"")</f>
        <v>NO</v>
      </c>
    </row>
    <row r="206" spans="1:36" ht="15" customHeight="1">
      <c r="A206" s="45">
        <v>205</v>
      </c>
      <c r="B206" s="45" t="s">
        <v>26</v>
      </c>
      <c r="C206" s="45" t="s">
        <v>41</v>
      </c>
      <c r="D206" s="45" t="s">
        <v>207</v>
      </c>
      <c r="E206" s="45" t="s">
        <v>7822</v>
      </c>
      <c r="F206" s="45" t="s">
        <v>40</v>
      </c>
      <c r="G206" s="66">
        <v>3</v>
      </c>
      <c r="H206" s="45" t="s">
        <v>7823</v>
      </c>
      <c r="I206" s="45" t="s">
        <v>271</v>
      </c>
      <c r="J206" s="45" t="s">
        <v>8120</v>
      </c>
      <c r="K206" s="147">
        <v>46230.832928240743</v>
      </c>
      <c r="L206" s="147">
        <v>46230.832928240743</v>
      </c>
      <c r="M206" s="147">
        <v>46231.263645833336</v>
      </c>
      <c r="N206" s="147">
        <v>46239.80641203704</v>
      </c>
      <c r="O206" s="147">
        <v>46233.351875</v>
      </c>
      <c r="P206" s="47">
        <v>46239.80641203704</v>
      </c>
      <c r="Q206" s="45" t="s">
        <v>8191</v>
      </c>
      <c r="S206" s="45" t="s">
        <v>8122</v>
      </c>
      <c r="T206" s="45" t="s">
        <v>1455</v>
      </c>
      <c r="U206" s="45" t="s">
        <v>371</v>
      </c>
      <c r="Z206" s="76">
        <f t="shared" ref="Z206:Z258" ca="1" si="24">IF(NOT(OR(G206=1,G206=2)),MAX(0,_xlfn.IFS(AND(K206&lt;&gt;"",N206&lt;&gt;""),((MAX(NETWORKDAYS(K206,N206,UKBankHolidays)-1,0))*(TIME(17,0,0)-TIME(8,0,0))+IF(NETWORKDAYS(N206,N206,UKBankHolidays)&gt;0,MEDIAN(TIME(8,0,0),MOD(N206,1),TIME(17,0,0)),TIME(8,0,0))-IF(NETWORKDAYS(K206,K206,UKBankHolidays)&gt;0,MEDIAN(TIME(8,0,0),MOD(K206,1),TIME(17,0,0)),TIME(8,0,0)))-IF(AND(O206&lt;&gt;"",P206&lt;&gt;""),((MAX(NETWORKDAYS(O206,P206,UKBankHolidays)-1,0))*(TIME(17,0,0)-TIME(8,0,0))+IF(NETWORKDAYS(P206,P206,UKBankHolidays)&gt;0,MEDIAN(TIME(8,0,0),MOD(P206,1),TIME(17,0,0)),TIME(8,0,0))-IF(NETWORKDAYS(O206,O206,UKBankHolidays)&gt;0,MEDIAN(TIME(8,0,0),MOD(O206,1),TIME(17,0,0)),TIME(8,0,0))),0),AND(K206&lt;&gt;"",N206=""),((MAX(NETWORKDAYS(K206,NOW(),UKBankHolidays)-1,0))*(TIME(17,0,0)-TIME(8,0,0))+IF(NETWORKDAYS(NOW(),NOW(),UKBankHolidays)&gt;0,MEDIAN(TIME(8,0,0),MOD(NOW(),1),TIME(17,0,0)),TIME(8,0,0))-IF(NETWORKDAYS(K206,K206,UKBankHolidays)&gt;0,MEDIAN(TIME(8,0,0),MOD(K206,1),TIME(17,0,0)),TIME(8,0,0))))),IF(N206="",NOW()-K206,N206-K206))</f>
        <v>0.768541666666958</v>
      </c>
      <c r="AA206" s="75">
        <f t="shared" ca="1" si="1"/>
        <v>2.0494444444452213</v>
      </c>
      <c r="AB206" s="76">
        <f t="shared" ref="AB206:AB258" ca="1" si="25">IF(NOT(OR(G206=1,G206=2)),MAX(0,_xlfn.IFS(AND(K206&lt;&gt;"",N206&lt;&gt;""),(((MAX(NETWORKDAYS(L206,N206,UKBankHolidays)-1,0))*(TIME(17,0,0)-TIME(8,0,0)))+IF(NETWORKDAYS(N206,N206,UKBankHolidays)&gt;0,MEDIAN(TIME(8,0,0),MOD(N206,1),TIME(17,0,0)),TIME(8,0,0))-IF(NETWORKDAYS(L206,L206,UKBankHolidays)&gt;0,MEDIAN(TIME(8,0,0),MOD(L206,1),TIME(17,0,0)),TIME(8,0,0)))-IF(AND(O206&lt;&gt;"",P206&lt;&gt;""),(((MAX(NETWORKDAYS(O206,P206,UKBankHolidays)-1,0))*(TIME(17,0,0)-TIME(8,0,0)))+IF(NETWORKDAYS(P206,P206,UKBankHolidays)&gt;0,MEDIAN(TIME(8,0,0),MOD(P206,1),TIME(17,0,0)),TIME(8,0,0))-IF(NETWORKDAYS(O206,O206,UKBankHolidays)&gt;0,MEDIAN(TIME(8,0,0),MOD(O206,1),TIME(17,0,0)),TIME(8,0,0))),0),AND(L206&lt;&gt;"",N206="",O206=""),(((MAX(NETWORKDAYS(L206,NOW(),UKBankHolidays)-1,0))*(TIME(17,0,0)-TIME(8,0,0)))+IF(NETWORKDAYS(NOW(),NOW(),UKBankHolidays)&gt;0,MEDIAN(TIME(8,0,0),MOD(NOW(),1),TIME(17,0,0)),TIME(8,0,0))-IF(NETWORKDAYS(L206,L206,UKBankHolidays)&gt;0,MEDIAN(TIME(8,0,0),MOD(L206,1),TIME(17,0,0)),TIME(8,0,0)))-IF(AND(O206&lt;&gt;"",P206&lt;&gt;""),(((MAX(NETWORKDAYS(O206,P206,UKBankHolidays)-1,0))*(TIME(17,0,0)-TIME(8,0,0)))+IF(NETWORKDAYS(P206,P206,UKBankHolidays)&gt;0,MEDIAN(TIME(8,0,0),MOD(P206,1),TIME(17,0,0)),TIME(8,0,0))-IF(NETWORKDAYS(O206,O206,UKBankHolidays)&gt;0,MEDIAN(TIME(8,0,0),MOD(O206,1),TIME(17,0,0)),TIME(8,0,0))),0),AND(L206&lt;&gt;"",N206="",P206="",O206&lt;&gt;""),(((MAX(NETWORKDAYS(L206,O206,UKBankHolidays)-1,0))*(TIME(17,0,0)-TIME(8,0,0)))+IF(NETWORKDAYS(O206,O206,UKBankHolidays)&gt;0,MEDIAN(TIME(8,0,0),MOD(O206,1),TIME(17,0,0)),TIME(8,0,0))-IF(NETWORKDAYS(L206,L206,UKBankHolidays)&gt;0,MEDIAN(TIME(8,0,0),MOD(L206,1),TIME(17,0,0)),TIME(8,0,0))),ISBLANK(K206),"0")),IF(ISBLANK(N206),NOW()-L206,N206-L206))</f>
        <v>0.768541666666958</v>
      </c>
      <c r="AC206" s="75">
        <f t="shared" ca="1" si="3"/>
        <v>2.0494444444452213</v>
      </c>
      <c r="AD206" s="76">
        <f t="shared" ref="AD206:AD258" ca="1" si="26">MAX(0,IF(NOT(OR(G206=1,G206=2)),IF(M206&lt;&gt;"",((MAX(NETWORKDAYS(L206,M206,UKBankHolidays)-1,0))*(TIME(17,0,0)-TIME(8,0,0))+IF(NETWORKDAYS(M206,M206,UKBankHolidays)&gt;0,MEDIAN(TIME(8,0,0),MOD(M206,1),TIME(17,0,0)),TIME(8,0,0))-MEDIAN(TIME(8,0,0),MOD(L206,1),TIME(17,0,0))),((MAX(NETWORKDAYS(L206,NOW(),UKBankHolidays)-1,0))*(TIME(17,0,0)-TIME(8,0,0))+IF(NETWORKDAYS(NOW(),NOW(),UKBankHolidays)&gt;0,MEDIAN(TIME(8,0,0),MOD(NOW(),1),TIME(17,0,0)),TIME(8,0,0))-MEDIAN(TIME(8,0,0),MOD(L206,1),TIME(17,0,0)))),IF(M206&lt;&gt;"",M206-L206,NOW()-L206)))</f>
        <v>0</v>
      </c>
      <c r="AE206" s="76">
        <f t="shared" ca="1" si="23"/>
        <v>6.2037037059781142E-3</v>
      </c>
      <c r="AF206" s="75">
        <f t="shared" ca="1" si="6"/>
        <v>1.6543209882608306E-2</v>
      </c>
      <c r="AG206" s="75">
        <f t="shared" ca="1" si="7"/>
        <v>1.6543209882608306E-2</v>
      </c>
      <c r="AH206" s="31" t="str" cm="1">
        <f t="array" aca="1" ref="AH206" ca="1">IF((AD206) &lt; (INDEX(ResponseSLA[#All],(MATCH((G206),ResponseSLA[Priority],0))+1,3)),"YES","No")</f>
        <v>YES</v>
      </c>
      <c r="AI206" s="31" t="str">
        <f ca="1">_xlfn.IFNA(IF(AE206 &lt; (INDEX(SLATable[Minimum SLA],MATCH(G206,SLATable[Priority],0))),"YES","NO"),"")</f>
        <v>YES</v>
      </c>
      <c r="AJ206" t="str">
        <f ca="1">_xlfn.IFNA(IF(AE206 &lt; (INDEX(SLATable[Maximum SLA],MATCH(G206,SLATable[Priority],0))),"YES","NO"),"")</f>
        <v>YES</v>
      </c>
    </row>
    <row r="207" spans="1:36" ht="15" customHeight="1">
      <c r="A207" s="45">
        <v>206</v>
      </c>
      <c r="B207" s="45" t="s">
        <v>26</v>
      </c>
      <c r="C207" s="45" t="s">
        <v>41</v>
      </c>
      <c r="D207" s="45" t="s">
        <v>207</v>
      </c>
      <c r="E207" s="45" t="s">
        <v>8530</v>
      </c>
      <c r="F207" s="45" t="s">
        <v>40</v>
      </c>
      <c r="G207" s="66">
        <v>3</v>
      </c>
      <c r="H207" s="45" t="s">
        <v>8531</v>
      </c>
      <c r="I207" s="45" t="s">
        <v>271</v>
      </c>
      <c r="J207" s="45" t="s">
        <v>8120</v>
      </c>
      <c r="K207" s="147">
        <v>46231.467800925922</v>
      </c>
      <c r="L207" s="147">
        <v>46231.467800925922</v>
      </c>
      <c r="M207" s="147">
        <v>46231.478831018518</v>
      </c>
      <c r="N207" s="147">
        <v>46241.414641203701</v>
      </c>
      <c r="O207" s="147">
        <v>46233.414537037039</v>
      </c>
      <c r="P207" s="147">
        <v>46241.414641203701</v>
      </c>
      <c r="Q207" s="45" t="s">
        <v>8191</v>
      </c>
      <c r="S207" s="45" t="s">
        <v>8122</v>
      </c>
      <c r="T207" s="45" t="s">
        <v>1455</v>
      </c>
      <c r="U207" s="45" t="s">
        <v>371</v>
      </c>
      <c r="Z207" s="76">
        <f t="shared" ca="1" si="24"/>
        <v>0.69673611111647915</v>
      </c>
      <c r="AA207" s="75">
        <f t="shared" ca="1" si="1"/>
        <v>1.8579629629772778</v>
      </c>
      <c r="AB207" s="76">
        <f t="shared" ca="1" si="25"/>
        <v>0.69673611111647915</v>
      </c>
      <c r="AC207" s="75">
        <f t="shared" ca="1" si="3"/>
        <v>1.8579629629772778</v>
      </c>
      <c r="AD207" s="76">
        <f t="shared" ca="1" si="26"/>
        <v>1.1030092595319729E-2</v>
      </c>
      <c r="AE207" s="76">
        <f t="shared" ref="AE207:AE258" ca="1" si="27">SUMIFS(AB:AB,E:E,E207)</f>
        <v>0.69673611111647915</v>
      </c>
      <c r="AF207" s="75">
        <f t="shared" ca="1" si="6"/>
        <v>1.8579629629772778</v>
      </c>
      <c r="AG207" s="75">
        <f t="shared" ca="1" si="7"/>
        <v>1.8579629629772778</v>
      </c>
      <c r="AH207" s="31" t="str" cm="1">
        <f t="array" aca="1" ref="AH207" ca="1">IF((AD207) &lt; (INDEX(ResponseSLA[#All],(MATCH((G207),ResponseSLA[Priority],0))+1,3)),"YES","No")</f>
        <v>YES</v>
      </c>
      <c r="AI207" s="31" t="str">
        <f ca="1">_xlfn.IFNA(IF(AE207 &lt; (INDEX(SLATable[Minimum SLA],MATCH(G207,SLATable[Priority],0))),"YES","NO"),"")</f>
        <v>NO</v>
      </c>
      <c r="AJ207" t="str">
        <f ca="1">_xlfn.IFNA(IF(AE207 &lt; (INDEX(SLATable[Maximum SLA],MATCH(G207,SLATable[Priority],0))),"YES","NO"),"")</f>
        <v>YES</v>
      </c>
    </row>
    <row r="208" spans="1:36" ht="15" customHeight="1">
      <c r="A208" s="45">
        <v>207</v>
      </c>
      <c r="B208" s="45" t="s">
        <v>26</v>
      </c>
      <c r="C208" s="45" t="s">
        <v>41</v>
      </c>
      <c r="D208" s="45" t="s">
        <v>207</v>
      </c>
      <c r="E208" s="45" t="s">
        <v>8532</v>
      </c>
      <c r="F208" s="45" t="s">
        <v>40</v>
      </c>
      <c r="G208" s="66">
        <v>3</v>
      </c>
      <c r="H208" s="45" t="s">
        <v>8533</v>
      </c>
      <c r="I208" s="45" t="s">
        <v>271</v>
      </c>
      <c r="J208" s="45" t="s">
        <v>8120</v>
      </c>
      <c r="K208" s="147">
        <v>46231.479942129627</v>
      </c>
      <c r="L208" s="147">
        <v>46231.479942129627</v>
      </c>
      <c r="M208" s="147">
        <v>46231.490219907406</v>
      </c>
      <c r="N208" s="147">
        <v>46233.391504629632</v>
      </c>
      <c r="O208" s="147">
        <v>46233.350393518522</v>
      </c>
      <c r="P208" s="47">
        <v>46233.391504629632</v>
      </c>
      <c r="Q208" s="45" t="s">
        <v>8191</v>
      </c>
      <c r="S208" s="45" t="s">
        <v>8122</v>
      </c>
      <c r="T208" s="45" t="s">
        <v>1455</v>
      </c>
      <c r="U208" s="45" t="s">
        <v>371</v>
      </c>
      <c r="Z208" s="76">
        <f t="shared" ca="1" si="24"/>
        <v>0.62045138889516238</v>
      </c>
      <c r="AA208" s="75">
        <f t="shared" ca="1" si="1"/>
        <v>1.6545370370537664</v>
      </c>
      <c r="AB208" s="76">
        <f t="shared" ca="1" si="25"/>
        <v>0.62045138889516238</v>
      </c>
      <c r="AC208" s="75">
        <f t="shared" ca="1" si="3"/>
        <v>1.6545370370537664</v>
      </c>
      <c r="AD208" s="76">
        <f t="shared" ca="1" si="26"/>
        <v>1.0277777779265307E-2</v>
      </c>
      <c r="AE208" s="76">
        <f t="shared" ca="1" si="27"/>
        <v>0.62045138889516238</v>
      </c>
      <c r="AF208" s="75">
        <f t="shared" ca="1" si="6"/>
        <v>1.6545370370537664</v>
      </c>
      <c r="AG208" s="75">
        <f t="shared" ca="1" si="7"/>
        <v>1.6545370370537664</v>
      </c>
      <c r="AH208" s="31" t="str" cm="1">
        <f t="array" aca="1" ref="AH208" ca="1">IF((AD208) &lt; (INDEX(ResponseSLA[#All],(MATCH((G208),ResponseSLA[Priority],0))+1,3)),"YES","No")</f>
        <v>YES</v>
      </c>
      <c r="AI208" s="31" t="str">
        <f ca="1">_xlfn.IFNA(IF(AE208 &lt; (INDEX(SLATable[Minimum SLA],MATCH(G208,SLATable[Priority],0))),"YES","NO"),"")</f>
        <v>NO</v>
      </c>
      <c r="AJ208" t="str">
        <f ca="1">_xlfn.IFNA(IF(AE208 &lt; (INDEX(SLATable[Maximum SLA],MATCH(G208,SLATable[Priority],0))),"YES","NO"),"")</f>
        <v>YES</v>
      </c>
    </row>
    <row r="209" spans="1:36" ht="15" customHeight="1">
      <c r="A209" s="45">
        <v>208</v>
      </c>
      <c r="B209" s="45" t="s">
        <v>26</v>
      </c>
      <c r="C209" s="45" t="s">
        <v>41</v>
      </c>
      <c r="D209" s="45" t="s">
        <v>207</v>
      </c>
      <c r="E209" s="45" t="s">
        <v>8534</v>
      </c>
      <c r="F209" s="45" t="s">
        <v>40</v>
      </c>
      <c r="G209" s="66">
        <v>3</v>
      </c>
      <c r="H209" s="45" t="s">
        <v>8535</v>
      </c>
      <c r="I209" s="45" t="s">
        <v>271</v>
      </c>
      <c r="J209" s="45" t="s">
        <v>8120</v>
      </c>
      <c r="K209" s="147">
        <v>46231.493564814817</v>
      </c>
      <c r="L209" s="147">
        <v>46231.493564814817</v>
      </c>
      <c r="M209" s="147">
        <v>46231.521284722221</v>
      </c>
      <c r="N209" s="147">
        <v>46233.392800925925</v>
      </c>
      <c r="O209" s="147">
        <v>46233.352500000001</v>
      </c>
      <c r="P209" s="147">
        <v>46233.392800925925</v>
      </c>
      <c r="Q209" s="45" t="s">
        <v>8191</v>
      </c>
      <c r="S209" s="45" t="s">
        <v>8122</v>
      </c>
      <c r="T209" s="45" t="s">
        <v>1455</v>
      </c>
      <c r="U209" s="45" t="s">
        <v>371</v>
      </c>
      <c r="Z209" s="76">
        <f t="shared" ca="1" si="24"/>
        <v>0.60893518518423662</v>
      </c>
      <c r="AA209" s="75">
        <f t="shared" ca="1" si="1"/>
        <v>1.6238271604912977</v>
      </c>
      <c r="AB209" s="76">
        <f t="shared" ca="1" si="25"/>
        <v>0.60893518518423662</v>
      </c>
      <c r="AC209" s="75">
        <f t="shared" ca="1" si="3"/>
        <v>1.6238271604912977</v>
      </c>
      <c r="AD209" s="76">
        <f t="shared" ca="1" si="26"/>
        <v>2.7719907404389232E-2</v>
      </c>
      <c r="AE209" s="76">
        <f t="shared" ca="1" si="27"/>
        <v>0.60893518518423662</v>
      </c>
      <c r="AF209" s="75">
        <f t="shared" ca="1" si="6"/>
        <v>1.6238271604912977</v>
      </c>
      <c r="AG209" s="75">
        <f t="shared" ca="1" si="7"/>
        <v>1.6238271604912977</v>
      </c>
      <c r="AH209" s="31" t="str" cm="1">
        <f t="array" aca="1" ref="AH209" ca="1">IF((AD209) &lt; (INDEX(ResponseSLA[#All],(MATCH((G209),ResponseSLA[Priority],0))+1,3)),"YES","No")</f>
        <v>YES</v>
      </c>
      <c r="AI209" s="31" t="str">
        <f ca="1">_xlfn.IFNA(IF(AE209 &lt; (INDEX(SLATable[Minimum SLA],MATCH(G209,SLATable[Priority],0))),"YES","NO"),"")</f>
        <v>NO</v>
      </c>
      <c r="AJ209" t="str">
        <f ca="1">_xlfn.IFNA(IF(AE209 &lt; (INDEX(SLATable[Maximum SLA],MATCH(G209,SLATable[Priority],0))),"YES","NO"),"")</f>
        <v>YES</v>
      </c>
    </row>
    <row r="210" spans="1:36" ht="15" customHeight="1">
      <c r="A210" s="45">
        <v>209</v>
      </c>
      <c r="B210" s="45" t="s">
        <v>26</v>
      </c>
      <c r="C210" s="45" t="s">
        <v>41</v>
      </c>
      <c r="D210" s="45" t="s">
        <v>207</v>
      </c>
      <c r="E210" s="148" t="s">
        <v>8536</v>
      </c>
      <c r="F210" s="45" t="s">
        <v>40</v>
      </c>
      <c r="G210" s="66">
        <v>3</v>
      </c>
      <c r="H210" s="45" t="s">
        <v>8537</v>
      </c>
      <c r="I210" s="45" t="s">
        <v>275</v>
      </c>
      <c r="J210" s="45" t="s">
        <v>8199</v>
      </c>
      <c r="K210" s="147">
        <v>46232.007592592592</v>
      </c>
      <c r="L210" s="147">
        <v>46232.007592592592</v>
      </c>
      <c r="M210" s="147">
        <v>46232.236377314817</v>
      </c>
      <c r="N210" s="147">
        <v>46232.418414351851</v>
      </c>
      <c r="Q210" s="45" t="s">
        <v>8191</v>
      </c>
      <c r="S210" s="45" t="s">
        <v>8122</v>
      </c>
      <c r="T210" s="45" t="s">
        <v>1455</v>
      </c>
      <c r="U210" s="45" t="s">
        <v>371</v>
      </c>
      <c r="Z210" s="76">
        <f t="shared" ca="1" si="24"/>
        <v>8.5081018517181917E-2</v>
      </c>
      <c r="AA210" s="75">
        <f t="shared" ca="1" si="1"/>
        <v>0.22688271604581844</v>
      </c>
      <c r="AB210" s="76">
        <f t="shared" ca="1" si="25"/>
        <v>8.5081018517181917E-2</v>
      </c>
      <c r="AC210" s="75">
        <f t="shared" ca="1" si="3"/>
        <v>0.22688271604581844</v>
      </c>
      <c r="AD210" s="76">
        <f t="shared" ca="1" si="26"/>
        <v>0</v>
      </c>
      <c r="AE210" s="76">
        <f t="shared" ca="1" si="27"/>
        <v>8.5081018517181917E-2</v>
      </c>
      <c r="AF210" s="75">
        <f t="shared" ca="1" si="6"/>
        <v>0.22688271604581844</v>
      </c>
      <c r="AG210" s="75">
        <f t="shared" ca="1" si="7"/>
        <v>0.22688271604581844</v>
      </c>
      <c r="AH210" s="31" t="str" cm="1">
        <f t="array" aca="1" ref="AH210" ca="1">IF((AD210) &lt; (INDEX(ResponseSLA[#All],(MATCH((G210),ResponseSLA[Priority],0))+1,3)),"YES","No")</f>
        <v>YES</v>
      </c>
      <c r="AI210" s="31" t="str">
        <f ca="1">_xlfn.IFNA(IF(AE210 &lt; (INDEX(SLATable[Minimum SLA],MATCH(G210,SLATable[Priority],0))),"YES","NO"),"")</f>
        <v>YES</v>
      </c>
      <c r="AJ210" t="str">
        <f ca="1">_xlfn.IFNA(IF(AE210 &lt; (INDEX(SLATable[Maximum SLA],MATCH(G210,SLATable[Priority],0))),"YES","NO"),"")</f>
        <v>YES</v>
      </c>
    </row>
    <row r="211" spans="1:36" ht="15" customHeight="1">
      <c r="A211" s="45">
        <v>210</v>
      </c>
      <c r="B211" s="45" t="s">
        <v>26</v>
      </c>
      <c r="C211" s="45" t="s">
        <v>41</v>
      </c>
      <c r="D211" s="45" t="s">
        <v>207</v>
      </c>
      <c r="E211" s="45" t="s">
        <v>7822</v>
      </c>
      <c r="F211" s="45" t="s">
        <v>40</v>
      </c>
      <c r="G211" s="66">
        <v>3</v>
      </c>
      <c r="H211" s="45" t="s">
        <v>7823</v>
      </c>
      <c r="I211" s="45" t="s">
        <v>271</v>
      </c>
      <c r="J211" s="45" t="s">
        <v>8120</v>
      </c>
      <c r="K211" s="147">
        <v>46230.832928240743</v>
      </c>
      <c r="L211" s="147">
        <v>46230.832928240743</v>
      </c>
      <c r="M211" s="147">
        <v>46231.263645833336</v>
      </c>
      <c r="N211" s="147">
        <v>46239.80641203704</v>
      </c>
      <c r="O211" s="147">
        <v>46233.351875</v>
      </c>
      <c r="P211" s="147">
        <v>46239.80641203704</v>
      </c>
      <c r="Q211" s="45" t="s">
        <v>8191</v>
      </c>
      <c r="S211" s="45" t="s">
        <v>8122</v>
      </c>
      <c r="T211" s="45" t="s">
        <v>1455</v>
      </c>
      <c r="U211" s="45" t="s">
        <v>371</v>
      </c>
      <c r="Z211" s="76">
        <f t="shared" ca="1" si="24"/>
        <v>0.768541666666958</v>
      </c>
      <c r="AA211" s="75">
        <f t="shared" ca="1" si="1"/>
        <v>2.0494444444452213</v>
      </c>
      <c r="AB211" s="76">
        <f t="shared" ca="1" si="25"/>
        <v>0.768541666666958</v>
      </c>
      <c r="AC211" s="75">
        <f t="shared" ca="1" si="3"/>
        <v>2.0494444444452213</v>
      </c>
      <c r="AD211" s="76">
        <f t="shared" ca="1" si="26"/>
        <v>0</v>
      </c>
      <c r="AE211" s="76">
        <f t="shared" ca="1" si="27"/>
        <v>1.537083333333916</v>
      </c>
      <c r="AF211" s="75">
        <f t="shared" ca="1" si="6"/>
        <v>4.0988888888904427</v>
      </c>
      <c r="AG211" s="75">
        <f t="shared" ca="1" si="7"/>
        <v>4.0988888888904427</v>
      </c>
      <c r="AH211" s="31" t="str" cm="1">
        <f t="array" aca="1" ref="AH211" ca="1">IF((AD211) &lt; (INDEX(ResponseSLA[#All],(MATCH((G211),ResponseSLA[Priority],0))+1,3)),"YES","No")</f>
        <v>YES</v>
      </c>
      <c r="AI211" s="31" t="str">
        <f ca="1">_xlfn.IFNA(IF(AE211 &lt; (INDEX(SLATable[Minimum SLA],MATCH(G211,SLATable[Priority],0))),"YES","NO"),"")</f>
        <v>NO</v>
      </c>
      <c r="AJ211" t="str">
        <f ca="1">_xlfn.IFNA(IF(AE211 &lt; (INDEX(SLATable[Maximum SLA],MATCH(G211,SLATable[Priority],0))),"YES","NO"),"")</f>
        <v>YES</v>
      </c>
    </row>
    <row r="212" spans="1:36" ht="15" customHeight="1">
      <c r="A212" s="45">
        <v>211</v>
      </c>
      <c r="B212" s="45" t="s">
        <v>26</v>
      </c>
      <c r="C212" s="45" t="s">
        <v>41</v>
      </c>
      <c r="D212" s="45" t="s">
        <v>207</v>
      </c>
      <c r="E212" s="45" t="s">
        <v>8538</v>
      </c>
      <c r="F212" s="45" t="s">
        <v>40</v>
      </c>
      <c r="G212" s="66">
        <v>4</v>
      </c>
      <c r="H212" s="45" t="s">
        <v>8539</v>
      </c>
      <c r="I212" s="45" t="s">
        <v>271</v>
      </c>
      <c r="J212" s="45" t="s">
        <v>8120</v>
      </c>
      <c r="K212" s="147">
        <v>46232.909548611111</v>
      </c>
      <c r="L212" s="147">
        <v>46232.909548611111</v>
      </c>
      <c r="M212" s="147">
        <v>46233.249571759261</v>
      </c>
      <c r="N212" s="147">
        <v>46241.242986111109</v>
      </c>
      <c r="O212" s="147">
        <v>46233.307187500002</v>
      </c>
      <c r="P212" s="147">
        <v>46241.242986111109</v>
      </c>
      <c r="Q212" s="45" t="s">
        <v>8191</v>
      </c>
      <c r="S212" s="45" t="s">
        <v>8122</v>
      </c>
      <c r="T212" s="45" t="s">
        <v>1519</v>
      </c>
      <c r="U212" s="45" t="s">
        <v>371</v>
      </c>
      <c r="Z212" s="76">
        <f t="shared" ca="1" si="24"/>
        <v>0</v>
      </c>
      <c r="AA212" s="75">
        <f t="shared" ca="1" si="1"/>
        <v>0</v>
      </c>
      <c r="AB212" s="76">
        <f t="shared" ca="1" si="25"/>
        <v>0</v>
      </c>
      <c r="AC212" s="75">
        <f t="shared" ca="1" si="3"/>
        <v>0</v>
      </c>
      <c r="AD212" s="76">
        <f t="shared" ca="1" si="26"/>
        <v>0</v>
      </c>
      <c r="AE212" s="76">
        <f t="shared" ca="1" si="27"/>
        <v>0</v>
      </c>
      <c r="AF212" s="75">
        <f t="shared" ca="1" si="6"/>
        <v>0</v>
      </c>
      <c r="AG212" s="75">
        <f t="shared" ca="1" si="7"/>
        <v>0</v>
      </c>
      <c r="AH212" s="31" t="str" cm="1">
        <f t="array" aca="1" ref="AH212" ca="1">IF((AD212) &lt; (INDEX(ResponseSLA[#All],(MATCH((G212),ResponseSLA[Priority],0))+1,3)),"YES","No")</f>
        <v>YES</v>
      </c>
      <c r="AI212" s="31" t="str">
        <f ca="1">_xlfn.IFNA(IF(AE212 &lt; (INDEX(SLATable[Minimum SLA],MATCH(G212,SLATable[Priority],0))),"YES","NO"),"")</f>
        <v>YES</v>
      </c>
      <c r="AJ212" t="str">
        <f ca="1">_xlfn.IFNA(IF(AE212 &lt; (INDEX(SLATable[Maximum SLA],MATCH(G212,SLATable[Priority],0))),"YES","NO"),"")</f>
        <v>YES</v>
      </c>
    </row>
    <row r="213" spans="1:36" ht="15" customHeight="1">
      <c r="A213" s="45">
        <v>212</v>
      </c>
      <c r="B213" s="45" t="s">
        <v>26</v>
      </c>
      <c r="C213" s="45" t="s">
        <v>41</v>
      </c>
      <c r="D213" s="45" t="s">
        <v>207</v>
      </c>
      <c r="E213" s="45" t="s">
        <v>8540</v>
      </c>
      <c r="F213" s="45" t="s">
        <v>40</v>
      </c>
      <c r="G213" s="66">
        <v>4</v>
      </c>
      <c r="H213" s="45" t="s">
        <v>8541</v>
      </c>
      <c r="I213" s="45" t="s">
        <v>271</v>
      </c>
      <c r="J213" s="45" t="s">
        <v>8120</v>
      </c>
      <c r="K213" s="147">
        <v>46232.891064814816</v>
      </c>
      <c r="L213" s="147">
        <v>46232.891064814816</v>
      </c>
      <c r="M213" s="147">
        <v>46233.249351851853</v>
      </c>
      <c r="N213" s="147">
        <v>46241.248541666668</v>
      </c>
      <c r="O213" s="47">
        <v>46233.45884259259</v>
      </c>
      <c r="P213" s="147">
        <v>46241.248541666668</v>
      </c>
      <c r="Q213" s="45" t="s">
        <v>8191</v>
      </c>
      <c r="S213" s="45" t="s">
        <v>8122</v>
      </c>
      <c r="T213" s="45" t="s">
        <v>1519</v>
      </c>
      <c r="U213" s="45" t="s">
        <v>371</v>
      </c>
      <c r="Z213" s="76">
        <f t="shared" ca="1" si="24"/>
        <v>0.1255092592570386</v>
      </c>
      <c r="AA213" s="75">
        <f t="shared" ca="1" si="1"/>
        <v>0.33469135801876959</v>
      </c>
      <c r="AB213" s="76">
        <f t="shared" ca="1" si="25"/>
        <v>0.1255092592570386</v>
      </c>
      <c r="AC213" s="75">
        <f t="shared" ca="1" si="3"/>
        <v>0.33469135801876959</v>
      </c>
      <c r="AD213" s="76">
        <f t="shared" ca="1" si="26"/>
        <v>0</v>
      </c>
      <c r="AE213" s="76">
        <f t="shared" ca="1" si="27"/>
        <v>0.1255092592570386</v>
      </c>
      <c r="AF213" s="75">
        <f t="shared" ca="1" si="6"/>
        <v>0.33469135801876959</v>
      </c>
      <c r="AG213" s="75">
        <f t="shared" ca="1" si="7"/>
        <v>0.33469135801876959</v>
      </c>
      <c r="AH213" s="31" t="str" cm="1">
        <f t="array" aca="1" ref="AH213" ca="1">IF((AD213) &lt; (INDEX(ResponseSLA[#All],(MATCH((G213),ResponseSLA[Priority],0))+1,3)),"YES","No")</f>
        <v>YES</v>
      </c>
      <c r="AI213" s="31" t="str">
        <f ca="1">_xlfn.IFNA(IF(AE213 &lt; (INDEX(SLATable[Minimum SLA],MATCH(G213,SLATable[Priority],0))),"YES","NO"),"")</f>
        <v>YES</v>
      </c>
      <c r="AJ213" t="str">
        <f ca="1">_xlfn.IFNA(IF(AE213 &lt; (INDEX(SLATable[Maximum SLA],MATCH(G213,SLATable[Priority],0))),"YES","NO"),"")</f>
        <v>YES</v>
      </c>
    </row>
    <row r="214" spans="1:36" ht="15" customHeight="1">
      <c r="A214" s="45">
        <v>213</v>
      </c>
      <c r="B214" s="45" t="s">
        <v>26</v>
      </c>
      <c r="C214" s="45" t="s">
        <v>41</v>
      </c>
      <c r="D214" s="45" t="s">
        <v>207</v>
      </c>
      <c r="E214" s="45" t="s">
        <v>8542</v>
      </c>
      <c r="F214" s="45" t="s">
        <v>40</v>
      </c>
      <c r="G214" s="66">
        <v>3</v>
      </c>
      <c r="H214" s="45" t="s">
        <v>8543</v>
      </c>
      <c r="I214" s="45" t="s">
        <v>271</v>
      </c>
      <c r="J214" s="45" t="s">
        <v>8120</v>
      </c>
      <c r="K214" s="147">
        <v>46233.778009259258</v>
      </c>
      <c r="L214" s="147">
        <v>46233.778009259258</v>
      </c>
      <c r="M214" s="147">
        <v>46234.244097222225</v>
      </c>
      <c r="N214" s="147">
        <v>46239.806793981479</v>
      </c>
      <c r="O214" s="147">
        <v>46237.348009259258</v>
      </c>
      <c r="P214" s="147">
        <v>46239.806793981479</v>
      </c>
      <c r="Q214" s="45" t="s">
        <v>8191</v>
      </c>
      <c r="S214" s="45" t="s">
        <v>8122</v>
      </c>
      <c r="T214" s="45" t="s">
        <v>1455</v>
      </c>
      <c r="U214" s="45" t="s">
        <v>371</v>
      </c>
      <c r="Z214" s="76">
        <f t="shared" ca="1" si="24"/>
        <v>0.3896759259247724</v>
      </c>
      <c r="AA214" s="75">
        <f t="shared" ca="1" si="1"/>
        <v>1.0391358024660597</v>
      </c>
      <c r="AB214" s="76">
        <f t="shared" ca="1" si="25"/>
        <v>0.3896759259247724</v>
      </c>
      <c r="AC214" s="75">
        <f t="shared" ca="1" si="3"/>
        <v>1.0391358024660597</v>
      </c>
      <c r="AD214" s="76">
        <f t="shared" ca="1" si="26"/>
        <v>0</v>
      </c>
      <c r="AE214" s="76">
        <f t="shared" ca="1" si="27"/>
        <v>0.3896759259247724</v>
      </c>
      <c r="AF214" s="75">
        <f t="shared" ca="1" si="6"/>
        <v>1.0391358024660597</v>
      </c>
      <c r="AG214" s="75">
        <f t="shared" ca="1" si="7"/>
        <v>1.0391358024660597</v>
      </c>
      <c r="AH214" s="31" t="str" cm="1">
        <f t="array" aca="1" ref="AH214" ca="1">IF((AD214) &lt; (INDEX(ResponseSLA[#All],(MATCH((G214),ResponseSLA[Priority],0))+1,3)),"YES","No")</f>
        <v>YES</v>
      </c>
      <c r="AI214" s="31" t="str">
        <f ca="1">_xlfn.IFNA(IF(AE214 &lt; (INDEX(SLATable[Minimum SLA],MATCH(G214,SLATable[Priority],0))),"YES","NO"),"")</f>
        <v>NO</v>
      </c>
      <c r="AJ214" t="str">
        <f ca="1">_xlfn.IFNA(IF(AE214 &lt; (INDEX(SLATable[Maximum SLA],MATCH(G214,SLATable[Priority],0))),"YES","NO"),"")</f>
        <v>YES</v>
      </c>
    </row>
    <row r="215" spans="1:36" ht="15" customHeight="1">
      <c r="A215" s="45">
        <v>214</v>
      </c>
      <c r="B215" s="45" t="s">
        <v>26</v>
      </c>
      <c r="C215" s="45" t="s">
        <v>41</v>
      </c>
      <c r="D215" s="45" t="s">
        <v>207</v>
      </c>
      <c r="E215" s="45" t="s">
        <v>8544</v>
      </c>
      <c r="F215" s="45" t="s">
        <v>40</v>
      </c>
      <c r="G215" s="66">
        <v>4</v>
      </c>
      <c r="H215" s="45" t="s">
        <v>8545</v>
      </c>
      <c r="I215" s="45" t="s">
        <v>271</v>
      </c>
      <c r="J215" s="45" t="s">
        <v>8199</v>
      </c>
      <c r="K215" s="147">
        <v>46233.536909722221</v>
      </c>
      <c r="L215" s="147">
        <v>46233.536909722221</v>
      </c>
      <c r="M215" s="147">
        <v>46233.601724537039</v>
      </c>
      <c r="N215" s="147">
        <v>46234.261956018519</v>
      </c>
      <c r="Q215" s="45" t="s">
        <v>8191</v>
      </c>
      <c r="S215" s="45" t="s">
        <v>8122</v>
      </c>
      <c r="T215" s="45" t="s">
        <v>1519</v>
      </c>
      <c r="U215" s="45" t="s">
        <v>371</v>
      </c>
      <c r="Z215" s="76">
        <f t="shared" ca="1" si="24"/>
        <v>0.17142361111230764</v>
      </c>
      <c r="AA215" s="75">
        <f t="shared" ca="1" si="1"/>
        <v>0.45712962963282039</v>
      </c>
      <c r="AB215" s="76">
        <f t="shared" ca="1" si="25"/>
        <v>0.17142361111230764</v>
      </c>
      <c r="AC215" s="75">
        <f t="shared" ca="1" si="3"/>
        <v>0.45712962963282039</v>
      </c>
      <c r="AD215" s="76">
        <f t="shared" ca="1" si="26"/>
        <v>6.4814814817509614E-2</v>
      </c>
      <c r="AE215" s="76">
        <f ca="1">SUMIFS(AB:AB,E:E,E215)</f>
        <v>0.17142361111230764</v>
      </c>
      <c r="AF215" s="75">
        <f t="shared" ca="1" si="6"/>
        <v>0.45712962963282039</v>
      </c>
      <c r="AG215" s="75">
        <f t="shared" ca="1" si="7"/>
        <v>0.45712962963282039</v>
      </c>
      <c r="AH215" s="31" t="str" cm="1">
        <f t="array" aca="1" ref="AH215" ca="1">IF((AD215) &lt; (INDEX(ResponseSLA[#All],(MATCH((G215),ResponseSLA[Priority],0))+1,3)),"YES","No")</f>
        <v>YES</v>
      </c>
      <c r="AI215" s="31" t="str">
        <f ca="1">_xlfn.IFNA(IF(AE215 &lt; (INDEX(SLATable[Minimum SLA],MATCH(G215,SLATable[Priority],0))),"YES","NO"),"")</f>
        <v>YES</v>
      </c>
      <c r="AJ215" t="str">
        <f ca="1">_xlfn.IFNA(IF(AE215 &lt; (INDEX(SLATable[Maximum SLA],MATCH(G215,SLATable[Priority],0))),"YES","NO"),"")</f>
        <v>YES</v>
      </c>
    </row>
    <row r="216" spans="1:36" ht="15" customHeight="1">
      <c r="A216" s="45">
        <v>215</v>
      </c>
      <c r="B216" s="45" t="s">
        <v>26</v>
      </c>
      <c r="C216" s="45" t="s">
        <v>41</v>
      </c>
      <c r="D216" s="45" t="s">
        <v>207</v>
      </c>
      <c r="E216" s="45" t="s">
        <v>8546</v>
      </c>
      <c r="F216" s="45" t="s">
        <v>40</v>
      </c>
      <c r="G216" s="66">
        <v>4</v>
      </c>
      <c r="H216" s="45" t="s">
        <v>8547</v>
      </c>
      <c r="I216" s="45" t="s">
        <v>271</v>
      </c>
      <c r="J216" s="45" t="s">
        <v>8199</v>
      </c>
      <c r="K216" s="147">
        <v>46233.453564814816</v>
      </c>
      <c r="L216" s="147">
        <v>46233.453564814816</v>
      </c>
      <c r="M216" s="147">
        <v>46233.471099537041</v>
      </c>
      <c r="N216" s="147">
        <v>46234.274768518517</v>
      </c>
      <c r="Q216" s="45" t="s">
        <v>8191</v>
      </c>
      <c r="S216" s="45" t="s">
        <v>8122</v>
      </c>
      <c r="T216" s="45" t="s">
        <v>1519</v>
      </c>
      <c r="U216" s="45" t="s">
        <v>371</v>
      </c>
      <c r="Z216" s="76">
        <f t="shared" ca="1" si="24"/>
        <v>0.25476851851756999</v>
      </c>
      <c r="AA216" s="75">
        <f t="shared" ca="1" si="1"/>
        <v>0.6793827160468533</v>
      </c>
      <c r="AB216" s="76">
        <f t="shared" ca="1" si="25"/>
        <v>0.25476851851756999</v>
      </c>
      <c r="AC216" s="75">
        <f t="shared" ca="1" si="3"/>
        <v>0.6793827160468533</v>
      </c>
      <c r="AD216" s="76">
        <f t="shared" ca="1" si="26"/>
        <v>1.7534722224809229E-2</v>
      </c>
      <c r="AE216" s="76">
        <f>SUMIFS(AB:AB,E:E,F216)</f>
        <v>0</v>
      </c>
      <c r="AF216" s="75">
        <f t="shared" si="6"/>
        <v>0</v>
      </c>
      <c r="AG216" s="75">
        <f t="shared" si="7"/>
        <v>0</v>
      </c>
      <c r="AH216" s="31" t="str" cm="1">
        <f t="array" aca="1" ref="AH216" ca="1">IF((AD216) &lt; (INDEX(ResponseSLA[#All],(MATCH((G216),ResponseSLA[Priority],0))+1,3)),"YES","No")</f>
        <v>YES</v>
      </c>
      <c r="AI216" s="31" t="str">
        <f>_xlfn.IFNA(IF(AE216 &lt; (INDEX(SLATable[Minimum SLA],MATCH(G216,SLATable[Priority],0))),"YES","NO"),"")</f>
        <v>YES</v>
      </c>
      <c r="AJ216" t="str">
        <f>_xlfn.IFNA(IF(AE216 &lt; (INDEX(SLATable[Maximum SLA],MATCH(G216,SLATable[Priority],0))),"YES","NO"),"")</f>
        <v>YES</v>
      </c>
    </row>
    <row r="217" spans="1:36" ht="15" customHeight="1">
      <c r="A217" s="45">
        <v>216</v>
      </c>
      <c r="B217" s="45" t="s">
        <v>26</v>
      </c>
      <c r="C217" s="45" t="s">
        <v>41</v>
      </c>
      <c r="D217" s="45" t="s">
        <v>207</v>
      </c>
      <c r="E217" s="45" t="s">
        <v>8548</v>
      </c>
      <c r="F217" s="45" t="s">
        <v>40</v>
      </c>
      <c r="G217" s="66">
        <v>4</v>
      </c>
      <c r="H217" s="45" t="s">
        <v>8549</v>
      </c>
      <c r="I217" s="45" t="s">
        <v>271</v>
      </c>
      <c r="J217" s="45" t="s">
        <v>8212</v>
      </c>
      <c r="K217" s="147">
        <v>46233.903877314813</v>
      </c>
      <c r="L217" s="147">
        <v>46233.903877314813</v>
      </c>
      <c r="M217" s="147">
        <v>46234.246689814812</v>
      </c>
      <c r="N217" s="147">
        <v>46239.537499999999</v>
      </c>
      <c r="O217" s="147">
        <v>46234.562118055554</v>
      </c>
      <c r="P217" s="47">
        <v>46239.537499999999</v>
      </c>
      <c r="Q217" s="45" t="s">
        <v>8191</v>
      </c>
      <c r="S217" s="45" t="s">
        <v>8122</v>
      </c>
      <c r="T217" s="45" t="s">
        <v>1519</v>
      </c>
      <c r="U217" s="45" t="s">
        <v>371</v>
      </c>
      <c r="Z217" s="76">
        <f t="shared" ca="1" si="24"/>
        <v>0.22878472222024926</v>
      </c>
      <c r="AA217" s="75">
        <f t="shared" ca="1" si="1"/>
        <v>0.61009259258733139</v>
      </c>
      <c r="AB217" s="76">
        <f t="shared" ca="1" si="25"/>
        <v>0.22878472222024926</v>
      </c>
      <c r="AC217" s="75">
        <f t="shared" ca="1" si="3"/>
        <v>0.61009259258733139</v>
      </c>
      <c r="AD217" s="76">
        <f t="shared" ca="1" si="26"/>
        <v>0</v>
      </c>
      <c r="AE217" s="76">
        <f>SUMIFS(AB:AB,E:E,F217)</f>
        <v>0</v>
      </c>
      <c r="AF217" s="75">
        <f t="shared" si="6"/>
        <v>0</v>
      </c>
      <c r="AG217" s="75">
        <f t="shared" si="7"/>
        <v>0</v>
      </c>
      <c r="AH217" s="31" t="str" cm="1">
        <f t="array" aca="1" ref="AH217" ca="1">IF((AD217) &lt; (INDEX(ResponseSLA[#All],(MATCH((G217),ResponseSLA[Priority],0))+1,3)),"YES","No")</f>
        <v>YES</v>
      </c>
      <c r="AI217" s="31" t="str">
        <f>_xlfn.IFNA(IF(AE217 &lt; (INDEX(SLATable[Minimum SLA],MATCH(G217,SLATable[Priority],0))),"YES","NO"),"")</f>
        <v>YES</v>
      </c>
      <c r="AJ217" t="str">
        <f>_xlfn.IFNA(IF(AE217 &lt; (INDEX(SLATable[Maximum SLA],MATCH(G217,SLATable[Priority],0))),"YES","NO"),"")</f>
        <v>YES</v>
      </c>
    </row>
    <row r="218" spans="1:36" ht="15" customHeight="1">
      <c r="A218" s="45">
        <v>217</v>
      </c>
      <c r="B218" s="45" t="s">
        <v>26</v>
      </c>
      <c r="C218" s="45" t="s">
        <v>41</v>
      </c>
      <c r="D218" s="45" t="s">
        <v>207</v>
      </c>
      <c r="E218" s="45" t="s">
        <v>8550</v>
      </c>
      <c r="F218" s="45" t="s">
        <v>40</v>
      </c>
      <c r="G218" s="66">
        <v>4</v>
      </c>
      <c r="H218" s="45" t="s">
        <v>8551</v>
      </c>
      <c r="I218" s="45" t="s">
        <v>271</v>
      </c>
      <c r="J218" s="45" t="s">
        <v>8120</v>
      </c>
      <c r="K218" s="147">
        <v>46233.903865740744</v>
      </c>
      <c r="L218" s="147">
        <v>46233.903865740744</v>
      </c>
      <c r="M218" s="147">
        <v>46234.246331018519</v>
      </c>
      <c r="N218" s="147">
        <v>46241.242754629631</v>
      </c>
      <c r="O218" s="47">
        <v>46234.294340277775</v>
      </c>
      <c r="P218" s="147">
        <v>46241.242754629631</v>
      </c>
      <c r="Q218" s="45" t="s">
        <v>8191</v>
      </c>
      <c r="S218" s="45" t="s">
        <v>8122</v>
      </c>
      <c r="T218" s="45" t="s">
        <v>1519</v>
      </c>
      <c r="U218" s="45" t="s">
        <v>371</v>
      </c>
      <c r="Z218" s="76">
        <f t="shared" ca="1" si="24"/>
        <v>2.2204460492503131E-16</v>
      </c>
      <c r="AA218" s="75">
        <f t="shared" ca="1" si="1"/>
        <v>5.9211894646675012E-16</v>
      </c>
      <c r="AB218" s="76">
        <f t="shared" ca="1" si="25"/>
        <v>2.2204460492503131E-16</v>
      </c>
      <c r="AC218" s="75">
        <f t="shared" ca="1" si="3"/>
        <v>5.9211894646675012E-16</v>
      </c>
      <c r="AD218" s="76">
        <f t="shared" ca="1" si="26"/>
        <v>0</v>
      </c>
      <c r="AE218" s="76">
        <f>SUMIFS(AB:AB,E:E,F218)</f>
        <v>0</v>
      </c>
      <c r="AF218" s="75">
        <f t="shared" si="6"/>
        <v>0</v>
      </c>
      <c r="AG218" s="75">
        <f t="shared" si="7"/>
        <v>0</v>
      </c>
      <c r="AH218" s="31" t="str" cm="1">
        <f t="array" aca="1" ref="AH218" ca="1">IF((AD218) &lt; (INDEX(ResponseSLA[#All],(MATCH((G218),ResponseSLA[Priority],0))+1,3)),"YES","No")</f>
        <v>YES</v>
      </c>
      <c r="AI218" s="31" t="str">
        <f>_xlfn.IFNA(IF(AE218 &lt; (INDEX(SLATable[Minimum SLA],MATCH(G218,SLATable[Priority],0))),"YES","NO"),"")</f>
        <v>YES</v>
      </c>
      <c r="AJ218" t="str">
        <f>_xlfn.IFNA(IF(AE218 &lt; (INDEX(SLATable[Maximum SLA],MATCH(G218,SLATable[Priority],0))),"YES","NO"),"")</f>
        <v>YES</v>
      </c>
    </row>
    <row r="219" spans="1:36" ht="15" customHeight="1">
      <c r="A219" s="45">
        <v>218</v>
      </c>
      <c r="B219" s="45" t="s">
        <v>26</v>
      </c>
      <c r="C219" s="45" t="s">
        <v>41</v>
      </c>
      <c r="D219" s="45" t="s">
        <v>208</v>
      </c>
      <c r="E219" s="45" t="s">
        <v>8552</v>
      </c>
      <c r="F219" s="45" t="s">
        <v>40</v>
      </c>
      <c r="G219" s="66" t="s">
        <v>208</v>
      </c>
      <c r="H219" s="45" t="s">
        <v>8553</v>
      </c>
      <c r="I219" s="45" t="s">
        <v>275</v>
      </c>
      <c r="J219" s="45" t="s">
        <v>8120</v>
      </c>
      <c r="K219" s="147">
        <v>46216.266909722224</v>
      </c>
      <c r="L219" s="147">
        <v>46216.266909722224</v>
      </c>
      <c r="M219" s="147">
        <v>46217.452777777777</v>
      </c>
      <c r="U219" s="45" t="s">
        <v>371</v>
      </c>
      <c r="Z219" s="76">
        <f t="shared" ca="1" si="24"/>
        <v>11.92564178240961</v>
      </c>
      <c r="AA219" s="75">
        <f t="shared" ca="1" si="1"/>
        <v>31.801711419758956</v>
      </c>
      <c r="AB219" s="76">
        <f t="shared" ca="1" si="25"/>
        <v>11.925641898148267</v>
      </c>
      <c r="AC219" s="75">
        <f t="shared" ca="1" si="3"/>
        <v>31.801711728395375</v>
      </c>
      <c r="AD219" s="76">
        <f t="shared" ca="1" si="26"/>
        <v>0.49444444444331265</v>
      </c>
      <c r="AE219" s="76">
        <f>SUMIFS(AB:AB,E:E,F219)</f>
        <v>0</v>
      </c>
      <c r="AF219" s="75">
        <f t="shared" si="6"/>
        <v>0</v>
      </c>
      <c r="AG219" s="75">
        <f t="shared" si="7"/>
        <v>0</v>
      </c>
      <c r="AH219" s="31" t="str" cm="1">
        <f t="array" aca="1" ref="AH219" ca="1">IF((AD219) &lt; (INDEX(ResponseSLA[#All],(MATCH((G219),ResponseSLA[Priority],0))+1,3)),"YES","No")</f>
        <v>No</v>
      </c>
      <c r="AI219" s="31" t="str">
        <f>_xlfn.IFNA(IF(AE219 &lt; (INDEX(SLATable[Minimum SLA],MATCH(G219,SLATable[Priority],0))),"YES","NO"),"")</f>
        <v>YES</v>
      </c>
      <c r="AJ219" t="str">
        <f>_xlfn.IFNA(IF(AE219 &lt; (INDEX(SLATable[Maximum SLA],MATCH(G219,SLATable[Priority],0))),"YES","NO"),"")</f>
        <v>YES</v>
      </c>
    </row>
    <row r="220" spans="1:36" ht="15" customHeight="1">
      <c r="A220" s="45">
        <v>219</v>
      </c>
      <c r="B220" s="45" t="s">
        <v>26</v>
      </c>
      <c r="C220" s="45" t="s">
        <v>41</v>
      </c>
      <c r="D220" s="45" t="s">
        <v>208</v>
      </c>
      <c r="E220" s="45" t="s">
        <v>8554</v>
      </c>
      <c r="F220" s="45" t="s">
        <v>40</v>
      </c>
      <c r="G220" s="66" t="s">
        <v>208</v>
      </c>
      <c r="H220" s="45" t="s">
        <v>2313</v>
      </c>
      <c r="I220" s="45" t="s">
        <v>275</v>
      </c>
      <c r="J220" s="45" t="s">
        <v>8212</v>
      </c>
      <c r="K220" s="147">
        <v>46231.551840277774</v>
      </c>
      <c r="L220" s="147">
        <v>46231.551840277774</v>
      </c>
      <c r="M220" s="147">
        <v>46232.29515046296</v>
      </c>
      <c r="N220" s="147">
        <v>46244.299097222225</v>
      </c>
      <c r="U220" s="45" t="s">
        <v>371</v>
      </c>
      <c r="Z220" s="76">
        <f t="shared" ca="1" si="24"/>
        <v>3.1564930555590163</v>
      </c>
      <c r="AA220" s="75">
        <f t="shared" ca="1" si="1"/>
        <v>8.417314814824044</v>
      </c>
      <c r="AB220" s="76">
        <f t="shared" ca="1" si="25"/>
        <v>3.1564930555590163</v>
      </c>
      <c r="AC220" s="75">
        <f t="shared" ca="1" si="3"/>
        <v>8.417314814824044</v>
      </c>
      <c r="AD220" s="76">
        <f t="shared" ca="1" si="26"/>
        <v>0.15649305555901571</v>
      </c>
      <c r="AE220" s="76">
        <f>SUMIFS(AB:AB,E:E,#REF!)</f>
        <v>0</v>
      </c>
      <c r="AF220" s="75">
        <f t="shared" si="6"/>
        <v>0</v>
      </c>
      <c r="AG220" s="75">
        <f t="shared" si="7"/>
        <v>0</v>
      </c>
      <c r="AH220" s="31" t="str" cm="1">
        <f t="array" aca="1" ref="AH220" ca="1">IF((AD220) &lt; (INDEX(ResponseSLA[#All],(MATCH((G220),ResponseSLA[Priority],0))+1,3)),"YES","No")</f>
        <v>YES</v>
      </c>
      <c r="AI220" s="31" t="str">
        <f>_xlfn.IFNA(IF(AE220 &lt; (INDEX(SLATable[Minimum SLA],MATCH(G220,SLATable[Priority],0))),"YES","NO"),"")</f>
        <v>YES</v>
      </c>
      <c r="AJ220" t="str">
        <f>_xlfn.IFNA(IF(AE220 &lt; (INDEX(SLATable[Maximum SLA],MATCH(G220,SLATable[Priority],0))),"YES","NO"),"")</f>
        <v>YES</v>
      </c>
    </row>
    <row r="221" spans="1:36" ht="15" customHeight="1">
      <c r="A221" s="45">
        <v>220</v>
      </c>
      <c r="B221" s="45" t="s">
        <v>26</v>
      </c>
      <c r="C221" s="45" t="s">
        <v>41</v>
      </c>
      <c r="D221" s="45" t="s">
        <v>207</v>
      </c>
      <c r="E221" s="45" t="s">
        <v>8555</v>
      </c>
      <c r="F221" s="45" t="s">
        <v>40</v>
      </c>
      <c r="G221" s="66">
        <v>4</v>
      </c>
      <c r="H221" s="45" t="s">
        <v>8556</v>
      </c>
      <c r="I221" s="45" t="s">
        <v>271</v>
      </c>
      <c r="J221" s="45" t="s">
        <v>8120</v>
      </c>
      <c r="K221" s="147">
        <v>46236.905312499999</v>
      </c>
      <c r="L221" s="147">
        <v>46236.905312499999</v>
      </c>
      <c r="M221" s="147">
        <v>46237.259108796294</v>
      </c>
      <c r="N221" s="147">
        <v>46241.242951388886</v>
      </c>
      <c r="O221" s="147">
        <v>46237.260231481479</v>
      </c>
      <c r="P221" s="47">
        <v>46241.242951388886</v>
      </c>
      <c r="Q221" s="45" t="s">
        <v>8191</v>
      </c>
      <c r="S221" s="45" t="s">
        <v>8122</v>
      </c>
      <c r="T221" s="45" t="s">
        <v>1519</v>
      </c>
      <c r="U221" s="45" t="s">
        <v>371</v>
      </c>
      <c r="Z221" s="76">
        <f t="shared" ca="1" si="24"/>
        <v>0</v>
      </c>
      <c r="AA221" s="75">
        <f t="shared" ca="1" si="1"/>
        <v>0</v>
      </c>
      <c r="AB221" s="76">
        <f t="shared" ca="1" si="25"/>
        <v>0</v>
      </c>
      <c r="AC221" s="75">
        <f t="shared" ca="1" si="3"/>
        <v>0</v>
      </c>
      <c r="AD221" s="76">
        <f t="shared" ca="1" si="26"/>
        <v>0</v>
      </c>
      <c r="AE221" s="76">
        <f ca="1">SUMIFS(AB:AB,E:E,E219)</f>
        <v>11.925641898148267</v>
      </c>
      <c r="AF221" s="75">
        <f t="shared" ca="1" si="6"/>
        <v>31.801711728395375</v>
      </c>
      <c r="AG221" s="75">
        <f t="shared" ca="1" si="7"/>
        <v>31.801711728395375</v>
      </c>
      <c r="AH221" s="31" t="str" cm="1">
        <f t="array" aca="1" ref="AH221" ca="1">IF((AD221) &lt; (INDEX(ResponseSLA[#All],(MATCH((G221),ResponseSLA[Priority],0))+1,3)),"YES","No")</f>
        <v>YES</v>
      </c>
      <c r="AI221" s="31" t="str">
        <f ca="1">_xlfn.IFNA(IF(AE221 &lt; (INDEX(SLATable[Minimum SLA],MATCH(G221,SLATable[Priority],0))),"YES","NO"),"")</f>
        <v>NO</v>
      </c>
      <c r="AJ221" t="str">
        <f ca="1">_xlfn.IFNA(IF(AE221 &lt; (INDEX(SLATable[Maximum SLA],MATCH(G221,SLATable[Priority],0))),"YES","NO"),"")</f>
        <v>NO</v>
      </c>
    </row>
    <row r="222" spans="1:36" ht="15" customHeight="1">
      <c r="A222" s="45">
        <v>221</v>
      </c>
      <c r="B222" s="45" t="s">
        <v>26</v>
      </c>
      <c r="C222" s="45" t="s">
        <v>41</v>
      </c>
      <c r="D222" s="45" t="s">
        <v>207</v>
      </c>
      <c r="E222" s="45" t="s">
        <v>8557</v>
      </c>
      <c r="F222" s="45" t="s">
        <v>40</v>
      </c>
      <c r="G222" s="66">
        <v>4</v>
      </c>
      <c r="H222" s="45" t="s">
        <v>8558</v>
      </c>
      <c r="I222" s="45" t="s">
        <v>271</v>
      </c>
      <c r="J222" s="45" t="s">
        <v>8120</v>
      </c>
      <c r="K222" s="147">
        <v>46237.302939814814</v>
      </c>
      <c r="L222" s="147">
        <v>46237.302939814814</v>
      </c>
      <c r="M222" s="147">
        <v>46237.349606481483</v>
      </c>
      <c r="N222" s="147">
        <v>46237.350416666668</v>
      </c>
      <c r="Q222" s="45" t="s">
        <v>8191</v>
      </c>
      <c r="S222" s="45" t="s">
        <v>8122</v>
      </c>
      <c r="T222" s="45" t="s">
        <v>1519</v>
      </c>
      <c r="U222" s="45" t="s">
        <v>371</v>
      </c>
      <c r="Z222" s="76">
        <f t="shared" ca="1" si="24"/>
        <v>1.7083333334691531E-2</v>
      </c>
      <c r="AA222" s="75">
        <f t="shared" ca="1" si="1"/>
        <v>4.5555555559177417E-2</v>
      </c>
      <c r="AB222" s="76">
        <f t="shared" ca="1" si="25"/>
        <v>1.7083333334691531E-2</v>
      </c>
      <c r="AC222" s="75">
        <f t="shared" ca="1" si="3"/>
        <v>4.5555555559177417E-2</v>
      </c>
      <c r="AD222" s="76">
        <f t="shared" ca="1" si="26"/>
        <v>1.6273148149290761E-2</v>
      </c>
      <c r="AE222" s="76">
        <f t="shared" ca="1" si="27"/>
        <v>1.7083333334691531E-2</v>
      </c>
      <c r="AF222" s="75">
        <f t="shared" ca="1" si="6"/>
        <v>4.5555555559177417E-2</v>
      </c>
      <c r="AG222" s="75">
        <f t="shared" ca="1" si="7"/>
        <v>4.5555555559177417E-2</v>
      </c>
      <c r="AH222" s="31" t="str" cm="1">
        <f t="array" aca="1" ref="AH222" ca="1">IF((AD222) &lt; (INDEX(ResponseSLA[#All],(MATCH((G222),ResponseSLA[Priority],0))+1,3)),"YES","No")</f>
        <v>YES</v>
      </c>
      <c r="AI222" s="31" t="str">
        <f ca="1">_xlfn.IFNA(IF(AE222 &lt; (INDEX(SLATable[Minimum SLA],MATCH(G222,SLATable[Priority],0))),"YES","NO"),"")</f>
        <v>YES</v>
      </c>
      <c r="AJ222" t="str">
        <f ca="1">_xlfn.IFNA(IF(AE222 &lt; (INDEX(SLATable[Maximum SLA],MATCH(G222,SLATable[Priority],0))),"YES","NO"),"")</f>
        <v>YES</v>
      </c>
    </row>
    <row r="223" spans="1:36" ht="15" customHeight="1">
      <c r="A223" s="45">
        <v>222</v>
      </c>
      <c r="B223" s="45" t="s">
        <v>26</v>
      </c>
      <c r="C223" s="45" t="s">
        <v>41</v>
      </c>
      <c r="D223" s="45" t="s">
        <v>208</v>
      </c>
      <c r="E223" s="45" t="s">
        <v>8559</v>
      </c>
      <c r="F223" s="45" t="s">
        <v>40</v>
      </c>
      <c r="G223" s="66" t="s">
        <v>208</v>
      </c>
      <c r="H223" s="45" t="s">
        <v>8560</v>
      </c>
      <c r="I223" s="45" t="s">
        <v>275</v>
      </c>
      <c r="J223" s="45" t="s">
        <v>8120</v>
      </c>
      <c r="K223" s="147">
        <v>46237.272199074076</v>
      </c>
      <c r="L223" s="147">
        <v>46237.272199074076</v>
      </c>
      <c r="M223" s="147">
        <v>46237.35119212963</v>
      </c>
      <c r="N223" s="147">
        <v>46237.35119212963</v>
      </c>
      <c r="Q223" s="45" t="s">
        <v>8191</v>
      </c>
      <c r="S223" s="45" t="s">
        <v>8122</v>
      </c>
      <c r="U223" s="45" t="s">
        <v>371</v>
      </c>
      <c r="Z223" s="76">
        <f t="shared" ca="1" si="24"/>
        <v>1.78587962970293E-2</v>
      </c>
      <c r="AA223" s="75">
        <f t="shared" ca="1" si="1"/>
        <v>4.7623456792078134E-2</v>
      </c>
      <c r="AB223" s="76">
        <f t="shared" ca="1" si="25"/>
        <v>1.78587962970293E-2</v>
      </c>
      <c r="AC223" s="75">
        <f t="shared" ca="1" si="3"/>
        <v>4.7623456792078134E-2</v>
      </c>
      <c r="AD223" s="76">
        <f t="shared" ca="1" si="26"/>
        <v>1.78587962970293E-2</v>
      </c>
      <c r="AE223" s="76">
        <f ca="1">SUMIFS(AB:AB,E:E,E220)</f>
        <v>3.1564930555590163</v>
      </c>
      <c r="AF223" s="75">
        <f t="shared" ca="1" si="6"/>
        <v>8.417314814824044</v>
      </c>
      <c r="AG223" s="75">
        <f t="shared" ca="1" si="7"/>
        <v>8.417314814824044</v>
      </c>
      <c r="AH223" s="31" t="str" cm="1">
        <f t="array" aca="1" ref="AH223" ca="1">IF((AD223) &lt; (INDEX(ResponseSLA[#All],(MATCH((G223),ResponseSLA[Priority],0))+1,3)),"YES","No")</f>
        <v>YES</v>
      </c>
      <c r="AI223" s="31" t="str">
        <f ca="1">_xlfn.IFNA(IF(AE223 &lt; (INDEX(SLATable[Minimum SLA],MATCH(G223,SLATable[Priority],0))),"YES","NO"),"")</f>
        <v>NO</v>
      </c>
      <c r="AJ223" t="str">
        <f ca="1">_xlfn.IFNA(IF(AE223 &lt; (INDEX(SLATable[Maximum SLA],MATCH(G223,SLATable[Priority],0))),"YES","NO"),"")</f>
        <v>NO</v>
      </c>
    </row>
    <row r="224" spans="1:36" ht="15" customHeight="1">
      <c r="A224" s="45">
        <v>223</v>
      </c>
      <c r="B224" s="45" t="s">
        <v>26</v>
      </c>
      <c r="C224" s="45" t="s">
        <v>41</v>
      </c>
      <c r="D224" s="45" t="s">
        <v>208</v>
      </c>
      <c r="E224" s="45" t="s">
        <v>8561</v>
      </c>
      <c r="F224" s="45" t="s">
        <v>40</v>
      </c>
      <c r="G224" s="66" t="s">
        <v>208</v>
      </c>
      <c r="H224" s="45" t="s">
        <v>8562</v>
      </c>
      <c r="I224" s="45" t="s">
        <v>275</v>
      </c>
      <c r="J224" s="45" t="s">
        <v>8199</v>
      </c>
      <c r="K224" s="147">
        <v>46237.266458333332</v>
      </c>
      <c r="L224" s="147">
        <v>46237.266458333332</v>
      </c>
      <c r="M224" s="147">
        <v>46237.275590277779</v>
      </c>
      <c r="N224" s="147">
        <v>46238.307581018518</v>
      </c>
      <c r="Q224" s="45" t="s">
        <v>8241</v>
      </c>
      <c r="S224" s="45" t="s">
        <v>8122</v>
      </c>
      <c r="U224" s="45" t="s">
        <v>371</v>
      </c>
      <c r="Z224" s="76">
        <f t="shared" ca="1" si="24"/>
        <v>0.37500000000000006</v>
      </c>
      <c r="AA224" s="75">
        <f t="shared" ca="1" si="1"/>
        <v>1.0000000000000002</v>
      </c>
      <c r="AB224" s="76">
        <f t="shared" ca="1" si="25"/>
        <v>0.37500000000000006</v>
      </c>
      <c r="AC224" s="75">
        <f t="shared" ca="1" si="3"/>
        <v>1.0000000000000002</v>
      </c>
      <c r="AD224" s="76">
        <f t="shared" ca="1" si="26"/>
        <v>0</v>
      </c>
      <c r="AE224" s="76">
        <f t="shared" ca="1" si="27"/>
        <v>0.37500000000000006</v>
      </c>
      <c r="AF224" s="75">
        <f t="shared" ca="1" si="6"/>
        <v>1.0000000000000002</v>
      </c>
      <c r="AG224" s="75">
        <f t="shared" ca="1" si="7"/>
        <v>1.0000000000000002</v>
      </c>
      <c r="AH224" s="31" t="str" cm="1">
        <f t="array" aca="1" ref="AH224" ca="1">IF((AD224) &lt; (INDEX(ResponseSLA[#All],(MATCH((G224),ResponseSLA[Priority],0))+1,3)),"YES","No")</f>
        <v>YES</v>
      </c>
      <c r="AI224" s="31" t="str">
        <f ca="1">_xlfn.IFNA(IF(AE224 &lt; (INDEX(SLATable[Minimum SLA],MATCH(G224,SLATable[Priority],0))),"YES","NO"),"")</f>
        <v>YES</v>
      </c>
      <c r="AJ224" t="str">
        <f ca="1">_xlfn.IFNA(IF(AE224 &lt; (INDEX(SLATable[Maximum SLA],MATCH(G224,SLATable[Priority],0))),"YES","NO"),"")</f>
        <v>YES</v>
      </c>
    </row>
    <row r="225" spans="1:36" ht="15" customHeight="1">
      <c r="A225" s="45">
        <v>224</v>
      </c>
      <c r="B225" s="45" t="s">
        <v>26</v>
      </c>
      <c r="C225" s="45" t="s">
        <v>41</v>
      </c>
      <c r="D225" s="45" t="s">
        <v>207</v>
      </c>
      <c r="E225" s="45" t="s">
        <v>8563</v>
      </c>
      <c r="F225" s="45" t="s">
        <v>40</v>
      </c>
      <c r="G225" s="66">
        <v>4</v>
      </c>
      <c r="H225" s="45" t="s">
        <v>8564</v>
      </c>
      <c r="I225" s="45" t="s">
        <v>271</v>
      </c>
      <c r="J225" s="45" t="s">
        <v>8120</v>
      </c>
      <c r="K225" s="147">
        <v>46237.715833333335</v>
      </c>
      <c r="L225" s="147">
        <v>46237.716990740744</v>
      </c>
      <c r="M225" s="147">
        <v>46238.234965277778</v>
      </c>
      <c r="N225" s="147">
        <v>46240.343356481484</v>
      </c>
      <c r="O225" s="147">
        <v>46238.242881944447</v>
      </c>
      <c r="P225" s="147">
        <v>46240.343356481484</v>
      </c>
      <c r="Q225" s="45" t="s">
        <v>8191</v>
      </c>
      <c r="S225" s="45" t="s">
        <v>8122</v>
      </c>
      <c r="T225" s="45" t="s">
        <v>1455</v>
      </c>
      <c r="U225" s="45" t="s">
        <v>371</v>
      </c>
      <c r="Z225" s="76">
        <f t="shared" ca="1" si="24"/>
        <v>1.1102230246251565E-16</v>
      </c>
      <c r="AA225" s="75">
        <f t="shared" ca="1" si="1"/>
        <v>2.9605947323337506E-16</v>
      </c>
      <c r="AB225" s="76">
        <f t="shared" ca="1" si="25"/>
        <v>1.1102230246251565E-16</v>
      </c>
      <c r="AC225" s="75">
        <f t="shared" ca="1" si="3"/>
        <v>2.9605947323337506E-16</v>
      </c>
      <c r="AD225" s="76">
        <f t="shared" ca="1" si="26"/>
        <v>0</v>
      </c>
      <c r="AE225" s="76">
        <f t="shared" ca="1" si="27"/>
        <v>1.1102230246251565E-16</v>
      </c>
      <c r="AF225" s="75">
        <f t="shared" ca="1" si="6"/>
        <v>2.9605947323337506E-16</v>
      </c>
      <c r="AG225" s="75">
        <f t="shared" ca="1" si="7"/>
        <v>2.9605947323337506E-16</v>
      </c>
      <c r="AH225" s="31" t="str" cm="1">
        <f t="array" aca="1" ref="AH225" ca="1">IF((AD225) &lt; (INDEX(ResponseSLA[#All],(MATCH((G225),ResponseSLA[Priority],0))+1,3)),"YES","No")</f>
        <v>YES</v>
      </c>
      <c r="AI225" s="31" t="str">
        <f ca="1">_xlfn.IFNA(IF(AE225 &lt; (INDEX(SLATable[Minimum SLA],MATCH(G225,SLATable[Priority],0))),"YES","NO"),"")</f>
        <v>YES</v>
      </c>
      <c r="AJ225" t="str">
        <f ca="1">_xlfn.IFNA(IF(AE225 &lt; (INDEX(SLATable[Maximum SLA],MATCH(G225,SLATable[Priority],0))),"YES","NO"),"")</f>
        <v>YES</v>
      </c>
    </row>
    <row r="226" spans="1:36" ht="15" customHeight="1">
      <c r="A226" s="45">
        <v>225</v>
      </c>
      <c r="B226" s="45" t="s">
        <v>26</v>
      </c>
      <c r="C226" s="45" t="s">
        <v>41</v>
      </c>
      <c r="D226" s="45" t="s">
        <v>207</v>
      </c>
      <c r="E226" s="45" t="s">
        <v>8548</v>
      </c>
      <c r="F226" s="45" t="s">
        <v>40</v>
      </c>
      <c r="G226" s="66">
        <v>4</v>
      </c>
      <c r="H226" s="45" t="s">
        <v>8565</v>
      </c>
      <c r="I226" s="45" t="s">
        <v>271</v>
      </c>
      <c r="J226" s="45" t="s">
        <v>8199</v>
      </c>
      <c r="K226" s="147">
        <v>46233.903877314813</v>
      </c>
      <c r="L226" s="147">
        <v>46233.903877314813</v>
      </c>
      <c r="M226" s="147">
        <v>46234.246689814812</v>
      </c>
      <c r="N226" s="147">
        <v>46239.537499999999</v>
      </c>
      <c r="O226" s="147">
        <v>46234.562118055554</v>
      </c>
      <c r="P226" s="47">
        <v>46239.537499999999</v>
      </c>
      <c r="Q226" s="45" t="s">
        <v>8191</v>
      </c>
      <c r="S226" s="45" t="s">
        <v>8122</v>
      </c>
      <c r="T226" s="45" t="s">
        <v>1519</v>
      </c>
      <c r="U226" s="45" t="s">
        <v>371</v>
      </c>
      <c r="Z226" s="76" t="e">
        <f ca="1">IF(NOT(OR(G226=1,G226=2)),MAX(0,_xlfn.IFS(AND(K226&lt;&gt;"",N226&lt;&gt;""),((MAX(NETWORKDAYS(K226,N226,UKBankHolidays)-1,0))*(TIME(17,0,0)-TIME(8,0,0))+IF(NETWORKDAYS(N226,N226,UKBankHolidays)&gt;0,MEDIAN(TIME(8,0,0),MOD(N226,1),TIME(17,0,0)),TIME(8,0,0))-IF(NETWORKDAYS(K226,K226,UKBankHolidays)&gt;0,MEDIAN(TIME(8,0,0),MOD(K226,1),TIME(17,0,0)),TIME(8,0,0)))-IF(AND(#REF!&lt;&gt;"",O226&lt;&gt;""),((MAX(NETWORKDAYS(#REF!,O226,UKBankHolidays)-1,0))*(TIME(17,0,0)-TIME(8,0,0))+IF(NETWORKDAYS(O226,O226,UKBankHolidays)&gt;0,MEDIAN(TIME(8,0,0),MOD(O226,1),TIME(17,0,0)),TIME(8,0,0))-IF(NETWORKDAYS(#REF!,#REF!,UKBankHolidays)&gt;0,MEDIAN(TIME(8,0,0),MOD(#REF!,1),TIME(17,0,0)),TIME(8,0,0))),0),AND(K226&lt;&gt;"",N226=""),((MAX(NETWORKDAYS(K226,NOW(),UKBankHolidays)-1,0))*(TIME(17,0,0)-TIME(8,0,0))+IF(NETWORKDAYS(NOW(),NOW(),UKBankHolidays)&gt;0,MEDIAN(TIME(8,0,0),MOD(NOW(),1),TIME(17,0,0)),TIME(8,0,0))-IF(NETWORKDAYS(K226,K226,UKBankHolidays)&gt;0,MEDIAN(TIME(8,0,0),MOD(K226,1),TIME(17,0,0)),TIME(8,0,0))))),IF(N226="",NOW()-K226,N226-K226))</f>
        <v>#REF!</v>
      </c>
      <c r="AA226" s="75" t="e">
        <f t="shared" ca="1" si="1"/>
        <v>#REF!</v>
      </c>
      <c r="AB226" s="76" t="e">
        <f ca="1">IF(NOT(OR(G226=1,G226=2)),MAX(0,_xlfn.IFS(AND(K226&lt;&gt;"",N226&lt;&gt;""),(((MAX(NETWORKDAYS(L226,N226,UKBankHolidays)-1,0))*(TIME(17,0,0)-TIME(8,0,0)))+IF(NETWORKDAYS(N226,N226,UKBankHolidays)&gt;0,MEDIAN(TIME(8,0,0),MOD(N226,1),TIME(17,0,0)),TIME(8,0,0))-IF(NETWORKDAYS(L226,L226,UKBankHolidays)&gt;0,MEDIAN(TIME(8,0,0),MOD(L226,1),TIME(17,0,0)),TIME(8,0,0)))-IF(AND(#REF!&lt;&gt;"",O226&lt;&gt;""),(((MAX(NETWORKDAYS(#REF!,O226,UKBankHolidays)-1,0))*(TIME(17,0,0)-TIME(8,0,0)))+IF(NETWORKDAYS(O226,O226,UKBankHolidays)&gt;0,MEDIAN(TIME(8,0,0),MOD(O226,1),TIME(17,0,0)),TIME(8,0,0))-IF(NETWORKDAYS(#REF!,#REF!,UKBankHolidays)&gt;0,MEDIAN(TIME(8,0,0),MOD(#REF!,1),TIME(17,0,0)),TIME(8,0,0))),0),AND(L226&lt;&gt;"",N226="",#REF!=""),(((MAX(NETWORKDAYS(L226,NOW(),UKBankHolidays)-1,0))*(TIME(17,0,0)-TIME(8,0,0)))+IF(NETWORKDAYS(NOW(),NOW(),UKBankHolidays)&gt;0,MEDIAN(TIME(8,0,0),MOD(NOW(),1),TIME(17,0,0)),TIME(8,0,0))-IF(NETWORKDAYS(L226,L226,UKBankHolidays)&gt;0,MEDIAN(TIME(8,0,0),MOD(L226,1),TIME(17,0,0)),TIME(8,0,0)))-IF(AND(#REF!&lt;&gt;"",O226&lt;&gt;""),(((MAX(NETWORKDAYS(#REF!,O226,UKBankHolidays)-1,0))*(TIME(17,0,0)-TIME(8,0,0)))+IF(NETWORKDAYS(O226,O226,UKBankHolidays)&gt;0,MEDIAN(TIME(8,0,0),MOD(O226,1),TIME(17,0,0)),TIME(8,0,0))-IF(NETWORKDAYS(#REF!,#REF!,UKBankHolidays)&gt;0,MEDIAN(TIME(8,0,0),MOD(#REF!,1),TIME(17,0,0)),TIME(8,0,0))),0),AND(L226&lt;&gt;"",N226="",O226="",#REF!&lt;&gt;""),(((MAX(NETWORKDAYS(L226,#REF!,UKBankHolidays)-1,0))*(TIME(17,0,0)-TIME(8,0,0)))+IF(NETWORKDAYS(#REF!,#REF!,UKBankHolidays)&gt;0,MEDIAN(TIME(8,0,0),MOD(#REF!,1),TIME(17,0,0)),TIME(8,0,0))-IF(NETWORKDAYS(L226,L226,UKBankHolidays)&gt;0,MEDIAN(TIME(8,0,0),MOD(L226,1),TIME(17,0,0)),TIME(8,0,0))),ISBLANK(K226),"0")),IF(ISBLANK(N226),NOW()-L226,N226-L226))</f>
        <v>#REF!</v>
      </c>
      <c r="AC226" s="75" t="e">
        <f t="shared" ca="1" si="3"/>
        <v>#REF!</v>
      </c>
      <c r="AD226" s="76">
        <f t="shared" ca="1" si="26"/>
        <v>0</v>
      </c>
      <c r="AE226" s="76">
        <f>SUMIFS(AB:AB,E:E,#REF!)</f>
        <v>0</v>
      </c>
      <c r="AF226" s="75">
        <f t="shared" si="6"/>
        <v>0</v>
      </c>
      <c r="AG226" s="75">
        <f t="shared" si="7"/>
        <v>0</v>
      </c>
      <c r="AH226" s="31" t="str" cm="1">
        <f t="array" aca="1" ref="AH226" ca="1">IF((AD226) &lt; (INDEX(ResponseSLA[#All],(MATCH((G226),ResponseSLA[Priority],0))+1,3)),"YES","No")</f>
        <v>YES</v>
      </c>
      <c r="AI226" s="31" t="str">
        <f>_xlfn.IFNA(IF(AE226 &lt; (INDEX(SLATable[Minimum SLA],MATCH(G226,SLATable[Priority],0))),"YES","NO"),"")</f>
        <v>YES</v>
      </c>
      <c r="AJ226" t="str">
        <f>_xlfn.IFNA(IF(AE226 &lt; (INDEX(SLATable[Maximum SLA],MATCH(G226,SLATable[Priority],0))),"YES","NO"),"")</f>
        <v>YES</v>
      </c>
    </row>
    <row r="227" spans="1:36" ht="15" customHeight="1">
      <c r="A227" s="45">
        <v>226</v>
      </c>
      <c r="B227" s="45" t="s">
        <v>26</v>
      </c>
      <c r="C227" s="45" t="s">
        <v>41</v>
      </c>
      <c r="D227" s="45" t="s">
        <v>207</v>
      </c>
      <c r="E227" s="45" t="s">
        <v>8566</v>
      </c>
      <c r="F227" s="45" t="s">
        <v>40</v>
      </c>
      <c r="G227" s="66">
        <v>4</v>
      </c>
      <c r="H227" s="45" t="s">
        <v>8567</v>
      </c>
      <c r="I227" s="45" t="s">
        <v>271</v>
      </c>
      <c r="J227" s="45" t="s">
        <v>8199</v>
      </c>
      <c r="K227" s="147">
        <v>46237.904976851853</v>
      </c>
      <c r="L227" s="147">
        <v>46237.904976851853</v>
      </c>
      <c r="M227" s="147">
        <v>46238.244826388887</v>
      </c>
      <c r="N227" s="147">
        <v>46238.33421296296</v>
      </c>
      <c r="Q227" s="45" t="s">
        <v>8191</v>
      </c>
      <c r="S227" s="45" t="s">
        <v>8122</v>
      </c>
      <c r="T227" s="45" t="s">
        <v>1519</v>
      </c>
      <c r="U227" s="45" t="s">
        <v>371</v>
      </c>
      <c r="Z227" s="76">
        <f t="shared" ca="1" si="24"/>
        <v>8.7962962667609279E-4</v>
      </c>
      <c r="AA227" s="75">
        <f t="shared" ca="1" si="1"/>
        <v>2.3456790044695808E-3</v>
      </c>
      <c r="AB227" s="76">
        <f t="shared" ca="1" si="25"/>
        <v>8.7962962667609279E-4</v>
      </c>
      <c r="AC227" s="75">
        <f t="shared" ca="1" si="3"/>
        <v>2.3456790044695808E-3</v>
      </c>
      <c r="AD227" s="76">
        <f t="shared" ca="1" si="26"/>
        <v>0</v>
      </c>
      <c r="AE227" s="76">
        <f>SUMIFS(AB:AB,E:E,#REF!)</f>
        <v>0</v>
      </c>
      <c r="AF227" s="75">
        <f t="shared" si="6"/>
        <v>0</v>
      </c>
      <c r="AG227" s="75">
        <f t="shared" si="7"/>
        <v>0</v>
      </c>
      <c r="AH227" s="31" t="str" cm="1">
        <f t="array" aca="1" ref="AH227" ca="1">IF((AD227) &lt; (INDEX(ResponseSLA[#All],(MATCH((G227),ResponseSLA[Priority],0))+1,3)),"YES","No")</f>
        <v>YES</v>
      </c>
      <c r="AI227" s="31" t="str">
        <f>_xlfn.IFNA(IF(AE227 &lt; (INDEX(SLATable[Minimum SLA],MATCH(G227,SLATable[Priority],0))),"YES","NO"),"")</f>
        <v>YES</v>
      </c>
      <c r="AJ227" t="str">
        <f>_xlfn.IFNA(IF(AE227 &lt; (INDEX(SLATable[Maximum SLA],MATCH(G227,SLATable[Priority],0))),"YES","NO"),"")</f>
        <v>YES</v>
      </c>
    </row>
    <row r="228" spans="1:36" ht="15" customHeight="1">
      <c r="A228" s="45">
        <v>227</v>
      </c>
      <c r="B228" s="45" t="s">
        <v>26</v>
      </c>
      <c r="C228" s="45" t="s">
        <v>41</v>
      </c>
      <c r="D228" s="45" t="s">
        <v>207</v>
      </c>
      <c r="E228" s="45" t="s">
        <v>8568</v>
      </c>
      <c r="F228" s="45" t="s">
        <v>40</v>
      </c>
      <c r="G228" s="66">
        <v>4</v>
      </c>
      <c r="H228" s="45" t="s">
        <v>8569</v>
      </c>
      <c r="I228" s="45" t="s">
        <v>271</v>
      </c>
      <c r="J228" s="45" t="s">
        <v>8199</v>
      </c>
      <c r="K228" s="147">
        <v>46237.911805555559</v>
      </c>
      <c r="L228" s="147">
        <v>46237.911805555559</v>
      </c>
      <c r="M228" s="147">
        <v>46238.246712962966</v>
      </c>
      <c r="N228" s="147">
        <v>46238.316921296297</v>
      </c>
      <c r="Q228" s="45" t="s">
        <v>8191</v>
      </c>
      <c r="S228" s="45" t="s">
        <v>8122</v>
      </c>
      <c r="T228" s="45" t="s">
        <v>1519</v>
      </c>
      <c r="U228" s="45" t="s">
        <v>371</v>
      </c>
      <c r="Z228" s="76">
        <f t="shared" ca="1" si="24"/>
        <v>0</v>
      </c>
      <c r="AA228" s="75">
        <f t="shared" ca="1" si="1"/>
        <v>0</v>
      </c>
      <c r="AB228" s="76">
        <f t="shared" ca="1" si="25"/>
        <v>0</v>
      </c>
      <c r="AC228" s="75">
        <f t="shared" ca="1" si="3"/>
        <v>0</v>
      </c>
      <c r="AD228" s="76">
        <f t="shared" ca="1" si="26"/>
        <v>0</v>
      </c>
      <c r="AE228" s="76" t="e">
        <f ca="1">SUMIFS(AB:AB,E:E,E226)</f>
        <v>#REF!</v>
      </c>
      <c r="AF228" s="75" t="e">
        <f t="shared" ca="1" si="6"/>
        <v>#REF!</v>
      </c>
      <c r="AG228" s="75" t="e">
        <f t="shared" ca="1" si="7"/>
        <v>#REF!</v>
      </c>
      <c r="AH228" s="31" t="str" cm="1">
        <f t="array" aca="1" ref="AH228" ca="1">IF((AD228) &lt; (INDEX(ResponseSLA[#All],(MATCH((G228),ResponseSLA[Priority],0))+1,3)),"YES","No")</f>
        <v>YES</v>
      </c>
      <c r="AI228" s="31" t="e">
        <f ca="1">_xlfn.IFNA(IF(AE228 &lt; (INDEX(SLATable[Minimum SLA],MATCH(G228,SLATable[Priority],0))),"YES","NO"),"")</f>
        <v>#REF!</v>
      </c>
      <c r="AJ228" t="e">
        <f ca="1">_xlfn.IFNA(IF(AE228 &lt; (INDEX(SLATable[Maximum SLA],MATCH(G228,SLATable[Priority],0))),"YES","NO"),"")</f>
        <v>#REF!</v>
      </c>
    </row>
    <row r="229" spans="1:36" ht="15" customHeight="1">
      <c r="A229" s="45">
        <v>228</v>
      </c>
      <c r="B229" s="45" t="s">
        <v>26</v>
      </c>
      <c r="C229" s="45" t="s">
        <v>41</v>
      </c>
      <c r="D229" s="45" t="s">
        <v>207</v>
      </c>
      <c r="E229" s="45" t="s">
        <v>8570</v>
      </c>
      <c r="F229" s="45" t="s">
        <v>40</v>
      </c>
      <c r="G229" s="66">
        <v>4</v>
      </c>
      <c r="H229" s="45" t="s">
        <v>8571</v>
      </c>
      <c r="I229" s="45" t="s">
        <v>271</v>
      </c>
      <c r="J229" s="45" t="s">
        <v>8120</v>
      </c>
      <c r="K229" s="147">
        <v>46237.905266203707</v>
      </c>
      <c r="L229" s="147">
        <v>46237.905266203707</v>
      </c>
      <c r="M229" s="147">
        <v>46238.246932870374</v>
      </c>
      <c r="N229" s="147">
        <v>46241.244131944448</v>
      </c>
      <c r="O229" s="147">
        <v>46238.254687499997</v>
      </c>
      <c r="P229" s="47">
        <v>46241.244131944448</v>
      </c>
      <c r="Q229" s="45" t="s">
        <v>8191</v>
      </c>
      <c r="S229" s="45" t="s">
        <v>8122</v>
      </c>
      <c r="T229" s="45" t="s">
        <v>1519</v>
      </c>
      <c r="U229" s="45" t="s">
        <v>371</v>
      </c>
      <c r="Z229" s="76">
        <f t="shared" ca="1" si="24"/>
        <v>0</v>
      </c>
      <c r="AA229" s="75">
        <f t="shared" ca="1" si="1"/>
        <v>0</v>
      </c>
      <c r="AB229" s="76">
        <f t="shared" ca="1" si="25"/>
        <v>0</v>
      </c>
      <c r="AC229" s="75">
        <f t="shared" ca="1" si="3"/>
        <v>0</v>
      </c>
      <c r="AD229" s="76">
        <f t="shared" ca="1" si="26"/>
        <v>0</v>
      </c>
      <c r="AE229" s="76">
        <f ca="1">SUMIFS(AB:AB,E:E,E227)</f>
        <v>8.7962962667609279E-4</v>
      </c>
      <c r="AF229" s="75">
        <f t="shared" ca="1" si="6"/>
        <v>2.3456790044695808E-3</v>
      </c>
      <c r="AG229" s="75">
        <f t="shared" ca="1" si="7"/>
        <v>2.3456790044695808E-3</v>
      </c>
      <c r="AH229" s="31" t="str" cm="1">
        <f t="array" aca="1" ref="AH229" ca="1">IF((AD229) &lt; (INDEX(ResponseSLA[#All],(MATCH((G229),ResponseSLA[Priority],0))+1,3)),"YES","No")</f>
        <v>YES</v>
      </c>
      <c r="AI229" s="31" t="str">
        <f ca="1">_xlfn.IFNA(IF(AE229 &lt; (INDEX(SLATable[Minimum SLA],MATCH(G229,SLATable[Priority],0))),"YES","NO"),"")</f>
        <v>YES</v>
      </c>
      <c r="AJ229" t="str">
        <f ca="1">_xlfn.IFNA(IF(AE229 &lt; (INDEX(SLATable[Maximum SLA],MATCH(G229,SLATable[Priority],0))),"YES","NO"),"")</f>
        <v>YES</v>
      </c>
    </row>
    <row r="230" spans="1:36" ht="15" customHeight="1">
      <c r="A230" s="45">
        <v>229</v>
      </c>
      <c r="B230" s="45" t="s">
        <v>26</v>
      </c>
      <c r="C230" s="45" t="s">
        <v>41</v>
      </c>
      <c r="D230" s="45" t="s">
        <v>207</v>
      </c>
      <c r="E230" s="45" t="s">
        <v>8572</v>
      </c>
      <c r="F230" s="45" t="s">
        <v>40</v>
      </c>
      <c r="G230" s="66">
        <v>4</v>
      </c>
      <c r="H230" s="45" t="s">
        <v>8573</v>
      </c>
      <c r="I230" s="45" t="s">
        <v>271</v>
      </c>
      <c r="J230" s="45" t="s">
        <v>8120</v>
      </c>
      <c r="K230" s="147">
        <v>46238.912719907406</v>
      </c>
      <c r="L230" s="147">
        <v>46238.912719907406</v>
      </c>
      <c r="M230" s="147">
        <v>46239.18513888889</v>
      </c>
      <c r="N230" s="147">
        <v>46241.242905092593</v>
      </c>
      <c r="O230" s="147">
        <v>46239.234074074076</v>
      </c>
      <c r="P230" s="47">
        <v>46241.242905092593</v>
      </c>
      <c r="Q230" s="45" t="s">
        <v>8191</v>
      </c>
      <c r="S230" s="45" t="s">
        <v>8122</v>
      </c>
      <c r="T230" s="45" t="s">
        <v>1519</v>
      </c>
      <c r="U230" s="45" t="s">
        <v>371</v>
      </c>
      <c r="Z230" s="76">
        <f t="shared" ca="1" si="24"/>
        <v>0</v>
      </c>
      <c r="AA230" s="75">
        <f t="shared" ca="1" si="1"/>
        <v>0</v>
      </c>
      <c r="AB230" s="76">
        <f t="shared" ca="1" si="25"/>
        <v>0</v>
      </c>
      <c r="AC230" s="75">
        <f t="shared" ca="1" si="3"/>
        <v>0</v>
      </c>
      <c r="AD230" s="76">
        <f t="shared" ca="1" si="26"/>
        <v>0</v>
      </c>
      <c r="AE230" s="76">
        <f ca="1">SUMIFS(AB:AB,E:E,E228)</f>
        <v>0</v>
      </c>
      <c r="AF230" s="75">
        <f t="shared" ca="1" si="6"/>
        <v>0</v>
      </c>
      <c r="AG230" s="75">
        <f t="shared" ca="1" si="7"/>
        <v>0</v>
      </c>
      <c r="AH230" s="31" t="str" cm="1">
        <f t="array" aca="1" ref="AH230" ca="1">IF((AD230) &lt; (INDEX(ResponseSLA[#All],(MATCH((G230),ResponseSLA[Priority],0))+1,3)),"YES","No")</f>
        <v>YES</v>
      </c>
      <c r="AI230" s="31" t="str">
        <f ca="1">_xlfn.IFNA(IF(AE230 &lt; (INDEX(SLATable[Minimum SLA],MATCH(G230,SLATable[Priority],0))),"YES","NO"),"")</f>
        <v>YES</v>
      </c>
      <c r="AJ230" t="str">
        <f ca="1">_xlfn.IFNA(IF(AE230 &lt; (INDEX(SLATable[Maximum SLA],MATCH(G230,SLATable[Priority],0))),"YES","NO"),"")</f>
        <v>YES</v>
      </c>
    </row>
    <row r="231" spans="1:36" ht="15" customHeight="1">
      <c r="A231" s="45">
        <v>230</v>
      </c>
      <c r="B231" s="45" t="s">
        <v>26</v>
      </c>
      <c r="C231" s="45" t="s">
        <v>41</v>
      </c>
      <c r="D231" s="45" t="s">
        <v>207</v>
      </c>
      <c r="E231" s="45" t="s">
        <v>8574</v>
      </c>
      <c r="F231" s="45" t="s">
        <v>40</v>
      </c>
      <c r="G231" s="66">
        <v>4</v>
      </c>
      <c r="H231" s="45" t="s">
        <v>8575</v>
      </c>
      <c r="I231" s="45" t="s">
        <v>271</v>
      </c>
      <c r="J231" s="45" t="s">
        <v>8199</v>
      </c>
      <c r="K231" s="147">
        <v>46238.92015046296</v>
      </c>
      <c r="L231" s="147">
        <v>46238.92015046296</v>
      </c>
      <c r="M231" s="147">
        <v>46239.185497685183</v>
      </c>
      <c r="N231" s="147">
        <v>46240.406944444447</v>
      </c>
      <c r="Q231" s="45" t="s">
        <v>8191</v>
      </c>
      <c r="S231" s="45" t="s">
        <v>8122</v>
      </c>
      <c r="T231" s="45" t="s">
        <v>1519</v>
      </c>
      <c r="U231" s="45" t="s">
        <v>371</v>
      </c>
      <c r="Z231" s="76">
        <f t="shared" ca="1" si="24"/>
        <v>0.44861111111337471</v>
      </c>
      <c r="AA231" s="75">
        <f t="shared" ca="1" si="1"/>
        <v>1.1962962963023327</v>
      </c>
      <c r="AB231" s="76">
        <f t="shared" ca="1" si="25"/>
        <v>0.44861111111337471</v>
      </c>
      <c r="AC231" s="75">
        <f t="shared" ca="1" si="3"/>
        <v>1.1962962963023327</v>
      </c>
      <c r="AD231" s="76">
        <f t="shared" ca="1" si="26"/>
        <v>0</v>
      </c>
      <c r="AE231" s="76">
        <f ca="1">SUMIFS(AB:AB,E:E,E229)</f>
        <v>0</v>
      </c>
      <c r="AF231" s="75">
        <f t="shared" ca="1" si="6"/>
        <v>0</v>
      </c>
      <c r="AG231" s="75">
        <f t="shared" ca="1" si="7"/>
        <v>0</v>
      </c>
      <c r="AH231" s="31" t="str" cm="1">
        <f t="array" aca="1" ref="AH231" ca="1">IF((AD231) &lt; (INDEX(ResponseSLA[#All],(MATCH((G231),ResponseSLA[Priority],0))+1,3)),"YES","No")</f>
        <v>YES</v>
      </c>
      <c r="AI231" s="31" t="str">
        <f ca="1">_xlfn.IFNA(IF(AE231 &lt; (INDEX(SLATable[Minimum SLA],MATCH(G231,SLATable[Priority],0))),"YES","NO"),"")</f>
        <v>YES</v>
      </c>
      <c r="AJ231" t="str">
        <f ca="1">_xlfn.IFNA(IF(AE231 &lt; (INDEX(SLATable[Maximum SLA],MATCH(G231,SLATable[Priority],0))),"YES","NO"),"")</f>
        <v>YES</v>
      </c>
    </row>
    <row r="232" spans="1:36" ht="15" customHeight="1">
      <c r="A232" s="45">
        <v>231</v>
      </c>
      <c r="B232" s="45" t="s">
        <v>26</v>
      </c>
      <c r="C232" s="45" t="s">
        <v>41</v>
      </c>
      <c r="D232" s="45" t="s">
        <v>207</v>
      </c>
      <c r="E232" s="45" t="s">
        <v>8576</v>
      </c>
      <c r="F232" s="45" t="s">
        <v>40</v>
      </c>
      <c r="G232" s="66">
        <v>4</v>
      </c>
      <c r="H232" s="45" t="s">
        <v>8577</v>
      </c>
      <c r="I232" s="45" t="s">
        <v>271</v>
      </c>
      <c r="J232" s="45" t="s">
        <v>8120</v>
      </c>
      <c r="K232" s="147">
        <v>46238.912581018521</v>
      </c>
      <c r="L232" s="147">
        <v>46238.912581018521</v>
      </c>
      <c r="M232" s="147">
        <v>46239.185671296298</v>
      </c>
      <c r="N232" s="147">
        <v>46240.408194444448</v>
      </c>
      <c r="Q232" s="45" t="s">
        <v>8191</v>
      </c>
      <c r="S232" s="45" t="s">
        <v>8122</v>
      </c>
      <c r="T232" s="45" t="s">
        <v>1519</v>
      </c>
      <c r="U232" s="45" t="s">
        <v>371</v>
      </c>
      <c r="Z232" s="76">
        <f t="shared" ca="1" si="24"/>
        <v>0.44986111111453886</v>
      </c>
      <c r="AA232" s="75">
        <f t="shared" ca="1" si="1"/>
        <v>1.1996296296387703</v>
      </c>
      <c r="AB232" s="76">
        <f t="shared" ca="1" si="25"/>
        <v>0.44986111111453886</v>
      </c>
      <c r="AC232" s="75">
        <f t="shared" ca="1" si="3"/>
        <v>1.1996296296387703</v>
      </c>
      <c r="AD232" s="76">
        <f t="shared" ca="1" si="26"/>
        <v>0</v>
      </c>
      <c r="AE232" s="76">
        <f t="shared" ca="1" si="27"/>
        <v>0.44986111111453886</v>
      </c>
      <c r="AF232" s="75">
        <f t="shared" ca="1" si="6"/>
        <v>1.1996296296387703</v>
      </c>
      <c r="AG232" s="75">
        <f t="shared" ca="1" si="7"/>
        <v>1.1996296296387703</v>
      </c>
      <c r="AH232" s="31" t="str" cm="1">
        <f t="array" aca="1" ref="AH232" ca="1">IF((AD232) &lt; (INDEX(ResponseSLA[#All],(MATCH((G232),ResponseSLA[Priority],0))+1,3)),"YES","No")</f>
        <v>YES</v>
      </c>
      <c r="AI232" s="31" t="str">
        <f ca="1">_xlfn.IFNA(IF(AE232 &lt; (INDEX(SLATable[Minimum SLA],MATCH(G232,SLATable[Priority],0))),"YES","NO"),"")</f>
        <v>YES</v>
      </c>
      <c r="AJ232" t="str">
        <f ca="1">_xlfn.IFNA(IF(AE232 &lt; (INDEX(SLATable[Maximum SLA],MATCH(G232,SLATable[Priority],0))),"YES","NO"),"")</f>
        <v>YES</v>
      </c>
    </row>
    <row r="233" spans="1:36" ht="15" customHeight="1">
      <c r="A233" s="45">
        <v>232</v>
      </c>
      <c r="B233" s="45" t="s">
        <v>26</v>
      </c>
      <c r="C233" s="45" t="s">
        <v>41</v>
      </c>
      <c r="D233" s="45" t="s">
        <v>207</v>
      </c>
      <c r="E233" s="45" t="s">
        <v>8578</v>
      </c>
      <c r="F233" s="45" t="s">
        <v>40</v>
      </c>
      <c r="G233" s="66">
        <v>4</v>
      </c>
      <c r="H233" s="45" t="s">
        <v>8579</v>
      </c>
      <c r="I233" s="45" t="s">
        <v>271</v>
      </c>
      <c r="J233" s="45" t="s">
        <v>8199</v>
      </c>
      <c r="K233" s="147">
        <v>46239.905914351853</v>
      </c>
      <c r="L233" s="147">
        <v>46239.905914351853</v>
      </c>
      <c r="M233" s="147">
        <v>46240.240162037036</v>
      </c>
      <c r="N233" s="147">
        <v>46240.409270833334</v>
      </c>
      <c r="Q233" s="45" t="s">
        <v>8191</v>
      </c>
      <c r="S233" s="45" t="s">
        <v>8122</v>
      </c>
      <c r="T233" s="45" t="s">
        <v>1519</v>
      </c>
      <c r="U233" s="45" t="s">
        <v>371</v>
      </c>
      <c r="Z233" s="76">
        <f t="shared" ca="1" si="24"/>
        <v>7.5937500000388014E-2</v>
      </c>
      <c r="AA233" s="75">
        <f t="shared" ca="1" si="1"/>
        <v>0.20250000000103471</v>
      </c>
      <c r="AB233" s="76">
        <f t="shared" ca="1" si="25"/>
        <v>7.5937500000388014E-2</v>
      </c>
      <c r="AC233" s="75">
        <f t="shared" ca="1" si="3"/>
        <v>0.20250000000103471</v>
      </c>
      <c r="AD233" s="76">
        <f t="shared" ca="1" si="26"/>
        <v>0</v>
      </c>
      <c r="AE233" s="76">
        <f t="shared" ca="1" si="27"/>
        <v>7.5937500000388014E-2</v>
      </c>
      <c r="AF233" s="75">
        <f t="shared" ca="1" si="6"/>
        <v>0.20250000000103471</v>
      </c>
      <c r="AG233" s="75">
        <f t="shared" ca="1" si="7"/>
        <v>0.20250000000103471</v>
      </c>
      <c r="AH233" s="31" t="str" cm="1">
        <f t="array" aca="1" ref="AH233" ca="1">IF((AD233) &lt; (INDEX(ResponseSLA[#All],(MATCH((G233),ResponseSLA[Priority],0))+1,3)),"YES","No")</f>
        <v>YES</v>
      </c>
      <c r="AI233" s="31" t="str">
        <f ca="1">_xlfn.IFNA(IF(AE233 &lt; (INDEX(SLATable[Minimum SLA],MATCH(G233,SLATable[Priority],0))),"YES","NO"),"")</f>
        <v>YES</v>
      </c>
      <c r="AJ233" t="str">
        <f ca="1">_xlfn.IFNA(IF(AE233 &lt; (INDEX(SLATable[Maximum SLA],MATCH(G233,SLATable[Priority],0))),"YES","NO"),"")</f>
        <v>YES</v>
      </c>
    </row>
    <row r="234" spans="1:36" ht="15" customHeight="1">
      <c r="A234" s="45">
        <v>233</v>
      </c>
      <c r="B234" s="45" t="s">
        <v>26</v>
      </c>
      <c r="C234" s="45" t="s">
        <v>41</v>
      </c>
      <c r="D234" s="45" t="s">
        <v>207</v>
      </c>
      <c r="E234" s="45" t="s">
        <v>8580</v>
      </c>
      <c r="F234" s="45" t="s">
        <v>40</v>
      </c>
      <c r="G234" s="66">
        <v>4</v>
      </c>
      <c r="H234" s="45" t="s">
        <v>8581</v>
      </c>
      <c r="I234" s="45" t="s">
        <v>271</v>
      </c>
      <c r="J234" s="45" t="s">
        <v>8212</v>
      </c>
      <c r="K234" s="147">
        <v>46239.911817129629</v>
      </c>
      <c r="L234" s="147">
        <v>46239.911817129629</v>
      </c>
      <c r="M234" s="147">
        <v>46240.240347222221</v>
      </c>
      <c r="N234" s="147">
        <v>46240.395972222221</v>
      </c>
      <c r="Q234" s="45" t="s">
        <v>8191</v>
      </c>
      <c r="S234" s="45" t="s">
        <v>8122</v>
      </c>
      <c r="T234" s="45" t="s">
        <v>1519</v>
      </c>
      <c r="U234" s="45" t="s">
        <v>371</v>
      </c>
      <c r="Z234" s="76">
        <f t="shared" ca="1" si="24"/>
        <v>6.2638888887401323E-2</v>
      </c>
      <c r="AA234" s="75">
        <f t="shared" ca="1" si="1"/>
        <v>0.16703703703307018</v>
      </c>
      <c r="AB234" s="76">
        <f t="shared" ca="1" si="25"/>
        <v>6.2638888887401323E-2</v>
      </c>
      <c r="AC234" s="75">
        <f t="shared" ca="1" si="3"/>
        <v>0.16703703703307018</v>
      </c>
      <c r="AD234" s="76">
        <f t="shared" ca="1" si="26"/>
        <v>0</v>
      </c>
      <c r="AE234" s="76">
        <f t="shared" ca="1" si="27"/>
        <v>6.2638888887401323E-2</v>
      </c>
      <c r="AF234" s="75">
        <f t="shared" ca="1" si="6"/>
        <v>0.16703703703307018</v>
      </c>
      <c r="AG234" s="75">
        <f t="shared" ca="1" si="7"/>
        <v>0.16703703703307018</v>
      </c>
      <c r="AH234" s="31" t="str" cm="1">
        <f t="array" aca="1" ref="AH234" ca="1">IF((AD234) &lt; (INDEX(ResponseSLA[#All],(MATCH((G234),ResponseSLA[Priority],0))+1,3)),"YES","No")</f>
        <v>YES</v>
      </c>
      <c r="AI234" s="31" t="str">
        <f ca="1">_xlfn.IFNA(IF(AE234 &lt; (INDEX(SLATable[Minimum SLA],MATCH(G234,SLATable[Priority],0))),"YES","NO"),"")</f>
        <v>YES</v>
      </c>
      <c r="AJ234" t="str">
        <f ca="1">_xlfn.IFNA(IF(AE234 &lt; (INDEX(SLATable[Maximum SLA],MATCH(G234,SLATable[Priority],0))),"YES","NO"),"")</f>
        <v>YES</v>
      </c>
    </row>
    <row r="235" spans="1:36" ht="15" customHeight="1">
      <c r="A235" s="45">
        <v>234</v>
      </c>
      <c r="B235" s="45" t="s">
        <v>26</v>
      </c>
      <c r="C235" s="45" t="s">
        <v>41</v>
      </c>
      <c r="D235" s="45" t="s">
        <v>207</v>
      </c>
      <c r="E235" s="45" t="s">
        <v>8582</v>
      </c>
      <c r="F235" s="45" t="s">
        <v>40</v>
      </c>
      <c r="G235" s="66">
        <v>4</v>
      </c>
      <c r="H235" s="45" t="s">
        <v>8583</v>
      </c>
      <c r="I235" s="45" t="s">
        <v>271</v>
      </c>
      <c r="J235" s="45" t="s">
        <v>8120</v>
      </c>
      <c r="K235" s="147">
        <v>46239.905740740738</v>
      </c>
      <c r="L235" s="147">
        <v>46239.905740740738</v>
      </c>
      <c r="M235" s="147">
        <v>46240.24077546296</v>
      </c>
      <c r="N235" s="147">
        <v>46241.244189814817</v>
      </c>
      <c r="O235" s="147">
        <v>46240.242650462962</v>
      </c>
      <c r="P235" s="47">
        <v>46241.244189814817</v>
      </c>
      <c r="Q235" s="45" t="s">
        <v>8191</v>
      </c>
      <c r="S235" s="45" t="s">
        <v>8122</v>
      </c>
      <c r="T235" s="45" t="s">
        <v>1519</v>
      </c>
      <c r="U235" s="45" t="s">
        <v>371</v>
      </c>
      <c r="Z235" s="76">
        <f t="shared" ca="1" si="24"/>
        <v>5.5511151231257827E-17</v>
      </c>
      <c r="AA235" s="75">
        <f t="shared" ca="1" si="1"/>
        <v>1.4802973661668753E-16</v>
      </c>
      <c r="AB235" s="76">
        <f t="shared" ca="1" si="25"/>
        <v>5.5511151231257827E-17</v>
      </c>
      <c r="AC235" s="75">
        <f t="shared" ca="1" si="3"/>
        <v>1.4802973661668753E-16</v>
      </c>
      <c r="AD235" s="76">
        <f t="shared" ca="1" si="26"/>
        <v>0</v>
      </c>
      <c r="AE235" s="76">
        <f t="shared" ca="1" si="27"/>
        <v>5.5511151231257827E-17</v>
      </c>
      <c r="AF235" s="75">
        <f t="shared" ca="1" si="6"/>
        <v>1.4802973661668753E-16</v>
      </c>
      <c r="AG235" s="75">
        <f t="shared" ca="1" si="7"/>
        <v>1.4802973661668753E-16</v>
      </c>
      <c r="AH235" s="31" t="str" cm="1">
        <f t="array" aca="1" ref="AH235" ca="1">IF((AD235) &lt; (INDEX(ResponseSLA[#All],(MATCH((G235),ResponseSLA[Priority],0))+1,3)),"YES","No")</f>
        <v>YES</v>
      </c>
      <c r="AI235" s="31" t="str">
        <f ca="1">_xlfn.IFNA(IF(AE235 &lt; (INDEX(SLATable[Minimum SLA],MATCH(G235,SLATable[Priority],0))),"YES","NO"),"")</f>
        <v>YES</v>
      </c>
      <c r="AJ235" t="str">
        <f ca="1">_xlfn.IFNA(IF(AE235 &lt; (INDEX(SLATable[Maximum SLA],MATCH(G235,SLATable[Priority],0))),"YES","NO"),"")</f>
        <v>YES</v>
      </c>
    </row>
    <row r="236" spans="1:36" ht="15" customHeight="1">
      <c r="A236" s="45">
        <v>235</v>
      </c>
      <c r="B236" s="45" t="s">
        <v>26</v>
      </c>
      <c r="C236" s="45" t="s">
        <v>41</v>
      </c>
      <c r="D236" s="45" t="s">
        <v>207</v>
      </c>
      <c r="E236" s="45" t="s">
        <v>8584</v>
      </c>
      <c r="F236" s="45" t="s">
        <v>40</v>
      </c>
      <c r="G236" s="66">
        <v>4</v>
      </c>
      <c r="H236" s="45" t="s">
        <v>8585</v>
      </c>
      <c r="I236" s="45" t="s">
        <v>271</v>
      </c>
      <c r="J236" s="45" t="s">
        <v>8199</v>
      </c>
      <c r="K236" s="147">
        <v>46239.905648148146</v>
      </c>
      <c r="L236" s="147">
        <v>46239.905648148146</v>
      </c>
      <c r="M236" s="147">
        <v>46240.240613425929</v>
      </c>
      <c r="N236" s="147">
        <v>46240.438043981485</v>
      </c>
      <c r="Q236" s="45" t="s">
        <v>8191</v>
      </c>
      <c r="S236" s="45" t="s">
        <v>8122</v>
      </c>
      <c r="T236" s="45" t="s">
        <v>1519</v>
      </c>
      <c r="U236" s="45" t="s">
        <v>371</v>
      </c>
      <c r="Z236" s="76">
        <f t="shared" ca="1" si="24"/>
        <v>0.10471064815161901</v>
      </c>
      <c r="AA236" s="75">
        <f t="shared" ca="1" si="1"/>
        <v>0.27922839507098401</v>
      </c>
      <c r="AB236" s="76">
        <f t="shared" ca="1" si="25"/>
        <v>0.10471064815161901</v>
      </c>
      <c r="AC236" s="75">
        <f t="shared" ca="1" si="3"/>
        <v>0.27922839507098401</v>
      </c>
      <c r="AD236" s="76">
        <f t="shared" ca="1" si="26"/>
        <v>0</v>
      </c>
      <c r="AE236" s="76">
        <f t="shared" ca="1" si="27"/>
        <v>0.10471064815161901</v>
      </c>
      <c r="AF236" s="75">
        <f t="shared" ca="1" si="6"/>
        <v>0.27922839507098401</v>
      </c>
      <c r="AG236" s="75">
        <f t="shared" ca="1" si="7"/>
        <v>0.27922839507098401</v>
      </c>
      <c r="AH236" s="31" t="str" cm="1">
        <f t="array" aca="1" ref="AH236" ca="1">IF((AD236) &lt; (INDEX(ResponseSLA[#All],(MATCH((G236),ResponseSLA[Priority],0))+1,3)),"YES","No")</f>
        <v>YES</v>
      </c>
      <c r="AI236" s="31" t="str">
        <f ca="1">_xlfn.IFNA(IF(AE236 &lt; (INDEX(SLATable[Minimum SLA],MATCH(G236,SLATable[Priority],0))),"YES","NO"),"")</f>
        <v>YES</v>
      </c>
      <c r="AJ236" t="str">
        <f ca="1">_xlfn.IFNA(IF(AE236 &lt; (INDEX(SLATable[Maximum SLA],MATCH(G236,SLATable[Priority],0))),"YES","NO"),"")</f>
        <v>YES</v>
      </c>
    </row>
    <row r="237" spans="1:36" ht="15" customHeight="1">
      <c r="A237" s="45">
        <v>236</v>
      </c>
      <c r="B237" s="45" t="s">
        <v>26</v>
      </c>
      <c r="C237" s="45" t="s">
        <v>41</v>
      </c>
      <c r="D237" s="45" t="s">
        <v>207</v>
      </c>
      <c r="E237" s="45" t="s">
        <v>8586</v>
      </c>
      <c r="F237" s="45" t="s">
        <v>40</v>
      </c>
      <c r="G237" s="66">
        <v>4</v>
      </c>
      <c r="H237" s="45" t="s">
        <v>8587</v>
      </c>
      <c r="I237" s="45" t="s">
        <v>271</v>
      </c>
      <c r="J237" s="45" t="s">
        <v>8120</v>
      </c>
      <c r="K237" s="147">
        <v>46227.908217592594</v>
      </c>
      <c r="L237" s="147">
        <v>46227.908217592594</v>
      </c>
      <c r="M237" s="147">
        <v>46230.275694444441</v>
      </c>
      <c r="N237" s="147">
        <v>46241.242719907408</v>
      </c>
      <c r="O237" s="147">
        <v>46230.432245370372</v>
      </c>
      <c r="P237" s="147">
        <v>46241.242719907408</v>
      </c>
      <c r="Q237" s="45" t="s">
        <v>8191</v>
      </c>
      <c r="S237" s="45" t="s">
        <v>8122</v>
      </c>
      <c r="T237" s="45" t="s">
        <v>1519</v>
      </c>
      <c r="U237" s="45" t="s">
        <v>371</v>
      </c>
      <c r="Z237" s="76">
        <f t="shared" ca="1" si="24"/>
        <v>9.8912037038341172E-2</v>
      </c>
      <c r="AA237" s="75">
        <f t="shared" ca="1" si="1"/>
        <v>0.26376543210224312</v>
      </c>
      <c r="AB237" s="76">
        <f t="shared" ca="1" si="25"/>
        <v>9.8912037038341172E-2</v>
      </c>
      <c r="AC237" s="75">
        <f t="shared" ca="1" si="3"/>
        <v>0.26376543210224312</v>
      </c>
      <c r="AD237" s="76">
        <f t="shared" ca="1" si="26"/>
        <v>0</v>
      </c>
      <c r="AE237" s="76">
        <f>SUMIFS(AB:AB,E:E,#REF!)</f>
        <v>0</v>
      </c>
      <c r="AF237" s="75">
        <f t="shared" si="6"/>
        <v>0</v>
      </c>
      <c r="AG237" s="75">
        <f t="shared" si="7"/>
        <v>0</v>
      </c>
      <c r="AH237" s="31" t="str" cm="1">
        <f t="array" aca="1" ref="AH237" ca="1">IF((AD237) &lt; (INDEX(ResponseSLA[#All],(MATCH((G237),ResponseSLA[Priority],0))+1,3)),"YES","No")</f>
        <v>YES</v>
      </c>
      <c r="AI237" s="31" t="str">
        <f>_xlfn.IFNA(IF(AE237 &lt; (INDEX(SLATable[Minimum SLA],MATCH(G237,SLATable[Priority],0))),"YES","NO"),"")</f>
        <v>YES</v>
      </c>
      <c r="AJ237" t="str">
        <f>_xlfn.IFNA(IF(AE237 &lt; (INDEX(SLATable[Maximum SLA],MATCH(G237,SLATable[Priority],0))),"YES","NO"),"")</f>
        <v>YES</v>
      </c>
    </row>
    <row r="238" spans="1:36" ht="15" customHeight="1">
      <c r="A238" s="45">
        <v>237</v>
      </c>
      <c r="B238" s="45" t="s">
        <v>26</v>
      </c>
      <c r="C238" s="45" t="s">
        <v>41</v>
      </c>
      <c r="D238" s="45" t="s">
        <v>207</v>
      </c>
      <c r="E238" s="45" t="s">
        <v>8588</v>
      </c>
      <c r="F238" s="45" t="s">
        <v>40</v>
      </c>
      <c r="G238" s="66">
        <v>4</v>
      </c>
      <c r="H238" s="45" t="s">
        <v>8589</v>
      </c>
      <c r="I238" s="45" t="s">
        <v>271</v>
      </c>
      <c r="J238" s="45" t="s">
        <v>8120</v>
      </c>
      <c r="K238" s="147">
        <v>46240.527650462966</v>
      </c>
      <c r="L238" s="147">
        <v>46240.527650462966</v>
      </c>
      <c r="M238" s="147">
        <v>46240.579097222224</v>
      </c>
      <c r="N238" s="147">
        <v>46245.242465277777</v>
      </c>
      <c r="O238" s="147">
        <v>46240.581041666665</v>
      </c>
      <c r="P238" s="147">
        <v>46245.242465277777</v>
      </c>
      <c r="Q238" s="45" t="s">
        <v>8191</v>
      </c>
      <c r="S238" s="45" t="s">
        <v>8122</v>
      </c>
      <c r="T238" s="45" t="s">
        <v>1455</v>
      </c>
      <c r="U238" s="45" t="s">
        <v>371</v>
      </c>
      <c r="Z238" s="76">
        <f t="shared" ca="1" si="24"/>
        <v>5.3391203698993195E-2</v>
      </c>
      <c r="AA238" s="75">
        <f t="shared" ca="1" si="1"/>
        <v>0.14237654319731519</v>
      </c>
      <c r="AB238" s="76">
        <f t="shared" ca="1" si="25"/>
        <v>5.3391203698993195E-2</v>
      </c>
      <c r="AC238" s="75">
        <f t="shared" ca="1" si="3"/>
        <v>0.14237654319731519</v>
      </c>
      <c r="AD238" s="76">
        <f t="shared" ca="1" si="26"/>
        <v>5.1446759258396924E-2</v>
      </c>
      <c r="AE238" s="76">
        <f ca="1">SUMIFS(AB:AB,E:E,E237)</f>
        <v>9.8912037038341172E-2</v>
      </c>
      <c r="AF238" s="75">
        <f t="shared" ca="1" si="6"/>
        <v>0.26376543210224312</v>
      </c>
      <c r="AG238" s="75">
        <f t="shared" ca="1" si="7"/>
        <v>0.26376543210224312</v>
      </c>
      <c r="AH238" s="31" t="str" cm="1">
        <f t="array" aca="1" ref="AH238" ca="1">IF((AD238) &lt; (INDEX(ResponseSLA[#All],(MATCH((G238),ResponseSLA[Priority],0))+1,3)),"YES","No")</f>
        <v>YES</v>
      </c>
      <c r="AI238" s="31" t="str">
        <f ca="1">_xlfn.IFNA(IF(AE238 &lt; (INDEX(SLATable[Minimum SLA],MATCH(G238,SLATable[Priority],0))),"YES","NO"),"")</f>
        <v>YES</v>
      </c>
      <c r="AJ238" t="str">
        <f ca="1">_xlfn.IFNA(IF(AE238 &lt; (INDEX(SLATable[Maximum SLA],MATCH(G238,SLATable[Priority],0))),"YES","NO"),"")</f>
        <v>YES</v>
      </c>
    </row>
    <row r="239" spans="1:36" ht="15" customHeight="1">
      <c r="A239" s="45">
        <v>238</v>
      </c>
      <c r="B239" s="45" t="s">
        <v>26</v>
      </c>
      <c r="C239" s="45" t="s">
        <v>41</v>
      </c>
      <c r="D239" s="45" t="s">
        <v>207</v>
      </c>
      <c r="E239" s="45" t="s">
        <v>8590</v>
      </c>
      <c r="F239" s="45" t="s">
        <v>40</v>
      </c>
      <c r="G239" s="66">
        <v>4</v>
      </c>
      <c r="H239" s="45" t="s">
        <v>8591</v>
      </c>
      <c r="I239" s="45" t="s">
        <v>271</v>
      </c>
      <c r="J239" s="45" t="s">
        <v>8120</v>
      </c>
      <c r="K239" s="147">
        <v>46243.900833333333</v>
      </c>
      <c r="L239" s="147">
        <v>46243.900833333333</v>
      </c>
      <c r="M239" s="147">
        <v>46244.228009259263</v>
      </c>
      <c r="N239" s="147">
        <v>46244.229629629626</v>
      </c>
      <c r="Q239" s="45" t="s">
        <v>8191</v>
      </c>
      <c r="S239" s="45" t="s">
        <v>8122</v>
      </c>
      <c r="T239" s="45" t="s">
        <v>1519</v>
      </c>
      <c r="U239" s="45" t="s">
        <v>371</v>
      </c>
      <c r="Z239" s="76">
        <f t="shared" ca="1" si="24"/>
        <v>0</v>
      </c>
      <c r="AA239" s="75">
        <f t="shared" ca="1" si="1"/>
        <v>0</v>
      </c>
      <c r="AB239" s="76">
        <f t="shared" ca="1" si="25"/>
        <v>0</v>
      </c>
      <c r="AC239" s="75">
        <f t="shared" ca="1" si="3"/>
        <v>0</v>
      </c>
      <c r="AD239" s="76">
        <f t="shared" ca="1" si="26"/>
        <v>0</v>
      </c>
      <c r="AE239" s="76">
        <f t="shared" ca="1" si="27"/>
        <v>0</v>
      </c>
      <c r="AF239" s="75">
        <f t="shared" ca="1" si="6"/>
        <v>0</v>
      </c>
      <c r="AG239" s="75">
        <f t="shared" ca="1" si="7"/>
        <v>0</v>
      </c>
      <c r="AH239" s="31" t="str" cm="1">
        <f t="array" aca="1" ref="AH239" ca="1">IF((AD239) &lt; (INDEX(ResponseSLA[#All],(MATCH((G239),ResponseSLA[Priority],0))+1,3)),"YES","No")</f>
        <v>YES</v>
      </c>
      <c r="AI239" s="31" t="str">
        <f ca="1">_xlfn.IFNA(IF(AE239 &lt; (INDEX(SLATable[Minimum SLA],MATCH(G239,SLATable[Priority],0))),"YES","NO"),"")</f>
        <v>YES</v>
      </c>
      <c r="AJ239" t="str">
        <f ca="1">_xlfn.IFNA(IF(AE239 &lt; (INDEX(SLATable[Maximum SLA],MATCH(G239,SLATable[Priority],0))),"YES","NO"),"")</f>
        <v>YES</v>
      </c>
    </row>
    <row r="240" spans="1:36" ht="15" customHeight="1">
      <c r="A240" s="45">
        <v>239</v>
      </c>
      <c r="B240" s="45" t="s">
        <v>26</v>
      </c>
      <c r="C240" s="45" t="s">
        <v>41</v>
      </c>
      <c r="D240" s="45" t="s">
        <v>207</v>
      </c>
      <c r="E240" s="45" t="s">
        <v>8592</v>
      </c>
      <c r="F240" s="45" t="s">
        <v>40</v>
      </c>
      <c r="G240" s="66">
        <v>3</v>
      </c>
      <c r="H240" s="45" t="s">
        <v>8593</v>
      </c>
      <c r="I240" s="45" t="s">
        <v>271</v>
      </c>
      <c r="J240" s="45" t="s">
        <v>8120</v>
      </c>
      <c r="K240" s="147">
        <v>46241.910231481481</v>
      </c>
      <c r="L240" s="147">
        <v>46241.910231481481</v>
      </c>
      <c r="M240" s="147">
        <v>46244.233043981483</v>
      </c>
      <c r="N240" s="147">
        <v>46252.453506944446</v>
      </c>
      <c r="O240" s="147">
        <v>46244.453333333331</v>
      </c>
      <c r="P240" s="147">
        <v>46252.453506944446</v>
      </c>
      <c r="Q240" s="45" t="s">
        <v>8191</v>
      </c>
      <c r="S240" s="45" t="s">
        <v>8122</v>
      </c>
      <c r="T240" s="45" t="s">
        <v>1455</v>
      </c>
      <c r="U240" s="45" t="s">
        <v>371</v>
      </c>
      <c r="Z240" s="76">
        <f t="shared" ca="1" si="24"/>
        <v>0.11999999999776856</v>
      </c>
      <c r="AA240" s="75">
        <f t="shared" ca="1" si="1"/>
        <v>0.31999999999404949</v>
      </c>
      <c r="AB240" s="76">
        <f t="shared" ca="1" si="25"/>
        <v>0.11999999999776856</v>
      </c>
      <c r="AC240" s="75">
        <f t="shared" ca="1" si="3"/>
        <v>0.31999999999404949</v>
      </c>
      <c r="AD240" s="76">
        <f t="shared" ca="1" si="26"/>
        <v>0</v>
      </c>
      <c r="AE240" s="76">
        <f t="shared" ca="1" si="27"/>
        <v>0.11999999999776856</v>
      </c>
      <c r="AF240" s="75">
        <f t="shared" ca="1" si="6"/>
        <v>0.31999999999404949</v>
      </c>
      <c r="AG240" s="75">
        <f t="shared" ca="1" si="7"/>
        <v>0.31999999999404949</v>
      </c>
      <c r="AH240" s="31" t="str" cm="1">
        <f t="array" aca="1" ref="AH240" ca="1">IF((AD240) &lt; (INDEX(ResponseSLA[#All],(MATCH((G240),ResponseSLA[Priority],0))+1,3)),"YES","No")</f>
        <v>YES</v>
      </c>
      <c r="AI240" s="31" t="str">
        <f ca="1">_xlfn.IFNA(IF(AE240 &lt; (INDEX(SLATable[Minimum SLA],MATCH(G240,SLATable[Priority],0))),"YES","NO"),"")</f>
        <v>YES</v>
      </c>
      <c r="AJ240" t="str">
        <f ca="1">_xlfn.IFNA(IF(AE240 &lt; (INDEX(SLATable[Maximum SLA],MATCH(G240,SLATable[Priority],0))),"YES","NO"),"")</f>
        <v>YES</v>
      </c>
    </row>
    <row r="241" spans="1:36" ht="15" customHeight="1">
      <c r="A241" s="45">
        <v>240</v>
      </c>
      <c r="B241" s="45" t="s">
        <v>26</v>
      </c>
      <c r="C241" s="45" t="s">
        <v>41</v>
      </c>
      <c r="D241" s="45" t="s">
        <v>207</v>
      </c>
      <c r="E241" s="45" t="s">
        <v>8594</v>
      </c>
      <c r="F241" s="45" t="s">
        <v>40</v>
      </c>
      <c r="G241" s="66">
        <v>3</v>
      </c>
      <c r="H241" s="45" t="s">
        <v>4837</v>
      </c>
      <c r="I241" s="45" t="s">
        <v>271</v>
      </c>
      <c r="J241" s="45" t="s">
        <v>8120</v>
      </c>
      <c r="K241" s="147">
        <v>46243.390289351853</v>
      </c>
      <c r="L241" s="147">
        <v>46243.390289351853</v>
      </c>
      <c r="M241" s="147">
        <v>46244.233252314814</v>
      </c>
      <c r="N241" s="147">
        <v>46245.447083333333</v>
      </c>
      <c r="O241" s="147">
        <v>46244.450069444443</v>
      </c>
      <c r="P241" s="147">
        <v>46245.447083333333</v>
      </c>
      <c r="Q241" s="45" t="s">
        <v>8191</v>
      </c>
      <c r="S241" s="45" t="s">
        <v>8122</v>
      </c>
      <c r="T241" s="45" t="s">
        <v>1455</v>
      </c>
      <c r="U241" s="45" t="s">
        <v>371</v>
      </c>
      <c r="Z241" s="76">
        <f t="shared" ca="1" si="24"/>
        <v>0.1167361111098823</v>
      </c>
      <c r="AA241" s="75">
        <f t="shared" ca="1" si="1"/>
        <v>0.31129629629301947</v>
      </c>
      <c r="AB241" s="76">
        <f t="shared" ca="1" si="25"/>
        <v>0.1167361111098823</v>
      </c>
      <c r="AC241" s="75">
        <f t="shared" ca="1" si="3"/>
        <v>0.31129629629301947</v>
      </c>
      <c r="AD241" s="76">
        <f t="shared" ca="1" si="26"/>
        <v>0</v>
      </c>
      <c r="AE241" s="76">
        <f t="shared" ca="1" si="27"/>
        <v>0.1167361111098823</v>
      </c>
      <c r="AF241" s="75">
        <f t="shared" ca="1" si="6"/>
        <v>0.31129629629301947</v>
      </c>
      <c r="AG241" s="75">
        <f t="shared" ca="1" si="7"/>
        <v>0.31129629629301947</v>
      </c>
      <c r="AH241" s="31" t="str" cm="1">
        <f t="array" aca="1" ref="AH241" ca="1">IF((AD241) &lt; (INDEX(ResponseSLA[#All],(MATCH((G241),ResponseSLA[Priority],0))+1,3)),"YES","No")</f>
        <v>YES</v>
      </c>
      <c r="AI241" s="31" t="str">
        <f ca="1">_xlfn.IFNA(IF(AE241 &lt; (INDEX(SLATable[Minimum SLA],MATCH(G241,SLATable[Priority],0))),"YES","NO"),"")</f>
        <v>YES</v>
      </c>
      <c r="AJ241" t="str">
        <f ca="1">_xlfn.IFNA(IF(AE241 &lt; (INDEX(SLATable[Maximum SLA],MATCH(G241,SLATable[Priority],0))),"YES","NO"),"")</f>
        <v>YES</v>
      </c>
    </row>
    <row r="242" spans="1:36" ht="15" customHeight="1">
      <c r="A242" s="45">
        <v>241</v>
      </c>
      <c r="B242" s="45" t="s">
        <v>26</v>
      </c>
      <c r="C242" s="45" t="s">
        <v>41</v>
      </c>
      <c r="D242" s="45" t="s">
        <v>207</v>
      </c>
      <c r="E242" s="45" t="s">
        <v>8595</v>
      </c>
      <c r="F242" s="45" t="s">
        <v>40</v>
      </c>
      <c r="G242" s="66">
        <v>3</v>
      </c>
      <c r="H242" s="45" t="s">
        <v>8596</v>
      </c>
      <c r="I242" s="45" t="s">
        <v>271</v>
      </c>
      <c r="J242" s="45" t="s">
        <v>8120</v>
      </c>
      <c r="K242" s="147">
        <v>46243.385428240741</v>
      </c>
      <c r="L242" s="147">
        <v>46243.385428240741</v>
      </c>
      <c r="M242" s="147">
        <v>46244.233449074076</v>
      </c>
      <c r="N242" s="147">
        <v>46246.455821759257</v>
      </c>
      <c r="O242" s="147">
        <v>46244.450659722221</v>
      </c>
      <c r="P242" s="147">
        <v>46246.455821759257</v>
      </c>
      <c r="Q242" s="45" t="s">
        <v>8191</v>
      </c>
      <c r="S242" s="45" t="s">
        <v>8122</v>
      </c>
      <c r="T242" s="45" t="s">
        <v>1455</v>
      </c>
      <c r="U242" s="45" t="s">
        <v>371</v>
      </c>
      <c r="Z242" s="76">
        <f t="shared" ca="1" si="24"/>
        <v>0.11732638888740143</v>
      </c>
      <c r="AA242" s="75">
        <f t="shared" ca="1" si="1"/>
        <v>0.3128703703664038</v>
      </c>
      <c r="AB242" s="76">
        <f t="shared" ca="1" si="25"/>
        <v>0.11732638888740143</v>
      </c>
      <c r="AC242" s="75">
        <f t="shared" ca="1" si="3"/>
        <v>0.3128703703664038</v>
      </c>
      <c r="AD242" s="76">
        <f t="shared" ca="1" si="26"/>
        <v>0</v>
      </c>
      <c r="AE242" s="76">
        <f t="shared" ca="1" si="27"/>
        <v>0.11732638888740143</v>
      </c>
      <c r="AF242" s="75">
        <f t="shared" ca="1" si="6"/>
        <v>0.3128703703664038</v>
      </c>
      <c r="AG242" s="75">
        <f t="shared" ca="1" si="7"/>
        <v>0.3128703703664038</v>
      </c>
      <c r="AH242" s="31" t="str" cm="1">
        <f t="array" aca="1" ref="AH242" ca="1">IF((AD242) &lt; (INDEX(ResponseSLA[#All],(MATCH((G242),ResponseSLA[Priority],0))+1,3)),"YES","No")</f>
        <v>YES</v>
      </c>
      <c r="AI242" s="31" t="str">
        <f ca="1">_xlfn.IFNA(IF(AE242 &lt; (INDEX(SLATable[Minimum SLA],MATCH(G242,SLATable[Priority],0))),"YES","NO"),"")</f>
        <v>YES</v>
      </c>
      <c r="AJ242" t="str">
        <f ca="1">_xlfn.IFNA(IF(AE242 &lt; (INDEX(SLATable[Maximum SLA],MATCH(G242,SLATable[Priority],0))),"YES","NO"),"")</f>
        <v>YES</v>
      </c>
    </row>
    <row r="243" spans="1:36" ht="15" customHeight="1">
      <c r="A243" s="45">
        <v>242</v>
      </c>
      <c r="B243" s="45" t="s">
        <v>26</v>
      </c>
      <c r="C243" s="45" t="s">
        <v>41</v>
      </c>
      <c r="D243" s="45" t="s">
        <v>208</v>
      </c>
      <c r="E243" s="45" t="s">
        <v>8597</v>
      </c>
      <c r="F243" s="45" t="s">
        <v>40</v>
      </c>
      <c r="G243" s="66" t="s">
        <v>208</v>
      </c>
      <c r="H243" s="45" t="s">
        <v>8598</v>
      </c>
      <c r="I243" s="45" t="s">
        <v>275</v>
      </c>
      <c r="J243" s="45" t="s">
        <v>8120</v>
      </c>
      <c r="K243" s="147">
        <v>46244.270925925928</v>
      </c>
      <c r="L243" s="147">
        <v>46244.270925925928</v>
      </c>
      <c r="M243" s="147">
        <v>46244.298437500001</v>
      </c>
      <c r="N243" s="147">
        <v>46244.298437500001</v>
      </c>
      <c r="U243" s="45" t="s">
        <v>371</v>
      </c>
      <c r="Z243" s="76">
        <f t="shared" ca="1" si="24"/>
        <v>0</v>
      </c>
      <c r="AA243" s="75">
        <f t="shared" ca="1" si="1"/>
        <v>0</v>
      </c>
      <c r="AB243" s="76">
        <f t="shared" ca="1" si="25"/>
        <v>0</v>
      </c>
      <c r="AC243" s="75">
        <f t="shared" ca="1" si="3"/>
        <v>0</v>
      </c>
      <c r="AD243" s="76">
        <f t="shared" ca="1" si="26"/>
        <v>0</v>
      </c>
      <c r="AE243" s="76">
        <f t="shared" ca="1" si="27"/>
        <v>0</v>
      </c>
      <c r="AF243" s="75">
        <f t="shared" ca="1" si="6"/>
        <v>0</v>
      </c>
      <c r="AG243" s="75">
        <f t="shared" ca="1" si="7"/>
        <v>0</v>
      </c>
      <c r="AH243" s="31" t="str" cm="1">
        <f t="array" aca="1" ref="AH243" ca="1">IF((AD243) &lt; (INDEX(ResponseSLA[#All],(MATCH((G243),ResponseSLA[Priority],0))+1,3)),"YES","No")</f>
        <v>YES</v>
      </c>
      <c r="AI243" s="31" t="str">
        <f ca="1">_xlfn.IFNA(IF(AE243 &lt; (INDEX(SLATable[Minimum SLA],MATCH(G243,SLATable[Priority],0))),"YES","NO"),"")</f>
        <v>YES</v>
      </c>
      <c r="AJ243" t="str">
        <f ca="1">_xlfn.IFNA(IF(AE243 &lt; (INDEX(SLATable[Maximum SLA],MATCH(G243,SLATable[Priority],0))),"YES","NO"),"")</f>
        <v>YES</v>
      </c>
    </row>
    <row r="244" spans="1:36" ht="15" customHeight="1">
      <c r="A244" s="45">
        <v>243</v>
      </c>
      <c r="B244" s="45" t="s">
        <v>26</v>
      </c>
      <c r="C244" s="45" t="s">
        <v>41</v>
      </c>
      <c r="D244" s="45" t="s">
        <v>207</v>
      </c>
      <c r="E244" s="45" t="s">
        <v>8599</v>
      </c>
      <c r="F244" s="45" t="s">
        <v>40</v>
      </c>
      <c r="G244" s="66">
        <v>4</v>
      </c>
      <c r="H244" s="45" t="s">
        <v>8600</v>
      </c>
      <c r="I244" s="45" t="s">
        <v>271</v>
      </c>
      <c r="J244" s="45" t="s">
        <v>8120</v>
      </c>
      <c r="K244" s="147">
        <v>46244.488206018519</v>
      </c>
      <c r="L244" s="147">
        <v>46244.488206018519</v>
      </c>
      <c r="M244" s="147">
        <v>46244.526180555556</v>
      </c>
      <c r="N244" s="147">
        <v>46254.471585648149</v>
      </c>
      <c r="O244" s="147">
        <v>46247.288773148146</v>
      </c>
      <c r="P244" s="147">
        <v>46254.471585648149</v>
      </c>
      <c r="Q244" s="45" t="s">
        <v>8191</v>
      </c>
      <c r="S244" s="45" t="s">
        <v>8122</v>
      </c>
      <c r="T244" s="45" t="s">
        <v>1519</v>
      </c>
      <c r="U244" s="45" t="s">
        <v>371</v>
      </c>
      <c r="Z244" s="76">
        <f t="shared" ca="1" si="24"/>
        <v>0.97012731481421177</v>
      </c>
      <c r="AA244" s="75">
        <f t="shared" ca="1" si="1"/>
        <v>2.5870061728378979</v>
      </c>
      <c r="AB244" s="76">
        <f t="shared" ca="1" si="25"/>
        <v>0.97012731481421177</v>
      </c>
      <c r="AC244" s="75">
        <f t="shared" ca="1" si="3"/>
        <v>2.5870061728378979</v>
      </c>
      <c r="AD244" s="76">
        <f t="shared" ca="1" si="26"/>
        <v>3.7974537037371192E-2</v>
      </c>
      <c r="AE244" s="76">
        <f t="shared" ca="1" si="27"/>
        <v>0.97012731481421177</v>
      </c>
      <c r="AF244" s="75">
        <f t="shared" ca="1" si="6"/>
        <v>2.5870061728378979</v>
      </c>
      <c r="AG244" s="75">
        <f t="shared" ca="1" si="7"/>
        <v>2.5870061728378979</v>
      </c>
      <c r="AH244" s="31" t="str" cm="1">
        <f t="array" aca="1" ref="AH244" ca="1">IF((AD244) &lt; (INDEX(ResponseSLA[#All],(MATCH((G244),ResponseSLA[Priority],0))+1,3)),"YES","No")</f>
        <v>YES</v>
      </c>
      <c r="AI244" s="31" t="str">
        <f ca="1">_xlfn.IFNA(IF(AE244 &lt; (INDEX(SLATable[Minimum SLA],MATCH(G244,SLATable[Priority],0))),"YES","NO"),"")</f>
        <v>YES</v>
      </c>
      <c r="AJ244" t="str">
        <f ca="1">_xlfn.IFNA(IF(AE244 &lt; (INDEX(SLATable[Maximum SLA],MATCH(G244,SLATable[Priority],0))),"YES","NO"),"")</f>
        <v>YES</v>
      </c>
    </row>
    <row r="245" spans="1:36" ht="15" customHeight="1">
      <c r="A245" s="45">
        <v>244</v>
      </c>
      <c r="B245" s="45" t="s">
        <v>26</v>
      </c>
      <c r="C245" s="45" t="s">
        <v>41</v>
      </c>
      <c r="D245" s="45" t="s">
        <v>207</v>
      </c>
      <c r="E245" s="45" t="s">
        <v>8588</v>
      </c>
      <c r="F245" s="45" t="s">
        <v>40</v>
      </c>
      <c r="G245" s="66">
        <v>4</v>
      </c>
      <c r="H245" s="45" t="s">
        <v>8589</v>
      </c>
      <c r="I245" s="45" t="s">
        <v>271</v>
      </c>
      <c r="J245" s="45" t="s">
        <v>8120</v>
      </c>
      <c r="K245" s="147">
        <v>46240.527650462966</v>
      </c>
      <c r="L245" s="147">
        <v>46240.527650462966</v>
      </c>
      <c r="M245" s="147">
        <v>46240.579097222224</v>
      </c>
      <c r="N245" s="147">
        <v>46245.242465277777</v>
      </c>
      <c r="O245" s="147">
        <v>46240.581041666665</v>
      </c>
      <c r="P245" s="47">
        <v>46245.242465277777</v>
      </c>
      <c r="Q245" s="45" t="s">
        <v>8191</v>
      </c>
      <c r="S245" s="45" t="s">
        <v>8122</v>
      </c>
      <c r="T245" s="45" t="s">
        <v>1455</v>
      </c>
      <c r="U245" s="45" t="s">
        <v>371</v>
      </c>
      <c r="Z245" s="76">
        <f t="shared" ca="1" si="24"/>
        <v>5.3391203698993195E-2</v>
      </c>
      <c r="AA245" s="75">
        <f t="shared" ca="1" si="1"/>
        <v>0.14237654319731519</v>
      </c>
      <c r="AB245" s="76">
        <f t="shared" ca="1" si="25"/>
        <v>5.3391203698993195E-2</v>
      </c>
      <c r="AC245" s="75">
        <f t="shared" ca="1" si="3"/>
        <v>0.14237654319731519</v>
      </c>
      <c r="AD245" s="76">
        <f t="shared" ca="1" si="26"/>
        <v>5.1446759258396924E-2</v>
      </c>
      <c r="AE245" s="76">
        <f t="shared" ca="1" si="27"/>
        <v>0.10678240739798639</v>
      </c>
      <c r="AF245" s="75">
        <f t="shared" ca="1" si="6"/>
        <v>0.28475308639463037</v>
      </c>
      <c r="AG245" s="75">
        <f t="shared" ca="1" si="7"/>
        <v>0.28475308639463037</v>
      </c>
      <c r="AH245" s="31" t="str" cm="1">
        <f t="array" aca="1" ref="AH245" ca="1">IF((AD245) &lt; (INDEX(ResponseSLA[#All],(MATCH((G245),ResponseSLA[Priority],0))+1,3)),"YES","No")</f>
        <v>YES</v>
      </c>
      <c r="AI245" s="31" t="str">
        <f ca="1">_xlfn.IFNA(IF(AE245 &lt; (INDEX(SLATable[Minimum SLA],MATCH(G245,SLATable[Priority],0))),"YES","NO"),"")</f>
        <v>YES</v>
      </c>
      <c r="AJ245" t="str">
        <f ca="1">_xlfn.IFNA(IF(AE245 &lt; (INDEX(SLATable[Maximum SLA],MATCH(G245,SLATable[Priority],0))),"YES","NO"),"")</f>
        <v>YES</v>
      </c>
    </row>
    <row r="246" spans="1:36" ht="15" customHeight="1">
      <c r="A246" s="45">
        <v>245</v>
      </c>
      <c r="B246" s="45" t="s">
        <v>26</v>
      </c>
      <c r="C246" s="45" t="s">
        <v>41</v>
      </c>
      <c r="D246" s="45" t="s">
        <v>207</v>
      </c>
      <c r="E246" s="45" t="s">
        <v>8601</v>
      </c>
      <c r="F246" s="45" t="s">
        <v>40</v>
      </c>
      <c r="G246" s="66">
        <v>4</v>
      </c>
      <c r="H246" s="45" t="s">
        <v>8602</v>
      </c>
      <c r="I246" s="45" t="s">
        <v>271</v>
      </c>
      <c r="J246" s="45" t="s">
        <v>8212</v>
      </c>
      <c r="K246" s="147">
        <v>46245.481956018521</v>
      </c>
      <c r="L246" s="147">
        <v>46245.481956018521</v>
      </c>
      <c r="M246" s="147">
        <v>46245.510474537034</v>
      </c>
      <c r="N246" s="147">
        <v>46254.469143518516</v>
      </c>
      <c r="O246" s="147">
        <v>46247.288148148145</v>
      </c>
      <c r="P246" s="147">
        <v>46254.469143518516</v>
      </c>
      <c r="Q246" s="45" t="s">
        <v>8191</v>
      </c>
      <c r="S246" s="45" t="s">
        <v>8122</v>
      </c>
      <c r="T246" s="45" t="s">
        <v>1519</v>
      </c>
      <c r="U246" s="45" t="s">
        <v>371</v>
      </c>
      <c r="Z246" s="76">
        <f t="shared" ca="1" si="24"/>
        <v>0.60137731481275658</v>
      </c>
      <c r="AA246" s="75">
        <f t="shared" ca="1" si="1"/>
        <v>1.6036728395006843</v>
      </c>
      <c r="AB246" s="76">
        <f t="shared" ca="1" si="25"/>
        <v>0.60137731481275658</v>
      </c>
      <c r="AC246" s="75">
        <f t="shared" ca="1" si="3"/>
        <v>1.6036728395006843</v>
      </c>
      <c r="AD246" s="76">
        <f t="shared" ca="1" si="26"/>
        <v>2.8518518513010349E-2</v>
      </c>
      <c r="AE246" s="76">
        <f t="shared" ca="1" si="27"/>
        <v>0.60137731481275658</v>
      </c>
      <c r="AF246" s="75">
        <f t="shared" ca="1" si="6"/>
        <v>1.6036728395006843</v>
      </c>
      <c r="AG246" s="75">
        <f t="shared" ca="1" si="7"/>
        <v>1.6036728395006843</v>
      </c>
      <c r="AH246" s="31" t="str" cm="1">
        <f t="array" aca="1" ref="AH246" ca="1">IF((AD246) &lt; (INDEX(ResponseSLA[#All],(MATCH((G246),ResponseSLA[Priority],0))+1,3)),"YES","No")</f>
        <v>YES</v>
      </c>
      <c r="AI246" s="31" t="str">
        <f ca="1">_xlfn.IFNA(IF(AE246 &lt; (INDEX(SLATable[Minimum SLA],MATCH(G246,SLATable[Priority],0))),"YES","NO"),"")</f>
        <v>YES</v>
      </c>
      <c r="AJ246" t="str">
        <f ca="1">_xlfn.IFNA(IF(AE246 &lt; (INDEX(SLATable[Maximum SLA],MATCH(G246,SLATable[Priority],0))),"YES","NO"),"")</f>
        <v>YES</v>
      </c>
    </row>
    <row r="247" spans="1:36" ht="15" customHeight="1">
      <c r="A247" s="45">
        <v>246</v>
      </c>
      <c r="B247" s="45" t="s">
        <v>26</v>
      </c>
      <c r="C247" s="45" t="s">
        <v>41</v>
      </c>
      <c r="D247" s="45" t="s">
        <v>207</v>
      </c>
      <c r="E247" s="45" t="s">
        <v>8603</v>
      </c>
      <c r="F247" s="45" t="s">
        <v>40</v>
      </c>
      <c r="G247" s="66">
        <v>4</v>
      </c>
      <c r="H247" s="45" t="s">
        <v>8604</v>
      </c>
      <c r="I247" s="45" t="s">
        <v>271</v>
      </c>
      <c r="J247" s="45" t="s">
        <v>8120</v>
      </c>
      <c r="K247" s="147">
        <v>46245.474374999998</v>
      </c>
      <c r="L247" s="147">
        <v>46245.474374999998</v>
      </c>
      <c r="M247" s="147">
        <v>46245.510671296295</v>
      </c>
      <c r="N247" s="147">
        <v>46254.467453703706</v>
      </c>
      <c r="O247" s="147">
        <v>46247.288449074076</v>
      </c>
      <c r="P247" s="147">
        <v>46254.467453703706</v>
      </c>
      <c r="Q247" s="45" t="s">
        <v>8191</v>
      </c>
      <c r="S247" s="45" t="s">
        <v>8122</v>
      </c>
      <c r="T247" s="45" t="s">
        <v>1519</v>
      </c>
      <c r="U247" s="45" t="s">
        <v>371</v>
      </c>
      <c r="Z247" s="76">
        <f t="shared" ca="1" si="24"/>
        <v>0.60895833333537119</v>
      </c>
      <c r="AA247" s="75">
        <f t="shared" ca="1" si="1"/>
        <v>1.6238888888943233</v>
      </c>
      <c r="AB247" s="76">
        <f t="shared" ca="1" si="25"/>
        <v>0.60895833333537119</v>
      </c>
      <c r="AC247" s="75">
        <f t="shared" ca="1" si="3"/>
        <v>1.6238888888943233</v>
      </c>
      <c r="AD247" s="76">
        <f t="shared" ca="1" si="26"/>
        <v>3.6296296297223307E-2</v>
      </c>
      <c r="AE247" s="76">
        <f t="shared" ca="1" si="27"/>
        <v>0.60895833333537119</v>
      </c>
      <c r="AF247" s="75">
        <f t="shared" ca="1" si="6"/>
        <v>1.6238888888943233</v>
      </c>
      <c r="AG247" s="75">
        <f t="shared" ca="1" si="7"/>
        <v>1.6238888888943233</v>
      </c>
      <c r="AH247" s="31" t="str" cm="1">
        <f t="array" aca="1" ref="AH247" ca="1">IF((AD247) &lt; (INDEX(ResponseSLA[#All],(MATCH((G247),ResponseSLA[Priority],0))+1,3)),"YES","No")</f>
        <v>YES</v>
      </c>
      <c r="AI247" s="31" t="str">
        <f ca="1">_xlfn.IFNA(IF(AE247 &lt; (INDEX(SLATable[Minimum SLA],MATCH(G247,SLATable[Priority],0))),"YES","NO"),"")</f>
        <v>YES</v>
      </c>
      <c r="AJ247" t="str">
        <f ca="1">_xlfn.IFNA(IF(AE247 &lt; (INDEX(SLATable[Maximum SLA],MATCH(G247,SLATable[Priority],0))),"YES","NO"),"")</f>
        <v>YES</v>
      </c>
    </row>
    <row r="248" spans="1:36" ht="15" customHeight="1">
      <c r="A248" s="45">
        <v>247</v>
      </c>
      <c r="B248" s="45" t="s">
        <v>26</v>
      </c>
      <c r="C248" s="45" t="s">
        <v>41</v>
      </c>
      <c r="D248" s="45" t="s">
        <v>207</v>
      </c>
      <c r="E248" s="45" t="s">
        <v>8605</v>
      </c>
      <c r="F248" s="45" t="s">
        <v>40</v>
      </c>
      <c r="G248" s="66">
        <v>4</v>
      </c>
      <c r="H248" s="45" t="s">
        <v>8606</v>
      </c>
      <c r="I248" s="45" t="s">
        <v>271</v>
      </c>
      <c r="J248" s="45" t="s">
        <v>8120</v>
      </c>
      <c r="K248" s="147">
        <v>46245.915173611109</v>
      </c>
      <c r="L248" s="147">
        <v>46245.915173611109</v>
      </c>
      <c r="M248" s="147">
        <v>46246.216817129629</v>
      </c>
      <c r="N248" s="147">
        <v>46246.220659722225</v>
      </c>
      <c r="Q248" s="45" t="s">
        <v>8191</v>
      </c>
      <c r="S248" s="45" t="s">
        <v>8122</v>
      </c>
      <c r="T248" s="45" t="s">
        <v>1519</v>
      </c>
      <c r="U248" s="45" t="s">
        <v>371</v>
      </c>
      <c r="Z248" s="76">
        <f t="shared" ca="1" si="24"/>
        <v>0</v>
      </c>
      <c r="AA248" s="75">
        <f t="shared" ca="1" si="1"/>
        <v>0</v>
      </c>
      <c r="AB248" s="76">
        <f t="shared" ca="1" si="25"/>
        <v>0</v>
      </c>
      <c r="AC248" s="75">
        <f t="shared" ca="1" si="3"/>
        <v>0</v>
      </c>
      <c r="AD248" s="76">
        <f t="shared" ca="1" si="26"/>
        <v>0</v>
      </c>
      <c r="AE248" s="76">
        <f t="shared" ca="1" si="27"/>
        <v>0</v>
      </c>
      <c r="AF248" s="75">
        <f t="shared" ca="1" si="6"/>
        <v>0</v>
      </c>
      <c r="AG248" s="75">
        <f t="shared" ca="1" si="7"/>
        <v>0</v>
      </c>
      <c r="AH248" s="31" t="str" cm="1">
        <f t="array" aca="1" ref="AH248" ca="1">IF((AD248) &lt; (INDEX(ResponseSLA[#All],(MATCH((G248),ResponseSLA[Priority],0))+1,3)),"YES","No")</f>
        <v>YES</v>
      </c>
      <c r="AI248" s="31" t="str">
        <f ca="1">_xlfn.IFNA(IF(AE248 &lt; (INDEX(SLATable[Minimum SLA],MATCH(G248,SLATable[Priority],0))),"YES","NO"),"")</f>
        <v>YES</v>
      </c>
      <c r="AJ248" t="str">
        <f ca="1">_xlfn.IFNA(IF(AE248 &lt; (INDEX(SLATable[Maximum SLA],MATCH(G248,SLATable[Priority],0))),"YES","NO"),"")</f>
        <v>YES</v>
      </c>
    </row>
    <row r="249" spans="1:36" ht="15" customHeight="1">
      <c r="A249" s="45">
        <v>248</v>
      </c>
      <c r="B249" s="45" t="s">
        <v>26</v>
      </c>
      <c r="C249" s="45" t="s">
        <v>41</v>
      </c>
      <c r="D249" s="45" t="s">
        <v>207</v>
      </c>
      <c r="E249" s="45" t="s">
        <v>8607</v>
      </c>
      <c r="F249" s="45" t="s">
        <v>40</v>
      </c>
      <c r="G249" s="66">
        <v>4</v>
      </c>
      <c r="H249" s="45" t="s">
        <v>8608</v>
      </c>
      <c r="I249" s="45" t="s">
        <v>271</v>
      </c>
      <c r="J249" s="45" t="s">
        <v>8120</v>
      </c>
      <c r="K249" s="147">
        <v>46241.312581018516</v>
      </c>
      <c r="L249" s="147">
        <v>46241.683807870373</v>
      </c>
      <c r="M249" s="147">
        <v>46244.302754629629</v>
      </c>
      <c r="N249" s="147">
        <v>46247.289722222224</v>
      </c>
      <c r="O249" s="147">
        <v>46244.304143518515</v>
      </c>
      <c r="P249" s="47">
        <v>46247.289722222224</v>
      </c>
      <c r="Q249" s="45" t="s">
        <v>8191</v>
      </c>
      <c r="S249" s="45" t="s">
        <v>8122</v>
      </c>
      <c r="T249" s="45" t="s">
        <v>1519</v>
      </c>
      <c r="U249" s="45" t="s">
        <v>371</v>
      </c>
      <c r="Z249" s="76">
        <f t="shared" ca="1" si="24"/>
        <v>0.375</v>
      </c>
      <c r="AA249" s="75">
        <f t="shared" ca="1" si="1"/>
        <v>1</v>
      </c>
      <c r="AB249" s="76">
        <f t="shared" ca="1" si="25"/>
        <v>2.4525462960203415E-2</v>
      </c>
      <c r="AC249" s="75">
        <f t="shared" ca="1" si="3"/>
        <v>6.5401234560542434E-2</v>
      </c>
      <c r="AD249" s="76">
        <f t="shared" ca="1" si="26"/>
        <v>2.4525462960203526E-2</v>
      </c>
      <c r="AE249" s="76">
        <f t="shared" ca="1" si="27"/>
        <v>2.4525462960203415E-2</v>
      </c>
      <c r="AF249" s="75">
        <f t="shared" ca="1" si="6"/>
        <v>6.5401234560542434E-2</v>
      </c>
      <c r="AG249" s="75">
        <f t="shared" ca="1" si="7"/>
        <v>6.5401234560542434E-2</v>
      </c>
      <c r="AH249" s="31" t="str" cm="1">
        <f t="array" aca="1" ref="AH249" ca="1">IF((AD249) &lt; (INDEX(ResponseSLA[#All],(MATCH((G249),ResponseSLA[Priority],0))+1,3)),"YES","No")</f>
        <v>YES</v>
      </c>
      <c r="AI249" s="31" t="str">
        <f ca="1">_xlfn.IFNA(IF(AE249 &lt; (INDEX(SLATable[Minimum SLA],MATCH(G249,SLATable[Priority],0))),"YES","NO"),"")</f>
        <v>YES</v>
      </c>
      <c r="AJ249" t="str">
        <f ca="1">_xlfn.IFNA(IF(AE249 &lt; (INDEX(SLATable[Maximum SLA],MATCH(G249,SLATable[Priority],0))),"YES","NO"),"")</f>
        <v>YES</v>
      </c>
    </row>
    <row r="250" spans="1:36" ht="15" customHeight="1">
      <c r="A250" s="45">
        <v>249</v>
      </c>
      <c r="B250" s="45" t="s">
        <v>26</v>
      </c>
      <c r="C250" s="45" t="s">
        <v>41</v>
      </c>
      <c r="D250" s="45" t="s">
        <v>208</v>
      </c>
      <c r="E250" s="45" t="s">
        <v>8609</v>
      </c>
      <c r="F250" s="45" t="s">
        <v>40</v>
      </c>
      <c r="G250" s="66" t="s">
        <v>208</v>
      </c>
      <c r="H250" s="45" t="s">
        <v>8610</v>
      </c>
      <c r="I250" s="45" t="s">
        <v>275</v>
      </c>
      <c r="J250" s="45" t="s">
        <v>8212</v>
      </c>
      <c r="K250" s="147">
        <v>46239.537106481483</v>
      </c>
      <c r="L250" s="147">
        <v>46245.508217592593</v>
      </c>
      <c r="M250" s="147">
        <v>46246.414004629631</v>
      </c>
      <c r="N250" s="147">
        <v>46247.286782407406</v>
      </c>
      <c r="U250" s="45" t="s">
        <v>371</v>
      </c>
      <c r="Z250" s="76">
        <f t="shared" ca="1" si="24"/>
        <v>2.0462268518507098</v>
      </c>
      <c r="AA250" s="75">
        <f t="shared" ca="1" si="1"/>
        <v>5.4566049382685593</v>
      </c>
      <c r="AB250" s="76">
        <f t="shared" ca="1" si="25"/>
        <v>0.5751157407406331</v>
      </c>
      <c r="AC250" s="75">
        <f t="shared" ca="1" si="3"/>
        <v>1.533641975308355</v>
      </c>
      <c r="AD250" s="76">
        <f t="shared" ca="1" si="26"/>
        <v>0.28078703703795327</v>
      </c>
      <c r="AE250" s="76">
        <f t="shared" ca="1" si="27"/>
        <v>0.5751157407406331</v>
      </c>
      <c r="AF250" s="75">
        <f t="shared" ca="1" si="6"/>
        <v>1.533641975308355</v>
      </c>
      <c r="AG250" s="75">
        <f t="shared" ca="1" si="7"/>
        <v>1.533641975308355</v>
      </c>
      <c r="AH250" s="31" t="str" cm="1">
        <f t="array" aca="1" ref="AH250" ca="1">IF((AD250) &lt; (INDEX(ResponseSLA[#All],(MATCH((G250),ResponseSLA[Priority],0))+1,3)),"YES","No")</f>
        <v>YES</v>
      </c>
      <c r="AI250" s="31" t="str">
        <f ca="1">_xlfn.IFNA(IF(AE250 &lt; (INDEX(SLATable[Minimum SLA],MATCH(G250,SLATable[Priority],0))),"YES","NO"),"")</f>
        <v>YES</v>
      </c>
      <c r="AJ250" t="str">
        <f ca="1">_xlfn.IFNA(IF(AE250 &lt; (INDEX(SLATable[Maximum SLA],MATCH(G250,SLATable[Priority],0))),"YES","NO"),"")</f>
        <v>YES</v>
      </c>
    </row>
    <row r="251" spans="1:36" ht="15" customHeight="1">
      <c r="A251" s="45">
        <v>250</v>
      </c>
      <c r="B251" s="45" t="s">
        <v>26</v>
      </c>
      <c r="C251" s="45" t="s">
        <v>41</v>
      </c>
      <c r="D251" s="45" t="s">
        <v>207</v>
      </c>
      <c r="E251" s="45" t="s">
        <v>8611</v>
      </c>
      <c r="F251" s="45" t="s">
        <v>40</v>
      </c>
      <c r="G251" s="66">
        <v>4</v>
      </c>
      <c r="H251" s="45" t="s">
        <v>8612</v>
      </c>
      <c r="I251" s="45" t="s">
        <v>271</v>
      </c>
      <c r="J251" s="45" t="s">
        <v>8199</v>
      </c>
      <c r="K251" s="147">
        <v>46246.655578703707</v>
      </c>
      <c r="L251" s="147">
        <v>46246.655578703707</v>
      </c>
      <c r="M251" s="147">
        <v>46247.227060185185</v>
      </c>
      <c r="N251" s="147">
        <v>46254.470532407409</v>
      </c>
      <c r="O251" s="147">
        <v>46247.524386574078</v>
      </c>
      <c r="P251" s="147">
        <v>46254.470532407409</v>
      </c>
      <c r="Q251" s="45" t="s">
        <v>8191</v>
      </c>
      <c r="S251" s="45" t="s">
        <v>8122</v>
      </c>
      <c r="T251" s="45" t="s">
        <v>1519</v>
      </c>
      <c r="U251" s="45" t="s">
        <v>371</v>
      </c>
      <c r="Z251" s="76">
        <f t="shared" ca="1" si="24"/>
        <v>0.24380787037080198</v>
      </c>
      <c r="AA251" s="75">
        <f t="shared" ca="1" si="1"/>
        <v>0.65015432098880532</v>
      </c>
      <c r="AB251" s="76">
        <f t="shared" ca="1" si="25"/>
        <v>0.24380787037080198</v>
      </c>
      <c r="AC251" s="75">
        <f t="shared" ca="1" si="3"/>
        <v>0.65015432098880532</v>
      </c>
      <c r="AD251" s="76">
        <f t="shared" ca="1" si="26"/>
        <v>5.2754629626482141E-2</v>
      </c>
      <c r="AE251" s="76">
        <f t="shared" ca="1" si="27"/>
        <v>0.24380787037080198</v>
      </c>
      <c r="AF251" s="75">
        <f t="shared" ca="1" si="6"/>
        <v>0.65015432098880532</v>
      </c>
      <c r="AG251" s="75">
        <f t="shared" ca="1" si="7"/>
        <v>0.65015432098880532</v>
      </c>
      <c r="AH251" s="31" t="str" cm="1">
        <f t="array" aca="1" ref="AH251" ca="1">IF((AD251) &lt; (INDEX(ResponseSLA[#All],(MATCH((G251),ResponseSLA[Priority],0))+1,3)),"YES","No")</f>
        <v>YES</v>
      </c>
      <c r="AI251" s="31" t="str">
        <f ca="1">_xlfn.IFNA(IF(AE251 &lt; (INDEX(SLATable[Minimum SLA],MATCH(G251,SLATable[Priority],0))),"YES","NO"),"")</f>
        <v>YES</v>
      </c>
      <c r="AJ251" t="str">
        <f ca="1">_xlfn.IFNA(IF(AE251 &lt; (INDEX(SLATable[Maximum SLA],MATCH(G251,SLATable[Priority],0))),"YES","NO"),"")</f>
        <v>YES</v>
      </c>
    </row>
    <row r="252" spans="1:36" ht="15" customHeight="1">
      <c r="A252" s="45">
        <v>251</v>
      </c>
      <c r="B252" s="45" t="s">
        <v>26</v>
      </c>
      <c r="C252" s="45" t="s">
        <v>41</v>
      </c>
      <c r="D252" s="45" t="s">
        <v>207</v>
      </c>
      <c r="E252" s="45" t="s">
        <v>8613</v>
      </c>
      <c r="F252" s="45" t="s">
        <v>40</v>
      </c>
      <c r="G252" s="66">
        <v>4</v>
      </c>
      <c r="H252" s="45" t="s">
        <v>8614</v>
      </c>
      <c r="I252" s="45" t="s">
        <v>271</v>
      </c>
      <c r="J252" s="45" t="s">
        <v>8120</v>
      </c>
      <c r="K252" s="147">
        <v>46246.915185185186</v>
      </c>
      <c r="L252" s="147">
        <v>46246.915185185186</v>
      </c>
      <c r="M252" s="147">
        <v>46247.237268518518</v>
      </c>
      <c r="N252" s="147">
        <v>46247.239178240743</v>
      </c>
      <c r="Q252" s="45" t="s">
        <v>8191</v>
      </c>
      <c r="S252" s="45" t="s">
        <v>8122</v>
      </c>
      <c r="T252" s="45" t="s">
        <v>1519</v>
      </c>
      <c r="U252" s="45" t="s">
        <v>371</v>
      </c>
      <c r="Z252" s="76">
        <f t="shared" ca="1" si="24"/>
        <v>0</v>
      </c>
      <c r="AA252" s="75">
        <f t="shared" ca="1" si="1"/>
        <v>0</v>
      </c>
      <c r="AB252" s="76">
        <f t="shared" ca="1" si="25"/>
        <v>0</v>
      </c>
      <c r="AC252" s="75">
        <f t="shared" ca="1" si="3"/>
        <v>0</v>
      </c>
      <c r="AD252" s="76">
        <f t="shared" ca="1" si="26"/>
        <v>0</v>
      </c>
      <c r="AE252" s="76">
        <f t="shared" ca="1" si="27"/>
        <v>0</v>
      </c>
      <c r="AF252" s="75">
        <f t="shared" ca="1" si="6"/>
        <v>0</v>
      </c>
      <c r="AG252" s="75">
        <f t="shared" ca="1" si="7"/>
        <v>0</v>
      </c>
      <c r="AH252" s="31" t="str" cm="1">
        <f t="array" aca="1" ref="AH252" ca="1">IF((AD252) &lt; (INDEX(ResponseSLA[#All],(MATCH((G252),ResponseSLA[Priority],0))+1,3)),"YES","No")</f>
        <v>YES</v>
      </c>
      <c r="AI252" s="31" t="str">
        <f ca="1">_xlfn.IFNA(IF(AE252 &lt; (INDEX(SLATable[Minimum SLA],MATCH(G252,SLATable[Priority],0))),"YES","NO"),"")</f>
        <v>YES</v>
      </c>
      <c r="AJ252" t="str">
        <f ca="1">_xlfn.IFNA(IF(AE252 &lt; (INDEX(SLATable[Maximum SLA],MATCH(G252,SLATable[Priority],0))),"YES","NO"),"")</f>
        <v>YES</v>
      </c>
    </row>
    <row r="253" spans="1:36" ht="15" customHeight="1">
      <c r="A253" s="45">
        <v>252</v>
      </c>
      <c r="B253" s="45" t="s">
        <v>26</v>
      </c>
      <c r="C253" s="45" t="s">
        <v>41</v>
      </c>
      <c r="D253" s="45" t="s">
        <v>207</v>
      </c>
      <c r="E253" s="45" t="s">
        <v>8615</v>
      </c>
      <c r="F253" s="45" t="s">
        <v>40</v>
      </c>
      <c r="G253" s="66">
        <v>4</v>
      </c>
      <c r="H253" s="45" t="s">
        <v>8616</v>
      </c>
      <c r="I253" s="45" t="s">
        <v>271</v>
      </c>
      <c r="J253" s="45" t="s">
        <v>8199</v>
      </c>
      <c r="K253" s="147">
        <v>46247.908946759257</v>
      </c>
      <c r="L253" s="147">
        <v>46247.908946759257</v>
      </c>
      <c r="M253" s="147">
        <v>46248.25209490741</v>
      </c>
      <c r="N253" s="147">
        <v>46248.259166666663</v>
      </c>
      <c r="Q253" s="45" t="s">
        <v>8191</v>
      </c>
      <c r="S253" s="45" t="s">
        <v>8122</v>
      </c>
      <c r="T253" s="45" t="s">
        <v>1519</v>
      </c>
      <c r="U253" s="45" t="s">
        <v>371</v>
      </c>
      <c r="Z253" s="76">
        <f t="shared" ca="1" si="24"/>
        <v>0</v>
      </c>
      <c r="AA253" s="75">
        <f t="shared" ca="1" si="1"/>
        <v>0</v>
      </c>
      <c r="AB253" s="76">
        <f t="shared" ca="1" si="25"/>
        <v>0</v>
      </c>
      <c r="AC253" s="75">
        <f t="shared" ca="1" si="3"/>
        <v>0</v>
      </c>
      <c r="AD253" s="76">
        <f t="shared" ca="1" si="26"/>
        <v>0</v>
      </c>
      <c r="AE253" s="76">
        <f t="shared" ca="1" si="27"/>
        <v>0</v>
      </c>
      <c r="AF253" s="75">
        <f t="shared" ca="1" si="6"/>
        <v>0</v>
      </c>
      <c r="AG253" s="75">
        <f t="shared" ca="1" si="7"/>
        <v>0</v>
      </c>
      <c r="AH253" s="31" t="str" cm="1">
        <f t="array" aca="1" ref="AH253" ca="1">IF((AD253) &lt; (INDEX(ResponseSLA[#All],(MATCH((G253),ResponseSLA[Priority],0))+1,3)),"YES","No")</f>
        <v>YES</v>
      </c>
      <c r="AI253" s="31" t="str">
        <f ca="1">_xlfn.IFNA(IF(AE253 &lt; (INDEX(SLATable[Minimum SLA],MATCH(G253,SLATable[Priority],0))),"YES","NO"),"")</f>
        <v>YES</v>
      </c>
      <c r="AJ253" t="str">
        <f ca="1">_xlfn.IFNA(IF(AE253 &lt; (INDEX(SLATable[Maximum SLA],MATCH(G253,SLATable[Priority],0))),"YES","NO"),"")</f>
        <v>YES</v>
      </c>
    </row>
    <row r="254" spans="1:36" ht="15" customHeight="1">
      <c r="A254" s="45">
        <v>253</v>
      </c>
      <c r="B254" s="45" t="s">
        <v>26</v>
      </c>
      <c r="C254" s="45" t="s">
        <v>41</v>
      </c>
      <c r="D254" s="45" t="s">
        <v>207</v>
      </c>
      <c r="E254" s="45" t="s">
        <v>8617</v>
      </c>
      <c r="F254" s="45" t="s">
        <v>40</v>
      </c>
      <c r="G254" s="66">
        <v>4</v>
      </c>
      <c r="H254" s="45" t="s">
        <v>8618</v>
      </c>
      <c r="I254" s="45" t="s">
        <v>271</v>
      </c>
      <c r="J254" s="45" t="s">
        <v>8199</v>
      </c>
      <c r="K254" s="147">
        <v>46247.909004629626</v>
      </c>
      <c r="L254" s="147">
        <v>46247.909004629626</v>
      </c>
      <c r="M254" s="147">
        <v>46248.251909722225</v>
      </c>
      <c r="N254" s="147">
        <v>46248.263333333336</v>
      </c>
      <c r="Q254" s="45" t="s">
        <v>8191</v>
      </c>
      <c r="S254" s="45" t="s">
        <v>8122</v>
      </c>
      <c r="T254" s="45" t="s">
        <v>1519</v>
      </c>
      <c r="U254" s="45" t="s">
        <v>371</v>
      </c>
      <c r="Z254" s="76">
        <f t="shared" ca="1" si="24"/>
        <v>0</v>
      </c>
      <c r="AA254" s="75">
        <f t="shared" ca="1" si="1"/>
        <v>0</v>
      </c>
      <c r="AB254" s="76">
        <f t="shared" ca="1" si="25"/>
        <v>0</v>
      </c>
      <c r="AC254" s="75">
        <f t="shared" ca="1" si="3"/>
        <v>0</v>
      </c>
      <c r="AD254" s="76">
        <f t="shared" ca="1" si="26"/>
        <v>0</v>
      </c>
      <c r="AE254" s="76">
        <f t="shared" ca="1" si="27"/>
        <v>0</v>
      </c>
      <c r="AF254" s="75">
        <f t="shared" ca="1" si="6"/>
        <v>0</v>
      </c>
      <c r="AG254" s="75">
        <f t="shared" ca="1" si="7"/>
        <v>0</v>
      </c>
      <c r="AH254" s="31" t="str" cm="1">
        <f t="array" aca="1" ref="AH254" ca="1">IF((AD254) &lt; (INDEX(ResponseSLA[#All],(MATCH((G254),ResponseSLA[Priority],0))+1,3)),"YES","No")</f>
        <v>YES</v>
      </c>
      <c r="AI254" s="31" t="str">
        <f ca="1">_xlfn.IFNA(IF(AE254 &lt; (INDEX(SLATable[Minimum SLA],MATCH(G254,SLATable[Priority],0))),"YES","NO"),"")</f>
        <v>YES</v>
      </c>
      <c r="AJ254" t="str">
        <f ca="1">_xlfn.IFNA(IF(AE254 &lt; (INDEX(SLATable[Maximum SLA],MATCH(G254,SLATable[Priority],0))),"YES","NO"),"")</f>
        <v>YES</v>
      </c>
    </row>
    <row r="255" spans="1:36" ht="15" customHeight="1">
      <c r="A255" s="45">
        <v>254</v>
      </c>
      <c r="B255" s="45" t="s">
        <v>26</v>
      </c>
      <c r="C255" s="45" t="s">
        <v>41</v>
      </c>
      <c r="D255" s="45" t="s">
        <v>207</v>
      </c>
      <c r="E255" s="45" t="s">
        <v>8619</v>
      </c>
      <c r="F255" s="45" t="s">
        <v>40</v>
      </c>
      <c r="G255" s="66">
        <v>4</v>
      </c>
      <c r="H255" s="45" t="s">
        <v>8620</v>
      </c>
      <c r="I255" s="45" t="s">
        <v>271</v>
      </c>
      <c r="J255" s="45" t="s">
        <v>8120</v>
      </c>
      <c r="K255" s="147">
        <v>46248.90960648148</v>
      </c>
      <c r="L255" s="147">
        <v>46248.90960648148</v>
      </c>
      <c r="M255" s="147">
        <v>46251.218634259261</v>
      </c>
      <c r="N255" s="147">
        <v>46251.219664351855</v>
      </c>
      <c r="Q255" s="45" t="s">
        <v>8191</v>
      </c>
      <c r="S255" s="45" t="s">
        <v>8122</v>
      </c>
      <c r="T255" s="45" t="s">
        <v>1519</v>
      </c>
      <c r="U255" s="45" t="s">
        <v>371</v>
      </c>
      <c r="Z255" s="76">
        <f t="shared" ca="1" si="24"/>
        <v>0</v>
      </c>
      <c r="AA255" s="75">
        <f t="shared" ca="1" si="1"/>
        <v>0</v>
      </c>
      <c r="AB255" s="76">
        <f t="shared" ca="1" si="25"/>
        <v>0</v>
      </c>
      <c r="AC255" s="75">
        <f t="shared" ca="1" si="3"/>
        <v>0</v>
      </c>
      <c r="AD255" s="76">
        <f t="shared" ca="1" si="26"/>
        <v>0</v>
      </c>
      <c r="AE255" s="76">
        <f t="shared" ca="1" si="27"/>
        <v>0</v>
      </c>
      <c r="AF255" s="75">
        <f t="shared" ca="1" si="6"/>
        <v>0</v>
      </c>
      <c r="AG255" s="75">
        <f t="shared" ca="1" si="7"/>
        <v>0</v>
      </c>
      <c r="AH255" s="31" t="str" cm="1">
        <f t="array" aca="1" ref="AH255" ca="1">IF((AD255) &lt; (INDEX(ResponseSLA[#All],(MATCH((G255),ResponseSLA[Priority],0))+1,3)),"YES","No")</f>
        <v>YES</v>
      </c>
      <c r="AI255" s="31" t="str">
        <f ca="1">_xlfn.IFNA(IF(AE255 &lt; (INDEX(SLATable[Minimum SLA],MATCH(G255,SLATable[Priority],0))),"YES","NO"),"")</f>
        <v>YES</v>
      </c>
      <c r="AJ255" t="str">
        <f ca="1">_xlfn.IFNA(IF(AE255 &lt; (INDEX(SLATable[Maximum SLA],MATCH(G255,SLATable[Priority],0))),"YES","NO"),"")</f>
        <v>YES</v>
      </c>
    </row>
    <row r="256" spans="1:36" ht="15" customHeight="1">
      <c r="A256" s="45">
        <v>255</v>
      </c>
      <c r="B256" s="45" t="s">
        <v>26</v>
      </c>
      <c r="C256" s="45" t="s">
        <v>41</v>
      </c>
      <c r="D256" s="45" t="s">
        <v>207</v>
      </c>
      <c r="E256" s="45" t="s">
        <v>8621</v>
      </c>
      <c r="F256" s="45" t="s">
        <v>40</v>
      </c>
      <c r="G256" s="66">
        <v>4</v>
      </c>
      <c r="H256" s="45" t="s">
        <v>8622</v>
      </c>
      <c r="I256" s="45" t="s">
        <v>271</v>
      </c>
      <c r="J256" s="45" t="s">
        <v>8120</v>
      </c>
      <c r="K256" s="147">
        <v>46250.828715277778</v>
      </c>
      <c r="L256" s="147">
        <v>46250.828715277778</v>
      </c>
      <c r="M256" s="147">
        <v>46251.230914351851</v>
      </c>
      <c r="N256" s="147">
        <v>46252.259988425925</v>
      </c>
      <c r="O256" s="147">
        <v>46251.340081018519</v>
      </c>
      <c r="P256" s="47">
        <v>46252.259988425925</v>
      </c>
      <c r="Q256" s="45" t="s">
        <v>8191</v>
      </c>
      <c r="S256" s="45" t="s">
        <v>8122</v>
      </c>
      <c r="T256" s="45" t="s">
        <v>1519</v>
      </c>
      <c r="U256" s="45" t="s">
        <v>371</v>
      </c>
      <c r="Z256" s="76">
        <f t="shared" ca="1" si="24"/>
        <v>6.747685186079877E-3</v>
      </c>
      <c r="AA256" s="75">
        <f t="shared" ca="1" si="1"/>
        <v>1.7993827162879672E-2</v>
      </c>
      <c r="AB256" s="76">
        <f t="shared" ca="1" si="25"/>
        <v>6.747685186079877E-3</v>
      </c>
      <c r="AC256" s="75">
        <f t="shared" ca="1" si="3"/>
        <v>1.7993827162879672E-2</v>
      </c>
      <c r="AD256" s="76">
        <f t="shared" ca="1" si="26"/>
        <v>0</v>
      </c>
      <c r="AE256" s="76">
        <f t="shared" ca="1" si="27"/>
        <v>6.747685186079877E-3</v>
      </c>
      <c r="AF256" s="75">
        <f t="shared" ca="1" si="6"/>
        <v>1.7993827162879672E-2</v>
      </c>
      <c r="AG256" s="75">
        <f t="shared" ca="1" si="7"/>
        <v>1.7993827162879672E-2</v>
      </c>
      <c r="AH256" s="31" t="str" cm="1">
        <f t="array" aca="1" ref="AH256" ca="1">IF((AD256) &lt; (INDEX(ResponseSLA[#All],(MATCH((G256),ResponseSLA[Priority],0))+1,3)),"YES","No")</f>
        <v>YES</v>
      </c>
      <c r="AI256" s="31" t="str">
        <f ca="1">_xlfn.IFNA(IF(AE256 &lt; (INDEX(SLATable[Minimum SLA],MATCH(G256,SLATable[Priority],0))),"YES","NO"),"")</f>
        <v>YES</v>
      </c>
      <c r="AJ256" t="str">
        <f ca="1">_xlfn.IFNA(IF(AE256 &lt; (INDEX(SLATable[Maximum SLA],MATCH(G256,SLATable[Priority],0))),"YES","NO"),"")</f>
        <v>YES</v>
      </c>
    </row>
    <row r="257" spans="1:36" ht="15" customHeight="1">
      <c r="A257" s="45">
        <v>256</v>
      </c>
      <c r="B257" s="45" t="s">
        <v>26</v>
      </c>
      <c r="C257" s="45" t="s">
        <v>41</v>
      </c>
      <c r="D257" s="45" t="s">
        <v>207</v>
      </c>
      <c r="E257" s="45" t="s">
        <v>8623</v>
      </c>
      <c r="F257" s="45" t="s">
        <v>40</v>
      </c>
      <c r="G257" s="66">
        <v>4</v>
      </c>
      <c r="H257" s="45" t="s">
        <v>8624</v>
      </c>
      <c r="I257" s="45" t="s">
        <v>271</v>
      </c>
      <c r="J257" s="45" t="s">
        <v>8120</v>
      </c>
      <c r="K257" s="147">
        <v>46250.161400462966</v>
      </c>
      <c r="L257" s="147">
        <v>46250.161400462966</v>
      </c>
      <c r="M257" s="147">
        <v>46251.236388888887</v>
      </c>
      <c r="N257" s="147">
        <v>46251.304791666669</v>
      </c>
      <c r="Q257" s="45" t="s">
        <v>8191</v>
      </c>
      <c r="S257" s="45" t="s">
        <v>8122</v>
      </c>
      <c r="T257" s="45" t="s">
        <v>1519</v>
      </c>
      <c r="U257" s="45" t="s">
        <v>371</v>
      </c>
      <c r="Z257" s="76">
        <f t="shared" ca="1" si="24"/>
        <v>0</v>
      </c>
      <c r="AA257" s="75">
        <f t="shared" ref="AA257:AA320" ca="1" si="28">(Z257*24)/9</f>
        <v>0</v>
      </c>
      <c r="AB257" s="76">
        <f t="shared" ca="1" si="25"/>
        <v>0</v>
      </c>
      <c r="AC257" s="75">
        <f t="shared" ref="AC257:AC320" ca="1" si="29">(AB257*24)/9</f>
        <v>0</v>
      </c>
      <c r="AD257" s="76">
        <f t="shared" ca="1" si="26"/>
        <v>0</v>
      </c>
      <c r="AE257" s="76">
        <f t="shared" ca="1" si="27"/>
        <v>0</v>
      </c>
      <c r="AF257" s="75">
        <f t="shared" ref="AF257:AF320" ca="1" si="30">(AE257*24)/9</f>
        <v>0</v>
      </c>
      <c r="AG257" s="75">
        <f t="shared" ref="AG257:AG320" ca="1" si="31">AF257</f>
        <v>0</v>
      </c>
      <c r="AH257" s="31" t="str" cm="1">
        <f t="array" aca="1" ref="AH257" ca="1">IF((AD257) &lt; (INDEX(ResponseSLA[#All],(MATCH((G257),ResponseSLA[Priority],0))+1,3)),"YES","No")</f>
        <v>YES</v>
      </c>
      <c r="AI257" s="31" t="str">
        <f ca="1">_xlfn.IFNA(IF(AE257 &lt; (INDEX(SLATable[Minimum SLA],MATCH(G257,SLATable[Priority],0))),"YES","NO"),"")</f>
        <v>YES</v>
      </c>
      <c r="AJ257" t="str">
        <f ca="1">_xlfn.IFNA(IF(AE257 &lt; (INDEX(SLATable[Maximum SLA],MATCH(G257,SLATable[Priority],0))),"YES","NO"),"")</f>
        <v>YES</v>
      </c>
    </row>
    <row r="258" spans="1:36" ht="15" customHeight="1">
      <c r="A258" s="45">
        <v>257</v>
      </c>
      <c r="B258" s="45" t="s">
        <v>26</v>
      </c>
      <c r="C258" s="45" t="s">
        <v>41</v>
      </c>
      <c r="D258" s="45" t="s">
        <v>208</v>
      </c>
      <c r="E258" s="45" t="s">
        <v>8625</v>
      </c>
      <c r="F258" s="45" t="s">
        <v>40</v>
      </c>
      <c r="G258" s="66" t="s">
        <v>208</v>
      </c>
      <c r="H258" s="45" t="s">
        <v>8626</v>
      </c>
      <c r="I258" s="45" t="s">
        <v>275</v>
      </c>
      <c r="J258" s="45" t="s">
        <v>8120</v>
      </c>
      <c r="K258" s="147">
        <v>46251.266967592594</v>
      </c>
      <c r="L258" s="147">
        <v>46251.266967592594</v>
      </c>
      <c r="M258" s="147">
        <v>46251.2971875</v>
      </c>
      <c r="N258" s="147">
        <v>46251.297858796293</v>
      </c>
      <c r="Q258" s="45" t="s">
        <v>8191</v>
      </c>
      <c r="S258" s="45" t="s">
        <v>8122</v>
      </c>
      <c r="T258" s="45" t="s">
        <v>1519</v>
      </c>
      <c r="U258" s="45" t="s">
        <v>371</v>
      </c>
      <c r="Z258" s="76">
        <f t="shared" ca="1" si="24"/>
        <v>0</v>
      </c>
      <c r="AA258" s="75">
        <f t="shared" ca="1" si="28"/>
        <v>0</v>
      </c>
      <c r="AB258" s="76">
        <f t="shared" ca="1" si="25"/>
        <v>0</v>
      </c>
      <c r="AC258" s="75">
        <f t="shared" ca="1" si="29"/>
        <v>0</v>
      </c>
      <c r="AD258" s="76">
        <f t="shared" ca="1" si="26"/>
        <v>0</v>
      </c>
      <c r="AE258" s="76">
        <f t="shared" ca="1" si="27"/>
        <v>0</v>
      </c>
      <c r="AF258" s="75">
        <f t="shared" ca="1" si="30"/>
        <v>0</v>
      </c>
      <c r="AG258" s="75">
        <f t="shared" ca="1" si="31"/>
        <v>0</v>
      </c>
      <c r="AH258" s="31" t="str" cm="1">
        <f t="array" aca="1" ref="AH258" ca="1">IF((AD258) &lt; (INDEX(ResponseSLA[#All],(MATCH((G258),ResponseSLA[Priority],0))+1,3)),"YES","No")</f>
        <v>YES</v>
      </c>
      <c r="AI258" s="31" t="str">
        <f ca="1">_xlfn.IFNA(IF(AE258 &lt; (INDEX(SLATable[Minimum SLA],MATCH(G258,SLATable[Priority],0))),"YES","NO"),"")</f>
        <v>YES</v>
      </c>
      <c r="AJ258" t="str">
        <f ca="1">_xlfn.IFNA(IF(AE258 &lt; (INDEX(SLATable[Maximum SLA],MATCH(G258,SLATable[Priority],0))),"YES","NO"),"")</f>
        <v>YES</v>
      </c>
    </row>
    <row r="259" spans="1:36" ht="15" customHeight="1">
      <c r="A259" s="45">
        <v>258</v>
      </c>
      <c r="B259" s="45" t="s">
        <v>26</v>
      </c>
      <c r="C259" s="45" t="s">
        <v>41</v>
      </c>
      <c r="D259" s="45" t="s">
        <v>208</v>
      </c>
      <c r="E259" s="45" t="s">
        <v>8627</v>
      </c>
      <c r="F259" s="45" t="s">
        <v>40</v>
      </c>
      <c r="G259" s="66" t="s">
        <v>208</v>
      </c>
      <c r="H259" s="45" t="s">
        <v>8628</v>
      </c>
      <c r="I259" s="45" t="s">
        <v>275</v>
      </c>
      <c r="J259" s="45" t="s">
        <v>8120</v>
      </c>
      <c r="K259" s="147">
        <v>46251.267604166664</v>
      </c>
      <c r="L259" s="147">
        <v>46251.267604166664</v>
      </c>
      <c r="M259" s="147">
        <v>46251.298460648148</v>
      </c>
      <c r="N259" s="147">
        <v>46251.299641203703</v>
      </c>
      <c r="Q259" s="45" t="s">
        <v>8241</v>
      </c>
      <c r="S259" s="45" t="s">
        <v>8122</v>
      </c>
      <c r="T259" s="45" t="s">
        <v>1519</v>
      </c>
      <c r="U259" s="45" t="s">
        <v>371</v>
      </c>
      <c r="Z259" s="76">
        <f t="shared" ref="Z259:Z322" ca="1" si="32">IF(NOT(OR(G259=1,G259=2)),MAX(0,_xlfn.IFS(AND(K259&lt;&gt;"",N259&lt;&gt;""),((MAX(NETWORKDAYS(K259,N259,UKBankHolidays)-1,0))*(TIME(17,0,0)-TIME(8,0,0))+IF(NETWORKDAYS(N259,N259,UKBankHolidays)&gt;0,MEDIAN(TIME(8,0,0),MOD(N259,1),TIME(17,0,0)),TIME(8,0,0))-IF(NETWORKDAYS(K259,K259,UKBankHolidays)&gt;0,MEDIAN(TIME(8,0,0),MOD(K259,1),TIME(17,0,0)),TIME(8,0,0)))-IF(AND(O259&lt;&gt;"",P259&lt;&gt;""),((MAX(NETWORKDAYS(O259,P259,UKBankHolidays)-1,0))*(TIME(17,0,0)-TIME(8,0,0))+IF(NETWORKDAYS(P259,P259,UKBankHolidays)&gt;0,MEDIAN(TIME(8,0,0),MOD(P259,1),TIME(17,0,0)),TIME(8,0,0))-IF(NETWORKDAYS(O259,O259,UKBankHolidays)&gt;0,MEDIAN(TIME(8,0,0),MOD(O259,1),TIME(17,0,0)),TIME(8,0,0))),0),AND(K259&lt;&gt;"",N259=""),((MAX(NETWORKDAYS(K259,NOW(),UKBankHolidays)-1,0))*(TIME(17,0,0)-TIME(8,0,0))+IF(NETWORKDAYS(NOW(),NOW(),UKBankHolidays)&gt;0,MEDIAN(TIME(8,0,0),MOD(NOW(),1),TIME(17,0,0)),TIME(8,0,0))-IF(NETWORKDAYS(K259,K259,UKBankHolidays)&gt;0,MEDIAN(TIME(8,0,0),MOD(K259,1),TIME(17,0,0)),TIME(8,0,0))))),IF(N259="",NOW()-K259,N259-K259))</f>
        <v>0</v>
      </c>
      <c r="AA259" s="75">
        <f t="shared" ca="1" si="28"/>
        <v>0</v>
      </c>
      <c r="AB259" s="76">
        <f t="shared" ref="AB259:AB322" ca="1" si="33">IF(NOT(OR(G259=1,G259=2)),MAX(0,_xlfn.IFS(AND(K259&lt;&gt;"",N259&lt;&gt;""),(((MAX(NETWORKDAYS(L259,N259,UKBankHolidays)-1,0))*(TIME(17,0,0)-TIME(8,0,0)))+IF(NETWORKDAYS(N259,N259,UKBankHolidays)&gt;0,MEDIAN(TIME(8,0,0),MOD(N259,1),TIME(17,0,0)),TIME(8,0,0))-IF(NETWORKDAYS(L259,L259,UKBankHolidays)&gt;0,MEDIAN(TIME(8,0,0),MOD(L259,1),TIME(17,0,0)),TIME(8,0,0)))-IF(AND(O259&lt;&gt;"",P259&lt;&gt;""),(((MAX(NETWORKDAYS(O259,P259,UKBankHolidays)-1,0))*(TIME(17,0,0)-TIME(8,0,0)))+IF(NETWORKDAYS(P259,P259,UKBankHolidays)&gt;0,MEDIAN(TIME(8,0,0),MOD(P259,1),TIME(17,0,0)),TIME(8,0,0))-IF(NETWORKDAYS(O259,O259,UKBankHolidays)&gt;0,MEDIAN(TIME(8,0,0),MOD(O259,1),TIME(17,0,0)),TIME(8,0,0))),0),AND(L259&lt;&gt;"",N259="",O259=""),(((MAX(NETWORKDAYS(L259,NOW(),UKBankHolidays)-1,0))*(TIME(17,0,0)-TIME(8,0,0)))+IF(NETWORKDAYS(NOW(),NOW(),UKBankHolidays)&gt;0,MEDIAN(TIME(8,0,0),MOD(NOW(),1),TIME(17,0,0)),TIME(8,0,0))-IF(NETWORKDAYS(L259,L259,UKBankHolidays)&gt;0,MEDIAN(TIME(8,0,0),MOD(L259,1),TIME(17,0,0)),TIME(8,0,0)))-IF(AND(O259&lt;&gt;"",P259&lt;&gt;""),(((MAX(NETWORKDAYS(O259,P259,UKBankHolidays)-1,0))*(TIME(17,0,0)-TIME(8,0,0)))+IF(NETWORKDAYS(P259,P259,UKBankHolidays)&gt;0,MEDIAN(TIME(8,0,0),MOD(P259,1),TIME(17,0,0)),TIME(8,0,0))-IF(NETWORKDAYS(O259,O259,UKBankHolidays)&gt;0,MEDIAN(TIME(8,0,0),MOD(O259,1),TIME(17,0,0)),TIME(8,0,0))),0),AND(L259&lt;&gt;"",N259="",P259="",O259&lt;&gt;""),(((MAX(NETWORKDAYS(L259,O259,UKBankHolidays)-1,0))*(TIME(17,0,0)-TIME(8,0,0)))+IF(NETWORKDAYS(O259,O259,UKBankHolidays)&gt;0,MEDIAN(TIME(8,0,0),MOD(O259,1),TIME(17,0,0)),TIME(8,0,0))-IF(NETWORKDAYS(L259,L259,UKBankHolidays)&gt;0,MEDIAN(TIME(8,0,0),MOD(L259,1),TIME(17,0,0)),TIME(8,0,0))),ISBLANK(K259),"0")),IF(ISBLANK(N259),NOW()-L259,N259-L259))</f>
        <v>0</v>
      </c>
      <c r="AC259" s="75">
        <f t="shared" ca="1" si="29"/>
        <v>0</v>
      </c>
      <c r="AD259" s="76">
        <f t="shared" ref="AD259:AD322" ca="1" si="34">MAX(0,IF(NOT(OR(G259=1,G259=2)),IF(M259&lt;&gt;"",((MAX(NETWORKDAYS(L259,M259,UKBankHolidays)-1,0))*(TIME(17,0,0)-TIME(8,0,0))+IF(NETWORKDAYS(M259,M259,UKBankHolidays)&gt;0,MEDIAN(TIME(8,0,0),MOD(M259,1),TIME(17,0,0)),TIME(8,0,0))-MEDIAN(TIME(8,0,0),MOD(L259,1),TIME(17,0,0))),((MAX(NETWORKDAYS(L259,NOW(),UKBankHolidays)-1,0))*(TIME(17,0,0)-TIME(8,0,0))+IF(NETWORKDAYS(NOW(),NOW(),UKBankHolidays)&gt;0,MEDIAN(TIME(8,0,0),MOD(NOW(),1),TIME(17,0,0)),TIME(8,0,0))-MEDIAN(TIME(8,0,0),MOD(L259,1),TIME(17,0,0)))),IF(M259&lt;&gt;"",M259-L259,NOW()-L259)))</f>
        <v>0</v>
      </c>
      <c r="AE259" s="76">
        <f t="shared" ref="AE259:AE322" ca="1" si="35">SUMIFS(AB:AB,E:E,E259)</f>
        <v>0</v>
      </c>
      <c r="AF259" s="75">
        <f t="shared" ca="1" si="30"/>
        <v>0</v>
      </c>
      <c r="AG259" s="75">
        <f t="shared" ca="1" si="31"/>
        <v>0</v>
      </c>
      <c r="AH259" s="31" t="str" cm="1">
        <f t="array" aca="1" ref="AH259" ca="1">IF((AD259) &lt; (INDEX(ResponseSLA[#All],(MATCH((G259),ResponseSLA[Priority],0))+1,3)),"YES","No")</f>
        <v>YES</v>
      </c>
      <c r="AI259" s="31" t="str">
        <f ca="1">_xlfn.IFNA(IF(AE259 &lt; (INDEX(SLATable[Minimum SLA],MATCH(G259,SLATable[Priority],0))),"YES","NO"),"")</f>
        <v>YES</v>
      </c>
      <c r="AJ259" t="str">
        <f ca="1">_xlfn.IFNA(IF(AE259 &lt; (INDEX(SLATable[Maximum SLA],MATCH(G259,SLATable[Priority],0))),"YES","NO"),"")</f>
        <v>YES</v>
      </c>
    </row>
    <row r="260" spans="1:36" ht="15" customHeight="1">
      <c r="A260" s="45">
        <v>259</v>
      </c>
      <c r="B260" s="45" t="s">
        <v>26</v>
      </c>
      <c r="C260" s="45" t="s">
        <v>41</v>
      </c>
      <c r="D260" s="45" t="s">
        <v>207</v>
      </c>
      <c r="E260" s="45" t="s">
        <v>8629</v>
      </c>
      <c r="F260" s="45" t="s">
        <v>40</v>
      </c>
      <c r="G260" s="66">
        <v>4</v>
      </c>
      <c r="H260" s="45" t="s">
        <v>8630</v>
      </c>
      <c r="J260" s="45" t="s">
        <v>8120</v>
      </c>
      <c r="K260" s="147">
        <v>46251.410509259258</v>
      </c>
      <c r="L260" s="147">
        <v>46251.410902777781</v>
      </c>
      <c r="M260" s="147">
        <v>46251.436550925922</v>
      </c>
      <c r="O260" s="147">
        <v>46251.438726851855</v>
      </c>
      <c r="Q260" s="45" t="s">
        <v>8191</v>
      </c>
      <c r="S260" s="45" t="s">
        <v>8122</v>
      </c>
      <c r="T260" s="45" t="s">
        <v>1519</v>
      </c>
      <c r="U260" s="45" t="s">
        <v>371</v>
      </c>
      <c r="Z260" s="76">
        <f t="shared" ca="1" si="32"/>
        <v>2.4734659722234942</v>
      </c>
      <c r="AA260" s="75">
        <f t="shared" ca="1" si="28"/>
        <v>6.5959092592626511</v>
      </c>
      <c r="AB260" s="76">
        <f t="shared" ca="1" si="33"/>
        <v>2.7824074073578231E-2</v>
      </c>
      <c r="AC260" s="75">
        <f t="shared" ca="1" si="29"/>
        <v>7.4197530862875283E-2</v>
      </c>
      <c r="AD260" s="76">
        <f t="shared" ca="1" si="34"/>
        <v>2.5648148141044658E-2</v>
      </c>
      <c r="AE260" s="76">
        <f t="shared" ca="1" si="35"/>
        <v>2.7824074073578231E-2</v>
      </c>
      <c r="AF260" s="75">
        <f t="shared" ca="1" si="30"/>
        <v>7.4197530862875283E-2</v>
      </c>
      <c r="AG260" s="75">
        <f t="shared" ca="1" si="31"/>
        <v>7.4197530862875283E-2</v>
      </c>
      <c r="AH260" s="31" t="str" cm="1">
        <f t="array" aca="1" ref="AH260" ca="1">IF((AD260) &lt; (INDEX(ResponseSLA[#All],(MATCH((G260),ResponseSLA[Priority],0))+1,3)),"YES","No")</f>
        <v>YES</v>
      </c>
      <c r="AI260" s="31" t="str">
        <f ca="1">_xlfn.IFNA(IF(AE260 &lt; (INDEX(SLATable[Minimum SLA],MATCH(G260,SLATable[Priority],0))),"YES","NO"),"")</f>
        <v>YES</v>
      </c>
      <c r="AJ260" t="str">
        <f ca="1">_xlfn.IFNA(IF(AE260 &lt; (INDEX(SLATable[Maximum SLA],MATCH(G260,SLATable[Priority],0))),"YES","NO"),"")</f>
        <v>YES</v>
      </c>
    </row>
    <row r="261" spans="1:36" ht="15" customHeight="1">
      <c r="A261" s="45">
        <v>260</v>
      </c>
      <c r="B261" s="45" t="s">
        <v>26</v>
      </c>
      <c r="C261" s="45" t="s">
        <v>41</v>
      </c>
      <c r="D261" s="45" t="s">
        <v>207</v>
      </c>
      <c r="E261" s="45" t="s">
        <v>8631</v>
      </c>
      <c r="F261" s="45" t="s">
        <v>40</v>
      </c>
      <c r="G261" s="66">
        <v>4</v>
      </c>
      <c r="H261" s="45" t="s">
        <v>8632</v>
      </c>
      <c r="I261" s="45" t="s">
        <v>271</v>
      </c>
      <c r="J261" s="45" t="s">
        <v>8120</v>
      </c>
      <c r="K261" s="147">
        <v>46251.903240740743</v>
      </c>
      <c r="L261" s="147">
        <v>46251.903240740743</v>
      </c>
      <c r="M261" s="147">
        <v>46252.226886574077</v>
      </c>
      <c r="N261" s="147">
        <v>46252.228449074071</v>
      </c>
      <c r="Q261" s="45" t="s">
        <v>8191</v>
      </c>
      <c r="S261" s="45" t="s">
        <v>8122</v>
      </c>
      <c r="T261" s="45" t="s">
        <v>1519</v>
      </c>
      <c r="U261" s="45" t="s">
        <v>371</v>
      </c>
      <c r="Z261" s="76">
        <f t="shared" ca="1" si="32"/>
        <v>0</v>
      </c>
      <c r="AA261" s="75">
        <f t="shared" ca="1" si="28"/>
        <v>0</v>
      </c>
      <c r="AB261" s="76">
        <f t="shared" ca="1" si="33"/>
        <v>0</v>
      </c>
      <c r="AC261" s="75">
        <f t="shared" ca="1" si="29"/>
        <v>0</v>
      </c>
      <c r="AD261" s="76">
        <f t="shared" ca="1" si="34"/>
        <v>0</v>
      </c>
      <c r="AE261" s="76">
        <f t="shared" ca="1" si="35"/>
        <v>0</v>
      </c>
      <c r="AF261" s="75">
        <f t="shared" ca="1" si="30"/>
        <v>0</v>
      </c>
      <c r="AG261" s="75">
        <f t="shared" ca="1" si="31"/>
        <v>0</v>
      </c>
      <c r="AH261" s="31" t="str" cm="1">
        <f t="array" aca="1" ref="AH261" ca="1">IF((AD261) &lt; (INDEX(ResponseSLA[#All],(MATCH((G261),ResponseSLA[Priority],0))+1,3)),"YES","No")</f>
        <v>YES</v>
      </c>
      <c r="AI261" s="31" t="str">
        <f ca="1">_xlfn.IFNA(IF(AE261 &lt; (INDEX(SLATable[Minimum SLA],MATCH(G261,SLATable[Priority],0))),"YES","NO"),"")</f>
        <v>YES</v>
      </c>
      <c r="AJ261" t="str">
        <f ca="1">_xlfn.IFNA(IF(AE261 &lt; (INDEX(SLATable[Maximum SLA],MATCH(G261,SLATable[Priority],0))),"YES","NO"),"")</f>
        <v>YES</v>
      </c>
    </row>
    <row r="262" spans="1:36" ht="15" customHeight="1">
      <c r="A262" s="45">
        <v>261</v>
      </c>
      <c r="B262" s="45" t="s">
        <v>26</v>
      </c>
      <c r="C262" s="45" t="s">
        <v>41</v>
      </c>
      <c r="D262" s="45" t="s">
        <v>207</v>
      </c>
      <c r="E262" s="45" t="s">
        <v>8633</v>
      </c>
      <c r="F262" s="45" t="s">
        <v>40</v>
      </c>
      <c r="G262" s="66">
        <v>4</v>
      </c>
      <c r="H262" s="45" t="s">
        <v>8634</v>
      </c>
      <c r="I262" s="45" t="s">
        <v>271</v>
      </c>
      <c r="J262" s="45" t="s">
        <v>8120</v>
      </c>
      <c r="K262" s="147">
        <v>46251.903657407405</v>
      </c>
      <c r="L262" s="147">
        <v>46251.903657407405</v>
      </c>
      <c r="M262" s="147">
        <v>46252.22284722222</v>
      </c>
      <c r="N262" s="147">
        <v>46252.223506944443</v>
      </c>
      <c r="Q262" s="45" t="s">
        <v>8191</v>
      </c>
      <c r="S262" s="45" t="s">
        <v>8122</v>
      </c>
      <c r="T262" s="45" t="s">
        <v>1519</v>
      </c>
      <c r="U262" s="45" t="s">
        <v>371</v>
      </c>
      <c r="Z262" s="76">
        <f t="shared" ca="1" si="32"/>
        <v>0</v>
      </c>
      <c r="AA262" s="75">
        <f t="shared" ca="1" si="28"/>
        <v>0</v>
      </c>
      <c r="AB262" s="76">
        <f t="shared" ca="1" si="33"/>
        <v>0</v>
      </c>
      <c r="AC262" s="75">
        <f t="shared" ca="1" si="29"/>
        <v>0</v>
      </c>
      <c r="AD262" s="76">
        <f t="shared" ca="1" si="34"/>
        <v>0</v>
      </c>
      <c r="AE262" s="76">
        <f t="shared" ca="1" si="35"/>
        <v>0</v>
      </c>
      <c r="AF262" s="75">
        <f t="shared" ca="1" si="30"/>
        <v>0</v>
      </c>
      <c r="AG262" s="75">
        <f t="shared" ca="1" si="31"/>
        <v>0</v>
      </c>
      <c r="AH262" s="31" t="str" cm="1">
        <f t="array" aca="1" ref="AH262" ca="1">IF((AD262) &lt; (INDEX(ResponseSLA[#All],(MATCH((G262),ResponseSLA[Priority],0))+1,3)),"YES","No")</f>
        <v>YES</v>
      </c>
      <c r="AI262" s="31" t="str">
        <f ca="1">_xlfn.IFNA(IF(AE262 &lt; (INDEX(SLATable[Minimum SLA],MATCH(G262,SLATable[Priority],0))),"YES","NO"),"")</f>
        <v>YES</v>
      </c>
      <c r="AJ262" t="str">
        <f ca="1">_xlfn.IFNA(IF(AE262 &lt; (INDEX(SLATable[Maximum SLA],MATCH(G262,SLATable[Priority],0))),"YES","NO"),"")</f>
        <v>YES</v>
      </c>
    </row>
    <row r="263" spans="1:36" ht="15" customHeight="1">
      <c r="A263" s="45">
        <v>262</v>
      </c>
      <c r="B263" s="45" t="s">
        <v>26</v>
      </c>
      <c r="C263" s="45" t="s">
        <v>41</v>
      </c>
      <c r="D263" s="45" t="s">
        <v>207</v>
      </c>
      <c r="E263" s="45" t="s">
        <v>8635</v>
      </c>
      <c r="F263" s="45" t="s">
        <v>40</v>
      </c>
      <c r="G263" s="66">
        <v>4</v>
      </c>
      <c r="H263" s="45" t="s">
        <v>8636</v>
      </c>
      <c r="I263" s="45" t="s">
        <v>271</v>
      </c>
      <c r="J263" s="45" t="s">
        <v>8120</v>
      </c>
      <c r="K263" s="147">
        <v>46252.90457175926</v>
      </c>
      <c r="L263" s="147">
        <v>46252.90457175926</v>
      </c>
      <c r="M263" s="147">
        <v>46253.250798611109</v>
      </c>
      <c r="N263" s="147">
        <v>46253.253865740742</v>
      </c>
      <c r="Q263" s="45" t="s">
        <v>8191</v>
      </c>
      <c r="S263" s="45" t="s">
        <v>8122</v>
      </c>
      <c r="T263" s="45" t="s">
        <v>1519</v>
      </c>
      <c r="U263" s="45" t="s">
        <v>371</v>
      </c>
      <c r="Z263" s="76">
        <f t="shared" ca="1" si="32"/>
        <v>0</v>
      </c>
      <c r="AA263" s="75">
        <f t="shared" ca="1" si="28"/>
        <v>0</v>
      </c>
      <c r="AB263" s="76">
        <f t="shared" ca="1" si="33"/>
        <v>0</v>
      </c>
      <c r="AC263" s="75">
        <f t="shared" ca="1" si="29"/>
        <v>0</v>
      </c>
      <c r="AD263" s="76">
        <f t="shared" ca="1" si="34"/>
        <v>0</v>
      </c>
      <c r="AE263" s="76">
        <f t="shared" ca="1" si="35"/>
        <v>0</v>
      </c>
      <c r="AF263" s="75">
        <f t="shared" ca="1" si="30"/>
        <v>0</v>
      </c>
      <c r="AG263" s="75">
        <f t="shared" ca="1" si="31"/>
        <v>0</v>
      </c>
      <c r="AH263" s="31" t="str" cm="1">
        <f t="array" aca="1" ref="AH263" ca="1">IF((AD263) &lt; (INDEX(ResponseSLA[#All],(MATCH((G263),ResponseSLA[Priority],0))+1,3)),"YES","No")</f>
        <v>YES</v>
      </c>
      <c r="AI263" s="31" t="str">
        <f ca="1">_xlfn.IFNA(IF(AE263 &lt; (INDEX(SLATable[Minimum SLA],MATCH(G263,SLATable[Priority],0))),"YES","NO"),"")</f>
        <v>YES</v>
      </c>
      <c r="AJ263" t="str">
        <f ca="1">_xlfn.IFNA(IF(AE263 &lt; (INDEX(SLATable[Maximum SLA],MATCH(G263,SLATable[Priority],0))),"YES","NO"),"")</f>
        <v>YES</v>
      </c>
    </row>
    <row r="264" spans="1:36" ht="15" customHeight="1">
      <c r="A264" s="45">
        <v>263</v>
      </c>
      <c r="B264" s="45" t="s">
        <v>26</v>
      </c>
      <c r="C264" s="45" t="s">
        <v>41</v>
      </c>
      <c r="D264" s="45" t="s">
        <v>207</v>
      </c>
      <c r="E264" s="45" t="s">
        <v>8637</v>
      </c>
      <c r="F264" s="45" t="s">
        <v>40</v>
      </c>
      <c r="G264" s="66">
        <v>4</v>
      </c>
      <c r="H264" s="45" t="s">
        <v>8638</v>
      </c>
      <c r="I264" s="45" t="s">
        <v>271</v>
      </c>
      <c r="J264" s="45" t="s">
        <v>8120</v>
      </c>
      <c r="K264" s="147">
        <v>46252.904097222221</v>
      </c>
      <c r="L264" s="147">
        <v>46252.904097222221</v>
      </c>
      <c r="M264" s="147">
        <v>46253.251782407409</v>
      </c>
      <c r="N264" s="147">
        <v>46253.255543981482</v>
      </c>
      <c r="Q264" s="45" t="s">
        <v>8191</v>
      </c>
      <c r="S264" s="45" t="s">
        <v>8122</v>
      </c>
      <c r="T264" s="45" t="s">
        <v>1519</v>
      </c>
      <c r="U264" s="45" t="s">
        <v>371</v>
      </c>
      <c r="Z264" s="76">
        <f t="shared" ca="1" si="32"/>
        <v>0</v>
      </c>
      <c r="AA264" s="75">
        <f t="shared" ca="1" si="28"/>
        <v>0</v>
      </c>
      <c r="AB264" s="76">
        <f t="shared" ca="1" si="33"/>
        <v>0</v>
      </c>
      <c r="AC264" s="75">
        <f t="shared" ca="1" si="29"/>
        <v>0</v>
      </c>
      <c r="AD264" s="76">
        <f t="shared" ca="1" si="34"/>
        <v>0</v>
      </c>
      <c r="AE264" s="76">
        <f t="shared" ca="1" si="35"/>
        <v>0</v>
      </c>
      <c r="AF264" s="75">
        <f t="shared" ca="1" si="30"/>
        <v>0</v>
      </c>
      <c r="AG264" s="75">
        <f t="shared" ca="1" si="31"/>
        <v>0</v>
      </c>
      <c r="AH264" s="31" t="str" cm="1">
        <f t="array" aca="1" ref="AH264" ca="1">IF((AD264) &lt; (INDEX(ResponseSLA[#All],(MATCH((G264),ResponseSLA[Priority],0))+1,3)),"YES","No")</f>
        <v>YES</v>
      </c>
      <c r="AI264" s="31" t="str">
        <f ca="1">_xlfn.IFNA(IF(AE264 &lt; (INDEX(SLATable[Minimum SLA],MATCH(G264,SLATable[Priority],0))),"YES","NO"),"")</f>
        <v>YES</v>
      </c>
      <c r="AJ264" t="str">
        <f ca="1">_xlfn.IFNA(IF(AE264 &lt; (INDEX(SLATable[Maximum SLA],MATCH(G264,SLATable[Priority],0))),"YES","NO"),"")</f>
        <v>YES</v>
      </c>
    </row>
    <row r="265" spans="1:36" ht="15" customHeight="1">
      <c r="A265" s="45">
        <v>264</v>
      </c>
      <c r="B265" s="45" t="s">
        <v>26</v>
      </c>
      <c r="C265" s="45" t="s">
        <v>41</v>
      </c>
      <c r="D265" s="45" t="s">
        <v>207</v>
      </c>
      <c r="E265" s="45" t="s">
        <v>8639</v>
      </c>
      <c r="F265" s="45" t="s">
        <v>40</v>
      </c>
      <c r="G265" s="66">
        <v>4</v>
      </c>
      <c r="H265" s="45" t="s">
        <v>8640</v>
      </c>
      <c r="I265" s="45" t="s">
        <v>275</v>
      </c>
      <c r="J265" s="45" t="s">
        <v>8120</v>
      </c>
      <c r="K265" s="147">
        <v>46252.983495370368</v>
      </c>
      <c r="L265" s="147">
        <v>46252.991747685184</v>
      </c>
      <c r="M265" s="147">
        <v>46253.251620370371</v>
      </c>
      <c r="N265" s="147">
        <v>46253.251620370371</v>
      </c>
      <c r="Q265" s="45" t="s">
        <v>8191</v>
      </c>
      <c r="S265" s="45" t="s">
        <v>8122</v>
      </c>
      <c r="T265" s="45" t="s">
        <v>1519</v>
      </c>
      <c r="U265" s="45" t="s">
        <v>371</v>
      </c>
      <c r="Z265" s="76">
        <f t="shared" ca="1" si="32"/>
        <v>0</v>
      </c>
      <c r="AA265" s="75">
        <f t="shared" ca="1" si="28"/>
        <v>0</v>
      </c>
      <c r="AB265" s="76">
        <f t="shared" ca="1" si="33"/>
        <v>0</v>
      </c>
      <c r="AC265" s="75">
        <f t="shared" ca="1" si="29"/>
        <v>0</v>
      </c>
      <c r="AD265" s="76">
        <f t="shared" ca="1" si="34"/>
        <v>0</v>
      </c>
      <c r="AE265" s="76">
        <f t="shared" ca="1" si="35"/>
        <v>0</v>
      </c>
      <c r="AF265" s="75">
        <f t="shared" ca="1" si="30"/>
        <v>0</v>
      </c>
      <c r="AG265" s="75">
        <f t="shared" ca="1" si="31"/>
        <v>0</v>
      </c>
      <c r="AH265" s="31" t="str" cm="1">
        <f t="array" aca="1" ref="AH265" ca="1">IF((AD265) &lt; (INDEX(ResponseSLA[#All],(MATCH((G265),ResponseSLA[Priority],0))+1,3)),"YES","No")</f>
        <v>YES</v>
      </c>
      <c r="AI265" s="31" t="str">
        <f ca="1">_xlfn.IFNA(IF(AE265 &lt; (INDEX(SLATable[Minimum SLA],MATCH(G265,SLATable[Priority],0))),"YES","NO"),"")</f>
        <v>YES</v>
      </c>
      <c r="AJ265" t="str">
        <f ca="1">_xlfn.IFNA(IF(AE265 &lt; (INDEX(SLATable[Maximum SLA],MATCH(G265,SLATable[Priority],0))),"YES","NO"),"")</f>
        <v>YES</v>
      </c>
    </row>
    <row r="266" spans="1:36" ht="15" customHeight="1">
      <c r="A266" s="45">
        <v>265</v>
      </c>
      <c r="B266" s="45" t="s">
        <v>26</v>
      </c>
      <c r="C266" s="45" t="s">
        <v>41</v>
      </c>
      <c r="D266" s="45" t="s">
        <v>207</v>
      </c>
      <c r="E266" s="45" t="s">
        <v>8641</v>
      </c>
      <c r="F266" s="45" t="s">
        <v>40</v>
      </c>
      <c r="G266" s="66">
        <v>4</v>
      </c>
      <c r="H266" s="45" t="s">
        <v>8642</v>
      </c>
      <c r="I266" s="45" t="s">
        <v>271</v>
      </c>
      <c r="J266" s="45" t="s">
        <v>8120</v>
      </c>
      <c r="K266" s="147">
        <v>46253.544629629629</v>
      </c>
      <c r="L266" s="47">
        <v>46253.544629629629</v>
      </c>
      <c r="M266" s="147">
        <v>46254.242488425924</v>
      </c>
      <c r="N266" s="147">
        <v>46254.4687037037</v>
      </c>
      <c r="O266" s="147">
        <v>46254.294942129629</v>
      </c>
      <c r="P266" s="147">
        <v>46254.4687037037</v>
      </c>
      <c r="Q266" s="45" t="s">
        <v>8191</v>
      </c>
      <c r="S266" s="45" t="s">
        <v>8122</v>
      </c>
      <c r="T266" s="45" t="s">
        <v>1519</v>
      </c>
      <c r="U266" s="45" t="s">
        <v>371</v>
      </c>
      <c r="Z266" s="76">
        <f t="shared" ca="1" si="32"/>
        <v>0.16370370370471693</v>
      </c>
      <c r="AA266" s="75">
        <f t="shared" ca="1" si="28"/>
        <v>0.43654320987924516</v>
      </c>
      <c r="AB266" s="76">
        <f t="shared" ca="1" si="33"/>
        <v>0.16370370370471693</v>
      </c>
      <c r="AC266" s="75">
        <f t="shared" ca="1" si="29"/>
        <v>0.43654320987924516</v>
      </c>
      <c r="AD266" s="76">
        <f t="shared" ca="1" si="34"/>
        <v>0.16370370370471699</v>
      </c>
      <c r="AE266" s="76">
        <f t="shared" ca="1" si="35"/>
        <v>0.16370370370471693</v>
      </c>
      <c r="AF266" s="75">
        <f t="shared" ca="1" si="30"/>
        <v>0.43654320987924516</v>
      </c>
      <c r="AG266" s="75">
        <f t="shared" ca="1" si="31"/>
        <v>0.43654320987924516</v>
      </c>
      <c r="AH266" s="31" t="str" cm="1">
        <f t="array" aca="1" ref="AH266" ca="1">IF((AD266) &lt; (INDEX(ResponseSLA[#All],(MATCH((G266),ResponseSLA[Priority],0))+1,3)),"YES","No")</f>
        <v>No</v>
      </c>
      <c r="AI266" s="31" t="str">
        <f ca="1">_xlfn.IFNA(IF(AE266 &lt; (INDEX(SLATable[Minimum SLA],MATCH(G266,SLATable[Priority],0))),"YES","NO"),"")</f>
        <v>YES</v>
      </c>
      <c r="AJ266" t="str">
        <f ca="1">_xlfn.IFNA(IF(AE266 &lt; (INDEX(SLATable[Maximum SLA],MATCH(G266,SLATable[Priority],0))),"YES","NO"),"")</f>
        <v>YES</v>
      </c>
    </row>
    <row r="267" spans="1:36" ht="15" customHeight="1">
      <c r="A267" s="45">
        <v>266</v>
      </c>
      <c r="B267" s="45" t="s">
        <v>26</v>
      </c>
      <c r="C267" s="45" t="s">
        <v>41</v>
      </c>
      <c r="D267" s="45" t="s">
        <v>207</v>
      </c>
      <c r="E267" s="45" t="s">
        <v>8643</v>
      </c>
      <c r="F267" s="45" t="s">
        <v>40</v>
      </c>
      <c r="G267" s="66">
        <v>4</v>
      </c>
      <c r="H267" s="45" t="s">
        <v>8644</v>
      </c>
      <c r="I267" s="45" t="s">
        <v>271</v>
      </c>
      <c r="J267" s="45" t="s">
        <v>8120</v>
      </c>
      <c r="K267" s="147">
        <v>46253.550856481481</v>
      </c>
      <c r="L267" s="147">
        <v>46253.550856481481</v>
      </c>
      <c r="M267" s="147">
        <v>46254.242337962962</v>
      </c>
      <c r="N267" s="147">
        <v>46254.471053240741</v>
      </c>
      <c r="O267" s="147">
        <v>46254.295104166667</v>
      </c>
      <c r="P267" s="147">
        <v>46254.471053240741</v>
      </c>
      <c r="Q267" s="45" t="s">
        <v>8191</v>
      </c>
      <c r="S267" s="45" t="s">
        <v>8122</v>
      </c>
      <c r="T267" s="45" t="s">
        <v>1519</v>
      </c>
      <c r="U267" s="45" t="s">
        <v>371</v>
      </c>
      <c r="Z267" s="76">
        <f t="shared" ca="1" si="32"/>
        <v>0.15747685185245547</v>
      </c>
      <c r="AA267" s="75">
        <f t="shared" ca="1" si="28"/>
        <v>0.4199382716065479</v>
      </c>
      <c r="AB267" s="76">
        <f t="shared" ca="1" si="33"/>
        <v>0.15747685185245547</v>
      </c>
      <c r="AC267" s="75">
        <f t="shared" ca="1" si="29"/>
        <v>0.4199382716065479</v>
      </c>
      <c r="AD267" s="76">
        <f t="shared" ca="1" si="34"/>
        <v>0.15747685185245552</v>
      </c>
      <c r="AE267" s="76">
        <f t="shared" ca="1" si="35"/>
        <v>0.15747685185245547</v>
      </c>
      <c r="AF267" s="75">
        <f t="shared" ca="1" si="30"/>
        <v>0.4199382716065479</v>
      </c>
      <c r="AG267" s="75">
        <f t="shared" ca="1" si="31"/>
        <v>0.4199382716065479</v>
      </c>
      <c r="AH267" s="31" t="str" cm="1">
        <f t="array" aca="1" ref="AH267" ca="1">IF((AD267) &lt; (INDEX(ResponseSLA[#All],(MATCH((G267),ResponseSLA[Priority],0))+1,3)),"YES","No")</f>
        <v>No</v>
      </c>
      <c r="AI267" s="31" t="str">
        <f ca="1">_xlfn.IFNA(IF(AE267 &lt; (INDEX(SLATable[Minimum SLA],MATCH(G267,SLATable[Priority],0))),"YES","NO"),"")</f>
        <v>YES</v>
      </c>
      <c r="AJ267" t="str">
        <f ca="1">_xlfn.IFNA(IF(AE267 &lt; (INDEX(SLATable[Maximum SLA],MATCH(G267,SLATable[Priority],0))),"YES","NO"),"")</f>
        <v>YES</v>
      </c>
    </row>
    <row r="268" spans="1:36" ht="15" customHeight="1">
      <c r="A268" s="45">
        <v>267</v>
      </c>
      <c r="B268" s="45" t="s">
        <v>26</v>
      </c>
      <c r="C268" s="45" t="s">
        <v>41</v>
      </c>
      <c r="D268" s="45" t="s">
        <v>207</v>
      </c>
      <c r="E268" s="45" t="s">
        <v>8645</v>
      </c>
      <c r="F268" s="45" t="s">
        <v>40</v>
      </c>
      <c r="G268" s="66">
        <v>4</v>
      </c>
      <c r="H268" s="45" t="s">
        <v>8646</v>
      </c>
      <c r="I268" s="45" t="s">
        <v>271</v>
      </c>
      <c r="J268" s="45" t="s">
        <v>8120</v>
      </c>
      <c r="K268" s="147">
        <v>46253.904641203706</v>
      </c>
      <c r="L268" s="147">
        <v>46253.904641203706</v>
      </c>
      <c r="M268" s="147">
        <v>46254.237037037034</v>
      </c>
      <c r="N268" s="147">
        <v>46254.238194444442</v>
      </c>
      <c r="Q268" s="45" t="s">
        <v>8191</v>
      </c>
      <c r="S268" s="45" t="s">
        <v>8122</v>
      </c>
      <c r="T268" s="45" t="s">
        <v>1519</v>
      </c>
      <c r="U268" s="45" t="s">
        <v>371</v>
      </c>
      <c r="Z268" s="76">
        <f t="shared" ca="1" si="32"/>
        <v>0</v>
      </c>
      <c r="AA268" s="75">
        <f t="shared" ca="1" si="28"/>
        <v>0</v>
      </c>
      <c r="AB268" s="76">
        <f t="shared" ca="1" si="33"/>
        <v>0</v>
      </c>
      <c r="AC268" s="75">
        <f t="shared" ca="1" si="29"/>
        <v>0</v>
      </c>
      <c r="AD268" s="76">
        <f t="shared" ca="1" si="34"/>
        <v>0</v>
      </c>
      <c r="AE268" s="76">
        <f t="shared" ca="1" si="35"/>
        <v>0</v>
      </c>
      <c r="AF268" s="75">
        <f t="shared" ca="1" si="30"/>
        <v>0</v>
      </c>
      <c r="AG268" s="75">
        <f t="shared" ca="1" si="31"/>
        <v>0</v>
      </c>
      <c r="AH268" s="31" t="str" cm="1">
        <f t="array" aca="1" ref="AH268" ca="1">IF((AD268) &lt; (INDEX(ResponseSLA[#All],(MATCH((G268),ResponseSLA[Priority],0))+1,3)),"YES","No")</f>
        <v>YES</v>
      </c>
      <c r="AI268" s="31" t="str">
        <f ca="1">_xlfn.IFNA(IF(AE268 &lt; (INDEX(SLATable[Minimum SLA],MATCH(G268,SLATable[Priority],0))),"YES","NO"),"")</f>
        <v>YES</v>
      </c>
      <c r="AJ268" t="str">
        <f ca="1">_xlfn.IFNA(IF(AE268 &lt; (INDEX(SLATable[Maximum SLA],MATCH(G268,SLATable[Priority],0))),"YES","NO"),"")</f>
        <v>YES</v>
      </c>
    </row>
    <row r="269" spans="1:36" ht="15" customHeight="1">
      <c r="A269" s="45">
        <v>268</v>
      </c>
      <c r="B269" s="45" t="s">
        <v>26</v>
      </c>
      <c r="C269" s="45" t="s">
        <v>41</v>
      </c>
      <c r="D269" s="45" t="s">
        <v>207</v>
      </c>
      <c r="E269" s="45" t="s">
        <v>8647</v>
      </c>
      <c r="F269" s="45" t="s">
        <v>40</v>
      </c>
      <c r="G269" s="66">
        <v>3</v>
      </c>
      <c r="H269" s="45" t="s">
        <v>8648</v>
      </c>
      <c r="J269" s="45" t="s">
        <v>8120</v>
      </c>
      <c r="K269" s="147">
        <v>46254.473124999997</v>
      </c>
      <c r="L269" s="147">
        <v>46255.49</v>
      </c>
      <c r="M269" s="147">
        <v>46255.538888888892</v>
      </c>
      <c r="O269" s="147">
        <v>46258.444525462961</v>
      </c>
      <c r="Q269" s="45" t="s">
        <v>8191</v>
      </c>
      <c r="S269" s="45" t="s">
        <v>8122</v>
      </c>
      <c r="T269" s="45" t="s">
        <v>1455</v>
      </c>
      <c r="U269" s="45" t="s">
        <v>371</v>
      </c>
      <c r="Z269" s="76">
        <f t="shared" ca="1" si="32"/>
        <v>1.2858502314848013</v>
      </c>
      <c r="AA269" s="75">
        <f t="shared" ca="1" si="28"/>
        <v>3.4289339506261367</v>
      </c>
      <c r="AB269" s="76">
        <f t="shared" ca="1" si="33"/>
        <v>0.32952546296291985</v>
      </c>
      <c r="AC269" s="75">
        <f t="shared" ca="1" si="29"/>
        <v>0.87873456790111959</v>
      </c>
      <c r="AD269" s="76">
        <f t="shared" ca="1" si="34"/>
        <v>4.8888888893998228E-2</v>
      </c>
      <c r="AE269" s="76">
        <f t="shared" ca="1" si="35"/>
        <v>0.32952546296291985</v>
      </c>
      <c r="AF269" s="75">
        <f t="shared" ca="1" si="30"/>
        <v>0.87873456790111959</v>
      </c>
      <c r="AG269" s="75">
        <f t="shared" ca="1" si="31"/>
        <v>0.87873456790111959</v>
      </c>
      <c r="AH269" s="31" t="str" cm="1">
        <f t="array" aca="1" ref="AH269" ca="1">IF((AD269) &lt; (INDEX(ResponseSLA[#All],(MATCH((G269),ResponseSLA[Priority],0))+1,3)),"YES","No")</f>
        <v>YES</v>
      </c>
      <c r="AI269" s="31" t="str">
        <f ca="1">_xlfn.IFNA(IF(AE269 &lt; (INDEX(SLATable[Minimum SLA],MATCH(G269,SLATable[Priority],0))),"YES","NO"),"")</f>
        <v>YES</v>
      </c>
      <c r="AJ269" t="str">
        <f ca="1">_xlfn.IFNA(IF(AE269 &lt; (INDEX(SLATable[Maximum SLA],MATCH(G269,SLATable[Priority],0))),"YES","NO"),"")</f>
        <v>YES</v>
      </c>
    </row>
    <row r="270" spans="1:36" ht="15" customHeight="1">
      <c r="A270" s="45">
        <v>269</v>
      </c>
      <c r="B270" s="45" t="s">
        <v>26</v>
      </c>
      <c r="C270" s="45" t="s">
        <v>41</v>
      </c>
      <c r="D270" s="45" t="s">
        <v>207</v>
      </c>
      <c r="E270" s="45" t="s">
        <v>8649</v>
      </c>
      <c r="F270" s="45" t="s">
        <v>40</v>
      </c>
      <c r="G270" s="66">
        <v>4</v>
      </c>
      <c r="H270" s="45" t="s">
        <v>8650</v>
      </c>
      <c r="J270" s="45" t="s">
        <v>8120</v>
      </c>
      <c r="K270" s="147">
        <v>46247.506620370368</v>
      </c>
      <c r="L270" s="147">
        <v>46255.700115740743</v>
      </c>
      <c r="M270" s="147">
        <v>46258.23159722222</v>
      </c>
      <c r="O270" s="147">
        <v>46258.449131944442</v>
      </c>
      <c r="Q270" s="45" t="s">
        <v>8191</v>
      </c>
      <c r="S270" s="45" t="s">
        <v>8122</v>
      </c>
      <c r="T270" s="45" t="s">
        <v>1455</v>
      </c>
      <c r="U270" s="45" t="s">
        <v>371</v>
      </c>
      <c r="Z270" s="76">
        <f t="shared" ca="1" si="32"/>
        <v>3.1273548611134179</v>
      </c>
      <c r="AA270" s="75">
        <f t="shared" ca="1" si="28"/>
        <v>8.3396129629691149</v>
      </c>
      <c r="AB270" s="76">
        <f t="shared" ca="1" si="33"/>
        <v>0.12401620369928423</v>
      </c>
      <c r="AC270" s="75">
        <f t="shared" ca="1" si="29"/>
        <v>0.33070987653142464</v>
      </c>
      <c r="AD270" s="76">
        <f t="shared" ca="1" si="34"/>
        <v>8.2175925902751024E-3</v>
      </c>
      <c r="AE270" s="76">
        <f t="shared" ca="1" si="35"/>
        <v>0.12401620369928423</v>
      </c>
      <c r="AF270" s="75">
        <f t="shared" ca="1" si="30"/>
        <v>0.33070987653142464</v>
      </c>
      <c r="AG270" s="75">
        <f t="shared" ca="1" si="31"/>
        <v>0.33070987653142464</v>
      </c>
      <c r="AH270" s="31" t="str" cm="1">
        <f t="array" aca="1" ref="AH270" ca="1">IF((AD270) &lt; (INDEX(ResponseSLA[#All],(MATCH((G270),ResponseSLA[Priority],0))+1,3)),"YES","No")</f>
        <v>YES</v>
      </c>
      <c r="AI270" s="31" t="str">
        <f ca="1">_xlfn.IFNA(IF(AE270 &lt; (INDEX(SLATable[Minimum SLA],MATCH(G270,SLATable[Priority],0))),"YES","NO"),"")</f>
        <v>YES</v>
      </c>
      <c r="AJ270" t="str">
        <f ca="1">_xlfn.IFNA(IF(AE270 &lt; (INDEX(SLATable[Maximum SLA],MATCH(G270,SLATable[Priority],0))),"YES","NO"),"")</f>
        <v>YES</v>
      </c>
    </row>
    <row r="271" spans="1:36" ht="15" customHeight="1">
      <c r="A271" s="45">
        <v>270</v>
      </c>
      <c r="B271" s="45" t="s">
        <v>26</v>
      </c>
      <c r="C271" s="45" t="s">
        <v>41</v>
      </c>
      <c r="D271" s="45" t="s">
        <v>207</v>
      </c>
      <c r="E271" s="45" t="s">
        <v>8651</v>
      </c>
      <c r="F271" s="45" t="s">
        <v>40</v>
      </c>
      <c r="G271" s="66">
        <v>3</v>
      </c>
      <c r="H271" s="45" t="s">
        <v>8652</v>
      </c>
      <c r="J271" s="45" t="s">
        <v>8120</v>
      </c>
      <c r="K271" s="147">
        <v>46257.434016203704</v>
      </c>
      <c r="L271" s="147">
        <v>46257.434016203704</v>
      </c>
      <c r="M271" s="147">
        <v>46258.23064814815</v>
      </c>
      <c r="O271" s="147">
        <v>46258.241701388892</v>
      </c>
      <c r="Q271" s="45" t="s">
        <v>8191</v>
      </c>
      <c r="S271" s="45" t="s">
        <v>8122</v>
      </c>
      <c r="T271" s="45" t="s">
        <v>268</v>
      </c>
      <c r="U271" s="45" t="s">
        <v>371</v>
      </c>
      <c r="Z271" s="76">
        <f t="shared" ca="1" si="32"/>
        <v>0.67564189814826636</v>
      </c>
      <c r="AA271" s="75">
        <f t="shared" ca="1" si="28"/>
        <v>1.8017117283953767</v>
      </c>
      <c r="AB271" s="76">
        <f t="shared" ca="1" si="33"/>
        <v>0</v>
      </c>
      <c r="AC271" s="75">
        <f t="shared" ca="1" si="29"/>
        <v>0</v>
      </c>
      <c r="AD271" s="76">
        <f t="shared" ca="1" si="34"/>
        <v>0</v>
      </c>
      <c r="AE271" s="76">
        <f t="shared" ca="1" si="35"/>
        <v>0</v>
      </c>
      <c r="AF271" s="75">
        <f t="shared" ca="1" si="30"/>
        <v>0</v>
      </c>
      <c r="AG271" s="75">
        <f t="shared" ca="1" si="31"/>
        <v>0</v>
      </c>
      <c r="AH271" s="31" t="str" cm="1">
        <f t="array" aca="1" ref="AH271" ca="1">IF((AD271) &lt; (INDEX(ResponseSLA[#All],(MATCH((G271),ResponseSLA[Priority],0))+1,3)),"YES","No")</f>
        <v>YES</v>
      </c>
      <c r="AI271" s="31" t="str">
        <f ca="1">_xlfn.IFNA(IF(AE271 &lt; (INDEX(SLATable[Minimum SLA],MATCH(G271,SLATable[Priority],0))),"YES","NO"),"")</f>
        <v>YES</v>
      </c>
      <c r="AJ271" t="str">
        <f ca="1">_xlfn.IFNA(IF(AE271 &lt; (INDEX(SLATable[Maximum SLA],MATCH(G271,SLATable[Priority],0))),"YES","NO"),"")</f>
        <v>YES</v>
      </c>
    </row>
    <row r="272" spans="1:36" ht="15" customHeight="1">
      <c r="A272" s="45">
        <v>271</v>
      </c>
      <c r="B272" s="45" t="s">
        <v>26</v>
      </c>
      <c r="C272" s="45" t="s">
        <v>41</v>
      </c>
      <c r="D272" s="45" t="s">
        <v>207</v>
      </c>
      <c r="E272" s="45" t="s">
        <v>8653</v>
      </c>
      <c r="F272" s="45" t="s">
        <v>40</v>
      </c>
      <c r="G272" s="66">
        <v>4</v>
      </c>
      <c r="H272" s="45" t="s">
        <v>8654</v>
      </c>
      <c r="J272" s="45" t="s">
        <v>8120</v>
      </c>
      <c r="K272" s="147">
        <v>46255.614155092589</v>
      </c>
      <c r="L272" s="147">
        <v>46255.664456018516</v>
      </c>
      <c r="M272" s="147">
        <v>46258.231400462966</v>
      </c>
      <c r="O272" s="147">
        <v>46258.445856481485</v>
      </c>
      <c r="Q272" s="45" t="s">
        <v>8191</v>
      </c>
      <c r="S272" s="45" t="s">
        <v>8122</v>
      </c>
      <c r="T272" s="45" t="s">
        <v>1455</v>
      </c>
      <c r="U272" s="45" t="s">
        <v>371</v>
      </c>
      <c r="Z272" s="76">
        <f t="shared" ca="1" si="32"/>
        <v>0.76982013889210066</v>
      </c>
      <c r="AA272" s="75">
        <f t="shared" ca="1" si="28"/>
        <v>2.0528537037122683</v>
      </c>
      <c r="AB272" s="76">
        <f t="shared" ca="1" si="33"/>
        <v>0.15640046296903165</v>
      </c>
      <c r="AC272" s="75">
        <f t="shared" ca="1" si="29"/>
        <v>0.41706790125075105</v>
      </c>
      <c r="AD272" s="76">
        <f t="shared" ca="1" si="34"/>
        <v>4.3877314817412638E-2</v>
      </c>
      <c r="AE272" s="76">
        <f t="shared" ca="1" si="35"/>
        <v>0.15640046296903165</v>
      </c>
      <c r="AF272" s="75">
        <f t="shared" ca="1" si="30"/>
        <v>0.41706790125075105</v>
      </c>
      <c r="AG272" s="75">
        <f t="shared" ca="1" si="31"/>
        <v>0.41706790125075105</v>
      </c>
      <c r="AH272" s="31" t="str" cm="1">
        <f t="array" aca="1" ref="AH272" ca="1">IF((AD272) &lt; (INDEX(ResponseSLA[#All],(MATCH((G272),ResponseSLA[Priority],0))+1,3)),"YES","No")</f>
        <v>YES</v>
      </c>
      <c r="AI272" s="31" t="str">
        <f ca="1">_xlfn.IFNA(IF(AE272 &lt; (INDEX(SLATable[Minimum SLA],MATCH(G272,SLATable[Priority],0))),"YES","NO"),"")</f>
        <v>YES</v>
      </c>
      <c r="AJ272" t="str">
        <f ca="1">_xlfn.IFNA(IF(AE272 &lt; (INDEX(SLATable[Maximum SLA],MATCH(G272,SLATable[Priority],0))),"YES","NO"),"")</f>
        <v>YES</v>
      </c>
    </row>
    <row r="273" spans="1:36" ht="15" customHeight="1">
      <c r="A273" s="45">
        <v>272</v>
      </c>
      <c r="B273" s="45" t="s">
        <v>26</v>
      </c>
      <c r="C273" s="45" t="s">
        <v>41</v>
      </c>
      <c r="D273" s="45" t="s">
        <v>208</v>
      </c>
      <c r="E273" s="45" t="s">
        <v>8655</v>
      </c>
      <c r="F273" s="45" t="s">
        <v>40</v>
      </c>
      <c r="G273" s="66" t="s">
        <v>208</v>
      </c>
      <c r="H273" s="45" t="s">
        <v>8656</v>
      </c>
      <c r="I273" s="45" t="s">
        <v>275</v>
      </c>
      <c r="J273" s="45" t="s">
        <v>8120</v>
      </c>
      <c r="K273" s="147">
        <v>46258.271770833337</v>
      </c>
      <c r="L273" s="147">
        <v>46258.271770833337</v>
      </c>
      <c r="M273" s="147">
        <v>46258.309282407405</v>
      </c>
      <c r="N273" s="147">
        <v>46258.309918981482</v>
      </c>
      <c r="Q273" s="45" t="s">
        <v>8191</v>
      </c>
      <c r="S273" s="45" t="s">
        <v>8122</v>
      </c>
      <c r="U273" s="45" t="s">
        <v>371</v>
      </c>
      <c r="Z273" s="76">
        <f t="shared" ca="1" si="32"/>
        <v>0</v>
      </c>
      <c r="AA273" s="75">
        <f t="shared" ca="1" si="28"/>
        <v>0</v>
      </c>
      <c r="AB273" s="76">
        <f t="shared" ca="1" si="33"/>
        <v>0</v>
      </c>
      <c r="AC273" s="75">
        <f t="shared" ca="1" si="29"/>
        <v>0</v>
      </c>
      <c r="AD273" s="76">
        <f t="shared" ca="1" si="34"/>
        <v>0</v>
      </c>
      <c r="AE273" s="76">
        <f t="shared" ca="1" si="35"/>
        <v>0</v>
      </c>
      <c r="AF273" s="75">
        <f t="shared" ca="1" si="30"/>
        <v>0</v>
      </c>
      <c r="AG273" s="75">
        <f t="shared" ca="1" si="31"/>
        <v>0</v>
      </c>
      <c r="AH273" s="31" t="str" cm="1">
        <f t="array" aca="1" ref="AH273" ca="1">IF((AD273) &lt; (INDEX(ResponseSLA[#All],(MATCH((G273),ResponseSLA[Priority],0))+1,3)),"YES","No")</f>
        <v>YES</v>
      </c>
      <c r="AI273" s="31" t="str">
        <f ca="1">_xlfn.IFNA(IF(AE273 &lt; (INDEX(SLATable[Minimum SLA],MATCH(G273,SLATable[Priority],0))),"YES","NO"),"")</f>
        <v>YES</v>
      </c>
      <c r="AJ273" t="str">
        <f ca="1">_xlfn.IFNA(IF(AE273 &lt; (INDEX(SLATable[Maximum SLA],MATCH(G273,SLATable[Priority],0))),"YES","NO"),"")</f>
        <v>YES</v>
      </c>
    </row>
    <row r="274" spans="1:36" ht="15" customHeight="1">
      <c r="A274" s="45">
        <v>273</v>
      </c>
      <c r="B274" s="45" t="s">
        <v>26</v>
      </c>
      <c r="C274" s="45" t="s">
        <v>41</v>
      </c>
      <c r="D274" s="45" t="s">
        <v>208</v>
      </c>
      <c r="E274" s="45" t="s">
        <v>8657</v>
      </c>
      <c r="F274" s="45" t="s">
        <v>40</v>
      </c>
      <c r="G274" s="66" t="s">
        <v>208</v>
      </c>
      <c r="H274" s="45" t="s">
        <v>8658</v>
      </c>
      <c r="J274" s="45" t="s">
        <v>8212</v>
      </c>
      <c r="K274" s="147">
        <v>46255.626689814817</v>
      </c>
      <c r="L274" s="147">
        <v>46255.626689814817</v>
      </c>
      <c r="M274" s="147">
        <v>46258.310150462959</v>
      </c>
      <c r="U274" s="45" t="s">
        <v>371</v>
      </c>
      <c r="Z274" s="76">
        <f t="shared" ca="1" si="32"/>
        <v>0.75728541666467208</v>
      </c>
      <c r="AA274" s="75">
        <f t="shared" ca="1" si="28"/>
        <v>2.0194277777724587</v>
      </c>
      <c r="AB274" s="76">
        <f t="shared" ca="1" si="33"/>
        <v>0.75728530092601432</v>
      </c>
      <c r="AC274" s="75">
        <f t="shared" ca="1" si="29"/>
        <v>2.0194274691360383</v>
      </c>
      <c r="AD274" s="76">
        <f t="shared" ca="1" si="34"/>
        <v>8.1643518516405833E-2</v>
      </c>
      <c r="AE274" s="76">
        <f t="shared" ca="1" si="35"/>
        <v>0.75728530092601432</v>
      </c>
      <c r="AF274" s="75">
        <f t="shared" ca="1" si="30"/>
        <v>2.0194274691360383</v>
      </c>
      <c r="AG274" s="75">
        <f t="shared" ca="1" si="31"/>
        <v>2.0194274691360383</v>
      </c>
      <c r="AH274" s="31" t="str" cm="1">
        <f t="array" aca="1" ref="AH274" ca="1">IF((AD274) &lt; (INDEX(ResponseSLA[#All],(MATCH((G274),ResponseSLA[Priority],0))+1,3)),"YES","No")</f>
        <v>YES</v>
      </c>
      <c r="AI274" s="31" t="str">
        <f ca="1">_xlfn.IFNA(IF(AE274 &lt; (INDEX(SLATable[Minimum SLA],MATCH(G274,SLATable[Priority],0))),"YES","NO"),"")</f>
        <v>NO</v>
      </c>
      <c r="AJ274" t="str">
        <f ca="1">_xlfn.IFNA(IF(AE274 &lt; (INDEX(SLATable[Maximum SLA],MATCH(G274,SLATable[Priority],0))),"YES","NO"),"")</f>
        <v>NO</v>
      </c>
    </row>
    <row r="275" spans="1:36" ht="15" customHeight="1">
      <c r="A275" s="45">
        <v>274</v>
      </c>
      <c r="B275" s="45" t="s">
        <v>26</v>
      </c>
      <c r="C275" s="45" t="s">
        <v>41</v>
      </c>
      <c r="D275" s="45" t="s">
        <v>207</v>
      </c>
      <c r="E275" s="45" t="s">
        <v>8659</v>
      </c>
      <c r="F275" s="45" t="s">
        <v>40</v>
      </c>
      <c r="G275" s="66">
        <v>4</v>
      </c>
      <c r="H275" s="45" t="s">
        <v>8660</v>
      </c>
      <c r="I275" s="45" t="s">
        <v>271</v>
      </c>
      <c r="J275" s="45" t="s">
        <v>8120</v>
      </c>
      <c r="K275" s="147">
        <v>46258.433645833335</v>
      </c>
      <c r="L275" s="147">
        <v>46258.433645833335</v>
      </c>
      <c r="M275" s="147">
        <v>46258.451701388891</v>
      </c>
      <c r="N275" s="147">
        <v>46258.45752314815</v>
      </c>
      <c r="Q275" s="45" t="s">
        <v>8191</v>
      </c>
      <c r="S275" s="45" t="s">
        <v>8122</v>
      </c>
      <c r="T275" s="45" t="s">
        <v>1519</v>
      </c>
      <c r="U275" s="45" t="s">
        <v>371</v>
      </c>
      <c r="Z275" s="76">
        <f ca="1">IF(NOT(OR(G276=1,G276=2)),MAX(0,_xlfn.IFS(AND(K275&lt;&gt;"",N275&lt;&gt;""),((MAX(NETWORKDAYS(K275,N275,UKBankHolidays)-1,0))*(TIME(17,0,0)-TIME(8,0,0))+IF(NETWORKDAYS(N275,N275,UKBankHolidays)&gt;0,MEDIAN(TIME(8,0,0),MOD(N275,1),TIME(17,0,0)),TIME(8,0,0))-IF(NETWORKDAYS(K275,K275,UKBankHolidays)&gt;0,MEDIAN(TIME(8,0,0),MOD(K275,1),TIME(17,0,0)),TIME(8,0,0)))-IF(AND(O275&lt;&gt;"",P275&lt;&gt;""),((MAX(NETWORKDAYS(O275,P275,UKBankHolidays)-1,0))*(TIME(17,0,0)-TIME(8,0,0))+IF(NETWORKDAYS(P275,P275,UKBankHolidays)&gt;0,MEDIAN(TIME(8,0,0),MOD(P275,1),TIME(17,0,0)),TIME(8,0,0))-IF(NETWORKDAYS(O275,O275,UKBankHolidays)&gt;0,MEDIAN(TIME(8,0,0),MOD(O275,1),TIME(17,0,0)),TIME(8,0,0))),0),AND(K275&lt;&gt;"",N275=""),((MAX(NETWORKDAYS(K275,NOW(),UKBankHolidays)-1,0))*(TIME(17,0,0)-TIME(8,0,0))+IF(NETWORKDAYS(NOW(),NOW(),UKBankHolidays)&gt;0,MEDIAN(TIME(8,0,0),MOD(NOW(),1),TIME(17,0,0)),TIME(8,0,0))-IF(NETWORKDAYS(K275,K275,UKBankHolidays)&gt;0,MEDIAN(TIME(8,0,0),MOD(K275,1),TIME(17,0,0)),TIME(8,0,0))))),IF(N275="",NOW()-K275,N275-K275))</f>
        <v>2.3877314815763384E-2</v>
      </c>
      <c r="AA275" s="75">
        <f t="shared" ca="1" si="28"/>
        <v>6.3672839508702353E-2</v>
      </c>
      <c r="AB275" s="76">
        <f ca="1">IF(NOT(OR(G276=1,G276=2)),MAX(0,_xlfn.IFS(AND(K275&lt;&gt;"",N275&lt;&gt;""),(((MAX(NETWORKDAYS(L275,N275,UKBankHolidays)-1,0))*(TIME(17,0,0)-TIME(8,0,0)))+IF(NETWORKDAYS(N275,N275,UKBankHolidays)&gt;0,MEDIAN(TIME(8,0,0),MOD(N275,1),TIME(17,0,0)),TIME(8,0,0))-IF(NETWORKDAYS(L275,L275,UKBankHolidays)&gt;0,MEDIAN(TIME(8,0,0),MOD(L275,1),TIME(17,0,0)),TIME(8,0,0)))-IF(AND(O275&lt;&gt;"",P275&lt;&gt;""),(((MAX(NETWORKDAYS(O275,P275,UKBankHolidays)-1,0))*(TIME(17,0,0)-TIME(8,0,0)))+IF(NETWORKDAYS(P275,P275,UKBankHolidays)&gt;0,MEDIAN(TIME(8,0,0),MOD(P275,1),TIME(17,0,0)),TIME(8,0,0))-IF(NETWORKDAYS(O275,O275,UKBankHolidays)&gt;0,MEDIAN(TIME(8,0,0),MOD(O275,1),TIME(17,0,0)),TIME(8,0,0))),0),AND(L275&lt;&gt;"",N275="",O275=""),(((MAX(NETWORKDAYS(L275,NOW(),UKBankHolidays)-1,0))*(TIME(17,0,0)-TIME(8,0,0)))+IF(NETWORKDAYS(NOW(),NOW(),UKBankHolidays)&gt;0,MEDIAN(TIME(8,0,0),MOD(NOW(),1),TIME(17,0,0)),TIME(8,0,0))-IF(NETWORKDAYS(L275,L275,UKBankHolidays)&gt;0,MEDIAN(TIME(8,0,0),MOD(L275,1),TIME(17,0,0)),TIME(8,0,0)))-IF(AND(O275&lt;&gt;"",P275&lt;&gt;""),(((MAX(NETWORKDAYS(O275,P275,UKBankHolidays)-1,0))*(TIME(17,0,0)-TIME(8,0,0)))+IF(NETWORKDAYS(P275,P275,UKBankHolidays)&gt;0,MEDIAN(TIME(8,0,0),MOD(P275,1),TIME(17,0,0)),TIME(8,0,0))-IF(NETWORKDAYS(O275,O275,UKBankHolidays)&gt;0,MEDIAN(TIME(8,0,0),MOD(O275,1),TIME(17,0,0)),TIME(8,0,0))),0),AND(L275&lt;&gt;"",N275="",P275="",O275&lt;&gt;""),(((MAX(NETWORKDAYS(L275,O275,UKBankHolidays)-1,0))*(TIME(17,0,0)-TIME(8,0,0)))+IF(NETWORKDAYS(O275,O275,UKBankHolidays)&gt;0,MEDIAN(TIME(8,0,0),MOD(O275,1),TIME(17,0,0)),TIME(8,0,0))-IF(NETWORKDAYS(L275,L275,UKBankHolidays)&gt;0,MEDIAN(TIME(8,0,0),MOD(L275,1),TIME(17,0,0)),TIME(8,0,0))),ISBLANK(K275),"0")),IF(ISBLANK(N275),NOW()-L275,N275-L275))</f>
        <v>2.3877314815763384E-2</v>
      </c>
      <c r="AC275" s="75">
        <f t="shared" ca="1" si="29"/>
        <v>6.3672839508702353E-2</v>
      </c>
      <c r="AD275" s="76">
        <f ca="1">MAX(0,IF(NOT(OR(G276=1,G276=2)),IF(M275&lt;&gt;"",((MAX(NETWORKDAYS(L275,M275,UKBankHolidays)-1,0))*(TIME(17,0,0)-TIME(8,0,0))+IF(NETWORKDAYS(M275,M275,UKBankHolidays)&gt;0,MEDIAN(TIME(8,0,0),MOD(M275,1),TIME(17,0,0)),TIME(8,0,0))-MEDIAN(TIME(8,0,0),MOD(L275,1),TIME(17,0,0))),((MAX(NETWORKDAYS(L275,NOW(),UKBankHolidays)-1,0))*(TIME(17,0,0)-TIME(8,0,0))+IF(NETWORKDAYS(NOW(),NOW(),UKBankHolidays)&gt;0,MEDIAN(TIME(8,0,0),MOD(NOW(),1),TIME(17,0,0)),TIME(8,0,0))-MEDIAN(TIME(8,0,0),MOD(L275,1),TIME(17,0,0)))),IF(M275&lt;&gt;"",M275-L275,NOW()-L275)))</f>
        <v>1.8055555556202307E-2</v>
      </c>
      <c r="AE275" s="76">
        <f t="shared" ca="1" si="35"/>
        <v>2.3877314815763384E-2</v>
      </c>
      <c r="AF275" s="75">
        <f t="shared" ca="1" si="30"/>
        <v>6.3672839508702353E-2</v>
      </c>
      <c r="AG275" s="75">
        <f t="shared" ca="1" si="31"/>
        <v>6.3672839508702353E-2</v>
      </c>
      <c r="AH275" s="31" t="str" cm="1">
        <f t="array" aca="1" ref="AH275" ca="1">IF((AD275) &lt; (INDEX(ResponseSLA[#All],(MATCH((G276),ResponseSLA[Priority],0))+1,3)),"YES","No")</f>
        <v>YES</v>
      </c>
      <c r="AI275" s="31" t="str">
        <f ca="1">_xlfn.IFNA(IF(AE275 &lt; (INDEX(SLATable[Minimum SLA],MATCH(G276,SLATable[Priority],0))),"YES","NO"),"")</f>
        <v>YES</v>
      </c>
      <c r="AJ275" t="str">
        <f ca="1">_xlfn.IFNA(IF(AE275 &lt; (INDEX(SLATable[Maximum SLA],MATCH(G276,SLATable[Priority],0))),"YES","NO"),"")</f>
        <v>YES</v>
      </c>
    </row>
    <row r="276" spans="1:36" ht="15" customHeight="1">
      <c r="A276" s="45">
        <v>275</v>
      </c>
      <c r="B276" s="45" t="s">
        <v>26</v>
      </c>
      <c r="C276" s="45" t="s">
        <v>41</v>
      </c>
      <c r="D276" s="45" t="s">
        <v>207</v>
      </c>
      <c r="E276" s="45" t="s">
        <v>8661</v>
      </c>
      <c r="F276" s="45" t="s">
        <v>40</v>
      </c>
      <c r="G276" s="66">
        <v>4</v>
      </c>
      <c r="H276" s="45" t="s">
        <v>8662</v>
      </c>
      <c r="I276" s="45" t="s">
        <v>271</v>
      </c>
      <c r="J276" s="45" t="s">
        <v>8120</v>
      </c>
      <c r="K276" s="147">
        <v>46258.902997685182</v>
      </c>
      <c r="L276" s="147">
        <v>46258.903437499997</v>
      </c>
      <c r="M276" s="147">
        <v>46259.310011574074</v>
      </c>
      <c r="N276" s="147">
        <v>46259.315995370373</v>
      </c>
      <c r="Q276" s="45" t="s">
        <v>8191</v>
      </c>
      <c r="S276" s="45" t="s">
        <v>8122</v>
      </c>
      <c r="T276" s="45" t="s">
        <v>1519</v>
      </c>
      <c r="U276" s="45" t="s">
        <v>371</v>
      </c>
      <c r="Z276" s="76" t="e">
        <f ca="1">IF(NOT(OR(#REF!=1,#REF!=2)),MAX(0,_xlfn.IFS(AND(K276&lt;&gt;"",N276&lt;&gt;""),((MAX(NETWORKDAYS(K276,N276,UKBankHolidays)-1,0))*(TIME(17,0,0)-TIME(8,0,0))+IF(NETWORKDAYS(N276,N276,UKBankHolidays)&gt;0,MEDIAN(TIME(8,0,0),MOD(N276,1),TIME(17,0,0)),TIME(8,0,0))-IF(NETWORKDAYS(K276,K276,UKBankHolidays)&gt;0,MEDIAN(TIME(8,0,0),MOD(K276,1),TIME(17,0,0)),TIME(8,0,0)))-IF(AND(O276&lt;&gt;"",P276&lt;&gt;""),((MAX(NETWORKDAYS(O276,P276,UKBankHolidays)-1,0))*(TIME(17,0,0)-TIME(8,0,0))+IF(NETWORKDAYS(P276,P276,UKBankHolidays)&gt;0,MEDIAN(TIME(8,0,0),MOD(P276,1),TIME(17,0,0)),TIME(8,0,0))-IF(NETWORKDAYS(O276,O276,UKBankHolidays)&gt;0,MEDIAN(TIME(8,0,0),MOD(O276,1),TIME(17,0,0)),TIME(8,0,0))),0),AND(K276&lt;&gt;"",N276=""),((MAX(NETWORKDAYS(K276,NOW(),UKBankHolidays)-1,0))*(TIME(17,0,0)-TIME(8,0,0))+IF(NETWORKDAYS(NOW(),NOW(),UKBankHolidays)&gt;0,MEDIAN(TIME(8,0,0),MOD(NOW(),1),TIME(17,0,0)),TIME(8,0,0))-IF(NETWORKDAYS(K276,K276,UKBankHolidays)&gt;0,MEDIAN(TIME(8,0,0),MOD(K276,1),TIME(17,0,0)),TIME(8,0,0))))),IF(N276="",NOW()-K276,N276-K276))</f>
        <v>#REF!</v>
      </c>
      <c r="AA276" s="75" t="e">
        <f t="shared" ca="1" si="28"/>
        <v>#REF!</v>
      </c>
      <c r="AB276" s="76" t="e">
        <f ca="1">IF(NOT(OR(#REF!=1,#REF!=2)),MAX(0,_xlfn.IFS(AND(K276&lt;&gt;"",N276&lt;&gt;""),(((MAX(NETWORKDAYS(L276,N276,UKBankHolidays)-1,0))*(TIME(17,0,0)-TIME(8,0,0)))+IF(NETWORKDAYS(N276,N276,UKBankHolidays)&gt;0,MEDIAN(TIME(8,0,0),MOD(N276,1),TIME(17,0,0)),TIME(8,0,0))-IF(NETWORKDAYS(L276,L276,UKBankHolidays)&gt;0,MEDIAN(TIME(8,0,0),MOD(L276,1),TIME(17,0,0)),TIME(8,0,0)))-IF(AND(O276&lt;&gt;"",P276&lt;&gt;""),(((MAX(NETWORKDAYS(O276,P276,UKBankHolidays)-1,0))*(TIME(17,0,0)-TIME(8,0,0)))+IF(NETWORKDAYS(P276,P276,UKBankHolidays)&gt;0,MEDIAN(TIME(8,0,0),MOD(P276,1),TIME(17,0,0)),TIME(8,0,0))-IF(NETWORKDAYS(O276,O276,UKBankHolidays)&gt;0,MEDIAN(TIME(8,0,0),MOD(O276,1),TIME(17,0,0)),TIME(8,0,0))),0),AND(L276&lt;&gt;"",N276="",O276=""),(((MAX(NETWORKDAYS(L276,NOW(),UKBankHolidays)-1,0))*(TIME(17,0,0)-TIME(8,0,0)))+IF(NETWORKDAYS(NOW(),NOW(),UKBankHolidays)&gt;0,MEDIAN(TIME(8,0,0),MOD(NOW(),1),TIME(17,0,0)),TIME(8,0,0))-IF(NETWORKDAYS(L276,L276,UKBankHolidays)&gt;0,MEDIAN(TIME(8,0,0),MOD(L276,1),TIME(17,0,0)),TIME(8,0,0)))-IF(AND(O276&lt;&gt;"",P276&lt;&gt;""),(((MAX(NETWORKDAYS(O276,P276,UKBankHolidays)-1,0))*(TIME(17,0,0)-TIME(8,0,0)))+IF(NETWORKDAYS(P276,P276,UKBankHolidays)&gt;0,MEDIAN(TIME(8,0,0),MOD(P276,1),TIME(17,0,0)),TIME(8,0,0))-IF(NETWORKDAYS(O276,O276,UKBankHolidays)&gt;0,MEDIAN(TIME(8,0,0),MOD(O276,1),TIME(17,0,0)),TIME(8,0,0))),0),AND(L276&lt;&gt;"",N276="",P276="",O276&lt;&gt;""),(((MAX(NETWORKDAYS(L276,O276,UKBankHolidays)-1,0))*(TIME(17,0,0)-TIME(8,0,0)))+IF(NETWORKDAYS(O276,O276,UKBankHolidays)&gt;0,MEDIAN(TIME(8,0,0),MOD(O276,1),TIME(17,0,0)),TIME(8,0,0))-IF(NETWORKDAYS(L276,L276,UKBankHolidays)&gt;0,MEDIAN(TIME(8,0,0),MOD(L276,1),TIME(17,0,0)),TIME(8,0,0))),ISBLANK(K276),"0")),IF(ISBLANK(N276),NOW()-L276,N276-L276))</f>
        <v>#REF!</v>
      </c>
      <c r="AC276" s="75" t="e">
        <f t="shared" ca="1" si="29"/>
        <v>#REF!</v>
      </c>
      <c r="AD276" s="76" t="e">
        <f ca="1">MAX(0,IF(NOT(OR(#REF!=1,#REF!=2)),IF(M276&lt;&gt;"",((MAX(NETWORKDAYS(L276,M276,UKBankHolidays)-1,0))*(TIME(17,0,0)-TIME(8,0,0))+IF(NETWORKDAYS(M276,M276,UKBankHolidays)&gt;0,MEDIAN(TIME(8,0,0),MOD(M276,1),TIME(17,0,0)),TIME(8,0,0))-MEDIAN(TIME(8,0,0),MOD(L276,1),TIME(17,0,0))),((MAX(NETWORKDAYS(L276,NOW(),UKBankHolidays)-1,0))*(TIME(17,0,0)-TIME(8,0,0))+IF(NETWORKDAYS(NOW(),NOW(),UKBankHolidays)&gt;0,MEDIAN(TIME(8,0,0),MOD(NOW(),1),TIME(17,0,0)),TIME(8,0,0))-MEDIAN(TIME(8,0,0),MOD(L276,1),TIME(17,0,0)))),IF(M276&lt;&gt;"",M276-L276,NOW()-L276)))</f>
        <v>#REF!</v>
      </c>
      <c r="AE276" s="76" t="e">
        <f t="shared" ca="1" si="35"/>
        <v>#REF!</v>
      </c>
      <c r="AF276" s="75" t="e">
        <f t="shared" ca="1" si="30"/>
        <v>#REF!</v>
      </c>
      <c r="AG276" s="75" t="e">
        <f t="shared" ca="1" si="31"/>
        <v>#REF!</v>
      </c>
      <c r="AH276" s="31" t="e" cm="1">
        <f t="array" aca="1" ref="AH276" ca="1">IF((AD276) &lt; (INDEX(ResponseSLA[#All],(MATCH((#REF!),ResponseSLA[Priority],0))+1,3)),"YES","No")</f>
        <v>#REF!</v>
      </c>
      <c r="AI276" s="31" t="e">
        <f ca="1">_xlfn.IFNA(IF(AE276 &lt; (INDEX(SLATable[Minimum SLA],MATCH(#REF!,SLATable[Priority],0))),"YES","NO"),"")</f>
        <v>#REF!</v>
      </c>
      <c r="AJ276" t="e">
        <f ca="1">_xlfn.IFNA(IF(AE276 &lt; (INDEX(SLATable[Maximum SLA],MATCH(#REF!,SLATable[Priority],0))),"YES","NO"),"")</f>
        <v>#REF!</v>
      </c>
    </row>
    <row r="277" spans="1:36" ht="15" customHeight="1">
      <c r="A277" s="45">
        <v>276</v>
      </c>
      <c r="B277" s="45" t="s">
        <v>26</v>
      </c>
      <c r="C277" s="45" t="s">
        <v>41</v>
      </c>
      <c r="D277" s="45" t="s">
        <v>207</v>
      </c>
      <c r="E277" s="45" t="s">
        <v>8663</v>
      </c>
      <c r="F277" s="45" t="s">
        <v>40</v>
      </c>
      <c r="G277" s="66">
        <v>4</v>
      </c>
      <c r="H277" s="45" t="s">
        <v>8664</v>
      </c>
      <c r="I277" s="45" t="s">
        <v>271</v>
      </c>
      <c r="J277" s="45" t="s">
        <v>8120</v>
      </c>
      <c r="K277" s="147">
        <v>46258.902870370373</v>
      </c>
      <c r="L277" s="147">
        <v>46258.902870370373</v>
      </c>
      <c r="M277" s="147">
        <v>46259.311111111114</v>
      </c>
      <c r="N277" s="147">
        <v>46259.328738425924</v>
      </c>
      <c r="Q277" s="45" t="s">
        <v>8191</v>
      </c>
      <c r="S277" s="45" t="s">
        <v>8122</v>
      </c>
      <c r="T277" s="45" t="s">
        <v>1519</v>
      </c>
      <c r="U277" s="45" t="s">
        <v>371</v>
      </c>
      <c r="Z277" s="76">
        <f t="shared" ca="1" si="32"/>
        <v>0</v>
      </c>
      <c r="AA277" s="75">
        <f t="shared" ca="1" si="28"/>
        <v>0</v>
      </c>
      <c r="AB277" s="76">
        <f t="shared" ca="1" si="33"/>
        <v>0</v>
      </c>
      <c r="AC277" s="75">
        <f t="shared" ca="1" si="29"/>
        <v>0</v>
      </c>
      <c r="AD277" s="76">
        <f t="shared" ca="1" si="34"/>
        <v>0</v>
      </c>
      <c r="AE277" s="76">
        <f t="shared" ca="1" si="35"/>
        <v>0</v>
      </c>
      <c r="AF277" s="75">
        <f t="shared" ca="1" si="30"/>
        <v>0</v>
      </c>
      <c r="AG277" s="75">
        <f t="shared" ca="1" si="31"/>
        <v>0</v>
      </c>
      <c r="AH277" s="31" t="str" cm="1">
        <f t="array" aca="1" ref="AH277" ca="1">IF((AD277) &lt; (INDEX(ResponseSLA[#All],(MATCH((G277),ResponseSLA[Priority],0))+1,3)),"YES","No")</f>
        <v>YES</v>
      </c>
      <c r="AI277" s="31" t="str">
        <f ca="1">_xlfn.IFNA(IF(AE277 &lt; (INDEX(SLATable[Minimum SLA],MATCH(G277,SLATable[Priority],0))),"YES","NO"),"")</f>
        <v>YES</v>
      </c>
      <c r="AJ277" t="str">
        <f ca="1">_xlfn.IFNA(IF(AE277 &lt; (INDEX(SLATable[Maximum SLA],MATCH(G277,SLATable[Priority],0))),"YES","NO"),"")</f>
        <v>YES</v>
      </c>
    </row>
    <row r="278" spans="1:36" ht="15" customHeight="1">
      <c r="Z278" s="76" t="e">
        <f t="shared" ca="1" si="32"/>
        <v>#N/A</v>
      </c>
      <c r="AA278" s="75" t="e">
        <f t="shared" ca="1" si="28"/>
        <v>#N/A</v>
      </c>
      <c r="AB278" s="76">
        <f t="shared" ca="1" si="33"/>
        <v>0</v>
      </c>
      <c r="AC278" s="75">
        <f t="shared" ca="1" si="29"/>
        <v>0</v>
      </c>
      <c r="AD278" s="76">
        <f t="shared" ca="1" si="34"/>
        <v>12388.425641782411</v>
      </c>
      <c r="AE278" s="76">
        <f t="shared" si="35"/>
        <v>0</v>
      </c>
      <c r="AF278" s="75">
        <f t="shared" si="30"/>
        <v>0</v>
      </c>
      <c r="AG278" s="75">
        <f t="shared" si="31"/>
        <v>0</v>
      </c>
      <c r="AH278" s="31" t="e" cm="1">
        <f t="array" aca="1" ref="AH278" ca="1">IF((AD278) &lt; (INDEX(ResponseSLA[#All],(MATCH((G278),ResponseSLA[Priority],0))+1,3)),"YES","No")</f>
        <v>#N/A</v>
      </c>
      <c r="AI278" s="31" t="str">
        <f>_xlfn.IFNA(IF(AE278 &lt; (INDEX(SLATable[Minimum SLA],MATCH(G278,SLATable[Priority],0))),"YES","NO"),"")</f>
        <v/>
      </c>
      <c r="AJ278" t="str">
        <f>_xlfn.IFNA(IF(AE278 &lt; (INDEX(SLATable[Maximum SLA],MATCH(G278,SLATable[Priority],0))),"YES","NO"),"")</f>
        <v/>
      </c>
    </row>
    <row r="279" spans="1:36" ht="15" customHeight="1">
      <c r="Z279" s="76" t="e">
        <f t="shared" ca="1" si="32"/>
        <v>#N/A</v>
      </c>
      <c r="AA279" s="75" t="e">
        <f t="shared" ca="1" si="28"/>
        <v>#N/A</v>
      </c>
      <c r="AB279" s="76">
        <f t="shared" ca="1" si="33"/>
        <v>0</v>
      </c>
      <c r="AC279" s="75">
        <f t="shared" ca="1" si="29"/>
        <v>0</v>
      </c>
      <c r="AD279" s="76">
        <f t="shared" ca="1" si="34"/>
        <v>12388.425641898149</v>
      </c>
      <c r="AE279" s="76">
        <f t="shared" si="35"/>
        <v>0</v>
      </c>
      <c r="AF279" s="75">
        <f t="shared" si="30"/>
        <v>0</v>
      </c>
      <c r="AG279" s="75">
        <f t="shared" si="31"/>
        <v>0</v>
      </c>
      <c r="AH279" s="31" t="e" cm="1">
        <f t="array" aca="1" ref="AH279" ca="1">IF((AD279) &lt; (INDEX(ResponseSLA[#All],(MATCH((G279),ResponseSLA[Priority],0))+1,3)),"YES","No")</f>
        <v>#N/A</v>
      </c>
      <c r="AI279" s="31" t="str">
        <f>_xlfn.IFNA(IF(AE279 &lt; (INDEX(SLATable[Minimum SLA],MATCH(G279,SLATable[Priority],0))),"YES","NO"),"")</f>
        <v/>
      </c>
      <c r="AJ279" t="str">
        <f>_xlfn.IFNA(IF(AE279 &lt; (INDEX(SLATable[Maximum SLA],MATCH(G279,SLATable[Priority],0))),"YES","NO"),"")</f>
        <v/>
      </c>
    </row>
    <row r="280" spans="1:36" ht="15" customHeight="1">
      <c r="Z280" s="76" t="e">
        <f t="shared" ca="1" si="32"/>
        <v>#N/A</v>
      </c>
      <c r="AA280" s="75" t="e">
        <f t="shared" ca="1" si="28"/>
        <v>#N/A</v>
      </c>
      <c r="AB280" s="76">
        <f t="shared" ca="1" si="33"/>
        <v>0</v>
      </c>
      <c r="AC280" s="75">
        <f t="shared" ca="1" si="29"/>
        <v>0</v>
      </c>
      <c r="AD280" s="76">
        <f t="shared" ca="1" si="34"/>
        <v>12388.425641782411</v>
      </c>
      <c r="AE280" s="76">
        <f t="shared" si="35"/>
        <v>0</v>
      </c>
      <c r="AF280" s="75">
        <f t="shared" si="30"/>
        <v>0</v>
      </c>
      <c r="AG280" s="75">
        <f t="shared" si="31"/>
        <v>0</v>
      </c>
      <c r="AH280" s="31" t="e" cm="1">
        <f t="array" aca="1" ref="AH280" ca="1">IF((AD280) &lt; (INDEX(ResponseSLA[#All],(MATCH((G280),ResponseSLA[Priority],0))+1,3)),"YES","No")</f>
        <v>#N/A</v>
      </c>
      <c r="AI280" s="31" t="str">
        <f>_xlfn.IFNA(IF(AE280 &lt; (INDEX(SLATable[Minimum SLA],MATCH(G280,SLATable[Priority],0))),"YES","NO"),"")</f>
        <v/>
      </c>
      <c r="AJ280" t="str">
        <f>_xlfn.IFNA(IF(AE280 &lt; (INDEX(SLATable[Maximum SLA],MATCH(G280,SLATable[Priority],0))),"YES","NO"),"")</f>
        <v/>
      </c>
    </row>
    <row r="281" spans="1:36" ht="15" customHeight="1">
      <c r="Z281" s="76" t="e">
        <f t="shared" ca="1" si="32"/>
        <v>#N/A</v>
      </c>
      <c r="AA281" s="75" t="e">
        <f t="shared" ca="1" si="28"/>
        <v>#N/A</v>
      </c>
      <c r="AB281" s="76">
        <f t="shared" ca="1" si="33"/>
        <v>0</v>
      </c>
      <c r="AC281" s="75">
        <f t="shared" ca="1" si="29"/>
        <v>0</v>
      </c>
      <c r="AD281" s="76">
        <f t="shared" ca="1" si="34"/>
        <v>12388.425641782411</v>
      </c>
      <c r="AE281" s="76">
        <f t="shared" si="35"/>
        <v>0</v>
      </c>
      <c r="AF281" s="75">
        <f t="shared" si="30"/>
        <v>0</v>
      </c>
      <c r="AG281" s="75">
        <f t="shared" si="31"/>
        <v>0</v>
      </c>
      <c r="AH281" s="31" t="e" cm="1">
        <f t="array" aca="1" ref="AH281" ca="1">IF((AD281) &lt; (INDEX(ResponseSLA[#All],(MATCH((G281),ResponseSLA[Priority],0))+1,3)),"YES","No")</f>
        <v>#N/A</v>
      </c>
      <c r="AI281" s="31" t="str">
        <f>_xlfn.IFNA(IF(AE281 &lt; (INDEX(SLATable[Minimum SLA],MATCH(G281,SLATable[Priority],0))),"YES","NO"),"")</f>
        <v/>
      </c>
      <c r="AJ281" t="str">
        <f>_xlfn.IFNA(IF(AE281 &lt; (INDEX(SLATable[Maximum SLA],MATCH(G281,SLATable[Priority],0))),"YES","NO"),"")</f>
        <v/>
      </c>
    </row>
    <row r="282" spans="1:36" ht="15" customHeight="1">
      <c r="Z282" s="76" t="e">
        <f t="shared" ca="1" si="32"/>
        <v>#N/A</v>
      </c>
      <c r="AA282" s="75" t="e">
        <f t="shared" ca="1" si="28"/>
        <v>#N/A</v>
      </c>
      <c r="AB282" s="76">
        <f t="shared" ca="1" si="33"/>
        <v>0</v>
      </c>
      <c r="AC282" s="75">
        <f t="shared" ca="1" si="29"/>
        <v>0</v>
      </c>
      <c r="AD282" s="76">
        <f t="shared" ca="1" si="34"/>
        <v>12388.425641898149</v>
      </c>
      <c r="AE282" s="76">
        <f t="shared" si="35"/>
        <v>0</v>
      </c>
      <c r="AF282" s="75">
        <f t="shared" si="30"/>
        <v>0</v>
      </c>
      <c r="AG282" s="75">
        <f t="shared" si="31"/>
        <v>0</v>
      </c>
      <c r="AH282" s="31" t="e" cm="1">
        <f t="array" aca="1" ref="AH282" ca="1">IF((AD282) &lt; (INDEX(ResponseSLA[#All],(MATCH((G282),ResponseSLA[Priority],0))+1,3)),"YES","No")</f>
        <v>#N/A</v>
      </c>
      <c r="AI282" s="31" t="str">
        <f>_xlfn.IFNA(IF(AE282 &lt; (INDEX(SLATable[Minimum SLA],MATCH(G282,SLATable[Priority],0))),"YES","NO"),"")</f>
        <v/>
      </c>
      <c r="AJ282" t="str">
        <f>_xlfn.IFNA(IF(AE282 &lt; (INDEX(SLATable[Maximum SLA],MATCH(G282,SLATable[Priority],0))),"YES","NO"),"")</f>
        <v/>
      </c>
    </row>
    <row r="283" spans="1:36" ht="15" customHeight="1">
      <c r="Z283" s="76" t="e">
        <f t="shared" ca="1" si="32"/>
        <v>#N/A</v>
      </c>
      <c r="AA283" s="75" t="e">
        <f t="shared" ca="1" si="28"/>
        <v>#N/A</v>
      </c>
      <c r="AB283" s="76">
        <f t="shared" ca="1" si="33"/>
        <v>0</v>
      </c>
      <c r="AC283" s="75">
        <f t="shared" ca="1" si="29"/>
        <v>0</v>
      </c>
      <c r="AD283" s="76">
        <f t="shared" ca="1" si="34"/>
        <v>12388.425641782411</v>
      </c>
      <c r="AE283" s="76">
        <f t="shared" si="35"/>
        <v>0</v>
      </c>
      <c r="AF283" s="75">
        <f t="shared" si="30"/>
        <v>0</v>
      </c>
      <c r="AG283" s="75">
        <f t="shared" si="31"/>
        <v>0</v>
      </c>
      <c r="AH283" s="31" t="e" cm="1">
        <f t="array" aca="1" ref="AH283" ca="1">IF((AD283) &lt; (INDEX(ResponseSLA[#All],(MATCH((G283),ResponseSLA[Priority],0))+1,3)),"YES","No")</f>
        <v>#N/A</v>
      </c>
      <c r="AI283" s="31" t="str">
        <f>_xlfn.IFNA(IF(AE283 &lt; (INDEX(SLATable[Minimum SLA],MATCH(G283,SLATable[Priority],0))),"YES","NO"),"")</f>
        <v/>
      </c>
      <c r="AJ283" t="str">
        <f>_xlfn.IFNA(IF(AE283 &lt; (INDEX(SLATable[Maximum SLA],MATCH(G283,SLATable[Priority],0))),"YES","NO"),"")</f>
        <v/>
      </c>
    </row>
    <row r="284" spans="1:36" ht="15" customHeight="1">
      <c r="Z284" s="76" t="e">
        <f t="shared" ca="1" si="32"/>
        <v>#N/A</v>
      </c>
      <c r="AA284" s="75" t="e">
        <f t="shared" ca="1" si="28"/>
        <v>#N/A</v>
      </c>
      <c r="AB284" s="76">
        <f t="shared" ca="1" si="33"/>
        <v>0</v>
      </c>
      <c r="AC284" s="75">
        <f t="shared" ca="1" si="29"/>
        <v>0</v>
      </c>
      <c r="AD284" s="76">
        <f t="shared" ca="1" si="34"/>
        <v>12388.425641782411</v>
      </c>
      <c r="AE284" s="76">
        <f t="shared" si="35"/>
        <v>0</v>
      </c>
      <c r="AF284" s="75">
        <f t="shared" si="30"/>
        <v>0</v>
      </c>
      <c r="AG284" s="75">
        <f t="shared" si="31"/>
        <v>0</v>
      </c>
      <c r="AH284" s="31" t="e" cm="1">
        <f t="array" aca="1" ref="AH284" ca="1">IF((AD284) &lt; (INDEX(ResponseSLA[#All],(MATCH((G284),ResponseSLA[Priority],0))+1,3)),"YES","No")</f>
        <v>#N/A</v>
      </c>
      <c r="AI284" s="31" t="str">
        <f>_xlfn.IFNA(IF(AE284 &lt; (INDEX(SLATable[Minimum SLA],MATCH(G284,SLATable[Priority],0))),"YES","NO"),"")</f>
        <v/>
      </c>
      <c r="AJ284" t="str">
        <f>_xlfn.IFNA(IF(AE284 &lt; (INDEX(SLATable[Maximum SLA],MATCH(G284,SLATable[Priority],0))),"YES","NO"),"")</f>
        <v/>
      </c>
    </row>
    <row r="285" spans="1:36" ht="15" customHeight="1">
      <c r="Z285" s="76" t="e">
        <f t="shared" ca="1" si="32"/>
        <v>#N/A</v>
      </c>
      <c r="AA285" s="75" t="e">
        <f t="shared" ca="1" si="28"/>
        <v>#N/A</v>
      </c>
      <c r="AB285" s="76">
        <f t="shared" ca="1" si="33"/>
        <v>0</v>
      </c>
      <c r="AC285" s="75">
        <f t="shared" ca="1" si="29"/>
        <v>0</v>
      </c>
      <c r="AD285" s="76">
        <f t="shared" ca="1" si="34"/>
        <v>12388.425641898149</v>
      </c>
      <c r="AE285" s="76">
        <f t="shared" si="35"/>
        <v>0</v>
      </c>
      <c r="AF285" s="75">
        <f t="shared" si="30"/>
        <v>0</v>
      </c>
      <c r="AG285" s="75">
        <f t="shared" si="31"/>
        <v>0</v>
      </c>
      <c r="AH285" s="31" t="e" cm="1">
        <f t="array" aca="1" ref="AH285" ca="1">IF((AD285) &lt; (INDEX(ResponseSLA[#All],(MATCH((G285),ResponseSLA[Priority],0))+1,3)),"YES","No")</f>
        <v>#N/A</v>
      </c>
      <c r="AI285" s="31" t="str">
        <f>_xlfn.IFNA(IF(AE285 &lt; (INDEX(SLATable[Minimum SLA],MATCH(G285,SLATable[Priority],0))),"YES","NO"),"")</f>
        <v/>
      </c>
      <c r="AJ285" t="str">
        <f>_xlfn.IFNA(IF(AE285 &lt; (INDEX(SLATable[Maximum SLA],MATCH(G285,SLATable[Priority],0))),"YES","NO"),"")</f>
        <v/>
      </c>
    </row>
    <row r="286" spans="1:36" ht="15" customHeight="1">
      <c r="Z286" s="76" t="e">
        <f t="shared" ca="1" si="32"/>
        <v>#N/A</v>
      </c>
      <c r="AA286" s="75" t="e">
        <f t="shared" ca="1" si="28"/>
        <v>#N/A</v>
      </c>
      <c r="AB286" s="76">
        <f t="shared" ca="1" si="33"/>
        <v>0</v>
      </c>
      <c r="AC286" s="75">
        <f t="shared" ca="1" si="29"/>
        <v>0</v>
      </c>
      <c r="AD286" s="76">
        <f t="shared" ca="1" si="34"/>
        <v>12388.425641782411</v>
      </c>
      <c r="AE286" s="76">
        <f t="shared" si="35"/>
        <v>0</v>
      </c>
      <c r="AF286" s="75">
        <f t="shared" si="30"/>
        <v>0</v>
      </c>
      <c r="AG286" s="75">
        <f t="shared" si="31"/>
        <v>0</v>
      </c>
      <c r="AH286" s="31" t="e" cm="1">
        <f t="array" aca="1" ref="AH286" ca="1">IF((AD286) &lt; (INDEX(ResponseSLA[#All],(MATCH((G286),ResponseSLA[Priority],0))+1,3)),"YES","No")</f>
        <v>#N/A</v>
      </c>
      <c r="AI286" s="31" t="str">
        <f>_xlfn.IFNA(IF(AE286 &lt; (INDEX(SLATable[Minimum SLA],MATCH(G286,SLATable[Priority],0))),"YES","NO"),"")</f>
        <v/>
      </c>
      <c r="AJ286" t="str">
        <f>_xlfn.IFNA(IF(AE286 &lt; (INDEX(SLATable[Maximum SLA],MATCH(G286,SLATable[Priority],0))),"YES","NO"),"")</f>
        <v/>
      </c>
    </row>
    <row r="287" spans="1:36" ht="15" customHeight="1">
      <c r="Z287" s="76" t="e">
        <f t="shared" ca="1" si="32"/>
        <v>#N/A</v>
      </c>
      <c r="AA287" s="75" t="e">
        <f t="shared" ca="1" si="28"/>
        <v>#N/A</v>
      </c>
      <c r="AB287" s="76">
        <f t="shared" ca="1" si="33"/>
        <v>0</v>
      </c>
      <c r="AC287" s="75">
        <f t="shared" ca="1" si="29"/>
        <v>0</v>
      </c>
      <c r="AD287" s="76">
        <f t="shared" ca="1" si="34"/>
        <v>12388.425641782411</v>
      </c>
      <c r="AE287" s="76">
        <f t="shared" si="35"/>
        <v>0</v>
      </c>
      <c r="AF287" s="75">
        <f t="shared" si="30"/>
        <v>0</v>
      </c>
      <c r="AG287" s="75">
        <f t="shared" si="31"/>
        <v>0</v>
      </c>
      <c r="AH287" s="31" t="e" cm="1">
        <f t="array" aca="1" ref="AH287" ca="1">IF((AD287) &lt; (INDEX(ResponseSLA[#All],(MATCH((G287),ResponseSLA[Priority],0))+1,3)),"YES","No")</f>
        <v>#N/A</v>
      </c>
      <c r="AI287" s="31" t="str">
        <f>_xlfn.IFNA(IF(AE287 &lt; (INDEX(SLATable[Minimum SLA],MATCH(G287,SLATable[Priority],0))),"YES","NO"),"")</f>
        <v/>
      </c>
      <c r="AJ287" t="str">
        <f>_xlfn.IFNA(IF(AE287 &lt; (INDEX(SLATable[Maximum SLA],MATCH(G287,SLATable[Priority],0))),"YES","NO"),"")</f>
        <v/>
      </c>
    </row>
    <row r="288" spans="1:36" ht="15" customHeight="1">
      <c r="Z288" s="76" t="e">
        <f t="shared" ca="1" si="32"/>
        <v>#N/A</v>
      </c>
      <c r="AA288" s="75" t="e">
        <f t="shared" ca="1" si="28"/>
        <v>#N/A</v>
      </c>
      <c r="AB288" s="76">
        <f t="shared" ca="1" si="33"/>
        <v>0</v>
      </c>
      <c r="AC288" s="75">
        <f t="shared" ca="1" si="29"/>
        <v>0</v>
      </c>
      <c r="AD288" s="76">
        <f t="shared" ca="1" si="34"/>
        <v>12388.425641898149</v>
      </c>
      <c r="AE288" s="76">
        <f t="shared" si="35"/>
        <v>0</v>
      </c>
      <c r="AF288" s="75">
        <f t="shared" si="30"/>
        <v>0</v>
      </c>
      <c r="AG288" s="75">
        <f t="shared" si="31"/>
        <v>0</v>
      </c>
      <c r="AH288" s="31" t="e" cm="1">
        <f t="array" aca="1" ref="AH288" ca="1">IF((AD288) &lt; (INDEX(ResponseSLA[#All],(MATCH((G288),ResponseSLA[Priority],0))+1,3)),"YES","No")</f>
        <v>#N/A</v>
      </c>
      <c r="AI288" s="31" t="str">
        <f>_xlfn.IFNA(IF(AE288 &lt; (INDEX(SLATable[Minimum SLA],MATCH(G288,SLATable[Priority],0))),"YES","NO"),"")</f>
        <v/>
      </c>
      <c r="AJ288" t="str">
        <f>_xlfn.IFNA(IF(AE288 &lt; (INDEX(SLATable[Maximum SLA],MATCH(G288,SLATable[Priority],0))),"YES","NO"),"")</f>
        <v/>
      </c>
    </row>
    <row r="289" spans="26:36" ht="15" customHeight="1">
      <c r="Z289" s="76" t="e">
        <f t="shared" ca="1" si="32"/>
        <v>#N/A</v>
      </c>
      <c r="AA289" s="75" t="e">
        <f t="shared" ca="1" si="28"/>
        <v>#N/A</v>
      </c>
      <c r="AB289" s="76">
        <f t="shared" ca="1" si="33"/>
        <v>0</v>
      </c>
      <c r="AC289" s="75">
        <f t="shared" ca="1" si="29"/>
        <v>0</v>
      </c>
      <c r="AD289" s="76">
        <f t="shared" ca="1" si="34"/>
        <v>12388.425641782411</v>
      </c>
      <c r="AE289" s="76">
        <f t="shared" si="35"/>
        <v>0</v>
      </c>
      <c r="AF289" s="75">
        <f t="shared" si="30"/>
        <v>0</v>
      </c>
      <c r="AG289" s="75">
        <f t="shared" si="31"/>
        <v>0</v>
      </c>
      <c r="AH289" s="31" t="e" cm="1">
        <f t="array" aca="1" ref="AH289" ca="1">IF((AD289) &lt; (INDEX(ResponseSLA[#All],(MATCH((G289),ResponseSLA[Priority],0))+1,3)),"YES","No")</f>
        <v>#N/A</v>
      </c>
      <c r="AI289" s="31" t="str">
        <f>_xlfn.IFNA(IF(AE289 &lt; (INDEX(SLATable[Minimum SLA],MATCH(G289,SLATable[Priority],0))),"YES","NO"),"")</f>
        <v/>
      </c>
      <c r="AJ289" t="str">
        <f>_xlfn.IFNA(IF(AE289 &lt; (INDEX(SLATable[Maximum SLA],MATCH(G289,SLATable[Priority],0))),"YES","NO"),"")</f>
        <v/>
      </c>
    </row>
    <row r="290" spans="26:36" ht="15" customHeight="1">
      <c r="Z290" s="76" t="e">
        <f t="shared" ca="1" si="32"/>
        <v>#N/A</v>
      </c>
      <c r="AA290" s="75" t="e">
        <f t="shared" ca="1" si="28"/>
        <v>#N/A</v>
      </c>
      <c r="AB290" s="76">
        <f t="shared" ca="1" si="33"/>
        <v>0</v>
      </c>
      <c r="AC290" s="75">
        <f t="shared" ca="1" si="29"/>
        <v>0</v>
      </c>
      <c r="AD290" s="76">
        <f t="shared" ca="1" si="34"/>
        <v>12388.425641782411</v>
      </c>
      <c r="AE290" s="76">
        <f t="shared" si="35"/>
        <v>0</v>
      </c>
      <c r="AF290" s="75">
        <f t="shared" si="30"/>
        <v>0</v>
      </c>
      <c r="AG290" s="75">
        <f t="shared" si="31"/>
        <v>0</v>
      </c>
      <c r="AH290" s="31" t="e" cm="1">
        <f t="array" aca="1" ref="AH290" ca="1">IF((AD290) &lt; (INDEX(ResponseSLA[#All],(MATCH((G290),ResponseSLA[Priority],0))+1,3)),"YES","No")</f>
        <v>#N/A</v>
      </c>
      <c r="AI290" s="31" t="str">
        <f>_xlfn.IFNA(IF(AE290 &lt; (INDEX(SLATable[Minimum SLA],MATCH(G290,SLATable[Priority],0))),"YES","NO"),"")</f>
        <v/>
      </c>
      <c r="AJ290" t="str">
        <f>_xlfn.IFNA(IF(AE290 &lt; (INDEX(SLATable[Maximum SLA],MATCH(G290,SLATable[Priority],0))),"YES","NO"),"")</f>
        <v/>
      </c>
    </row>
    <row r="291" spans="26:36" ht="15" customHeight="1">
      <c r="Z291" s="76" t="e">
        <f t="shared" ca="1" si="32"/>
        <v>#N/A</v>
      </c>
      <c r="AA291" s="75" t="e">
        <f t="shared" ca="1" si="28"/>
        <v>#N/A</v>
      </c>
      <c r="AB291" s="76">
        <f t="shared" ca="1" si="33"/>
        <v>0</v>
      </c>
      <c r="AC291" s="75">
        <f t="shared" ca="1" si="29"/>
        <v>0</v>
      </c>
      <c r="AD291" s="76">
        <f t="shared" ca="1" si="34"/>
        <v>12388.425641898149</v>
      </c>
      <c r="AE291" s="76">
        <f t="shared" si="35"/>
        <v>0</v>
      </c>
      <c r="AF291" s="75">
        <f t="shared" si="30"/>
        <v>0</v>
      </c>
      <c r="AG291" s="75">
        <f t="shared" si="31"/>
        <v>0</v>
      </c>
      <c r="AH291" s="31" t="e" cm="1">
        <f t="array" aca="1" ref="AH291" ca="1">IF((AD291) &lt; (INDEX(ResponseSLA[#All],(MATCH((G291),ResponseSLA[Priority],0))+1,3)),"YES","No")</f>
        <v>#N/A</v>
      </c>
      <c r="AI291" s="31" t="str">
        <f>_xlfn.IFNA(IF(AE291 &lt; (INDEX(SLATable[Minimum SLA],MATCH(G291,SLATable[Priority],0))),"YES","NO"),"")</f>
        <v/>
      </c>
      <c r="AJ291" t="str">
        <f>_xlfn.IFNA(IF(AE291 &lt; (INDEX(SLATable[Maximum SLA],MATCH(G291,SLATable[Priority],0))),"YES","NO"),"")</f>
        <v/>
      </c>
    </row>
    <row r="292" spans="26:36" ht="15" customHeight="1">
      <c r="Z292" s="76" t="e">
        <f t="shared" ca="1" si="32"/>
        <v>#N/A</v>
      </c>
      <c r="AA292" s="75" t="e">
        <f t="shared" ca="1" si="28"/>
        <v>#N/A</v>
      </c>
      <c r="AB292" s="76">
        <f t="shared" ca="1" si="33"/>
        <v>0</v>
      </c>
      <c r="AC292" s="75">
        <f t="shared" ca="1" si="29"/>
        <v>0</v>
      </c>
      <c r="AD292" s="76">
        <f t="shared" ca="1" si="34"/>
        <v>12388.425641782411</v>
      </c>
      <c r="AE292" s="76">
        <f t="shared" si="35"/>
        <v>0</v>
      </c>
      <c r="AF292" s="75">
        <f t="shared" si="30"/>
        <v>0</v>
      </c>
      <c r="AG292" s="75">
        <f t="shared" si="31"/>
        <v>0</v>
      </c>
      <c r="AH292" s="31" t="e" cm="1">
        <f t="array" aca="1" ref="AH292" ca="1">IF((AD292) &lt; (INDEX(ResponseSLA[#All],(MATCH((G292),ResponseSLA[Priority],0))+1,3)),"YES","No")</f>
        <v>#N/A</v>
      </c>
      <c r="AI292" s="31" t="str">
        <f>_xlfn.IFNA(IF(AE292 &lt; (INDEX(SLATable[Minimum SLA],MATCH(G292,SLATable[Priority],0))),"YES","NO"),"")</f>
        <v/>
      </c>
      <c r="AJ292" t="str">
        <f>_xlfn.IFNA(IF(AE292 &lt; (INDEX(SLATable[Maximum SLA],MATCH(G292,SLATable[Priority],0))),"YES","NO"),"")</f>
        <v/>
      </c>
    </row>
    <row r="293" spans="26:36" ht="15" customHeight="1">
      <c r="Z293" s="76" t="e">
        <f t="shared" ca="1" si="32"/>
        <v>#N/A</v>
      </c>
      <c r="AA293" s="75" t="e">
        <f t="shared" ca="1" si="28"/>
        <v>#N/A</v>
      </c>
      <c r="AB293" s="76">
        <f t="shared" ca="1" si="33"/>
        <v>0</v>
      </c>
      <c r="AC293" s="75">
        <f t="shared" ca="1" si="29"/>
        <v>0</v>
      </c>
      <c r="AD293" s="76">
        <f t="shared" ca="1" si="34"/>
        <v>12388.425641898149</v>
      </c>
      <c r="AE293" s="76">
        <f t="shared" si="35"/>
        <v>0</v>
      </c>
      <c r="AF293" s="75">
        <f t="shared" si="30"/>
        <v>0</v>
      </c>
      <c r="AG293" s="75">
        <f t="shared" si="31"/>
        <v>0</v>
      </c>
      <c r="AH293" s="31" t="e" cm="1">
        <f t="array" aca="1" ref="AH293" ca="1">IF((AD293) &lt; (INDEX(ResponseSLA[#All],(MATCH((G293),ResponseSLA[Priority],0))+1,3)),"YES","No")</f>
        <v>#N/A</v>
      </c>
      <c r="AI293" s="31" t="str">
        <f>_xlfn.IFNA(IF(AE293 &lt; (INDEX(SLATable[Minimum SLA],MATCH(G293,SLATable[Priority],0))),"YES","NO"),"")</f>
        <v/>
      </c>
      <c r="AJ293" t="str">
        <f>_xlfn.IFNA(IF(AE293 &lt; (INDEX(SLATable[Maximum SLA],MATCH(G293,SLATable[Priority],0))),"YES","NO"),"")</f>
        <v/>
      </c>
    </row>
    <row r="294" spans="26:36" ht="15" customHeight="1">
      <c r="Z294" s="76" t="e">
        <f t="shared" ca="1" si="32"/>
        <v>#N/A</v>
      </c>
      <c r="AA294" s="75" t="e">
        <f t="shared" ca="1" si="28"/>
        <v>#N/A</v>
      </c>
      <c r="AB294" s="76">
        <f t="shared" ca="1" si="33"/>
        <v>0</v>
      </c>
      <c r="AC294" s="75">
        <f t="shared" ca="1" si="29"/>
        <v>0</v>
      </c>
      <c r="AD294" s="76">
        <f t="shared" ca="1" si="34"/>
        <v>12388.425641898149</v>
      </c>
      <c r="AE294" s="76">
        <f t="shared" si="35"/>
        <v>0</v>
      </c>
      <c r="AF294" s="75">
        <f t="shared" si="30"/>
        <v>0</v>
      </c>
      <c r="AG294" s="75">
        <f t="shared" si="31"/>
        <v>0</v>
      </c>
      <c r="AH294" s="31" t="e" cm="1">
        <f t="array" aca="1" ref="AH294" ca="1">IF((AD294) &lt; (INDEX(ResponseSLA[#All],(MATCH((G294),ResponseSLA[Priority],0))+1,3)),"YES","No")</f>
        <v>#N/A</v>
      </c>
      <c r="AI294" s="31" t="str">
        <f>_xlfn.IFNA(IF(AE294 &lt; (INDEX(SLATable[Minimum SLA],MATCH(G294,SLATable[Priority],0))),"YES","NO"),"")</f>
        <v/>
      </c>
      <c r="AJ294" t="str">
        <f>_xlfn.IFNA(IF(AE294 &lt; (INDEX(SLATable[Maximum SLA],MATCH(G294,SLATable[Priority],0))),"YES","NO"),"")</f>
        <v/>
      </c>
    </row>
    <row r="295" spans="26:36" ht="15" customHeight="1">
      <c r="Z295" s="76" t="e">
        <f t="shared" ca="1" si="32"/>
        <v>#N/A</v>
      </c>
      <c r="AA295" s="75" t="e">
        <f t="shared" ca="1" si="28"/>
        <v>#N/A</v>
      </c>
      <c r="AB295" s="76">
        <f t="shared" ca="1" si="33"/>
        <v>0</v>
      </c>
      <c r="AC295" s="75">
        <f t="shared" ca="1" si="29"/>
        <v>0</v>
      </c>
      <c r="AD295" s="76">
        <f t="shared" ca="1" si="34"/>
        <v>12388.425641782411</v>
      </c>
      <c r="AE295" s="76">
        <f t="shared" si="35"/>
        <v>0</v>
      </c>
      <c r="AF295" s="75">
        <f t="shared" si="30"/>
        <v>0</v>
      </c>
      <c r="AG295" s="75">
        <f t="shared" si="31"/>
        <v>0</v>
      </c>
      <c r="AH295" s="31" t="e" cm="1">
        <f t="array" aca="1" ref="AH295" ca="1">IF((AD295) &lt; (INDEX(ResponseSLA[#All],(MATCH((G295),ResponseSLA[Priority],0))+1,3)),"YES","No")</f>
        <v>#N/A</v>
      </c>
      <c r="AI295" s="31" t="str">
        <f>_xlfn.IFNA(IF(AE295 &lt; (INDEX(SLATable[Minimum SLA],MATCH(G295,SLATable[Priority],0))),"YES","NO"),"")</f>
        <v/>
      </c>
      <c r="AJ295" t="str">
        <f>_xlfn.IFNA(IF(AE295 &lt; (INDEX(SLATable[Maximum SLA],MATCH(G295,SLATable[Priority],0))),"YES","NO"),"")</f>
        <v/>
      </c>
    </row>
    <row r="296" spans="26:36" ht="15" customHeight="1">
      <c r="Z296" s="76" t="e">
        <f t="shared" ca="1" si="32"/>
        <v>#N/A</v>
      </c>
      <c r="AA296" s="75" t="e">
        <f t="shared" ca="1" si="28"/>
        <v>#N/A</v>
      </c>
      <c r="AB296" s="76">
        <f t="shared" ca="1" si="33"/>
        <v>0</v>
      </c>
      <c r="AC296" s="75">
        <f t="shared" ca="1" si="29"/>
        <v>0</v>
      </c>
      <c r="AD296" s="76">
        <f t="shared" ca="1" si="34"/>
        <v>12388.425641898149</v>
      </c>
      <c r="AE296" s="76">
        <f t="shared" si="35"/>
        <v>0</v>
      </c>
      <c r="AF296" s="75">
        <f t="shared" si="30"/>
        <v>0</v>
      </c>
      <c r="AG296" s="75">
        <f t="shared" si="31"/>
        <v>0</v>
      </c>
      <c r="AH296" s="31" t="e" cm="1">
        <f t="array" aca="1" ref="AH296" ca="1">IF((AD296) &lt; (INDEX(ResponseSLA[#All],(MATCH((G296),ResponseSLA[Priority],0))+1,3)),"YES","No")</f>
        <v>#N/A</v>
      </c>
      <c r="AI296" s="31" t="str">
        <f>_xlfn.IFNA(IF(AE296 &lt; (INDEX(SLATable[Minimum SLA],MATCH(G296,SLATable[Priority],0))),"YES","NO"),"")</f>
        <v/>
      </c>
      <c r="AJ296" t="str">
        <f>_xlfn.IFNA(IF(AE296 &lt; (INDEX(SLATable[Maximum SLA],MATCH(G296,SLATable[Priority],0))),"YES","NO"),"")</f>
        <v/>
      </c>
    </row>
    <row r="297" spans="26:36" ht="15" customHeight="1">
      <c r="Z297" s="76" t="e">
        <f t="shared" ca="1" si="32"/>
        <v>#N/A</v>
      </c>
      <c r="AA297" s="75" t="e">
        <f t="shared" ca="1" si="28"/>
        <v>#N/A</v>
      </c>
      <c r="AB297" s="76">
        <f t="shared" ca="1" si="33"/>
        <v>0</v>
      </c>
      <c r="AC297" s="75">
        <f t="shared" ca="1" si="29"/>
        <v>0</v>
      </c>
      <c r="AD297" s="76">
        <f t="shared" ca="1" si="34"/>
        <v>12388.425641898149</v>
      </c>
      <c r="AE297" s="76">
        <f t="shared" si="35"/>
        <v>0</v>
      </c>
      <c r="AF297" s="75">
        <f t="shared" si="30"/>
        <v>0</v>
      </c>
      <c r="AG297" s="75">
        <f t="shared" si="31"/>
        <v>0</v>
      </c>
      <c r="AH297" s="31" t="e" cm="1">
        <f t="array" aca="1" ref="AH297" ca="1">IF((AD297) &lt; (INDEX(ResponseSLA[#All],(MATCH((G297),ResponseSLA[Priority],0))+1,3)),"YES","No")</f>
        <v>#N/A</v>
      </c>
      <c r="AI297" s="31" t="str">
        <f>_xlfn.IFNA(IF(AE297 &lt; (INDEX(SLATable[Minimum SLA],MATCH(G297,SLATable[Priority],0))),"YES","NO"),"")</f>
        <v/>
      </c>
      <c r="AJ297" t="str">
        <f>_xlfn.IFNA(IF(AE297 &lt; (INDEX(SLATable[Maximum SLA],MATCH(G297,SLATable[Priority],0))),"YES","NO"),"")</f>
        <v/>
      </c>
    </row>
    <row r="298" spans="26:36" ht="15" customHeight="1">
      <c r="Z298" s="76" t="e">
        <f t="shared" ca="1" si="32"/>
        <v>#N/A</v>
      </c>
      <c r="AA298" s="75" t="e">
        <f t="shared" ca="1" si="28"/>
        <v>#N/A</v>
      </c>
      <c r="AB298" s="76">
        <f t="shared" ca="1" si="33"/>
        <v>0</v>
      </c>
      <c r="AC298" s="75">
        <f t="shared" ca="1" si="29"/>
        <v>0</v>
      </c>
      <c r="AD298" s="76">
        <f t="shared" ca="1" si="34"/>
        <v>12388.425641782411</v>
      </c>
      <c r="AE298" s="76">
        <f t="shared" si="35"/>
        <v>0</v>
      </c>
      <c r="AF298" s="75">
        <f t="shared" si="30"/>
        <v>0</v>
      </c>
      <c r="AG298" s="75">
        <f t="shared" si="31"/>
        <v>0</v>
      </c>
      <c r="AH298" s="31" t="e" cm="1">
        <f t="array" aca="1" ref="AH298" ca="1">IF((AD298) &lt; (INDEX(ResponseSLA[#All],(MATCH((G298),ResponseSLA[Priority],0))+1,3)),"YES","No")</f>
        <v>#N/A</v>
      </c>
      <c r="AI298" s="31" t="str">
        <f>_xlfn.IFNA(IF(AE298 &lt; (INDEX(SLATable[Minimum SLA],MATCH(G298,SLATable[Priority],0))),"YES","NO"),"")</f>
        <v/>
      </c>
      <c r="AJ298" t="str">
        <f>_xlfn.IFNA(IF(AE298 &lt; (INDEX(SLATable[Maximum SLA],MATCH(G298,SLATable[Priority],0))),"YES","NO"),"")</f>
        <v/>
      </c>
    </row>
    <row r="299" spans="26:36" ht="15" customHeight="1">
      <c r="Z299" s="76" t="e">
        <f t="shared" ca="1" si="32"/>
        <v>#N/A</v>
      </c>
      <c r="AA299" s="75" t="e">
        <f t="shared" ca="1" si="28"/>
        <v>#N/A</v>
      </c>
      <c r="AB299" s="76">
        <f t="shared" ca="1" si="33"/>
        <v>0</v>
      </c>
      <c r="AC299" s="75">
        <f t="shared" ca="1" si="29"/>
        <v>0</v>
      </c>
      <c r="AD299" s="76">
        <f t="shared" ca="1" si="34"/>
        <v>12388.425641898149</v>
      </c>
      <c r="AE299" s="76">
        <f t="shared" si="35"/>
        <v>0</v>
      </c>
      <c r="AF299" s="75">
        <f t="shared" si="30"/>
        <v>0</v>
      </c>
      <c r="AG299" s="75">
        <f t="shared" si="31"/>
        <v>0</v>
      </c>
      <c r="AH299" s="31" t="e" cm="1">
        <f t="array" aca="1" ref="AH299" ca="1">IF((AD299) &lt; (INDEX(ResponseSLA[#All],(MATCH((G299),ResponseSLA[Priority],0))+1,3)),"YES","No")</f>
        <v>#N/A</v>
      </c>
      <c r="AI299" s="31" t="str">
        <f>_xlfn.IFNA(IF(AE299 &lt; (INDEX(SLATable[Minimum SLA],MATCH(G299,SLATable[Priority],0))),"YES","NO"),"")</f>
        <v/>
      </c>
      <c r="AJ299" t="str">
        <f>_xlfn.IFNA(IF(AE299 &lt; (INDEX(SLATable[Maximum SLA],MATCH(G299,SLATable[Priority],0))),"YES","NO"),"")</f>
        <v/>
      </c>
    </row>
    <row r="300" spans="26:36" ht="15" customHeight="1">
      <c r="Z300" s="76" t="e">
        <f t="shared" ca="1" si="32"/>
        <v>#N/A</v>
      </c>
      <c r="AA300" s="75" t="e">
        <f t="shared" ca="1" si="28"/>
        <v>#N/A</v>
      </c>
      <c r="AB300" s="76">
        <f t="shared" ca="1" si="33"/>
        <v>0</v>
      </c>
      <c r="AC300" s="75">
        <f t="shared" ca="1" si="29"/>
        <v>0</v>
      </c>
      <c r="AD300" s="76">
        <f t="shared" ca="1" si="34"/>
        <v>12388.425641898149</v>
      </c>
      <c r="AE300" s="76">
        <f t="shared" si="35"/>
        <v>0</v>
      </c>
      <c r="AF300" s="75">
        <f t="shared" si="30"/>
        <v>0</v>
      </c>
      <c r="AG300" s="75">
        <f t="shared" si="31"/>
        <v>0</v>
      </c>
      <c r="AH300" s="31" t="e" cm="1">
        <f t="array" aca="1" ref="AH300" ca="1">IF((AD300) &lt; (INDEX(ResponseSLA[#All],(MATCH((G300),ResponseSLA[Priority],0))+1,3)),"YES","No")</f>
        <v>#N/A</v>
      </c>
      <c r="AI300" s="31" t="str">
        <f>_xlfn.IFNA(IF(AE300 &lt; (INDEX(SLATable[Minimum SLA],MATCH(G300,SLATable[Priority],0))),"YES","NO"),"")</f>
        <v/>
      </c>
      <c r="AJ300" t="str">
        <f>_xlfn.IFNA(IF(AE300 &lt; (INDEX(SLATable[Maximum SLA],MATCH(G300,SLATable[Priority],0))),"YES","NO"),"")</f>
        <v/>
      </c>
    </row>
    <row r="301" spans="26:36" ht="15" customHeight="1">
      <c r="Z301" s="76" t="e">
        <f t="shared" ca="1" si="32"/>
        <v>#N/A</v>
      </c>
      <c r="AA301" s="75" t="e">
        <f t="shared" ca="1" si="28"/>
        <v>#N/A</v>
      </c>
      <c r="AB301" s="76">
        <f t="shared" ca="1" si="33"/>
        <v>0</v>
      </c>
      <c r="AC301" s="75">
        <f t="shared" ca="1" si="29"/>
        <v>0</v>
      </c>
      <c r="AD301" s="76">
        <f t="shared" ca="1" si="34"/>
        <v>12388.425641782411</v>
      </c>
      <c r="AE301" s="76">
        <f t="shared" si="35"/>
        <v>0</v>
      </c>
      <c r="AF301" s="75">
        <f t="shared" si="30"/>
        <v>0</v>
      </c>
      <c r="AG301" s="75">
        <f t="shared" si="31"/>
        <v>0</v>
      </c>
      <c r="AH301" s="31" t="e" cm="1">
        <f t="array" aca="1" ref="AH301" ca="1">IF((AD301) &lt; (INDEX(ResponseSLA[#All],(MATCH((G301),ResponseSLA[Priority],0))+1,3)),"YES","No")</f>
        <v>#N/A</v>
      </c>
      <c r="AI301" s="31" t="str">
        <f>_xlfn.IFNA(IF(AE301 &lt; (INDEX(SLATable[Minimum SLA],MATCH(G301,SLATable[Priority],0))),"YES","NO"),"")</f>
        <v/>
      </c>
      <c r="AJ301" t="str">
        <f>_xlfn.IFNA(IF(AE301 &lt; (INDEX(SLATable[Maximum SLA],MATCH(G301,SLATable[Priority],0))),"YES","NO"),"")</f>
        <v/>
      </c>
    </row>
    <row r="302" spans="26:36" ht="15" customHeight="1">
      <c r="Z302" s="76" t="e">
        <f t="shared" ca="1" si="32"/>
        <v>#N/A</v>
      </c>
      <c r="AA302" s="75" t="e">
        <f t="shared" ca="1" si="28"/>
        <v>#N/A</v>
      </c>
      <c r="AB302" s="76">
        <f t="shared" ca="1" si="33"/>
        <v>0</v>
      </c>
      <c r="AC302" s="75">
        <f t="shared" ca="1" si="29"/>
        <v>0</v>
      </c>
      <c r="AD302" s="76">
        <f t="shared" ca="1" si="34"/>
        <v>12388.425641898149</v>
      </c>
      <c r="AE302" s="76">
        <f t="shared" si="35"/>
        <v>0</v>
      </c>
      <c r="AF302" s="75">
        <f t="shared" si="30"/>
        <v>0</v>
      </c>
      <c r="AG302" s="75">
        <f t="shared" si="31"/>
        <v>0</v>
      </c>
      <c r="AH302" s="31" t="e" cm="1">
        <f t="array" aca="1" ref="AH302" ca="1">IF((AD302) &lt; (INDEX(ResponseSLA[#All],(MATCH((G302),ResponseSLA[Priority],0))+1,3)),"YES","No")</f>
        <v>#N/A</v>
      </c>
      <c r="AI302" s="31" t="str">
        <f>_xlfn.IFNA(IF(AE302 &lt; (INDEX(SLATable[Minimum SLA],MATCH(G302,SLATable[Priority],0))),"YES","NO"),"")</f>
        <v/>
      </c>
      <c r="AJ302" t="str">
        <f>_xlfn.IFNA(IF(AE302 &lt; (INDEX(SLATable[Maximum SLA],MATCH(G302,SLATable[Priority],0))),"YES","NO"),"")</f>
        <v/>
      </c>
    </row>
    <row r="303" spans="26:36" ht="15" customHeight="1">
      <c r="Z303" s="76" t="e">
        <f t="shared" ca="1" si="32"/>
        <v>#N/A</v>
      </c>
      <c r="AA303" s="75" t="e">
        <f t="shared" ca="1" si="28"/>
        <v>#N/A</v>
      </c>
      <c r="AB303" s="76">
        <f t="shared" ca="1" si="33"/>
        <v>0</v>
      </c>
      <c r="AC303" s="75">
        <f t="shared" ca="1" si="29"/>
        <v>0</v>
      </c>
      <c r="AD303" s="76">
        <f t="shared" ca="1" si="34"/>
        <v>12388.425641898149</v>
      </c>
      <c r="AE303" s="76">
        <f t="shared" si="35"/>
        <v>0</v>
      </c>
      <c r="AF303" s="75">
        <f t="shared" si="30"/>
        <v>0</v>
      </c>
      <c r="AG303" s="75">
        <f t="shared" si="31"/>
        <v>0</v>
      </c>
      <c r="AH303" s="31" t="e" cm="1">
        <f t="array" aca="1" ref="AH303" ca="1">IF((AD303) &lt; (INDEX(ResponseSLA[#All],(MATCH((G303),ResponseSLA[Priority],0))+1,3)),"YES","No")</f>
        <v>#N/A</v>
      </c>
      <c r="AI303" s="31" t="str">
        <f>_xlfn.IFNA(IF(AE303 &lt; (INDEX(SLATable[Minimum SLA],MATCH(G303,SLATable[Priority],0))),"YES","NO"),"")</f>
        <v/>
      </c>
      <c r="AJ303" t="str">
        <f>_xlfn.IFNA(IF(AE303 &lt; (INDEX(SLATable[Maximum SLA],MATCH(G303,SLATable[Priority],0))),"YES","NO"),"")</f>
        <v/>
      </c>
    </row>
    <row r="304" spans="26:36" ht="15" customHeight="1">
      <c r="Z304" s="76" t="e">
        <f t="shared" ca="1" si="32"/>
        <v>#N/A</v>
      </c>
      <c r="AA304" s="75" t="e">
        <f t="shared" ca="1" si="28"/>
        <v>#N/A</v>
      </c>
      <c r="AB304" s="76">
        <f t="shared" ca="1" si="33"/>
        <v>0</v>
      </c>
      <c r="AC304" s="75">
        <f t="shared" ca="1" si="29"/>
        <v>0</v>
      </c>
      <c r="AD304" s="76">
        <f t="shared" ca="1" si="34"/>
        <v>12388.425641898149</v>
      </c>
      <c r="AE304" s="76">
        <f t="shared" si="35"/>
        <v>0</v>
      </c>
      <c r="AF304" s="75">
        <f t="shared" si="30"/>
        <v>0</v>
      </c>
      <c r="AG304" s="75">
        <f t="shared" si="31"/>
        <v>0</v>
      </c>
      <c r="AH304" s="31" t="e" cm="1">
        <f t="array" aca="1" ref="AH304" ca="1">IF((AD304) &lt; (INDEX(ResponseSLA[#All],(MATCH((G304),ResponseSLA[Priority],0))+1,3)),"YES","No")</f>
        <v>#N/A</v>
      </c>
      <c r="AI304" s="31" t="str">
        <f>_xlfn.IFNA(IF(AE304 &lt; (INDEX(SLATable[Minimum SLA],MATCH(G304,SLATable[Priority],0))),"YES","NO"),"")</f>
        <v/>
      </c>
      <c r="AJ304" t="str">
        <f>_xlfn.IFNA(IF(AE304 &lt; (INDEX(SLATable[Maximum SLA],MATCH(G304,SLATable[Priority],0))),"YES","NO"),"")</f>
        <v/>
      </c>
    </row>
    <row r="305" spans="26:36" ht="15" customHeight="1">
      <c r="Z305" s="76" t="e">
        <f t="shared" ca="1" si="32"/>
        <v>#N/A</v>
      </c>
      <c r="AA305" s="75" t="e">
        <f t="shared" ca="1" si="28"/>
        <v>#N/A</v>
      </c>
      <c r="AB305" s="76">
        <f t="shared" ca="1" si="33"/>
        <v>0</v>
      </c>
      <c r="AC305" s="75">
        <f t="shared" ca="1" si="29"/>
        <v>0</v>
      </c>
      <c r="AD305" s="76">
        <f t="shared" ca="1" si="34"/>
        <v>12388.425641898149</v>
      </c>
      <c r="AE305" s="76">
        <f t="shared" si="35"/>
        <v>0</v>
      </c>
      <c r="AF305" s="75">
        <f t="shared" si="30"/>
        <v>0</v>
      </c>
      <c r="AG305" s="75">
        <f t="shared" si="31"/>
        <v>0</v>
      </c>
      <c r="AH305" s="31" t="e" cm="1">
        <f t="array" aca="1" ref="AH305" ca="1">IF((AD305) &lt; (INDEX(ResponseSLA[#All],(MATCH((G305),ResponseSLA[Priority],0))+1,3)),"YES","No")</f>
        <v>#N/A</v>
      </c>
      <c r="AI305" s="31" t="str">
        <f>_xlfn.IFNA(IF(AE305 &lt; (INDEX(SLATable[Minimum SLA],MATCH(G305,SLATable[Priority],0))),"YES","NO"),"")</f>
        <v/>
      </c>
      <c r="AJ305" t="str">
        <f>_xlfn.IFNA(IF(AE305 &lt; (INDEX(SLATable[Maximum SLA],MATCH(G305,SLATable[Priority],0))),"YES","NO"),"")</f>
        <v/>
      </c>
    </row>
    <row r="306" spans="26:36" ht="15" customHeight="1">
      <c r="Z306" s="76" t="e">
        <f t="shared" ca="1" si="32"/>
        <v>#N/A</v>
      </c>
      <c r="AA306" s="75" t="e">
        <f t="shared" ca="1" si="28"/>
        <v>#N/A</v>
      </c>
      <c r="AB306" s="76">
        <f t="shared" ca="1" si="33"/>
        <v>0</v>
      </c>
      <c r="AC306" s="75">
        <f t="shared" ca="1" si="29"/>
        <v>0</v>
      </c>
      <c r="AD306" s="76">
        <f t="shared" ca="1" si="34"/>
        <v>12388.425641898149</v>
      </c>
      <c r="AE306" s="76">
        <f t="shared" si="35"/>
        <v>0</v>
      </c>
      <c r="AF306" s="75">
        <f t="shared" si="30"/>
        <v>0</v>
      </c>
      <c r="AG306" s="75">
        <f t="shared" si="31"/>
        <v>0</v>
      </c>
      <c r="AH306" s="31" t="e" cm="1">
        <f t="array" aca="1" ref="AH306" ca="1">IF((AD306) &lt; (INDEX(ResponseSLA[#All],(MATCH((G306),ResponseSLA[Priority],0))+1,3)),"YES","No")</f>
        <v>#N/A</v>
      </c>
      <c r="AI306" s="31" t="str">
        <f>_xlfn.IFNA(IF(AE306 &lt; (INDEX(SLATable[Minimum SLA],MATCH(G306,SLATable[Priority],0))),"YES","NO"),"")</f>
        <v/>
      </c>
      <c r="AJ306" t="str">
        <f>_xlfn.IFNA(IF(AE306 &lt; (INDEX(SLATable[Maximum SLA],MATCH(G306,SLATable[Priority],0))),"YES","NO"),"")</f>
        <v/>
      </c>
    </row>
    <row r="307" spans="26:36" ht="15" customHeight="1">
      <c r="Z307" s="76" t="e">
        <f t="shared" ca="1" si="32"/>
        <v>#N/A</v>
      </c>
      <c r="AA307" s="75" t="e">
        <f t="shared" ca="1" si="28"/>
        <v>#N/A</v>
      </c>
      <c r="AB307" s="76">
        <f t="shared" ca="1" si="33"/>
        <v>0</v>
      </c>
      <c r="AC307" s="75">
        <f t="shared" ca="1" si="29"/>
        <v>0</v>
      </c>
      <c r="AD307" s="76">
        <f t="shared" ca="1" si="34"/>
        <v>12388.425641898149</v>
      </c>
      <c r="AE307" s="76">
        <f t="shared" si="35"/>
        <v>0</v>
      </c>
      <c r="AF307" s="75">
        <f t="shared" si="30"/>
        <v>0</v>
      </c>
      <c r="AG307" s="75">
        <f t="shared" si="31"/>
        <v>0</v>
      </c>
      <c r="AH307" s="31" t="e" cm="1">
        <f t="array" aca="1" ref="AH307" ca="1">IF((AD307) &lt; (INDEX(ResponseSLA[#All],(MATCH((G307),ResponseSLA[Priority],0))+1,3)),"YES","No")</f>
        <v>#N/A</v>
      </c>
      <c r="AI307" s="31" t="str">
        <f>_xlfn.IFNA(IF(AE307 &lt; (INDEX(SLATable[Minimum SLA],MATCH(G307,SLATable[Priority],0))),"YES","NO"),"")</f>
        <v/>
      </c>
      <c r="AJ307" t="str">
        <f>_xlfn.IFNA(IF(AE307 &lt; (INDEX(SLATable[Maximum SLA],MATCH(G307,SLATable[Priority],0))),"YES","NO"),"")</f>
        <v/>
      </c>
    </row>
    <row r="308" spans="26:36" ht="15" customHeight="1">
      <c r="Z308" s="76" t="e">
        <f t="shared" ca="1" si="32"/>
        <v>#N/A</v>
      </c>
      <c r="AA308" s="75" t="e">
        <f t="shared" ca="1" si="28"/>
        <v>#N/A</v>
      </c>
      <c r="AB308" s="76">
        <f t="shared" ca="1" si="33"/>
        <v>0</v>
      </c>
      <c r="AC308" s="75">
        <f t="shared" ca="1" si="29"/>
        <v>0</v>
      </c>
      <c r="AD308" s="76">
        <f t="shared" ca="1" si="34"/>
        <v>12388.425641898149</v>
      </c>
      <c r="AE308" s="76">
        <f t="shared" si="35"/>
        <v>0</v>
      </c>
      <c r="AF308" s="75">
        <f t="shared" si="30"/>
        <v>0</v>
      </c>
      <c r="AG308" s="75">
        <f t="shared" si="31"/>
        <v>0</v>
      </c>
      <c r="AH308" s="31" t="e" cm="1">
        <f t="array" aca="1" ref="AH308" ca="1">IF((AD308) &lt; (INDEX(ResponseSLA[#All],(MATCH((G308),ResponseSLA[Priority],0))+1,3)),"YES","No")</f>
        <v>#N/A</v>
      </c>
      <c r="AI308" s="31" t="str">
        <f>_xlfn.IFNA(IF(AE308 &lt; (INDEX(SLATable[Minimum SLA],MATCH(G308,SLATable[Priority],0))),"YES","NO"),"")</f>
        <v/>
      </c>
      <c r="AJ308" t="str">
        <f>_xlfn.IFNA(IF(AE308 &lt; (INDEX(SLATable[Maximum SLA],MATCH(G308,SLATable[Priority],0))),"YES","NO"),"")</f>
        <v/>
      </c>
    </row>
    <row r="309" spans="26:36" ht="15" customHeight="1">
      <c r="Z309" s="76" t="e">
        <f t="shared" ca="1" si="32"/>
        <v>#N/A</v>
      </c>
      <c r="AA309" s="75" t="e">
        <f t="shared" ca="1" si="28"/>
        <v>#N/A</v>
      </c>
      <c r="AB309" s="76">
        <f t="shared" ca="1" si="33"/>
        <v>0</v>
      </c>
      <c r="AC309" s="75">
        <f t="shared" ca="1" si="29"/>
        <v>0</v>
      </c>
      <c r="AD309" s="76">
        <f t="shared" ca="1" si="34"/>
        <v>12388.425641898149</v>
      </c>
      <c r="AE309" s="76">
        <f t="shared" si="35"/>
        <v>0</v>
      </c>
      <c r="AF309" s="75">
        <f t="shared" si="30"/>
        <v>0</v>
      </c>
      <c r="AG309" s="75">
        <f t="shared" si="31"/>
        <v>0</v>
      </c>
      <c r="AH309" s="31" t="e" cm="1">
        <f t="array" aca="1" ref="AH309" ca="1">IF((AD309) &lt; (INDEX(ResponseSLA[#All],(MATCH((G309),ResponseSLA[Priority],0))+1,3)),"YES","No")</f>
        <v>#N/A</v>
      </c>
      <c r="AI309" s="31" t="str">
        <f>_xlfn.IFNA(IF(AE309 &lt; (INDEX(SLATable[Minimum SLA],MATCH(G309,SLATable[Priority],0))),"YES","NO"),"")</f>
        <v/>
      </c>
      <c r="AJ309" t="str">
        <f>_xlfn.IFNA(IF(AE309 &lt; (INDEX(SLATable[Maximum SLA],MATCH(G309,SLATable[Priority],0))),"YES","NO"),"")</f>
        <v/>
      </c>
    </row>
    <row r="310" spans="26:36" ht="15" customHeight="1">
      <c r="Z310" s="76" t="e">
        <f t="shared" ca="1" si="32"/>
        <v>#N/A</v>
      </c>
      <c r="AA310" s="75" t="e">
        <f t="shared" ca="1" si="28"/>
        <v>#N/A</v>
      </c>
      <c r="AB310" s="76">
        <f t="shared" ca="1" si="33"/>
        <v>0</v>
      </c>
      <c r="AC310" s="75">
        <f t="shared" ca="1" si="29"/>
        <v>0</v>
      </c>
      <c r="AD310" s="76">
        <f t="shared" ca="1" si="34"/>
        <v>12388.425641898149</v>
      </c>
      <c r="AE310" s="76">
        <f t="shared" si="35"/>
        <v>0</v>
      </c>
      <c r="AF310" s="75">
        <f t="shared" si="30"/>
        <v>0</v>
      </c>
      <c r="AG310" s="75">
        <f t="shared" si="31"/>
        <v>0</v>
      </c>
      <c r="AH310" s="31" t="e" cm="1">
        <f t="array" aca="1" ref="AH310" ca="1">IF((AD310) &lt; (INDEX(ResponseSLA[#All],(MATCH((G310),ResponseSLA[Priority],0))+1,3)),"YES","No")</f>
        <v>#N/A</v>
      </c>
      <c r="AI310" s="31" t="str">
        <f>_xlfn.IFNA(IF(AE310 &lt; (INDEX(SLATable[Minimum SLA],MATCH(G310,SLATable[Priority],0))),"YES","NO"),"")</f>
        <v/>
      </c>
      <c r="AJ310" t="str">
        <f>_xlfn.IFNA(IF(AE310 &lt; (INDEX(SLATable[Maximum SLA],MATCH(G310,SLATable[Priority],0))),"YES","NO"),"")</f>
        <v/>
      </c>
    </row>
    <row r="311" spans="26:36" ht="15" customHeight="1">
      <c r="Z311" s="76" t="e">
        <f t="shared" ca="1" si="32"/>
        <v>#N/A</v>
      </c>
      <c r="AA311" s="75" t="e">
        <f t="shared" ca="1" si="28"/>
        <v>#N/A</v>
      </c>
      <c r="AB311" s="76">
        <f t="shared" ca="1" si="33"/>
        <v>0</v>
      </c>
      <c r="AC311" s="75">
        <f t="shared" ca="1" si="29"/>
        <v>0</v>
      </c>
      <c r="AD311" s="76">
        <f t="shared" ca="1" si="34"/>
        <v>12388.425641898149</v>
      </c>
      <c r="AE311" s="76">
        <f t="shared" si="35"/>
        <v>0</v>
      </c>
      <c r="AF311" s="75">
        <f t="shared" si="30"/>
        <v>0</v>
      </c>
      <c r="AG311" s="75">
        <f t="shared" si="31"/>
        <v>0</v>
      </c>
      <c r="AH311" s="31" t="e" cm="1">
        <f t="array" aca="1" ref="AH311" ca="1">IF((AD311) &lt; (INDEX(ResponseSLA[#All],(MATCH((G311),ResponseSLA[Priority],0))+1,3)),"YES","No")</f>
        <v>#N/A</v>
      </c>
      <c r="AI311" s="31" t="str">
        <f>_xlfn.IFNA(IF(AE311 &lt; (INDEX(SLATable[Minimum SLA],MATCH(G311,SLATable[Priority],0))),"YES","NO"),"")</f>
        <v/>
      </c>
      <c r="AJ311" t="str">
        <f>_xlfn.IFNA(IF(AE311 &lt; (INDEX(SLATable[Maximum SLA],MATCH(G311,SLATable[Priority],0))),"YES","NO"),"")</f>
        <v/>
      </c>
    </row>
    <row r="312" spans="26:36" ht="15" customHeight="1">
      <c r="Z312" s="76" t="e">
        <f t="shared" ca="1" si="32"/>
        <v>#N/A</v>
      </c>
      <c r="AA312" s="75" t="e">
        <f t="shared" ca="1" si="28"/>
        <v>#N/A</v>
      </c>
      <c r="AB312" s="76">
        <f t="shared" ca="1" si="33"/>
        <v>0</v>
      </c>
      <c r="AC312" s="75">
        <f t="shared" ca="1" si="29"/>
        <v>0</v>
      </c>
      <c r="AD312" s="76">
        <f t="shared" ca="1" si="34"/>
        <v>12388.425641898149</v>
      </c>
      <c r="AE312" s="76">
        <f t="shared" si="35"/>
        <v>0</v>
      </c>
      <c r="AF312" s="75">
        <f t="shared" si="30"/>
        <v>0</v>
      </c>
      <c r="AG312" s="75">
        <f t="shared" si="31"/>
        <v>0</v>
      </c>
      <c r="AH312" s="31" t="e" cm="1">
        <f t="array" aca="1" ref="AH312" ca="1">IF((AD312) &lt; (INDEX(ResponseSLA[#All],(MATCH((G312),ResponseSLA[Priority],0))+1,3)),"YES","No")</f>
        <v>#N/A</v>
      </c>
      <c r="AI312" s="31" t="str">
        <f>_xlfn.IFNA(IF(AE312 &lt; (INDEX(SLATable[Minimum SLA],MATCH(G312,SLATable[Priority],0))),"YES","NO"),"")</f>
        <v/>
      </c>
      <c r="AJ312" t="str">
        <f>_xlfn.IFNA(IF(AE312 &lt; (INDEX(SLATable[Maximum SLA],MATCH(G312,SLATable[Priority],0))),"YES","NO"),"")</f>
        <v/>
      </c>
    </row>
    <row r="313" spans="26:36" ht="15" customHeight="1">
      <c r="Z313" s="76" t="e">
        <f t="shared" ca="1" si="32"/>
        <v>#N/A</v>
      </c>
      <c r="AA313" s="75" t="e">
        <f t="shared" ca="1" si="28"/>
        <v>#N/A</v>
      </c>
      <c r="AB313" s="76">
        <f t="shared" ca="1" si="33"/>
        <v>0</v>
      </c>
      <c r="AC313" s="75">
        <f t="shared" ca="1" si="29"/>
        <v>0</v>
      </c>
      <c r="AD313" s="76">
        <f t="shared" ca="1" si="34"/>
        <v>12388.425641898149</v>
      </c>
      <c r="AE313" s="76">
        <f t="shared" si="35"/>
        <v>0</v>
      </c>
      <c r="AF313" s="75">
        <f t="shared" si="30"/>
        <v>0</v>
      </c>
      <c r="AG313" s="75">
        <f t="shared" si="31"/>
        <v>0</v>
      </c>
      <c r="AH313" s="31" t="e" cm="1">
        <f t="array" aca="1" ref="AH313" ca="1">IF((AD313) &lt; (INDEX(ResponseSLA[#All],(MATCH((G313),ResponseSLA[Priority],0))+1,3)),"YES","No")</f>
        <v>#N/A</v>
      </c>
      <c r="AI313" s="31" t="str">
        <f>_xlfn.IFNA(IF(AE313 &lt; (INDEX(SLATable[Minimum SLA],MATCH(G313,SLATable[Priority],0))),"YES","NO"),"")</f>
        <v/>
      </c>
      <c r="AJ313" t="str">
        <f>_xlfn.IFNA(IF(AE313 &lt; (INDEX(SLATable[Maximum SLA],MATCH(G313,SLATable[Priority],0))),"YES","NO"),"")</f>
        <v/>
      </c>
    </row>
    <row r="314" spans="26:36" ht="15" customHeight="1">
      <c r="Z314" s="76" t="e">
        <f t="shared" ca="1" si="32"/>
        <v>#N/A</v>
      </c>
      <c r="AA314" s="75" t="e">
        <f t="shared" ca="1" si="28"/>
        <v>#N/A</v>
      </c>
      <c r="AB314" s="76">
        <f t="shared" ca="1" si="33"/>
        <v>0</v>
      </c>
      <c r="AC314" s="75">
        <f t="shared" ca="1" si="29"/>
        <v>0</v>
      </c>
      <c r="AD314" s="76">
        <f t="shared" ca="1" si="34"/>
        <v>12388.425641898149</v>
      </c>
      <c r="AE314" s="76">
        <f t="shared" si="35"/>
        <v>0</v>
      </c>
      <c r="AF314" s="75">
        <f t="shared" si="30"/>
        <v>0</v>
      </c>
      <c r="AG314" s="75">
        <f t="shared" si="31"/>
        <v>0</v>
      </c>
      <c r="AH314" s="31" t="e" cm="1">
        <f t="array" aca="1" ref="AH314" ca="1">IF((AD314) &lt; (INDEX(ResponseSLA[#All],(MATCH((G314),ResponseSLA[Priority],0))+1,3)),"YES","No")</f>
        <v>#N/A</v>
      </c>
      <c r="AI314" s="31" t="str">
        <f>_xlfn.IFNA(IF(AE314 &lt; (INDEX(SLATable[Minimum SLA],MATCH(G314,SLATable[Priority],0))),"YES","NO"),"")</f>
        <v/>
      </c>
      <c r="AJ314" t="str">
        <f>_xlfn.IFNA(IF(AE314 &lt; (INDEX(SLATable[Maximum SLA],MATCH(G314,SLATable[Priority],0))),"YES","NO"),"")</f>
        <v/>
      </c>
    </row>
    <row r="315" spans="26:36" ht="15" customHeight="1">
      <c r="Z315" s="76" t="e">
        <f t="shared" ca="1" si="32"/>
        <v>#N/A</v>
      </c>
      <c r="AA315" s="75" t="e">
        <f t="shared" ca="1" si="28"/>
        <v>#N/A</v>
      </c>
      <c r="AB315" s="76">
        <f t="shared" ca="1" si="33"/>
        <v>0</v>
      </c>
      <c r="AC315" s="75">
        <f t="shared" ca="1" si="29"/>
        <v>0</v>
      </c>
      <c r="AD315" s="76">
        <f t="shared" ca="1" si="34"/>
        <v>12388.425641898149</v>
      </c>
      <c r="AE315" s="76">
        <f t="shared" si="35"/>
        <v>0</v>
      </c>
      <c r="AF315" s="75">
        <f t="shared" si="30"/>
        <v>0</v>
      </c>
      <c r="AG315" s="75">
        <f t="shared" si="31"/>
        <v>0</v>
      </c>
      <c r="AH315" s="31" t="e" cm="1">
        <f t="array" aca="1" ref="AH315" ca="1">IF((AD315) &lt; (INDEX(ResponseSLA[#All],(MATCH((G315),ResponseSLA[Priority],0))+1,3)),"YES","No")</f>
        <v>#N/A</v>
      </c>
      <c r="AI315" s="31" t="str">
        <f>_xlfn.IFNA(IF(AE315 &lt; (INDEX(SLATable[Minimum SLA],MATCH(G315,SLATable[Priority],0))),"YES","NO"),"")</f>
        <v/>
      </c>
      <c r="AJ315" t="str">
        <f>_xlfn.IFNA(IF(AE315 &lt; (INDEX(SLATable[Maximum SLA],MATCH(G315,SLATable[Priority],0))),"YES","NO"),"")</f>
        <v/>
      </c>
    </row>
    <row r="316" spans="26:36" ht="15" customHeight="1">
      <c r="Z316" s="76" t="e">
        <f t="shared" ca="1" si="32"/>
        <v>#N/A</v>
      </c>
      <c r="AA316" s="75" t="e">
        <f t="shared" ca="1" si="28"/>
        <v>#N/A</v>
      </c>
      <c r="AB316" s="76">
        <f t="shared" ca="1" si="33"/>
        <v>0</v>
      </c>
      <c r="AC316" s="75">
        <f t="shared" ca="1" si="29"/>
        <v>0</v>
      </c>
      <c r="AD316" s="76">
        <f t="shared" ca="1" si="34"/>
        <v>12388.425641898149</v>
      </c>
      <c r="AE316" s="76">
        <f t="shared" si="35"/>
        <v>0</v>
      </c>
      <c r="AF316" s="75">
        <f t="shared" si="30"/>
        <v>0</v>
      </c>
      <c r="AG316" s="75">
        <f t="shared" si="31"/>
        <v>0</v>
      </c>
      <c r="AH316" s="31" t="e" cm="1">
        <f t="array" aca="1" ref="AH316" ca="1">IF((AD316) &lt; (INDEX(ResponseSLA[#All],(MATCH((G316),ResponseSLA[Priority],0))+1,3)),"YES","No")</f>
        <v>#N/A</v>
      </c>
      <c r="AI316" s="31" t="str">
        <f>_xlfn.IFNA(IF(AE316 &lt; (INDEX(SLATable[Minimum SLA],MATCH(G316,SLATable[Priority],0))),"YES","NO"),"")</f>
        <v/>
      </c>
      <c r="AJ316" t="str">
        <f>_xlfn.IFNA(IF(AE316 &lt; (INDEX(SLATable[Maximum SLA],MATCH(G316,SLATable[Priority],0))),"YES","NO"),"")</f>
        <v/>
      </c>
    </row>
    <row r="317" spans="26:36" ht="15" customHeight="1">
      <c r="Z317" s="76" t="e">
        <f t="shared" ca="1" si="32"/>
        <v>#N/A</v>
      </c>
      <c r="AA317" s="75" t="e">
        <f t="shared" ca="1" si="28"/>
        <v>#N/A</v>
      </c>
      <c r="AB317" s="76">
        <f t="shared" ca="1" si="33"/>
        <v>0</v>
      </c>
      <c r="AC317" s="75">
        <f t="shared" ca="1" si="29"/>
        <v>0</v>
      </c>
      <c r="AD317" s="76">
        <f t="shared" ca="1" si="34"/>
        <v>12388.425641898149</v>
      </c>
      <c r="AE317" s="76">
        <f t="shared" si="35"/>
        <v>0</v>
      </c>
      <c r="AF317" s="75">
        <f t="shared" si="30"/>
        <v>0</v>
      </c>
      <c r="AG317" s="75">
        <f t="shared" si="31"/>
        <v>0</v>
      </c>
      <c r="AH317" s="31" t="e" cm="1">
        <f t="array" aca="1" ref="AH317" ca="1">IF((AD317) &lt; (INDEX(ResponseSLA[#All],(MATCH((G317),ResponseSLA[Priority],0))+1,3)),"YES","No")</f>
        <v>#N/A</v>
      </c>
      <c r="AI317" s="31" t="str">
        <f>_xlfn.IFNA(IF(AE317 &lt; (INDEX(SLATable[Minimum SLA],MATCH(G317,SLATable[Priority],0))),"YES","NO"),"")</f>
        <v/>
      </c>
      <c r="AJ317" t="str">
        <f>_xlfn.IFNA(IF(AE317 &lt; (INDEX(SLATable[Maximum SLA],MATCH(G317,SLATable[Priority],0))),"YES","NO"),"")</f>
        <v/>
      </c>
    </row>
    <row r="318" spans="26:36" ht="15" customHeight="1">
      <c r="Z318" s="76" t="e">
        <f t="shared" ca="1" si="32"/>
        <v>#N/A</v>
      </c>
      <c r="AA318" s="75" t="e">
        <f t="shared" ca="1" si="28"/>
        <v>#N/A</v>
      </c>
      <c r="AB318" s="76">
        <f t="shared" ca="1" si="33"/>
        <v>0</v>
      </c>
      <c r="AC318" s="75">
        <f t="shared" ca="1" si="29"/>
        <v>0</v>
      </c>
      <c r="AD318" s="76">
        <f t="shared" ca="1" si="34"/>
        <v>12388.425641898149</v>
      </c>
      <c r="AE318" s="76">
        <f t="shared" si="35"/>
        <v>0</v>
      </c>
      <c r="AF318" s="75">
        <f t="shared" si="30"/>
        <v>0</v>
      </c>
      <c r="AG318" s="75">
        <f t="shared" si="31"/>
        <v>0</v>
      </c>
      <c r="AH318" s="31" t="e" cm="1">
        <f t="array" aca="1" ref="AH318" ca="1">IF((AD318) &lt; (INDEX(ResponseSLA[#All],(MATCH((G318),ResponseSLA[Priority],0))+1,3)),"YES","No")</f>
        <v>#N/A</v>
      </c>
      <c r="AI318" s="31" t="str">
        <f>_xlfn.IFNA(IF(AE318 &lt; (INDEX(SLATable[Minimum SLA],MATCH(G318,SLATable[Priority],0))),"YES","NO"),"")</f>
        <v/>
      </c>
      <c r="AJ318" t="str">
        <f>_xlfn.IFNA(IF(AE318 &lt; (INDEX(SLATable[Maximum SLA],MATCH(G318,SLATable[Priority],0))),"YES","NO"),"")</f>
        <v/>
      </c>
    </row>
    <row r="319" spans="26:36" ht="15" customHeight="1">
      <c r="Z319" s="76" t="e">
        <f t="shared" ca="1" si="32"/>
        <v>#N/A</v>
      </c>
      <c r="AA319" s="75" t="e">
        <f t="shared" ca="1" si="28"/>
        <v>#N/A</v>
      </c>
      <c r="AB319" s="76">
        <f t="shared" ca="1" si="33"/>
        <v>0</v>
      </c>
      <c r="AC319" s="75">
        <f t="shared" ca="1" si="29"/>
        <v>0</v>
      </c>
      <c r="AD319" s="76">
        <f t="shared" ca="1" si="34"/>
        <v>12388.425641898149</v>
      </c>
      <c r="AE319" s="76">
        <f t="shared" si="35"/>
        <v>0</v>
      </c>
      <c r="AF319" s="75">
        <f t="shared" si="30"/>
        <v>0</v>
      </c>
      <c r="AG319" s="75">
        <f t="shared" si="31"/>
        <v>0</v>
      </c>
      <c r="AH319" s="31" t="e" cm="1">
        <f t="array" aca="1" ref="AH319" ca="1">IF((AD319) &lt; (INDEX(ResponseSLA[#All],(MATCH((G319),ResponseSLA[Priority],0))+1,3)),"YES","No")</f>
        <v>#N/A</v>
      </c>
      <c r="AI319" s="31" t="str">
        <f>_xlfn.IFNA(IF(AE319 &lt; (INDEX(SLATable[Minimum SLA],MATCH(G319,SLATable[Priority],0))),"YES","NO"),"")</f>
        <v/>
      </c>
      <c r="AJ319" t="str">
        <f>_xlfn.IFNA(IF(AE319 &lt; (INDEX(SLATable[Maximum SLA],MATCH(G319,SLATable[Priority],0))),"YES","NO"),"")</f>
        <v/>
      </c>
    </row>
    <row r="320" spans="26:36" ht="15" customHeight="1">
      <c r="Z320" s="76" t="e">
        <f t="shared" ca="1" si="32"/>
        <v>#N/A</v>
      </c>
      <c r="AA320" s="75" t="e">
        <f t="shared" ca="1" si="28"/>
        <v>#N/A</v>
      </c>
      <c r="AB320" s="76">
        <f t="shared" ca="1" si="33"/>
        <v>0</v>
      </c>
      <c r="AC320" s="75">
        <f t="shared" ca="1" si="29"/>
        <v>0</v>
      </c>
      <c r="AD320" s="76">
        <f t="shared" ca="1" si="34"/>
        <v>12388.425641898149</v>
      </c>
      <c r="AE320" s="76">
        <f t="shared" si="35"/>
        <v>0</v>
      </c>
      <c r="AF320" s="75">
        <f t="shared" si="30"/>
        <v>0</v>
      </c>
      <c r="AG320" s="75">
        <f t="shared" si="31"/>
        <v>0</v>
      </c>
      <c r="AH320" s="31" t="e" cm="1">
        <f t="array" aca="1" ref="AH320" ca="1">IF((AD320) &lt; (INDEX(ResponseSLA[#All],(MATCH((G320),ResponseSLA[Priority],0))+1,3)),"YES","No")</f>
        <v>#N/A</v>
      </c>
      <c r="AI320" s="31" t="str">
        <f>_xlfn.IFNA(IF(AE320 &lt; (INDEX(SLATable[Minimum SLA],MATCH(G320,SLATable[Priority],0))),"YES","NO"),"")</f>
        <v/>
      </c>
      <c r="AJ320" t="str">
        <f>_xlfn.IFNA(IF(AE320 &lt; (INDEX(SLATable[Maximum SLA],MATCH(G320,SLATable[Priority],0))),"YES","NO"),"")</f>
        <v/>
      </c>
    </row>
    <row r="321" spans="26:36" ht="15" customHeight="1">
      <c r="Z321" s="76" t="e">
        <f t="shared" ca="1" si="32"/>
        <v>#N/A</v>
      </c>
      <c r="AA321" s="75" t="e">
        <f t="shared" ref="AA321:AA384" ca="1" si="36">(Z321*24)/9</f>
        <v>#N/A</v>
      </c>
      <c r="AB321" s="76">
        <f t="shared" ca="1" si="33"/>
        <v>0</v>
      </c>
      <c r="AC321" s="75">
        <f t="shared" ref="AC321:AC384" ca="1" si="37">(AB321*24)/9</f>
        <v>0</v>
      </c>
      <c r="AD321" s="76">
        <f t="shared" ca="1" si="34"/>
        <v>12388.425641898149</v>
      </c>
      <c r="AE321" s="76">
        <f t="shared" si="35"/>
        <v>0</v>
      </c>
      <c r="AF321" s="75">
        <f t="shared" ref="AF321:AF384" si="38">(AE321*24)/9</f>
        <v>0</v>
      </c>
      <c r="AG321" s="75">
        <f t="shared" ref="AG321:AG384" si="39">AF321</f>
        <v>0</v>
      </c>
      <c r="AH321" s="31" t="e" cm="1">
        <f t="array" aca="1" ref="AH321" ca="1">IF((AD321) &lt; (INDEX(ResponseSLA[#All],(MATCH((G321),ResponseSLA[Priority],0))+1,3)),"YES","No")</f>
        <v>#N/A</v>
      </c>
      <c r="AI321" s="31" t="str">
        <f>_xlfn.IFNA(IF(AE321 &lt; (INDEX(SLATable[Minimum SLA],MATCH(G321,SLATable[Priority],0))),"YES","NO"),"")</f>
        <v/>
      </c>
      <c r="AJ321" t="str">
        <f>_xlfn.IFNA(IF(AE321 &lt; (INDEX(SLATable[Maximum SLA],MATCH(G321,SLATable[Priority],0))),"YES","NO"),"")</f>
        <v/>
      </c>
    </row>
    <row r="322" spans="26:36" ht="15" customHeight="1">
      <c r="Z322" s="76" t="e">
        <f t="shared" ca="1" si="32"/>
        <v>#N/A</v>
      </c>
      <c r="AA322" s="75" t="e">
        <f t="shared" ca="1" si="36"/>
        <v>#N/A</v>
      </c>
      <c r="AB322" s="76">
        <f t="shared" ca="1" si="33"/>
        <v>0</v>
      </c>
      <c r="AC322" s="75">
        <f t="shared" ca="1" si="37"/>
        <v>0</v>
      </c>
      <c r="AD322" s="76">
        <f t="shared" ca="1" si="34"/>
        <v>12388.425641898149</v>
      </c>
      <c r="AE322" s="76">
        <f t="shared" si="35"/>
        <v>0</v>
      </c>
      <c r="AF322" s="75">
        <f t="shared" si="38"/>
        <v>0</v>
      </c>
      <c r="AG322" s="75">
        <f t="shared" si="39"/>
        <v>0</v>
      </c>
      <c r="AH322" s="31" t="e" cm="1">
        <f t="array" aca="1" ref="AH322" ca="1">IF((AD322) &lt; (INDEX(ResponseSLA[#All],(MATCH((G322),ResponseSLA[Priority],0))+1,3)),"YES","No")</f>
        <v>#N/A</v>
      </c>
      <c r="AI322" s="31" t="str">
        <f>_xlfn.IFNA(IF(AE322 &lt; (INDEX(SLATable[Minimum SLA],MATCH(G322,SLATable[Priority],0))),"YES","NO"),"")</f>
        <v/>
      </c>
      <c r="AJ322" t="str">
        <f>_xlfn.IFNA(IF(AE322 &lt; (INDEX(SLATable[Maximum SLA],MATCH(G322,SLATable[Priority],0))),"YES","NO"),"")</f>
        <v/>
      </c>
    </row>
    <row r="323" spans="26:36" ht="15" customHeight="1">
      <c r="Z323" s="76" t="e">
        <f t="shared" ref="Z323:Z386" ca="1" si="40">IF(NOT(OR(G323=1,G323=2)),MAX(0,_xlfn.IFS(AND(K323&lt;&gt;"",N323&lt;&gt;""),((MAX(NETWORKDAYS(K323,N323,UKBankHolidays)-1,0))*(TIME(17,0,0)-TIME(8,0,0))+IF(NETWORKDAYS(N323,N323,UKBankHolidays)&gt;0,MEDIAN(TIME(8,0,0),MOD(N323,1),TIME(17,0,0)),TIME(8,0,0))-IF(NETWORKDAYS(K323,K323,UKBankHolidays)&gt;0,MEDIAN(TIME(8,0,0),MOD(K323,1),TIME(17,0,0)),TIME(8,0,0)))-IF(AND(O323&lt;&gt;"",P323&lt;&gt;""),((MAX(NETWORKDAYS(O323,P323,UKBankHolidays)-1,0))*(TIME(17,0,0)-TIME(8,0,0))+IF(NETWORKDAYS(P323,P323,UKBankHolidays)&gt;0,MEDIAN(TIME(8,0,0),MOD(P323,1),TIME(17,0,0)),TIME(8,0,0))-IF(NETWORKDAYS(O323,O323,UKBankHolidays)&gt;0,MEDIAN(TIME(8,0,0),MOD(O323,1),TIME(17,0,0)),TIME(8,0,0))),0),AND(K323&lt;&gt;"",N323=""),((MAX(NETWORKDAYS(K323,NOW(),UKBankHolidays)-1,0))*(TIME(17,0,0)-TIME(8,0,0))+IF(NETWORKDAYS(NOW(),NOW(),UKBankHolidays)&gt;0,MEDIAN(TIME(8,0,0),MOD(NOW(),1),TIME(17,0,0)),TIME(8,0,0))-IF(NETWORKDAYS(K323,K323,UKBankHolidays)&gt;0,MEDIAN(TIME(8,0,0),MOD(K323,1),TIME(17,0,0)),TIME(8,0,0))))),IF(N323="",NOW()-K323,N323-K323))</f>
        <v>#N/A</v>
      </c>
      <c r="AA323" s="75" t="e">
        <f t="shared" ca="1" si="36"/>
        <v>#N/A</v>
      </c>
      <c r="AB323" s="76">
        <f t="shared" ref="AB323:AB386" ca="1" si="41">IF(NOT(OR(G323=1,G323=2)),MAX(0,_xlfn.IFS(AND(K323&lt;&gt;"",N323&lt;&gt;""),(((MAX(NETWORKDAYS(L323,N323,UKBankHolidays)-1,0))*(TIME(17,0,0)-TIME(8,0,0)))+IF(NETWORKDAYS(N323,N323,UKBankHolidays)&gt;0,MEDIAN(TIME(8,0,0),MOD(N323,1),TIME(17,0,0)),TIME(8,0,0))-IF(NETWORKDAYS(L323,L323,UKBankHolidays)&gt;0,MEDIAN(TIME(8,0,0),MOD(L323,1),TIME(17,0,0)),TIME(8,0,0)))-IF(AND(O323&lt;&gt;"",P323&lt;&gt;""),(((MAX(NETWORKDAYS(O323,P323,UKBankHolidays)-1,0))*(TIME(17,0,0)-TIME(8,0,0)))+IF(NETWORKDAYS(P323,P323,UKBankHolidays)&gt;0,MEDIAN(TIME(8,0,0),MOD(P323,1),TIME(17,0,0)),TIME(8,0,0))-IF(NETWORKDAYS(O323,O323,UKBankHolidays)&gt;0,MEDIAN(TIME(8,0,0),MOD(O323,1),TIME(17,0,0)),TIME(8,0,0))),0),AND(L323&lt;&gt;"",N323="",O323=""),(((MAX(NETWORKDAYS(L323,NOW(),UKBankHolidays)-1,0))*(TIME(17,0,0)-TIME(8,0,0)))+IF(NETWORKDAYS(NOW(),NOW(),UKBankHolidays)&gt;0,MEDIAN(TIME(8,0,0),MOD(NOW(),1),TIME(17,0,0)),TIME(8,0,0))-IF(NETWORKDAYS(L323,L323,UKBankHolidays)&gt;0,MEDIAN(TIME(8,0,0),MOD(L323,1),TIME(17,0,0)),TIME(8,0,0)))-IF(AND(O323&lt;&gt;"",P323&lt;&gt;""),(((MAX(NETWORKDAYS(O323,P323,UKBankHolidays)-1,0))*(TIME(17,0,0)-TIME(8,0,0)))+IF(NETWORKDAYS(P323,P323,UKBankHolidays)&gt;0,MEDIAN(TIME(8,0,0),MOD(P323,1),TIME(17,0,0)),TIME(8,0,0))-IF(NETWORKDAYS(O323,O323,UKBankHolidays)&gt;0,MEDIAN(TIME(8,0,0),MOD(O323,1),TIME(17,0,0)),TIME(8,0,0))),0),AND(L323&lt;&gt;"",N323="",P323="",O323&lt;&gt;""),(((MAX(NETWORKDAYS(L323,O323,UKBankHolidays)-1,0))*(TIME(17,0,0)-TIME(8,0,0)))+IF(NETWORKDAYS(O323,O323,UKBankHolidays)&gt;0,MEDIAN(TIME(8,0,0),MOD(O323,1),TIME(17,0,0)),TIME(8,0,0))-IF(NETWORKDAYS(L323,L323,UKBankHolidays)&gt;0,MEDIAN(TIME(8,0,0),MOD(L323,1),TIME(17,0,0)),TIME(8,0,0))),ISBLANK(K323),"0")),IF(ISBLANK(N323),NOW()-L323,N323-L323))</f>
        <v>0</v>
      </c>
      <c r="AC323" s="75">
        <f t="shared" ca="1" si="37"/>
        <v>0</v>
      </c>
      <c r="AD323" s="76">
        <f t="shared" ref="AD323:AD386" ca="1" si="42">MAX(0,IF(NOT(OR(G323=1,G323=2)),IF(M323&lt;&gt;"",((MAX(NETWORKDAYS(L323,M323,UKBankHolidays)-1,0))*(TIME(17,0,0)-TIME(8,0,0))+IF(NETWORKDAYS(M323,M323,UKBankHolidays)&gt;0,MEDIAN(TIME(8,0,0),MOD(M323,1),TIME(17,0,0)),TIME(8,0,0))-MEDIAN(TIME(8,0,0),MOD(L323,1),TIME(17,0,0))),((MAX(NETWORKDAYS(L323,NOW(),UKBankHolidays)-1,0))*(TIME(17,0,0)-TIME(8,0,0))+IF(NETWORKDAYS(NOW(),NOW(),UKBankHolidays)&gt;0,MEDIAN(TIME(8,0,0),MOD(NOW(),1),TIME(17,0,0)),TIME(8,0,0))-MEDIAN(TIME(8,0,0),MOD(L323,1),TIME(17,0,0)))),IF(M323&lt;&gt;"",M323-L323,NOW()-L323)))</f>
        <v>12388.425641898149</v>
      </c>
      <c r="AE323" s="76">
        <f t="shared" ref="AE323:AE386" si="43">SUMIFS(AB:AB,E:E,E323)</f>
        <v>0</v>
      </c>
      <c r="AF323" s="75">
        <f t="shared" si="38"/>
        <v>0</v>
      </c>
      <c r="AG323" s="75">
        <f t="shared" si="39"/>
        <v>0</v>
      </c>
      <c r="AH323" s="31" t="e" cm="1">
        <f t="array" aca="1" ref="AH323" ca="1">IF((AD323) &lt; (INDEX(ResponseSLA[#All],(MATCH((G323),ResponseSLA[Priority],0))+1,3)),"YES","No")</f>
        <v>#N/A</v>
      </c>
      <c r="AI323" s="31" t="str">
        <f>_xlfn.IFNA(IF(AE323 &lt; (INDEX(SLATable[Minimum SLA],MATCH(G323,SLATable[Priority],0))),"YES","NO"),"")</f>
        <v/>
      </c>
      <c r="AJ323" t="str">
        <f>_xlfn.IFNA(IF(AE323 &lt; (INDEX(SLATable[Maximum SLA],MATCH(G323,SLATable[Priority],0))),"YES","NO"),"")</f>
        <v/>
      </c>
    </row>
    <row r="324" spans="26:36" ht="15" customHeight="1">
      <c r="Z324" s="76" t="e">
        <f t="shared" ca="1" si="40"/>
        <v>#N/A</v>
      </c>
      <c r="AA324" s="75" t="e">
        <f t="shared" ca="1" si="36"/>
        <v>#N/A</v>
      </c>
      <c r="AB324" s="76">
        <f t="shared" ca="1" si="41"/>
        <v>0</v>
      </c>
      <c r="AC324" s="75">
        <f t="shared" ca="1" si="37"/>
        <v>0</v>
      </c>
      <c r="AD324" s="76">
        <f t="shared" ca="1" si="42"/>
        <v>12388.425641898149</v>
      </c>
      <c r="AE324" s="76">
        <f t="shared" si="43"/>
        <v>0</v>
      </c>
      <c r="AF324" s="75">
        <f t="shared" si="38"/>
        <v>0</v>
      </c>
      <c r="AG324" s="75">
        <f t="shared" si="39"/>
        <v>0</v>
      </c>
      <c r="AH324" s="31" t="e" cm="1">
        <f t="array" aca="1" ref="AH324" ca="1">IF((AD324) &lt; (INDEX(ResponseSLA[#All],(MATCH((G324),ResponseSLA[Priority],0))+1,3)),"YES","No")</f>
        <v>#N/A</v>
      </c>
      <c r="AI324" s="31" t="str">
        <f>_xlfn.IFNA(IF(AE324 &lt; (INDEX(SLATable[Minimum SLA],MATCH(G324,SLATable[Priority],0))),"YES","NO"),"")</f>
        <v/>
      </c>
      <c r="AJ324" t="str">
        <f>_xlfn.IFNA(IF(AE324 &lt; (INDEX(SLATable[Maximum SLA],MATCH(G324,SLATable[Priority],0))),"YES","NO"),"")</f>
        <v/>
      </c>
    </row>
    <row r="325" spans="26:36" ht="15" customHeight="1">
      <c r="Z325" s="76" t="e">
        <f t="shared" ca="1" si="40"/>
        <v>#N/A</v>
      </c>
      <c r="AA325" s="75" t="e">
        <f t="shared" ca="1" si="36"/>
        <v>#N/A</v>
      </c>
      <c r="AB325" s="76">
        <f t="shared" ca="1" si="41"/>
        <v>0</v>
      </c>
      <c r="AC325" s="75">
        <f t="shared" ca="1" si="37"/>
        <v>0</v>
      </c>
      <c r="AD325" s="76">
        <f t="shared" ca="1" si="42"/>
        <v>12388.425641898149</v>
      </c>
      <c r="AE325" s="76">
        <f t="shared" si="43"/>
        <v>0</v>
      </c>
      <c r="AF325" s="75">
        <f t="shared" si="38"/>
        <v>0</v>
      </c>
      <c r="AG325" s="75">
        <f t="shared" si="39"/>
        <v>0</v>
      </c>
      <c r="AH325" s="31" t="e" cm="1">
        <f t="array" aca="1" ref="AH325" ca="1">IF((AD325) &lt; (INDEX(ResponseSLA[#All],(MATCH((G325),ResponseSLA[Priority],0))+1,3)),"YES","No")</f>
        <v>#N/A</v>
      </c>
      <c r="AI325" s="31" t="str">
        <f>_xlfn.IFNA(IF(AE325 &lt; (INDEX(SLATable[Minimum SLA],MATCH(G325,SLATable[Priority],0))),"YES","NO"),"")</f>
        <v/>
      </c>
      <c r="AJ325" t="str">
        <f>_xlfn.IFNA(IF(AE325 &lt; (INDEX(SLATable[Maximum SLA],MATCH(G325,SLATable[Priority],0))),"YES","NO"),"")</f>
        <v/>
      </c>
    </row>
    <row r="326" spans="26:36" ht="15" customHeight="1">
      <c r="Z326" s="76" t="e">
        <f t="shared" ca="1" si="40"/>
        <v>#N/A</v>
      </c>
      <c r="AA326" s="75" t="e">
        <f t="shared" ca="1" si="36"/>
        <v>#N/A</v>
      </c>
      <c r="AB326" s="76">
        <f t="shared" ca="1" si="41"/>
        <v>0</v>
      </c>
      <c r="AC326" s="75">
        <f t="shared" ca="1" si="37"/>
        <v>0</v>
      </c>
      <c r="AD326" s="76">
        <f t="shared" ca="1" si="42"/>
        <v>12388.425641898149</v>
      </c>
      <c r="AE326" s="76">
        <f t="shared" si="43"/>
        <v>0</v>
      </c>
      <c r="AF326" s="75">
        <f t="shared" si="38"/>
        <v>0</v>
      </c>
      <c r="AG326" s="75">
        <f t="shared" si="39"/>
        <v>0</v>
      </c>
      <c r="AH326" s="31" t="e" cm="1">
        <f t="array" aca="1" ref="AH326" ca="1">IF((AD326) &lt; (INDEX(ResponseSLA[#All],(MATCH((G326),ResponseSLA[Priority],0))+1,3)),"YES","No")</f>
        <v>#N/A</v>
      </c>
      <c r="AI326" s="31" t="str">
        <f>_xlfn.IFNA(IF(AE326 &lt; (INDEX(SLATable[Minimum SLA],MATCH(G326,SLATable[Priority],0))),"YES","NO"),"")</f>
        <v/>
      </c>
      <c r="AJ326" t="str">
        <f>_xlfn.IFNA(IF(AE326 &lt; (INDEX(SLATable[Maximum SLA],MATCH(G326,SLATable[Priority],0))),"YES","NO"),"")</f>
        <v/>
      </c>
    </row>
    <row r="327" spans="26:36" ht="15" customHeight="1">
      <c r="Z327" s="76" t="e">
        <f t="shared" ca="1" si="40"/>
        <v>#N/A</v>
      </c>
      <c r="AA327" s="75" t="e">
        <f t="shared" ca="1" si="36"/>
        <v>#N/A</v>
      </c>
      <c r="AB327" s="76">
        <f t="shared" ca="1" si="41"/>
        <v>0</v>
      </c>
      <c r="AC327" s="75">
        <f t="shared" ca="1" si="37"/>
        <v>0</v>
      </c>
      <c r="AD327" s="76">
        <f t="shared" ca="1" si="42"/>
        <v>12388.425642129634</v>
      </c>
      <c r="AE327" s="76">
        <f t="shared" si="43"/>
        <v>0</v>
      </c>
      <c r="AF327" s="75">
        <f t="shared" si="38"/>
        <v>0</v>
      </c>
      <c r="AG327" s="75">
        <f t="shared" si="39"/>
        <v>0</v>
      </c>
      <c r="AH327" s="31" t="e" cm="1">
        <f t="array" aca="1" ref="AH327" ca="1">IF((AD327) &lt; (INDEX(ResponseSLA[#All],(MATCH((G327),ResponseSLA[Priority],0))+1,3)),"YES","No")</f>
        <v>#N/A</v>
      </c>
      <c r="AI327" s="31" t="str">
        <f>_xlfn.IFNA(IF(AE327 &lt; (INDEX(SLATable[Minimum SLA],MATCH(G327,SLATable[Priority],0))),"YES","NO"),"")</f>
        <v/>
      </c>
      <c r="AJ327" t="str">
        <f>_xlfn.IFNA(IF(AE327 &lt; (INDEX(SLATable[Maximum SLA],MATCH(G327,SLATable[Priority],0))),"YES","NO"),"")</f>
        <v/>
      </c>
    </row>
    <row r="328" spans="26:36" ht="15" customHeight="1">
      <c r="Z328" s="76" t="e">
        <f t="shared" ca="1" si="40"/>
        <v>#N/A</v>
      </c>
      <c r="AA328" s="75" t="e">
        <f t="shared" ca="1" si="36"/>
        <v>#N/A</v>
      </c>
      <c r="AB328" s="76">
        <f t="shared" ca="1" si="41"/>
        <v>0</v>
      </c>
      <c r="AC328" s="75">
        <f t="shared" ca="1" si="37"/>
        <v>0</v>
      </c>
      <c r="AD328" s="76">
        <f t="shared" ca="1" si="42"/>
        <v>12388.425641898149</v>
      </c>
      <c r="AE328" s="76">
        <f t="shared" si="43"/>
        <v>0</v>
      </c>
      <c r="AF328" s="75">
        <f t="shared" si="38"/>
        <v>0</v>
      </c>
      <c r="AG328" s="75">
        <f t="shared" si="39"/>
        <v>0</v>
      </c>
      <c r="AH328" s="31" t="e" cm="1">
        <f t="array" aca="1" ref="AH328" ca="1">IF((AD328) &lt; (INDEX(ResponseSLA[#All],(MATCH((G328),ResponseSLA[Priority],0))+1,3)),"YES","No")</f>
        <v>#N/A</v>
      </c>
      <c r="AI328" s="31" t="str">
        <f>_xlfn.IFNA(IF(AE328 &lt; (INDEX(SLATable[Minimum SLA],MATCH(G328,SLATable[Priority],0))),"YES","NO"),"")</f>
        <v/>
      </c>
      <c r="AJ328" t="str">
        <f>_xlfn.IFNA(IF(AE328 &lt; (INDEX(SLATable[Maximum SLA],MATCH(G328,SLATable[Priority],0))),"YES","NO"),"")</f>
        <v/>
      </c>
    </row>
    <row r="329" spans="26:36" ht="15" customHeight="1">
      <c r="Z329" s="76" t="e">
        <f t="shared" ca="1" si="40"/>
        <v>#N/A</v>
      </c>
      <c r="AA329" s="75" t="e">
        <f t="shared" ca="1" si="36"/>
        <v>#N/A</v>
      </c>
      <c r="AB329" s="76">
        <f t="shared" ca="1" si="41"/>
        <v>0</v>
      </c>
      <c r="AC329" s="75">
        <f t="shared" ca="1" si="37"/>
        <v>0</v>
      </c>
      <c r="AD329" s="76">
        <f t="shared" ca="1" si="42"/>
        <v>12388.425641898149</v>
      </c>
      <c r="AE329" s="76">
        <f t="shared" si="43"/>
        <v>0</v>
      </c>
      <c r="AF329" s="75">
        <f t="shared" si="38"/>
        <v>0</v>
      </c>
      <c r="AG329" s="75">
        <f t="shared" si="39"/>
        <v>0</v>
      </c>
      <c r="AH329" s="31" t="e" cm="1">
        <f t="array" aca="1" ref="AH329" ca="1">IF((AD329) &lt; (INDEX(ResponseSLA[#All],(MATCH((G329),ResponseSLA[Priority],0))+1,3)),"YES","No")</f>
        <v>#N/A</v>
      </c>
      <c r="AI329" s="31" t="str">
        <f>_xlfn.IFNA(IF(AE329 &lt; (INDEX(SLATable[Minimum SLA],MATCH(G329,SLATable[Priority],0))),"YES","NO"),"")</f>
        <v/>
      </c>
      <c r="AJ329" t="str">
        <f>_xlfn.IFNA(IF(AE329 &lt; (INDEX(SLATable[Maximum SLA],MATCH(G329,SLATable[Priority],0))),"YES","NO"),"")</f>
        <v/>
      </c>
    </row>
    <row r="330" spans="26:36" ht="15" customHeight="1">
      <c r="Z330" s="76" t="e">
        <f t="shared" ca="1" si="40"/>
        <v>#N/A</v>
      </c>
      <c r="AA330" s="75" t="e">
        <f t="shared" ca="1" si="36"/>
        <v>#N/A</v>
      </c>
      <c r="AB330" s="76">
        <f t="shared" ca="1" si="41"/>
        <v>0</v>
      </c>
      <c r="AC330" s="75">
        <f t="shared" ca="1" si="37"/>
        <v>0</v>
      </c>
      <c r="AD330" s="76">
        <f t="shared" ca="1" si="42"/>
        <v>12388.425642129634</v>
      </c>
      <c r="AE330" s="76">
        <f t="shared" si="43"/>
        <v>0</v>
      </c>
      <c r="AF330" s="75">
        <f t="shared" si="38"/>
        <v>0</v>
      </c>
      <c r="AG330" s="75">
        <f t="shared" si="39"/>
        <v>0</v>
      </c>
      <c r="AH330" s="31" t="e" cm="1">
        <f t="array" aca="1" ref="AH330" ca="1">IF((AD330) &lt; (INDEX(ResponseSLA[#All],(MATCH((G330),ResponseSLA[Priority],0))+1,3)),"YES","No")</f>
        <v>#N/A</v>
      </c>
      <c r="AI330" s="31" t="str">
        <f>_xlfn.IFNA(IF(AE330 &lt; (INDEX(SLATable[Minimum SLA],MATCH(G330,SLATable[Priority],0))),"YES","NO"),"")</f>
        <v/>
      </c>
      <c r="AJ330" t="str">
        <f>_xlfn.IFNA(IF(AE330 &lt; (INDEX(SLATable[Maximum SLA],MATCH(G330,SLATable[Priority],0))),"YES","NO"),"")</f>
        <v/>
      </c>
    </row>
    <row r="331" spans="26:36" ht="15" customHeight="1">
      <c r="Z331" s="76" t="e">
        <f t="shared" ca="1" si="40"/>
        <v>#N/A</v>
      </c>
      <c r="AA331" s="75" t="e">
        <f t="shared" ca="1" si="36"/>
        <v>#N/A</v>
      </c>
      <c r="AB331" s="76">
        <f t="shared" ca="1" si="41"/>
        <v>0</v>
      </c>
      <c r="AC331" s="75">
        <f t="shared" ca="1" si="37"/>
        <v>0</v>
      </c>
      <c r="AD331" s="76">
        <f t="shared" ca="1" si="42"/>
        <v>12388.425641898149</v>
      </c>
      <c r="AE331" s="76">
        <f t="shared" si="43"/>
        <v>0</v>
      </c>
      <c r="AF331" s="75">
        <f t="shared" si="38"/>
        <v>0</v>
      </c>
      <c r="AG331" s="75">
        <f t="shared" si="39"/>
        <v>0</v>
      </c>
      <c r="AH331" s="31" t="e" cm="1">
        <f t="array" aca="1" ref="AH331" ca="1">IF((AD331) &lt; (INDEX(ResponseSLA[#All],(MATCH((G331),ResponseSLA[Priority],0))+1,3)),"YES","No")</f>
        <v>#N/A</v>
      </c>
      <c r="AI331" s="31" t="str">
        <f>_xlfn.IFNA(IF(AE331 &lt; (INDEX(SLATable[Minimum SLA],MATCH(G331,SLATable[Priority],0))),"YES","NO"),"")</f>
        <v/>
      </c>
      <c r="AJ331" t="str">
        <f>_xlfn.IFNA(IF(AE331 &lt; (INDEX(SLATable[Maximum SLA],MATCH(G331,SLATable[Priority],0))),"YES","NO"),"")</f>
        <v/>
      </c>
    </row>
    <row r="332" spans="26:36" ht="15" customHeight="1">
      <c r="Z332" s="76" t="e">
        <f t="shared" ca="1" si="40"/>
        <v>#N/A</v>
      </c>
      <c r="AA332" s="75" t="e">
        <f t="shared" ca="1" si="36"/>
        <v>#N/A</v>
      </c>
      <c r="AB332" s="76">
        <f t="shared" ca="1" si="41"/>
        <v>0</v>
      </c>
      <c r="AC332" s="75">
        <f t="shared" ca="1" si="37"/>
        <v>0</v>
      </c>
      <c r="AD332" s="76">
        <f t="shared" ca="1" si="42"/>
        <v>12388.425641898149</v>
      </c>
      <c r="AE332" s="76">
        <f t="shared" si="43"/>
        <v>0</v>
      </c>
      <c r="AF332" s="75">
        <f t="shared" si="38"/>
        <v>0</v>
      </c>
      <c r="AG332" s="75">
        <f t="shared" si="39"/>
        <v>0</v>
      </c>
      <c r="AH332" s="31" t="e" cm="1">
        <f t="array" aca="1" ref="AH332" ca="1">IF((AD332) &lt; (INDEX(ResponseSLA[#All],(MATCH((G332),ResponseSLA[Priority],0))+1,3)),"YES","No")</f>
        <v>#N/A</v>
      </c>
      <c r="AI332" s="31" t="str">
        <f>_xlfn.IFNA(IF(AE332 &lt; (INDEX(SLATable[Minimum SLA],MATCH(G332,SLATable[Priority],0))),"YES","NO"),"")</f>
        <v/>
      </c>
      <c r="AJ332" t="str">
        <f>_xlfn.IFNA(IF(AE332 &lt; (INDEX(SLATable[Maximum SLA],MATCH(G332,SLATable[Priority],0))),"YES","NO"),"")</f>
        <v/>
      </c>
    </row>
    <row r="333" spans="26:36" ht="15" customHeight="1">
      <c r="Z333" s="76" t="e">
        <f t="shared" ca="1" si="40"/>
        <v>#N/A</v>
      </c>
      <c r="AA333" s="75" t="e">
        <f t="shared" ca="1" si="36"/>
        <v>#N/A</v>
      </c>
      <c r="AB333" s="76">
        <f t="shared" ca="1" si="41"/>
        <v>0</v>
      </c>
      <c r="AC333" s="75">
        <f t="shared" ca="1" si="37"/>
        <v>0</v>
      </c>
      <c r="AD333" s="76">
        <f t="shared" ca="1" si="42"/>
        <v>12388.425642129634</v>
      </c>
      <c r="AE333" s="76">
        <f t="shared" si="43"/>
        <v>0</v>
      </c>
      <c r="AF333" s="75">
        <f t="shared" si="38"/>
        <v>0</v>
      </c>
      <c r="AG333" s="75">
        <f t="shared" si="39"/>
        <v>0</v>
      </c>
      <c r="AH333" s="31" t="e" cm="1">
        <f t="array" aca="1" ref="AH333" ca="1">IF((AD333) &lt; (INDEX(ResponseSLA[#All],(MATCH((G333),ResponseSLA[Priority],0))+1,3)),"YES","No")</f>
        <v>#N/A</v>
      </c>
      <c r="AI333" s="31" t="str">
        <f>_xlfn.IFNA(IF(AE333 &lt; (INDEX(SLATable[Minimum SLA],MATCH(G333,SLATable[Priority],0))),"YES","NO"),"")</f>
        <v/>
      </c>
      <c r="AJ333" t="str">
        <f>_xlfn.IFNA(IF(AE333 &lt; (INDEX(SLATable[Maximum SLA],MATCH(G333,SLATable[Priority],0))),"YES","NO"),"")</f>
        <v/>
      </c>
    </row>
    <row r="334" spans="26:36" ht="15" customHeight="1">
      <c r="Z334" s="76" t="e">
        <f t="shared" ca="1" si="40"/>
        <v>#N/A</v>
      </c>
      <c r="AA334" s="75" t="e">
        <f t="shared" ca="1" si="36"/>
        <v>#N/A</v>
      </c>
      <c r="AB334" s="76">
        <f t="shared" ca="1" si="41"/>
        <v>0</v>
      </c>
      <c r="AC334" s="75">
        <f t="shared" ca="1" si="37"/>
        <v>0</v>
      </c>
      <c r="AD334" s="76">
        <f t="shared" ca="1" si="42"/>
        <v>12388.425641898149</v>
      </c>
      <c r="AE334" s="76">
        <f t="shared" si="43"/>
        <v>0</v>
      </c>
      <c r="AF334" s="75">
        <f t="shared" si="38"/>
        <v>0</v>
      </c>
      <c r="AG334" s="75">
        <f t="shared" si="39"/>
        <v>0</v>
      </c>
      <c r="AH334" s="31" t="e" cm="1">
        <f t="array" aca="1" ref="AH334" ca="1">IF((AD334) &lt; (INDEX(ResponseSLA[#All],(MATCH((G334),ResponseSLA[Priority],0))+1,3)),"YES","No")</f>
        <v>#N/A</v>
      </c>
      <c r="AI334" s="31" t="str">
        <f>_xlfn.IFNA(IF(AE334 &lt; (INDEX(SLATable[Minimum SLA],MATCH(G334,SLATable[Priority],0))),"YES","NO"),"")</f>
        <v/>
      </c>
      <c r="AJ334" t="str">
        <f>_xlfn.IFNA(IF(AE334 &lt; (INDEX(SLATable[Maximum SLA],MATCH(G334,SLATable[Priority],0))),"YES","NO"),"")</f>
        <v/>
      </c>
    </row>
    <row r="335" spans="26:36" ht="15" customHeight="1">
      <c r="Z335" s="76" t="e">
        <f t="shared" ca="1" si="40"/>
        <v>#N/A</v>
      </c>
      <c r="AA335" s="75" t="e">
        <f t="shared" ca="1" si="36"/>
        <v>#N/A</v>
      </c>
      <c r="AB335" s="76">
        <f t="shared" ca="1" si="41"/>
        <v>0</v>
      </c>
      <c r="AC335" s="75">
        <f t="shared" ca="1" si="37"/>
        <v>0</v>
      </c>
      <c r="AD335" s="76">
        <f t="shared" ca="1" si="42"/>
        <v>12388.425641898149</v>
      </c>
      <c r="AE335" s="76">
        <f t="shared" si="43"/>
        <v>0</v>
      </c>
      <c r="AF335" s="75">
        <f t="shared" si="38"/>
        <v>0</v>
      </c>
      <c r="AG335" s="75">
        <f t="shared" si="39"/>
        <v>0</v>
      </c>
      <c r="AH335" s="31" t="e" cm="1">
        <f t="array" aca="1" ref="AH335" ca="1">IF((AD335) &lt; (INDEX(ResponseSLA[#All],(MATCH((G335),ResponseSLA[Priority],0))+1,3)),"YES","No")</f>
        <v>#N/A</v>
      </c>
      <c r="AI335" s="31" t="str">
        <f>_xlfn.IFNA(IF(AE335 &lt; (INDEX(SLATable[Minimum SLA],MATCH(G335,SLATable[Priority],0))),"YES","NO"),"")</f>
        <v/>
      </c>
      <c r="AJ335" t="str">
        <f>_xlfn.IFNA(IF(AE335 &lt; (INDEX(SLATable[Maximum SLA],MATCH(G335,SLATable[Priority],0))),"YES","NO"),"")</f>
        <v/>
      </c>
    </row>
    <row r="336" spans="26:36" ht="15" customHeight="1">
      <c r="Z336" s="76" t="e">
        <f t="shared" ca="1" si="40"/>
        <v>#N/A</v>
      </c>
      <c r="AA336" s="75" t="e">
        <f t="shared" ca="1" si="36"/>
        <v>#N/A</v>
      </c>
      <c r="AB336" s="76">
        <f t="shared" ca="1" si="41"/>
        <v>0</v>
      </c>
      <c r="AC336" s="75">
        <f t="shared" ca="1" si="37"/>
        <v>0</v>
      </c>
      <c r="AD336" s="76">
        <f t="shared" ca="1" si="42"/>
        <v>12388.425642129634</v>
      </c>
      <c r="AE336" s="76">
        <f t="shared" si="43"/>
        <v>0</v>
      </c>
      <c r="AF336" s="75">
        <f t="shared" si="38"/>
        <v>0</v>
      </c>
      <c r="AG336" s="75">
        <f t="shared" si="39"/>
        <v>0</v>
      </c>
      <c r="AH336" s="31" t="e" cm="1">
        <f t="array" aca="1" ref="AH336" ca="1">IF((AD336) &lt; (INDEX(ResponseSLA[#All],(MATCH((G336),ResponseSLA[Priority],0))+1,3)),"YES","No")</f>
        <v>#N/A</v>
      </c>
      <c r="AI336" s="31" t="str">
        <f>_xlfn.IFNA(IF(AE336 &lt; (INDEX(SLATable[Minimum SLA],MATCH(G336,SLATable[Priority],0))),"YES","NO"),"")</f>
        <v/>
      </c>
      <c r="AJ336" t="str">
        <f>_xlfn.IFNA(IF(AE336 &lt; (INDEX(SLATable[Maximum SLA],MATCH(G336,SLATable[Priority],0))),"YES","NO"),"")</f>
        <v/>
      </c>
    </row>
    <row r="337" spans="26:36" ht="15" customHeight="1">
      <c r="Z337" s="76" t="e">
        <f t="shared" ca="1" si="40"/>
        <v>#N/A</v>
      </c>
      <c r="AA337" s="75" t="e">
        <f t="shared" ca="1" si="36"/>
        <v>#N/A</v>
      </c>
      <c r="AB337" s="76">
        <f t="shared" ca="1" si="41"/>
        <v>0</v>
      </c>
      <c r="AC337" s="75">
        <f t="shared" ca="1" si="37"/>
        <v>0</v>
      </c>
      <c r="AD337" s="76">
        <f t="shared" ca="1" si="42"/>
        <v>12388.425641898149</v>
      </c>
      <c r="AE337" s="76">
        <f t="shared" si="43"/>
        <v>0</v>
      </c>
      <c r="AF337" s="75">
        <f t="shared" si="38"/>
        <v>0</v>
      </c>
      <c r="AG337" s="75">
        <f t="shared" si="39"/>
        <v>0</v>
      </c>
      <c r="AH337" s="31" t="e" cm="1">
        <f t="array" aca="1" ref="AH337" ca="1">IF((AD337) &lt; (INDEX(ResponseSLA[#All],(MATCH((G337),ResponseSLA[Priority],0))+1,3)),"YES","No")</f>
        <v>#N/A</v>
      </c>
      <c r="AI337" s="31" t="str">
        <f>_xlfn.IFNA(IF(AE337 &lt; (INDEX(SLATable[Minimum SLA],MATCH(G337,SLATable[Priority],0))),"YES","NO"),"")</f>
        <v/>
      </c>
      <c r="AJ337" t="str">
        <f>_xlfn.IFNA(IF(AE337 &lt; (INDEX(SLATable[Maximum SLA],MATCH(G337,SLATable[Priority],0))),"YES","NO"),"")</f>
        <v/>
      </c>
    </row>
    <row r="338" spans="26:36" ht="15" customHeight="1">
      <c r="Z338" s="76" t="e">
        <f t="shared" ca="1" si="40"/>
        <v>#N/A</v>
      </c>
      <c r="AA338" s="75" t="e">
        <f t="shared" ca="1" si="36"/>
        <v>#N/A</v>
      </c>
      <c r="AB338" s="76">
        <f t="shared" ca="1" si="41"/>
        <v>0</v>
      </c>
      <c r="AC338" s="75">
        <f t="shared" ca="1" si="37"/>
        <v>0</v>
      </c>
      <c r="AD338" s="76">
        <f t="shared" ca="1" si="42"/>
        <v>12388.425641898149</v>
      </c>
      <c r="AE338" s="76">
        <f t="shared" si="43"/>
        <v>0</v>
      </c>
      <c r="AF338" s="75">
        <f t="shared" si="38"/>
        <v>0</v>
      </c>
      <c r="AG338" s="75">
        <f t="shared" si="39"/>
        <v>0</v>
      </c>
      <c r="AH338" s="31" t="e" cm="1">
        <f t="array" aca="1" ref="AH338" ca="1">IF((AD338) &lt; (INDEX(ResponseSLA[#All],(MATCH((G338),ResponseSLA[Priority],0))+1,3)),"YES","No")</f>
        <v>#N/A</v>
      </c>
      <c r="AI338" s="31" t="str">
        <f>_xlfn.IFNA(IF(AE338 &lt; (INDEX(SLATable[Minimum SLA],MATCH(G338,SLATable[Priority],0))),"YES","NO"),"")</f>
        <v/>
      </c>
      <c r="AJ338" t="str">
        <f>_xlfn.IFNA(IF(AE338 &lt; (INDEX(SLATable[Maximum SLA],MATCH(G338,SLATable[Priority],0))),"YES","NO"),"")</f>
        <v/>
      </c>
    </row>
    <row r="339" spans="26:36" ht="15" customHeight="1">
      <c r="Z339" s="76" t="e">
        <f t="shared" ca="1" si="40"/>
        <v>#N/A</v>
      </c>
      <c r="AA339" s="75" t="e">
        <f t="shared" ca="1" si="36"/>
        <v>#N/A</v>
      </c>
      <c r="AB339" s="76">
        <f t="shared" ca="1" si="41"/>
        <v>0</v>
      </c>
      <c r="AC339" s="75">
        <f t="shared" ca="1" si="37"/>
        <v>0</v>
      </c>
      <c r="AD339" s="76">
        <f t="shared" ca="1" si="42"/>
        <v>12388.425642129634</v>
      </c>
      <c r="AE339" s="76">
        <f t="shared" si="43"/>
        <v>0</v>
      </c>
      <c r="AF339" s="75">
        <f t="shared" si="38"/>
        <v>0</v>
      </c>
      <c r="AG339" s="75">
        <f t="shared" si="39"/>
        <v>0</v>
      </c>
      <c r="AH339" s="31" t="e" cm="1">
        <f t="array" aca="1" ref="AH339" ca="1">IF((AD339) &lt; (INDEX(ResponseSLA[#All],(MATCH((G339),ResponseSLA[Priority],0))+1,3)),"YES","No")</f>
        <v>#N/A</v>
      </c>
      <c r="AI339" s="31" t="str">
        <f>_xlfn.IFNA(IF(AE339 &lt; (INDEX(SLATable[Minimum SLA],MATCH(G339,SLATable[Priority],0))),"YES","NO"),"")</f>
        <v/>
      </c>
      <c r="AJ339" t="str">
        <f>_xlfn.IFNA(IF(AE339 &lt; (INDEX(SLATable[Maximum SLA],MATCH(G339,SLATable[Priority],0))),"YES","NO"),"")</f>
        <v/>
      </c>
    </row>
    <row r="340" spans="26:36" ht="15" customHeight="1">
      <c r="Z340" s="76" t="e">
        <f t="shared" ca="1" si="40"/>
        <v>#N/A</v>
      </c>
      <c r="AA340" s="75" t="e">
        <f t="shared" ca="1" si="36"/>
        <v>#N/A</v>
      </c>
      <c r="AB340" s="76">
        <f t="shared" ca="1" si="41"/>
        <v>0</v>
      </c>
      <c r="AC340" s="75">
        <f t="shared" ca="1" si="37"/>
        <v>0</v>
      </c>
      <c r="AD340" s="76">
        <f t="shared" ca="1" si="42"/>
        <v>12388.425641898149</v>
      </c>
      <c r="AE340" s="76">
        <f t="shared" si="43"/>
        <v>0</v>
      </c>
      <c r="AF340" s="75">
        <f t="shared" si="38"/>
        <v>0</v>
      </c>
      <c r="AG340" s="75">
        <f t="shared" si="39"/>
        <v>0</v>
      </c>
      <c r="AH340" s="31" t="e" cm="1">
        <f t="array" aca="1" ref="AH340" ca="1">IF((AD340) &lt; (INDEX(ResponseSLA[#All],(MATCH((G340),ResponseSLA[Priority],0))+1,3)),"YES","No")</f>
        <v>#N/A</v>
      </c>
      <c r="AI340" s="31" t="str">
        <f>_xlfn.IFNA(IF(AE340 &lt; (INDEX(SLATable[Minimum SLA],MATCH(G340,SLATable[Priority],0))),"YES","NO"),"")</f>
        <v/>
      </c>
      <c r="AJ340" t="str">
        <f>_xlfn.IFNA(IF(AE340 &lt; (INDEX(SLATable[Maximum SLA],MATCH(G340,SLATable[Priority],0))),"YES","NO"),"")</f>
        <v/>
      </c>
    </row>
    <row r="341" spans="26:36" ht="15" customHeight="1">
      <c r="Z341" s="76" t="e">
        <f t="shared" ca="1" si="40"/>
        <v>#N/A</v>
      </c>
      <c r="AA341" s="75" t="e">
        <f t="shared" ca="1" si="36"/>
        <v>#N/A</v>
      </c>
      <c r="AB341" s="76">
        <f t="shared" ca="1" si="41"/>
        <v>0</v>
      </c>
      <c r="AC341" s="75">
        <f t="shared" ca="1" si="37"/>
        <v>0</v>
      </c>
      <c r="AD341" s="76">
        <f t="shared" ca="1" si="42"/>
        <v>12388.425641898149</v>
      </c>
      <c r="AE341" s="76">
        <f t="shared" si="43"/>
        <v>0</v>
      </c>
      <c r="AF341" s="75">
        <f t="shared" si="38"/>
        <v>0</v>
      </c>
      <c r="AG341" s="75">
        <f t="shared" si="39"/>
        <v>0</v>
      </c>
      <c r="AH341" s="31" t="e" cm="1">
        <f t="array" aca="1" ref="AH341" ca="1">IF((AD341) &lt; (INDEX(ResponseSLA[#All],(MATCH((G341),ResponseSLA[Priority],0))+1,3)),"YES","No")</f>
        <v>#N/A</v>
      </c>
      <c r="AI341" s="31" t="str">
        <f>_xlfn.IFNA(IF(AE341 &lt; (INDEX(SLATable[Minimum SLA],MATCH(G341,SLATable[Priority],0))),"YES","NO"),"")</f>
        <v/>
      </c>
      <c r="AJ341" t="str">
        <f>_xlfn.IFNA(IF(AE341 &lt; (INDEX(SLATable[Maximum SLA],MATCH(G341,SLATable[Priority],0))),"YES","NO"),"")</f>
        <v/>
      </c>
    </row>
    <row r="342" spans="26:36" ht="15" customHeight="1">
      <c r="Z342" s="76" t="e">
        <f t="shared" ca="1" si="40"/>
        <v>#N/A</v>
      </c>
      <c r="AA342" s="75" t="e">
        <f t="shared" ca="1" si="36"/>
        <v>#N/A</v>
      </c>
      <c r="AB342" s="76">
        <f t="shared" ca="1" si="41"/>
        <v>0</v>
      </c>
      <c r="AC342" s="75">
        <f t="shared" ca="1" si="37"/>
        <v>0</v>
      </c>
      <c r="AD342" s="76">
        <f t="shared" ca="1" si="42"/>
        <v>12388.425642129634</v>
      </c>
      <c r="AE342" s="76">
        <f t="shared" si="43"/>
        <v>0</v>
      </c>
      <c r="AF342" s="75">
        <f t="shared" si="38"/>
        <v>0</v>
      </c>
      <c r="AG342" s="75">
        <f t="shared" si="39"/>
        <v>0</v>
      </c>
      <c r="AH342" s="31" t="e" cm="1">
        <f t="array" aca="1" ref="AH342" ca="1">IF((AD342) &lt; (INDEX(ResponseSLA[#All],(MATCH((G342),ResponseSLA[Priority],0))+1,3)),"YES","No")</f>
        <v>#N/A</v>
      </c>
      <c r="AI342" s="31" t="str">
        <f>_xlfn.IFNA(IF(AE342 &lt; (INDEX(SLATable[Minimum SLA],MATCH(G342,SLATable[Priority],0))),"YES","NO"),"")</f>
        <v/>
      </c>
      <c r="AJ342" t="str">
        <f>_xlfn.IFNA(IF(AE342 &lt; (INDEX(SLATable[Maximum SLA],MATCH(G342,SLATable[Priority],0))),"YES","NO"),"")</f>
        <v/>
      </c>
    </row>
    <row r="343" spans="26:36" ht="15" customHeight="1">
      <c r="Z343" s="76" t="e">
        <f t="shared" ca="1" si="40"/>
        <v>#N/A</v>
      </c>
      <c r="AA343" s="75" t="e">
        <f t="shared" ca="1" si="36"/>
        <v>#N/A</v>
      </c>
      <c r="AB343" s="76">
        <f t="shared" ca="1" si="41"/>
        <v>0</v>
      </c>
      <c r="AC343" s="75">
        <f t="shared" ca="1" si="37"/>
        <v>0</v>
      </c>
      <c r="AD343" s="76">
        <f t="shared" ca="1" si="42"/>
        <v>12388.425641898149</v>
      </c>
      <c r="AE343" s="76">
        <f t="shared" si="43"/>
        <v>0</v>
      </c>
      <c r="AF343" s="75">
        <f t="shared" si="38"/>
        <v>0</v>
      </c>
      <c r="AG343" s="75">
        <f t="shared" si="39"/>
        <v>0</v>
      </c>
      <c r="AH343" s="31" t="e" cm="1">
        <f t="array" aca="1" ref="AH343" ca="1">IF((AD343) &lt; (INDEX(ResponseSLA[#All],(MATCH((G343),ResponseSLA[Priority],0))+1,3)),"YES","No")</f>
        <v>#N/A</v>
      </c>
      <c r="AI343" s="31" t="str">
        <f>_xlfn.IFNA(IF(AE343 &lt; (INDEX(SLATable[Minimum SLA],MATCH(G343,SLATable[Priority],0))),"YES","NO"),"")</f>
        <v/>
      </c>
      <c r="AJ343" t="str">
        <f>_xlfn.IFNA(IF(AE343 &lt; (INDEX(SLATable[Maximum SLA],MATCH(G343,SLATable[Priority],0))),"YES","NO"),"")</f>
        <v/>
      </c>
    </row>
    <row r="344" spans="26:36" ht="15" customHeight="1">
      <c r="Z344" s="76" t="e">
        <f t="shared" ca="1" si="40"/>
        <v>#N/A</v>
      </c>
      <c r="AA344" s="75" t="e">
        <f t="shared" ca="1" si="36"/>
        <v>#N/A</v>
      </c>
      <c r="AB344" s="76">
        <f t="shared" ca="1" si="41"/>
        <v>0</v>
      </c>
      <c r="AC344" s="75">
        <f t="shared" ca="1" si="37"/>
        <v>0</v>
      </c>
      <c r="AD344" s="76">
        <f t="shared" ca="1" si="42"/>
        <v>12388.425641898149</v>
      </c>
      <c r="AE344" s="76">
        <f t="shared" si="43"/>
        <v>0</v>
      </c>
      <c r="AF344" s="75">
        <f t="shared" si="38"/>
        <v>0</v>
      </c>
      <c r="AG344" s="75">
        <f t="shared" si="39"/>
        <v>0</v>
      </c>
      <c r="AH344" s="31" t="e" cm="1">
        <f t="array" aca="1" ref="AH344" ca="1">IF((AD344) &lt; (INDEX(ResponseSLA[#All],(MATCH((G344),ResponseSLA[Priority],0))+1,3)),"YES","No")</f>
        <v>#N/A</v>
      </c>
      <c r="AI344" s="31" t="str">
        <f>_xlfn.IFNA(IF(AE344 &lt; (INDEX(SLATable[Minimum SLA],MATCH(G344,SLATable[Priority],0))),"YES","NO"),"")</f>
        <v/>
      </c>
      <c r="AJ344" t="str">
        <f>_xlfn.IFNA(IF(AE344 &lt; (INDEX(SLATable[Maximum SLA],MATCH(G344,SLATable[Priority],0))),"YES","NO"),"")</f>
        <v/>
      </c>
    </row>
    <row r="345" spans="26:36" ht="15" customHeight="1">
      <c r="Z345" s="76" t="e">
        <f t="shared" ca="1" si="40"/>
        <v>#N/A</v>
      </c>
      <c r="AA345" s="75" t="e">
        <f t="shared" ca="1" si="36"/>
        <v>#N/A</v>
      </c>
      <c r="AB345" s="76">
        <f t="shared" ca="1" si="41"/>
        <v>0</v>
      </c>
      <c r="AC345" s="75">
        <f t="shared" ca="1" si="37"/>
        <v>0</v>
      </c>
      <c r="AD345" s="76">
        <f t="shared" ca="1" si="42"/>
        <v>12388.425642129634</v>
      </c>
      <c r="AE345" s="76">
        <f t="shared" si="43"/>
        <v>0</v>
      </c>
      <c r="AF345" s="75">
        <f t="shared" si="38"/>
        <v>0</v>
      </c>
      <c r="AG345" s="75">
        <f t="shared" si="39"/>
        <v>0</v>
      </c>
      <c r="AH345" s="31" t="e" cm="1">
        <f t="array" aca="1" ref="AH345" ca="1">IF((AD345) &lt; (INDEX(ResponseSLA[#All],(MATCH((G345),ResponseSLA[Priority],0))+1,3)),"YES","No")</f>
        <v>#N/A</v>
      </c>
      <c r="AI345" s="31" t="str">
        <f>_xlfn.IFNA(IF(AE345 &lt; (INDEX(SLATable[Minimum SLA],MATCH(G345,SLATable[Priority],0))),"YES","NO"),"")</f>
        <v/>
      </c>
      <c r="AJ345" t="str">
        <f>_xlfn.IFNA(IF(AE345 &lt; (INDEX(SLATable[Maximum SLA],MATCH(G345,SLATable[Priority],0))),"YES","NO"),"")</f>
        <v/>
      </c>
    </row>
    <row r="346" spans="26:36" ht="15" customHeight="1">
      <c r="Z346" s="76" t="e">
        <f t="shared" ca="1" si="40"/>
        <v>#N/A</v>
      </c>
      <c r="AA346" s="75" t="e">
        <f t="shared" ca="1" si="36"/>
        <v>#N/A</v>
      </c>
      <c r="AB346" s="76">
        <f t="shared" ca="1" si="41"/>
        <v>0</v>
      </c>
      <c r="AC346" s="75">
        <f t="shared" ca="1" si="37"/>
        <v>0</v>
      </c>
      <c r="AD346" s="76">
        <f t="shared" ca="1" si="42"/>
        <v>12388.425641898149</v>
      </c>
      <c r="AE346" s="76">
        <f t="shared" si="43"/>
        <v>0</v>
      </c>
      <c r="AF346" s="75">
        <f t="shared" si="38"/>
        <v>0</v>
      </c>
      <c r="AG346" s="75">
        <f t="shared" si="39"/>
        <v>0</v>
      </c>
      <c r="AH346" s="31" t="e" cm="1">
        <f t="array" aca="1" ref="AH346" ca="1">IF((AD346) &lt; (INDEX(ResponseSLA[#All],(MATCH((G346),ResponseSLA[Priority],0))+1,3)),"YES","No")</f>
        <v>#N/A</v>
      </c>
      <c r="AI346" s="31" t="str">
        <f>_xlfn.IFNA(IF(AE346 &lt; (INDEX(SLATable[Minimum SLA],MATCH(G346,SLATable[Priority],0))),"YES","NO"),"")</f>
        <v/>
      </c>
      <c r="AJ346" t="str">
        <f>_xlfn.IFNA(IF(AE346 &lt; (INDEX(SLATable[Maximum SLA],MATCH(G346,SLATable[Priority],0))),"YES","NO"),"")</f>
        <v/>
      </c>
    </row>
    <row r="347" spans="26:36" ht="15" customHeight="1">
      <c r="Z347" s="76" t="e">
        <f t="shared" ca="1" si="40"/>
        <v>#N/A</v>
      </c>
      <c r="AA347" s="75" t="e">
        <f t="shared" ca="1" si="36"/>
        <v>#N/A</v>
      </c>
      <c r="AB347" s="76">
        <f t="shared" ca="1" si="41"/>
        <v>0</v>
      </c>
      <c r="AC347" s="75">
        <f t="shared" ca="1" si="37"/>
        <v>0</v>
      </c>
      <c r="AD347" s="76">
        <f t="shared" ca="1" si="42"/>
        <v>12388.425641898149</v>
      </c>
      <c r="AE347" s="76">
        <f t="shared" si="43"/>
        <v>0</v>
      </c>
      <c r="AF347" s="75">
        <f t="shared" si="38"/>
        <v>0</v>
      </c>
      <c r="AG347" s="75">
        <f t="shared" si="39"/>
        <v>0</v>
      </c>
      <c r="AH347" s="31" t="e" cm="1">
        <f t="array" aca="1" ref="AH347" ca="1">IF((AD347) &lt; (INDEX(ResponseSLA[#All],(MATCH((G347),ResponseSLA[Priority],0))+1,3)),"YES","No")</f>
        <v>#N/A</v>
      </c>
      <c r="AI347" s="31" t="str">
        <f>_xlfn.IFNA(IF(AE347 &lt; (INDEX(SLATable[Minimum SLA],MATCH(G347,SLATable[Priority],0))),"YES","NO"),"")</f>
        <v/>
      </c>
      <c r="AJ347" t="str">
        <f>_xlfn.IFNA(IF(AE347 &lt; (INDEX(SLATable[Maximum SLA],MATCH(G347,SLATable[Priority],0))),"YES","NO"),"")</f>
        <v/>
      </c>
    </row>
    <row r="348" spans="26:36" ht="15" customHeight="1">
      <c r="Z348" s="76" t="e">
        <f t="shared" ca="1" si="40"/>
        <v>#N/A</v>
      </c>
      <c r="AA348" s="75" t="e">
        <f t="shared" ca="1" si="36"/>
        <v>#N/A</v>
      </c>
      <c r="AB348" s="76">
        <f t="shared" ca="1" si="41"/>
        <v>0</v>
      </c>
      <c r="AC348" s="75">
        <f t="shared" ca="1" si="37"/>
        <v>0</v>
      </c>
      <c r="AD348" s="76">
        <f t="shared" ca="1" si="42"/>
        <v>12388.425642129634</v>
      </c>
      <c r="AE348" s="76">
        <f t="shared" si="43"/>
        <v>0</v>
      </c>
      <c r="AF348" s="75">
        <f t="shared" si="38"/>
        <v>0</v>
      </c>
      <c r="AG348" s="75">
        <f t="shared" si="39"/>
        <v>0</v>
      </c>
      <c r="AH348" s="31" t="e" cm="1">
        <f t="array" aca="1" ref="AH348" ca="1">IF((AD348) &lt; (INDEX(ResponseSLA[#All],(MATCH((G348),ResponseSLA[Priority],0))+1,3)),"YES","No")</f>
        <v>#N/A</v>
      </c>
      <c r="AI348" s="31" t="str">
        <f>_xlfn.IFNA(IF(AE348 &lt; (INDEX(SLATable[Minimum SLA],MATCH(G348,SLATable[Priority],0))),"YES","NO"),"")</f>
        <v/>
      </c>
      <c r="AJ348" t="str">
        <f>_xlfn.IFNA(IF(AE348 &lt; (INDEX(SLATable[Maximum SLA],MATCH(G348,SLATable[Priority],0))),"YES","NO"),"")</f>
        <v/>
      </c>
    </row>
    <row r="349" spans="26:36" ht="15" customHeight="1">
      <c r="Z349" s="76" t="e">
        <f t="shared" ca="1" si="40"/>
        <v>#N/A</v>
      </c>
      <c r="AA349" s="75" t="e">
        <f t="shared" ca="1" si="36"/>
        <v>#N/A</v>
      </c>
      <c r="AB349" s="76">
        <f t="shared" ca="1" si="41"/>
        <v>0</v>
      </c>
      <c r="AC349" s="75">
        <f t="shared" ca="1" si="37"/>
        <v>0</v>
      </c>
      <c r="AD349" s="76">
        <f t="shared" ca="1" si="42"/>
        <v>12388.425641898149</v>
      </c>
      <c r="AE349" s="76">
        <f t="shared" si="43"/>
        <v>0</v>
      </c>
      <c r="AF349" s="75">
        <f t="shared" si="38"/>
        <v>0</v>
      </c>
      <c r="AG349" s="75">
        <f t="shared" si="39"/>
        <v>0</v>
      </c>
      <c r="AH349" s="31" t="e" cm="1">
        <f t="array" aca="1" ref="AH349" ca="1">IF((AD349) &lt; (INDEX(ResponseSLA[#All],(MATCH((G349),ResponseSLA[Priority],0))+1,3)),"YES","No")</f>
        <v>#N/A</v>
      </c>
      <c r="AI349" s="31" t="str">
        <f>_xlfn.IFNA(IF(AE349 &lt; (INDEX(SLATable[Minimum SLA],MATCH(G349,SLATable[Priority],0))),"YES","NO"),"")</f>
        <v/>
      </c>
      <c r="AJ349" t="str">
        <f>_xlfn.IFNA(IF(AE349 &lt; (INDEX(SLATable[Maximum SLA],MATCH(G349,SLATable[Priority],0))),"YES","NO"),"")</f>
        <v/>
      </c>
    </row>
    <row r="350" spans="26:36" ht="15" customHeight="1">
      <c r="Z350" s="76" t="e">
        <f t="shared" ca="1" si="40"/>
        <v>#N/A</v>
      </c>
      <c r="AA350" s="75" t="e">
        <f t="shared" ca="1" si="36"/>
        <v>#N/A</v>
      </c>
      <c r="AB350" s="76">
        <f t="shared" ca="1" si="41"/>
        <v>0</v>
      </c>
      <c r="AC350" s="75">
        <f t="shared" ca="1" si="37"/>
        <v>0</v>
      </c>
      <c r="AD350" s="76">
        <f t="shared" ca="1" si="42"/>
        <v>12388.425641898149</v>
      </c>
      <c r="AE350" s="76">
        <f t="shared" si="43"/>
        <v>0</v>
      </c>
      <c r="AF350" s="75">
        <f t="shared" si="38"/>
        <v>0</v>
      </c>
      <c r="AG350" s="75">
        <f t="shared" si="39"/>
        <v>0</v>
      </c>
      <c r="AH350" s="31" t="e" cm="1">
        <f t="array" aca="1" ref="AH350" ca="1">IF((AD350) &lt; (INDEX(ResponseSLA[#All],(MATCH((G350),ResponseSLA[Priority],0))+1,3)),"YES","No")</f>
        <v>#N/A</v>
      </c>
      <c r="AI350" s="31" t="str">
        <f>_xlfn.IFNA(IF(AE350 &lt; (INDEX(SLATable[Minimum SLA],MATCH(G350,SLATable[Priority],0))),"YES","NO"),"")</f>
        <v/>
      </c>
      <c r="AJ350" t="str">
        <f>_xlfn.IFNA(IF(AE350 &lt; (INDEX(SLATable[Maximum SLA],MATCH(G350,SLATable[Priority],0))),"YES","NO"),"")</f>
        <v/>
      </c>
    </row>
    <row r="351" spans="26:36" ht="15" customHeight="1">
      <c r="Z351" s="76" t="e">
        <f t="shared" ca="1" si="40"/>
        <v>#N/A</v>
      </c>
      <c r="AA351" s="75" t="e">
        <f t="shared" ca="1" si="36"/>
        <v>#N/A</v>
      </c>
      <c r="AB351" s="76">
        <f t="shared" ca="1" si="41"/>
        <v>0</v>
      </c>
      <c r="AC351" s="75">
        <f t="shared" ca="1" si="37"/>
        <v>0</v>
      </c>
      <c r="AD351" s="76">
        <f t="shared" ca="1" si="42"/>
        <v>12388.425642129634</v>
      </c>
      <c r="AE351" s="76">
        <f t="shared" si="43"/>
        <v>0</v>
      </c>
      <c r="AF351" s="75">
        <f t="shared" si="38"/>
        <v>0</v>
      </c>
      <c r="AG351" s="75">
        <f t="shared" si="39"/>
        <v>0</v>
      </c>
      <c r="AH351" s="31" t="e" cm="1">
        <f t="array" aca="1" ref="AH351" ca="1">IF((AD351) &lt; (INDEX(ResponseSLA[#All],(MATCH((G351),ResponseSLA[Priority],0))+1,3)),"YES","No")</f>
        <v>#N/A</v>
      </c>
      <c r="AI351" s="31" t="str">
        <f>_xlfn.IFNA(IF(AE351 &lt; (INDEX(SLATable[Minimum SLA],MATCH(G351,SLATable[Priority],0))),"YES","NO"),"")</f>
        <v/>
      </c>
      <c r="AJ351" t="str">
        <f>_xlfn.IFNA(IF(AE351 &lt; (INDEX(SLATable[Maximum SLA],MATCH(G351,SLATable[Priority],0))),"YES","NO"),"")</f>
        <v/>
      </c>
    </row>
    <row r="352" spans="26:36" ht="15" customHeight="1">
      <c r="Z352" s="76" t="e">
        <f t="shared" ca="1" si="40"/>
        <v>#N/A</v>
      </c>
      <c r="AA352" s="75" t="e">
        <f t="shared" ca="1" si="36"/>
        <v>#N/A</v>
      </c>
      <c r="AB352" s="76">
        <f t="shared" ca="1" si="41"/>
        <v>0</v>
      </c>
      <c r="AC352" s="75">
        <f t="shared" ca="1" si="37"/>
        <v>0</v>
      </c>
      <c r="AD352" s="76">
        <f t="shared" ca="1" si="42"/>
        <v>12388.425641898149</v>
      </c>
      <c r="AE352" s="76">
        <f t="shared" si="43"/>
        <v>0</v>
      </c>
      <c r="AF352" s="75">
        <f t="shared" si="38"/>
        <v>0</v>
      </c>
      <c r="AG352" s="75">
        <f t="shared" si="39"/>
        <v>0</v>
      </c>
      <c r="AH352" s="31" t="e" cm="1">
        <f t="array" aca="1" ref="AH352" ca="1">IF((AD352) &lt; (INDEX(ResponseSLA[#All],(MATCH((G352),ResponseSLA[Priority],0))+1,3)),"YES","No")</f>
        <v>#N/A</v>
      </c>
      <c r="AI352" s="31" t="str">
        <f>_xlfn.IFNA(IF(AE352 &lt; (INDEX(SLATable[Minimum SLA],MATCH(G352,SLATable[Priority],0))),"YES","NO"),"")</f>
        <v/>
      </c>
      <c r="AJ352" t="str">
        <f>_xlfn.IFNA(IF(AE352 &lt; (INDEX(SLATable[Maximum SLA],MATCH(G352,SLATable[Priority],0))),"YES","NO"),"")</f>
        <v/>
      </c>
    </row>
    <row r="353" spans="26:36" ht="15" customHeight="1">
      <c r="Z353" s="76" t="e">
        <f t="shared" ca="1" si="40"/>
        <v>#N/A</v>
      </c>
      <c r="AA353" s="75" t="e">
        <f t="shared" ca="1" si="36"/>
        <v>#N/A</v>
      </c>
      <c r="AB353" s="76">
        <f t="shared" ca="1" si="41"/>
        <v>0</v>
      </c>
      <c r="AC353" s="75">
        <f t="shared" ca="1" si="37"/>
        <v>0</v>
      </c>
      <c r="AD353" s="76">
        <f t="shared" ca="1" si="42"/>
        <v>12388.425642129634</v>
      </c>
      <c r="AE353" s="76">
        <f t="shared" si="43"/>
        <v>0</v>
      </c>
      <c r="AF353" s="75">
        <f t="shared" si="38"/>
        <v>0</v>
      </c>
      <c r="AG353" s="75">
        <f t="shared" si="39"/>
        <v>0</v>
      </c>
      <c r="AH353" s="31" t="e" cm="1">
        <f t="array" aca="1" ref="AH353" ca="1">IF((AD353) &lt; (INDEX(ResponseSLA[#All],(MATCH((G353),ResponseSLA[Priority],0))+1,3)),"YES","No")</f>
        <v>#N/A</v>
      </c>
      <c r="AI353" s="31" t="str">
        <f>_xlfn.IFNA(IF(AE353 &lt; (INDEX(SLATable[Minimum SLA],MATCH(G353,SLATable[Priority],0))),"YES","NO"),"")</f>
        <v/>
      </c>
      <c r="AJ353" t="str">
        <f>_xlfn.IFNA(IF(AE353 &lt; (INDEX(SLATable[Maximum SLA],MATCH(G353,SLATable[Priority],0))),"YES","NO"),"")</f>
        <v/>
      </c>
    </row>
    <row r="354" spans="26:36" ht="15" customHeight="1">
      <c r="Z354" s="76" t="e">
        <f t="shared" ca="1" si="40"/>
        <v>#N/A</v>
      </c>
      <c r="AA354" s="75" t="e">
        <f t="shared" ca="1" si="36"/>
        <v>#N/A</v>
      </c>
      <c r="AB354" s="76">
        <f t="shared" ca="1" si="41"/>
        <v>0</v>
      </c>
      <c r="AC354" s="75">
        <f t="shared" ca="1" si="37"/>
        <v>0</v>
      </c>
      <c r="AD354" s="76">
        <f t="shared" ca="1" si="42"/>
        <v>12388.425642129634</v>
      </c>
      <c r="AE354" s="76">
        <f t="shared" si="43"/>
        <v>0</v>
      </c>
      <c r="AF354" s="75">
        <f t="shared" si="38"/>
        <v>0</v>
      </c>
      <c r="AG354" s="75">
        <f t="shared" si="39"/>
        <v>0</v>
      </c>
      <c r="AH354" s="31" t="e" cm="1">
        <f t="array" aca="1" ref="AH354" ca="1">IF((AD354) &lt; (INDEX(ResponseSLA[#All],(MATCH((G354),ResponseSLA[Priority],0))+1,3)),"YES","No")</f>
        <v>#N/A</v>
      </c>
      <c r="AI354" s="31" t="str">
        <f>_xlfn.IFNA(IF(AE354 &lt; (INDEX(SLATable[Minimum SLA],MATCH(G354,SLATable[Priority],0))),"YES","NO"),"")</f>
        <v/>
      </c>
      <c r="AJ354" t="str">
        <f>_xlfn.IFNA(IF(AE354 &lt; (INDEX(SLATable[Maximum SLA],MATCH(G354,SLATable[Priority],0))),"YES","NO"),"")</f>
        <v/>
      </c>
    </row>
    <row r="355" spans="26:36" ht="15" customHeight="1">
      <c r="Z355" s="76" t="e">
        <f t="shared" ca="1" si="40"/>
        <v>#N/A</v>
      </c>
      <c r="AA355" s="75" t="e">
        <f t="shared" ca="1" si="36"/>
        <v>#N/A</v>
      </c>
      <c r="AB355" s="76">
        <f t="shared" ca="1" si="41"/>
        <v>0</v>
      </c>
      <c r="AC355" s="75">
        <f t="shared" ca="1" si="37"/>
        <v>0</v>
      </c>
      <c r="AD355" s="76">
        <f t="shared" ca="1" si="42"/>
        <v>12388.425641898149</v>
      </c>
      <c r="AE355" s="76">
        <f t="shared" si="43"/>
        <v>0</v>
      </c>
      <c r="AF355" s="75">
        <f t="shared" si="38"/>
        <v>0</v>
      </c>
      <c r="AG355" s="75">
        <f t="shared" si="39"/>
        <v>0</v>
      </c>
      <c r="AH355" s="31" t="e" cm="1">
        <f t="array" aca="1" ref="AH355" ca="1">IF((AD355) &lt; (INDEX(ResponseSLA[#All],(MATCH((G355),ResponseSLA[Priority],0))+1,3)),"YES","No")</f>
        <v>#N/A</v>
      </c>
      <c r="AI355" s="31" t="str">
        <f>_xlfn.IFNA(IF(AE355 &lt; (INDEX(SLATable[Minimum SLA],MATCH(G355,SLATable[Priority],0))),"YES","NO"),"")</f>
        <v/>
      </c>
      <c r="AJ355" t="str">
        <f>_xlfn.IFNA(IF(AE355 &lt; (INDEX(SLATable[Maximum SLA],MATCH(G355,SLATable[Priority],0))),"YES","NO"),"")</f>
        <v/>
      </c>
    </row>
    <row r="356" spans="26:36" ht="15" customHeight="1">
      <c r="Z356" s="76" t="e">
        <f t="shared" ca="1" si="40"/>
        <v>#N/A</v>
      </c>
      <c r="AA356" s="75" t="e">
        <f t="shared" ca="1" si="36"/>
        <v>#N/A</v>
      </c>
      <c r="AB356" s="76">
        <f t="shared" ca="1" si="41"/>
        <v>0</v>
      </c>
      <c r="AC356" s="75">
        <f t="shared" ca="1" si="37"/>
        <v>0</v>
      </c>
      <c r="AD356" s="76">
        <f t="shared" ca="1" si="42"/>
        <v>12388.425642129634</v>
      </c>
      <c r="AE356" s="76">
        <f t="shared" si="43"/>
        <v>0</v>
      </c>
      <c r="AF356" s="75">
        <f t="shared" si="38"/>
        <v>0</v>
      </c>
      <c r="AG356" s="75">
        <f t="shared" si="39"/>
        <v>0</v>
      </c>
      <c r="AH356" s="31" t="e" cm="1">
        <f t="array" aca="1" ref="AH356" ca="1">IF((AD356) &lt; (INDEX(ResponseSLA[#All],(MATCH((G356),ResponseSLA[Priority],0))+1,3)),"YES","No")</f>
        <v>#N/A</v>
      </c>
      <c r="AI356" s="31" t="str">
        <f>_xlfn.IFNA(IF(AE356 &lt; (INDEX(SLATable[Minimum SLA],MATCH(G356,SLATable[Priority],0))),"YES","NO"),"")</f>
        <v/>
      </c>
      <c r="AJ356" t="str">
        <f>_xlfn.IFNA(IF(AE356 &lt; (INDEX(SLATable[Maximum SLA],MATCH(G356,SLATable[Priority],0))),"YES","NO"),"")</f>
        <v/>
      </c>
    </row>
    <row r="357" spans="26:36" ht="15" customHeight="1">
      <c r="Z357" s="76" t="e">
        <f t="shared" ca="1" si="40"/>
        <v>#N/A</v>
      </c>
      <c r="AA357" s="75" t="e">
        <f t="shared" ca="1" si="36"/>
        <v>#N/A</v>
      </c>
      <c r="AB357" s="76">
        <f t="shared" ca="1" si="41"/>
        <v>0</v>
      </c>
      <c r="AC357" s="75">
        <f t="shared" ca="1" si="37"/>
        <v>0</v>
      </c>
      <c r="AD357" s="76">
        <f t="shared" ca="1" si="42"/>
        <v>12388.425642129634</v>
      </c>
      <c r="AE357" s="76">
        <f t="shared" si="43"/>
        <v>0</v>
      </c>
      <c r="AF357" s="75">
        <f t="shared" si="38"/>
        <v>0</v>
      </c>
      <c r="AG357" s="75">
        <f t="shared" si="39"/>
        <v>0</v>
      </c>
      <c r="AH357" s="31" t="e" cm="1">
        <f t="array" aca="1" ref="AH357" ca="1">IF((AD357) &lt; (INDEX(ResponseSLA[#All],(MATCH((G357),ResponseSLA[Priority],0))+1,3)),"YES","No")</f>
        <v>#N/A</v>
      </c>
      <c r="AI357" s="31" t="str">
        <f>_xlfn.IFNA(IF(AE357 &lt; (INDEX(SLATable[Minimum SLA],MATCH(G357,SLATable[Priority],0))),"YES","NO"),"")</f>
        <v/>
      </c>
      <c r="AJ357" t="str">
        <f>_xlfn.IFNA(IF(AE357 &lt; (INDEX(SLATable[Maximum SLA],MATCH(G357,SLATable[Priority],0))),"YES","NO"),"")</f>
        <v/>
      </c>
    </row>
    <row r="358" spans="26:36" ht="15" customHeight="1">
      <c r="Z358" s="76" t="e">
        <f t="shared" ca="1" si="40"/>
        <v>#N/A</v>
      </c>
      <c r="AA358" s="75" t="e">
        <f t="shared" ca="1" si="36"/>
        <v>#N/A</v>
      </c>
      <c r="AB358" s="76">
        <f t="shared" ca="1" si="41"/>
        <v>0</v>
      </c>
      <c r="AC358" s="75">
        <f t="shared" ca="1" si="37"/>
        <v>0</v>
      </c>
      <c r="AD358" s="76">
        <f t="shared" ca="1" si="42"/>
        <v>12388.425641898149</v>
      </c>
      <c r="AE358" s="76">
        <f t="shared" si="43"/>
        <v>0</v>
      </c>
      <c r="AF358" s="75">
        <f t="shared" si="38"/>
        <v>0</v>
      </c>
      <c r="AG358" s="75">
        <f t="shared" si="39"/>
        <v>0</v>
      </c>
      <c r="AH358" s="31" t="e" cm="1">
        <f t="array" aca="1" ref="AH358" ca="1">IF((AD358) &lt; (INDEX(ResponseSLA[#All],(MATCH((G358),ResponseSLA[Priority],0))+1,3)),"YES","No")</f>
        <v>#N/A</v>
      </c>
      <c r="AI358" s="31" t="str">
        <f>_xlfn.IFNA(IF(AE358 &lt; (INDEX(SLATable[Minimum SLA],MATCH(G358,SLATable[Priority],0))),"YES","NO"),"")</f>
        <v/>
      </c>
      <c r="AJ358" t="str">
        <f>_xlfn.IFNA(IF(AE358 &lt; (INDEX(SLATable[Maximum SLA],MATCH(G358,SLATable[Priority],0))),"YES","NO"),"")</f>
        <v/>
      </c>
    </row>
    <row r="359" spans="26:36" ht="15" customHeight="1">
      <c r="Z359" s="76" t="e">
        <f t="shared" ca="1" si="40"/>
        <v>#N/A</v>
      </c>
      <c r="AA359" s="75" t="e">
        <f t="shared" ca="1" si="36"/>
        <v>#N/A</v>
      </c>
      <c r="AB359" s="76">
        <f t="shared" ca="1" si="41"/>
        <v>0</v>
      </c>
      <c r="AC359" s="75">
        <f t="shared" ca="1" si="37"/>
        <v>0</v>
      </c>
      <c r="AD359" s="76">
        <f t="shared" ca="1" si="42"/>
        <v>12388.425642129634</v>
      </c>
      <c r="AE359" s="76">
        <f t="shared" si="43"/>
        <v>0</v>
      </c>
      <c r="AF359" s="75">
        <f t="shared" si="38"/>
        <v>0</v>
      </c>
      <c r="AG359" s="75">
        <f t="shared" si="39"/>
        <v>0</v>
      </c>
      <c r="AH359" s="31" t="e" cm="1">
        <f t="array" aca="1" ref="AH359" ca="1">IF((AD359) &lt; (INDEX(ResponseSLA[#All],(MATCH((G359),ResponseSLA[Priority],0))+1,3)),"YES","No")</f>
        <v>#N/A</v>
      </c>
      <c r="AI359" s="31" t="str">
        <f>_xlfn.IFNA(IF(AE359 &lt; (INDEX(SLATable[Minimum SLA],MATCH(G359,SLATable[Priority],0))),"YES","NO"),"")</f>
        <v/>
      </c>
      <c r="AJ359" t="str">
        <f>_xlfn.IFNA(IF(AE359 &lt; (INDEX(SLATable[Maximum SLA],MATCH(G359,SLATable[Priority],0))),"YES","NO"),"")</f>
        <v/>
      </c>
    </row>
    <row r="360" spans="26:36" ht="15" customHeight="1">
      <c r="Z360" s="76" t="e">
        <f t="shared" ca="1" si="40"/>
        <v>#N/A</v>
      </c>
      <c r="AA360" s="75" t="e">
        <f t="shared" ca="1" si="36"/>
        <v>#N/A</v>
      </c>
      <c r="AB360" s="76">
        <f t="shared" ca="1" si="41"/>
        <v>0</v>
      </c>
      <c r="AC360" s="75">
        <f t="shared" ca="1" si="37"/>
        <v>0</v>
      </c>
      <c r="AD360" s="76">
        <f t="shared" ca="1" si="42"/>
        <v>12388.425642129634</v>
      </c>
      <c r="AE360" s="76">
        <f t="shared" si="43"/>
        <v>0</v>
      </c>
      <c r="AF360" s="75">
        <f t="shared" si="38"/>
        <v>0</v>
      </c>
      <c r="AG360" s="75">
        <f t="shared" si="39"/>
        <v>0</v>
      </c>
      <c r="AH360" s="31" t="e" cm="1">
        <f t="array" aca="1" ref="AH360" ca="1">IF((AD360) &lt; (INDEX(ResponseSLA[#All],(MATCH((G360),ResponseSLA[Priority],0))+1,3)),"YES","No")</f>
        <v>#N/A</v>
      </c>
      <c r="AI360" s="31" t="str">
        <f>_xlfn.IFNA(IF(AE360 &lt; (INDEX(SLATable[Minimum SLA],MATCH(G360,SLATable[Priority],0))),"YES","NO"),"")</f>
        <v/>
      </c>
      <c r="AJ360" t="str">
        <f>_xlfn.IFNA(IF(AE360 &lt; (INDEX(SLATable[Maximum SLA],MATCH(G360,SLATable[Priority],0))),"YES","NO"),"")</f>
        <v/>
      </c>
    </row>
    <row r="361" spans="26:36" ht="15" customHeight="1">
      <c r="Z361" s="76" t="e">
        <f t="shared" ca="1" si="40"/>
        <v>#N/A</v>
      </c>
      <c r="AA361" s="75" t="e">
        <f t="shared" ca="1" si="36"/>
        <v>#N/A</v>
      </c>
      <c r="AB361" s="76">
        <f t="shared" ca="1" si="41"/>
        <v>0</v>
      </c>
      <c r="AC361" s="75">
        <f t="shared" ca="1" si="37"/>
        <v>0</v>
      </c>
      <c r="AD361" s="76">
        <f t="shared" ca="1" si="42"/>
        <v>12388.425641898149</v>
      </c>
      <c r="AE361" s="76">
        <f t="shared" si="43"/>
        <v>0</v>
      </c>
      <c r="AF361" s="75">
        <f t="shared" si="38"/>
        <v>0</v>
      </c>
      <c r="AG361" s="75">
        <f t="shared" si="39"/>
        <v>0</v>
      </c>
      <c r="AH361" s="31" t="e" cm="1">
        <f t="array" aca="1" ref="AH361" ca="1">IF((AD361) &lt; (INDEX(ResponseSLA[#All],(MATCH((G361),ResponseSLA[Priority],0))+1,3)),"YES","No")</f>
        <v>#N/A</v>
      </c>
      <c r="AI361" s="31" t="str">
        <f>_xlfn.IFNA(IF(AE361 &lt; (INDEX(SLATable[Minimum SLA],MATCH(G361,SLATable[Priority],0))),"YES","NO"),"")</f>
        <v/>
      </c>
      <c r="AJ361" t="str">
        <f>_xlfn.IFNA(IF(AE361 &lt; (INDEX(SLATable[Maximum SLA],MATCH(G361,SLATable[Priority],0))),"YES","NO"),"")</f>
        <v/>
      </c>
    </row>
    <row r="362" spans="26:36" ht="15" customHeight="1">
      <c r="Z362" s="76" t="e">
        <f t="shared" ca="1" si="40"/>
        <v>#N/A</v>
      </c>
      <c r="AA362" s="75" t="e">
        <f t="shared" ca="1" si="36"/>
        <v>#N/A</v>
      </c>
      <c r="AB362" s="76">
        <f t="shared" ca="1" si="41"/>
        <v>0</v>
      </c>
      <c r="AC362" s="75">
        <f t="shared" ca="1" si="37"/>
        <v>0</v>
      </c>
      <c r="AD362" s="76">
        <f t="shared" ca="1" si="42"/>
        <v>12388.425642129634</v>
      </c>
      <c r="AE362" s="76">
        <f t="shared" si="43"/>
        <v>0</v>
      </c>
      <c r="AF362" s="75">
        <f t="shared" si="38"/>
        <v>0</v>
      </c>
      <c r="AG362" s="75">
        <f t="shared" si="39"/>
        <v>0</v>
      </c>
      <c r="AH362" s="31" t="e" cm="1">
        <f t="array" aca="1" ref="AH362" ca="1">IF((AD362) &lt; (INDEX(ResponseSLA[#All],(MATCH((G362),ResponseSLA[Priority],0))+1,3)),"YES","No")</f>
        <v>#N/A</v>
      </c>
      <c r="AI362" s="31" t="str">
        <f>_xlfn.IFNA(IF(AE362 &lt; (INDEX(SLATable[Minimum SLA],MATCH(G362,SLATable[Priority],0))),"YES","NO"),"")</f>
        <v/>
      </c>
      <c r="AJ362" t="str">
        <f>_xlfn.IFNA(IF(AE362 &lt; (INDEX(SLATable[Maximum SLA],MATCH(G362,SLATable[Priority],0))),"YES","NO"),"")</f>
        <v/>
      </c>
    </row>
    <row r="363" spans="26:36" ht="15" customHeight="1">
      <c r="Z363" s="76" t="e">
        <f t="shared" ca="1" si="40"/>
        <v>#N/A</v>
      </c>
      <c r="AA363" s="75" t="e">
        <f t="shared" ca="1" si="36"/>
        <v>#N/A</v>
      </c>
      <c r="AB363" s="76">
        <f t="shared" ca="1" si="41"/>
        <v>0</v>
      </c>
      <c r="AC363" s="75">
        <f t="shared" ca="1" si="37"/>
        <v>0</v>
      </c>
      <c r="AD363" s="76">
        <f t="shared" ca="1" si="42"/>
        <v>12388.425642129634</v>
      </c>
      <c r="AE363" s="76">
        <f t="shared" si="43"/>
        <v>0</v>
      </c>
      <c r="AF363" s="75">
        <f t="shared" si="38"/>
        <v>0</v>
      </c>
      <c r="AG363" s="75">
        <f t="shared" si="39"/>
        <v>0</v>
      </c>
      <c r="AH363" s="31" t="e" cm="1">
        <f t="array" aca="1" ref="AH363" ca="1">IF((AD363) &lt; (INDEX(ResponseSLA[#All],(MATCH((G363),ResponseSLA[Priority],0))+1,3)),"YES","No")</f>
        <v>#N/A</v>
      </c>
      <c r="AI363" s="31" t="str">
        <f>_xlfn.IFNA(IF(AE363 &lt; (INDEX(SLATable[Minimum SLA],MATCH(G363,SLATable[Priority],0))),"YES","NO"),"")</f>
        <v/>
      </c>
      <c r="AJ363" t="str">
        <f>_xlfn.IFNA(IF(AE363 &lt; (INDEX(SLATable[Maximum SLA],MATCH(G363,SLATable[Priority],0))),"YES","NO"),"")</f>
        <v/>
      </c>
    </row>
    <row r="364" spans="26:36" ht="15" customHeight="1">
      <c r="Z364" s="76" t="e">
        <f t="shared" ca="1" si="40"/>
        <v>#N/A</v>
      </c>
      <c r="AA364" s="75" t="e">
        <f t="shared" ca="1" si="36"/>
        <v>#N/A</v>
      </c>
      <c r="AB364" s="76">
        <f t="shared" ca="1" si="41"/>
        <v>0</v>
      </c>
      <c r="AC364" s="75">
        <f t="shared" ca="1" si="37"/>
        <v>0</v>
      </c>
      <c r="AD364" s="76">
        <f t="shared" ca="1" si="42"/>
        <v>12388.425642129634</v>
      </c>
      <c r="AE364" s="76">
        <f t="shared" si="43"/>
        <v>0</v>
      </c>
      <c r="AF364" s="75">
        <f t="shared" si="38"/>
        <v>0</v>
      </c>
      <c r="AG364" s="75">
        <f t="shared" si="39"/>
        <v>0</v>
      </c>
      <c r="AH364" s="31" t="e" cm="1">
        <f t="array" aca="1" ref="AH364" ca="1">IF((AD364) &lt; (INDEX(ResponseSLA[#All],(MATCH((G364),ResponseSLA[Priority],0))+1,3)),"YES","No")</f>
        <v>#N/A</v>
      </c>
      <c r="AI364" s="31" t="str">
        <f>_xlfn.IFNA(IF(AE364 &lt; (INDEX(SLATable[Minimum SLA],MATCH(G364,SLATable[Priority],0))),"YES","NO"),"")</f>
        <v/>
      </c>
      <c r="AJ364" t="str">
        <f>_xlfn.IFNA(IF(AE364 &lt; (INDEX(SLATable[Maximum SLA],MATCH(G364,SLATable[Priority],0))),"YES","NO"),"")</f>
        <v/>
      </c>
    </row>
    <row r="365" spans="26:36" ht="15" customHeight="1">
      <c r="Z365" s="76" t="e">
        <f t="shared" ca="1" si="40"/>
        <v>#N/A</v>
      </c>
      <c r="AA365" s="75" t="e">
        <f t="shared" ca="1" si="36"/>
        <v>#N/A</v>
      </c>
      <c r="AB365" s="76">
        <f t="shared" ca="1" si="41"/>
        <v>0</v>
      </c>
      <c r="AC365" s="75">
        <f t="shared" ca="1" si="37"/>
        <v>0</v>
      </c>
      <c r="AD365" s="76">
        <f t="shared" ca="1" si="42"/>
        <v>12388.425642129634</v>
      </c>
      <c r="AE365" s="76">
        <f t="shared" si="43"/>
        <v>0</v>
      </c>
      <c r="AF365" s="75">
        <f t="shared" si="38"/>
        <v>0</v>
      </c>
      <c r="AG365" s="75">
        <f t="shared" si="39"/>
        <v>0</v>
      </c>
      <c r="AH365" s="31" t="e" cm="1">
        <f t="array" aca="1" ref="AH365" ca="1">IF((AD365) &lt; (INDEX(ResponseSLA[#All],(MATCH((G365),ResponseSLA[Priority],0))+1,3)),"YES","No")</f>
        <v>#N/A</v>
      </c>
      <c r="AI365" s="31" t="str">
        <f>_xlfn.IFNA(IF(AE365 &lt; (INDEX(SLATable[Minimum SLA],MATCH(G365,SLATable[Priority],0))),"YES","NO"),"")</f>
        <v/>
      </c>
      <c r="AJ365" t="str">
        <f>_xlfn.IFNA(IF(AE365 &lt; (INDEX(SLATable[Maximum SLA],MATCH(G365,SLATable[Priority],0))),"YES","NO"),"")</f>
        <v/>
      </c>
    </row>
    <row r="366" spans="26:36" ht="15" customHeight="1">
      <c r="Z366" s="76" t="e">
        <f t="shared" ca="1" si="40"/>
        <v>#N/A</v>
      </c>
      <c r="AA366" s="75" t="e">
        <f t="shared" ca="1" si="36"/>
        <v>#N/A</v>
      </c>
      <c r="AB366" s="76">
        <f t="shared" ca="1" si="41"/>
        <v>0</v>
      </c>
      <c r="AC366" s="75">
        <f t="shared" ca="1" si="37"/>
        <v>0</v>
      </c>
      <c r="AD366" s="76">
        <f t="shared" ca="1" si="42"/>
        <v>12388.425642129634</v>
      </c>
      <c r="AE366" s="76">
        <f t="shared" si="43"/>
        <v>0</v>
      </c>
      <c r="AF366" s="75">
        <f t="shared" si="38"/>
        <v>0</v>
      </c>
      <c r="AG366" s="75">
        <f t="shared" si="39"/>
        <v>0</v>
      </c>
      <c r="AH366" s="31" t="e" cm="1">
        <f t="array" aca="1" ref="AH366" ca="1">IF((AD366) &lt; (INDEX(ResponseSLA[#All],(MATCH((G366),ResponseSLA[Priority],0))+1,3)),"YES","No")</f>
        <v>#N/A</v>
      </c>
      <c r="AI366" s="31" t="str">
        <f>_xlfn.IFNA(IF(AE366 &lt; (INDEX(SLATable[Minimum SLA],MATCH(G366,SLATable[Priority],0))),"YES","NO"),"")</f>
        <v/>
      </c>
      <c r="AJ366" t="str">
        <f>_xlfn.IFNA(IF(AE366 &lt; (INDEX(SLATable[Maximum SLA],MATCH(G366,SLATable[Priority],0))),"YES","NO"),"")</f>
        <v/>
      </c>
    </row>
    <row r="367" spans="26:36" ht="15" customHeight="1">
      <c r="Z367" s="76" t="e">
        <f t="shared" ca="1" si="40"/>
        <v>#N/A</v>
      </c>
      <c r="AA367" s="75" t="e">
        <f t="shared" ca="1" si="36"/>
        <v>#N/A</v>
      </c>
      <c r="AB367" s="76">
        <f t="shared" ca="1" si="41"/>
        <v>0</v>
      </c>
      <c r="AC367" s="75">
        <f t="shared" ca="1" si="37"/>
        <v>0</v>
      </c>
      <c r="AD367" s="76">
        <f t="shared" ca="1" si="42"/>
        <v>12388.425642129634</v>
      </c>
      <c r="AE367" s="76">
        <f t="shared" si="43"/>
        <v>0</v>
      </c>
      <c r="AF367" s="75">
        <f t="shared" si="38"/>
        <v>0</v>
      </c>
      <c r="AG367" s="75">
        <f t="shared" si="39"/>
        <v>0</v>
      </c>
      <c r="AH367" s="31" t="e" cm="1">
        <f t="array" aca="1" ref="AH367" ca="1">IF((AD367) &lt; (INDEX(ResponseSLA[#All],(MATCH((G367),ResponseSLA[Priority],0))+1,3)),"YES","No")</f>
        <v>#N/A</v>
      </c>
      <c r="AI367" s="31" t="str">
        <f>_xlfn.IFNA(IF(AE367 &lt; (INDEX(SLATable[Minimum SLA],MATCH(G367,SLATable[Priority],0))),"YES","NO"),"")</f>
        <v/>
      </c>
      <c r="AJ367" t="str">
        <f>_xlfn.IFNA(IF(AE367 &lt; (INDEX(SLATable[Maximum SLA],MATCH(G367,SLATable[Priority],0))),"YES","NO"),"")</f>
        <v/>
      </c>
    </row>
    <row r="368" spans="26:36" ht="15" customHeight="1">
      <c r="Z368" s="76" t="e">
        <f t="shared" ca="1" si="40"/>
        <v>#N/A</v>
      </c>
      <c r="AA368" s="75" t="e">
        <f t="shared" ca="1" si="36"/>
        <v>#N/A</v>
      </c>
      <c r="AB368" s="76">
        <f t="shared" ca="1" si="41"/>
        <v>0</v>
      </c>
      <c r="AC368" s="75">
        <f t="shared" ca="1" si="37"/>
        <v>0</v>
      </c>
      <c r="AD368" s="76">
        <f t="shared" ca="1" si="42"/>
        <v>12388.425642129634</v>
      </c>
      <c r="AE368" s="76">
        <f t="shared" si="43"/>
        <v>0</v>
      </c>
      <c r="AF368" s="75">
        <f t="shared" si="38"/>
        <v>0</v>
      </c>
      <c r="AG368" s="75">
        <f t="shared" si="39"/>
        <v>0</v>
      </c>
      <c r="AH368" s="31" t="e" cm="1">
        <f t="array" aca="1" ref="AH368" ca="1">IF((AD368) &lt; (INDEX(ResponseSLA[#All],(MATCH((G368),ResponseSLA[Priority],0))+1,3)),"YES","No")</f>
        <v>#N/A</v>
      </c>
      <c r="AI368" s="31" t="str">
        <f>_xlfn.IFNA(IF(AE368 &lt; (INDEX(SLATable[Minimum SLA],MATCH(G368,SLATable[Priority],0))),"YES","NO"),"")</f>
        <v/>
      </c>
      <c r="AJ368" t="str">
        <f>_xlfn.IFNA(IF(AE368 &lt; (INDEX(SLATable[Maximum SLA],MATCH(G368,SLATable[Priority],0))),"YES","NO"),"")</f>
        <v/>
      </c>
    </row>
    <row r="369" spans="26:36" ht="15" customHeight="1">
      <c r="Z369" s="76" t="e">
        <f t="shared" ca="1" si="40"/>
        <v>#N/A</v>
      </c>
      <c r="AA369" s="75" t="e">
        <f t="shared" ca="1" si="36"/>
        <v>#N/A</v>
      </c>
      <c r="AB369" s="76">
        <f t="shared" ca="1" si="41"/>
        <v>0</v>
      </c>
      <c r="AC369" s="75">
        <f t="shared" ca="1" si="37"/>
        <v>0</v>
      </c>
      <c r="AD369" s="76">
        <f t="shared" ca="1" si="42"/>
        <v>12388.425642129634</v>
      </c>
      <c r="AE369" s="76">
        <f t="shared" si="43"/>
        <v>0</v>
      </c>
      <c r="AF369" s="75">
        <f t="shared" si="38"/>
        <v>0</v>
      </c>
      <c r="AG369" s="75">
        <f t="shared" si="39"/>
        <v>0</v>
      </c>
      <c r="AH369" s="31" t="e" cm="1">
        <f t="array" aca="1" ref="AH369" ca="1">IF((AD369) &lt; (INDEX(ResponseSLA[#All],(MATCH((G369),ResponseSLA[Priority],0))+1,3)),"YES","No")</f>
        <v>#N/A</v>
      </c>
      <c r="AI369" s="31" t="str">
        <f>_xlfn.IFNA(IF(AE369 &lt; (INDEX(SLATable[Minimum SLA],MATCH(G369,SLATable[Priority],0))),"YES","NO"),"")</f>
        <v/>
      </c>
      <c r="AJ369" t="str">
        <f>_xlfn.IFNA(IF(AE369 &lt; (INDEX(SLATable[Maximum SLA],MATCH(G369,SLATable[Priority],0))),"YES","NO"),"")</f>
        <v/>
      </c>
    </row>
    <row r="370" spans="26:36" ht="15" customHeight="1">
      <c r="Z370" s="76" t="e">
        <f t="shared" ca="1" si="40"/>
        <v>#N/A</v>
      </c>
      <c r="AA370" s="75" t="e">
        <f t="shared" ca="1" si="36"/>
        <v>#N/A</v>
      </c>
      <c r="AB370" s="76">
        <f t="shared" ca="1" si="41"/>
        <v>0</v>
      </c>
      <c r="AC370" s="75">
        <f t="shared" ca="1" si="37"/>
        <v>0</v>
      </c>
      <c r="AD370" s="76">
        <f t="shared" ca="1" si="42"/>
        <v>12388.425642129634</v>
      </c>
      <c r="AE370" s="76">
        <f t="shared" si="43"/>
        <v>0</v>
      </c>
      <c r="AF370" s="75">
        <f t="shared" si="38"/>
        <v>0</v>
      </c>
      <c r="AG370" s="75">
        <f t="shared" si="39"/>
        <v>0</v>
      </c>
      <c r="AH370" s="31" t="e" cm="1">
        <f t="array" aca="1" ref="AH370" ca="1">IF((AD370) &lt; (INDEX(ResponseSLA[#All],(MATCH((G370),ResponseSLA[Priority],0))+1,3)),"YES","No")</f>
        <v>#N/A</v>
      </c>
      <c r="AI370" s="31" t="str">
        <f>_xlfn.IFNA(IF(AE370 &lt; (INDEX(SLATable[Minimum SLA],MATCH(G370,SLATable[Priority],0))),"YES","NO"),"")</f>
        <v/>
      </c>
      <c r="AJ370" t="str">
        <f>_xlfn.IFNA(IF(AE370 &lt; (INDEX(SLATable[Maximum SLA],MATCH(G370,SLATable[Priority],0))),"YES","NO"),"")</f>
        <v/>
      </c>
    </row>
    <row r="371" spans="26:36" ht="15" customHeight="1">
      <c r="Z371" s="76" t="e">
        <f t="shared" ca="1" si="40"/>
        <v>#N/A</v>
      </c>
      <c r="AA371" s="75" t="e">
        <f t="shared" ca="1" si="36"/>
        <v>#N/A</v>
      </c>
      <c r="AB371" s="76">
        <f t="shared" ca="1" si="41"/>
        <v>0</v>
      </c>
      <c r="AC371" s="75">
        <f t="shared" ca="1" si="37"/>
        <v>0</v>
      </c>
      <c r="AD371" s="76">
        <f t="shared" ca="1" si="42"/>
        <v>12388.425642129634</v>
      </c>
      <c r="AE371" s="76">
        <f t="shared" si="43"/>
        <v>0</v>
      </c>
      <c r="AF371" s="75">
        <f t="shared" si="38"/>
        <v>0</v>
      </c>
      <c r="AG371" s="75">
        <f t="shared" si="39"/>
        <v>0</v>
      </c>
      <c r="AH371" s="31" t="e" cm="1">
        <f t="array" aca="1" ref="AH371" ca="1">IF((AD371) &lt; (INDEX(ResponseSLA[#All],(MATCH((G371),ResponseSLA[Priority],0))+1,3)),"YES","No")</f>
        <v>#N/A</v>
      </c>
      <c r="AI371" s="31" t="str">
        <f>_xlfn.IFNA(IF(AE371 &lt; (INDEX(SLATable[Minimum SLA],MATCH(G371,SLATable[Priority],0))),"YES","NO"),"")</f>
        <v/>
      </c>
      <c r="AJ371" t="str">
        <f>_xlfn.IFNA(IF(AE371 &lt; (INDEX(SLATable[Maximum SLA],MATCH(G371,SLATable[Priority],0))),"YES","NO"),"")</f>
        <v/>
      </c>
    </row>
    <row r="372" spans="26:36" ht="15" customHeight="1">
      <c r="Z372" s="76" t="e">
        <f t="shared" ca="1" si="40"/>
        <v>#N/A</v>
      </c>
      <c r="AA372" s="75" t="e">
        <f t="shared" ca="1" si="36"/>
        <v>#N/A</v>
      </c>
      <c r="AB372" s="76">
        <f t="shared" ca="1" si="41"/>
        <v>0</v>
      </c>
      <c r="AC372" s="75">
        <f t="shared" ca="1" si="37"/>
        <v>0</v>
      </c>
      <c r="AD372" s="76">
        <f t="shared" ca="1" si="42"/>
        <v>12388.425642129634</v>
      </c>
      <c r="AE372" s="76">
        <f t="shared" si="43"/>
        <v>0</v>
      </c>
      <c r="AF372" s="75">
        <f t="shared" si="38"/>
        <v>0</v>
      </c>
      <c r="AG372" s="75">
        <f t="shared" si="39"/>
        <v>0</v>
      </c>
      <c r="AH372" s="31" t="e" cm="1">
        <f t="array" aca="1" ref="AH372" ca="1">IF((AD372) &lt; (INDEX(ResponseSLA[#All],(MATCH((G372),ResponseSLA[Priority],0))+1,3)),"YES","No")</f>
        <v>#N/A</v>
      </c>
      <c r="AI372" s="31" t="str">
        <f>_xlfn.IFNA(IF(AE372 &lt; (INDEX(SLATable[Minimum SLA],MATCH(G372,SLATable[Priority],0))),"YES","NO"),"")</f>
        <v/>
      </c>
      <c r="AJ372" t="str">
        <f>_xlfn.IFNA(IF(AE372 &lt; (INDEX(SLATable[Maximum SLA],MATCH(G372,SLATable[Priority],0))),"YES","NO"),"")</f>
        <v/>
      </c>
    </row>
    <row r="373" spans="26:36" ht="15" customHeight="1">
      <c r="Z373" s="76" t="e">
        <f t="shared" ca="1" si="40"/>
        <v>#N/A</v>
      </c>
      <c r="AA373" s="75" t="e">
        <f t="shared" ca="1" si="36"/>
        <v>#N/A</v>
      </c>
      <c r="AB373" s="76">
        <f t="shared" ca="1" si="41"/>
        <v>0</v>
      </c>
      <c r="AC373" s="75">
        <f t="shared" ca="1" si="37"/>
        <v>0</v>
      </c>
      <c r="AD373" s="76">
        <f t="shared" ca="1" si="42"/>
        <v>12388.425642129634</v>
      </c>
      <c r="AE373" s="76">
        <f t="shared" si="43"/>
        <v>0</v>
      </c>
      <c r="AF373" s="75">
        <f t="shared" si="38"/>
        <v>0</v>
      </c>
      <c r="AG373" s="75">
        <f t="shared" si="39"/>
        <v>0</v>
      </c>
      <c r="AH373" s="31" t="e" cm="1">
        <f t="array" aca="1" ref="AH373" ca="1">IF((AD373) &lt; (INDEX(ResponseSLA[#All],(MATCH((G373),ResponseSLA[Priority],0))+1,3)),"YES","No")</f>
        <v>#N/A</v>
      </c>
      <c r="AI373" s="31" t="str">
        <f>_xlfn.IFNA(IF(AE373 &lt; (INDEX(SLATable[Minimum SLA],MATCH(G373,SLATable[Priority],0))),"YES","NO"),"")</f>
        <v/>
      </c>
      <c r="AJ373" t="str">
        <f>_xlfn.IFNA(IF(AE373 &lt; (INDEX(SLATable[Maximum SLA],MATCH(G373,SLATable[Priority],0))),"YES","NO"),"")</f>
        <v/>
      </c>
    </row>
    <row r="374" spans="26:36" ht="15" customHeight="1">
      <c r="Z374" s="76" t="e">
        <f t="shared" ca="1" si="40"/>
        <v>#N/A</v>
      </c>
      <c r="AA374" s="75" t="e">
        <f t="shared" ca="1" si="36"/>
        <v>#N/A</v>
      </c>
      <c r="AB374" s="76">
        <f t="shared" ca="1" si="41"/>
        <v>0</v>
      </c>
      <c r="AC374" s="75">
        <f t="shared" ca="1" si="37"/>
        <v>0</v>
      </c>
      <c r="AD374" s="76">
        <f t="shared" ca="1" si="42"/>
        <v>12388.425642129634</v>
      </c>
      <c r="AE374" s="76">
        <f t="shared" si="43"/>
        <v>0</v>
      </c>
      <c r="AF374" s="75">
        <f t="shared" si="38"/>
        <v>0</v>
      </c>
      <c r="AG374" s="75">
        <f t="shared" si="39"/>
        <v>0</v>
      </c>
      <c r="AH374" s="31" t="e" cm="1">
        <f t="array" aca="1" ref="AH374" ca="1">IF((AD374) &lt; (INDEX(ResponseSLA[#All],(MATCH((G374),ResponseSLA[Priority],0))+1,3)),"YES","No")</f>
        <v>#N/A</v>
      </c>
      <c r="AI374" s="31" t="str">
        <f>_xlfn.IFNA(IF(AE374 &lt; (INDEX(SLATable[Minimum SLA],MATCH(G374,SLATable[Priority],0))),"YES","NO"),"")</f>
        <v/>
      </c>
      <c r="AJ374" t="str">
        <f>_xlfn.IFNA(IF(AE374 &lt; (INDEX(SLATable[Maximum SLA],MATCH(G374,SLATable[Priority],0))),"YES","NO"),"")</f>
        <v/>
      </c>
    </row>
    <row r="375" spans="26:36" ht="15" customHeight="1">
      <c r="Z375" s="76" t="e">
        <f t="shared" ca="1" si="40"/>
        <v>#N/A</v>
      </c>
      <c r="AA375" s="75" t="e">
        <f t="shared" ca="1" si="36"/>
        <v>#N/A</v>
      </c>
      <c r="AB375" s="76">
        <f t="shared" ca="1" si="41"/>
        <v>0</v>
      </c>
      <c r="AC375" s="75">
        <f t="shared" ca="1" si="37"/>
        <v>0</v>
      </c>
      <c r="AD375" s="76">
        <f t="shared" ca="1" si="42"/>
        <v>12388.425642129634</v>
      </c>
      <c r="AE375" s="76">
        <f t="shared" si="43"/>
        <v>0</v>
      </c>
      <c r="AF375" s="75">
        <f t="shared" si="38"/>
        <v>0</v>
      </c>
      <c r="AG375" s="75">
        <f t="shared" si="39"/>
        <v>0</v>
      </c>
      <c r="AH375" s="31" t="e" cm="1">
        <f t="array" aca="1" ref="AH375" ca="1">IF((AD375) &lt; (INDEX(ResponseSLA[#All],(MATCH((G375),ResponseSLA[Priority],0))+1,3)),"YES","No")</f>
        <v>#N/A</v>
      </c>
      <c r="AI375" s="31" t="str">
        <f>_xlfn.IFNA(IF(AE375 &lt; (INDEX(SLATable[Minimum SLA],MATCH(G375,SLATable[Priority],0))),"YES","NO"),"")</f>
        <v/>
      </c>
      <c r="AJ375" t="str">
        <f>_xlfn.IFNA(IF(AE375 &lt; (INDEX(SLATable[Maximum SLA],MATCH(G375,SLATable[Priority],0))),"YES","NO"),"")</f>
        <v/>
      </c>
    </row>
    <row r="376" spans="26:36" ht="15" customHeight="1">
      <c r="Z376" s="76" t="e">
        <f t="shared" ca="1" si="40"/>
        <v>#N/A</v>
      </c>
      <c r="AA376" s="75" t="e">
        <f t="shared" ca="1" si="36"/>
        <v>#N/A</v>
      </c>
      <c r="AB376" s="76">
        <f t="shared" ca="1" si="41"/>
        <v>0</v>
      </c>
      <c r="AC376" s="75">
        <f t="shared" ca="1" si="37"/>
        <v>0</v>
      </c>
      <c r="AD376" s="76">
        <f t="shared" ca="1" si="42"/>
        <v>12388.425642129634</v>
      </c>
      <c r="AE376" s="76">
        <f t="shared" si="43"/>
        <v>0</v>
      </c>
      <c r="AF376" s="75">
        <f t="shared" si="38"/>
        <v>0</v>
      </c>
      <c r="AG376" s="75">
        <f t="shared" si="39"/>
        <v>0</v>
      </c>
      <c r="AH376" s="31" t="e" cm="1">
        <f t="array" aca="1" ref="AH376" ca="1">IF((AD376) &lt; (INDEX(ResponseSLA[#All],(MATCH((G376),ResponseSLA[Priority],0))+1,3)),"YES","No")</f>
        <v>#N/A</v>
      </c>
      <c r="AI376" s="31" t="str">
        <f>_xlfn.IFNA(IF(AE376 &lt; (INDEX(SLATable[Minimum SLA],MATCH(G376,SLATable[Priority],0))),"YES","NO"),"")</f>
        <v/>
      </c>
      <c r="AJ376" t="str">
        <f>_xlfn.IFNA(IF(AE376 &lt; (INDEX(SLATable[Maximum SLA],MATCH(G376,SLATable[Priority],0))),"YES","NO"),"")</f>
        <v/>
      </c>
    </row>
    <row r="377" spans="26:36" ht="15" customHeight="1">
      <c r="Z377" s="76" t="e">
        <f t="shared" ca="1" si="40"/>
        <v>#N/A</v>
      </c>
      <c r="AA377" s="75" t="e">
        <f t="shared" ca="1" si="36"/>
        <v>#N/A</v>
      </c>
      <c r="AB377" s="76">
        <f t="shared" ca="1" si="41"/>
        <v>0</v>
      </c>
      <c r="AC377" s="75">
        <f t="shared" ca="1" si="37"/>
        <v>0</v>
      </c>
      <c r="AD377" s="76">
        <f t="shared" ca="1" si="42"/>
        <v>12388.425642129634</v>
      </c>
      <c r="AE377" s="76">
        <f t="shared" si="43"/>
        <v>0</v>
      </c>
      <c r="AF377" s="75">
        <f t="shared" si="38"/>
        <v>0</v>
      </c>
      <c r="AG377" s="75">
        <f t="shared" si="39"/>
        <v>0</v>
      </c>
      <c r="AH377" s="31" t="e" cm="1">
        <f t="array" aca="1" ref="AH377" ca="1">IF((AD377) &lt; (INDEX(ResponseSLA[#All],(MATCH((G377),ResponseSLA[Priority],0))+1,3)),"YES","No")</f>
        <v>#N/A</v>
      </c>
      <c r="AI377" s="31" t="str">
        <f>_xlfn.IFNA(IF(AE377 &lt; (INDEX(SLATable[Minimum SLA],MATCH(G377,SLATable[Priority],0))),"YES","NO"),"")</f>
        <v/>
      </c>
      <c r="AJ377" t="str">
        <f>_xlfn.IFNA(IF(AE377 &lt; (INDEX(SLATable[Maximum SLA],MATCH(G377,SLATable[Priority],0))),"YES","NO"),"")</f>
        <v/>
      </c>
    </row>
    <row r="378" spans="26:36" ht="15" customHeight="1">
      <c r="Z378" s="76" t="e">
        <f t="shared" ca="1" si="40"/>
        <v>#N/A</v>
      </c>
      <c r="AA378" s="75" t="e">
        <f t="shared" ca="1" si="36"/>
        <v>#N/A</v>
      </c>
      <c r="AB378" s="76">
        <f t="shared" ca="1" si="41"/>
        <v>0</v>
      </c>
      <c r="AC378" s="75">
        <f t="shared" ca="1" si="37"/>
        <v>0</v>
      </c>
      <c r="AD378" s="76">
        <f t="shared" ca="1" si="42"/>
        <v>12388.425642129634</v>
      </c>
      <c r="AE378" s="76">
        <f t="shared" si="43"/>
        <v>0</v>
      </c>
      <c r="AF378" s="75">
        <f t="shared" si="38"/>
        <v>0</v>
      </c>
      <c r="AG378" s="75">
        <f t="shared" si="39"/>
        <v>0</v>
      </c>
      <c r="AH378" s="31" t="e" cm="1">
        <f t="array" aca="1" ref="AH378" ca="1">IF((AD378) &lt; (INDEX(ResponseSLA[#All],(MATCH((G378),ResponseSLA[Priority],0))+1,3)),"YES","No")</f>
        <v>#N/A</v>
      </c>
      <c r="AI378" s="31" t="str">
        <f>_xlfn.IFNA(IF(AE378 &lt; (INDEX(SLATable[Minimum SLA],MATCH(G378,SLATable[Priority],0))),"YES","NO"),"")</f>
        <v/>
      </c>
      <c r="AJ378" t="str">
        <f>_xlfn.IFNA(IF(AE378 &lt; (INDEX(SLATable[Maximum SLA],MATCH(G378,SLATable[Priority],0))),"YES","NO"),"")</f>
        <v/>
      </c>
    </row>
    <row r="379" spans="26:36" ht="15" customHeight="1">
      <c r="Z379" s="76" t="e">
        <f t="shared" ca="1" si="40"/>
        <v>#N/A</v>
      </c>
      <c r="AA379" s="75" t="e">
        <f t="shared" ca="1" si="36"/>
        <v>#N/A</v>
      </c>
      <c r="AB379" s="76">
        <f t="shared" ca="1" si="41"/>
        <v>0</v>
      </c>
      <c r="AC379" s="75">
        <f t="shared" ca="1" si="37"/>
        <v>0</v>
      </c>
      <c r="AD379" s="76">
        <f t="shared" ca="1" si="42"/>
        <v>12388.425642129634</v>
      </c>
      <c r="AE379" s="76">
        <f t="shared" si="43"/>
        <v>0</v>
      </c>
      <c r="AF379" s="75">
        <f t="shared" si="38"/>
        <v>0</v>
      </c>
      <c r="AG379" s="75">
        <f t="shared" si="39"/>
        <v>0</v>
      </c>
      <c r="AH379" s="31" t="e" cm="1">
        <f t="array" aca="1" ref="AH379" ca="1">IF((AD379) &lt; (INDEX(ResponseSLA[#All],(MATCH((G379),ResponseSLA[Priority],0))+1,3)),"YES","No")</f>
        <v>#N/A</v>
      </c>
      <c r="AI379" s="31" t="str">
        <f>_xlfn.IFNA(IF(AE379 &lt; (INDEX(SLATable[Minimum SLA],MATCH(G379,SLATable[Priority],0))),"YES","NO"),"")</f>
        <v/>
      </c>
      <c r="AJ379" t="str">
        <f>_xlfn.IFNA(IF(AE379 &lt; (INDEX(SLATable[Maximum SLA],MATCH(G379,SLATable[Priority],0))),"YES","NO"),"")</f>
        <v/>
      </c>
    </row>
    <row r="380" spans="26:36" ht="15" customHeight="1">
      <c r="Z380" s="76" t="e">
        <f t="shared" ca="1" si="40"/>
        <v>#N/A</v>
      </c>
      <c r="AA380" s="75" t="e">
        <f t="shared" ca="1" si="36"/>
        <v>#N/A</v>
      </c>
      <c r="AB380" s="76">
        <f t="shared" ca="1" si="41"/>
        <v>0</v>
      </c>
      <c r="AC380" s="75">
        <f t="shared" ca="1" si="37"/>
        <v>0</v>
      </c>
      <c r="AD380" s="76">
        <f t="shared" ca="1" si="42"/>
        <v>12388.425642129634</v>
      </c>
      <c r="AE380" s="76">
        <f t="shared" si="43"/>
        <v>0</v>
      </c>
      <c r="AF380" s="75">
        <f t="shared" si="38"/>
        <v>0</v>
      </c>
      <c r="AG380" s="75">
        <f t="shared" si="39"/>
        <v>0</v>
      </c>
      <c r="AH380" s="31" t="e" cm="1">
        <f t="array" aca="1" ref="AH380" ca="1">IF((AD380) &lt; (INDEX(ResponseSLA[#All],(MATCH((G380),ResponseSLA[Priority],0))+1,3)),"YES","No")</f>
        <v>#N/A</v>
      </c>
      <c r="AI380" s="31" t="str">
        <f>_xlfn.IFNA(IF(AE380 &lt; (INDEX(SLATable[Minimum SLA],MATCH(G380,SLATable[Priority],0))),"YES","NO"),"")</f>
        <v/>
      </c>
      <c r="AJ380" t="str">
        <f>_xlfn.IFNA(IF(AE380 &lt; (INDEX(SLATable[Maximum SLA],MATCH(G380,SLATable[Priority],0))),"YES","NO"),"")</f>
        <v/>
      </c>
    </row>
    <row r="381" spans="26:36" ht="15" customHeight="1">
      <c r="Z381" s="76" t="e">
        <f t="shared" ca="1" si="40"/>
        <v>#N/A</v>
      </c>
      <c r="AA381" s="75" t="e">
        <f t="shared" ca="1" si="36"/>
        <v>#N/A</v>
      </c>
      <c r="AB381" s="76">
        <f t="shared" ca="1" si="41"/>
        <v>0</v>
      </c>
      <c r="AC381" s="75">
        <f t="shared" ca="1" si="37"/>
        <v>0</v>
      </c>
      <c r="AD381" s="76">
        <f t="shared" ca="1" si="42"/>
        <v>12388.425642129634</v>
      </c>
      <c r="AE381" s="76">
        <f t="shared" si="43"/>
        <v>0</v>
      </c>
      <c r="AF381" s="75">
        <f t="shared" si="38"/>
        <v>0</v>
      </c>
      <c r="AG381" s="75">
        <f t="shared" si="39"/>
        <v>0</v>
      </c>
      <c r="AH381" s="31" t="e" cm="1">
        <f t="array" aca="1" ref="AH381" ca="1">IF((AD381) &lt; (INDEX(ResponseSLA[#All],(MATCH((G381),ResponseSLA[Priority],0))+1,3)),"YES","No")</f>
        <v>#N/A</v>
      </c>
      <c r="AI381" s="31" t="str">
        <f>_xlfn.IFNA(IF(AE381 &lt; (INDEX(SLATable[Minimum SLA],MATCH(G381,SLATable[Priority],0))),"YES","NO"),"")</f>
        <v/>
      </c>
      <c r="AJ381" t="str">
        <f>_xlfn.IFNA(IF(AE381 &lt; (INDEX(SLATable[Maximum SLA],MATCH(G381,SLATable[Priority],0))),"YES","NO"),"")</f>
        <v/>
      </c>
    </row>
    <row r="382" spans="26:36" ht="15" customHeight="1">
      <c r="Z382" s="76" t="e">
        <f t="shared" ca="1" si="40"/>
        <v>#N/A</v>
      </c>
      <c r="AA382" s="75" t="e">
        <f t="shared" ca="1" si="36"/>
        <v>#N/A</v>
      </c>
      <c r="AB382" s="76">
        <f t="shared" ca="1" si="41"/>
        <v>0</v>
      </c>
      <c r="AC382" s="75">
        <f t="shared" ca="1" si="37"/>
        <v>0</v>
      </c>
      <c r="AD382" s="76">
        <f t="shared" ca="1" si="42"/>
        <v>12388.425642129634</v>
      </c>
      <c r="AE382" s="76">
        <f t="shared" si="43"/>
        <v>0</v>
      </c>
      <c r="AF382" s="75">
        <f t="shared" si="38"/>
        <v>0</v>
      </c>
      <c r="AG382" s="75">
        <f t="shared" si="39"/>
        <v>0</v>
      </c>
      <c r="AH382" s="31" t="e" cm="1">
        <f t="array" aca="1" ref="AH382" ca="1">IF((AD382) &lt; (INDEX(ResponseSLA[#All],(MATCH((G382),ResponseSLA[Priority],0))+1,3)),"YES","No")</f>
        <v>#N/A</v>
      </c>
      <c r="AI382" s="31" t="str">
        <f>_xlfn.IFNA(IF(AE382 &lt; (INDEX(SLATable[Minimum SLA],MATCH(G382,SLATable[Priority],0))),"YES","NO"),"")</f>
        <v/>
      </c>
      <c r="AJ382" t="str">
        <f>_xlfn.IFNA(IF(AE382 &lt; (INDEX(SLATable[Maximum SLA],MATCH(G382,SLATable[Priority],0))),"YES","NO"),"")</f>
        <v/>
      </c>
    </row>
    <row r="383" spans="26:36" ht="15" customHeight="1">
      <c r="Z383" s="76" t="e">
        <f t="shared" ca="1" si="40"/>
        <v>#N/A</v>
      </c>
      <c r="AA383" s="75" t="e">
        <f t="shared" ca="1" si="36"/>
        <v>#N/A</v>
      </c>
      <c r="AB383" s="76">
        <f t="shared" ca="1" si="41"/>
        <v>0</v>
      </c>
      <c r="AC383" s="75">
        <f t="shared" ca="1" si="37"/>
        <v>0</v>
      </c>
      <c r="AD383" s="76">
        <f t="shared" ca="1" si="42"/>
        <v>12388.425642129634</v>
      </c>
      <c r="AE383" s="76">
        <f t="shared" si="43"/>
        <v>0</v>
      </c>
      <c r="AF383" s="75">
        <f t="shared" si="38"/>
        <v>0</v>
      </c>
      <c r="AG383" s="75">
        <f t="shared" si="39"/>
        <v>0</v>
      </c>
      <c r="AH383" s="31" t="e" cm="1">
        <f t="array" aca="1" ref="AH383" ca="1">IF((AD383) &lt; (INDEX(ResponseSLA[#All],(MATCH((G383),ResponseSLA[Priority],0))+1,3)),"YES","No")</f>
        <v>#N/A</v>
      </c>
      <c r="AI383" s="31" t="str">
        <f>_xlfn.IFNA(IF(AE383 &lt; (INDEX(SLATable[Minimum SLA],MATCH(G383,SLATable[Priority],0))),"YES","NO"),"")</f>
        <v/>
      </c>
      <c r="AJ383" t="str">
        <f>_xlfn.IFNA(IF(AE383 &lt; (INDEX(SLATable[Maximum SLA],MATCH(G383,SLATable[Priority],0))),"YES","NO"),"")</f>
        <v/>
      </c>
    </row>
    <row r="384" spans="26:36" ht="15" customHeight="1">
      <c r="Z384" s="76" t="e">
        <f t="shared" ca="1" si="40"/>
        <v>#N/A</v>
      </c>
      <c r="AA384" s="75" t="e">
        <f t="shared" ca="1" si="36"/>
        <v>#N/A</v>
      </c>
      <c r="AB384" s="76">
        <f t="shared" ca="1" si="41"/>
        <v>0</v>
      </c>
      <c r="AC384" s="75">
        <f t="shared" ca="1" si="37"/>
        <v>0</v>
      </c>
      <c r="AD384" s="76">
        <f t="shared" ca="1" si="42"/>
        <v>12388.425642129634</v>
      </c>
      <c r="AE384" s="76">
        <f t="shared" si="43"/>
        <v>0</v>
      </c>
      <c r="AF384" s="75">
        <f t="shared" si="38"/>
        <v>0</v>
      </c>
      <c r="AG384" s="75">
        <f t="shared" si="39"/>
        <v>0</v>
      </c>
      <c r="AH384" s="31" t="e" cm="1">
        <f t="array" aca="1" ref="AH384" ca="1">IF((AD384) &lt; (INDEX(ResponseSLA[#All],(MATCH((G384),ResponseSLA[Priority],0))+1,3)),"YES","No")</f>
        <v>#N/A</v>
      </c>
      <c r="AI384" s="31" t="str">
        <f>_xlfn.IFNA(IF(AE384 &lt; (INDEX(SLATable[Minimum SLA],MATCH(G384,SLATable[Priority],0))),"YES","NO"),"")</f>
        <v/>
      </c>
      <c r="AJ384" t="str">
        <f>_xlfn.IFNA(IF(AE384 &lt; (INDEX(SLATable[Maximum SLA],MATCH(G384,SLATable[Priority],0))),"YES","NO"),"")</f>
        <v/>
      </c>
    </row>
    <row r="385" spans="26:36" ht="15" customHeight="1">
      <c r="Z385" s="76" t="e">
        <f t="shared" ca="1" si="40"/>
        <v>#N/A</v>
      </c>
      <c r="AA385" s="75" t="e">
        <f t="shared" ref="AA385:AA448" ca="1" si="44">(Z385*24)/9</f>
        <v>#N/A</v>
      </c>
      <c r="AB385" s="76">
        <f t="shared" ca="1" si="41"/>
        <v>0</v>
      </c>
      <c r="AC385" s="75">
        <f t="shared" ref="AC385:AC448" ca="1" si="45">(AB385*24)/9</f>
        <v>0</v>
      </c>
      <c r="AD385" s="76">
        <f t="shared" ca="1" si="42"/>
        <v>12388.425642129634</v>
      </c>
      <c r="AE385" s="76">
        <f t="shared" si="43"/>
        <v>0</v>
      </c>
      <c r="AF385" s="75">
        <f t="shared" ref="AF385:AF448" si="46">(AE385*24)/9</f>
        <v>0</v>
      </c>
      <c r="AG385" s="75">
        <f t="shared" ref="AG385:AG448" si="47">AF385</f>
        <v>0</v>
      </c>
      <c r="AH385" s="31" t="e" cm="1">
        <f t="array" aca="1" ref="AH385" ca="1">IF((AD385) &lt; (INDEX(ResponseSLA[#All],(MATCH((G385),ResponseSLA[Priority],0))+1,3)),"YES","No")</f>
        <v>#N/A</v>
      </c>
      <c r="AI385" s="31" t="str">
        <f>_xlfn.IFNA(IF(AE385 &lt; (INDEX(SLATable[Minimum SLA],MATCH(G385,SLATable[Priority],0))),"YES","NO"),"")</f>
        <v/>
      </c>
      <c r="AJ385" t="str">
        <f>_xlfn.IFNA(IF(AE385 &lt; (INDEX(SLATable[Maximum SLA],MATCH(G385,SLATable[Priority],0))),"YES","NO"),"")</f>
        <v/>
      </c>
    </row>
    <row r="386" spans="26:36" ht="15" customHeight="1">
      <c r="Z386" s="76" t="e">
        <f t="shared" ca="1" si="40"/>
        <v>#N/A</v>
      </c>
      <c r="AA386" s="75" t="e">
        <f t="shared" ca="1" si="44"/>
        <v>#N/A</v>
      </c>
      <c r="AB386" s="76">
        <f t="shared" ca="1" si="41"/>
        <v>0</v>
      </c>
      <c r="AC386" s="75">
        <f t="shared" ca="1" si="45"/>
        <v>0</v>
      </c>
      <c r="AD386" s="76">
        <f t="shared" ca="1" si="42"/>
        <v>12388.425642129634</v>
      </c>
      <c r="AE386" s="76">
        <f t="shared" si="43"/>
        <v>0</v>
      </c>
      <c r="AF386" s="75">
        <f t="shared" si="46"/>
        <v>0</v>
      </c>
      <c r="AG386" s="75">
        <f t="shared" si="47"/>
        <v>0</v>
      </c>
      <c r="AH386" s="31" t="e" cm="1">
        <f t="array" aca="1" ref="AH386" ca="1">IF((AD386) &lt; (INDEX(ResponseSLA[#All],(MATCH((G386),ResponseSLA[Priority],0))+1,3)),"YES","No")</f>
        <v>#N/A</v>
      </c>
      <c r="AI386" s="31" t="str">
        <f>_xlfn.IFNA(IF(AE386 &lt; (INDEX(SLATable[Minimum SLA],MATCH(G386,SLATable[Priority],0))),"YES","NO"),"")</f>
        <v/>
      </c>
      <c r="AJ386" t="str">
        <f>_xlfn.IFNA(IF(AE386 &lt; (INDEX(SLATable[Maximum SLA],MATCH(G386,SLATable[Priority],0))),"YES","NO"),"")</f>
        <v/>
      </c>
    </row>
    <row r="387" spans="26:36" ht="15" customHeight="1">
      <c r="Z387" s="76" t="e">
        <f t="shared" ref="Z387:Z450" ca="1" si="48">IF(NOT(OR(G387=1,G387=2)),MAX(0,_xlfn.IFS(AND(K387&lt;&gt;"",N387&lt;&gt;""),((MAX(NETWORKDAYS(K387,N387,UKBankHolidays)-1,0))*(TIME(17,0,0)-TIME(8,0,0))+IF(NETWORKDAYS(N387,N387,UKBankHolidays)&gt;0,MEDIAN(TIME(8,0,0),MOD(N387,1),TIME(17,0,0)),TIME(8,0,0))-IF(NETWORKDAYS(K387,K387,UKBankHolidays)&gt;0,MEDIAN(TIME(8,0,0),MOD(K387,1),TIME(17,0,0)),TIME(8,0,0)))-IF(AND(O387&lt;&gt;"",P387&lt;&gt;""),((MAX(NETWORKDAYS(O387,P387,UKBankHolidays)-1,0))*(TIME(17,0,0)-TIME(8,0,0))+IF(NETWORKDAYS(P387,P387,UKBankHolidays)&gt;0,MEDIAN(TIME(8,0,0),MOD(P387,1),TIME(17,0,0)),TIME(8,0,0))-IF(NETWORKDAYS(O387,O387,UKBankHolidays)&gt;0,MEDIAN(TIME(8,0,0),MOD(O387,1),TIME(17,0,0)),TIME(8,0,0))),0),AND(K387&lt;&gt;"",N387=""),((MAX(NETWORKDAYS(K387,NOW(),UKBankHolidays)-1,0))*(TIME(17,0,0)-TIME(8,0,0))+IF(NETWORKDAYS(NOW(),NOW(),UKBankHolidays)&gt;0,MEDIAN(TIME(8,0,0),MOD(NOW(),1),TIME(17,0,0)),TIME(8,0,0))-IF(NETWORKDAYS(K387,K387,UKBankHolidays)&gt;0,MEDIAN(TIME(8,0,0),MOD(K387,1),TIME(17,0,0)),TIME(8,0,0))))),IF(N387="",NOW()-K387,N387-K387))</f>
        <v>#N/A</v>
      </c>
      <c r="AA387" s="75" t="e">
        <f t="shared" ca="1" si="44"/>
        <v>#N/A</v>
      </c>
      <c r="AB387" s="76">
        <f t="shared" ref="AB387:AB450" ca="1" si="49">IF(NOT(OR(G387=1,G387=2)),MAX(0,_xlfn.IFS(AND(K387&lt;&gt;"",N387&lt;&gt;""),(((MAX(NETWORKDAYS(L387,N387,UKBankHolidays)-1,0))*(TIME(17,0,0)-TIME(8,0,0)))+IF(NETWORKDAYS(N387,N387,UKBankHolidays)&gt;0,MEDIAN(TIME(8,0,0),MOD(N387,1),TIME(17,0,0)),TIME(8,0,0))-IF(NETWORKDAYS(L387,L387,UKBankHolidays)&gt;0,MEDIAN(TIME(8,0,0),MOD(L387,1),TIME(17,0,0)),TIME(8,0,0)))-IF(AND(O387&lt;&gt;"",P387&lt;&gt;""),(((MAX(NETWORKDAYS(O387,P387,UKBankHolidays)-1,0))*(TIME(17,0,0)-TIME(8,0,0)))+IF(NETWORKDAYS(P387,P387,UKBankHolidays)&gt;0,MEDIAN(TIME(8,0,0),MOD(P387,1),TIME(17,0,0)),TIME(8,0,0))-IF(NETWORKDAYS(O387,O387,UKBankHolidays)&gt;0,MEDIAN(TIME(8,0,0),MOD(O387,1),TIME(17,0,0)),TIME(8,0,0))),0),AND(L387&lt;&gt;"",N387="",O387=""),(((MAX(NETWORKDAYS(L387,NOW(),UKBankHolidays)-1,0))*(TIME(17,0,0)-TIME(8,0,0)))+IF(NETWORKDAYS(NOW(),NOW(),UKBankHolidays)&gt;0,MEDIAN(TIME(8,0,0),MOD(NOW(),1),TIME(17,0,0)),TIME(8,0,0))-IF(NETWORKDAYS(L387,L387,UKBankHolidays)&gt;0,MEDIAN(TIME(8,0,0),MOD(L387,1),TIME(17,0,0)),TIME(8,0,0)))-IF(AND(O387&lt;&gt;"",P387&lt;&gt;""),(((MAX(NETWORKDAYS(O387,P387,UKBankHolidays)-1,0))*(TIME(17,0,0)-TIME(8,0,0)))+IF(NETWORKDAYS(P387,P387,UKBankHolidays)&gt;0,MEDIAN(TIME(8,0,0),MOD(P387,1),TIME(17,0,0)),TIME(8,0,0))-IF(NETWORKDAYS(O387,O387,UKBankHolidays)&gt;0,MEDIAN(TIME(8,0,0),MOD(O387,1),TIME(17,0,0)),TIME(8,0,0))),0),AND(L387&lt;&gt;"",N387="",P387="",O387&lt;&gt;""),(((MAX(NETWORKDAYS(L387,O387,UKBankHolidays)-1,0))*(TIME(17,0,0)-TIME(8,0,0)))+IF(NETWORKDAYS(O387,O387,UKBankHolidays)&gt;0,MEDIAN(TIME(8,0,0),MOD(O387,1),TIME(17,0,0)),TIME(8,0,0))-IF(NETWORKDAYS(L387,L387,UKBankHolidays)&gt;0,MEDIAN(TIME(8,0,0),MOD(L387,1),TIME(17,0,0)),TIME(8,0,0))),ISBLANK(K387),"0")),IF(ISBLANK(N387),NOW()-L387,N387-L387))</f>
        <v>0</v>
      </c>
      <c r="AC387" s="75">
        <f t="shared" ca="1" si="45"/>
        <v>0</v>
      </c>
      <c r="AD387" s="76">
        <f t="shared" ref="AD387:AD450" ca="1" si="50">MAX(0,IF(NOT(OR(G387=1,G387=2)),IF(M387&lt;&gt;"",((MAX(NETWORKDAYS(L387,M387,UKBankHolidays)-1,0))*(TIME(17,0,0)-TIME(8,0,0))+IF(NETWORKDAYS(M387,M387,UKBankHolidays)&gt;0,MEDIAN(TIME(8,0,0),MOD(M387,1),TIME(17,0,0)),TIME(8,0,0))-MEDIAN(TIME(8,0,0),MOD(L387,1),TIME(17,0,0))),((MAX(NETWORKDAYS(L387,NOW(),UKBankHolidays)-1,0))*(TIME(17,0,0)-TIME(8,0,0))+IF(NETWORKDAYS(NOW(),NOW(),UKBankHolidays)&gt;0,MEDIAN(TIME(8,0,0),MOD(NOW(),1),TIME(17,0,0)),TIME(8,0,0))-MEDIAN(TIME(8,0,0),MOD(L387,1),TIME(17,0,0)))),IF(M387&lt;&gt;"",M387-L387,NOW()-L387)))</f>
        <v>12388.425642129634</v>
      </c>
      <c r="AE387" s="76">
        <f t="shared" ref="AE387:AE450" si="51">SUMIFS(AB:AB,E:E,E387)</f>
        <v>0</v>
      </c>
      <c r="AF387" s="75">
        <f t="shared" si="46"/>
        <v>0</v>
      </c>
      <c r="AG387" s="75">
        <f t="shared" si="47"/>
        <v>0</v>
      </c>
      <c r="AH387" s="31" t="e" cm="1">
        <f t="array" aca="1" ref="AH387" ca="1">IF((AD387) &lt; (INDEX(ResponseSLA[#All],(MATCH((G387),ResponseSLA[Priority],0))+1,3)),"YES","No")</f>
        <v>#N/A</v>
      </c>
      <c r="AI387" s="31" t="str">
        <f>_xlfn.IFNA(IF(AE387 &lt; (INDEX(SLATable[Minimum SLA],MATCH(G387,SLATable[Priority],0))),"YES","NO"),"")</f>
        <v/>
      </c>
      <c r="AJ387" t="str">
        <f>_xlfn.IFNA(IF(AE387 &lt; (INDEX(SLATable[Maximum SLA],MATCH(G387,SLATable[Priority],0))),"YES","NO"),"")</f>
        <v/>
      </c>
    </row>
    <row r="388" spans="26:36" ht="15" customHeight="1">
      <c r="Z388" s="76" t="e">
        <f t="shared" ca="1" si="48"/>
        <v>#N/A</v>
      </c>
      <c r="AA388" s="75" t="e">
        <f t="shared" ca="1" si="44"/>
        <v>#N/A</v>
      </c>
      <c r="AB388" s="76">
        <f t="shared" ca="1" si="49"/>
        <v>0</v>
      </c>
      <c r="AC388" s="75">
        <f t="shared" ca="1" si="45"/>
        <v>0</v>
      </c>
      <c r="AD388" s="76">
        <f t="shared" ca="1" si="50"/>
        <v>12388.425642129634</v>
      </c>
      <c r="AE388" s="76">
        <f t="shared" si="51"/>
        <v>0</v>
      </c>
      <c r="AF388" s="75">
        <f t="shared" si="46"/>
        <v>0</v>
      </c>
      <c r="AG388" s="75">
        <f t="shared" si="47"/>
        <v>0</v>
      </c>
      <c r="AH388" s="31" t="e" cm="1">
        <f t="array" aca="1" ref="AH388" ca="1">IF((AD388) &lt; (INDEX(ResponseSLA[#All],(MATCH((G388),ResponseSLA[Priority],0))+1,3)),"YES","No")</f>
        <v>#N/A</v>
      </c>
      <c r="AI388" s="31" t="str">
        <f>_xlfn.IFNA(IF(AE388 &lt; (INDEX(SLATable[Minimum SLA],MATCH(G388,SLATable[Priority],0))),"YES","NO"),"")</f>
        <v/>
      </c>
      <c r="AJ388" t="str">
        <f>_xlfn.IFNA(IF(AE388 &lt; (INDEX(SLATable[Maximum SLA],MATCH(G388,SLATable[Priority],0))),"YES","NO"),"")</f>
        <v/>
      </c>
    </row>
    <row r="389" spans="26:36" ht="15" customHeight="1">
      <c r="Z389" s="76" t="e">
        <f t="shared" ca="1" si="48"/>
        <v>#N/A</v>
      </c>
      <c r="AA389" s="75" t="e">
        <f t="shared" ca="1" si="44"/>
        <v>#N/A</v>
      </c>
      <c r="AB389" s="76">
        <f t="shared" ca="1" si="49"/>
        <v>0</v>
      </c>
      <c r="AC389" s="75">
        <f t="shared" ca="1" si="45"/>
        <v>0</v>
      </c>
      <c r="AD389" s="76">
        <f t="shared" ca="1" si="50"/>
        <v>12388.425642129634</v>
      </c>
      <c r="AE389" s="76">
        <f t="shared" si="51"/>
        <v>0</v>
      </c>
      <c r="AF389" s="75">
        <f t="shared" si="46"/>
        <v>0</v>
      </c>
      <c r="AG389" s="75">
        <f t="shared" si="47"/>
        <v>0</v>
      </c>
      <c r="AH389" s="31" t="e" cm="1">
        <f t="array" aca="1" ref="AH389" ca="1">IF((AD389) &lt; (INDEX(ResponseSLA[#All],(MATCH((G389),ResponseSLA[Priority],0))+1,3)),"YES","No")</f>
        <v>#N/A</v>
      </c>
      <c r="AI389" s="31" t="str">
        <f>_xlfn.IFNA(IF(AE389 &lt; (INDEX(SLATable[Minimum SLA],MATCH(G389,SLATable[Priority],0))),"YES","NO"),"")</f>
        <v/>
      </c>
      <c r="AJ389" t="str">
        <f>_xlfn.IFNA(IF(AE389 &lt; (INDEX(SLATable[Maximum SLA],MATCH(G389,SLATable[Priority],0))),"YES","NO"),"")</f>
        <v/>
      </c>
    </row>
    <row r="390" spans="26:36" ht="15" customHeight="1">
      <c r="Z390" s="76" t="e">
        <f t="shared" ca="1" si="48"/>
        <v>#N/A</v>
      </c>
      <c r="AA390" s="75" t="e">
        <f t="shared" ca="1" si="44"/>
        <v>#N/A</v>
      </c>
      <c r="AB390" s="76">
        <f t="shared" ca="1" si="49"/>
        <v>0</v>
      </c>
      <c r="AC390" s="75">
        <f t="shared" ca="1" si="45"/>
        <v>0</v>
      </c>
      <c r="AD390" s="76">
        <f t="shared" ca="1" si="50"/>
        <v>12388.425642129634</v>
      </c>
      <c r="AE390" s="76">
        <f t="shared" si="51"/>
        <v>0</v>
      </c>
      <c r="AF390" s="75">
        <f t="shared" si="46"/>
        <v>0</v>
      </c>
      <c r="AG390" s="75">
        <f t="shared" si="47"/>
        <v>0</v>
      </c>
      <c r="AH390" s="31" t="e" cm="1">
        <f t="array" aca="1" ref="AH390" ca="1">IF((AD390) &lt; (INDEX(ResponseSLA[#All],(MATCH((G390),ResponseSLA[Priority],0))+1,3)),"YES","No")</f>
        <v>#N/A</v>
      </c>
      <c r="AI390" s="31" t="str">
        <f>_xlfn.IFNA(IF(AE390 &lt; (INDEX(SLATable[Minimum SLA],MATCH(G390,SLATable[Priority],0))),"YES","NO"),"")</f>
        <v/>
      </c>
      <c r="AJ390" t="str">
        <f>_xlfn.IFNA(IF(AE390 &lt; (INDEX(SLATable[Maximum SLA],MATCH(G390,SLATable[Priority],0))),"YES","NO"),"")</f>
        <v/>
      </c>
    </row>
    <row r="391" spans="26:36" ht="15" customHeight="1">
      <c r="Z391" s="76" t="e">
        <f t="shared" ca="1" si="48"/>
        <v>#N/A</v>
      </c>
      <c r="AA391" s="75" t="e">
        <f t="shared" ca="1" si="44"/>
        <v>#N/A</v>
      </c>
      <c r="AB391" s="76">
        <f t="shared" ca="1" si="49"/>
        <v>0</v>
      </c>
      <c r="AC391" s="75">
        <f t="shared" ca="1" si="45"/>
        <v>0</v>
      </c>
      <c r="AD391" s="76">
        <f t="shared" ca="1" si="50"/>
        <v>12388.425642129634</v>
      </c>
      <c r="AE391" s="76">
        <f t="shared" si="51"/>
        <v>0</v>
      </c>
      <c r="AF391" s="75">
        <f t="shared" si="46"/>
        <v>0</v>
      </c>
      <c r="AG391" s="75">
        <f t="shared" si="47"/>
        <v>0</v>
      </c>
      <c r="AH391" s="31" t="e" cm="1">
        <f t="array" aca="1" ref="AH391" ca="1">IF((AD391) &lt; (INDEX(ResponseSLA[#All],(MATCH((G391),ResponseSLA[Priority],0))+1,3)),"YES","No")</f>
        <v>#N/A</v>
      </c>
      <c r="AI391" s="31" t="str">
        <f>_xlfn.IFNA(IF(AE391 &lt; (INDEX(SLATable[Minimum SLA],MATCH(G391,SLATable[Priority],0))),"YES","NO"),"")</f>
        <v/>
      </c>
      <c r="AJ391" t="str">
        <f>_xlfn.IFNA(IF(AE391 &lt; (INDEX(SLATable[Maximum SLA],MATCH(G391,SLATable[Priority],0))),"YES","NO"),"")</f>
        <v/>
      </c>
    </row>
    <row r="392" spans="26:36" ht="15" customHeight="1">
      <c r="Z392" s="76" t="e">
        <f t="shared" ca="1" si="48"/>
        <v>#N/A</v>
      </c>
      <c r="AA392" s="75" t="e">
        <f t="shared" ca="1" si="44"/>
        <v>#N/A</v>
      </c>
      <c r="AB392" s="76">
        <f t="shared" ca="1" si="49"/>
        <v>0</v>
      </c>
      <c r="AC392" s="75">
        <f t="shared" ca="1" si="45"/>
        <v>0</v>
      </c>
      <c r="AD392" s="76">
        <f t="shared" ca="1" si="50"/>
        <v>12388.425642129634</v>
      </c>
      <c r="AE392" s="76">
        <f t="shared" si="51"/>
        <v>0</v>
      </c>
      <c r="AF392" s="75">
        <f t="shared" si="46"/>
        <v>0</v>
      </c>
      <c r="AG392" s="75">
        <f t="shared" si="47"/>
        <v>0</v>
      </c>
      <c r="AH392" s="31" t="e" cm="1">
        <f t="array" aca="1" ref="AH392" ca="1">IF((AD392) &lt; (INDEX(ResponseSLA[#All],(MATCH((G392),ResponseSLA[Priority],0))+1,3)),"YES","No")</f>
        <v>#N/A</v>
      </c>
      <c r="AI392" s="31" t="str">
        <f>_xlfn.IFNA(IF(AE392 &lt; (INDEX(SLATable[Minimum SLA],MATCH(G392,SLATable[Priority],0))),"YES","NO"),"")</f>
        <v/>
      </c>
      <c r="AJ392" t="str">
        <f>_xlfn.IFNA(IF(AE392 &lt; (INDEX(SLATable[Maximum SLA],MATCH(G392,SLATable[Priority],0))),"YES","NO"),"")</f>
        <v/>
      </c>
    </row>
    <row r="393" spans="26:36" ht="15" customHeight="1">
      <c r="Z393" s="76" t="e">
        <f t="shared" ca="1" si="48"/>
        <v>#N/A</v>
      </c>
      <c r="AA393" s="75" t="e">
        <f t="shared" ca="1" si="44"/>
        <v>#N/A</v>
      </c>
      <c r="AB393" s="76">
        <f t="shared" ca="1" si="49"/>
        <v>0</v>
      </c>
      <c r="AC393" s="75">
        <f t="shared" ca="1" si="45"/>
        <v>0</v>
      </c>
      <c r="AD393" s="76">
        <f t="shared" ca="1" si="50"/>
        <v>12388.425642361111</v>
      </c>
      <c r="AE393" s="76">
        <f t="shared" si="51"/>
        <v>0</v>
      </c>
      <c r="AF393" s="75">
        <f t="shared" si="46"/>
        <v>0</v>
      </c>
      <c r="AG393" s="75">
        <f t="shared" si="47"/>
        <v>0</v>
      </c>
      <c r="AH393" s="31" t="e" cm="1">
        <f t="array" aca="1" ref="AH393" ca="1">IF((AD393) &lt; (INDEX(ResponseSLA[#All],(MATCH((G393),ResponseSLA[Priority],0))+1,3)),"YES","No")</f>
        <v>#N/A</v>
      </c>
      <c r="AI393" s="31" t="str">
        <f>_xlfn.IFNA(IF(AE393 &lt; (INDEX(SLATable[Minimum SLA],MATCH(G393,SLATable[Priority],0))),"YES","NO"),"")</f>
        <v/>
      </c>
      <c r="AJ393" t="str">
        <f>_xlfn.IFNA(IF(AE393 &lt; (INDEX(SLATable[Maximum SLA],MATCH(G393,SLATable[Priority],0))),"YES","NO"),"")</f>
        <v/>
      </c>
    </row>
    <row r="394" spans="26:36" ht="15" customHeight="1">
      <c r="Z394" s="76" t="e">
        <f t="shared" ca="1" si="48"/>
        <v>#N/A</v>
      </c>
      <c r="AA394" s="75" t="e">
        <f t="shared" ca="1" si="44"/>
        <v>#N/A</v>
      </c>
      <c r="AB394" s="76">
        <f t="shared" ca="1" si="49"/>
        <v>0</v>
      </c>
      <c r="AC394" s="75">
        <f t="shared" ca="1" si="45"/>
        <v>0</v>
      </c>
      <c r="AD394" s="76">
        <f t="shared" ca="1" si="50"/>
        <v>12388.425642129634</v>
      </c>
      <c r="AE394" s="76">
        <f t="shared" si="51"/>
        <v>0</v>
      </c>
      <c r="AF394" s="75">
        <f t="shared" si="46"/>
        <v>0</v>
      </c>
      <c r="AG394" s="75">
        <f t="shared" si="47"/>
        <v>0</v>
      </c>
      <c r="AH394" s="31" t="e" cm="1">
        <f t="array" aca="1" ref="AH394" ca="1">IF((AD394) &lt; (INDEX(ResponseSLA[#All],(MATCH((G394),ResponseSLA[Priority],0))+1,3)),"YES","No")</f>
        <v>#N/A</v>
      </c>
      <c r="AI394" s="31" t="str">
        <f>_xlfn.IFNA(IF(AE394 &lt; (INDEX(SLATable[Minimum SLA],MATCH(G394,SLATable[Priority],0))),"YES","NO"),"")</f>
        <v/>
      </c>
      <c r="AJ394" t="str">
        <f>_xlfn.IFNA(IF(AE394 &lt; (INDEX(SLATable[Maximum SLA],MATCH(G394,SLATable[Priority],0))),"YES","NO"),"")</f>
        <v/>
      </c>
    </row>
    <row r="395" spans="26:36" ht="15" customHeight="1">
      <c r="Z395" s="76" t="e">
        <f t="shared" ca="1" si="48"/>
        <v>#N/A</v>
      </c>
      <c r="AA395" s="75" t="e">
        <f t="shared" ca="1" si="44"/>
        <v>#N/A</v>
      </c>
      <c r="AB395" s="76">
        <f t="shared" ca="1" si="49"/>
        <v>0</v>
      </c>
      <c r="AC395" s="75">
        <f t="shared" ca="1" si="45"/>
        <v>0</v>
      </c>
      <c r="AD395" s="76">
        <f t="shared" ca="1" si="50"/>
        <v>12388.425642129634</v>
      </c>
      <c r="AE395" s="76">
        <f t="shared" si="51"/>
        <v>0</v>
      </c>
      <c r="AF395" s="75">
        <f t="shared" si="46"/>
        <v>0</v>
      </c>
      <c r="AG395" s="75">
        <f t="shared" si="47"/>
        <v>0</v>
      </c>
      <c r="AH395" s="31" t="e" cm="1">
        <f t="array" aca="1" ref="AH395" ca="1">IF((AD395) &lt; (INDEX(ResponseSLA[#All],(MATCH((G395),ResponseSLA[Priority],0))+1,3)),"YES","No")</f>
        <v>#N/A</v>
      </c>
      <c r="AI395" s="31" t="str">
        <f>_xlfn.IFNA(IF(AE395 &lt; (INDEX(SLATable[Minimum SLA],MATCH(G395,SLATable[Priority],0))),"YES","NO"),"")</f>
        <v/>
      </c>
      <c r="AJ395" t="str">
        <f>_xlfn.IFNA(IF(AE395 &lt; (INDEX(SLATable[Maximum SLA],MATCH(G395,SLATable[Priority],0))),"YES","NO"),"")</f>
        <v/>
      </c>
    </row>
    <row r="396" spans="26:36" ht="15" customHeight="1">
      <c r="Z396" s="76" t="e">
        <f t="shared" ca="1" si="48"/>
        <v>#N/A</v>
      </c>
      <c r="AA396" s="75" t="e">
        <f t="shared" ca="1" si="44"/>
        <v>#N/A</v>
      </c>
      <c r="AB396" s="76">
        <f t="shared" ca="1" si="49"/>
        <v>0</v>
      </c>
      <c r="AC396" s="75">
        <f t="shared" ca="1" si="45"/>
        <v>0</v>
      </c>
      <c r="AD396" s="76">
        <f t="shared" ca="1" si="50"/>
        <v>12388.425642361111</v>
      </c>
      <c r="AE396" s="76">
        <f t="shared" si="51"/>
        <v>0</v>
      </c>
      <c r="AF396" s="75">
        <f t="shared" si="46"/>
        <v>0</v>
      </c>
      <c r="AG396" s="75">
        <f t="shared" si="47"/>
        <v>0</v>
      </c>
      <c r="AH396" s="31" t="e" cm="1">
        <f t="array" aca="1" ref="AH396" ca="1">IF((AD396) &lt; (INDEX(ResponseSLA[#All],(MATCH((G396),ResponseSLA[Priority],0))+1,3)),"YES","No")</f>
        <v>#N/A</v>
      </c>
      <c r="AI396" s="31" t="str">
        <f>_xlfn.IFNA(IF(AE396 &lt; (INDEX(SLATable[Minimum SLA],MATCH(G396,SLATable[Priority],0))),"YES","NO"),"")</f>
        <v/>
      </c>
      <c r="AJ396" t="str">
        <f>_xlfn.IFNA(IF(AE396 &lt; (INDEX(SLATable[Maximum SLA],MATCH(G396,SLATable[Priority],0))),"YES","NO"),"")</f>
        <v/>
      </c>
    </row>
    <row r="397" spans="26:36" ht="15" customHeight="1">
      <c r="Z397" s="76" t="e">
        <f t="shared" ca="1" si="48"/>
        <v>#N/A</v>
      </c>
      <c r="AA397" s="75" t="e">
        <f t="shared" ca="1" si="44"/>
        <v>#N/A</v>
      </c>
      <c r="AB397" s="76">
        <f t="shared" ca="1" si="49"/>
        <v>0</v>
      </c>
      <c r="AC397" s="75">
        <f t="shared" ca="1" si="45"/>
        <v>0</v>
      </c>
      <c r="AD397" s="76">
        <f t="shared" ca="1" si="50"/>
        <v>12388.425642129634</v>
      </c>
      <c r="AE397" s="76">
        <f t="shared" si="51"/>
        <v>0</v>
      </c>
      <c r="AF397" s="75">
        <f t="shared" si="46"/>
        <v>0</v>
      </c>
      <c r="AG397" s="75">
        <f t="shared" si="47"/>
        <v>0</v>
      </c>
      <c r="AH397" s="31" t="e" cm="1">
        <f t="array" aca="1" ref="AH397" ca="1">IF((AD397) &lt; (INDEX(ResponseSLA[#All],(MATCH((G397),ResponseSLA[Priority],0))+1,3)),"YES","No")</f>
        <v>#N/A</v>
      </c>
      <c r="AI397" s="31" t="str">
        <f>_xlfn.IFNA(IF(AE397 &lt; (INDEX(SLATable[Minimum SLA],MATCH(G397,SLATable[Priority],0))),"YES","NO"),"")</f>
        <v/>
      </c>
      <c r="AJ397" t="str">
        <f>_xlfn.IFNA(IF(AE397 &lt; (INDEX(SLATable[Maximum SLA],MATCH(G397,SLATable[Priority],0))),"YES","NO"),"")</f>
        <v/>
      </c>
    </row>
    <row r="398" spans="26:36" ht="15" customHeight="1">
      <c r="Z398" s="76" t="e">
        <f t="shared" ca="1" si="48"/>
        <v>#N/A</v>
      </c>
      <c r="AA398" s="75" t="e">
        <f t="shared" ca="1" si="44"/>
        <v>#N/A</v>
      </c>
      <c r="AB398" s="76">
        <f t="shared" ca="1" si="49"/>
        <v>0</v>
      </c>
      <c r="AC398" s="75">
        <f t="shared" ca="1" si="45"/>
        <v>0</v>
      </c>
      <c r="AD398" s="76">
        <f t="shared" ca="1" si="50"/>
        <v>12388.425642129634</v>
      </c>
      <c r="AE398" s="76">
        <f t="shared" si="51"/>
        <v>0</v>
      </c>
      <c r="AF398" s="75">
        <f t="shared" si="46"/>
        <v>0</v>
      </c>
      <c r="AG398" s="75">
        <f t="shared" si="47"/>
        <v>0</v>
      </c>
      <c r="AH398" s="31" t="e" cm="1">
        <f t="array" aca="1" ref="AH398" ca="1">IF((AD398) &lt; (INDEX(ResponseSLA[#All],(MATCH((G398),ResponseSLA[Priority],0))+1,3)),"YES","No")</f>
        <v>#N/A</v>
      </c>
      <c r="AI398" s="31" t="str">
        <f>_xlfn.IFNA(IF(AE398 &lt; (INDEX(SLATable[Minimum SLA],MATCH(G398,SLATable[Priority],0))),"YES","NO"),"")</f>
        <v/>
      </c>
      <c r="AJ398" t="str">
        <f>_xlfn.IFNA(IF(AE398 &lt; (INDEX(SLATable[Maximum SLA],MATCH(G398,SLATable[Priority],0))),"YES","NO"),"")</f>
        <v/>
      </c>
    </row>
    <row r="399" spans="26:36" ht="15" customHeight="1">
      <c r="Z399" s="76" t="e">
        <f t="shared" ca="1" si="48"/>
        <v>#N/A</v>
      </c>
      <c r="AA399" s="75" t="e">
        <f t="shared" ca="1" si="44"/>
        <v>#N/A</v>
      </c>
      <c r="AB399" s="76">
        <f t="shared" ca="1" si="49"/>
        <v>0</v>
      </c>
      <c r="AC399" s="75">
        <f t="shared" ca="1" si="45"/>
        <v>0</v>
      </c>
      <c r="AD399" s="76">
        <f t="shared" ca="1" si="50"/>
        <v>12388.425642361111</v>
      </c>
      <c r="AE399" s="76">
        <f t="shared" si="51"/>
        <v>0</v>
      </c>
      <c r="AF399" s="75">
        <f t="shared" si="46"/>
        <v>0</v>
      </c>
      <c r="AG399" s="75">
        <f t="shared" si="47"/>
        <v>0</v>
      </c>
      <c r="AH399" s="31" t="e" cm="1">
        <f t="array" aca="1" ref="AH399" ca="1">IF((AD399) &lt; (INDEX(ResponseSLA[#All],(MATCH((G399),ResponseSLA[Priority],0))+1,3)),"YES","No")</f>
        <v>#N/A</v>
      </c>
      <c r="AI399" s="31" t="str">
        <f>_xlfn.IFNA(IF(AE399 &lt; (INDEX(SLATable[Minimum SLA],MATCH(G399,SLATable[Priority],0))),"YES","NO"),"")</f>
        <v/>
      </c>
      <c r="AJ399" t="str">
        <f>_xlfn.IFNA(IF(AE399 &lt; (INDEX(SLATable[Maximum SLA],MATCH(G399,SLATable[Priority],0))),"YES","NO"),"")</f>
        <v/>
      </c>
    </row>
    <row r="400" spans="26:36" ht="15" customHeight="1">
      <c r="Z400" s="76" t="e">
        <f t="shared" ca="1" si="48"/>
        <v>#N/A</v>
      </c>
      <c r="AA400" s="75" t="e">
        <f t="shared" ca="1" si="44"/>
        <v>#N/A</v>
      </c>
      <c r="AB400" s="76">
        <f t="shared" ca="1" si="49"/>
        <v>0</v>
      </c>
      <c r="AC400" s="75">
        <f t="shared" ca="1" si="45"/>
        <v>0</v>
      </c>
      <c r="AD400" s="76">
        <f t="shared" ca="1" si="50"/>
        <v>12388.425642129634</v>
      </c>
      <c r="AE400" s="76">
        <f t="shared" si="51"/>
        <v>0</v>
      </c>
      <c r="AF400" s="75">
        <f t="shared" si="46"/>
        <v>0</v>
      </c>
      <c r="AG400" s="75">
        <f t="shared" si="47"/>
        <v>0</v>
      </c>
      <c r="AH400" s="31" t="e" cm="1">
        <f t="array" aca="1" ref="AH400" ca="1">IF((AD400) &lt; (INDEX(ResponseSLA[#All],(MATCH((G400),ResponseSLA[Priority],0))+1,3)),"YES","No")</f>
        <v>#N/A</v>
      </c>
      <c r="AI400" s="31" t="str">
        <f>_xlfn.IFNA(IF(AE400 &lt; (INDEX(SLATable[Minimum SLA],MATCH(G400,SLATable[Priority],0))),"YES","NO"),"")</f>
        <v/>
      </c>
      <c r="AJ400" t="str">
        <f>_xlfn.IFNA(IF(AE400 &lt; (INDEX(SLATable[Maximum SLA],MATCH(G400,SLATable[Priority],0))),"YES","NO"),"")</f>
        <v/>
      </c>
    </row>
    <row r="401" spans="26:36" ht="15" customHeight="1">
      <c r="Z401" s="76" t="e">
        <f t="shared" ca="1" si="48"/>
        <v>#N/A</v>
      </c>
      <c r="AA401" s="75" t="e">
        <f t="shared" ca="1" si="44"/>
        <v>#N/A</v>
      </c>
      <c r="AB401" s="76">
        <f t="shared" ca="1" si="49"/>
        <v>0</v>
      </c>
      <c r="AC401" s="75">
        <f t="shared" ca="1" si="45"/>
        <v>0</v>
      </c>
      <c r="AD401" s="76">
        <f t="shared" ca="1" si="50"/>
        <v>12388.425642129634</v>
      </c>
      <c r="AE401" s="76">
        <f t="shared" si="51"/>
        <v>0</v>
      </c>
      <c r="AF401" s="75">
        <f t="shared" si="46"/>
        <v>0</v>
      </c>
      <c r="AG401" s="75">
        <f t="shared" si="47"/>
        <v>0</v>
      </c>
      <c r="AH401" s="31" t="e" cm="1">
        <f t="array" aca="1" ref="AH401" ca="1">IF((AD401) &lt; (INDEX(ResponseSLA[#All],(MATCH((G401),ResponseSLA[Priority],0))+1,3)),"YES","No")</f>
        <v>#N/A</v>
      </c>
      <c r="AI401" s="31" t="str">
        <f>_xlfn.IFNA(IF(AE401 &lt; (INDEX(SLATable[Minimum SLA],MATCH(G401,SLATable[Priority],0))),"YES","NO"),"")</f>
        <v/>
      </c>
      <c r="AJ401" t="str">
        <f>_xlfn.IFNA(IF(AE401 &lt; (INDEX(SLATable[Maximum SLA],MATCH(G401,SLATable[Priority],0))),"YES","NO"),"")</f>
        <v/>
      </c>
    </row>
    <row r="402" spans="26:36" ht="15" customHeight="1">
      <c r="Z402" s="76" t="e">
        <f t="shared" ca="1" si="48"/>
        <v>#N/A</v>
      </c>
      <c r="AA402" s="75" t="e">
        <f t="shared" ca="1" si="44"/>
        <v>#N/A</v>
      </c>
      <c r="AB402" s="76">
        <f t="shared" ca="1" si="49"/>
        <v>0</v>
      </c>
      <c r="AC402" s="75">
        <f t="shared" ca="1" si="45"/>
        <v>0</v>
      </c>
      <c r="AD402" s="76">
        <f t="shared" ca="1" si="50"/>
        <v>12388.425642361111</v>
      </c>
      <c r="AE402" s="76">
        <f t="shared" si="51"/>
        <v>0</v>
      </c>
      <c r="AF402" s="75">
        <f t="shared" si="46"/>
        <v>0</v>
      </c>
      <c r="AG402" s="75">
        <f t="shared" si="47"/>
        <v>0</v>
      </c>
      <c r="AH402" s="31" t="e" cm="1">
        <f t="array" aca="1" ref="AH402" ca="1">IF((AD402) &lt; (INDEX(ResponseSLA[#All],(MATCH((G402),ResponseSLA[Priority],0))+1,3)),"YES","No")</f>
        <v>#N/A</v>
      </c>
      <c r="AI402" s="31" t="str">
        <f>_xlfn.IFNA(IF(AE402 &lt; (INDEX(SLATable[Minimum SLA],MATCH(G402,SLATable[Priority],0))),"YES","NO"),"")</f>
        <v/>
      </c>
      <c r="AJ402" t="str">
        <f>_xlfn.IFNA(IF(AE402 &lt; (INDEX(SLATable[Maximum SLA],MATCH(G402,SLATable[Priority],0))),"YES","NO"),"")</f>
        <v/>
      </c>
    </row>
    <row r="403" spans="26:36" ht="15" customHeight="1">
      <c r="Z403" s="76" t="e">
        <f t="shared" ca="1" si="48"/>
        <v>#N/A</v>
      </c>
      <c r="AA403" s="75" t="e">
        <f t="shared" ca="1" si="44"/>
        <v>#N/A</v>
      </c>
      <c r="AB403" s="76">
        <f t="shared" ca="1" si="49"/>
        <v>0</v>
      </c>
      <c r="AC403" s="75">
        <f t="shared" ca="1" si="45"/>
        <v>0</v>
      </c>
      <c r="AD403" s="76">
        <f t="shared" ca="1" si="50"/>
        <v>12388.425642129634</v>
      </c>
      <c r="AE403" s="76">
        <f t="shared" si="51"/>
        <v>0</v>
      </c>
      <c r="AF403" s="75">
        <f t="shared" si="46"/>
        <v>0</v>
      </c>
      <c r="AG403" s="75">
        <f t="shared" si="47"/>
        <v>0</v>
      </c>
      <c r="AH403" s="31" t="e" cm="1">
        <f t="array" aca="1" ref="AH403" ca="1">IF((AD403) &lt; (INDEX(ResponseSLA[#All],(MATCH((G403),ResponseSLA[Priority],0))+1,3)),"YES","No")</f>
        <v>#N/A</v>
      </c>
      <c r="AI403" s="31" t="str">
        <f>_xlfn.IFNA(IF(AE403 &lt; (INDEX(SLATable[Minimum SLA],MATCH(G403,SLATable[Priority],0))),"YES","NO"),"")</f>
        <v/>
      </c>
      <c r="AJ403" t="str">
        <f>_xlfn.IFNA(IF(AE403 &lt; (INDEX(SLATable[Maximum SLA],MATCH(G403,SLATable[Priority],0))),"YES","NO"),"")</f>
        <v/>
      </c>
    </row>
    <row r="404" spans="26:36" ht="15" customHeight="1">
      <c r="Z404" s="76" t="e">
        <f t="shared" ca="1" si="48"/>
        <v>#N/A</v>
      </c>
      <c r="AA404" s="75" t="e">
        <f t="shared" ca="1" si="44"/>
        <v>#N/A</v>
      </c>
      <c r="AB404" s="76">
        <f t="shared" ca="1" si="49"/>
        <v>0</v>
      </c>
      <c r="AC404" s="75">
        <f t="shared" ca="1" si="45"/>
        <v>0</v>
      </c>
      <c r="AD404" s="76">
        <f t="shared" ca="1" si="50"/>
        <v>12388.425642129634</v>
      </c>
      <c r="AE404" s="76">
        <f t="shared" si="51"/>
        <v>0</v>
      </c>
      <c r="AF404" s="75">
        <f t="shared" si="46"/>
        <v>0</v>
      </c>
      <c r="AG404" s="75">
        <f t="shared" si="47"/>
        <v>0</v>
      </c>
      <c r="AH404" s="31" t="e" cm="1">
        <f t="array" aca="1" ref="AH404" ca="1">IF((AD404) &lt; (INDEX(ResponseSLA[#All],(MATCH((G404),ResponseSLA[Priority],0))+1,3)),"YES","No")</f>
        <v>#N/A</v>
      </c>
      <c r="AI404" s="31" t="str">
        <f>_xlfn.IFNA(IF(AE404 &lt; (INDEX(SLATable[Minimum SLA],MATCH(G404,SLATable[Priority],0))),"YES","NO"),"")</f>
        <v/>
      </c>
      <c r="AJ404" t="str">
        <f>_xlfn.IFNA(IF(AE404 &lt; (INDEX(SLATable[Maximum SLA],MATCH(G404,SLATable[Priority],0))),"YES","NO"),"")</f>
        <v/>
      </c>
    </row>
    <row r="405" spans="26:36" ht="15" customHeight="1">
      <c r="Z405" s="76" t="e">
        <f t="shared" ca="1" si="48"/>
        <v>#N/A</v>
      </c>
      <c r="AA405" s="75" t="e">
        <f t="shared" ca="1" si="44"/>
        <v>#N/A</v>
      </c>
      <c r="AB405" s="76">
        <f t="shared" ca="1" si="49"/>
        <v>0</v>
      </c>
      <c r="AC405" s="75">
        <f t="shared" ca="1" si="45"/>
        <v>0</v>
      </c>
      <c r="AD405" s="76">
        <f t="shared" ca="1" si="50"/>
        <v>12388.425642361111</v>
      </c>
      <c r="AE405" s="76">
        <f t="shared" si="51"/>
        <v>0</v>
      </c>
      <c r="AF405" s="75">
        <f t="shared" si="46"/>
        <v>0</v>
      </c>
      <c r="AG405" s="75">
        <f t="shared" si="47"/>
        <v>0</v>
      </c>
      <c r="AH405" s="31" t="e" cm="1">
        <f t="array" aca="1" ref="AH405" ca="1">IF((AD405) &lt; (INDEX(ResponseSLA[#All],(MATCH((G405),ResponseSLA[Priority],0))+1,3)),"YES","No")</f>
        <v>#N/A</v>
      </c>
      <c r="AI405" s="31" t="str">
        <f>_xlfn.IFNA(IF(AE405 &lt; (INDEX(SLATable[Minimum SLA],MATCH(G405,SLATable[Priority],0))),"YES","NO"),"")</f>
        <v/>
      </c>
      <c r="AJ405" t="str">
        <f>_xlfn.IFNA(IF(AE405 &lt; (INDEX(SLATable[Maximum SLA],MATCH(G405,SLATable[Priority],0))),"YES","NO"),"")</f>
        <v/>
      </c>
    </row>
    <row r="406" spans="26:36" ht="15" customHeight="1">
      <c r="Z406" s="76" t="e">
        <f t="shared" ca="1" si="48"/>
        <v>#N/A</v>
      </c>
      <c r="AA406" s="75" t="e">
        <f t="shared" ca="1" si="44"/>
        <v>#N/A</v>
      </c>
      <c r="AB406" s="76">
        <f t="shared" ca="1" si="49"/>
        <v>0</v>
      </c>
      <c r="AC406" s="75">
        <f t="shared" ca="1" si="45"/>
        <v>0</v>
      </c>
      <c r="AD406" s="76">
        <f t="shared" ca="1" si="50"/>
        <v>12388.425642129634</v>
      </c>
      <c r="AE406" s="76">
        <f t="shared" si="51"/>
        <v>0</v>
      </c>
      <c r="AF406" s="75">
        <f t="shared" si="46"/>
        <v>0</v>
      </c>
      <c r="AG406" s="75">
        <f t="shared" si="47"/>
        <v>0</v>
      </c>
      <c r="AH406" s="31" t="e" cm="1">
        <f t="array" aca="1" ref="AH406" ca="1">IF((AD406) &lt; (INDEX(ResponseSLA[#All],(MATCH((G406),ResponseSLA[Priority],0))+1,3)),"YES","No")</f>
        <v>#N/A</v>
      </c>
      <c r="AI406" s="31" t="str">
        <f>_xlfn.IFNA(IF(AE406 &lt; (INDEX(SLATable[Minimum SLA],MATCH(G406,SLATable[Priority],0))),"YES","NO"),"")</f>
        <v/>
      </c>
      <c r="AJ406" t="str">
        <f>_xlfn.IFNA(IF(AE406 &lt; (INDEX(SLATable[Maximum SLA],MATCH(G406,SLATable[Priority],0))),"YES","NO"),"")</f>
        <v/>
      </c>
    </row>
    <row r="407" spans="26:36" ht="15" customHeight="1">
      <c r="Z407" s="76" t="e">
        <f t="shared" ca="1" si="48"/>
        <v>#N/A</v>
      </c>
      <c r="AA407" s="75" t="e">
        <f t="shared" ca="1" si="44"/>
        <v>#N/A</v>
      </c>
      <c r="AB407" s="76">
        <f t="shared" ca="1" si="49"/>
        <v>0</v>
      </c>
      <c r="AC407" s="75">
        <f t="shared" ca="1" si="45"/>
        <v>0</v>
      </c>
      <c r="AD407" s="76">
        <f t="shared" ca="1" si="50"/>
        <v>12388.425642129634</v>
      </c>
      <c r="AE407" s="76">
        <f t="shared" si="51"/>
        <v>0</v>
      </c>
      <c r="AF407" s="75">
        <f t="shared" si="46"/>
        <v>0</v>
      </c>
      <c r="AG407" s="75">
        <f t="shared" si="47"/>
        <v>0</v>
      </c>
      <c r="AH407" s="31" t="e" cm="1">
        <f t="array" aca="1" ref="AH407" ca="1">IF((AD407) &lt; (INDEX(ResponseSLA[#All],(MATCH((G407),ResponseSLA[Priority],0))+1,3)),"YES","No")</f>
        <v>#N/A</v>
      </c>
      <c r="AI407" s="31" t="str">
        <f>_xlfn.IFNA(IF(AE407 &lt; (INDEX(SLATable[Minimum SLA],MATCH(G407,SLATable[Priority],0))),"YES","NO"),"")</f>
        <v/>
      </c>
      <c r="AJ407" t="str">
        <f>_xlfn.IFNA(IF(AE407 &lt; (INDEX(SLATable[Maximum SLA],MATCH(G407,SLATable[Priority],0))),"YES","NO"),"")</f>
        <v/>
      </c>
    </row>
    <row r="408" spans="26:36" ht="15" customHeight="1">
      <c r="Z408" s="76" t="e">
        <f t="shared" ca="1" si="48"/>
        <v>#N/A</v>
      </c>
      <c r="AA408" s="75" t="e">
        <f t="shared" ca="1" si="44"/>
        <v>#N/A</v>
      </c>
      <c r="AB408" s="76">
        <f t="shared" ca="1" si="49"/>
        <v>0</v>
      </c>
      <c r="AC408" s="75">
        <f t="shared" ca="1" si="45"/>
        <v>0</v>
      </c>
      <c r="AD408" s="76">
        <f t="shared" ca="1" si="50"/>
        <v>12388.425642361111</v>
      </c>
      <c r="AE408" s="76">
        <f t="shared" si="51"/>
        <v>0</v>
      </c>
      <c r="AF408" s="75">
        <f t="shared" si="46"/>
        <v>0</v>
      </c>
      <c r="AG408" s="75">
        <f t="shared" si="47"/>
        <v>0</v>
      </c>
      <c r="AH408" s="31" t="e" cm="1">
        <f t="array" aca="1" ref="AH408" ca="1">IF((AD408) &lt; (INDEX(ResponseSLA[#All],(MATCH((G408),ResponseSLA[Priority],0))+1,3)),"YES","No")</f>
        <v>#N/A</v>
      </c>
      <c r="AI408" s="31" t="str">
        <f>_xlfn.IFNA(IF(AE408 &lt; (INDEX(SLATable[Minimum SLA],MATCH(G408,SLATable[Priority],0))),"YES","NO"),"")</f>
        <v/>
      </c>
      <c r="AJ408" t="str">
        <f>_xlfn.IFNA(IF(AE408 &lt; (INDEX(SLATable[Maximum SLA],MATCH(G408,SLATable[Priority],0))),"YES","NO"),"")</f>
        <v/>
      </c>
    </row>
    <row r="409" spans="26:36" ht="15" customHeight="1">
      <c r="Z409" s="76" t="e">
        <f t="shared" ca="1" si="48"/>
        <v>#N/A</v>
      </c>
      <c r="AA409" s="75" t="e">
        <f t="shared" ca="1" si="44"/>
        <v>#N/A</v>
      </c>
      <c r="AB409" s="76">
        <f t="shared" ca="1" si="49"/>
        <v>0</v>
      </c>
      <c r="AC409" s="75">
        <f t="shared" ca="1" si="45"/>
        <v>0</v>
      </c>
      <c r="AD409" s="76">
        <f t="shared" ca="1" si="50"/>
        <v>12388.425642129634</v>
      </c>
      <c r="AE409" s="76">
        <f t="shared" si="51"/>
        <v>0</v>
      </c>
      <c r="AF409" s="75">
        <f t="shared" si="46"/>
        <v>0</v>
      </c>
      <c r="AG409" s="75">
        <f t="shared" si="47"/>
        <v>0</v>
      </c>
      <c r="AH409" s="31" t="e" cm="1">
        <f t="array" aca="1" ref="AH409" ca="1">IF((AD409) &lt; (INDEX(ResponseSLA[#All],(MATCH((G409),ResponseSLA[Priority],0))+1,3)),"YES","No")</f>
        <v>#N/A</v>
      </c>
      <c r="AI409" s="31" t="str">
        <f>_xlfn.IFNA(IF(AE409 &lt; (INDEX(SLATable[Minimum SLA],MATCH(G409,SLATable[Priority],0))),"YES","NO"),"")</f>
        <v/>
      </c>
      <c r="AJ409" t="str">
        <f>_xlfn.IFNA(IF(AE409 &lt; (INDEX(SLATable[Maximum SLA],MATCH(G409,SLATable[Priority],0))),"YES","NO"),"")</f>
        <v/>
      </c>
    </row>
    <row r="410" spans="26:36" ht="15" customHeight="1">
      <c r="Z410" s="76" t="e">
        <f t="shared" ca="1" si="48"/>
        <v>#N/A</v>
      </c>
      <c r="AA410" s="75" t="e">
        <f t="shared" ca="1" si="44"/>
        <v>#N/A</v>
      </c>
      <c r="AB410" s="76">
        <f t="shared" ca="1" si="49"/>
        <v>0</v>
      </c>
      <c r="AC410" s="75">
        <f t="shared" ca="1" si="45"/>
        <v>0</v>
      </c>
      <c r="AD410" s="76">
        <f t="shared" ca="1" si="50"/>
        <v>12388.425642129634</v>
      </c>
      <c r="AE410" s="76">
        <f t="shared" si="51"/>
        <v>0</v>
      </c>
      <c r="AF410" s="75">
        <f t="shared" si="46"/>
        <v>0</v>
      </c>
      <c r="AG410" s="75">
        <f t="shared" si="47"/>
        <v>0</v>
      </c>
      <c r="AH410" s="31" t="e" cm="1">
        <f t="array" aca="1" ref="AH410" ca="1">IF((AD410) &lt; (INDEX(ResponseSLA[#All],(MATCH((G410),ResponseSLA[Priority],0))+1,3)),"YES","No")</f>
        <v>#N/A</v>
      </c>
      <c r="AI410" s="31" t="str">
        <f>_xlfn.IFNA(IF(AE410 &lt; (INDEX(SLATable[Minimum SLA],MATCH(G410,SLATable[Priority],0))),"YES","NO"),"")</f>
        <v/>
      </c>
      <c r="AJ410" t="str">
        <f>_xlfn.IFNA(IF(AE410 &lt; (INDEX(SLATable[Maximum SLA],MATCH(G410,SLATable[Priority],0))),"YES","NO"),"")</f>
        <v/>
      </c>
    </row>
    <row r="411" spans="26:36" ht="15" customHeight="1">
      <c r="Z411" s="76" t="e">
        <f t="shared" ca="1" si="48"/>
        <v>#N/A</v>
      </c>
      <c r="AA411" s="75" t="e">
        <f t="shared" ca="1" si="44"/>
        <v>#N/A</v>
      </c>
      <c r="AB411" s="76">
        <f t="shared" ca="1" si="49"/>
        <v>0</v>
      </c>
      <c r="AC411" s="75">
        <f t="shared" ca="1" si="45"/>
        <v>0</v>
      </c>
      <c r="AD411" s="76">
        <f t="shared" ca="1" si="50"/>
        <v>12388.425642361111</v>
      </c>
      <c r="AE411" s="76">
        <f t="shared" si="51"/>
        <v>0</v>
      </c>
      <c r="AF411" s="75">
        <f t="shared" si="46"/>
        <v>0</v>
      </c>
      <c r="AG411" s="75">
        <f t="shared" si="47"/>
        <v>0</v>
      </c>
      <c r="AH411" s="31" t="e" cm="1">
        <f t="array" aca="1" ref="AH411" ca="1">IF((AD411) &lt; (INDEX(ResponseSLA[#All],(MATCH((G411),ResponseSLA[Priority],0))+1,3)),"YES","No")</f>
        <v>#N/A</v>
      </c>
      <c r="AI411" s="31" t="str">
        <f>_xlfn.IFNA(IF(AE411 &lt; (INDEX(SLATable[Minimum SLA],MATCH(G411,SLATable[Priority],0))),"YES","NO"),"")</f>
        <v/>
      </c>
      <c r="AJ411" t="str">
        <f>_xlfn.IFNA(IF(AE411 &lt; (INDEX(SLATable[Maximum SLA],MATCH(G411,SLATable[Priority],0))),"YES","NO"),"")</f>
        <v/>
      </c>
    </row>
    <row r="412" spans="26:36" ht="15" customHeight="1">
      <c r="Z412" s="76" t="e">
        <f t="shared" ca="1" si="48"/>
        <v>#N/A</v>
      </c>
      <c r="AA412" s="75" t="e">
        <f t="shared" ca="1" si="44"/>
        <v>#N/A</v>
      </c>
      <c r="AB412" s="76">
        <f t="shared" ca="1" si="49"/>
        <v>0</v>
      </c>
      <c r="AC412" s="75">
        <f t="shared" ca="1" si="45"/>
        <v>0</v>
      </c>
      <c r="AD412" s="76">
        <f t="shared" ca="1" si="50"/>
        <v>12388.425642129634</v>
      </c>
      <c r="AE412" s="76">
        <f t="shared" si="51"/>
        <v>0</v>
      </c>
      <c r="AF412" s="75">
        <f t="shared" si="46"/>
        <v>0</v>
      </c>
      <c r="AG412" s="75">
        <f t="shared" si="47"/>
        <v>0</v>
      </c>
      <c r="AH412" s="31" t="e" cm="1">
        <f t="array" aca="1" ref="AH412" ca="1">IF((AD412) &lt; (INDEX(ResponseSLA[#All],(MATCH((G412),ResponseSLA[Priority],0))+1,3)),"YES","No")</f>
        <v>#N/A</v>
      </c>
      <c r="AI412" s="31" t="str">
        <f>_xlfn.IFNA(IF(AE412 &lt; (INDEX(SLATable[Minimum SLA],MATCH(G412,SLATable[Priority],0))),"YES","NO"),"")</f>
        <v/>
      </c>
      <c r="AJ412" t="str">
        <f>_xlfn.IFNA(IF(AE412 &lt; (INDEX(SLATable[Maximum SLA],MATCH(G412,SLATable[Priority],0))),"YES","NO"),"")</f>
        <v/>
      </c>
    </row>
    <row r="413" spans="26:36" ht="15" customHeight="1">
      <c r="Z413" s="76" t="e">
        <f t="shared" ca="1" si="48"/>
        <v>#N/A</v>
      </c>
      <c r="AA413" s="75" t="e">
        <f t="shared" ca="1" si="44"/>
        <v>#N/A</v>
      </c>
      <c r="AB413" s="76">
        <f t="shared" ca="1" si="49"/>
        <v>0</v>
      </c>
      <c r="AC413" s="75">
        <f t="shared" ca="1" si="45"/>
        <v>0</v>
      </c>
      <c r="AD413" s="76">
        <f t="shared" ca="1" si="50"/>
        <v>12388.425642361111</v>
      </c>
      <c r="AE413" s="76">
        <f t="shared" si="51"/>
        <v>0</v>
      </c>
      <c r="AF413" s="75">
        <f t="shared" si="46"/>
        <v>0</v>
      </c>
      <c r="AG413" s="75">
        <f t="shared" si="47"/>
        <v>0</v>
      </c>
      <c r="AH413" s="31" t="e" cm="1">
        <f t="array" aca="1" ref="AH413" ca="1">IF((AD413) &lt; (INDEX(ResponseSLA[#All],(MATCH((G413),ResponseSLA[Priority],0))+1,3)),"YES","No")</f>
        <v>#N/A</v>
      </c>
      <c r="AI413" s="31" t="str">
        <f>_xlfn.IFNA(IF(AE413 &lt; (INDEX(SLATable[Minimum SLA],MATCH(G413,SLATable[Priority],0))),"YES","NO"),"")</f>
        <v/>
      </c>
      <c r="AJ413" t="str">
        <f>_xlfn.IFNA(IF(AE413 &lt; (INDEX(SLATable[Maximum SLA],MATCH(G413,SLATable[Priority],0))),"YES","NO"),"")</f>
        <v/>
      </c>
    </row>
    <row r="414" spans="26:36" ht="15" customHeight="1">
      <c r="Z414" s="76" t="e">
        <f t="shared" ca="1" si="48"/>
        <v>#N/A</v>
      </c>
      <c r="AA414" s="75" t="e">
        <f t="shared" ca="1" si="44"/>
        <v>#N/A</v>
      </c>
      <c r="AB414" s="76">
        <f t="shared" ca="1" si="49"/>
        <v>0</v>
      </c>
      <c r="AC414" s="75">
        <f t="shared" ca="1" si="45"/>
        <v>0</v>
      </c>
      <c r="AD414" s="76">
        <f t="shared" ca="1" si="50"/>
        <v>12388.425642361111</v>
      </c>
      <c r="AE414" s="76">
        <f t="shared" si="51"/>
        <v>0</v>
      </c>
      <c r="AF414" s="75">
        <f t="shared" si="46"/>
        <v>0</v>
      </c>
      <c r="AG414" s="75">
        <f t="shared" si="47"/>
        <v>0</v>
      </c>
      <c r="AH414" s="31" t="e" cm="1">
        <f t="array" aca="1" ref="AH414" ca="1">IF((AD414) &lt; (INDEX(ResponseSLA[#All],(MATCH((G414),ResponseSLA[Priority],0))+1,3)),"YES","No")</f>
        <v>#N/A</v>
      </c>
      <c r="AI414" s="31" t="str">
        <f>_xlfn.IFNA(IF(AE414 &lt; (INDEX(SLATable[Minimum SLA],MATCH(G414,SLATable[Priority],0))),"YES","NO"),"")</f>
        <v/>
      </c>
      <c r="AJ414" t="str">
        <f>_xlfn.IFNA(IF(AE414 &lt; (INDEX(SLATable[Maximum SLA],MATCH(G414,SLATable[Priority],0))),"YES","NO"),"")</f>
        <v/>
      </c>
    </row>
    <row r="415" spans="26:36" ht="15" customHeight="1">
      <c r="Z415" s="76" t="e">
        <f t="shared" ca="1" si="48"/>
        <v>#N/A</v>
      </c>
      <c r="AA415" s="75" t="e">
        <f t="shared" ca="1" si="44"/>
        <v>#N/A</v>
      </c>
      <c r="AB415" s="76">
        <f t="shared" ca="1" si="49"/>
        <v>0</v>
      </c>
      <c r="AC415" s="75">
        <f t="shared" ca="1" si="45"/>
        <v>0</v>
      </c>
      <c r="AD415" s="76">
        <f t="shared" ca="1" si="50"/>
        <v>12388.425642129634</v>
      </c>
      <c r="AE415" s="76">
        <f t="shared" si="51"/>
        <v>0</v>
      </c>
      <c r="AF415" s="75">
        <f t="shared" si="46"/>
        <v>0</v>
      </c>
      <c r="AG415" s="75">
        <f t="shared" si="47"/>
        <v>0</v>
      </c>
      <c r="AH415" s="31" t="e" cm="1">
        <f t="array" aca="1" ref="AH415" ca="1">IF((AD415) &lt; (INDEX(ResponseSLA[#All],(MATCH((G415),ResponseSLA[Priority],0))+1,3)),"YES","No")</f>
        <v>#N/A</v>
      </c>
      <c r="AI415" s="31" t="str">
        <f>_xlfn.IFNA(IF(AE415 &lt; (INDEX(SLATable[Minimum SLA],MATCH(G415,SLATable[Priority],0))),"YES","NO"),"")</f>
        <v/>
      </c>
      <c r="AJ415" t="str">
        <f>_xlfn.IFNA(IF(AE415 &lt; (INDEX(SLATable[Maximum SLA],MATCH(G415,SLATable[Priority],0))),"YES","NO"),"")</f>
        <v/>
      </c>
    </row>
    <row r="416" spans="26:36" ht="15" customHeight="1">
      <c r="Z416" s="76" t="e">
        <f t="shared" ca="1" si="48"/>
        <v>#N/A</v>
      </c>
      <c r="AA416" s="75" t="e">
        <f t="shared" ca="1" si="44"/>
        <v>#N/A</v>
      </c>
      <c r="AB416" s="76">
        <f t="shared" ca="1" si="49"/>
        <v>0</v>
      </c>
      <c r="AC416" s="75">
        <f t="shared" ca="1" si="45"/>
        <v>0</v>
      </c>
      <c r="AD416" s="76">
        <f t="shared" ca="1" si="50"/>
        <v>12388.425642361111</v>
      </c>
      <c r="AE416" s="76">
        <f t="shared" si="51"/>
        <v>0</v>
      </c>
      <c r="AF416" s="75">
        <f t="shared" si="46"/>
        <v>0</v>
      </c>
      <c r="AG416" s="75">
        <f t="shared" si="47"/>
        <v>0</v>
      </c>
      <c r="AH416" s="31" t="e" cm="1">
        <f t="array" aca="1" ref="AH416" ca="1">IF((AD416) &lt; (INDEX(ResponseSLA[#All],(MATCH((G416),ResponseSLA[Priority],0))+1,3)),"YES","No")</f>
        <v>#N/A</v>
      </c>
      <c r="AI416" s="31" t="str">
        <f>_xlfn.IFNA(IF(AE416 &lt; (INDEX(SLATable[Minimum SLA],MATCH(G416,SLATable[Priority],0))),"YES","NO"),"")</f>
        <v/>
      </c>
      <c r="AJ416" t="str">
        <f>_xlfn.IFNA(IF(AE416 &lt; (INDEX(SLATable[Maximum SLA],MATCH(G416,SLATable[Priority],0))),"YES","NO"),"")</f>
        <v/>
      </c>
    </row>
    <row r="417" spans="26:36" ht="15" customHeight="1">
      <c r="Z417" s="76" t="e">
        <f t="shared" ca="1" si="48"/>
        <v>#N/A</v>
      </c>
      <c r="AA417" s="75" t="e">
        <f t="shared" ca="1" si="44"/>
        <v>#N/A</v>
      </c>
      <c r="AB417" s="76">
        <f t="shared" ca="1" si="49"/>
        <v>0</v>
      </c>
      <c r="AC417" s="75">
        <f t="shared" ca="1" si="45"/>
        <v>0</v>
      </c>
      <c r="AD417" s="76">
        <f t="shared" ca="1" si="50"/>
        <v>12388.425642361111</v>
      </c>
      <c r="AE417" s="76">
        <f t="shared" si="51"/>
        <v>0</v>
      </c>
      <c r="AF417" s="75">
        <f t="shared" si="46"/>
        <v>0</v>
      </c>
      <c r="AG417" s="75">
        <f t="shared" si="47"/>
        <v>0</v>
      </c>
      <c r="AH417" s="31" t="e" cm="1">
        <f t="array" aca="1" ref="AH417" ca="1">IF((AD417) &lt; (INDEX(ResponseSLA[#All],(MATCH((G417),ResponseSLA[Priority],0))+1,3)),"YES","No")</f>
        <v>#N/A</v>
      </c>
      <c r="AI417" s="31" t="str">
        <f>_xlfn.IFNA(IF(AE417 &lt; (INDEX(SLATable[Minimum SLA],MATCH(G417,SLATable[Priority],0))),"YES","NO"),"")</f>
        <v/>
      </c>
      <c r="AJ417" t="str">
        <f>_xlfn.IFNA(IF(AE417 &lt; (INDEX(SLATable[Maximum SLA],MATCH(G417,SLATable[Priority],0))),"YES","NO"),"")</f>
        <v/>
      </c>
    </row>
    <row r="418" spans="26:36" ht="15" customHeight="1">
      <c r="Z418" s="76" t="e">
        <f t="shared" ca="1" si="48"/>
        <v>#N/A</v>
      </c>
      <c r="AA418" s="75" t="e">
        <f t="shared" ca="1" si="44"/>
        <v>#N/A</v>
      </c>
      <c r="AB418" s="76">
        <f t="shared" ca="1" si="49"/>
        <v>0</v>
      </c>
      <c r="AC418" s="75">
        <f t="shared" ca="1" si="45"/>
        <v>0</v>
      </c>
      <c r="AD418" s="76">
        <f t="shared" ca="1" si="50"/>
        <v>12388.425642129634</v>
      </c>
      <c r="AE418" s="76">
        <f t="shared" si="51"/>
        <v>0</v>
      </c>
      <c r="AF418" s="75">
        <f t="shared" si="46"/>
        <v>0</v>
      </c>
      <c r="AG418" s="75">
        <f t="shared" si="47"/>
        <v>0</v>
      </c>
      <c r="AH418" s="31" t="e" cm="1">
        <f t="array" aca="1" ref="AH418" ca="1">IF((AD418) &lt; (INDEX(ResponseSLA[#All],(MATCH((G418),ResponseSLA[Priority],0))+1,3)),"YES","No")</f>
        <v>#N/A</v>
      </c>
      <c r="AI418" s="31" t="str">
        <f>_xlfn.IFNA(IF(AE418 &lt; (INDEX(SLATable[Minimum SLA],MATCH(G418,SLATable[Priority],0))),"YES","NO"),"")</f>
        <v/>
      </c>
      <c r="AJ418" t="str">
        <f>_xlfn.IFNA(IF(AE418 &lt; (INDEX(SLATable[Maximum SLA],MATCH(G418,SLATable[Priority],0))),"YES","NO"),"")</f>
        <v/>
      </c>
    </row>
    <row r="419" spans="26:36" ht="15" customHeight="1">
      <c r="Z419" s="76" t="e">
        <f t="shared" ca="1" si="48"/>
        <v>#N/A</v>
      </c>
      <c r="AA419" s="75" t="e">
        <f t="shared" ca="1" si="44"/>
        <v>#N/A</v>
      </c>
      <c r="AB419" s="76">
        <f t="shared" ca="1" si="49"/>
        <v>0</v>
      </c>
      <c r="AC419" s="75">
        <f t="shared" ca="1" si="45"/>
        <v>0</v>
      </c>
      <c r="AD419" s="76">
        <f t="shared" ca="1" si="50"/>
        <v>12388.425642361111</v>
      </c>
      <c r="AE419" s="76">
        <f t="shared" si="51"/>
        <v>0</v>
      </c>
      <c r="AF419" s="75">
        <f t="shared" si="46"/>
        <v>0</v>
      </c>
      <c r="AG419" s="75">
        <f t="shared" si="47"/>
        <v>0</v>
      </c>
      <c r="AH419" s="31" t="e" cm="1">
        <f t="array" aca="1" ref="AH419" ca="1">IF((AD419) &lt; (INDEX(ResponseSLA[#All],(MATCH((G419),ResponseSLA[Priority],0))+1,3)),"YES","No")</f>
        <v>#N/A</v>
      </c>
      <c r="AI419" s="31" t="str">
        <f>_xlfn.IFNA(IF(AE419 &lt; (INDEX(SLATable[Minimum SLA],MATCH(G419,SLATable[Priority],0))),"YES","NO"),"")</f>
        <v/>
      </c>
      <c r="AJ419" t="str">
        <f>_xlfn.IFNA(IF(AE419 &lt; (INDEX(SLATable[Maximum SLA],MATCH(G419,SLATable[Priority],0))),"YES","NO"),"")</f>
        <v/>
      </c>
    </row>
    <row r="420" spans="26:36" ht="15" customHeight="1">
      <c r="Z420" s="76" t="e">
        <f t="shared" ca="1" si="48"/>
        <v>#N/A</v>
      </c>
      <c r="AA420" s="75" t="e">
        <f t="shared" ca="1" si="44"/>
        <v>#N/A</v>
      </c>
      <c r="AB420" s="76">
        <f t="shared" ca="1" si="49"/>
        <v>0</v>
      </c>
      <c r="AC420" s="75">
        <f t="shared" ca="1" si="45"/>
        <v>0</v>
      </c>
      <c r="AD420" s="76">
        <f t="shared" ca="1" si="50"/>
        <v>12388.425642361111</v>
      </c>
      <c r="AE420" s="76">
        <f t="shared" si="51"/>
        <v>0</v>
      </c>
      <c r="AF420" s="75">
        <f t="shared" si="46"/>
        <v>0</v>
      </c>
      <c r="AG420" s="75">
        <f t="shared" si="47"/>
        <v>0</v>
      </c>
      <c r="AH420" s="31" t="e" cm="1">
        <f t="array" aca="1" ref="AH420" ca="1">IF((AD420) &lt; (INDEX(ResponseSLA[#All],(MATCH((G420),ResponseSLA[Priority],0))+1,3)),"YES","No")</f>
        <v>#N/A</v>
      </c>
      <c r="AI420" s="31" t="str">
        <f>_xlfn.IFNA(IF(AE420 &lt; (INDEX(SLATable[Minimum SLA],MATCH(G420,SLATable[Priority],0))),"YES","NO"),"")</f>
        <v/>
      </c>
      <c r="AJ420" t="str">
        <f>_xlfn.IFNA(IF(AE420 &lt; (INDEX(SLATable[Maximum SLA],MATCH(G420,SLATable[Priority],0))),"YES","NO"),"")</f>
        <v/>
      </c>
    </row>
    <row r="421" spans="26:36" ht="15" customHeight="1">
      <c r="Z421" s="76" t="e">
        <f t="shared" ca="1" si="48"/>
        <v>#N/A</v>
      </c>
      <c r="AA421" s="75" t="e">
        <f t="shared" ca="1" si="44"/>
        <v>#N/A</v>
      </c>
      <c r="AB421" s="76">
        <f t="shared" ca="1" si="49"/>
        <v>0</v>
      </c>
      <c r="AC421" s="75">
        <f t="shared" ca="1" si="45"/>
        <v>0</v>
      </c>
      <c r="AD421" s="76">
        <f t="shared" ca="1" si="50"/>
        <v>12388.425642129634</v>
      </c>
      <c r="AE421" s="76">
        <f t="shared" si="51"/>
        <v>0</v>
      </c>
      <c r="AF421" s="75">
        <f t="shared" si="46"/>
        <v>0</v>
      </c>
      <c r="AG421" s="75">
        <f t="shared" si="47"/>
        <v>0</v>
      </c>
      <c r="AH421" s="31" t="e" cm="1">
        <f t="array" aca="1" ref="AH421" ca="1">IF((AD421) &lt; (INDEX(ResponseSLA[#All],(MATCH((G421),ResponseSLA[Priority],0))+1,3)),"YES","No")</f>
        <v>#N/A</v>
      </c>
      <c r="AI421" s="31" t="str">
        <f>_xlfn.IFNA(IF(AE421 &lt; (INDEX(SLATable[Minimum SLA],MATCH(G421,SLATable[Priority],0))),"YES","NO"),"")</f>
        <v/>
      </c>
      <c r="AJ421" t="str">
        <f>_xlfn.IFNA(IF(AE421 &lt; (INDEX(SLATable[Maximum SLA],MATCH(G421,SLATable[Priority],0))),"YES","NO"),"")</f>
        <v/>
      </c>
    </row>
    <row r="422" spans="26:36" ht="15" customHeight="1">
      <c r="Z422" s="76" t="e">
        <f t="shared" ca="1" si="48"/>
        <v>#N/A</v>
      </c>
      <c r="AA422" s="75" t="e">
        <f t="shared" ca="1" si="44"/>
        <v>#N/A</v>
      </c>
      <c r="AB422" s="76">
        <f t="shared" ca="1" si="49"/>
        <v>0</v>
      </c>
      <c r="AC422" s="75">
        <f t="shared" ca="1" si="45"/>
        <v>0</v>
      </c>
      <c r="AD422" s="76">
        <f t="shared" ca="1" si="50"/>
        <v>12388.425642361111</v>
      </c>
      <c r="AE422" s="76">
        <f t="shared" si="51"/>
        <v>0</v>
      </c>
      <c r="AF422" s="75">
        <f t="shared" si="46"/>
        <v>0</v>
      </c>
      <c r="AG422" s="75">
        <f t="shared" si="47"/>
        <v>0</v>
      </c>
      <c r="AH422" s="31" t="e" cm="1">
        <f t="array" aca="1" ref="AH422" ca="1">IF((AD422) &lt; (INDEX(ResponseSLA[#All],(MATCH((G422),ResponseSLA[Priority],0))+1,3)),"YES","No")</f>
        <v>#N/A</v>
      </c>
      <c r="AI422" s="31" t="str">
        <f>_xlfn.IFNA(IF(AE422 &lt; (INDEX(SLATable[Minimum SLA],MATCH(G422,SLATable[Priority],0))),"YES","NO"),"")</f>
        <v/>
      </c>
      <c r="AJ422" t="str">
        <f>_xlfn.IFNA(IF(AE422 &lt; (INDEX(SLATable[Maximum SLA],MATCH(G422,SLATable[Priority],0))),"YES","NO"),"")</f>
        <v/>
      </c>
    </row>
    <row r="423" spans="26:36" ht="15" customHeight="1">
      <c r="Z423" s="76" t="e">
        <f t="shared" ca="1" si="48"/>
        <v>#N/A</v>
      </c>
      <c r="AA423" s="75" t="e">
        <f t="shared" ca="1" si="44"/>
        <v>#N/A</v>
      </c>
      <c r="AB423" s="76">
        <f t="shared" ca="1" si="49"/>
        <v>0</v>
      </c>
      <c r="AC423" s="75">
        <f t="shared" ca="1" si="45"/>
        <v>0</v>
      </c>
      <c r="AD423" s="76">
        <f t="shared" ca="1" si="50"/>
        <v>12388.425642361111</v>
      </c>
      <c r="AE423" s="76">
        <f t="shared" si="51"/>
        <v>0</v>
      </c>
      <c r="AF423" s="75">
        <f t="shared" si="46"/>
        <v>0</v>
      </c>
      <c r="AG423" s="75">
        <f t="shared" si="47"/>
        <v>0</v>
      </c>
      <c r="AH423" s="31" t="e" cm="1">
        <f t="array" aca="1" ref="AH423" ca="1">IF((AD423) &lt; (INDEX(ResponseSLA[#All],(MATCH((G423),ResponseSLA[Priority],0))+1,3)),"YES","No")</f>
        <v>#N/A</v>
      </c>
      <c r="AI423" s="31" t="str">
        <f>_xlfn.IFNA(IF(AE423 &lt; (INDEX(SLATable[Minimum SLA],MATCH(G423,SLATable[Priority],0))),"YES","NO"),"")</f>
        <v/>
      </c>
      <c r="AJ423" t="str">
        <f>_xlfn.IFNA(IF(AE423 &lt; (INDEX(SLATable[Maximum SLA],MATCH(G423,SLATable[Priority],0))),"YES","NO"),"")</f>
        <v/>
      </c>
    </row>
    <row r="424" spans="26:36" ht="15" customHeight="1">
      <c r="Z424" s="76" t="e">
        <f t="shared" ca="1" si="48"/>
        <v>#N/A</v>
      </c>
      <c r="AA424" s="75" t="e">
        <f t="shared" ca="1" si="44"/>
        <v>#N/A</v>
      </c>
      <c r="AB424" s="76">
        <f t="shared" ca="1" si="49"/>
        <v>0</v>
      </c>
      <c r="AC424" s="75">
        <f t="shared" ca="1" si="45"/>
        <v>0</v>
      </c>
      <c r="AD424" s="76">
        <f t="shared" ca="1" si="50"/>
        <v>12388.425642129634</v>
      </c>
      <c r="AE424" s="76">
        <f t="shared" si="51"/>
        <v>0</v>
      </c>
      <c r="AF424" s="75">
        <f t="shared" si="46"/>
        <v>0</v>
      </c>
      <c r="AG424" s="75">
        <f t="shared" si="47"/>
        <v>0</v>
      </c>
      <c r="AH424" s="31" t="e" cm="1">
        <f t="array" aca="1" ref="AH424" ca="1">IF((AD424) &lt; (INDEX(ResponseSLA[#All],(MATCH((G424),ResponseSLA[Priority],0))+1,3)),"YES","No")</f>
        <v>#N/A</v>
      </c>
      <c r="AI424" s="31" t="str">
        <f>_xlfn.IFNA(IF(AE424 &lt; (INDEX(SLATable[Minimum SLA],MATCH(G424,SLATable[Priority],0))),"YES","NO"),"")</f>
        <v/>
      </c>
      <c r="AJ424" t="str">
        <f>_xlfn.IFNA(IF(AE424 &lt; (INDEX(SLATable[Maximum SLA],MATCH(G424,SLATable[Priority],0))),"YES","NO"),"")</f>
        <v/>
      </c>
    </row>
    <row r="425" spans="26:36" ht="15" customHeight="1">
      <c r="Z425" s="76" t="e">
        <f t="shared" ca="1" si="48"/>
        <v>#N/A</v>
      </c>
      <c r="AA425" s="75" t="e">
        <f t="shared" ca="1" si="44"/>
        <v>#N/A</v>
      </c>
      <c r="AB425" s="76">
        <f t="shared" ca="1" si="49"/>
        <v>0</v>
      </c>
      <c r="AC425" s="75">
        <f t="shared" ca="1" si="45"/>
        <v>0</v>
      </c>
      <c r="AD425" s="76">
        <f t="shared" ca="1" si="50"/>
        <v>12388.425642361111</v>
      </c>
      <c r="AE425" s="76">
        <f t="shared" si="51"/>
        <v>0</v>
      </c>
      <c r="AF425" s="75">
        <f t="shared" si="46"/>
        <v>0</v>
      </c>
      <c r="AG425" s="75">
        <f t="shared" si="47"/>
        <v>0</v>
      </c>
      <c r="AH425" s="31" t="e" cm="1">
        <f t="array" aca="1" ref="AH425" ca="1">IF((AD425) &lt; (INDEX(ResponseSLA[#All],(MATCH((G425),ResponseSLA[Priority],0))+1,3)),"YES","No")</f>
        <v>#N/A</v>
      </c>
      <c r="AI425" s="31" t="str">
        <f>_xlfn.IFNA(IF(AE425 &lt; (INDEX(SLATable[Minimum SLA],MATCH(G425,SLATable[Priority],0))),"YES","NO"),"")</f>
        <v/>
      </c>
      <c r="AJ425" t="str">
        <f>_xlfn.IFNA(IF(AE425 &lt; (INDEX(SLATable[Maximum SLA],MATCH(G425,SLATable[Priority],0))),"YES","NO"),"")</f>
        <v/>
      </c>
    </row>
    <row r="426" spans="26:36" ht="15" customHeight="1">
      <c r="Z426" s="76" t="e">
        <f t="shared" ca="1" si="48"/>
        <v>#N/A</v>
      </c>
      <c r="AA426" s="75" t="e">
        <f t="shared" ca="1" si="44"/>
        <v>#N/A</v>
      </c>
      <c r="AB426" s="76">
        <f t="shared" ca="1" si="49"/>
        <v>0</v>
      </c>
      <c r="AC426" s="75">
        <f t="shared" ca="1" si="45"/>
        <v>0</v>
      </c>
      <c r="AD426" s="76">
        <f t="shared" ca="1" si="50"/>
        <v>12388.425642361111</v>
      </c>
      <c r="AE426" s="76">
        <f t="shared" si="51"/>
        <v>0</v>
      </c>
      <c r="AF426" s="75">
        <f t="shared" si="46"/>
        <v>0</v>
      </c>
      <c r="AG426" s="75">
        <f t="shared" si="47"/>
        <v>0</v>
      </c>
      <c r="AH426" s="31" t="e" cm="1">
        <f t="array" aca="1" ref="AH426" ca="1">IF((AD426) &lt; (INDEX(ResponseSLA[#All],(MATCH((G426),ResponseSLA[Priority],0))+1,3)),"YES","No")</f>
        <v>#N/A</v>
      </c>
      <c r="AI426" s="31" t="str">
        <f>_xlfn.IFNA(IF(AE426 &lt; (INDEX(SLATable[Minimum SLA],MATCH(G426,SLATable[Priority],0))),"YES","NO"),"")</f>
        <v/>
      </c>
      <c r="AJ426" t="str">
        <f>_xlfn.IFNA(IF(AE426 &lt; (INDEX(SLATable[Maximum SLA],MATCH(G426,SLATable[Priority],0))),"YES","NO"),"")</f>
        <v/>
      </c>
    </row>
    <row r="427" spans="26:36" ht="15" customHeight="1">
      <c r="Z427" s="76" t="e">
        <f t="shared" ca="1" si="48"/>
        <v>#N/A</v>
      </c>
      <c r="AA427" s="75" t="e">
        <f t="shared" ca="1" si="44"/>
        <v>#N/A</v>
      </c>
      <c r="AB427" s="76">
        <f t="shared" ca="1" si="49"/>
        <v>0</v>
      </c>
      <c r="AC427" s="75">
        <f t="shared" ca="1" si="45"/>
        <v>0</v>
      </c>
      <c r="AD427" s="76">
        <f t="shared" ca="1" si="50"/>
        <v>12388.425642361111</v>
      </c>
      <c r="AE427" s="76">
        <f t="shared" si="51"/>
        <v>0</v>
      </c>
      <c r="AF427" s="75">
        <f t="shared" si="46"/>
        <v>0</v>
      </c>
      <c r="AG427" s="75">
        <f t="shared" si="47"/>
        <v>0</v>
      </c>
      <c r="AH427" s="31" t="e" cm="1">
        <f t="array" aca="1" ref="AH427" ca="1">IF((AD427) &lt; (INDEX(ResponseSLA[#All],(MATCH((G427),ResponseSLA[Priority],0))+1,3)),"YES","No")</f>
        <v>#N/A</v>
      </c>
      <c r="AI427" s="31" t="str">
        <f>_xlfn.IFNA(IF(AE427 &lt; (INDEX(SLATable[Minimum SLA],MATCH(G427,SLATable[Priority],0))),"YES","NO"),"")</f>
        <v/>
      </c>
      <c r="AJ427" t="str">
        <f>_xlfn.IFNA(IF(AE427 &lt; (INDEX(SLATable[Maximum SLA],MATCH(G427,SLATable[Priority],0))),"YES","NO"),"")</f>
        <v/>
      </c>
    </row>
    <row r="428" spans="26:36" ht="15" customHeight="1">
      <c r="Z428" s="76" t="e">
        <f t="shared" ca="1" si="48"/>
        <v>#N/A</v>
      </c>
      <c r="AA428" s="75" t="e">
        <f t="shared" ca="1" si="44"/>
        <v>#N/A</v>
      </c>
      <c r="AB428" s="76">
        <f t="shared" ca="1" si="49"/>
        <v>0</v>
      </c>
      <c r="AC428" s="75">
        <f t="shared" ca="1" si="45"/>
        <v>0</v>
      </c>
      <c r="AD428" s="76">
        <f t="shared" ca="1" si="50"/>
        <v>12388.425642361111</v>
      </c>
      <c r="AE428" s="76">
        <f t="shared" si="51"/>
        <v>0</v>
      </c>
      <c r="AF428" s="75">
        <f t="shared" si="46"/>
        <v>0</v>
      </c>
      <c r="AG428" s="75">
        <f t="shared" si="47"/>
        <v>0</v>
      </c>
      <c r="AH428" s="31" t="e" cm="1">
        <f t="array" aca="1" ref="AH428" ca="1">IF((AD428) &lt; (INDEX(ResponseSLA[#All],(MATCH((G428),ResponseSLA[Priority],0))+1,3)),"YES","No")</f>
        <v>#N/A</v>
      </c>
      <c r="AI428" s="31" t="str">
        <f>_xlfn.IFNA(IF(AE428 &lt; (INDEX(SLATable[Minimum SLA],MATCH(G428,SLATable[Priority],0))),"YES","NO"),"")</f>
        <v/>
      </c>
      <c r="AJ428" t="str">
        <f>_xlfn.IFNA(IF(AE428 &lt; (INDEX(SLATable[Maximum SLA],MATCH(G428,SLATable[Priority],0))),"YES","NO"),"")</f>
        <v/>
      </c>
    </row>
    <row r="429" spans="26:36" ht="15" customHeight="1">
      <c r="Z429" s="76" t="e">
        <f t="shared" ca="1" si="48"/>
        <v>#N/A</v>
      </c>
      <c r="AA429" s="75" t="e">
        <f t="shared" ca="1" si="44"/>
        <v>#N/A</v>
      </c>
      <c r="AB429" s="76">
        <f t="shared" ca="1" si="49"/>
        <v>0</v>
      </c>
      <c r="AC429" s="75">
        <f t="shared" ca="1" si="45"/>
        <v>0</v>
      </c>
      <c r="AD429" s="76">
        <f t="shared" ca="1" si="50"/>
        <v>12388.425642361111</v>
      </c>
      <c r="AE429" s="76">
        <f t="shared" si="51"/>
        <v>0</v>
      </c>
      <c r="AF429" s="75">
        <f t="shared" si="46"/>
        <v>0</v>
      </c>
      <c r="AG429" s="75">
        <f t="shared" si="47"/>
        <v>0</v>
      </c>
      <c r="AH429" s="31" t="e" cm="1">
        <f t="array" aca="1" ref="AH429" ca="1">IF((AD429) &lt; (INDEX(ResponseSLA[#All],(MATCH((G429),ResponseSLA[Priority],0))+1,3)),"YES","No")</f>
        <v>#N/A</v>
      </c>
      <c r="AI429" s="31" t="str">
        <f>_xlfn.IFNA(IF(AE429 &lt; (INDEX(SLATable[Minimum SLA],MATCH(G429,SLATable[Priority],0))),"YES","NO"),"")</f>
        <v/>
      </c>
      <c r="AJ429" t="str">
        <f>_xlfn.IFNA(IF(AE429 &lt; (INDEX(SLATable[Maximum SLA],MATCH(G429,SLATable[Priority],0))),"YES","NO"),"")</f>
        <v/>
      </c>
    </row>
    <row r="430" spans="26:36" ht="15" customHeight="1">
      <c r="Z430" s="76" t="e">
        <f t="shared" ca="1" si="48"/>
        <v>#N/A</v>
      </c>
      <c r="AA430" s="75" t="e">
        <f t="shared" ca="1" si="44"/>
        <v>#N/A</v>
      </c>
      <c r="AB430" s="76">
        <f t="shared" ca="1" si="49"/>
        <v>0</v>
      </c>
      <c r="AC430" s="75">
        <f t="shared" ca="1" si="45"/>
        <v>0</v>
      </c>
      <c r="AD430" s="76">
        <f t="shared" ca="1" si="50"/>
        <v>12388.425642361111</v>
      </c>
      <c r="AE430" s="76">
        <f t="shared" si="51"/>
        <v>0</v>
      </c>
      <c r="AF430" s="75">
        <f t="shared" si="46"/>
        <v>0</v>
      </c>
      <c r="AG430" s="75">
        <f t="shared" si="47"/>
        <v>0</v>
      </c>
      <c r="AH430" s="31" t="e" cm="1">
        <f t="array" aca="1" ref="AH430" ca="1">IF((AD430) &lt; (INDEX(ResponseSLA[#All],(MATCH((G430),ResponseSLA[Priority],0))+1,3)),"YES","No")</f>
        <v>#N/A</v>
      </c>
      <c r="AI430" s="31" t="str">
        <f>_xlfn.IFNA(IF(AE430 &lt; (INDEX(SLATable[Minimum SLA],MATCH(G430,SLATable[Priority],0))),"YES","NO"),"")</f>
        <v/>
      </c>
      <c r="AJ430" t="str">
        <f>_xlfn.IFNA(IF(AE430 &lt; (INDEX(SLATable[Maximum SLA],MATCH(G430,SLATable[Priority],0))),"YES","NO"),"")</f>
        <v/>
      </c>
    </row>
    <row r="431" spans="26:36" ht="15" customHeight="1">
      <c r="Z431" s="76" t="e">
        <f t="shared" ca="1" si="48"/>
        <v>#N/A</v>
      </c>
      <c r="AA431" s="75" t="e">
        <f t="shared" ca="1" si="44"/>
        <v>#N/A</v>
      </c>
      <c r="AB431" s="76">
        <f t="shared" ca="1" si="49"/>
        <v>0</v>
      </c>
      <c r="AC431" s="75">
        <f t="shared" ca="1" si="45"/>
        <v>0</v>
      </c>
      <c r="AD431" s="76">
        <f t="shared" ca="1" si="50"/>
        <v>12388.425642361111</v>
      </c>
      <c r="AE431" s="76">
        <f t="shared" si="51"/>
        <v>0</v>
      </c>
      <c r="AF431" s="75">
        <f t="shared" si="46"/>
        <v>0</v>
      </c>
      <c r="AG431" s="75">
        <f t="shared" si="47"/>
        <v>0</v>
      </c>
      <c r="AH431" s="31" t="e" cm="1">
        <f t="array" aca="1" ref="AH431" ca="1">IF((AD431) &lt; (INDEX(ResponseSLA[#All],(MATCH((G431),ResponseSLA[Priority],0))+1,3)),"YES","No")</f>
        <v>#N/A</v>
      </c>
      <c r="AI431" s="31" t="str">
        <f>_xlfn.IFNA(IF(AE431 &lt; (INDEX(SLATable[Minimum SLA],MATCH(G431,SLATable[Priority],0))),"YES","NO"),"")</f>
        <v/>
      </c>
      <c r="AJ431" t="str">
        <f>_xlfn.IFNA(IF(AE431 &lt; (INDEX(SLATable[Maximum SLA],MATCH(G431,SLATable[Priority],0))),"YES","NO"),"")</f>
        <v/>
      </c>
    </row>
    <row r="432" spans="26:36" ht="15" customHeight="1">
      <c r="Z432" s="76" t="e">
        <f t="shared" ca="1" si="48"/>
        <v>#N/A</v>
      </c>
      <c r="AA432" s="75" t="e">
        <f t="shared" ca="1" si="44"/>
        <v>#N/A</v>
      </c>
      <c r="AB432" s="76">
        <f t="shared" ca="1" si="49"/>
        <v>0</v>
      </c>
      <c r="AC432" s="75">
        <f t="shared" ca="1" si="45"/>
        <v>0</v>
      </c>
      <c r="AD432" s="76">
        <f t="shared" ca="1" si="50"/>
        <v>12388.425642361111</v>
      </c>
      <c r="AE432" s="76">
        <f t="shared" si="51"/>
        <v>0</v>
      </c>
      <c r="AF432" s="75">
        <f t="shared" si="46"/>
        <v>0</v>
      </c>
      <c r="AG432" s="75">
        <f t="shared" si="47"/>
        <v>0</v>
      </c>
      <c r="AH432" s="31" t="e" cm="1">
        <f t="array" aca="1" ref="AH432" ca="1">IF((AD432) &lt; (INDEX(ResponseSLA[#All],(MATCH((G432),ResponseSLA[Priority],0))+1,3)),"YES","No")</f>
        <v>#N/A</v>
      </c>
      <c r="AI432" s="31" t="str">
        <f>_xlfn.IFNA(IF(AE432 &lt; (INDEX(SLATable[Minimum SLA],MATCH(G432,SLATable[Priority],0))),"YES","NO"),"")</f>
        <v/>
      </c>
      <c r="AJ432" t="str">
        <f>_xlfn.IFNA(IF(AE432 &lt; (INDEX(SLATable[Maximum SLA],MATCH(G432,SLATable[Priority],0))),"YES","NO"),"")</f>
        <v/>
      </c>
    </row>
    <row r="433" spans="26:36" ht="15" customHeight="1">
      <c r="Z433" s="76" t="e">
        <f t="shared" ca="1" si="48"/>
        <v>#N/A</v>
      </c>
      <c r="AA433" s="75" t="e">
        <f t="shared" ca="1" si="44"/>
        <v>#N/A</v>
      </c>
      <c r="AB433" s="76">
        <f t="shared" ca="1" si="49"/>
        <v>0</v>
      </c>
      <c r="AC433" s="75">
        <f t="shared" ca="1" si="45"/>
        <v>0</v>
      </c>
      <c r="AD433" s="76">
        <f t="shared" ca="1" si="50"/>
        <v>12388.425642361111</v>
      </c>
      <c r="AE433" s="76">
        <f t="shared" si="51"/>
        <v>0</v>
      </c>
      <c r="AF433" s="75">
        <f t="shared" si="46"/>
        <v>0</v>
      </c>
      <c r="AG433" s="75">
        <f t="shared" si="47"/>
        <v>0</v>
      </c>
      <c r="AH433" s="31" t="e" cm="1">
        <f t="array" aca="1" ref="AH433" ca="1">IF((AD433) &lt; (INDEX(ResponseSLA[#All],(MATCH((G433),ResponseSLA[Priority],0))+1,3)),"YES","No")</f>
        <v>#N/A</v>
      </c>
      <c r="AI433" s="31" t="str">
        <f>_xlfn.IFNA(IF(AE433 &lt; (INDEX(SLATable[Minimum SLA],MATCH(G433,SLATable[Priority],0))),"YES","NO"),"")</f>
        <v/>
      </c>
      <c r="AJ433" t="str">
        <f>_xlfn.IFNA(IF(AE433 &lt; (INDEX(SLATable[Maximum SLA],MATCH(G433,SLATable[Priority],0))),"YES","NO"),"")</f>
        <v/>
      </c>
    </row>
    <row r="434" spans="26:36" ht="15" customHeight="1">
      <c r="Z434" s="76" t="e">
        <f t="shared" ca="1" si="48"/>
        <v>#N/A</v>
      </c>
      <c r="AA434" s="75" t="e">
        <f t="shared" ca="1" si="44"/>
        <v>#N/A</v>
      </c>
      <c r="AB434" s="76">
        <f t="shared" ca="1" si="49"/>
        <v>0</v>
      </c>
      <c r="AC434" s="75">
        <f t="shared" ca="1" si="45"/>
        <v>0</v>
      </c>
      <c r="AD434" s="76">
        <f t="shared" ca="1" si="50"/>
        <v>12388.425642361111</v>
      </c>
      <c r="AE434" s="76">
        <f t="shared" si="51"/>
        <v>0</v>
      </c>
      <c r="AF434" s="75">
        <f t="shared" si="46"/>
        <v>0</v>
      </c>
      <c r="AG434" s="75">
        <f t="shared" si="47"/>
        <v>0</v>
      </c>
      <c r="AH434" s="31" t="e" cm="1">
        <f t="array" aca="1" ref="AH434" ca="1">IF((AD434) &lt; (INDEX(ResponseSLA[#All],(MATCH((G434),ResponseSLA[Priority],0))+1,3)),"YES","No")</f>
        <v>#N/A</v>
      </c>
      <c r="AI434" s="31" t="str">
        <f>_xlfn.IFNA(IF(AE434 &lt; (INDEX(SLATable[Minimum SLA],MATCH(G434,SLATable[Priority],0))),"YES","NO"),"")</f>
        <v/>
      </c>
      <c r="AJ434" t="str">
        <f>_xlfn.IFNA(IF(AE434 &lt; (INDEX(SLATable[Maximum SLA],MATCH(G434,SLATable[Priority],0))),"YES","NO"),"")</f>
        <v/>
      </c>
    </row>
    <row r="435" spans="26:36" ht="15" customHeight="1">
      <c r="Z435" s="76" t="e">
        <f t="shared" ca="1" si="48"/>
        <v>#N/A</v>
      </c>
      <c r="AA435" s="75" t="e">
        <f t="shared" ca="1" si="44"/>
        <v>#N/A</v>
      </c>
      <c r="AB435" s="76">
        <f t="shared" ca="1" si="49"/>
        <v>0</v>
      </c>
      <c r="AC435" s="75">
        <f t="shared" ca="1" si="45"/>
        <v>0</v>
      </c>
      <c r="AD435" s="76">
        <f t="shared" ca="1" si="50"/>
        <v>12388.425642361111</v>
      </c>
      <c r="AE435" s="76">
        <f t="shared" si="51"/>
        <v>0</v>
      </c>
      <c r="AF435" s="75">
        <f t="shared" si="46"/>
        <v>0</v>
      </c>
      <c r="AG435" s="75">
        <f t="shared" si="47"/>
        <v>0</v>
      </c>
      <c r="AH435" s="31" t="e" cm="1">
        <f t="array" aca="1" ref="AH435" ca="1">IF((AD435) &lt; (INDEX(ResponseSLA[#All],(MATCH((G435),ResponseSLA[Priority],0))+1,3)),"YES","No")</f>
        <v>#N/A</v>
      </c>
      <c r="AI435" s="31" t="str">
        <f>_xlfn.IFNA(IF(AE435 &lt; (INDEX(SLATable[Minimum SLA],MATCH(G435,SLATable[Priority],0))),"YES","NO"),"")</f>
        <v/>
      </c>
      <c r="AJ435" t="str">
        <f>_xlfn.IFNA(IF(AE435 &lt; (INDEX(SLATable[Maximum SLA],MATCH(G435,SLATable[Priority],0))),"YES","NO"),"")</f>
        <v/>
      </c>
    </row>
    <row r="436" spans="26:36" ht="15" customHeight="1">
      <c r="Z436" s="76" t="e">
        <f t="shared" ca="1" si="48"/>
        <v>#N/A</v>
      </c>
      <c r="AA436" s="75" t="e">
        <f t="shared" ca="1" si="44"/>
        <v>#N/A</v>
      </c>
      <c r="AB436" s="76">
        <f t="shared" ca="1" si="49"/>
        <v>0</v>
      </c>
      <c r="AC436" s="75">
        <f t="shared" ca="1" si="45"/>
        <v>0</v>
      </c>
      <c r="AD436" s="76">
        <f t="shared" ca="1" si="50"/>
        <v>12388.425642361111</v>
      </c>
      <c r="AE436" s="76">
        <f t="shared" si="51"/>
        <v>0</v>
      </c>
      <c r="AF436" s="75">
        <f t="shared" si="46"/>
        <v>0</v>
      </c>
      <c r="AG436" s="75">
        <f t="shared" si="47"/>
        <v>0</v>
      </c>
      <c r="AH436" s="31" t="e" cm="1">
        <f t="array" aca="1" ref="AH436" ca="1">IF((AD436) &lt; (INDEX(ResponseSLA[#All],(MATCH((G436),ResponseSLA[Priority],0))+1,3)),"YES","No")</f>
        <v>#N/A</v>
      </c>
      <c r="AI436" s="31" t="str">
        <f>_xlfn.IFNA(IF(AE436 &lt; (INDEX(SLATable[Minimum SLA],MATCH(G436,SLATable[Priority],0))),"YES","NO"),"")</f>
        <v/>
      </c>
      <c r="AJ436" t="str">
        <f>_xlfn.IFNA(IF(AE436 &lt; (INDEX(SLATable[Maximum SLA],MATCH(G436,SLATable[Priority],0))),"YES","NO"),"")</f>
        <v/>
      </c>
    </row>
    <row r="437" spans="26:36" ht="15" customHeight="1">
      <c r="Z437" s="76" t="e">
        <f t="shared" ca="1" si="48"/>
        <v>#N/A</v>
      </c>
      <c r="AA437" s="75" t="e">
        <f t="shared" ca="1" si="44"/>
        <v>#N/A</v>
      </c>
      <c r="AB437" s="76">
        <f t="shared" ca="1" si="49"/>
        <v>0</v>
      </c>
      <c r="AC437" s="75">
        <f t="shared" ca="1" si="45"/>
        <v>0</v>
      </c>
      <c r="AD437" s="76">
        <f t="shared" ca="1" si="50"/>
        <v>12388.425642361111</v>
      </c>
      <c r="AE437" s="76">
        <f t="shared" si="51"/>
        <v>0</v>
      </c>
      <c r="AF437" s="75">
        <f t="shared" si="46"/>
        <v>0</v>
      </c>
      <c r="AG437" s="75">
        <f t="shared" si="47"/>
        <v>0</v>
      </c>
      <c r="AH437" s="31" t="e" cm="1">
        <f t="array" aca="1" ref="AH437" ca="1">IF((AD437) &lt; (INDEX(ResponseSLA[#All],(MATCH((G437),ResponseSLA[Priority],0))+1,3)),"YES","No")</f>
        <v>#N/A</v>
      </c>
      <c r="AI437" s="31" t="str">
        <f>_xlfn.IFNA(IF(AE437 &lt; (INDEX(SLATable[Minimum SLA],MATCH(G437,SLATable[Priority],0))),"YES","NO"),"")</f>
        <v/>
      </c>
      <c r="AJ437" t="str">
        <f>_xlfn.IFNA(IF(AE437 &lt; (INDEX(SLATable[Maximum SLA],MATCH(G437,SLATable[Priority],0))),"YES","NO"),"")</f>
        <v/>
      </c>
    </row>
    <row r="438" spans="26:36" ht="15" customHeight="1">
      <c r="Z438" s="76" t="e">
        <f t="shared" ca="1" si="48"/>
        <v>#N/A</v>
      </c>
      <c r="AA438" s="75" t="e">
        <f t="shared" ca="1" si="44"/>
        <v>#N/A</v>
      </c>
      <c r="AB438" s="76">
        <f t="shared" ca="1" si="49"/>
        <v>0</v>
      </c>
      <c r="AC438" s="75">
        <f t="shared" ca="1" si="45"/>
        <v>0</v>
      </c>
      <c r="AD438" s="76">
        <f t="shared" ca="1" si="50"/>
        <v>12388.425642361111</v>
      </c>
      <c r="AE438" s="76">
        <f t="shared" si="51"/>
        <v>0</v>
      </c>
      <c r="AF438" s="75">
        <f t="shared" si="46"/>
        <v>0</v>
      </c>
      <c r="AG438" s="75">
        <f t="shared" si="47"/>
        <v>0</v>
      </c>
      <c r="AH438" s="31" t="e" cm="1">
        <f t="array" aca="1" ref="AH438" ca="1">IF((AD438) &lt; (INDEX(ResponseSLA[#All],(MATCH((G438),ResponseSLA[Priority],0))+1,3)),"YES","No")</f>
        <v>#N/A</v>
      </c>
      <c r="AI438" s="31" t="str">
        <f>_xlfn.IFNA(IF(AE438 &lt; (INDEX(SLATable[Minimum SLA],MATCH(G438,SLATable[Priority],0))),"YES","NO"),"")</f>
        <v/>
      </c>
      <c r="AJ438" t="str">
        <f>_xlfn.IFNA(IF(AE438 &lt; (INDEX(SLATable[Maximum SLA],MATCH(G438,SLATable[Priority],0))),"YES","NO"),"")</f>
        <v/>
      </c>
    </row>
    <row r="439" spans="26:36" ht="15" customHeight="1">
      <c r="Z439" s="76" t="e">
        <f t="shared" ca="1" si="48"/>
        <v>#N/A</v>
      </c>
      <c r="AA439" s="75" t="e">
        <f t="shared" ca="1" si="44"/>
        <v>#N/A</v>
      </c>
      <c r="AB439" s="76">
        <f t="shared" ca="1" si="49"/>
        <v>0</v>
      </c>
      <c r="AC439" s="75">
        <f t="shared" ca="1" si="45"/>
        <v>0</v>
      </c>
      <c r="AD439" s="76">
        <f t="shared" ca="1" si="50"/>
        <v>12388.425642361111</v>
      </c>
      <c r="AE439" s="76">
        <f t="shared" si="51"/>
        <v>0</v>
      </c>
      <c r="AF439" s="75">
        <f t="shared" si="46"/>
        <v>0</v>
      </c>
      <c r="AG439" s="75">
        <f t="shared" si="47"/>
        <v>0</v>
      </c>
      <c r="AH439" s="31" t="e" cm="1">
        <f t="array" aca="1" ref="AH439" ca="1">IF((AD439) &lt; (INDEX(ResponseSLA[#All],(MATCH((G439),ResponseSLA[Priority],0))+1,3)),"YES","No")</f>
        <v>#N/A</v>
      </c>
      <c r="AI439" s="31" t="str">
        <f>_xlfn.IFNA(IF(AE439 &lt; (INDEX(SLATable[Minimum SLA],MATCH(G439,SLATable[Priority],0))),"YES","NO"),"")</f>
        <v/>
      </c>
      <c r="AJ439" t="str">
        <f>_xlfn.IFNA(IF(AE439 &lt; (INDEX(SLATable[Maximum SLA],MATCH(G439,SLATable[Priority],0))),"YES","NO"),"")</f>
        <v/>
      </c>
    </row>
    <row r="440" spans="26:36" ht="15" customHeight="1">
      <c r="Z440" s="76" t="e">
        <f t="shared" ca="1" si="48"/>
        <v>#N/A</v>
      </c>
      <c r="AA440" s="75" t="e">
        <f t="shared" ca="1" si="44"/>
        <v>#N/A</v>
      </c>
      <c r="AB440" s="76">
        <f t="shared" ca="1" si="49"/>
        <v>0</v>
      </c>
      <c r="AC440" s="75">
        <f t="shared" ca="1" si="45"/>
        <v>0</v>
      </c>
      <c r="AD440" s="76">
        <f t="shared" ca="1" si="50"/>
        <v>12388.425642361111</v>
      </c>
      <c r="AE440" s="76">
        <f t="shared" si="51"/>
        <v>0</v>
      </c>
      <c r="AF440" s="75">
        <f t="shared" si="46"/>
        <v>0</v>
      </c>
      <c r="AG440" s="75">
        <f t="shared" si="47"/>
        <v>0</v>
      </c>
      <c r="AH440" s="31" t="e" cm="1">
        <f t="array" aca="1" ref="AH440" ca="1">IF((AD440) &lt; (INDEX(ResponseSLA[#All],(MATCH((G440),ResponseSLA[Priority],0))+1,3)),"YES","No")</f>
        <v>#N/A</v>
      </c>
      <c r="AI440" s="31" t="str">
        <f>_xlfn.IFNA(IF(AE440 &lt; (INDEX(SLATable[Minimum SLA],MATCH(G440,SLATable[Priority],0))),"YES","NO"),"")</f>
        <v/>
      </c>
      <c r="AJ440" t="str">
        <f>_xlfn.IFNA(IF(AE440 &lt; (INDEX(SLATable[Maximum SLA],MATCH(G440,SLATable[Priority],0))),"YES","NO"),"")</f>
        <v/>
      </c>
    </row>
    <row r="441" spans="26:36" ht="15" customHeight="1">
      <c r="Z441" s="76" t="e">
        <f t="shared" ca="1" si="48"/>
        <v>#N/A</v>
      </c>
      <c r="AA441" s="75" t="e">
        <f t="shared" ca="1" si="44"/>
        <v>#N/A</v>
      </c>
      <c r="AB441" s="76">
        <f t="shared" ca="1" si="49"/>
        <v>0</v>
      </c>
      <c r="AC441" s="75">
        <f t="shared" ca="1" si="45"/>
        <v>0</v>
      </c>
      <c r="AD441" s="76">
        <f t="shared" ca="1" si="50"/>
        <v>12388.425642361111</v>
      </c>
      <c r="AE441" s="76">
        <f t="shared" si="51"/>
        <v>0</v>
      </c>
      <c r="AF441" s="75">
        <f t="shared" si="46"/>
        <v>0</v>
      </c>
      <c r="AG441" s="75">
        <f t="shared" si="47"/>
        <v>0</v>
      </c>
      <c r="AH441" s="31" t="e" cm="1">
        <f t="array" aca="1" ref="AH441" ca="1">IF((AD441) &lt; (INDEX(ResponseSLA[#All],(MATCH((G441),ResponseSLA[Priority],0))+1,3)),"YES","No")</f>
        <v>#N/A</v>
      </c>
      <c r="AI441" s="31" t="str">
        <f>_xlfn.IFNA(IF(AE441 &lt; (INDEX(SLATable[Minimum SLA],MATCH(G441,SLATable[Priority],0))),"YES","NO"),"")</f>
        <v/>
      </c>
      <c r="AJ441" t="str">
        <f>_xlfn.IFNA(IF(AE441 &lt; (INDEX(SLATable[Maximum SLA],MATCH(G441,SLATable[Priority],0))),"YES","NO"),"")</f>
        <v/>
      </c>
    </row>
    <row r="442" spans="26:36" ht="15" customHeight="1">
      <c r="Z442" s="76" t="e">
        <f t="shared" ca="1" si="48"/>
        <v>#N/A</v>
      </c>
      <c r="AA442" s="75" t="e">
        <f t="shared" ca="1" si="44"/>
        <v>#N/A</v>
      </c>
      <c r="AB442" s="76">
        <f t="shared" ca="1" si="49"/>
        <v>0</v>
      </c>
      <c r="AC442" s="75">
        <f t="shared" ca="1" si="45"/>
        <v>0</v>
      </c>
      <c r="AD442" s="76">
        <f t="shared" ca="1" si="50"/>
        <v>12388.425642361111</v>
      </c>
      <c r="AE442" s="76">
        <f t="shared" si="51"/>
        <v>0</v>
      </c>
      <c r="AF442" s="75">
        <f t="shared" si="46"/>
        <v>0</v>
      </c>
      <c r="AG442" s="75">
        <f t="shared" si="47"/>
        <v>0</v>
      </c>
      <c r="AH442" s="31" t="e" cm="1">
        <f t="array" aca="1" ref="AH442" ca="1">IF((AD442) &lt; (INDEX(ResponseSLA[#All],(MATCH((G442),ResponseSLA[Priority],0))+1,3)),"YES","No")</f>
        <v>#N/A</v>
      </c>
      <c r="AI442" s="31" t="str">
        <f>_xlfn.IFNA(IF(AE442 &lt; (INDEX(SLATable[Minimum SLA],MATCH(G442,SLATable[Priority],0))),"YES","NO"),"")</f>
        <v/>
      </c>
      <c r="AJ442" t="str">
        <f>_xlfn.IFNA(IF(AE442 &lt; (INDEX(SLATable[Maximum SLA],MATCH(G442,SLATable[Priority],0))),"YES","NO"),"")</f>
        <v/>
      </c>
    </row>
    <row r="443" spans="26:36" ht="15" customHeight="1">
      <c r="Z443" s="76" t="e">
        <f t="shared" ca="1" si="48"/>
        <v>#N/A</v>
      </c>
      <c r="AA443" s="75" t="e">
        <f t="shared" ca="1" si="44"/>
        <v>#N/A</v>
      </c>
      <c r="AB443" s="76">
        <f t="shared" ca="1" si="49"/>
        <v>0</v>
      </c>
      <c r="AC443" s="75">
        <f t="shared" ca="1" si="45"/>
        <v>0</v>
      </c>
      <c r="AD443" s="76">
        <f t="shared" ca="1" si="50"/>
        <v>12388.425642361111</v>
      </c>
      <c r="AE443" s="76">
        <f t="shared" si="51"/>
        <v>0</v>
      </c>
      <c r="AF443" s="75">
        <f t="shared" si="46"/>
        <v>0</v>
      </c>
      <c r="AG443" s="75">
        <f t="shared" si="47"/>
        <v>0</v>
      </c>
      <c r="AH443" s="31" t="e" cm="1">
        <f t="array" aca="1" ref="AH443" ca="1">IF((AD443) &lt; (INDEX(ResponseSLA[#All],(MATCH((G443),ResponseSLA[Priority],0))+1,3)),"YES","No")</f>
        <v>#N/A</v>
      </c>
      <c r="AI443" s="31" t="str">
        <f>_xlfn.IFNA(IF(AE443 &lt; (INDEX(SLATable[Minimum SLA],MATCH(G443,SLATable[Priority],0))),"YES","NO"),"")</f>
        <v/>
      </c>
      <c r="AJ443" t="str">
        <f>_xlfn.IFNA(IF(AE443 &lt; (INDEX(SLATable[Maximum SLA],MATCH(G443,SLATable[Priority],0))),"YES","NO"),"")</f>
        <v/>
      </c>
    </row>
    <row r="444" spans="26:36" ht="15" customHeight="1">
      <c r="Z444" s="76" t="e">
        <f t="shared" ca="1" si="48"/>
        <v>#N/A</v>
      </c>
      <c r="AA444" s="75" t="e">
        <f t="shared" ca="1" si="44"/>
        <v>#N/A</v>
      </c>
      <c r="AB444" s="76">
        <f t="shared" ca="1" si="49"/>
        <v>0</v>
      </c>
      <c r="AC444" s="75">
        <f t="shared" ca="1" si="45"/>
        <v>0</v>
      </c>
      <c r="AD444" s="76">
        <f t="shared" ca="1" si="50"/>
        <v>12388.425642361111</v>
      </c>
      <c r="AE444" s="76">
        <f t="shared" si="51"/>
        <v>0</v>
      </c>
      <c r="AF444" s="75">
        <f t="shared" si="46"/>
        <v>0</v>
      </c>
      <c r="AG444" s="75">
        <f t="shared" si="47"/>
        <v>0</v>
      </c>
      <c r="AH444" s="31" t="e" cm="1">
        <f t="array" aca="1" ref="AH444" ca="1">IF((AD444) &lt; (INDEX(ResponseSLA[#All],(MATCH((G444),ResponseSLA[Priority],0))+1,3)),"YES","No")</f>
        <v>#N/A</v>
      </c>
      <c r="AI444" s="31" t="str">
        <f>_xlfn.IFNA(IF(AE444 &lt; (INDEX(SLATable[Minimum SLA],MATCH(G444,SLATable[Priority],0))),"YES","NO"),"")</f>
        <v/>
      </c>
      <c r="AJ444" t="str">
        <f>_xlfn.IFNA(IF(AE444 &lt; (INDEX(SLATable[Maximum SLA],MATCH(G444,SLATable[Priority],0))),"YES","NO"),"")</f>
        <v/>
      </c>
    </row>
    <row r="445" spans="26:36" ht="15" customHeight="1">
      <c r="Z445" s="76" t="e">
        <f t="shared" ca="1" si="48"/>
        <v>#N/A</v>
      </c>
      <c r="AA445" s="75" t="e">
        <f t="shared" ca="1" si="44"/>
        <v>#N/A</v>
      </c>
      <c r="AB445" s="76">
        <f t="shared" ca="1" si="49"/>
        <v>0</v>
      </c>
      <c r="AC445" s="75">
        <f t="shared" ca="1" si="45"/>
        <v>0</v>
      </c>
      <c r="AD445" s="76">
        <f t="shared" ca="1" si="50"/>
        <v>12388.425642361111</v>
      </c>
      <c r="AE445" s="76">
        <f t="shared" si="51"/>
        <v>0</v>
      </c>
      <c r="AF445" s="75">
        <f t="shared" si="46"/>
        <v>0</v>
      </c>
      <c r="AG445" s="75">
        <f t="shared" si="47"/>
        <v>0</v>
      </c>
      <c r="AH445" s="31" t="e" cm="1">
        <f t="array" aca="1" ref="AH445" ca="1">IF((AD445) &lt; (INDEX(ResponseSLA[#All],(MATCH((G445),ResponseSLA[Priority],0))+1,3)),"YES","No")</f>
        <v>#N/A</v>
      </c>
      <c r="AI445" s="31" t="str">
        <f>_xlfn.IFNA(IF(AE445 &lt; (INDEX(SLATable[Minimum SLA],MATCH(G445,SLATable[Priority],0))),"YES","NO"),"")</f>
        <v/>
      </c>
      <c r="AJ445" t="str">
        <f>_xlfn.IFNA(IF(AE445 &lt; (INDEX(SLATable[Maximum SLA],MATCH(G445,SLATable[Priority],0))),"YES","NO"),"")</f>
        <v/>
      </c>
    </row>
    <row r="446" spans="26:36" ht="15" customHeight="1">
      <c r="Z446" s="76" t="e">
        <f t="shared" ca="1" si="48"/>
        <v>#N/A</v>
      </c>
      <c r="AA446" s="75" t="e">
        <f t="shared" ca="1" si="44"/>
        <v>#N/A</v>
      </c>
      <c r="AB446" s="76">
        <f t="shared" ca="1" si="49"/>
        <v>0</v>
      </c>
      <c r="AC446" s="75">
        <f t="shared" ca="1" si="45"/>
        <v>0</v>
      </c>
      <c r="AD446" s="76">
        <f t="shared" ca="1" si="50"/>
        <v>12388.425642361111</v>
      </c>
      <c r="AE446" s="76">
        <f t="shared" si="51"/>
        <v>0</v>
      </c>
      <c r="AF446" s="75">
        <f t="shared" si="46"/>
        <v>0</v>
      </c>
      <c r="AG446" s="75">
        <f t="shared" si="47"/>
        <v>0</v>
      </c>
      <c r="AH446" s="31" t="e" cm="1">
        <f t="array" aca="1" ref="AH446" ca="1">IF((AD446) &lt; (INDEX(ResponseSLA[#All],(MATCH((G446),ResponseSLA[Priority],0))+1,3)),"YES","No")</f>
        <v>#N/A</v>
      </c>
      <c r="AI446" s="31" t="str">
        <f>_xlfn.IFNA(IF(AE446 &lt; (INDEX(SLATable[Minimum SLA],MATCH(G446,SLATable[Priority],0))),"YES","NO"),"")</f>
        <v/>
      </c>
      <c r="AJ446" t="str">
        <f>_xlfn.IFNA(IF(AE446 &lt; (INDEX(SLATable[Maximum SLA],MATCH(G446,SLATable[Priority],0))),"YES","NO"),"")</f>
        <v/>
      </c>
    </row>
    <row r="447" spans="26:36" ht="15" customHeight="1">
      <c r="Z447" s="76" t="e">
        <f t="shared" ca="1" si="48"/>
        <v>#N/A</v>
      </c>
      <c r="AA447" s="75" t="e">
        <f t="shared" ca="1" si="44"/>
        <v>#N/A</v>
      </c>
      <c r="AB447" s="76">
        <f t="shared" ca="1" si="49"/>
        <v>0</v>
      </c>
      <c r="AC447" s="75">
        <f t="shared" ca="1" si="45"/>
        <v>0</v>
      </c>
      <c r="AD447" s="76">
        <f t="shared" ca="1" si="50"/>
        <v>12388.425642361111</v>
      </c>
      <c r="AE447" s="76">
        <f t="shared" si="51"/>
        <v>0</v>
      </c>
      <c r="AF447" s="75">
        <f t="shared" si="46"/>
        <v>0</v>
      </c>
      <c r="AG447" s="75">
        <f t="shared" si="47"/>
        <v>0</v>
      </c>
      <c r="AH447" s="31" t="e" cm="1">
        <f t="array" aca="1" ref="AH447" ca="1">IF((AD447) &lt; (INDEX(ResponseSLA[#All],(MATCH((G447),ResponseSLA[Priority],0))+1,3)),"YES","No")</f>
        <v>#N/A</v>
      </c>
      <c r="AI447" s="31" t="str">
        <f>_xlfn.IFNA(IF(AE447 &lt; (INDEX(SLATable[Minimum SLA],MATCH(G447,SLATable[Priority],0))),"YES","NO"),"")</f>
        <v/>
      </c>
      <c r="AJ447" t="str">
        <f>_xlfn.IFNA(IF(AE447 &lt; (INDEX(SLATable[Maximum SLA],MATCH(G447,SLATable[Priority],0))),"YES","NO"),"")</f>
        <v/>
      </c>
    </row>
    <row r="448" spans="26:36" ht="15" customHeight="1">
      <c r="Z448" s="76" t="e">
        <f t="shared" ca="1" si="48"/>
        <v>#N/A</v>
      </c>
      <c r="AA448" s="75" t="e">
        <f t="shared" ca="1" si="44"/>
        <v>#N/A</v>
      </c>
      <c r="AB448" s="76">
        <f t="shared" ca="1" si="49"/>
        <v>0</v>
      </c>
      <c r="AC448" s="75">
        <f t="shared" ca="1" si="45"/>
        <v>0</v>
      </c>
      <c r="AD448" s="76">
        <f t="shared" ca="1" si="50"/>
        <v>12388.425642361111</v>
      </c>
      <c r="AE448" s="76">
        <f t="shared" si="51"/>
        <v>0</v>
      </c>
      <c r="AF448" s="75">
        <f t="shared" si="46"/>
        <v>0</v>
      </c>
      <c r="AG448" s="75">
        <f t="shared" si="47"/>
        <v>0</v>
      </c>
      <c r="AH448" s="31" t="e" cm="1">
        <f t="array" aca="1" ref="AH448" ca="1">IF((AD448) &lt; (INDEX(ResponseSLA[#All],(MATCH((G448),ResponseSLA[Priority],0))+1,3)),"YES","No")</f>
        <v>#N/A</v>
      </c>
      <c r="AI448" s="31" t="str">
        <f>_xlfn.IFNA(IF(AE448 &lt; (INDEX(SLATable[Minimum SLA],MATCH(G448,SLATable[Priority],0))),"YES","NO"),"")</f>
        <v/>
      </c>
      <c r="AJ448" t="str">
        <f>_xlfn.IFNA(IF(AE448 &lt; (INDEX(SLATable[Maximum SLA],MATCH(G448,SLATable[Priority],0))),"YES","NO"),"")</f>
        <v/>
      </c>
    </row>
    <row r="449" spans="26:36" ht="15" customHeight="1">
      <c r="Z449" s="76" t="e">
        <f t="shared" ca="1" si="48"/>
        <v>#N/A</v>
      </c>
      <c r="AA449" s="75" t="e">
        <f t="shared" ref="AA449:AA500" ca="1" si="52">(Z449*24)/9</f>
        <v>#N/A</v>
      </c>
      <c r="AB449" s="76">
        <f t="shared" ca="1" si="49"/>
        <v>0</v>
      </c>
      <c r="AC449" s="75">
        <f t="shared" ref="AC449:AC500" ca="1" si="53">(AB449*24)/9</f>
        <v>0</v>
      </c>
      <c r="AD449" s="76">
        <f t="shared" ca="1" si="50"/>
        <v>12388.425642361111</v>
      </c>
      <c r="AE449" s="76">
        <f t="shared" si="51"/>
        <v>0</v>
      </c>
      <c r="AF449" s="75">
        <f t="shared" ref="AF449:AF500" si="54">(AE449*24)/9</f>
        <v>0</v>
      </c>
      <c r="AG449" s="75">
        <f t="shared" ref="AG449:AG500" si="55">AF449</f>
        <v>0</v>
      </c>
      <c r="AH449" s="31" t="e" cm="1">
        <f t="array" aca="1" ref="AH449" ca="1">IF((AD449) &lt; (INDEX(ResponseSLA[#All],(MATCH((G449),ResponseSLA[Priority],0))+1,3)),"YES","No")</f>
        <v>#N/A</v>
      </c>
      <c r="AI449" s="31" t="str">
        <f>_xlfn.IFNA(IF(AE449 &lt; (INDEX(SLATable[Minimum SLA],MATCH(G449,SLATable[Priority],0))),"YES","NO"),"")</f>
        <v/>
      </c>
      <c r="AJ449" t="str">
        <f>_xlfn.IFNA(IF(AE449 &lt; (INDEX(SLATable[Maximum SLA],MATCH(G449,SLATable[Priority],0))),"YES","NO"),"")</f>
        <v/>
      </c>
    </row>
    <row r="450" spans="26:36" ht="15" customHeight="1">
      <c r="Z450" s="76" t="e">
        <f t="shared" ca="1" si="48"/>
        <v>#N/A</v>
      </c>
      <c r="AA450" s="75" t="e">
        <f t="shared" ca="1" si="52"/>
        <v>#N/A</v>
      </c>
      <c r="AB450" s="76">
        <f t="shared" ca="1" si="49"/>
        <v>0</v>
      </c>
      <c r="AC450" s="75">
        <f t="shared" ca="1" si="53"/>
        <v>0</v>
      </c>
      <c r="AD450" s="76">
        <f t="shared" ca="1" si="50"/>
        <v>12388.425642361111</v>
      </c>
      <c r="AE450" s="76">
        <f t="shared" si="51"/>
        <v>0</v>
      </c>
      <c r="AF450" s="75">
        <f t="shared" si="54"/>
        <v>0</v>
      </c>
      <c r="AG450" s="75">
        <f t="shared" si="55"/>
        <v>0</v>
      </c>
      <c r="AH450" s="31" t="e" cm="1">
        <f t="array" aca="1" ref="AH450" ca="1">IF((AD450) &lt; (INDEX(ResponseSLA[#All],(MATCH((G450),ResponseSLA[Priority],0))+1,3)),"YES","No")</f>
        <v>#N/A</v>
      </c>
      <c r="AI450" s="31" t="str">
        <f>_xlfn.IFNA(IF(AE450 &lt; (INDEX(SLATable[Minimum SLA],MATCH(G450,SLATable[Priority],0))),"YES","NO"),"")</f>
        <v/>
      </c>
      <c r="AJ450" t="str">
        <f>_xlfn.IFNA(IF(AE450 &lt; (INDEX(SLATable[Maximum SLA],MATCH(G450,SLATable[Priority],0))),"YES","NO"),"")</f>
        <v/>
      </c>
    </row>
    <row r="451" spans="26:36" ht="15" customHeight="1">
      <c r="Z451" s="76" t="e">
        <f t="shared" ref="Z451:Z500" ca="1" si="56">IF(NOT(OR(G451=1,G451=2)),MAX(0,_xlfn.IFS(AND(K451&lt;&gt;"",N451&lt;&gt;""),((MAX(NETWORKDAYS(K451,N451,UKBankHolidays)-1,0))*(TIME(17,0,0)-TIME(8,0,0))+IF(NETWORKDAYS(N451,N451,UKBankHolidays)&gt;0,MEDIAN(TIME(8,0,0),MOD(N451,1),TIME(17,0,0)),TIME(8,0,0))-IF(NETWORKDAYS(K451,K451,UKBankHolidays)&gt;0,MEDIAN(TIME(8,0,0),MOD(K451,1),TIME(17,0,0)),TIME(8,0,0)))-IF(AND(O451&lt;&gt;"",P451&lt;&gt;""),((MAX(NETWORKDAYS(O451,P451,UKBankHolidays)-1,0))*(TIME(17,0,0)-TIME(8,0,0))+IF(NETWORKDAYS(P451,P451,UKBankHolidays)&gt;0,MEDIAN(TIME(8,0,0),MOD(P451,1),TIME(17,0,0)),TIME(8,0,0))-IF(NETWORKDAYS(O451,O451,UKBankHolidays)&gt;0,MEDIAN(TIME(8,0,0),MOD(O451,1),TIME(17,0,0)),TIME(8,0,0))),0),AND(K451&lt;&gt;"",N451=""),((MAX(NETWORKDAYS(K451,NOW(),UKBankHolidays)-1,0))*(TIME(17,0,0)-TIME(8,0,0))+IF(NETWORKDAYS(NOW(),NOW(),UKBankHolidays)&gt;0,MEDIAN(TIME(8,0,0),MOD(NOW(),1),TIME(17,0,0)),TIME(8,0,0))-IF(NETWORKDAYS(K451,K451,UKBankHolidays)&gt;0,MEDIAN(TIME(8,0,0),MOD(K451,1),TIME(17,0,0)),TIME(8,0,0))))),IF(N451="",NOW()-K451,N451-K451))</f>
        <v>#N/A</v>
      </c>
      <c r="AA451" s="75" t="e">
        <f t="shared" ca="1" si="52"/>
        <v>#N/A</v>
      </c>
      <c r="AB451" s="76">
        <f t="shared" ref="AB451:AB500" ca="1" si="57">IF(NOT(OR(G451=1,G451=2)),MAX(0,_xlfn.IFS(AND(K451&lt;&gt;"",N451&lt;&gt;""),(((MAX(NETWORKDAYS(L451,N451,UKBankHolidays)-1,0))*(TIME(17,0,0)-TIME(8,0,0)))+IF(NETWORKDAYS(N451,N451,UKBankHolidays)&gt;0,MEDIAN(TIME(8,0,0),MOD(N451,1),TIME(17,0,0)),TIME(8,0,0))-IF(NETWORKDAYS(L451,L451,UKBankHolidays)&gt;0,MEDIAN(TIME(8,0,0),MOD(L451,1),TIME(17,0,0)),TIME(8,0,0)))-IF(AND(O451&lt;&gt;"",P451&lt;&gt;""),(((MAX(NETWORKDAYS(O451,P451,UKBankHolidays)-1,0))*(TIME(17,0,0)-TIME(8,0,0)))+IF(NETWORKDAYS(P451,P451,UKBankHolidays)&gt;0,MEDIAN(TIME(8,0,0),MOD(P451,1),TIME(17,0,0)),TIME(8,0,0))-IF(NETWORKDAYS(O451,O451,UKBankHolidays)&gt;0,MEDIAN(TIME(8,0,0),MOD(O451,1),TIME(17,0,0)),TIME(8,0,0))),0),AND(L451&lt;&gt;"",N451="",O451=""),(((MAX(NETWORKDAYS(L451,NOW(),UKBankHolidays)-1,0))*(TIME(17,0,0)-TIME(8,0,0)))+IF(NETWORKDAYS(NOW(),NOW(),UKBankHolidays)&gt;0,MEDIAN(TIME(8,0,0),MOD(NOW(),1),TIME(17,0,0)),TIME(8,0,0))-IF(NETWORKDAYS(L451,L451,UKBankHolidays)&gt;0,MEDIAN(TIME(8,0,0),MOD(L451,1),TIME(17,0,0)),TIME(8,0,0)))-IF(AND(O451&lt;&gt;"",P451&lt;&gt;""),(((MAX(NETWORKDAYS(O451,P451,UKBankHolidays)-1,0))*(TIME(17,0,0)-TIME(8,0,0)))+IF(NETWORKDAYS(P451,P451,UKBankHolidays)&gt;0,MEDIAN(TIME(8,0,0),MOD(P451,1),TIME(17,0,0)),TIME(8,0,0))-IF(NETWORKDAYS(O451,O451,UKBankHolidays)&gt;0,MEDIAN(TIME(8,0,0),MOD(O451,1),TIME(17,0,0)),TIME(8,0,0))),0),AND(L451&lt;&gt;"",N451="",P451="",O451&lt;&gt;""),(((MAX(NETWORKDAYS(L451,O451,UKBankHolidays)-1,0))*(TIME(17,0,0)-TIME(8,0,0)))+IF(NETWORKDAYS(O451,O451,UKBankHolidays)&gt;0,MEDIAN(TIME(8,0,0),MOD(O451,1),TIME(17,0,0)),TIME(8,0,0))-IF(NETWORKDAYS(L451,L451,UKBankHolidays)&gt;0,MEDIAN(TIME(8,0,0),MOD(L451,1),TIME(17,0,0)),TIME(8,0,0))),ISBLANK(K451),"0")),IF(ISBLANK(N451),NOW()-L451,N451-L451))</f>
        <v>0</v>
      </c>
      <c r="AC451" s="75">
        <f t="shared" ca="1" si="53"/>
        <v>0</v>
      </c>
      <c r="AD451" s="76">
        <f t="shared" ref="AD451:AD500" ca="1" si="58">MAX(0,IF(NOT(OR(G451=1,G451=2)),IF(M451&lt;&gt;"",((MAX(NETWORKDAYS(L451,M451,UKBankHolidays)-1,0))*(TIME(17,0,0)-TIME(8,0,0))+IF(NETWORKDAYS(M451,M451,UKBankHolidays)&gt;0,MEDIAN(TIME(8,0,0),MOD(M451,1),TIME(17,0,0)),TIME(8,0,0))-MEDIAN(TIME(8,0,0),MOD(L451,1),TIME(17,0,0))),((MAX(NETWORKDAYS(L451,NOW(),UKBankHolidays)-1,0))*(TIME(17,0,0)-TIME(8,0,0))+IF(NETWORKDAYS(NOW(),NOW(),UKBankHolidays)&gt;0,MEDIAN(TIME(8,0,0),MOD(NOW(),1),TIME(17,0,0)),TIME(8,0,0))-MEDIAN(TIME(8,0,0),MOD(L451,1),TIME(17,0,0)))),IF(M451&lt;&gt;"",M451-L451,NOW()-L451)))</f>
        <v>12388.425642361111</v>
      </c>
      <c r="AE451" s="76">
        <f t="shared" ref="AE451:AE500" si="59">SUMIFS(AB:AB,E:E,E451)</f>
        <v>0</v>
      </c>
      <c r="AF451" s="75">
        <f t="shared" si="54"/>
        <v>0</v>
      </c>
      <c r="AG451" s="75">
        <f t="shared" si="55"/>
        <v>0</v>
      </c>
      <c r="AH451" s="31" t="e" cm="1">
        <f t="array" aca="1" ref="AH451" ca="1">IF((AD451) &lt; (INDEX(ResponseSLA[#All],(MATCH((G451),ResponseSLA[Priority],0))+1,3)),"YES","No")</f>
        <v>#N/A</v>
      </c>
      <c r="AI451" s="31" t="str">
        <f>_xlfn.IFNA(IF(AE451 &lt; (INDEX(SLATable[Minimum SLA],MATCH(G451,SLATable[Priority],0))),"YES","NO"),"")</f>
        <v/>
      </c>
      <c r="AJ451" t="str">
        <f>_xlfn.IFNA(IF(AE451 &lt; (INDEX(SLATable[Maximum SLA],MATCH(G451,SLATable[Priority],0))),"YES","NO"),"")</f>
        <v/>
      </c>
    </row>
    <row r="452" spans="26:36" ht="15" customHeight="1">
      <c r="Z452" s="76" t="e">
        <f t="shared" ca="1" si="56"/>
        <v>#N/A</v>
      </c>
      <c r="AA452" s="75" t="e">
        <f t="shared" ca="1" si="52"/>
        <v>#N/A</v>
      </c>
      <c r="AB452" s="76">
        <f t="shared" ca="1" si="57"/>
        <v>0</v>
      </c>
      <c r="AC452" s="75">
        <f t="shared" ca="1" si="53"/>
        <v>0</v>
      </c>
      <c r="AD452" s="76">
        <f t="shared" ca="1" si="58"/>
        <v>12388.425642361111</v>
      </c>
      <c r="AE452" s="76">
        <f t="shared" si="59"/>
        <v>0</v>
      </c>
      <c r="AF452" s="75">
        <f t="shared" si="54"/>
        <v>0</v>
      </c>
      <c r="AG452" s="75">
        <f t="shared" si="55"/>
        <v>0</v>
      </c>
      <c r="AH452" s="31" t="e" cm="1">
        <f t="array" aca="1" ref="AH452" ca="1">IF((AD452) &lt; (INDEX(ResponseSLA[#All],(MATCH((G452),ResponseSLA[Priority],0))+1,3)),"YES","No")</f>
        <v>#N/A</v>
      </c>
      <c r="AI452" s="31" t="str">
        <f>_xlfn.IFNA(IF(AE452 &lt; (INDEX(SLATable[Minimum SLA],MATCH(G452,SLATable[Priority],0))),"YES","NO"),"")</f>
        <v/>
      </c>
      <c r="AJ452" t="str">
        <f>_xlfn.IFNA(IF(AE452 &lt; (INDEX(SLATable[Maximum SLA],MATCH(G452,SLATable[Priority],0))),"YES","NO"),"")</f>
        <v/>
      </c>
    </row>
    <row r="453" spans="26:36" ht="15" customHeight="1">
      <c r="Z453" s="76" t="e">
        <f t="shared" ca="1" si="56"/>
        <v>#N/A</v>
      </c>
      <c r="AA453" s="75" t="e">
        <f t="shared" ca="1" si="52"/>
        <v>#N/A</v>
      </c>
      <c r="AB453" s="76">
        <f t="shared" ca="1" si="57"/>
        <v>0</v>
      </c>
      <c r="AC453" s="75">
        <f t="shared" ca="1" si="53"/>
        <v>0</v>
      </c>
      <c r="AD453" s="76">
        <f t="shared" ca="1" si="58"/>
        <v>12388.425642361111</v>
      </c>
      <c r="AE453" s="76">
        <f t="shared" si="59"/>
        <v>0</v>
      </c>
      <c r="AF453" s="75">
        <f t="shared" si="54"/>
        <v>0</v>
      </c>
      <c r="AG453" s="75">
        <f t="shared" si="55"/>
        <v>0</v>
      </c>
      <c r="AH453" s="31" t="e" cm="1">
        <f t="array" aca="1" ref="AH453" ca="1">IF((AD453) &lt; (INDEX(ResponseSLA[#All],(MATCH((G453),ResponseSLA[Priority],0))+1,3)),"YES","No")</f>
        <v>#N/A</v>
      </c>
      <c r="AI453" s="31" t="str">
        <f>_xlfn.IFNA(IF(AE453 &lt; (INDEX(SLATable[Minimum SLA],MATCH(G453,SLATable[Priority],0))),"YES","NO"),"")</f>
        <v/>
      </c>
      <c r="AJ453" t="str">
        <f>_xlfn.IFNA(IF(AE453 &lt; (INDEX(SLATable[Maximum SLA],MATCH(G453,SLATable[Priority],0))),"YES","NO"),"")</f>
        <v/>
      </c>
    </row>
    <row r="454" spans="26:36" ht="15" customHeight="1">
      <c r="Z454" s="76" t="e">
        <f t="shared" ca="1" si="56"/>
        <v>#N/A</v>
      </c>
      <c r="AA454" s="75" t="e">
        <f t="shared" ca="1" si="52"/>
        <v>#N/A</v>
      </c>
      <c r="AB454" s="76">
        <f t="shared" ca="1" si="57"/>
        <v>0</v>
      </c>
      <c r="AC454" s="75">
        <f t="shared" ca="1" si="53"/>
        <v>0</v>
      </c>
      <c r="AD454" s="76">
        <f t="shared" ca="1" si="58"/>
        <v>12388.425642361111</v>
      </c>
      <c r="AE454" s="76">
        <f t="shared" si="59"/>
        <v>0</v>
      </c>
      <c r="AF454" s="75">
        <f t="shared" si="54"/>
        <v>0</v>
      </c>
      <c r="AG454" s="75">
        <f t="shared" si="55"/>
        <v>0</v>
      </c>
      <c r="AH454" s="31" t="e" cm="1">
        <f t="array" aca="1" ref="AH454" ca="1">IF((AD454) &lt; (INDEX(ResponseSLA[#All],(MATCH((G454),ResponseSLA[Priority],0))+1,3)),"YES","No")</f>
        <v>#N/A</v>
      </c>
      <c r="AI454" s="31" t="str">
        <f>_xlfn.IFNA(IF(AE454 &lt; (INDEX(SLATable[Minimum SLA],MATCH(G454,SLATable[Priority],0))),"YES","NO"),"")</f>
        <v/>
      </c>
      <c r="AJ454" t="str">
        <f>_xlfn.IFNA(IF(AE454 &lt; (INDEX(SLATable[Maximum SLA],MATCH(G454,SLATable[Priority],0))),"YES","NO"),"")</f>
        <v/>
      </c>
    </row>
    <row r="455" spans="26:36" ht="15" customHeight="1">
      <c r="Z455" s="76" t="e">
        <f t="shared" ca="1" si="56"/>
        <v>#N/A</v>
      </c>
      <c r="AA455" s="75" t="e">
        <f t="shared" ca="1" si="52"/>
        <v>#N/A</v>
      </c>
      <c r="AB455" s="76">
        <f t="shared" ca="1" si="57"/>
        <v>0</v>
      </c>
      <c r="AC455" s="75">
        <f t="shared" ca="1" si="53"/>
        <v>0</v>
      </c>
      <c r="AD455" s="76">
        <f t="shared" ca="1" si="58"/>
        <v>12388.425642361111</v>
      </c>
      <c r="AE455" s="76">
        <f t="shared" si="59"/>
        <v>0</v>
      </c>
      <c r="AF455" s="75">
        <f t="shared" si="54"/>
        <v>0</v>
      </c>
      <c r="AG455" s="75">
        <f t="shared" si="55"/>
        <v>0</v>
      </c>
      <c r="AH455" s="31" t="e" cm="1">
        <f t="array" aca="1" ref="AH455" ca="1">IF((AD455) &lt; (INDEX(ResponseSLA[#All],(MATCH((G455),ResponseSLA[Priority],0))+1,3)),"YES","No")</f>
        <v>#N/A</v>
      </c>
      <c r="AI455" s="31" t="str">
        <f>_xlfn.IFNA(IF(AE455 &lt; (INDEX(SLATable[Minimum SLA],MATCH(G455,SLATable[Priority],0))),"YES","NO"),"")</f>
        <v/>
      </c>
      <c r="AJ455" t="str">
        <f>_xlfn.IFNA(IF(AE455 &lt; (INDEX(SLATable[Maximum SLA],MATCH(G455,SLATable[Priority],0))),"YES","NO"),"")</f>
        <v/>
      </c>
    </row>
    <row r="456" spans="26:36" ht="15" customHeight="1">
      <c r="Z456" s="76" t="e">
        <f t="shared" ca="1" si="56"/>
        <v>#N/A</v>
      </c>
      <c r="AA456" s="75" t="e">
        <f t="shared" ca="1" si="52"/>
        <v>#N/A</v>
      </c>
      <c r="AB456" s="76">
        <f t="shared" ca="1" si="57"/>
        <v>0</v>
      </c>
      <c r="AC456" s="75">
        <f t="shared" ca="1" si="53"/>
        <v>0</v>
      </c>
      <c r="AD456" s="76">
        <f t="shared" ca="1" si="58"/>
        <v>12388.425642361111</v>
      </c>
      <c r="AE456" s="76">
        <f t="shared" si="59"/>
        <v>0</v>
      </c>
      <c r="AF456" s="75">
        <f t="shared" si="54"/>
        <v>0</v>
      </c>
      <c r="AG456" s="75">
        <f t="shared" si="55"/>
        <v>0</v>
      </c>
      <c r="AH456" s="31" t="e" cm="1">
        <f t="array" aca="1" ref="AH456" ca="1">IF((AD456) &lt; (INDEX(ResponseSLA[#All],(MATCH((G456),ResponseSLA[Priority],0))+1,3)),"YES","No")</f>
        <v>#N/A</v>
      </c>
      <c r="AI456" s="31" t="str">
        <f>_xlfn.IFNA(IF(AE456 &lt; (INDEX(SLATable[Minimum SLA],MATCH(G456,SLATable[Priority],0))),"YES","NO"),"")</f>
        <v/>
      </c>
      <c r="AJ456" t="str">
        <f>_xlfn.IFNA(IF(AE456 &lt; (INDEX(SLATable[Maximum SLA],MATCH(G456,SLATable[Priority],0))),"YES","NO"),"")</f>
        <v/>
      </c>
    </row>
    <row r="457" spans="26:36" ht="15" customHeight="1">
      <c r="Z457" s="76" t="e">
        <f t="shared" ca="1" si="56"/>
        <v>#N/A</v>
      </c>
      <c r="AA457" s="75" t="e">
        <f t="shared" ca="1" si="52"/>
        <v>#N/A</v>
      </c>
      <c r="AB457" s="76">
        <f t="shared" ca="1" si="57"/>
        <v>0</v>
      </c>
      <c r="AC457" s="75">
        <f t="shared" ca="1" si="53"/>
        <v>0</v>
      </c>
      <c r="AD457" s="76">
        <f t="shared" ca="1" si="58"/>
        <v>12388.425642361111</v>
      </c>
      <c r="AE457" s="76">
        <f t="shared" si="59"/>
        <v>0</v>
      </c>
      <c r="AF457" s="75">
        <f t="shared" si="54"/>
        <v>0</v>
      </c>
      <c r="AG457" s="75">
        <f t="shared" si="55"/>
        <v>0</v>
      </c>
      <c r="AH457" s="31" t="e" cm="1">
        <f t="array" aca="1" ref="AH457" ca="1">IF((AD457) &lt; (INDEX(ResponseSLA[#All],(MATCH((G457),ResponseSLA[Priority],0))+1,3)),"YES","No")</f>
        <v>#N/A</v>
      </c>
      <c r="AI457" s="31" t="str">
        <f>_xlfn.IFNA(IF(AE457 &lt; (INDEX(SLATable[Minimum SLA],MATCH(G457,SLATable[Priority],0))),"YES","NO"),"")</f>
        <v/>
      </c>
      <c r="AJ457" t="str">
        <f>_xlfn.IFNA(IF(AE457 &lt; (INDEX(SLATable[Maximum SLA],MATCH(G457,SLATable[Priority],0))),"YES","NO"),"")</f>
        <v/>
      </c>
    </row>
    <row r="458" spans="26:36" ht="15" customHeight="1">
      <c r="Z458" s="76" t="e">
        <f t="shared" ca="1" si="56"/>
        <v>#N/A</v>
      </c>
      <c r="AA458" s="75" t="e">
        <f t="shared" ca="1" si="52"/>
        <v>#N/A</v>
      </c>
      <c r="AB458" s="76">
        <f t="shared" ca="1" si="57"/>
        <v>0</v>
      </c>
      <c r="AC458" s="75">
        <f t="shared" ca="1" si="53"/>
        <v>0</v>
      </c>
      <c r="AD458" s="76">
        <f t="shared" ca="1" si="58"/>
        <v>12388.425642361111</v>
      </c>
      <c r="AE458" s="76">
        <f t="shared" si="59"/>
        <v>0</v>
      </c>
      <c r="AF458" s="75">
        <f t="shared" si="54"/>
        <v>0</v>
      </c>
      <c r="AG458" s="75">
        <f t="shared" si="55"/>
        <v>0</v>
      </c>
      <c r="AH458" s="31" t="e" cm="1">
        <f t="array" aca="1" ref="AH458" ca="1">IF((AD458) &lt; (INDEX(ResponseSLA[#All],(MATCH((G458),ResponseSLA[Priority],0))+1,3)),"YES","No")</f>
        <v>#N/A</v>
      </c>
      <c r="AI458" s="31" t="str">
        <f>_xlfn.IFNA(IF(AE458 &lt; (INDEX(SLATable[Minimum SLA],MATCH(G458,SLATable[Priority],0))),"YES","NO"),"")</f>
        <v/>
      </c>
      <c r="AJ458" t="str">
        <f>_xlfn.IFNA(IF(AE458 &lt; (INDEX(SLATable[Maximum SLA],MATCH(G458,SLATable[Priority],0))),"YES","NO"),"")</f>
        <v/>
      </c>
    </row>
    <row r="459" spans="26:36" ht="15" customHeight="1">
      <c r="Z459" s="76" t="e">
        <f t="shared" ca="1" si="56"/>
        <v>#N/A</v>
      </c>
      <c r="AA459" s="75" t="e">
        <f t="shared" ca="1" si="52"/>
        <v>#N/A</v>
      </c>
      <c r="AB459" s="76">
        <f t="shared" ca="1" si="57"/>
        <v>0</v>
      </c>
      <c r="AC459" s="75">
        <f t="shared" ca="1" si="53"/>
        <v>0</v>
      </c>
      <c r="AD459" s="76">
        <f t="shared" ca="1" si="58"/>
        <v>12388.42564247685</v>
      </c>
      <c r="AE459" s="76">
        <f t="shared" si="59"/>
        <v>0</v>
      </c>
      <c r="AF459" s="75">
        <f t="shared" si="54"/>
        <v>0</v>
      </c>
      <c r="AG459" s="75">
        <f t="shared" si="55"/>
        <v>0</v>
      </c>
      <c r="AH459" s="31" t="e" cm="1">
        <f t="array" aca="1" ref="AH459" ca="1">IF((AD459) &lt; (INDEX(ResponseSLA[#All],(MATCH((G459),ResponseSLA[Priority],0))+1,3)),"YES","No")</f>
        <v>#N/A</v>
      </c>
      <c r="AI459" s="31" t="str">
        <f>_xlfn.IFNA(IF(AE459 &lt; (INDEX(SLATable[Minimum SLA],MATCH(G459,SLATable[Priority],0))),"YES","NO"),"")</f>
        <v/>
      </c>
      <c r="AJ459" t="str">
        <f>_xlfn.IFNA(IF(AE459 &lt; (INDEX(SLATable[Maximum SLA],MATCH(G459,SLATable[Priority],0))),"YES","NO"),"")</f>
        <v/>
      </c>
    </row>
    <row r="460" spans="26:36" ht="15" customHeight="1">
      <c r="Z460" s="76" t="e">
        <f t="shared" ca="1" si="56"/>
        <v>#N/A</v>
      </c>
      <c r="AA460" s="75" t="e">
        <f t="shared" ca="1" si="52"/>
        <v>#N/A</v>
      </c>
      <c r="AB460" s="76">
        <f t="shared" ca="1" si="57"/>
        <v>0</v>
      </c>
      <c r="AC460" s="75">
        <f t="shared" ca="1" si="53"/>
        <v>0</v>
      </c>
      <c r="AD460" s="76">
        <f t="shared" ca="1" si="58"/>
        <v>12388.425642361111</v>
      </c>
      <c r="AE460" s="76">
        <f t="shared" si="59"/>
        <v>0</v>
      </c>
      <c r="AF460" s="75">
        <f t="shared" si="54"/>
        <v>0</v>
      </c>
      <c r="AG460" s="75">
        <f t="shared" si="55"/>
        <v>0</v>
      </c>
      <c r="AH460" s="31" t="e" cm="1">
        <f t="array" aca="1" ref="AH460" ca="1">IF((AD460) &lt; (INDEX(ResponseSLA[#All],(MATCH((G460),ResponseSLA[Priority],0))+1,3)),"YES","No")</f>
        <v>#N/A</v>
      </c>
      <c r="AI460" s="31" t="str">
        <f>_xlfn.IFNA(IF(AE460 &lt; (INDEX(SLATable[Minimum SLA],MATCH(G460,SLATable[Priority],0))),"YES","NO"),"")</f>
        <v/>
      </c>
      <c r="AJ460" t="str">
        <f>_xlfn.IFNA(IF(AE460 &lt; (INDEX(SLATable[Maximum SLA],MATCH(G460,SLATable[Priority],0))),"YES","NO"),"")</f>
        <v/>
      </c>
    </row>
    <row r="461" spans="26:36" ht="15" customHeight="1">
      <c r="Z461" s="76" t="e">
        <f t="shared" ca="1" si="56"/>
        <v>#N/A</v>
      </c>
      <c r="AA461" s="75" t="e">
        <f t="shared" ca="1" si="52"/>
        <v>#N/A</v>
      </c>
      <c r="AB461" s="76">
        <f t="shared" ca="1" si="57"/>
        <v>0</v>
      </c>
      <c r="AC461" s="75">
        <f t="shared" ca="1" si="53"/>
        <v>0</v>
      </c>
      <c r="AD461" s="76">
        <f t="shared" ca="1" si="58"/>
        <v>12388.425642361111</v>
      </c>
      <c r="AE461" s="76">
        <f t="shared" si="59"/>
        <v>0</v>
      </c>
      <c r="AF461" s="75">
        <f t="shared" si="54"/>
        <v>0</v>
      </c>
      <c r="AG461" s="75">
        <f t="shared" si="55"/>
        <v>0</v>
      </c>
      <c r="AH461" s="31" t="e" cm="1">
        <f t="array" aca="1" ref="AH461" ca="1">IF((AD461) &lt; (INDEX(ResponseSLA[#All],(MATCH((G461),ResponseSLA[Priority],0))+1,3)),"YES","No")</f>
        <v>#N/A</v>
      </c>
      <c r="AI461" s="31" t="str">
        <f>_xlfn.IFNA(IF(AE461 &lt; (INDEX(SLATable[Minimum SLA],MATCH(G461,SLATable[Priority],0))),"YES","NO"),"")</f>
        <v/>
      </c>
      <c r="AJ461" t="str">
        <f>_xlfn.IFNA(IF(AE461 &lt; (INDEX(SLATable[Maximum SLA],MATCH(G461,SLATable[Priority],0))),"YES","NO"),"")</f>
        <v/>
      </c>
    </row>
    <row r="462" spans="26:36" ht="15" customHeight="1">
      <c r="Z462" s="76" t="e">
        <f t="shared" ca="1" si="56"/>
        <v>#N/A</v>
      </c>
      <c r="AA462" s="75" t="e">
        <f t="shared" ca="1" si="52"/>
        <v>#N/A</v>
      </c>
      <c r="AB462" s="76">
        <f t="shared" ca="1" si="57"/>
        <v>0</v>
      </c>
      <c r="AC462" s="75">
        <f t="shared" ca="1" si="53"/>
        <v>0</v>
      </c>
      <c r="AD462" s="76">
        <f t="shared" ca="1" si="58"/>
        <v>12388.42564247685</v>
      </c>
      <c r="AE462" s="76">
        <f t="shared" si="59"/>
        <v>0</v>
      </c>
      <c r="AF462" s="75">
        <f t="shared" si="54"/>
        <v>0</v>
      </c>
      <c r="AG462" s="75">
        <f t="shared" si="55"/>
        <v>0</v>
      </c>
      <c r="AH462" s="31" t="e" cm="1">
        <f t="array" aca="1" ref="AH462" ca="1">IF((AD462) &lt; (INDEX(ResponseSLA[#All],(MATCH((G462),ResponseSLA[Priority],0))+1,3)),"YES","No")</f>
        <v>#N/A</v>
      </c>
      <c r="AI462" s="31" t="str">
        <f>_xlfn.IFNA(IF(AE462 &lt; (INDEX(SLATable[Minimum SLA],MATCH(G462,SLATable[Priority],0))),"YES","NO"),"")</f>
        <v/>
      </c>
      <c r="AJ462" t="str">
        <f>_xlfn.IFNA(IF(AE462 &lt; (INDEX(SLATable[Maximum SLA],MATCH(G462,SLATable[Priority],0))),"YES","NO"),"")</f>
        <v/>
      </c>
    </row>
    <row r="463" spans="26:36" ht="15" customHeight="1">
      <c r="Z463" s="76" t="e">
        <f t="shared" ca="1" si="56"/>
        <v>#N/A</v>
      </c>
      <c r="AA463" s="75" t="e">
        <f t="shared" ca="1" si="52"/>
        <v>#N/A</v>
      </c>
      <c r="AB463" s="76">
        <f t="shared" ca="1" si="57"/>
        <v>0</v>
      </c>
      <c r="AC463" s="75">
        <f t="shared" ca="1" si="53"/>
        <v>0</v>
      </c>
      <c r="AD463" s="76">
        <f t="shared" ca="1" si="58"/>
        <v>12388.425642361111</v>
      </c>
      <c r="AE463" s="76">
        <f t="shared" si="59"/>
        <v>0</v>
      </c>
      <c r="AF463" s="75">
        <f t="shared" si="54"/>
        <v>0</v>
      </c>
      <c r="AG463" s="75">
        <f t="shared" si="55"/>
        <v>0</v>
      </c>
      <c r="AH463" s="31" t="e" cm="1">
        <f t="array" aca="1" ref="AH463" ca="1">IF((AD463) &lt; (INDEX(ResponseSLA[#All],(MATCH((G463),ResponseSLA[Priority],0))+1,3)),"YES","No")</f>
        <v>#N/A</v>
      </c>
      <c r="AI463" s="31" t="str">
        <f>_xlfn.IFNA(IF(AE463 &lt; (INDEX(SLATable[Minimum SLA],MATCH(G463,SLATable[Priority],0))),"YES","NO"),"")</f>
        <v/>
      </c>
      <c r="AJ463" t="str">
        <f>_xlfn.IFNA(IF(AE463 &lt; (INDEX(SLATable[Maximum SLA],MATCH(G463,SLATable[Priority],0))),"YES","NO"),"")</f>
        <v/>
      </c>
    </row>
    <row r="464" spans="26:36" ht="15" customHeight="1">
      <c r="Z464" s="76" t="e">
        <f t="shared" ca="1" si="56"/>
        <v>#N/A</v>
      </c>
      <c r="AA464" s="75" t="e">
        <f t="shared" ca="1" si="52"/>
        <v>#N/A</v>
      </c>
      <c r="AB464" s="76">
        <f t="shared" ca="1" si="57"/>
        <v>0</v>
      </c>
      <c r="AC464" s="75">
        <f t="shared" ca="1" si="53"/>
        <v>0</v>
      </c>
      <c r="AD464" s="76">
        <f t="shared" ca="1" si="58"/>
        <v>12388.425642361111</v>
      </c>
      <c r="AE464" s="76">
        <f t="shared" si="59"/>
        <v>0</v>
      </c>
      <c r="AF464" s="75">
        <f t="shared" si="54"/>
        <v>0</v>
      </c>
      <c r="AG464" s="75">
        <f t="shared" si="55"/>
        <v>0</v>
      </c>
      <c r="AH464" s="31" t="e" cm="1">
        <f t="array" aca="1" ref="AH464" ca="1">IF((AD464) &lt; (INDEX(ResponseSLA[#All],(MATCH((G464),ResponseSLA[Priority],0))+1,3)),"YES","No")</f>
        <v>#N/A</v>
      </c>
      <c r="AI464" s="31" t="str">
        <f>_xlfn.IFNA(IF(AE464 &lt; (INDEX(SLATable[Minimum SLA],MATCH(G464,SLATable[Priority],0))),"YES","NO"),"")</f>
        <v/>
      </c>
      <c r="AJ464" t="str">
        <f>_xlfn.IFNA(IF(AE464 &lt; (INDEX(SLATable[Maximum SLA],MATCH(G464,SLATable[Priority],0))),"YES","NO"),"")</f>
        <v/>
      </c>
    </row>
    <row r="465" spans="26:36" ht="15" customHeight="1">
      <c r="Z465" s="76" t="e">
        <f t="shared" ca="1" si="56"/>
        <v>#N/A</v>
      </c>
      <c r="AA465" s="75" t="e">
        <f t="shared" ca="1" si="52"/>
        <v>#N/A</v>
      </c>
      <c r="AB465" s="76">
        <f t="shared" ca="1" si="57"/>
        <v>0</v>
      </c>
      <c r="AC465" s="75">
        <f t="shared" ca="1" si="53"/>
        <v>0</v>
      </c>
      <c r="AD465" s="76">
        <f t="shared" ca="1" si="58"/>
        <v>12388.42564247685</v>
      </c>
      <c r="AE465" s="76">
        <f t="shared" si="59"/>
        <v>0</v>
      </c>
      <c r="AF465" s="75">
        <f t="shared" si="54"/>
        <v>0</v>
      </c>
      <c r="AG465" s="75">
        <f t="shared" si="55"/>
        <v>0</v>
      </c>
      <c r="AH465" s="31" t="e" cm="1">
        <f t="array" aca="1" ref="AH465" ca="1">IF((AD465) &lt; (INDEX(ResponseSLA[#All],(MATCH((G465),ResponseSLA[Priority],0))+1,3)),"YES","No")</f>
        <v>#N/A</v>
      </c>
      <c r="AI465" s="31" t="str">
        <f>_xlfn.IFNA(IF(AE465 &lt; (INDEX(SLATable[Minimum SLA],MATCH(G465,SLATable[Priority],0))),"YES","NO"),"")</f>
        <v/>
      </c>
      <c r="AJ465" t="str">
        <f>_xlfn.IFNA(IF(AE465 &lt; (INDEX(SLATable[Maximum SLA],MATCH(G465,SLATable[Priority],0))),"YES","NO"),"")</f>
        <v/>
      </c>
    </row>
    <row r="466" spans="26:36" ht="15" customHeight="1">
      <c r="Z466" s="76" t="e">
        <f t="shared" ca="1" si="56"/>
        <v>#N/A</v>
      </c>
      <c r="AA466" s="75" t="e">
        <f t="shared" ca="1" si="52"/>
        <v>#N/A</v>
      </c>
      <c r="AB466" s="76">
        <f t="shared" ca="1" si="57"/>
        <v>0</v>
      </c>
      <c r="AC466" s="75">
        <f t="shared" ca="1" si="53"/>
        <v>0</v>
      </c>
      <c r="AD466" s="76">
        <f t="shared" ca="1" si="58"/>
        <v>12388.425642361111</v>
      </c>
      <c r="AE466" s="76">
        <f t="shared" si="59"/>
        <v>0</v>
      </c>
      <c r="AF466" s="75">
        <f t="shared" si="54"/>
        <v>0</v>
      </c>
      <c r="AG466" s="75">
        <f t="shared" si="55"/>
        <v>0</v>
      </c>
      <c r="AH466" s="31" t="e" cm="1">
        <f t="array" aca="1" ref="AH466" ca="1">IF((AD466) &lt; (INDEX(ResponseSLA[#All],(MATCH((G466),ResponseSLA[Priority],0))+1,3)),"YES","No")</f>
        <v>#N/A</v>
      </c>
      <c r="AI466" s="31" t="str">
        <f>_xlfn.IFNA(IF(AE466 &lt; (INDEX(SLATable[Minimum SLA],MATCH(G466,SLATable[Priority],0))),"YES","NO"),"")</f>
        <v/>
      </c>
      <c r="AJ466" t="str">
        <f>_xlfn.IFNA(IF(AE466 &lt; (INDEX(SLATable[Maximum SLA],MATCH(G466,SLATable[Priority],0))),"YES","NO"),"")</f>
        <v/>
      </c>
    </row>
    <row r="467" spans="26:36" ht="15" customHeight="1">
      <c r="Z467" s="76" t="e">
        <f t="shared" ca="1" si="56"/>
        <v>#N/A</v>
      </c>
      <c r="AA467" s="75" t="e">
        <f t="shared" ca="1" si="52"/>
        <v>#N/A</v>
      </c>
      <c r="AB467" s="76">
        <f t="shared" ca="1" si="57"/>
        <v>0</v>
      </c>
      <c r="AC467" s="75">
        <f t="shared" ca="1" si="53"/>
        <v>0</v>
      </c>
      <c r="AD467" s="76">
        <f t="shared" ca="1" si="58"/>
        <v>12388.425642361111</v>
      </c>
      <c r="AE467" s="76">
        <f t="shared" si="59"/>
        <v>0</v>
      </c>
      <c r="AF467" s="75">
        <f t="shared" si="54"/>
        <v>0</v>
      </c>
      <c r="AG467" s="75">
        <f t="shared" si="55"/>
        <v>0</v>
      </c>
      <c r="AH467" s="31" t="e" cm="1">
        <f t="array" aca="1" ref="AH467" ca="1">IF((AD467) &lt; (INDEX(ResponseSLA[#All],(MATCH((G467),ResponseSLA[Priority],0))+1,3)),"YES","No")</f>
        <v>#N/A</v>
      </c>
      <c r="AI467" s="31" t="str">
        <f>_xlfn.IFNA(IF(AE467 &lt; (INDEX(SLATable[Minimum SLA],MATCH(G467,SLATable[Priority],0))),"YES","NO"),"")</f>
        <v/>
      </c>
      <c r="AJ467" t="str">
        <f>_xlfn.IFNA(IF(AE467 &lt; (INDEX(SLATable[Maximum SLA],MATCH(G467,SLATable[Priority],0))),"YES","NO"),"")</f>
        <v/>
      </c>
    </row>
    <row r="468" spans="26:36" ht="15" customHeight="1">
      <c r="Z468" s="76" t="e">
        <f t="shared" ca="1" si="56"/>
        <v>#N/A</v>
      </c>
      <c r="AA468" s="75" t="e">
        <f t="shared" ca="1" si="52"/>
        <v>#N/A</v>
      </c>
      <c r="AB468" s="76">
        <f t="shared" ca="1" si="57"/>
        <v>0</v>
      </c>
      <c r="AC468" s="75">
        <f t="shared" ca="1" si="53"/>
        <v>0</v>
      </c>
      <c r="AD468" s="76">
        <f t="shared" ca="1" si="58"/>
        <v>12388.42564247685</v>
      </c>
      <c r="AE468" s="76">
        <f t="shared" si="59"/>
        <v>0</v>
      </c>
      <c r="AF468" s="75">
        <f t="shared" si="54"/>
        <v>0</v>
      </c>
      <c r="AG468" s="75">
        <f t="shared" si="55"/>
        <v>0</v>
      </c>
      <c r="AH468" s="31" t="e" cm="1">
        <f t="array" aca="1" ref="AH468" ca="1">IF((AD468) &lt; (INDEX(ResponseSLA[#All],(MATCH((G468),ResponseSLA[Priority],0))+1,3)),"YES","No")</f>
        <v>#N/A</v>
      </c>
      <c r="AI468" s="31" t="str">
        <f>_xlfn.IFNA(IF(AE468 &lt; (INDEX(SLATable[Minimum SLA],MATCH(G468,SLATable[Priority],0))),"YES","NO"),"")</f>
        <v/>
      </c>
      <c r="AJ468" t="str">
        <f>_xlfn.IFNA(IF(AE468 &lt; (INDEX(SLATable[Maximum SLA],MATCH(G468,SLATable[Priority],0))),"YES","NO"),"")</f>
        <v/>
      </c>
    </row>
    <row r="469" spans="26:36" ht="15" customHeight="1">
      <c r="Z469" s="76" t="e">
        <f t="shared" ca="1" si="56"/>
        <v>#N/A</v>
      </c>
      <c r="AA469" s="75" t="e">
        <f t="shared" ca="1" si="52"/>
        <v>#N/A</v>
      </c>
      <c r="AB469" s="76">
        <f t="shared" ca="1" si="57"/>
        <v>0</v>
      </c>
      <c r="AC469" s="75">
        <f t="shared" ca="1" si="53"/>
        <v>0</v>
      </c>
      <c r="AD469" s="76">
        <f t="shared" ca="1" si="58"/>
        <v>12388.425642361111</v>
      </c>
      <c r="AE469" s="76">
        <f t="shared" si="59"/>
        <v>0</v>
      </c>
      <c r="AF469" s="75">
        <f t="shared" si="54"/>
        <v>0</v>
      </c>
      <c r="AG469" s="75">
        <f t="shared" si="55"/>
        <v>0</v>
      </c>
      <c r="AH469" s="31" t="e" cm="1">
        <f t="array" aca="1" ref="AH469" ca="1">IF((AD469) &lt; (INDEX(ResponseSLA[#All],(MATCH((G469),ResponseSLA[Priority],0))+1,3)),"YES","No")</f>
        <v>#N/A</v>
      </c>
      <c r="AI469" s="31" t="str">
        <f>_xlfn.IFNA(IF(AE469 &lt; (INDEX(SLATable[Minimum SLA],MATCH(G469,SLATable[Priority],0))),"YES","NO"),"")</f>
        <v/>
      </c>
      <c r="AJ469" t="str">
        <f>_xlfn.IFNA(IF(AE469 &lt; (INDEX(SLATable[Maximum SLA],MATCH(G469,SLATable[Priority],0))),"YES","NO"),"")</f>
        <v/>
      </c>
    </row>
    <row r="470" spans="26:36" ht="15" customHeight="1">
      <c r="Z470" s="76" t="e">
        <f t="shared" ca="1" si="56"/>
        <v>#N/A</v>
      </c>
      <c r="AA470" s="75" t="e">
        <f t="shared" ca="1" si="52"/>
        <v>#N/A</v>
      </c>
      <c r="AB470" s="76">
        <f t="shared" ca="1" si="57"/>
        <v>0</v>
      </c>
      <c r="AC470" s="75">
        <f t="shared" ca="1" si="53"/>
        <v>0</v>
      </c>
      <c r="AD470" s="76">
        <f t="shared" ca="1" si="58"/>
        <v>12388.425642361111</v>
      </c>
      <c r="AE470" s="76">
        <f t="shared" si="59"/>
        <v>0</v>
      </c>
      <c r="AF470" s="75">
        <f t="shared" si="54"/>
        <v>0</v>
      </c>
      <c r="AG470" s="75">
        <f t="shared" si="55"/>
        <v>0</v>
      </c>
      <c r="AH470" s="31" t="e" cm="1">
        <f t="array" aca="1" ref="AH470" ca="1">IF((AD470) &lt; (INDEX(ResponseSLA[#All],(MATCH((G470),ResponseSLA[Priority],0))+1,3)),"YES","No")</f>
        <v>#N/A</v>
      </c>
      <c r="AI470" s="31" t="str">
        <f>_xlfn.IFNA(IF(AE470 &lt; (INDEX(SLATable[Minimum SLA],MATCH(G470,SLATable[Priority],0))),"YES","NO"),"")</f>
        <v/>
      </c>
      <c r="AJ470" t="str">
        <f>_xlfn.IFNA(IF(AE470 &lt; (INDEX(SLATable[Maximum SLA],MATCH(G470,SLATable[Priority],0))),"YES","NO"),"")</f>
        <v/>
      </c>
    </row>
    <row r="471" spans="26:36" ht="15" customHeight="1">
      <c r="Z471" s="76" t="e">
        <f t="shared" ca="1" si="56"/>
        <v>#N/A</v>
      </c>
      <c r="AA471" s="75" t="e">
        <f t="shared" ca="1" si="52"/>
        <v>#N/A</v>
      </c>
      <c r="AB471" s="76">
        <f t="shared" ca="1" si="57"/>
        <v>0</v>
      </c>
      <c r="AC471" s="75">
        <f t="shared" ca="1" si="53"/>
        <v>0</v>
      </c>
      <c r="AD471" s="76">
        <f t="shared" ca="1" si="58"/>
        <v>12388.42564247685</v>
      </c>
      <c r="AE471" s="76">
        <f t="shared" si="59"/>
        <v>0</v>
      </c>
      <c r="AF471" s="75">
        <f t="shared" si="54"/>
        <v>0</v>
      </c>
      <c r="AG471" s="75">
        <f t="shared" si="55"/>
        <v>0</v>
      </c>
      <c r="AH471" s="31" t="e" cm="1">
        <f t="array" aca="1" ref="AH471" ca="1">IF((AD471) &lt; (INDEX(ResponseSLA[#All],(MATCH((G471),ResponseSLA[Priority],0))+1,3)),"YES","No")</f>
        <v>#N/A</v>
      </c>
      <c r="AI471" s="31" t="str">
        <f>_xlfn.IFNA(IF(AE471 &lt; (INDEX(SLATable[Minimum SLA],MATCH(G471,SLATable[Priority],0))),"YES","NO"),"")</f>
        <v/>
      </c>
      <c r="AJ471" t="str">
        <f>_xlfn.IFNA(IF(AE471 &lt; (INDEX(SLATable[Maximum SLA],MATCH(G471,SLATable[Priority],0))),"YES","NO"),"")</f>
        <v/>
      </c>
    </row>
    <row r="472" spans="26:36" ht="15" customHeight="1">
      <c r="Z472" s="76" t="e">
        <f t="shared" ca="1" si="56"/>
        <v>#N/A</v>
      </c>
      <c r="AA472" s="75" t="e">
        <f t="shared" ca="1" si="52"/>
        <v>#N/A</v>
      </c>
      <c r="AB472" s="76">
        <f t="shared" ca="1" si="57"/>
        <v>0</v>
      </c>
      <c r="AC472" s="75">
        <f t="shared" ca="1" si="53"/>
        <v>0</v>
      </c>
      <c r="AD472" s="76">
        <f t="shared" ca="1" si="58"/>
        <v>12388.425642361111</v>
      </c>
      <c r="AE472" s="76">
        <f t="shared" si="59"/>
        <v>0</v>
      </c>
      <c r="AF472" s="75">
        <f t="shared" si="54"/>
        <v>0</v>
      </c>
      <c r="AG472" s="75">
        <f t="shared" si="55"/>
        <v>0</v>
      </c>
      <c r="AH472" s="31" t="e" cm="1">
        <f t="array" aca="1" ref="AH472" ca="1">IF((AD472) &lt; (INDEX(ResponseSLA[#All],(MATCH((G472),ResponseSLA[Priority],0))+1,3)),"YES","No")</f>
        <v>#N/A</v>
      </c>
      <c r="AI472" s="31" t="str">
        <f>_xlfn.IFNA(IF(AE472 &lt; (INDEX(SLATable[Minimum SLA],MATCH(G472,SLATable[Priority],0))),"YES","NO"),"")</f>
        <v/>
      </c>
      <c r="AJ472" t="str">
        <f>_xlfn.IFNA(IF(AE472 &lt; (INDEX(SLATable[Maximum SLA],MATCH(G472,SLATable[Priority],0))),"YES","NO"),"")</f>
        <v/>
      </c>
    </row>
    <row r="473" spans="26:36" ht="15" customHeight="1">
      <c r="Z473" s="76" t="e">
        <f t="shared" ca="1" si="56"/>
        <v>#N/A</v>
      </c>
      <c r="AA473" s="75" t="e">
        <f t="shared" ca="1" si="52"/>
        <v>#N/A</v>
      </c>
      <c r="AB473" s="76">
        <f t="shared" ca="1" si="57"/>
        <v>0</v>
      </c>
      <c r="AC473" s="75">
        <f t="shared" ca="1" si="53"/>
        <v>0</v>
      </c>
      <c r="AD473" s="76">
        <f t="shared" ca="1" si="58"/>
        <v>12388.425642361111</v>
      </c>
      <c r="AE473" s="76">
        <f t="shared" si="59"/>
        <v>0</v>
      </c>
      <c r="AF473" s="75">
        <f t="shared" si="54"/>
        <v>0</v>
      </c>
      <c r="AG473" s="75">
        <f t="shared" si="55"/>
        <v>0</v>
      </c>
      <c r="AH473" s="31" t="e" cm="1">
        <f t="array" aca="1" ref="AH473" ca="1">IF((AD473) &lt; (INDEX(ResponseSLA[#All],(MATCH((G473),ResponseSLA[Priority],0))+1,3)),"YES","No")</f>
        <v>#N/A</v>
      </c>
      <c r="AI473" s="31" t="str">
        <f>_xlfn.IFNA(IF(AE473 &lt; (INDEX(SLATable[Minimum SLA],MATCH(G473,SLATable[Priority],0))),"YES","NO"),"")</f>
        <v/>
      </c>
      <c r="AJ473" t="str">
        <f>_xlfn.IFNA(IF(AE473 &lt; (INDEX(SLATable[Maximum SLA],MATCH(G473,SLATable[Priority],0))),"YES","NO"),"")</f>
        <v/>
      </c>
    </row>
    <row r="474" spans="26:36" ht="15" customHeight="1">
      <c r="Z474" s="76" t="e">
        <f t="shared" ca="1" si="56"/>
        <v>#N/A</v>
      </c>
      <c r="AA474" s="75" t="e">
        <f t="shared" ca="1" si="52"/>
        <v>#N/A</v>
      </c>
      <c r="AB474" s="76">
        <f t="shared" ca="1" si="57"/>
        <v>0</v>
      </c>
      <c r="AC474" s="75">
        <f t="shared" ca="1" si="53"/>
        <v>0</v>
      </c>
      <c r="AD474" s="76">
        <f t="shared" ca="1" si="58"/>
        <v>12388.42564247685</v>
      </c>
      <c r="AE474" s="76">
        <f t="shared" si="59"/>
        <v>0</v>
      </c>
      <c r="AF474" s="75">
        <f t="shared" si="54"/>
        <v>0</v>
      </c>
      <c r="AG474" s="75">
        <f t="shared" si="55"/>
        <v>0</v>
      </c>
      <c r="AH474" s="31" t="e" cm="1">
        <f t="array" aca="1" ref="AH474" ca="1">IF((AD474) &lt; (INDEX(ResponseSLA[#All],(MATCH((G474),ResponseSLA[Priority],0))+1,3)),"YES","No")</f>
        <v>#N/A</v>
      </c>
      <c r="AI474" s="31" t="str">
        <f>_xlfn.IFNA(IF(AE474 &lt; (INDEX(SLATable[Minimum SLA],MATCH(G474,SLATable[Priority],0))),"YES","NO"),"")</f>
        <v/>
      </c>
      <c r="AJ474" t="str">
        <f>_xlfn.IFNA(IF(AE474 &lt; (INDEX(SLATable[Maximum SLA],MATCH(G474,SLATable[Priority],0))),"YES","NO"),"")</f>
        <v/>
      </c>
    </row>
    <row r="475" spans="26:36" ht="15" customHeight="1">
      <c r="Z475" s="76" t="e">
        <f t="shared" ca="1" si="56"/>
        <v>#N/A</v>
      </c>
      <c r="AA475" s="75" t="e">
        <f t="shared" ca="1" si="52"/>
        <v>#N/A</v>
      </c>
      <c r="AB475" s="76">
        <f t="shared" ca="1" si="57"/>
        <v>0</v>
      </c>
      <c r="AC475" s="75">
        <f t="shared" ca="1" si="53"/>
        <v>0</v>
      </c>
      <c r="AD475" s="76">
        <f t="shared" ca="1" si="58"/>
        <v>12388.425642361111</v>
      </c>
      <c r="AE475" s="76">
        <f t="shared" si="59"/>
        <v>0</v>
      </c>
      <c r="AF475" s="75">
        <f t="shared" si="54"/>
        <v>0</v>
      </c>
      <c r="AG475" s="75">
        <f t="shared" si="55"/>
        <v>0</v>
      </c>
      <c r="AH475" s="31" t="e" cm="1">
        <f t="array" aca="1" ref="AH475" ca="1">IF((AD475) &lt; (INDEX(ResponseSLA[#All],(MATCH((G475),ResponseSLA[Priority],0))+1,3)),"YES","No")</f>
        <v>#N/A</v>
      </c>
      <c r="AI475" s="31" t="str">
        <f>_xlfn.IFNA(IF(AE475 &lt; (INDEX(SLATable[Minimum SLA],MATCH(G475,SLATable[Priority],0))),"YES","NO"),"")</f>
        <v/>
      </c>
      <c r="AJ475" t="str">
        <f>_xlfn.IFNA(IF(AE475 &lt; (INDEX(SLATable[Maximum SLA],MATCH(G475,SLATable[Priority],0))),"YES","NO"),"")</f>
        <v/>
      </c>
    </row>
    <row r="476" spans="26:36" ht="15" customHeight="1">
      <c r="Z476" s="76" t="e">
        <f t="shared" ca="1" si="56"/>
        <v>#N/A</v>
      </c>
      <c r="AA476" s="75" t="e">
        <f t="shared" ca="1" si="52"/>
        <v>#N/A</v>
      </c>
      <c r="AB476" s="76">
        <f t="shared" ca="1" si="57"/>
        <v>0</v>
      </c>
      <c r="AC476" s="75">
        <f t="shared" ca="1" si="53"/>
        <v>0</v>
      </c>
      <c r="AD476" s="76">
        <f t="shared" ca="1" si="58"/>
        <v>12388.42564247685</v>
      </c>
      <c r="AE476" s="76">
        <f t="shared" si="59"/>
        <v>0</v>
      </c>
      <c r="AF476" s="75">
        <f t="shared" si="54"/>
        <v>0</v>
      </c>
      <c r="AG476" s="75">
        <f t="shared" si="55"/>
        <v>0</v>
      </c>
      <c r="AH476" s="31" t="e" cm="1">
        <f t="array" aca="1" ref="AH476" ca="1">IF((AD476) &lt; (INDEX(ResponseSLA[#All],(MATCH((G476),ResponseSLA[Priority],0))+1,3)),"YES","No")</f>
        <v>#N/A</v>
      </c>
      <c r="AI476" s="31" t="str">
        <f>_xlfn.IFNA(IF(AE476 &lt; (INDEX(SLATable[Minimum SLA],MATCH(G476,SLATable[Priority],0))),"YES","NO"),"")</f>
        <v/>
      </c>
      <c r="AJ476" t="str">
        <f>_xlfn.IFNA(IF(AE476 &lt; (INDEX(SLATable[Maximum SLA],MATCH(G476,SLATable[Priority],0))),"YES","NO"),"")</f>
        <v/>
      </c>
    </row>
    <row r="477" spans="26:36" ht="15" customHeight="1">
      <c r="Z477" s="76" t="e">
        <f t="shared" ca="1" si="56"/>
        <v>#N/A</v>
      </c>
      <c r="AA477" s="75" t="e">
        <f t="shared" ca="1" si="52"/>
        <v>#N/A</v>
      </c>
      <c r="AB477" s="76">
        <f t="shared" ca="1" si="57"/>
        <v>0</v>
      </c>
      <c r="AC477" s="75">
        <f t="shared" ca="1" si="53"/>
        <v>0</v>
      </c>
      <c r="AD477" s="76">
        <f t="shared" ca="1" si="58"/>
        <v>12388.42564247685</v>
      </c>
      <c r="AE477" s="76">
        <f t="shared" si="59"/>
        <v>0</v>
      </c>
      <c r="AF477" s="75">
        <f t="shared" si="54"/>
        <v>0</v>
      </c>
      <c r="AG477" s="75">
        <f t="shared" si="55"/>
        <v>0</v>
      </c>
      <c r="AH477" s="31" t="e" cm="1">
        <f t="array" aca="1" ref="AH477" ca="1">IF((AD477) &lt; (INDEX(ResponseSLA[#All],(MATCH((G477),ResponseSLA[Priority],0))+1,3)),"YES","No")</f>
        <v>#N/A</v>
      </c>
      <c r="AI477" s="31" t="str">
        <f>_xlfn.IFNA(IF(AE477 &lt; (INDEX(SLATable[Minimum SLA],MATCH(G477,SLATable[Priority],0))),"YES","NO"),"")</f>
        <v/>
      </c>
      <c r="AJ477" t="str">
        <f>_xlfn.IFNA(IF(AE477 &lt; (INDEX(SLATable[Maximum SLA],MATCH(G477,SLATable[Priority],0))),"YES","NO"),"")</f>
        <v/>
      </c>
    </row>
    <row r="478" spans="26:36" ht="15" customHeight="1">
      <c r="Z478" s="76" t="e">
        <f t="shared" ca="1" si="56"/>
        <v>#N/A</v>
      </c>
      <c r="AA478" s="75" t="e">
        <f t="shared" ca="1" si="52"/>
        <v>#N/A</v>
      </c>
      <c r="AB478" s="76">
        <f t="shared" ca="1" si="57"/>
        <v>0</v>
      </c>
      <c r="AC478" s="75">
        <f t="shared" ca="1" si="53"/>
        <v>0</v>
      </c>
      <c r="AD478" s="76">
        <f t="shared" ca="1" si="58"/>
        <v>12388.425642361111</v>
      </c>
      <c r="AE478" s="76">
        <f t="shared" si="59"/>
        <v>0</v>
      </c>
      <c r="AF478" s="75">
        <f t="shared" si="54"/>
        <v>0</v>
      </c>
      <c r="AG478" s="75">
        <f t="shared" si="55"/>
        <v>0</v>
      </c>
      <c r="AH478" s="31" t="e" cm="1">
        <f t="array" aca="1" ref="AH478" ca="1">IF((AD478) &lt; (INDEX(ResponseSLA[#All],(MATCH((G478),ResponseSLA[Priority],0))+1,3)),"YES","No")</f>
        <v>#N/A</v>
      </c>
      <c r="AI478" s="31" t="str">
        <f>_xlfn.IFNA(IF(AE478 &lt; (INDEX(SLATable[Minimum SLA],MATCH(G478,SLATable[Priority],0))),"YES","NO"),"")</f>
        <v/>
      </c>
      <c r="AJ478" t="str">
        <f>_xlfn.IFNA(IF(AE478 &lt; (INDEX(SLATable[Maximum SLA],MATCH(G478,SLATable[Priority],0))),"YES","NO"),"")</f>
        <v/>
      </c>
    </row>
    <row r="479" spans="26:36" ht="15" customHeight="1">
      <c r="Z479" s="76" t="e">
        <f t="shared" ca="1" si="56"/>
        <v>#N/A</v>
      </c>
      <c r="AA479" s="75" t="e">
        <f t="shared" ca="1" si="52"/>
        <v>#N/A</v>
      </c>
      <c r="AB479" s="76">
        <f t="shared" ca="1" si="57"/>
        <v>0</v>
      </c>
      <c r="AC479" s="75">
        <f t="shared" ca="1" si="53"/>
        <v>0</v>
      </c>
      <c r="AD479" s="76">
        <f t="shared" ca="1" si="58"/>
        <v>12388.42564247685</v>
      </c>
      <c r="AE479" s="76">
        <f t="shared" si="59"/>
        <v>0</v>
      </c>
      <c r="AF479" s="75">
        <f t="shared" si="54"/>
        <v>0</v>
      </c>
      <c r="AG479" s="75">
        <f t="shared" si="55"/>
        <v>0</v>
      </c>
      <c r="AH479" s="31" t="e" cm="1">
        <f t="array" aca="1" ref="AH479" ca="1">IF((AD479) &lt; (INDEX(ResponseSLA[#All],(MATCH((G479),ResponseSLA[Priority],0))+1,3)),"YES","No")</f>
        <v>#N/A</v>
      </c>
      <c r="AI479" s="31" t="str">
        <f>_xlfn.IFNA(IF(AE479 &lt; (INDEX(SLATable[Minimum SLA],MATCH(G479,SLATable[Priority],0))),"YES","NO"),"")</f>
        <v/>
      </c>
      <c r="AJ479" t="str">
        <f>_xlfn.IFNA(IF(AE479 &lt; (INDEX(SLATable[Maximum SLA],MATCH(G479,SLATable[Priority],0))),"YES","NO"),"")</f>
        <v/>
      </c>
    </row>
    <row r="480" spans="26:36" ht="15" customHeight="1">
      <c r="Z480" s="76" t="e">
        <f t="shared" ca="1" si="56"/>
        <v>#N/A</v>
      </c>
      <c r="AA480" s="75" t="e">
        <f t="shared" ca="1" si="52"/>
        <v>#N/A</v>
      </c>
      <c r="AB480" s="76">
        <f t="shared" ca="1" si="57"/>
        <v>0</v>
      </c>
      <c r="AC480" s="75">
        <f t="shared" ca="1" si="53"/>
        <v>0</v>
      </c>
      <c r="AD480" s="76">
        <f t="shared" ca="1" si="58"/>
        <v>12388.42564247685</v>
      </c>
      <c r="AE480" s="76">
        <f t="shared" si="59"/>
        <v>0</v>
      </c>
      <c r="AF480" s="75">
        <f t="shared" si="54"/>
        <v>0</v>
      </c>
      <c r="AG480" s="75">
        <f t="shared" si="55"/>
        <v>0</v>
      </c>
      <c r="AH480" s="31" t="e" cm="1">
        <f t="array" aca="1" ref="AH480" ca="1">IF((AD480) &lt; (INDEX(ResponseSLA[#All],(MATCH((G480),ResponseSLA[Priority],0))+1,3)),"YES","No")</f>
        <v>#N/A</v>
      </c>
      <c r="AI480" s="31" t="str">
        <f>_xlfn.IFNA(IF(AE480 &lt; (INDEX(SLATable[Minimum SLA],MATCH(G480,SLATable[Priority],0))),"YES","NO"),"")</f>
        <v/>
      </c>
      <c r="AJ480" t="str">
        <f>_xlfn.IFNA(IF(AE480 &lt; (INDEX(SLATable[Maximum SLA],MATCH(G480,SLATable[Priority],0))),"YES","NO"),"")</f>
        <v/>
      </c>
    </row>
    <row r="481" spans="26:36" ht="15" customHeight="1">
      <c r="Z481" s="76" t="e">
        <f t="shared" ca="1" si="56"/>
        <v>#N/A</v>
      </c>
      <c r="AA481" s="75" t="e">
        <f t="shared" ca="1" si="52"/>
        <v>#N/A</v>
      </c>
      <c r="AB481" s="76">
        <f t="shared" ca="1" si="57"/>
        <v>0</v>
      </c>
      <c r="AC481" s="75">
        <f t="shared" ca="1" si="53"/>
        <v>0</v>
      </c>
      <c r="AD481" s="76">
        <f t="shared" ca="1" si="58"/>
        <v>12388.425642361111</v>
      </c>
      <c r="AE481" s="76">
        <f t="shared" si="59"/>
        <v>0</v>
      </c>
      <c r="AF481" s="75">
        <f t="shared" si="54"/>
        <v>0</v>
      </c>
      <c r="AG481" s="75">
        <f t="shared" si="55"/>
        <v>0</v>
      </c>
      <c r="AH481" s="31" t="e" cm="1">
        <f t="array" aca="1" ref="AH481" ca="1">IF((AD481) &lt; (INDEX(ResponseSLA[#All],(MATCH((G481),ResponseSLA[Priority],0))+1,3)),"YES","No")</f>
        <v>#N/A</v>
      </c>
      <c r="AI481" s="31" t="str">
        <f>_xlfn.IFNA(IF(AE481 &lt; (INDEX(SLATable[Minimum SLA],MATCH(G481,SLATable[Priority],0))),"YES","NO"),"")</f>
        <v/>
      </c>
      <c r="AJ481" t="str">
        <f>_xlfn.IFNA(IF(AE481 &lt; (INDEX(SLATable[Maximum SLA],MATCH(G481,SLATable[Priority],0))),"YES","NO"),"")</f>
        <v/>
      </c>
    </row>
    <row r="482" spans="26:36" ht="15" customHeight="1">
      <c r="Z482" s="76" t="e">
        <f t="shared" ca="1" si="56"/>
        <v>#N/A</v>
      </c>
      <c r="AA482" s="75" t="e">
        <f t="shared" ca="1" si="52"/>
        <v>#N/A</v>
      </c>
      <c r="AB482" s="76">
        <f t="shared" ca="1" si="57"/>
        <v>0</v>
      </c>
      <c r="AC482" s="75">
        <f t="shared" ca="1" si="53"/>
        <v>0</v>
      </c>
      <c r="AD482" s="76">
        <f t="shared" ca="1" si="58"/>
        <v>12388.42564247685</v>
      </c>
      <c r="AE482" s="76">
        <f t="shared" si="59"/>
        <v>0</v>
      </c>
      <c r="AF482" s="75">
        <f t="shared" si="54"/>
        <v>0</v>
      </c>
      <c r="AG482" s="75">
        <f t="shared" si="55"/>
        <v>0</v>
      </c>
      <c r="AH482" s="31" t="e" cm="1">
        <f t="array" aca="1" ref="AH482" ca="1">IF((AD482) &lt; (INDEX(ResponseSLA[#All],(MATCH((G482),ResponseSLA[Priority],0))+1,3)),"YES","No")</f>
        <v>#N/A</v>
      </c>
      <c r="AI482" s="31" t="str">
        <f>_xlfn.IFNA(IF(AE482 &lt; (INDEX(SLATable[Minimum SLA],MATCH(G482,SLATable[Priority],0))),"YES","NO"),"")</f>
        <v/>
      </c>
      <c r="AJ482" t="str">
        <f>_xlfn.IFNA(IF(AE482 &lt; (INDEX(SLATable[Maximum SLA],MATCH(G482,SLATable[Priority],0))),"YES","NO"),"")</f>
        <v/>
      </c>
    </row>
    <row r="483" spans="26:36" ht="15" customHeight="1">
      <c r="Z483" s="76" t="e">
        <f t="shared" ca="1" si="56"/>
        <v>#N/A</v>
      </c>
      <c r="AA483" s="75" t="e">
        <f t="shared" ca="1" si="52"/>
        <v>#N/A</v>
      </c>
      <c r="AB483" s="76">
        <f t="shared" ca="1" si="57"/>
        <v>0</v>
      </c>
      <c r="AC483" s="75">
        <f t="shared" ca="1" si="53"/>
        <v>0</v>
      </c>
      <c r="AD483" s="76">
        <f t="shared" ca="1" si="58"/>
        <v>12388.42564247685</v>
      </c>
      <c r="AE483" s="76">
        <f t="shared" si="59"/>
        <v>0</v>
      </c>
      <c r="AF483" s="75">
        <f t="shared" si="54"/>
        <v>0</v>
      </c>
      <c r="AG483" s="75">
        <f t="shared" si="55"/>
        <v>0</v>
      </c>
      <c r="AH483" s="31" t="e" cm="1">
        <f t="array" aca="1" ref="AH483" ca="1">IF((AD483) &lt; (INDEX(ResponseSLA[#All],(MATCH((G483),ResponseSLA[Priority],0))+1,3)),"YES","No")</f>
        <v>#N/A</v>
      </c>
      <c r="AI483" s="31" t="str">
        <f>_xlfn.IFNA(IF(AE483 &lt; (INDEX(SLATable[Minimum SLA],MATCH(G483,SLATable[Priority],0))),"YES","NO"),"")</f>
        <v/>
      </c>
      <c r="AJ483" t="str">
        <f>_xlfn.IFNA(IF(AE483 &lt; (INDEX(SLATable[Maximum SLA],MATCH(G483,SLATable[Priority],0))),"YES","NO"),"")</f>
        <v/>
      </c>
    </row>
    <row r="484" spans="26:36" ht="15" customHeight="1">
      <c r="Z484" s="76" t="e">
        <f t="shared" ca="1" si="56"/>
        <v>#N/A</v>
      </c>
      <c r="AA484" s="75" t="e">
        <f t="shared" ca="1" si="52"/>
        <v>#N/A</v>
      </c>
      <c r="AB484" s="76">
        <f t="shared" ca="1" si="57"/>
        <v>0</v>
      </c>
      <c r="AC484" s="75">
        <f t="shared" ca="1" si="53"/>
        <v>0</v>
      </c>
      <c r="AD484" s="76">
        <f t="shared" ca="1" si="58"/>
        <v>12388.425642361111</v>
      </c>
      <c r="AE484" s="76">
        <f t="shared" si="59"/>
        <v>0</v>
      </c>
      <c r="AF484" s="75">
        <f t="shared" si="54"/>
        <v>0</v>
      </c>
      <c r="AG484" s="75">
        <f t="shared" si="55"/>
        <v>0</v>
      </c>
      <c r="AH484" s="31" t="e" cm="1">
        <f t="array" aca="1" ref="AH484" ca="1">IF((AD484) &lt; (INDEX(ResponseSLA[#All],(MATCH((G484),ResponseSLA[Priority],0))+1,3)),"YES","No")</f>
        <v>#N/A</v>
      </c>
      <c r="AI484" s="31" t="str">
        <f>_xlfn.IFNA(IF(AE484 &lt; (INDEX(SLATable[Minimum SLA],MATCH(G484,SLATable[Priority],0))),"YES","NO"),"")</f>
        <v/>
      </c>
      <c r="AJ484" t="str">
        <f>_xlfn.IFNA(IF(AE484 &lt; (INDEX(SLATable[Maximum SLA],MATCH(G484,SLATable[Priority],0))),"YES","NO"),"")</f>
        <v/>
      </c>
    </row>
    <row r="485" spans="26:36" ht="15" customHeight="1">
      <c r="Z485" s="76" t="e">
        <f t="shared" ca="1" si="56"/>
        <v>#N/A</v>
      </c>
      <c r="AA485" s="75" t="e">
        <f t="shared" ca="1" si="52"/>
        <v>#N/A</v>
      </c>
      <c r="AB485" s="76">
        <f t="shared" ca="1" si="57"/>
        <v>0</v>
      </c>
      <c r="AC485" s="75">
        <f t="shared" ca="1" si="53"/>
        <v>0</v>
      </c>
      <c r="AD485" s="76">
        <f t="shared" ca="1" si="58"/>
        <v>12388.42564247685</v>
      </c>
      <c r="AE485" s="76">
        <f t="shared" si="59"/>
        <v>0</v>
      </c>
      <c r="AF485" s="75">
        <f t="shared" si="54"/>
        <v>0</v>
      </c>
      <c r="AG485" s="75">
        <f t="shared" si="55"/>
        <v>0</v>
      </c>
      <c r="AH485" s="31" t="e" cm="1">
        <f t="array" aca="1" ref="AH485" ca="1">IF((AD485) &lt; (INDEX(ResponseSLA[#All],(MATCH((G485),ResponseSLA[Priority],0))+1,3)),"YES","No")</f>
        <v>#N/A</v>
      </c>
      <c r="AI485" s="31" t="str">
        <f>_xlfn.IFNA(IF(AE485 &lt; (INDEX(SLATable[Minimum SLA],MATCH(G485,SLATable[Priority],0))),"YES","NO"),"")</f>
        <v/>
      </c>
      <c r="AJ485" t="str">
        <f>_xlfn.IFNA(IF(AE485 &lt; (INDEX(SLATable[Maximum SLA],MATCH(G485,SLATable[Priority],0))),"YES","NO"),"")</f>
        <v/>
      </c>
    </row>
    <row r="486" spans="26:36" ht="15" customHeight="1">
      <c r="Z486" s="76" t="e">
        <f t="shared" ca="1" si="56"/>
        <v>#N/A</v>
      </c>
      <c r="AA486" s="75" t="e">
        <f t="shared" ca="1" si="52"/>
        <v>#N/A</v>
      </c>
      <c r="AB486" s="76">
        <f t="shared" ca="1" si="57"/>
        <v>0</v>
      </c>
      <c r="AC486" s="75">
        <f t="shared" ca="1" si="53"/>
        <v>0</v>
      </c>
      <c r="AD486" s="76">
        <f t="shared" ca="1" si="58"/>
        <v>12388.42564247685</v>
      </c>
      <c r="AE486" s="76">
        <f t="shared" si="59"/>
        <v>0</v>
      </c>
      <c r="AF486" s="75">
        <f t="shared" si="54"/>
        <v>0</v>
      </c>
      <c r="AG486" s="75">
        <f t="shared" si="55"/>
        <v>0</v>
      </c>
      <c r="AH486" s="31" t="e" cm="1">
        <f t="array" aca="1" ref="AH486" ca="1">IF((AD486) &lt; (INDEX(ResponseSLA[#All],(MATCH((G486),ResponseSLA[Priority],0))+1,3)),"YES","No")</f>
        <v>#N/A</v>
      </c>
      <c r="AI486" s="31" t="str">
        <f>_xlfn.IFNA(IF(AE486 &lt; (INDEX(SLATable[Minimum SLA],MATCH(G486,SLATable[Priority],0))),"YES","NO"),"")</f>
        <v/>
      </c>
      <c r="AJ486" t="str">
        <f>_xlfn.IFNA(IF(AE486 &lt; (INDEX(SLATable[Maximum SLA],MATCH(G486,SLATable[Priority],0))),"YES","NO"),"")</f>
        <v/>
      </c>
    </row>
    <row r="487" spans="26:36" ht="15" customHeight="1">
      <c r="Z487" s="76" t="e">
        <f t="shared" ca="1" si="56"/>
        <v>#N/A</v>
      </c>
      <c r="AA487" s="75" t="e">
        <f t="shared" ca="1" si="52"/>
        <v>#N/A</v>
      </c>
      <c r="AB487" s="76">
        <f t="shared" ca="1" si="57"/>
        <v>0</v>
      </c>
      <c r="AC487" s="75">
        <f t="shared" ca="1" si="53"/>
        <v>0</v>
      </c>
      <c r="AD487" s="76">
        <f t="shared" ca="1" si="58"/>
        <v>12388.425642361111</v>
      </c>
      <c r="AE487" s="76">
        <f t="shared" si="59"/>
        <v>0</v>
      </c>
      <c r="AF487" s="75">
        <f t="shared" si="54"/>
        <v>0</v>
      </c>
      <c r="AG487" s="75">
        <f t="shared" si="55"/>
        <v>0</v>
      </c>
      <c r="AH487" s="31" t="e" cm="1">
        <f t="array" aca="1" ref="AH487" ca="1">IF((AD487) &lt; (INDEX(ResponseSLA[#All],(MATCH((G487),ResponseSLA[Priority],0))+1,3)),"YES","No")</f>
        <v>#N/A</v>
      </c>
      <c r="AI487" s="31" t="str">
        <f>_xlfn.IFNA(IF(AE487 &lt; (INDEX(SLATable[Minimum SLA],MATCH(G487,SLATable[Priority],0))),"YES","NO"),"")</f>
        <v/>
      </c>
      <c r="AJ487" t="str">
        <f>_xlfn.IFNA(IF(AE487 &lt; (INDEX(SLATable[Maximum SLA],MATCH(G487,SLATable[Priority],0))),"YES","NO"),"")</f>
        <v/>
      </c>
    </row>
    <row r="488" spans="26:36" ht="15" customHeight="1">
      <c r="Z488" s="76" t="e">
        <f t="shared" ca="1" si="56"/>
        <v>#N/A</v>
      </c>
      <c r="AA488" s="75" t="e">
        <f t="shared" ca="1" si="52"/>
        <v>#N/A</v>
      </c>
      <c r="AB488" s="76">
        <f t="shared" ca="1" si="57"/>
        <v>0</v>
      </c>
      <c r="AC488" s="75">
        <f t="shared" ca="1" si="53"/>
        <v>0</v>
      </c>
      <c r="AD488" s="76">
        <f t="shared" ca="1" si="58"/>
        <v>12388.42564247685</v>
      </c>
      <c r="AE488" s="76">
        <f t="shared" si="59"/>
        <v>0</v>
      </c>
      <c r="AF488" s="75">
        <f t="shared" si="54"/>
        <v>0</v>
      </c>
      <c r="AG488" s="75">
        <f t="shared" si="55"/>
        <v>0</v>
      </c>
      <c r="AH488" s="31" t="e" cm="1">
        <f t="array" aca="1" ref="AH488" ca="1">IF((AD488) &lt; (INDEX(ResponseSLA[#All],(MATCH((G488),ResponseSLA[Priority],0))+1,3)),"YES","No")</f>
        <v>#N/A</v>
      </c>
      <c r="AI488" s="31" t="str">
        <f>_xlfn.IFNA(IF(AE488 &lt; (INDEX(SLATable[Minimum SLA],MATCH(G488,SLATable[Priority],0))),"YES","NO"),"")</f>
        <v/>
      </c>
      <c r="AJ488" t="str">
        <f>_xlfn.IFNA(IF(AE488 &lt; (INDEX(SLATable[Maximum SLA],MATCH(G488,SLATable[Priority],0))),"YES","NO"),"")</f>
        <v/>
      </c>
    </row>
    <row r="489" spans="26:36" ht="15" customHeight="1">
      <c r="Z489" s="76" t="e">
        <f t="shared" ca="1" si="56"/>
        <v>#N/A</v>
      </c>
      <c r="AA489" s="75" t="e">
        <f t="shared" ca="1" si="52"/>
        <v>#N/A</v>
      </c>
      <c r="AB489" s="76">
        <f t="shared" ca="1" si="57"/>
        <v>0</v>
      </c>
      <c r="AC489" s="75">
        <f t="shared" ca="1" si="53"/>
        <v>0</v>
      </c>
      <c r="AD489" s="76">
        <f t="shared" ca="1" si="58"/>
        <v>12388.42564247685</v>
      </c>
      <c r="AE489" s="76">
        <f t="shared" si="59"/>
        <v>0</v>
      </c>
      <c r="AF489" s="75">
        <f t="shared" si="54"/>
        <v>0</v>
      </c>
      <c r="AG489" s="75">
        <f t="shared" si="55"/>
        <v>0</v>
      </c>
      <c r="AH489" s="31" t="e" cm="1">
        <f t="array" aca="1" ref="AH489" ca="1">IF((AD489) &lt; (INDEX(ResponseSLA[#All],(MATCH((G489),ResponseSLA[Priority],0))+1,3)),"YES","No")</f>
        <v>#N/A</v>
      </c>
      <c r="AI489" s="31" t="str">
        <f>_xlfn.IFNA(IF(AE489 &lt; (INDEX(SLATable[Minimum SLA],MATCH(G489,SLATable[Priority],0))),"YES","NO"),"")</f>
        <v/>
      </c>
      <c r="AJ489" t="str">
        <f>_xlfn.IFNA(IF(AE489 &lt; (INDEX(SLATable[Maximum SLA],MATCH(G489,SLATable[Priority],0))),"YES","NO"),"")</f>
        <v/>
      </c>
    </row>
    <row r="490" spans="26:36" ht="15" customHeight="1">
      <c r="Z490" s="76" t="e">
        <f t="shared" ca="1" si="56"/>
        <v>#N/A</v>
      </c>
      <c r="AA490" s="75" t="e">
        <f t="shared" ca="1" si="52"/>
        <v>#N/A</v>
      </c>
      <c r="AB490" s="76">
        <f t="shared" ca="1" si="57"/>
        <v>0</v>
      </c>
      <c r="AC490" s="75">
        <f t="shared" ca="1" si="53"/>
        <v>0</v>
      </c>
      <c r="AD490" s="76">
        <f t="shared" ca="1" si="58"/>
        <v>12388.425642361111</v>
      </c>
      <c r="AE490" s="76">
        <f t="shared" si="59"/>
        <v>0</v>
      </c>
      <c r="AF490" s="75">
        <f t="shared" si="54"/>
        <v>0</v>
      </c>
      <c r="AG490" s="75">
        <f t="shared" si="55"/>
        <v>0</v>
      </c>
      <c r="AH490" s="31" t="e" cm="1">
        <f t="array" aca="1" ref="AH490" ca="1">IF((AD490) &lt; (INDEX(ResponseSLA[#All],(MATCH((G490),ResponseSLA[Priority],0))+1,3)),"YES","No")</f>
        <v>#N/A</v>
      </c>
      <c r="AI490" s="31" t="str">
        <f>_xlfn.IFNA(IF(AE490 &lt; (INDEX(SLATable[Minimum SLA],MATCH(G490,SLATable[Priority],0))),"YES","NO"),"")</f>
        <v/>
      </c>
      <c r="AJ490" t="str">
        <f>_xlfn.IFNA(IF(AE490 &lt; (INDEX(SLATable[Maximum SLA],MATCH(G490,SLATable[Priority],0))),"YES","NO"),"")</f>
        <v/>
      </c>
    </row>
    <row r="491" spans="26:36" ht="15" customHeight="1">
      <c r="Z491" s="76" t="e">
        <f t="shared" ca="1" si="56"/>
        <v>#N/A</v>
      </c>
      <c r="AA491" s="75" t="e">
        <f t="shared" ca="1" si="52"/>
        <v>#N/A</v>
      </c>
      <c r="AB491" s="76">
        <f t="shared" ca="1" si="57"/>
        <v>0</v>
      </c>
      <c r="AC491" s="75">
        <f t="shared" ca="1" si="53"/>
        <v>0</v>
      </c>
      <c r="AD491" s="76">
        <f t="shared" ca="1" si="58"/>
        <v>12388.42564247685</v>
      </c>
      <c r="AE491" s="76">
        <f t="shared" si="59"/>
        <v>0</v>
      </c>
      <c r="AF491" s="75">
        <f t="shared" si="54"/>
        <v>0</v>
      </c>
      <c r="AG491" s="75">
        <f t="shared" si="55"/>
        <v>0</v>
      </c>
      <c r="AH491" s="31" t="e" cm="1">
        <f t="array" aca="1" ref="AH491" ca="1">IF((AD491) &lt; (INDEX(ResponseSLA[#All],(MATCH((G491),ResponseSLA[Priority],0))+1,3)),"YES","No")</f>
        <v>#N/A</v>
      </c>
      <c r="AI491" s="31" t="str">
        <f>_xlfn.IFNA(IF(AE491 &lt; (INDEX(SLATable[Minimum SLA],MATCH(G491,SLATable[Priority],0))),"YES","NO"),"")</f>
        <v/>
      </c>
      <c r="AJ491" t="str">
        <f>_xlfn.IFNA(IF(AE491 &lt; (INDEX(SLATable[Maximum SLA],MATCH(G491,SLATable[Priority],0))),"YES","NO"),"")</f>
        <v/>
      </c>
    </row>
    <row r="492" spans="26:36" ht="15" customHeight="1">
      <c r="Z492" s="76" t="e">
        <f t="shared" ca="1" si="56"/>
        <v>#N/A</v>
      </c>
      <c r="AA492" s="75" t="e">
        <f t="shared" ca="1" si="52"/>
        <v>#N/A</v>
      </c>
      <c r="AB492" s="76">
        <f t="shared" ca="1" si="57"/>
        <v>0</v>
      </c>
      <c r="AC492" s="75">
        <f t="shared" ca="1" si="53"/>
        <v>0</v>
      </c>
      <c r="AD492" s="76">
        <f t="shared" ca="1" si="58"/>
        <v>12388.42564247685</v>
      </c>
      <c r="AE492" s="76">
        <f t="shared" si="59"/>
        <v>0</v>
      </c>
      <c r="AF492" s="75">
        <f t="shared" si="54"/>
        <v>0</v>
      </c>
      <c r="AG492" s="75">
        <f t="shared" si="55"/>
        <v>0</v>
      </c>
      <c r="AH492" s="31" t="e" cm="1">
        <f t="array" aca="1" ref="AH492" ca="1">IF((AD492) &lt; (INDEX(ResponseSLA[#All],(MATCH((G492),ResponseSLA[Priority],0))+1,3)),"YES","No")</f>
        <v>#N/A</v>
      </c>
      <c r="AI492" s="31" t="str">
        <f>_xlfn.IFNA(IF(AE492 &lt; (INDEX(SLATable[Minimum SLA],MATCH(G492,SLATable[Priority],0))),"YES","NO"),"")</f>
        <v/>
      </c>
      <c r="AJ492" t="str">
        <f>_xlfn.IFNA(IF(AE492 &lt; (INDEX(SLATable[Maximum SLA],MATCH(G492,SLATable[Priority],0))),"YES","NO"),"")</f>
        <v/>
      </c>
    </row>
    <row r="493" spans="26:36" ht="15" customHeight="1">
      <c r="Z493" s="76" t="e">
        <f t="shared" ca="1" si="56"/>
        <v>#N/A</v>
      </c>
      <c r="AA493" s="75" t="e">
        <f t="shared" ca="1" si="52"/>
        <v>#N/A</v>
      </c>
      <c r="AB493" s="76">
        <f t="shared" ca="1" si="57"/>
        <v>0</v>
      </c>
      <c r="AC493" s="75">
        <f t="shared" ca="1" si="53"/>
        <v>0</v>
      </c>
      <c r="AD493" s="76">
        <f t="shared" ca="1" si="58"/>
        <v>12388.42564247685</v>
      </c>
      <c r="AE493" s="76">
        <f t="shared" si="59"/>
        <v>0</v>
      </c>
      <c r="AF493" s="75">
        <f t="shared" si="54"/>
        <v>0</v>
      </c>
      <c r="AG493" s="75">
        <f t="shared" si="55"/>
        <v>0</v>
      </c>
      <c r="AH493" s="31" t="e" cm="1">
        <f t="array" aca="1" ref="AH493" ca="1">IF((AD493) &lt; (INDEX(ResponseSLA[#All],(MATCH((G493),ResponseSLA[Priority],0))+1,3)),"YES","No")</f>
        <v>#N/A</v>
      </c>
      <c r="AI493" s="31" t="str">
        <f>_xlfn.IFNA(IF(AE493 &lt; (INDEX(SLATable[Minimum SLA],MATCH(G493,SLATable[Priority],0))),"YES","NO"),"")</f>
        <v/>
      </c>
      <c r="AJ493" t="str">
        <f>_xlfn.IFNA(IF(AE493 &lt; (INDEX(SLATable[Maximum SLA],MATCH(G493,SLATable[Priority],0))),"YES","NO"),"")</f>
        <v/>
      </c>
    </row>
    <row r="494" spans="26:36" ht="15" customHeight="1">
      <c r="Z494" s="76" t="e">
        <f t="shared" ca="1" si="56"/>
        <v>#N/A</v>
      </c>
      <c r="AA494" s="75" t="e">
        <f t="shared" ca="1" si="52"/>
        <v>#N/A</v>
      </c>
      <c r="AB494" s="76">
        <f t="shared" ca="1" si="57"/>
        <v>0</v>
      </c>
      <c r="AC494" s="75">
        <f t="shared" ca="1" si="53"/>
        <v>0</v>
      </c>
      <c r="AD494" s="76">
        <f t="shared" ca="1" si="58"/>
        <v>12388.42564247685</v>
      </c>
      <c r="AE494" s="76">
        <f t="shared" si="59"/>
        <v>0</v>
      </c>
      <c r="AF494" s="75">
        <f t="shared" si="54"/>
        <v>0</v>
      </c>
      <c r="AG494" s="75">
        <f t="shared" si="55"/>
        <v>0</v>
      </c>
      <c r="AH494" s="31" t="e" cm="1">
        <f t="array" aca="1" ref="AH494" ca="1">IF((AD494) &lt; (INDEX(ResponseSLA[#All],(MATCH((G494),ResponseSLA[Priority],0))+1,3)),"YES","No")</f>
        <v>#N/A</v>
      </c>
      <c r="AI494" s="31" t="str">
        <f>_xlfn.IFNA(IF(AE494 &lt; (INDEX(SLATable[Minimum SLA],MATCH(G494,SLATable[Priority],0))),"YES","NO"),"")</f>
        <v/>
      </c>
      <c r="AJ494" t="str">
        <f>_xlfn.IFNA(IF(AE494 &lt; (INDEX(SLATable[Maximum SLA],MATCH(G494,SLATable[Priority],0))),"YES","NO"),"")</f>
        <v/>
      </c>
    </row>
    <row r="495" spans="26:36" ht="15" customHeight="1">
      <c r="Z495" s="76" t="e">
        <f t="shared" ca="1" si="56"/>
        <v>#N/A</v>
      </c>
      <c r="AA495" s="75" t="e">
        <f t="shared" ca="1" si="52"/>
        <v>#N/A</v>
      </c>
      <c r="AB495" s="76">
        <f t="shared" ca="1" si="57"/>
        <v>0</v>
      </c>
      <c r="AC495" s="75">
        <f t="shared" ca="1" si="53"/>
        <v>0</v>
      </c>
      <c r="AD495" s="76">
        <f t="shared" ca="1" si="58"/>
        <v>12388.42564247685</v>
      </c>
      <c r="AE495" s="76">
        <f t="shared" si="59"/>
        <v>0</v>
      </c>
      <c r="AF495" s="75">
        <f t="shared" si="54"/>
        <v>0</v>
      </c>
      <c r="AG495" s="75">
        <f t="shared" si="55"/>
        <v>0</v>
      </c>
      <c r="AH495" s="31" t="e" cm="1">
        <f t="array" aca="1" ref="AH495" ca="1">IF((AD495) &lt; (INDEX(ResponseSLA[#All],(MATCH((G495),ResponseSLA[Priority],0))+1,3)),"YES","No")</f>
        <v>#N/A</v>
      </c>
      <c r="AI495" s="31" t="str">
        <f>_xlfn.IFNA(IF(AE495 &lt; (INDEX(SLATable[Minimum SLA],MATCH(G495,SLATable[Priority],0))),"YES","NO"),"")</f>
        <v/>
      </c>
      <c r="AJ495" t="str">
        <f>_xlfn.IFNA(IF(AE495 &lt; (INDEX(SLATable[Maximum SLA],MATCH(G495,SLATable[Priority],0))),"YES","NO"),"")</f>
        <v/>
      </c>
    </row>
    <row r="496" spans="26:36" ht="15" customHeight="1">
      <c r="Z496" s="76" t="e">
        <f t="shared" ca="1" si="56"/>
        <v>#N/A</v>
      </c>
      <c r="AA496" s="75" t="e">
        <f t="shared" ca="1" si="52"/>
        <v>#N/A</v>
      </c>
      <c r="AB496" s="76">
        <f t="shared" ca="1" si="57"/>
        <v>0</v>
      </c>
      <c r="AC496" s="75">
        <f t="shared" ca="1" si="53"/>
        <v>0</v>
      </c>
      <c r="AD496" s="76">
        <f t="shared" ca="1" si="58"/>
        <v>12388.42564247685</v>
      </c>
      <c r="AE496" s="76">
        <f t="shared" si="59"/>
        <v>0</v>
      </c>
      <c r="AF496" s="75">
        <f t="shared" si="54"/>
        <v>0</v>
      </c>
      <c r="AG496" s="75">
        <f t="shared" si="55"/>
        <v>0</v>
      </c>
      <c r="AH496" s="31" t="e" cm="1">
        <f t="array" aca="1" ref="AH496" ca="1">IF((AD496) &lt; (INDEX(ResponseSLA[#All],(MATCH((G496),ResponseSLA[Priority],0))+1,3)),"YES","No")</f>
        <v>#N/A</v>
      </c>
      <c r="AI496" s="31" t="str">
        <f>_xlfn.IFNA(IF(AE496 &lt; (INDEX(SLATable[Minimum SLA],MATCH(G496,SLATable[Priority],0))),"YES","NO"),"")</f>
        <v/>
      </c>
      <c r="AJ496" t="str">
        <f>_xlfn.IFNA(IF(AE496 &lt; (INDEX(SLATable[Maximum SLA],MATCH(G496,SLATable[Priority],0))),"YES","NO"),"")</f>
        <v/>
      </c>
    </row>
    <row r="497" spans="26:36" ht="15" customHeight="1">
      <c r="Z497" s="76" t="e">
        <f t="shared" ca="1" si="56"/>
        <v>#N/A</v>
      </c>
      <c r="AA497" s="75" t="e">
        <f t="shared" ca="1" si="52"/>
        <v>#N/A</v>
      </c>
      <c r="AB497" s="76">
        <f t="shared" ca="1" si="57"/>
        <v>0</v>
      </c>
      <c r="AC497" s="75">
        <f t="shared" ca="1" si="53"/>
        <v>0</v>
      </c>
      <c r="AD497" s="76">
        <f t="shared" ca="1" si="58"/>
        <v>12388.42564247685</v>
      </c>
      <c r="AE497" s="76">
        <f t="shared" si="59"/>
        <v>0</v>
      </c>
      <c r="AF497" s="75">
        <f t="shared" si="54"/>
        <v>0</v>
      </c>
      <c r="AG497" s="75">
        <f t="shared" si="55"/>
        <v>0</v>
      </c>
      <c r="AH497" s="31" t="e" cm="1">
        <f t="array" aca="1" ref="AH497" ca="1">IF((AD497) &lt; (INDEX(ResponseSLA[#All],(MATCH((G497),ResponseSLA[Priority],0))+1,3)),"YES","No")</f>
        <v>#N/A</v>
      </c>
      <c r="AI497" s="31" t="str">
        <f>_xlfn.IFNA(IF(AE497 &lt; (INDEX(SLATable[Minimum SLA],MATCH(G497,SLATable[Priority],0))),"YES","NO"),"")</f>
        <v/>
      </c>
      <c r="AJ497" t="str">
        <f>_xlfn.IFNA(IF(AE497 &lt; (INDEX(SLATable[Maximum SLA],MATCH(G497,SLATable[Priority],0))),"YES","NO"),"")</f>
        <v/>
      </c>
    </row>
    <row r="498" spans="26:36" ht="15" customHeight="1">
      <c r="Z498" s="76" t="e">
        <f t="shared" ca="1" si="56"/>
        <v>#N/A</v>
      </c>
      <c r="AA498" s="75" t="e">
        <f t="shared" ca="1" si="52"/>
        <v>#N/A</v>
      </c>
      <c r="AB498" s="76">
        <f t="shared" ca="1" si="57"/>
        <v>0</v>
      </c>
      <c r="AC498" s="75">
        <f t="shared" ca="1" si="53"/>
        <v>0</v>
      </c>
      <c r="AD498" s="76">
        <f t="shared" ca="1" si="58"/>
        <v>12388.42564247685</v>
      </c>
      <c r="AE498" s="76">
        <f t="shared" si="59"/>
        <v>0</v>
      </c>
      <c r="AF498" s="75">
        <f t="shared" si="54"/>
        <v>0</v>
      </c>
      <c r="AG498" s="75">
        <f t="shared" si="55"/>
        <v>0</v>
      </c>
      <c r="AH498" s="31" t="e" cm="1">
        <f t="array" aca="1" ref="AH498" ca="1">IF((AD498) &lt; (INDEX(ResponseSLA[#All],(MATCH((G498),ResponseSLA[Priority],0))+1,3)),"YES","No")</f>
        <v>#N/A</v>
      </c>
      <c r="AI498" s="31" t="str">
        <f>_xlfn.IFNA(IF(AE498 &lt; (INDEX(SLATable[Minimum SLA],MATCH(G498,SLATable[Priority],0))),"YES","NO"),"")</f>
        <v/>
      </c>
      <c r="AJ498" t="str">
        <f>_xlfn.IFNA(IF(AE498 &lt; (INDEX(SLATable[Maximum SLA],MATCH(G498,SLATable[Priority],0))),"YES","NO"),"")</f>
        <v/>
      </c>
    </row>
    <row r="499" spans="26:36" ht="15" customHeight="1">
      <c r="Z499" s="76" t="e">
        <f t="shared" ca="1" si="56"/>
        <v>#N/A</v>
      </c>
      <c r="AA499" s="75" t="e">
        <f t="shared" ca="1" si="52"/>
        <v>#N/A</v>
      </c>
      <c r="AB499" s="76">
        <f t="shared" ca="1" si="57"/>
        <v>0</v>
      </c>
      <c r="AC499" s="75">
        <f t="shared" ca="1" si="53"/>
        <v>0</v>
      </c>
      <c r="AD499" s="76">
        <f t="shared" ca="1" si="58"/>
        <v>12388.42564247685</v>
      </c>
      <c r="AE499" s="76">
        <f t="shared" si="59"/>
        <v>0</v>
      </c>
      <c r="AF499" s="75">
        <f t="shared" si="54"/>
        <v>0</v>
      </c>
      <c r="AG499" s="75">
        <f t="shared" si="55"/>
        <v>0</v>
      </c>
      <c r="AH499" s="31" t="e" cm="1">
        <f t="array" aca="1" ref="AH499" ca="1">IF((AD499) &lt; (INDEX(ResponseSLA[#All],(MATCH((G499),ResponseSLA[Priority],0))+1,3)),"YES","No")</f>
        <v>#N/A</v>
      </c>
      <c r="AI499" s="31" t="str">
        <f>_xlfn.IFNA(IF(AE499 &lt; (INDEX(SLATable[Minimum SLA],MATCH(G499,SLATable[Priority],0))),"YES","NO"),"")</f>
        <v/>
      </c>
      <c r="AJ499" t="str">
        <f>_xlfn.IFNA(IF(AE499 &lt; (INDEX(SLATable[Maximum SLA],MATCH(G499,SLATable[Priority],0))),"YES","NO"),"")</f>
        <v/>
      </c>
    </row>
    <row r="500" spans="26:36" ht="15" customHeight="1">
      <c r="Z500" s="76" t="e">
        <f t="shared" ca="1" si="56"/>
        <v>#N/A</v>
      </c>
      <c r="AA500" s="75" t="e">
        <f t="shared" ca="1" si="52"/>
        <v>#N/A</v>
      </c>
      <c r="AB500" s="76">
        <f t="shared" ca="1" si="57"/>
        <v>0</v>
      </c>
      <c r="AC500" s="75">
        <f t="shared" ca="1" si="53"/>
        <v>0</v>
      </c>
      <c r="AD500" s="76">
        <f t="shared" ca="1" si="58"/>
        <v>12388.42564247685</v>
      </c>
      <c r="AE500" s="76">
        <f t="shared" si="59"/>
        <v>0</v>
      </c>
      <c r="AF500" s="75">
        <f t="shared" si="54"/>
        <v>0</v>
      </c>
      <c r="AG500" s="75">
        <f t="shared" si="55"/>
        <v>0</v>
      </c>
      <c r="AH500" s="31" t="e" cm="1">
        <f t="array" aca="1" ref="AH500" ca="1">IF((AD500) &lt; (INDEX(ResponseSLA[#All],(MATCH((G500),ResponseSLA[Priority],0))+1,3)),"YES","No")</f>
        <v>#N/A</v>
      </c>
      <c r="AI500" s="31" t="str">
        <f>_xlfn.IFNA(IF(AE500 &lt; (INDEX(SLATable[Minimum SLA],MATCH(G500,SLATable[Priority],0))),"YES","NO"),"")</f>
        <v/>
      </c>
      <c r="AJ500" t="str">
        <f>_xlfn.IFNA(IF(AE500 &lt; (INDEX(SLATable[Maximum SLA],MATCH(G500,SLATable[Priority],0))),"YES","NO"),"")</f>
        <v/>
      </c>
    </row>
  </sheetData>
  <sheetProtection algorithmName="SHA-512" hashValue="vhOMsr5nKILn9XKdEbyVNQl6YJUZChWyy27ljR1z+CntzbTkEDJQyyXPXXAf2+pgkzuy1oC5mQsCrg5twlwsIQ==" saltValue="3jKXsEGKWSqTasMdOs6mxQ==" spinCount="100000" sheet="1" deleteRows="0" autoFilter="0"/>
  <protectedRanges>
    <protectedRange algorithmName="SHA-512" hashValue="99OQ+VOyYeTgkyp5V2h7IJuhOY+ByGUUH4Kc0xKuZgn2w66Z/zb6NCagB6+bjIBmhadenmL7/H2PSKzd599e6Q==" saltValue="s8mGfn7WVHJZXEYeB6j8Yw==" spinCount="100000" sqref="U1 AB1:AJ1" name="Formula Cells"/>
  </protectedRanges>
  <autoFilter ref="A1:AJ500" xr:uid="{AE50BC6E-F764-44A8-8CA8-79E58D9A39BF}"/>
  <conditionalFormatting sqref="E1">
    <cfRule type="duplicateValues" dxfId="11" priority="4"/>
  </conditionalFormatting>
  <conditionalFormatting sqref="E1:E135 E207:E215 E239:E1048576 E232:E237 E224:E229 E222 E219:E220 F216:F219 E161:E205 E142:E158 E137:E140">
    <cfRule type="duplicateValues" dxfId="10" priority="66"/>
  </conditionalFormatting>
  <conditionalFormatting sqref="G51">
    <cfRule type="containsErrors" dxfId="9" priority="2">
      <formula>ISERROR(G51)</formula>
    </cfRule>
  </conditionalFormatting>
  <dataValidations count="15">
    <dataValidation type="list" allowBlank="1" showInputMessage="1" showErrorMessage="1" sqref="T1:U1 T3:T34 T42 T44:T204 T206:T1048576" xr:uid="{07A2048B-C2DD-484E-83B5-D6E81162AA8E}">
      <formula1>SubCategory</formula1>
    </dataValidation>
    <dataValidation type="date" allowBlank="1" showInputMessage="1" showErrorMessage="1" sqref="O1:P5 N11:N33 L8:N8 L5:M6 K1:N1 K8:K33 L11:L33 M19:M33 M11:M17 K45:M45 L47 L52 K148 K55:K58 N203 N219 L278:L494 K77:K78 L77:L78 M77:M78 N77:N78 K83:K87 L84:L87 M84:M87 N84:N87 K104 L266 L55:M57 N55 M278:M494 K114 L114 N260 K278:K494 N269:N272 N274 N278:N494" xr:uid="{809C0FE5-BB64-4ACD-A632-2DD96FFFD84F}">
      <formula1>36526</formula1>
      <formula2>73050</formula2>
    </dataValidation>
    <dataValidation allowBlank="1" showInputMessage="1" showErrorMessage="1" sqref="S1" xr:uid="{653DE69C-565D-4B93-8E00-2C68419463AE}"/>
    <dataValidation type="list" allowBlank="1" showInputMessage="1" showErrorMessage="1" sqref="S3:S35 S44:S131 S134:S204 S206:S1048576" xr:uid="{5815A035-0EC8-4875-A159-53119BA1CAFD}">
      <formula1>IF(D3="","",INDIRECT(D3))</formula1>
    </dataValidation>
    <dataValidation allowBlank="1" showInputMessage="1" showErrorMessage="1" errorTitle="Assigned to" error="dont type idiot" sqref="J1:J5" xr:uid="{7E35A2F3-D580-4F0F-A982-4F79E05EE483}"/>
    <dataValidation type="list" allowBlank="1" showInputMessage="1" showErrorMessage="1" sqref="F1 E136 F3:F133 F135:F204 F206:F241 F243:F1048576" xr:uid="{9CC92698-DC3A-4C46-9AEF-B7342BB6CEB2}">
      <formula1>Queue_List</formula1>
    </dataValidation>
    <dataValidation type="list" allowBlank="1" showInputMessage="1" showErrorMessage="1" sqref="I1:I96 I98:I204 I206:I1048576" xr:uid="{73C95461-D26B-49D5-BCFD-09E2F8A9B018}">
      <formula1>Status_List</formula1>
    </dataValidation>
    <dataValidation type="list" allowBlank="1" showInputMessage="1" showErrorMessage="1" sqref="R1:R110 Q111 R112:R204 R206:R1048576" xr:uid="{36DB5EA2-6E2E-4CD3-A26E-1073F1401C00}">
      <formula1>Resolution_List</formula1>
    </dataValidation>
    <dataValidation type="list" allowBlank="1" showInputMessage="1" showErrorMessage="1" sqref="B1:B114 B116:B204 B206:B1048576" xr:uid="{9CFDBC4A-6BDC-45B2-8B36-D98E3B204C02}">
      <formula1>OpCo_List</formula1>
    </dataValidation>
    <dataValidation type="list" allowBlank="1" showInputMessage="1" showErrorMessage="1" sqref="S133" xr:uid="{6A937E05-E341-4967-8BBC-D0C85BB05334}">
      <formula1>IF(D132="","",INDIRECT(D132))</formula1>
    </dataValidation>
    <dataValidation type="list" showInputMessage="1" showErrorMessage="1" errorTitle="Invalid Entry" error="Please select a value in TYPE before entering Priority" sqref="G1:G135 G138:G204 G206:G274 G277:G1048576" xr:uid="{05EED40A-8DF1-48B8-93CB-B23164407023}">
      <formula1>IF(D1="","",INDIRECT(D1&amp;"_PR"))</formula1>
    </dataValidation>
    <dataValidation type="list" showInputMessage="1" showErrorMessage="1" errorTitle="Invalid Entry" error="Please select a value in TYPE before entering Priority" sqref="G137 G276" xr:uid="{070EB923-09B9-4414-9C99-FF60203C1DAD}">
      <formula1>IF(D136="","",INDIRECT(D136&amp;"_PR"))</formula1>
    </dataValidation>
    <dataValidation type="list" allowBlank="1" showInputMessage="1" showErrorMessage="1" sqref="U206:U1048576 U1:U204" xr:uid="{29535D0D-5597-47F4-A2A2-E3DCCD25FDEC}">
      <formula1>"Yes,No"</formula1>
    </dataValidation>
    <dataValidation type="list" allowBlank="1" showInputMessage="1" showErrorMessage="1" sqref="D206:D1048576 D1:D204" xr:uid="{23DBD2E1-6423-4BB0-8EB1-1FDF9EC1F6A4}">
      <formula1>Type_List</formula1>
    </dataValidation>
    <dataValidation type="list" allowBlank="1" showInputMessage="1" showErrorMessage="1" sqref="C1:C204 C206:C258 C260:C271 C273:C1048576" xr:uid="{B1B035CC-70A6-40BC-B155-8BAD31364FCA}">
      <formula1>Domain_List</formula1>
    </dataValidation>
  </dataValidations>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3DDD-3D99-45F1-800E-0747717D50F6}">
  <sheetPr codeName="Sheet15"/>
  <dimension ref="A1:AJ500"/>
  <sheetViews>
    <sheetView topLeftCell="W1" zoomScale="70" zoomScaleNormal="70" workbookViewId="0">
      <pane ySplit="1" topLeftCell="A15" activePane="bottomLeft" state="frozen"/>
      <selection pane="bottomLeft" activeCell="E11" sqref="E11"/>
    </sheetView>
  </sheetViews>
  <sheetFormatPr defaultColWidth="9.140625" defaultRowHeight="15" customHeight="1"/>
  <cols>
    <col min="1" max="1" width="6.42578125" style="45" customWidth="1"/>
    <col min="2" max="2" width="7.85546875" style="45" customWidth="1"/>
    <col min="3" max="3" width="10.42578125" style="45" customWidth="1"/>
    <col min="4" max="4" width="8.28515625" style="45" customWidth="1"/>
    <col min="5" max="5" width="12.140625" style="45" customWidth="1"/>
    <col min="6" max="6" width="13.7109375" style="45" customWidth="1"/>
    <col min="7" max="7" width="9" style="45" customWidth="1"/>
    <col min="8" max="8" width="16.85546875" style="45" customWidth="1"/>
    <col min="9" max="9" width="8.140625" style="45" customWidth="1"/>
    <col min="10" max="10" width="12.42578125" style="45" customWidth="1"/>
    <col min="11" max="11" width="20.140625" style="47" customWidth="1"/>
    <col min="12" max="12" width="16.42578125" style="47" customWidth="1"/>
    <col min="13" max="13" width="24.7109375" style="47" customWidth="1"/>
    <col min="14" max="14" width="23.42578125" style="47" customWidth="1"/>
    <col min="15" max="15" width="21.42578125" style="47" customWidth="1"/>
    <col min="16" max="16" width="18.42578125" style="47" customWidth="1"/>
    <col min="17" max="17" width="20.42578125" style="45" customWidth="1"/>
    <col min="18" max="18" width="16.140625" style="45" customWidth="1"/>
    <col min="19" max="19" width="19.42578125" style="45" customWidth="1"/>
    <col min="20" max="20" width="13.85546875" style="45" customWidth="1"/>
    <col min="21" max="21" width="18" style="45" customWidth="1"/>
    <col min="22" max="22" width="17.85546875" style="45" customWidth="1"/>
    <col min="23" max="23" width="15.42578125" style="45" customWidth="1"/>
    <col min="24" max="24" width="25" style="45" customWidth="1"/>
    <col min="25" max="25" width="10.42578125" style="45" customWidth="1"/>
    <col min="26" max="26" width="19.28515625" style="45" customWidth="1"/>
    <col min="27" max="27" width="16.42578125" style="45" customWidth="1"/>
    <col min="28" max="28" width="21.85546875" style="45" customWidth="1"/>
    <col min="29" max="29" width="19.85546875" style="45" customWidth="1"/>
    <col min="30" max="30" width="13.42578125" style="45" customWidth="1"/>
    <col min="31" max="31" width="14" style="45" customWidth="1"/>
    <col min="32" max="32" width="18.85546875" style="45" customWidth="1"/>
    <col min="33" max="33" width="21" style="45" customWidth="1"/>
    <col min="34" max="34" width="17.85546875" style="45" bestFit="1" customWidth="1"/>
    <col min="35" max="35" width="28.28515625" style="45" bestFit="1" customWidth="1"/>
    <col min="36" max="36" width="28.7109375" style="45" bestFit="1" customWidth="1"/>
    <col min="37" max="16384" width="9.140625" style="45"/>
  </cols>
  <sheetData>
    <row r="1" spans="1:36" s="44" customFormat="1">
      <c r="A1" s="43" t="s">
        <v>347</v>
      </c>
      <c r="B1" s="43" t="s">
        <v>2</v>
      </c>
      <c r="C1" s="43" t="s">
        <v>3</v>
      </c>
      <c r="D1" s="43" t="s">
        <v>253</v>
      </c>
      <c r="E1" s="43" t="s">
        <v>348</v>
      </c>
      <c r="F1" s="43" t="s">
        <v>1</v>
      </c>
      <c r="G1" s="43" t="s">
        <v>324</v>
      </c>
      <c r="H1" s="43" t="s">
        <v>349</v>
      </c>
      <c r="I1" s="43" t="s">
        <v>254</v>
      </c>
      <c r="J1" s="43" t="s">
        <v>350</v>
      </c>
      <c r="K1" s="43" t="s">
        <v>351</v>
      </c>
      <c r="L1" s="43" t="s">
        <v>352</v>
      </c>
      <c r="M1" s="43" t="s">
        <v>353</v>
      </c>
      <c r="N1" s="43" t="s">
        <v>354</v>
      </c>
      <c r="O1" s="43" t="s">
        <v>355</v>
      </c>
      <c r="P1" s="43" t="s">
        <v>356</v>
      </c>
      <c r="Q1" s="43" t="s">
        <v>357</v>
      </c>
      <c r="R1" s="43" t="s">
        <v>358</v>
      </c>
      <c r="S1" s="43" t="s">
        <v>359</v>
      </c>
      <c r="T1" s="43" t="s">
        <v>258</v>
      </c>
      <c r="U1" s="43" t="s">
        <v>360</v>
      </c>
      <c r="V1" s="43" t="s">
        <v>361</v>
      </c>
      <c r="W1" s="43" t="s">
        <v>362</v>
      </c>
      <c r="X1" s="43" t="s">
        <v>363</v>
      </c>
      <c r="Y1" s="43" t="s">
        <v>364</v>
      </c>
      <c r="Z1" s="32" t="s">
        <v>82</v>
      </c>
      <c r="AA1" s="32" t="s">
        <v>90</v>
      </c>
      <c r="AB1" s="32" t="s">
        <v>84</v>
      </c>
      <c r="AC1" s="32" t="s">
        <v>92</v>
      </c>
      <c r="AD1" s="32" t="s">
        <v>86</v>
      </c>
      <c r="AE1" s="32" t="s">
        <v>88</v>
      </c>
      <c r="AF1" s="32" t="s">
        <v>365</v>
      </c>
      <c r="AG1" s="32" t="s">
        <v>366</v>
      </c>
      <c r="AH1" s="32" t="s">
        <v>94</v>
      </c>
      <c r="AI1" s="32" t="s">
        <v>96</v>
      </c>
      <c r="AJ1" s="33" t="s">
        <v>98</v>
      </c>
    </row>
    <row r="2" spans="1:36" ht="15.95">
      <c r="E2" s="63"/>
      <c r="F2" s="53"/>
      <c r="H2" s="55"/>
      <c r="K2" s="71"/>
      <c r="N2" s="70"/>
      <c r="Z2" s="76" t="e">
        <f t="shared" ref="Z2" ca="1" si="0">IF(NOT(OR(G2=1,G2=2)),MAX(0,_xlfn.IFS(AND(K2&lt;&gt;"",N2&lt;&gt;""),((MAX(NETWORKDAYS(K2,N2,UKBankHolidays)-1,0))*(TIME(17,0,0)-TIME(8,0,0))+IF(NETWORKDAYS(N2,N2,UKBankHolidays)&gt;0,MEDIAN(TIME(8,0,0),MOD(N2,1),TIME(17,0,0)),TIME(8,0,0))-IF(NETWORKDAYS(K2,K2,UKBankHolidays)&gt;0,MEDIAN(TIME(8,0,0),MOD(K2,1),TIME(17,0,0)),TIME(8,0,0)))-IF(AND(O2&lt;&gt;"",P2&lt;&gt;""),((MAX(NETWORKDAYS(O2,P2,UKBankHolidays)-1,0))*(TIME(17,0,0)-TIME(8,0,0))+IF(NETWORKDAYS(P2,P2,UKBankHolidays)&gt;0,MEDIAN(TIME(8,0,0),MOD(P2,1),TIME(17,0,0)),TIME(8,0,0))-IF(NETWORKDAYS(O2,O2,UKBankHolidays)&gt;0,MEDIAN(TIME(8,0,0),MOD(O2,1),TIME(17,0,0)),TIME(8,0,0))),0),AND(K2&lt;&gt;"",N2=""),((MAX(NETWORKDAYS(K2,NOW(),UKBankHolidays)-1,0))*(TIME(17,0,0)-TIME(8,0,0))+IF(NETWORKDAYS(NOW(),NOW(),UKBankHolidays)&gt;0,MEDIAN(TIME(8,0,0),MOD(NOW(),1),TIME(17,0,0)),TIME(8,0,0))-IF(NETWORKDAYS(K2,K2,UKBankHolidays)&gt;0,MEDIAN(TIME(8,0,0),MOD(K2,1),TIME(17,0,0)),TIME(8,0,0))))),IF(N2="",NOW()-K2,N2-K2))</f>
        <v>#N/A</v>
      </c>
      <c r="AA2" s="75" t="e">
        <f t="shared" ref="AA2:AA256" ca="1" si="1">(Z2*24)/9</f>
        <v>#N/A</v>
      </c>
      <c r="AB2" s="76">
        <f t="shared" ref="AB2" ca="1" si="2">IF(NOT(OR(G2=1,G2=2)),MAX(0,_xlfn.IFS(AND(K2&lt;&gt;"",N2&lt;&gt;""),(((MAX(NETWORKDAYS(L2,N2,UKBankHolidays)-1,0))*(TIME(17,0,0)-TIME(8,0,0)))+IF(NETWORKDAYS(N2,N2,UKBankHolidays)&gt;0,MEDIAN(TIME(8,0,0),MOD(N2,1),TIME(17,0,0)),TIME(8,0,0))-IF(NETWORKDAYS(L2,L2,UKBankHolidays)&gt;0,MEDIAN(TIME(8,0,0),MOD(L2,1),TIME(17,0,0)),TIME(8,0,0)))-IF(AND(O2&lt;&gt;"",P2&lt;&gt;""),(((MAX(NETWORKDAYS(O2,P2,UKBankHolidays)-1,0))*(TIME(17,0,0)-TIME(8,0,0)))+IF(NETWORKDAYS(P2,P2,UKBankHolidays)&gt;0,MEDIAN(TIME(8,0,0),MOD(P2,1),TIME(17,0,0)),TIME(8,0,0))-IF(NETWORKDAYS(O2,O2,UKBankHolidays)&gt;0,MEDIAN(TIME(8,0,0),MOD(O2,1),TIME(17,0,0)),TIME(8,0,0))),0),AND(L2&lt;&gt;"",N2="",O2=""),(((MAX(NETWORKDAYS(L2,NOW(),UKBankHolidays)-1,0))*(TIME(17,0,0)-TIME(8,0,0)))+IF(NETWORKDAYS(NOW(),NOW(),UKBankHolidays)&gt;0,MEDIAN(TIME(8,0,0),MOD(NOW(),1),TIME(17,0,0)),TIME(8,0,0))-IF(NETWORKDAYS(L2,L2,UKBankHolidays)&gt;0,MEDIAN(TIME(8,0,0),MOD(L2,1),TIME(17,0,0)),TIME(8,0,0)))-IF(AND(O2&lt;&gt;"",P2&lt;&gt;""),(((MAX(NETWORKDAYS(O2,P2,UKBankHolidays)-1,0))*(TIME(17,0,0)-TIME(8,0,0)))+IF(NETWORKDAYS(P2,P2,UKBankHolidays)&gt;0,MEDIAN(TIME(8,0,0),MOD(P2,1),TIME(17,0,0)),TIME(8,0,0))-IF(NETWORKDAYS(O2,O2,UKBankHolidays)&gt;0,MEDIAN(TIME(8,0,0),MOD(O2,1),TIME(17,0,0)),TIME(8,0,0))),0),AND(L2&lt;&gt;"",N2="",P2="",O2&lt;&gt;""),(((MAX(NETWORKDAYS(L2,O2,UKBankHolidays)-1,0))*(TIME(17,0,0)-TIME(8,0,0)))+IF(NETWORKDAYS(O2,O2,UKBankHolidays)&gt;0,MEDIAN(TIME(8,0,0),MOD(O2,1),TIME(17,0,0)),TIME(8,0,0))-IF(NETWORKDAYS(L2,L2,UKBankHolidays)&gt;0,MEDIAN(TIME(8,0,0),MOD(L2,1),TIME(17,0,0)),TIME(8,0,0))),ISBLANK(K2),"0")),IF(ISBLANK(N2),NOW()-L2,N2-L2))</f>
        <v>0</v>
      </c>
      <c r="AC2" s="75">
        <f t="shared" ref="AC2:AC256" ca="1" si="3">(AB2*24)/9</f>
        <v>0</v>
      </c>
      <c r="AD2" s="76">
        <f t="shared" ref="AD2" ca="1" si="4">MAX(0,IF(NOT(OR(G2=1,G2=2)),IF(M2&lt;&gt;"",((MAX(NETWORKDAYS(L2,M2,UKBankHolidays)-1,0))*(TIME(17,0,0)-TIME(8,0,0))+IF(NETWORKDAYS(M2,M2,UKBankHolidays)&gt;0,MEDIAN(TIME(8,0,0),MOD(M2,1),TIME(17,0,0)),TIME(8,0,0))-MEDIAN(TIME(8,0,0),MOD(L2,1),TIME(17,0,0))),((MAX(NETWORKDAYS(L2,NOW(),UKBankHolidays)-1,0))*(TIME(17,0,0)-TIME(8,0,0))+IF(NETWORKDAYS(NOW(),NOW(),UKBankHolidays)&gt;0,MEDIAN(TIME(8,0,0),MOD(NOW(),1),TIME(17,0,0)),TIME(8,0,0))-MEDIAN(TIME(8,0,0),MOD(L2,1),TIME(17,0,0)))),IF(M2&lt;&gt;"",M2-L2,NOW()-L2)))</f>
        <v>12388.425641782411</v>
      </c>
      <c r="AE2" s="76">
        <f t="shared" ref="AE2" si="5">SUMIFS(AB:AB,E:E,E2)</f>
        <v>0</v>
      </c>
      <c r="AF2" s="75">
        <f t="shared" ref="AF2:AF256" si="6">(AE2*24)/9</f>
        <v>0</v>
      </c>
      <c r="AG2" s="75">
        <f t="shared" ref="AG2:AG256" si="7">AF2</f>
        <v>0</v>
      </c>
      <c r="AH2" s="31" t="e" cm="1">
        <f t="array" aca="1" ref="AH2" ca="1">IF((AD2) &lt; (INDEX(ResponseSLA[#All],(MATCH((G2),ResponseSLA[Priority],0))+1,3)),"YES","No")</f>
        <v>#N/A</v>
      </c>
      <c r="AI2" s="31" t="str">
        <f>_xlfn.IFNA(IF(AE2 &lt; (INDEX(SLATable[Minimum SLA],MATCH(G2,SLATable[Priority],0))),"YES","NO"),"")</f>
        <v/>
      </c>
      <c r="AJ2" t="str">
        <f>_xlfn.IFNA(IF(AE2 &lt; (INDEX(SLATable[Maximum SLA],MATCH(G2,SLATable[Priority],0))),"YES","NO"),"")</f>
        <v/>
      </c>
    </row>
    <row r="3" spans="1:36" ht="15.95">
      <c r="E3" s="69"/>
      <c r="H3" s="55"/>
      <c r="K3" s="70"/>
      <c r="N3" s="70"/>
      <c r="Z3" s="76" t="e">
        <f t="shared" ref="Z3:Z66" ca="1" si="8">IF(NOT(OR(G3=1,G3=2)),MAX(0,_xlfn.IFS(AND(K3&lt;&gt;"",N3&lt;&gt;""),((MAX(NETWORKDAYS(K3,N3,UKBankHolidays)-1,0))*(TIME(17,0,0)-TIME(8,0,0))+IF(NETWORKDAYS(N3,N3,UKBankHolidays)&gt;0,MEDIAN(TIME(8,0,0),MOD(N3,1),TIME(17,0,0)),TIME(8,0,0))-IF(NETWORKDAYS(K3,K3,UKBankHolidays)&gt;0,MEDIAN(TIME(8,0,0),MOD(K3,1),TIME(17,0,0)),TIME(8,0,0)))-IF(AND(O3&lt;&gt;"",P3&lt;&gt;""),((MAX(NETWORKDAYS(O3,P3,UKBankHolidays)-1,0))*(TIME(17,0,0)-TIME(8,0,0))+IF(NETWORKDAYS(P3,P3,UKBankHolidays)&gt;0,MEDIAN(TIME(8,0,0),MOD(P3,1),TIME(17,0,0)),TIME(8,0,0))-IF(NETWORKDAYS(O3,O3,UKBankHolidays)&gt;0,MEDIAN(TIME(8,0,0),MOD(O3,1),TIME(17,0,0)),TIME(8,0,0))),0),AND(K3&lt;&gt;"",N3=""),((MAX(NETWORKDAYS(K3,NOW(),UKBankHolidays)-1,0))*(TIME(17,0,0)-TIME(8,0,0))+IF(NETWORKDAYS(NOW(),NOW(),UKBankHolidays)&gt;0,MEDIAN(TIME(8,0,0),MOD(NOW(),1),TIME(17,0,0)),TIME(8,0,0))-IF(NETWORKDAYS(K3,K3,UKBankHolidays)&gt;0,MEDIAN(TIME(8,0,0),MOD(K3,1),TIME(17,0,0)),TIME(8,0,0))))),IF(N3="",NOW()-K3,N3-K3))</f>
        <v>#N/A</v>
      </c>
      <c r="AA3" s="75" t="e">
        <f t="shared" ca="1" si="1"/>
        <v>#N/A</v>
      </c>
      <c r="AB3" s="76">
        <f t="shared" ref="AB3:AB66" ca="1" si="9">IF(NOT(OR(G3=1,G3=2)),MAX(0,_xlfn.IFS(AND(K3&lt;&gt;"",N3&lt;&gt;""),(((MAX(NETWORKDAYS(L3,N3,UKBankHolidays)-1,0))*(TIME(17,0,0)-TIME(8,0,0)))+IF(NETWORKDAYS(N3,N3,UKBankHolidays)&gt;0,MEDIAN(TIME(8,0,0),MOD(N3,1),TIME(17,0,0)),TIME(8,0,0))-IF(NETWORKDAYS(L3,L3,UKBankHolidays)&gt;0,MEDIAN(TIME(8,0,0),MOD(L3,1),TIME(17,0,0)),TIME(8,0,0)))-IF(AND(O3&lt;&gt;"",P3&lt;&gt;""),(((MAX(NETWORKDAYS(O3,P3,UKBankHolidays)-1,0))*(TIME(17,0,0)-TIME(8,0,0)))+IF(NETWORKDAYS(P3,P3,UKBankHolidays)&gt;0,MEDIAN(TIME(8,0,0),MOD(P3,1),TIME(17,0,0)),TIME(8,0,0))-IF(NETWORKDAYS(O3,O3,UKBankHolidays)&gt;0,MEDIAN(TIME(8,0,0),MOD(O3,1),TIME(17,0,0)),TIME(8,0,0))),0),AND(L3&lt;&gt;"",N3="",O3=""),(((MAX(NETWORKDAYS(L3,NOW(),UKBankHolidays)-1,0))*(TIME(17,0,0)-TIME(8,0,0)))+IF(NETWORKDAYS(NOW(),NOW(),UKBankHolidays)&gt;0,MEDIAN(TIME(8,0,0),MOD(NOW(),1),TIME(17,0,0)),TIME(8,0,0))-IF(NETWORKDAYS(L3,L3,UKBankHolidays)&gt;0,MEDIAN(TIME(8,0,0),MOD(L3,1),TIME(17,0,0)),TIME(8,0,0)))-IF(AND(O3&lt;&gt;"",P3&lt;&gt;""),(((MAX(NETWORKDAYS(O3,P3,UKBankHolidays)-1,0))*(TIME(17,0,0)-TIME(8,0,0)))+IF(NETWORKDAYS(P3,P3,UKBankHolidays)&gt;0,MEDIAN(TIME(8,0,0),MOD(P3,1),TIME(17,0,0)),TIME(8,0,0))-IF(NETWORKDAYS(O3,O3,UKBankHolidays)&gt;0,MEDIAN(TIME(8,0,0),MOD(O3,1),TIME(17,0,0)),TIME(8,0,0))),0),AND(L3&lt;&gt;"",N3="",P3="",O3&lt;&gt;""),(((MAX(NETWORKDAYS(L3,O3,UKBankHolidays)-1,0))*(TIME(17,0,0)-TIME(8,0,0)))+IF(NETWORKDAYS(O3,O3,UKBankHolidays)&gt;0,MEDIAN(TIME(8,0,0),MOD(O3,1),TIME(17,0,0)),TIME(8,0,0))-IF(NETWORKDAYS(L3,L3,UKBankHolidays)&gt;0,MEDIAN(TIME(8,0,0),MOD(L3,1),TIME(17,0,0)),TIME(8,0,0))),ISBLANK(K3),"0")),IF(ISBLANK(N3),NOW()-L3,N3-L3))</f>
        <v>0</v>
      </c>
      <c r="AC3" s="75">
        <f t="shared" ca="1" si="3"/>
        <v>0</v>
      </c>
      <c r="AD3" s="76">
        <f t="shared" ref="AD3:AD66" ca="1" si="10">MAX(0,IF(NOT(OR(G3=1,G3=2)),IF(M3&lt;&gt;"",((MAX(NETWORKDAYS(L3,M3,UKBankHolidays)-1,0))*(TIME(17,0,0)-TIME(8,0,0))+IF(NETWORKDAYS(M3,M3,UKBankHolidays)&gt;0,MEDIAN(TIME(8,0,0),MOD(M3,1),TIME(17,0,0)),TIME(8,0,0))-MEDIAN(TIME(8,0,0),MOD(L3,1),TIME(17,0,0))),((MAX(NETWORKDAYS(L3,NOW(),UKBankHolidays)-1,0))*(TIME(17,0,0)-TIME(8,0,0))+IF(NETWORKDAYS(NOW(),NOW(),UKBankHolidays)&gt;0,MEDIAN(TIME(8,0,0),MOD(NOW(),1),TIME(17,0,0)),TIME(8,0,0))-MEDIAN(TIME(8,0,0),MOD(L3,1),TIME(17,0,0)))),IF(M3&lt;&gt;"",M3-L3,NOW()-L3)))</f>
        <v>12388.425641550926</v>
      </c>
      <c r="AE3" s="76">
        <f t="shared" ref="AE3:AE66" si="11">SUMIFS(AB:AB,E:E,E3)</f>
        <v>0</v>
      </c>
      <c r="AF3" s="75">
        <f t="shared" si="6"/>
        <v>0</v>
      </c>
      <c r="AG3" s="75">
        <f t="shared" si="7"/>
        <v>0</v>
      </c>
      <c r="AH3" s="31" t="e" cm="1">
        <f t="array" aca="1" ref="AH3" ca="1">IF((AD3) &lt; (INDEX(ResponseSLA[#All],(MATCH((G3),ResponseSLA[Priority],0))+1,3)),"YES","No")</f>
        <v>#N/A</v>
      </c>
      <c r="AI3" s="31" t="str">
        <f>_xlfn.IFNA(IF(AE3 &lt; (INDEX(SLATable[Minimum SLA],MATCH(G3,SLATable[Priority],0))),"YES","NO"),"")</f>
        <v/>
      </c>
      <c r="AJ3" t="str">
        <f>_xlfn.IFNA(IF(AE3 &lt; (INDEX(SLATable[Maximum SLA],MATCH(G3,SLATable[Priority],0))),"YES","NO"),"")</f>
        <v/>
      </c>
    </row>
    <row r="4" spans="1:36" ht="15.95">
      <c r="E4" s="69"/>
      <c r="H4" s="63"/>
      <c r="K4" s="71"/>
      <c r="L4" s="54"/>
      <c r="M4" s="54"/>
      <c r="N4" s="70"/>
      <c r="Z4" s="76" t="e">
        <f t="shared" ca="1" si="8"/>
        <v>#N/A</v>
      </c>
      <c r="AA4" s="75" t="e">
        <f t="shared" ca="1" si="1"/>
        <v>#N/A</v>
      </c>
      <c r="AB4" s="76">
        <f t="shared" ca="1" si="9"/>
        <v>0</v>
      </c>
      <c r="AC4" s="75">
        <f t="shared" ca="1" si="3"/>
        <v>0</v>
      </c>
      <c r="AD4" s="76">
        <f t="shared" ca="1" si="10"/>
        <v>12388.425641782411</v>
      </c>
      <c r="AE4" s="76">
        <f t="shared" si="11"/>
        <v>0</v>
      </c>
      <c r="AF4" s="75">
        <f t="shared" si="6"/>
        <v>0</v>
      </c>
      <c r="AG4" s="75">
        <f t="shared" si="7"/>
        <v>0</v>
      </c>
      <c r="AH4" s="31" t="e" cm="1">
        <f t="array" aca="1" ref="AH4" ca="1">IF((AD4) &lt; (INDEX(ResponseSLA[#All],(MATCH((G4),ResponseSLA[Priority],0))+1,3)),"YES","No")</f>
        <v>#N/A</v>
      </c>
      <c r="AI4" s="31" t="str">
        <f>_xlfn.IFNA(IF(AE4 &lt; (INDEX(SLATable[Minimum SLA],MATCH(G4,SLATable[Priority],0))),"YES","NO"),"")</f>
        <v/>
      </c>
      <c r="AJ4" t="str">
        <f>_xlfn.IFNA(IF(AE4 &lt; (INDEX(SLATable[Maximum SLA],MATCH(G4,SLATable[Priority],0))),"YES","NO"),"")</f>
        <v/>
      </c>
    </row>
    <row r="5" spans="1:36" ht="15.95">
      <c r="E5" s="69"/>
      <c r="H5" s="63"/>
      <c r="K5" s="70"/>
      <c r="N5" s="70"/>
      <c r="Z5" s="76" t="e">
        <f t="shared" ca="1" si="8"/>
        <v>#N/A</v>
      </c>
      <c r="AA5" s="75" t="e">
        <f t="shared" ca="1" si="1"/>
        <v>#N/A</v>
      </c>
      <c r="AB5" s="76">
        <f t="shared" ca="1" si="9"/>
        <v>0</v>
      </c>
      <c r="AC5" s="75">
        <f t="shared" ca="1" si="3"/>
        <v>0</v>
      </c>
      <c r="AD5" s="76">
        <f t="shared" ca="1" si="10"/>
        <v>12388.425641550926</v>
      </c>
      <c r="AE5" s="76">
        <f t="shared" si="11"/>
        <v>0</v>
      </c>
      <c r="AF5" s="75">
        <f t="shared" si="6"/>
        <v>0</v>
      </c>
      <c r="AG5" s="75">
        <f t="shared" si="7"/>
        <v>0</v>
      </c>
      <c r="AH5" s="31" t="e" cm="1">
        <f t="array" aca="1" ref="AH5" ca="1">IF((AD5) &lt; (INDEX(ResponseSLA[#All],(MATCH((G5),ResponseSLA[Priority],0))+1,3)),"YES","No")</f>
        <v>#N/A</v>
      </c>
      <c r="AI5" s="31" t="str">
        <f>_xlfn.IFNA(IF(AE5 &lt; (INDEX(SLATable[Minimum SLA],MATCH(G5,SLATable[Priority],0))),"YES","NO"),"")</f>
        <v/>
      </c>
      <c r="AJ5" t="str">
        <f>_xlfn.IFNA(IF(AE5 &lt; (INDEX(SLATable[Maximum SLA],MATCH(G5,SLATable[Priority],0))),"YES","NO"),"")</f>
        <v/>
      </c>
    </row>
    <row r="6" spans="1:36" ht="15" customHeight="1">
      <c r="E6" s="69"/>
      <c r="H6" s="63"/>
      <c r="K6" s="70"/>
      <c r="N6" s="70"/>
      <c r="Z6" s="76" t="e">
        <f t="shared" ca="1" si="8"/>
        <v>#N/A</v>
      </c>
      <c r="AA6" s="75" t="e">
        <f t="shared" ca="1" si="1"/>
        <v>#N/A</v>
      </c>
      <c r="AB6" s="76">
        <f t="shared" ca="1" si="9"/>
        <v>0</v>
      </c>
      <c r="AC6" s="75">
        <f t="shared" ca="1" si="3"/>
        <v>0</v>
      </c>
      <c r="AD6" s="76">
        <f t="shared" ca="1" si="10"/>
        <v>12388.425641550926</v>
      </c>
      <c r="AE6" s="76">
        <f t="shared" si="11"/>
        <v>0</v>
      </c>
      <c r="AF6" s="75">
        <f t="shared" si="6"/>
        <v>0</v>
      </c>
      <c r="AG6" s="75">
        <f t="shared" si="7"/>
        <v>0</v>
      </c>
      <c r="AH6" s="31" t="e" cm="1">
        <f t="array" aca="1" ref="AH6" ca="1">IF((AD6) &lt; (INDEX(ResponseSLA[#All],(MATCH((G6),ResponseSLA[Priority],0))+1,3)),"YES","No")</f>
        <v>#N/A</v>
      </c>
      <c r="AI6" s="31" t="str">
        <f>_xlfn.IFNA(IF(AE6 &lt; (INDEX(SLATable[Minimum SLA],MATCH(G6,SLATable[Priority],0))),"YES","NO"),"")</f>
        <v/>
      </c>
      <c r="AJ6" t="str">
        <f>_xlfn.IFNA(IF(AE6 &lt; (INDEX(SLATable[Maximum SLA],MATCH(G6,SLATable[Priority],0))),"YES","NO"),"")</f>
        <v/>
      </c>
    </row>
    <row r="7" spans="1:36" ht="15" customHeight="1">
      <c r="K7" s="71"/>
      <c r="L7" s="54"/>
      <c r="M7" s="54"/>
      <c r="N7" s="70"/>
      <c r="Z7" s="76" t="e">
        <f t="shared" ca="1" si="8"/>
        <v>#N/A</v>
      </c>
      <c r="AA7" s="75" t="e">
        <f t="shared" ca="1" si="1"/>
        <v>#N/A</v>
      </c>
      <c r="AB7" s="76">
        <f t="shared" ca="1" si="9"/>
        <v>0</v>
      </c>
      <c r="AC7" s="75">
        <f t="shared" ca="1" si="3"/>
        <v>0</v>
      </c>
      <c r="AD7" s="76">
        <f t="shared" ca="1" si="10"/>
        <v>12388.425641782411</v>
      </c>
      <c r="AE7" s="76">
        <f t="shared" si="11"/>
        <v>0</v>
      </c>
      <c r="AF7" s="75">
        <f t="shared" si="6"/>
        <v>0</v>
      </c>
      <c r="AG7" s="75">
        <f t="shared" si="7"/>
        <v>0</v>
      </c>
      <c r="AH7" s="31" t="e" cm="1">
        <f t="array" aca="1" ref="AH7" ca="1">IF((AD7) &lt; (INDEX(ResponseSLA[#All],(MATCH((G7),ResponseSLA[Priority],0))+1,3)),"YES","No")</f>
        <v>#N/A</v>
      </c>
      <c r="AI7" s="31" t="str">
        <f>_xlfn.IFNA(IF(AE7 &lt; (INDEX(SLATable[Minimum SLA],MATCH(G7,SLATable[Priority],0))),"YES","NO"),"")</f>
        <v/>
      </c>
      <c r="AJ7" t="str">
        <f>_xlfn.IFNA(IF(AE7 &lt; (INDEX(SLATable[Maximum SLA],MATCH(G7,SLATable[Priority],0))),"YES","NO"),"")</f>
        <v/>
      </c>
    </row>
    <row r="8" spans="1:36" ht="15" customHeight="1">
      <c r="Z8" s="76" t="e">
        <f t="shared" ca="1" si="8"/>
        <v>#N/A</v>
      </c>
      <c r="AA8" s="75" t="e">
        <f t="shared" ca="1" si="1"/>
        <v>#N/A</v>
      </c>
      <c r="AB8" s="76">
        <f t="shared" ca="1" si="9"/>
        <v>0</v>
      </c>
      <c r="AC8" s="75">
        <f t="shared" ca="1" si="3"/>
        <v>0</v>
      </c>
      <c r="AD8" s="76">
        <f t="shared" ca="1" si="10"/>
        <v>12388.425641550926</v>
      </c>
      <c r="AE8" s="76">
        <f t="shared" si="11"/>
        <v>0</v>
      </c>
      <c r="AF8" s="75">
        <f t="shared" si="6"/>
        <v>0</v>
      </c>
      <c r="AG8" s="75">
        <f t="shared" si="7"/>
        <v>0</v>
      </c>
      <c r="AH8" s="31" t="e" cm="1">
        <f t="array" aca="1" ref="AH8" ca="1">IF((AD8) &lt; (INDEX(ResponseSLA[#All],(MATCH((G8),ResponseSLA[Priority],0))+1,3)),"YES","No")</f>
        <v>#N/A</v>
      </c>
      <c r="AI8" s="31" t="str">
        <f>_xlfn.IFNA(IF(AE8 &lt; (INDEX(SLATable[Minimum SLA],MATCH(G8,SLATable[Priority],0))),"YES","NO"),"")</f>
        <v/>
      </c>
      <c r="AJ8" t="str">
        <f>_xlfn.IFNA(IF(AE8 &lt; (INDEX(SLATable[Maximum SLA],MATCH(G8,SLATable[Priority],0))),"YES","NO"),"")</f>
        <v/>
      </c>
    </row>
    <row r="9" spans="1:36" ht="15" customHeight="1">
      <c r="L9" s="52"/>
      <c r="M9" s="52"/>
      <c r="N9" s="52"/>
      <c r="Z9" s="76" t="e">
        <f t="shared" ca="1" si="8"/>
        <v>#N/A</v>
      </c>
      <c r="AA9" s="75" t="e">
        <f t="shared" ca="1" si="1"/>
        <v>#N/A</v>
      </c>
      <c r="AB9" s="76">
        <f t="shared" ca="1" si="9"/>
        <v>0</v>
      </c>
      <c r="AC9" s="75">
        <f t="shared" ca="1" si="3"/>
        <v>0</v>
      </c>
      <c r="AD9" s="76">
        <f t="shared" ca="1" si="10"/>
        <v>12388.425641550926</v>
      </c>
      <c r="AE9" s="76">
        <f t="shared" si="11"/>
        <v>0</v>
      </c>
      <c r="AF9" s="75">
        <f t="shared" si="6"/>
        <v>0</v>
      </c>
      <c r="AG9" s="75">
        <f t="shared" si="7"/>
        <v>0</v>
      </c>
      <c r="AH9" s="31" t="e" cm="1">
        <f t="array" aca="1" ref="AH9" ca="1">IF((AD9) &lt; (INDEX(ResponseSLA[#All],(MATCH((G9),ResponseSLA[Priority],0))+1,3)),"YES","No")</f>
        <v>#N/A</v>
      </c>
      <c r="AI9" s="31" t="str">
        <f>_xlfn.IFNA(IF(AE9 &lt; (INDEX(SLATable[Minimum SLA],MATCH(G9,SLATable[Priority],0))),"YES","NO"),"")</f>
        <v/>
      </c>
      <c r="AJ9" t="str">
        <f>_xlfn.IFNA(IF(AE9 &lt; (INDEX(SLATable[Maximum SLA],MATCH(G9,SLATable[Priority],0))),"YES","NO"),"")</f>
        <v/>
      </c>
    </row>
    <row r="10" spans="1:36" ht="15" customHeight="1">
      <c r="L10" s="52"/>
      <c r="M10" s="52"/>
      <c r="N10" s="52"/>
      <c r="Z10" s="76" t="e">
        <f t="shared" ca="1" si="8"/>
        <v>#N/A</v>
      </c>
      <c r="AA10" s="75" t="e">
        <f t="shared" ca="1" si="1"/>
        <v>#N/A</v>
      </c>
      <c r="AB10" s="76">
        <f t="shared" ca="1" si="9"/>
        <v>0</v>
      </c>
      <c r="AC10" s="75">
        <f t="shared" ca="1" si="3"/>
        <v>0</v>
      </c>
      <c r="AD10" s="76">
        <f t="shared" ca="1" si="10"/>
        <v>12388.425641782411</v>
      </c>
      <c r="AE10" s="76">
        <f t="shared" si="11"/>
        <v>0</v>
      </c>
      <c r="AF10" s="75">
        <f t="shared" si="6"/>
        <v>0</v>
      </c>
      <c r="AG10" s="75">
        <f t="shared" si="7"/>
        <v>0</v>
      </c>
      <c r="AH10" s="31" t="e" cm="1">
        <f t="array" aca="1" ref="AH10" ca="1">IF((AD10) &lt; (INDEX(ResponseSLA[#All],(MATCH((G10),ResponseSLA[Priority],0))+1,3)),"YES","No")</f>
        <v>#N/A</v>
      </c>
      <c r="AI10" s="31" t="str">
        <f>_xlfn.IFNA(IF(AE10 &lt; (INDEX(SLATable[Minimum SLA],MATCH(G10,SLATable[Priority],0))),"YES","NO"),"")</f>
        <v/>
      </c>
      <c r="AJ10" t="str">
        <f>_xlfn.IFNA(IF(AE10 &lt; (INDEX(SLATable[Maximum SLA],MATCH(G10,SLATable[Priority],0))),"YES","NO"),"")</f>
        <v/>
      </c>
    </row>
    <row r="11" spans="1:36" ht="15" customHeight="1">
      <c r="B11" s="45" t="s">
        <v>26</v>
      </c>
      <c r="C11" s="45" t="s">
        <v>42</v>
      </c>
      <c r="D11" s="45" t="s">
        <v>207</v>
      </c>
      <c r="G11" s="45">
        <v>3</v>
      </c>
      <c r="I11" s="45" t="s">
        <v>271</v>
      </c>
      <c r="K11" s="47">
        <v>46191.390370370369</v>
      </c>
      <c r="L11" s="47">
        <v>46191.402071759258</v>
      </c>
      <c r="M11" s="47">
        <v>46191.402071759258</v>
      </c>
      <c r="N11" s="47">
        <v>46192.306481481479</v>
      </c>
      <c r="R11" s="45" t="s">
        <v>261</v>
      </c>
      <c r="S11" s="45" t="s">
        <v>137</v>
      </c>
      <c r="Z11" s="76">
        <f t="shared" ca="1" si="8"/>
        <v>0.31796296296427806</v>
      </c>
      <c r="AA11" s="75">
        <f t="shared" ca="1" si="1"/>
        <v>0.8479012345714082</v>
      </c>
      <c r="AB11" s="76">
        <f t="shared" ca="1" si="9"/>
        <v>0.30626157407580956</v>
      </c>
      <c r="AC11" s="75">
        <f t="shared" ca="1" si="3"/>
        <v>0.81669753086882546</v>
      </c>
      <c r="AD11" s="76">
        <f t="shared" ca="1" si="10"/>
        <v>0</v>
      </c>
      <c r="AE11" s="76">
        <f t="shared" si="11"/>
        <v>0</v>
      </c>
      <c r="AF11" s="75">
        <f t="shared" si="6"/>
        <v>0</v>
      </c>
      <c r="AG11" s="75">
        <f t="shared" si="7"/>
        <v>0</v>
      </c>
      <c r="AH11" s="31" t="str" cm="1">
        <f t="array" aca="1" ref="AH11" ca="1">IF((AD11) &lt; (INDEX(ResponseSLA[#All],(MATCH((G11),ResponseSLA[Priority],0))+1,3)),"YES","No")</f>
        <v>YES</v>
      </c>
      <c r="AI11" s="31" t="str">
        <f>_xlfn.IFNA(IF(AE11 &lt; (INDEX(SLATable[Minimum SLA],MATCH(G11,SLATable[Priority],0))),"YES","NO"),"")</f>
        <v>YES</v>
      </c>
      <c r="AJ11" t="str">
        <f>_xlfn.IFNA(IF(AE11 &lt; (INDEX(SLATable[Maximum SLA],MATCH(G11,SLATable[Priority],0))),"YES","NO"),"")</f>
        <v>YES</v>
      </c>
    </row>
    <row r="12" spans="1:36" ht="15" customHeight="1">
      <c r="Z12" s="76" t="e">
        <f t="shared" ca="1" si="8"/>
        <v>#N/A</v>
      </c>
      <c r="AA12" s="75" t="e">
        <f t="shared" ca="1" si="1"/>
        <v>#N/A</v>
      </c>
      <c r="AB12" s="76">
        <f t="shared" ca="1" si="9"/>
        <v>0</v>
      </c>
      <c r="AC12" s="75">
        <f t="shared" ca="1" si="3"/>
        <v>0</v>
      </c>
      <c r="AD12" s="76">
        <f t="shared" ca="1" si="10"/>
        <v>12388.425641550926</v>
      </c>
      <c r="AE12" s="76">
        <f t="shared" si="11"/>
        <v>0</v>
      </c>
      <c r="AF12" s="75">
        <f t="shared" si="6"/>
        <v>0</v>
      </c>
      <c r="AG12" s="75">
        <f t="shared" si="7"/>
        <v>0</v>
      </c>
      <c r="AH12" s="31" t="e" cm="1">
        <f t="array" aca="1" ref="AH12" ca="1">IF((AD12) &lt; (INDEX(ResponseSLA[#All],(MATCH((G12),ResponseSLA[Priority],0))+1,3)),"YES","No")</f>
        <v>#N/A</v>
      </c>
      <c r="AI12" s="31" t="str">
        <f>_xlfn.IFNA(IF(AE12 &lt; (INDEX(SLATable[Minimum SLA],MATCH(G12,SLATable[Priority],0))),"YES","NO"),"")</f>
        <v/>
      </c>
      <c r="AJ12" t="str">
        <f>_xlfn.IFNA(IF(AE12 &lt; (INDEX(SLATable[Maximum SLA],MATCH(G12,SLATable[Priority],0))),"YES","NO"),"")</f>
        <v/>
      </c>
    </row>
    <row r="13" spans="1:36" ht="15" customHeight="1">
      <c r="Z13" s="76" t="e">
        <f t="shared" ca="1" si="8"/>
        <v>#N/A</v>
      </c>
      <c r="AA13" s="75" t="e">
        <f t="shared" ca="1" si="1"/>
        <v>#N/A</v>
      </c>
      <c r="AB13" s="76">
        <f t="shared" ca="1" si="9"/>
        <v>0</v>
      </c>
      <c r="AC13" s="75">
        <f t="shared" ca="1" si="3"/>
        <v>0</v>
      </c>
      <c r="AD13" s="76">
        <f t="shared" ca="1" si="10"/>
        <v>12388.425641782411</v>
      </c>
      <c r="AE13" s="76">
        <f t="shared" si="11"/>
        <v>0</v>
      </c>
      <c r="AF13" s="75">
        <f t="shared" si="6"/>
        <v>0</v>
      </c>
      <c r="AG13" s="75">
        <f t="shared" si="7"/>
        <v>0</v>
      </c>
      <c r="AH13" s="31" t="e" cm="1">
        <f t="array" aca="1" ref="AH13" ca="1">IF((AD13) &lt; (INDEX(ResponseSLA[#All],(MATCH((G13),ResponseSLA[Priority],0))+1,3)),"YES","No")</f>
        <v>#N/A</v>
      </c>
      <c r="AI13" s="31" t="str">
        <f>_xlfn.IFNA(IF(AE13 &lt; (INDEX(SLATable[Minimum SLA],MATCH(G13,SLATable[Priority],0))),"YES","NO"),"")</f>
        <v/>
      </c>
      <c r="AJ13" t="str">
        <f>_xlfn.IFNA(IF(AE13 &lt; (INDEX(SLATable[Maximum SLA],MATCH(G13,SLATable[Priority],0))),"YES","NO"),"")</f>
        <v/>
      </c>
    </row>
    <row r="14" spans="1:36" ht="15" customHeight="1">
      <c r="Z14" s="76" t="e">
        <f t="shared" ca="1" si="8"/>
        <v>#N/A</v>
      </c>
      <c r="AA14" s="75" t="e">
        <f t="shared" ca="1" si="1"/>
        <v>#N/A</v>
      </c>
      <c r="AB14" s="76">
        <f t="shared" ca="1" si="9"/>
        <v>0</v>
      </c>
      <c r="AC14" s="75">
        <f t="shared" ca="1" si="3"/>
        <v>0</v>
      </c>
      <c r="AD14" s="76">
        <f t="shared" ca="1" si="10"/>
        <v>12388.425641550926</v>
      </c>
      <c r="AE14" s="76">
        <f t="shared" si="11"/>
        <v>0</v>
      </c>
      <c r="AF14" s="75">
        <f t="shared" si="6"/>
        <v>0</v>
      </c>
      <c r="AG14" s="75">
        <f t="shared" si="7"/>
        <v>0</v>
      </c>
      <c r="AH14" s="31" t="e" cm="1">
        <f t="array" aca="1" ref="AH14" ca="1">IF((AD14) &lt; (INDEX(ResponseSLA[#All],(MATCH((G14),ResponseSLA[Priority],0))+1,3)),"YES","No")</f>
        <v>#N/A</v>
      </c>
      <c r="AI14" s="31" t="str">
        <f>_xlfn.IFNA(IF(AE14 &lt; (INDEX(SLATable[Minimum SLA],MATCH(G14,SLATable[Priority],0))),"YES","NO"),"")</f>
        <v/>
      </c>
      <c r="AJ14" t="str">
        <f>_xlfn.IFNA(IF(AE14 &lt; (INDEX(SLATable[Maximum SLA],MATCH(G14,SLATable[Priority],0))),"YES","NO"),"")</f>
        <v/>
      </c>
    </row>
    <row r="15" spans="1:36" ht="15" customHeight="1">
      <c r="Z15" s="76" t="e">
        <f t="shared" ca="1" si="8"/>
        <v>#N/A</v>
      </c>
      <c r="AA15" s="75" t="e">
        <f t="shared" ca="1" si="1"/>
        <v>#N/A</v>
      </c>
      <c r="AB15" s="76">
        <f t="shared" ca="1" si="9"/>
        <v>0</v>
      </c>
      <c r="AC15" s="75">
        <f t="shared" ca="1" si="3"/>
        <v>0</v>
      </c>
      <c r="AD15" s="76">
        <f t="shared" ca="1" si="10"/>
        <v>12388.425641550926</v>
      </c>
      <c r="AE15" s="76">
        <f t="shared" si="11"/>
        <v>0</v>
      </c>
      <c r="AF15" s="75">
        <f t="shared" si="6"/>
        <v>0</v>
      </c>
      <c r="AG15" s="75">
        <f t="shared" si="7"/>
        <v>0</v>
      </c>
      <c r="AH15" s="31" t="e" cm="1">
        <f t="array" aca="1" ref="AH15" ca="1">IF((AD15) &lt; (INDEX(ResponseSLA[#All],(MATCH((G15),ResponseSLA[Priority],0))+1,3)),"YES","No")</f>
        <v>#N/A</v>
      </c>
      <c r="AI15" s="31" t="str">
        <f>_xlfn.IFNA(IF(AE15 &lt; (INDEX(SLATable[Minimum SLA],MATCH(G15,SLATable[Priority],0))),"YES","NO"),"")</f>
        <v/>
      </c>
      <c r="AJ15" t="str">
        <f>_xlfn.IFNA(IF(AE15 &lt; (INDEX(SLATable[Maximum SLA],MATCH(G15,SLATable[Priority],0))),"YES","NO"),"")</f>
        <v/>
      </c>
    </row>
    <row r="16" spans="1:36" ht="15" customHeight="1">
      <c r="H16" s="46"/>
      <c r="Z16" s="76" t="e">
        <f t="shared" ca="1" si="8"/>
        <v>#N/A</v>
      </c>
      <c r="AA16" s="75" t="e">
        <f t="shared" ca="1" si="1"/>
        <v>#N/A</v>
      </c>
      <c r="AB16" s="76">
        <f t="shared" ca="1" si="9"/>
        <v>0</v>
      </c>
      <c r="AC16" s="75">
        <f t="shared" ca="1" si="3"/>
        <v>0</v>
      </c>
      <c r="AD16" s="76">
        <f t="shared" ca="1" si="10"/>
        <v>12388.425641782411</v>
      </c>
      <c r="AE16" s="76">
        <f t="shared" si="11"/>
        <v>0</v>
      </c>
      <c r="AF16" s="75">
        <f t="shared" si="6"/>
        <v>0</v>
      </c>
      <c r="AG16" s="75">
        <f t="shared" si="7"/>
        <v>0</v>
      </c>
      <c r="AH16" s="31" t="e" cm="1">
        <f t="array" aca="1" ref="AH16" ca="1">IF((AD16) &lt; (INDEX(ResponseSLA[#All],(MATCH((G16),ResponseSLA[Priority],0))+1,3)),"YES","No")</f>
        <v>#N/A</v>
      </c>
      <c r="AI16" s="31" t="str">
        <f>_xlfn.IFNA(IF(AE16 &lt; (INDEX(SLATable[Minimum SLA],MATCH(G16,SLATable[Priority],0))),"YES","NO"),"")</f>
        <v/>
      </c>
      <c r="AJ16" t="str">
        <f>_xlfn.IFNA(IF(AE16 &lt; (INDEX(SLATable[Maximum SLA],MATCH(G16,SLATable[Priority],0))),"YES","NO"),"")</f>
        <v/>
      </c>
    </row>
    <row r="17" spans="26:36" ht="15" customHeight="1">
      <c r="Z17" s="76" t="e">
        <f t="shared" ca="1" si="8"/>
        <v>#N/A</v>
      </c>
      <c r="AA17" s="75" t="e">
        <f t="shared" ca="1" si="1"/>
        <v>#N/A</v>
      </c>
      <c r="AB17" s="76">
        <f t="shared" ca="1" si="9"/>
        <v>0</v>
      </c>
      <c r="AC17" s="75">
        <f t="shared" ca="1" si="3"/>
        <v>0</v>
      </c>
      <c r="AD17" s="76">
        <f t="shared" ca="1" si="10"/>
        <v>12388.425641550926</v>
      </c>
      <c r="AE17" s="76">
        <f t="shared" si="11"/>
        <v>0</v>
      </c>
      <c r="AF17" s="75">
        <f t="shared" si="6"/>
        <v>0</v>
      </c>
      <c r="AG17" s="75">
        <f t="shared" si="7"/>
        <v>0</v>
      </c>
      <c r="AH17" s="31" t="e" cm="1">
        <f t="array" aca="1" ref="AH17" ca="1">IF((AD17) &lt; (INDEX(ResponseSLA[#All],(MATCH((G17),ResponseSLA[Priority],0))+1,3)),"YES","No")</f>
        <v>#N/A</v>
      </c>
      <c r="AI17" s="31" t="str">
        <f>_xlfn.IFNA(IF(AE17 &lt; (INDEX(SLATable[Minimum SLA],MATCH(G17,SLATable[Priority],0))),"YES","NO"),"")</f>
        <v/>
      </c>
      <c r="AJ17" t="str">
        <f>_xlfn.IFNA(IF(AE17 &lt; (INDEX(SLATable[Maximum SLA],MATCH(G17,SLATable[Priority],0))),"YES","NO"),"")</f>
        <v/>
      </c>
    </row>
    <row r="18" spans="26:36" ht="15" customHeight="1">
      <c r="Z18" s="76" t="e">
        <f t="shared" ca="1" si="8"/>
        <v>#N/A</v>
      </c>
      <c r="AA18" s="75" t="e">
        <f t="shared" ca="1" si="1"/>
        <v>#N/A</v>
      </c>
      <c r="AB18" s="76">
        <f t="shared" ca="1" si="9"/>
        <v>0</v>
      </c>
      <c r="AC18" s="75">
        <f t="shared" ca="1" si="3"/>
        <v>0</v>
      </c>
      <c r="AD18" s="76">
        <f t="shared" ca="1" si="10"/>
        <v>12388.425641550926</v>
      </c>
      <c r="AE18" s="76">
        <f t="shared" si="11"/>
        <v>0</v>
      </c>
      <c r="AF18" s="75">
        <f t="shared" si="6"/>
        <v>0</v>
      </c>
      <c r="AG18" s="75">
        <f t="shared" si="7"/>
        <v>0</v>
      </c>
      <c r="AH18" s="31" t="e" cm="1">
        <f t="array" aca="1" ref="AH18" ca="1">IF((AD18) &lt; (INDEX(ResponseSLA[#All],(MATCH((G18),ResponseSLA[Priority],0))+1,3)),"YES","No")</f>
        <v>#N/A</v>
      </c>
      <c r="AI18" s="31" t="str">
        <f>_xlfn.IFNA(IF(AE18 &lt; (INDEX(SLATable[Minimum SLA],MATCH(G18,SLATable[Priority],0))),"YES","NO"),"")</f>
        <v/>
      </c>
      <c r="AJ18" t="str">
        <f>_xlfn.IFNA(IF(AE18 &lt; (INDEX(SLATable[Maximum SLA],MATCH(G18,SLATable[Priority],0))),"YES","NO"),"")</f>
        <v/>
      </c>
    </row>
    <row r="19" spans="26:36" ht="15" customHeight="1">
      <c r="Z19" s="76" t="e">
        <f t="shared" ca="1" si="8"/>
        <v>#N/A</v>
      </c>
      <c r="AA19" s="75" t="e">
        <f t="shared" ca="1" si="1"/>
        <v>#N/A</v>
      </c>
      <c r="AB19" s="76">
        <f t="shared" ca="1" si="9"/>
        <v>0</v>
      </c>
      <c r="AC19" s="75">
        <f t="shared" ca="1" si="3"/>
        <v>0</v>
      </c>
      <c r="AD19" s="76">
        <f t="shared" ca="1" si="10"/>
        <v>12388.425641782411</v>
      </c>
      <c r="AE19" s="76">
        <f t="shared" si="11"/>
        <v>0</v>
      </c>
      <c r="AF19" s="75">
        <f t="shared" si="6"/>
        <v>0</v>
      </c>
      <c r="AG19" s="75">
        <f t="shared" si="7"/>
        <v>0</v>
      </c>
      <c r="AH19" s="31" t="e" cm="1">
        <f t="array" aca="1" ref="AH19" ca="1">IF((AD19) &lt; (INDEX(ResponseSLA[#All],(MATCH((G19),ResponseSLA[Priority],0))+1,3)),"YES","No")</f>
        <v>#N/A</v>
      </c>
      <c r="AI19" s="31" t="str">
        <f>_xlfn.IFNA(IF(AE19 &lt; (INDEX(SLATable[Minimum SLA],MATCH(G19,SLATable[Priority],0))),"YES","NO"),"")</f>
        <v/>
      </c>
      <c r="AJ19" t="str">
        <f>_xlfn.IFNA(IF(AE19 &lt; (INDEX(SLATable[Maximum SLA],MATCH(G19,SLATable[Priority],0))),"YES","NO"),"")</f>
        <v/>
      </c>
    </row>
    <row r="20" spans="26:36" ht="15" customHeight="1">
      <c r="Z20" s="76" t="e">
        <f t="shared" ca="1" si="8"/>
        <v>#N/A</v>
      </c>
      <c r="AA20" s="75" t="e">
        <f t="shared" ca="1" si="1"/>
        <v>#N/A</v>
      </c>
      <c r="AB20" s="76">
        <f t="shared" ca="1" si="9"/>
        <v>0</v>
      </c>
      <c r="AC20" s="75">
        <f t="shared" ca="1" si="3"/>
        <v>0</v>
      </c>
      <c r="AD20" s="76">
        <f t="shared" ca="1" si="10"/>
        <v>12388.425641550926</v>
      </c>
      <c r="AE20" s="76">
        <f t="shared" si="11"/>
        <v>0</v>
      </c>
      <c r="AF20" s="75">
        <f t="shared" si="6"/>
        <v>0</v>
      </c>
      <c r="AG20" s="75">
        <f t="shared" si="7"/>
        <v>0</v>
      </c>
      <c r="AH20" s="31" t="e" cm="1">
        <f t="array" aca="1" ref="AH20" ca="1">IF((AD20) &lt; (INDEX(ResponseSLA[#All],(MATCH((G20),ResponseSLA[Priority],0))+1,3)),"YES","No")</f>
        <v>#N/A</v>
      </c>
      <c r="AI20" s="31" t="str">
        <f>_xlfn.IFNA(IF(AE20 &lt; (INDEX(SLATable[Minimum SLA],MATCH(G20,SLATable[Priority],0))),"YES","NO"),"")</f>
        <v/>
      </c>
      <c r="AJ20" t="str">
        <f>_xlfn.IFNA(IF(AE20 &lt; (INDEX(SLATable[Maximum SLA],MATCH(G20,SLATable[Priority],0))),"YES","NO"),"")</f>
        <v/>
      </c>
    </row>
    <row r="21" spans="26:36" ht="15" customHeight="1">
      <c r="Z21" s="76" t="e">
        <f t="shared" ca="1" si="8"/>
        <v>#N/A</v>
      </c>
      <c r="AA21" s="75" t="e">
        <f t="shared" ca="1" si="1"/>
        <v>#N/A</v>
      </c>
      <c r="AB21" s="76">
        <f t="shared" ca="1" si="9"/>
        <v>0</v>
      </c>
      <c r="AC21" s="75">
        <f t="shared" ca="1" si="3"/>
        <v>0</v>
      </c>
      <c r="AD21" s="76">
        <f t="shared" ca="1" si="10"/>
        <v>12388.425641550926</v>
      </c>
      <c r="AE21" s="76">
        <f t="shared" si="11"/>
        <v>0</v>
      </c>
      <c r="AF21" s="75">
        <f t="shared" si="6"/>
        <v>0</v>
      </c>
      <c r="AG21" s="75">
        <f t="shared" si="7"/>
        <v>0</v>
      </c>
      <c r="AH21" s="31" t="e" cm="1">
        <f t="array" aca="1" ref="AH21" ca="1">IF((AD21) &lt; (INDEX(ResponseSLA[#All],(MATCH((G21),ResponseSLA[Priority],0))+1,3)),"YES","No")</f>
        <v>#N/A</v>
      </c>
      <c r="AI21" s="31" t="str">
        <f>_xlfn.IFNA(IF(AE21 &lt; (INDEX(SLATable[Minimum SLA],MATCH(G21,SLATable[Priority],0))),"YES","NO"),"")</f>
        <v/>
      </c>
      <c r="AJ21" t="str">
        <f>_xlfn.IFNA(IF(AE21 &lt; (INDEX(SLATable[Maximum SLA],MATCH(G21,SLATable[Priority],0))),"YES","NO"),"")</f>
        <v/>
      </c>
    </row>
    <row r="22" spans="26:36" ht="15" customHeight="1">
      <c r="Z22" s="76" t="e">
        <f t="shared" ca="1" si="8"/>
        <v>#N/A</v>
      </c>
      <c r="AA22" s="75" t="e">
        <f t="shared" ca="1" si="1"/>
        <v>#N/A</v>
      </c>
      <c r="AB22" s="76">
        <f t="shared" ca="1" si="9"/>
        <v>0</v>
      </c>
      <c r="AC22" s="75">
        <f t="shared" ca="1" si="3"/>
        <v>0</v>
      </c>
      <c r="AD22" s="76">
        <f t="shared" ca="1" si="10"/>
        <v>12388.425641782411</v>
      </c>
      <c r="AE22" s="76">
        <f t="shared" si="11"/>
        <v>0</v>
      </c>
      <c r="AF22" s="75">
        <f t="shared" si="6"/>
        <v>0</v>
      </c>
      <c r="AG22" s="75">
        <f t="shared" si="7"/>
        <v>0</v>
      </c>
      <c r="AH22" s="31" t="e" cm="1">
        <f t="array" aca="1" ref="AH22" ca="1">IF((AD22) &lt; (INDEX(ResponseSLA[#All],(MATCH((G22),ResponseSLA[Priority],0))+1,3)),"YES","No")</f>
        <v>#N/A</v>
      </c>
      <c r="AI22" s="31" t="str">
        <f>_xlfn.IFNA(IF(AE22 &lt; (INDEX(SLATable[Minimum SLA],MATCH(G22,SLATable[Priority],0))),"YES","NO"),"")</f>
        <v/>
      </c>
      <c r="AJ22" t="str">
        <f>_xlfn.IFNA(IF(AE22 &lt; (INDEX(SLATable[Maximum SLA],MATCH(G22,SLATable[Priority],0))),"YES","NO"),"")</f>
        <v/>
      </c>
    </row>
    <row r="23" spans="26:36" ht="15" customHeight="1">
      <c r="Z23" s="76" t="e">
        <f t="shared" ca="1" si="8"/>
        <v>#N/A</v>
      </c>
      <c r="AA23" s="75" t="e">
        <f t="shared" ca="1" si="1"/>
        <v>#N/A</v>
      </c>
      <c r="AB23" s="76">
        <f t="shared" ca="1" si="9"/>
        <v>0</v>
      </c>
      <c r="AC23" s="75">
        <f t="shared" ca="1" si="3"/>
        <v>0</v>
      </c>
      <c r="AD23" s="76">
        <f t="shared" ca="1" si="10"/>
        <v>12388.425641550926</v>
      </c>
      <c r="AE23" s="76">
        <f t="shared" si="11"/>
        <v>0</v>
      </c>
      <c r="AF23" s="75">
        <f t="shared" si="6"/>
        <v>0</v>
      </c>
      <c r="AG23" s="75">
        <f t="shared" si="7"/>
        <v>0</v>
      </c>
      <c r="AH23" s="31" t="e" cm="1">
        <f t="array" aca="1" ref="AH23" ca="1">IF((AD23) &lt; (INDEX(ResponseSLA[#All],(MATCH((G23),ResponseSLA[Priority],0))+1,3)),"YES","No")</f>
        <v>#N/A</v>
      </c>
      <c r="AI23" s="31" t="str">
        <f>_xlfn.IFNA(IF(AE23 &lt; (INDEX(SLATable[Minimum SLA],MATCH(G23,SLATable[Priority],0))),"YES","NO"),"")</f>
        <v/>
      </c>
      <c r="AJ23" t="str">
        <f>_xlfn.IFNA(IF(AE23 &lt; (INDEX(SLATable[Maximum SLA],MATCH(G23,SLATable[Priority],0))),"YES","NO"),"")</f>
        <v/>
      </c>
    </row>
    <row r="24" spans="26:36" ht="15" customHeight="1">
      <c r="Z24" s="76" t="e">
        <f t="shared" ca="1" si="8"/>
        <v>#N/A</v>
      </c>
      <c r="AA24" s="75" t="e">
        <f t="shared" ca="1" si="1"/>
        <v>#N/A</v>
      </c>
      <c r="AB24" s="76">
        <f t="shared" ca="1" si="9"/>
        <v>0</v>
      </c>
      <c r="AC24" s="75">
        <f t="shared" ca="1" si="3"/>
        <v>0</v>
      </c>
      <c r="AD24" s="76">
        <f t="shared" ca="1" si="10"/>
        <v>12388.425641550926</v>
      </c>
      <c r="AE24" s="76">
        <f t="shared" si="11"/>
        <v>0</v>
      </c>
      <c r="AF24" s="75">
        <f t="shared" si="6"/>
        <v>0</v>
      </c>
      <c r="AG24" s="75">
        <f t="shared" si="7"/>
        <v>0</v>
      </c>
      <c r="AH24" s="31" t="e" cm="1">
        <f t="array" aca="1" ref="AH24" ca="1">IF((AD24) &lt; (INDEX(ResponseSLA[#All],(MATCH((G24),ResponseSLA[Priority],0))+1,3)),"YES","No")</f>
        <v>#N/A</v>
      </c>
      <c r="AI24" s="31" t="str">
        <f>_xlfn.IFNA(IF(AE24 &lt; (INDEX(SLATable[Minimum SLA],MATCH(G24,SLATable[Priority],0))),"YES","NO"),"")</f>
        <v/>
      </c>
      <c r="AJ24" t="str">
        <f>_xlfn.IFNA(IF(AE24 &lt; (INDEX(SLATable[Maximum SLA],MATCH(G24,SLATable[Priority],0))),"YES","NO"),"")</f>
        <v/>
      </c>
    </row>
    <row r="25" spans="26:36" ht="15" customHeight="1">
      <c r="Z25" s="76" t="e">
        <f t="shared" ca="1" si="8"/>
        <v>#N/A</v>
      </c>
      <c r="AA25" s="75" t="e">
        <f t="shared" ca="1" si="1"/>
        <v>#N/A</v>
      </c>
      <c r="AB25" s="76">
        <f t="shared" ca="1" si="9"/>
        <v>0</v>
      </c>
      <c r="AC25" s="75">
        <f t="shared" ca="1" si="3"/>
        <v>0</v>
      </c>
      <c r="AD25" s="76">
        <f t="shared" ca="1" si="10"/>
        <v>12388.425641782411</v>
      </c>
      <c r="AE25" s="76">
        <f t="shared" si="11"/>
        <v>0</v>
      </c>
      <c r="AF25" s="75">
        <f t="shared" si="6"/>
        <v>0</v>
      </c>
      <c r="AG25" s="75">
        <f t="shared" si="7"/>
        <v>0</v>
      </c>
      <c r="AH25" s="31" t="e" cm="1">
        <f t="array" aca="1" ref="AH25" ca="1">IF((AD25) &lt; (INDEX(ResponseSLA[#All],(MATCH((G25),ResponseSLA[Priority],0))+1,3)),"YES","No")</f>
        <v>#N/A</v>
      </c>
      <c r="AI25" s="31" t="str">
        <f>_xlfn.IFNA(IF(AE25 &lt; (INDEX(SLATable[Minimum SLA],MATCH(G25,SLATable[Priority],0))),"YES","NO"),"")</f>
        <v/>
      </c>
      <c r="AJ25" t="str">
        <f>_xlfn.IFNA(IF(AE25 &lt; (INDEX(SLATable[Maximum SLA],MATCH(G25,SLATable[Priority],0))),"YES","NO"),"")</f>
        <v/>
      </c>
    </row>
    <row r="26" spans="26:36" ht="15" customHeight="1">
      <c r="Z26" s="76" t="e">
        <f t="shared" ca="1" si="8"/>
        <v>#N/A</v>
      </c>
      <c r="AA26" s="75" t="e">
        <f t="shared" ca="1" si="1"/>
        <v>#N/A</v>
      </c>
      <c r="AB26" s="76">
        <f t="shared" ca="1" si="9"/>
        <v>0</v>
      </c>
      <c r="AC26" s="75">
        <f t="shared" ca="1" si="3"/>
        <v>0</v>
      </c>
      <c r="AD26" s="76">
        <f t="shared" ca="1" si="10"/>
        <v>12388.425641550926</v>
      </c>
      <c r="AE26" s="76">
        <f t="shared" si="11"/>
        <v>0</v>
      </c>
      <c r="AF26" s="75">
        <f t="shared" si="6"/>
        <v>0</v>
      </c>
      <c r="AG26" s="75">
        <f t="shared" si="7"/>
        <v>0</v>
      </c>
      <c r="AH26" s="31" t="e" cm="1">
        <f t="array" aca="1" ref="AH26" ca="1">IF((AD26) &lt; (INDEX(ResponseSLA[#All],(MATCH((G26),ResponseSLA[Priority],0))+1,3)),"YES","No")</f>
        <v>#N/A</v>
      </c>
      <c r="AI26" s="31" t="str">
        <f>_xlfn.IFNA(IF(AE26 &lt; (INDEX(SLATable[Minimum SLA],MATCH(G26,SLATable[Priority],0))),"YES","NO"),"")</f>
        <v/>
      </c>
      <c r="AJ26" t="str">
        <f>_xlfn.IFNA(IF(AE26 &lt; (INDEX(SLATable[Maximum SLA],MATCH(G26,SLATable[Priority],0))),"YES","NO"),"")</f>
        <v/>
      </c>
    </row>
    <row r="27" spans="26:36" ht="15" customHeight="1">
      <c r="Z27" s="76" t="e">
        <f t="shared" ca="1" si="8"/>
        <v>#N/A</v>
      </c>
      <c r="AA27" s="75" t="e">
        <f t="shared" ca="1" si="1"/>
        <v>#N/A</v>
      </c>
      <c r="AB27" s="76">
        <f t="shared" ca="1" si="9"/>
        <v>0</v>
      </c>
      <c r="AC27" s="75">
        <f t="shared" ca="1" si="3"/>
        <v>0</v>
      </c>
      <c r="AD27" s="76">
        <f t="shared" ca="1" si="10"/>
        <v>12388.425641550926</v>
      </c>
      <c r="AE27" s="76">
        <f t="shared" si="11"/>
        <v>0</v>
      </c>
      <c r="AF27" s="75">
        <f t="shared" si="6"/>
        <v>0</v>
      </c>
      <c r="AG27" s="75">
        <f t="shared" si="7"/>
        <v>0</v>
      </c>
      <c r="AH27" s="31" t="e" cm="1">
        <f t="array" aca="1" ref="AH27" ca="1">IF((AD27) &lt; (INDEX(ResponseSLA[#All],(MATCH((G27),ResponseSLA[Priority],0))+1,3)),"YES","No")</f>
        <v>#N/A</v>
      </c>
      <c r="AI27" s="31" t="str">
        <f>_xlfn.IFNA(IF(AE27 &lt; (INDEX(SLATable[Minimum SLA],MATCH(G27,SLATable[Priority],0))),"YES","NO"),"")</f>
        <v/>
      </c>
      <c r="AJ27" t="str">
        <f>_xlfn.IFNA(IF(AE27 &lt; (INDEX(SLATable[Maximum SLA],MATCH(G27,SLATable[Priority],0))),"YES","NO"),"")</f>
        <v/>
      </c>
    </row>
    <row r="28" spans="26:36" ht="15" customHeight="1">
      <c r="Z28" s="76" t="e">
        <f t="shared" ca="1" si="8"/>
        <v>#N/A</v>
      </c>
      <c r="AA28" s="75" t="e">
        <f t="shared" ca="1" si="1"/>
        <v>#N/A</v>
      </c>
      <c r="AB28" s="76">
        <f t="shared" ca="1" si="9"/>
        <v>0</v>
      </c>
      <c r="AC28" s="75">
        <f t="shared" ca="1" si="3"/>
        <v>0</v>
      </c>
      <c r="AD28" s="76">
        <f t="shared" ca="1" si="10"/>
        <v>12388.425641782411</v>
      </c>
      <c r="AE28" s="76">
        <f t="shared" si="11"/>
        <v>0</v>
      </c>
      <c r="AF28" s="75">
        <f t="shared" si="6"/>
        <v>0</v>
      </c>
      <c r="AG28" s="75">
        <f t="shared" si="7"/>
        <v>0</v>
      </c>
      <c r="AH28" s="31" t="e" cm="1">
        <f t="array" aca="1" ref="AH28" ca="1">IF((AD28) &lt; (INDEX(ResponseSLA[#All],(MATCH((G28),ResponseSLA[Priority],0))+1,3)),"YES","No")</f>
        <v>#N/A</v>
      </c>
      <c r="AI28" s="31" t="str">
        <f>_xlfn.IFNA(IF(AE28 &lt; (INDEX(SLATable[Minimum SLA],MATCH(G28,SLATable[Priority],0))),"YES","NO"),"")</f>
        <v/>
      </c>
      <c r="AJ28" t="str">
        <f>_xlfn.IFNA(IF(AE28 &lt; (INDEX(SLATable[Maximum SLA],MATCH(G28,SLATable[Priority],0))),"YES","NO"),"")</f>
        <v/>
      </c>
    </row>
    <row r="29" spans="26:36" ht="15" customHeight="1">
      <c r="Z29" s="76" t="e">
        <f t="shared" ca="1" si="8"/>
        <v>#N/A</v>
      </c>
      <c r="AA29" s="75" t="e">
        <f t="shared" ca="1" si="1"/>
        <v>#N/A</v>
      </c>
      <c r="AB29" s="76">
        <f t="shared" ca="1" si="9"/>
        <v>0</v>
      </c>
      <c r="AC29" s="75">
        <f t="shared" ca="1" si="3"/>
        <v>0</v>
      </c>
      <c r="AD29" s="76">
        <f t="shared" ca="1" si="10"/>
        <v>12388.425641550926</v>
      </c>
      <c r="AE29" s="76">
        <f t="shared" si="11"/>
        <v>0</v>
      </c>
      <c r="AF29" s="75">
        <f t="shared" si="6"/>
        <v>0</v>
      </c>
      <c r="AG29" s="75">
        <f t="shared" si="7"/>
        <v>0</v>
      </c>
      <c r="AH29" s="31" t="e" cm="1">
        <f t="array" aca="1" ref="AH29" ca="1">IF((AD29) &lt; (INDEX(ResponseSLA[#All],(MATCH((G29),ResponseSLA[Priority],0))+1,3)),"YES","No")</f>
        <v>#N/A</v>
      </c>
      <c r="AI29" s="31" t="str">
        <f>_xlfn.IFNA(IF(AE29 &lt; (INDEX(SLATable[Minimum SLA],MATCH(G29,SLATable[Priority],0))),"YES","NO"),"")</f>
        <v/>
      </c>
      <c r="AJ29" t="str">
        <f>_xlfn.IFNA(IF(AE29 &lt; (INDEX(SLATable[Maximum SLA],MATCH(G29,SLATable[Priority],0))),"YES","NO"),"")</f>
        <v/>
      </c>
    </row>
    <row r="30" spans="26:36" ht="15" customHeight="1">
      <c r="Z30" s="76" t="e">
        <f t="shared" ca="1" si="8"/>
        <v>#N/A</v>
      </c>
      <c r="AA30" s="75" t="e">
        <f t="shared" ca="1" si="1"/>
        <v>#N/A</v>
      </c>
      <c r="AB30" s="76">
        <f t="shared" ca="1" si="9"/>
        <v>0</v>
      </c>
      <c r="AC30" s="75">
        <f t="shared" ca="1" si="3"/>
        <v>0</v>
      </c>
      <c r="AD30" s="76">
        <f t="shared" ca="1" si="10"/>
        <v>12388.425641550926</v>
      </c>
      <c r="AE30" s="76">
        <f t="shared" si="11"/>
        <v>0</v>
      </c>
      <c r="AF30" s="75">
        <f t="shared" si="6"/>
        <v>0</v>
      </c>
      <c r="AG30" s="75">
        <f t="shared" si="7"/>
        <v>0</v>
      </c>
      <c r="AH30" s="31" t="e" cm="1">
        <f t="array" aca="1" ref="AH30" ca="1">IF((AD30) &lt; (INDEX(ResponseSLA[#All],(MATCH((G30),ResponseSLA[Priority],0))+1,3)),"YES","No")</f>
        <v>#N/A</v>
      </c>
      <c r="AI30" s="31" t="str">
        <f>_xlfn.IFNA(IF(AE30 &lt; (INDEX(SLATable[Minimum SLA],MATCH(G30,SLATable[Priority],0))),"YES","NO"),"")</f>
        <v/>
      </c>
      <c r="AJ30" t="str">
        <f>_xlfn.IFNA(IF(AE30 &lt; (INDEX(SLATable[Maximum SLA],MATCH(G30,SLATable[Priority],0))),"YES","NO"),"")</f>
        <v/>
      </c>
    </row>
    <row r="31" spans="26:36" ht="15" customHeight="1">
      <c r="Z31" s="76" t="e">
        <f t="shared" ca="1" si="8"/>
        <v>#N/A</v>
      </c>
      <c r="AA31" s="75" t="e">
        <f t="shared" ca="1" si="1"/>
        <v>#N/A</v>
      </c>
      <c r="AB31" s="76">
        <f t="shared" ca="1" si="9"/>
        <v>0</v>
      </c>
      <c r="AC31" s="75">
        <f t="shared" ca="1" si="3"/>
        <v>0</v>
      </c>
      <c r="AD31" s="76">
        <f t="shared" ca="1" si="10"/>
        <v>12388.425641782411</v>
      </c>
      <c r="AE31" s="76">
        <f t="shared" si="11"/>
        <v>0</v>
      </c>
      <c r="AF31" s="75">
        <f t="shared" si="6"/>
        <v>0</v>
      </c>
      <c r="AG31" s="75">
        <f t="shared" si="7"/>
        <v>0</v>
      </c>
      <c r="AH31" s="31" t="e" cm="1">
        <f t="array" aca="1" ref="AH31" ca="1">IF((AD31) &lt; (INDEX(ResponseSLA[#All],(MATCH((G31),ResponseSLA[Priority],0))+1,3)),"YES","No")</f>
        <v>#N/A</v>
      </c>
      <c r="AI31" s="31" t="str">
        <f>_xlfn.IFNA(IF(AE31 &lt; (INDEX(SLATable[Minimum SLA],MATCH(G31,SLATable[Priority],0))),"YES","NO"),"")</f>
        <v/>
      </c>
      <c r="AJ31" t="str">
        <f>_xlfn.IFNA(IF(AE31 &lt; (INDEX(SLATable[Maximum SLA],MATCH(G31,SLATable[Priority],0))),"YES","NO"),"")</f>
        <v/>
      </c>
    </row>
    <row r="32" spans="26:36" ht="15" customHeight="1">
      <c r="Z32" s="76" t="e">
        <f t="shared" ca="1" si="8"/>
        <v>#N/A</v>
      </c>
      <c r="AA32" s="75" t="e">
        <f t="shared" ca="1" si="1"/>
        <v>#N/A</v>
      </c>
      <c r="AB32" s="76">
        <f t="shared" ca="1" si="9"/>
        <v>0</v>
      </c>
      <c r="AC32" s="75">
        <f t="shared" ca="1" si="3"/>
        <v>0</v>
      </c>
      <c r="AD32" s="76">
        <f t="shared" ca="1" si="10"/>
        <v>12388.425641550926</v>
      </c>
      <c r="AE32" s="76">
        <f t="shared" si="11"/>
        <v>0</v>
      </c>
      <c r="AF32" s="75">
        <f t="shared" si="6"/>
        <v>0</v>
      </c>
      <c r="AG32" s="75">
        <f t="shared" si="7"/>
        <v>0</v>
      </c>
      <c r="AH32" s="31" t="e" cm="1">
        <f t="array" aca="1" ref="AH32" ca="1">IF((AD32) &lt; (INDEX(ResponseSLA[#All],(MATCH((G32),ResponseSLA[Priority],0))+1,3)),"YES","No")</f>
        <v>#N/A</v>
      </c>
      <c r="AI32" s="31" t="str">
        <f>_xlfn.IFNA(IF(AE32 &lt; (INDEX(SLATable[Minimum SLA],MATCH(G32,SLATable[Priority],0))),"YES","NO"),"")</f>
        <v/>
      </c>
      <c r="AJ32" t="str">
        <f>_xlfn.IFNA(IF(AE32 &lt; (INDEX(SLATable[Maximum SLA],MATCH(G32,SLATable[Priority],0))),"YES","NO"),"")</f>
        <v/>
      </c>
    </row>
    <row r="33" spans="26:36" ht="15" customHeight="1">
      <c r="Z33" s="76" t="e">
        <f t="shared" ca="1" si="8"/>
        <v>#N/A</v>
      </c>
      <c r="AA33" s="75" t="e">
        <f t="shared" ca="1" si="1"/>
        <v>#N/A</v>
      </c>
      <c r="AB33" s="76">
        <f t="shared" ca="1" si="9"/>
        <v>0</v>
      </c>
      <c r="AC33" s="75">
        <f t="shared" ca="1" si="3"/>
        <v>0</v>
      </c>
      <c r="AD33" s="76">
        <f t="shared" ca="1" si="10"/>
        <v>12388.425641550926</v>
      </c>
      <c r="AE33" s="76">
        <f t="shared" si="11"/>
        <v>0</v>
      </c>
      <c r="AF33" s="75">
        <f t="shared" si="6"/>
        <v>0</v>
      </c>
      <c r="AG33" s="75">
        <f t="shared" si="7"/>
        <v>0</v>
      </c>
      <c r="AH33" s="31" t="e" cm="1">
        <f t="array" aca="1" ref="AH33" ca="1">IF((AD33) &lt; (INDEX(ResponseSLA[#All],(MATCH((G33),ResponseSLA[Priority],0))+1,3)),"YES","No")</f>
        <v>#N/A</v>
      </c>
      <c r="AI33" s="31" t="str">
        <f>_xlfn.IFNA(IF(AE33 &lt; (INDEX(SLATable[Minimum SLA],MATCH(G33,SLATable[Priority],0))),"YES","NO"),"")</f>
        <v/>
      </c>
      <c r="AJ33" t="str">
        <f>_xlfn.IFNA(IF(AE33 &lt; (INDEX(SLATable[Maximum SLA],MATCH(G33,SLATable[Priority],0))),"YES","NO"),"")</f>
        <v/>
      </c>
    </row>
    <row r="34" spans="26:36" ht="15" customHeight="1">
      <c r="Z34" s="76" t="e">
        <f t="shared" ca="1" si="8"/>
        <v>#N/A</v>
      </c>
      <c r="AA34" s="75" t="e">
        <f t="shared" ca="1" si="1"/>
        <v>#N/A</v>
      </c>
      <c r="AB34" s="76">
        <f t="shared" ca="1" si="9"/>
        <v>0</v>
      </c>
      <c r="AC34" s="75">
        <f t="shared" ca="1" si="3"/>
        <v>0</v>
      </c>
      <c r="AD34" s="76">
        <f t="shared" ca="1" si="10"/>
        <v>12388.425641782411</v>
      </c>
      <c r="AE34" s="76">
        <f t="shared" si="11"/>
        <v>0</v>
      </c>
      <c r="AF34" s="75">
        <f t="shared" si="6"/>
        <v>0</v>
      </c>
      <c r="AG34" s="75">
        <f t="shared" si="7"/>
        <v>0</v>
      </c>
      <c r="AH34" s="31" t="e" cm="1">
        <f t="array" aca="1" ref="AH34" ca="1">IF((AD34) &lt; (INDEX(ResponseSLA[#All],(MATCH((G34),ResponseSLA[Priority],0))+1,3)),"YES","No")</f>
        <v>#N/A</v>
      </c>
      <c r="AI34" s="31" t="str">
        <f>_xlfn.IFNA(IF(AE34 &lt; (INDEX(SLATable[Minimum SLA],MATCH(G34,SLATable[Priority],0))),"YES","NO"),"")</f>
        <v/>
      </c>
      <c r="AJ34" t="str">
        <f>_xlfn.IFNA(IF(AE34 &lt; (INDEX(SLATable[Maximum SLA],MATCH(G34,SLATable[Priority],0))),"YES","NO"),"")</f>
        <v/>
      </c>
    </row>
    <row r="35" spans="26:36" ht="15" customHeight="1">
      <c r="Z35" s="76" t="e">
        <f t="shared" ca="1" si="8"/>
        <v>#N/A</v>
      </c>
      <c r="AA35" s="75" t="e">
        <f t="shared" ca="1" si="1"/>
        <v>#N/A</v>
      </c>
      <c r="AB35" s="76">
        <f t="shared" ca="1" si="9"/>
        <v>0</v>
      </c>
      <c r="AC35" s="75">
        <f t="shared" ca="1" si="3"/>
        <v>0</v>
      </c>
      <c r="AD35" s="76">
        <f t="shared" ca="1" si="10"/>
        <v>12388.425641550926</v>
      </c>
      <c r="AE35" s="76">
        <f t="shared" si="11"/>
        <v>0</v>
      </c>
      <c r="AF35" s="75">
        <f t="shared" si="6"/>
        <v>0</v>
      </c>
      <c r="AG35" s="75">
        <f t="shared" si="7"/>
        <v>0</v>
      </c>
      <c r="AH35" s="31" t="e" cm="1">
        <f t="array" aca="1" ref="AH35" ca="1">IF((AD35) &lt; (INDEX(ResponseSLA[#All],(MATCH((G35),ResponseSLA[Priority],0))+1,3)),"YES","No")</f>
        <v>#N/A</v>
      </c>
      <c r="AI35" s="31" t="str">
        <f>_xlfn.IFNA(IF(AE35 &lt; (INDEX(SLATable[Minimum SLA],MATCH(G35,SLATable[Priority],0))),"YES","NO"),"")</f>
        <v/>
      </c>
      <c r="AJ35" t="str">
        <f>_xlfn.IFNA(IF(AE35 &lt; (INDEX(SLATable[Maximum SLA],MATCH(G35,SLATable[Priority],0))),"YES","NO"),"")</f>
        <v/>
      </c>
    </row>
    <row r="36" spans="26:36" ht="15" customHeight="1">
      <c r="Z36" s="76" t="e">
        <f t="shared" ca="1" si="8"/>
        <v>#N/A</v>
      </c>
      <c r="AA36" s="75" t="e">
        <f t="shared" ca="1" si="1"/>
        <v>#N/A</v>
      </c>
      <c r="AB36" s="76">
        <f t="shared" ca="1" si="9"/>
        <v>0</v>
      </c>
      <c r="AC36" s="75">
        <f t="shared" ca="1" si="3"/>
        <v>0</v>
      </c>
      <c r="AD36" s="76">
        <f t="shared" ca="1" si="10"/>
        <v>12388.425641550926</v>
      </c>
      <c r="AE36" s="76">
        <f t="shared" si="11"/>
        <v>0</v>
      </c>
      <c r="AF36" s="75">
        <f t="shared" si="6"/>
        <v>0</v>
      </c>
      <c r="AG36" s="75">
        <f t="shared" si="7"/>
        <v>0</v>
      </c>
      <c r="AH36" s="31" t="e" cm="1">
        <f t="array" aca="1" ref="AH36" ca="1">IF((AD36) &lt; (INDEX(ResponseSLA[#All],(MATCH((G36),ResponseSLA[Priority],0))+1,3)),"YES","No")</f>
        <v>#N/A</v>
      </c>
      <c r="AI36" s="31" t="str">
        <f>_xlfn.IFNA(IF(AE36 &lt; (INDEX(SLATable[Minimum SLA],MATCH(G36,SLATable[Priority],0))),"YES","NO"),"")</f>
        <v/>
      </c>
      <c r="AJ36" t="str">
        <f>_xlfn.IFNA(IF(AE36 &lt; (INDEX(SLATable[Maximum SLA],MATCH(G36,SLATable[Priority],0))),"YES","NO"),"")</f>
        <v/>
      </c>
    </row>
    <row r="37" spans="26:36" ht="15" customHeight="1">
      <c r="Z37" s="76" t="e">
        <f t="shared" ca="1" si="8"/>
        <v>#N/A</v>
      </c>
      <c r="AA37" s="75" t="e">
        <f t="shared" ca="1" si="1"/>
        <v>#N/A</v>
      </c>
      <c r="AB37" s="76">
        <f t="shared" ca="1" si="9"/>
        <v>0</v>
      </c>
      <c r="AC37" s="75">
        <f t="shared" ca="1" si="3"/>
        <v>0</v>
      </c>
      <c r="AD37" s="76">
        <f t="shared" ca="1" si="10"/>
        <v>12388.425641782411</v>
      </c>
      <c r="AE37" s="76">
        <f t="shared" si="11"/>
        <v>0</v>
      </c>
      <c r="AF37" s="75">
        <f t="shared" si="6"/>
        <v>0</v>
      </c>
      <c r="AG37" s="75">
        <f t="shared" si="7"/>
        <v>0</v>
      </c>
      <c r="AH37" s="31" t="e" cm="1">
        <f t="array" aca="1" ref="AH37" ca="1">IF((AD37) &lt; (INDEX(ResponseSLA[#All],(MATCH((G37),ResponseSLA[Priority],0))+1,3)),"YES","No")</f>
        <v>#N/A</v>
      </c>
      <c r="AI37" s="31" t="str">
        <f>_xlfn.IFNA(IF(AE37 &lt; (INDEX(SLATable[Minimum SLA],MATCH(G37,SLATable[Priority],0))),"YES","NO"),"")</f>
        <v/>
      </c>
      <c r="AJ37" t="str">
        <f>_xlfn.IFNA(IF(AE37 &lt; (INDEX(SLATable[Maximum SLA],MATCH(G37,SLATable[Priority],0))),"YES","NO"),"")</f>
        <v/>
      </c>
    </row>
    <row r="38" spans="26:36" ht="15" customHeight="1">
      <c r="Z38" s="76" t="e">
        <f t="shared" ca="1" si="8"/>
        <v>#N/A</v>
      </c>
      <c r="AA38" s="75" t="e">
        <f t="shared" ca="1" si="1"/>
        <v>#N/A</v>
      </c>
      <c r="AB38" s="76">
        <f t="shared" ca="1" si="9"/>
        <v>0</v>
      </c>
      <c r="AC38" s="75">
        <f t="shared" ca="1" si="3"/>
        <v>0</v>
      </c>
      <c r="AD38" s="76">
        <f t="shared" ca="1" si="10"/>
        <v>12388.425641550926</v>
      </c>
      <c r="AE38" s="76">
        <f t="shared" si="11"/>
        <v>0</v>
      </c>
      <c r="AF38" s="75">
        <f t="shared" si="6"/>
        <v>0</v>
      </c>
      <c r="AG38" s="75">
        <f t="shared" si="7"/>
        <v>0</v>
      </c>
      <c r="AH38" s="31" t="e" cm="1">
        <f t="array" aca="1" ref="AH38" ca="1">IF((AD38) &lt; (INDEX(ResponseSLA[#All],(MATCH((G38),ResponseSLA[Priority],0))+1,3)),"YES","No")</f>
        <v>#N/A</v>
      </c>
      <c r="AI38" s="31" t="str">
        <f>_xlfn.IFNA(IF(AE38 &lt; (INDEX(SLATable[Minimum SLA],MATCH(G38,SLATable[Priority],0))),"YES","NO"),"")</f>
        <v/>
      </c>
      <c r="AJ38" t="str">
        <f>_xlfn.IFNA(IF(AE38 &lt; (INDEX(SLATable[Maximum SLA],MATCH(G38,SLATable[Priority],0))),"YES","NO"),"")</f>
        <v/>
      </c>
    </row>
    <row r="39" spans="26:36" ht="15" customHeight="1">
      <c r="Z39" s="76" t="e">
        <f t="shared" ca="1" si="8"/>
        <v>#N/A</v>
      </c>
      <c r="AA39" s="75" t="e">
        <f t="shared" ca="1" si="1"/>
        <v>#N/A</v>
      </c>
      <c r="AB39" s="76">
        <f t="shared" ca="1" si="9"/>
        <v>0</v>
      </c>
      <c r="AC39" s="75">
        <f t="shared" ca="1" si="3"/>
        <v>0</v>
      </c>
      <c r="AD39" s="76">
        <f t="shared" ca="1" si="10"/>
        <v>12388.425641550926</v>
      </c>
      <c r="AE39" s="76">
        <f t="shared" si="11"/>
        <v>0</v>
      </c>
      <c r="AF39" s="75">
        <f t="shared" si="6"/>
        <v>0</v>
      </c>
      <c r="AG39" s="75">
        <f t="shared" si="7"/>
        <v>0</v>
      </c>
      <c r="AH39" s="31" t="e" cm="1">
        <f t="array" aca="1" ref="AH39" ca="1">IF((AD39) &lt; (INDEX(ResponseSLA[#All],(MATCH((G39),ResponseSLA[Priority],0))+1,3)),"YES","No")</f>
        <v>#N/A</v>
      </c>
      <c r="AI39" s="31" t="str">
        <f>_xlfn.IFNA(IF(AE39 &lt; (INDEX(SLATable[Minimum SLA],MATCH(G39,SLATable[Priority],0))),"YES","NO"),"")</f>
        <v/>
      </c>
      <c r="AJ39" t="str">
        <f>_xlfn.IFNA(IF(AE39 &lt; (INDEX(SLATable[Maximum SLA],MATCH(G39,SLATable[Priority],0))),"YES","NO"),"")</f>
        <v/>
      </c>
    </row>
    <row r="40" spans="26:36" ht="15" customHeight="1">
      <c r="Z40" s="76" t="e">
        <f t="shared" ca="1" si="8"/>
        <v>#N/A</v>
      </c>
      <c r="AA40" s="75" t="e">
        <f t="shared" ca="1" si="1"/>
        <v>#N/A</v>
      </c>
      <c r="AB40" s="76">
        <f t="shared" ca="1" si="9"/>
        <v>0</v>
      </c>
      <c r="AC40" s="75">
        <f t="shared" ca="1" si="3"/>
        <v>0</v>
      </c>
      <c r="AD40" s="76">
        <f t="shared" ca="1" si="10"/>
        <v>12388.425641782411</v>
      </c>
      <c r="AE40" s="76">
        <f t="shared" si="11"/>
        <v>0</v>
      </c>
      <c r="AF40" s="75">
        <f t="shared" si="6"/>
        <v>0</v>
      </c>
      <c r="AG40" s="75">
        <f t="shared" si="7"/>
        <v>0</v>
      </c>
      <c r="AH40" s="31" t="e" cm="1">
        <f t="array" aca="1" ref="AH40" ca="1">IF((AD40) &lt; (INDEX(ResponseSLA[#All],(MATCH((G40),ResponseSLA[Priority],0))+1,3)),"YES","No")</f>
        <v>#N/A</v>
      </c>
      <c r="AI40" s="31" t="str">
        <f>_xlfn.IFNA(IF(AE40 &lt; (INDEX(SLATable[Minimum SLA],MATCH(G40,SLATable[Priority],0))),"YES","NO"),"")</f>
        <v/>
      </c>
      <c r="AJ40" t="str">
        <f>_xlfn.IFNA(IF(AE40 &lt; (INDEX(SLATable[Maximum SLA],MATCH(G40,SLATable[Priority],0))),"YES","NO"),"")</f>
        <v/>
      </c>
    </row>
    <row r="41" spans="26:36" ht="15" customHeight="1">
      <c r="Z41" s="76" t="e">
        <f t="shared" ca="1" si="8"/>
        <v>#N/A</v>
      </c>
      <c r="AA41" s="75" t="e">
        <f t="shared" ca="1" si="1"/>
        <v>#N/A</v>
      </c>
      <c r="AB41" s="76">
        <f t="shared" ca="1" si="9"/>
        <v>0</v>
      </c>
      <c r="AC41" s="75">
        <f t="shared" ca="1" si="3"/>
        <v>0</v>
      </c>
      <c r="AD41" s="76">
        <f t="shared" ca="1" si="10"/>
        <v>12388.425641550926</v>
      </c>
      <c r="AE41" s="76">
        <f t="shared" si="11"/>
        <v>0</v>
      </c>
      <c r="AF41" s="75">
        <f t="shared" si="6"/>
        <v>0</v>
      </c>
      <c r="AG41" s="75">
        <f t="shared" si="7"/>
        <v>0</v>
      </c>
      <c r="AH41" s="31" t="e" cm="1">
        <f t="array" aca="1" ref="AH41" ca="1">IF((AD41) &lt; (INDEX(ResponseSLA[#All],(MATCH((G41),ResponseSLA[Priority],0))+1,3)),"YES","No")</f>
        <v>#N/A</v>
      </c>
      <c r="AI41" s="31" t="str">
        <f>_xlfn.IFNA(IF(AE41 &lt; (INDEX(SLATable[Minimum SLA],MATCH(G41,SLATable[Priority],0))),"YES","NO"),"")</f>
        <v/>
      </c>
      <c r="AJ41" t="str">
        <f>_xlfn.IFNA(IF(AE41 &lt; (INDEX(SLATable[Maximum SLA],MATCH(G41,SLATable[Priority],0))),"YES","NO"),"")</f>
        <v/>
      </c>
    </row>
    <row r="42" spans="26:36" ht="15" customHeight="1">
      <c r="Z42" s="76" t="e">
        <f t="shared" ca="1" si="8"/>
        <v>#N/A</v>
      </c>
      <c r="AA42" s="75" t="e">
        <f t="shared" ca="1" si="1"/>
        <v>#N/A</v>
      </c>
      <c r="AB42" s="76">
        <f t="shared" ca="1" si="9"/>
        <v>0</v>
      </c>
      <c r="AC42" s="75">
        <f t="shared" ca="1" si="3"/>
        <v>0</v>
      </c>
      <c r="AD42" s="76">
        <f t="shared" ca="1" si="10"/>
        <v>12388.425641550926</v>
      </c>
      <c r="AE42" s="76">
        <f t="shared" si="11"/>
        <v>0</v>
      </c>
      <c r="AF42" s="75">
        <f t="shared" si="6"/>
        <v>0</v>
      </c>
      <c r="AG42" s="75">
        <f t="shared" si="7"/>
        <v>0</v>
      </c>
      <c r="AH42" s="31" t="e" cm="1">
        <f t="array" aca="1" ref="AH42" ca="1">IF((AD42) &lt; (INDEX(ResponseSLA[#All],(MATCH((G42),ResponseSLA[Priority],0))+1,3)),"YES","No")</f>
        <v>#N/A</v>
      </c>
      <c r="AI42" s="31" t="str">
        <f>_xlfn.IFNA(IF(AE42 &lt; (INDEX(SLATable[Minimum SLA],MATCH(G42,SLATable[Priority],0))),"YES","NO"),"")</f>
        <v/>
      </c>
      <c r="AJ42" t="str">
        <f>_xlfn.IFNA(IF(AE42 &lt; (INDEX(SLATable[Maximum SLA],MATCH(G42,SLATable[Priority],0))),"YES","NO"),"")</f>
        <v/>
      </c>
    </row>
    <row r="43" spans="26:36" ht="15" customHeight="1">
      <c r="Z43" s="76" t="e">
        <f t="shared" ca="1" si="8"/>
        <v>#N/A</v>
      </c>
      <c r="AA43" s="75" t="e">
        <f t="shared" ca="1" si="1"/>
        <v>#N/A</v>
      </c>
      <c r="AB43" s="76">
        <f t="shared" ca="1" si="9"/>
        <v>0</v>
      </c>
      <c r="AC43" s="75">
        <f t="shared" ca="1" si="3"/>
        <v>0</v>
      </c>
      <c r="AD43" s="76">
        <f t="shared" ca="1" si="10"/>
        <v>12388.425641782411</v>
      </c>
      <c r="AE43" s="76">
        <f t="shared" si="11"/>
        <v>0</v>
      </c>
      <c r="AF43" s="75">
        <f t="shared" si="6"/>
        <v>0</v>
      </c>
      <c r="AG43" s="75">
        <f t="shared" si="7"/>
        <v>0</v>
      </c>
      <c r="AH43" s="31" t="e" cm="1">
        <f t="array" aca="1" ref="AH43" ca="1">IF((AD43) &lt; (INDEX(ResponseSLA[#All],(MATCH((G43),ResponseSLA[Priority],0))+1,3)),"YES","No")</f>
        <v>#N/A</v>
      </c>
      <c r="AI43" s="31" t="str">
        <f>_xlfn.IFNA(IF(AE43 &lt; (INDEX(SLATable[Minimum SLA],MATCH(G43,SLATable[Priority],0))),"YES","NO"),"")</f>
        <v/>
      </c>
      <c r="AJ43" t="str">
        <f>_xlfn.IFNA(IF(AE43 &lt; (INDEX(SLATable[Maximum SLA],MATCH(G43,SLATable[Priority],0))),"YES","NO"),"")</f>
        <v/>
      </c>
    </row>
    <row r="44" spans="26:36" ht="15" customHeight="1">
      <c r="Z44" s="76" t="e">
        <f t="shared" ca="1" si="8"/>
        <v>#N/A</v>
      </c>
      <c r="AA44" s="75" t="e">
        <f t="shared" ca="1" si="1"/>
        <v>#N/A</v>
      </c>
      <c r="AB44" s="76">
        <f t="shared" ca="1" si="9"/>
        <v>0</v>
      </c>
      <c r="AC44" s="75">
        <f t="shared" ca="1" si="3"/>
        <v>0</v>
      </c>
      <c r="AD44" s="76">
        <f t="shared" ca="1" si="10"/>
        <v>12388.425641550926</v>
      </c>
      <c r="AE44" s="76">
        <f t="shared" si="11"/>
        <v>0</v>
      </c>
      <c r="AF44" s="75">
        <f t="shared" si="6"/>
        <v>0</v>
      </c>
      <c r="AG44" s="75">
        <f t="shared" si="7"/>
        <v>0</v>
      </c>
      <c r="AH44" s="31" t="e" cm="1">
        <f t="array" aca="1" ref="AH44" ca="1">IF((AD44) &lt; (INDEX(ResponseSLA[#All],(MATCH((G44),ResponseSLA[Priority],0))+1,3)),"YES","No")</f>
        <v>#N/A</v>
      </c>
      <c r="AI44" s="31" t="str">
        <f>_xlfn.IFNA(IF(AE44 &lt; (INDEX(SLATable[Minimum SLA],MATCH(G44,SLATable[Priority],0))),"YES","NO"),"")</f>
        <v/>
      </c>
      <c r="AJ44" t="str">
        <f>_xlfn.IFNA(IF(AE44 &lt; (INDEX(SLATable[Maximum SLA],MATCH(G44,SLATable[Priority],0))),"YES","NO"),"")</f>
        <v/>
      </c>
    </row>
    <row r="45" spans="26:36" ht="15" customHeight="1">
      <c r="Z45" s="76" t="e">
        <f t="shared" ca="1" si="8"/>
        <v>#N/A</v>
      </c>
      <c r="AA45" s="75" t="e">
        <f t="shared" ca="1" si="1"/>
        <v>#N/A</v>
      </c>
      <c r="AB45" s="76">
        <f t="shared" ca="1" si="9"/>
        <v>0</v>
      </c>
      <c r="AC45" s="75">
        <f t="shared" ca="1" si="3"/>
        <v>0</v>
      </c>
      <c r="AD45" s="76">
        <f t="shared" ca="1" si="10"/>
        <v>12388.425641550926</v>
      </c>
      <c r="AE45" s="76">
        <f t="shared" si="11"/>
        <v>0</v>
      </c>
      <c r="AF45" s="75">
        <f t="shared" si="6"/>
        <v>0</v>
      </c>
      <c r="AG45" s="75">
        <f t="shared" si="7"/>
        <v>0</v>
      </c>
      <c r="AH45" s="31" t="e" cm="1">
        <f t="array" aca="1" ref="AH45" ca="1">IF((AD45) &lt; (INDEX(ResponseSLA[#All],(MATCH((G45),ResponseSLA[Priority],0))+1,3)),"YES","No")</f>
        <v>#N/A</v>
      </c>
      <c r="AI45" s="31" t="str">
        <f>_xlfn.IFNA(IF(AE45 &lt; (INDEX(SLATable[Minimum SLA],MATCH(G45,SLATable[Priority],0))),"YES","NO"),"")</f>
        <v/>
      </c>
      <c r="AJ45" t="str">
        <f>_xlfn.IFNA(IF(AE45 &lt; (INDEX(SLATable[Maximum SLA],MATCH(G45,SLATable[Priority],0))),"YES","NO"),"")</f>
        <v/>
      </c>
    </row>
    <row r="46" spans="26:36" ht="15" customHeight="1">
      <c r="Z46" s="76" t="e">
        <f t="shared" ca="1" si="8"/>
        <v>#N/A</v>
      </c>
      <c r="AA46" s="75" t="e">
        <f t="shared" ca="1" si="1"/>
        <v>#N/A</v>
      </c>
      <c r="AB46" s="76">
        <f t="shared" ca="1" si="9"/>
        <v>0</v>
      </c>
      <c r="AC46" s="75">
        <f t="shared" ca="1" si="3"/>
        <v>0</v>
      </c>
      <c r="AD46" s="76">
        <f t="shared" ca="1" si="10"/>
        <v>12388.425641782411</v>
      </c>
      <c r="AE46" s="76">
        <f t="shared" si="11"/>
        <v>0</v>
      </c>
      <c r="AF46" s="75">
        <f t="shared" si="6"/>
        <v>0</v>
      </c>
      <c r="AG46" s="75">
        <f t="shared" si="7"/>
        <v>0</v>
      </c>
      <c r="AH46" s="31" t="e" cm="1">
        <f t="array" aca="1" ref="AH46" ca="1">IF((AD46) &lt; (INDEX(ResponseSLA[#All],(MATCH((G46),ResponseSLA[Priority],0))+1,3)),"YES","No")</f>
        <v>#N/A</v>
      </c>
      <c r="AI46" s="31" t="str">
        <f>_xlfn.IFNA(IF(AE46 &lt; (INDEX(SLATable[Minimum SLA],MATCH(G46,SLATable[Priority],0))),"YES","NO"),"")</f>
        <v/>
      </c>
      <c r="AJ46" t="str">
        <f>_xlfn.IFNA(IF(AE46 &lt; (INDEX(SLATable[Maximum SLA],MATCH(G46,SLATable[Priority],0))),"YES","NO"),"")</f>
        <v/>
      </c>
    </row>
    <row r="47" spans="26:36" ht="15" customHeight="1">
      <c r="Z47" s="76" t="e">
        <f t="shared" ca="1" si="8"/>
        <v>#N/A</v>
      </c>
      <c r="AA47" s="75" t="e">
        <f t="shared" ca="1" si="1"/>
        <v>#N/A</v>
      </c>
      <c r="AB47" s="76">
        <f t="shared" ca="1" si="9"/>
        <v>0</v>
      </c>
      <c r="AC47" s="75">
        <f t="shared" ca="1" si="3"/>
        <v>0</v>
      </c>
      <c r="AD47" s="76">
        <f t="shared" ca="1" si="10"/>
        <v>12388.425641550926</v>
      </c>
      <c r="AE47" s="76">
        <f t="shared" si="11"/>
        <v>0</v>
      </c>
      <c r="AF47" s="75">
        <f t="shared" si="6"/>
        <v>0</v>
      </c>
      <c r="AG47" s="75">
        <f t="shared" si="7"/>
        <v>0</v>
      </c>
      <c r="AH47" s="31" t="e" cm="1">
        <f t="array" aca="1" ref="AH47" ca="1">IF((AD47) &lt; (INDEX(ResponseSLA[#All],(MATCH((G47),ResponseSLA[Priority],0))+1,3)),"YES","No")</f>
        <v>#N/A</v>
      </c>
      <c r="AI47" s="31" t="str">
        <f>_xlfn.IFNA(IF(AE47 &lt; (INDEX(SLATable[Minimum SLA],MATCH(G47,SLATable[Priority],0))),"YES","NO"),"")</f>
        <v/>
      </c>
      <c r="AJ47" t="str">
        <f>_xlfn.IFNA(IF(AE47 &lt; (INDEX(SLATable[Maximum SLA],MATCH(G47,SLATable[Priority],0))),"YES","NO"),"")</f>
        <v/>
      </c>
    </row>
    <row r="48" spans="26:36" ht="15" customHeight="1">
      <c r="Z48" s="76" t="e">
        <f t="shared" ca="1" si="8"/>
        <v>#N/A</v>
      </c>
      <c r="AA48" s="75" t="e">
        <f t="shared" ca="1" si="1"/>
        <v>#N/A</v>
      </c>
      <c r="AB48" s="76">
        <f t="shared" ca="1" si="9"/>
        <v>0</v>
      </c>
      <c r="AC48" s="75">
        <f t="shared" ca="1" si="3"/>
        <v>0</v>
      </c>
      <c r="AD48" s="76">
        <f t="shared" ca="1" si="10"/>
        <v>12388.425641550926</v>
      </c>
      <c r="AE48" s="76">
        <f t="shared" si="11"/>
        <v>0</v>
      </c>
      <c r="AF48" s="75">
        <f t="shared" si="6"/>
        <v>0</v>
      </c>
      <c r="AG48" s="75">
        <f t="shared" si="7"/>
        <v>0</v>
      </c>
      <c r="AH48" s="31" t="e" cm="1">
        <f t="array" aca="1" ref="AH48" ca="1">IF((AD48) &lt; (INDEX(ResponseSLA[#All],(MATCH((G48),ResponseSLA[Priority],0))+1,3)),"YES","No")</f>
        <v>#N/A</v>
      </c>
      <c r="AI48" s="31" t="str">
        <f>_xlfn.IFNA(IF(AE48 &lt; (INDEX(SLATable[Minimum SLA],MATCH(G48,SLATable[Priority],0))),"YES","NO"),"")</f>
        <v/>
      </c>
      <c r="AJ48" t="str">
        <f>_xlfn.IFNA(IF(AE48 &lt; (INDEX(SLATable[Maximum SLA],MATCH(G48,SLATable[Priority],0))),"YES","NO"),"")</f>
        <v/>
      </c>
    </row>
    <row r="49" spans="26:36" ht="15" customHeight="1">
      <c r="Z49" s="76" t="e">
        <f t="shared" ca="1" si="8"/>
        <v>#N/A</v>
      </c>
      <c r="AA49" s="75" t="e">
        <f t="shared" ca="1" si="1"/>
        <v>#N/A</v>
      </c>
      <c r="AB49" s="76">
        <f t="shared" ca="1" si="9"/>
        <v>0</v>
      </c>
      <c r="AC49" s="75">
        <f t="shared" ca="1" si="3"/>
        <v>0</v>
      </c>
      <c r="AD49" s="76">
        <f t="shared" ca="1" si="10"/>
        <v>12388.425641782411</v>
      </c>
      <c r="AE49" s="76">
        <f t="shared" si="11"/>
        <v>0</v>
      </c>
      <c r="AF49" s="75">
        <f t="shared" si="6"/>
        <v>0</v>
      </c>
      <c r="AG49" s="75">
        <f t="shared" si="7"/>
        <v>0</v>
      </c>
      <c r="AH49" s="31" t="e" cm="1">
        <f t="array" aca="1" ref="AH49" ca="1">IF((AD49) &lt; (INDEX(ResponseSLA[#All],(MATCH((G49),ResponseSLA[Priority],0))+1,3)),"YES","No")</f>
        <v>#N/A</v>
      </c>
      <c r="AI49" s="31" t="str">
        <f>_xlfn.IFNA(IF(AE49 &lt; (INDEX(SLATable[Minimum SLA],MATCH(G49,SLATable[Priority],0))),"YES","NO"),"")</f>
        <v/>
      </c>
      <c r="AJ49" t="str">
        <f>_xlfn.IFNA(IF(AE49 &lt; (INDEX(SLATable[Maximum SLA],MATCH(G49,SLATable[Priority],0))),"YES","NO"),"")</f>
        <v/>
      </c>
    </row>
    <row r="50" spans="26:36" ht="15" customHeight="1">
      <c r="Z50" s="76" t="e">
        <f t="shared" ca="1" si="8"/>
        <v>#N/A</v>
      </c>
      <c r="AA50" s="75" t="e">
        <f t="shared" ca="1" si="1"/>
        <v>#N/A</v>
      </c>
      <c r="AB50" s="76">
        <f t="shared" ca="1" si="9"/>
        <v>0</v>
      </c>
      <c r="AC50" s="75">
        <f t="shared" ca="1" si="3"/>
        <v>0</v>
      </c>
      <c r="AD50" s="76">
        <f t="shared" ca="1" si="10"/>
        <v>12388.425641550926</v>
      </c>
      <c r="AE50" s="76">
        <f t="shared" si="11"/>
        <v>0</v>
      </c>
      <c r="AF50" s="75">
        <f t="shared" si="6"/>
        <v>0</v>
      </c>
      <c r="AG50" s="75">
        <f t="shared" si="7"/>
        <v>0</v>
      </c>
      <c r="AH50" s="31" t="e" cm="1">
        <f t="array" aca="1" ref="AH50" ca="1">IF((AD50) &lt; (INDEX(ResponseSLA[#All],(MATCH((G50),ResponseSLA[Priority],0))+1,3)),"YES","No")</f>
        <v>#N/A</v>
      </c>
      <c r="AI50" s="31" t="str">
        <f>_xlfn.IFNA(IF(AE50 &lt; (INDEX(SLATable[Minimum SLA],MATCH(G50,SLATable[Priority],0))),"YES","NO"),"")</f>
        <v/>
      </c>
      <c r="AJ50" t="str">
        <f>_xlfn.IFNA(IF(AE50 &lt; (INDEX(SLATable[Maximum SLA],MATCH(G50,SLATable[Priority],0))),"YES","NO"),"")</f>
        <v/>
      </c>
    </row>
    <row r="51" spans="26:36" ht="15" customHeight="1">
      <c r="Z51" s="76" t="e">
        <f t="shared" ca="1" si="8"/>
        <v>#N/A</v>
      </c>
      <c r="AA51" s="75" t="e">
        <f t="shared" ca="1" si="1"/>
        <v>#N/A</v>
      </c>
      <c r="AB51" s="76">
        <f t="shared" ca="1" si="9"/>
        <v>0</v>
      </c>
      <c r="AC51" s="75">
        <f t="shared" ca="1" si="3"/>
        <v>0</v>
      </c>
      <c r="AD51" s="76">
        <f t="shared" ca="1" si="10"/>
        <v>12388.425641550926</v>
      </c>
      <c r="AE51" s="76">
        <f t="shared" si="11"/>
        <v>0</v>
      </c>
      <c r="AF51" s="75">
        <f t="shared" si="6"/>
        <v>0</v>
      </c>
      <c r="AG51" s="75">
        <f t="shared" si="7"/>
        <v>0</v>
      </c>
      <c r="AH51" s="31" t="e" cm="1">
        <f t="array" aca="1" ref="AH51" ca="1">IF((AD51) &lt; (INDEX(ResponseSLA[#All],(MATCH((G51),ResponseSLA[Priority],0))+1,3)),"YES","No")</f>
        <v>#N/A</v>
      </c>
      <c r="AI51" s="31" t="str">
        <f>_xlfn.IFNA(IF(AE51 &lt; (INDEX(SLATable[Minimum SLA],MATCH(G51,SLATable[Priority],0))),"YES","NO"),"")</f>
        <v/>
      </c>
      <c r="AJ51" t="str">
        <f>_xlfn.IFNA(IF(AE51 &lt; (INDEX(SLATable[Maximum SLA],MATCH(G51,SLATable[Priority],0))),"YES","NO"),"")</f>
        <v/>
      </c>
    </row>
    <row r="52" spans="26:36" ht="15" customHeight="1">
      <c r="Z52" s="76" t="e">
        <f t="shared" ca="1" si="8"/>
        <v>#N/A</v>
      </c>
      <c r="AA52" s="75" t="e">
        <f t="shared" ca="1" si="1"/>
        <v>#N/A</v>
      </c>
      <c r="AB52" s="76">
        <f t="shared" ca="1" si="9"/>
        <v>0</v>
      </c>
      <c r="AC52" s="75">
        <f t="shared" ca="1" si="3"/>
        <v>0</v>
      </c>
      <c r="AD52" s="76">
        <f t="shared" ca="1" si="10"/>
        <v>12388.425641782411</v>
      </c>
      <c r="AE52" s="76">
        <f t="shared" si="11"/>
        <v>0</v>
      </c>
      <c r="AF52" s="75">
        <f t="shared" si="6"/>
        <v>0</v>
      </c>
      <c r="AG52" s="75">
        <f t="shared" si="7"/>
        <v>0</v>
      </c>
      <c r="AH52" s="31" t="e" cm="1">
        <f t="array" aca="1" ref="AH52" ca="1">IF((AD52) &lt; (INDEX(ResponseSLA[#All],(MATCH((G52),ResponseSLA[Priority],0))+1,3)),"YES","No")</f>
        <v>#N/A</v>
      </c>
      <c r="AI52" s="31" t="str">
        <f>_xlfn.IFNA(IF(AE52 &lt; (INDEX(SLATable[Minimum SLA],MATCH(G52,SLATable[Priority],0))),"YES","NO"),"")</f>
        <v/>
      </c>
      <c r="AJ52" t="str">
        <f>_xlfn.IFNA(IF(AE52 &lt; (INDEX(SLATable[Maximum SLA],MATCH(G52,SLATable[Priority],0))),"YES","NO"),"")</f>
        <v/>
      </c>
    </row>
    <row r="53" spans="26:36" ht="15" customHeight="1">
      <c r="Z53" s="76" t="e">
        <f t="shared" ca="1" si="8"/>
        <v>#N/A</v>
      </c>
      <c r="AA53" s="75" t="e">
        <f t="shared" ca="1" si="1"/>
        <v>#N/A</v>
      </c>
      <c r="AB53" s="76">
        <f t="shared" ca="1" si="9"/>
        <v>0</v>
      </c>
      <c r="AC53" s="75">
        <f t="shared" ca="1" si="3"/>
        <v>0</v>
      </c>
      <c r="AD53" s="76">
        <f t="shared" ca="1" si="10"/>
        <v>12388.425641550926</v>
      </c>
      <c r="AE53" s="76">
        <f t="shared" si="11"/>
        <v>0</v>
      </c>
      <c r="AF53" s="75">
        <f t="shared" si="6"/>
        <v>0</v>
      </c>
      <c r="AG53" s="75">
        <f t="shared" si="7"/>
        <v>0</v>
      </c>
      <c r="AH53" s="31" t="e" cm="1">
        <f t="array" aca="1" ref="AH53" ca="1">IF((AD53) &lt; (INDEX(ResponseSLA[#All],(MATCH((G53),ResponseSLA[Priority],0))+1,3)),"YES","No")</f>
        <v>#N/A</v>
      </c>
      <c r="AI53" s="31" t="str">
        <f>_xlfn.IFNA(IF(AE53 &lt; (INDEX(SLATable[Minimum SLA],MATCH(G53,SLATable[Priority],0))),"YES","NO"),"")</f>
        <v/>
      </c>
      <c r="AJ53" t="str">
        <f>_xlfn.IFNA(IF(AE53 &lt; (INDEX(SLATable[Maximum SLA],MATCH(G53,SLATable[Priority],0))),"YES","NO"),"")</f>
        <v/>
      </c>
    </row>
    <row r="54" spans="26:36" ht="15" customHeight="1">
      <c r="Z54" s="76" t="e">
        <f t="shared" ca="1" si="8"/>
        <v>#N/A</v>
      </c>
      <c r="AA54" s="75" t="e">
        <f t="shared" ca="1" si="1"/>
        <v>#N/A</v>
      </c>
      <c r="AB54" s="76">
        <f t="shared" ca="1" si="9"/>
        <v>0</v>
      </c>
      <c r="AC54" s="75">
        <f t="shared" ca="1" si="3"/>
        <v>0</v>
      </c>
      <c r="AD54" s="76">
        <f t="shared" ca="1" si="10"/>
        <v>12388.425641550926</v>
      </c>
      <c r="AE54" s="76">
        <f t="shared" si="11"/>
        <v>0</v>
      </c>
      <c r="AF54" s="75">
        <f t="shared" si="6"/>
        <v>0</v>
      </c>
      <c r="AG54" s="75">
        <f t="shared" si="7"/>
        <v>0</v>
      </c>
      <c r="AH54" s="31" t="e" cm="1">
        <f t="array" aca="1" ref="AH54" ca="1">IF((AD54) &lt; (INDEX(ResponseSLA[#All],(MATCH((G54),ResponseSLA[Priority],0))+1,3)),"YES","No")</f>
        <v>#N/A</v>
      </c>
      <c r="AI54" s="31" t="str">
        <f>_xlfn.IFNA(IF(AE54 &lt; (INDEX(SLATable[Minimum SLA],MATCH(G54,SLATable[Priority],0))),"YES","NO"),"")</f>
        <v/>
      </c>
      <c r="AJ54" t="str">
        <f>_xlfn.IFNA(IF(AE54 &lt; (INDEX(SLATable[Maximum SLA],MATCH(G54,SLATable[Priority],0))),"YES","NO"),"")</f>
        <v/>
      </c>
    </row>
    <row r="55" spans="26:36" ht="15" customHeight="1">
      <c r="Z55" s="76" t="e">
        <f t="shared" ca="1" si="8"/>
        <v>#N/A</v>
      </c>
      <c r="AA55" s="75" t="e">
        <f t="shared" ca="1" si="1"/>
        <v>#N/A</v>
      </c>
      <c r="AB55" s="76">
        <f t="shared" ca="1" si="9"/>
        <v>0</v>
      </c>
      <c r="AC55" s="75">
        <f t="shared" ca="1" si="3"/>
        <v>0</v>
      </c>
      <c r="AD55" s="76">
        <f t="shared" ca="1" si="10"/>
        <v>12388.425641782411</v>
      </c>
      <c r="AE55" s="76">
        <f t="shared" si="11"/>
        <v>0</v>
      </c>
      <c r="AF55" s="75">
        <f t="shared" si="6"/>
        <v>0</v>
      </c>
      <c r="AG55" s="75">
        <f t="shared" si="7"/>
        <v>0</v>
      </c>
      <c r="AH55" s="31" t="e" cm="1">
        <f t="array" aca="1" ref="AH55" ca="1">IF((AD55) &lt; (INDEX(ResponseSLA[#All],(MATCH((G55),ResponseSLA[Priority],0))+1,3)),"YES","No")</f>
        <v>#N/A</v>
      </c>
      <c r="AI55" s="31" t="str">
        <f>_xlfn.IFNA(IF(AE55 &lt; (INDEX(SLATable[Minimum SLA],MATCH(G55,SLATable[Priority],0))),"YES","NO"),"")</f>
        <v/>
      </c>
      <c r="AJ55" t="str">
        <f>_xlfn.IFNA(IF(AE55 &lt; (INDEX(SLATable[Maximum SLA],MATCH(G55,SLATable[Priority],0))),"YES","NO"),"")</f>
        <v/>
      </c>
    </row>
    <row r="56" spans="26:36" ht="15" customHeight="1">
      <c r="Z56" s="76" t="e">
        <f t="shared" ca="1" si="8"/>
        <v>#N/A</v>
      </c>
      <c r="AA56" s="75" t="e">
        <f t="shared" ca="1" si="1"/>
        <v>#N/A</v>
      </c>
      <c r="AB56" s="76">
        <f t="shared" ca="1" si="9"/>
        <v>0</v>
      </c>
      <c r="AC56" s="75">
        <f t="shared" ca="1" si="3"/>
        <v>0</v>
      </c>
      <c r="AD56" s="76">
        <f t="shared" ca="1" si="10"/>
        <v>12388.425641550926</v>
      </c>
      <c r="AE56" s="76">
        <f t="shared" si="11"/>
        <v>0</v>
      </c>
      <c r="AF56" s="75">
        <f t="shared" si="6"/>
        <v>0</v>
      </c>
      <c r="AG56" s="75">
        <f t="shared" si="7"/>
        <v>0</v>
      </c>
      <c r="AH56" s="31" t="e" cm="1">
        <f t="array" aca="1" ref="AH56" ca="1">IF((AD56) &lt; (INDEX(ResponseSLA[#All],(MATCH((G56),ResponseSLA[Priority],0))+1,3)),"YES","No")</f>
        <v>#N/A</v>
      </c>
      <c r="AI56" s="31" t="str">
        <f>_xlfn.IFNA(IF(AE56 &lt; (INDEX(SLATable[Minimum SLA],MATCH(G56,SLATable[Priority],0))),"YES","NO"),"")</f>
        <v/>
      </c>
      <c r="AJ56" t="str">
        <f>_xlfn.IFNA(IF(AE56 &lt; (INDEX(SLATable[Maximum SLA],MATCH(G56,SLATable[Priority],0))),"YES","NO"),"")</f>
        <v/>
      </c>
    </row>
    <row r="57" spans="26:36" ht="15" customHeight="1">
      <c r="Z57" s="76" t="e">
        <f t="shared" ca="1" si="8"/>
        <v>#N/A</v>
      </c>
      <c r="AA57" s="75" t="e">
        <f t="shared" ca="1" si="1"/>
        <v>#N/A</v>
      </c>
      <c r="AB57" s="76">
        <f t="shared" ca="1" si="9"/>
        <v>0</v>
      </c>
      <c r="AC57" s="75">
        <f t="shared" ca="1" si="3"/>
        <v>0</v>
      </c>
      <c r="AD57" s="76">
        <f t="shared" ca="1" si="10"/>
        <v>12388.425641550926</v>
      </c>
      <c r="AE57" s="76">
        <f t="shared" si="11"/>
        <v>0</v>
      </c>
      <c r="AF57" s="75">
        <f t="shared" si="6"/>
        <v>0</v>
      </c>
      <c r="AG57" s="75">
        <f t="shared" si="7"/>
        <v>0</v>
      </c>
      <c r="AH57" s="31" t="e" cm="1">
        <f t="array" aca="1" ref="AH57" ca="1">IF((AD57) &lt; (INDEX(ResponseSLA[#All],(MATCH((G57),ResponseSLA[Priority],0))+1,3)),"YES","No")</f>
        <v>#N/A</v>
      </c>
      <c r="AI57" s="31" t="str">
        <f>_xlfn.IFNA(IF(AE57 &lt; (INDEX(SLATable[Minimum SLA],MATCH(G57,SLATable[Priority],0))),"YES","NO"),"")</f>
        <v/>
      </c>
      <c r="AJ57" t="str">
        <f>_xlfn.IFNA(IF(AE57 &lt; (INDEX(SLATable[Maximum SLA],MATCH(G57,SLATable[Priority],0))),"YES","NO"),"")</f>
        <v/>
      </c>
    </row>
    <row r="58" spans="26:36" ht="15" customHeight="1">
      <c r="Z58" s="76" t="e">
        <f t="shared" ca="1" si="8"/>
        <v>#N/A</v>
      </c>
      <c r="AA58" s="75" t="e">
        <f t="shared" ca="1" si="1"/>
        <v>#N/A</v>
      </c>
      <c r="AB58" s="76">
        <f t="shared" ca="1" si="9"/>
        <v>0</v>
      </c>
      <c r="AC58" s="75">
        <f t="shared" ca="1" si="3"/>
        <v>0</v>
      </c>
      <c r="AD58" s="76">
        <f t="shared" ca="1" si="10"/>
        <v>12388.425641782411</v>
      </c>
      <c r="AE58" s="76">
        <f t="shared" si="11"/>
        <v>0</v>
      </c>
      <c r="AF58" s="75">
        <f t="shared" si="6"/>
        <v>0</v>
      </c>
      <c r="AG58" s="75">
        <f t="shared" si="7"/>
        <v>0</v>
      </c>
      <c r="AH58" s="31" t="e" cm="1">
        <f t="array" aca="1" ref="AH58" ca="1">IF((AD58) &lt; (INDEX(ResponseSLA[#All],(MATCH((G58),ResponseSLA[Priority],0))+1,3)),"YES","No")</f>
        <v>#N/A</v>
      </c>
      <c r="AI58" s="31" t="str">
        <f>_xlfn.IFNA(IF(AE58 &lt; (INDEX(SLATable[Minimum SLA],MATCH(G58,SLATable[Priority],0))),"YES","NO"),"")</f>
        <v/>
      </c>
      <c r="AJ58" t="str">
        <f>_xlfn.IFNA(IF(AE58 &lt; (INDEX(SLATable[Maximum SLA],MATCH(G58,SLATable[Priority],0))),"YES","NO"),"")</f>
        <v/>
      </c>
    </row>
    <row r="59" spans="26:36" ht="15" customHeight="1">
      <c r="Z59" s="76" t="e">
        <f t="shared" ca="1" si="8"/>
        <v>#N/A</v>
      </c>
      <c r="AA59" s="75" t="e">
        <f t="shared" ca="1" si="1"/>
        <v>#N/A</v>
      </c>
      <c r="AB59" s="76">
        <f t="shared" ca="1" si="9"/>
        <v>0</v>
      </c>
      <c r="AC59" s="75">
        <f t="shared" ca="1" si="3"/>
        <v>0</v>
      </c>
      <c r="AD59" s="76">
        <f t="shared" ca="1" si="10"/>
        <v>12388.425641550926</v>
      </c>
      <c r="AE59" s="76">
        <f t="shared" si="11"/>
        <v>0</v>
      </c>
      <c r="AF59" s="75">
        <f t="shared" si="6"/>
        <v>0</v>
      </c>
      <c r="AG59" s="75">
        <f t="shared" si="7"/>
        <v>0</v>
      </c>
      <c r="AH59" s="31" t="e" cm="1">
        <f t="array" aca="1" ref="AH59" ca="1">IF((AD59) &lt; (INDEX(ResponseSLA[#All],(MATCH((G59),ResponseSLA[Priority],0))+1,3)),"YES","No")</f>
        <v>#N/A</v>
      </c>
      <c r="AI59" s="31" t="str">
        <f>_xlfn.IFNA(IF(AE59 &lt; (INDEX(SLATable[Minimum SLA],MATCH(G59,SLATable[Priority],0))),"YES","NO"),"")</f>
        <v/>
      </c>
      <c r="AJ59" t="str">
        <f>_xlfn.IFNA(IF(AE59 &lt; (INDEX(SLATable[Maximum SLA],MATCH(G59,SLATable[Priority],0))),"YES","NO"),"")</f>
        <v/>
      </c>
    </row>
    <row r="60" spans="26:36" ht="15" customHeight="1">
      <c r="Z60" s="76" t="e">
        <f t="shared" ca="1" si="8"/>
        <v>#N/A</v>
      </c>
      <c r="AA60" s="75" t="e">
        <f t="shared" ca="1" si="1"/>
        <v>#N/A</v>
      </c>
      <c r="AB60" s="76">
        <f t="shared" ca="1" si="9"/>
        <v>0</v>
      </c>
      <c r="AC60" s="75">
        <f t="shared" ca="1" si="3"/>
        <v>0</v>
      </c>
      <c r="AD60" s="76">
        <f t="shared" ca="1" si="10"/>
        <v>12388.425641550926</v>
      </c>
      <c r="AE60" s="76">
        <f t="shared" si="11"/>
        <v>0</v>
      </c>
      <c r="AF60" s="75">
        <f t="shared" si="6"/>
        <v>0</v>
      </c>
      <c r="AG60" s="75">
        <f t="shared" si="7"/>
        <v>0</v>
      </c>
      <c r="AH60" s="31" t="e" cm="1">
        <f t="array" aca="1" ref="AH60" ca="1">IF((AD60) &lt; (INDEX(ResponseSLA[#All],(MATCH((G60),ResponseSLA[Priority],0))+1,3)),"YES","No")</f>
        <v>#N/A</v>
      </c>
      <c r="AI60" s="31" t="str">
        <f>_xlfn.IFNA(IF(AE60 &lt; (INDEX(SLATable[Minimum SLA],MATCH(G60,SLATable[Priority],0))),"YES","NO"),"")</f>
        <v/>
      </c>
      <c r="AJ60" t="str">
        <f>_xlfn.IFNA(IF(AE60 &lt; (INDEX(SLATable[Maximum SLA],MATCH(G60,SLATable[Priority],0))),"YES","NO"),"")</f>
        <v/>
      </c>
    </row>
    <row r="61" spans="26:36" ht="15" customHeight="1">
      <c r="Z61" s="76" t="e">
        <f t="shared" ca="1" si="8"/>
        <v>#N/A</v>
      </c>
      <c r="AA61" s="75" t="e">
        <f t="shared" ca="1" si="1"/>
        <v>#N/A</v>
      </c>
      <c r="AB61" s="76">
        <f t="shared" ca="1" si="9"/>
        <v>0</v>
      </c>
      <c r="AC61" s="75">
        <f t="shared" ca="1" si="3"/>
        <v>0</v>
      </c>
      <c r="AD61" s="76">
        <f t="shared" ca="1" si="10"/>
        <v>12388.425641782411</v>
      </c>
      <c r="AE61" s="76">
        <f t="shared" si="11"/>
        <v>0</v>
      </c>
      <c r="AF61" s="75">
        <f t="shared" si="6"/>
        <v>0</v>
      </c>
      <c r="AG61" s="75">
        <f t="shared" si="7"/>
        <v>0</v>
      </c>
      <c r="AH61" s="31" t="e" cm="1">
        <f t="array" aca="1" ref="AH61" ca="1">IF((AD61) &lt; (INDEX(ResponseSLA[#All],(MATCH((G61),ResponseSLA[Priority],0))+1,3)),"YES","No")</f>
        <v>#N/A</v>
      </c>
      <c r="AI61" s="31" t="str">
        <f>_xlfn.IFNA(IF(AE61 &lt; (INDEX(SLATable[Minimum SLA],MATCH(G61,SLATable[Priority],0))),"YES","NO"),"")</f>
        <v/>
      </c>
      <c r="AJ61" t="str">
        <f>_xlfn.IFNA(IF(AE61 &lt; (INDEX(SLATable[Maximum SLA],MATCH(G61,SLATable[Priority],0))),"YES","NO"),"")</f>
        <v/>
      </c>
    </row>
    <row r="62" spans="26:36" ht="15" customHeight="1">
      <c r="Z62" s="76" t="e">
        <f t="shared" ca="1" si="8"/>
        <v>#N/A</v>
      </c>
      <c r="AA62" s="75" t="e">
        <f t="shared" ca="1" si="1"/>
        <v>#N/A</v>
      </c>
      <c r="AB62" s="76">
        <f t="shared" ca="1" si="9"/>
        <v>0</v>
      </c>
      <c r="AC62" s="75">
        <f t="shared" ca="1" si="3"/>
        <v>0</v>
      </c>
      <c r="AD62" s="76">
        <f t="shared" ca="1" si="10"/>
        <v>12388.425641550926</v>
      </c>
      <c r="AE62" s="76">
        <f t="shared" si="11"/>
        <v>0</v>
      </c>
      <c r="AF62" s="75">
        <f t="shared" si="6"/>
        <v>0</v>
      </c>
      <c r="AG62" s="75">
        <f t="shared" si="7"/>
        <v>0</v>
      </c>
      <c r="AH62" s="31" t="e" cm="1">
        <f t="array" aca="1" ref="AH62" ca="1">IF((AD62) &lt; (INDEX(ResponseSLA[#All],(MATCH((G62),ResponseSLA[Priority],0))+1,3)),"YES","No")</f>
        <v>#N/A</v>
      </c>
      <c r="AI62" s="31" t="str">
        <f>_xlfn.IFNA(IF(AE62 &lt; (INDEX(SLATable[Minimum SLA],MATCH(G62,SLATable[Priority],0))),"YES","NO"),"")</f>
        <v/>
      </c>
      <c r="AJ62" t="str">
        <f>_xlfn.IFNA(IF(AE62 &lt; (INDEX(SLATable[Maximum SLA],MATCH(G62,SLATable[Priority],0))),"YES","NO"),"")</f>
        <v/>
      </c>
    </row>
    <row r="63" spans="26:36" ht="15" customHeight="1">
      <c r="Z63" s="76" t="e">
        <f t="shared" ca="1" si="8"/>
        <v>#N/A</v>
      </c>
      <c r="AA63" s="75" t="e">
        <f t="shared" ca="1" si="1"/>
        <v>#N/A</v>
      </c>
      <c r="AB63" s="76">
        <f t="shared" ca="1" si="9"/>
        <v>0</v>
      </c>
      <c r="AC63" s="75">
        <f t="shared" ca="1" si="3"/>
        <v>0</v>
      </c>
      <c r="AD63" s="76">
        <f t="shared" ca="1" si="10"/>
        <v>12388.425641550926</v>
      </c>
      <c r="AE63" s="76">
        <f t="shared" si="11"/>
        <v>0</v>
      </c>
      <c r="AF63" s="75">
        <f t="shared" si="6"/>
        <v>0</v>
      </c>
      <c r="AG63" s="75">
        <f t="shared" si="7"/>
        <v>0</v>
      </c>
      <c r="AH63" s="31" t="e" cm="1">
        <f t="array" aca="1" ref="AH63" ca="1">IF((AD63) &lt; (INDEX(ResponseSLA[#All],(MATCH((G63),ResponseSLA[Priority],0))+1,3)),"YES","No")</f>
        <v>#N/A</v>
      </c>
      <c r="AI63" s="31" t="str">
        <f>_xlfn.IFNA(IF(AE63 &lt; (INDEX(SLATable[Minimum SLA],MATCH(G63,SLATable[Priority],0))),"YES","NO"),"")</f>
        <v/>
      </c>
      <c r="AJ63" t="str">
        <f>_xlfn.IFNA(IF(AE63 &lt; (INDEX(SLATable[Maximum SLA],MATCH(G63,SLATable[Priority],0))),"YES","NO"),"")</f>
        <v/>
      </c>
    </row>
    <row r="64" spans="26:36" ht="15" customHeight="1">
      <c r="Z64" s="76" t="e">
        <f t="shared" ca="1" si="8"/>
        <v>#N/A</v>
      </c>
      <c r="AA64" s="75" t="e">
        <f t="shared" ca="1" si="1"/>
        <v>#N/A</v>
      </c>
      <c r="AB64" s="76">
        <f t="shared" ca="1" si="9"/>
        <v>0</v>
      </c>
      <c r="AC64" s="75">
        <f t="shared" ca="1" si="3"/>
        <v>0</v>
      </c>
      <c r="AD64" s="76">
        <f t="shared" ca="1" si="10"/>
        <v>12388.425641782411</v>
      </c>
      <c r="AE64" s="76">
        <f t="shared" si="11"/>
        <v>0</v>
      </c>
      <c r="AF64" s="75">
        <f t="shared" si="6"/>
        <v>0</v>
      </c>
      <c r="AG64" s="75">
        <f t="shared" si="7"/>
        <v>0</v>
      </c>
      <c r="AH64" s="31" t="e" cm="1">
        <f t="array" aca="1" ref="AH64" ca="1">IF((AD64) &lt; (INDEX(ResponseSLA[#All],(MATCH((G64),ResponseSLA[Priority],0))+1,3)),"YES","No")</f>
        <v>#N/A</v>
      </c>
      <c r="AI64" s="31" t="str">
        <f>_xlfn.IFNA(IF(AE64 &lt; (INDEX(SLATable[Minimum SLA],MATCH(G64,SLATable[Priority],0))),"YES","NO"),"")</f>
        <v/>
      </c>
      <c r="AJ64" t="str">
        <f>_xlfn.IFNA(IF(AE64 &lt; (INDEX(SLATable[Maximum SLA],MATCH(G64,SLATable[Priority],0))),"YES","NO"),"")</f>
        <v/>
      </c>
    </row>
    <row r="65" spans="26:36" ht="15" customHeight="1">
      <c r="Z65" s="76" t="e">
        <f t="shared" ca="1" si="8"/>
        <v>#N/A</v>
      </c>
      <c r="AA65" s="75" t="e">
        <f t="shared" ca="1" si="1"/>
        <v>#N/A</v>
      </c>
      <c r="AB65" s="76">
        <f t="shared" ca="1" si="9"/>
        <v>0</v>
      </c>
      <c r="AC65" s="75">
        <f t="shared" ca="1" si="3"/>
        <v>0</v>
      </c>
      <c r="AD65" s="76">
        <f t="shared" ca="1" si="10"/>
        <v>12388.425641550926</v>
      </c>
      <c r="AE65" s="76">
        <f t="shared" si="11"/>
        <v>0</v>
      </c>
      <c r="AF65" s="75">
        <f t="shared" si="6"/>
        <v>0</v>
      </c>
      <c r="AG65" s="75">
        <f t="shared" si="7"/>
        <v>0</v>
      </c>
      <c r="AH65" s="31" t="e" cm="1">
        <f t="array" aca="1" ref="AH65" ca="1">IF((AD65) &lt; (INDEX(ResponseSLA[#All],(MATCH((G65),ResponseSLA[Priority],0))+1,3)),"YES","No")</f>
        <v>#N/A</v>
      </c>
      <c r="AI65" s="31" t="str">
        <f>_xlfn.IFNA(IF(AE65 &lt; (INDEX(SLATable[Minimum SLA],MATCH(G65,SLATable[Priority],0))),"YES","NO"),"")</f>
        <v/>
      </c>
      <c r="AJ65" t="str">
        <f>_xlfn.IFNA(IF(AE65 &lt; (INDEX(SLATable[Maximum SLA],MATCH(G65,SLATable[Priority],0))),"YES","NO"),"")</f>
        <v/>
      </c>
    </row>
    <row r="66" spans="26:36" ht="15" customHeight="1">
      <c r="Z66" s="76" t="e">
        <f t="shared" ca="1" si="8"/>
        <v>#N/A</v>
      </c>
      <c r="AA66" s="75" t="e">
        <f t="shared" ca="1" si="1"/>
        <v>#N/A</v>
      </c>
      <c r="AB66" s="76">
        <f t="shared" ca="1" si="9"/>
        <v>0</v>
      </c>
      <c r="AC66" s="75">
        <f t="shared" ca="1" si="3"/>
        <v>0</v>
      </c>
      <c r="AD66" s="76">
        <f t="shared" ca="1" si="10"/>
        <v>12388.425641550926</v>
      </c>
      <c r="AE66" s="76">
        <f t="shared" si="11"/>
        <v>0</v>
      </c>
      <c r="AF66" s="75">
        <f t="shared" si="6"/>
        <v>0</v>
      </c>
      <c r="AG66" s="75">
        <f t="shared" si="7"/>
        <v>0</v>
      </c>
      <c r="AH66" s="31" t="e" cm="1">
        <f t="array" aca="1" ref="AH66" ca="1">IF((AD66) &lt; (INDEX(ResponseSLA[#All],(MATCH((G66),ResponseSLA[Priority],0))+1,3)),"YES","No")</f>
        <v>#N/A</v>
      </c>
      <c r="AI66" s="31" t="str">
        <f>_xlfn.IFNA(IF(AE66 &lt; (INDEX(SLATable[Minimum SLA],MATCH(G66,SLATable[Priority],0))),"YES","NO"),"")</f>
        <v/>
      </c>
      <c r="AJ66" t="str">
        <f>_xlfn.IFNA(IF(AE66 &lt; (INDEX(SLATable[Maximum SLA],MATCH(G66,SLATable[Priority],0))),"YES","NO"),"")</f>
        <v/>
      </c>
    </row>
    <row r="67" spans="26:36" ht="15" customHeight="1">
      <c r="Z67" s="76" t="e">
        <f t="shared" ref="Z67:Z130" ca="1" si="12">IF(NOT(OR(G67=1,G67=2)),MAX(0,_xlfn.IFS(AND(K67&lt;&gt;"",N67&lt;&gt;""),((MAX(NETWORKDAYS(K67,N67,UKBankHolidays)-1,0))*(TIME(17,0,0)-TIME(8,0,0))+IF(NETWORKDAYS(N67,N67,UKBankHolidays)&gt;0,MEDIAN(TIME(8,0,0),MOD(N67,1),TIME(17,0,0)),TIME(8,0,0))-IF(NETWORKDAYS(K67,K67,UKBankHolidays)&gt;0,MEDIAN(TIME(8,0,0),MOD(K67,1),TIME(17,0,0)),TIME(8,0,0)))-IF(AND(O67&lt;&gt;"",P67&lt;&gt;""),((MAX(NETWORKDAYS(O67,P67,UKBankHolidays)-1,0))*(TIME(17,0,0)-TIME(8,0,0))+IF(NETWORKDAYS(P67,P67,UKBankHolidays)&gt;0,MEDIAN(TIME(8,0,0),MOD(P67,1),TIME(17,0,0)),TIME(8,0,0))-IF(NETWORKDAYS(O67,O67,UKBankHolidays)&gt;0,MEDIAN(TIME(8,0,0),MOD(O67,1),TIME(17,0,0)),TIME(8,0,0))),0),AND(K67&lt;&gt;"",N67=""),((MAX(NETWORKDAYS(K67,NOW(),UKBankHolidays)-1,0))*(TIME(17,0,0)-TIME(8,0,0))+IF(NETWORKDAYS(NOW(),NOW(),UKBankHolidays)&gt;0,MEDIAN(TIME(8,0,0),MOD(NOW(),1),TIME(17,0,0)),TIME(8,0,0))-IF(NETWORKDAYS(K67,K67,UKBankHolidays)&gt;0,MEDIAN(TIME(8,0,0),MOD(K67,1),TIME(17,0,0)),TIME(8,0,0))))),IF(N67="",NOW()-K67,N67-K67))</f>
        <v>#N/A</v>
      </c>
      <c r="AA67" s="75" t="e">
        <f t="shared" ca="1" si="1"/>
        <v>#N/A</v>
      </c>
      <c r="AB67" s="76">
        <f t="shared" ref="AB67:AB130" ca="1" si="13">IF(NOT(OR(G67=1,G67=2)),MAX(0,_xlfn.IFS(AND(K67&lt;&gt;"",N67&lt;&gt;""),(((MAX(NETWORKDAYS(L67,N67,UKBankHolidays)-1,0))*(TIME(17,0,0)-TIME(8,0,0)))+IF(NETWORKDAYS(N67,N67,UKBankHolidays)&gt;0,MEDIAN(TIME(8,0,0),MOD(N67,1),TIME(17,0,0)),TIME(8,0,0))-IF(NETWORKDAYS(L67,L67,UKBankHolidays)&gt;0,MEDIAN(TIME(8,0,0),MOD(L67,1),TIME(17,0,0)),TIME(8,0,0)))-IF(AND(O67&lt;&gt;"",P67&lt;&gt;""),(((MAX(NETWORKDAYS(O67,P67,UKBankHolidays)-1,0))*(TIME(17,0,0)-TIME(8,0,0)))+IF(NETWORKDAYS(P67,P67,UKBankHolidays)&gt;0,MEDIAN(TIME(8,0,0),MOD(P67,1),TIME(17,0,0)),TIME(8,0,0))-IF(NETWORKDAYS(O67,O67,UKBankHolidays)&gt;0,MEDIAN(TIME(8,0,0),MOD(O67,1),TIME(17,0,0)),TIME(8,0,0))),0),AND(L67&lt;&gt;"",N67="",O67=""),(((MAX(NETWORKDAYS(L67,NOW(),UKBankHolidays)-1,0))*(TIME(17,0,0)-TIME(8,0,0)))+IF(NETWORKDAYS(NOW(),NOW(),UKBankHolidays)&gt;0,MEDIAN(TIME(8,0,0),MOD(NOW(),1),TIME(17,0,0)),TIME(8,0,0))-IF(NETWORKDAYS(L67,L67,UKBankHolidays)&gt;0,MEDIAN(TIME(8,0,0),MOD(L67,1),TIME(17,0,0)),TIME(8,0,0)))-IF(AND(O67&lt;&gt;"",P67&lt;&gt;""),(((MAX(NETWORKDAYS(O67,P67,UKBankHolidays)-1,0))*(TIME(17,0,0)-TIME(8,0,0)))+IF(NETWORKDAYS(P67,P67,UKBankHolidays)&gt;0,MEDIAN(TIME(8,0,0),MOD(P67,1),TIME(17,0,0)),TIME(8,0,0))-IF(NETWORKDAYS(O67,O67,UKBankHolidays)&gt;0,MEDIAN(TIME(8,0,0),MOD(O67,1),TIME(17,0,0)),TIME(8,0,0))),0),AND(L67&lt;&gt;"",N67="",P67="",O67&lt;&gt;""),(((MAX(NETWORKDAYS(L67,O67,UKBankHolidays)-1,0))*(TIME(17,0,0)-TIME(8,0,0)))+IF(NETWORKDAYS(O67,O67,UKBankHolidays)&gt;0,MEDIAN(TIME(8,0,0),MOD(O67,1),TIME(17,0,0)),TIME(8,0,0))-IF(NETWORKDAYS(L67,L67,UKBankHolidays)&gt;0,MEDIAN(TIME(8,0,0),MOD(L67,1),TIME(17,0,0)),TIME(8,0,0))),ISBLANK(K67),"0")),IF(ISBLANK(N67),NOW()-L67,N67-L67))</f>
        <v>0</v>
      </c>
      <c r="AC67" s="75">
        <f t="shared" ca="1" si="3"/>
        <v>0</v>
      </c>
      <c r="AD67" s="76">
        <f t="shared" ref="AD67:AD130" ca="1" si="14">MAX(0,IF(NOT(OR(G67=1,G67=2)),IF(M67&lt;&gt;"",((MAX(NETWORKDAYS(L67,M67,UKBankHolidays)-1,0))*(TIME(17,0,0)-TIME(8,0,0))+IF(NETWORKDAYS(M67,M67,UKBankHolidays)&gt;0,MEDIAN(TIME(8,0,0),MOD(M67,1),TIME(17,0,0)),TIME(8,0,0))-MEDIAN(TIME(8,0,0),MOD(L67,1),TIME(17,0,0))),((MAX(NETWORKDAYS(L67,NOW(),UKBankHolidays)-1,0))*(TIME(17,0,0)-TIME(8,0,0))+IF(NETWORKDAYS(NOW(),NOW(),UKBankHolidays)&gt;0,MEDIAN(TIME(8,0,0),MOD(NOW(),1),TIME(17,0,0)),TIME(8,0,0))-MEDIAN(TIME(8,0,0),MOD(L67,1),TIME(17,0,0)))),IF(M67&lt;&gt;"",M67-L67,NOW()-L67)))</f>
        <v>12388.425641782411</v>
      </c>
      <c r="AE67" s="76">
        <f t="shared" ref="AE67:AE130" si="15">SUMIFS(AB:AB,E:E,E67)</f>
        <v>0</v>
      </c>
      <c r="AF67" s="75">
        <f t="shared" si="6"/>
        <v>0</v>
      </c>
      <c r="AG67" s="75">
        <f t="shared" si="7"/>
        <v>0</v>
      </c>
      <c r="AH67" s="31" t="e" cm="1">
        <f t="array" aca="1" ref="AH67" ca="1">IF((AD67) &lt; (INDEX(ResponseSLA[#All],(MATCH((G67),ResponseSLA[Priority],0))+1,3)),"YES","No")</f>
        <v>#N/A</v>
      </c>
      <c r="AI67" s="31" t="str">
        <f>_xlfn.IFNA(IF(AE67 &lt; (INDEX(SLATable[Minimum SLA],MATCH(G67,SLATable[Priority],0))),"YES","NO"),"")</f>
        <v/>
      </c>
      <c r="AJ67" t="str">
        <f>_xlfn.IFNA(IF(AE67 &lt; (INDEX(SLATable[Maximum SLA],MATCH(G67,SLATable[Priority],0))),"YES","NO"),"")</f>
        <v/>
      </c>
    </row>
    <row r="68" spans="26:36" ht="15" customHeight="1">
      <c r="Z68" s="76" t="e">
        <f t="shared" ca="1" si="12"/>
        <v>#N/A</v>
      </c>
      <c r="AA68" s="75" t="e">
        <f t="shared" ca="1" si="1"/>
        <v>#N/A</v>
      </c>
      <c r="AB68" s="76">
        <f t="shared" ca="1" si="13"/>
        <v>0</v>
      </c>
      <c r="AC68" s="75">
        <f t="shared" ca="1" si="3"/>
        <v>0</v>
      </c>
      <c r="AD68" s="76">
        <f t="shared" ca="1" si="14"/>
        <v>12388.425641550926</v>
      </c>
      <c r="AE68" s="76">
        <f t="shared" si="15"/>
        <v>0</v>
      </c>
      <c r="AF68" s="75">
        <f t="shared" si="6"/>
        <v>0</v>
      </c>
      <c r="AG68" s="75">
        <f t="shared" si="7"/>
        <v>0</v>
      </c>
      <c r="AH68" s="31" t="e" cm="1">
        <f t="array" aca="1" ref="AH68" ca="1">IF((AD68) &lt; (INDEX(ResponseSLA[#All],(MATCH((G68),ResponseSLA[Priority],0))+1,3)),"YES","No")</f>
        <v>#N/A</v>
      </c>
      <c r="AI68" s="31" t="str">
        <f>_xlfn.IFNA(IF(AE68 &lt; (INDEX(SLATable[Minimum SLA],MATCH(G68,SLATable[Priority],0))),"YES","NO"),"")</f>
        <v/>
      </c>
      <c r="AJ68" t="str">
        <f>_xlfn.IFNA(IF(AE68 &lt; (INDEX(SLATable[Maximum SLA],MATCH(G68,SLATable[Priority],0))),"YES","NO"),"")</f>
        <v/>
      </c>
    </row>
    <row r="69" spans="26:36" ht="15" customHeight="1">
      <c r="Z69" s="76" t="e">
        <f t="shared" ca="1" si="12"/>
        <v>#N/A</v>
      </c>
      <c r="AA69" s="75" t="e">
        <f t="shared" ca="1" si="1"/>
        <v>#N/A</v>
      </c>
      <c r="AB69" s="76">
        <f t="shared" ca="1" si="13"/>
        <v>0</v>
      </c>
      <c r="AC69" s="75">
        <f t="shared" ca="1" si="3"/>
        <v>0</v>
      </c>
      <c r="AD69" s="76">
        <f t="shared" ca="1" si="14"/>
        <v>12388.425641550926</v>
      </c>
      <c r="AE69" s="76">
        <f t="shared" si="15"/>
        <v>0</v>
      </c>
      <c r="AF69" s="75">
        <f t="shared" si="6"/>
        <v>0</v>
      </c>
      <c r="AG69" s="75">
        <f t="shared" si="7"/>
        <v>0</v>
      </c>
      <c r="AH69" s="31" t="e" cm="1">
        <f t="array" aca="1" ref="AH69" ca="1">IF((AD69) &lt; (INDEX(ResponseSLA[#All],(MATCH((G69),ResponseSLA[Priority],0))+1,3)),"YES","No")</f>
        <v>#N/A</v>
      </c>
      <c r="AI69" s="31" t="str">
        <f>_xlfn.IFNA(IF(AE69 &lt; (INDEX(SLATable[Minimum SLA],MATCH(G69,SLATable[Priority],0))),"YES","NO"),"")</f>
        <v/>
      </c>
      <c r="AJ69" t="str">
        <f>_xlfn.IFNA(IF(AE69 &lt; (INDEX(SLATable[Maximum SLA],MATCH(G69,SLATable[Priority],0))),"YES","NO"),"")</f>
        <v/>
      </c>
    </row>
    <row r="70" spans="26:36" ht="15" customHeight="1">
      <c r="Z70" s="76" t="e">
        <f t="shared" ca="1" si="12"/>
        <v>#N/A</v>
      </c>
      <c r="AA70" s="75" t="e">
        <f t="shared" ca="1" si="1"/>
        <v>#N/A</v>
      </c>
      <c r="AB70" s="76">
        <f t="shared" ca="1" si="13"/>
        <v>0</v>
      </c>
      <c r="AC70" s="75">
        <f t="shared" ca="1" si="3"/>
        <v>0</v>
      </c>
      <c r="AD70" s="76">
        <f t="shared" ca="1" si="14"/>
        <v>12388.425641782411</v>
      </c>
      <c r="AE70" s="76">
        <f t="shared" si="15"/>
        <v>0</v>
      </c>
      <c r="AF70" s="75">
        <f t="shared" si="6"/>
        <v>0</v>
      </c>
      <c r="AG70" s="75">
        <f t="shared" si="7"/>
        <v>0</v>
      </c>
      <c r="AH70" s="31" t="e" cm="1">
        <f t="array" aca="1" ref="AH70" ca="1">IF((AD70) &lt; (INDEX(ResponseSLA[#All],(MATCH((G70),ResponseSLA[Priority],0))+1,3)),"YES","No")</f>
        <v>#N/A</v>
      </c>
      <c r="AI70" s="31" t="str">
        <f>_xlfn.IFNA(IF(AE70 &lt; (INDEX(SLATable[Minimum SLA],MATCH(G70,SLATable[Priority],0))),"YES","NO"),"")</f>
        <v/>
      </c>
      <c r="AJ70" t="str">
        <f>_xlfn.IFNA(IF(AE70 &lt; (INDEX(SLATable[Maximum SLA],MATCH(G70,SLATable[Priority],0))),"YES","NO"),"")</f>
        <v/>
      </c>
    </row>
    <row r="71" spans="26:36" ht="15" customHeight="1">
      <c r="Z71" s="76" t="e">
        <f t="shared" ca="1" si="12"/>
        <v>#N/A</v>
      </c>
      <c r="AA71" s="75" t="e">
        <f t="shared" ca="1" si="1"/>
        <v>#N/A</v>
      </c>
      <c r="AB71" s="76">
        <f t="shared" ca="1" si="13"/>
        <v>0</v>
      </c>
      <c r="AC71" s="75">
        <f t="shared" ca="1" si="3"/>
        <v>0</v>
      </c>
      <c r="AD71" s="76">
        <f t="shared" ca="1" si="14"/>
        <v>12388.425641550926</v>
      </c>
      <c r="AE71" s="76">
        <f t="shared" si="15"/>
        <v>0</v>
      </c>
      <c r="AF71" s="75">
        <f t="shared" si="6"/>
        <v>0</v>
      </c>
      <c r="AG71" s="75">
        <f t="shared" si="7"/>
        <v>0</v>
      </c>
      <c r="AH71" s="31" t="e" cm="1">
        <f t="array" aca="1" ref="AH71" ca="1">IF((AD71) &lt; (INDEX(ResponseSLA[#All],(MATCH((G71),ResponseSLA[Priority],0))+1,3)),"YES","No")</f>
        <v>#N/A</v>
      </c>
      <c r="AI71" s="31" t="str">
        <f>_xlfn.IFNA(IF(AE71 &lt; (INDEX(SLATable[Minimum SLA],MATCH(G71,SLATable[Priority],0))),"YES","NO"),"")</f>
        <v/>
      </c>
      <c r="AJ71" t="str">
        <f>_xlfn.IFNA(IF(AE71 &lt; (INDEX(SLATable[Maximum SLA],MATCH(G71,SLATable[Priority],0))),"YES","NO"),"")</f>
        <v/>
      </c>
    </row>
    <row r="72" spans="26:36" ht="15" customHeight="1">
      <c r="Z72" s="76" t="e">
        <f t="shared" ca="1" si="12"/>
        <v>#N/A</v>
      </c>
      <c r="AA72" s="75" t="e">
        <f t="shared" ca="1" si="1"/>
        <v>#N/A</v>
      </c>
      <c r="AB72" s="76">
        <f t="shared" ca="1" si="13"/>
        <v>0</v>
      </c>
      <c r="AC72" s="75">
        <f t="shared" ca="1" si="3"/>
        <v>0</v>
      </c>
      <c r="AD72" s="76">
        <f t="shared" ca="1" si="14"/>
        <v>12388.425641550926</v>
      </c>
      <c r="AE72" s="76">
        <f t="shared" si="15"/>
        <v>0</v>
      </c>
      <c r="AF72" s="75">
        <f t="shared" si="6"/>
        <v>0</v>
      </c>
      <c r="AG72" s="75">
        <f t="shared" si="7"/>
        <v>0</v>
      </c>
      <c r="AH72" s="31" t="e" cm="1">
        <f t="array" aca="1" ref="AH72" ca="1">IF((AD72) &lt; (INDEX(ResponseSLA[#All],(MATCH((G72),ResponseSLA[Priority],0))+1,3)),"YES","No")</f>
        <v>#N/A</v>
      </c>
      <c r="AI72" s="31" t="str">
        <f>_xlfn.IFNA(IF(AE72 &lt; (INDEX(SLATable[Minimum SLA],MATCH(G72,SLATable[Priority],0))),"YES","NO"),"")</f>
        <v/>
      </c>
      <c r="AJ72" t="str">
        <f>_xlfn.IFNA(IF(AE72 &lt; (INDEX(SLATable[Maximum SLA],MATCH(G72,SLATable[Priority],0))),"YES","NO"),"")</f>
        <v/>
      </c>
    </row>
    <row r="73" spans="26:36" ht="15" customHeight="1">
      <c r="Z73" s="76" t="e">
        <f t="shared" ca="1" si="12"/>
        <v>#N/A</v>
      </c>
      <c r="AA73" s="75" t="e">
        <f t="shared" ca="1" si="1"/>
        <v>#N/A</v>
      </c>
      <c r="AB73" s="76">
        <f t="shared" ca="1" si="13"/>
        <v>0</v>
      </c>
      <c r="AC73" s="75">
        <f t="shared" ca="1" si="3"/>
        <v>0</v>
      </c>
      <c r="AD73" s="76">
        <f t="shared" ca="1" si="14"/>
        <v>12388.425641782411</v>
      </c>
      <c r="AE73" s="76">
        <f t="shared" si="15"/>
        <v>0</v>
      </c>
      <c r="AF73" s="75">
        <f t="shared" si="6"/>
        <v>0</v>
      </c>
      <c r="AG73" s="75">
        <f t="shared" si="7"/>
        <v>0</v>
      </c>
      <c r="AH73" s="31" t="e" cm="1">
        <f t="array" aca="1" ref="AH73" ca="1">IF((AD73) &lt; (INDEX(ResponseSLA[#All],(MATCH((G73),ResponseSLA[Priority],0))+1,3)),"YES","No")</f>
        <v>#N/A</v>
      </c>
      <c r="AI73" s="31" t="str">
        <f>_xlfn.IFNA(IF(AE73 &lt; (INDEX(SLATable[Minimum SLA],MATCH(G73,SLATable[Priority],0))),"YES","NO"),"")</f>
        <v/>
      </c>
      <c r="AJ73" t="str">
        <f>_xlfn.IFNA(IF(AE73 &lt; (INDEX(SLATable[Maximum SLA],MATCH(G73,SLATable[Priority],0))),"YES","NO"),"")</f>
        <v/>
      </c>
    </row>
    <row r="74" spans="26:36" ht="15" customHeight="1">
      <c r="Z74" s="76" t="e">
        <f t="shared" ca="1" si="12"/>
        <v>#N/A</v>
      </c>
      <c r="AA74" s="75" t="e">
        <f t="shared" ca="1" si="1"/>
        <v>#N/A</v>
      </c>
      <c r="AB74" s="76">
        <f t="shared" ca="1" si="13"/>
        <v>0</v>
      </c>
      <c r="AC74" s="75">
        <f t="shared" ca="1" si="3"/>
        <v>0</v>
      </c>
      <c r="AD74" s="76">
        <f t="shared" ca="1" si="14"/>
        <v>12388.425641550926</v>
      </c>
      <c r="AE74" s="76">
        <f t="shared" si="15"/>
        <v>0</v>
      </c>
      <c r="AF74" s="75">
        <f t="shared" si="6"/>
        <v>0</v>
      </c>
      <c r="AG74" s="75">
        <f t="shared" si="7"/>
        <v>0</v>
      </c>
      <c r="AH74" s="31" t="e" cm="1">
        <f t="array" aca="1" ref="AH74" ca="1">IF((AD74) &lt; (INDEX(ResponseSLA[#All],(MATCH((G74),ResponseSLA[Priority],0))+1,3)),"YES","No")</f>
        <v>#N/A</v>
      </c>
      <c r="AI74" s="31" t="str">
        <f>_xlfn.IFNA(IF(AE74 &lt; (INDEX(SLATable[Minimum SLA],MATCH(G74,SLATable[Priority],0))),"YES","NO"),"")</f>
        <v/>
      </c>
      <c r="AJ74" t="str">
        <f>_xlfn.IFNA(IF(AE74 &lt; (INDEX(SLATable[Maximum SLA],MATCH(G74,SLATable[Priority],0))),"YES","NO"),"")</f>
        <v/>
      </c>
    </row>
    <row r="75" spans="26:36" ht="15" customHeight="1">
      <c r="Z75" s="76" t="e">
        <f t="shared" ca="1" si="12"/>
        <v>#N/A</v>
      </c>
      <c r="AA75" s="75" t="e">
        <f t="shared" ca="1" si="1"/>
        <v>#N/A</v>
      </c>
      <c r="AB75" s="76">
        <f t="shared" ca="1" si="13"/>
        <v>0</v>
      </c>
      <c r="AC75" s="75">
        <f t="shared" ca="1" si="3"/>
        <v>0</v>
      </c>
      <c r="AD75" s="76">
        <f t="shared" ca="1" si="14"/>
        <v>12388.425641550926</v>
      </c>
      <c r="AE75" s="76">
        <f t="shared" si="15"/>
        <v>0</v>
      </c>
      <c r="AF75" s="75">
        <f t="shared" si="6"/>
        <v>0</v>
      </c>
      <c r="AG75" s="75">
        <f t="shared" si="7"/>
        <v>0</v>
      </c>
      <c r="AH75" s="31" t="e" cm="1">
        <f t="array" aca="1" ref="AH75" ca="1">IF((AD75) &lt; (INDEX(ResponseSLA[#All],(MATCH((G75),ResponseSLA[Priority],0))+1,3)),"YES","No")</f>
        <v>#N/A</v>
      </c>
      <c r="AI75" s="31" t="str">
        <f>_xlfn.IFNA(IF(AE75 &lt; (INDEX(SLATable[Minimum SLA],MATCH(G75,SLATable[Priority],0))),"YES","NO"),"")</f>
        <v/>
      </c>
      <c r="AJ75" t="str">
        <f>_xlfn.IFNA(IF(AE75 &lt; (INDEX(SLATable[Maximum SLA],MATCH(G75,SLATable[Priority],0))),"YES","NO"),"")</f>
        <v/>
      </c>
    </row>
    <row r="76" spans="26:36" ht="15" customHeight="1">
      <c r="Z76" s="76" t="e">
        <f t="shared" ca="1" si="12"/>
        <v>#N/A</v>
      </c>
      <c r="AA76" s="75" t="e">
        <f t="shared" ca="1" si="1"/>
        <v>#N/A</v>
      </c>
      <c r="AB76" s="76">
        <f t="shared" ca="1" si="13"/>
        <v>0</v>
      </c>
      <c r="AC76" s="75">
        <f t="shared" ca="1" si="3"/>
        <v>0</v>
      </c>
      <c r="AD76" s="76">
        <f t="shared" ca="1" si="14"/>
        <v>12388.425641782411</v>
      </c>
      <c r="AE76" s="76">
        <f t="shared" si="15"/>
        <v>0</v>
      </c>
      <c r="AF76" s="75">
        <f t="shared" si="6"/>
        <v>0</v>
      </c>
      <c r="AG76" s="75">
        <f t="shared" si="7"/>
        <v>0</v>
      </c>
      <c r="AH76" s="31" t="e" cm="1">
        <f t="array" aca="1" ref="AH76" ca="1">IF((AD76) &lt; (INDEX(ResponseSLA[#All],(MATCH((G76),ResponseSLA[Priority],0))+1,3)),"YES","No")</f>
        <v>#N/A</v>
      </c>
      <c r="AI76" s="31" t="str">
        <f>_xlfn.IFNA(IF(AE76 &lt; (INDEX(SLATable[Minimum SLA],MATCH(G76,SLATable[Priority],0))),"YES","NO"),"")</f>
        <v/>
      </c>
      <c r="AJ76" t="str">
        <f>_xlfn.IFNA(IF(AE76 &lt; (INDEX(SLATable[Maximum SLA],MATCH(G76,SLATable[Priority],0))),"YES","NO"),"")</f>
        <v/>
      </c>
    </row>
    <row r="77" spans="26:36" ht="15" customHeight="1">
      <c r="Z77" s="76" t="e">
        <f t="shared" ca="1" si="12"/>
        <v>#N/A</v>
      </c>
      <c r="AA77" s="75" t="e">
        <f t="shared" ca="1" si="1"/>
        <v>#N/A</v>
      </c>
      <c r="AB77" s="76">
        <f t="shared" ca="1" si="13"/>
        <v>0</v>
      </c>
      <c r="AC77" s="75">
        <f t="shared" ca="1" si="3"/>
        <v>0</v>
      </c>
      <c r="AD77" s="76">
        <f t="shared" ca="1" si="14"/>
        <v>12388.425641550926</v>
      </c>
      <c r="AE77" s="76">
        <f t="shared" si="15"/>
        <v>0</v>
      </c>
      <c r="AF77" s="75">
        <f t="shared" si="6"/>
        <v>0</v>
      </c>
      <c r="AG77" s="75">
        <f t="shared" si="7"/>
        <v>0</v>
      </c>
      <c r="AH77" s="31" t="e" cm="1">
        <f t="array" aca="1" ref="AH77" ca="1">IF((AD77) &lt; (INDEX(ResponseSLA[#All],(MATCH((G77),ResponseSLA[Priority],0))+1,3)),"YES","No")</f>
        <v>#N/A</v>
      </c>
      <c r="AI77" s="31" t="str">
        <f>_xlfn.IFNA(IF(AE77 &lt; (INDEX(SLATable[Minimum SLA],MATCH(G77,SLATable[Priority],0))),"YES","NO"),"")</f>
        <v/>
      </c>
      <c r="AJ77" t="str">
        <f>_xlfn.IFNA(IF(AE77 &lt; (INDEX(SLATable[Maximum SLA],MATCH(G77,SLATable[Priority],0))),"YES","NO"),"")</f>
        <v/>
      </c>
    </row>
    <row r="78" spans="26:36" ht="15" customHeight="1">
      <c r="Z78" s="76" t="e">
        <f t="shared" ca="1" si="12"/>
        <v>#N/A</v>
      </c>
      <c r="AA78" s="75" t="e">
        <f t="shared" ca="1" si="1"/>
        <v>#N/A</v>
      </c>
      <c r="AB78" s="76">
        <f t="shared" ca="1" si="13"/>
        <v>0</v>
      </c>
      <c r="AC78" s="75">
        <f t="shared" ca="1" si="3"/>
        <v>0</v>
      </c>
      <c r="AD78" s="76">
        <f t="shared" ca="1" si="14"/>
        <v>12388.425641550926</v>
      </c>
      <c r="AE78" s="76">
        <f t="shared" si="15"/>
        <v>0</v>
      </c>
      <c r="AF78" s="75">
        <f t="shared" si="6"/>
        <v>0</v>
      </c>
      <c r="AG78" s="75">
        <f t="shared" si="7"/>
        <v>0</v>
      </c>
      <c r="AH78" s="31" t="e" cm="1">
        <f t="array" aca="1" ref="AH78" ca="1">IF((AD78) &lt; (INDEX(ResponseSLA[#All],(MATCH((G78),ResponseSLA[Priority],0))+1,3)),"YES","No")</f>
        <v>#N/A</v>
      </c>
      <c r="AI78" s="31" t="str">
        <f>_xlfn.IFNA(IF(AE78 &lt; (INDEX(SLATable[Minimum SLA],MATCH(G78,SLATable[Priority],0))),"YES","NO"),"")</f>
        <v/>
      </c>
      <c r="AJ78" t="str">
        <f>_xlfn.IFNA(IF(AE78 &lt; (INDEX(SLATable[Maximum SLA],MATCH(G78,SLATable[Priority],0))),"YES","NO"),"")</f>
        <v/>
      </c>
    </row>
    <row r="79" spans="26:36" ht="15" customHeight="1">
      <c r="Z79" s="76" t="e">
        <f t="shared" ca="1" si="12"/>
        <v>#N/A</v>
      </c>
      <c r="AA79" s="75" t="e">
        <f t="shared" ca="1" si="1"/>
        <v>#N/A</v>
      </c>
      <c r="AB79" s="76">
        <f t="shared" ca="1" si="13"/>
        <v>0</v>
      </c>
      <c r="AC79" s="75">
        <f t="shared" ca="1" si="3"/>
        <v>0</v>
      </c>
      <c r="AD79" s="76">
        <f t="shared" ca="1" si="14"/>
        <v>12388.425641782411</v>
      </c>
      <c r="AE79" s="76">
        <f t="shared" si="15"/>
        <v>0</v>
      </c>
      <c r="AF79" s="75">
        <f t="shared" si="6"/>
        <v>0</v>
      </c>
      <c r="AG79" s="75">
        <f t="shared" si="7"/>
        <v>0</v>
      </c>
      <c r="AH79" s="31" t="e" cm="1">
        <f t="array" aca="1" ref="AH79" ca="1">IF((AD79) &lt; (INDEX(ResponseSLA[#All],(MATCH((G79),ResponseSLA[Priority],0))+1,3)),"YES","No")</f>
        <v>#N/A</v>
      </c>
      <c r="AI79" s="31" t="str">
        <f>_xlfn.IFNA(IF(AE79 &lt; (INDEX(SLATable[Minimum SLA],MATCH(G79,SLATable[Priority],0))),"YES","NO"),"")</f>
        <v/>
      </c>
      <c r="AJ79" t="str">
        <f>_xlfn.IFNA(IF(AE79 &lt; (INDEX(SLATable[Maximum SLA],MATCH(G79,SLATable[Priority],0))),"YES","NO"),"")</f>
        <v/>
      </c>
    </row>
    <row r="80" spans="26:36" ht="15" customHeight="1">
      <c r="Z80" s="76" t="e">
        <f t="shared" ca="1" si="12"/>
        <v>#N/A</v>
      </c>
      <c r="AA80" s="75" t="e">
        <f t="shared" ca="1" si="1"/>
        <v>#N/A</v>
      </c>
      <c r="AB80" s="76">
        <f t="shared" ca="1" si="13"/>
        <v>0</v>
      </c>
      <c r="AC80" s="75">
        <f t="shared" ca="1" si="3"/>
        <v>0</v>
      </c>
      <c r="AD80" s="76">
        <f t="shared" ca="1" si="14"/>
        <v>12388.425641550926</v>
      </c>
      <c r="AE80" s="76">
        <f t="shared" si="15"/>
        <v>0</v>
      </c>
      <c r="AF80" s="75">
        <f t="shared" si="6"/>
        <v>0</v>
      </c>
      <c r="AG80" s="75">
        <f t="shared" si="7"/>
        <v>0</v>
      </c>
      <c r="AH80" s="31" t="e" cm="1">
        <f t="array" aca="1" ref="AH80" ca="1">IF((AD80) &lt; (INDEX(ResponseSLA[#All],(MATCH((G80),ResponseSLA[Priority],0))+1,3)),"YES","No")</f>
        <v>#N/A</v>
      </c>
      <c r="AI80" s="31" t="str">
        <f>_xlfn.IFNA(IF(AE80 &lt; (INDEX(SLATable[Minimum SLA],MATCH(G80,SLATable[Priority],0))),"YES","NO"),"")</f>
        <v/>
      </c>
      <c r="AJ80" t="str">
        <f>_xlfn.IFNA(IF(AE80 &lt; (INDEX(SLATable[Maximum SLA],MATCH(G80,SLATable[Priority],0))),"YES","NO"),"")</f>
        <v/>
      </c>
    </row>
    <row r="81" spans="26:36" ht="15" customHeight="1">
      <c r="Z81" s="76" t="e">
        <f t="shared" ca="1" si="12"/>
        <v>#N/A</v>
      </c>
      <c r="AA81" s="75" t="e">
        <f t="shared" ca="1" si="1"/>
        <v>#N/A</v>
      </c>
      <c r="AB81" s="76">
        <f t="shared" ca="1" si="13"/>
        <v>0</v>
      </c>
      <c r="AC81" s="75">
        <f t="shared" ca="1" si="3"/>
        <v>0</v>
      </c>
      <c r="AD81" s="76">
        <f t="shared" ca="1" si="14"/>
        <v>12388.425641550926</v>
      </c>
      <c r="AE81" s="76">
        <f t="shared" si="15"/>
        <v>0</v>
      </c>
      <c r="AF81" s="75">
        <f t="shared" si="6"/>
        <v>0</v>
      </c>
      <c r="AG81" s="75">
        <f t="shared" si="7"/>
        <v>0</v>
      </c>
      <c r="AH81" s="31" t="e" cm="1">
        <f t="array" aca="1" ref="AH81" ca="1">IF((AD81) &lt; (INDEX(ResponseSLA[#All],(MATCH((G81),ResponseSLA[Priority],0))+1,3)),"YES","No")</f>
        <v>#N/A</v>
      </c>
      <c r="AI81" s="31" t="str">
        <f>_xlfn.IFNA(IF(AE81 &lt; (INDEX(SLATable[Minimum SLA],MATCH(G81,SLATable[Priority],0))),"YES","NO"),"")</f>
        <v/>
      </c>
      <c r="AJ81" t="str">
        <f>_xlfn.IFNA(IF(AE81 &lt; (INDEX(SLATable[Maximum SLA],MATCH(G81,SLATable[Priority],0))),"YES","NO"),"")</f>
        <v/>
      </c>
    </row>
    <row r="82" spans="26:36" ht="15" customHeight="1">
      <c r="Z82" s="76" t="e">
        <f t="shared" ca="1" si="12"/>
        <v>#N/A</v>
      </c>
      <c r="AA82" s="75" t="e">
        <f t="shared" ca="1" si="1"/>
        <v>#N/A</v>
      </c>
      <c r="AB82" s="76">
        <f t="shared" ca="1" si="13"/>
        <v>0</v>
      </c>
      <c r="AC82" s="75">
        <f t="shared" ca="1" si="3"/>
        <v>0</v>
      </c>
      <c r="AD82" s="76">
        <f t="shared" ca="1" si="14"/>
        <v>12388.425641782411</v>
      </c>
      <c r="AE82" s="76">
        <f t="shared" si="15"/>
        <v>0</v>
      </c>
      <c r="AF82" s="75">
        <f t="shared" si="6"/>
        <v>0</v>
      </c>
      <c r="AG82" s="75">
        <f t="shared" si="7"/>
        <v>0</v>
      </c>
      <c r="AH82" s="31" t="e" cm="1">
        <f t="array" aca="1" ref="AH82" ca="1">IF((AD82) &lt; (INDEX(ResponseSLA[#All],(MATCH((G82),ResponseSLA[Priority],0))+1,3)),"YES","No")</f>
        <v>#N/A</v>
      </c>
      <c r="AI82" s="31" t="str">
        <f>_xlfn.IFNA(IF(AE82 &lt; (INDEX(SLATable[Minimum SLA],MATCH(G82,SLATable[Priority],0))),"YES","NO"),"")</f>
        <v/>
      </c>
      <c r="AJ82" t="str">
        <f>_xlfn.IFNA(IF(AE82 &lt; (INDEX(SLATable[Maximum SLA],MATCH(G82,SLATable[Priority],0))),"YES","NO"),"")</f>
        <v/>
      </c>
    </row>
    <row r="83" spans="26:36" ht="15" customHeight="1">
      <c r="Z83" s="76" t="e">
        <f t="shared" ca="1" si="12"/>
        <v>#N/A</v>
      </c>
      <c r="AA83" s="75" t="e">
        <f t="shared" ca="1" si="1"/>
        <v>#N/A</v>
      </c>
      <c r="AB83" s="76">
        <f t="shared" ca="1" si="13"/>
        <v>0</v>
      </c>
      <c r="AC83" s="75">
        <f t="shared" ca="1" si="3"/>
        <v>0</v>
      </c>
      <c r="AD83" s="76">
        <f t="shared" ca="1" si="14"/>
        <v>12388.425641550926</v>
      </c>
      <c r="AE83" s="76">
        <f t="shared" si="15"/>
        <v>0</v>
      </c>
      <c r="AF83" s="75">
        <f t="shared" si="6"/>
        <v>0</v>
      </c>
      <c r="AG83" s="75">
        <f t="shared" si="7"/>
        <v>0</v>
      </c>
      <c r="AH83" s="31" t="e" cm="1">
        <f t="array" aca="1" ref="AH83" ca="1">IF((AD83) &lt; (INDEX(ResponseSLA[#All],(MATCH((G83),ResponseSLA[Priority],0))+1,3)),"YES","No")</f>
        <v>#N/A</v>
      </c>
      <c r="AI83" s="31" t="str">
        <f>_xlfn.IFNA(IF(AE83 &lt; (INDEX(SLATable[Minimum SLA],MATCH(G83,SLATable[Priority],0))),"YES","NO"),"")</f>
        <v/>
      </c>
      <c r="AJ83" t="str">
        <f>_xlfn.IFNA(IF(AE83 &lt; (INDEX(SLATable[Maximum SLA],MATCH(G83,SLATable[Priority],0))),"YES","NO"),"")</f>
        <v/>
      </c>
    </row>
    <row r="84" spans="26:36" ht="15" customHeight="1">
      <c r="Z84" s="76" t="e">
        <f t="shared" ca="1" si="12"/>
        <v>#N/A</v>
      </c>
      <c r="AA84" s="75" t="e">
        <f t="shared" ca="1" si="1"/>
        <v>#N/A</v>
      </c>
      <c r="AB84" s="76">
        <f t="shared" ca="1" si="13"/>
        <v>0</v>
      </c>
      <c r="AC84" s="75">
        <f t="shared" ca="1" si="3"/>
        <v>0</v>
      </c>
      <c r="AD84" s="76">
        <f t="shared" ca="1" si="14"/>
        <v>12388.425641550926</v>
      </c>
      <c r="AE84" s="76">
        <f t="shared" si="15"/>
        <v>0</v>
      </c>
      <c r="AF84" s="75">
        <f t="shared" si="6"/>
        <v>0</v>
      </c>
      <c r="AG84" s="75">
        <f t="shared" si="7"/>
        <v>0</v>
      </c>
      <c r="AH84" s="31" t="e" cm="1">
        <f t="array" aca="1" ref="AH84" ca="1">IF((AD84) &lt; (INDEX(ResponseSLA[#All],(MATCH((G84),ResponseSLA[Priority],0))+1,3)),"YES","No")</f>
        <v>#N/A</v>
      </c>
      <c r="AI84" s="31" t="str">
        <f>_xlfn.IFNA(IF(AE84 &lt; (INDEX(SLATable[Minimum SLA],MATCH(G84,SLATable[Priority],0))),"YES","NO"),"")</f>
        <v/>
      </c>
      <c r="AJ84" t="str">
        <f>_xlfn.IFNA(IF(AE84 &lt; (INDEX(SLATable[Maximum SLA],MATCH(G84,SLATable[Priority],0))),"YES","NO"),"")</f>
        <v/>
      </c>
    </row>
    <row r="85" spans="26:36" ht="15" customHeight="1">
      <c r="Z85" s="76" t="e">
        <f t="shared" ca="1" si="12"/>
        <v>#N/A</v>
      </c>
      <c r="AA85" s="75" t="e">
        <f t="shared" ca="1" si="1"/>
        <v>#N/A</v>
      </c>
      <c r="AB85" s="76">
        <f t="shared" ca="1" si="13"/>
        <v>0</v>
      </c>
      <c r="AC85" s="75">
        <f t="shared" ca="1" si="3"/>
        <v>0</v>
      </c>
      <c r="AD85" s="76">
        <f t="shared" ca="1" si="14"/>
        <v>12388.425641782411</v>
      </c>
      <c r="AE85" s="76">
        <f t="shared" si="15"/>
        <v>0</v>
      </c>
      <c r="AF85" s="75">
        <f t="shared" si="6"/>
        <v>0</v>
      </c>
      <c r="AG85" s="75">
        <f t="shared" si="7"/>
        <v>0</v>
      </c>
      <c r="AH85" s="31" t="e" cm="1">
        <f t="array" aca="1" ref="AH85" ca="1">IF((AD85) &lt; (INDEX(ResponseSLA[#All],(MATCH((G85),ResponseSLA[Priority],0))+1,3)),"YES","No")</f>
        <v>#N/A</v>
      </c>
      <c r="AI85" s="31" t="str">
        <f>_xlfn.IFNA(IF(AE85 &lt; (INDEX(SLATable[Minimum SLA],MATCH(G85,SLATable[Priority],0))),"YES","NO"),"")</f>
        <v/>
      </c>
      <c r="AJ85" t="str">
        <f>_xlfn.IFNA(IF(AE85 &lt; (INDEX(SLATable[Maximum SLA],MATCH(G85,SLATable[Priority],0))),"YES","NO"),"")</f>
        <v/>
      </c>
    </row>
    <row r="86" spans="26:36" ht="15" customHeight="1">
      <c r="Z86" s="76" t="e">
        <f t="shared" ca="1" si="12"/>
        <v>#N/A</v>
      </c>
      <c r="AA86" s="75" t="e">
        <f t="shared" ca="1" si="1"/>
        <v>#N/A</v>
      </c>
      <c r="AB86" s="76">
        <f t="shared" ca="1" si="13"/>
        <v>0</v>
      </c>
      <c r="AC86" s="75">
        <f t="shared" ca="1" si="3"/>
        <v>0</v>
      </c>
      <c r="AD86" s="76">
        <f t="shared" ca="1" si="14"/>
        <v>12388.425641550926</v>
      </c>
      <c r="AE86" s="76">
        <f t="shared" si="15"/>
        <v>0</v>
      </c>
      <c r="AF86" s="75">
        <f t="shared" si="6"/>
        <v>0</v>
      </c>
      <c r="AG86" s="75">
        <f t="shared" si="7"/>
        <v>0</v>
      </c>
      <c r="AH86" s="31" t="e" cm="1">
        <f t="array" aca="1" ref="AH86" ca="1">IF((AD86) &lt; (INDEX(ResponseSLA[#All],(MATCH((G86),ResponseSLA[Priority],0))+1,3)),"YES","No")</f>
        <v>#N/A</v>
      </c>
      <c r="AI86" s="31" t="str">
        <f>_xlfn.IFNA(IF(AE86 &lt; (INDEX(SLATable[Minimum SLA],MATCH(G86,SLATable[Priority],0))),"YES","NO"),"")</f>
        <v/>
      </c>
      <c r="AJ86" t="str">
        <f>_xlfn.IFNA(IF(AE86 &lt; (INDEX(SLATable[Maximum SLA],MATCH(G86,SLATable[Priority],0))),"YES","NO"),"")</f>
        <v/>
      </c>
    </row>
    <row r="87" spans="26:36" ht="15" customHeight="1">
      <c r="Z87" s="76" t="e">
        <f t="shared" ca="1" si="12"/>
        <v>#N/A</v>
      </c>
      <c r="AA87" s="75" t="e">
        <f t="shared" ca="1" si="1"/>
        <v>#N/A</v>
      </c>
      <c r="AB87" s="76">
        <f t="shared" ca="1" si="13"/>
        <v>0</v>
      </c>
      <c r="AC87" s="75">
        <f t="shared" ca="1" si="3"/>
        <v>0</v>
      </c>
      <c r="AD87" s="76">
        <f t="shared" ca="1" si="14"/>
        <v>12388.425641550926</v>
      </c>
      <c r="AE87" s="76">
        <f t="shared" si="15"/>
        <v>0</v>
      </c>
      <c r="AF87" s="75">
        <f t="shared" si="6"/>
        <v>0</v>
      </c>
      <c r="AG87" s="75">
        <f t="shared" si="7"/>
        <v>0</v>
      </c>
      <c r="AH87" s="31" t="e" cm="1">
        <f t="array" aca="1" ref="AH87" ca="1">IF((AD87) &lt; (INDEX(ResponseSLA[#All],(MATCH((G87),ResponseSLA[Priority],0))+1,3)),"YES","No")</f>
        <v>#N/A</v>
      </c>
      <c r="AI87" s="31" t="str">
        <f>_xlfn.IFNA(IF(AE87 &lt; (INDEX(SLATable[Minimum SLA],MATCH(G87,SLATable[Priority],0))),"YES","NO"),"")</f>
        <v/>
      </c>
      <c r="AJ87" t="str">
        <f>_xlfn.IFNA(IF(AE87 &lt; (INDEX(SLATable[Maximum SLA],MATCH(G87,SLATable[Priority],0))),"YES","NO"),"")</f>
        <v/>
      </c>
    </row>
    <row r="88" spans="26:36" ht="15" customHeight="1">
      <c r="Z88" s="76" t="e">
        <f t="shared" ca="1" si="12"/>
        <v>#N/A</v>
      </c>
      <c r="AA88" s="75" t="e">
        <f t="shared" ca="1" si="1"/>
        <v>#N/A</v>
      </c>
      <c r="AB88" s="76">
        <f t="shared" ca="1" si="13"/>
        <v>0</v>
      </c>
      <c r="AC88" s="75">
        <f t="shared" ca="1" si="3"/>
        <v>0</v>
      </c>
      <c r="AD88" s="76">
        <f t="shared" ca="1" si="14"/>
        <v>12388.425641782411</v>
      </c>
      <c r="AE88" s="76">
        <f t="shared" si="15"/>
        <v>0</v>
      </c>
      <c r="AF88" s="75">
        <f t="shared" si="6"/>
        <v>0</v>
      </c>
      <c r="AG88" s="75">
        <f t="shared" si="7"/>
        <v>0</v>
      </c>
      <c r="AH88" s="31" t="e" cm="1">
        <f t="array" aca="1" ref="AH88" ca="1">IF((AD88) &lt; (INDEX(ResponseSLA[#All],(MATCH((G88),ResponseSLA[Priority],0))+1,3)),"YES","No")</f>
        <v>#N/A</v>
      </c>
      <c r="AI88" s="31" t="str">
        <f>_xlfn.IFNA(IF(AE88 &lt; (INDEX(SLATable[Minimum SLA],MATCH(G88,SLATable[Priority],0))),"YES","NO"),"")</f>
        <v/>
      </c>
      <c r="AJ88" t="str">
        <f>_xlfn.IFNA(IF(AE88 &lt; (INDEX(SLATable[Maximum SLA],MATCH(G88,SLATable[Priority],0))),"YES","NO"),"")</f>
        <v/>
      </c>
    </row>
    <row r="89" spans="26:36" ht="15" customHeight="1">
      <c r="Z89" s="76" t="e">
        <f t="shared" ca="1" si="12"/>
        <v>#N/A</v>
      </c>
      <c r="AA89" s="75" t="e">
        <f t="shared" ca="1" si="1"/>
        <v>#N/A</v>
      </c>
      <c r="AB89" s="76">
        <f t="shared" ca="1" si="13"/>
        <v>0</v>
      </c>
      <c r="AC89" s="75">
        <f t="shared" ca="1" si="3"/>
        <v>0</v>
      </c>
      <c r="AD89" s="76">
        <f t="shared" ca="1" si="14"/>
        <v>12388.425641550926</v>
      </c>
      <c r="AE89" s="76">
        <f t="shared" si="15"/>
        <v>0</v>
      </c>
      <c r="AF89" s="75">
        <f t="shared" si="6"/>
        <v>0</v>
      </c>
      <c r="AG89" s="75">
        <f t="shared" si="7"/>
        <v>0</v>
      </c>
      <c r="AH89" s="31" t="e" cm="1">
        <f t="array" aca="1" ref="AH89" ca="1">IF((AD89) &lt; (INDEX(ResponseSLA[#All],(MATCH((G89),ResponseSLA[Priority],0))+1,3)),"YES","No")</f>
        <v>#N/A</v>
      </c>
      <c r="AI89" s="31" t="str">
        <f>_xlfn.IFNA(IF(AE89 &lt; (INDEX(SLATable[Minimum SLA],MATCH(G89,SLATable[Priority],0))),"YES","NO"),"")</f>
        <v/>
      </c>
      <c r="AJ89" t="str">
        <f>_xlfn.IFNA(IF(AE89 &lt; (INDEX(SLATable[Maximum SLA],MATCH(G89,SLATable[Priority],0))),"YES","NO"),"")</f>
        <v/>
      </c>
    </row>
    <row r="90" spans="26:36" ht="15" customHeight="1">
      <c r="Z90" s="76" t="e">
        <f t="shared" ca="1" si="12"/>
        <v>#N/A</v>
      </c>
      <c r="AA90" s="75" t="e">
        <f t="shared" ca="1" si="1"/>
        <v>#N/A</v>
      </c>
      <c r="AB90" s="76">
        <f t="shared" ca="1" si="13"/>
        <v>0</v>
      </c>
      <c r="AC90" s="75">
        <f t="shared" ca="1" si="3"/>
        <v>0</v>
      </c>
      <c r="AD90" s="76">
        <f t="shared" ca="1" si="14"/>
        <v>12388.425641550926</v>
      </c>
      <c r="AE90" s="76">
        <f t="shared" si="15"/>
        <v>0</v>
      </c>
      <c r="AF90" s="75">
        <f t="shared" si="6"/>
        <v>0</v>
      </c>
      <c r="AG90" s="75">
        <f t="shared" si="7"/>
        <v>0</v>
      </c>
      <c r="AH90" s="31" t="e" cm="1">
        <f t="array" aca="1" ref="AH90" ca="1">IF((AD90) &lt; (INDEX(ResponseSLA[#All],(MATCH((G90),ResponseSLA[Priority],0))+1,3)),"YES","No")</f>
        <v>#N/A</v>
      </c>
      <c r="AI90" s="31" t="str">
        <f>_xlfn.IFNA(IF(AE90 &lt; (INDEX(SLATable[Minimum SLA],MATCH(G90,SLATable[Priority],0))),"YES","NO"),"")</f>
        <v/>
      </c>
      <c r="AJ90" t="str">
        <f>_xlfn.IFNA(IF(AE90 &lt; (INDEX(SLATable[Maximum SLA],MATCH(G90,SLATable[Priority],0))),"YES","NO"),"")</f>
        <v/>
      </c>
    </row>
    <row r="91" spans="26:36" ht="15" customHeight="1">
      <c r="Z91" s="76" t="e">
        <f t="shared" ca="1" si="12"/>
        <v>#N/A</v>
      </c>
      <c r="AA91" s="75" t="e">
        <f t="shared" ca="1" si="1"/>
        <v>#N/A</v>
      </c>
      <c r="AB91" s="76">
        <f t="shared" ca="1" si="13"/>
        <v>0</v>
      </c>
      <c r="AC91" s="75">
        <f t="shared" ca="1" si="3"/>
        <v>0</v>
      </c>
      <c r="AD91" s="76">
        <f t="shared" ca="1" si="14"/>
        <v>12388.425641782411</v>
      </c>
      <c r="AE91" s="76">
        <f t="shared" si="15"/>
        <v>0</v>
      </c>
      <c r="AF91" s="75">
        <f t="shared" si="6"/>
        <v>0</v>
      </c>
      <c r="AG91" s="75">
        <f t="shared" si="7"/>
        <v>0</v>
      </c>
      <c r="AH91" s="31" t="e" cm="1">
        <f t="array" aca="1" ref="AH91" ca="1">IF((AD91) &lt; (INDEX(ResponseSLA[#All],(MATCH((G91),ResponseSLA[Priority],0))+1,3)),"YES","No")</f>
        <v>#N/A</v>
      </c>
      <c r="AI91" s="31" t="str">
        <f>_xlfn.IFNA(IF(AE91 &lt; (INDEX(SLATable[Minimum SLA],MATCH(G91,SLATable[Priority],0))),"YES","NO"),"")</f>
        <v/>
      </c>
      <c r="AJ91" t="str">
        <f>_xlfn.IFNA(IF(AE91 &lt; (INDEX(SLATable[Maximum SLA],MATCH(G91,SLATable[Priority],0))),"YES","NO"),"")</f>
        <v/>
      </c>
    </row>
    <row r="92" spans="26:36" ht="15" customHeight="1">
      <c r="Z92" s="76" t="e">
        <f t="shared" ca="1" si="12"/>
        <v>#N/A</v>
      </c>
      <c r="AA92" s="75" t="e">
        <f t="shared" ca="1" si="1"/>
        <v>#N/A</v>
      </c>
      <c r="AB92" s="76">
        <f t="shared" ca="1" si="13"/>
        <v>0</v>
      </c>
      <c r="AC92" s="75">
        <f t="shared" ca="1" si="3"/>
        <v>0</v>
      </c>
      <c r="AD92" s="76">
        <f t="shared" ca="1" si="14"/>
        <v>12388.425641550926</v>
      </c>
      <c r="AE92" s="76">
        <f t="shared" si="15"/>
        <v>0</v>
      </c>
      <c r="AF92" s="75">
        <f t="shared" si="6"/>
        <v>0</v>
      </c>
      <c r="AG92" s="75">
        <f t="shared" si="7"/>
        <v>0</v>
      </c>
      <c r="AH92" s="31" t="e" cm="1">
        <f t="array" aca="1" ref="AH92" ca="1">IF((AD92) &lt; (INDEX(ResponseSLA[#All],(MATCH((G92),ResponseSLA[Priority],0))+1,3)),"YES","No")</f>
        <v>#N/A</v>
      </c>
      <c r="AI92" s="31" t="str">
        <f>_xlfn.IFNA(IF(AE92 &lt; (INDEX(SLATable[Minimum SLA],MATCH(G92,SLATable[Priority],0))),"YES","NO"),"")</f>
        <v/>
      </c>
      <c r="AJ92" t="str">
        <f>_xlfn.IFNA(IF(AE92 &lt; (INDEX(SLATable[Maximum SLA],MATCH(G92,SLATable[Priority],0))),"YES","NO"),"")</f>
        <v/>
      </c>
    </row>
    <row r="93" spans="26:36" ht="15" customHeight="1">
      <c r="Z93" s="76" t="e">
        <f t="shared" ca="1" si="12"/>
        <v>#N/A</v>
      </c>
      <c r="AA93" s="75" t="e">
        <f t="shared" ca="1" si="1"/>
        <v>#N/A</v>
      </c>
      <c r="AB93" s="76">
        <f t="shared" ca="1" si="13"/>
        <v>0</v>
      </c>
      <c r="AC93" s="75">
        <f t="shared" ca="1" si="3"/>
        <v>0</v>
      </c>
      <c r="AD93" s="76">
        <f t="shared" ca="1" si="14"/>
        <v>12388.425641550926</v>
      </c>
      <c r="AE93" s="76">
        <f t="shared" si="15"/>
        <v>0</v>
      </c>
      <c r="AF93" s="75">
        <f t="shared" si="6"/>
        <v>0</v>
      </c>
      <c r="AG93" s="75">
        <f t="shared" si="7"/>
        <v>0</v>
      </c>
      <c r="AH93" s="31" t="e" cm="1">
        <f t="array" aca="1" ref="AH93" ca="1">IF((AD93) &lt; (INDEX(ResponseSLA[#All],(MATCH((G93),ResponseSLA[Priority],0))+1,3)),"YES","No")</f>
        <v>#N/A</v>
      </c>
      <c r="AI93" s="31" t="str">
        <f>_xlfn.IFNA(IF(AE93 &lt; (INDEX(SLATable[Minimum SLA],MATCH(G93,SLATable[Priority],0))),"YES","NO"),"")</f>
        <v/>
      </c>
      <c r="AJ93" t="str">
        <f>_xlfn.IFNA(IF(AE93 &lt; (INDEX(SLATable[Maximum SLA],MATCH(G93,SLATable[Priority],0))),"YES","NO"),"")</f>
        <v/>
      </c>
    </row>
    <row r="94" spans="26:36" ht="15" customHeight="1">
      <c r="Z94" s="76" t="e">
        <f t="shared" ca="1" si="12"/>
        <v>#N/A</v>
      </c>
      <c r="AA94" s="75" t="e">
        <f t="shared" ca="1" si="1"/>
        <v>#N/A</v>
      </c>
      <c r="AB94" s="76">
        <f t="shared" ca="1" si="13"/>
        <v>0</v>
      </c>
      <c r="AC94" s="75">
        <f t="shared" ca="1" si="3"/>
        <v>0</v>
      </c>
      <c r="AD94" s="76">
        <f t="shared" ca="1" si="14"/>
        <v>12388.425641782411</v>
      </c>
      <c r="AE94" s="76">
        <f t="shared" si="15"/>
        <v>0</v>
      </c>
      <c r="AF94" s="75">
        <f t="shared" si="6"/>
        <v>0</v>
      </c>
      <c r="AG94" s="75">
        <f t="shared" si="7"/>
        <v>0</v>
      </c>
      <c r="AH94" s="31" t="e" cm="1">
        <f t="array" aca="1" ref="AH94" ca="1">IF((AD94) &lt; (INDEX(ResponseSLA[#All],(MATCH((G94),ResponseSLA[Priority],0))+1,3)),"YES","No")</f>
        <v>#N/A</v>
      </c>
      <c r="AI94" s="31" t="str">
        <f>_xlfn.IFNA(IF(AE94 &lt; (INDEX(SLATable[Minimum SLA],MATCH(G94,SLATable[Priority],0))),"YES","NO"),"")</f>
        <v/>
      </c>
      <c r="AJ94" t="str">
        <f>_xlfn.IFNA(IF(AE94 &lt; (INDEX(SLATable[Maximum SLA],MATCH(G94,SLATable[Priority],0))),"YES","NO"),"")</f>
        <v/>
      </c>
    </row>
    <row r="95" spans="26:36" ht="15" customHeight="1">
      <c r="Z95" s="76" t="e">
        <f t="shared" ca="1" si="12"/>
        <v>#N/A</v>
      </c>
      <c r="AA95" s="75" t="e">
        <f t="shared" ca="1" si="1"/>
        <v>#N/A</v>
      </c>
      <c r="AB95" s="76">
        <f t="shared" ca="1" si="13"/>
        <v>0</v>
      </c>
      <c r="AC95" s="75">
        <f t="shared" ca="1" si="3"/>
        <v>0</v>
      </c>
      <c r="AD95" s="76">
        <f t="shared" ca="1" si="14"/>
        <v>12388.425641550926</v>
      </c>
      <c r="AE95" s="76">
        <f t="shared" si="15"/>
        <v>0</v>
      </c>
      <c r="AF95" s="75">
        <f t="shared" si="6"/>
        <v>0</v>
      </c>
      <c r="AG95" s="75">
        <f t="shared" si="7"/>
        <v>0</v>
      </c>
      <c r="AH95" s="31" t="e" cm="1">
        <f t="array" aca="1" ref="AH95" ca="1">IF((AD95) &lt; (INDEX(ResponseSLA[#All],(MATCH((G95),ResponseSLA[Priority],0))+1,3)),"YES","No")</f>
        <v>#N/A</v>
      </c>
      <c r="AI95" s="31" t="str">
        <f>_xlfn.IFNA(IF(AE95 &lt; (INDEX(SLATable[Minimum SLA],MATCH(G95,SLATable[Priority],0))),"YES","NO"),"")</f>
        <v/>
      </c>
      <c r="AJ95" t="str">
        <f>_xlfn.IFNA(IF(AE95 &lt; (INDEX(SLATable[Maximum SLA],MATCH(G95,SLATable[Priority],0))),"YES","NO"),"")</f>
        <v/>
      </c>
    </row>
    <row r="96" spans="26:36" ht="15" customHeight="1">
      <c r="Z96" s="76" t="e">
        <f t="shared" ca="1" si="12"/>
        <v>#N/A</v>
      </c>
      <c r="AA96" s="75" t="e">
        <f t="shared" ca="1" si="1"/>
        <v>#N/A</v>
      </c>
      <c r="AB96" s="76">
        <f t="shared" ca="1" si="13"/>
        <v>0</v>
      </c>
      <c r="AC96" s="75">
        <f t="shared" ca="1" si="3"/>
        <v>0</v>
      </c>
      <c r="AD96" s="76">
        <f t="shared" ca="1" si="14"/>
        <v>12388.425641550926</v>
      </c>
      <c r="AE96" s="76">
        <f t="shared" si="15"/>
        <v>0</v>
      </c>
      <c r="AF96" s="75">
        <f t="shared" si="6"/>
        <v>0</v>
      </c>
      <c r="AG96" s="75">
        <f t="shared" si="7"/>
        <v>0</v>
      </c>
      <c r="AH96" s="31" t="e" cm="1">
        <f t="array" aca="1" ref="AH96" ca="1">IF((AD96) &lt; (INDEX(ResponseSLA[#All],(MATCH((G96),ResponseSLA[Priority],0))+1,3)),"YES","No")</f>
        <v>#N/A</v>
      </c>
      <c r="AI96" s="31" t="str">
        <f>_xlfn.IFNA(IF(AE96 &lt; (INDEX(SLATable[Minimum SLA],MATCH(G96,SLATable[Priority],0))),"YES","NO"),"")</f>
        <v/>
      </c>
      <c r="AJ96" t="str">
        <f>_xlfn.IFNA(IF(AE96 &lt; (INDEX(SLATable[Maximum SLA],MATCH(G96,SLATable[Priority],0))),"YES","NO"),"")</f>
        <v/>
      </c>
    </row>
    <row r="97" spans="26:36" ht="15" customHeight="1">
      <c r="Z97" s="76" t="e">
        <f t="shared" ca="1" si="12"/>
        <v>#N/A</v>
      </c>
      <c r="AA97" s="75" t="e">
        <f t="shared" ca="1" si="1"/>
        <v>#N/A</v>
      </c>
      <c r="AB97" s="76">
        <f t="shared" ca="1" si="13"/>
        <v>0</v>
      </c>
      <c r="AC97" s="75">
        <f t="shared" ca="1" si="3"/>
        <v>0</v>
      </c>
      <c r="AD97" s="76">
        <f t="shared" ca="1" si="14"/>
        <v>12388.425641782411</v>
      </c>
      <c r="AE97" s="76">
        <f t="shared" si="15"/>
        <v>0</v>
      </c>
      <c r="AF97" s="75">
        <f t="shared" si="6"/>
        <v>0</v>
      </c>
      <c r="AG97" s="75">
        <f t="shared" si="7"/>
        <v>0</v>
      </c>
      <c r="AH97" s="31" t="e" cm="1">
        <f t="array" aca="1" ref="AH97" ca="1">IF((AD97) &lt; (INDEX(ResponseSLA[#All],(MATCH((G97),ResponseSLA[Priority],0))+1,3)),"YES","No")</f>
        <v>#N/A</v>
      </c>
      <c r="AI97" s="31" t="str">
        <f>_xlfn.IFNA(IF(AE97 &lt; (INDEX(SLATable[Minimum SLA],MATCH(G97,SLATable[Priority],0))),"YES","NO"),"")</f>
        <v/>
      </c>
      <c r="AJ97" t="str">
        <f>_xlfn.IFNA(IF(AE97 &lt; (INDEX(SLATable[Maximum SLA],MATCH(G97,SLATable[Priority],0))),"YES","NO"),"")</f>
        <v/>
      </c>
    </row>
    <row r="98" spans="26:36" ht="15" customHeight="1">
      <c r="Z98" s="76" t="e">
        <f t="shared" ca="1" si="12"/>
        <v>#N/A</v>
      </c>
      <c r="AA98" s="75" t="e">
        <f t="shared" ca="1" si="1"/>
        <v>#N/A</v>
      </c>
      <c r="AB98" s="76">
        <f t="shared" ca="1" si="13"/>
        <v>0</v>
      </c>
      <c r="AC98" s="75">
        <f t="shared" ca="1" si="3"/>
        <v>0</v>
      </c>
      <c r="AD98" s="76">
        <f t="shared" ca="1" si="14"/>
        <v>12388.425641550926</v>
      </c>
      <c r="AE98" s="76">
        <f t="shared" si="15"/>
        <v>0</v>
      </c>
      <c r="AF98" s="75">
        <f t="shared" si="6"/>
        <v>0</v>
      </c>
      <c r="AG98" s="75">
        <f t="shared" si="7"/>
        <v>0</v>
      </c>
      <c r="AH98" s="31" t="e" cm="1">
        <f t="array" aca="1" ref="AH98" ca="1">IF((AD98) &lt; (INDEX(ResponseSLA[#All],(MATCH((G98),ResponseSLA[Priority],0))+1,3)),"YES","No")</f>
        <v>#N/A</v>
      </c>
      <c r="AI98" s="31" t="str">
        <f>_xlfn.IFNA(IF(AE98 &lt; (INDEX(SLATable[Minimum SLA],MATCH(G98,SLATable[Priority],0))),"YES","NO"),"")</f>
        <v/>
      </c>
      <c r="AJ98" t="str">
        <f>_xlfn.IFNA(IF(AE98 &lt; (INDEX(SLATable[Maximum SLA],MATCH(G98,SLATable[Priority],0))),"YES","NO"),"")</f>
        <v/>
      </c>
    </row>
    <row r="99" spans="26:36" ht="15" customHeight="1">
      <c r="Z99" s="76" t="e">
        <f t="shared" ca="1" si="12"/>
        <v>#N/A</v>
      </c>
      <c r="AA99" s="75" t="e">
        <f t="shared" ca="1" si="1"/>
        <v>#N/A</v>
      </c>
      <c r="AB99" s="76">
        <f t="shared" ca="1" si="13"/>
        <v>0</v>
      </c>
      <c r="AC99" s="75">
        <f t="shared" ca="1" si="3"/>
        <v>0</v>
      </c>
      <c r="AD99" s="76">
        <f t="shared" ca="1" si="14"/>
        <v>12388.425641550926</v>
      </c>
      <c r="AE99" s="76">
        <f t="shared" si="15"/>
        <v>0</v>
      </c>
      <c r="AF99" s="75">
        <f t="shared" si="6"/>
        <v>0</v>
      </c>
      <c r="AG99" s="75">
        <f t="shared" si="7"/>
        <v>0</v>
      </c>
      <c r="AH99" s="31" t="e" cm="1">
        <f t="array" aca="1" ref="AH99" ca="1">IF((AD99) &lt; (INDEX(ResponseSLA[#All],(MATCH((G99),ResponseSLA[Priority],0))+1,3)),"YES","No")</f>
        <v>#N/A</v>
      </c>
      <c r="AI99" s="31" t="str">
        <f>_xlfn.IFNA(IF(AE99 &lt; (INDEX(SLATable[Minimum SLA],MATCH(G99,SLATable[Priority],0))),"YES","NO"),"")</f>
        <v/>
      </c>
      <c r="AJ99" t="str">
        <f>_xlfn.IFNA(IF(AE99 &lt; (INDEX(SLATable[Maximum SLA],MATCH(G99,SLATable[Priority],0))),"YES","NO"),"")</f>
        <v/>
      </c>
    </row>
    <row r="100" spans="26:36" ht="15" customHeight="1">
      <c r="Z100" s="76" t="e">
        <f t="shared" ca="1" si="12"/>
        <v>#N/A</v>
      </c>
      <c r="AA100" s="75" t="e">
        <f t="shared" ca="1" si="1"/>
        <v>#N/A</v>
      </c>
      <c r="AB100" s="76">
        <f t="shared" ca="1" si="13"/>
        <v>0</v>
      </c>
      <c r="AC100" s="75">
        <f t="shared" ca="1" si="3"/>
        <v>0</v>
      </c>
      <c r="AD100" s="76">
        <f t="shared" ca="1" si="14"/>
        <v>12388.425641782411</v>
      </c>
      <c r="AE100" s="76">
        <f t="shared" si="15"/>
        <v>0</v>
      </c>
      <c r="AF100" s="75">
        <f t="shared" si="6"/>
        <v>0</v>
      </c>
      <c r="AG100" s="75">
        <f t="shared" si="7"/>
        <v>0</v>
      </c>
      <c r="AH100" s="31" t="e" cm="1">
        <f t="array" aca="1" ref="AH100" ca="1">IF((AD100) &lt; (INDEX(ResponseSLA[#All],(MATCH((G100),ResponseSLA[Priority],0))+1,3)),"YES","No")</f>
        <v>#N/A</v>
      </c>
      <c r="AI100" s="31" t="str">
        <f>_xlfn.IFNA(IF(AE100 &lt; (INDEX(SLATable[Minimum SLA],MATCH(G100,SLATable[Priority],0))),"YES","NO"),"")</f>
        <v/>
      </c>
      <c r="AJ100" t="str">
        <f>_xlfn.IFNA(IF(AE100 &lt; (INDEX(SLATable[Maximum SLA],MATCH(G100,SLATable[Priority],0))),"YES","NO"),"")</f>
        <v/>
      </c>
    </row>
    <row r="101" spans="26:36" ht="15" customHeight="1">
      <c r="Z101" s="76" t="e">
        <f t="shared" ca="1" si="12"/>
        <v>#N/A</v>
      </c>
      <c r="AA101" s="75" t="e">
        <f t="shared" ca="1" si="1"/>
        <v>#N/A</v>
      </c>
      <c r="AB101" s="76">
        <f t="shared" ca="1" si="13"/>
        <v>0</v>
      </c>
      <c r="AC101" s="75">
        <f t="shared" ca="1" si="3"/>
        <v>0</v>
      </c>
      <c r="AD101" s="76">
        <f t="shared" ca="1" si="14"/>
        <v>12388.425641550926</v>
      </c>
      <c r="AE101" s="76">
        <f t="shared" si="15"/>
        <v>0</v>
      </c>
      <c r="AF101" s="75">
        <f t="shared" si="6"/>
        <v>0</v>
      </c>
      <c r="AG101" s="75">
        <f t="shared" si="7"/>
        <v>0</v>
      </c>
      <c r="AH101" s="31" t="e" cm="1">
        <f t="array" aca="1" ref="AH101" ca="1">IF((AD101) &lt; (INDEX(ResponseSLA[#All],(MATCH((G101),ResponseSLA[Priority],0))+1,3)),"YES","No")</f>
        <v>#N/A</v>
      </c>
      <c r="AI101" s="31" t="str">
        <f>_xlfn.IFNA(IF(AE101 &lt; (INDEX(SLATable[Minimum SLA],MATCH(G101,SLATable[Priority],0))),"YES","NO"),"")</f>
        <v/>
      </c>
      <c r="AJ101" t="str">
        <f>_xlfn.IFNA(IF(AE101 &lt; (INDEX(SLATable[Maximum SLA],MATCH(G101,SLATable[Priority],0))),"YES","NO"),"")</f>
        <v/>
      </c>
    </row>
    <row r="102" spans="26:36" ht="15" customHeight="1">
      <c r="Z102" s="76" t="e">
        <f t="shared" ca="1" si="12"/>
        <v>#N/A</v>
      </c>
      <c r="AA102" s="75" t="e">
        <f t="shared" ca="1" si="1"/>
        <v>#N/A</v>
      </c>
      <c r="AB102" s="76">
        <f t="shared" ca="1" si="13"/>
        <v>0</v>
      </c>
      <c r="AC102" s="75">
        <f t="shared" ca="1" si="3"/>
        <v>0</v>
      </c>
      <c r="AD102" s="76">
        <f t="shared" ca="1" si="14"/>
        <v>12388.425641550926</v>
      </c>
      <c r="AE102" s="76">
        <f t="shared" si="15"/>
        <v>0</v>
      </c>
      <c r="AF102" s="75">
        <f t="shared" si="6"/>
        <v>0</v>
      </c>
      <c r="AG102" s="75">
        <f t="shared" si="7"/>
        <v>0</v>
      </c>
      <c r="AH102" s="31" t="e" cm="1">
        <f t="array" aca="1" ref="AH102" ca="1">IF((AD102) &lt; (INDEX(ResponseSLA[#All],(MATCH((G102),ResponseSLA[Priority],0))+1,3)),"YES","No")</f>
        <v>#N/A</v>
      </c>
      <c r="AI102" s="31" t="str">
        <f>_xlfn.IFNA(IF(AE102 &lt; (INDEX(SLATable[Minimum SLA],MATCH(G102,SLATable[Priority],0))),"YES","NO"),"")</f>
        <v/>
      </c>
      <c r="AJ102" t="str">
        <f>_xlfn.IFNA(IF(AE102 &lt; (INDEX(SLATable[Maximum SLA],MATCH(G102,SLATable[Priority],0))),"YES","NO"),"")</f>
        <v/>
      </c>
    </row>
    <row r="103" spans="26:36" ht="15" customHeight="1">
      <c r="Z103" s="76" t="e">
        <f t="shared" ca="1" si="12"/>
        <v>#N/A</v>
      </c>
      <c r="AA103" s="75" t="e">
        <f t="shared" ca="1" si="1"/>
        <v>#N/A</v>
      </c>
      <c r="AB103" s="76">
        <f t="shared" ca="1" si="13"/>
        <v>0</v>
      </c>
      <c r="AC103" s="75">
        <f t="shared" ca="1" si="3"/>
        <v>0</v>
      </c>
      <c r="AD103" s="76">
        <f t="shared" ca="1" si="14"/>
        <v>12388.425641782411</v>
      </c>
      <c r="AE103" s="76">
        <f t="shared" si="15"/>
        <v>0</v>
      </c>
      <c r="AF103" s="75">
        <f t="shared" si="6"/>
        <v>0</v>
      </c>
      <c r="AG103" s="75">
        <f t="shared" si="7"/>
        <v>0</v>
      </c>
      <c r="AH103" s="31" t="e" cm="1">
        <f t="array" aca="1" ref="AH103" ca="1">IF((AD103) &lt; (INDEX(ResponseSLA[#All],(MATCH((G103),ResponseSLA[Priority],0))+1,3)),"YES","No")</f>
        <v>#N/A</v>
      </c>
      <c r="AI103" s="31" t="str">
        <f>_xlfn.IFNA(IF(AE103 &lt; (INDEX(SLATable[Minimum SLA],MATCH(G103,SLATable[Priority],0))),"YES","NO"),"")</f>
        <v/>
      </c>
      <c r="AJ103" t="str">
        <f>_xlfn.IFNA(IF(AE103 &lt; (INDEX(SLATable[Maximum SLA],MATCH(G103,SLATable[Priority],0))),"YES","NO"),"")</f>
        <v/>
      </c>
    </row>
    <row r="104" spans="26:36" ht="15" customHeight="1">
      <c r="Z104" s="76" t="e">
        <f t="shared" ca="1" si="12"/>
        <v>#N/A</v>
      </c>
      <c r="AA104" s="75" t="e">
        <f t="shared" ca="1" si="1"/>
        <v>#N/A</v>
      </c>
      <c r="AB104" s="76">
        <f t="shared" ca="1" si="13"/>
        <v>0</v>
      </c>
      <c r="AC104" s="75">
        <f t="shared" ca="1" si="3"/>
        <v>0</v>
      </c>
      <c r="AD104" s="76">
        <f t="shared" ca="1" si="14"/>
        <v>12388.425641550926</v>
      </c>
      <c r="AE104" s="76">
        <f t="shared" si="15"/>
        <v>0</v>
      </c>
      <c r="AF104" s="75">
        <f t="shared" si="6"/>
        <v>0</v>
      </c>
      <c r="AG104" s="75">
        <f t="shared" si="7"/>
        <v>0</v>
      </c>
      <c r="AH104" s="31" t="e" cm="1">
        <f t="array" aca="1" ref="AH104" ca="1">IF((AD104) &lt; (INDEX(ResponseSLA[#All],(MATCH((G104),ResponseSLA[Priority],0))+1,3)),"YES","No")</f>
        <v>#N/A</v>
      </c>
      <c r="AI104" s="31" t="str">
        <f>_xlfn.IFNA(IF(AE104 &lt; (INDEX(SLATable[Minimum SLA],MATCH(G104,SLATable[Priority],0))),"YES","NO"),"")</f>
        <v/>
      </c>
      <c r="AJ104" t="str">
        <f>_xlfn.IFNA(IF(AE104 &lt; (INDEX(SLATable[Maximum SLA],MATCH(G104,SLATable[Priority],0))),"YES","NO"),"")</f>
        <v/>
      </c>
    </row>
    <row r="105" spans="26:36" ht="15" customHeight="1">
      <c r="Z105" s="76" t="e">
        <f t="shared" ca="1" si="12"/>
        <v>#N/A</v>
      </c>
      <c r="AA105" s="75" t="e">
        <f t="shared" ca="1" si="1"/>
        <v>#N/A</v>
      </c>
      <c r="AB105" s="76">
        <f t="shared" ca="1" si="13"/>
        <v>0</v>
      </c>
      <c r="AC105" s="75">
        <f t="shared" ca="1" si="3"/>
        <v>0</v>
      </c>
      <c r="AD105" s="76">
        <f t="shared" ca="1" si="14"/>
        <v>12388.425641550926</v>
      </c>
      <c r="AE105" s="76">
        <f t="shared" si="15"/>
        <v>0</v>
      </c>
      <c r="AF105" s="75">
        <f t="shared" si="6"/>
        <v>0</v>
      </c>
      <c r="AG105" s="75">
        <f t="shared" si="7"/>
        <v>0</v>
      </c>
      <c r="AH105" s="31" t="e" cm="1">
        <f t="array" aca="1" ref="AH105" ca="1">IF((AD105) &lt; (INDEX(ResponseSLA[#All],(MATCH((G105),ResponseSLA[Priority],0))+1,3)),"YES","No")</f>
        <v>#N/A</v>
      </c>
      <c r="AI105" s="31" t="str">
        <f>_xlfn.IFNA(IF(AE105 &lt; (INDEX(SLATable[Minimum SLA],MATCH(G105,SLATable[Priority],0))),"YES","NO"),"")</f>
        <v/>
      </c>
      <c r="AJ105" t="str">
        <f>_xlfn.IFNA(IF(AE105 &lt; (INDEX(SLATable[Maximum SLA],MATCH(G105,SLATable[Priority],0))),"YES","NO"),"")</f>
        <v/>
      </c>
    </row>
    <row r="106" spans="26:36" ht="15" customHeight="1">
      <c r="Z106" s="76" t="e">
        <f t="shared" ca="1" si="12"/>
        <v>#N/A</v>
      </c>
      <c r="AA106" s="75" t="e">
        <f t="shared" ca="1" si="1"/>
        <v>#N/A</v>
      </c>
      <c r="AB106" s="76">
        <f t="shared" ca="1" si="13"/>
        <v>0</v>
      </c>
      <c r="AC106" s="75">
        <f t="shared" ca="1" si="3"/>
        <v>0</v>
      </c>
      <c r="AD106" s="76">
        <f t="shared" ca="1" si="14"/>
        <v>12388.425641782411</v>
      </c>
      <c r="AE106" s="76">
        <f t="shared" si="15"/>
        <v>0</v>
      </c>
      <c r="AF106" s="75">
        <f t="shared" si="6"/>
        <v>0</v>
      </c>
      <c r="AG106" s="75">
        <f t="shared" si="7"/>
        <v>0</v>
      </c>
      <c r="AH106" s="31" t="e" cm="1">
        <f t="array" aca="1" ref="AH106" ca="1">IF((AD106) &lt; (INDEX(ResponseSLA[#All],(MATCH((G106),ResponseSLA[Priority],0))+1,3)),"YES","No")</f>
        <v>#N/A</v>
      </c>
      <c r="AI106" s="31" t="str">
        <f>_xlfn.IFNA(IF(AE106 &lt; (INDEX(SLATable[Minimum SLA],MATCH(G106,SLATable[Priority],0))),"YES","NO"),"")</f>
        <v/>
      </c>
      <c r="AJ106" t="str">
        <f>_xlfn.IFNA(IF(AE106 &lt; (INDEX(SLATable[Maximum SLA],MATCH(G106,SLATable[Priority],0))),"YES","NO"),"")</f>
        <v/>
      </c>
    </row>
    <row r="107" spans="26:36" ht="15" customHeight="1">
      <c r="Z107" s="76" t="e">
        <f t="shared" ca="1" si="12"/>
        <v>#N/A</v>
      </c>
      <c r="AA107" s="75" t="e">
        <f t="shared" ca="1" si="1"/>
        <v>#N/A</v>
      </c>
      <c r="AB107" s="76">
        <f t="shared" ca="1" si="13"/>
        <v>0</v>
      </c>
      <c r="AC107" s="75">
        <f t="shared" ca="1" si="3"/>
        <v>0</v>
      </c>
      <c r="AD107" s="76">
        <f t="shared" ca="1" si="14"/>
        <v>12388.425641550926</v>
      </c>
      <c r="AE107" s="76">
        <f t="shared" si="15"/>
        <v>0</v>
      </c>
      <c r="AF107" s="75">
        <f t="shared" si="6"/>
        <v>0</v>
      </c>
      <c r="AG107" s="75">
        <f t="shared" si="7"/>
        <v>0</v>
      </c>
      <c r="AH107" s="31" t="e" cm="1">
        <f t="array" aca="1" ref="AH107" ca="1">IF((AD107) &lt; (INDEX(ResponseSLA[#All],(MATCH((G107),ResponseSLA[Priority],0))+1,3)),"YES","No")</f>
        <v>#N/A</v>
      </c>
      <c r="AI107" s="31" t="str">
        <f>_xlfn.IFNA(IF(AE107 &lt; (INDEX(SLATable[Minimum SLA],MATCH(G107,SLATable[Priority],0))),"YES","NO"),"")</f>
        <v/>
      </c>
      <c r="AJ107" t="str">
        <f>_xlfn.IFNA(IF(AE107 &lt; (INDEX(SLATable[Maximum SLA],MATCH(G107,SLATable[Priority],0))),"YES","NO"),"")</f>
        <v/>
      </c>
    </row>
    <row r="108" spans="26:36" ht="15" customHeight="1">
      <c r="Z108" s="76" t="e">
        <f t="shared" ca="1" si="12"/>
        <v>#N/A</v>
      </c>
      <c r="AA108" s="75" t="e">
        <f t="shared" ca="1" si="1"/>
        <v>#N/A</v>
      </c>
      <c r="AB108" s="76">
        <f t="shared" ca="1" si="13"/>
        <v>0</v>
      </c>
      <c r="AC108" s="75">
        <f t="shared" ca="1" si="3"/>
        <v>0</v>
      </c>
      <c r="AD108" s="76">
        <f t="shared" ca="1" si="14"/>
        <v>12388.425641550926</v>
      </c>
      <c r="AE108" s="76">
        <f t="shared" si="15"/>
        <v>0</v>
      </c>
      <c r="AF108" s="75">
        <f t="shared" si="6"/>
        <v>0</v>
      </c>
      <c r="AG108" s="75">
        <f t="shared" si="7"/>
        <v>0</v>
      </c>
      <c r="AH108" s="31" t="e" cm="1">
        <f t="array" aca="1" ref="AH108" ca="1">IF((AD108) &lt; (INDEX(ResponseSLA[#All],(MATCH((G108),ResponseSLA[Priority],0))+1,3)),"YES","No")</f>
        <v>#N/A</v>
      </c>
      <c r="AI108" s="31" t="str">
        <f>_xlfn.IFNA(IF(AE108 &lt; (INDEX(SLATable[Minimum SLA],MATCH(G108,SLATable[Priority],0))),"YES","NO"),"")</f>
        <v/>
      </c>
      <c r="AJ108" t="str">
        <f>_xlfn.IFNA(IF(AE108 &lt; (INDEX(SLATable[Maximum SLA],MATCH(G108,SLATable[Priority],0))),"YES","NO"),"")</f>
        <v/>
      </c>
    </row>
    <row r="109" spans="26:36" ht="15" customHeight="1">
      <c r="Z109" s="76" t="e">
        <f t="shared" ca="1" si="12"/>
        <v>#N/A</v>
      </c>
      <c r="AA109" s="75" t="e">
        <f t="shared" ca="1" si="1"/>
        <v>#N/A</v>
      </c>
      <c r="AB109" s="76">
        <f t="shared" ca="1" si="13"/>
        <v>0</v>
      </c>
      <c r="AC109" s="75">
        <f t="shared" ca="1" si="3"/>
        <v>0</v>
      </c>
      <c r="AD109" s="76">
        <f t="shared" ca="1" si="14"/>
        <v>12388.425641782411</v>
      </c>
      <c r="AE109" s="76">
        <f t="shared" si="15"/>
        <v>0</v>
      </c>
      <c r="AF109" s="75">
        <f t="shared" si="6"/>
        <v>0</v>
      </c>
      <c r="AG109" s="75">
        <f t="shared" si="7"/>
        <v>0</v>
      </c>
      <c r="AH109" s="31" t="e" cm="1">
        <f t="array" aca="1" ref="AH109" ca="1">IF((AD109) &lt; (INDEX(ResponseSLA[#All],(MATCH((G109),ResponseSLA[Priority],0))+1,3)),"YES","No")</f>
        <v>#N/A</v>
      </c>
      <c r="AI109" s="31" t="str">
        <f>_xlfn.IFNA(IF(AE109 &lt; (INDEX(SLATable[Minimum SLA],MATCH(G109,SLATable[Priority],0))),"YES","NO"),"")</f>
        <v/>
      </c>
      <c r="AJ109" t="str">
        <f>_xlfn.IFNA(IF(AE109 &lt; (INDEX(SLATable[Maximum SLA],MATCH(G109,SLATable[Priority],0))),"YES","NO"),"")</f>
        <v/>
      </c>
    </row>
    <row r="110" spans="26:36" ht="15" customHeight="1">
      <c r="Z110" s="76" t="e">
        <f t="shared" ca="1" si="12"/>
        <v>#N/A</v>
      </c>
      <c r="AA110" s="75" t="e">
        <f t="shared" ca="1" si="1"/>
        <v>#N/A</v>
      </c>
      <c r="AB110" s="76">
        <f t="shared" ca="1" si="13"/>
        <v>0</v>
      </c>
      <c r="AC110" s="75">
        <f t="shared" ca="1" si="3"/>
        <v>0</v>
      </c>
      <c r="AD110" s="76">
        <f t="shared" ca="1" si="14"/>
        <v>12388.425641550926</v>
      </c>
      <c r="AE110" s="76">
        <f t="shared" si="15"/>
        <v>0</v>
      </c>
      <c r="AF110" s="75">
        <f t="shared" si="6"/>
        <v>0</v>
      </c>
      <c r="AG110" s="75">
        <f t="shared" si="7"/>
        <v>0</v>
      </c>
      <c r="AH110" s="31" t="e" cm="1">
        <f t="array" aca="1" ref="AH110" ca="1">IF((AD110) &lt; (INDEX(ResponseSLA[#All],(MATCH((G110),ResponseSLA[Priority],0))+1,3)),"YES","No")</f>
        <v>#N/A</v>
      </c>
      <c r="AI110" s="31" t="str">
        <f>_xlfn.IFNA(IF(AE110 &lt; (INDEX(SLATable[Minimum SLA],MATCH(G110,SLATable[Priority],0))),"YES","NO"),"")</f>
        <v/>
      </c>
      <c r="AJ110" t="str">
        <f>_xlfn.IFNA(IF(AE110 &lt; (INDEX(SLATable[Maximum SLA],MATCH(G110,SLATable[Priority],0))),"YES","NO"),"")</f>
        <v/>
      </c>
    </row>
    <row r="111" spans="26:36" ht="15" customHeight="1">
      <c r="Z111" s="76" t="e">
        <f t="shared" ca="1" si="12"/>
        <v>#N/A</v>
      </c>
      <c r="AA111" s="75" t="e">
        <f t="shared" ca="1" si="1"/>
        <v>#N/A</v>
      </c>
      <c r="AB111" s="76">
        <f t="shared" ca="1" si="13"/>
        <v>0</v>
      </c>
      <c r="AC111" s="75">
        <f t="shared" ca="1" si="3"/>
        <v>0</v>
      </c>
      <c r="AD111" s="76">
        <f t="shared" ca="1" si="14"/>
        <v>12388.425641550926</v>
      </c>
      <c r="AE111" s="76">
        <f t="shared" si="15"/>
        <v>0</v>
      </c>
      <c r="AF111" s="75">
        <f t="shared" si="6"/>
        <v>0</v>
      </c>
      <c r="AG111" s="75">
        <f t="shared" si="7"/>
        <v>0</v>
      </c>
      <c r="AH111" s="31" t="e" cm="1">
        <f t="array" aca="1" ref="AH111" ca="1">IF((AD111) &lt; (INDEX(ResponseSLA[#All],(MATCH((G111),ResponseSLA[Priority],0))+1,3)),"YES","No")</f>
        <v>#N/A</v>
      </c>
      <c r="AI111" s="31" t="str">
        <f>_xlfn.IFNA(IF(AE111 &lt; (INDEX(SLATable[Minimum SLA],MATCH(G111,SLATable[Priority],0))),"YES","NO"),"")</f>
        <v/>
      </c>
      <c r="AJ111" t="str">
        <f>_xlfn.IFNA(IF(AE111 &lt; (INDEX(SLATable[Maximum SLA],MATCH(G111,SLATable[Priority],0))),"YES","NO"),"")</f>
        <v/>
      </c>
    </row>
    <row r="112" spans="26:36" ht="15" customHeight="1">
      <c r="Z112" s="76" t="e">
        <f t="shared" ca="1" si="12"/>
        <v>#N/A</v>
      </c>
      <c r="AA112" s="75" t="e">
        <f t="shared" ca="1" si="1"/>
        <v>#N/A</v>
      </c>
      <c r="AB112" s="76">
        <f t="shared" ca="1" si="13"/>
        <v>0</v>
      </c>
      <c r="AC112" s="75">
        <f t="shared" ca="1" si="3"/>
        <v>0</v>
      </c>
      <c r="AD112" s="76">
        <f t="shared" ca="1" si="14"/>
        <v>12388.425641782411</v>
      </c>
      <c r="AE112" s="76">
        <f t="shared" si="15"/>
        <v>0</v>
      </c>
      <c r="AF112" s="75">
        <f t="shared" si="6"/>
        <v>0</v>
      </c>
      <c r="AG112" s="75">
        <f t="shared" si="7"/>
        <v>0</v>
      </c>
      <c r="AH112" s="31" t="e" cm="1">
        <f t="array" aca="1" ref="AH112" ca="1">IF((AD112) &lt; (INDEX(ResponseSLA[#All],(MATCH((G112),ResponseSLA[Priority],0))+1,3)),"YES","No")</f>
        <v>#N/A</v>
      </c>
      <c r="AI112" s="31" t="str">
        <f>_xlfn.IFNA(IF(AE112 &lt; (INDEX(SLATable[Minimum SLA],MATCH(G112,SLATable[Priority],0))),"YES","NO"),"")</f>
        <v/>
      </c>
      <c r="AJ112" t="str">
        <f>_xlfn.IFNA(IF(AE112 &lt; (INDEX(SLATable[Maximum SLA],MATCH(G112,SLATable[Priority],0))),"YES","NO"),"")</f>
        <v/>
      </c>
    </row>
    <row r="113" spans="26:36" ht="15" customHeight="1">
      <c r="Z113" s="76" t="e">
        <f t="shared" ca="1" si="12"/>
        <v>#N/A</v>
      </c>
      <c r="AA113" s="75" t="e">
        <f t="shared" ca="1" si="1"/>
        <v>#N/A</v>
      </c>
      <c r="AB113" s="76">
        <f t="shared" ca="1" si="13"/>
        <v>0</v>
      </c>
      <c r="AC113" s="75">
        <f t="shared" ca="1" si="3"/>
        <v>0</v>
      </c>
      <c r="AD113" s="76">
        <f t="shared" ca="1" si="14"/>
        <v>12388.425641550926</v>
      </c>
      <c r="AE113" s="76">
        <f t="shared" si="15"/>
        <v>0</v>
      </c>
      <c r="AF113" s="75">
        <f t="shared" si="6"/>
        <v>0</v>
      </c>
      <c r="AG113" s="75">
        <f t="shared" si="7"/>
        <v>0</v>
      </c>
      <c r="AH113" s="31" t="e" cm="1">
        <f t="array" aca="1" ref="AH113" ca="1">IF((AD113) &lt; (INDEX(ResponseSLA[#All],(MATCH((G113),ResponseSLA[Priority],0))+1,3)),"YES","No")</f>
        <v>#N/A</v>
      </c>
      <c r="AI113" s="31" t="str">
        <f>_xlfn.IFNA(IF(AE113 &lt; (INDEX(SLATable[Minimum SLA],MATCH(G113,SLATable[Priority],0))),"YES","NO"),"")</f>
        <v/>
      </c>
      <c r="AJ113" t="str">
        <f>_xlfn.IFNA(IF(AE113 &lt; (INDEX(SLATable[Maximum SLA],MATCH(G113,SLATable[Priority],0))),"YES","NO"),"")</f>
        <v/>
      </c>
    </row>
    <row r="114" spans="26:36" ht="15" customHeight="1">
      <c r="Z114" s="76" t="e">
        <f t="shared" ca="1" si="12"/>
        <v>#N/A</v>
      </c>
      <c r="AA114" s="75" t="e">
        <f t="shared" ca="1" si="1"/>
        <v>#N/A</v>
      </c>
      <c r="AB114" s="76">
        <f t="shared" ca="1" si="13"/>
        <v>0</v>
      </c>
      <c r="AC114" s="75">
        <f t="shared" ca="1" si="3"/>
        <v>0</v>
      </c>
      <c r="AD114" s="76">
        <f t="shared" ca="1" si="14"/>
        <v>12388.425641550926</v>
      </c>
      <c r="AE114" s="76">
        <f t="shared" si="15"/>
        <v>0</v>
      </c>
      <c r="AF114" s="75">
        <f t="shared" si="6"/>
        <v>0</v>
      </c>
      <c r="AG114" s="75">
        <f t="shared" si="7"/>
        <v>0</v>
      </c>
      <c r="AH114" s="31" t="e" cm="1">
        <f t="array" aca="1" ref="AH114" ca="1">IF((AD114) &lt; (INDEX(ResponseSLA[#All],(MATCH((G114),ResponseSLA[Priority],0))+1,3)),"YES","No")</f>
        <v>#N/A</v>
      </c>
      <c r="AI114" s="31" t="str">
        <f>_xlfn.IFNA(IF(AE114 &lt; (INDEX(SLATable[Minimum SLA],MATCH(G114,SLATable[Priority],0))),"YES","NO"),"")</f>
        <v/>
      </c>
      <c r="AJ114" t="str">
        <f>_xlfn.IFNA(IF(AE114 &lt; (INDEX(SLATable[Maximum SLA],MATCH(G114,SLATable[Priority],0))),"YES","NO"),"")</f>
        <v/>
      </c>
    </row>
    <row r="115" spans="26:36" ht="15" customHeight="1">
      <c r="Z115" s="76" t="e">
        <f t="shared" ca="1" si="12"/>
        <v>#N/A</v>
      </c>
      <c r="AA115" s="75" t="e">
        <f t="shared" ca="1" si="1"/>
        <v>#N/A</v>
      </c>
      <c r="AB115" s="76">
        <f t="shared" ca="1" si="13"/>
        <v>0</v>
      </c>
      <c r="AC115" s="75">
        <f t="shared" ca="1" si="3"/>
        <v>0</v>
      </c>
      <c r="AD115" s="76">
        <f t="shared" ca="1" si="14"/>
        <v>12388.425641782411</v>
      </c>
      <c r="AE115" s="76">
        <f t="shared" si="15"/>
        <v>0</v>
      </c>
      <c r="AF115" s="75">
        <f t="shared" si="6"/>
        <v>0</v>
      </c>
      <c r="AG115" s="75">
        <f t="shared" si="7"/>
        <v>0</v>
      </c>
      <c r="AH115" s="31" t="e" cm="1">
        <f t="array" aca="1" ref="AH115" ca="1">IF((AD115) &lt; (INDEX(ResponseSLA[#All],(MATCH((G115),ResponseSLA[Priority],0))+1,3)),"YES","No")</f>
        <v>#N/A</v>
      </c>
      <c r="AI115" s="31" t="str">
        <f>_xlfn.IFNA(IF(AE115 &lt; (INDEX(SLATable[Minimum SLA],MATCH(G115,SLATable[Priority],0))),"YES","NO"),"")</f>
        <v/>
      </c>
      <c r="AJ115" t="str">
        <f>_xlfn.IFNA(IF(AE115 &lt; (INDEX(SLATable[Maximum SLA],MATCH(G115,SLATable[Priority],0))),"YES","NO"),"")</f>
        <v/>
      </c>
    </row>
    <row r="116" spans="26:36" ht="15" customHeight="1">
      <c r="Z116" s="76" t="e">
        <f t="shared" ca="1" si="12"/>
        <v>#N/A</v>
      </c>
      <c r="AA116" s="75" t="e">
        <f t="shared" ca="1" si="1"/>
        <v>#N/A</v>
      </c>
      <c r="AB116" s="76">
        <f t="shared" ca="1" si="13"/>
        <v>0</v>
      </c>
      <c r="AC116" s="75">
        <f t="shared" ca="1" si="3"/>
        <v>0</v>
      </c>
      <c r="AD116" s="76">
        <f t="shared" ca="1" si="14"/>
        <v>12388.425641550926</v>
      </c>
      <c r="AE116" s="76">
        <f t="shared" si="15"/>
        <v>0</v>
      </c>
      <c r="AF116" s="75">
        <f t="shared" si="6"/>
        <v>0</v>
      </c>
      <c r="AG116" s="75">
        <f t="shared" si="7"/>
        <v>0</v>
      </c>
      <c r="AH116" s="31" t="e" cm="1">
        <f t="array" aca="1" ref="AH116" ca="1">IF((AD116) &lt; (INDEX(ResponseSLA[#All],(MATCH((G116),ResponseSLA[Priority],0))+1,3)),"YES","No")</f>
        <v>#N/A</v>
      </c>
      <c r="AI116" s="31" t="str">
        <f>_xlfn.IFNA(IF(AE116 &lt; (INDEX(SLATable[Minimum SLA],MATCH(G116,SLATable[Priority],0))),"YES","NO"),"")</f>
        <v/>
      </c>
      <c r="AJ116" t="str">
        <f>_xlfn.IFNA(IF(AE116 &lt; (INDEX(SLATable[Maximum SLA],MATCH(G116,SLATable[Priority],0))),"YES","NO"),"")</f>
        <v/>
      </c>
    </row>
    <row r="117" spans="26:36" ht="15" customHeight="1">
      <c r="Z117" s="76" t="e">
        <f t="shared" ca="1" si="12"/>
        <v>#N/A</v>
      </c>
      <c r="AA117" s="75" t="e">
        <f t="shared" ca="1" si="1"/>
        <v>#N/A</v>
      </c>
      <c r="AB117" s="76">
        <f t="shared" ca="1" si="13"/>
        <v>0</v>
      </c>
      <c r="AC117" s="75">
        <f t="shared" ca="1" si="3"/>
        <v>0</v>
      </c>
      <c r="AD117" s="76">
        <f t="shared" ca="1" si="14"/>
        <v>12388.425641550926</v>
      </c>
      <c r="AE117" s="76">
        <f t="shared" si="15"/>
        <v>0</v>
      </c>
      <c r="AF117" s="75">
        <f t="shared" si="6"/>
        <v>0</v>
      </c>
      <c r="AG117" s="75">
        <f t="shared" si="7"/>
        <v>0</v>
      </c>
      <c r="AH117" s="31" t="e" cm="1">
        <f t="array" aca="1" ref="AH117" ca="1">IF((AD117) &lt; (INDEX(ResponseSLA[#All],(MATCH((G117),ResponseSLA[Priority],0))+1,3)),"YES","No")</f>
        <v>#N/A</v>
      </c>
      <c r="AI117" s="31" t="str">
        <f>_xlfn.IFNA(IF(AE117 &lt; (INDEX(SLATable[Minimum SLA],MATCH(G117,SLATable[Priority],0))),"YES","NO"),"")</f>
        <v/>
      </c>
      <c r="AJ117" t="str">
        <f>_xlfn.IFNA(IF(AE117 &lt; (INDEX(SLATable[Maximum SLA],MATCH(G117,SLATable[Priority],0))),"YES","NO"),"")</f>
        <v/>
      </c>
    </row>
    <row r="118" spans="26:36" ht="15" customHeight="1">
      <c r="Z118" s="76" t="e">
        <f t="shared" ca="1" si="12"/>
        <v>#N/A</v>
      </c>
      <c r="AA118" s="75" t="e">
        <f t="shared" ca="1" si="1"/>
        <v>#N/A</v>
      </c>
      <c r="AB118" s="76">
        <f t="shared" ca="1" si="13"/>
        <v>0</v>
      </c>
      <c r="AC118" s="75">
        <f t="shared" ca="1" si="3"/>
        <v>0</v>
      </c>
      <c r="AD118" s="76">
        <f t="shared" ca="1" si="14"/>
        <v>12388.425641782411</v>
      </c>
      <c r="AE118" s="76">
        <f t="shared" si="15"/>
        <v>0</v>
      </c>
      <c r="AF118" s="75">
        <f t="shared" si="6"/>
        <v>0</v>
      </c>
      <c r="AG118" s="75">
        <f t="shared" si="7"/>
        <v>0</v>
      </c>
      <c r="AH118" s="31" t="e" cm="1">
        <f t="array" aca="1" ref="AH118" ca="1">IF((AD118) &lt; (INDEX(ResponseSLA[#All],(MATCH((G118),ResponseSLA[Priority],0))+1,3)),"YES","No")</f>
        <v>#N/A</v>
      </c>
      <c r="AI118" s="31" t="str">
        <f>_xlfn.IFNA(IF(AE118 &lt; (INDEX(SLATable[Minimum SLA],MATCH(G118,SLATable[Priority],0))),"YES","NO"),"")</f>
        <v/>
      </c>
      <c r="AJ118" t="str">
        <f>_xlfn.IFNA(IF(AE118 &lt; (INDEX(SLATable[Maximum SLA],MATCH(G118,SLATable[Priority],0))),"YES","NO"),"")</f>
        <v/>
      </c>
    </row>
    <row r="119" spans="26:36" ht="15" customHeight="1">
      <c r="Z119" s="76" t="e">
        <f t="shared" ca="1" si="12"/>
        <v>#N/A</v>
      </c>
      <c r="AA119" s="75" t="e">
        <f t="shared" ca="1" si="1"/>
        <v>#N/A</v>
      </c>
      <c r="AB119" s="76">
        <f t="shared" ca="1" si="13"/>
        <v>0</v>
      </c>
      <c r="AC119" s="75">
        <f t="shared" ca="1" si="3"/>
        <v>0</v>
      </c>
      <c r="AD119" s="76">
        <f t="shared" ca="1" si="14"/>
        <v>12388.425641550926</v>
      </c>
      <c r="AE119" s="76">
        <f t="shared" si="15"/>
        <v>0</v>
      </c>
      <c r="AF119" s="75">
        <f t="shared" si="6"/>
        <v>0</v>
      </c>
      <c r="AG119" s="75">
        <f t="shared" si="7"/>
        <v>0</v>
      </c>
      <c r="AH119" s="31" t="e" cm="1">
        <f t="array" aca="1" ref="AH119" ca="1">IF((AD119) &lt; (INDEX(ResponseSLA[#All],(MATCH((G119),ResponseSLA[Priority],0))+1,3)),"YES","No")</f>
        <v>#N/A</v>
      </c>
      <c r="AI119" s="31" t="str">
        <f>_xlfn.IFNA(IF(AE119 &lt; (INDEX(SLATable[Minimum SLA],MATCH(G119,SLATable[Priority],0))),"YES","NO"),"")</f>
        <v/>
      </c>
      <c r="AJ119" t="str">
        <f>_xlfn.IFNA(IF(AE119 &lt; (INDEX(SLATable[Maximum SLA],MATCH(G119,SLATable[Priority],0))),"YES","NO"),"")</f>
        <v/>
      </c>
    </row>
    <row r="120" spans="26:36" ht="15" customHeight="1">
      <c r="Z120" s="76" t="e">
        <f t="shared" ca="1" si="12"/>
        <v>#N/A</v>
      </c>
      <c r="AA120" s="75" t="e">
        <f t="shared" ca="1" si="1"/>
        <v>#N/A</v>
      </c>
      <c r="AB120" s="76">
        <f t="shared" ca="1" si="13"/>
        <v>0</v>
      </c>
      <c r="AC120" s="75">
        <f t="shared" ca="1" si="3"/>
        <v>0</v>
      </c>
      <c r="AD120" s="76">
        <f t="shared" ca="1" si="14"/>
        <v>12388.425641550926</v>
      </c>
      <c r="AE120" s="76">
        <f t="shared" si="15"/>
        <v>0</v>
      </c>
      <c r="AF120" s="75">
        <f t="shared" si="6"/>
        <v>0</v>
      </c>
      <c r="AG120" s="75">
        <f t="shared" si="7"/>
        <v>0</v>
      </c>
      <c r="AH120" s="31" t="e" cm="1">
        <f t="array" aca="1" ref="AH120" ca="1">IF((AD120) &lt; (INDEX(ResponseSLA[#All],(MATCH((G120),ResponseSLA[Priority],0))+1,3)),"YES","No")</f>
        <v>#N/A</v>
      </c>
      <c r="AI120" s="31" t="str">
        <f>_xlfn.IFNA(IF(AE120 &lt; (INDEX(SLATable[Minimum SLA],MATCH(G120,SLATable[Priority],0))),"YES","NO"),"")</f>
        <v/>
      </c>
      <c r="AJ120" t="str">
        <f>_xlfn.IFNA(IF(AE120 &lt; (INDEX(SLATable[Maximum SLA],MATCH(G120,SLATable[Priority],0))),"YES","NO"),"")</f>
        <v/>
      </c>
    </row>
    <row r="121" spans="26:36" ht="15" customHeight="1">
      <c r="Z121" s="76" t="e">
        <f t="shared" ca="1" si="12"/>
        <v>#N/A</v>
      </c>
      <c r="AA121" s="75" t="e">
        <f t="shared" ca="1" si="1"/>
        <v>#N/A</v>
      </c>
      <c r="AB121" s="76">
        <f t="shared" ca="1" si="13"/>
        <v>0</v>
      </c>
      <c r="AC121" s="75">
        <f t="shared" ca="1" si="3"/>
        <v>0</v>
      </c>
      <c r="AD121" s="76">
        <f t="shared" ca="1" si="14"/>
        <v>12388.425641782411</v>
      </c>
      <c r="AE121" s="76">
        <f t="shared" si="15"/>
        <v>0</v>
      </c>
      <c r="AF121" s="75">
        <f t="shared" si="6"/>
        <v>0</v>
      </c>
      <c r="AG121" s="75">
        <f t="shared" si="7"/>
        <v>0</v>
      </c>
      <c r="AH121" s="31" t="e" cm="1">
        <f t="array" aca="1" ref="AH121" ca="1">IF((AD121) &lt; (INDEX(ResponseSLA[#All],(MATCH((G121),ResponseSLA[Priority],0))+1,3)),"YES","No")</f>
        <v>#N/A</v>
      </c>
      <c r="AI121" s="31" t="str">
        <f>_xlfn.IFNA(IF(AE121 &lt; (INDEX(SLATable[Minimum SLA],MATCH(G121,SLATable[Priority],0))),"YES","NO"),"")</f>
        <v/>
      </c>
      <c r="AJ121" t="str">
        <f>_xlfn.IFNA(IF(AE121 &lt; (INDEX(SLATable[Maximum SLA],MATCH(G121,SLATable[Priority],0))),"YES","NO"),"")</f>
        <v/>
      </c>
    </row>
    <row r="122" spans="26:36" ht="15" customHeight="1">
      <c r="Z122" s="76" t="e">
        <f t="shared" ca="1" si="12"/>
        <v>#N/A</v>
      </c>
      <c r="AA122" s="75" t="e">
        <f t="shared" ca="1" si="1"/>
        <v>#N/A</v>
      </c>
      <c r="AB122" s="76">
        <f t="shared" ca="1" si="13"/>
        <v>0</v>
      </c>
      <c r="AC122" s="75">
        <f t="shared" ca="1" si="3"/>
        <v>0</v>
      </c>
      <c r="AD122" s="76">
        <f t="shared" ca="1" si="14"/>
        <v>12388.425641550926</v>
      </c>
      <c r="AE122" s="76">
        <f t="shared" si="15"/>
        <v>0</v>
      </c>
      <c r="AF122" s="75">
        <f t="shared" si="6"/>
        <v>0</v>
      </c>
      <c r="AG122" s="75">
        <f t="shared" si="7"/>
        <v>0</v>
      </c>
      <c r="AH122" s="31" t="e" cm="1">
        <f t="array" aca="1" ref="AH122" ca="1">IF((AD122) &lt; (INDEX(ResponseSLA[#All],(MATCH((G122),ResponseSLA[Priority],0))+1,3)),"YES","No")</f>
        <v>#N/A</v>
      </c>
      <c r="AI122" s="31" t="str">
        <f>_xlfn.IFNA(IF(AE122 &lt; (INDEX(SLATable[Minimum SLA],MATCH(G122,SLATable[Priority],0))),"YES","NO"),"")</f>
        <v/>
      </c>
      <c r="AJ122" t="str">
        <f>_xlfn.IFNA(IF(AE122 &lt; (INDEX(SLATable[Maximum SLA],MATCH(G122,SLATable[Priority],0))),"YES","NO"),"")</f>
        <v/>
      </c>
    </row>
    <row r="123" spans="26:36" ht="15" customHeight="1">
      <c r="Z123" s="76" t="e">
        <f t="shared" ca="1" si="12"/>
        <v>#N/A</v>
      </c>
      <c r="AA123" s="75" t="e">
        <f t="shared" ca="1" si="1"/>
        <v>#N/A</v>
      </c>
      <c r="AB123" s="76">
        <f t="shared" ca="1" si="13"/>
        <v>0</v>
      </c>
      <c r="AC123" s="75">
        <f t="shared" ca="1" si="3"/>
        <v>0</v>
      </c>
      <c r="AD123" s="76">
        <f t="shared" ca="1" si="14"/>
        <v>12388.425641550926</v>
      </c>
      <c r="AE123" s="76">
        <f t="shared" si="15"/>
        <v>0</v>
      </c>
      <c r="AF123" s="75">
        <f t="shared" si="6"/>
        <v>0</v>
      </c>
      <c r="AG123" s="75">
        <f t="shared" si="7"/>
        <v>0</v>
      </c>
      <c r="AH123" s="31" t="e" cm="1">
        <f t="array" aca="1" ref="AH123" ca="1">IF((AD123) &lt; (INDEX(ResponseSLA[#All],(MATCH((G123),ResponseSLA[Priority],0))+1,3)),"YES","No")</f>
        <v>#N/A</v>
      </c>
      <c r="AI123" s="31" t="str">
        <f>_xlfn.IFNA(IF(AE123 &lt; (INDEX(SLATable[Minimum SLA],MATCH(G123,SLATable[Priority],0))),"YES","NO"),"")</f>
        <v/>
      </c>
      <c r="AJ123" t="str">
        <f>_xlfn.IFNA(IF(AE123 &lt; (INDEX(SLATable[Maximum SLA],MATCH(G123,SLATable[Priority],0))),"YES","NO"),"")</f>
        <v/>
      </c>
    </row>
    <row r="124" spans="26:36" ht="15" customHeight="1">
      <c r="Z124" s="76" t="e">
        <f t="shared" ca="1" si="12"/>
        <v>#N/A</v>
      </c>
      <c r="AA124" s="75" t="e">
        <f t="shared" ca="1" si="1"/>
        <v>#N/A</v>
      </c>
      <c r="AB124" s="76">
        <f t="shared" ca="1" si="13"/>
        <v>0</v>
      </c>
      <c r="AC124" s="75">
        <f t="shared" ca="1" si="3"/>
        <v>0</v>
      </c>
      <c r="AD124" s="76">
        <f t="shared" ca="1" si="14"/>
        <v>12388.425641782411</v>
      </c>
      <c r="AE124" s="76">
        <f t="shared" si="15"/>
        <v>0</v>
      </c>
      <c r="AF124" s="75">
        <f t="shared" si="6"/>
        <v>0</v>
      </c>
      <c r="AG124" s="75">
        <f t="shared" si="7"/>
        <v>0</v>
      </c>
      <c r="AH124" s="31" t="e" cm="1">
        <f t="array" aca="1" ref="AH124" ca="1">IF((AD124) &lt; (INDEX(ResponseSLA[#All],(MATCH((G124),ResponseSLA[Priority],0))+1,3)),"YES","No")</f>
        <v>#N/A</v>
      </c>
      <c r="AI124" s="31" t="str">
        <f>_xlfn.IFNA(IF(AE124 &lt; (INDEX(SLATable[Minimum SLA],MATCH(G124,SLATable[Priority],0))),"YES","NO"),"")</f>
        <v/>
      </c>
      <c r="AJ124" t="str">
        <f>_xlfn.IFNA(IF(AE124 &lt; (INDEX(SLATable[Maximum SLA],MATCH(G124,SLATable[Priority],0))),"YES","NO"),"")</f>
        <v/>
      </c>
    </row>
    <row r="125" spans="26:36" ht="15" customHeight="1">
      <c r="Z125" s="76" t="e">
        <f t="shared" ca="1" si="12"/>
        <v>#N/A</v>
      </c>
      <c r="AA125" s="75" t="e">
        <f t="shared" ca="1" si="1"/>
        <v>#N/A</v>
      </c>
      <c r="AB125" s="76">
        <f t="shared" ca="1" si="13"/>
        <v>0</v>
      </c>
      <c r="AC125" s="75">
        <f t="shared" ca="1" si="3"/>
        <v>0</v>
      </c>
      <c r="AD125" s="76">
        <f t="shared" ca="1" si="14"/>
        <v>12388.425641550926</v>
      </c>
      <c r="AE125" s="76">
        <f t="shared" si="15"/>
        <v>0</v>
      </c>
      <c r="AF125" s="75">
        <f t="shared" si="6"/>
        <v>0</v>
      </c>
      <c r="AG125" s="75">
        <f t="shared" si="7"/>
        <v>0</v>
      </c>
      <c r="AH125" s="31" t="e" cm="1">
        <f t="array" aca="1" ref="AH125" ca="1">IF((AD125) &lt; (INDEX(ResponseSLA[#All],(MATCH((G125),ResponseSLA[Priority],0))+1,3)),"YES","No")</f>
        <v>#N/A</v>
      </c>
      <c r="AI125" s="31" t="str">
        <f>_xlfn.IFNA(IF(AE125 &lt; (INDEX(SLATable[Minimum SLA],MATCH(G125,SLATable[Priority],0))),"YES","NO"),"")</f>
        <v/>
      </c>
      <c r="AJ125" t="str">
        <f>_xlfn.IFNA(IF(AE125 &lt; (INDEX(SLATable[Maximum SLA],MATCH(G125,SLATable[Priority],0))),"YES","NO"),"")</f>
        <v/>
      </c>
    </row>
    <row r="126" spans="26:36" ht="15" customHeight="1">
      <c r="Z126" s="76" t="e">
        <f t="shared" ca="1" si="12"/>
        <v>#N/A</v>
      </c>
      <c r="AA126" s="75" t="e">
        <f t="shared" ca="1" si="1"/>
        <v>#N/A</v>
      </c>
      <c r="AB126" s="76">
        <f t="shared" ca="1" si="13"/>
        <v>0</v>
      </c>
      <c r="AC126" s="75">
        <f t="shared" ca="1" si="3"/>
        <v>0</v>
      </c>
      <c r="AD126" s="76">
        <f t="shared" ca="1" si="14"/>
        <v>12388.425641550926</v>
      </c>
      <c r="AE126" s="76">
        <f t="shared" si="15"/>
        <v>0</v>
      </c>
      <c r="AF126" s="75">
        <f t="shared" si="6"/>
        <v>0</v>
      </c>
      <c r="AG126" s="75">
        <f t="shared" si="7"/>
        <v>0</v>
      </c>
      <c r="AH126" s="31" t="e" cm="1">
        <f t="array" aca="1" ref="AH126" ca="1">IF((AD126) &lt; (INDEX(ResponseSLA[#All],(MATCH((G126),ResponseSLA[Priority],0))+1,3)),"YES","No")</f>
        <v>#N/A</v>
      </c>
      <c r="AI126" s="31" t="str">
        <f>_xlfn.IFNA(IF(AE126 &lt; (INDEX(SLATable[Minimum SLA],MATCH(G126,SLATable[Priority],0))),"YES","NO"),"")</f>
        <v/>
      </c>
      <c r="AJ126" t="str">
        <f>_xlfn.IFNA(IF(AE126 &lt; (INDEX(SLATable[Maximum SLA],MATCH(G126,SLATable[Priority],0))),"YES","NO"),"")</f>
        <v/>
      </c>
    </row>
    <row r="127" spans="26:36" ht="15" customHeight="1">
      <c r="Z127" s="76" t="e">
        <f t="shared" ca="1" si="12"/>
        <v>#N/A</v>
      </c>
      <c r="AA127" s="75" t="e">
        <f t="shared" ca="1" si="1"/>
        <v>#N/A</v>
      </c>
      <c r="AB127" s="76">
        <f t="shared" ca="1" si="13"/>
        <v>0</v>
      </c>
      <c r="AC127" s="75">
        <f t="shared" ca="1" si="3"/>
        <v>0</v>
      </c>
      <c r="AD127" s="76">
        <f t="shared" ca="1" si="14"/>
        <v>12388.425641782411</v>
      </c>
      <c r="AE127" s="76">
        <f t="shared" si="15"/>
        <v>0</v>
      </c>
      <c r="AF127" s="75">
        <f t="shared" si="6"/>
        <v>0</v>
      </c>
      <c r="AG127" s="75">
        <f t="shared" si="7"/>
        <v>0</v>
      </c>
      <c r="AH127" s="31" t="e" cm="1">
        <f t="array" aca="1" ref="AH127" ca="1">IF((AD127) &lt; (INDEX(ResponseSLA[#All],(MATCH((G127),ResponseSLA[Priority],0))+1,3)),"YES","No")</f>
        <v>#N/A</v>
      </c>
      <c r="AI127" s="31" t="str">
        <f>_xlfn.IFNA(IF(AE127 &lt; (INDEX(SLATable[Minimum SLA],MATCH(G127,SLATable[Priority],0))),"YES","NO"),"")</f>
        <v/>
      </c>
      <c r="AJ127" t="str">
        <f>_xlfn.IFNA(IF(AE127 &lt; (INDEX(SLATable[Maximum SLA],MATCH(G127,SLATable[Priority],0))),"YES","NO"),"")</f>
        <v/>
      </c>
    </row>
    <row r="128" spans="26:36" ht="15" customHeight="1">
      <c r="Z128" s="76" t="e">
        <f t="shared" ca="1" si="12"/>
        <v>#N/A</v>
      </c>
      <c r="AA128" s="75" t="e">
        <f t="shared" ca="1" si="1"/>
        <v>#N/A</v>
      </c>
      <c r="AB128" s="76">
        <f t="shared" ca="1" si="13"/>
        <v>0</v>
      </c>
      <c r="AC128" s="75">
        <f t="shared" ca="1" si="3"/>
        <v>0</v>
      </c>
      <c r="AD128" s="76">
        <f t="shared" ca="1" si="14"/>
        <v>12388.425641550926</v>
      </c>
      <c r="AE128" s="76">
        <f t="shared" si="15"/>
        <v>0</v>
      </c>
      <c r="AF128" s="75">
        <f t="shared" si="6"/>
        <v>0</v>
      </c>
      <c r="AG128" s="75">
        <f t="shared" si="7"/>
        <v>0</v>
      </c>
      <c r="AH128" s="31" t="e" cm="1">
        <f t="array" aca="1" ref="AH128" ca="1">IF((AD128) &lt; (INDEX(ResponseSLA[#All],(MATCH((G128),ResponseSLA[Priority],0))+1,3)),"YES","No")</f>
        <v>#N/A</v>
      </c>
      <c r="AI128" s="31" t="str">
        <f>_xlfn.IFNA(IF(AE128 &lt; (INDEX(SLATable[Minimum SLA],MATCH(G128,SLATable[Priority],0))),"YES","NO"),"")</f>
        <v/>
      </c>
      <c r="AJ128" t="str">
        <f>_xlfn.IFNA(IF(AE128 &lt; (INDEX(SLATable[Maximum SLA],MATCH(G128,SLATable[Priority],0))),"YES","NO"),"")</f>
        <v/>
      </c>
    </row>
    <row r="129" spans="26:36" ht="15" customHeight="1">
      <c r="Z129" s="76" t="e">
        <f t="shared" ca="1" si="12"/>
        <v>#N/A</v>
      </c>
      <c r="AA129" s="75" t="e">
        <f t="shared" ca="1" si="1"/>
        <v>#N/A</v>
      </c>
      <c r="AB129" s="76">
        <f t="shared" ca="1" si="13"/>
        <v>0</v>
      </c>
      <c r="AC129" s="75">
        <f t="shared" ca="1" si="3"/>
        <v>0</v>
      </c>
      <c r="AD129" s="76">
        <f t="shared" ca="1" si="14"/>
        <v>12388.425641550926</v>
      </c>
      <c r="AE129" s="76">
        <f t="shared" si="15"/>
        <v>0</v>
      </c>
      <c r="AF129" s="75">
        <f t="shared" si="6"/>
        <v>0</v>
      </c>
      <c r="AG129" s="75">
        <f t="shared" si="7"/>
        <v>0</v>
      </c>
      <c r="AH129" s="31" t="e" cm="1">
        <f t="array" aca="1" ref="AH129" ca="1">IF((AD129) &lt; (INDEX(ResponseSLA[#All],(MATCH((G129),ResponseSLA[Priority],0))+1,3)),"YES","No")</f>
        <v>#N/A</v>
      </c>
      <c r="AI129" s="31" t="str">
        <f>_xlfn.IFNA(IF(AE129 &lt; (INDEX(SLATable[Minimum SLA],MATCH(G129,SLATable[Priority],0))),"YES","NO"),"")</f>
        <v/>
      </c>
      <c r="AJ129" t="str">
        <f>_xlfn.IFNA(IF(AE129 &lt; (INDEX(SLATable[Maximum SLA],MATCH(G129,SLATable[Priority],0))),"YES","NO"),"")</f>
        <v/>
      </c>
    </row>
    <row r="130" spans="26:36" ht="15" customHeight="1">
      <c r="Z130" s="76" t="e">
        <f t="shared" ca="1" si="12"/>
        <v>#N/A</v>
      </c>
      <c r="AA130" s="75" t="e">
        <f t="shared" ca="1" si="1"/>
        <v>#N/A</v>
      </c>
      <c r="AB130" s="76">
        <f t="shared" ca="1" si="13"/>
        <v>0</v>
      </c>
      <c r="AC130" s="75">
        <f t="shared" ca="1" si="3"/>
        <v>0</v>
      </c>
      <c r="AD130" s="76">
        <f t="shared" ca="1" si="14"/>
        <v>12388.425641782411</v>
      </c>
      <c r="AE130" s="76">
        <f t="shared" si="15"/>
        <v>0</v>
      </c>
      <c r="AF130" s="75">
        <f t="shared" si="6"/>
        <v>0</v>
      </c>
      <c r="AG130" s="75">
        <f t="shared" si="7"/>
        <v>0</v>
      </c>
      <c r="AH130" s="31" t="e" cm="1">
        <f t="array" aca="1" ref="AH130" ca="1">IF((AD130) &lt; (INDEX(ResponseSLA[#All],(MATCH((G130),ResponseSLA[Priority],0))+1,3)),"YES","No")</f>
        <v>#N/A</v>
      </c>
      <c r="AI130" s="31" t="str">
        <f>_xlfn.IFNA(IF(AE130 &lt; (INDEX(SLATable[Minimum SLA],MATCH(G130,SLATable[Priority],0))),"YES","NO"),"")</f>
        <v/>
      </c>
      <c r="AJ130" t="str">
        <f>_xlfn.IFNA(IF(AE130 &lt; (INDEX(SLATable[Maximum SLA],MATCH(G130,SLATable[Priority],0))),"YES","NO"),"")</f>
        <v/>
      </c>
    </row>
    <row r="131" spans="26:36" ht="15" customHeight="1">
      <c r="Z131" s="76" t="e">
        <f t="shared" ref="Z131:Z194" ca="1" si="16">IF(NOT(OR(G131=1,G131=2)),MAX(0,_xlfn.IFS(AND(K131&lt;&gt;"",N131&lt;&gt;""),((MAX(NETWORKDAYS(K131,N131,UKBankHolidays)-1,0))*(TIME(17,0,0)-TIME(8,0,0))+IF(NETWORKDAYS(N131,N131,UKBankHolidays)&gt;0,MEDIAN(TIME(8,0,0),MOD(N131,1),TIME(17,0,0)),TIME(8,0,0))-IF(NETWORKDAYS(K131,K131,UKBankHolidays)&gt;0,MEDIAN(TIME(8,0,0),MOD(K131,1),TIME(17,0,0)),TIME(8,0,0)))-IF(AND(O131&lt;&gt;"",P131&lt;&gt;""),((MAX(NETWORKDAYS(O131,P131,UKBankHolidays)-1,0))*(TIME(17,0,0)-TIME(8,0,0))+IF(NETWORKDAYS(P131,P131,UKBankHolidays)&gt;0,MEDIAN(TIME(8,0,0),MOD(P131,1),TIME(17,0,0)),TIME(8,0,0))-IF(NETWORKDAYS(O131,O131,UKBankHolidays)&gt;0,MEDIAN(TIME(8,0,0),MOD(O131,1),TIME(17,0,0)),TIME(8,0,0))),0),AND(K131&lt;&gt;"",N131=""),((MAX(NETWORKDAYS(K131,NOW(),UKBankHolidays)-1,0))*(TIME(17,0,0)-TIME(8,0,0))+IF(NETWORKDAYS(NOW(),NOW(),UKBankHolidays)&gt;0,MEDIAN(TIME(8,0,0),MOD(NOW(),1),TIME(17,0,0)),TIME(8,0,0))-IF(NETWORKDAYS(K131,K131,UKBankHolidays)&gt;0,MEDIAN(TIME(8,0,0),MOD(K131,1),TIME(17,0,0)),TIME(8,0,0))))),IF(N131="",NOW()-K131,N131-K131))</f>
        <v>#N/A</v>
      </c>
      <c r="AA131" s="75" t="e">
        <f t="shared" ca="1" si="1"/>
        <v>#N/A</v>
      </c>
      <c r="AB131" s="76">
        <f t="shared" ref="AB131:AB194" ca="1" si="17">IF(NOT(OR(G131=1,G131=2)),MAX(0,_xlfn.IFS(AND(K131&lt;&gt;"",N131&lt;&gt;""),(((MAX(NETWORKDAYS(L131,N131,UKBankHolidays)-1,0))*(TIME(17,0,0)-TIME(8,0,0)))+IF(NETWORKDAYS(N131,N131,UKBankHolidays)&gt;0,MEDIAN(TIME(8,0,0),MOD(N131,1),TIME(17,0,0)),TIME(8,0,0))-IF(NETWORKDAYS(L131,L131,UKBankHolidays)&gt;0,MEDIAN(TIME(8,0,0),MOD(L131,1),TIME(17,0,0)),TIME(8,0,0)))-IF(AND(O131&lt;&gt;"",P131&lt;&gt;""),(((MAX(NETWORKDAYS(O131,P131,UKBankHolidays)-1,0))*(TIME(17,0,0)-TIME(8,0,0)))+IF(NETWORKDAYS(P131,P131,UKBankHolidays)&gt;0,MEDIAN(TIME(8,0,0),MOD(P131,1),TIME(17,0,0)),TIME(8,0,0))-IF(NETWORKDAYS(O131,O131,UKBankHolidays)&gt;0,MEDIAN(TIME(8,0,0),MOD(O131,1),TIME(17,0,0)),TIME(8,0,0))),0),AND(L131&lt;&gt;"",N131="",O131=""),(((MAX(NETWORKDAYS(L131,NOW(),UKBankHolidays)-1,0))*(TIME(17,0,0)-TIME(8,0,0)))+IF(NETWORKDAYS(NOW(),NOW(),UKBankHolidays)&gt;0,MEDIAN(TIME(8,0,0),MOD(NOW(),1),TIME(17,0,0)),TIME(8,0,0))-IF(NETWORKDAYS(L131,L131,UKBankHolidays)&gt;0,MEDIAN(TIME(8,0,0),MOD(L131,1),TIME(17,0,0)),TIME(8,0,0)))-IF(AND(O131&lt;&gt;"",P131&lt;&gt;""),(((MAX(NETWORKDAYS(O131,P131,UKBankHolidays)-1,0))*(TIME(17,0,0)-TIME(8,0,0)))+IF(NETWORKDAYS(P131,P131,UKBankHolidays)&gt;0,MEDIAN(TIME(8,0,0),MOD(P131,1),TIME(17,0,0)),TIME(8,0,0))-IF(NETWORKDAYS(O131,O131,UKBankHolidays)&gt;0,MEDIAN(TIME(8,0,0),MOD(O131,1),TIME(17,0,0)),TIME(8,0,0))),0),AND(L131&lt;&gt;"",N131="",P131="",O131&lt;&gt;""),(((MAX(NETWORKDAYS(L131,O131,UKBankHolidays)-1,0))*(TIME(17,0,0)-TIME(8,0,0)))+IF(NETWORKDAYS(O131,O131,UKBankHolidays)&gt;0,MEDIAN(TIME(8,0,0),MOD(O131,1),TIME(17,0,0)),TIME(8,0,0))-IF(NETWORKDAYS(L131,L131,UKBankHolidays)&gt;0,MEDIAN(TIME(8,0,0),MOD(L131,1),TIME(17,0,0)),TIME(8,0,0))),ISBLANK(K131),"0")),IF(ISBLANK(N131),NOW()-L131,N131-L131))</f>
        <v>0</v>
      </c>
      <c r="AC131" s="75">
        <f t="shared" ca="1" si="3"/>
        <v>0</v>
      </c>
      <c r="AD131" s="76">
        <f t="shared" ref="AD131:AD194" ca="1" si="18">MAX(0,IF(NOT(OR(G131=1,G131=2)),IF(M131&lt;&gt;"",((MAX(NETWORKDAYS(L131,M131,UKBankHolidays)-1,0))*(TIME(17,0,0)-TIME(8,0,0))+IF(NETWORKDAYS(M131,M131,UKBankHolidays)&gt;0,MEDIAN(TIME(8,0,0),MOD(M131,1),TIME(17,0,0)),TIME(8,0,0))-MEDIAN(TIME(8,0,0),MOD(L131,1),TIME(17,0,0))),((MAX(NETWORKDAYS(L131,NOW(),UKBankHolidays)-1,0))*(TIME(17,0,0)-TIME(8,0,0))+IF(NETWORKDAYS(NOW(),NOW(),UKBankHolidays)&gt;0,MEDIAN(TIME(8,0,0),MOD(NOW(),1),TIME(17,0,0)),TIME(8,0,0))-MEDIAN(TIME(8,0,0),MOD(L131,1),TIME(17,0,0)))),IF(M131&lt;&gt;"",M131-L131,NOW()-L131)))</f>
        <v>12388.425641550926</v>
      </c>
      <c r="AE131" s="76">
        <f t="shared" ref="AE131:AE194" si="19">SUMIFS(AB:AB,E:E,E131)</f>
        <v>0</v>
      </c>
      <c r="AF131" s="75">
        <f t="shared" si="6"/>
        <v>0</v>
      </c>
      <c r="AG131" s="75">
        <f t="shared" si="7"/>
        <v>0</v>
      </c>
      <c r="AH131" s="31" t="e" cm="1">
        <f t="array" aca="1" ref="AH131" ca="1">IF((AD131) &lt; (INDEX(ResponseSLA[#All],(MATCH((G131),ResponseSLA[Priority],0))+1,3)),"YES","No")</f>
        <v>#N/A</v>
      </c>
      <c r="AI131" s="31" t="str">
        <f>_xlfn.IFNA(IF(AE131 &lt; (INDEX(SLATable[Minimum SLA],MATCH(G131,SLATable[Priority],0))),"YES","NO"),"")</f>
        <v/>
      </c>
      <c r="AJ131" t="str">
        <f>_xlfn.IFNA(IF(AE131 &lt; (INDEX(SLATable[Maximum SLA],MATCH(G131,SLATable[Priority],0))),"YES","NO"),"")</f>
        <v/>
      </c>
    </row>
    <row r="132" spans="26:36" ht="15" customHeight="1">
      <c r="Z132" s="76" t="e">
        <f t="shared" ca="1" si="16"/>
        <v>#N/A</v>
      </c>
      <c r="AA132" s="75" t="e">
        <f t="shared" ca="1" si="1"/>
        <v>#N/A</v>
      </c>
      <c r="AB132" s="76">
        <f t="shared" ca="1" si="17"/>
        <v>0</v>
      </c>
      <c r="AC132" s="75">
        <f t="shared" ca="1" si="3"/>
        <v>0</v>
      </c>
      <c r="AD132" s="76">
        <f t="shared" ca="1" si="18"/>
        <v>12388.425641550926</v>
      </c>
      <c r="AE132" s="76">
        <f t="shared" si="19"/>
        <v>0</v>
      </c>
      <c r="AF132" s="75">
        <f t="shared" si="6"/>
        <v>0</v>
      </c>
      <c r="AG132" s="75">
        <f t="shared" si="7"/>
        <v>0</v>
      </c>
      <c r="AH132" s="31" t="e" cm="1">
        <f t="array" aca="1" ref="AH132" ca="1">IF((AD132) &lt; (INDEX(ResponseSLA[#All],(MATCH((G132),ResponseSLA[Priority],0))+1,3)),"YES","No")</f>
        <v>#N/A</v>
      </c>
      <c r="AI132" s="31" t="str">
        <f>_xlfn.IFNA(IF(AE132 &lt; (INDEX(SLATable[Minimum SLA],MATCH(G132,SLATable[Priority],0))),"YES","NO"),"")</f>
        <v/>
      </c>
      <c r="AJ132" t="str">
        <f>_xlfn.IFNA(IF(AE132 &lt; (INDEX(SLATable[Maximum SLA],MATCH(G132,SLATable[Priority],0))),"YES","NO"),"")</f>
        <v/>
      </c>
    </row>
    <row r="133" spans="26:36" ht="15" customHeight="1">
      <c r="Z133" s="76" t="e">
        <f t="shared" ca="1" si="16"/>
        <v>#N/A</v>
      </c>
      <c r="AA133" s="75" t="e">
        <f t="shared" ca="1" si="1"/>
        <v>#N/A</v>
      </c>
      <c r="AB133" s="76">
        <f t="shared" ca="1" si="17"/>
        <v>0</v>
      </c>
      <c r="AC133" s="75">
        <f t="shared" ca="1" si="3"/>
        <v>0</v>
      </c>
      <c r="AD133" s="76">
        <f t="shared" ca="1" si="18"/>
        <v>12388.425641782411</v>
      </c>
      <c r="AE133" s="76">
        <f t="shared" si="19"/>
        <v>0</v>
      </c>
      <c r="AF133" s="75">
        <f t="shared" si="6"/>
        <v>0</v>
      </c>
      <c r="AG133" s="75">
        <f t="shared" si="7"/>
        <v>0</v>
      </c>
      <c r="AH133" s="31" t="e" cm="1">
        <f t="array" aca="1" ref="AH133" ca="1">IF((AD133) &lt; (INDEX(ResponseSLA[#All],(MATCH((G133),ResponseSLA[Priority],0))+1,3)),"YES","No")</f>
        <v>#N/A</v>
      </c>
      <c r="AI133" s="31" t="str">
        <f>_xlfn.IFNA(IF(AE133 &lt; (INDEX(SLATable[Minimum SLA],MATCH(G133,SLATable[Priority],0))),"YES","NO"),"")</f>
        <v/>
      </c>
      <c r="AJ133" t="str">
        <f>_xlfn.IFNA(IF(AE133 &lt; (INDEX(SLATable[Maximum SLA],MATCH(G133,SLATable[Priority],0))),"YES","NO"),"")</f>
        <v/>
      </c>
    </row>
    <row r="134" spans="26:36" ht="15" customHeight="1">
      <c r="Z134" s="76" t="e">
        <f t="shared" ca="1" si="16"/>
        <v>#N/A</v>
      </c>
      <c r="AA134" s="75" t="e">
        <f t="shared" ca="1" si="1"/>
        <v>#N/A</v>
      </c>
      <c r="AB134" s="76">
        <f t="shared" ca="1" si="17"/>
        <v>0</v>
      </c>
      <c r="AC134" s="75">
        <f t="shared" ca="1" si="3"/>
        <v>0</v>
      </c>
      <c r="AD134" s="76">
        <f t="shared" ca="1" si="18"/>
        <v>12388.425641550926</v>
      </c>
      <c r="AE134" s="76">
        <f t="shared" si="19"/>
        <v>0</v>
      </c>
      <c r="AF134" s="75">
        <f t="shared" si="6"/>
        <v>0</v>
      </c>
      <c r="AG134" s="75">
        <f t="shared" si="7"/>
        <v>0</v>
      </c>
      <c r="AH134" s="31" t="e" cm="1">
        <f t="array" aca="1" ref="AH134" ca="1">IF((AD134) &lt; (INDEX(ResponseSLA[#All],(MATCH((G134),ResponseSLA[Priority],0))+1,3)),"YES","No")</f>
        <v>#N/A</v>
      </c>
      <c r="AI134" s="31" t="str">
        <f>_xlfn.IFNA(IF(AE134 &lt; (INDEX(SLATable[Minimum SLA],MATCH(G134,SLATable[Priority],0))),"YES","NO"),"")</f>
        <v/>
      </c>
      <c r="AJ134" t="str">
        <f>_xlfn.IFNA(IF(AE134 &lt; (INDEX(SLATable[Maximum SLA],MATCH(G134,SLATable[Priority],0))),"YES","NO"),"")</f>
        <v/>
      </c>
    </row>
    <row r="135" spans="26:36" ht="15" customHeight="1">
      <c r="Z135" s="76" t="e">
        <f t="shared" ca="1" si="16"/>
        <v>#N/A</v>
      </c>
      <c r="AA135" s="75" t="e">
        <f t="shared" ca="1" si="1"/>
        <v>#N/A</v>
      </c>
      <c r="AB135" s="76">
        <f t="shared" ca="1" si="17"/>
        <v>0</v>
      </c>
      <c r="AC135" s="75">
        <f t="shared" ca="1" si="3"/>
        <v>0</v>
      </c>
      <c r="AD135" s="76">
        <f t="shared" ca="1" si="18"/>
        <v>12388.425641550926</v>
      </c>
      <c r="AE135" s="76">
        <f t="shared" si="19"/>
        <v>0</v>
      </c>
      <c r="AF135" s="75">
        <f t="shared" si="6"/>
        <v>0</v>
      </c>
      <c r="AG135" s="75">
        <f t="shared" si="7"/>
        <v>0</v>
      </c>
      <c r="AH135" s="31" t="e" cm="1">
        <f t="array" aca="1" ref="AH135" ca="1">IF((AD135) &lt; (INDEX(ResponseSLA[#All],(MATCH((G135),ResponseSLA[Priority],0))+1,3)),"YES","No")</f>
        <v>#N/A</v>
      </c>
      <c r="AI135" s="31" t="str">
        <f>_xlfn.IFNA(IF(AE135 &lt; (INDEX(SLATable[Minimum SLA],MATCH(G135,SLATable[Priority],0))),"YES","NO"),"")</f>
        <v/>
      </c>
      <c r="AJ135" t="str">
        <f>_xlfn.IFNA(IF(AE135 &lt; (INDEX(SLATable[Maximum SLA],MATCH(G135,SLATable[Priority],0))),"YES","NO"),"")</f>
        <v/>
      </c>
    </row>
    <row r="136" spans="26:36" ht="15" customHeight="1">
      <c r="Z136" s="76" t="e">
        <f t="shared" ca="1" si="16"/>
        <v>#N/A</v>
      </c>
      <c r="AA136" s="75" t="e">
        <f t="shared" ca="1" si="1"/>
        <v>#N/A</v>
      </c>
      <c r="AB136" s="76">
        <f t="shared" ca="1" si="17"/>
        <v>0</v>
      </c>
      <c r="AC136" s="75">
        <f t="shared" ca="1" si="3"/>
        <v>0</v>
      </c>
      <c r="AD136" s="76">
        <f t="shared" ca="1" si="18"/>
        <v>12388.425641782411</v>
      </c>
      <c r="AE136" s="76">
        <f t="shared" si="19"/>
        <v>0</v>
      </c>
      <c r="AF136" s="75">
        <f t="shared" si="6"/>
        <v>0</v>
      </c>
      <c r="AG136" s="75">
        <f t="shared" si="7"/>
        <v>0</v>
      </c>
      <c r="AH136" s="31" t="e" cm="1">
        <f t="array" aca="1" ref="AH136" ca="1">IF((AD136) &lt; (INDEX(ResponseSLA[#All],(MATCH((G136),ResponseSLA[Priority],0))+1,3)),"YES","No")</f>
        <v>#N/A</v>
      </c>
      <c r="AI136" s="31" t="str">
        <f>_xlfn.IFNA(IF(AE136 &lt; (INDEX(SLATable[Minimum SLA],MATCH(G136,SLATable[Priority],0))),"YES","NO"),"")</f>
        <v/>
      </c>
      <c r="AJ136" t="str">
        <f>_xlfn.IFNA(IF(AE136 &lt; (INDEX(SLATable[Maximum SLA],MATCH(G136,SLATable[Priority],0))),"YES","NO"),"")</f>
        <v/>
      </c>
    </row>
    <row r="137" spans="26:36" ht="15" customHeight="1">
      <c r="Z137" s="76" t="e">
        <f t="shared" ca="1" si="16"/>
        <v>#N/A</v>
      </c>
      <c r="AA137" s="75" t="e">
        <f t="shared" ca="1" si="1"/>
        <v>#N/A</v>
      </c>
      <c r="AB137" s="76">
        <f t="shared" ca="1" si="17"/>
        <v>0</v>
      </c>
      <c r="AC137" s="75">
        <f t="shared" ca="1" si="3"/>
        <v>0</v>
      </c>
      <c r="AD137" s="76">
        <f t="shared" ca="1" si="18"/>
        <v>12388.425641550926</v>
      </c>
      <c r="AE137" s="76">
        <f t="shared" si="19"/>
        <v>0</v>
      </c>
      <c r="AF137" s="75">
        <f t="shared" si="6"/>
        <v>0</v>
      </c>
      <c r="AG137" s="75">
        <f t="shared" si="7"/>
        <v>0</v>
      </c>
      <c r="AH137" s="31" t="e" cm="1">
        <f t="array" aca="1" ref="AH137" ca="1">IF((AD137) &lt; (INDEX(ResponseSLA[#All],(MATCH((G137),ResponseSLA[Priority],0))+1,3)),"YES","No")</f>
        <v>#N/A</v>
      </c>
      <c r="AI137" s="31" t="str">
        <f>_xlfn.IFNA(IF(AE137 &lt; (INDEX(SLATable[Minimum SLA],MATCH(G137,SLATable[Priority],0))),"YES","NO"),"")</f>
        <v/>
      </c>
      <c r="AJ137" t="str">
        <f>_xlfn.IFNA(IF(AE137 &lt; (INDEX(SLATable[Maximum SLA],MATCH(G137,SLATable[Priority],0))),"YES","NO"),"")</f>
        <v/>
      </c>
    </row>
    <row r="138" spans="26:36" ht="15" customHeight="1">
      <c r="Z138" s="76" t="e">
        <f t="shared" ca="1" si="16"/>
        <v>#N/A</v>
      </c>
      <c r="AA138" s="75" t="e">
        <f t="shared" ca="1" si="1"/>
        <v>#N/A</v>
      </c>
      <c r="AB138" s="76">
        <f t="shared" ca="1" si="17"/>
        <v>0</v>
      </c>
      <c r="AC138" s="75">
        <f t="shared" ca="1" si="3"/>
        <v>0</v>
      </c>
      <c r="AD138" s="76">
        <f t="shared" ca="1" si="18"/>
        <v>12388.425641550926</v>
      </c>
      <c r="AE138" s="76">
        <f t="shared" si="19"/>
        <v>0</v>
      </c>
      <c r="AF138" s="75">
        <f t="shared" si="6"/>
        <v>0</v>
      </c>
      <c r="AG138" s="75">
        <f t="shared" si="7"/>
        <v>0</v>
      </c>
      <c r="AH138" s="31" t="e" cm="1">
        <f t="array" aca="1" ref="AH138" ca="1">IF((AD138) &lt; (INDEX(ResponseSLA[#All],(MATCH((G138),ResponseSLA[Priority],0))+1,3)),"YES","No")</f>
        <v>#N/A</v>
      </c>
      <c r="AI138" s="31" t="str">
        <f>_xlfn.IFNA(IF(AE138 &lt; (INDEX(SLATable[Minimum SLA],MATCH(G138,SLATable[Priority],0))),"YES","NO"),"")</f>
        <v/>
      </c>
      <c r="AJ138" t="str">
        <f>_xlfn.IFNA(IF(AE138 &lt; (INDEX(SLATable[Maximum SLA],MATCH(G138,SLATable[Priority],0))),"YES","NO"),"")</f>
        <v/>
      </c>
    </row>
    <row r="139" spans="26:36" ht="15" customHeight="1">
      <c r="Z139" s="76" t="e">
        <f t="shared" ca="1" si="16"/>
        <v>#N/A</v>
      </c>
      <c r="AA139" s="75" t="e">
        <f t="shared" ca="1" si="1"/>
        <v>#N/A</v>
      </c>
      <c r="AB139" s="76">
        <f t="shared" ca="1" si="17"/>
        <v>0</v>
      </c>
      <c r="AC139" s="75">
        <f t="shared" ca="1" si="3"/>
        <v>0</v>
      </c>
      <c r="AD139" s="76">
        <f t="shared" ca="1" si="18"/>
        <v>12388.425641782411</v>
      </c>
      <c r="AE139" s="76">
        <f t="shared" si="19"/>
        <v>0</v>
      </c>
      <c r="AF139" s="75">
        <f t="shared" si="6"/>
        <v>0</v>
      </c>
      <c r="AG139" s="75">
        <f t="shared" si="7"/>
        <v>0</v>
      </c>
      <c r="AH139" s="31" t="e" cm="1">
        <f t="array" aca="1" ref="AH139" ca="1">IF((AD139) &lt; (INDEX(ResponseSLA[#All],(MATCH((G139),ResponseSLA[Priority],0))+1,3)),"YES","No")</f>
        <v>#N/A</v>
      </c>
      <c r="AI139" s="31" t="str">
        <f>_xlfn.IFNA(IF(AE139 &lt; (INDEX(SLATable[Minimum SLA],MATCH(G139,SLATable[Priority],0))),"YES","NO"),"")</f>
        <v/>
      </c>
      <c r="AJ139" t="str">
        <f>_xlfn.IFNA(IF(AE139 &lt; (INDEX(SLATable[Maximum SLA],MATCH(G139,SLATable[Priority],0))),"YES","NO"),"")</f>
        <v/>
      </c>
    </row>
    <row r="140" spans="26:36" ht="15" customHeight="1">
      <c r="Z140" s="76" t="e">
        <f t="shared" ca="1" si="16"/>
        <v>#N/A</v>
      </c>
      <c r="AA140" s="75" t="e">
        <f t="shared" ca="1" si="1"/>
        <v>#N/A</v>
      </c>
      <c r="AB140" s="76">
        <f t="shared" ca="1" si="17"/>
        <v>0</v>
      </c>
      <c r="AC140" s="75">
        <f t="shared" ca="1" si="3"/>
        <v>0</v>
      </c>
      <c r="AD140" s="76">
        <f t="shared" ca="1" si="18"/>
        <v>12388.425641550926</v>
      </c>
      <c r="AE140" s="76">
        <f t="shared" si="19"/>
        <v>0</v>
      </c>
      <c r="AF140" s="75">
        <f t="shared" si="6"/>
        <v>0</v>
      </c>
      <c r="AG140" s="75">
        <f t="shared" si="7"/>
        <v>0</v>
      </c>
      <c r="AH140" s="31" t="e" cm="1">
        <f t="array" aca="1" ref="AH140" ca="1">IF((AD140) &lt; (INDEX(ResponseSLA[#All],(MATCH((G140),ResponseSLA[Priority],0))+1,3)),"YES","No")</f>
        <v>#N/A</v>
      </c>
      <c r="AI140" s="31" t="str">
        <f>_xlfn.IFNA(IF(AE140 &lt; (INDEX(SLATable[Minimum SLA],MATCH(G140,SLATable[Priority],0))),"YES","NO"),"")</f>
        <v/>
      </c>
      <c r="AJ140" t="str">
        <f>_xlfn.IFNA(IF(AE140 &lt; (INDEX(SLATable[Maximum SLA],MATCH(G140,SLATable[Priority],0))),"YES","NO"),"")</f>
        <v/>
      </c>
    </row>
    <row r="141" spans="26:36" ht="15" customHeight="1">
      <c r="Z141" s="76" t="e">
        <f t="shared" ca="1" si="16"/>
        <v>#N/A</v>
      </c>
      <c r="AA141" s="75" t="e">
        <f t="shared" ca="1" si="1"/>
        <v>#N/A</v>
      </c>
      <c r="AB141" s="76">
        <f t="shared" ca="1" si="17"/>
        <v>0</v>
      </c>
      <c r="AC141" s="75">
        <f t="shared" ca="1" si="3"/>
        <v>0</v>
      </c>
      <c r="AD141" s="76">
        <f t="shared" ca="1" si="18"/>
        <v>12388.425641550926</v>
      </c>
      <c r="AE141" s="76">
        <f t="shared" si="19"/>
        <v>0</v>
      </c>
      <c r="AF141" s="75">
        <f t="shared" si="6"/>
        <v>0</v>
      </c>
      <c r="AG141" s="75">
        <f t="shared" si="7"/>
        <v>0</v>
      </c>
      <c r="AH141" s="31" t="e" cm="1">
        <f t="array" aca="1" ref="AH141" ca="1">IF((AD141) &lt; (INDEX(ResponseSLA[#All],(MATCH((G141),ResponseSLA[Priority],0))+1,3)),"YES","No")</f>
        <v>#N/A</v>
      </c>
      <c r="AI141" s="31" t="str">
        <f>_xlfn.IFNA(IF(AE141 &lt; (INDEX(SLATable[Minimum SLA],MATCH(G141,SLATable[Priority],0))),"YES","NO"),"")</f>
        <v/>
      </c>
      <c r="AJ141" t="str">
        <f>_xlfn.IFNA(IF(AE141 &lt; (INDEX(SLATable[Maximum SLA],MATCH(G141,SLATable[Priority],0))),"YES","NO"),"")</f>
        <v/>
      </c>
    </row>
    <row r="142" spans="26:36" ht="15" customHeight="1">
      <c r="Z142" s="76" t="e">
        <f t="shared" ca="1" si="16"/>
        <v>#N/A</v>
      </c>
      <c r="AA142" s="75" t="e">
        <f t="shared" ca="1" si="1"/>
        <v>#N/A</v>
      </c>
      <c r="AB142" s="76">
        <f t="shared" ca="1" si="17"/>
        <v>0</v>
      </c>
      <c r="AC142" s="75">
        <f t="shared" ca="1" si="3"/>
        <v>0</v>
      </c>
      <c r="AD142" s="76">
        <f t="shared" ca="1" si="18"/>
        <v>12388.425641782411</v>
      </c>
      <c r="AE142" s="76">
        <f t="shared" si="19"/>
        <v>0</v>
      </c>
      <c r="AF142" s="75">
        <f t="shared" si="6"/>
        <v>0</v>
      </c>
      <c r="AG142" s="75">
        <f t="shared" si="7"/>
        <v>0</v>
      </c>
      <c r="AH142" s="31" t="e" cm="1">
        <f t="array" aca="1" ref="AH142" ca="1">IF((AD142) &lt; (INDEX(ResponseSLA[#All],(MATCH((G142),ResponseSLA[Priority],0))+1,3)),"YES","No")</f>
        <v>#N/A</v>
      </c>
      <c r="AI142" s="31" t="str">
        <f>_xlfn.IFNA(IF(AE142 &lt; (INDEX(SLATable[Minimum SLA],MATCH(G142,SLATable[Priority],0))),"YES","NO"),"")</f>
        <v/>
      </c>
      <c r="AJ142" t="str">
        <f>_xlfn.IFNA(IF(AE142 &lt; (INDEX(SLATable[Maximum SLA],MATCH(G142,SLATable[Priority],0))),"YES","NO"),"")</f>
        <v/>
      </c>
    </row>
    <row r="143" spans="26:36" ht="15" customHeight="1">
      <c r="Z143" s="76" t="e">
        <f t="shared" ca="1" si="16"/>
        <v>#N/A</v>
      </c>
      <c r="AA143" s="75" t="e">
        <f t="shared" ca="1" si="1"/>
        <v>#N/A</v>
      </c>
      <c r="AB143" s="76">
        <f t="shared" ca="1" si="17"/>
        <v>0</v>
      </c>
      <c r="AC143" s="75">
        <f t="shared" ca="1" si="3"/>
        <v>0</v>
      </c>
      <c r="AD143" s="76">
        <f t="shared" ca="1" si="18"/>
        <v>12388.425641550926</v>
      </c>
      <c r="AE143" s="76">
        <f t="shared" si="19"/>
        <v>0</v>
      </c>
      <c r="AF143" s="75">
        <f t="shared" si="6"/>
        <v>0</v>
      </c>
      <c r="AG143" s="75">
        <f t="shared" si="7"/>
        <v>0</v>
      </c>
      <c r="AH143" s="31" t="e" cm="1">
        <f t="array" aca="1" ref="AH143" ca="1">IF((AD143) &lt; (INDEX(ResponseSLA[#All],(MATCH((G143),ResponseSLA[Priority],0))+1,3)),"YES","No")</f>
        <v>#N/A</v>
      </c>
      <c r="AI143" s="31" t="str">
        <f>_xlfn.IFNA(IF(AE143 &lt; (INDEX(SLATable[Minimum SLA],MATCH(G143,SLATable[Priority],0))),"YES","NO"),"")</f>
        <v/>
      </c>
      <c r="AJ143" t="str">
        <f>_xlfn.IFNA(IF(AE143 &lt; (INDEX(SLATable[Maximum SLA],MATCH(G143,SLATable[Priority],0))),"YES","NO"),"")</f>
        <v/>
      </c>
    </row>
    <row r="144" spans="26:36" ht="15" customHeight="1">
      <c r="Z144" s="76" t="e">
        <f t="shared" ca="1" si="16"/>
        <v>#N/A</v>
      </c>
      <c r="AA144" s="75" t="e">
        <f t="shared" ca="1" si="1"/>
        <v>#N/A</v>
      </c>
      <c r="AB144" s="76">
        <f t="shared" ca="1" si="17"/>
        <v>0</v>
      </c>
      <c r="AC144" s="75">
        <f t="shared" ca="1" si="3"/>
        <v>0</v>
      </c>
      <c r="AD144" s="76">
        <f t="shared" ca="1" si="18"/>
        <v>12388.425641550926</v>
      </c>
      <c r="AE144" s="76">
        <f t="shared" si="19"/>
        <v>0</v>
      </c>
      <c r="AF144" s="75">
        <f t="shared" si="6"/>
        <v>0</v>
      </c>
      <c r="AG144" s="75">
        <f t="shared" si="7"/>
        <v>0</v>
      </c>
      <c r="AH144" s="31" t="e" cm="1">
        <f t="array" aca="1" ref="AH144" ca="1">IF((AD144) &lt; (INDEX(ResponseSLA[#All],(MATCH((G144),ResponseSLA[Priority],0))+1,3)),"YES","No")</f>
        <v>#N/A</v>
      </c>
      <c r="AI144" s="31" t="str">
        <f>_xlfn.IFNA(IF(AE144 &lt; (INDEX(SLATable[Minimum SLA],MATCH(G144,SLATable[Priority],0))),"YES","NO"),"")</f>
        <v/>
      </c>
      <c r="AJ144" t="str">
        <f>_xlfn.IFNA(IF(AE144 &lt; (INDEX(SLATable[Maximum SLA],MATCH(G144,SLATable[Priority],0))),"YES","NO"),"")</f>
        <v/>
      </c>
    </row>
    <row r="145" spans="26:36" ht="15" customHeight="1">
      <c r="Z145" s="76" t="e">
        <f t="shared" ca="1" si="16"/>
        <v>#N/A</v>
      </c>
      <c r="AA145" s="75" t="e">
        <f t="shared" ca="1" si="1"/>
        <v>#N/A</v>
      </c>
      <c r="AB145" s="76">
        <f t="shared" ca="1" si="17"/>
        <v>0</v>
      </c>
      <c r="AC145" s="75">
        <f t="shared" ca="1" si="3"/>
        <v>0</v>
      </c>
      <c r="AD145" s="76">
        <f t="shared" ca="1" si="18"/>
        <v>12388.425641782411</v>
      </c>
      <c r="AE145" s="76">
        <f t="shared" si="19"/>
        <v>0</v>
      </c>
      <c r="AF145" s="75">
        <f t="shared" si="6"/>
        <v>0</v>
      </c>
      <c r="AG145" s="75">
        <f t="shared" si="7"/>
        <v>0</v>
      </c>
      <c r="AH145" s="31" t="e" cm="1">
        <f t="array" aca="1" ref="AH145" ca="1">IF((AD145) &lt; (INDEX(ResponseSLA[#All],(MATCH((G145),ResponseSLA[Priority],0))+1,3)),"YES","No")</f>
        <v>#N/A</v>
      </c>
      <c r="AI145" s="31" t="str">
        <f>_xlfn.IFNA(IF(AE145 &lt; (INDEX(SLATable[Minimum SLA],MATCH(G145,SLATable[Priority],0))),"YES","NO"),"")</f>
        <v/>
      </c>
      <c r="AJ145" t="str">
        <f>_xlfn.IFNA(IF(AE145 &lt; (INDEX(SLATable[Maximum SLA],MATCH(G145,SLATable[Priority],0))),"YES","NO"),"")</f>
        <v/>
      </c>
    </row>
    <row r="146" spans="26:36" ht="15" customHeight="1">
      <c r="Z146" s="76" t="e">
        <f t="shared" ca="1" si="16"/>
        <v>#N/A</v>
      </c>
      <c r="AA146" s="75" t="e">
        <f t="shared" ca="1" si="1"/>
        <v>#N/A</v>
      </c>
      <c r="AB146" s="76">
        <f t="shared" ca="1" si="17"/>
        <v>0</v>
      </c>
      <c r="AC146" s="75">
        <f t="shared" ca="1" si="3"/>
        <v>0</v>
      </c>
      <c r="AD146" s="76">
        <f t="shared" ca="1" si="18"/>
        <v>12388.425641550926</v>
      </c>
      <c r="AE146" s="76">
        <f t="shared" si="19"/>
        <v>0</v>
      </c>
      <c r="AF146" s="75">
        <f t="shared" si="6"/>
        <v>0</v>
      </c>
      <c r="AG146" s="75">
        <f t="shared" si="7"/>
        <v>0</v>
      </c>
      <c r="AH146" s="31" t="e" cm="1">
        <f t="array" aca="1" ref="AH146" ca="1">IF((AD146) &lt; (INDEX(ResponseSLA[#All],(MATCH((G146),ResponseSLA[Priority],0))+1,3)),"YES","No")</f>
        <v>#N/A</v>
      </c>
      <c r="AI146" s="31" t="str">
        <f>_xlfn.IFNA(IF(AE146 &lt; (INDEX(SLATable[Minimum SLA],MATCH(G146,SLATable[Priority],0))),"YES","NO"),"")</f>
        <v/>
      </c>
      <c r="AJ146" t="str">
        <f>_xlfn.IFNA(IF(AE146 &lt; (INDEX(SLATable[Maximum SLA],MATCH(G146,SLATable[Priority],0))),"YES","NO"),"")</f>
        <v/>
      </c>
    </row>
    <row r="147" spans="26:36" ht="15" customHeight="1">
      <c r="Z147" s="76" t="e">
        <f t="shared" ca="1" si="16"/>
        <v>#N/A</v>
      </c>
      <c r="AA147" s="75" t="e">
        <f t="shared" ca="1" si="1"/>
        <v>#N/A</v>
      </c>
      <c r="AB147" s="76">
        <f t="shared" ca="1" si="17"/>
        <v>0</v>
      </c>
      <c r="AC147" s="75">
        <f t="shared" ca="1" si="3"/>
        <v>0</v>
      </c>
      <c r="AD147" s="76">
        <f t="shared" ca="1" si="18"/>
        <v>12388.425641550926</v>
      </c>
      <c r="AE147" s="76">
        <f t="shared" si="19"/>
        <v>0</v>
      </c>
      <c r="AF147" s="75">
        <f t="shared" si="6"/>
        <v>0</v>
      </c>
      <c r="AG147" s="75">
        <f t="shared" si="7"/>
        <v>0</v>
      </c>
      <c r="AH147" s="31" t="e" cm="1">
        <f t="array" aca="1" ref="AH147" ca="1">IF((AD147) &lt; (INDEX(ResponseSLA[#All],(MATCH((G147),ResponseSLA[Priority],0))+1,3)),"YES","No")</f>
        <v>#N/A</v>
      </c>
      <c r="AI147" s="31" t="str">
        <f>_xlfn.IFNA(IF(AE147 &lt; (INDEX(SLATable[Minimum SLA],MATCH(G147,SLATable[Priority],0))),"YES","NO"),"")</f>
        <v/>
      </c>
      <c r="AJ147" t="str">
        <f>_xlfn.IFNA(IF(AE147 &lt; (INDEX(SLATable[Maximum SLA],MATCH(G147,SLATable[Priority],0))),"YES","NO"),"")</f>
        <v/>
      </c>
    </row>
    <row r="148" spans="26:36" ht="15" customHeight="1">
      <c r="Z148" s="76" t="e">
        <f t="shared" ca="1" si="16"/>
        <v>#N/A</v>
      </c>
      <c r="AA148" s="75" t="e">
        <f t="shared" ca="1" si="1"/>
        <v>#N/A</v>
      </c>
      <c r="AB148" s="76">
        <f t="shared" ca="1" si="17"/>
        <v>0</v>
      </c>
      <c r="AC148" s="75">
        <f t="shared" ca="1" si="3"/>
        <v>0</v>
      </c>
      <c r="AD148" s="76">
        <f t="shared" ca="1" si="18"/>
        <v>12388.425641782411</v>
      </c>
      <c r="AE148" s="76">
        <f t="shared" si="19"/>
        <v>0</v>
      </c>
      <c r="AF148" s="75">
        <f t="shared" si="6"/>
        <v>0</v>
      </c>
      <c r="AG148" s="75">
        <f t="shared" si="7"/>
        <v>0</v>
      </c>
      <c r="AH148" s="31" t="e" cm="1">
        <f t="array" aca="1" ref="AH148" ca="1">IF((AD148) &lt; (INDEX(ResponseSLA[#All],(MATCH((G148),ResponseSLA[Priority],0))+1,3)),"YES","No")</f>
        <v>#N/A</v>
      </c>
      <c r="AI148" s="31" t="str">
        <f>_xlfn.IFNA(IF(AE148 &lt; (INDEX(SLATable[Minimum SLA],MATCH(G148,SLATable[Priority],0))),"YES","NO"),"")</f>
        <v/>
      </c>
      <c r="AJ148" t="str">
        <f>_xlfn.IFNA(IF(AE148 &lt; (INDEX(SLATable[Maximum SLA],MATCH(G148,SLATable[Priority],0))),"YES","NO"),"")</f>
        <v/>
      </c>
    </row>
    <row r="149" spans="26:36" ht="15" customHeight="1">
      <c r="Z149" s="76" t="e">
        <f t="shared" ca="1" si="16"/>
        <v>#N/A</v>
      </c>
      <c r="AA149" s="75" t="e">
        <f t="shared" ca="1" si="1"/>
        <v>#N/A</v>
      </c>
      <c r="AB149" s="76">
        <f t="shared" ca="1" si="17"/>
        <v>0</v>
      </c>
      <c r="AC149" s="75">
        <f t="shared" ca="1" si="3"/>
        <v>0</v>
      </c>
      <c r="AD149" s="76">
        <f t="shared" ca="1" si="18"/>
        <v>12388.425641550926</v>
      </c>
      <c r="AE149" s="76">
        <f t="shared" si="19"/>
        <v>0</v>
      </c>
      <c r="AF149" s="75">
        <f t="shared" si="6"/>
        <v>0</v>
      </c>
      <c r="AG149" s="75">
        <f t="shared" si="7"/>
        <v>0</v>
      </c>
      <c r="AH149" s="31" t="e" cm="1">
        <f t="array" aca="1" ref="AH149" ca="1">IF((AD149) &lt; (INDEX(ResponseSLA[#All],(MATCH((G149),ResponseSLA[Priority],0))+1,3)),"YES","No")</f>
        <v>#N/A</v>
      </c>
      <c r="AI149" s="31" t="str">
        <f>_xlfn.IFNA(IF(AE149 &lt; (INDEX(SLATable[Minimum SLA],MATCH(G149,SLATable[Priority],0))),"YES","NO"),"")</f>
        <v/>
      </c>
      <c r="AJ149" t="str">
        <f>_xlfn.IFNA(IF(AE149 &lt; (INDEX(SLATable[Maximum SLA],MATCH(G149,SLATable[Priority],0))),"YES","NO"),"")</f>
        <v/>
      </c>
    </row>
    <row r="150" spans="26:36" ht="15" customHeight="1">
      <c r="Z150" s="76" t="e">
        <f t="shared" ca="1" si="16"/>
        <v>#N/A</v>
      </c>
      <c r="AA150" s="75" t="e">
        <f t="shared" ca="1" si="1"/>
        <v>#N/A</v>
      </c>
      <c r="AB150" s="76">
        <f t="shared" ca="1" si="17"/>
        <v>0</v>
      </c>
      <c r="AC150" s="75">
        <f t="shared" ca="1" si="3"/>
        <v>0</v>
      </c>
      <c r="AD150" s="76">
        <f t="shared" ca="1" si="18"/>
        <v>12388.425641550926</v>
      </c>
      <c r="AE150" s="76">
        <f t="shared" si="19"/>
        <v>0</v>
      </c>
      <c r="AF150" s="75">
        <f t="shared" si="6"/>
        <v>0</v>
      </c>
      <c r="AG150" s="75">
        <f t="shared" si="7"/>
        <v>0</v>
      </c>
      <c r="AH150" s="31" t="e" cm="1">
        <f t="array" aca="1" ref="AH150" ca="1">IF((AD150) &lt; (INDEX(ResponseSLA[#All],(MATCH((G150),ResponseSLA[Priority],0))+1,3)),"YES","No")</f>
        <v>#N/A</v>
      </c>
      <c r="AI150" s="31" t="str">
        <f>_xlfn.IFNA(IF(AE150 &lt; (INDEX(SLATable[Minimum SLA],MATCH(G150,SLATable[Priority],0))),"YES","NO"),"")</f>
        <v/>
      </c>
      <c r="AJ150" t="str">
        <f>_xlfn.IFNA(IF(AE150 &lt; (INDEX(SLATable[Maximum SLA],MATCH(G150,SLATable[Priority],0))),"YES","NO"),"")</f>
        <v/>
      </c>
    </row>
    <row r="151" spans="26:36" ht="15" customHeight="1">
      <c r="Z151" s="76" t="e">
        <f t="shared" ca="1" si="16"/>
        <v>#N/A</v>
      </c>
      <c r="AA151" s="75" t="e">
        <f t="shared" ca="1" si="1"/>
        <v>#N/A</v>
      </c>
      <c r="AB151" s="76">
        <f t="shared" ca="1" si="17"/>
        <v>0</v>
      </c>
      <c r="AC151" s="75">
        <f t="shared" ca="1" si="3"/>
        <v>0</v>
      </c>
      <c r="AD151" s="76">
        <f t="shared" ca="1" si="18"/>
        <v>12388.425641782411</v>
      </c>
      <c r="AE151" s="76">
        <f t="shared" si="19"/>
        <v>0</v>
      </c>
      <c r="AF151" s="75">
        <f t="shared" si="6"/>
        <v>0</v>
      </c>
      <c r="AG151" s="75">
        <f t="shared" si="7"/>
        <v>0</v>
      </c>
      <c r="AH151" s="31" t="e" cm="1">
        <f t="array" aca="1" ref="AH151" ca="1">IF((AD151) &lt; (INDEX(ResponseSLA[#All],(MATCH((G151),ResponseSLA[Priority],0))+1,3)),"YES","No")</f>
        <v>#N/A</v>
      </c>
      <c r="AI151" s="31" t="str">
        <f>_xlfn.IFNA(IF(AE151 &lt; (INDEX(SLATable[Minimum SLA],MATCH(G151,SLATable[Priority],0))),"YES","NO"),"")</f>
        <v/>
      </c>
      <c r="AJ151" t="str">
        <f>_xlfn.IFNA(IF(AE151 &lt; (INDEX(SLATable[Maximum SLA],MATCH(G151,SLATable[Priority],0))),"YES","NO"),"")</f>
        <v/>
      </c>
    </row>
    <row r="152" spans="26:36" ht="15" customHeight="1">
      <c r="Z152" s="76" t="e">
        <f t="shared" ca="1" si="16"/>
        <v>#N/A</v>
      </c>
      <c r="AA152" s="75" t="e">
        <f t="shared" ca="1" si="1"/>
        <v>#N/A</v>
      </c>
      <c r="AB152" s="76">
        <f t="shared" ca="1" si="17"/>
        <v>0</v>
      </c>
      <c r="AC152" s="75">
        <f t="shared" ca="1" si="3"/>
        <v>0</v>
      </c>
      <c r="AD152" s="76">
        <f t="shared" ca="1" si="18"/>
        <v>12388.425641550926</v>
      </c>
      <c r="AE152" s="76">
        <f t="shared" si="19"/>
        <v>0</v>
      </c>
      <c r="AF152" s="75">
        <f t="shared" si="6"/>
        <v>0</v>
      </c>
      <c r="AG152" s="75">
        <f t="shared" si="7"/>
        <v>0</v>
      </c>
      <c r="AH152" s="31" t="e" cm="1">
        <f t="array" aca="1" ref="AH152" ca="1">IF((AD152) &lt; (INDEX(ResponseSLA[#All],(MATCH((G152),ResponseSLA[Priority],0))+1,3)),"YES","No")</f>
        <v>#N/A</v>
      </c>
      <c r="AI152" s="31" t="str">
        <f>_xlfn.IFNA(IF(AE152 &lt; (INDEX(SLATable[Minimum SLA],MATCH(G152,SLATable[Priority],0))),"YES","NO"),"")</f>
        <v/>
      </c>
      <c r="AJ152" t="str">
        <f>_xlfn.IFNA(IF(AE152 &lt; (INDEX(SLATable[Maximum SLA],MATCH(G152,SLATable[Priority],0))),"YES","NO"),"")</f>
        <v/>
      </c>
    </row>
    <row r="153" spans="26:36" ht="15" customHeight="1">
      <c r="Z153" s="76" t="e">
        <f t="shared" ca="1" si="16"/>
        <v>#N/A</v>
      </c>
      <c r="AA153" s="75" t="e">
        <f t="shared" ca="1" si="1"/>
        <v>#N/A</v>
      </c>
      <c r="AB153" s="76">
        <f t="shared" ca="1" si="17"/>
        <v>0</v>
      </c>
      <c r="AC153" s="75">
        <f t="shared" ca="1" si="3"/>
        <v>0</v>
      </c>
      <c r="AD153" s="76">
        <f t="shared" ca="1" si="18"/>
        <v>12388.425641550926</v>
      </c>
      <c r="AE153" s="76">
        <f t="shared" si="19"/>
        <v>0</v>
      </c>
      <c r="AF153" s="75">
        <f t="shared" si="6"/>
        <v>0</v>
      </c>
      <c r="AG153" s="75">
        <f t="shared" si="7"/>
        <v>0</v>
      </c>
      <c r="AH153" s="31" t="e" cm="1">
        <f t="array" aca="1" ref="AH153" ca="1">IF((AD153) &lt; (INDEX(ResponseSLA[#All],(MATCH((G153),ResponseSLA[Priority],0))+1,3)),"YES","No")</f>
        <v>#N/A</v>
      </c>
      <c r="AI153" s="31" t="str">
        <f>_xlfn.IFNA(IF(AE153 &lt; (INDEX(SLATable[Minimum SLA],MATCH(G153,SLATable[Priority],0))),"YES","NO"),"")</f>
        <v/>
      </c>
      <c r="AJ153" t="str">
        <f>_xlfn.IFNA(IF(AE153 &lt; (INDEX(SLATable[Maximum SLA],MATCH(G153,SLATable[Priority],0))),"YES","NO"),"")</f>
        <v/>
      </c>
    </row>
    <row r="154" spans="26:36" ht="15" customHeight="1">
      <c r="Z154" s="76" t="e">
        <f t="shared" ca="1" si="16"/>
        <v>#N/A</v>
      </c>
      <c r="AA154" s="75" t="e">
        <f t="shared" ca="1" si="1"/>
        <v>#N/A</v>
      </c>
      <c r="AB154" s="76">
        <f t="shared" ca="1" si="17"/>
        <v>0</v>
      </c>
      <c r="AC154" s="75">
        <f t="shared" ca="1" si="3"/>
        <v>0</v>
      </c>
      <c r="AD154" s="76">
        <f t="shared" ca="1" si="18"/>
        <v>12388.425641782411</v>
      </c>
      <c r="AE154" s="76">
        <f t="shared" si="19"/>
        <v>0</v>
      </c>
      <c r="AF154" s="75">
        <f t="shared" si="6"/>
        <v>0</v>
      </c>
      <c r="AG154" s="75">
        <f t="shared" si="7"/>
        <v>0</v>
      </c>
      <c r="AH154" s="31" t="e" cm="1">
        <f t="array" aca="1" ref="AH154" ca="1">IF((AD154) &lt; (INDEX(ResponseSLA[#All],(MATCH((G154),ResponseSLA[Priority],0))+1,3)),"YES","No")</f>
        <v>#N/A</v>
      </c>
      <c r="AI154" s="31" t="str">
        <f>_xlfn.IFNA(IF(AE154 &lt; (INDEX(SLATable[Minimum SLA],MATCH(G154,SLATable[Priority],0))),"YES","NO"),"")</f>
        <v/>
      </c>
      <c r="AJ154" t="str">
        <f>_xlfn.IFNA(IF(AE154 &lt; (INDEX(SLATable[Maximum SLA],MATCH(G154,SLATable[Priority],0))),"YES","NO"),"")</f>
        <v/>
      </c>
    </row>
    <row r="155" spans="26:36" ht="15" customHeight="1">
      <c r="Z155" s="76" t="e">
        <f t="shared" ca="1" si="16"/>
        <v>#N/A</v>
      </c>
      <c r="AA155" s="75" t="e">
        <f t="shared" ca="1" si="1"/>
        <v>#N/A</v>
      </c>
      <c r="AB155" s="76">
        <f t="shared" ca="1" si="17"/>
        <v>0</v>
      </c>
      <c r="AC155" s="75">
        <f t="shared" ca="1" si="3"/>
        <v>0</v>
      </c>
      <c r="AD155" s="76">
        <f t="shared" ca="1" si="18"/>
        <v>12388.425641550926</v>
      </c>
      <c r="AE155" s="76">
        <f t="shared" si="19"/>
        <v>0</v>
      </c>
      <c r="AF155" s="75">
        <f t="shared" si="6"/>
        <v>0</v>
      </c>
      <c r="AG155" s="75">
        <f t="shared" si="7"/>
        <v>0</v>
      </c>
      <c r="AH155" s="31" t="e" cm="1">
        <f t="array" aca="1" ref="AH155" ca="1">IF((AD155) &lt; (INDEX(ResponseSLA[#All],(MATCH((G155),ResponseSLA[Priority],0))+1,3)),"YES","No")</f>
        <v>#N/A</v>
      </c>
      <c r="AI155" s="31" t="str">
        <f>_xlfn.IFNA(IF(AE155 &lt; (INDEX(SLATable[Minimum SLA],MATCH(G155,SLATable[Priority],0))),"YES","NO"),"")</f>
        <v/>
      </c>
      <c r="AJ155" t="str">
        <f>_xlfn.IFNA(IF(AE155 &lt; (INDEX(SLATable[Maximum SLA],MATCH(G155,SLATable[Priority],0))),"YES","NO"),"")</f>
        <v/>
      </c>
    </row>
    <row r="156" spans="26:36" ht="15" customHeight="1">
      <c r="Z156" s="76" t="e">
        <f t="shared" ca="1" si="16"/>
        <v>#N/A</v>
      </c>
      <c r="AA156" s="75" t="e">
        <f t="shared" ca="1" si="1"/>
        <v>#N/A</v>
      </c>
      <c r="AB156" s="76">
        <f t="shared" ca="1" si="17"/>
        <v>0</v>
      </c>
      <c r="AC156" s="75">
        <f t="shared" ca="1" si="3"/>
        <v>0</v>
      </c>
      <c r="AD156" s="76">
        <f t="shared" ca="1" si="18"/>
        <v>12388.425641550926</v>
      </c>
      <c r="AE156" s="76">
        <f t="shared" si="19"/>
        <v>0</v>
      </c>
      <c r="AF156" s="75">
        <f t="shared" si="6"/>
        <v>0</v>
      </c>
      <c r="AG156" s="75">
        <f t="shared" si="7"/>
        <v>0</v>
      </c>
      <c r="AH156" s="31" t="e" cm="1">
        <f t="array" aca="1" ref="AH156" ca="1">IF((AD156) &lt; (INDEX(ResponseSLA[#All],(MATCH((G156),ResponseSLA[Priority],0))+1,3)),"YES","No")</f>
        <v>#N/A</v>
      </c>
      <c r="AI156" s="31" t="str">
        <f>_xlfn.IFNA(IF(AE156 &lt; (INDEX(SLATable[Minimum SLA],MATCH(G156,SLATable[Priority],0))),"YES","NO"),"")</f>
        <v/>
      </c>
      <c r="AJ156" t="str">
        <f>_xlfn.IFNA(IF(AE156 &lt; (INDEX(SLATable[Maximum SLA],MATCH(G156,SLATable[Priority],0))),"YES","NO"),"")</f>
        <v/>
      </c>
    </row>
    <row r="157" spans="26:36" ht="15" customHeight="1">
      <c r="Z157" s="76" t="e">
        <f t="shared" ca="1" si="16"/>
        <v>#N/A</v>
      </c>
      <c r="AA157" s="75" t="e">
        <f t="shared" ca="1" si="1"/>
        <v>#N/A</v>
      </c>
      <c r="AB157" s="76">
        <f t="shared" ca="1" si="17"/>
        <v>0</v>
      </c>
      <c r="AC157" s="75">
        <f t="shared" ca="1" si="3"/>
        <v>0</v>
      </c>
      <c r="AD157" s="76">
        <f t="shared" ca="1" si="18"/>
        <v>12388.425641782411</v>
      </c>
      <c r="AE157" s="76">
        <f t="shared" si="19"/>
        <v>0</v>
      </c>
      <c r="AF157" s="75">
        <f t="shared" si="6"/>
        <v>0</v>
      </c>
      <c r="AG157" s="75">
        <f t="shared" si="7"/>
        <v>0</v>
      </c>
      <c r="AH157" s="31" t="e" cm="1">
        <f t="array" aca="1" ref="AH157" ca="1">IF((AD157) &lt; (INDEX(ResponseSLA[#All],(MATCH((G157),ResponseSLA[Priority],0))+1,3)),"YES","No")</f>
        <v>#N/A</v>
      </c>
      <c r="AI157" s="31" t="str">
        <f>_xlfn.IFNA(IF(AE157 &lt; (INDEX(SLATable[Minimum SLA],MATCH(G157,SLATable[Priority],0))),"YES","NO"),"")</f>
        <v/>
      </c>
      <c r="AJ157" t="str">
        <f>_xlfn.IFNA(IF(AE157 &lt; (INDEX(SLATable[Maximum SLA],MATCH(G157,SLATable[Priority],0))),"YES","NO"),"")</f>
        <v/>
      </c>
    </row>
    <row r="158" spans="26:36" ht="15" customHeight="1">
      <c r="Z158" s="76" t="e">
        <f t="shared" ca="1" si="16"/>
        <v>#N/A</v>
      </c>
      <c r="AA158" s="75" t="e">
        <f t="shared" ca="1" si="1"/>
        <v>#N/A</v>
      </c>
      <c r="AB158" s="76">
        <f t="shared" ca="1" si="17"/>
        <v>0</v>
      </c>
      <c r="AC158" s="75">
        <f t="shared" ca="1" si="3"/>
        <v>0</v>
      </c>
      <c r="AD158" s="76">
        <f t="shared" ca="1" si="18"/>
        <v>12388.425641550926</v>
      </c>
      <c r="AE158" s="76">
        <f t="shared" si="19"/>
        <v>0</v>
      </c>
      <c r="AF158" s="75">
        <f t="shared" si="6"/>
        <v>0</v>
      </c>
      <c r="AG158" s="75">
        <f t="shared" si="7"/>
        <v>0</v>
      </c>
      <c r="AH158" s="31" t="e" cm="1">
        <f t="array" aca="1" ref="AH158" ca="1">IF((AD158) &lt; (INDEX(ResponseSLA[#All],(MATCH((G158),ResponseSLA[Priority],0))+1,3)),"YES","No")</f>
        <v>#N/A</v>
      </c>
      <c r="AI158" s="31" t="str">
        <f>_xlfn.IFNA(IF(AE158 &lt; (INDEX(SLATable[Minimum SLA],MATCH(G158,SLATable[Priority],0))),"YES","NO"),"")</f>
        <v/>
      </c>
      <c r="AJ158" t="str">
        <f>_xlfn.IFNA(IF(AE158 &lt; (INDEX(SLATable[Maximum SLA],MATCH(G158,SLATable[Priority],0))),"YES","NO"),"")</f>
        <v/>
      </c>
    </row>
    <row r="159" spans="26:36" ht="15" customHeight="1">
      <c r="Z159" s="76" t="e">
        <f t="shared" ca="1" si="16"/>
        <v>#N/A</v>
      </c>
      <c r="AA159" s="75" t="e">
        <f t="shared" ca="1" si="1"/>
        <v>#N/A</v>
      </c>
      <c r="AB159" s="76">
        <f t="shared" ca="1" si="17"/>
        <v>0</v>
      </c>
      <c r="AC159" s="75">
        <f t="shared" ca="1" si="3"/>
        <v>0</v>
      </c>
      <c r="AD159" s="76">
        <f t="shared" ca="1" si="18"/>
        <v>12388.425641550926</v>
      </c>
      <c r="AE159" s="76">
        <f t="shared" si="19"/>
        <v>0</v>
      </c>
      <c r="AF159" s="75">
        <f t="shared" si="6"/>
        <v>0</v>
      </c>
      <c r="AG159" s="75">
        <f t="shared" si="7"/>
        <v>0</v>
      </c>
      <c r="AH159" s="31" t="e" cm="1">
        <f t="array" aca="1" ref="AH159" ca="1">IF((AD159) &lt; (INDEX(ResponseSLA[#All],(MATCH((G159),ResponseSLA[Priority],0))+1,3)),"YES","No")</f>
        <v>#N/A</v>
      </c>
      <c r="AI159" s="31" t="str">
        <f>_xlfn.IFNA(IF(AE159 &lt; (INDEX(SLATable[Minimum SLA],MATCH(G159,SLATable[Priority],0))),"YES","NO"),"")</f>
        <v/>
      </c>
      <c r="AJ159" t="str">
        <f>_xlfn.IFNA(IF(AE159 &lt; (INDEX(SLATable[Maximum SLA],MATCH(G159,SLATable[Priority],0))),"YES","NO"),"")</f>
        <v/>
      </c>
    </row>
    <row r="160" spans="26:36" ht="15" customHeight="1">
      <c r="Z160" s="76" t="e">
        <f t="shared" ca="1" si="16"/>
        <v>#N/A</v>
      </c>
      <c r="AA160" s="75" t="e">
        <f t="shared" ca="1" si="1"/>
        <v>#N/A</v>
      </c>
      <c r="AB160" s="76">
        <f t="shared" ca="1" si="17"/>
        <v>0</v>
      </c>
      <c r="AC160" s="75">
        <f t="shared" ca="1" si="3"/>
        <v>0</v>
      </c>
      <c r="AD160" s="76">
        <f t="shared" ca="1" si="18"/>
        <v>12388.425641782411</v>
      </c>
      <c r="AE160" s="76">
        <f t="shared" si="19"/>
        <v>0</v>
      </c>
      <c r="AF160" s="75">
        <f t="shared" si="6"/>
        <v>0</v>
      </c>
      <c r="AG160" s="75">
        <f t="shared" si="7"/>
        <v>0</v>
      </c>
      <c r="AH160" s="31" t="e" cm="1">
        <f t="array" aca="1" ref="AH160" ca="1">IF((AD160) &lt; (INDEX(ResponseSLA[#All],(MATCH((G160),ResponseSLA[Priority],0))+1,3)),"YES","No")</f>
        <v>#N/A</v>
      </c>
      <c r="AI160" s="31" t="str">
        <f>_xlfn.IFNA(IF(AE160 &lt; (INDEX(SLATable[Minimum SLA],MATCH(G160,SLATable[Priority],0))),"YES","NO"),"")</f>
        <v/>
      </c>
      <c r="AJ160" t="str">
        <f>_xlfn.IFNA(IF(AE160 &lt; (INDEX(SLATable[Maximum SLA],MATCH(G160,SLATable[Priority],0))),"YES","NO"),"")</f>
        <v/>
      </c>
    </row>
    <row r="161" spans="26:36" ht="15" customHeight="1">
      <c r="Z161" s="76" t="e">
        <f t="shared" ca="1" si="16"/>
        <v>#N/A</v>
      </c>
      <c r="AA161" s="75" t="e">
        <f t="shared" ca="1" si="1"/>
        <v>#N/A</v>
      </c>
      <c r="AB161" s="76">
        <f t="shared" ca="1" si="17"/>
        <v>0</v>
      </c>
      <c r="AC161" s="75">
        <f t="shared" ca="1" si="3"/>
        <v>0</v>
      </c>
      <c r="AD161" s="76">
        <f t="shared" ca="1" si="18"/>
        <v>12388.425641550926</v>
      </c>
      <c r="AE161" s="76">
        <f t="shared" si="19"/>
        <v>0</v>
      </c>
      <c r="AF161" s="75">
        <f t="shared" si="6"/>
        <v>0</v>
      </c>
      <c r="AG161" s="75">
        <f t="shared" si="7"/>
        <v>0</v>
      </c>
      <c r="AH161" s="31" t="e" cm="1">
        <f t="array" aca="1" ref="AH161" ca="1">IF((AD161) &lt; (INDEX(ResponseSLA[#All],(MATCH((G161),ResponseSLA[Priority],0))+1,3)),"YES","No")</f>
        <v>#N/A</v>
      </c>
      <c r="AI161" s="31" t="str">
        <f>_xlfn.IFNA(IF(AE161 &lt; (INDEX(SLATable[Minimum SLA],MATCH(G161,SLATable[Priority],0))),"YES","NO"),"")</f>
        <v/>
      </c>
      <c r="AJ161" t="str">
        <f>_xlfn.IFNA(IF(AE161 &lt; (INDEX(SLATable[Maximum SLA],MATCH(G161,SLATable[Priority],0))),"YES","NO"),"")</f>
        <v/>
      </c>
    </row>
    <row r="162" spans="26:36" ht="15" customHeight="1">
      <c r="Z162" s="76" t="e">
        <f t="shared" ca="1" si="16"/>
        <v>#N/A</v>
      </c>
      <c r="AA162" s="75" t="e">
        <f t="shared" ca="1" si="1"/>
        <v>#N/A</v>
      </c>
      <c r="AB162" s="76">
        <f t="shared" ca="1" si="17"/>
        <v>0</v>
      </c>
      <c r="AC162" s="75">
        <f t="shared" ca="1" si="3"/>
        <v>0</v>
      </c>
      <c r="AD162" s="76">
        <f t="shared" ca="1" si="18"/>
        <v>12388.425641550926</v>
      </c>
      <c r="AE162" s="76">
        <f t="shared" si="19"/>
        <v>0</v>
      </c>
      <c r="AF162" s="75">
        <f t="shared" si="6"/>
        <v>0</v>
      </c>
      <c r="AG162" s="75">
        <f t="shared" si="7"/>
        <v>0</v>
      </c>
      <c r="AH162" s="31" t="e" cm="1">
        <f t="array" aca="1" ref="AH162" ca="1">IF((AD162) &lt; (INDEX(ResponseSLA[#All],(MATCH((G162),ResponseSLA[Priority],0))+1,3)),"YES","No")</f>
        <v>#N/A</v>
      </c>
      <c r="AI162" s="31" t="str">
        <f>_xlfn.IFNA(IF(AE162 &lt; (INDEX(SLATable[Minimum SLA],MATCH(G162,SLATable[Priority],0))),"YES","NO"),"")</f>
        <v/>
      </c>
      <c r="AJ162" t="str">
        <f>_xlfn.IFNA(IF(AE162 &lt; (INDEX(SLATable[Maximum SLA],MATCH(G162,SLATable[Priority],0))),"YES","NO"),"")</f>
        <v/>
      </c>
    </row>
    <row r="163" spans="26:36" ht="15" customHeight="1">
      <c r="Z163" s="76" t="e">
        <f t="shared" ca="1" si="16"/>
        <v>#N/A</v>
      </c>
      <c r="AA163" s="75" t="e">
        <f t="shared" ca="1" si="1"/>
        <v>#N/A</v>
      </c>
      <c r="AB163" s="76">
        <f t="shared" ca="1" si="17"/>
        <v>0</v>
      </c>
      <c r="AC163" s="75">
        <f t="shared" ca="1" si="3"/>
        <v>0</v>
      </c>
      <c r="AD163" s="76">
        <f t="shared" ca="1" si="18"/>
        <v>12388.425641782411</v>
      </c>
      <c r="AE163" s="76">
        <f t="shared" si="19"/>
        <v>0</v>
      </c>
      <c r="AF163" s="75">
        <f t="shared" si="6"/>
        <v>0</v>
      </c>
      <c r="AG163" s="75">
        <f t="shared" si="7"/>
        <v>0</v>
      </c>
      <c r="AH163" s="31" t="e" cm="1">
        <f t="array" aca="1" ref="AH163" ca="1">IF((AD163) &lt; (INDEX(ResponseSLA[#All],(MATCH((G163),ResponseSLA[Priority],0))+1,3)),"YES","No")</f>
        <v>#N/A</v>
      </c>
      <c r="AI163" s="31" t="str">
        <f>_xlfn.IFNA(IF(AE163 &lt; (INDEX(SLATable[Minimum SLA],MATCH(G163,SLATable[Priority],0))),"YES","NO"),"")</f>
        <v/>
      </c>
      <c r="AJ163" t="str">
        <f>_xlfn.IFNA(IF(AE163 &lt; (INDEX(SLATable[Maximum SLA],MATCH(G163,SLATable[Priority],0))),"YES","NO"),"")</f>
        <v/>
      </c>
    </row>
    <row r="164" spans="26:36" ht="15" customHeight="1">
      <c r="Z164" s="76" t="e">
        <f t="shared" ca="1" si="16"/>
        <v>#N/A</v>
      </c>
      <c r="AA164" s="75" t="e">
        <f t="shared" ca="1" si="1"/>
        <v>#N/A</v>
      </c>
      <c r="AB164" s="76">
        <f t="shared" ca="1" si="17"/>
        <v>0</v>
      </c>
      <c r="AC164" s="75">
        <f t="shared" ca="1" si="3"/>
        <v>0</v>
      </c>
      <c r="AD164" s="76">
        <f t="shared" ca="1" si="18"/>
        <v>12388.425641550926</v>
      </c>
      <c r="AE164" s="76">
        <f t="shared" si="19"/>
        <v>0</v>
      </c>
      <c r="AF164" s="75">
        <f t="shared" si="6"/>
        <v>0</v>
      </c>
      <c r="AG164" s="75">
        <f t="shared" si="7"/>
        <v>0</v>
      </c>
      <c r="AH164" s="31" t="e" cm="1">
        <f t="array" aca="1" ref="AH164" ca="1">IF((AD164) &lt; (INDEX(ResponseSLA[#All],(MATCH((G164),ResponseSLA[Priority],0))+1,3)),"YES","No")</f>
        <v>#N/A</v>
      </c>
      <c r="AI164" s="31" t="str">
        <f>_xlfn.IFNA(IF(AE164 &lt; (INDEX(SLATable[Minimum SLA],MATCH(G164,SLATable[Priority],0))),"YES","NO"),"")</f>
        <v/>
      </c>
      <c r="AJ164" t="str">
        <f>_xlfn.IFNA(IF(AE164 &lt; (INDEX(SLATable[Maximum SLA],MATCH(G164,SLATable[Priority],0))),"YES","NO"),"")</f>
        <v/>
      </c>
    </row>
    <row r="165" spans="26:36" ht="15" customHeight="1">
      <c r="Z165" s="76" t="e">
        <f t="shared" ca="1" si="16"/>
        <v>#N/A</v>
      </c>
      <c r="AA165" s="75" t="e">
        <f t="shared" ca="1" si="1"/>
        <v>#N/A</v>
      </c>
      <c r="AB165" s="76">
        <f t="shared" ca="1" si="17"/>
        <v>0</v>
      </c>
      <c r="AC165" s="75">
        <f t="shared" ca="1" si="3"/>
        <v>0</v>
      </c>
      <c r="AD165" s="76">
        <f t="shared" ca="1" si="18"/>
        <v>12388.425641550926</v>
      </c>
      <c r="AE165" s="76">
        <f t="shared" si="19"/>
        <v>0</v>
      </c>
      <c r="AF165" s="75">
        <f t="shared" si="6"/>
        <v>0</v>
      </c>
      <c r="AG165" s="75">
        <f t="shared" si="7"/>
        <v>0</v>
      </c>
      <c r="AH165" s="31" t="e" cm="1">
        <f t="array" aca="1" ref="AH165" ca="1">IF((AD165) &lt; (INDEX(ResponseSLA[#All],(MATCH((G165),ResponseSLA[Priority],0))+1,3)),"YES","No")</f>
        <v>#N/A</v>
      </c>
      <c r="AI165" s="31" t="str">
        <f>_xlfn.IFNA(IF(AE165 &lt; (INDEX(SLATable[Minimum SLA],MATCH(G165,SLATable[Priority],0))),"YES","NO"),"")</f>
        <v/>
      </c>
      <c r="AJ165" t="str">
        <f>_xlfn.IFNA(IF(AE165 &lt; (INDEX(SLATable[Maximum SLA],MATCH(G165,SLATable[Priority],0))),"YES","NO"),"")</f>
        <v/>
      </c>
    </row>
    <row r="166" spans="26:36" ht="15" customHeight="1">
      <c r="Z166" s="76" t="e">
        <f t="shared" ca="1" si="16"/>
        <v>#N/A</v>
      </c>
      <c r="AA166" s="75" t="e">
        <f t="shared" ca="1" si="1"/>
        <v>#N/A</v>
      </c>
      <c r="AB166" s="76">
        <f t="shared" ca="1" si="17"/>
        <v>0</v>
      </c>
      <c r="AC166" s="75">
        <f t="shared" ca="1" si="3"/>
        <v>0</v>
      </c>
      <c r="AD166" s="76">
        <f t="shared" ca="1" si="18"/>
        <v>12388.425641782411</v>
      </c>
      <c r="AE166" s="76">
        <f t="shared" si="19"/>
        <v>0</v>
      </c>
      <c r="AF166" s="75">
        <f t="shared" si="6"/>
        <v>0</v>
      </c>
      <c r="AG166" s="75">
        <f t="shared" si="7"/>
        <v>0</v>
      </c>
      <c r="AH166" s="31" t="e" cm="1">
        <f t="array" aca="1" ref="AH166" ca="1">IF((AD166) &lt; (INDEX(ResponseSLA[#All],(MATCH((G166),ResponseSLA[Priority],0))+1,3)),"YES","No")</f>
        <v>#N/A</v>
      </c>
      <c r="AI166" s="31" t="str">
        <f>_xlfn.IFNA(IF(AE166 &lt; (INDEX(SLATable[Minimum SLA],MATCH(G166,SLATable[Priority],0))),"YES","NO"),"")</f>
        <v/>
      </c>
      <c r="AJ166" t="str">
        <f>_xlfn.IFNA(IF(AE166 &lt; (INDEX(SLATable[Maximum SLA],MATCH(G166,SLATable[Priority],0))),"YES","NO"),"")</f>
        <v/>
      </c>
    </row>
    <row r="167" spans="26:36" ht="15" customHeight="1">
      <c r="Z167" s="76" t="e">
        <f t="shared" ca="1" si="16"/>
        <v>#N/A</v>
      </c>
      <c r="AA167" s="75" t="e">
        <f t="shared" ca="1" si="1"/>
        <v>#N/A</v>
      </c>
      <c r="AB167" s="76">
        <f t="shared" ca="1" si="17"/>
        <v>0</v>
      </c>
      <c r="AC167" s="75">
        <f t="shared" ca="1" si="3"/>
        <v>0</v>
      </c>
      <c r="AD167" s="76">
        <f t="shared" ca="1" si="18"/>
        <v>12388.425641550926</v>
      </c>
      <c r="AE167" s="76">
        <f t="shared" si="19"/>
        <v>0</v>
      </c>
      <c r="AF167" s="75">
        <f t="shared" si="6"/>
        <v>0</v>
      </c>
      <c r="AG167" s="75">
        <f t="shared" si="7"/>
        <v>0</v>
      </c>
      <c r="AH167" s="31" t="e" cm="1">
        <f t="array" aca="1" ref="AH167" ca="1">IF((AD167) &lt; (INDEX(ResponseSLA[#All],(MATCH((G167),ResponseSLA[Priority],0))+1,3)),"YES","No")</f>
        <v>#N/A</v>
      </c>
      <c r="AI167" s="31" t="str">
        <f>_xlfn.IFNA(IF(AE167 &lt; (INDEX(SLATable[Minimum SLA],MATCH(G167,SLATable[Priority],0))),"YES","NO"),"")</f>
        <v/>
      </c>
      <c r="AJ167" t="str">
        <f>_xlfn.IFNA(IF(AE167 &lt; (INDEX(SLATable[Maximum SLA],MATCH(G167,SLATable[Priority],0))),"YES","NO"),"")</f>
        <v/>
      </c>
    </row>
    <row r="168" spans="26:36" ht="15" customHeight="1">
      <c r="Z168" s="76" t="e">
        <f t="shared" ca="1" si="16"/>
        <v>#N/A</v>
      </c>
      <c r="AA168" s="75" t="e">
        <f t="shared" ca="1" si="1"/>
        <v>#N/A</v>
      </c>
      <c r="AB168" s="76">
        <f t="shared" ca="1" si="17"/>
        <v>0</v>
      </c>
      <c r="AC168" s="75">
        <f t="shared" ca="1" si="3"/>
        <v>0</v>
      </c>
      <c r="AD168" s="76">
        <f t="shared" ca="1" si="18"/>
        <v>12388.425641550926</v>
      </c>
      <c r="AE168" s="76">
        <f t="shared" si="19"/>
        <v>0</v>
      </c>
      <c r="AF168" s="75">
        <f t="shared" si="6"/>
        <v>0</v>
      </c>
      <c r="AG168" s="75">
        <f t="shared" si="7"/>
        <v>0</v>
      </c>
      <c r="AH168" s="31" t="e" cm="1">
        <f t="array" aca="1" ref="AH168" ca="1">IF((AD168) &lt; (INDEX(ResponseSLA[#All],(MATCH((G168),ResponseSLA[Priority],0))+1,3)),"YES","No")</f>
        <v>#N/A</v>
      </c>
      <c r="AI168" s="31" t="str">
        <f>_xlfn.IFNA(IF(AE168 &lt; (INDEX(SLATable[Minimum SLA],MATCH(G168,SLATable[Priority],0))),"YES","NO"),"")</f>
        <v/>
      </c>
      <c r="AJ168" t="str">
        <f>_xlfn.IFNA(IF(AE168 &lt; (INDEX(SLATable[Maximum SLA],MATCH(G168,SLATable[Priority],0))),"YES","NO"),"")</f>
        <v/>
      </c>
    </row>
    <row r="169" spans="26:36" ht="15" customHeight="1">
      <c r="Z169" s="76" t="e">
        <f t="shared" ca="1" si="16"/>
        <v>#N/A</v>
      </c>
      <c r="AA169" s="75" t="e">
        <f t="shared" ca="1" si="1"/>
        <v>#N/A</v>
      </c>
      <c r="AB169" s="76">
        <f t="shared" ca="1" si="17"/>
        <v>0</v>
      </c>
      <c r="AC169" s="75">
        <f t="shared" ca="1" si="3"/>
        <v>0</v>
      </c>
      <c r="AD169" s="76">
        <f t="shared" ca="1" si="18"/>
        <v>12388.425641782411</v>
      </c>
      <c r="AE169" s="76">
        <f t="shared" si="19"/>
        <v>0</v>
      </c>
      <c r="AF169" s="75">
        <f t="shared" si="6"/>
        <v>0</v>
      </c>
      <c r="AG169" s="75">
        <f t="shared" si="7"/>
        <v>0</v>
      </c>
      <c r="AH169" s="31" t="e" cm="1">
        <f t="array" aca="1" ref="AH169" ca="1">IF((AD169) &lt; (INDEX(ResponseSLA[#All],(MATCH((G169),ResponseSLA[Priority],0))+1,3)),"YES","No")</f>
        <v>#N/A</v>
      </c>
      <c r="AI169" s="31" t="str">
        <f>_xlfn.IFNA(IF(AE169 &lt; (INDEX(SLATable[Minimum SLA],MATCH(G169,SLATable[Priority],0))),"YES","NO"),"")</f>
        <v/>
      </c>
      <c r="AJ169" t="str">
        <f>_xlfn.IFNA(IF(AE169 &lt; (INDEX(SLATable[Maximum SLA],MATCH(G169,SLATable[Priority],0))),"YES","NO"),"")</f>
        <v/>
      </c>
    </row>
    <row r="170" spans="26:36" ht="15" customHeight="1">
      <c r="Z170" s="76" t="e">
        <f t="shared" ca="1" si="16"/>
        <v>#N/A</v>
      </c>
      <c r="AA170" s="75" t="e">
        <f t="shared" ca="1" si="1"/>
        <v>#N/A</v>
      </c>
      <c r="AB170" s="76">
        <f t="shared" ca="1" si="17"/>
        <v>0</v>
      </c>
      <c r="AC170" s="75">
        <f t="shared" ca="1" si="3"/>
        <v>0</v>
      </c>
      <c r="AD170" s="76">
        <f t="shared" ca="1" si="18"/>
        <v>12388.425641550926</v>
      </c>
      <c r="AE170" s="76">
        <f t="shared" si="19"/>
        <v>0</v>
      </c>
      <c r="AF170" s="75">
        <f t="shared" si="6"/>
        <v>0</v>
      </c>
      <c r="AG170" s="75">
        <f t="shared" si="7"/>
        <v>0</v>
      </c>
      <c r="AH170" s="31" t="e" cm="1">
        <f t="array" aca="1" ref="AH170" ca="1">IF((AD170) &lt; (INDEX(ResponseSLA[#All],(MATCH((G170),ResponseSLA[Priority],0))+1,3)),"YES","No")</f>
        <v>#N/A</v>
      </c>
      <c r="AI170" s="31" t="str">
        <f>_xlfn.IFNA(IF(AE170 &lt; (INDEX(SLATable[Minimum SLA],MATCH(G170,SLATable[Priority],0))),"YES","NO"),"")</f>
        <v/>
      </c>
      <c r="AJ170" t="str">
        <f>_xlfn.IFNA(IF(AE170 &lt; (INDEX(SLATable[Maximum SLA],MATCH(G170,SLATable[Priority],0))),"YES","NO"),"")</f>
        <v/>
      </c>
    </row>
    <row r="171" spans="26:36" ht="15" customHeight="1">
      <c r="Z171" s="76" t="e">
        <f t="shared" ca="1" si="16"/>
        <v>#N/A</v>
      </c>
      <c r="AA171" s="75" t="e">
        <f t="shared" ca="1" si="1"/>
        <v>#N/A</v>
      </c>
      <c r="AB171" s="76">
        <f t="shared" ca="1" si="17"/>
        <v>0</v>
      </c>
      <c r="AC171" s="75">
        <f t="shared" ca="1" si="3"/>
        <v>0</v>
      </c>
      <c r="AD171" s="76">
        <f t="shared" ca="1" si="18"/>
        <v>12388.425641550926</v>
      </c>
      <c r="AE171" s="76">
        <f t="shared" si="19"/>
        <v>0</v>
      </c>
      <c r="AF171" s="75">
        <f t="shared" si="6"/>
        <v>0</v>
      </c>
      <c r="AG171" s="75">
        <f t="shared" si="7"/>
        <v>0</v>
      </c>
      <c r="AH171" s="31" t="e" cm="1">
        <f t="array" aca="1" ref="AH171" ca="1">IF((AD171) &lt; (INDEX(ResponseSLA[#All],(MATCH((G171),ResponseSLA[Priority],0))+1,3)),"YES","No")</f>
        <v>#N/A</v>
      </c>
      <c r="AI171" s="31" t="str">
        <f>_xlfn.IFNA(IF(AE171 &lt; (INDEX(SLATable[Minimum SLA],MATCH(G171,SLATable[Priority],0))),"YES","NO"),"")</f>
        <v/>
      </c>
      <c r="AJ171" t="str">
        <f>_xlfn.IFNA(IF(AE171 &lt; (INDEX(SLATable[Maximum SLA],MATCH(G171,SLATable[Priority],0))),"YES","NO"),"")</f>
        <v/>
      </c>
    </row>
    <row r="172" spans="26:36" ht="15" customHeight="1">
      <c r="Z172" s="76" t="e">
        <f t="shared" ca="1" si="16"/>
        <v>#N/A</v>
      </c>
      <c r="AA172" s="75" t="e">
        <f t="shared" ca="1" si="1"/>
        <v>#N/A</v>
      </c>
      <c r="AB172" s="76">
        <f t="shared" ca="1" si="17"/>
        <v>0</v>
      </c>
      <c r="AC172" s="75">
        <f t="shared" ca="1" si="3"/>
        <v>0</v>
      </c>
      <c r="AD172" s="76">
        <f t="shared" ca="1" si="18"/>
        <v>12388.425641782411</v>
      </c>
      <c r="AE172" s="76">
        <f t="shared" si="19"/>
        <v>0</v>
      </c>
      <c r="AF172" s="75">
        <f t="shared" si="6"/>
        <v>0</v>
      </c>
      <c r="AG172" s="75">
        <f t="shared" si="7"/>
        <v>0</v>
      </c>
      <c r="AH172" s="31" t="e" cm="1">
        <f t="array" aca="1" ref="AH172" ca="1">IF((AD172) &lt; (INDEX(ResponseSLA[#All],(MATCH((G172),ResponseSLA[Priority],0))+1,3)),"YES","No")</f>
        <v>#N/A</v>
      </c>
      <c r="AI172" s="31" t="str">
        <f>_xlfn.IFNA(IF(AE172 &lt; (INDEX(SLATable[Minimum SLA],MATCH(G172,SLATable[Priority],0))),"YES","NO"),"")</f>
        <v/>
      </c>
      <c r="AJ172" t="str">
        <f>_xlfn.IFNA(IF(AE172 &lt; (INDEX(SLATable[Maximum SLA],MATCH(G172,SLATable[Priority],0))),"YES","NO"),"")</f>
        <v/>
      </c>
    </row>
    <row r="173" spans="26:36" ht="15" customHeight="1">
      <c r="Z173" s="76" t="e">
        <f t="shared" ca="1" si="16"/>
        <v>#N/A</v>
      </c>
      <c r="AA173" s="75" t="e">
        <f t="shared" ca="1" si="1"/>
        <v>#N/A</v>
      </c>
      <c r="AB173" s="76">
        <f t="shared" ca="1" si="17"/>
        <v>0</v>
      </c>
      <c r="AC173" s="75">
        <f t="shared" ca="1" si="3"/>
        <v>0</v>
      </c>
      <c r="AD173" s="76">
        <f t="shared" ca="1" si="18"/>
        <v>12388.425641550926</v>
      </c>
      <c r="AE173" s="76">
        <f t="shared" si="19"/>
        <v>0</v>
      </c>
      <c r="AF173" s="75">
        <f t="shared" si="6"/>
        <v>0</v>
      </c>
      <c r="AG173" s="75">
        <f t="shared" si="7"/>
        <v>0</v>
      </c>
      <c r="AH173" s="31" t="e" cm="1">
        <f t="array" aca="1" ref="AH173" ca="1">IF((AD173) &lt; (INDEX(ResponseSLA[#All],(MATCH((G173),ResponseSLA[Priority],0))+1,3)),"YES","No")</f>
        <v>#N/A</v>
      </c>
      <c r="AI173" s="31" t="str">
        <f>_xlfn.IFNA(IF(AE173 &lt; (INDEX(SLATable[Minimum SLA],MATCH(G173,SLATable[Priority],0))),"YES","NO"),"")</f>
        <v/>
      </c>
      <c r="AJ173" t="str">
        <f>_xlfn.IFNA(IF(AE173 &lt; (INDEX(SLATable[Maximum SLA],MATCH(G173,SLATable[Priority],0))),"YES","NO"),"")</f>
        <v/>
      </c>
    </row>
    <row r="174" spans="26:36" ht="15" customHeight="1">
      <c r="Z174" s="76" t="e">
        <f t="shared" ca="1" si="16"/>
        <v>#N/A</v>
      </c>
      <c r="AA174" s="75" t="e">
        <f t="shared" ca="1" si="1"/>
        <v>#N/A</v>
      </c>
      <c r="AB174" s="76">
        <f t="shared" ca="1" si="17"/>
        <v>0</v>
      </c>
      <c r="AC174" s="75">
        <f t="shared" ca="1" si="3"/>
        <v>0</v>
      </c>
      <c r="AD174" s="76">
        <f t="shared" ca="1" si="18"/>
        <v>12388.425641550926</v>
      </c>
      <c r="AE174" s="76">
        <f t="shared" si="19"/>
        <v>0</v>
      </c>
      <c r="AF174" s="75">
        <f t="shared" si="6"/>
        <v>0</v>
      </c>
      <c r="AG174" s="75">
        <f t="shared" si="7"/>
        <v>0</v>
      </c>
      <c r="AH174" s="31" t="e" cm="1">
        <f t="array" aca="1" ref="AH174" ca="1">IF((AD174) &lt; (INDEX(ResponseSLA[#All],(MATCH((G174),ResponseSLA[Priority],0))+1,3)),"YES","No")</f>
        <v>#N/A</v>
      </c>
      <c r="AI174" s="31" t="str">
        <f>_xlfn.IFNA(IF(AE174 &lt; (INDEX(SLATable[Minimum SLA],MATCH(G174,SLATable[Priority],0))),"YES","NO"),"")</f>
        <v/>
      </c>
      <c r="AJ174" t="str">
        <f>_xlfn.IFNA(IF(AE174 &lt; (INDEX(SLATable[Maximum SLA],MATCH(G174,SLATable[Priority],0))),"YES","NO"),"")</f>
        <v/>
      </c>
    </row>
    <row r="175" spans="26:36" ht="15" customHeight="1">
      <c r="Z175" s="76" t="e">
        <f t="shared" ca="1" si="16"/>
        <v>#N/A</v>
      </c>
      <c r="AA175" s="75" t="e">
        <f t="shared" ca="1" si="1"/>
        <v>#N/A</v>
      </c>
      <c r="AB175" s="76">
        <f t="shared" ca="1" si="17"/>
        <v>0</v>
      </c>
      <c r="AC175" s="75">
        <f t="shared" ca="1" si="3"/>
        <v>0</v>
      </c>
      <c r="AD175" s="76">
        <f t="shared" ca="1" si="18"/>
        <v>12388.425641782411</v>
      </c>
      <c r="AE175" s="76">
        <f t="shared" si="19"/>
        <v>0</v>
      </c>
      <c r="AF175" s="75">
        <f t="shared" si="6"/>
        <v>0</v>
      </c>
      <c r="AG175" s="75">
        <f t="shared" si="7"/>
        <v>0</v>
      </c>
      <c r="AH175" s="31" t="e" cm="1">
        <f t="array" aca="1" ref="AH175" ca="1">IF((AD175) &lt; (INDEX(ResponseSLA[#All],(MATCH((G175),ResponseSLA[Priority],0))+1,3)),"YES","No")</f>
        <v>#N/A</v>
      </c>
      <c r="AI175" s="31" t="str">
        <f>_xlfn.IFNA(IF(AE175 &lt; (INDEX(SLATable[Minimum SLA],MATCH(G175,SLATable[Priority],0))),"YES","NO"),"")</f>
        <v/>
      </c>
      <c r="AJ175" t="str">
        <f>_xlfn.IFNA(IF(AE175 &lt; (INDEX(SLATable[Maximum SLA],MATCH(G175,SLATable[Priority],0))),"YES","NO"),"")</f>
        <v/>
      </c>
    </row>
    <row r="176" spans="26:36" ht="15" customHeight="1">
      <c r="Z176" s="76" t="e">
        <f t="shared" ca="1" si="16"/>
        <v>#N/A</v>
      </c>
      <c r="AA176" s="75" t="e">
        <f t="shared" ca="1" si="1"/>
        <v>#N/A</v>
      </c>
      <c r="AB176" s="76">
        <f t="shared" ca="1" si="17"/>
        <v>0</v>
      </c>
      <c r="AC176" s="75">
        <f t="shared" ca="1" si="3"/>
        <v>0</v>
      </c>
      <c r="AD176" s="76">
        <f t="shared" ca="1" si="18"/>
        <v>12388.425641550926</v>
      </c>
      <c r="AE176" s="76">
        <f t="shared" si="19"/>
        <v>0</v>
      </c>
      <c r="AF176" s="75">
        <f t="shared" si="6"/>
        <v>0</v>
      </c>
      <c r="AG176" s="75">
        <f t="shared" si="7"/>
        <v>0</v>
      </c>
      <c r="AH176" s="31" t="e" cm="1">
        <f t="array" aca="1" ref="AH176" ca="1">IF((AD176) &lt; (INDEX(ResponseSLA[#All],(MATCH((G176),ResponseSLA[Priority],0))+1,3)),"YES","No")</f>
        <v>#N/A</v>
      </c>
      <c r="AI176" s="31" t="str">
        <f>_xlfn.IFNA(IF(AE176 &lt; (INDEX(SLATable[Minimum SLA],MATCH(G176,SLATable[Priority],0))),"YES","NO"),"")</f>
        <v/>
      </c>
      <c r="AJ176" t="str">
        <f>_xlfn.IFNA(IF(AE176 &lt; (INDEX(SLATable[Maximum SLA],MATCH(G176,SLATable[Priority],0))),"YES","NO"),"")</f>
        <v/>
      </c>
    </row>
    <row r="177" spans="26:36" ht="15" customHeight="1">
      <c r="Z177" s="76" t="e">
        <f t="shared" ca="1" si="16"/>
        <v>#N/A</v>
      </c>
      <c r="AA177" s="75" t="e">
        <f t="shared" ca="1" si="1"/>
        <v>#N/A</v>
      </c>
      <c r="AB177" s="76">
        <f t="shared" ca="1" si="17"/>
        <v>0</v>
      </c>
      <c r="AC177" s="75">
        <f t="shared" ca="1" si="3"/>
        <v>0</v>
      </c>
      <c r="AD177" s="76">
        <f t="shared" ca="1" si="18"/>
        <v>12388.425641550926</v>
      </c>
      <c r="AE177" s="76">
        <f t="shared" si="19"/>
        <v>0</v>
      </c>
      <c r="AF177" s="75">
        <f t="shared" si="6"/>
        <v>0</v>
      </c>
      <c r="AG177" s="75">
        <f t="shared" si="7"/>
        <v>0</v>
      </c>
      <c r="AH177" s="31" t="e" cm="1">
        <f t="array" aca="1" ref="AH177" ca="1">IF((AD177) &lt; (INDEX(ResponseSLA[#All],(MATCH((G177),ResponseSLA[Priority],0))+1,3)),"YES","No")</f>
        <v>#N/A</v>
      </c>
      <c r="AI177" s="31" t="str">
        <f>_xlfn.IFNA(IF(AE177 &lt; (INDEX(SLATable[Minimum SLA],MATCH(G177,SLATable[Priority],0))),"YES","NO"),"")</f>
        <v/>
      </c>
      <c r="AJ177" t="str">
        <f>_xlfn.IFNA(IF(AE177 &lt; (INDEX(SLATable[Maximum SLA],MATCH(G177,SLATable[Priority],0))),"YES","NO"),"")</f>
        <v/>
      </c>
    </row>
    <row r="178" spans="26:36" ht="15" customHeight="1">
      <c r="Z178" s="76" t="e">
        <f t="shared" ca="1" si="16"/>
        <v>#N/A</v>
      </c>
      <c r="AA178" s="75" t="e">
        <f t="shared" ca="1" si="1"/>
        <v>#N/A</v>
      </c>
      <c r="AB178" s="76">
        <f t="shared" ca="1" si="17"/>
        <v>0</v>
      </c>
      <c r="AC178" s="75">
        <f t="shared" ca="1" si="3"/>
        <v>0</v>
      </c>
      <c r="AD178" s="76">
        <f t="shared" ca="1" si="18"/>
        <v>12388.425641782411</v>
      </c>
      <c r="AE178" s="76">
        <f t="shared" si="19"/>
        <v>0</v>
      </c>
      <c r="AF178" s="75">
        <f t="shared" si="6"/>
        <v>0</v>
      </c>
      <c r="AG178" s="75">
        <f t="shared" si="7"/>
        <v>0</v>
      </c>
      <c r="AH178" s="31" t="e" cm="1">
        <f t="array" aca="1" ref="AH178" ca="1">IF((AD178) &lt; (INDEX(ResponseSLA[#All],(MATCH((G178),ResponseSLA[Priority],0))+1,3)),"YES","No")</f>
        <v>#N/A</v>
      </c>
      <c r="AI178" s="31" t="str">
        <f>_xlfn.IFNA(IF(AE178 &lt; (INDEX(SLATable[Minimum SLA],MATCH(G178,SLATable[Priority],0))),"YES","NO"),"")</f>
        <v/>
      </c>
      <c r="AJ178" t="str">
        <f>_xlfn.IFNA(IF(AE178 &lt; (INDEX(SLATable[Maximum SLA],MATCH(G178,SLATable[Priority],0))),"YES","NO"),"")</f>
        <v/>
      </c>
    </row>
    <row r="179" spans="26:36" ht="15" customHeight="1">
      <c r="Z179" s="76" t="e">
        <f t="shared" ca="1" si="16"/>
        <v>#N/A</v>
      </c>
      <c r="AA179" s="75" t="e">
        <f t="shared" ca="1" si="1"/>
        <v>#N/A</v>
      </c>
      <c r="AB179" s="76">
        <f t="shared" ca="1" si="17"/>
        <v>0</v>
      </c>
      <c r="AC179" s="75">
        <f t="shared" ca="1" si="3"/>
        <v>0</v>
      </c>
      <c r="AD179" s="76">
        <f t="shared" ca="1" si="18"/>
        <v>12388.425641550926</v>
      </c>
      <c r="AE179" s="76">
        <f t="shared" si="19"/>
        <v>0</v>
      </c>
      <c r="AF179" s="75">
        <f t="shared" si="6"/>
        <v>0</v>
      </c>
      <c r="AG179" s="75">
        <f t="shared" si="7"/>
        <v>0</v>
      </c>
      <c r="AH179" s="31" t="e" cm="1">
        <f t="array" aca="1" ref="AH179" ca="1">IF((AD179) &lt; (INDEX(ResponseSLA[#All],(MATCH((G179),ResponseSLA[Priority],0))+1,3)),"YES","No")</f>
        <v>#N/A</v>
      </c>
      <c r="AI179" s="31" t="str">
        <f>_xlfn.IFNA(IF(AE179 &lt; (INDEX(SLATable[Minimum SLA],MATCH(G179,SLATable[Priority],0))),"YES","NO"),"")</f>
        <v/>
      </c>
      <c r="AJ179" t="str">
        <f>_xlfn.IFNA(IF(AE179 &lt; (INDEX(SLATable[Maximum SLA],MATCH(G179,SLATable[Priority],0))),"YES","NO"),"")</f>
        <v/>
      </c>
    </row>
    <row r="180" spans="26:36" ht="15" customHeight="1">
      <c r="Z180" s="76" t="e">
        <f t="shared" ca="1" si="16"/>
        <v>#N/A</v>
      </c>
      <c r="AA180" s="75" t="e">
        <f t="shared" ca="1" si="1"/>
        <v>#N/A</v>
      </c>
      <c r="AB180" s="76">
        <f t="shared" ca="1" si="17"/>
        <v>0</v>
      </c>
      <c r="AC180" s="75">
        <f t="shared" ca="1" si="3"/>
        <v>0</v>
      </c>
      <c r="AD180" s="76">
        <f t="shared" ca="1" si="18"/>
        <v>12388.425641550926</v>
      </c>
      <c r="AE180" s="76">
        <f t="shared" si="19"/>
        <v>0</v>
      </c>
      <c r="AF180" s="75">
        <f t="shared" si="6"/>
        <v>0</v>
      </c>
      <c r="AG180" s="75">
        <f t="shared" si="7"/>
        <v>0</v>
      </c>
      <c r="AH180" s="31" t="e" cm="1">
        <f t="array" aca="1" ref="AH180" ca="1">IF((AD180) &lt; (INDEX(ResponseSLA[#All],(MATCH((G180),ResponseSLA[Priority],0))+1,3)),"YES","No")</f>
        <v>#N/A</v>
      </c>
      <c r="AI180" s="31" t="str">
        <f>_xlfn.IFNA(IF(AE180 &lt; (INDEX(SLATable[Minimum SLA],MATCH(G180,SLATable[Priority],0))),"YES","NO"),"")</f>
        <v/>
      </c>
      <c r="AJ180" t="str">
        <f>_xlfn.IFNA(IF(AE180 &lt; (INDEX(SLATable[Maximum SLA],MATCH(G180,SLATable[Priority],0))),"YES","NO"),"")</f>
        <v/>
      </c>
    </row>
    <row r="181" spans="26:36" ht="15" customHeight="1">
      <c r="Z181" s="76" t="e">
        <f t="shared" ca="1" si="16"/>
        <v>#N/A</v>
      </c>
      <c r="AA181" s="75" t="e">
        <f t="shared" ca="1" si="1"/>
        <v>#N/A</v>
      </c>
      <c r="AB181" s="76">
        <f t="shared" ca="1" si="17"/>
        <v>0</v>
      </c>
      <c r="AC181" s="75">
        <f t="shared" ca="1" si="3"/>
        <v>0</v>
      </c>
      <c r="AD181" s="76">
        <f t="shared" ca="1" si="18"/>
        <v>12388.425641782411</v>
      </c>
      <c r="AE181" s="76">
        <f t="shared" si="19"/>
        <v>0</v>
      </c>
      <c r="AF181" s="75">
        <f t="shared" si="6"/>
        <v>0</v>
      </c>
      <c r="AG181" s="75">
        <f t="shared" si="7"/>
        <v>0</v>
      </c>
      <c r="AH181" s="31" t="e" cm="1">
        <f t="array" aca="1" ref="AH181" ca="1">IF((AD181) &lt; (INDEX(ResponseSLA[#All],(MATCH((G181),ResponseSLA[Priority],0))+1,3)),"YES","No")</f>
        <v>#N/A</v>
      </c>
      <c r="AI181" s="31" t="str">
        <f>_xlfn.IFNA(IF(AE181 &lt; (INDEX(SLATable[Minimum SLA],MATCH(G181,SLATable[Priority],0))),"YES","NO"),"")</f>
        <v/>
      </c>
      <c r="AJ181" t="str">
        <f>_xlfn.IFNA(IF(AE181 &lt; (INDEX(SLATable[Maximum SLA],MATCH(G181,SLATable[Priority],0))),"YES","NO"),"")</f>
        <v/>
      </c>
    </row>
    <row r="182" spans="26:36" ht="15" customHeight="1">
      <c r="Z182" s="76" t="e">
        <f t="shared" ca="1" si="16"/>
        <v>#N/A</v>
      </c>
      <c r="AA182" s="75" t="e">
        <f t="shared" ca="1" si="1"/>
        <v>#N/A</v>
      </c>
      <c r="AB182" s="76">
        <f t="shared" ca="1" si="17"/>
        <v>0</v>
      </c>
      <c r="AC182" s="75">
        <f t="shared" ca="1" si="3"/>
        <v>0</v>
      </c>
      <c r="AD182" s="76">
        <f t="shared" ca="1" si="18"/>
        <v>12388.425641550926</v>
      </c>
      <c r="AE182" s="76">
        <f t="shared" si="19"/>
        <v>0</v>
      </c>
      <c r="AF182" s="75">
        <f t="shared" si="6"/>
        <v>0</v>
      </c>
      <c r="AG182" s="75">
        <f t="shared" si="7"/>
        <v>0</v>
      </c>
      <c r="AH182" s="31" t="e" cm="1">
        <f t="array" aca="1" ref="AH182" ca="1">IF((AD182) &lt; (INDEX(ResponseSLA[#All],(MATCH((G182),ResponseSLA[Priority],0))+1,3)),"YES","No")</f>
        <v>#N/A</v>
      </c>
      <c r="AI182" s="31" t="str">
        <f>_xlfn.IFNA(IF(AE182 &lt; (INDEX(SLATable[Minimum SLA],MATCH(G182,SLATable[Priority],0))),"YES","NO"),"")</f>
        <v/>
      </c>
      <c r="AJ182" t="str">
        <f>_xlfn.IFNA(IF(AE182 &lt; (INDEX(SLATable[Maximum SLA],MATCH(G182,SLATable[Priority],0))),"YES","NO"),"")</f>
        <v/>
      </c>
    </row>
    <row r="183" spans="26:36" ht="15" customHeight="1">
      <c r="Z183" s="76" t="e">
        <f t="shared" ca="1" si="16"/>
        <v>#N/A</v>
      </c>
      <c r="AA183" s="75" t="e">
        <f t="shared" ca="1" si="1"/>
        <v>#N/A</v>
      </c>
      <c r="AB183" s="76">
        <f t="shared" ca="1" si="17"/>
        <v>0</v>
      </c>
      <c r="AC183" s="75">
        <f t="shared" ca="1" si="3"/>
        <v>0</v>
      </c>
      <c r="AD183" s="76">
        <f t="shared" ca="1" si="18"/>
        <v>12388.425641550926</v>
      </c>
      <c r="AE183" s="76">
        <f t="shared" si="19"/>
        <v>0</v>
      </c>
      <c r="AF183" s="75">
        <f t="shared" si="6"/>
        <v>0</v>
      </c>
      <c r="AG183" s="75">
        <f t="shared" si="7"/>
        <v>0</v>
      </c>
      <c r="AH183" s="31" t="e" cm="1">
        <f t="array" aca="1" ref="AH183" ca="1">IF((AD183) &lt; (INDEX(ResponseSLA[#All],(MATCH((G183),ResponseSLA[Priority],0))+1,3)),"YES","No")</f>
        <v>#N/A</v>
      </c>
      <c r="AI183" s="31" t="str">
        <f>_xlfn.IFNA(IF(AE183 &lt; (INDEX(SLATable[Minimum SLA],MATCH(G183,SLATable[Priority],0))),"YES","NO"),"")</f>
        <v/>
      </c>
      <c r="AJ183" t="str">
        <f>_xlfn.IFNA(IF(AE183 &lt; (INDEX(SLATable[Maximum SLA],MATCH(G183,SLATable[Priority],0))),"YES","NO"),"")</f>
        <v/>
      </c>
    </row>
    <row r="184" spans="26:36" ht="15" customHeight="1">
      <c r="Z184" s="76" t="e">
        <f t="shared" ca="1" si="16"/>
        <v>#N/A</v>
      </c>
      <c r="AA184" s="75" t="e">
        <f t="shared" ca="1" si="1"/>
        <v>#N/A</v>
      </c>
      <c r="AB184" s="76">
        <f t="shared" ca="1" si="17"/>
        <v>0</v>
      </c>
      <c r="AC184" s="75">
        <f t="shared" ca="1" si="3"/>
        <v>0</v>
      </c>
      <c r="AD184" s="76">
        <f t="shared" ca="1" si="18"/>
        <v>12388.425641782411</v>
      </c>
      <c r="AE184" s="76">
        <f t="shared" si="19"/>
        <v>0</v>
      </c>
      <c r="AF184" s="75">
        <f t="shared" si="6"/>
        <v>0</v>
      </c>
      <c r="AG184" s="75">
        <f t="shared" si="7"/>
        <v>0</v>
      </c>
      <c r="AH184" s="31" t="e" cm="1">
        <f t="array" aca="1" ref="AH184" ca="1">IF((AD184) &lt; (INDEX(ResponseSLA[#All],(MATCH((G184),ResponseSLA[Priority],0))+1,3)),"YES","No")</f>
        <v>#N/A</v>
      </c>
      <c r="AI184" s="31" t="str">
        <f>_xlfn.IFNA(IF(AE184 &lt; (INDEX(SLATable[Minimum SLA],MATCH(G184,SLATable[Priority],0))),"YES","NO"),"")</f>
        <v/>
      </c>
      <c r="AJ184" t="str">
        <f>_xlfn.IFNA(IF(AE184 &lt; (INDEX(SLATable[Maximum SLA],MATCH(G184,SLATable[Priority],0))),"YES","NO"),"")</f>
        <v/>
      </c>
    </row>
    <row r="185" spans="26:36" ht="15" customHeight="1">
      <c r="Z185" s="76" t="e">
        <f t="shared" ca="1" si="16"/>
        <v>#N/A</v>
      </c>
      <c r="AA185" s="75" t="e">
        <f t="shared" ca="1" si="1"/>
        <v>#N/A</v>
      </c>
      <c r="AB185" s="76">
        <f t="shared" ca="1" si="17"/>
        <v>0</v>
      </c>
      <c r="AC185" s="75">
        <f t="shared" ca="1" si="3"/>
        <v>0</v>
      </c>
      <c r="AD185" s="76">
        <f t="shared" ca="1" si="18"/>
        <v>12388.425641550926</v>
      </c>
      <c r="AE185" s="76">
        <f t="shared" si="19"/>
        <v>0</v>
      </c>
      <c r="AF185" s="75">
        <f t="shared" si="6"/>
        <v>0</v>
      </c>
      <c r="AG185" s="75">
        <f t="shared" si="7"/>
        <v>0</v>
      </c>
      <c r="AH185" s="31" t="e" cm="1">
        <f t="array" aca="1" ref="AH185" ca="1">IF((AD185) &lt; (INDEX(ResponseSLA[#All],(MATCH((G185),ResponseSLA[Priority],0))+1,3)),"YES","No")</f>
        <v>#N/A</v>
      </c>
      <c r="AI185" s="31" t="str">
        <f>_xlfn.IFNA(IF(AE185 &lt; (INDEX(SLATable[Minimum SLA],MATCH(G185,SLATable[Priority],0))),"YES","NO"),"")</f>
        <v/>
      </c>
      <c r="AJ185" t="str">
        <f>_xlfn.IFNA(IF(AE185 &lt; (INDEX(SLATable[Maximum SLA],MATCH(G185,SLATable[Priority],0))),"YES","NO"),"")</f>
        <v/>
      </c>
    </row>
    <row r="186" spans="26:36" ht="15" customHeight="1">
      <c r="Z186" s="76" t="e">
        <f t="shared" ca="1" si="16"/>
        <v>#N/A</v>
      </c>
      <c r="AA186" s="75" t="e">
        <f t="shared" ca="1" si="1"/>
        <v>#N/A</v>
      </c>
      <c r="AB186" s="76">
        <f t="shared" ca="1" si="17"/>
        <v>0</v>
      </c>
      <c r="AC186" s="75">
        <f t="shared" ca="1" si="3"/>
        <v>0</v>
      </c>
      <c r="AD186" s="76">
        <f t="shared" ca="1" si="18"/>
        <v>12388.425641550926</v>
      </c>
      <c r="AE186" s="76">
        <f t="shared" si="19"/>
        <v>0</v>
      </c>
      <c r="AF186" s="75">
        <f t="shared" si="6"/>
        <v>0</v>
      </c>
      <c r="AG186" s="75">
        <f t="shared" si="7"/>
        <v>0</v>
      </c>
      <c r="AH186" s="31" t="e" cm="1">
        <f t="array" aca="1" ref="AH186" ca="1">IF((AD186) &lt; (INDEX(ResponseSLA[#All],(MATCH((G186),ResponseSLA[Priority],0))+1,3)),"YES","No")</f>
        <v>#N/A</v>
      </c>
      <c r="AI186" s="31" t="str">
        <f>_xlfn.IFNA(IF(AE186 &lt; (INDEX(SLATable[Minimum SLA],MATCH(G186,SLATable[Priority],0))),"YES","NO"),"")</f>
        <v/>
      </c>
      <c r="AJ186" t="str">
        <f>_xlfn.IFNA(IF(AE186 &lt; (INDEX(SLATable[Maximum SLA],MATCH(G186,SLATable[Priority],0))),"YES","NO"),"")</f>
        <v/>
      </c>
    </row>
    <row r="187" spans="26:36" ht="15" customHeight="1">
      <c r="Z187" s="76" t="e">
        <f t="shared" ca="1" si="16"/>
        <v>#N/A</v>
      </c>
      <c r="AA187" s="75" t="e">
        <f t="shared" ca="1" si="1"/>
        <v>#N/A</v>
      </c>
      <c r="AB187" s="76">
        <f t="shared" ca="1" si="17"/>
        <v>0</v>
      </c>
      <c r="AC187" s="75">
        <f t="shared" ca="1" si="3"/>
        <v>0</v>
      </c>
      <c r="AD187" s="76">
        <f t="shared" ca="1" si="18"/>
        <v>12388.425641782411</v>
      </c>
      <c r="AE187" s="76">
        <f t="shared" si="19"/>
        <v>0</v>
      </c>
      <c r="AF187" s="75">
        <f t="shared" si="6"/>
        <v>0</v>
      </c>
      <c r="AG187" s="75">
        <f t="shared" si="7"/>
        <v>0</v>
      </c>
      <c r="AH187" s="31" t="e" cm="1">
        <f t="array" aca="1" ref="AH187" ca="1">IF((AD187) &lt; (INDEX(ResponseSLA[#All],(MATCH((G187),ResponseSLA[Priority],0))+1,3)),"YES","No")</f>
        <v>#N/A</v>
      </c>
      <c r="AI187" s="31" t="str">
        <f>_xlfn.IFNA(IF(AE187 &lt; (INDEX(SLATable[Minimum SLA],MATCH(G187,SLATable[Priority],0))),"YES","NO"),"")</f>
        <v/>
      </c>
      <c r="AJ187" t="str">
        <f>_xlfn.IFNA(IF(AE187 &lt; (INDEX(SLATable[Maximum SLA],MATCH(G187,SLATable[Priority],0))),"YES","NO"),"")</f>
        <v/>
      </c>
    </row>
    <row r="188" spans="26:36" ht="15" customHeight="1">
      <c r="Z188" s="76" t="e">
        <f t="shared" ca="1" si="16"/>
        <v>#N/A</v>
      </c>
      <c r="AA188" s="75" t="e">
        <f t="shared" ca="1" si="1"/>
        <v>#N/A</v>
      </c>
      <c r="AB188" s="76">
        <f t="shared" ca="1" si="17"/>
        <v>0</v>
      </c>
      <c r="AC188" s="75">
        <f t="shared" ca="1" si="3"/>
        <v>0</v>
      </c>
      <c r="AD188" s="76">
        <f t="shared" ca="1" si="18"/>
        <v>12388.425641550926</v>
      </c>
      <c r="AE188" s="76">
        <f t="shared" si="19"/>
        <v>0</v>
      </c>
      <c r="AF188" s="75">
        <f t="shared" si="6"/>
        <v>0</v>
      </c>
      <c r="AG188" s="75">
        <f t="shared" si="7"/>
        <v>0</v>
      </c>
      <c r="AH188" s="31" t="e" cm="1">
        <f t="array" aca="1" ref="AH188" ca="1">IF((AD188) &lt; (INDEX(ResponseSLA[#All],(MATCH((G188),ResponseSLA[Priority],0))+1,3)),"YES","No")</f>
        <v>#N/A</v>
      </c>
      <c r="AI188" s="31" t="str">
        <f>_xlfn.IFNA(IF(AE188 &lt; (INDEX(SLATable[Minimum SLA],MATCH(G188,SLATable[Priority],0))),"YES","NO"),"")</f>
        <v/>
      </c>
      <c r="AJ188" t="str">
        <f>_xlfn.IFNA(IF(AE188 &lt; (INDEX(SLATable[Maximum SLA],MATCH(G188,SLATable[Priority],0))),"YES","NO"),"")</f>
        <v/>
      </c>
    </row>
    <row r="189" spans="26:36" ht="15" customHeight="1">
      <c r="Z189" s="76" t="e">
        <f t="shared" ca="1" si="16"/>
        <v>#N/A</v>
      </c>
      <c r="AA189" s="75" t="e">
        <f t="shared" ca="1" si="1"/>
        <v>#N/A</v>
      </c>
      <c r="AB189" s="76">
        <f t="shared" ca="1" si="17"/>
        <v>0</v>
      </c>
      <c r="AC189" s="75">
        <f t="shared" ca="1" si="3"/>
        <v>0</v>
      </c>
      <c r="AD189" s="76">
        <f t="shared" ca="1" si="18"/>
        <v>12388.425641550926</v>
      </c>
      <c r="AE189" s="76">
        <f t="shared" si="19"/>
        <v>0</v>
      </c>
      <c r="AF189" s="75">
        <f t="shared" si="6"/>
        <v>0</v>
      </c>
      <c r="AG189" s="75">
        <f t="shared" si="7"/>
        <v>0</v>
      </c>
      <c r="AH189" s="31" t="e" cm="1">
        <f t="array" aca="1" ref="AH189" ca="1">IF((AD189) &lt; (INDEX(ResponseSLA[#All],(MATCH((G189),ResponseSLA[Priority],0))+1,3)),"YES","No")</f>
        <v>#N/A</v>
      </c>
      <c r="AI189" s="31" t="str">
        <f>_xlfn.IFNA(IF(AE189 &lt; (INDEX(SLATable[Minimum SLA],MATCH(G189,SLATable[Priority],0))),"YES","NO"),"")</f>
        <v/>
      </c>
      <c r="AJ189" t="str">
        <f>_xlfn.IFNA(IF(AE189 &lt; (INDEX(SLATable[Maximum SLA],MATCH(G189,SLATable[Priority],0))),"YES","NO"),"")</f>
        <v/>
      </c>
    </row>
    <row r="190" spans="26:36" ht="15" customHeight="1">
      <c r="Z190" s="76" t="e">
        <f t="shared" ca="1" si="16"/>
        <v>#N/A</v>
      </c>
      <c r="AA190" s="75" t="e">
        <f t="shared" ca="1" si="1"/>
        <v>#N/A</v>
      </c>
      <c r="AB190" s="76">
        <f t="shared" ca="1" si="17"/>
        <v>0</v>
      </c>
      <c r="AC190" s="75">
        <f t="shared" ca="1" si="3"/>
        <v>0</v>
      </c>
      <c r="AD190" s="76">
        <f t="shared" ca="1" si="18"/>
        <v>12388.425641782411</v>
      </c>
      <c r="AE190" s="76">
        <f t="shared" si="19"/>
        <v>0</v>
      </c>
      <c r="AF190" s="75">
        <f t="shared" si="6"/>
        <v>0</v>
      </c>
      <c r="AG190" s="75">
        <f t="shared" si="7"/>
        <v>0</v>
      </c>
      <c r="AH190" s="31" t="e" cm="1">
        <f t="array" aca="1" ref="AH190" ca="1">IF((AD190) &lt; (INDEX(ResponseSLA[#All],(MATCH((G190),ResponseSLA[Priority],0))+1,3)),"YES","No")</f>
        <v>#N/A</v>
      </c>
      <c r="AI190" s="31" t="str">
        <f>_xlfn.IFNA(IF(AE190 &lt; (INDEX(SLATable[Minimum SLA],MATCH(G190,SLATable[Priority],0))),"YES","NO"),"")</f>
        <v/>
      </c>
      <c r="AJ190" t="str">
        <f>_xlfn.IFNA(IF(AE190 &lt; (INDEX(SLATable[Maximum SLA],MATCH(G190,SLATable[Priority],0))),"YES","NO"),"")</f>
        <v/>
      </c>
    </row>
    <row r="191" spans="26:36" ht="15" customHeight="1">
      <c r="Z191" s="76" t="e">
        <f t="shared" ca="1" si="16"/>
        <v>#N/A</v>
      </c>
      <c r="AA191" s="75" t="e">
        <f t="shared" ca="1" si="1"/>
        <v>#N/A</v>
      </c>
      <c r="AB191" s="76">
        <f t="shared" ca="1" si="17"/>
        <v>0</v>
      </c>
      <c r="AC191" s="75">
        <f t="shared" ca="1" si="3"/>
        <v>0</v>
      </c>
      <c r="AD191" s="76">
        <f t="shared" ca="1" si="18"/>
        <v>12388.425641550926</v>
      </c>
      <c r="AE191" s="76">
        <f t="shared" si="19"/>
        <v>0</v>
      </c>
      <c r="AF191" s="75">
        <f t="shared" si="6"/>
        <v>0</v>
      </c>
      <c r="AG191" s="75">
        <f t="shared" si="7"/>
        <v>0</v>
      </c>
      <c r="AH191" s="31" t="e" cm="1">
        <f t="array" aca="1" ref="AH191" ca="1">IF((AD191) &lt; (INDEX(ResponseSLA[#All],(MATCH((G191),ResponseSLA[Priority],0))+1,3)),"YES","No")</f>
        <v>#N/A</v>
      </c>
      <c r="AI191" s="31" t="str">
        <f>_xlfn.IFNA(IF(AE191 &lt; (INDEX(SLATable[Minimum SLA],MATCH(G191,SLATable[Priority],0))),"YES","NO"),"")</f>
        <v/>
      </c>
      <c r="AJ191" t="str">
        <f>_xlfn.IFNA(IF(AE191 &lt; (INDEX(SLATable[Maximum SLA],MATCH(G191,SLATable[Priority],0))),"YES","NO"),"")</f>
        <v/>
      </c>
    </row>
    <row r="192" spans="26:36" ht="15" customHeight="1">
      <c r="Z192" s="76" t="e">
        <f t="shared" ca="1" si="16"/>
        <v>#N/A</v>
      </c>
      <c r="AA192" s="75" t="e">
        <f t="shared" ca="1" si="1"/>
        <v>#N/A</v>
      </c>
      <c r="AB192" s="76">
        <f t="shared" ca="1" si="17"/>
        <v>0</v>
      </c>
      <c r="AC192" s="75">
        <f t="shared" ca="1" si="3"/>
        <v>0</v>
      </c>
      <c r="AD192" s="76">
        <f t="shared" ca="1" si="18"/>
        <v>12388.425641550926</v>
      </c>
      <c r="AE192" s="76">
        <f t="shared" si="19"/>
        <v>0</v>
      </c>
      <c r="AF192" s="75">
        <f t="shared" si="6"/>
        <v>0</v>
      </c>
      <c r="AG192" s="75">
        <f t="shared" si="7"/>
        <v>0</v>
      </c>
      <c r="AH192" s="31" t="e" cm="1">
        <f t="array" aca="1" ref="AH192" ca="1">IF((AD192) &lt; (INDEX(ResponseSLA[#All],(MATCH((G192),ResponseSLA[Priority],0))+1,3)),"YES","No")</f>
        <v>#N/A</v>
      </c>
      <c r="AI192" s="31" t="str">
        <f>_xlfn.IFNA(IF(AE192 &lt; (INDEX(SLATable[Minimum SLA],MATCH(G192,SLATable[Priority],0))),"YES","NO"),"")</f>
        <v/>
      </c>
      <c r="AJ192" t="str">
        <f>_xlfn.IFNA(IF(AE192 &lt; (INDEX(SLATable[Maximum SLA],MATCH(G192,SLATable[Priority],0))),"YES","NO"),"")</f>
        <v/>
      </c>
    </row>
    <row r="193" spans="26:36" ht="15" customHeight="1">
      <c r="Z193" s="76" t="e">
        <f t="shared" ca="1" si="16"/>
        <v>#N/A</v>
      </c>
      <c r="AA193" s="75" t="e">
        <f t="shared" ca="1" si="1"/>
        <v>#N/A</v>
      </c>
      <c r="AB193" s="76">
        <f t="shared" ca="1" si="17"/>
        <v>0</v>
      </c>
      <c r="AC193" s="75">
        <f t="shared" ca="1" si="3"/>
        <v>0</v>
      </c>
      <c r="AD193" s="76">
        <f t="shared" ca="1" si="18"/>
        <v>12388.425641782411</v>
      </c>
      <c r="AE193" s="76">
        <f t="shared" si="19"/>
        <v>0</v>
      </c>
      <c r="AF193" s="75">
        <f t="shared" si="6"/>
        <v>0</v>
      </c>
      <c r="AG193" s="75">
        <f t="shared" si="7"/>
        <v>0</v>
      </c>
      <c r="AH193" s="31" t="e" cm="1">
        <f t="array" aca="1" ref="AH193" ca="1">IF((AD193) &lt; (INDEX(ResponseSLA[#All],(MATCH((G193),ResponseSLA[Priority],0))+1,3)),"YES","No")</f>
        <v>#N/A</v>
      </c>
      <c r="AI193" s="31" t="str">
        <f>_xlfn.IFNA(IF(AE193 &lt; (INDEX(SLATable[Minimum SLA],MATCH(G193,SLATable[Priority],0))),"YES","NO"),"")</f>
        <v/>
      </c>
      <c r="AJ193" t="str">
        <f>_xlfn.IFNA(IF(AE193 &lt; (INDEX(SLATable[Maximum SLA],MATCH(G193,SLATable[Priority],0))),"YES","NO"),"")</f>
        <v/>
      </c>
    </row>
    <row r="194" spans="26:36" ht="15" customHeight="1">
      <c r="Z194" s="76" t="e">
        <f t="shared" ca="1" si="16"/>
        <v>#N/A</v>
      </c>
      <c r="AA194" s="75" t="e">
        <f t="shared" ca="1" si="1"/>
        <v>#N/A</v>
      </c>
      <c r="AB194" s="76">
        <f t="shared" ca="1" si="17"/>
        <v>0</v>
      </c>
      <c r="AC194" s="75">
        <f t="shared" ca="1" si="3"/>
        <v>0</v>
      </c>
      <c r="AD194" s="76">
        <f t="shared" ca="1" si="18"/>
        <v>12388.425641550926</v>
      </c>
      <c r="AE194" s="76">
        <f t="shared" si="19"/>
        <v>0</v>
      </c>
      <c r="AF194" s="75">
        <f t="shared" si="6"/>
        <v>0</v>
      </c>
      <c r="AG194" s="75">
        <f t="shared" si="7"/>
        <v>0</v>
      </c>
      <c r="AH194" s="31" t="e" cm="1">
        <f t="array" aca="1" ref="AH194" ca="1">IF((AD194) &lt; (INDEX(ResponseSLA[#All],(MATCH((G194),ResponseSLA[Priority],0))+1,3)),"YES","No")</f>
        <v>#N/A</v>
      </c>
      <c r="AI194" s="31" t="str">
        <f>_xlfn.IFNA(IF(AE194 &lt; (INDEX(SLATable[Minimum SLA],MATCH(G194,SLATable[Priority],0))),"YES","NO"),"")</f>
        <v/>
      </c>
      <c r="AJ194" t="str">
        <f>_xlfn.IFNA(IF(AE194 &lt; (INDEX(SLATable[Maximum SLA],MATCH(G194,SLATable[Priority],0))),"YES","NO"),"")</f>
        <v/>
      </c>
    </row>
    <row r="195" spans="26:36" ht="15" customHeight="1">
      <c r="Z195" s="76" t="e">
        <f t="shared" ref="Z195:Z258" ca="1" si="20">IF(NOT(OR(G195=1,G195=2)),MAX(0,_xlfn.IFS(AND(K195&lt;&gt;"",N195&lt;&gt;""),((MAX(NETWORKDAYS(K195,N195,UKBankHolidays)-1,0))*(TIME(17,0,0)-TIME(8,0,0))+IF(NETWORKDAYS(N195,N195,UKBankHolidays)&gt;0,MEDIAN(TIME(8,0,0),MOD(N195,1),TIME(17,0,0)),TIME(8,0,0))-IF(NETWORKDAYS(K195,K195,UKBankHolidays)&gt;0,MEDIAN(TIME(8,0,0),MOD(K195,1),TIME(17,0,0)),TIME(8,0,0)))-IF(AND(O195&lt;&gt;"",P195&lt;&gt;""),((MAX(NETWORKDAYS(O195,P195,UKBankHolidays)-1,0))*(TIME(17,0,0)-TIME(8,0,0))+IF(NETWORKDAYS(P195,P195,UKBankHolidays)&gt;0,MEDIAN(TIME(8,0,0),MOD(P195,1),TIME(17,0,0)),TIME(8,0,0))-IF(NETWORKDAYS(O195,O195,UKBankHolidays)&gt;0,MEDIAN(TIME(8,0,0),MOD(O195,1),TIME(17,0,0)),TIME(8,0,0))),0),AND(K195&lt;&gt;"",N195=""),((MAX(NETWORKDAYS(K195,NOW(),UKBankHolidays)-1,0))*(TIME(17,0,0)-TIME(8,0,0))+IF(NETWORKDAYS(NOW(),NOW(),UKBankHolidays)&gt;0,MEDIAN(TIME(8,0,0),MOD(NOW(),1),TIME(17,0,0)),TIME(8,0,0))-IF(NETWORKDAYS(K195,K195,UKBankHolidays)&gt;0,MEDIAN(TIME(8,0,0),MOD(K195,1),TIME(17,0,0)),TIME(8,0,0))))),IF(N195="",NOW()-K195,N195-K195))</f>
        <v>#N/A</v>
      </c>
      <c r="AA195" s="75" t="e">
        <f t="shared" ca="1" si="1"/>
        <v>#N/A</v>
      </c>
      <c r="AB195" s="76">
        <f t="shared" ref="AB195:AB258" ca="1" si="21">IF(NOT(OR(G195=1,G195=2)),MAX(0,_xlfn.IFS(AND(K195&lt;&gt;"",N195&lt;&gt;""),(((MAX(NETWORKDAYS(L195,N195,UKBankHolidays)-1,0))*(TIME(17,0,0)-TIME(8,0,0)))+IF(NETWORKDAYS(N195,N195,UKBankHolidays)&gt;0,MEDIAN(TIME(8,0,0),MOD(N195,1),TIME(17,0,0)),TIME(8,0,0))-IF(NETWORKDAYS(L195,L195,UKBankHolidays)&gt;0,MEDIAN(TIME(8,0,0),MOD(L195,1),TIME(17,0,0)),TIME(8,0,0)))-IF(AND(O195&lt;&gt;"",P195&lt;&gt;""),(((MAX(NETWORKDAYS(O195,P195,UKBankHolidays)-1,0))*(TIME(17,0,0)-TIME(8,0,0)))+IF(NETWORKDAYS(P195,P195,UKBankHolidays)&gt;0,MEDIAN(TIME(8,0,0),MOD(P195,1),TIME(17,0,0)),TIME(8,0,0))-IF(NETWORKDAYS(O195,O195,UKBankHolidays)&gt;0,MEDIAN(TIME(8,0,0),MOD(O195,1),TIME(17,0,0)),TIME(8,0,0))),0),AND(L195&lt;&gt;"",N195="",O195=""),(((MAX(NETWORKDAYS(L195,NOW(),UKBankHolidays)-1,0))*(TIME(17,0,0)-TIME(8,0,0)))+IF(NETWORKDAYS(NOW(),NOW(),UKBankHolidays)&gt;0,MEDIAN(TIME(8,0,0),MOD(NOW(),1),TIME(17,0,0)),TIME(8,0,0))-IF(NETWORKDAYS(L195,L195,UKBankHolidays)&gt;0,MEDIAN(TIME(8,0,0),MOD(L195,1),TIME(17,0,0)),TIME(8,0,0)))-IF(AND(O195&lt;&gt;"",P195&lt;&gt;""),(((MAX(NETWORKDAYS(O195,P195,UKBankHolidays)-1,0))*(TIME(17,0,0)-TIME(8,0,0)))+IF(NETWORKDAYS(P195,P195,UKBankHolidays)&gt;0,MEDIAN(TIME(8,0,0),MOD(P195,1),TIME(17,0,0)),TIME(8,0,0))-IF(NETWORKDAYS(O195,O195,UKBankHolidays)&gt;0,MEDIAN(TIME(8,0,0),MOD(O195,1),TIME(17,0,0)),TIME(8,0,0))),0),AND(L195&lt;&gt;"",N195="",P195="",O195&lt;&gt;""),(((MAX(NETWORKDAYS(L195,O195,UKBankHolidays)-1,0))*(TIME(17,0,0)-TIME(8,0,0)))+IF(NETWORKDAYS(O195,O195,UKBankHolidays)&gt;0,MEDIAN(TIME(8,0,0),MOD(O195,1),TIME(17,0,0)),TIME(8,0,0))-IF(NETWORKDAYS(L195,L195,UKBankHolidays)&gt;0,MEDIAN(TIME(8,0,0),MOD(L195,1),TIME(17,0,0)),TIME(8,0,0))),ISBLANK(K195),"0")),IF(ISBLANK(N195),NOW()-L195,N195-L195))</f>
        <v>0</v>
      </c>
      <c r="AC195" s="75">
        <f t="shared" ca="1" si="3"/>
        <v>0</v>
      </c>
      <c r="AD195" s="76">
        <f t="shared" ref="AD195:AD258" ca="1" si="22">MAX(0,IF(NOT(OR(G195=1,G195=2)),IF(M195&lt;&gt;"",((MAX(NETWORKDAYS(L195,M195,UKBankHolidays)-1,0))*(TIME(17,0,0)-TIME(8,0,0))+IF(NETWORKDAYS(M195,M195,UKBankHolidays)&gt;0,MEDIAN(TIME(8,0,0),MOD(M195,1),TIME(17,0,0)),TIME(8,0,0))-MEDIAN(TIME(8,0,0),MOD(L195,1),TIME(17,0,0))),((MAX(NETWORKDAYS(L195,NOW(),UKBankHolidays)-1,0))*(TIME(17,0,0)-TIME(8,0,0))+IF(NETWORKDAYS(NOW(),NOW(),UKBankHolidays)&gt;0,MEDIAN(TIME(8,0,0),MOD(NOW(),1),TIME(17,0,0)),TIME(8,0,0))-MEDIAN(TIME(8,0,0),MOD(L195,1),TIME(17,0,0)))),IF(M195&lt;&gt;"",M195-L195,NOW()-L195)))</f>
        <v>12388.425641550926</v>
      </c>
      <c r="AE195" s="76">
        <f t="shared" ref="AE195:AE258" si="23">SUMIFS(AB:AB,E:E,E195)</f>
        <v>0</v>
      </c>
      <c r="AF195" s="75">
        <f t="shared" si="6"/>
        <v>0</v>
      </c>
      <c r="AG195" s="75">
        <f t="shared" si="7"/>
        <v>0</v>
      </c>
      <c r="AH195" s="31" t="e" cm="1">
        <f t="array" aca="1" ref="AH195" ca="1">IF((AD195) &lt; (INDEX(ResponseSLA[#All],(MATCH((G195),ResponseSLA[Priority],0))+1,3)),"YES","No")</f>
        <v>#N/A</v>
      </c>
      <c r="AI195" s="31" t="str">
        <f>_xlfn.IFNA(IF(AE195 &lt; (INDEX(SLATable[Minimum SLA],MATCH(G195,SLATable[Priority],0))),"YES","NO"),"")</f>
        <v/>
      </c>
      <c r="AJ195" t="str">
        <f>_xlfn.IFNA(IF(AE195 &lt; (INDEX(SLATable[Maximum SLA],MATCH(G195,SLATable[Priority],0))),"YES","NO"),"")</f>
        <v/>
      </c>
    </row>
    <row r="196" spans="26:36" ht="15" customHeight="1">
      <c r="Z196" s="76" t="e">
        <f t="shared" ca="1" si="20"/>
        <v>#N/A</v>
      </c>
      <c r="AA196" s="75" t="e">
        <f t="shared" ca="1" si="1"/>
        <v>#N/A</v>
      </c>
      <c r="AB196" s="76">
        <f t="shared" ca="1" si="21"/>
        <v>0</v>
      </c>
      <c r="AC196" s="75">
        <f t="shared" ca="1" si="3"/>
        <v>0</v>
      </c>
      <c r="AD196" s="76">
        <f t="shared" ca="1" si="22"/>
        <v>12388.425641782411</v>
      </c>
      <c r="AE196" s="76">
        <f t="shared" si="23"/>
        <v>0</v>
      </c>
      <c r="AF196" s="75">
        <f t="shared" si="6"/>
        <v>0</v>
      </c>
      <c r="AG196" s="75">
        <f t="shared" si="7"/>
        <v>0</v>
      </c>
      <c r="AH196" s="31" t="e" cm="1">
        <f t="array" aca="1" ref="AH196" ca="1">IF((AD196) &lt; (INDEX(ResponseSLA[#All],(MATCH((G196),ResponseSLA[Priority],0))+1,3)),"YES","No")</f>
        <v>#N/A</v>
      </c>
      <c r="AI196" s="31" t="str">
        <f>_xlfn.IFNA(IF(AE196 &lt; (INDEX(SLATable[Minimum SLA],MATCH(G196,SLATable[Priority],0))),"YES","NO"),"")</f>
        <v/>
      </c>
      <c r="AJ196" t="str">
        <f>_xlfn.IFNA(IF(AE196 &lt; (INDEX(SLATable[Maximum SLA],MATCH(G196,SLATable[Priority],0))),"YES","NO"),"")</f>
        <v/>
      </c>
    </row>
    <row r="197" spans="26:36" ht="15" customHeight="1">
      <c r="Z197" s="76" t="e">
        <f t="shared" ca="1" si="20"/>
        <v>#N/A</v>
      </c>
      <c r="AA197" s="75" t="e">
        <f t="shared" ca="1" si="1"/>
        <v>#N/A</v>
      </c>
      <c r="AB197" s="76">
        <f t="shared" ca="1" si="21"/>
        <v>0</v>
      </c>
      <c r="AC197" s="75">
        <f t="shared" ca="1" si="3"/>
        <v>0</v>
      </c>
      <c r="AD197" s="76">
        <f t="shared" ca="1" si="22"/>
        <v>12388.425641550926</v>
      </c>
      <c r="AE197" s="76">
        <f t="shared" si="23"/>
        <v>0</v>
      </c>
      <c r="AF197" s="75">
        <f t="shared" si="6"/>
        <v>0</v>
      </c>
      <c r="AG197" s="75">
        <f t="shared" si="7"/>
        <v>0</v>
      </c>
      <c r="AH197" s="31" t="e" cm="1">
        <f t="array" aca="1" ref="AH197" ca="1">IF((AD197) &lt; (INDEX(ResponseSLA[#All],(MATCH((G197),ResponseSLA[Priority],0))+1,3)),"YES","No")</f>
        <v>#N/A</v>
      </c>
      <c r="AI197" s="31" t="str">
        <f>_xlfn.IFNA(IF(AE197 &lt; (INDEX(SLATable[Minimum SLA],MATCH(G197,SLATable[Priority],0))),"YES","NO"),"")</f>
        <v/>
      </c>
      <c r="AJ197" t="str">
        <f>_xlfn.IFNA(IF(AE197 &lt; (INDEX(SLATable[Maximum SLA],MATCH(G197,SLATable[Priority],0))),"YES","NO"),"")</f>
        <v/>
      </c>
    </row>
    <row r="198" spans="26:36" ht="15" customHeight="1">
      <c r="Z198" s="76" t="e">
        <f t="shared" ca="1" si="20"/>
        <v>#N/A</v>
      </c>
      <c r="AA198" s="75" t="e">
        <f t="shared" ca="1" si="1"/>
        <v>#N/A</v>
      </c>
      <c r="AB198" s="76">
        <f t="shared" ca="1" si="21"/>
        <v>0</v>
      </c>
      <c r="AC198" s="75">
        <f t="shared" ca="1" si="3"/>
        <v>0</v>
      </c>
      <c r="AD198" s="76">
        <f t="shared" ca="1" si="22"/>
        <v>12388.425641550926</v>
      </c>
      <c r="AE198" s="76">
        <f t="shared" si="23"/>
        <v>0</v>
      </c>
      <c r="AF198" s="75">
        <f t="shared" si="6"/>
        <v>0</v>
      </c>
      <c r="AG198" s="75">
        <f t="shared" si="7"/>
        <v>0</v>
      </c>
      <c r="AH198" s="31" t="e" cm="1">
        <f t="array" aca="1" ref="AH198" ca="1">IF((AD198) &lt; (INDEX(ResponseSLA[#All],(MATCH((G198),ResponseSLA[Priority],0))+1,3)),"YES","No")</f>
        <v>#N/A</v>
      </c>
      <c r="AI198" s="31" t="str">
        <f>_xlfn.IFNA(IF(AE198 &lt; (INDEX(SLATable[Minimum SLA],MATCH(G198,SLATable[Priority],0))),"YES","NO"),"")</f>
        <v/>
      </c>
      <c r="AJ198" t="str">
        <f>_xlfn.IFNA(IF(AE198 &lt; (INDEX(SLATable[Maximum SLA],MATCH(G198,SLATable[Priority],0))),"YES","NO"),"")</f>
        <v/>
      </c>
    </row>
    <row r="199" spans="26:36" ht="15" customHeight="1">
      <c r="Z199" s="76" t="e">
        <f t="shared" ca="1" si="20"/>
        <v>#N/A</v>
      </c>
      <c r="AA199" s="75" t="e">
        <f t="shared" ca="1" si="1"/>
        <v>#N/A</v>
      </c>
      <c r="AB199" s="76">
        <f t="shared" ca="1" si="21"/>
        <v>0</v>
      </c>
      <c r="AC199" s="75">
        <f t="shared" ca="1" si="3"/>
        <v>0</v>
      </c>
      <c r="AD199" s="76">
        <f t="shared" ca="1" si="22"/>
        <v>12388.425641782411</v>
      </c>
      <c r="AE199" s="76">
        <f t="shared" si="23"/>
        <v>0</v>
      </c>
      <c r="AF199" s="75">
        <f t="shared" si="6"/>
        <v>0</v>
      </c>
      <c r="AG199" s="75">
        <f t="shared" si="7"/>
        <v>0</v>
      </c>
      <c r="AH199" s="31" t="e" cm="1">
        <f t="array" aca="1" ref="AH199" ca="1">IF((AD199) &lt; (INDEX(ResponseSLA[#All],(MATCH((G199),ResponseSLA[Priority],0))+1,3)),"YES","No")</f>
        <v>#N/A</v>
      </c>
      <c r="AI199" s="31" t="str">
        <f>_xlfn.IFNA(IF(AE199 &lt; (INDEX(SLATable[Minimum SLA],MATCH(G199,SLATable[Priority],0))),"YES","NO"),"")</f>
        <v/>
      </c>
      <c r="AJ199" t="str">
        <f>_xlfn.IFNA(IF(AE199 &lt; (INDEX(SLATable[Maximum SLA],MATCH(G199,SLATable[Priority],0))),"YES","NO"),"")</f>
        <v/>
      </c>
    </row>
    <row r="200" spans="26:36" ht="15" customHeight="1">
      <c r="Z200" s="76" t="e">
        <f t="shared" ca="1" si="20"/>
        <v>#N/A</v>
      </c>
      <c r="AA200" s="75" t="e">
        <f t="shared" ca="1" si="1"/>
        <v>#N/A</v>
      </c>
      <c r="AB200" s="76">
        <f t="shared" ca="1" si="21"/>
        <v>0</v>
      </c>
      <c r="AC200" s="75">
        <f t="shared" ca="1" si="3"/>
        <v>0</v>
      </c>
      <c r="AD200" s="76">
        <f t="shared" ca="1" si="22"/>
        <v>12388.425641550926</v>
      </c>
      <c r="AE200" s="76">
        <f t="shared" si="23"/>
        <v>0</v>
      </c>
      <c r="AF200" s="75">
        <f t="shared" si="6"/>
        <v>0</v>
      </c>
      <c r="AG200" s="75">
        <f t="shared" si="7"/>
        <v>0</v>
      </c>
      <c r="AH200" s="31" t="e" cm="1">
        <f t="array" aca="1" ref="AH200" ca="1">IF((AD200) &lt; (INDEX(ResponseSLA[#All],(MATCH((G200),ResponseSLA[Priority],0))+1,3)),"YES","No")</f>
        <v>#N/A</v>
      </c>
      <c r="AI200" s="31" t="str">
        <f>_xlfn.IFNA(IF(AE200 &lt; (INDEX(SLATable[Minimum SLA],MATCH(G200,SLATable[Priority],0))),"YES","NO"),"")</f>
        <v/>
      </c>
      <c r="AJ200" t="str">
        <f>_xlfn.IFNA(IF(AE200 &lt; (INDEX(SLATable[Maximum SLA],MATCH(G200,SLATable[Priority],0))),"YES","NO"),"")</f>
        <v/>
      </c>
    </row>
    <row r="201" spans="26:36" ht="15" customHeight="1">
      <c r="Z201" s="76" t="e">
        <f t="shared" ca="1" si="20"/>
        <v>#N/A</v>
      </c>
      <c r="AA201" s="75" t="e">
        <f t="shared" ca="1" si="1"/>
        <v>#N/A</v>
      </c>
      <c r="AB201" s="76">
        <f t="shared" ca="1" si="21"/>
        <v>0</v>
      </c>
      <c r="AC201" s="75">
        <f t="shared" ca="1" si="3"/>
        <v>0</v>
      </c>
      <c r="AD201" s="76">
        <f t="shared" ca="1" si="22"/>
        <v>12388.425641550926</v>
      </c>
      <c r="AE201" s="76">
        <f t="shared" si="23"/>
        <v>0</v>
      </c>
      <c r="AF201" s="75">
        <f t="shared" si="6"/>
        <v>0</v>
      </c>
      <c r="AG201" s="75">
        <f t="shared" si="7"/>
        <v>0</v>
      </c>
      <c r="AH201" s="31" t="e" cm="1">
        <f t="array" aca="1" ref="AH201" ca="1">IF((AD201) &lt; (INDEX(ResponseSLA[#All],(MATCH((G201),ResponseSLA[Priority],0))+1,3)),"YES","No")</f>
        <v>#N/A</v>
      </c>
      <c r="AI201" s="31" t="str">
        <f>_xlfn.IFNA(IF(AE201 &lt; (INDEX(SLATable[Minimum SLA],MATCH(G201,SLATable[Priority],0))),"YES","NO"),"")</f>
        <v/>
      </c>
      <c r="AJ201" t="str">
        <f>_xlfn.IFNA(IF(AE201 &lt; (INDEX(SLATable[Maximum SLA],MATCH(G201,SLATable[Priority],0))),"YES","NO"),"")</f>
        <v/>
      </c>
    </row>
    <row r="202" spans="26:36" ht="15" customHeight="1">
      <c r="Z202" s="76" t="e">
        <f t="shared" ca="1" si="20"/>
        <v>#N/A</v>
      </c>
      <c r="AA202" s="75" t="e">
        <f t="shared" ca="1" si="1"/>
        <v>#N/A</v>
      </c>
      <c r="AB202" s="76">
        <f t="shared" ca="1" si="21"/>
        <v>0</v>
      </c>
      <c r="AC202" s="75">
        <f t="shared" ca="1" si="3"/>
        <v>0</v>
      </c>
      <c r="AD202" s="76">
        <f t="shared" ca="1" si="22"/>
        <v>12388.425641782411</v>
      </c>
      <c r="AE202" s="76">
        <f t="shared" si="23"/>
        <v>0</v>
      </c>
      <c r="AF202" s="75">
        <f t="shared" si="6"/>
        <v>0</v>
      </c>
      <c r="AG202" s="75">
        <f t="shared" si="7"/>
        <v>0</v>
      </c>
      <c r="AH202" s="31" t="e" cm="1">
        <f t="array" aca="1" ref="AH202" ca="1">IF((AD202) &lt; (INDEX(ResponseSLA[#All],(MATCH((G202),ResponseSLA[Priority],0))+1,3)),"YES","No")</f>
        <v>#N/A</v>
      </c>
      <c r="AI202" s="31" t="str">
        <f>_xlfn.IFNA(IF(AE202 &lt; (INDEX(SLATable[Minimum SLA],MATCH(G202,SLATable[Priority],0))),"YES","NO"),"")</f>
        <v/>
      </c>
      <c r="AJ202" t="str">
        <f>_xlfn.IFNA(IF(AE202 &lt; (INDEX(SLATable[Maximum SLA],MATCH(G202,SLATable[Priority],0))),"YES","NO"),"")</f>
        <v/>
      </c>
    </row>
    <row r="203" spans="26:36" ht="15" customHeight="1">
      <c r="Z203" s="76" t="e">
        <f t="shared" ca="1" si="20"/>
        <v>#N/A</v>
      </c>
      <c r="AA203" s="75" t="e">
        <f t="shared" ca="1" si="1"/>
        <v>#N/A</v>
      </c>
      <c r="AB203" s="76">
        <f t="shared" ca="1" si="21"/>
        <v>0</v>
      </c>
      <c r="AC203" s="75">
        <f t="shared" ca="1" si="3"/>
        <v>0</v>
      </c>
      <c r="AD203" s="76">
        <f t="shared" ca="1" si="22"/>
        <v>12388.425641550926</v>
      </c>
      <c r="AE203" s="76">
        <f t="shared" si="23"/>
        <v>0</v>
      </c>
      <c r="AF203" s="75">
        <f t="shared" si="6"/>
        <v>0</v>
      </c>
      <c r="AG203" s="75">
        <f t="shared" si="7"/>
        <v>0</v>
      </c>
      <c r="AH203" s="31" t="e" cm="1">
        <f t="array" aca="1" ref="AH203" ca="1">IF((AD203) &lt; (INDEX(ResponseSLA[#All],(MATCH((G203),ResponseSLA[Priority],0))+1,3)),"YES","No")</f>
        <v>#N/A</v>
      </c>
      <c r="AI203" s="31" t="str">
        <f>_xlfn.IFNA(IF(AE203 &lt; (INDEX(SLATable[Minimum SLA],MATCH(G203,SLATable[Priority],0))),"YES","NO"),"")</f>
        <v/>
      </c>
      <c r="AJ203" t="str">
        <f>_xlfn.IFNA(IF(AE203 &lt; (INDEX(SLATable[Maximum SLA],MATCH(G203,SLATable[Priority],0))),"YES","NO"),"")</f>
        <v/>
      </c>
    </row>
    <row r="204" spans="26:36" ht="15" customHeight="1">
      <c r="Z204" s="76" t="e">
        <f t="shared" ca="1" si="20"/>
        <v>#N/A</v>
      </c>
      <c r="AA204" s="75" t="e">
        <f t="shared" ca="1" si="1"/>
        <v>#N/A</v>
      </c>
      <c r="AB204" s="76">
        <f t="shared" ca="1" si="21"/>
        <v>0</v>
      </c>
      <c r="AC204" s="75">
        <f t="shared" ca="1" si="3"/>
        <v>0</v>
      </c>
      <c r="AD204" s="76">
        <f t="shared" ca="1" si="22"/>
        <v>12388.425641550926</v>
      </c>
      <c r="AE204" s="76">
        <f t="shared" si="23"/>
        <v>0</v>
      </c>
      <c r="AF204" s="75">
        <f t="shared" si="6"/>
        <v>0</v>
      </c>
      <c r="AG204" s="75">
        <f t="shared" si="7"/>
        <v>0</v>
      </c>
      <c r="AH204" s="31" t="e" cm="1">
        <f t="array" aca="1" ref="AH204" ca="1">IF((AD204) &lt; (INDEX(ResponseSLA[#All],(MATCH((G204),ResponseSLA[Priority],0))+1,3)),"YES","No")</f>
        <v>#N/A</v>
      </c>
      <c r="AI204" s="31" t="str">
        <f>_xlfn.IFNA(IF(AE204 &lt; (INDEX(SLATable[Minimum SLA],MATCH(G204,SLATable[Priority],0))),"YES","NO"),"")</f>
        <v/>
      </c>
      <c r="AJ204" t="str">
        <f>_xlfn.IFNA(IF(AE204 &lt; (INDEX(SLATable[Maximum SLA],MATCH(G204,SLATable[Priority],0))),"YES","NO"),"")</f>
        <v/>
      </c>
    </row>
    <row r="205" spans="26:36" ht="15" customHeight="1">
      <c r="Z205" s="76" t="e">
        <f t="shared" ca="1" si="20"/>
        <v>#N/A</v>
      </c>
      <c r="AA205" s="75" t="e">
        <f t="shared" ca="1" si="1"/>
        <v>#N/A</v>
      </c>
      <c r="AB205" s="76">
        <f t="shared" ca="1" si="21"/>
        <v>0</v>
      </c>
      <c r="AC205" s="75">
        <f t="shared" ca="1" si="3"/>
        <v>0</v>
      </c>
      <c r="AD205" s="76">
        <f t="shared" ca="1" si="22"/>
        <v>12388.425641782411</v>
      </c>
      <c r="AE205" s="76">
        <f t="shared" si="23"/>
        <v>0</v>
      </c>
      <c r="AF205" s="75">
        <f t="shared" si="6"/>
        <v>0</v>
      </c>
      <c r="AG205" s="75">
        <f t="shared" si="7"/>
        <v>0</v>
      </c>
      <c r="AH205" s="31" t="e" cm="1">
        <f t="array" aca="1" ref="AH205" ca="1">IF((AD205) &lt; (INDEX(ResponseSLA[#All],(MATCH((G205),ResponseSLA[Priority],0))+1,3)),"YES","No")</f>
        <v>#N/A</v>
      </c>
      <c r="AI205" s="31" t="str">
        <f>_xlfn.IFNA(IF(AE205 &lt; (INDEX(SLATable[Minimum SLA],MATCH(G205,SLATable[Priority],0))),"YES","NO"),"")</f>
        <v/>
      </c>
      <c r="AJ205" t="str">
        <f>_xlfn.IFNA(IF(AE205 &lt; (INDEX(SLATable[Maximum SLA],MATCH(G205,SLATable[Priority],0))),"YES","NO"),"")</f>
        <v/>
      </c>
    </row>
    <row r="206" spans="26:36" ht="15" customHeight="1">
      <c r="Z206" s="76" t="e">
        <f t="shared" ca="1" si="20"/>
        <v>#N/A</v>
      </c>
      <c r="AA206" s="75" t="e">
        <f t="shared" ca="1" si="1"/>
        <v>#N/A</v>
      </c>
      <c r="AB206" s="76">
        <f t="shared" ca="1" si="21"/>
        <v>0</v>
      </c>
      <c r="AC206" s="75">
        <f t="shared" ca="1" si="3"/>
        <v>0</v>
      </c>
      <c r="AD206" s="76">
        <f t="shared" ca="1" si="22"/>
        <v>12388.425641550926</v>
      </c>
      <c r="AE206" s="76">
        <f t="shared" si="23"/>
        <v>0</v>
      </c>
      <c r="AF206" s="75">
        <f t="shared" si="6"/>
        <v>0</v>
      </c>
      <c r="AG206" s="75">
        <f t="shared" si="7"/>
        <v>0</v>
      </c>
      <c r="AH206" s="31" t="e" cm="1">
        <f t="array" aca="1" ref="AH206" ca="1">IF((AD206) &lt; (INDEX(ResponseSLA[#All],(MATCH((G206),ResponseSLA[Priority],0))+1,3)),"YES","No")</f>
        <v>#N/A</v>
      </c>
      <c r="AI206" s="31" t="str">
        <f>_xlfn.IFNA(IF(AE206 &lt; (INDEX(SLATable[Minimum SLA],MATCH(G206,SLATable[Priority],0))),"YES","NO"),"")</f>
        <v/>
      </c>
      <c r="AJ206" t="str">
        <f>_xlfn.IFNA(IF(AE206 &lt; (INDEX(SLATable[Maximum SLA],MATCH(G206,SLATable[Priority],0))),"YES","NO"),"")</f>
        <v/>
      </c>
    </row>
    <row r="207" spans="26:36" ht="15" customHeight="1">
      <c r="Z207" s="76" t="e">
        <f t="shared" ca="1" si="20"/>
        <v>#N/A</v>
      </c>
      <c r="AA207" s="75" t="e">
        <f t="shared" ca="1" si="1"/>
        <v>#N/A</v>
      </c>
      <c r="AB207" s="76">
        <f t="shared" ca="1" si="21"/>
        <v>0</v>
      </c>
      <c r="AC207" s="75">
        <f t="shared" ca="1" si="3"/>
        <v>0</v>
      </c>
      <c r="AD207" s="76">
        <f t="shared" ca="1" si="22"/>
        <v>12388.425641550926</v>
      </c>
      <c r="AE207" s="76">
        <f t="shared" si="23"/>
        <v>0</v>
      </c>
      <c r="AF207" s="75">
        <f t="shared" si="6"/>
        <v>0</v>
      </c>
      <c r="AG207" s="75">
        <f t="shared" si="7"/>
        <v>0</v>
      </c>
      <c r="AH207" s="31" t="e" cm="1">
        <f t="array" aca="1" ref="AH207" ca="1">IF((AD207) &lt; (INDEX(ResponseSLA[#All],(MATCH((G207),ResponseSLA[Priority],0))+1,3)),"YES","No")</f>
        <v>#N/A</v>
      </c>
      <c r="AI207" s="31" t="str">
        <f>_xlfn.IFNA(IF(AE207 &lt; (INDEX(SLATable[Minimum SLA],MATCH(G207,SLATable[Priority],0))),"YES","NO"),"")</f>
        <v/>
      </c>
      <c r="AJ207" t="str">
        <f>_xlfn.IFNA(IF(AE207 &lt; (INDEX(SLATable[Maximum SLA],MATCH(G207,SLATable[Priority],0))),"YES","NO"),"")</f>
        <v/>
      </c>
    </row>
    <row r="208" spans="26:36" ht="15" customHeight="1">
      <c r="Z208" s="76" t="e">
        <f t="shared" ca="1" si="20"/>
        <v>#N/A</v>
      </c>
      <c r="AA208" s="75" t="e">
        <f t="shared" ca="1" si="1"/>
        <v>#N/A</v>
      </c>
      <c r="AB208" s="76">
        <f t="shared" ca="1" si="21"/>
        <v>0</v>
      </c>
      <c r="AC208" s="75">
        <f t="shared" ca="1" si="3"/>
        <v>0</v>
      </c>
      <c r="AD208" s="76">
        <f t="shared" ca="1" si="22"/>
        <v>12388.425641782411</v>
      </c>
      <c r="AE208" s="76">
        <f t="shared" si="23"/>
        <v>0</v>
      </c>
      <c r="AF208" s="75">
        <f t="shared" si="6"/>
        <v>0</v>
      </c>
      <c r="AG208" s="75">
        <f t="shared" si="7"/>
        <v>0</v>
      </c>
      <c r="AH208" s="31" t="e" cm="1">
        <f t="array" aca="1" ref="AH208" ca="1">IF((AD208) &lt; (INDEX(ResponseSLA[#All],(MATCH((G208),ResponseSLA[Priority],0))+1,3)),"YES","No")</f>
        <v>#N/A</v>
      </c>
      <c r="AI208" s="31" t="str">
        <f>_xlfn.IFNA(IF(AE208 &lt; (INDEX(SLATable[Minimum SLA],MATCH(G208,SLATable[Priority],0))),"YES","NO"),"")</f>
        <v/>
      </c>
      <c r="AJ208" t="str">
        <f>_xlfn.IFNA(IF(AE208 &lt; (INDEX(SLATable[Maximum SLA],MATCH(G208,SLATable[Priority],0))),"YES","NO"),"")</f>
        <v/>
      </c>
    </row>
    <row r="209" spans="26:36" ht="15" customHeight="1">
      <c r="Z209" s="76" t="e">
        <f t="shared" ca="1" si="20"/>
        <v>#N/A</v>
      </c>
      <c r="AA209" s="75" t="e">
        <f t="shared" ca="1" si="1"/>
        <v>#N/A</v>
      </c>
      <c r="AB209" s="76">
        <f t="shared" ca="1" si="21"/>
        <v>0</v>
      </c>
      <c r="AC209" s="75">
        <f t="shared" ca="1" si="3"/>
        <v>0</v>
      </c>
      <c r="AD209" s="76">
        <f t="shared" ca="1" si="22"/>
        <v>12388.425641550926</v>
      </c>
      <c r="AE209" s="76">
        <f t="shared" si="23"/>
        <v>0</v>
      </c>
      <c r="AF209" s="75">
        <f t="shared" si="6"/>
        <v>0</v>
      </c>
      <c r="AG209" s="75">
        <f t="shared" si="7"/>
        <v>0</v>
      </c>
      <c r="AH209" s="31" t="e" cm="1">
        <f t="array" aca="1" ref="AH209" ca="1">IF((AD209) &lt; (INDEX(ResponseSLA[#All],(MATCH((G209),ResponseSLA[Priority],0))+1,3)),"YES","No")</f>
        <v>#N/A</v>
      </c>
      <c r="AI209" s="31" t="str">
        <f>_xlfn.IFNA(IF(AE209 &lt; (INDEX(SLATable[Minimum SLA],MATCH(G209,SLATable[Priority],0))),"YES","NO"),"")</f>
        <v/>
      </c>
      <c r="AJ209" t="str">
        <f>_xlfn.IFNA(IF(AE209 &lt; (INDEX(SLATable[Maximum SLA],MATCH(G209,SLATable[Priority],0))),"YES","NO"),"")</f>
        <v/>
      </c>
    </row>
    <row r="210" spans="26:36" ht="15" customHeight="1">
      <c r="Z210" s="76" t="e">
        <f t="shared" ca="1" si="20"/>
        <v>#N/A</v>
      </c>
      <c r="AA210" s="75" t="e">
        <f t="shared" ca="1" si="1"/>
        <v>#N/A</v>
      </c>
      <c r="AB210" s="76">
        <f t="shared" ca="1" si="21"/>
        <v>0</v>
      </c>
      <c r="AC210" s="75">
        <f t="shared" ca="1" si="3"/>
        <v>0</v>
      </c>
      <c r="AD210" s="76">
        <f t="shared" ca="1" si="22"/>
        <v>12388.425641550926</v>
      </c>
      <c r="AE210" s="76">
        <f t="shared" si="23"/>
        <v>0</v>
      </c>
      <c r="AF210" s="75">
        <f t="shared" si="6"/>
        <v>0</v>
      </c>
      <c r="AG210" s="75">
        <f t="shared" si="7"/>
        <v>0</v>
      </c>
      <c r="AH210" s="31" t="e" cm="1">
        <f t="array" aca="1" ref="AH210" ca="1">IF((AD210) &lt; (INDEX(ResponseSLA[#All],(MATCH((G210),ResponseSLA[Priority],0))+1,3)),"YES","No")</f>
        <v>#N/A</v>
      </c>
      <c r="AI210" s="31" t="str">
        <f>_xlfn.IFNA(IF(AE210 &lt; (INDEX(SLATable[Minimum SLA],MATCH(G210,SLATable[Priority],0))),"YES","NO"),"")</f>
        <v/>
      </c>
      <c r="AJ210" t="str">
        <f>_xlfn.IFNA(IF(AE210 &lt; (INDEX(SLATable[Maximum SLA],MATCH(G210,SLATable[Priority],0))),"YES","NO"),"")</f>
        <v/>
      </c>
    </row>
    <row r="211" spans="26:36" ht="15" customHeight="1">
      <c r="Z211" s="76" t="e">
        <f t="shared" ca="1" si="20"/>
        <v>#N/A</v>
      </c>
      <c r="AA211" s="75" t="e">
        <f t="shared" ca="1" si="1"/>
        <v>#N/A</v>
      </c>
      <c r="AB211" s="76">
        <f t="shared" ca="1" si="21"/>
        <v>0</v>
      </c>
      <c r="AC211" s="75">
        <f t="shared" ca="1" si="3"/>
        <v>0</v>
      </c>
      <c r="AD211" s="76">
        <f t="shared" ca="1" si="22"/>
        <v>12388.425641782411</v>
      </c>
      <c r="AE211" s="76">
        <f t="shared" si="23"/>
        <v>0</v>
      </c>
      <c r="AF211" s="75">
        <f t="shared" si="6"/>
        <v>0</v>
      </c>
      <c r="AG211" s="75">
        <f t="shared" si="7"/>
        <v>0</v>
      </c>
      <c r="AH211" s="31" t="e" cm="1">
        <f t="array" aca="1" ref="AH211" ca="1">IF((AD211) &lt; (INDEX(ResponseSLA[#All],(MATCH((G211),ResponseSLA[Priority],0))+1,3)),"YES","No")</f>
        <v>#N/A</v>
      </c>
      <c r="AI211" s="31" t="str">
        <f>_xlfn.IFNA(IF(AE211 &lt; (INDEX(SLATable[Minimum SLA],MATCH(G211,SLATable[Priority],0))),"YES","NO"),"")</f>
        <v/>
      </c>
      <c r="AJ211" t="str">
        <f>_xlfn.IFNA(IF(AE211 &lt; (INDEX(SLATable[Maximum SLA],MATCH(G211,SLATable[Priority],0))),"YES","NO"),"")</f>
        <v/>
      </c>
    </row>
    <row r="212" spans="26:36" ht="15" customHeight="1">
      <c r="Z212" s="76" t="e">
        <f t="shared" ca="1" si="20"/>
        <v>#N/A</v>
      </c>
      <c r="AA212" s="75" t="e">
        <f t="shared" ca="1" si="1"/>
        <v>#N/A</v>
      </c>
      <c r="AB212" s="76">
        <f t="shared" ca="1" si="21"/>
        <v>0</v>
      </c>
      <c r="AC212" s="75">
        <f t="shared" ca="1" si="3"/>
        <v>0</v>
      </c>
      <c r="AD212" s="76">
        <f t="shared" ca="1" si="22"/>
        <v>12388.425641550926</v>
      </c>
      <c r="AE212" s="76">
        <f t="shared" si="23"/>
        <v>0</v>
      </c>
      <c r="AF212" s="75">
        <f t="shared" si="6"/>
        <v>0</v>
      </c>
      <c r="AG212" s="75">
        <f t="shared" si="7"/>
        <v>0</v>
      </c>
      <c r="AH212" s="31" t="e" cm="1">
        <f t="array" aca="1" ref="AH212" ca="1">IF((AD212) &lt; (INDEX(ResponseSLA[#All],(MATCH((G212),ResponseSLA[Priority],0))+1,3)),"YES","No")</f>
        <v>#N/A</v>
      </c>
      <c r="AI212" s="31" t="str">
        <f>_xlfn.IFNA(IF(AE212 &lt; (INDEX(SLATable[Minimum SLA],MATCH(G212,SLATable[Priority],0))),"YES","NO"),"")</f>
        <v/>
      </c>
      <c r="AJ212" t="str">
        <f>_xlfn.IFNA(IF(AE212 &lt; (INDEX(SLATable[Maximum SLA],MATCH(G212,SLATable[Priority],0))),"YES","NO"),"")</f>
        <v/>
      </c>
    </row>
    <row r="213" spans="26:36" ht="15" customHeight="1">
      <c r="Z213" s="76" t="e">
        <f t="shared" ca="1" si="20"/>
        <v>#N/A</v>
      </c>
      <c r="AA213" s="75" t="e">
        <f t="shared" ca="1" si="1"/>
        <v>#N/A</v>
      </c>
      <c r="AB213" s="76">
        <f t="shared" ca="1" si="21"/>
        <v>0</v>
      </c>
      <c r="AC213" s="75">
        <f t="shared" ca="1" si="3"/>
        <v>0</v>
      </c>
      <c r="AD213" s="76">
        <f t="shared" ca="1" si="22"/>
        <v>12388.425641550926</v>
      </c>
      <c r="AE213" s="76">
        <f t="shared" si="23"/>
        <v>0</v>
      </c>
      <c r="AF213" s="75">
        <f t="shared" si="6"/>
        <v>0</v>
      </c>
      <c r="AG213" s="75">
        <f t="shared" si="7"/>
        <v>0</v>
      </c>
      <c r="AH213" s="31" t="e" cm="1">
        <f t="array" aca="1" ref="AH213" ca="1">IF((AD213) &lt; (INDEX(ResponseSLA[#All],(MATCH((G213),ResponseSLA[Priority],0))+1,3)),"YES","No")</f>
        <v>#N/A</v>
      </c>
      <c r="AI213" s="31" t="str">
        <f>_xlfn.IFNA(IF(AE213 &lt; (INDEX(SLATable[Minimum SLA],MATCH(G213,SLATable[Priority],0))),"YES","NO"),"")</f>
        <v/>
      </c>
      <c r="AJ213" t="str">
        <f>_xlfn.IFNA(IF(AE213 &lt; (INDEX(SLATable[Maximum SLA],MATCH(G213,SLATable[Priority],0))),"YES","NO"),"")</f>
        <v/>
      </c>
    </row>
    <row r="214" spans="26:36" ht="15" customHeight="1">
      <c r="Z214" s="76" t="e">
        <f t="shared" ca="1" si="20"/>
        <v>#N/A</v>
      </c>
      <c r="AA214" s="75" t="e">
        <f t="shared" ca="1" si="1"/>
        <v>#N/A</v>
      </c>
      <c r="AB214" s="76">
        <f t="shared" ca="1" si="21"/>
        <v>0</v>
      </c>
      <c r="AC214" s="75">
        <f t="shared" ca="1" si="3"/>
        <v>0</v>
      </c>
      <c r="AD214" s="76">
        <f t="shared" ca="1" si="22"/>
        <v>12388.425641782411</v>
      </c>
      <c r="AE214" s="76">
        <f t="shared" si="23"/>
        <v>0</v>
      </c>
      <c r="AF214" s="75">
        <f t="shared" si="6"/>
        <v>0</v>
      </c>
      <c r="AG214" s="75">
        <f t="shared" si="7"/>
        <v>0</v>
      </c>
      <c r="AH214" s="31" t="e" cm="1">
        <f t="array" aca="1" ref="AH214" ca="1">IF((AD214) &lt; (INDEX(ResponseSLA[#All],(MATCH((G214),ResponseSLA[Priority],0))+1,3)),"YES","No")</f>
        <v>#N/A</v>
      </c>
      <c r="AI214" s="31" t="str">
        <f>_xlfn.IFNA(IF(AE214 &lt; (INDEX(SLATable[Minimum SLA],MATCH(G214,SLATable[Priority],0))),"YES","NO"),"")</f>
        <v/>
      </c>
      <c r="AJ214" t="str">
        <f>_xlfn.IFNA(IF(AE214 &lt; (INDEX(SLATable[Maximum SLA],MATCH(G214,SLATable[Priority],0))),"YES","NO"),"")</f>
        <v/>
      </c>
    </row>
    <row r="215" spans="26:36" ht="15" customHeight="1">
      <c r="Z215" s="76" t="e">
        <f t="shared" ca="1" si="20"/>
        <v>#N/A</v>
      </c>
      <c r="AA215" s="75" t="e">
        <f t="shared" ca="1" si="1"/>
        <v>#N/A</v>
      </c>
      <c r="AB215" s="76">
        <f t="shared" ca="1" si="21"/>
        <v>0</v>
      </c>
      <c r="AC215" s="75">
        <f t="shared" ca="1" si="3"/>
        <v>0</v>
      </c>
      <c r="AD215" s="76">
        <f t="shared" ca="1" si="22"/>
        <v>12388.425641550926</v>
      </c>
      <c r="AE215" s="76">
        <f t="shared" si="23"/>
        <v>0</v>
      </c>
      <c r="AF215" s="75">
        <f t="shared" si="6"/>
        <v>0</v>
      </c>
      <c r="AG215" s="75">
        <f t="shared" si="7"/>
        <v>0</v>
      </c>
      <c r="AH215" s="31" t="e" cm="1">
        <f t="array" aca="1" ref="AH215" ca="1">IF((AD215) &lt; (INDEX(ResponseSLA[#All],(MATCH((G215),ResponseSLA[Priority],0))+1,3)),"YES","No")</f>
        <v>#N/A</v>
      </c>
      <c r="AI215" s="31" t="str">
        <f>_xlfn.IFNA(IF(AE215 &lt; (INDEX(SLATable[Minimum SLA],MATCH(G215,SLATable[Priority],0))),"YES","NO"),"")</f>
        <v/>
      </c>
      <c r="AJ215" t="str">
        <f>_xlfn.IFNA(IF(AE215 &lt; (INDEX(SLATable[Maximum SLA],MATCH(G215,SLATable[Priority],0))),"YES","NO"),"")</f>
        <v/>
      </c>
    </row>
    <row r="216" spans="26:36" ht="15" customHeight="1">
      <c r="Z216" s="76" t="e">
        <f t="shared" ca="1" si="20"/>
        <v>#N/A</v>
      </c>
      <c r="AA216" s="75" t="e">
        <f t="shared" ca="1" si="1"/>
        <v>#N/A</v>
      </c>
      <c r="AB216" s="76">
        <f t="shared" ca="1" si="21"/>
        <v>0</v>
      </c>
      <c r="AC216" s="75">
        <f t="shared" ca="1" si="3"/>
        <v>0</v>
      </c>
      <c r="AD216" s="76">
        <f t="shared" ca="1" si="22"/>
        <v>12388.425641550926</v>
      </c>
      <c r="AE216" s="76">
        <f t="shared" si="23"/>
        <v>0</v>
      </c>
      <c r="AF216" s="75">
        <f t="shared" si="6"/>
        <v>0</v>
      </c>
      <c r="AG216" s="75">
        <f t="shared" si="7"/>
        <v>0</v>
      </c>
      <c r="AH216" s="31" t="e" cm="1">
        <f t="array" aca="1" ref="AH216" ca="1">IF((AD216) &lt; (INDEX(ResponseSLA[#All],(MATCH((G216),ResponseSLA[Priority],0))+1,3)),"YES","No")</f>
        <v>#N/A</v>
      </c>
      <c r="AI216" s="31" t="str">
        <f>_xlfn.IFNA(IF(AE216 &lt; (INDEX(SLATable[Minimum SLA],MATCH(G216,SLATable[Priority],0))),"YES","NO"),"")</f>
        <v/>
      </c>
      <c r="AJ216" t="str">
        <f>_xlfn.IFNA(IF(AE216 &lt; (INDEX(SLATable[Maximum SLA],MATCH(G216,SLATable[Priority],0))),"YES","NO"),"")</f>
        <v/>
      </c>
    </row>
    <row r="217" spans="26:36" ht="15" customHeight="1">
      <c r="Z217" s="76" t="e">
        <f t="shared" ca="1" si="20"/>
        <v>#N/A</v>
      </c>
      <c r="AA217" s="75" t="e">
        <f t="shared" ca="1" si="1"/>
        <v>#N/A</v>
      </c>
      <c r="AB217" s="76">
        <f t="shared" ca="1" si="21"/>
        <v>0</v>
      </c>
      <c r="AC217" s="75">
        <f t="shared" ca="1" si="3"/>
        <v>0</v>
      </c>
      <c r="AD217" s="76">
        <f t="shared" ca="1" si="22"/>
        <v>12388.425641782411</v>
      </c>
      <c r="AE217" s="76">
        <f t="shared" si="23"/>
        <v>0</v>
      </c>
      <c r="AF217" s="75">
        <f t="shared" si="6"/>
        <v>0</v>
      </c>
      <c r="AG217" s="75">
        <f t="shared" si="7"/>
        <v>0</v>
      </c>
      <c r="AH217" s="31" t="e" cm="1">
        <f t="array" aca="1" ref="AH217" ca="1">IF((AD217) &lt; (INDEX(ResponseSLA[#All],(MATCH((G217),ResponseSLA[Priority],0))+1,3)),"YES","No")</f>
        <v>#N/A</v>
      </c>
      <c r="AI217" s="31" t="str">
        <f>_xlfn.IFNA(IF(AE217 &lt; (INDEX(SLATable[Minimum SLA],MATCH(G217,SLATable[Priority],0))),"YES","NO"),"")</f>
        <v/>
      </c>
      <c r="AJ217" t="str">
        <f>_xlfn.IFNA(IF(AE217 &lt; (INDEX(SLATable[Maximum SLA],MATCH(G217,SLATable[Priority],0))),"YES","NO"),"")</f>
        <v/>
      </c>
    </row>
    <row r="218" spans="26:36" ht="15" customHeight="1">
      <c r="Z218" s="76" t="e">
        <f t="shared" ca="1" si="20"/>
        <v>#N/A</v>
      </c>
      <c r="AA218" s="75" t="e">
        <f t="shared" ca="1" si="1"/>
        <v>#N/A</v>
      </c>
      <c r="AB218" s="76">
        <f t="shared" ca="1" si="21"/>
        <v>0</v>
      </c>
      <c r="AC218" s="75">
        <f t="shared" ca="1" si="3"/>
        <v>0</v>
      </c>
      <c r="AD218" s="76">
        <f t="shared" ca="1" si="22"/>
        <v>12388.425641550926</v>
      </c>
      <c r="AE218" s="76">
        <f t="shared" si="23"/>
        <v>0</v>
      </c>
      <c r="AF218" s="75">
        <f t="shared" si="6"/>
        <v>0</v>
      </c>
      <c r="AG218" s="75">
        <f t="shared" si="7"/>
        <v>0</v>
      </c>
      <c r="AH218" s="31" t="e" cm="1">
        <f t="array" aca="1" ref="AH218" ca="1">IF((AD218) &lt; (INDEX(ResponseSLA[#All],(MATCH((G218),ResponseSLA[Priority],0))+1,3)),"YES","No")</f>
        <v>#N/A</v>
      </c>
      <c r="AI218" s="31" t="str">
        <f>_xlfn.IFNA(IF(AE218 &lt; (INDEX(SLATable[Minimum SLA],MATCH(G218,SLATable[Priority],0))),"YES","NO"),"")</f>
        <v/>
      </c>
      <c r="AJ218" t="str">
        <f>_xlfn.IFNA(IF(AE218 &lt; (INDEX(SLATable[Maximum SLA],MATCH(G218,SLATable[Priority],0))),"YES","NO"),"")</f>
        <v/>
      </c>
    </row>
    <row r="219" spans="26:36" ht="15" customHeight="1">
      <c r="Z219" s="76" t="e">
        <f t="shared" ca="1" si="20"/>
        <v>#N/A</v>
      </c>
      <c r="AA219" s="75" t="e">
        <f t="shared" ca="1" si="1"/>
        <v>#N/A</v>
      </c>
      <c r="AB219" s="76">
        <f t="shared" ca="1" si="21"/>
        <v>0</v>
      </c>
      <c r="AC219" s="75">
        <f t="shared" ca="1" si="3"/>
        <v>0</v>
      </c>
      <c r="AD219" s="76">
        <f t="shared" ca="1" si="22"/>
        <v>12388.425641550926</v>
      </c>
      <c r="AE219" s="76">
        <f t="shared" si="23"/>
        <v>0</v>
      </c>
      <c r="AF219" s="75">
        <f t="shared" si="6"/>
        <v>0</v>
      </c>
      <c r="AG219" s="75">
        <f t="shared" si="7"/>
        <v>0</v>
      </c>
      <c r="AH219" s="31" t="e" cm="1">
        <f t="array" aca="1" ref="AH219" ca="1">IF((AD219) &lt; (INDEX(ResponseSLA[#All],(MATCH((G219),ResponseSLA[Priority],0))+1,3)),"YES","No")</f>
        <v>#N/A</v>
      </c>
      <c r="AI219" s="31" t="str">
        <f>_xlfn.IFNA(IF(AE219 &lt; (INDEX(SLATable[Minimum SLA],MATCH(G219,SLATable[Priority],0))),"YES","NO"),"")</f>
        <v/>
      </c>
      <c r="AJ219" t="str">
        <f>_xlfn.IFNA(IF(AE219 &lt; (INDEX(SLATable[Maximum SLA],MATCH(G219,SLATable[Priority],0))),"YES","NO"),"")</f>
        <v/>
      </c>
    </row>
    <row r="220" spans="26:36" ht="15" customHeight="1">
      <c r="Z220" s="76" t="e">
        <f t="shared" ca="1" si="20"/>
        <v>#N/A</v>
      </c>
      <c r="AA220" s="75" t="e">
        <f t="shared" ca="1" si="1"/>
        <v>#N/A</v>
      </c>
      <c r="AB220" s="76">
        <f t="shared" ca="1" si="21"/>
        <v>0</v>
      </c>
      <c r="AC220" s="75">
        <f t="shared" ca="1" si="3"/>
        <v>0</v>
      </c>
      <c r="AD220" s="76">
        <f t="shared" ca="1" si="22"/>
        <v>12388.425641782411</v>
      </c>
      <c r="AE220" s="76">
        <f t="shared" si="23"/>
        <v>0</v>
      </c>
      <c r="AF220" s="75">
        <f t="shared" si="6"/>
        <v>0</v>
      </c>
      <c r="AG220" s="75">
        <f t="shared" si="7"/>
        <v>0</v>
      </c>
      <c r="AH220" s="31" t="e" cm="1">
        <f t="array" aca="1" ref="AH220" ca="1">IF((AD220) &lt; (INDEX(ResponseSLA[#All],(MATCH((G220),ResponseSLA[Priority],0))+1,3)),"YES","No")</f>
        <v>#N/A</v>
      </c>
      <c r="AI220" s="31" t="str">
        <f>_xlfn.IFNA(IF(AE220 &lt; (INDEX(SLATable[Minimum SLA],MATCH(G220,SLATable[Priority],0))),"YES","NO"),"")</f>
        <v/>
      </c>
      <c r="AJ220" t="str">
        <f>_xlfn.IFNA(IF(AE220 &lt; (INDEX(SLATable[Maximum SLA],MATCH(G220,SLATable[Priority],0))),"YES","NO"),"")</f>
        <v/>
      </c>
    </row>
    <row r="221" spans="26:36" ht="15" customHeight="1">
      <c r="Z221" s="76" t="e">
        <f t="shared" ca="1" si="20"/>
        <v>#N/A</v>
      </c>
      <c r="AA221" s="75" t="e">
        <f t="shared" ca="1" si="1"/>
        <v>#N/A</v>
      </c>
      <c r="AB221" s="76">
        <f t="shared" ca="1" si="21"/>
        <v>0</v>
      </c>
      <c r="AC221" s="75">
        <f t="shared" ca="1" si="3"/>
        <v>0</v>
      </c>
      <c r="AD221" s="76">
        <f t="shared" ca="1" si="22"/>
        <v>12388.425641550926</v>
      </c>
      <c r="AE221" s="76">
        <f t="shared" si="23"/>
        <v>0</v>
      </c>
      <c r="AF221" s="75">
        <f t="shared" si="6"/>
        <v>0</v>
      </c>
      <c r="AG221" s="75">
        <f t="shared" si="7"/>
        <v>0</v>
      </c>
      <c r="AH221" s="31" t="e" cm="1">
        <f t="array" aca="1" ref="AH221" ca="1">IF((AD221) &lt; (INDEX(ResponseSLA[#All],(MATCH((G221),ResponseSLA[Priority],0))+1,3)),"YES","No")</f>
        <v>#N/A</v>
      </c>
      <c r="AI221" s="31" t="str">
        <f>_xlfn.IFNA(IF(AE221 &lt; (INDEX(SLATable[Minimum SLA],MATCH(G221,SLATable[Priority],0))),"YES","NO"),"")</f>
        <v/>
      </c>
      <c r="AJ221" t="str">
        <f>_xlfn.IFNA(IF(AE221 &lt; (INDEX(SLATable[Maximum SLA],MATCH(G221,SLATable[Priority],0))),"YES","NO"),"")</f>
        <v/>
      </c>
    </row>
    <row r="222" spans="26:36" ht="15" customHeight="1">
      <c r="Z222" s="76" t="e">
        <f t="shared" ca="1" si="20"/>
        <v>#N/A</v>
      </c>
      <c r="AA222" s="75" t="e">
        <f t="shared" ca="1" si="1"/>
        <v>#N/A</v>
      </c>
      <c r="AB222" s="76">
        <f t="shared" ca="1" si="21"/>
        <v>0</v>
      </c>
      <c r="AC222" s="75">
        <f t="shared" ca="1" si="3"/>
        <v>0</v>
      </c>
      <c r="AD222" s="76">
        <f t="shared" ca="1" si="22"/>
        <v>12388.425641550926</v>
      </c>
      <c r="AE222" s="76">
        <f t="shared" si="23"/>
        <v>0</v>
      </c>
      <c r="AF222" s="75">
        <f t="shared" si="6"/>
        <v>0</v>
      </c>
      <c r="AG222" s="75">
        <f t="shared" si="7"/>
        <v>0</v>
      </c>
      <c r="AH222" s="31" t="e" cm="1">
        <f t="array" aca="1" ref="AH222" ca="1">IF((AD222) &lt; (INDEX(ResponseSLA[#All],(MATCH((G222),ResponseSLA[Priority],0))+1,3)),"YES","No")</f>
        <v>#N/A</v>
      </c>
      <c r="AI222" s="31" t="str">
        <f>_xlfn.IFNA(IF(AE222 &lt; (INDEX(SLATable[Minimum SLA],MATCH(G222,SLATable[Priority],0))),"YES","NO"),"")</f>
        <v/>
      </c>
      <c r="AJ222" t="str">
        <f>_xlfn.IFNA(IF(AE222 &lt; (INDEX(SLATable[Maximum SLA],MATCH(G222,SLATable[Priority],0))),"YES","NO"),"")</f>
        <v/>
      </c>
    </row>
    <row r="223" spans="26:36" ht="15" customHeight="1">
      <c r="Z223" s="76" t="e">
        <f t="shared" ca="1" si="20"/>
        <v>#N/A</v>
      </c>
      <c r="AA223" s="75" t="e">
        <f t="shared" ca="1" si="1"/>
        <v>#N/A</v>
      </c>
      <c r="AB223" s="76">
        <f t="shared" ca="1" si="21"/>
        <v>0</v>
      </c>
      <c r="AC223" s="75">
        <f t="shared" ca="1" si="3"/>
        <v>0</v>
      </c>
      <c r="AD223" s="76">
        <f t="shared" ca="1" si="22"/>
        <v>12388.425641782411</v>
      </c>
      <c r="AE223" s="76">
        <f t="shared" si="23"/>
        <v>0</v>
      </c>
      <c r="AF223" s="75">
        <f t="shared" si="6"/>
        <v>0</v>
      </c>
      <c r="AG223" s="75">
        <f t="shared" si="7"/>
        <v>0</v>
      </c>
      <c r="AH223" s="31" t="e" cm="1">
        <f t="array" aca="1" ref="AH223" ca="1">IF((AD223) &lt; (INDEX(ResponseSLA[#All],(MATCH((G223),ResponseSLA[Priority],0))+1,3)),"YES","No")</f>
        <v>#N/A</v>
      </c>
      <c r="AI223" s="31" t="str">
        <f>_xlfn.IFNA(IF(AE223 &lt; (INDEX(SLATable[Minimum SLA],MATCH(G223,SLATable[Priority],0))),"YES","NO"),"")</f>
        <v/>
      </c>
      <c r="AJ223" t="str">
        <f>_xlfn.IFNA(IF(AE223 &lt; (INDEX(SLATable[Maximum SLA],MATCH(G223,SLATable[Priority],0))),"YES","NO"),"")</f>
        <v/>
      </c>
    </row>
    <row r="224" spans="26:36" ht="15" customHeight="1">
      <c r="Z224" s="76" t="e">
        <f t="shared" ca="1" si="20"/>
        <v>#N/A</v>
      </c>
      <c r="AA224" s="75" t="e">
        <f t="shared" ca="1" si="1"/>
        <v>#N/A</v>
      </c>
      <c r="AB224" s="76">
        <f t="shared" ca="1" si="21"/>
        <v>0</v>
      </c>
      <c r="AC224" s="75">
        <f t="shared" ca="1" si="3"/>
        <v>0</v>
      </c>
      <c r="AD224" s="76">
        <f t="shared" ca="1" si="22"/>
        <v>12388.425641550926</v>
      </c>
      <c r="AE224" s="76">
        <f t="shared" si="23"/>
        <v>0</v>
      </c>
      <c r="AF224" s="75">
        <f t="shared" si="6"/>
        <v>0</v>
      </c>
      <c r="AG224" s="75">
        <f t="shared" si="7"/>
        <v>0</v>
      </c>
      <c r="AH224" s="31" t="e" cm="1">
        <f t="array" aca="1" ref="AH224" ca="1">IF((AD224) &lt; (INDEX(ResponseSLA[#All],(MATCH((G224),ResponseSLA[Priority],0))+1,3)),"YES","No")</f>
        <v>#N/A</v>
      </c>
      <c r="AI224" s="31" t="str">
        <f>_xlfn.IFNA(IF(AE224 &lt; (INDEX(SLATable[Minimum SLA],MATCH(G224,SLATable[Priority],0))),"YES","NO"),"")</f>
        <v/>
      </c>
      <c r="AJ224" t="str">
        <f>_xlfn.IFNA(IF(AE224 &lt; (INDEX(SLATable[Maximum SLA],MATCH(G224,SLATable[Priority],0))),"YES","NO"),"")</f>
        <v/>
      </c>
    </row>
    <row r="225" spans="26:36" ht="15" customHeight="1">
      <c r="Z225" s="76" t="e">
        <f t="shared" ca="1" si="20"/>
        <v>#N/A</v>
      </c>
      <c r="AA225" s="75" t="e">
        <f t="shared" ca="1" si="1"/>
        <v>#N/A</v>
      </c>
      <c r="AB225" s="76">
        <f t="shared" ca="1" si="21"/>
        <v>0</v>
      </c>
      <c r="AC225" s="75">
        <f t="shared" ca="1" si="3"/>
        <v>0</v>
      </c>
      <c r="AD225" s="76">
        <f t="shared" ca="1" si="22"/>
        <v>12388.425641550926</v>
      </c>
      <c r="AE225" s="76">
        <f t="shared" si="23"/>
        <v>0</v>
      </c>
      <c r="AF225" s="75">
        <f t="shared" si="6"/>
        <v>0</v>
      </c>
      <c r="AG225" s="75">
        <f t="shared" si="7"/>
        <v>0</v>
      </c>
      <c r="AH225" s="31" t="e" cm="1">
        <f t="array" aca="1" ref="AH225" ca="1">IF((AD225) &lt; (INDEX(ResponseSLA[#All],(MATCH((G225),ResponseSLA[Priority],0))+1,3)),"YES","No")</f>
        <v>#N/A</v>
      </c>
      <c r="AI225" s="31" t="str">
        <f>_xlfn.IFNA(IF(AE225 &lt; (INDEX(SLATable[Minimum SLA],MATCH(G225,SLATable[Priority],0))),"YES","NO"),"")</f>
        <v/>
      </c>
      <c r="AJ225" t="str">
        <f>_xlfn.IFNA(IF(AE225 &lt; (INDEX(SLATable[Maximum SLA],MATCH(G225,SLATable[Priority],0))),"YES","NO"),"")</f>
        <v/>
      </c>
    </row>
    <row r="226" spans="26:36" ht="15" customHeight="1">
      <c r="Z226" s="76" t="e">
        <f t="shared" ca="1" si="20"/>
        <v>#N/A</v>
      </c>
      <c r="AA226" s="75" t="e">
        <f t="shared" ca="1" si="1"/>
        <v>#N/A</v>
      </c>
      <c r="AB226" s="76">
        <f t="shared" ca="1" si="21"/>
        <v>0</v>
      </c>
      <c r="AC226" s="75">
        <f t="shared" ca="1" si="3"/>
        <v>0</v>
      </c>
      <c r="AD226" s="76">
        <f t="shared" ca="1" si="22"/>
        <v>12388.425641782411</v>
      </c>
      <c r="AE226" s="76">
        <f t="shared" si="23"/>
        <v>0</v>
      </c>
      <c r="AF226" s="75">
        <f t="shared" si="6"/>
        <v>0</v>
      </c>
      <c r="AG226" s="75">
        <f t="shared" si="7"/>
        <v>0</v>
      </c>
      <c r="AH226" s="31" t="e" cm="1">
        <f t="array" aca="1" ref="AH226" ca="1">IF((AD226) &lt; (INDEX(ResponseSLA[#All],(MATCH((G226),ResponseSLA[Priority],0))+1,3)),"YES","No")</f>
        <v>#N/A</v>
      </c>
      <c r="AI226" s="31" t="str">
        <f>_xlfn.IFNA(IF(AE226 &lt; (INDEX(SLATable[Minimum SLA],MATCH(G226,SLATable[Priority],0))),"YES","NO"),"")</f>
        <v/>
      </c>
      <c r="AJ226" t="str">
        <f>_xlfn.IFNA(IF(AE226 &lt; (INDEX(SLATable[Maximum SLA],MATCH(G226,SLATable[Priority],0))),"YES","NO"),"")</f>
        <v/>
      </c>
    </row>
    <row r="227" spans="26:36" ht="15" customHeight="1">
      <c r="Z227" s="76" t="e">
        <f t="shared" ca="1" si="20"/>
        <v>#N/A</v>
      </c>
      <c r="AA227" s="75" t="e">
        <f t="shared" ca="1" si="1"/>
        <v>#N/A</v>
      </c>
      <c r="AB227" s="76">
        <f t="shared" ca="1" si="21"/>
        <v>0</v>
      </c>
      <c r="AC227" s="75">
        <f t="shared" ca="1" si="3"/>
        <v>0</v>
      </c>
      <c r="AD227" s="76">
        <f t="shared" ca="1" si="22"/>
        <v>12388.425641550926</v>
      </c>
      <c r="AE227" s="76">
        <f t="shared" si="23"/>
        <v>0</v>
      </c>
      <c r="AF227" s="75">
        <f t="shared" si="6"/>
        <v>0</v>
      </c>
      <c r="AG227" s="75">
        <f t="shared" si="7"/>
        <v>0</v>
      </c>
      <c r="AH227" s="31" t="e" cm="1">
        <f t="array" aca="1" ref="AH227" ca="1">IF((AD227) &lt; (INDEX(ResponseSLA[#All],(MATCH((G227),ResponseSLA[Priority],0))+1,3)),"YES","No")</f>
        <v>#N/A</v>
      </c>
      <c r="AI227" s="31" t="str">
        <f>_xlfn.IFNA(IF(AE227 &lt; (INDEX(SLATable[Minimum SLA],MATCH(G227,SLATable[Priority],0))),"YES","NO"),"")</f>
        <v/>
      </c>
      <c r="AJ227" t="str">
        <f>_xlfn.IFNA(IF(AE227 &lt; (INDEX(SLATable[Maximum SLA],MATCH(G227,SLATable[Priority],0))),"YES","NO"),"")</f>
        <v/>
      </c>
    </row>
    <row r="228" spans="26:36" ht="15" customHeight="1">
      <c r="Z228" s="76" t="e">
        <f t="shared" ca="1" si="20"/>
        <v>#N/A</v>
      </c>
      <c r="AA228" s="75" t="e">
        <f t="shared" ca="1" si="1"/>
        <v>#N/A</v>
      </c>
      <c r="AB228" s="76">
        <f t="shared" ca="1" si="21"/>
        <v>0</v>
      </c>
      <c r="AC228" s="75">
        <f t="shared" ca="1" si="3"/>
        <v>0</v>
      </c>
      <c r="AD228" s="76">
        <f t="shared" ca="1" si="22"/>
        <v>12388.425641550926</v>
      </c>
      <c r="AE228" s="76">
        <f t="shared" si="23"/>
        <v>0</v>
      </c>
      <c r="AF228" s="75">
        <f t="shared" si="6"/>
        <v>0</v>
      </c>
      <c r="AG228" s="75">
        <f t="shared" si="7"/>
        <v>0</v>
      </c>
      <c r="AH228" s="31" t="e" cm="1">
        <f t="array" aca="1" ref="AH228" ca="1">IF((AD228) &lt; (INDEX(ResponseSLA[#All],(MATCH((G228),ResponseSLA[Priority],0))+1,3)),"YES","No")</f>
        <v>#N/A</v>
      </c>
      <c r="AI228" s="31" t="str">
        <f>_xlfn.IFNA(IF(AE228 &lt; (INDEX(SLATable[Minimum SLA],MATCH(G228,SLATable[Priority],0))),"YES","NO"),"")</f>
        <v/>
      </c>
      <c r="AJ228" t="str">
        <f>_xlfn.IFNA(IF(AE228 &lt; (INDEX(SLATable[Maximum SLA],MATCH(G228,SLATable[Priority],0))),"YES","NO"),"")</f>
        <v/>
      </c>
    </row>
    <row r="229" spans="26:36" ht="15" customHeight="1">
      <c r="Z229" s="76" t="e">
        <f t="shared" ca="1" si="20"/>
        <v>#N/A</v>
      </c>
      <c r="AA229" s="75" t="e">
        <f t="shared" ca="1" si="1"/>
        <v>#N/A</v>
      </c>
      <c r="AB229" s="76">
        <f t="shared" ca="1" si="21"/>
        <v>0</v>
      </c>
      <c r="AC229" s="75">
        <f t="shared" ca="1" si="3"/>
        <v>0</v>
      </c>
      <c r="AD229" s="76">
        <f t="shared" ca="1" si="22"/>
        <v>12388.425641782411</v>
      </c>
      <c r="AE229" s="76">
        <f t="shared" si="23"/>
        <v>0</v>
      </c>
      <c r="AF229" s="75">
        <f t="shared" si="6"/>
        <v>0</v>
      </c>
      <c r="AG229" s="75">
        <f t="shared" si="7"/>
        <v>0</v>
      </c>
      <c r="AH229" s="31" t="e" cm="1">
        <f t="array" aca="1" ref="AH229" ca="1">IF((AD229) &lt; (INDEX(ResponseSLA[#All],(MATCH((G229),ResponseSLA[Priority],0))+1,3)),"YES","No")</f>
        <v>#N/A</v>
      </c>
      <c r="AI229" s="31" t="str">
        <f>_xlfn.IFNA(IF(AE229 &lt; (INDEX(SLATable[Minimum SLA],MATCH(G229,SLATable[Priority],0))),"YES","NO"),"")</f>
        <v/>
      </c>
      <c r="AJ229" t="str">
        <f>_xlfn.IFNA(IF(AE229 &lt; (INDEX(SLATable[Maximum SLA],MATCH(G229,SLATable[Priority],0))),"YES","NO"),"")</f>
        <v/>
      </c>
    </row>
    <row r="230" spans="26:36" ht="15" customHeight="1">
      <c r="Z230" s="76" t="e">
        <f t="shared" ca="1" si="20"/>
        <v>#N/A</v>
      </c>
      <c r="AA230" s="75" t="e">
        <f t="shared" ca="1" si="1"/>
        <v>#N/A</v>
      </c>
      <c r="AB230" s="76">
        <f t="shared" ca="1" si="21"/>
        <v>0</v>
      </c>
      <c r="AC230" s="75">
        <f t="shared" ca="1" si="3"/>
        <v>0</v>
      </c>
      <c r="AD230" s="76">
        <f t="shared" ca="1" si="22"/>
        <v>12388.425641550926</v>
      </c>
      <c r="AE230" s="76">
        <f t="shared" si="23"/>
        <v>0</v>
      </c>
      <c r="AF230" s="75">
        <f t="shared" si="6"/>
        <v>0</v>
      </c>
      <c r="AG230" s="75">
        <f t="shared" si="7"/>
        <v>0</v>
      </c>
      <c r="AH230" s="31" t="e" cm="1">
        <f t="array" aca="1" ref="AH230" ca="1">IF((AD230) &lt; (INDEX(ResponseSLA[#All],(MATCH((G230),ResponseSLA[Priority],0))+1,3)),"YES","No")</f>
        <v>#N/A</v>
      </c>
      <c r="AI230" s="31" t="str">
        <f>_xlfn.IFNA(IF(AE230 &lt; (INDEX(SLATable[Minimum SLA],MATCH(G230,SLATable[Priority],0))),"YES","NO"),"")</f>
        <v/>
      </c>
      <c r="AJ230" t="str">
        <f>_xlfn.IFNA(IF(AE230 &lt; (INDEX(SLATable[Maximum SLA],MATCH(G230,SLATable[Priority],0))),"YES","NO"),"")</f>
        <v/>
      </c>
    </row>
    <row r="231" spans="26:36" ht="15" customHeight="1">
      <c r="Z231" s="76" t="e">
        <f t="shared" ca="1" si="20"/>
        <v>#N/A</v>
      </c>
      <c r="AA231" s="75" t="e">
        <f t="shared" ca="1" si="1"/>
        <v>#N/A</v>
      </c>
      <c r="AB231" s="76">
        <f t="shared" ca="1" si="21"/>
        <v>0</v>
      </c>
      <c r="AC231" s="75">
        <f t="shared" ca="1" si="3"/>
        <v>0</v>
      </c>
      <c r="AD231" s="76">
        <f t="shared" ca="1" si="22"/>
        <v>12388.425641550926</v>
      </c>
      <c r="AE231" s="76">
        <f t="shared" si="23"/>
        <v>0</v>
      </c>
      <c r="AF231" s="75">
        <f t="shared" si="6"/>
        <v>0</v>
      </c>
      <c r="AG231" s="75">
        <f t="shared" si="7"/>
        <v>0</v>
      </c>
      <c r="AH231" s="31" t="e" cm="1">
        <f t="array" aca="1" ref="AH231" ca="1">IF((AD231) &lt; (INDEX(ResponseSLA[#All],(MATCH((G231),ResponseSLA[Priority],0))+1,3)),"YES","No")</f>
        <v>#N/A</v>
      </c>
      <c r="AI231" s="31" t="str">
        <f>_xlfn.IFNA(IF(AE231 &lt; (INDEX(SLATable[Minimum SLA],MATCH(G231,SLATable[Priority],0))),"YES","NO"),"")</f>
        <v/>
      </c>
      <c r="AJ231" t="str">
        <f>_xlfn.IFNA(IF(AE231 &lt; (INDEX(SLATable[Maximum SLA],MATCH(G231,SLATable[Priority],0))),"YES","NO"),"")</f>
        <v/>
      </c>
    </row>
    <row r="232" spans="26:36" ht="15" customHeight="1">
      <c r="Z232" s="76" t="e">
        <f t="shared" ca="1" si="20"/>
        <v>#N/A</v>
      </c>
      <c r="AA232" s="75" t="e">
        <f t="shared" ca="1" si="1"/>
        <v>#N/A</v>
      </c>
      <c r="AB232" s="76">
        <f t="shared" ca="1" si="21"/>
        <v>0</v>
      </c>
      <c r="AC232" s="75">
        <f t="shared" ca="1" si="3"/>
        <v>0</v>
      </c>
      <c r="AD232" s="76">
        <f t="shared" ca="1" si="22"/>
        <v>12388.425641782411</v>
      </c>
      <c r="AE232" s="76">
        <f t="shared" si="23"/>
        <v>0</v>
      </c>
      <c r="AF232" s="75">
        <f t="shared" si="6"/>
        <v>0</v>
      </c>
      <c r="AG232" s="75">
        <f t="shared" si="7"/>
        <v>0</v>
      </c>
      <c r="AH232" s="31" t="e" cm="1">
        <f t="array" aca="1" ref="AH232" ca="1">IF((AD232) &lt; (INDEX(ResponseSLA[#All],(MATCH((G232),ResponseSLA[Priority],0))+1,3)),"YES","No")</f>
        <v>#N/A</v>
      </c>
      <c r="AI232" s="31" t="str">
        <f>_xlfn.IFNA(IF(AE232 &lt; (INDEX(SLATable[Minimum SLA],MATCH(G232,SLATable[Priority],0))),"YES","NO"),"")</f>
        <v/>
      </c>
      <c r="AJ232" t="str">
        <f>_xlfn.IFNA(IF(AE232 &lt; (INDEX(SLATable[Maximum SLA],MATCH(G232,SLATable[Priority],0))),"YES","NO"),"")</f>
        <v/>
      </c>
    </row>
    <row r="233" spans="26:36" ht="15" customHeight="1">
      <c r="Z233" s="76" t="e">
        <f t="shared" ca="1" si="20"/>
        <v>#N/A</v>
      </c>
      <c r="AA233" s="75" t="e">
        <f t="shared" ca="1" si="1"/>
        <v>#N/A</v>
      </c>
      <c r="AB233" s="76">
        <f t="shared" ca="1" si="21"/>
        <v>0</v>
      </c>
      <c r="AC233" s="75">
        <f t="shared" ca="1" si="3"/>
        <v>0</v>
      </c>
      <c r="AD233" s="76">
        <f t="shared" ca="1" si="22"/>
        <v>12388.425641550926</v>
      </c>
      <c r="AE233" s="76">
        <f t="shared" si="23"/>
        <v>0</v>
      </c>
      <c r="AF233" s="75">
        <f t="shared" si="6"/>
        <v>0</v>
      </c>
      <c r="AG233" s="75">
        <f t="shared" si="7"/>
        <v>0</v>
      </c>
      <c r="AH233" s="31" t="e" cm="1">
        <f t="array" aca="1" ref="AH233" ca="1">IF((AD233) &lt; (INDEX(ResponseSLA[#All],(MATCH((G233),ResponseSLA[Priority],0))+1,3)),"YES","No")</f>
        <v>#N/A</v>
      </c>
      <c r="AI233" s="31" t="str">
        <f>_xlfn.IFNA(IF(AE233 &lt; (INDEX(SLATable[Minimum SLA],MATCH(G233,SLATable[Priority],0))),"YES","NO"),"")</f>
        <v/>
      </c>
      <c r="AJ233" t="str">
        <f>_xlfn.IFNA(IF(AE233 &lt; (INDEX(SLATable[Maximum SLA],MATCH(G233,SLATable[Priority],0))),"YES","NO"),"")</f>
        <v/>
      </c>
    </row>
    <row r="234" spans="26:36" ht="15" customHeight="1">
      <c r="Z234" s="76" t="e">
        <f t="shared" ca="1" si="20"/>
        <v>#N/A</v>
      </c>
      <c r="AA234" s="75" t="e">
        <f t="shared" ca="1" si="1"/>
        <v>#N/A</v>
      </c>
      <c r="AB234" s="76">
        <f t="shared" ca="1" si="21"/>
        <v>0</v>
      </c>
      <c r="AC234" s="75">
        <f t="shared" ca="1" si="3"/>
        <v>0</v>
      </c>
      <c r="AD234" s="76">
        <f t="shared" ca="1" si="22"/>
        <v>12388.425641550926</v>
      </c>
      <c r="AE234" s="76">
        <f t="shared" si="23"/>
        <v>0</v>
      </c>
      <c r="AF234" s="75">
        <f t="shared" si="6"/>
        <v>0</v>
      </c>
      <c r="AG234" s="75">
        <f t="shared" si="7"/>
        <v>0</v>
      </c>
      <c r="AH234" s="31" t="e" cm="1">
        <f t="array" aca="1" ref="AH234" ca="1">IF((AD234) &lt; (INDEX(ResponseSLA[#All],(MATCH((G234),ResponseSLA[Priority],0))+1,3)),"YES","No")</f>
        <v>#N/A</v>
      </c>
      <c r="AI234" s="31" t="str">
        <f>_xlfn.IFNA(IF(AE234 &lt; (INDEX(SLATable[Minimum SLA],MATCH(G234,SLATable[Priority],0))),"YES","NO"),"")</f>
        <v/>
      </c>
      <c r="AJ234" t="str">
        <f>_xlfn.IFNA(IF(AE234 &lt; (INDEX(SLATable[Maximum SLA],MATCH(G234,SLATable[Priority],0))),"YES","NO"),"")</f>
        <v/>
      </c>
    </row>
    <row r="235" spans="26:36" ht="15" customHeight="1">
      <c r="Z235" s="76" t="e">
        <f t="shared" ca="1" si="20"/>
        <v>#N/A</v>
      </c>
      <c r="AA235" s="75" t="e">
        <f t="shared" ca="1" si="1"/>
        <v>#N/A</v>
      </c>
      <c r="AB235" s="76">
        <f t="shared" ca="1" si="21"/>
        <v>0</v>
      </c>
      <c r="AC235" s="75">
        <f t="shared" ca="1" si="3"/>
        <v>0</v>
      </c>
      <c r="AD235" s="76">
        <f t="shared" ca="1" si="22"/>
        <v>12388.425641782411</v>
      </c>
      <c r="AE235" s="76">
        <f t="shared" si="23"/>
        <v>0</v>
      </c>
      <c r="AF235" s="75">
        <f t="shared" si="6"/>
        <v>0</v>
      </c>
      <c r="AG235" s="75">
        <f t="shared" si="7"/>
        <v>0</v>
      </c>
      <c r="AH235" s="31" t="e" cm="1">
        <f t="array" aca="1" ref="AH235" ca="1">IF((AD235) &lt; (INDEX(ResponseSLA[#All],(MATCH((G235),ResponseSLA[Priority],0))+1,3)),"YES","No")</f>
        <v>#N/A</v>
      </c>
      <c r="AI235" s="31" t="str">
        <f>_xlfn.IFNA(IF(AE235 &lt; (INDEX(SLATable[Minimum SLA],MATCH(G235,SLATable[Priority],0))),"YES","NO"),"")</f>
        <v/>
      </c>
      <c r="AJ235" t="str">
        <f>_xlfn.IFNA(IF(AE235 &lt; (INDEX(SLATable[Maximum SLA],MATCH(G235,SLATable[Priority],0))),"YES","NO"),"")</f>
        <v/>
      </c>
    </row>
    <row r="236" spans="26:36" ht="15" customHeight="1">
      <c r="Z236" s="76" t="e">
        <f t="shared" ca="1" si="20"/>
        <v>#N/A</v>
      </c>
      <c r="AA236" s="75" t="e">
        <f t="shared" ca="1" si="1"/>
        <v>#N/A</v>
      </c>
      <c r="AB236" s="76">
        <f t="shared" ca="1" si="21"/>
        <v>0</v>
      </c>
      <c r="AC236" s="75">
        <f t="shared" ca="1" si="3"/>
        <v>0</v>
      </c>
      <c r="AD236" s="76">
        <f t="shared" ca="1" si="22"/>
        <v>12388.425641550926</v>
      </c>
      <c r="AE236" s="76">
        <f t="shared" si="23"/>
        <v>0</v>
      </c>
      <c r="AF236" s="75">
        <f t="shared" si="6"/>
        <v>0</v>
      </c>
      <c r="AG236" s="75">
        <f t="shared" si="7"/>
        <v>0</v>
      </c>
      <c r="AH236" s="31" t="e" cm="1">
        <f t="array" aca="1" ref="AH236" ca="1">IF((AD236) &lt; (INDEX(ResponseSLA[#All],(MATCH((G236),ResponseSLA[Priority],0))+1,3)),"YES","No")</f>
        <v>#N/A</v>
      </c>
      <c r="AI236" s="31" t="str">
        <f>_xlfn.IFNA(IF(AE236 &lt; (INDEX(SLATable[Minimum SLA],MATCH(G236,SLATable[Priority],0))),"YES","NO"),"")</f>
        <v/>
      </c>
      <c r="AJ236" t="str">
        <f>_xlfn.IFNA(IF(AE236 &lt; (INDEX(SLATable[Maximum SLA],MATCH(G236,SLATable[Priority],0))),"YES","NO"),"")</f>
        <v/>
      </c>
    </row>
    <row r="237" spans="26:36" ht="15" customHeight="1">
      <c r="Z237" s="76" t="e">
        <f t="shared" ca="1" si="20"/>
        <v>#N/A</v>
      </c>
      <c r="AA237" s="75" t="e">
        <f t="shared" ca="1" si="1"/>
        <v>#N/A</v>
      </c>
      <c r="AB237" s="76">
        <f t="shared" ca="1" si="21"/>
        <v>0</v>
      </c>
      <c r="AC237" s="75">
        <f t="shared" ca="1" si="3"/>
        <v>0</v>
      </c>
      <c r="AD237" s="76">
        <f t="shared" ca="1" si="22"/>
        <v>12388.425641550926</v>
      </c>
      <c r="AE237" s="76">
        <f t="shared" si="23"/>
        <v>0</v>
      </c>
      <c r="AF237" s="75">
        <f t="shared" si="6"/>
        <v>0</v>
      </c>
      <c r="AG237" s="75">
        <f t="shared" si="7"/>
        <v>0</v>
      </c>
      <c r="AH237" s="31" t="e" cm="1">
        <f t="array" aca="1" ref="AH237" ca="1">IF((AD237) &lt; (INDEX(ResponseSLA[#All],(MATCH((G237),ResponseSLA[Priority],0))+1,3)),"YES","No")</f>
        <v>#N/A</v>
      </c>
      <c r="AI237" s="31" t="str">
        <f>_xlfn.IFNA(IF(AE237 &lt; (INDEX(SLATable[Minimum SLA],MATCH(G237,SLATable[Priority],0))),"YES","NO"),"")</f>
        <v/>
      </c>
      <c r="AJ237" t="str">
        <f>_xlfn.IFNA(IF(AE237 &lt; (INDEX(SLATable[Maximum SLA],MATCH(G237,SLATable[Priority],0))),"YES","NO"),"")</f>
        <v/>
      </c>
    </row>
    <row r="238" spans="26:36" ht="15" customHeight="1">
      <c r="Z238" s="76" t="e">
        <f t="shared" ca="1" si="20"/>
        <v>#N/A</v>
      </c>
      <c r="AA238" s="75" t="e">
        <f t="shared" ca="1" si="1"/>
        <v>#N/A</v>
      </c>
      <c r="AB238" s="76">
        <f t="shared" ca="1" si="21"/>
        <v>0</v>
      </c>
      <c r="AC238" s="75">
        <f t="shared" ca="1" si="3"/>
        <v>0</v>
      </c>
      <c r="AD238" s="76">
        <f t="shared" ca="1" si="22"/>
        <v>12388.425641782411</v>
      </c>
      <c r="AE238" s="76">
        <f t="shared" si="23"/>
        <v>0</v>
      </c>
      <c r="AF238" s="75">
        <f t="shared" si="6"/>
        <v>0</v>
      </c>
      <c r="AG238" s="75">
        <f t="shared" si="7"/>
        <v>0</v>
      </c>
      <c r="AH238" s="31" t="e" cm="1">
        <f t="array" aca="1" ref="AH238" ca="1">IF((AD238) &lt; (INDEX(ResponseSLA[#All],(MATCH((G238),ResponseSLA[Priority],0))+1,3)),"YES","No")</f>
        <v>#N/A</v>
      </c>
      <c r="AI238" s="31" t="str">
        <f>_xlfn.IFNA(IF(AE238 &lt; (INDEX(SLATable[Minimum SLA],MATCH(G238,SLATable[Priority],0))),"YES","NO"),"")</f>
        <v/>
      </c>
      <c r="AJ238" t="str">
        <f>_xlfn.IFNA(IF(AE238 &lt; (INDEX(SLATable[Maximum SLA],MATCH(G238,SLATable[Priority],0))),"YES","NO"),"")</f>
        <v/>
      </c>
    </row>
    <row r="239" spans="26:36" ht="15" customHeight="1">
      <c r="Z239" s="76" t="e">
        <f t="shared" ca="1" si="20"/>
        <v>#N/A</v>
      </c>
      <c r="AA239" s="75" t="e">
        <f t="shared" ca="1" si="1"/>
        <v>#N/A</v>
      </c>
      <c r="AB239" s="76">
        <f t="shared" ca="1" si="21"/>
        <v>0</v>
      </c>
      <c r="AC239" s="75">
        <f t="shared" ca="1" si="3"/>
        <v>0</v>
      </c>
      <c r="AD239" s="76">
        <f t="shared" ca="1" si="22"/>
        <v>12388.425641550926</v>
      </c>
      <c r="AE239" s="76">
        <f t="shared" si="23"/>
        <v>0</v>
      </c>
      <c r="AF239" s="75">
        <f t="shared" si="6"/>
        <v>0</v>
      </c>
      <c r="AG239" s="75">
        <f t="shared" si="7"/>
        <v>0</v>
      </c>
      <c r="AH239" s="31" t="e" cm="1">
        <f t="array" aca="1" ref="AH239" ca="1">IF((AD239) &lt; (INDEX(ResponseSLA[#All],(MATCH((G239),ResponseSLA[Priority],0))+1,3)),"YES","No")</f>
        <v>#N/A</v>
      </c>
      <c r="AI239" s="31" t="str">
        <f>_xlfn.IFNA(IF(AE239 &lt; (INDEX(SLATable[Minimum SLA],MATCH(G239,SLATable[Priority],0))),"YES","NO"),"")</f>
        <v/>
      </c>
      <c r="AJ239" t="str">
        <f>_xlfn.IFNA(IF(AE239 &lt; (INDEX(SLATable[Maximum SLA],MATCH(G239,SLATable[Priority],0))),"YES","NO"),"")</f>
        <v/>
      </c>
    </row>
    <row r="240" spans="26:36" ht="15" customHeight="1">
      <c r="Z240" s="76" t="e">
        <f t="shared" ca="1" si="20"/>
        <v>#N/A</v>
      </c>
      <c r="AA240" s="75" t="e">
        <f t="shared" ca="1" si="1"/>
        <v>#N/A</v>
      </c>
      <c r="AB240" s="76">
        <f t="shared" ca="1" si="21"/>
        <v>0</v>
      </c>
      <c r="AC240" s="75">
        <f t="shared" ca="1" si="3"/>
        <v>0</v>
      </c>
      <c r="AD240" s="76">
        <f t="shared" ca="1" si="22"/>
        <v>12388.425641550926</v>
      </c>
      <c r="AE240" s="76">
        <f t="shared" si="23"/>
        <v>0</v>
      </c>
      <c r="AF240" s="75">
        <f t="shared" si="6"/>
        <v>0</v>
      </c>
      <c r="AG240" s="75">
        <f t="shared" si="7"/>
        <v>0</v>
      </c>
      <c r="AH240" s="31" t="e" cm="1">
        <f t="array" aca="1" ref="AH240" ca="1">IF((AD240) &lt; (INDEX(ResponseSLA[#All],(MATCH((G240),ResponseSLA[Priority],0))+1,3)),"YES","No")</f>
        <v>#N/A</v>
      </c>
      <c r="AI240" s="31" t="str">
        <f>_xlfn.IFNA(IF(AE240 &lt; (INDEX(SLATable[Minimum SLA],MATCH(G240,SLATable[Priority],0))),"YES","NO"),"")</f>
        <v/>
      </c>
      <c r="AJ240" t="str">
        <f>_xlfn.IFNA(IF(AE240 &lt; (INDEX(SLATable[Maximum SLA],MATCH(G240,SLATable[Priority],0))),"YES","NO"),"")</f>
        <v/>
      </c>
    </row>
    <row r="241" spans="26:36" ht="15" customHeight="1">
      <c r="Z241" s="76" t="e">
        <f t="shared" ca="1" si="20"/>
        <v>#N/A</v>
      </c>
      <c r="AA241" s="75" t="e">
        <f t="shared" ca="1" si="1"/>
        <v>#N/A</v>
      </c>
      <c r="AB241" s="76">
        <f t="shared" ca="1" si="21"/>
        <v>0</v>
      </c>
      <c r="AC241" s="75">
        <f t="shared" ca="1" si="3"/>
        <v>0</v>
      </c>
      <c r="AD241" s="76">
        <f t="shared" ca="1" si="22"/>
        <v>12388.425641782411</v>
      </c>
      <c r="AE241" s="76">
        <f t="shared" si="23"/>
        <v>0</v>
      </c>
      <c r="AF241" s="75">
        <f t="shared" si="6"/>
        <v>0</v>
      </c>
      <c r="AG241" s="75">
        <f t="shared" si="7"/>
        <v>0</v>
      </c>
      <c r="AH241" s="31" t="e" cm="1">
        <f t="array" aca="1" ref="AH241" ca="1">IF((AD241) &lt; (INDEX(ResponseSLA[#All],(MATCH((G241),ResponseSLA[Priority],0))+1,3)),"YES","No")</f>
        <v>#N/A</v>
      </c>
      <c r="AI241" s="31" t="str">
        <f>_xlfn.IFNA(IF(AE241 &lt; (INDEX(SLATable[Minimum SLA],MATCH(G241,SLATable[Priority],0))),"YES","NO"),"")</f>
        <v/>
      </c>
      <c r="AJ241" t="str">
        <f>_xlfn.IFNA(IF(AE241 &lt; (INDEX(SLATable[Maximum SLA],MATCH(G241,SLATable[Priority],0))),"YES","NO"),"")</f>
        <v/>
      </c>
    </row>
    <row r="242" spans="26:36" ht="15" customHeight="1">
      <c r="Z242" s="76" t="e">
        <f t="shared" ca="1" si="20"/>
        <v>#N/A</v>
      </c>
      <c r="AA242" s="75" t="e">
        <f t="shared" ca="1" si="1"/>
        <v>#N/A</v>
      </c>
      <c r="AB242" s="76">
        <f t="shared" ca="1" si="21"/>
        <v>0</v>
      </c>
      <c r="AC242" s="75">
        <f t="shared" ca="1" si="3"/>
        <v>0</v>
      </c>
      <c r="AD242" s="76">
        <f t="shared" ca="1" si="22"/>
        <v>12388.425641550926</v>
      </c>
      <c r="AE242" s="76">
        <f t="shared" si="23"/>
        <v>0</v>
      </c>
      <c r="AF242" s="75">
        <f t="shared" si="6"/>
        <v>0</v>
      </c>
      <c r="AG242" s="75">
        <f t="shared" si="7"/>
        <v>0</v>
      </c>
      <c r="AH242" s="31" t="e" cm="1">
        <f t="array" aca="1" ref="AH242" ca="1">IF((AD242) &lt; (INDEX(ResponseSLA[#All],(MATCH((G242),ResponseSLA[Priority],0))+1,3)),"YES","No")</f>
        <v>#N/A</v>
      </c>
      <c r="AI242" s="31" t="str">
        <f>_xlfn.IFNA(IF(AE242 &lt; (INDEX(SLATable[Minimum SLA],MATCH(G242,SLATable[Priority],0))),"YES","NO"),"")</f>
        <v/>
      </c>
      <c r="AJ242" t="str">
        <f>_xlfn.IFNA(IF(AE242 &lt; (INDEX(SLATable[Maximum SLA],MATCH(G242,SLATable[Priority],0))),"YES","NO"),"")</f>
        <v/>
      </c>
    </row>
    <row r="243" spans="26:36" ht="15" customHeight="1">
      <c r="Z243" s="76" t="e">
        <f t="shared" ca="1" si="20"/>
        <v>#N/A</v>
      </c>
      <c r="AA243" s="75" t="e">
        <f t="shared" ca="1" si="1"/>
        <v>#N/A</v>
      </c>
      <c r="AB243" s="76">
        <f t="shared" ca="1" si="21"/>
        <v>0</v>
      </c>
      <c r="AC243" s="75">
        <f t="shared" ca="1" si="3"/>
        <v>0</v>
      </c>
      <c r="AD243" s="76">
        <f t="shared" ca="1" si="22"/>
        <v>12388.425641550926</v>
      </c>
      <c r="AE243" s="76">
        <f t="shared" si="23"/>
        <v>0</v>
      </c>
      <c r="AF243" s="75">
        <f t="shared" si="6"/>
        <v>0</v>
      </c>
      <c r="AG243" s="75">
        <f t="shared" si="7"/>
        <v>0</v>
      </c>
      <c r="AH243" s="31" t="e" cm="1">
        <f t="array" aca="1" ref="AH243" ca="1">IF((AD243) &lt; (INDEX(ResponseSLA[#All],(MATCH((G243),ResponseSLA[Priority],0))+1,3)),"YES","No")</f>
        <v>#N/A</v>
      </c>
      <c r="AI243" s="31" t="str">
        <f>_xlfn.IFNA(IF(AE243 &lt; (INDEX(SLATable[Minimum SLA],MATCH(G243,SLATable[Priority],0))),"YES","NO"),"")</f>
        <v/>
      </c>
      <c r="AJ243" t="str">
        <f>_xlfn.IFNA(IF(AE243 &lt; (INDEX(SLATable[Maximum SLA],MATCH(G243,SLATable[Priority],0))),"YES","NO"),"")</f>
        <v/>
      </c>
    </row>
    <row r="244" spans="26:36" ht="15" customHeight="1">
      <c r="Z244" s="76" t="e">
        <f t="shared" ca="1" si="20"/>
        <v>#N/A</v>
      </c>
      <c r="AA244" s="75" t="e">
        <f t="shared" ca="1" si="1"/>
        <v>#N/A</v>
      </c>
      <c r="AB244" s="76">
        <f t="shared" ca="1" si="21"/>
        <v>0</v>
      </c>
      <c r="AC244" s="75">
        <f t="shared" ca="1" si="3"/>
        <v>0</v>
      </c>
      <c r="AD244" s="76">
        <f t="shared" ca="1" si="22"/>
        <v>12388.425641782411</v>
      </c>
      <c r="AE244" s="76">
        <f t="shared" si="23"/>
        <v>0</v>
      </c>
      <c r="AF244" s="75">
        <f t="shared" si="6"/>
        <v>0</v>
      </c>
      <c r="AG244" s="75">
        <f t="shared" si="7"/>
        <v>0</v>
      </c>
      <c r="AH244" s="31" t="e" cm="1">
        <f t="array" aca="1" ref="AH244" ca="1">IF((AD244) &lt; (INDEX(ResponseSLA[#All],(MATCH((G244),ResponseSLA[Priority],0))+1,3)),"YES","No")</f>
        <v>#N/A</v>
      </c>
      <c r="AI244" s="31" t="str">
        <f>_xlfn.IFNA(IF(AE244 &lt; (INDEX(SLATable[Minimum SLA],MATCH(G244,SLATable[Priority],0))),"YES","NO"),"")</f>
        <v/>
      </c>
      <c r="AJ244" t="str">
        <f>_xlfn.IFNA(IF(AE244 &lt; (INDEX(SLATable[Maximum SLA],MATCH(G244,SLATable[Priority],0))),"YES","NO"),"")</f>
        <v/>
      </c>
    </row>
    <row r="245" spans="26:36" ht="15" customHeight="1">
      <c r="Z245" s="76" t="e">
        <f t="shared" ca="1" si="20"/>
        <v>#N/A</v>
      </c>
      <c r="AA245" s="75" t="e">
        <f t="shared" ca="1" si="1"/>
        <v>#N/A</v>
      </c>
      <c r="AB245" s="76">
        <f t="shared" ca="1" si="21"/>
        <v>0</v>
      </c>
      <c r="AC245" s="75">
        <f t="shared" ca="1" si="3"/>
        <v>0</v>
      </c>
      <c r="AD245" s="76">
        <f t="shared" ca="1" si="22"/>
        <v>12388.425641550926</v>
      </c>
      <c r="AE245" s="76">
        <f t="shared" si="23"/>
        <v>0</v>
      </c>
      <c r="AF245" s="75">
        <f t="shared" si="6"/>
        <v>0</v>
      </c>
      <c r="AG245" s="75">
        <f t="shared" si="7"/>
        <v>0</v>
      </c>
      <c r="AH245" s="31" t="e" cm="1">
        <f t="array" aca="1" ref="AH245" ca="1">IF((AD245) &lt; (INDEX(ResponseSLA[#All],(MATCH((G245),ResponseSLA[Priority],0))+1,3)),"YES","No")</f>
        <v>#N/A</v>
      </c>
      <c r="AI245" s="31" t="str">
        <f>_xlfn.IFNA(IF(AE245 &lt; (INDEX(SLATable[Minimum SLA],MATCH(G245,SLATable[Priority],0))),"YES","NO"),"")</f>
        <v/>
      </c>
      <c r="AJ245" t="str">
        <f>_xlfn.IFNA(IF(AE245 &lt; (INDEX(SLATable[Maximum SLA],MATCH(G245,SLATable[Priority],0))),"YES","NO"),"")</f>
        <v/>
      </c>
    </row>
    <row r="246" spans="26:36" ht="15" customHeight="1">
      <c r="Z246" s="76" t="e">
        <f t="shared" ca="1" si="20"/>
        <v>#N/A</v>
      </c>
      <c r="AA246" s="75" t="e">
        <f t="shared" ca="1" si="1"/>
        <v>#N/A</v>
      </c>
      <c r="AB246" s="76">
        <f t="shared" ca="1" si="21"/>
        <v>0</v>
      </c>
      <c r="AC246" s="75">
        <f t="shared" ca="1" si="3"/>
        <v>0</v>
      </c>
      <c r="AD246" s="76">
        <f t="shared" ca="1" si="22"/>
        <v>12388.425641550926</v>
      </c>
      <c r="AE246" s="76">
        <f t="shared" si="23"/>
        <v>0</v>
      </c>
      <c r="AF246" s="75">
        <f t="shared" si="6"/>
        <v>0</v>
      </c>
      <c r="AG246" s="75">
        <f t="shared" si="7"/>
        <v>0</v>
      </c>
      <c r="AH246" s="31" t="e" cm="1">
        <f t="array" aca="1" ref="AH246" ca="1">IF((AD246) &lt; (INDEX(ResponseSLA[#All],(MATCH((G246),ResponseSLA[Priority],0))+1,3)),"YES","No")</f>
        <v>#N/A</v>
      </c>
      <c r="AI246" s="31" t="str">
        <f>_xlfn.IFNA(IF(AE246 &lt; (INDEX(SLATable[Minimum SLA],MATCH(G246,SLATable[Priority],0))),"YES","NO"),"")</f>
        <v/>
      </c>
      <c r="AJ246" t="str">
        <f>_xlfn.IFNA(IF(AE246 &lt; (INDEX(SLATable[Maximum SLA],MATCH(G246,SLATable[Priority],0))),"YES","NO"),"")</f>
        <v/>
      </c>
    </row>
    <row r="247" spans="26:36" ht="15" customHeight="1">
      <c r="Z247" s="76" t="e">
        <f t="shared" ca="1" si="20"/>
        <v>#N/A</v>
      </c>
      <c r="AA247" s="75" t="e">
        <f t="shared" ca="1" si="1"/>
        <v>#N/A</v>
      </c>
      <c r="AB247" s="76">
        <f t="shared" ca="1" si="21"/>
        <v>0</v>
      </c>
      <c r="AC247" s="75">
        <f t="shared" ca="1" si="3"/>
        <v>0</v>
      </c>
      <c r="AD247" s="76">
        <f t="shared" ca="1" si="22"/>
        <v>12388.425641782411</v>
      </c>
      <c r="AE247" s="76">
        <f t="shared" si="23"/>
        <v>0</v>
      </c>
      <c r="AF247" s="75">
        <f t="shared" si="6"/>
        <v>0</v>
      </c>
      <c r="AG247" s="75">
        <f t="shared" si="7"/>
        <v>0</v>
      </c>
      <c r="AH247" s="31" t="e" cm="1">
        <f t="array" aca="1" ref="AH247" ca="1">IF((AD247) &lt; (INDEX(ResponseSLA[#All],(MATCH((G247),ResponseSLA[Priority],0))+1,3)),"YES","No")</f>
        <v>#N/A</v>
      </c>
      <c r="AI247" s="31" t="str">
        <f>_xlfn.IFNA(IF(AE247 &lt; (INDEX(SLATable[Minimum SLA],MATCH(G247,SLATable[Priority],0))),"YES","NO"),"")</f>
        <v/>
      </c>
      <c r="AJ247" t="str">
        <f>_xlfn.IFNA(IF(AE247 &lt; (INDEX(SLATable[Maximum SLA],MATCH(G247,SLATable[Priority],0))),"YES","NO"),"")</f>
        <v/>
      </c>
    </row>
    <row r="248" spans="26:36" ht="15" customHeight="1">
      <c r="Z248" s="76" t="e">
        <f t="shared" ca="1" si="20"/>
        <v>#N/A</v>
      </c>
      <c r="AA248" s="75" t="e">
        <f t="shared" ca="1" si="1"/>
        <v>#N/A</v>
      </c>
      <c r="AB248" s="76">
        <f t="shared" ca="1" si="21"/>
        <v>0</v>
      </c>
      <c r="AC248" s="75">
        <f t="shared" ca="1" si="3"/>
        <v>0</v>
      </c>
      <c r="AD248" s="76">
        <f t="shared" ca="1" si="22"/>
        <v>12388.425641550926</v>
      </c>
      <c r="AE248" s="76">
        <f t="shared" si="23"/>
        <v>0</v>
      </c>
      <c r="AF248" s="75">
        <f t="shared" si="6"/>
        <v>0</v>
      </c>
      <c r="AG248" s="75">
        <f t="shared" si="7"/>
        <v>0</v>
      </c>
      <c r="AH248" s="31" t="e" cm="1">
        <f t="array" aca="1" ref="AH248" ca="1">IF((AD248) &lt; (INDEX(ResponseSLA[#All],(MATCH((G248),ResponseSLA[Priority],0))+1,3)),"YES","No")</f>
        <v>#N/A</v>
      </c>
      <c r="AI248" s="31" t="str">
        <f>_xlfn.IFNA(IF(AE248 &lt; (INDEX(SLATable[Minimum SLA],MATCH(G248,SLATable[Priority],0))),"YES","NO"),"")</f>
        <v/>
      </c>
      <c r="AJ248" t="str">
        <f>_xlfn.IFNA(IF(AE248 &lt; (INDEX(SLATable[Maximum SLA],MATCH(G248,SLATable[Priority],0))),"YES","NO"),"")</f>
        <v/>
      </c>
    </row>
    <row r="249" spans="26:36" ht="15" customHeight="1">
      <c r="Z249" s="76" t="e">
        <f t="shared" ca="1" si="20"/>
        <v>#N/A</v>
      </c>
      <c r="AA249" s="75" t="e">
        <f t="shared" ca="1" si="1"/>
        <v>#N/A</v>
      </c>
      <c r="AB249" s="76">
        <f t="shared" ca="1" si="21"/>
        <v>0</v>
      </c>
      <c r="AC249" s="75">
        <f t="shared" ca="1" si="3"/>
        <v>0</v>
      </c>
      <c r="AD249" s="76">
        <f t="shared" ca="1" si="22"/>
        <v>12388.425641550926</v>
      </c>
      <c r="AE249" s="76">
        <f t="shared" si="23"/>
        <v>0</v>
      </c>
      <c r="AF249" s="75">
        <f t="shared" si="6"/>
        <v>0</v>
      </c>
      <c r="AG249" s="75">
        <f t="shared" si="7"/>
        <v>0</v>
      </c>
      <c r="AH249" s="31" t="e" cm="1">
        <f t="array" aca="1" ref="AH249" ca="1">IF((AD249) &lt; (INDEX(ResponseSLA[#All],(MATCH((G249),ResponseSLA[Priority],0))+1,3)),"YES","No")</f>
        <v>#N/A</v>
      </c>
      <c r="AI249" s="31" t="str">
        <f>_xlfn.IFNA(IF(AE249 &lt; (INDEX(SLATable[Minimum SLA],MATCH(G249,SLATable[Priority],0))),"YES","NO"),"")</f>
        <v/>
      </c>
      <c r="AJ249" t="str">
        <f>_xlfn.IFNA(IF(AE249 &lt; (INDEX(SLATable[Maximum SLA],MATCH(G249,SLATable[Priority],0))),"YES","NO"),"")</f>
        <v/>
      </c>
    </row>
    <row r="250" spans="26:36" ht="15" customHeight="1">
      <c r="Z250" s="76" t="e">
        <f t="shared" ca="1" si="20"/>
        <v>#N/A</v>
      </c>
      <c r="AA250" s="75" t="e">
        <f t="shared" ca="1" si="1"/>
        <v>#N/A</v>
      </c>
      <c r="AB250" s="76">
        <f t="shared" ca="1" si="21"/>
        <v>0</v>
      </c>
      <c r="AC250" s="75">
        <f t="shared" ca="1" si="3"/>
        <v>0</v>
      </c>
      <c r="AD250" s="76">
        <f t="shared" ca="1" si="22"/>
        <v>12388.425641782411</v>
      </c>
      <c r="AE250" s="76">
        <f t="shared" si="23"/>
        <v>0</v>
      </c>
      <c r="AF250" s="75">
        <f t="shared" si="6"/>
        <v>0</v>
      </c>
      <c r="AG250" s="75">
        <f t="shared" si="7"/>
        <v>0</v>
      </c>
      <c r="AH250" s="31" t="e" cm="1">
        <f t="array" aca="1" ref="AH250" ca="1">IF((AD250) &lt; (INDEX(ResponseSLA[#All],(MATCH((G250),ResponseSLA[Priority],0))+1,3)),"YES","No")</f>
        <v>#N/A</v>
      </c>
      <c r="AI250" s="31" t="str">
        <f>_xlfn.IFNA(IF(AE250 &lt; (INDEX(SLATable[Minimum SLA],MATCH(G250,SLATable[Priority],0))),"YES","NO"),"")</f>
        <v/>
      </c>
      <c r="AJ250" t="str">
        <f>_xlfn.IFNA(IF(AE250 &lt; (INDEX(SLATable[Maximum SLA],MATCH(G250,SLATable[Priority],0))),"YES","NO"),"")</f>
        <v/>
      </c>
    </row>
    <row r="251" spans="26:36" ht="15" customHeight="1">
      <c r="Z251" s="76" t="e">
        <f t="shared" ca="1" si="20"/>
        <v>#N/A</v>
      </c>
      <c r="AA251" s="75" t="e">
        <f t="shared" ca="1" si="1"/>
        <v>#N/A</v>
      </c>
      <c r="AB251" s="76">
        <f t="shared" ca="1" si="21"/>
        <v>0</v>
      </c>
      <c r="AC251" s="75">
        <f t="shared" ca="1" si="3"/>
        <v>0</v>
      </c>
      <c r="AD251" s="76">
        <f t="shared" ca="1" si="22"/>
        <v>12388.425641550926</v>
      </c>
      <c r="AE251" s="76">
        <f t="shared" si="23"/>
        <v>0</v>
      </c>
      <c r="AF251" s="75">
        <f t="shared" si="6"/>
        <v>0</v>
      </c>
      <c r="AG251" s="75">
        <f t="shared" si="7"/>
        <v>0</v>
      </c>
      <c r="AH251" s="31" t="e" cm="1">
        <f t="array" aca="1" ref="AH251" ca="1">IF((AD251) &lt; (INDEX(ResponseSLA[#All],(MATCH((G251),ResponseSLA[Priority],0))+1,3)),"YES","No")</f>
        <v>#N/A</v>
      </c>
      <c r="AI251" s="31" t="str">
        <f>_xlfn.IFNA(IF(AE251 &lt; (INDEX(SLATable[Minimum SLA],MATCH(G251,SLATable[Priority],0))),"YES","NO"),"")</f>
        <v/>
      </c>
      <c r="AJ251" t="str">
        <f>_xlfn.IFNA(IF(AE251 &lt; (INDEX(SLATable[Maximum SLA],MATCH(G251,SLATable[Priority],0))),"YES","NO"),"")</f>
        <v/>
      </c>
    </row>
    <row r="252" spans="26:36" ht="15" customHeight="1">
      <c r="Z252" s="76" t="e">
        <f t="shared" ca="1" si="20"/>
        <v>#N/A</v>
      </c>
      <c r="AA252" s="75" t="e">
        <f t="shared" ca="1" si="1"/>
        <v>#N/A</v>
      </c>
      <c r="AB252" s="76">
        <f t="shared" ca="1" si="21"/>
        <v>0</v>
      </c>
      <c r="AC252" s="75">
        <f t="shared" ca="1" si="3"/>
        <v>0</v>
      </c>
      <c r="AD252" s="76">
        <f t="shared" ca="1" si="22"/>
        <v>12388.425641550926</v>
      </c>
      <c r="AE252" s="76">
        <f t="shared" si="23"/>
        <v>0</v>
      </c>
      <c r="AF252" s="75">
        <f t="shared" si="6"/>
        <v>0</v>
      </c>
      <c r="AG252" s="75">
        <f t="shared" si="7"/>
        <v>0</v>
      </c>
      <c r="AH252" s="31" t="e" cm="1">
        <f t="array" aca="1" ref="AH252" ca="1">IF((AD252) &lt; (INDEX(ResponseSLA[#All],(MATCH((G252),ResponseSLA[Priority],0))+1,3)),"YES","No")</f>
        <v>#N/A</v>
      </c>
      <c r="AI252" s="31" t="str">
        <f>_xlfn.IFNA(IF(AE252 &lt; (INDEX(SLATable[Minimum SLA],MATCH(G252,SLATable[Priority],0))),"YES","NO"),"")</f>
        <v/>
      </c>
      <c r="AJ252" t="str">
        <f>_xlfn.IFNA(IF(AE252 &lt; (INDEX(SLATable[Maximum SLA],MATCH(G252,SLATable[Priority],0))),"YES","NO"),"")</f>
        <v/>
      </c>
    </row>
    <row r="253" spans="26:36" ht="15" customHeight="1">
      <c r="Z253" s="76" t="e">
        <f t="shared" ca="1" si="20"/>
        <v>#N/A</v>
      </c>
      <c r="AA253" s="75" t="e">
        <f t="shared" ca="1" si="1"/>
        <v>#N/A</v>
      </c>
      <c r="AB253" s="76">
        <f t="shared" ca="1" si="21"/>
        <v>0</v>
      </c>
      <c r="AC253" s="75">
        <f t="shared" ca="1" si="3"/>
        <v>0</v>
      </c>
      <c r="AD253" s="76">
        <f t="shared" ca="1" si="22"/>
        <v>12388.425641782411</v>
      </c>
      <c r="AE253" s="76">
        <f t="shared" si="23"/>
        <v>0</v>
      </c>
      <c r="AF253" s="75">
        <f t="shared" si="6"/>
        <v>0</v>
      </c>
      <c r="AG253" s="75">
        <f t="shared" si="7"/>
        <v>0</v>
      </c>
      <c r="AH253" s="31" t="e" cm="1">
        <f t="array" aca="1" ref="AH253" ca="1">IF((AD253) &lt; (INDEX(ResponseSLA[#All],(MATCH((G253),ResponseSLA[Priority],0))+1,3)),"YES","No")</f>
        <v>#N/A</v>
      </c>
      <c r="AI253" s="31" t="str">
        <f>_xlfn.IFNA(IF(AE253 &lt; (INDEX(SLATable[Minimum SLA],MATCH(G253,SLATable[Priority],0))),"YES","NO"),"")</f>
        <v/>
      </c>
      <c r="AJ253" t="str">
        <f>_xlfn.IFNA(IF(AE253 &lt; (INDEX(SLATable[Maximum SLA],MATCH(G253,SLATable[Priority],0))),"YES","NO"),"")</f>
        <v/>
      </c>
    </row>
    <row r="254" spans="26:36" ht="15" customHeight="1">
      <c r="Z254" s="76" t="e">
        <f t="shared" ca="1" si="20"/>
        <v>#N/A</v>
      </c>
      <c r="AA254" s="75" t="e">
        <f t="shared" ca="1" si="1"/>
        <v>#N/A</v>
      </c>
      <c r="AB254" s="76">
        <f t="shared" ca="1" si="21"/>
        <v>0</v>
      </c>
      <c r="AC254" s="75">
        <f t="shared" ca="1" si="3"/>
        <v>0</v>
      </c>
      <c r="AD254" s="76">
        <f t="shared" ca="1" si="22"/>
        <v>12388.425641550926</v>
      </c>
      <c r="AE254" s="76">
        <f t="shared" si="23"/>
        <v>0</v>
      </c>
      <c r="AF254" s="75">
        <f t="shared" si="6"/>
        <v>0</v>
      </c>
      <c r="AG254" s="75">
        <f t="shared" si="7"/>
        <v>0</v>
      </c>
      <c r="AH254" s="31" t="e" cm="1">
        <f t="array" aca="1" ref="AH254" ca="1">IF((AD254) &lt; (INDEX(ResponseSLA[#All],(MATCH((G254),ResponseSLA[Priority],0))+1,3)),"YES","No")</f>
        <v>#N/A</v>
      </c>
      <c r="AI254" s="31" t="str">
        <f>_xlfn.IFNA(IF(AE254 &lt; (INDEX(SLATable[Minimum SLA],MATCH(G254,SLATable[Priority],0))),"YES","NO"),"")</f>
        <v/>
      </c>
      <c r="AJ254" t="str">
        <f>_xlfn.IFNA(IF(AE254 &lt; (INDEX(SLATable[Maximum SLA],MATCH(G254,SLATable[Priority],0))),"YES","NO"),"")</f>
        <v/>
      </c>
    </row>
    <row r="255" spans="26:36" ht="15" customHeight="1">
      <c r="Z255" s="76" t="e">
        <f t="shared" ca="1" si="20"/>
        <v>#N/A</v>
      </c>
      <c r="AA255" s="75" t="e">
        <f t="shared" ca="1" si="1"/>
        <v>#N/A</v>
      </c>
      <c r="AB255" s="76">
        <f t="shared" ca="1" si="21"/>
        <v>0</v>
      </c>
      <c r="AC255" s="75">
        <f t="shared" ca="1" si="3"/>
        <v>0</v>
      </c>
      <c r="AD255" s="76">
        <f t="shared" ca="1" si="22"/>
        <v>12388.425641550926</v>
      </c>
      <c r="AE255" s="76">
        <f t="shared" si="23"/>
        <v>0</v>
      </c>
      <c r="AF255" s="75">
        <f t="shared" si="6"/>
        <v>0</v>
      </c>
      <c r="AG255" s="75">
        <f t="shared" si="7"/>
        <v>0</v>
      </c>
      <c r="AH255" s="31" t="e" cm="1">
        <f t="array" aca="1" ref="AH255" ca="1">IF((AD255) &lt; (INDEX(ResponseSLA[#All],(MATCH((G255),ResponseSLA[Priority],0))+1,3)),"YES","No")</f>
        <v>#N/A</v>
      </c>
      <c r="AI255" s="31" t="str">
        <f>_xlfn.IFNA(IF(AE255 &lt; (INDEX(SLATable[Minimum SLA],MATCH(G255,SLATable[Priority],0))),"YES","NO"),"")</f>
        <v/>
      </c>
      <c r="AJ255" t="str">
        <f>_xlfn.IFNA(IF(AE255 &lt; (INDEX(SLATable[Maximum SLA],MATCH(G255,SLATable[Priority],0))),"YES","NO"),"")</f>
        <v/>
      </c>
    </row>
    <row r="256" spans="26:36" ht="15" customHeight="1">
      <c r="Z256" s="76" t="e">
        <f t="shared" ca="1" si="20"/>
        <v>#N/A</v>
      </c>
      <c r="AA256" s="75" t="e">
        <f t="shared" ca="1" si="1"/>
        <v>#N/A</v>
      </c>
      <c r="AB256" s="76">
        <f t="shared" ca="1" si="21"/>
        <v>0</v>
      </c>
      <c r="AC256" s="75">
        <f t="shared" ca="1" si="3"/>
        <v>0</v>
      </c>
      <c r="AD256" s="76">
        <f t="shared" ca="1" si="22"/>
        <v>12388.425641782411</v>
      </c>
      <c r="AE256" s="76">
        <f t="shared" si="23"/>
        <v>0</v>
      </c>
      <c r="AF256" s="75">
        <f t="shared" si="6"/>
        <v>0</v>
      </c>
      <c r="AG256" s="75">
        <f t="shared" si="7"/>
        <v>0</v>
      </c>
      <c r="AH256" s="31" t="e" cm="1">
        <f t="array" aca="1" ref="AH256" ca="1">IF((AD256) &lt; (INDEX(ResponseSLA[#All],(MATCH((G256),ResponseSLA[Priority],0))+1,3)),"YES","No")</f>
        <v>#N/A</v>
      </c>
      <c r="AI256" s="31" t="str">
        <f>_xlfn.IFNA(IF(AE256 &lt; (INDEX(SLATable[Minimum SLA],MATCH(G256,SLATable[Priority],0))),"YES","NO"),"")</f>
        <v/>
      </c>
      <c r="AJ256" t="str">
        <f>_xlfn.IFNA(IF(AE256 &lt; (INDEX(SLATable[Maximum SLA],MATCH(G256,SLATable[Priority],0))),"YES","NO"),"")</f>
        <v/>
      </c>
    </row>
    <row r="257" spans="26:36" ht="15" customHeight="1">
      <c r="Z257" s="76" t="e">
        <f t="shared" ca="1" si="20"/>
        <v>#N/A</v>
      </c>
      <c r="AA257" s="75" t="e">
        <f t="shared" ref="AA257:AA320" ca="1" si="24">(Z257*24)/9</f>
        <v>#N/A</v>
      </c>
      <c r="AB257" s="76">
        <f t="shared" ca="1" si="21"/>
        <v>0</v>
      </c>
      <c r="AC257" s="75">
        <f t="shared" ref="AC257:AC320" ca="1" si="25">(AB257*24)/9</f>
        <v>0</v>
      </c>
      <c r="AD257" s="76">
        <f t="shared" ca="1" si="22"/>
        <v>12388.425641550926</v>
      </c>
      <c r="AE257" s="76">
        <f t="shared" si="23"/>
        <v>0</v>
      </c>
      <c r="AF257" s="75">
        <f t="shared" ref="AF257:AF320" si="26">(AE257*24)/9</f>
        <v>0</v>
      </c>
      <c r="AG257" s="75">
        <f t="shared" ref="AG257:AG320" si="27">AF257</f>
        <v>0</v>
      </c>
      <c r="AH257" s="31" t="e" cm="1">
        <f t="array" aca="1" ref="AH257" ca="1">IF((AD257) &lt; (INDEX(ResponseSLA[#All],(MATCH((G257),ResponseSLA[Priority],0))+1,3)),"YES","No")</f>
        <v>#N/A</v>
      </c>
      <c r="AI257" s="31" t="str">
        <f>_xlfn.IFNA(IF(AE257 &lt; (INDEX(SLATable[Minimum SLA],MATCH(G257,SLATable[Priority],0))),"YES","NO"),"")</f>
        <v/>
      </c>
      <c r="AJ257" t="str">
        <f>_xlfn.IFNA(IF(AE257 &lt; (INDEX(SLATable[Maximum SLA],MATCH(G257,SLATable[Priority],0))),"YES","NO"),"")</f>
        <v/>
      </c>
    </row>
    <row r="258" spans="26:36" ht="15" customHeight="1">
      <c r="Z258" s="76" t="e">
        <f t="shared" ca="1" si="20"/>
        <v>#N/A</v>
      </c>
      <c r="AA258" s="75" t="e">
        <f t="shared" ca="1" si="24"/>
        <v>#N/A</v>
      </c>
      <c r="AB258" s="76">
        <f t="shared" ca="1" si="21"/>
        <v>0</v>
      </c>
      <c r="AC258" s="75">
        <f t="shared" ca="1" si="25"/>
        <v>0</v>
      </c>
      <c r="AD258" s="76">
        <f t="shared" ca="1" si="22"/>
        <v>12388.425641550926</v>
      </c>
      <c r="AE258" s="76">
        <f t="shared" si="23"/>
        <v>0</v>
      </c>
      <c r="AF258" s="75">
        <f t="shared" si="26"/>
        <v>0</v>
      </c>
      <c r="AG258" s="75">
        <f t="shared" si="27"/>
        <v>0</v>
      </c>
      <c r="AH258" s="31" t="e" cm="1">
        <f t="array" aca="1" ref="AH258" ca="1">IF((AD258) &lt; (INDEX(ResponseSLA[#All],(MATCH((G258),ResponseSLA[Priority],0))+1,3)),"YES","No")</f>
        <v>#N/A</v>
      </c>
      <c r="AI258" s="31" t="str">
        <f>_xlfn.IFNA(IF(AE258 &lt; (INDEX(SLATable[Minimum SLA],MATCH(G258,SLATable[Priority],0))),"YES","NO"),"")</f>
        <v/>
      </c>
      <c r="AJ258" t="str">
        <f>_xlfn.IFNA(IF(AE258 &lt; (INDEX(SLATable[Maximum SLA],MATCH(G258,SLATable[Priority],0))),"YES","NO"),"")</f>
        <v/>
      </c>
    </row>
    <row r="259" spans="26:36" ht="15" customHeight="1">
      <c r="Z259" s="76" t="e">
        <f t="shared" ref="Z259:Z322" ca="1" si="28">IF(NOT(OR(G259=1,G259=2)),MAX(0,_xlfn.IFS(AND(K259&lt;&gt;"",N259&lt;&gt;""),((MAX(NETWORKDAYS(K259,N259,UKBankHolidays)-1,0))*(TIME(17,0,0)-TIME(8,0,0))+IF(NETWORKDAYS(N259,N259,UKBankHolidays)&gt;0,MEDIAN(TIME(8,0,0),MOD(N259,1),TIME(17,0,0)),TIME(8,0,0))-IF(NETWORKDAYS(K259,K259,UKBankHolidays)&gt;0,MEDIAN(TIME(8,0,0),MOD(K259,1),TIME(17,0,0)),TIME(8,0,0)))-IF(AND(O259&lt;&gt;"",P259&lt;&gt;""),((MAX(NETWORKDAYS(O259,P259,UKBankHolidays)-1,0))*(TIME(17,0,0)-TIME(8,0,0))+IF(NETWORKDAYS(P259,P259,UKBankHolidays)&gt;0,MEDIAN(TIME(8,0,0),MOD(P259,1),TIME(17,0,0)),TIME(8,0,0))-IF(NETWORKDAYS(O259,O259,UKBankHolidays)&gt;0,MEDIAN(TIME(8,0,0),MOD(O259,1),TIME(17,0,0)),TIME(8,0,0))),0),AND(K259&lt;&gt;"",N259=""),((MAX(NETWORKDAYS(K259,NOW(),UKBankHolidays)-1,0))*(TIME(17,0,0)-TIME(8,0,0))+IF(NETWORKDAYS(NOW(),NOW(),UKBankHolidays)&gt;0,MEDIAN(TIME(8,0,0),MOD(NOW(),1),TIME(17,0,0)),TIME(8,0,0))-IF(NETWORKDAYS(K259,K259,UKBankHolidays)&gt;0,MEDIAN(TIME(8,0,0),MOD(K259,1),TIME(17,0,0)),TIME(8,0,0))))),IF(N259="",NOW()-K259,N259-K259))</f>
        <v>#N/A</v>
      </c>
      <c r="AA259" s="75" t="e">
        <f t="shared" ca="1" si="24"/>
        <v>#N/A</v>
      </c>
      <c r="AB259" s="76">
        <f t="shared" ref="AB259:AB322" ca="1" si="29">IF(NOT(OR(G259=1,G259=2)),MAX(0,_xlfn.IFS(AND(K259&lt;&gt;"",N259&lt;&gt;""),(((MAX(NETWORKDAYS(L259,N259,UKBankHolidays)-1,0))*(TIME(17,0,0)-TIME(8,0,0)))+IF(NETWORKDAYS(N259,N259,UKBankHolidays)&gt;0,MEDIAN(TIME(8,0,0),MOD(N259,1),TIME(17,0,0)),TIME(8,0,0))-IF(NETWORKDAYS(L259,L259,UKBankHolidays)&gt;0,MEDIAN(TIME(8,0,0),MOD(L259,1),TIME(17,0,0)),TIME(8,0,0)))-IF(AND(O259&lt;&gt;"",P259&lt;&gt;""),(((MAX(NETWORKDAYS(O259,P259,UKBankHolidays)-1,0))*(TIME(17,0,0)-TIME(8,0,0)))+IF(NETWORKDAYS(P259,P259,UKBankHolidays)&gt;0,MEDIAN(TIME(8,0,0),MOD(P259,1),TIME(17,0,0)),TIME(8,0,0))-IF(NETWORKDAYS(O259,O259,UKBankHolidays)&gt;0,MEDIAN(TIME(8,0,0),MOD(O259,1),TIME(17,0,0)),TIME(8,0,0))),0),AND(L259&lt;&gt;"",N259="",O259=""),(((MAX(NETWORKDAYS(L259,NOW(),UKBankHolidays)-1,0))*(TIME(17,0,0)-TIME(8,0,0)))+IF(NETWORKDAYS(NOW(),NOW(),UKBankHolidays)&gt;0,MEDIAN(TIME(8,0,0),MOD(NOW(),1),TIME(17,0,0)),TIME(8,0,0))-IF(NETWORKDAYS(L259,L259,UKBankHolidays)&gt;0,MEDIAN(TIME(8,0,0),MOD(L259,1),TIME(17,0,0)),TIME(8,0,0)))-IF(AND(O259&lt;&gt;"",P259&lt;&gt;""),(((MAX(NETWORKDAYS(O259,P259,UKBankHolidays)-1,0))*(TIME(17,0,0)-TIME(8,0,0)))+IF(NETWORKDAYS(P259,P259,UKBankHolidays)&gt;0,MEDIAN(TIME(8,0,0),MOD(P259,1),TIME(17,0,0)),TIME(8,0,0))-IF(NETWORKDAYS(O259,O259,UKBankHolidays)&gt;0,MEDIAN(TIME(8,0,0),MOD(O259,1),TIME(17,0,0)),TIME(8,0,0))),0),AND(L259&lt;&gt;"",N259="",P259="",O259&lt;&gt;""),(((MAX(NETWORKDAYS(L259,O259,UKBankHolidays)-1,0))*(TIME(17,0,0)-TIME(8,0,0)))+IF(NETWORKDAYS(O259,O259,UKBankHolidays)&gt;0,MEDIAN(TIME(8,0,0),MOD(O259,1),TIME(17,0,0)),TIME(8,0,0))-IF(NETWORKDAYS(L259,L259,UKBankHolidays)&gt;0,MEDIAN(TIME(8,0,0),MOD(L259,1),TIME(17,0,0)),TIME(8,0,0))),ISBLANK(K259),"0")),IF(ISBLANK(N259),NOW()-L259,N259-L259))</f>
        <v>0</v>
      </c>
      <c r="AC259" s="75">
        <f t="shared" ca="1" si="25"/>
        <v>0</v>
      </c>
      <c r="AD259" s="76">
        <f t="shared" ref="AD259:AD322" ca="1" si="30">MAX(0,IF(NOT(OR(G259=1,G259=2)),IF(M259&lt;&gt;"",((MAX(NETWORKDAYS(L259,M259,UKBankHolidays)-1,0))*(TIME(17,0,0)-TIME(8,0,0))+IF(NETWORKDAYS(M259,M259,UKBankHolidays)&gt;0,MEDIAN(TIME(8,0,0),MOD(M259,1),TIME(17,0,0)),TIME(8,0,0))-MEDIAN(TIME(8,0,0),MOD(L259,1),TIME(17,0,0))),((MAX(NETWORKDAYS(L259,NOW(),UKBankHolidays)-1,0))*(TIME(17,0,0)-TIME(8,0,0))+IF(NETWORKDAYS(NOW(),NOW(),UKBankHolidays)&gt;0,MEDIAN(TIME(8,0,0),MOD(NOW(),1),TIME(17,0,0)),TIME(8,0,0))-MEDIAN(TIME(8,0,0),MOD(L259,1),TIME(17,0,0)))),IF(M259&lt;&gt;"",M259-L259,NOW()-L259)))</f>
        <v>12388.425641782411</v>
      </c>
      <c r="AE259" s="76">
        <f t="shared" ref="AE259:AE322" si="31">SUMIFS(AB:AB,E:E,E259)</f>
        <v>0</v>
      </c>
      <c r="AF259" s="75">
        <f t="shared" si="26"/>
        <v>0</v>
      </c>
      <c r="AG259" s="75">
        <f t="shared" si="27"/>
        <v>0</v>
      </c>
      <c r="AH259" s="31" t="e" cm="1">
        <f t="array" aca="1" ref="AH259" ca="1">IF((AD259) &lt; (INDEX(ResponseSLA[#All],(MATCH((G259),ResponseSLA[Priority],0))+1,3)),"YES","No")</f>
        <v>#N/A</v>
      </c>
      <c r="AI259" s="31" t="str">
        <f>_xlfn.IFNA(IF(AE259 &lt; (INDEX(SLATable[Minimum SLA],MATCH(G259,SLATable[Priority],0))),"YES","NO"),"")</f>
        <v/>
      </c>
      <c r="AJ259" t="str">
        <f>_xlfn.IFNA(IF(AE259 &lt; (INDEX(SLATable[Maximum SLA],MATCH(G259,SLATable[Priority],0))),"YES","NO"),"")</f>
        <v/>
      </c>
    </row>
    <row r="260" spans="26:36" ht="15" customHeight="1">
      <c r="Z260" s="76" t="e">
        <f t="shared" ca="1" si="28"/>
        <v>#N/A</v>
      </c>
      <c r="AA260" s="75" t="e">
        <f t="shared" ca="1" si="24"/>
        <v>#N/A</v>
      </c>
      <c r="AB260" s="76">
        <f t="shared" ca="1" si="29"/>
        <v>0</v>
      </c>
      <c r="AC260" s="75">
        <f t="shared" ca="1" si="25"/>
        <v>0</v>
      </c>
      <c r="AD260" s="76">
        <f t="shared" ca="1" si="30"/>
        <v>12388.425641550926</v>
      </c>
      <c r="AE260" s="76">
        <f t="shared" si="31"/>
        <v>0</v>
      </c>
      <c r="AF260" s="75">
        <f t="shared" si="26"/>
        <v>0</v>
      </c>
      <c r="AG260" s="75">
        <f t="shared" si="27"/>
        <v>0</v>
      </c>
      <c r="AH260" s="31" t="e" cm="1">
        <f t="array" aca="1" ref="AH260" ca="1">IF((AD260) &lt; (INDEX(ResponseSLA[#All],(MATCH((G260),ResponseSLA[Priority],0))+1,3)),"YES","No")</f>
        <v>#N/A</v>
      </c>
      <c r="AI260" s="31" t="str">
        <f>_xlfn.IFNA(IF(AE260 &lt; (INDEX(SLATable[Minimum SLA],MATCH(G260,SLATable[Priority],0))),"YES","NO"),"")</f>
        <v/>
      </c>
      <c r="AJ260" t="str">
        <f>_xlfn.IFNA(IF(AE260 &lt; (INDEX(SLATable[Maximum SLA],MATCH(G260,SLATable[Priority],0))),"YES","NO"),"")</f>
        <v/>
      </c>
    </row>
    <row r="261" spans="26:36" ht="15" customHeight="1">
      <c r="Z261" s="76" t="e">
        <f t="shared" ca="1" si="28"/>
        <v>#N/A</v>
      </c>
      <c r="AA261" s="75" t="e">
        <f t="shared" ca="1" si="24"/>
        <v>#N/A</v>
      </c>
      <c r="AB261" s="76">
        <f t="shared" ca="1" si="29"/>
        <v>0</v>
      </c>
      <c r="AC261" s="75">
        <f t="shared" ca="1" si="25"/>
        <v>0</v>
      </c>
      <c r="AD261" s="76">
        <f t="shared" ca="1" si="30"/>
        <v>12388.425641550926</v>
      </c>
      <c r="AE261" s="76">
        <f t="shared" si="31"/>
        <v>0</v>
      </c>
      <c r="AF261" s="75">
        <f t="shared" si="26"/>
        <v>0</v>
      </c>
      <c r="AG261" s="75">
        <f t="shared" si="27"/>
        <v>0</v>
      </c>
      <c r="AH261" s="31" t="e" cm="1">
        <f t="array" aca="1" ref="AH261" ca="1">IF((AD261) &lt; (INDEX(ResponseSLA[#All],(MATCH((G261),ResponseSLA[Priority],0))+1,3)),"YES","No")</f>
        <v>#N/A</v>
      </c>
      <c r="AI261" s="31" t="str">
        <f>_xlfn.IFNA(IF(AE261 &lt; (INDEX(SLATable[Minimum SLA],MATCH(G261,SLATable[Priority],0))),"YES","NO"),"")</f>
        <v/>
      </c>
      <c r="AJ261" t="str">
        <f>_xlfn.IFNA(IF(AE261 &lt; (INDEX(SLATable[Maximum SLA],MATCH(G261,SLATable[Priority],0))),"YES","NO"),"")</f>
        <v/>
      </c>
    </row>
    <row r="262" spans="26:36" ht="15" customHeight="1">
      <c r="Z262" s="76" t="e">
        <f t="shared" ca="1" si="28"/>
        <v>#N/A</v>
      </c>
      <c r="AA262" s="75" t="e">
        <f t="shared" ca="1" si="24"/>
        <v>#N/A</v>
      </c>
      <c r="AB262" s="76">
        <f t="shared" ca="1" si="29"/>
        <v>0</v>
      </c>
      <c r="AC262" s="75">
        <f t="shared" ca="1" si="25"/>
        <v>0</v>
      </c>
      <c r="AD262" s="76">
        <f t="shared" ca="1" si="30"/>
        <v>12388.425641782411</v>
      </c>
      <c r="AE262" s="76">
        <f t="shared" si="31"/>
        <v>0</v>
      </c>
      <c r="AF262" s="75">
        <f t="shared" si="26"/>
        <v>0</v>
      </c>
      <c r="AG262" s="75">
        <f t="shared" si="27"/>
        <v>0</v>
      </c>
      <c r="AH262" s="31" t="e" cm="1">
        <f t="array" aca="1" ref="AH262" ca="1">IF((AD262) &lt; (INDEX(ResponseSLA[#All],(MATCH((G262),ResponseSLA[Priority],0))+1,3)),"YES","No")</f>
        <v>#N/A</v>
      </c>
      <c r="AI262" s="31" t="str">
        <f>_xlfn.IFNA(IF(AE262 &lt; (INDEX(SLATable[Minimum SLA],MATCH(G262,SLATable[Priority],0))),"YES","NO"),"")</f>
        <v/>
      </c>
      <c r="AJ262" t="str">
        <f>_xlfn.IFNA(IF(AE262 &lt; (INDEX(SLATable[Maximum SLA],MATCH(G262,SLATable[Priority],0))),"YES","NO"),"")</f>
        <v/>
      </c>
    </row>
    <row r="263" spans="26:36" ht="15" customHeight="1">
      <c r="Z263" s="76" t="e">
        <f t="shared" ca="1" si="28"/>
        <v>#N/A</v>
      </c>
      <c r="AA263" s="75" t="e">
        <f t="shared" ca="1" si="24"/>
        <v>#N/A</v>
      </c>
      <c r="AB263" s="76">
        <f t="shared" ca="1" si="29"/>
        <v>0</v>
      </c>
      <c r="AC263" s="75">
        <f t="shared" ca="1" si="25"/>
        <v>0</v>
      </c>
      <c r="AD263" s="76">
        <f t="shared" ca="1" si="30"/>
        <v>12388.425641550926</v>
      </c>
      <c r="AE263" s="76">
        <f t="shared" si="31"/>
        <v>0</v>
      </c>
      <c r="AF263" s="75">
        <f t="shared" si="26"/>
        <v>0</v>
      </c>
      <c r="AG263" s="75">
        <f t="shared" si="27"/>
        <v>0</v>
      </c>
      <c r="AH263" s="31" t="e" cm="1">
        <f t="array" aca="1" ref="AH263" ca="1">IF((AD263) &lt; (INDEX(ResponseSLA[#All],(MATCH((G263),ResponseSLA[Priority],0))+1,3)),"YES","No")</f>
        <v>#N/A</v>
      </c>
      <c r="AI263" s="31" t="str">
        <f>_xlfn.IFNA(IF(AE263 &lt; (INDEX(SLATable[Minimum SLA],MATCH(G263,SLATable[Priority],0))),"YES","NO"),"")</f>
        <v/>
      </c>
      <c r="AJ263" t="str">
        <f>_xlfn.IFNA(IF(AE263 &lt; (INDEX(SLATable[Maximum SLA],MATCH(G263,SLATable[Priority],0))),"YES","NO"),"")</f>
        <v/>
      </c>
    </row>
    <row r="264" spans="26:36" ht="15" customHeight="1">
      <c r="Z264" s="76" t="e">
        <f t="shared" ca="1" si="28"/>
        <v>#N/A</v>
      </c>
      <c r="AA264" s="75" t="e">
        <f t="shared" ca="1" si="24"/>
        <v>#N/A</v>
      </c>
      <c r="AB264" s="76">
        <f t="shared" ca="1" si="29"/>
        <v>0</v>
      </c>
      <c r="AC264" s="75">
        <f t="shared" ca="1" si="25"/>
        <v>0</v>
      </c>
      <c r="AD264" s="76">
        <f t="shared" ca="1" si="30"/>
        <v>12388.425641550926</v>
      </c>
      <c r="AE264" s="76">
        <f t="shared" si="31"/>
        <v>0</v>
      </c>
      <c r="AF264" s="75">
        <f t="shared" si="26"/>
        <v>0</v>
      </c>
      <c r="AG264" s="75">
        <f t="shared" si="27"/>
        <v>0</v>
      </c>
      <c r="AH264" s="31" t="e" cm="1">
        <f t="array" aca="1" ref="AH264" ca="1">IF((AD264) &lt; (INDEX(ResponseSLA[#All],(MATCH((G264),ResponseSLA[Priority],0))+1,3)),"YES","No")</f>
        <v>#N/A</v>
      </c>
      <c r="AI264" s="31" t="str">
        <f>_xlfn.IFNA(IF(AE264 &lt; (INDEX(SLATable[Minimum SLA],MATCH(G264,SLATable[Priority],0))),"YES","NO"),"")</f>
        <v/>
      </c>
      <c r="AJ264" t="str">
        <f>_xlfn.IFNA(IF(AE264 &lt; (INDEX(SLATable[Maximum SLA],MATCH(G264,SLATable[Priority],0))),"YES","NO"),"")</f>
        <v/>
      </c>
    </row>
    <row r="265" spans="26:36" ht="15" customHeight="1">
      <c r="Z265" s="76" t="e">
        <f t="shared" ca="1" si="28"/>
        <v>#N/A</v>
      </c>
      <c r="AA265" s="75" t="e">
        <f t="shared" ca="1" si="24"/>
        <v>#N/A</v>
      </c>
      <c r="AB265" s="76">
        <f t="shared" ca="1" si="29"/>
        <v>0</v>
      </c>
      <c r="AC265" s="75">
        <f t="shared" ca="1" si="25"/>
        <v>0</v>
      </c>
      <c r="AD265" s="76">
        <f t="shared" ca="1" si="30"/>
        <v>12388.425641782411</v>
      </c>
      <c r="AE265" s="76">
        <f t="shared" si="31"/>
        <v>0</v>
      </c>
      <c r="AF265" s="75">
        <f t="shared" si="26"/>
        <v>0</v>
      </c>
      <c r="AG265" s="75">
        <f t="shared" si="27"/>
        <v>0</v>
      </c>
      <c r="AH265" s="31" t="e" cm="1">
        <f t="array" aca="1" ref="AH265" ca="1">IF((AD265) &lt; (INDEX(ResponseSLA[#All],(MATCH((G265),ResponseSLA[Priority],0))+1,3)),"YES","No")</f>
        <v>#N/A</v>
      </c>
      <c r="AI265" s="31" t="str">
        <f>_xlfn.IFNA(IF(AE265 &lt; (INDEX(SLATable[Minimum SLA],MATCH(G265,SLATable[Priority],0))),"YES","NO"),"")</f>
        <v/>
      </c>
      <c r="AJ265" t="str">
        <f>_xlfn.IFNA(IF(AE265 &lt; (INDEX(SLATable[Maximum SLA],MATCH(G265,SLATable[Priority],0))),"YES","NO"),"")</f>
        <v/>
      </c>
    </row>
    <row r="266" spans="26:36" ht="15" customHeight="1">
      <c r="Z266" s="76" t="e">
        <f t="shared" ca="1" si="28"/>
        <v>#N/A</v>
      </c>
      <c r="AA266" s="75" t="e">
        <f t="shared" ca="1" si="24"/>
        <v>#N/A</v>
      </c>
      <c r="AB266" s="76">
        <f t="shared" ca="1" si="29"/>
        <v>0</v>
      </c>
      <c r="AC266" s="75">
        <f t="shared" ca="1" si="25"/>
        <v>0</v>
      </c>
      <c r="AD266" s="76">
        <f t="shared" ca="1" si="30"/>
        <v>12388.425641550926</v>
      </c>
      <c r="AE266" s="76">
        <f t="shared" si="31"/>
        <v>0</v>
      </c>
      <c r="AF266" s="75">
        <f t="shared" si="26"/>
        <v>0</v>
      </c>
      <c r="AG266" s="75">
        <f t="shared" si="27"/>
        <v>0</v>
      </c>
      <c r="AH266" s="31" t="e" cm="1">
        <f t="array" aca="1" ref="AH266" ca="1">IF((AD266) &lt; (INDEX(ResponseSLA[#All],(MATCH((G266),ResponseSLA[Priority],0))+1,3)),"YES","No")</f>
        <v>#N/A</v>
      </c>
      <c r="AI266" s="31" t="str">
        <f>_xlfn.IFNA(IF(AE266 &lt; (INDEX(SLATable[Minimum SLA],MATCH(G266,SLATable[Priority],0))),"YES","NO"),"")</f>
        <v/>
      </c>
      <c r="AJ266" t="str">
        <f>_xlfn.IFNA(IF(AE266 &lt; (INDEX(SLATable[Maximum SLA],MATCH(G266,SLATable[Priority],0))),"YES","NO"),"")</f>
        <v/>
      </c>
    </row>
    <row r="267" spans="26:36" ht="15" customHeight="1">
      <c r="Z267" s="76" t="e">
        <f t="shared" ca="1" si="28"/>
        <v>#N/A</v>
      </c>
      <c r="AA267" s="75" t="e">
        <f t="shared" ca="1" si="24"/>
        <v>#N/A</v>
      </c>
      <c r="AB267" s="76">
        <f t="shared" ca="1" si="29"/>
        <v>0</v>
      </c>
      <c r="AC267" s="75">
        <f t="shared" ca="1" si="25"/>
        <v>0</v>
      </c>
      <c r="AD267" s="76">
        <f t="shared" ca="1" si="30"/>
        <v>12388.425641550926</v>
      </c>
      <c r="AE267" s="76">
        <f t="shared" si="31"/>
        <v>0</v>
      </c>
      <c r="AF267" s="75">
        <f t="shared" si="26"/>
        <v>0</v>
      </c>
      <c r="AG267" s="75">
        <f t="shared" si="27"/>
        <v>0</v>
      </c>
      <c r="AH267" s="31" t="e" cm="1">
        <f t="array" aca="1" ref="AH267" ca="1">IF((AD267) &lt; (INDEX(ResponseSLA[#All],(MATCH((G267),ResponseSLA[Priority],0))+1,3)),"YES","No")</f>
        <v>#N/A</v>
      </c>
      <c r="AI267" s="31" t="str">
        <f>_xlfn.IFNA(IF(AE267 &lt; (INDEX(SLATable[Minimum SLA],MATCH(G267,SLATable[Priority],0))),"YES","NO"),"")</f>
        <v/>
      </c>
      <c r="AJ267" t="str">
        <f>_xlfn.IFNA(IF(AE267 &lt; (INDEX(SLATable[Maximum SLA],MATCH(G267,SLATable[Priority],0))),"YES","NO"),"")</f>
        <v/>
      </c>
    </row>
    <row r="268" spans="26:36" ht="15" customHeight="1">
      <c r="Z268" s="76" t="e">
        <f t="shared" ca="1" si="28"/>
        <v>#N/A</v>
      </c>
      <c r="AA268" s="75" t="e">
        <f t="shared" ca="1" si="24"/>
        <v>#N/A</v>
      </c>
      <c r="AB268" s="76">
        <f t="shared" ca="1" si="29"/>
        <v>0</v>
      </c>
      <c r="AC268" s="75">
        <f t="shared" ca="1" si="25"/>
        <v>0</v>
      </c>
      <c r="AD268" s="76">
        <f t="shared" ca="1" si="30"/>
        <v>12388.425641782411</v>
      </c>
      <c r="AE268" s="76">
        <f t="shared" si="31"/>
        <v>0</v>
      </c>
      <c r="AF268" s="75">
        <f t="shared" si="26"/>
        <v>0</v>
      </c>
      <c r="AG268" s="75">
        <f t="shared" si="27"/>
        <v>0</v>
      </c>
      <c r="AH268" s="31" t="e" cm="1">
        <f t="array" aca="1" ref="AH268" ca="1">IF((AD268) &lt; (INDEX(ResponseSLA[#All],(MATCH((G268),ResponseSLA[Priority],0))+1,3)),"YES","No")</f>
        <v>#N/A</v>
      </c>
      <c r="AI268" s="31" t="str">
        <f>_xlfn.IFNA(IF(AE268 &lt; (INDEX(SLATable[Minimum SLA],MATCH(G268,SLATable[Priority],0))),"YES","NO"),"")</f>
        <v/>
      </c>
      <c r="AJ268" t="str">
        <f>_xlfn.IFNA(IF(AE268 &lt; (INDEX(SLATable[Maximum SLA],MATCH(G268,SLATable[Priority],0))),"YES","NO"),"")</f>
        <v/>
      </c>
    </row>
    <row r="269" spans="26:36" ht="15" customHeight="1">
      <c r="Z269" s="76" t="e">
        <f t="shared" ca="1" si="28"/>
        <v>#N/A</v>
      </c>
      <c r="AA269" s="75" t="e">
        <f t="shared" ca="1" si="24"/>
        <v>#N/A</v>
      </c>
      <c r="AB269" s="76">
        <f t="shared" ca="1" si="29"/>
        <v>0</v>
      </c>
      <c r="AC269" s="75">
        <f t="shared" ca="1" si="25"/>
        <v>0</v>
      </c>
      <c r="AD269" s="76">
        <f t="shared" ca="1" si="30"/>
        <v>12388.425641550926</v>
      </c>
      <c r="AE269" s="76">
        <f t="shared" si="31"/>
        <v>0</v>
      </c>
      <c r="AF269" s="75">
        <f t="shared" si="26"/>
        <v>0</v>
      </c>
      <c r="AG269" s="75">
        <f t="shared" si="27"/>
        <v>0</v>
      </c>
      <c r="AH269" s="31" t="e" cm="1">
        <f t="array" aca="1" ref="AH269" ca="1">IF((AD269) &lt; (INDEX(ResponseSLA[#All],(MATCH((G269),ResponseSLA[Priority],0))+1,3)),"YES","No")</f>
        <v>#N/A</v>
      </c>
      <c r="AI269" s="31" t="str">
        <f>_xlfn.IFNA(IF(AE269 &lt; (INDEX(SLATable[Minimum SLA],MATCH(G269,SLATable[Priority],0))),"YES","NO"),"")</f>
        <v/>
      </c>
      <c r="AJ269" t="str">
        <f>_xlfn.IFNA(IF(AE269 &lt; (INDEX(SLATable[Maximum SLA],MATCH(G269,SLATable[Priority],0))),"YES","NO"),"")</f>
        <v/>
      </c>
    </row>
    <row r="270" spans="26:36" ht="15" customHeight="1">
      <c r="Z270" s="76" t="e">
        <f t="shared" ca="1" si="28"/>
        <v>#N/A</v>
      </c>
      <c r="AA270" s="75" t="e">
        <f t="shared" ca="1" si="24"/>
        <v>#N/A</v>
      </c>
      <c r="AB270" s="76">
        <f t="shared" ca="1" si="29"/>
        <v>0</v>
      </c>
      <c r="AC270" s="75">
        <f t="shared" ca="1" si="25"/>
        <v>0</v>
      </c>
      <c r="AD270" s="76">
        <f t="shared" ca="1" si="30"/>
        <v>12388.425641550926</v>
      </c>
      <c r="AE270" s="76">
        <f t="shared" si="31"/>
        <v>0</v>
      </c>
      <c r="AF270" s="75">
        <f t="shared" si="26"/>
        <v>0</v>
      </c>
      <c r="AG270" s="75">
        <f t="shared" si="27"/>
        <v>0</v>
      </c>
      <c r="AH270" s="31" t="e" cm="1">
        <f t="array" aca="1" ref="AH270" ca="1">IF((AD270) &lt; (INDEX(ResponseSLA[#All],(MATCH((G270),ResponseSLA[Priority],0))+1,3)),"YES","No")</f>
        <v>#N/A</v>
      </c>
      <c r="AI270" s="31" t="str">
        <f>_xlfn.IFNA(IF(AE270 &lt; (INDEX(SLATable[Minimum SLA],MATCH(G270,SLATable[Priority],0))),"YES","NO"),"")</f>
        <v/>
      </c>
      <c r="AJ270" t="str">
        <f>_xlfn.IFNA(IF(AE270 &lt; (INDEX(SLATable[Maximum SLA],MATCH(G270,SLATable[Priority],0))),"YES","NO"),"")</f>
        <v/>
      </c>
    </row>
    <row r="271" spans="26:36" ht="15" customHeight="1">
      <c r="Z271" s="76" t="e">
        <f t="shared" ca="1" si="28"/>
        <v>#N/A</v>
      </c>
      <c r="AA271" s="75" t="e">
        <f t="shared" ca="1" si="24"/>
        <v>#N/A</v>
      </c>
      <c r="AB271" s="76">
        <f t="shared" ca="1" si="29"/>
        <v>0</v>
      </c>
      <c r="AC271" s="75">
        <f t="shared" ca="1" si="25"/>
        <v>0</v>
      </c>
      <c r="AD271" s="76">
        <f t="shared" ca="1" si="30"/>
        <v>12388.425641782411</v>
      </c>
      <c r="AE271" s="76">
        <f t="shared" si="31"/>
        <v>0</v>
      </c>
      <c r="AF271" s="75">
        <f t="shared" si="26"/>
        <v>0</v>
      </c>
      <c r="AG271" s="75">
        <f t="shared" si="27"/>
        <v>0</v>
      </c>
      <c r="AH271" s="31" t="e" cm="1">
        <f t="array" aca="1" ref="AH271" ca="1">IF((AD271) &lt; (INDEX(ResponseSLA[#All],(MATCH((G271),ResponseSLA[Priority],0))+1,3)),"YES","No")</f>
        <v>#N/A</v>
      </c>
      <c r="AI271" s="31" t="str">
        <f>_xlfn.IFNA(IF(AE271 &lt; (INDEX(SLATable[Minimum SLA],MATCH(G271,SLATable[Priority],0))),"YES","NO"),"")</f>
        <v/>
      </c>
      <c r="AJ271" t="str">
        <f>_xlfn.IFNA(IF(AE271 &lt; (INDEX(SLATable[Maximum SLA],MATCH(G271,SLATable[Priority],0))),"YES","NO"),"")</f>
        <v/>
      </c>
    </row>
    <row r="272" spans="26:36" ht="15" customHeight="1">
      <c r="Z272" s="76" t="e">
        <f t="shared" ca="1" si="28"/>
        <v>#N/A</v>
      </c>
      <c r="AA272" s="75" t="e">
        <f t="shared" ca="1" si="24"/>
        <v>#N/A</v>
      </c>
      <c r="AB272" s="76">
        <f t="shared" ca="1" si="29"/>
        <v>0</v>
      </c>
      <c r="AC272" s="75">
        <f t="shared" ca="1" si="25"/>
        <v>0</v>
      </c>
      <c r="AD272" s="76">
        <f t="shared" ca="1" si="30"/>
        <v>12388.425641550926</v>
      </c>
      <c r="AE272" s="76">
        <f t="shared" si="31"/>
        <v>0</v>
      </c>
      <c r="AF272" s="75">
        <f t="shared" si="26"/>
        <v>0</v>
      </c>
      <c r="AG272" s="75">
        <f t="shared" si="27"/>
        <v>0</v>
      </c>
      <c r="AH272" s="31" t="e" cm="1">
        <f t="array" aca="1" ref="AH272" ca="1">IF((AD272) &lt; (INDEX(ResponseSLA[#All],(MATCH((G272),ResponseSLA[Priority],0))+1,3)),"YES","No")</f>
        <v>#N/A</v>
      </c>
      <c r="AI272" s="31" t="str">
        <f>_xlfn.IFNA(IF(AE272 &lt; (INDEX(SLATable[Minimum SLA],MATCH(G272,SLATable[Priority],0))),"YES","NO"),"")</f>
        <v/>
      </c>
      <c r="AJ272" t="str">
        <f>_xlfn.IFNA(IF(AE272 &lt; (INDEX(SLATable[Maximum SLA],MATCH(G272,SLATable[Priority],0))),"YES","NO"),"")</f>
        <v/>
      </c>
    </row>
    <row r="273" spans="26:36" ht="15" customHeight="1">
      <c r="Z273" s="76" t="e">
        <f t="shared" ca="1" si="28"/>
        <v>#N/A</v>
      </c>
      <c r="AA273" s="75" t="e">
        <f t="shared" ca="1" si="24"/>
        <v>#N/A</v>
      </c>
      <c r="AB273" s="76">
        <f t="shared" ca="1" si="29"/>
        <v>0</v>
      </c>
      <c r="AC273" s="75">
        <f t="shared" ca="1" si="25"/>
        <v>0</v>
      </c>
      <c r="AD273" s="76">
        <f t="shared" ca="1" si="30"/>
        <v>12388.425641550926</v>
      </c>
      <c r="AE273" s="76">
        <f t="shared" si="31"/>
        <v>0</v>
      </c>
      <c r="AF273" s="75">
        <f t="shared" si="26"/>
        <v>0</v>
      </c>
      <c r="AG273" s="75">
        <f t="shared" si="27"/>
        <v>0</v>
      </c>
      <c r="AH273" s="31" t="e" cm="1">
        <f t="array" aca="1" ref="AH273" ca="1">IF((AD273) &lt; (INDEX(ResponseSLA[#All],(MATCH((G273),ResponseSLA[Priority],0))+1,3)),"YES","No")</f>
        <v>#N/A</v>
      </c>
      <c r="AI273" s="31" t="str">
        <f>_xlfn.IFNA(IF(AE273 &lt; (INDEX(SLATable[Minimum SLA],MATCH(G273,SLATable[Priority],0))),"YES","NO"),"")</f>
        <v/>
      </c>
      <c r="AJ273" t="str">
        <f>_xlfn.IFNA(IF(AE273 &lt; (INDEX(SLATable[Maximum SLA],MATCH(G273,SLATable[Priority],0))),"YES","NO"),"")</f>
        <v/>
      </c>
    </row>
    <row r="274" spans="26:36" ht="15" customHeight="1">
      <c r="Z274" s="76" t="e">
        <f t="shared" ca="1" si="28"/>
        <v>#N/A</v>
      </c>
      <c r="AA274" s="75" t="e">
        <f t="shared" ca="1" si="24"/>
        <v>#N/A</v>
      </c>
      <c r="AB274" s="76">
        <f t="shared" ca="1" si="29"/>
        <v>0</v>
      </c>
      <c r="AC274" s="75">
        <f t="shared" ca="1" si="25"/>
        <v>0</v>
      </c>
      <c r="AD274" s="76">
        <f t="shared" ca="1" si="30"/>
        <v>12388.425641782411</v>
      </c>
      <c r="AE274" s="76">
        <f t="shared" si="31"/>
        <v>0</v>
      </c>
      <c r="AF274" s="75">
        <f t="shared" si="26"/>
        <v>0</v>
      </c>
      <c r="AG274" s="75">
        <f t="shared" si="27"/>
        <v>0</v>
      </c>
      <c r="AH274" s="31" t="e" cm="1">
        <f t="array" aca="1" ref="AH274" ca="1">IF((AD274) &lt; (INDEX(ResponseSLA[#All],(MATCH((G274),ResponseSLA[Priority],0))+1,3)),"YES","No")</f>
        <v>#N/A</v>
      </c>
      <c r="AI274" s="31" t="str">
        <f>_xlfn.IFNA(IF(AE274 &lt; (INDEX(SLATable[Minimum SLA],MATCH(G274,SLATable[Priority],0))),"YES","NO"),"")</f>
        <v/>
      </c>
      <c r="AJ274" t="str">
        <f>_xlfn.IFNA(IF(AE274 &lt; (INDEX(SLATable[Maximum SLA],MATCH(G274,SLATable[Priority],0))),"YES","NO"),"")</f>
        <v/>
      </c>
    </row>
    <row r="275" spans="26:36" ht="15" customHeight="1">
      <c r="Z275" s="76" t="e">
        <f t="shared" ca="1" si="28"/>
        <v>#N/A</v>
      </c>
      <c r="AA275" s="75" t="e">
        <f t="shared" ca="1" si="24"/>
        <v>#N/A</v>
      </c>
      <c r="AB275" s="76">
        <f t="shared" ca="1" si="29"/>
        <v>0</v>
      </c>
      <c r="AC275" s="75">
        <f t="shared" ca="1" si="25"/>
        <v>0</v>
      </c>
      <c r="AD275" s="76">
        <f t="shared" ca="1" si="30"/>
        <v>12388.425641550926</v>
      </c>
      <c r="AE275" s="76">
        <f t="shared" si="31"/>
        <v>0</v>
      </c>
      <c r="AF275" s="75">
        <f t="shared" si="26"/>
        <v>0</v>
      </c>
      <c r="AG275" s="75">
        <f t="shared" si="27"/>
        <v>0</v>
      </c>
      <c r="AH275" s="31" t="e" cm="1">
        <f t="array" aca="1" ref="AH275" ca="1">IF((AD275) &lt; (INDEX(ResponseSLA[#All],(MATCH((G275),ResponseSLA[Priority],0))+1,3)),"YES","No")</f>
        <v>#N/A</v>
      </c>
      <c r="AI275" s="31" t="str">
        <f>_xlfn.IFNA(IF(AE275 &lt; (INDEX(SLATable[Minimum SLA],MATCH(G275,SLATable[Priority],0))),"YES","NO"),"")</f>
        <v/>
      </c>
      <c r="AJ275" t="str">
        <f>_xlfn.IFNA(IF(AE275 &lt; (INDEX(SLATable[Maximum SLA],MATCH(G275,SLATable[Priority],0))),"YES","NO"),"")</f>
        <v/>
      </c>
    </row>
    <row r="276" spans="26:36" ht="15" customHeight="1">
      <c r="Z276" s="76" t="e">
        <f t="shared" ca="1" si="28"/>
        <v>#N/A</v>
      </c>
      <c r="AA276" s="75" t="e">
        <f t="shared" ca="1" si="24"/>
        <v>#N/A</v>
      </c>
      <c r="AB276" s="76">
        <f t="shared" ca="1" si="29"/>
        <v>0</v>
      </c>
      <c r="AC276" s="75">
        <f t="shared" ca="1" si="25"/>
        <v>0</v>
      </c>
      <c r="AD276" s="76">
        <f t="shared" ca="1" si="30"/>
        <v>12388.425641550926</v>
      </c>
      <c r="AE276" s="76">
        <f t="shared" si="31"/>
        <v>0</v>
      </c>
      <c r="AF276" s="75">
        <f t="shared" si="26"/>
        <v>0</v>
      </c>
      <c r="AG276" s="75">
        <f t="shared" si="27"/>
        <v>0</v>
      </c>
      <c r="AH276" s="31" t="e" cm="1">
        <f t="array" aca="1" ref="AH276" ca="1">IF((AD276) &lt; (INDEX(ResponseSLA[#All],(MATCH((G276),ResponseSLA[Priority],0))+1,3)),"YES","No")</f>
        <v>#N/A</v>
      </c>
      <c r="AI276" s="31" t="str">
        <f>_xlfn.IFNA(IF(AE276 &lt; (INDEX(SLATable[Minimum SLA],MATCH(G276,SLATable[Priority],0))),"YES","NO"),"")</f>
        <v/>
      </c>
      <c r="AJ276" t="str">
        <f>_xlfn.IFNA(IF(AE276 &lt; (INDEX(SLATable[Maximum SLA],MATCH(G276,SLATable[Priority],0))),"YES","NO"),"")</f>
        <v/>
      </c>
    </row>
    <row r="277" spans="26:36" ht="15" customHeight="1">
      <c r="Z277" s="76" t="e">
        <f t="shared" ca="1" si="28"/>
        <v>#N/A</v>
      </c>
      <c r="AA277" s="75" t="e">
        <f t="shared" ca="1" si="24"/>
        <v>#N/A</v>
      </c>
      <c r="AB277" s="76">
        <f t="shared" ca="1" si="29"/>
        <v>0</v>
      </c>
      <c r="AC277" s="75">
        <f t="shared" ca="1" si="25"/>
        <v>0</v>
      </c>
      <c r="AD277" s="76">
        <f t="shared" ca="1" si="30"/>
        <v>12388.425641782411</v>
      </c>
      <c r="AE277" s="76">
        <f t="shared" si="31"/>
        <v>0</v>
      </c>
      <c r="AF277" s="75">
        <f t="shared" si="26"/>
        <v>0</v>
      </c>
      <c r="AG277" s="75">
        <f t="shared" si="27"/>
        <v>0</v>
      </c>
      <c r="AH277" s="31" t="e" cm="1">
        <f t="array" aca="1" ref="AH277" ca="1">IF((AD277) &lt; (INDEX(ResponseSLA[#All],(MATCH((G277),ResponseSLA[Priority],0))+1,3)),"YES","No")</f>
        <v>#N/A</v>
      </c>
      <c r="AI277" s="31" t="str">
        <f>_xlfn.IFNA(IF(AE277 &lt; (INDEX(SLATable[Minimum SLA],MATCH(G277,SLATable[Priority],0))),"YES","NO"),"")</f>
        <v/>
      </c>
      <c r="AJ277" t="str">
        <f>_xlfn.IFNA(IF(AE277 &lt; (INDEX(SLATable[Maximum SLA],MATCH(G277,SLATable[Priority],0))),"YES","NO"),"")</f>
        <v/>
      </c>
    </row>
    <row r="278" spans="26:36" ht="15" customHeight="1">
      <c r="Z278" s="76" t="e">
        <f t="shared" ca="1" si="28"/>
        <v>#N/A</v>
      </c>
      <c r="AA278" s="75" t="e">
        <f t="shared" ca="1" si="24"/>
        <v>#N/A</v>
      </c>
      <c r="AB278" s="76">
        <f t="shared" ca="1" si="29"/>
        <v>0</v>
      </c>
      <c r="AC278" s="75">
        <f t="shared" ca="1" si="25"/>
        <v>0</v>
      </c>
      <c r="AD278" s="76">
        <f t="shared" ca="1" si="30"/>
        <v>12388.425641550926</v>
      </c>
      <c r="AE278" s="76">
        <f t="shared" si="31"/>
        <v>0</v>
      </c>
      <c r="AF278" s="75">
        <f t="shared" si="26"/>
        <v>0</v>
      </c>
      <c r="AG278" s="75">
        <f t="shared" si="27"/>
        <v>0</v>
      </c>
      <c r="AH278" s="31" t="e" cm="1">
        <f t="array" aca="1" ref="AH278" ca="1">IF((AD278) &lt; (INDEX(ResponseSLA[#All],(MATCH((G278),ResponseSLA[Priority],0))+1,3)),"YES","No")</f>
        <v>#N/A</v>
      </c>
      <c r="AI278" s="31" t="str">
        <f>_xlfn.IFNA(IF(AE278 &lt; (INDEX(SLATable[Minimum SLA],MATCH(G278,SLATable[Priority],0))),"YES","NO"),"")</f>
        <v/>
      </c>
      <c r="AJ278" t="str">
        <f>_xlfn.IFNA(IF(AE278 &lt; (INDEX(SLATable[Maximum SLA],MATCH(G278,SLATable[Priority],0))),"YES","NO"),"")</f>
        <v/>
      </c>
    </row>
    <row r="279" spans="26:36" ht="15" customHeight="1">
      <c r="Z279" s="76" t="e">
        <f t="shared" ca="1" si="28"/>
        <v>#N/A</v>
      </c>
      <c r="AA279" s="75" t="e">
        <f t="shared" ca="1" si="24"/>
        <v>#N/A</v>
      </c>
      <c r="AB279" s="76">
        <f t="shared" ca="1" si="29"/>
        <v>0</v>
      </c>
      <c r="AC279" s="75">
        <f t="shared" ca="1" si="25"/>
        <v>0</v>
      </c>
      <c r="AD279" s="76">
        <f t="shared" ca="1" si="30"/>
        <v>12388.425641550926</v>
      </c>
      <c r="AE279" s="76">
        <f t="shared" si="31"/>
        <v>0</v>
      </c>
      <c r="AF279" s="75">
        <f t="shared" si="26"/>
        <v>0</v>
      </c>
      <c r="AG279" s="75">
        <f t="shared" si="27"/>
        <v>0</v>
      </c>
      <c r="AH279" s="31" t="e" cm="1">
        <f t="array" aca="1" ref="AH279" ca="1">IF((AD279) &lt; (INDEX(ResponseSLA[#All],(MATCH((G279),ResponseSLA[Priority],0))+1,3)),"YES","No")</f>
        <v>#N/A</v>
      </c>
      <c r="AI279" s="31" t="str">
        <f>_xlfn.IFNA(IF(AE279 &lt; (INDEX(SLATable[Minimum SLA],MATCH(G279,SLATable[Priority],0))),"YES","NO"),"")</f>
        <v/>
      </c>
      <c r="AJ279" t="str">
        <f>_xlfn.IFNA(IF(AE279 &lt; (INDEX(SLATable[Maximum SLA],MATCH(G279,SLATable[Priority],0))),"YES","NO"),"")</f>
        <v/>
      </c>
    </row>
    <row r="280" spans="26:36" ht="15" customHeight="1">
      <c r="Z280" s="76" t="e">
        <f t="shared" ca="1" si="28"/>
        <v>#N/A</v>
      </c>
      <c r="AA280" s="75" t="e">
        <f t="shared" ca="1" si="24"/>
        <v>#N/A</v>
      </c>
      <c r="AB280" s="76">
        <f t="shared" ca="1" si="29"/>
        <v>0</v>
      </c>
      <c r="AC280" s="75">
        <f t="shared" ca="1" si="25"/>
        <v>0</v>
      </c>
      <c r="AD280" s="76">
        <f t="shared" ca="1" si="30"/>
        <v>12388.425641782411</v>
      </c>
      <c r="AE280" s="76">
        <f t="shared" si="31"/>
        <v>0</v>
      </c>
      <c r="AF280" s="75">
        <f t="shared" si="26"/>
        <v>0</v>
      </c>
      <c r="AG280" s="75">
        <f t="shared" si="27"/>
        <v>0</v>
      </c>
      <c r="AH280" s="31" t="e" cm="1">
        <f t="array" aca="1" ref="AH280" ca="1">IF((AD280) &lt; (INDEX(ResponseSLA[#All],(MATCH((G280),ResponseSLA[Priority],0))+1,3)),"YES","No")</f>
        <v>#N/A</v>
      </c>
      <c r="AI280" s="31" t="str">
        <f>_xlfn.IFNA(IF(AE280 &lt; (INDEX(SLATable[Minimum SLA],MATCH(G280,SLATable[Priority],0))),"YES","NO"),"")</f>
        <v/>
      </c>
      <c r="AJ280" t="str">
        <f>_xlfn.IFNA(IF(AE280 &lt; (INDEX(SLATable[Maximum SLA],MATCH(G280,SLATable[Priority],0))),"YES","NO"),"")</f>
        <v/>
      </c>
    </row>
    <row r="281" spans="26:36" ht="15" customHeight="1">
      <c r="Z281" s="76" t="e">
        <f t="shared" ca="1" si="28"/>
        <v>#N/A</v>
      </c>
      <c r="AA281" s="75" t="e">
        <f t="shared" ca="1" si="24"/>
        <v>#N/A</v>
      </c>
      <c r="AB281" s="76">
        <f t="shared" ca="1" si="29"/>
        <v>0</v>
      </c>
      <c r="AC281" s="75">
        <f t="shared" ca="1" si="25"/>
        <v>0</v>
      </c>
      <c r="AD281" s="76">
        <f t="shared" ca="1" si="30"/>
        <v>12388.425641550926</v>
      </c>
      <c r="AE281" s="76">
        <f t="shared" si="31"/>
        <v>0</v>
      </c>
      <c r="AF281" s="75">
        <f t="shared" si="26"/>
        <v>0</v>
      </c>
      <c r="AG281" s="75">
        <f t="shared" si="27"/>
        <v>0</v>
      </c>
      <c r="AH281" s="31" t="e" cm="1">
        <f t="array" aca="1" ref="AH281" ca="1">IF((AD281) &lt; (INDEX(ResponseSLA[#All],(MATCH((G281),ResponseSLA[Priority],0))+1,3)),"YES","No")</f>
        <v>#N/A</v>
      </c>
      <c r="AI281" s="31" t="str">
        <f>_xlfn.IFNA(IF(AE281 &lt; (INDEX(SLATable[Minimum SLA],MATCH(G281,SLATable[Priority],0))),"YES","NO"),"")</f>
        <v/>
      </c>
      <c r="AJ281" t="str">
        <f>_xlfn.IFNA(IF(AE281 &lt; (INDEX(SLATable[Maximum SLA],MATCH(G281,SLATable[Priority],0))),"YES","NO"),"")</f>
        <v/>
      </c>
    </row>
    <row r="282" spans="26:36" ht="15" customHeight="1">
      <c r="Z282" s="76" t="e">
        <f t="shared" ca="1" si="28"/>
        <v>#N/A</v>
      </c>
      <c r="AA282" s="75" t="e">
        <f t="shared" ca="1" si="24"/>
        <v>#N/A</v>
      </c>
      <c r="AB282" s="76">
        <f t="shared" ca="1" si="29"/>
        <v>0</v>
      </c>
      <c r="AC282" s="75">
        <f t="shared" ca="1" si="25"/>
        <v>0</v>
      </c>
      <c r="AD282" s="76">
        <f t="shared" ca="1" si="30"/>
        <v>12388.425641550926</v>
      </c>
      <c r="AE282" s="76">
        <f t="shared" si="31"/>
        <v>0</v>
      </c>
      <c r="AF282" s="75">
        <f t="shared" si="26"/>
        <v>0</v>
      </c>
      <c r="AG282" s="75">
        <f t="shared" si="27"/>
        <v>0</v>
      </c>
      <c r="AH282" s="31" t="e" cm="1">
        <f t="array" aca="1" ref="AH282" ca="1">IF((AD282) &lt; (INDEX(ResponseSLA[#All],(MATCH((G282),ResponseSLA[Priority],0))+1,3)),"YES","No")</f>
        <v>#N/A</v>
      </c>
      <c r="AI282" s="31" t="str">
        <f>_xlfn.IFNA(IF(AE282 &lt; (INDEX(SLATable[Minimum SLA],MATCH(G282,SLATable[Priority],0))),"YES","NO"),"")</f>
        <v/>
      </c>
      <c r="AJ282" t="str">
        <f>_xlfn.IFNA(IF(AE282 &lt; (INDEX(SLATable[Maximum SLA],MATCH(G282,SLATable[Priority],0))),"YES","NO"),"")</f>
        <v/>
      </c>
    </row>
    <row r="283" spans="26:36" ht="15" customHeight="1">
      <c r="Z283" s="76" t="e">
        <f t="shared" ca="1" si="28"/>
        <v>#N/A</v>
      </c>
      <c r="AA283" s="75" t="e">
        <f t="shared" ca="1" si="24"/>
        <v>#N/A</v>
      </c>
      <c r="AB283" s="76">
        <f t="shared" ca="1" si="29"/>
        <v>0</v>
      </c>
      <c r="AC283" s="75">
        <f t="shared" ca="1" si="25"/>
        <v>0</v>
      </c>
      <c r="AD283" s="76">
        <f t="shared" ca="1" si="30"/>
        <v>12388.425641782411</v>
      </c>
      <c r="AE283" s="76">
        <f t="shared" si="31"/>
        <v>0</v>
      </c>
      <c r="AF283" s="75">
        <f t="shared" si="26"/>
        <v>0</v>
      </c>
      <c r="AG283" s="75">
        <f t="shared" si="27"/>
        <v>0</v>
      </c>
      <c r="AH283" s="31" t="e" cm="1">
        <f t="array" aca="1" ref="AH283" ca="1">IF((AD283) &lt; (INDEX(ResponseSLA[#All],(MATCH((G283),ResponseSLA[Priority],0))+1,3)),"YES","No")</f>
        <v>#N/A</v>
      </c>
      <c r="AI283" s="31" t="str">
        <f>_xlfn.IFNA(IF(AE283 &lt; (INDEX(SLATable[Minimum SLA],MATCH(G283,SLATable[Priority],0))),"YES","NO"),"")</f>
        <v/>
      </c>
      <c r="AJ283" t="str">
        <f>_xlfn.IFNA(IF(AE283 &lt; (INDEX(SLATable[Maximum SLA],MATCH(G283,SLATable[Priority],0))),"YES","NO"),"")</f>
        <v/>
      </c>
    </row>
    <row r="284" spans="26:36" ht="15" customHeight="1">
      <c r="Z284" s="76" t="e">
        <f t="shared" ca="1" si="28"/>
        <v>#N/A</v>
      </c>
      <c r="AA284" s="75" t="e">
        <f t="shared" ca="1" si="24"/>
        <v>#N/A</v>
      </c>
      <c r="AB284" s="76">
        <f t="shared" ca="1" si="29"/>
        <v>0</v>
      </c>
      <c r="AC284" s="75">
        <f t="shared" ca="1" si="25"/>
        <v>0</v>
      </c>
      <c r="AD284" s="76">
        <f t="shared" ca="1" si="30"/>
        <v>12388.425641550926</v>
      </c>
      <c r="AE284" s="76">
        <f t="shared" si="31"/>
        <v>0</v>
      </c>
      <c r="AF284" s="75">
        <f t="shared" si="26"/>
        <v>0</v>
      </c>
      <c r="AG284" s="75">
        <f t="shared" si="27"/>
        <v>0</v>
      </c>
      <c r="AH284" s="31" t="e" cm="1">
        <f t="array" aca="1" ref="AH284" ca="1">IF((AD284) &lt; (INDEX(ResponseSLA[#All],(MATCH((G284),ResponseSLA[Priority],0))+1,3)),"YES","No")</f>
        <v>#N/A</v>
      </c>
      <c r="AI284" s="31" t="str">
        <f>_xlfn.IFNA(IF(AE284 &lt; (INDEX(SLATable[Minimum SLA],MATCH(G284,SLATable[Priority],0))),"YES","NO"),"")</f>
        <v/>
      </c>
      <c r="AJ284" t="str">
        <f>_xlfn.IFNA(IF(AE284 &lt; (INDEX(SLATable[Maximum SLA],MATCH(G284,SLATable[Priority],0))),"YES","NO"),"")</f>
        <v/>
      </c>
    </row>
    <row r="285" spans="26:36" ht="15" customHeight="1">
      <c r="Z285" s="76" t="e">
        <f t="shared" ca="1" si="28"/>
        <v>#N/A</v>
      </c>
      <c r="AA285" s="75" t="e">
        <f t="shared" ca="1" si="24"/>
        <v>#N/A</v>
      </c>
      <c r="AB285" s="76">
        <f t="shared" ca="1" si="29"/>
        <v>0</v>
      </c>
      <c r="AC285" s="75">
        <f t="shared" ca="1" si="25"/>
        <v>0</v>
      </c>
      <c r="AD285" s="76">
        <f t="shared" ca="1" si="30"/>
        <v>12388.425641550926</v>
      </c>
      <c r="AE285" s="76">
        <f t="shared" si="31"/>
        <v>0</v>
      </c>
      <c r="AF285" s="75">
        <f t="shared" si="26"/>
        <v>0</v>
      </c>
      <c r="AG285" s="75">
        <f t="shared" si="27"/>
        <v>0</v>
      </c>
      <c r="AH285" s="31" t="e" cm="1">
        <f t="array" aca="1" ref="AH285" ca="1">IF((AD285) &lt; (INDEX(ResponseSLA[#All],(MATCH((G285),ResponseSLA[Priority],0))+1,3)),"YES","No")</f>
        <v>#N/A</v>
      </c>
      <c r="AI285" s="31" t="str">
        <f>_xlfn.IFNA(IF(AE285 &lt; (INDEX(SLATable[Minimum SLA],MATCH(G285,SLATable[Priority],0))),"YES","NO"),"")</f>
        <v/>
      </c>
      <c r="AJ285" t="str">
        <f>_xlfn.IFNA(IF(AE285 &lt; (INDEX(SLATable[Maximum SLA],MATCH(G285,SLATable[Priority],0))),"YES","NO"),"")</f>
        <v/>
      </c>
    </row>
    <row r="286" spans="26:36" ht="15" customHeight="1">
      <c r="Z286" s="76" t="e">
        <f t="shared" ca="1" si="28"/>
        <v>#N/A</v>
      </c>
      <c r="AA286" s="75" t="e">
        <f t="shared" ca="1" si="24"/>
        <v>#N/A</v>
      </c>
      <c r="AB286" s="76">
        <f t="shared" ca="1" si="29"/>
        <v>0</v>
      </c>
      <c r="AC286" s="75">
        <f t="shared" ca="1" si="25"/>
        <v>0</v>
      </c>
      <c r="AD286" s="76">
        <f t="shared" ca="1" si="30"/>
        <v>12388.425641782411</v>
      </c>
      <c r="AE286" s="76">
        <f t="shared" si="31"/>
        <v>0</v>
      </c>
      <c r="AF286" s="75">
        <f t="shared" si="26"/>
        <v>0</v>
      </c>
      <c r="AG286" s="75">
        <f t="shared" si="27"/>
        <v>0</v>
      </c>
      <c r="AH286" s="31" t="e" cm="1">
        <f t="array" aca="1" ref="AH286" ca="1">IF((AD286) &lt; (INDEX(ResponseSLA[#All],(MATCH((G286),ResponseSLA[Priority],0))+1,3)),"YES","No")</f>
        <v>#N/A</v>
      </c>
      <c r="AI286" s="31" t="str">
        <f>_xlfn.IFNA(IF(AE286 &lt; (INDEX(SLATable[Minimum SLA],MATCH(G286,SLATable[Priority],0))),"YES","NO"),"")</f>
        <v/>
      </c>
      <c r="AJ286" t="str">
        <f>_xlfn.IFNA(IF(AE286 &lt; (INDEX(SLATable[Maximum SLA],MATCH(G286,SLATable[Priority],0))),"YES","NO"),"")</f>
        <v/>
      </c>
    </row>
    <row r="287" spans="26:36" ht="15" customHeight="1">
      <c r="Z287" s="76" t="e">
        <f t="shared" ca="1" si="28"/>
        <v>#N/A</v>
      </c>
      <c r="AA287" s="75" t="e">
        <f t="shared" ca="1" si="24"/>
        <v>#N/A</v>
      </c>
      <c r="AB287" s="76">
        <f t="shared" ca="1" si="29"/>
        <v>0</v>
      </c>
      <c r="AC287" s="75">
        <f t="shared" ca="1" si="25"/>
        <v>0</v>
      </c>
      <c r="AD287" s="76">
        <f t="shared" ca="1" si="30"/>
        <v>12388.425641550926</v>
      </c>
      <c r="AE287" s="76">
        <f t="shared" si="31"/>
        <v>0</v>
      </c>
      <c r="AF287" s="75">
        <f t="shared" si="26"/>
        <v>0</v>
      </c>
      <c r="AG287" s="75">
        <f t="shared" si="27"/>
        <v>0</v>
      </c>
      <c r="AH287" s="31" t="e" cm="1">
        <f t="array" aca="1" ref="AH287" ca="1">IF((AD287) &lt; (INDEX(ResponseSLA[#All],(MATCH((G287),ResponseSLA[Priority],0))+1,3)),"YES","No")</f>
        <v>#N/A</v>
      </c>
      <c r="AI287" s="31" t="str">
        <f>_xlfn.IFNA(IF(AE287 &lt; (INDEX(SLATable[Minimum SLA],MATCH(G287,SLATable[Priority],0))),"YES","NO"),"")</f>
        <v/>
      </c>
      <c r="AJ287" t="str">
        <f>_xlfn.IFNA(IF(AE287 &lt; (INDEX(SLATable[Maximum SLA],MATCH(G287,SLATable[Priority],0))),"YES","NO"),"")</f>
        <v/>
      </c>
    </row>
    <row r="288" spans="26:36" ht="15" customHeight="1">
      <c r="Z288" s="76" t="e">
        <f t="shared" ca="1" si="28"/>
        <v>#N/A</v>
      </c>
      <c r="AA288" s="75" t="e">
        <f t="shared" ca="1" si="24"/>
        <v>#N/A</v>
      </c>
      <c r="AB288" s="76">
        <f t="shared" ca="1" si="29"/>
        <v>0</v>
      </c>
      <c r="AC288" s="75">
        <f t="shared" ca="1" si="25"/>
        <v>0</v>
      </c>
      <c r="AD288" s="76">
        <f t="shared" ca="1" si="30"/>
        <v>12388.425641550926</v>
      </c>
      <c r="AE288" s="76">
        <f t="shared" si="31"/>
        <v>0</v>
      </c>
      <c r="AF288" s="75">
        <f t="shared" si="26"/>
        <v>0</v>
      </c>
      <c r="AG288" s="75">
        <f t="shared" si="27"/>
        <v>0</v>
      </c>
      <c r="AH288" s="31" t="e" cm="1">
        <f t="array" aca="1" ref="AH288" ca="1">IF((AD288) &lt; (INDEX(ResponseSLA[#All],(MATCH((G288),ResponseSLA[Priority],0))+1,3)),"YES","No")</f>
        <v>#N/A</v>
      </c>
      <c r="AI288" s="31" t="str">
        <f>_xlfn.IFNA(IF(AE288 &lt; (INDEX(SLATable[Minimum SLA],MATCH(G288,SLATable[Priority],0))),"YES","NO"),"")</f>
        <v/>
      </c>
      <c r="AJ288" t="str">
        <f>_xlfn.IFNA(IF(AE288 &lt; (INDEX(SLATable[Maximum SLA],MATCH(G288,SLATable[Priority],0))),"YES","NO"),"")</f>
        <v/>
      </c>
    </row>
    <row r="289" spans="26:36" ht="15" customHeight="1">
      <c r="Z289" s="76" t="e">
        <f t="shared" ca="1" si="28"/>
        <v>#N/A</v>
      </c>
      <c r="AA289" s="75" t="e">
        <f t="shared" ca="1" si="24"/>
        <v>#N/A</v>
      </c>
      <c r="AB289" s="76">
        <f t="shared" ca="1" si="29"/>
        <v>0</v>
      </c>
      <c r="AC289" s="75">
        <f t="shared" ca="1" si="25"/>
        <v>0</v>
      </c>
      <c r="AD289" s="76">
        <f t="shared" ca="1" si="30"/>
        <v>12388.425641782411</v>
      </c>
      <c r="AE289" s="76">
        <f t="shared" si="31"/>
        <v>0</v>
      </c>
      <c r="AF289" s="75">
        <f t="shared" si="26"/>
        <v>0</v>
      </c>
      <c r="AG289" s="75">
        <f t="shared" si="27"/>
        <v>0</v>
      </c>
      <c r="AH289" s="31" t="e" cm="1">
        <f t="array" aca="1" ref="AH289" ca="1">IF((AD289) &lt; (INDEX(ResponseSLA[#All],(MATCH((G289),ResponseSLA[Priority],0))+1,3)),"YES","No")</f>
        <v>#N/A</v>
      </c>
      <c r="AI289" s="31" t="str">
        <f>_xlfn.IFNA(IF(AE289 &lt; (INDEX(SLATable[Minimum SLA],MATCH(G289,SLATable[Priority],0))),"YES","NO"),"")</f>
        <v/>
      </c>
      <c r="AJ289" t="str">
        <f>_xlfn.IFNA(IF(AE289 &lt; (INDEX(SLATable[Maximum SLA],MATCH(G289,SLATable[Priority],0))),"YES","NO"),"")</f>
        <v/>
      </c>
    </row>
    <row r="290" spans="26:36" ht="15" customHeight="1">
      <c r="Z290" s="76" t="e">
        <f t="shared" ca="1" si="28"/>
        <v>#N/A</v>
      </c>
      <c r="AA290" s="75" t="e">
        <f t="shared" ca="1" si="24"/>
        <v>#N/A</v>
      </c>
      <c r="AB290" s="76">
        <f t="shared" ca="1" si="29"/>
        <v>0</v>
      </c>
      <c r="AC290" s="75">
        <f t="shared" ca="1" si="25"/>
        <v>0</v>
      </c>
      <c r="AD290" s="76">
        <f t="shared" ca="1" si="30"/>
        <v>12388.425641550926</v>
      </c>
      <c r="AE290" s="76">
        <f t="shared" si="31"/>
        <v>0</v>
      </c>
      <c r="AF290" s="75">
        <f t="shared" si="26"/>
        <v>0</v>
      </c>
      <c r="AG290" s="75">
        <f t="shared" si="27"/>
        <v>0</v>
      </c>
      <c r="AH290" s="31" t="e" cm="1">
        <f t="array" aca="1" ref="AH290" ca="1">IF((AD290) &lt; (INDEX(ResponseSLA[#All],(MATCH((G290),ResponseSLA[Priority],0))+1,3)),"YES","No")</f>
        <v>#N/A</v>
      </c>
      <c r="AI290" s="31" t="str">
        <f>_xlfn.IFNA(IF(AE290 &lt; (INDEX(SLATable[Minimum SLA],MATCH(G290,SLATable[Priority],0))),"YES","NO"),"")</f>
        <v/>
      </c>
      <c r="AJ290" t="str">
        <f>_xlfn.IFNA(IF(AE290 &lt; (INDEX(SLATable[Maximum SLA],MATCH(G290,SLATable[Priority],0))),"YES","NO"),"")</f>
        <v/>
      </c>
    </row>
    <row r="291" spans="26:36" ht="15" customHeight="1">
      <c r="Z291" s="76" t="e">
        <f t="shared" ca="1" si="28"/>
        <v>#N/A</v>
      </c>
      <c r="AA291" s="75" t="e">
        <f t="shared" ca="1" si="24"/>
        <v>#N/A</v>
      </c>
      <c r="AB291" s="76">
        <f t="shared" ca="1" si="29"/>
        <v>0</v>
      </c>
      <c r="AC291" s="75">
        <f t="shared" ca="1" si="25"/>
        <v>0</v>
      </c>
      <c r="AD291" s="76">
        <f t="shared" ca="1" si="30"/>
        <v>12388.425641550926</v>
      </c>
      <c r="AE291" s="76">
        <f t="shared" si="31"/>
        <v>0</v>
      </c>
      <c r="AF291" s="75">
        <f t="shared" si="26"/>
        <v>0</v>
      </c>
      <c r="AG291" s="75">
        <f t="shared" si="27"/>
        <v>0</v>
      </c>
      <c r="AH291" s="31" t="e" cm="1">
        <f t="array" aca="1" ref="AH291" ca="1">IF((AD291) &lt; (INDEX(ResponseSLA[#All],(MATCH((G291),ResponseSLA[Priority],0))+1,3)),"YES","No")</f>
        <v>#N/A</v>
      </c>
      <c r="AI291" s="31" t="str">
        <f>_xlfn.IFNA(IF(AE291 &lt; (INDEX(SLATable[Minimum SLA],MATCH(G291,SLATable[Priority],0))),"YES","NO"),"")</f>
        <v/>
      </c>
      <c r="AJ291" t="str">
        <f>_xlfn.IFNA(IF(AE291 &lt; (INDEX(SLATable[Maximum SLA],MATCH(G291,SLATable[Priority],0))),"YES","NO"),"")</f>
        <v/>
      </c>
    </row>
    <row r="292" spans="26:36" ht="15" customHeight="1">
      <c r="Z292" s="76" t="e">
        <f t="shared" ca="1" si="28"/>
        <v>#N/A</v>
      </c>
      <c r="AA292" s="75" t="e">
        <f t="shared" ca="1" si="24"/>
        <v>#N/A</v>
      </c>
      <c r="AB292" s="76">
        <f t="shared" ca="1" si="29"/>
        <v>0</v>
      </c>
      <c r="AC292" s="75">
        <f t="shared" ca="1" si="25"/>
        <v>0</v>
      </c>
      <c r="AD292" s="76">
        <f t="shared" ca="1" si="30"/>
        <v>12388.425641782411</v>
      </c>
      <c r="AE292" s="76">
        <f t="shared" si="31"/>
        <v>0</v>
      </c>
      <c r="AF292" s="75">
        <f t="shared" si="26"/>
        <v>0</v>
      </c>
      <c r="AG292" s="75">
        <f t="shared" si="27"/>
        <v>0</v>
      </c>
      <c r="AH292" s="31" t="e" cm="1">
        <f t="array" aca="1" ref="AH292" ca="1">IF((AD292) &lt; (INDEX(ResponseSLA[#All],(MATCH((G292),ResponseSLA[Priority],0))+1,3)),"YES","No")</f>
        <v>#N/A</v>
      </c>
      <c r="AI292" s="31" t="str">
        <f>_xlfn.IFNA(IF(AE292 &lt; (INDEX(SLATable[Minimum SLA],MATCH(G292,SLATable[Priority],0))),"YES","NO"),"")</f>
        <v/>
      </c>
      <c r="AJ292" t="str">
        <f>_xlfn.IFNA(IF(AE292 &lt; (INDEX(SLATable[Maximum SLA],MATCH(G292,SLATable[Priority],0))),"YES","NO"),"")</f>
        <v/>
      </c>
    </row>
    <row r="293" spans="26:36" ht="15" customHeight="1">
      <c r="Z293" s="76" t="e">
        <f t="shared" ca="1" si="28"/>
        <v>#N/A</v>
      </c>
      <c r="AA293" s="75" t="e">
        <f t="shared" ca="1" si="24"/>
        <v>#N/A</v>
      </c>
      <c r="AB293" s="76">
        <f t="shared" ca="1" si="29"/>
        <v>0</v>
      </c>
      <c r="AC293" s="75">
        <f t="shared" ca="1" si="25"/>
        <v>0</v>
      </c>
      <c r="AD293" s="76">
        <f t="shared" ca="1" si="30"/>
        <v>12388.425641550926</v>
      </c>
      <c r="AE293" s="76">
        <f t="shared" si="31"/>
        <v>0</v>
      </c>
      <c r="AF293" s="75">
        <f t="shared" si="26"/>
        <v>0</v>
      </c>
      <c r="AG293" s="75">
        <f t="shared" si="27"/>
        <v>0</v>
      </c>
      <c r="AH293" s="31" t="e" cm="1">
        <f t="array" aca="1" ref="AH293" ca="1">IF((AD293) &lt; (INDEX(ResponseSLA[#All],(MATCH((G293),ResponseSLA[Priority],0))+1,3)),"YES","No")</f>
        <v>#N/A</v>
      </c>
      <c r="AI293" s="31" t="str">
        <f>_xlfn.IFNA(IF(AE293 &lt; (INDEX(SLATable[Minimum SLA],MATCH(G293,SLATable[Priority],0))),"YES","NO"),"")</f>
        <v/>
      </c>
      <c r="AJ293" t="str">
        <f>_xlfn.IFNA(IF(AE293 &lt; (INDEX(SLATable[Maximum SLA],MATCH(G293,SLATable[Priority],0))),"YES","NO"),"")</f>
        <v/>
      </c>
    </row>
    <row r="294" spans="26:36" ht="15" customHeight="1">
      <c r="Z294" s="76" t="e">
        <f t="shared" ca="1" si="28"/>
        <v>#N/A</v>
      </c>
      <c r="AA294" s="75" t="e">
        <f t="shared" ca="1" si="24"/>
        <v>#N/A</v>
      </c>
      <c r="AB294" s="76">
        <f t="shared" ca="1" si="29"/>
        <v>0</v>
      </c>
      <c r="AC294" s="75">
        <f t="shared" ca="1" si="25"/>
        <v>0</v>
      </c>
      <c r="AD294" s="76">
        <f t="shared" ca="1" si="30"/>
        <v>12388.425641550926</v>
      </c>
      <c r="AE294" s="76">
        <f t="shared" si="31"/>
        <v>0</v>
      </c>
      <c r="AF294" s="75">
        <f t="shared" si="26"/>
        <v>0</v>
      </c>
      <c r="AG294" s="75">
        <f t="shared" si="27"/>
        <v>0</v>
      </c>
      <c r="AH294" s="31" t="e" cm="1">
        <f t="array" aca="1" ref="AH294" ca="1">IF((AD294) &lt; (INDEX(ResponseSLA[#All],(MATCH((G294),ResponseSLA[Priority],0))+1,3)),"YES","No")</f>
        <v>#N/A</v>
      </c>
      <c r="AI294" s="31" t="str">
        <f>_xlfn.IFNA(IF(AE294 &lt; (INDEX(SLATable[Minimum SLA],MATCH(G294,SLATable[Priority],0))),"YES","NO"),"")</f>
        <v/>
      </c>
      <c r="AJ294" t="str">
        <f>_xlfn.IFNA(IF(AE294 &lt; (INDEX(SLATable[Maximum SLA],MATCH(G294,SLATable[Priority],0))),"YES","NO"),"")</f>
        <v/>
      </c>
    </row>
    <row r="295" spans="26:36" ht="15" customHeight="1">
      <c r="Z295" s="76" t="e">
        <f t="shared" ca="1" si="28"/>
        <v>#N/A</v>
      </c>
      <c r="AA295" s="75" t="e">
        <f t="shared" ca="1" si="24"/>
        <v>#N/A</v>
      </c>
      <c r="AB295" s="76">
        <f t="shared" ca="1" si="29"/>
        <v>0</v>
      </c>
      <c r="AC295" s="75">
        <f t="shared" ca="1" si="25"/>
        <v>0</v>
      </c>
      <c r="AD295" s="76">
        <f t="shared" ca="1" si="30"/>
        <v>12388.425641782411</v>
      </c>
      <c r="AE295" s="76">
        <f t="shared" si="31"/>
        <v>0</v>
      </c>
      <c r="AF295" s="75">
        <f t="shared" si="26"/>
        <v>0</v>
      </c>
      <c r="AG295" s="75">
        <f t="shared" si="27"/>
        <v>0</v>
      </c>
      <c r="AH295" s="31" t="e" cm="1">
        <f t="array" aca="1" ref="AH295" ca="1">IF((AD295) &lt; (INDEX(ResponseSLA[#All],(MATCH((G295),ResponseSLA[Priority],0))+1,3)),"YES","No")</f>
        <v>#N/A</v>
      </c>
      <c r="AI295" s="31" t="str">
        <f>_xlfn.IFNA(IF(AE295 &lt; (INDEX(SLATable[Minimum SLA],MATCH(G295,SLATable[Priority],0))),"YES","NO"),"")</f>
        <v/>
      </c>
      <c r="AJ295" t="str">
        <f>_xlfn.IFNA(IF(AE295 &lt; (INDEX(SLATable[Maximum SLA],MATCH(G295,SLATable[Priority],0))),"YES","NO"),"")</f>
        <v/>
      </c>
    </row>
    <row r="296" spans="26:36" ht="15" customHeight="1">
      <c r="Z296" s="76" t="e">
        <f t="shared" ca="1" si="28"/>
        <v>#N/A</v>
      </c>
      <c r="AA296" s="75" t="e">
        <f t="shared" ca="1" si="24"/>
        <v>#N/A</v>
      </c>
      <c r="AB296" s="76">
        <f t="shared" ca="1" si="29"/>
        <v>0</v>
      </c>
      <c r="AC296" s="75">
        <f t="shared" ca="1" si="25"/>
        <v>0</v>
      </c>
      <c r="AD296" s="76">
        <f t="shared" ca="1" si="30"/>
        <v>12388.425641550926</v>
      </c>
      <c r="AE296" s="76">
        <f t="shared" si="31"/>
        <v>0</v>
      </c>
      <c r="AF296" s="75">
        <f t="shared" si="26"/>
        <v>0</v>
      </c>
      <c r="AG296" s="75">
        <f t="shared" si="27"/>
        <v>0</v>
      </c>
      <c r="AH296" s="31" t="e" cm="1">
        <f t="array" aca="1" ref="AH296" ca="1">IF((AD296) &lt; (INDEX(ResponseSLA[#All],(MATCH((G296),ResponseSLA[Priority],0))+1,3)),"YES","No")</f>
        <v>#N/A</v>
      </c>
      <c r="AI296" s="31" t="str">
        <f>_xlfn.IFNA(IF(AE296 &lt; (INDEX(SLATable[Minimum SLA],MATCH(G296,SLATable[Priority],0))),"YES","NO"),"")</f>
        <v/>
      </c>
      <c r="AJ296" t="str">
        <f>_xlfn.IFNA(IF(AE296 &lt; (INDEX(SLATable[Maximum SLA],MATCH(G296,SLATable[Priority],0))),"YES","NO"),"")</f>
        <v/>
      </c>
    </row>
    <row r="297" spans="26:36" ht="15" customHeight="1">
      <c r="Z297" s="76" t="e">
        <f t="shared" ca="1" si="28"/>
        <v>#N/A</v>
      </c>
      <c r="AA297" s="75" t="e">
        <f t="shared" ca="1" si="24"/>
        <v>#N/A</v>
      </c>
      <c r="AB297" s="76">
        <f t="shared" ca="1" si="29"/>
        <v>0</v>
      </c>
      <c r="AC297" s="75">
        <f t="shared" ca="1" si="25"/>
        <v>0</v>
      </c>
      <c r="AD297" s="76">
        <f t="shared" ca="1" si="30"/>
        <v>12388.425641550926</v>
      </c>
      <c r="AE297" s="76">
        <f t="shared" si="31"/>
        <v>0</v>
      </c>
      <c r="AF297" s="75">
        <f t="shared" si="26"/>
        <v>0</v>
      </c>
      <c r="AG297" s="75">
        <f t="shared" si="27"/>
        <v>0</v>
      </c>
      <c r="AH297" s="31" t="e" cm="1">
        <f t="array" aca="1" ref="AH297" ca="1">IF((AD297) &lt; (INDEX(ResponseSLA[#All],(MATCH((G297),ResponseSLA[Priority],0))+1,3)),"YES","No")</f>
        <v>#N/A</v>
      </c>
      <c r="AI297" s="31" t="str">
        <f>_xlfn.IFNA(IF(AE297 &lt; (INDEX(SLATable[Minimum SLA],MATCH(G297,SLATable[Priority],0))),"YES","NO"),"")</f>
        <v/>
      </c>
      <c r="AJ297" t="str">
        <f>_xlfn.IFNA(IF(AE297 &lt; (INDEX(SLATable[Maximum SLA],MATCH(G297,SLATable[Priority],0))),"YES","NO"),"")</f>
        <v/>
      </c>
    </row>
    <row r="298" spans="26:36" ht="15" customHeight="1">
      <c r="Z298" s="76" t="e">
        <f t="shared" ca="1" si="28"/>
        <v>#N/A</v>
      </c>
      <c r="AA298" s="75" t="e">
        <f t="shared" ca="1" si="24"/>
        <v>#N/A</v>
      </c>
      <c r="AB298" s="76">
        <f t="shared" ca="1" si="29"/>
        <v>0</v>
      </c>
      <c r="AC298" s="75">
        <f t="shared" ca="1" si="25"/>
        <v>0</v>
      </c>
      <c r="AD298" s="76">
        <f t="shared" ca="1" si="30"/>
        <v>12388.425641782411</v>
      </c>
      <c r="AE298" s="76">
        <f t="shared" si="31"/>
        <v>0</v>
      </c>
      <c r="AF298" s="75">
        <f t="shared" si="26"/>
        <v>0</v>
      </c>
      <c r="AG298" s="75">
        <f t="shared" si="27"/>
        <v>0</v>
      </c>
      <c r="AH298" s="31" t="e" cm="1">
        <f t="array" aca="1" ref="AH298" ca="1">IF((AD298) &lt; (INDEX(ResponseSLA[#All],(MATCH((G298),ResponseSLA[Priority],0))+1,3)),"YES","No")</f>
        <v>#N/A</v>
      </c>
      <c r="AI298" s="31" t="str">
        <f>_xlfn.IFNA(IF(AE298 &lt; (INDEX(SLATable[Minimum SLA],MATCH(G298,SLATable[Priority],0))),"YES","NO"),"")</f>
        <v/>
      </c>
      <c r="AJ298" t="str">
        <f>_xlfn.IFNA(IF(AE298 &lt; (INDEX(SLATable[Maximum SLA],MATCH(G298,SLATable[Priority],0))),"YES","NO"),"")</f>
        <v/>
      </c>
    </row>
    <row r="299" spans="26:36" ht="15" customHeight="1">
      <c r="Z299" s="76" t="e">
        <f t="shared" ca="1" si="28"/>
        <v>#N/A</v>
      </c>
      <c r="AA299" s="75" t="e">
        <f t="shared" ca="1" si="24"/>
        <v>#N/A</v>
      </c>
      <c r="AB299" s="76">
        <f t="shared" ca="1" si="29"/>
        <v>0</v>
      </c>
      <c r="AC299" s="75">
        <f t="shared" ca="1" si="25"/>
        <v>0</v>
      </c>
      <c r="AD299" s="76">
        <f t="shared" ca="1" si="30"/>
        <v>12388.425641550926</v>
      </c>
      <c r="AE299" s="76">
        <f t="shared" si="31"/>
        <v>0</v>
      </c>
      <c r="AF299" s="75">
        <f t="shared" si="26"/>
        <v>0</v>
      </c>
      <c r="AG299" s="75">
        <f t="shared" si="27"/>
        <v>0</v>
      </c>
      <c r="AH299" s="31" t="e" cm="1">
        <f t="array" aca="1" ref="AH299" ca="1">IF((AD299) &lt; (INDEX(ResponseSLA[#All],(MATCH((G299),ResponseSLA[Priority],0))+1,3)),"YES","No")</f>
        <v>#N/A</v>
      </c>
      <c r="AI299" s="31" t="str">
        <f>_xlfn.IFNA(IF(AE299 &lt; (INDEX(SLATable[Minimum SLA],MATCH(G299,SLATable[Priority],0))),"YES","NO"),"")</f>
        <v/>
      </c>
      <c r="AJ299" t="str">
        <f>_xlfn.IFNA(IF(AE299 &lt; (INDEX(SLATable[Maximum SLA],MATCH(G299,SLATable[Priority],0))),"YES","NO"),"")</f>
        <v/>
      </c>
    </row>
    <row r="300" spans="26:36" ht="15" customHeight="1">
      <c r="Z300" s="76" t="e">
        <f t="shared" ca="1" si="28"/>
        <v>#N/A</v>
      </c>
      <c r="AA300" s="75" t="e">
        <f t="shared" ca="1" si="24"/>
        <v>#N/A</v>
      </c>
      <c r="AB300" s="76">
        <f t="shared" ca="1" si="29"/>
        <v>0</v>
      </c>
      <c r="AC300" s="75">
        <f t="shared" ca="1" si="25"/>
        <v>0</v>
      </c>
      <c r="AD300" s="76">
        <f t="shared" ca="1" si="30"/>
        <v>12388.425641550926</v>
      </c>
      <c r="AE300" s="76">
        <f t="shared" si="31"/>
        <v>0</v>
      </c>
      <c r="AF300" s="75">
        <f t="shared" si="26"/>
        <v>0</v>
      </c>
      <c r="AG300" s="75">
        <f t="shared" si="27"/>
        <v>0</v>
      </c>
      <c r="AH300" s="31" t="e" cm="1">
        <f t="array" aca="1" ref="AH300" ca="1">IF((AD300) &lt; (INDEX(ResponseSLA[#All],(MATCH((G300),ResponseSLA[Priority],0))+1,3)),"YES","No")</f>
        <v>#N/A</v>
      </c>
      <c r="AI300" s="31" t="str">
        <f>_xlfn.IFNA(IF(AE300 &lt; (INDEX(SLATable[Minimum SLA],MATCH(G300,SLATable[Priority],0))),"YES","NO"),"")</f>
        <v/>
      </c>
      <c r="AJ300" t="str">
        <f>_xlfn.IFNA(IF(AE300 &lt; (INDEX(SLATable[Maximum SLA],MATCH(G300,SLATable[Priority],0))),"YES","NO"),"")</f>
        <v/>
      </c>
    </row>
    <row r="301" spans="26:36" ht="15" customHeight="1">
      <c r="Z301" s="76" t="e">
        <f t="shared" ca="1" si="28"/>
        <v>#N/A</v>
      </c>
      <c r="AA301" s="75" t="e">
        <f t="shared" ca="1" si="24"/>
        <v>#N/A</v>
      </c>
      <c r="AB301" s="76">
        <f t="shared" ca="1" si="29"/>
        <v>0</v>
      </c>
      <c r="AC301" s="75">
        <f t="shared" ca="1" si="25"/>
        <v>0</v>
      </c>
      <c r="AD301" s="76">
        <f t="shared" ca="1" si="30"/>
        <v>12388.425641782411</v>
      </c>
      <c r="AE301" s="76">
        <f t="shared" si="31"/>
        <v>0</v>
      </c>
      <c r="AF301" s="75">
        <f t="shared" si="26"/>
        <v>0</v>
      </c>
      <c r="AG301" s="75">
        <f t="shared" si="27"/>
        <v>0</v>
      </c>
      <c r="AH301" s="31" t="e" cm="1">
        <f t="array" aca="1" ref="AH301" ca="1">IF((AD301) &lt; (INDEX(ResponseSLA[#All],(MATCH((G301),ResponseSLA[Priority],0))+1,3)),"YES","No")</f>
        <v>#N/A</v>
      </c>
      <c r="AI301" s="31" t="str">
        <f>_xlfn.IFNA(IF(AE301 &lt; (INDEX(SLATable[Minimum SLA],MATCH(G301,SLATable[Priority],0))),"YES","NO"),"")</f>
        <v/>
      </c>
      <c r="AJ301" t="str">
        <f>_xlfn.IFNA(IF(AE301 &lt; (INDEX(SLATable[Maximum SLA],MATCH(G301,SLATable[Priority],0))),"YES","NO"),"")</f>
        <v/>
      </c>
    </row>
    <row r="302" spans="26:36" ht="15" customHeight="1">
      <c r="Z302" s="76" t="e">
        <f t="shared" ca="1" si="28"/>
        <v>#N/A</v>
      </c>
      <c r="AA302" s="75" t="e">
        <f t="shared" ca="1" si="24"/>
        <v>#N/A</v>
      </c>
      <c r="AB302" s="76">
        <f t="shared" ca="1" si="29"/>
        <v>0</v>
      </c>
      <c r="AC302" s="75">
        <f t="shared" ca="1" si="25"/>
        <v>0</v>
      </c>
      <c r="AD302" s="76">
        <f t="shared" ca="1" si="30"/>
        <v>12388.425641550926</v>
      </c>
      <c r="AE302" s="76">
        <f t="shared" si="31"/>
        <v>0</v>
      </c>
      <c r="AF302" s="75">
        <f t="shared" si="26"/>
        <v>0</v>
      </c>
      <c r="AG302" s="75">
        <f t="shared" si="27"/>
        <v>0</v>
      </c>
      <c r="AH302" s="31" t="e" cm="1">
        <f t="array" aca="1" ref="AH302" ca="1">IF((AD302) &lt; (INDEX(ResponseSLA[#All],(MATCH((G302),ResponseSLA[Priority],0))+1,3)),"YES","No")</f>
        <v>#N/A</v>
      </c>
      <c r="AI302" s="31" t="str">
        <f>_xlfn.IFNA(IF(AE302 &lt; (INDEX(SLATable[Minimum SLA],MATCH(G302,SLATable[Priority],0))),"YES","NO"),"")</f>
        <v/>
      </c>
      <c r="AJ302" t="str">
        <f>_xlfn.IFNA(IF(AE302 &lt; (INDEX(SLATable[Maximum SLA],MATCH(G302,SLATable[Priority],0))),"YES","NO"),"")</f>
        <v/>
      </c>
    </row>
    <row r="303" spans="26:36" ht="15" customHeight="1">
      <c r="Z303" s="76" t="e">
        <f t="shared" ca="1" si="28"/>
        <v>#N/A</v>
      </c>
      <c r="AA303" s="75" t="e">
        <f t="shared" ca="1" si="24"/>
        <v>#N/A</v>
      </c>
      <c r="AB303" s="76">
        <f t="shared" ca="1" si="29"/>
        <v>0</v>
      </c>
      <c r="AC303" s="75">
        <f t="shared" ca="1" si="25"/>
        <v>0</v>
      </c>
      <c r="AD303" s="76">
        <f t="shared" ca="1" si="30"/>
        <v>12388.425641550926</v>
      </c>
      <c r="AE303" s="76">
        <f t="shared" si="31"/>
        <v>0</v>
      </c>
      <c r="AF303" s="75">
        <f t="shared" si="26"/>
        <v>0</v>
      </c>
      <c r="AG303" s="75">
        <f t="shared" si="27"/>
        <v>0</v>
      </c>
      <c r="AH303" s="31" t="e" cm="1">
        <f t="array" aca="1" ref="AH303" ca="1">IF((AD303) &lt; (INDEX(ResponseSLA[#All],(MATCH((G303),ResponseSLA[Priority],0))+1,3)),"YES","No")</f>
        <v>#N/A</v>
      </c>
      <c r="AI303" s="31" t="str">
        <f>_xlfn.IFNA(IF(AE303 &lt; (INDEX(SLATable[Minimum SLA],MATCH(G303,SLATable[Priority],0))),"YES","NO"),"")</f>
        <v/>
      </c>
      <c r="AJ303" t="str">
        <f>_xlfn.IFNA(IF(AE303 &lt; (INDEX(SLATable[Maximum SLA],MATCH(G303,SLATable[Priority],0))),"YES","NO"),"")</f>
        <v/>
      </c>
    </row>
    <row r="304" spans="26:36" ht="15" customHeight="1">
      <c r="Z304" s="76" t="e">
        <f t="shared" ca="1" si="28"/>
        <v>#N/A</v>
      </c>
      <c r="AA304" s="75" t="e">
        <f t="shared" ca="1" si="24"/>
        <v>#N/A</v>
      </c>
      <c r="AB304" s="76">
        <f t="shared" ca="1" si="29"/>
        <v>0</v>
      </c>
      <c r="AC304" s="75">
        <f t="shared" ca="1" si="25"/>
        <v>0</v>
      </c>
      <c r="AD304" s="76">
        <f t="shared" ca="1" si="30"/>
        <v>12388.425641782411</v>
      </c>
      <c r="AE304" s="76">
        <f t="shared" si="31"/>
        <v>0</v>
      </c>
      <c r="AF304" s="75">
        <f t="shared" si="26"/>
        <v>0</v>
      </c>
      <c r="AG304" s="75">
        <f t="shared" si="27"/>
        <v>0</v>
      </c>
      <c r="AH304" s="31" t="e" cm="1">
        <f t="array" aca="1" ref="AH304" ca="1">IF((AD304) &lt; (INDEX(ResponseSLA[#All],(MATCH((G304),ResponseSLA[Priority],0))+1,3)),"YES","No")</f>
        <v>#N/A</v>
      </c>
      <c r="AI304" s="31" t="str">
        <f>_xlfn.IFNA(IF(AE304 &lt; (INDEX(SLATable[Minimum SLA],MATCH(G304,SLATable[Priority],0))),"YES","NO"),"")</f>
        <v/>
      </c>
      <c r="AJ304" t="str">
        <f>_xlfn.IFNA(IF(AE304 &lt; (INDEX(SLATable[Maximum SLA],MATCH(G304,SLATable[Priority],0))),"YES","NO"),"")</f>
        <v/>
      </c>
    </row>
    <row r="305" spans="26:36" ht="15" customHeight="1">
      <c r="Z305" s="76" t="e">
        <f t="shared" ca="1" si="28"/>
        <v>#N/A</v>
      </c>
      <c r="AA305" s="75" t="e">
        <f t="shared" ca="1" si="24"/>
        <v>#N/A</v>
      </c>
      <c r="AB305" s="76">
        <f t="shared" ca="1" si="29"/>
        <v>0</v>
      </c>
      <c r="AC305" s="75">
        <f t="shared" ca="1" si="25"/>
        <v>0</v>
      </c>
      <c r="AD305" s="76">
        <f t="shared" ca="1" si="30"/>
        <v>12388.425641550926</v>
      </c>
      <c r="AE305" s="76">
        <f t="shared" si="31"/>
        <v>0</v>
      </c>
      <c r="AF305" s="75">
        <f t="shared" si="26"/>
        <v>0</v>
      </c>
      <c r="AG305" s="75">
        <f t="shared" si="27"/>
        <v>0</v>
      </c>
      <c r="AH305" s="31" t="e" cm="1">
        <f t="array" aca="1" ref="AH305" ca="1">IF((AD305) &lt; (INDEX(ResponseSLA[#All],(MATCH((G305),ResponseSLA[Priority],0))+1,3)),"YES","No")</f>
        <v>#N/A</v>
      </c>
      <c r="AI305" s="31" t="str">
        <f>_xlfn.IFNA(IF(AE305 &lt; (INDEX(SLATable[Minimum SLA],MATCH(G305,SLATable[Priority],0))),"YES","NO"),"")</f>
        <v/>
      </c>
      <c r="AJ305" t="str">
        <f>_xlfn.IFNA(IF(AE305 &lt; (INDEX(SLATable[Maximum SLA],MATCH(G305,SLATable[Priority],0))),"YES","NO"),"")</f>
        <v/>
      </c>
    </row>
    <row r="306" spans="26:36" ht="15" customHeight="1">
      <c r="Z306" s="76" t="e">
        <f t="shared" ca="1" si="28"/>
        <v>#N/A</v>
      </c>
      <c r="AA306" s="75" t="e">
        <f t="shared" ca="1" si="24"/>
        <v>#N/A</v>
      </c>
      <c r="AB306" s="76">
        <f t="shared" ca="1" si="29"/>
        <v>0</v>
      </c>
      <c r="AC306" s="75">
        <f t="shared" ca="1" si="25"/>
        <v>0</v>
      </c>
      <c r="AD306" s="76">
        <f t="shared" ca="1" si="30"/>
        <v>12388.425641550926</v>
      </c>
      <c r="AE306" s="76">
        <f t="shared" si="31"/>
        <v>0</v>
      </c>
      <c r="AF306" s="75">
        <f t="shared" si="26"/>
        <v>0</v>
      </c>
      <c r="AG306" s="75">
        <f t="shared" si="27"/>
        <v>0</v>
      </c>
      <c r="AH306" s="31" t="e" cm="1">
        <f t="array" aca="1" ref="AH306" ca="1">IF((AD306) &lt; (INDEX(ResponseSLA[#All],(MATCH((G306),ResponseSLA[Priority],0))+1,3)),"YES","No")</f>
        <v>#N/A</v>
      </c>
      <c r="AI306" s="31" t="str">
        <f>_xlfn.IFNA(IF(AE306 &lt; (INDEX(SLATable[Minimum SLA],MATCH(G306,SLATable[Priority],0))),"YES","NO"),"")</f>
        <v/>
      </c>
      <c r="AJ306" t="str">
        <f>_xlfn.IFNA(IF(AE306 &lt; (INDEX(SLATable[Maximum SLA],MATCH(G306,SLATable[Priority],0))),"YES","NO"),"")</f>
        <v/>
      </c>
    </row>
    <row r="307" spans="26:36" ht="15" customHeight="1">
      <c r="Z307" s="76" t="e">
        <f t="shared" ca="1" si="28"/>
        <v>#N/A</v>
      </c>
      <c r="AA307" s="75" t="e">
        <f t="shared" ca="1" si="24"/>
        <v>#N/A</v>
      </c>
      <c r="AB307" s="76">
        <f t="shared" ca="1" si="29"/>
        <v>0</v>
      </c>
      <c r="AC307" s="75">
        <f t="shared" ca="1" si="25"/>
        <v>0</v>
      </c>
      <c r="AD307" s="76">
        <f t="shared" ca="1" si="30"/>
        <v>12388.425641782411</v>
      </c>
      <c r="AE307" s="76">
        <f t="shared" si="31"/>
        <v>0</v>
      </c>
      <c r="AF307" s="75">
        <f t="shared" si="26"/>
        <v>0</v>
      </c>
      <c r="AG307" s="75">
        <f t="shared" si="27"/>
        <v>0</v>
      </c>
      <c r="AH307" s="31" t="e" cm="1">
        <f t="array" aca="1" ref="AH307" ca="1">IF((AD307) &lt; (INDEX(ResponseSLA[#All],(MATCH((G307),ResponseSLA[Priority],0))+1,3)),"YES","No")</f>
        <v>#N/A</v>
      </c>
      <c r="AI307" s="31" t="str">
        <f>_xlfn.IFNA(IF(AE307 &lt; (INDEX(SLATable[Minimum SLA],MATCH(G307,SLATable[Priority],0))),"YES","NO"),"")</f>
        <v/>
      </c>
      <c r="AJ307" t="str">
        <f>_xlfn.IFNA(IF(AE307 &lt; (INDEX(SLATable[Maximum SLA],MATCH(G307,SLATable[Priority],0))),"YES","NO"),"")</f>
        <v/>
      </c>
    </row>
    <row r="308" spans="26:36" ht="15" customHeight="1">
      <c r="Z308" s="76" t="e">
        <f t="shared" ca="1" si="28"/>
        <v>#N/A</v>
      </c>
      <c r="AA308" s="75" t="e">
        <f t="shared" ca="1" si="24"/>
        <v>#N/A</v>
      </c>
      <c r="AB308" s="76">
        <f t="shared" ca="1" si="29"/>
        <v>0</v>
      </c>
      <c r="AC308" s="75">
        <f t="shared" ca="1" si="25"/>
        <v>0</v>
      </c>
      <c r="AD308" s="76">
        <f t="shared" ca="1" si="30"/>
        <v>12388.425641550926</v>
      </c>
      <c r="AE308" s="76">
        <f t="shared" si="31"/>
        <v>0</v>
      </c>
      <c r="AF308" s="75">
        <f t="shared" si="26"/>
        <v>0</v>
      </c>
      <c r="AG308" s="75">
        <f t="shared" si="27"/>
        <v>0</v>
      </c>
      <c r="AH308" s="31" t="e" cm="1">
        <f t="array" aca="1" ref="AH308" ca="1">IF((AD308) &lt; (INDEX(ResponseSLA[#All],(MATCH((G308),ResponseSLA[Priority],0))+1,3)),"YES","No")</f>
        <v>#N/A</v>
      </c>
      <c r="AI308" s="31" t="str">
        <f>_xlfn.IFNA(IF(AE308 &lt; (INDEX(SLATable[Minimum SLA],MATCH(G308,SLATable[Priority],0))),"YES","NO"),"")</f>
        <v/>
      </c>
      <c r="AJ308" t="str">
        <f>_xlfn.IFNA(IF(AE308 &lt; (INDEX(SLATable[Maximum SLA],MATCH(G308,SLATable[Priority],0))),"YES","NO"),"")</f>
        <v/>
      </c>
    </row>
    <row r="309" spans="26:36" ht="15" customHeight="1">
      <c r="Z309" s="76" t="e">
        <f t="shared" ca="1" si="28"/>
        <v>#N/A</v>
      </c>
      <c r="AA309" s="75" t="e">
        <f t="shared" ca="1" si="24"/>
        <v>#N/A</v>
      </c>
      <c r="AB309" s="76">
        <f t="shared" ca="1" si="29"/>
        <v>0</v>
      </c>
      <c r="AC309" s="75">
        <f t="shared" ca="1" si="25"/>
        <v>0</v>
      </c>
      <c r="AD309" s="76">
        <f t="shared" ca="1" si="30"/>
        <v>12388.425641550926</v>
      </c>
      <c r="AE309" s="76">
        <f t="shared" si="31"/>
        <v>0</v>
      </c>
      <c r="AF309" s="75">
        <f t="shared" si="26"/>
        <v>0</v>
      </c>
      <c r="AG309" s="75">
        <f t="shared" si="27"/>
        <v>0</v>
      </c>
      <c r="AH309" s="31" t="e" cm="1">
        <f t="array" aca="1" ref="AH309" ca="1">IF((AD309) &lt; (INDEX(ResponseSLA[#All],(MATCH((G309),ResponseSLA[Priority],0))+1,3)),"YES","No")</f>
        <v>#N/A</v>
      </c>
      <c r="AI309" s="31" t="str">
        <f>_xlfn.IFNA(IF(AE309 &lt; (INDEX(SLATable[Minimum SLA],MATCH(G309,SLATable[Priority],0))),"YES","NO"),"")</f>
        <v/>
      </c>
      <c r="AJ309" t="str">
        <f>_xlfn.IFNA(IF(AE309 &lt; (INDEX(SLATable[Maximum SLA],MATCH(G309,SLATable[Priority],0))),"YES","NO"),"")</f>
        <v/>
      </c>
    </row>
    <row r="310" spans="26:36" ht="15" customHeight="1">
      <c r="Z310" s="76" t="e">
        <f t="shared" ca="1" si="28"/>
        <v>#N/A</v>
      </c>
      <c r="AA310" s="75" t="e">
        <f t="shared" ca="1" si="24"/>
        <v>#N/A</v>
      </c>
      <c r="AB310" s="76">
        <f t="shared" ca="1" si="29"/>
        <v>0</v>
      </c>
      <c r="AC310" s="75">
        <f t="shared" ca="1" si="25"/>
        <v>0</v>
      </c>
      <c r="AD310" s="76">
        <f t="shared" ca="1" si="30"/>
        <v>12388.425641782411</v>
      </c>
      <c r="AE310" s="76">
        <f t="shared" si="31"/>
        <v>0</v>
      </c>
      <c r="AF310" s="75">
        <f t="shared" si="26"/>
        <v>0</v>
      </c>
      <c r="AG310" s="75">
        <f t="shared" si="27"/>
        <v>0</v>
      </c>
      <c r="AH310" s="31" t="e" cm="1">
        <f t="array" aca="1" ref="AH310" ca="1">IF((AD310) &lt; (INDEX(ResponseSLA[#All],(MATCH((G310),ResponseSLA[Priority],0))+1,3)),"YES","No")</f>
        <v>#N/A</v>
      </c>
      <c r="AI310" s="31" t="str">
        <f>_xlfn.IFNA(IF(AE310 &lt; (INDEX(SLATable[Minimum SLA],MATCH(G310,SLATable[Priority],0))),"YES","NO"),"")</f>
        <v/>
      </c>
      <c r="AJ310" t="str">
        <f>_xlfn.IFNA(IF(AE310 &lt; (INDEX(SLATable[Maximum SLA],MATCH(G310,SLATable[Priority],0))),"YES","NO"),"")</f>
        <v/>
      </c>
    </row>
    <row r="311" spans="26:36" ht="15" customHeight="1">
      <c r="Z311" s="76" t="e">
        <f t="shared" ca="1" si="28"/>
        <v>#N/A</v>
      </c>
      <c r="AA311" s="75" t="e">
        <f t="shared" ca="1" si="24"/>
        <v>#N/A</v>
      </c>
      <c r="AB311" s="76">
        <f t="shared" ca="1" si="29"/>
        <v>0</v>
      </c>
      <c r="AC311" s="75">
        <f t="shared" ca="1" si="25"/>
        <v>0</v>
      </c>
      <c r="AD311" s="76">
        <f t="shared" ca="1" si="30"/>
        <v>12388.425641550926</v>
      </c>
      <c r="AE311" s="76">
        <f t="shared" si="31"/>
        <v>0</v>
      </c>
      <c r="AF311" s="75">
        <f t="shared" si="26"/>
        <v>0</v>
      </c>
      <c r="AG311" s="75">
        <f t="shared" si="27"/>
        <v>0</v>
      </c>
      <c r="AH311" s="31" t="e" cm="1">
        <f t="array" aca="1" ref="AH311" ca="1">IF((AD311) &lt; (INDEX(ResponseSLA[#All],(MATCH((G311),ResponseSLA[Priority],0))+1,3)),"YES","No")</f>
        <v>#N/A</v>
      </c>
      <c r="AI311" s="31" t="str">
        <f>_xlfn.IFNA(IF(AE311 &lt; (INDEX(SLATable[Minimum SLA],MATCH(G311,SLATable[Priority],0))),"YES","NO"),"")</f>
        <v/>
      </c>
      <c r="AJ311" t="str">
        <f>_xlfn.IFNA(IF(AE311 &lt; (INDEX(SLATable[Maximum SLA],MATCH(G311,SLATable[Priority],0))),"YES","NO"),"")</f>
        <v/>
      </c>
    </row>
    <row r="312" spans="26:36" ht="15" customHeight="1">
      <c r="Z312" s="76" t="e">
        <f t="shared" ca="1" si="28"/>
        <v>#N/A</v>
      </c>
      <c r="AA312" s="75" t="e">
        <f t="shared" ca="1" si="24"/>
        <v>#N/A</v>
      </c>
      <c r="AB312" s="76">
        <f t="shared" ca="1" si="29"/>
        <v>0</v>
      </c>
      <c r="AC312" s="75">
        <f t="shared" ca="1" si="25"/>
        <v>0</v>
      </c>
      <c r="AD312" s="76">
        <f t="shared" ca="1" si="30"/>
        <v>12388.425641550926</v>
      </c>
      <c r="AE312" s="76">
        <f t="shared" si="31"/>
        <v>0</v>
      </c>
      <c r="AF312" s="75">
        <f t="shared" si="26"/>
        <v>0</v>
      </c>
      <c r="AG312" s="75">
        <f t="shared" si="27"/>
        <v>0</v>
      </c>
      <c r="AH312" s="31" t="e" cm="1">
        <f t="array" aca="1" ref="AH312" ca="1">IF((AD312) &lt; (INDEX(ResponseSLA[#All],(MATCH((G312),ResponseSLA[Priority],0))+1,3)),"YES","No")</f>
        <v>#N/A</v>
      </c>
      <c r="AI312" s="31" t="str">
        <f>_xlfn.IFNA(IF(AE312 &lt; (INDEX(SLATable[Minimum SLA],MATCH(G312,SLATable[Priority],0))),"YES","NO"),"")</f>
        <v/>
      </c>
      <c r="AJ312" t="str">
        <f>_xlfn.IFNA(IF(AE312 &lt; (INDEX(SLATable[Maximum SLA],MATCH(G312,SLATable[Priority],0))),"YES","NO"),"")</f>
        <v/>
      </c>
    </row>
    <row r="313" spans="26:36" ht="15" customHeight="1">
      <c r="Z313" s="76" t="e">
        <f t="shared" ca="1" si="28"/>
        <v>#N/A</v>
      </c>
      <c r="AA313" s="75" t="e">
        <f t="shared" ca="1" si="24"/>
        <v>#N/A</v>
      </c>
      <c r="AB313" s="76">
        <f t="shared" ca="1" si="29"/>
        <v>0</v>
      </c>
      <c r="AC313" s="75">
        <f t="shared" ca="1" si="25"/>
        <v>0</v>
      </c>
      <c r="AD313" s="76">
        <f t="shared" ca="1" si="30"/>
        <v>12388.425641782411</v>
      </c>
      <c r="AE313" s="76">
        <f t="shared" si="31"/>
        <v>0</v>
      </c>
      <c r="AF313" s="75">
        <f t="shared" si="26"/>
        <v>0</v>
      </c>
      <c r="AG313" s="75">
        <f t="shared" si="27"/>
        <v>0</v>
      </c>
      <c r="AH313" s="31" t="e" cm="1">
        <f t="array" aca="1" ref="AH313" ca="1">IF((AD313) &lt; (INDEX(ResponseSLA[#All],(MATCH((G313),ResponseSLA[Priority],0))+1,3)),"YES","No")</f>
        <v>#N/A</v>
      </c>
      <c r="AI313" s="31" t="str">
        <f>_xlfn.IFNA(IF(AE313 &lt; (INDEX(SLATable[Minimum SLA],MATCH(G313,SLATable[Priority],0))),"YES","NO"),"")</f>
        <v/>
      </c>
      <c r="AJ313" t="str">
        <f>_xlfn.IFNA(IF(AE313 &lt; (INDEX(SLATable[Maximum SLA],MATCH(G313,SLATable[Priority],0))),"YES","NO"),"")</f>
        <v/>
      </c>
    </row>
    <row r="314" spans="26:36" ht="15" customHeight="1">
      <c r="Z314" s="76" t="e">
        <f t="shared" ca="1" si="28"/>
        <v>#N/A</v>
      </c>
      <c r="AA314" s="75" t="e">
        <f t="shared" ca="1" si="24"/>
        <v>#N/A</v>
      </c>
      <c r="AB314" s="76">
        <f t="shared" ca="1" si="29"/>
        <v>0</v>
      </c>
      <c r="AC314" s="75">
        <f t="shared" ca="1" si="25"/>
        <v>0</v>
      </c>
      <c r="AD314" s="76">
        <f t="shared" ca="1" si="30"/>
        <v>12388.425641550926</v>
      </c>
      <c r="AE314" s="76">
        <f t="shared" si="31"/>
        <v>0</v>
      </c>
      <c r="AF314" s="75">
        <f t="shared" si="26"/>
        <v>0</v>
      </c>
      <c r="AG314" s="75">
        <f t="shared" si="27"/>
        <v>0</v>
      </c>
      <c r="AH314" s="31" t="e" cm="1">
        <f t="array" aca="1" ref="AH314" ca="1">IF((AD314) &lt; (INDEX(ResponseSLA[#All],(MATCH((G314),ResponseSLA[Priority],0))+1,3)),"YES","No")</f>
        <v>#N/A</v>
      </c>
      <c r="AI314" s="31" t="str">
        <f>_xlfn.IFNA(IF(AE314 &lt; (INDEX(SLATable[Minimum SLA],MATCH(G314,SLATable[Priority],0))),"YES","NO"),"")</f>
        <v/>
      </c>
      <c r="AJ314" t="str">
        <f>_xlfn.IFNA(IF(AE314 &lt; (INDEX(SLATable[Maximum SLA],MATCH(G314,SLATable[Priority],0))),"YES","NO"),"")</f>
        <v/>
      </c>
    </row>
    <row r="315" spans="26:36" ht="15" customHeight="1">
      <c r="Z315" s="76" t="e">
        <f t="shared" ca="1" si="28"/>
        <v>#N/A</v>
      </c>
      <c r="AA315" s="75" t="e">
        <f t="shared" ca="1" si="24"/>
        <v>#N/A</v>
      </c>
      <c r="AB315" s="76">
        <f t="shared" ca="1" si="29"/>
        <v>0</v>
      </c>
      <c r="AC315" s="75">
        <f t="shared" ca="1" si="25"/>
        <v>0</v>
      </c>
      <c r="AD315" s="76">
        <f t="shared" ca="1" si="30"/>
        <v>12388.425641550926</v>
      </c>
      <c r="AE315" s="76">
        <f t="shared" si="31"/>
        <v>0</v>
      </c>
      <c r="AF315" s="75">
        <f t="shared" si="26"/>
        <v>0</v>
      </c>
      <c r="AG315" s="75">
        <f t="shared" si="27"/>
        <v>0</v>
      </c>
      <c r="AH315" s="31" t="e" cm="1">
        <f t="array" aca="1" ref="AH315" ca="1">IF((AD315) &lt; (INDEX(ResponseSLA[#All],(MATCH((G315),ResponseSLA[Priority],0))+1,3)),"YES","No")</f>
        <v>#N/A</v>
      </c>
      <c r="AI315" s="31" t="str">
        <f>_xlfn.IFNA(IF(AE315 &lt; (INDEX(SLATable[Minimum SLA],MATCH(G315,SLATable[Priority],0))),"YES","NO"),"")</f>
        <v/>
      </c>
      <c r="AJ315" t="str">
        <f>_xlfn.IFNA(IF(AE315 &lt; (INDEX(SLATable[Maximum SLA],MATCH(G315,SLATable[Priority],0))),"YES","NO"),"")</f>
        <v/>
      </c>
    </row>
    <row r="316" spans="26:36" ht="15" customHeight="1">
      <c r="Z316" s="76" t="e">
        <f t="shared" ca="1" si="28"/>
        <v>#N/A</v>
      </c>
      <c r="AA316" s="75" t="e">
        <f t="shared" ca="1" si="24"/>
        <v>#N/A</v>
      </c>
      <c r="AB316" s="76">
        <f t="shared" ca="1" si="29"/>
        <v>0</v>
      </c>
      <c r="AC316" s="75">
        <f t="shared" ca="1" si="25"/>
        <v>0</v>
      </c>
      <c r="AD316" s="76">
        <f t="shared" ca="1" si="30"/>
        <v>12388.425641782411</v>
      </c>
      <c r="AE316" s="76">
        <f t="shared" si="31"/>
        <v>0</v>
      </c>
      <c r="AF316" s="75">
        <f t="shared" si="26"/>
        <v>0</v>
      </c>
      <c r="AG316" s="75">
        <f t="shared" si="27"/>
        <v>0</v>
      </c>
      <c r="AH316" s="31" t="e" cm="1">
        <f t="array" aca="1" ref="AH316" ca="1">IF((AD316) &lt; (INDEX(ResponseSLA[#All],(MATCH((G316),ResponseSLA[Priority],0))+1,3)),"YES","No")</f>
        <v>#N/A</v>
      </c>
      <c r="AI316" s="31" t="str">
        <f>_xlfn.IFNA(IF(AE316 &lt; (INDEX(SLATable[Minimum SLA],MATCH(G316,SLATable[Priority],0))),"YES","NO"),"")</f>
        <v/>
      </c>
      <c r="AJ316" t="str">
        <f>_xlfn.IFNA(IF(AE316 &lt; (INDEX(SLATable[Maximum SLA],MATCH(G316,SLATable[Priority],0))),"YES","NO"),"")</f>
        <v/>
      </c>
    </row>
    <row r="317" spans="26:36" ht="15" customHeight="1">
      <c r="Z317" s="76" t="e">
        <f t="shared" ca="1" si="28"/>
        <v>#N/A</v>
      </c>
      <c r="AA317" s="75" t="e">
        <f t="shared" ca="1" si="24"/>
        <v>#N/A</v>
      </c>
      <c r="AB317" s="76">
        <f t="shared" ca="1" si="29"/>
        <v>0</v>
      </c>
      <c r="AC317" s="75">
        <f t="shared" ca="1" si="25"/>
        <v>0</v>
      </c>
      <c r="AD317" s="76">
        <f t="shared" ca="1" si="30"/>
        <v>12388.425641550926</v>
      </c>
      <c r="AE317" s="76">
        <f t="shared" si="31"/>
        <v>0</v>
      </c>
      <c r="AF317" s="75">
        <f t="shared" si="26"/>
        <v>0</v>
      </c>
      <c r="AG317" s="75">
        <f t="shared" si="27"/>
        <v>0</v>
      </c>
      <c r="AH317" s="31" t="e" cm="1">
        <f t="array" aca="1" ref="AH317" ca="1">IF((AD317) &lt; (INDEX(ResponseSLA[#All],(MATCH((G317),ResponseSLA[Priority],0))+1,3)),"YES","No")</f>
        <v>#N/A</v>
      </c>
      <c r="AI317" s="31" t="str">
        <f>_xlfn.IFNA(IF(AE317 &lt; (INDEX(SLATable[Minimum SLA],MATCH(G317,SLATable[Priority],0))),"YES","NO"),"")</f>
        <v/>
      </c>
      <c r="AJ317" t="str">
        <f>_xlfn.IFNA(IF(AE317 &lt; (INDEX(SLATable[Maximum SLA],MATCH(G317,SLATable[Priority],0))),"YES","NO"),"")</f>
        <v/>
      </c>
    </row>
    <row r="318" spans="26:36" ht="15" customHeight="1">
      <c r="Z318" s="76" t="e">
        <f t="shared" ca="1" si="28"/>
        <v>#N/A</v>
      </c>
      <c r="AA318" s="75" t="e">
        <f t="shared" ca="1" si="24"/>
        <v>#N/A</v>
      </c>
      <c r="AB318" s="76">
        <f t="shared" ca="1" si="29"/>
        <v>0</v>
      </c>
      <c r="AC318" s="75">
        <f t="shared" ca="1" si="25"/>
        <v>0</v>
      </c>
      <c r="AD318" s="76">
        <f t="shared" ca="1" si="30"/>
        <v>12388.425641550926</v>
      </c>
      <c r="AE318" s="76">
        <f t="shared" si="31"/>
        <v>0</v>
      </c>
      <c r="AF318" s="75">
        <f t="shared" si="26"/>
        <v>0</v>
      </c>
      <c r="AG318" s="75">
        <f t="shared" si="27"/>
        <v>0</v>
      </c>
      <c r="AH318" s="31" t="e" cm="1">
        <f t="array" aca="1" ref="AH318" ca="1">IF((AD318) &lt; (INDEX(ResponseSLA[#All],(MATCH((G318),ResponseSLA[Priority],0))+1,3)),"YES","No")</f>
        <v>#N/A</v>
      </c>
      <c r="AI318" s="31" t="str">
        <f>_xlfn.IFNA(IF(AE318 &lt; (INDEX(SLATable[Minimum SLA],MATCH(G318,SLATable[Priority],0))),"YES","NO"),"")</f>
        <v/>
      </c>
      <c r="AJ318" t="str">
        <f>_xlfn.IFNA(IF(AE318 &lt; (INDEX(SLATable[Maximum SLA],MATCH(G318,SLATable[Priority],0))),"YES","NO"),"")</f>
        <v/>
      </c>
    </row>
    <row r="319" spans="26:36" ht="15" customHeight="1">
      <c r="Z319" s="76" t="e">
        <f t="shared" ca="1" si="28"/>
        <v>#N/A</v>
      </c>
      <c r="AA319" s="75" t="e">
        <f t="shared" ca="1" si="24"/>
        <v>#N/A</v>
      </c>
      <c r="AB319" s="76">
        <f t="shared" ca="1" si="29"/>
        <v>0</v>
      </c>
      <c r="AC319" s="75">
        <f t="shared" ca="1" si="25"/>
        <v>0</v>
      </c>
      <c r="AD319" s="76">
        <f t="shared" ca="1" si="30"/>
        <v>12388.425641782411</v>
      </c>
      <c r="AE319" s="76">
        <f t="shared" si="31"/>
        <v>0</v>
      </c>
      <c r="AF319" s="75">
        <f t="shared" si="26"/>
        <v>0</v>
      </c>
      <c r="AG319" s="75">
        <f t="shared" si="27"/>
        <v>0</v>
      </c>
      <c r="AH319" s="31" t="e" cm="1">
        <f t="array" aca="1" ref="AH319" ca="1">IF((AD319) &lt; (INDEX(ResponseSLA[#All],(MATCH((G319),ResponseSLA[Priority],0))+1,3)),"YES","No")</f>
        <v>#N/A</v>
      </c>
      <c r="AI319" s="31" t="str">
        <f>_xlfn.IFNA(IF(AE319 &lt; (INDEX(SLATable[Minimum SLA],MATCH(G319,SLATable[Priority],0))),"YES","NO"),"")</f>
        <v/>
      </c>
      <c r="AJ319" t="str">
        <f>_xlfn.IFNA(IF(AE319 &lt; (INDEX(SLATable[Maximum SLA],MATCH(G319,SLATable[Priority],0))),"YES","NO"),"")</f>
        <v/>
      </c>
    </row>
    <row r="320" spans="26:36" ht="15" customHeight="1">
      <c r="Z320" s="76" t="e">
        <f t="shared" ca="1" si="28"/>
        <v>#N/A</v>
      </c>
      <c r="AA320" s="75" t="e">
        <f t="shared" ca="1" si="24"/>
        <v>#N/A</v>
      </c>
      <c r="AB320" s="76">
        <f t="shared" ca="1" si="29"/>
        <v>0</v>
      </c>
      <c r="AC320" s="75">
        <f t="shared" ca="1" si="25"/>
        <v>0</v>
      </c>
      <c r="AD320" s="76">
        <f t="shared" ca="1" si="30"/>
        <v>12388.425641550926</v>
      </c>
      <c r="AE320" s="76">
        <f t="shared" si="31"/>
        <v>0</v>
      </c>
      <c r="AF320" s="75">
        <f t="shared" si="26"/>
        <v>0</v>
      </c>
      <c r="AG320" s="75">
        <f t="shared" si="27"/>
        <v>0</v>
      </c>
      <c r="AH320" s="31" t="e" cm="1">
        <f t="array" aca="1" ref="AH320" ca="1">IF((AD320) &lt; (INDEX(ResponseSLA[#All],(MATCH((G320),ResponseSLA[Priority],0))+1,3)),"YES","No")</f>
        <v>#N/A</v>
      </c>
      <c r="AI320" s="31" t="str">
        <f>_xlfn.IFNA(IF(AE320 &lt; (INDEX(SLATable[Minimum SLA],MATCH(G320,SLATable[Priority],0))),"YES","NO"),"")</f>
        <v/>
      </c>
      <c r="AJ320" t="str">
        <f>_xlfn.IFNA(IF(AE320 &lt; (INDEX(SLATable[Maximum SLA],MATCH(G320,SLATable[Priority],0))),"YES","NO"),"")</f>
        <v/>
      </c>
    </row>
    <row r="321" spans="26:36" ht="15" customHeight="1">
      <c r="Z321" s="76" t="e">
        <f t="shared" ca="1" si="28"/>
        <v>#N/A</v>
      </c>
      <c r="AA321" s="75" t="e">
        <f t="shared" ref="AA321:AA384" ca="1" si="32">(Z321*24)/9</f>
        <v>#N/A</v>
      </c>
      <c r="AB321" s="76">
        <f t="shared" ca="1" si="29"/>
        <v>0</v>
      </c>
      <c r="AC321" s="75">
        <f t="shared" ref="AC321:AC384" ca="1" si="33">(AB321*24)/9</f>
        <v>0</v>
      </c>
      <c r="AD321" s="76">
        <f t="shared" ca="1" si="30"/>
        <v>12388.425641550926</v>
      </c>
      <c r="AE321" s="76">
        <f t="shared" si="31"/>
        <v>0</v>
      </c>
      <c r="AF321" s="75">
        <f t="shared" ref="AF321:AF384" si="34">(AE321*24)/9</f>
        <v>0</v>
      </c>
      <c r="AG321" s="75">
        <f t="shared" ref="AG321:AG384" si="35">AF321</f>
        <v>0</v>
      </c>
      <c r="AH321" s="31" t="e" cm="1">
        <f t="array" aca="1" ref="AH321" ca="1">IF((AD321) &lt; (INDEX(ResponseSLA[#All],(MATCH((G321),ResponseSLA[Priority],0))+1,3)),"YES","No")</f>
        <v>#N/A</v>
      </c>
      <c r="AI321" s="31" t="str">
        <f>_xlfn.IFNA(IF(AE321 &lt; (INDEX(SLATable[Minimum SLA],MATCH(G321,SLATable[Priority],0))),"YES","NO"),"")</f>
        <v/>
      </c>
      <c r="AJ321" t="str">
        <f>_xlfn.IFNA(IF(AE321 &lt; (INDEX(SLATable[Maximum SLA],MATCH(G321,SLATable[Priority],0))),"YES","NO"),"")</f>
        <v/>
      </c>
    </row>
    <row r="322" spans="26:36" ht="15" customHeight="1">
      <c r="Z322" s="76" t="e">
        <f t="shared" ca="1" si="28"/>
        <v>#N/A</v>
      </c>
      <c r="AA322" s="75" t="e">
        <f t="shared" ca="1" si="32"/>
        <v>#N/A</v>
      </c>
      <c r="AB322" s="76">
        <f t="shared" ca="1" si="29"/>
        <v>0</v>
      </c>
      <c r="AC322" s="75">
        <f t="shared" ca="1" si="33"/>
        <v>0</v>
      </c>
      <c r="AD322" s="76">
        <f t="shared" ca="1" si="30"/>
        <v>12388.425641782411</v>
      </c>
      <c r="AE322" s="76">
        <f t="shared" si="31"/>
        <v>0</v>
      </c>
      <c r="AF322" s="75">
        <f t="shared" si="34"/>
        <v>0</v>
      </c>
      <c r="AG322" s="75">
        <f t="shared" si="35"/>
        <v>0</v>
      </c>
      <c r="AH322" s="31" t="e" cm="1">
        <f t="array" aca="1" ref="AH322" ca="1">IF((AD322) &lt; (INDEX(ResponseSLA[#All],(MATCH((G322),ResponseSLA[Priority],0))+1,3)),"YES","No")</f>
        <v>#N/A</v>
      </c>
      <c r="AI322" s="31" t="str">
        <f>_xlfn.IFNA(IF(AE322 &lt; (INDEX(SLATable[Minimum SLA],MATCH(G322,SLATable[Priority],0))),"YES","NO"),"")</f>
        <v/>
      </c>
      <c r="AJ322" t="str">
        <f>_xlfn.IFNA(IF(AE322 &lt; (INDEX(SLATable[Maximum SLA],MATCH(G322,SLATable[Priority],0))),"YES","NO"),"")</f>
        <v/>
      </c>
    </row>
    <row r="323" spans="26:36" ht="15" customHeight="1">
      <c r="Z323" s="76" t="e">
        <f t="shared" ref="Z323:Z386" ca="1" si="36">IF(NOT(OR(G323=1,G323=2)),MAX(0,_xlfn.IFS(AND(K323&lt;&gt;"",N323&lt;&gt;""),((MAX(NETWORKDAYS(K323,N323,UKBankHolidays)-1,0))*(TIME(17,0,0)-TIME(8,0,0))+IF(NETWORKDAYS(N323,N323,UKBankHolidays)&gt;0,MEDIAN(TIME(8,0,0),MOD(N323,1),TIME(17,0,0)),TIME(8,0,0))-IF(NETWORKDAYS(K323,K323,UKBankHolidays)&gt;0,MEDIAN(TIME(8,0,0),MOD(K323,1),TIME(17,0,0)),TIME(8,0,0)))-IF(AND(O323&lt;&gt;"",P323&lt;&gt;""),((MAX(NETWORKDAYS(O323,P323,UKBankHolidays)-1,0))*(TIME(17,0,0)-TIME(8,0,0))+IF(NETWORKDAYS(P323,P323,UKBankHolidays)&gt;0,MEDIAN(TIME(8,0,0),MOD(P323,1),TIME(17,0,0)),TIME(8,0,0))-IF(NETWORKDAYS(O323,O323,UKBankHolidays)&gt;0,MEDIAN(TIME(8,0,0),MOD(O323,1),TIME(17,0,0)),TIME(8,0,0))),0),AND(K323&lt;&gt;"",N323=""),((MAX(NETWORKDAYS(K323,NOW(),UKBankHolidays)-1,0))*(TIME(17,0,0)-TIME(8,0,0))+IF(NETWORKDAYS(NOW(),NOW(),UKBankHolidays)&gt;0,MEDIAN(TIME(8,0,0),MOD(NOW(),1),TIME(17,0,0)),TIME(8,0,0))-IF(NETWORKDAYS(K323,K323,UKBankHolidays)&gt;0,MEDIAN(TIME(8,0,0),MOD(K323,1),TIME(17,0,0)),TIME(8,0,0))))),IF(N323="",NOW()-K323,N323-K323))</f>
        <v>#N/A</v>
      </c>
      <c r="AA323" s="75" t="e">
        <f t="shared" ca="1" si="32"/>
        <v>#N/A</v>
      </c>
      <c r="AB323" s="76">
        <f t="shared" ref="AB323:AB386" ca="1" si="37">IF(NOT(OR(G323=1,G323=2)),MAX(0,_xlfn.IFS(AND(K323&lt;&gt;"",N323&lt;&gt;""),(((MAX(NETWORKDAYS(L323,N323,UKBankHolidays)-1,0))*(TIME(17,0,0)-TIME(8,0,0)))+IF(NETWORKDAYS(N323,N323,UKBankHolidays)&gt;0,MEDIAN(TIME(8,0,0),MOD(N323,1),TIME(17,0,0)),TIME(8,0,0))-IF(NETWORKDAYS(L323,L323,UKBankHolidays)&gt;0,MEDIAN(TIME(8,0,0),MOD(L323,1),TIME(17,0,0)),TIME(8,0,0)))-IF(AND(O323&lt;&gt;"",P323&lt;&gt;""),(((MAX(NETWORKDAYS(O323,P323,UKBankHolidays)-1,0))*(TIME(17,0,0)-TIME(8,0,0)))+IF(NETWORKDAYS(P323,P323,UKBankHolidays)&gt;0,MEDIAN(TIME(8,0,0),MOD(P323,1),TIME(17,0,0)),TIME(8,0,0))-IF(NETWORKDAYS(O323,O323,UKBankHolidays)&gt;0,MEDIAN(TIME(8,0,0),MOD(O323,1),TIME(17,0,0)),TIME(8,0,0))),0),AND(L323&lt;&gt;"",N323="",O323=""),(((MAX(NETWORKDAYS(L323,NOW(),UKBankHolidays)-1,0))*(TIME(17,0,0)-TIME(8,0,0)))+IF(NETWORKDAYS(NOW(),NOW(),UKBankHolidays)&gt;0,MEDIAN(TIME(8,0,0),MOD(NOW(),1),TIME(17,0,0)),TIME(8,0,0))-IF(NETWORKDAYS(L323,L323,UKBankHolidays)&gt;0,MEDIAN(TIME(8,0,0),MOD(L323,1),TIME(17,0,0)),TIME(8,0,0)))-IF(AND(O323&lt;&gt;"",P323&lt;&gt;""),(((MAX(NETWORKDAYS(O323,P323,UKBankHolidays)-1,0))*(TIME(17,0,0)-TIME(8,0,0)))+IF(NETWORKDAYS(P323,P323,UKBankHolidays)&gt;0,MEDIAN(TIME(8,0,0),MOD(P323,1),TIME(17,0,0)),TIME(8,0,0))-IF(NETWORKDAYS(O323,O323,UKBankHolidays)&gt;0,MEDIAN(TIME(8,0,0),MOD(O323,1),TIME(17,0,0)),TIME(8,0,0))),0),AND(L323&lt;&gt;"",N323="",P323="",O323&lt;&gt;""),(((MAX(NETWORKDAYS(L323,O323,UKBankHolidays)-1,0))*(TIME(17,0,0)-TIME(8,0,0)))+IF(NETWORKDAYS(O323,O323,UKBankHolidays)&gt;0,MEDIAN(TIME(8,0,0),MOD(O323,1),TIME(17,0,0)),TIME(8,0,0))-IF(NETWORKDAYS(L323,L323,UKBankHolidays)&gt;0,MEDIAN(TIME(8,0,0),MOD(L323,1),TIME(17,0,0)),TIME(8,0,0))),ISBLANK(K323),"0")),IF(ISBLANK(N323),NOW()-L323,N323-L323))</f>
        <v>0</v>
      </c>
      <c r="AC323" s="75">
        <f t="shared" ca="1" si="33"/>
        <v>0</v>
      </c>
      <c r="AD323" s="76">
        <f t="shared" ref="AD323:AD386" ca="1" si="38">MAX(0,IF(NOT(OR(G323=1,G323=2)),IF(M323&lt;&gt;"",((MAX(NETWORKDAYS(L323,M323,UKBankHolidays)-1,0))*(TIME(17,0,0)-TIME(8,0,0))+IF(NETWORKDAYS(M323,M323,UKBankHolidays)&gt;0,MEDIAN(TIME(8,0,0),MOD(M323,1),TIME(17,0,0)),TIME(8,0,0))-MEDIAN(TIME(8,0,0),MOD(L323,1),TIME(17,0,0))),((MAX(NETWORKDAYS(L323,NOW(),UKBankHolidays)-1,0))*(TIME(17,0,0)-TIME(8,0,0))+IF(NETWORKDAYS(NOW(),NOW(),UKBankHolidays)&gt;0,MEDIAN(TIME(8,0,0),MOD(NOW(),1),TIME(17,0,0)),TIME(8,0,0))-MEDIAN(TIME(8,0,0),MOD(L323,1),TIME(17,0,0)))),IF(M323&lt;&gt;"",M323-L323,NOW()-L323)))</f>
        <v>12388.425641550926</v>
      </c>
      <c r="AE323" s="76">
        <f t="shared" ref="AE323:AE386" si="39">SUMIFS(AB:AB,E:E,E323)</f>
        <v>0</v>
      </c>
      <c r="AF323" s="75">
        <f t="shared" si="34"/>
        <v>0</v>
      </c>
      <c r="AG323" s="75">
        <f t="shared" si="35"/>
        <v>0</v>
      </c>
      <c r="AH323" s="31" t="e" cm="1">
        <f t="array" aca="1" ref="AH323" ca="1">IF((AD323) &lt; (INDEX(ResponseSLA[#All],(MATCH((G323),ResponseSLA[Priority],0))+1,3)),"YES","No")</f>
        <v>#N/A</v>
      </c>
      <c r="AI323" s="31" t="str">
        <f>_xlfn.IFNA(IF(AE323 &lt; (INDEX(SLATable[Minimum SLA],MATCH(G323,SLATable[Priority],0))),"YES","NO"),"")</f>
        <v/>
      </c>
      <c r="AJ323" t="str">
        <f>_xlfn.IFNA(IF(AE323 &lt; (INDEX(SLATable[Maximum SLA],MATCH(G323,SLATable[Priority],0))),"YES","NO"),"")</f>
        <v/>
      </c>
    </row>
    <row r="324" spans="26:36" ht="15" customHeight="1">
      <c r="Z324" s="76" t="e">
        <f t="shared" ca="1" si="36"/>
        <v>#N/A</v>
      </c>
      <c r="AA324" s="75" t="e">
        <f t="shared" ca="1" si="32"/>
        <v>#N/A</v>
      </c>
      <c r="AB324" s="76">
        <f t="shared" ca="1" si="37"/>
        <v>0</v>
      </c>
      <c r="AC324" s="75">
        <f t="shared" ca="1" si="33"/>
        <v>0</v>
      </c>
      <c r="AD324" s="76">
        <f t="shared" ca="1" si="38"/>
        <v>12388.425641550926</v>
      </c>
      <c r="AE324" s="76">
        <f t="shared" si="39"/>
        <v>0</v>
      </c>
      <c r="AF324" s="75">
        <f t="shared" si="34"/>
        <v>0</v>
      </c>
      <c r="AG324" s="75">
        <f t="shared" si="35"/>
        <v>0</v>
      </c>
      <c r="AH324" s="31" t="e" cm="1">
        <f t="array" aca="1" ref="AH324" ca="1">IF((AD324) &lt; (INDEX(ResponseSLA[#All],(MATCH((G324),ResponseSLA[Priority],0))+1,3)),"YES","No")</f>
        <v>#N/A</v>
      </c>
      <c r="AI324" s="31" t="str">
        <f>_xlfn.IFNA(IF(AE324 &lt; (INDEX(SLATable[Minimum SLA],MATCH(G324,SLATable[Priority],0))),"YES","NO"),"")</f>
        <v/>
      </c>
      <c r="AJ324" t="str">
        <f>_xlfn.IFNA(IF(AE324 &lt; (INDEX(SLATable[Maximum SLA],MATCH(G324,SLATable[Priority],0))),"YES","NO"),"")</f>
        <v/>
      </c>
    </row>
    <row r="325" spans="26:36" ht="15" customHeight="1">
      <c r="Z325" s="76" t="e">
        <f t="shared" ca="1" si="36"/>
        <v>#N/A</v>
      </c>
      <c r="AA325" s="75" t="e">
        <f t="shared" ca="1" si="32"/>
        <v>#N/A</v>
      </c>
      <c r="AB325" s="76">
        <f t="shared" ca="1" si="37"/>
        <v>0</v>
      </c>
      <c r="AC325" s="75">
        <f t="shared" ca="1" si="33"/>
        <v>0</v>
      </c>
      <c r="AD325" s="76">
        <f t="shared" ca="1" si="38"/>
        <v>12388.425641782411</v>
      </c>
      <c r="AE325" s="76">
        <f t="shared" si="39"/>
        <v>0</v>
      </c>
      <c r="AF325" s="75">
        <f t="shared" si="34"/>
        <v>0</v>
      </c>
      <c r="AG325" s="75">
        <f t="shared" si="35"/>
        <v>0</v>
      </c>
      <c r="AH325" s="31" t="e" cm="1">
        <f t="array" aca="1" ref="AH325" ca="1">IF((AD325) &lt; (INDEX(ResponseSLA[#All],(MATCH((G325),ResponseSLA[Priority],0))+1,3)),"YES","No")</f>
        <v>#N/A</v>
      </c>
      <c r="AI325" s="31" t="str">
        <f>_xlfn.IFNA(IF(AE325 &lt; (INDEX(SLATable[Minimum SLA],MATCH(G325,SLATable[Priority],0))),"YES","NO"),"")</f>
        <v/>
      </c>
      <c r="AJ325" t="str">
        <f>_xlfn.IFNA(IF(AE325 &lt; (INDEX(SLATable[Maximum SLA],MATCH(G325,SLATable[Priority],0))),"YES","NO"),"")</f>
        <v/>
      </c>
    </row>
    <row r="326" spans="26:36" ht="15" customHeight="1">
      <c r="Z326" s="76" t="e">
        <f t="shared" ca="1" si="36"/>
        <v>#N/A</v>
      </c>
      <c r="AA326" s="75" t="e">
        <f t="shared" ca="1" si="32"/>
        <v>#N/A</v>
      </c>
      <c r="AB326" s="76">
        <f t="shared" ca="1" si="37"/>
        <v>0</v>
      </c>
      <c r="AC326" s="75">
        <f t="shared" ca="1" si="33"/>
        <v>0</v>
      </c>
      <c r="AD326" s="76">
        <f t="shared" ca="1" si="38"/>
        <v>12388.425641550926</v>
      </c>
      <c r="AE326" s="76">
        <f t="shared" si="39"/>
        <v>0</v>
      </c>
      <c r="AF326" s="75">
        <f t="shared" si="34"/>
        <v>0</v>
      </c>
      <c r="AG326" s="75">
        <f t="shared" si="35"/>
        <v>0</v>
      </c>
      <c r="AH326" s="31" t="e" cm="1">
        <f t="array" aca="1" ref="AH326" ca="1">IF((AD326) &lt; (INDEX(ResponseSLA[#All],(MATCH((G326),ResponseSLA[Priority],0))+1,3)),"YES","No")</f>
        <v>#N/A</v>
      </c>
      <c r="AI326" s="31" t="str">
        <f>_xlfn.IFNA(IF(AE326 &lt; (INDEX(SLATable[Minimum SLA],MATCH(G326,SLATable[Priority],0))),"YES","NO"),"")</f>
        <v/>
      </c>
      <c r="AJ326" t="str">
        <f>_xlfn.IFNA(IF(AE326 &lt; (INDEX(SLATable[Maximum SLA],MATCH(G326,SLATable[Priority],0))),"YES","NO"),"")</f>
        <v/>
      </c>
    </row>
    <row r="327" spans="26:36" ht="15" customHeight="1">
      <c r="Z327" s="76" t="e">
        <f t="shared" ca="1" si="36"/>
        <v>#N/A</v>
      </c>
      <c r="AA327" s="75" t="e">
        <f t="shared" ca="1" si="32"/>
        <v>#N/A</v>
      </c>
      <c r="AB327" s="76">
        <f t="shared" ca="1" si="37"/>
        <v>0</v>
      </c>
      <c r="AC327" s="75">
        <f t="shared" ca="1" si="33"/>
        <v>0</v>
      </c>
      <c r="AD327" s="76">
        <f t="shared" ca="1" si="38"/>
        <v>12388.425641550926</v>
      </c>
      <c r="AE327" s="76">
        <f t="shared" si="39"/>
        <v>0</v>
      </c>
      <c r="AF327" s="75">
        <f t="shared" si="34"/>
        <v>0</v>
      </c>
      <c r="AG327" s="75">
        <f t="shared" si="35"/>
        <v>0</v>
      </c>
      <c r="AH327" s="31" t="e" cm="1">
        <f t="array" aca="1" ref="AH327" ca="1">IF((AD327) &lt; (INDEX(ResponseSLA[#All],(MATCH((G327),ResponseSLA[Priority],0))+1,3)),"YES","No")</f>
        <v>#N/A</v>
      </c>
      <c r="AI327" s="31" t="str">
        <f>_xlfn.IFNA(IF(AE327 &lt; (INDEX(SLATable[Minimum SLA],MATCH(G327,SLATable[Priority],0))),"YES","NO"),"")</f>
        <v/>
      </c>
      <c r="AJ327" t="str">
        <f>_xlfn.IFNA(IF(AE327 &lt; (INDEX(SLATable[Maximum SLA],MATCH(G327,SLATable[Priority],0))),"YES","NO"),"")</f>
        <v/>
      </c>
    </row>
    <row r="328" spans="26:36" ht="15" customHeight="1">
      <c r="Z328" s="76" t="e">
        <f t="shared" ca="1" si="36"/>
        <v>#N/A</v>
      </c>
      <c r="AA328" s="75" t="e">
        <f t="shared" ca="1" si="32"/>
        <v>#N/A</v>
      </c>
      <c r="AB328" s="76">
        <f t="shared" ca="1" si="37"/>
        <v>0</v>
      </c>
      <c r="AC328" s="75">
        <f t="shared" ca="1" si="33"/>
        <v>0</v>
      </c>
      <c r="AD328" s="76">
        <f t="shared" ca="1" si="38"/>
        <v>12388.425641782411</v>
      </c>
      <c r="AE328" s="76">
        <f t="shared" si="39"/>
        <v>0</v>
      </c>
      <c r="AF328" s="75">
        <f t="shared" si="34"/>
        <v>0</v>
      </c>
      <c r="AG328" s="75">
        <f t="shared" si="35"/>
        <v>0</v>
      </c>
      <c r="AH328" s="31" t="e" cm="1">
        <f t="array" aca="1" ref="AH328" ca="1">IF((AD328) &lt; (INDEX(ResponseSLA[#All],(MATCH((G328),ResponseSLA[Priority],0))+1,3)),"YES","No")</f>
        <v>#N/A</v>
      </c>
      <c r="AI328" s="31" t="str">
        <f>_xlfn.IFNA(IF(AE328 &lt; (INDEX(SLATable[Minimum SLA],MATCH(G328,SLATable[Priority],0))),"YES","NO"),"")</f>
        <v/>
      </c>
      <c r="AJ328" t="str">
        <f>_xlfn.IFNA(IF(AE328 &lt; (INDEX(SLATable[Maximum SLA],MATCH(G328,SLATable[Priority],0))),"YES","NO"),"")</f>
        <v/>
      </c>
    </row>
    <row r="329" spans="26:36" ht="15" customHeight="1">
      <c r="Z329" s="76" t="e">
        <f t="shared" ca="1" si="36"/>
        <v>#N/A</v>
      </c>
      <c r="AA329" s="75" t="e">
        <f t="shared" ca="1" si="32"/>
        <v>#N/A</v>
      </c>
      <c r="AB329" s="76">
        <f t="shared" ca="1" si="37"/>
        <v>0</v>
      </c>
      <c r="AC329" s="75">
        <f t="shared" ca="1" si="33"/>
        <v>0</v>
      </c>
      <c r="AD329" s="76">
        <f t="shared" ca="1" si="38"/>
        <v>12388.425641550926</v>
      </c>
      <c r="AE329" s="76">
        <f t="shared" si="39"/>
        <v>0</v>
      </c>
      <c r="AF329" s="75">
        <f t="shared" si="34"/>
        <v>0</v>
      </c>
      <c r="AG329" s="75">
        <f t="shared" si="35"/>
        <v>0</v>
      </c>
      <c r="AH329" s="31" t="e" cm="1">
        <f t="array" aca="1" ref="AH329" ca="1">IF((AD329) &lt; (INDEX(ResponseSLA[#All],(MATCH((G329),ResponseSLA[Priority],0))+1,3)),"YES","No")</f>
        <v>#N/A</v>
      </c>
      <c r="AI329" s="31" t="str">
        <f>_xlfn.IFNA(IF(AE329 &lt; (INDEX(SLATable[Minimum SLA],MATCH(G329,SLATable[Priority],0))),"YES","NO"),"")</f>
        <v/>
      </c>
      <c r="AJ329" t="str">
        <f>_xlfn.IFNA(IF(AE329 &lt; (INDEX(SLATable[Maximum SLA],MATCH(G329,SLATable[Priority],0))),"YES","NO"),"")</f>
        <v/>
      </c>
    </row>
    <row r="330" spans="26:36" ht="15" customHeight="1">
      <c r="Z330" s="76" t="e">
        <f t="shared" ca="1" si="36"/>
        <v>#N/A</v>
      </c>
      <c r="AA330" s="75" t="e">
        <f t="shared" ca="1" si="32"/>
        <v>#N/A</v>
      </c>
      <c r="AB330" s="76">
        <f t="shared" ca="1" si="37"/>
        <v>0</v>
      </c>
      <c r="AC330" s="75">
        <f t="shared" ca="1" si="33"/>
        <v>0</v>
      </c>
      <c r="AD330" s="76">
        <f t="shared" ca="1" si="38"/>
        <v>12388.425641550926</v>
      </c>
      <c r="AE330" s="76">
        <f t="shared" si="39"/>
        <v>0</v>
      </c>
      <c r="AF330" s="75">
        <f t="shared" si="34"/>
        <v>0</v>
      </c>
      <c r="AG330" s="75">
        <f t="shared" si="35"/>
        <v>0</v>
      </c>
      <c r="AH330" s="31" t="e" cm="1">
        <f t="array" aca="1" ref="AH330" ca="1">IF((AD330) &lt; (INDEX(ResponseSLA[#All],(MATCH((G330),ResponseSLA[Priority],0))+1,3)),"YES","No")</f>
        <v>#N/A</v>
      </c>
      <c r="AI330" s="31" t="str">
        <f>_xlfn.IFNA(IF(AE330 &lt; (INDEX(SLATable[Minimum SLA],MATCH(G330,SLATable[Priority],0))),"YES","NO"),"")</f>
        <v/>
      </c>
      <c r="AJ330" t="str">
        <f>_xlfn.IFNA(IF(AE330 &lt; (INDEX(SLATable[Maximum SLA],MATCH(G330,SLATable[Priority],0))),"YES","NO"),"")</f>
        <v/>
      </c>
    </row>
    <row r="331" spans="26:36" ht="15" customHeight="1">
      <c r="Z331" s="76" t="e">
        <f t="shared" ca="1" si="36"/>
        <v>#N/A</v>
      </c>
      <c r="AA331" s="75" t="e">
        <f t="shared" ca="1" si="32"/>
        <v>#N/A</v>
      </c>
      <c r="AB331" s="76">
        <f t="shared" ca="1" si="37"/>
        <v>0</v>
      </c>
      <c r="AC331" s="75">
        <f t="shared" ca="1" si="33"/>
        <v>0</v>
      </c>
      <c r="AD331" s="76">
        <f t="shared" ca="1" si="38"/>
        <v>12388.425641782411</v>
      </c>
      <c r="AE331" s="76">
        <f t="shared" si="39"/>
        <v>0</v>
      </c>
      <c r="AF331" s="75">
        <f t="shared" si="34"/>
        <v>0</v>
      </c>
      <c r="AG331" s="75">
        <f t="shared" si="35"/>
        <v>0</v>
      </c>
      <c r="AH331" s="31" t="e" cm="1">
        <f t="array" aca="1" ref="AH331" ca="1">IF((AD331) &lt; (INDEX(ResponseSLA[#All],(MATCH((G331),ResponseSLA[Priority],0))+1,3)),"YES","No")</f>
        <v>#N/A</v>
      </c>
      <c r="AI331" s="31" t="str">
        <f>_xlfn.IFNA(IF(AE331 &lt; (INDEX(SLATable[Minimum SLA],MATCH(G331,SLATable[Priority],0))),"YES","NO"),"")</f>
        <v/>
      </c>
      <c r="AJ331" t="str">
        <f>_xlfn.IFNA(IF(AE331 &lt; (INDEX(SLATable[Maximum SLA],MATCH(G331,SLATable[Priority],0))),"YES","NO"),"")</f>
        <v/>
      </c>
    </row>
    <row r="332" spans="26:36" ht="15" customHeight="1">
      <c r="Z332" s="76" t="e">
        <f t="shared" ca="1" si="36"/>
        <v>#N/A</v>
      </c>
      <c r="AA332" s="75" t="e">
        <f t="shared" ca="1" si="32"/>
        <v>#N/A</v>
      </c>
      <c r="AB332" s="76">
        <f t="shared" ca="1" si="37"/>
        <v>0</v>
      </c>
      <c r="AC332" s="75">
        <f t="shared" ca="1" si="33"/>
        <v>0</v>
      </c>
      <c r="AD332" s="76">
        <f t="shared" ca="1" si="38"/>
        <v>12388.425641550926</v>
      </c>
      <c r="AE332" s="76">
        <f t="shared" si="39"/>
        <v>0</v>
      </c>
      <c r="AF332" s="75">
        <f t="shared" si="34"/>
        <v>0</v>
      </c>
      <c r="AG332" s="75">
        <f t="shared" si="35"/>
        <v>0</v>
      </c>
      <c r="AH332" s="31" t="e" cm="1">
        <f t="array" aca="1" ref="AH332" ca="1">IF((AD332) &lt; (INDEX(ResponseSLA[#All],(MATCH((G332),ResponseSLA[Priority],0))+1,3)),"YES","No")</f>
        <v>#N/A</v>
      </c>
      <c r="AI332" s="31" t="str">
        <f>_xlfn.IFNA(IF(AE332 &lt; (INDEX(SLATable[Minimum SLA],MATCH(G332,SLATable[Priority],0))),"YES","NO"),"")</f>
        <v/>
      </c>
      <c r="AJ332" t="str">
        <f>_xlfn.IFNA(IF(AE332 &lt; (INDEX(SLATable[Maximum SLA],MATCH(G332,SLATable[Priority],0))),"YES","NO"),"")</f>
        <v/>
      </c>
    </row>
    <row r="333" spans="26:36" ht="15" customHeight="1">
      <c r="Z333" s="76" t="e">
        <f t="shared" ca="1" si="36"/>
        <v>#N/A</v>
      </c>
      <c r="AA333" s="75" t="e">
        <f t="shared" ca="1" si="32"/>
        <v>#N/A</v>
      </c>
      <c r="AB333" s="76">
        <f t="shared" ca="1" si="37"/>
        <v>0</v>
      </c>
      <c r="AC333" s="75">
        <f t="shared" ca="1" si="33"/>
        <v>0</v>
      </c>
      <c r="AD333" s="76">
        <f t="shared" ca="1" si="38"/>
        <v>12388.425641550926</v>
      </c>
      <c r="AE333" s="76">
        <f t="shared" si="39"/>
        <v>0</v>
      </c>
      <c r="AF333" s="75">
        <f t="shared" si="34"/>
        <v>0</v>
      </c>
      <c r="AG333" s="75">
        <f t="shared" si="35"/>
        <v>0</v>
      </c>
      <c r="AH333" s="31" t="e" cm="1">
        <f t="array" aca="1" ref="AH333" ca="1">IF((AD333) &lt; (INDEX(ResponseSLA[#All],(MATCH((G333),ResponseSLA[Priority],0))+1,3)),"YES","No")</f>
        <v>#N/A</v>
      </c>
      <c r="AI333" s="31" t="str">
        <f>_xlfn.IFNA(IF(AE333 &lt; (INDEX(SLATable[Minimum SLA],MATCH(G333,SLATable[Priority],0))),"YES","NO"),"")</f>
        <v/>
      </c>
      <c r="AJ333" t="str">
        <f>_xlfn.IFNA(IF(AE333 &lt; (INDEX(SLATable[Maximum SLA],MATCH(G333,SLATable[Priority],0))),"YES","NO"),"")</f>
        <v/>
      </c>
    </row>
    <row r="334" spans="26:36" ht="15" customHeight="1">
      <c r="Z334" s="76" t="e">
        <f t="shared" ca="1" si="36"/>
        <v>#N/A</v>
      </c>
      <c r="AA334" s="75" t="e">
        <f t="shared" ca="1" si="32"/>
        <v>#N/A</v>
      </c>
      <c r="AB334" s="76">
        <f t="shared" ca="1" si="37"/>
        <v>0</v>
      </c>
      <c r="AC334" s="75">
        <f t="shared" ca="1" si="33"/>
        <v>0</v>
      </c>
      <c r="AD334" s="76">
        <f t="shared" ca="1" si="38"/>
        <v>12388.425641782411</v>
      </c>
      <c r="AE334" s="76">
        <f t="shared" si="39"/>
        <v>0</v>
      </c>
      <c r="AF334" s="75">
        <f t="shared" si="34"/>
        <v>0</v>
      </c>
      <c r="AG334" s="75">
        <f t="shared" si="35"/>
        <v>0</v>
      </c>
      <c r="AH334" s="31" t="e" cm="1">
        <f t="array" aca="1" ref="AH334" ca="1">IF((AD334) &lt; (INDEX(ResponseSLA[#All],(MATCH((G334),ResponseSLA[Priority],0))+1,3)),"YES","No")</f>
        <v>#N/A</v>
      </c>
      <c r="AI334" s="31" t="str">
        <f>_xlfn.IFNA(IF(AE334 &lt; (INDEX(SLATable[Minimum SLA],MATCH(G334,SLATable[Priority],0))),"YES","NO"),"")</f>
        <v/>
      </c>
      <c r="AJ334" t="str">
        <f>_xlfn.IFNA(IF(AE334 &lt; (INDEX(SLATable[Maximum SLA],MATCH(G334,SLATable[Priority],0))),"YES","NO"),"")</f>
        <v/>
      </c>
    </row>
    <row r="335" spans="26:36" ht="15" customHeight="1">
      <c r="Z335" s="76" t="e">
        <f t="shared" ca="1" si="36"/>
        <v>#N/A</v>
      </c>
      <c r="AA335" s="75" t="e">
        <f t="shared" ca="1" si="32"/>
        <v>#N/A</v>
      </c>
      <c r="AB335" s="76">
        <f t="shared" ca="1" si="37"/>
        <v>0</v>
      </c>
      <c r="AC335" s="75">
        <f t="shared" ca="1" si="33"/>
        <v>0</v>
      </c>
      <c r="AD335" s="76">
        <f t="shared" ca="1" si="38"/>
        <v>12388.425641550926</v>
      </c>
      <c r="AE335" s="76">
        <f t="shared" si="39"/>
        <v>0</v>
      </c>
      <c r="AF335" s="75">
        <f t="shared" si="34"/>
        <v>0</v>
      </c>
      <c r="AG335" s="75">
        <f t="shared" si="35"/>
        <v>0</v>
      </c>
      <c r="AH335" s="31" t="e" cm="1">
        <f t="array" aca="1" ref="AH335" ca="1">IF((AD335) &lt; (INDEX(ResponseSLA[#All],(MATCH((G335),ResponseSLA[Priority],0))+1,3)),"YES","No")</f>
        <v>#N/A</v>
      </c>
      <c r="AI335" s="31" t="str">
        <f>_xlfn.IFNA(IF(AE335 &lt; (INDEX(SLATable[Minimum SLA],MATCH(G335,SLATable[Priority],0))),"YES","NO"),"")</f>
        <v/>
      </c>
      <c r="AJ335" t="str">
        <f>_xlfn.IFNA(IF(AE335 &lt; (INDEX(SLATable[Maximum SLA],MATCH(G335,SLATable[Priority],0))),"YES","NO"),"")</f>
        <v/>
      </c>
    </row>
    <row r="336" spans="26:36" ht="15" customHeight="1">
      <c r="Z336" s="76" t="e">
        <f t="shared" ca="1" si="36"/>
        <v>#N/A</v>
      </c>
      <c r="AA336" s="75" t="e">
        <f t="shared" ca="1" si="32"/>
        <v>#N/A</v>
      </c>
      <c r="AB336" s="76">
        <f t="shared" ca="1" si="37"/>
        <v>0</v>
      </c>
      <c r="AC336" s="75">
        <f t="shared" ca="1" si="33"/>
        <v>0</v>
      </c>
      <c r="AD336" s="76">
        <f t="shared" ca="1" si="38"/>
        <v>12388.425641550926</v>
      </c>
      <c r="AE336" s="76">
        <f t="shared" si="39"/>
        <v>0</v>
      </c>
      <c r="AF336" s="75">
        <f t="shared" si="34"/>
        <v>0</v>
      </c>
      <c r="AG336" s="75">
        <f t="shared" si="35"/>
        <v>0</v>
      </c>
      <c r="AH336" s="31" t="e" cm="1">
        <f t="array" aca="1" ref="AH336" ca="1">IF((AD336) &lt; (INDEX(ResponseSLA[#All],(MATCH((G336),ResponseSLA[Priority],0))+1,3)),"YES","No")</f>
        <v>#N/A</v>
      </c>
      <c r="AI336" s="31" t="str">
        <f>_xlfn.IFNA(IF(AE336 &lt; (INDEX(SLATable[Minimum SLA],MATCH(G336,SLATable[Priority],0))),"YES","NO"),"")</f>
        <v/>
      </c>
      <c r="AJ336" t="str">
        <f>_xlfn.IFNA(IF(AE336 &lt; (INDEX(SLATable[Maximum SLA],MATCH(G336,SLATable[Priority],0))),"YES","NO"),"")</f>
        <v/>
      </c>
    </row>
    <row r="337" spans="26:36" ht="15" customHeight="1">
      <c r="Z337" s="76" t="e">
        <f t="shared" ca="1" si="36"/>
        <v>#N/A</v>
      </c>
      <c r="AA337" s="75" t="e">
        <f t="shared" ca="1" si="32"/>
        <v>#N/A</v>
      </c>
      <c r="AB337" s="76">
        <f t="shared" ca="1" si="37"/>
        <v>0</v>
      </c>
      <c r="AC337" s="75">
        <f t="shared" ca="1" si="33"/>
        <v>0</v>
      </c>
      <c r="AD337" s="76">
        <f t="shared" ca="1" si="38"/>
        <v>12388.425641782411</v>
      </c>
      <c r="AE337" s="76">
        <f t="shared" si="39"/>
        <v>0</v>
      </c>
      <c r="AF337" s="75">
        <f t="shared" si="34"/>
        <v>0</v>
      </c>
      <c r="AG337" s="75">
        <f t="shared" si="35"/>
        <v>0</v>
      </c>
      <c r="AH337" s="31" t="e" cm="1">
        <f t="array" aca="1" ref="AH337" ca="1">IF((AD337) &lt; (INDEX(ResponseSLA[#All],(MATCH((G337),ResponseSLA[Priority],0))+1,3)),"YES","No")</f>
        <v>#N/A</v>
      </c>
      <c r="AI337" s="31" t="str">
        <f>_xlfn.IFNA(IF(AE337 &lt; (INDEX(SLATable[Minimum SLA],MATCH(G337,SLATable[Priority],0))),"YES","NO"),"")</f>
        <v/>
      </c>
      <c r="AJ337" t="str">
        <f>_xlfn.IFNA(IF(AE337 &lt; (INDEX(SLATable[Maximum SLA],MATCH(G337,SLATable[Priority],0))),"YES","NO"),"")</f>
        <v/>
      </c>
    </row>
    <row r="338" spans="26:36" ht="15" customHeight="1">
      <c r="Z338" s="76" t="e">
        <f t="shared" ca="1" si="36"/>
        <v>#N/A</v>
      </c>
      <c r="AA338" s="75" t="e">
        <f t="shared" ca="1" si="32"/>
        <v>#N/A</v>
      </c>
      <c r="AB338" s="76">
        <f t="shared" ca="1" si="37"/>
        <v>0</v>
      </c>
      <c r="AC338" s="75">
        <f t="shared" ca="1" si="33"/>
        <v>0</v>
      </c>
      <c r="AD338" s="76">
        <f t="shared" ca="1" si="38"/>
        <v>12388.425641550926</v>
      </c>
      <c r="AE338" s="76">
        <f t="shared" si="39"/>
        <v>0</v>
      </c>
      <c r="AF338" s="75">
        <f t="shared" si="34"/>
        <v>0</v>
      </c>
      <c r="AG338" s="75">
        <f t="shared" si="35"/>
        <v>0</v>
      </c>
      <c r="AH338" s="31" t="e" cm="1">
        <f t="array" aca="1" ref="AH338" ca="1">IF((AD338) &lt; (INDEX(ResponseSLA[#All],(MATCH((G338),ResponseSLA[Priority],0))+1,3)),"YES","No")</f>
        <v>#N/A</v>
      </c>
      <c r="AI338" s="31" t="str">
        <f>_xlfn.IFNA(IF(AE338 &lt; (INDEX(SLATable[Minimum SLA],MATCH(G338,SLATable[Priority],0))),"YES","NO"),"")</f>
        <v/>
      </c>
      <c r="AJ338" t="str">
        <f>_xlfn.IFNA(IF(AE338 &lt; (INDEX(SLATable[Maximum SLA],MATCH(G338,SLATable[Priority],0))),"YES","NO"),"")</f>
        <v/>
      </c>
    </row>
    <row r="339" spans="26:36" ht="15" customHeight="1">
      <c r="Z339" s="76" t="e">
        <f t="shared" ca="1" si="36"/>
        <v>#N/A</v>
      </c>
      <c r="AA339" s="75" t="e">
        <f t="shared" ca="1" si="32"/>
        <v>#N/A</v>
      </c>
      <c r="AB339" s="76">
        <f t="shared" ca="1" si="37"/>
        <v>0</v>
      </c>
      <c r="AC339" s="75">
        <f t="shared" ca="1" si="33"/>
        <v>0</v>
      </c>
      <c r="AD339" s="76">
        <f t="shared" ca="1" si="38"/>
        <v>12388.425641550926</v>
      </c>
      <c r="AE339" s="76">
        <f t="shared" si="39"/>
        <v>0</v>
      </c>
      <c r="AF339" s="75">
        <f t="shared" si="34"/>
        <v>0</v>
      </c>
      <c r="AG339" s="75">
        <f t="shared" si="35"/>
        <v>0</v>
      </c>
      <c r="AH339" s="31" t="e" cm="1">
        <f t="array" aca="1" ref="AH339" ca="1">IF((AD339) &lt; (INDEX(ResponseSLA[#All],(MATCH((G339),ResponseSLA[Priority],0))+1,3)),"YES","No")</f>
        <v>#N/A</v>
      </c>
      <c r="AI339" s="31" t="str">
        <f>_xlfn.IFNA(IF(AE339 &lt; (INDEX(SLATable[Minimum SLA],MATCH(G339,SLATable[Priority],0))),"YES","NO"),"")</f>
        <v/>
      </c>
      <c r="AJ339" t="str">
        <f>_xlfn.IFNA(IF(AE339 &lt; (INDEX(SLATable[Maximum SLA],MATCH(G339,SLATable[Priority],0))),"YES","NO"),"")</f>
        <v/>
      </c>
    </row>
    <row r="340" spans="26:36" ht="15" customHeight="1">
      <c r="Z340" s="76" t="e">
        <f t="shared" ca="1" si="36"/>
        <v>#N/A</v>
      </c>
      <c r="AA340" s="75" t="e">
        <f t="shared" ca="1" si="32"/>
        <v>#N/A</v>
      </c>
      <c r="AB340" s="76">
        <f t="shared" ca="1" si="37"/>
        <v>0</v>
      </c>
      <c r="AC340" s="75">
        <f t="shared" ca="1" si="33"/>
        <v>0</v>
      </c>
      <c r="AD340" s="76">
        <f t="shared" ca="1" si="38"/>
        <v>12388.425641782411</v>
      </c>
      <c r="AE340" s="76">
        <f t="shared" si="39"/>
        <v>0</v>
      </c>
      <c r="AF340" s="75">
        <f t="shared" si="34"/>
        <v>0</v>
      </c>
      <c r="AG340" s="75">
        <f t="shared" si="35"/>
        <v>0</v>
      </c>
      <c r="AH340" s="31" t="e" cm="1">
        <f t="array" aca="1" ref="AH340" ca="1">IF((AD340) &lt; (INDEX(ResponseSLA[#All],(MATCH((G340),ResponseSLA[Priority],0))+1,3)),"YES","No")</f>
        <v>#N/A</v>
      </c>
      <c r="AI340" s="31" t="str">
        <f>_xlfn.IFNA(IF(AE340 &lt; (INDEX(SLATable[Minimum SLA],MATCH(G340,SLATable[Priority],0))),"YES","NO"),"")</f>
        <v/>
      </c>
      <c r="AJ340" t="str">
        <f>_xlfn.IFNA(IF(AE340 &lt; (INDEX(SLATable[Maximum SLA],MATCH(G340,SLATable[Priority],0))),"YES","NO"),"")</f>
        <v/>
      </c>
    </row>
    <row r="341" spans="26:36" ht="15" customHeight="1">
      <c r="Z341" s="76" t="e">
        <f t="shared" ca="1" si="36"/>
        <v>#N/A</v>
      </c>
      <c r="AA341" s="75" t="e">
        <f t="shared" ca="1" si="32"/>
        <v>#N/A</v>
      </c>
      <c r="AB341" s="76">
        <f t="shared" ca="1" si="37"/>
        <v>0</v>
      </c>
      <c r="AC341" s="75">
        <f t="shared" ca="1" si="33"/>
        <v>0</v>
      </c>
      <c r="AD341" s="76">
        <f t="shared" ca="1" si="38"/>
        <v>12388.425641550926</v>
      </c>
      <c r="AE341" s="76">
        <f t="shared" si="39"/>
        <v>0</v>
      </c>
      <c r="AF341" s="75">
        <f t="shared" si="34"/>
        <v>0</v>
      </c>
      <c r="AG341" s="75">
        <f t="shared" si="35"/>
        <v>0</v>
      </c>
      <c r="AH341" s="31" t="e" cm="1">
        <f t="array" aca="1" ref="AH341" ca="1">IF((AD341) &lt; (INDEX(ResponseSLA[#All],(MATCH((G341),ResponseSLA[Priority],0))+1,3)),"YES","No")</f>
        <v>#N/A</v>
      </c>
      <c r="AI341" s="31" t="str">
        <f>_xlfn.IFNA(IF(AE341 &lt; (INDEX(SLATable[Minimum SLA],MATCH(G341,SLATable[Priority],0))),"YES","NO"),"")</f>
        <v/>
      </c>
      <c r="AJ341" t="str">
        <f>_xlfn.IFNA(IF(AE341 &lt; (INDEX(SLATable[Maximum SLA],MATCH(G341,SLATable[Priority],0))),"YES","NO"),"")</f>
        <v/>
      </c>
    </row>
    <row r="342" spans="26:36" ht="15" customHeight="1">
      <c r="Z342" s="76" t="e">
        <f t="shared" ca="1" si="36"/>
        <v>#N/A</v>
      </c>
      <c r="AA342" s="75" t="e">
        <f t="shared" ca="1" si="32"/>
        <v>#N/A</v>
      </c>
      <c r="AB342" s="76">
        <f t="shared" ca="1" si="37"/>
        <v>0</v>
      </c>
      <c r="AC342" s="75">
        <f t="shared" ca="1" si="33"/>
        <v>0</v>
      </c>
      <c r="AD342" s="76">
        <f t="shared" ca="1" si="38"/>
        <v>12388.425641550926</v>
      </c>
      <c r="AE342" s="76">
        <f t="shared" si="39"/>
        <v>0</v>
      </c>
      <c r="AF342" s="75">
        <f t="shared" si="34"/>
        <v>0</v>
      </c>
      <c r="AG342" s="75">
        <f t="shared" si="35"/>
        <v>0</v>
      </c>
      <c r="AH342" s="31" t="e" cm="1">
        <f t="array" aca="1" ref="AH342" ca="1">IF((AD342) &lt; (INDEX(ResponseSLA[#All],(MATCH((G342),ResponseSLA[Priority],0))+1,3)),"YES","No")</f>
        <v>#N/A</v>
      </c>
      <c r="AI342" s="31" t="str">
        <f>_xlfn.IFNA(IF(AE342 &lt; (INDEX(SLATable[Minimum SLA],MATCH(G342,SLATable[Priority],0))),"YES","NO"),"")</f>
        <v/>
      </c>
      <c r="AJ342" t="str">
        <f>_xlfn.IFNA(IF(AE342 &lt; (INDEX(SLATable[Maximum SLA],MATCH(G342,SLATable[Priority],0))),"YES","NO"),"")</f>
        <v/>
      </c>
    </row>
    <row r="343" spans="26:36" ht="15" customHeight="1">
      <c r="Z343" s="76" t="e">
        <f t="shared" ca="1" si="36"/>
        <v>#N/A</v>
      </c>
      <c r="AA343" s="75" t="e">
        <f t="shared" ca="1" si="32"/>
        <v>#N/A</v>
      </c>
      <c r="AB343" s="76">
        <f t="shared" ca="1" si="37"/>
        <v>0</v>
      </c>
      <c r="AC343" s="75">
        <f t="shared" ca="1" si="33"/>
        <v>0</v>
      </c>
      <c r="AD343" s="76">
        <f t="shared" ca="1" si="38"/>
        <v>12388.425641782411</v>
      </c>
      <c r="AE343" s="76">
        <f t="shared" si="39"/>
        <v>0</v>
      </c>
      <c r="AF343" s="75">
        <f t="shared" si="34"/>
        <v>0</v>
      </c>
      <c r="AG343" s="75">
        <f t="shared" si="35"/>
        <v>0</v>
      </c>
      <c r="AH343" s="31" t="e" cm="1">
        <f t="array" aca="1" ref="AH343" ca="1">IF((AD343) &lt; (INDEX(ResponseSLA[#All],(MATCH((G343),ResponseSLA[Priority],0))+1,3)),"YES","No")</f>
        <v>#N/A</v>
      </c>
      <c r="AI343" s="31" t="str">
        <f>_xlfn.IFNA(IF(AE343 &lt; (INDEX(SLATable[Minimum SLA],MATCH(G343,SLATable[Priority],0))),"YES","NO"),"")</f>
        <v/>
      </c>
      <c r="AJ343" t="str">
        <f>_xlfn.IFNA(IF(AE343 &lt; (INDEX(SLATable[Maximum SLA],MATCH(G343,SLATable[Priority],0))),"YES","NO"),"")</f>
        <v/>
      </c>
    </row>
    <row r="344" spans="26:36" ht="15" customHeight="1">
      <c r="Z344" s="76" t="e">
        <f t="shared" ca="1" si="36"/>
        <v>#N/A</v>
      </c>
      <c r="AA344" s="75" t="e">
        <f t="shared" ca="1" si="32"/>
        <v>#N/A</v>
      </c>
      <c r="AB344" s="76">
        <f t="shared" ca="1" si="37"/>
        <v>0</v>
      </c>
      <c r="AC344" s="75">
        <f t="shared" ca="1" si="33"/>
        <v>0</v>
      </c>
      <c r="AD344" s="76">
        <f t="shared" ca="1" si="38"/>
        <v>12388.425641550926</v>
      </c>
      <c r="AE344" s="76">
        <f t="shared" si="39"/>
        <v>0</v>
      </c>
      <c r="AF344" s="75">
        <f t="shared" si="34"/>
        <v>0</v>
      </c>
      <c r="AG344" s="75">
        <f t="shared" si="35"/>
        <v>0</v>
      </c>
      <c r="AH344" s="31" t="e" cm="1">
        <f t="array" aca="1" ref="AH344" ca="1">IF((AD344) &lt; (INDEX(ResponseSLA[#All],(MATCH((G344),ResponseSLA[Priority],0))+1,3)),"YES","No")</f>
        <v>#N/A</v>
      </c>
      <c r="AI344" s="31" t="str">
        <f>_xlfn.IFNA(IF(AE344 &lt; (INDEX(SLATable[Minimum SLA],MATCH(G344,SLATable[Priority],0))),"YES","NO"),"")</f>
        <v/>
      </c>
      <c r="AJ344" t="str">
        <f>_xlfn.IFNA(IF(AE344 &lt; (INDEX(SLATable[Maximum SLA],MATCH(G344,SLATable[Priority],0))),"YES","NO"),"")</f>
        <v/>
      </c>
    </row>
    <row r="345" spans="26:36" ht="15" customHeight="1">
      <c r="Z345" s="76" t="e">
        <f t="shared" ca="1" si="36"/>
        <v>#N/A</v>
      </c>
      <c r="AA345" s="75" t="e">
        <f t="shared" ca="1" si="32"/>
        <v>#N/A</v>
      </c>
      <c r="AB345" s="76">
        <f t="shared" ca="1" si="37"/>
        <v>0</v>
      </c>
      <c r="AC345" s="75">
        <f t="shared" ca="1" si="33"/>
        <v>0</v>
      </c>
      <c r="AD345" s="76">
        <f t="shared" ca="1" si="38"/>
        <v>12388.425641550926</v>
      </c>
      <c r="AE345" s="76">
        <f t="shared" si="39"/>
        <v>0</v>
      </c>
      <c r="AF345" s="75">
        <f t="shared" si="34"/>
        <v>0</v>
      </c>
      <c r="AG345" s="75">
        <f t="shared" si="35"/>
        <v>0</v>
      </c>
      <c r="AH345" s="31" t="e" cm="1">
        <f t="array" aca="1" ref="AH345" ca="1">IF((AD345) &lt; (INDEX(ResponseSLA[#All],(MATCH((G345),ResponseSLA[Priority],0))+1,3)),"YES","No")</f>
        <v>#N/A</v>
      </c>
      <c r="AI345" s="31" t="str">
        <f>_xlfn.IFNA(IF(AE345 &lt; (INDEX(SLATable[Minimum SLA],MATCH(G345,SLATable[Priority],0))),"YES","NO"),"")</f>
        <v/>
      </c>
      <c r="AJ345" t="str">
        <f>_xlfn.IFNA(IF(AE345 &lt; (INDEX(SLATable[Maximum SLA],MATCH(G345,SLATable[Priority],0))),"YES","NO"),"")</f>
        <v/>
      </c>
    </row>
    <row r="346" spans="26:36" ht="15" customHeight="1">
      <c r="Z346" s="76" t="e">
        <f t="shared" ca="1" si="36"/>
        <v>#N/A</v>
      </c>
      <c r="AA346" s="75" t="e">
        <f t="shared" ca="1" si="32"/>
        <v>#N/A</v>
      </c>
      <c r="AB346" s="76">
        <f t="shared" ca="1" si="37"/>
        <v>0</v>
      </c>
      <c r="AC346" s="75">
        <f t="shared" ca="1" si="33"/>
        <v>0</v>
      </c>
      <c r="AD346" s="76">
        <f t="shared" ca="1" si="38"/>
        <v>12388.425641782411</v>
      </c>
      <c r="AE346" s="76">
        <f t="shared" si="39"/>
        <v>0</v>
      </c>
      <c r="AF346" s="75">
        <f t="shared" si="34"/>
        <v>0</v>
      </c>
      <c r="AG346" s="75">
        <f t="shared" si="35"/>
        <v>0</v>
      </c>
      <c r="AH346" s="31" t="e" cm="1">
        <f t="array" aca="1" ref="AH346" ca="1">IF((AD346) &lt; (INDEX(ResponseSLA[#All],(MATCH((G346),ResponseSLA[Priority],0))+1,3)),"YES","No")</f>
        <v>#N/A</v>
      </c>
      <c r="AI346" s="31" t="str">
        <f>_xlfn.IFNA(IF(AE346 &lt; (INDEX(SLATable[Minimum SLA],MATCH(G346,SLATable[Priority],0))),"YES","NO"),"")</f>
        <v/>
      </c>
      <c r="AJ346" t="str">
        <f>_xlfn.IFNA(IF(AE346 &lt; (INDEX(SLATable[Maximum SLA],MATCH(G346,SLATable[Priority],0))),"YES","NO"),"")</f>
        <v/>
      </c>
    </row>
    <row r="347" spans="26:36" ht="15" customHeight="1">
      <c r="Z347" s="76" t="e">
        <f t="shared" ca="1" si="36"/>
        <v>#N/A</v>
      </c>
      <c r="AA347" s="75" t="e">
        <f t="shared" ca="1" si="32"/>
        <v>#N/A</v>
      </c>
      <c r="AB347" s="76">
        <f t="shared" ca="1" si="37"/>
        <v>0</v>
      </c>
      <c r="AC347" s="75">
        <f t="shared" ca="1" si="33"/>
        <v>0</v>
      </c>
      <c r="AD347" s="76">
        <f t="shared" ca="1" si="38"/>
        <v>12388.425641550926</v>
      </c>
      <c r="AE347" s="76">
        <f t="shared" si="39"/>
        <v>0</v>
      </c>
      <c r="AF347" s="75">
        <f t="shared" si="34"/>
        <v>0</v>
      </c>
      <c r="AG347" s="75">
        <f t="shared" si="35"/>
        <v>0</v>
      </c>
      <c r="AH347" s="31" t="e" cm="1">
        <f t="array" aca="1" ref="AH347" ca="1">IF((AD347) &lt; (INDEX(ResponseSLA[#All],(MATCH((G347),ResponseSLA[Priority],0))+1,3)),"YES","No")</f>
        <v>#N/A</v>
      </c>
      <c r="AI347" s="31" t="str">
        <f>_xlfn.IFNA(IF(AE347 &lt; (INDEX(SLATable[Minimum SLA],MATCH(G347,SLATable[Priority],0))),"YES","NO"),"")</f>
        <v/>
      </c>
      <c r="AJ347" t="str">
        <f>_xlfn.IFNA(IF(AE347 &lt; (INDEX(SLATable[Maximum SLA],MATCH(G347,SLATable[Priority],0))),"YES","NO"),"")</f>
        <v/>
      </c>
    </row>
    <row r="348" spans="26:36" ht="15" customHeight="1">
      <c r="Z348" s="76" t="e">
        <f t="shared" ca="1" si="36"/>
        <v>#N/A</v>
      </c>
      <c r="AA348" s="75" t="e">
        <f t="shared" ca="1" si="32"/>
        <v>#N/A</v>
      </c>
      <c r="AB348" s="76">
        <f t="shared" ca="1" si="37"/>
        <v>0</v>
      </c>
      <c r="AC348" s="75">
        <f t="shared" ca="1" si="33"/>
        <v>0</v>
      </c>
      <c r="AD348" s="76">
        <f t="shared" ca="1" si="38"/>
        <v>12388.425641550926</v>
      </c>
      <c r="AE348" s="76">
        <f t="shared" si="39"/>
        <v>0</v>
      </c>
      <c r="AF348" s="75">
        <f t="shared" si="34"/>
        <v>0</v>
      </c>
      <c r="AG348" s="75">
        <f t="shared" si="35"/>
        <v>0</v>
      </c>
      <c r="AH348" s="31" t="e" cm="1">
        <f t="array" aca="1" ref="AH348" ca="1">IF((AD348) &lt; (INDEX(ResponseSLA[#All],(MATCH((G348),ResponseSLA[Priority],0))+1,3)),"YES","No")</f>
        <v>#N/A</v>
      </c>
      <c r="AI348" s="31" t="str">
        <f>_xlfn.IFNA(IF(AE348 &lt; (INDEX(SLATable[Minimum SLA],MATCH(G348,SLATable[Priority],0))),"YES","NO"),"")</f>
        <v/>
      </c>
      <c r="AJ348" t="str">
        <f>_xlfn.IFNA(IF(AE348 &lt; (INDEX(SLATable[Maximum SLA],MATCH(G348,SLATable[Priority],0))),"YES","NO"),"")</f>
        <v/>
      </c>
    </row>
    <row r="349" spans="26:36" ht="15" customHeight="1">
      <c r="Z349" s="76" t="e">
        <f t="shared" ca="1" si="36"/>
        <v>#N/A</v>
      </c>
      <c r="AA349" s="75" t="e">
        <f t="shared" ca="1" si="32"/>
        <v>#N/A</v>
      </c>
      <c r="AB349" s="76">
        <f t="shared" ca="1" si="37"/>
        <v>0</v>
      </c>
      <c r="AC349" s="75">
        <f t="shared" ca="1" si="33"/>
        <v>0</v>
      </c>
      <c r="AD349" s="76">
        <f t="shared" ca="1" si="38"/>
        <v>12388.425641782411</v>
      </c>
      <c r="AE349" s="76">
        <f t="shared" si="39"/>
        <v>0</v>
      </c>
      <c r="AF349" s="75">
        <f t="shared" si="34"/>
        <v>0</v>
      </c>
      <c r="AG349" s="75">
        <f t="shared" si="35"/>
        <v>0</v>
      </c>
      <c r="AH349" s="31" t="e" cm="1">
        <f t="array" aca="1" ref="AH349" ca="1">IF((AD349) &lt; (INDEX(ResponseSLA[#All],(MATCH((G349),ResponseSLA[Priority],0))+1,3)),"YES","No")</f>
        <v>#N/A</v>
      </c>
      <c r="AI349" s="31" t="str">
        <f>_xlfn.IFNA(IF(AE349 &lt; (INDEX(SLATable[Minimum SLA],MATCH(G349,SLATable[Priority],0))),"YES","NO"),"")</f>
        <v/>
      </c>
      <c r="AJ349" t="str">
        <f>_xlfn.IFNA(IF(AE349 &lt; (INDEX(SLATable[Maximum SLA],MATCH(G349,SLATable[Priority],0))),"YES","NO"),"")</f>
        <v/>
      </c>
    </row>
    <row r="350" spans="26:36" ht="15" customHeight="1">
      <c r="Z350" s="76" t="e">
        <f t="shared" ca="1" si="36"/>
        <v>#N/A</v>
      </c>
      <c r="AA350" s="75" t="e">
        <f t="shared" ca="1" si="32"/>
        <v>#N/A</v>
      </c>
      <c r="AB350" s="76">
        <f t="shared" ca="1" si="37"/>
        <v>0</v>
      </c>
      <c r="AC350" s="75">
        <f t="shared" ca="1" si="33"/>
        <v>0</v>
      </c>
      <c r="AD350" s="76">
        <f t="shared" ca="1" si="38"/>
        <v>12388.425641550926</v>
      </c>
      <c r="AE350" s="76">
        <f t="shared" si="39"/>
        <v>0</v>
      </c>
      <c r="AF350" s="75">
        <f t="shared" si="34"/>
        <v>0</v>
      </c>
      <c r="AG350" s="75">
        <f t="shared" si="35"/>
        <v>0</v>
      </c>
      <c r="AH350" s="31" t="e" cm="1">
        <f t="array" aca="1" ref="AH350" ca="1">IF((AD350) &lt; (INDEX(ResponseSLA[#All],(MATCH((G350),ResponseSLA[Priority],0))+1,3)),"YES","No")</f>
        <v>#N/A</v>
      </c>
      <c r="AI350" s="31" t="str">
        <f>_xlfn.IFNA(IF(AE350 &lt; (INDEX(SLATable[Minimum SLA],MATCH(G350,SLATable[Priority],0))),"YES","NO"),"")</f>
        <v/>
      </c>
      <c r="AJ350" t="str">
        <f>_xlfn.IFNA(IF(AE350 &lt; (INDEX(SLATable[Maximum SLA],MATCH(G350,SLATable[Priority],0))),"YES","NO"),"")</f>
        <v/>
      </c>
    </row>
    <row r="351" spans="26:36" ht="15" customHeight="1">
      <c r="Z351" s="76" t="e">
        <f t="shared" ca="1" si="36"/>
        <v>#N/A</v>
      </c>
      <c r="AA351" s="75" t="e">
        <f t="shared" ca="1" si="32"/>
        <v>#N/A</v>
      </c>
      <c r="AB351" s="76">
        <f t="shared" ca="1" si="37"/>
        <v>0</v>
      </c>
      <c r="AC351" s="75">
        <f t="shared" ca="1" si="33"/>
        <v>0</v>
      </c>
      <c r="AD351" s="76">
        <f t="shared" ca="1" si="38"/>
        <v>12388.425641550926</v>
      </c>
      <c r="AE351" s="76">
        <f t="shared" si="39"/>
        <v>0</v>
      </c>
      <c r="AF351" s="75">
        <f t="shared" si="34"/>
        <v>0</v>
      </c>
      <c r="AG351" s="75">
        <f t="shared" si="35"/>
        <v>0</v>
      </c>
      <c r="AH351" s="31" t="e" cm="1">
        <f t="array" aca="1" ref="AH351" ca="1">IF((AD351) &lt; (INDEX(ResponseSLA[#All],(MATCH((G351),ResponseSLA[Priority],0))+1,3)),"YES","No")</f>
        <v>#N/A</v>
      </c>
      <c r="AI351" s="31" t="str">
        <f>_xlfn.IFNA(IF(AE351 &lt; (INDEX(SLATable[Minimum SLA],MATCH(G351,SLATable[Priority],0))),"YES","NO"),"")</f>
        <v/>
      </c>
      <c r="AJ351" t="str">
        <f>_xlfn.IFNA(IF(AE351 &lt; (INDEX(SLATable[Maximum SLA],MATCH(G351,SLATable[Priority],0))),"YES","NO"),"")</f>
        <v/>
      </c>
    </row>
    <row r="352" spans="26:36" ht="15" customHeight="1">
      <c r="Z352" s="76" t="e">
        <f t="shared" ca="1" si="36"/>
        <v>#N/A</v>
      </c>
      <c r="AA352" s="75" t="e">
        <f t="shared" ca="1" si="32"/>
        <v>#N/A</v>
      </c>
      <c r="AB352" s="76">
        <f t="shared" ca="1" si="37"/>
        <v>0</v>
      </c>
      <c r="AC352" s="75">
        <f t="shared" ca="1" si="33"/>
        <v>0</v>
      </c>
      <c r="AD352" s="76">
        <f t="shared" ca="1" si="38"/>
        <v>12388.425641782411</v>
      </c>
      <c r="AE352" s="76">
        <f t="shared" si="39"/>
        <v>0</v>
      </c>
      <c r="AF352" s="75">
        <f t="shared" si="34"/>
        <v>0</v>
      </c>
      <c r="AG352" s="75">
        <f t="shared" si="35"/>
        <v>0</v>
      </c>
      <c r="AH352" s="31" t="e" cm="1">
        <f t="array" aca="1" ref="AH352" ca="1">IF((AD352) &lt; (INDEX(ResponseSLA[#All],(MATCH((G352),ResponseSLA[Priority],0))+1,3)),"YES","No")</f>
        <v>#N/A</v>
      </c>
      <c r="AI352" s="31" t="str">
        <f>_xlfn.IFNA(IF(AE352 &lt; (INDEX(SLATable[Minimum SLA],MATCH(G352,SLATable[Priority],0))),"YES","NO"),"")</f>
        <v/>
      </c>
      <c r="AJ352" t="str">
        <f>_xlfn.IFNA(IF(AE352 &lt; (INDEX(SLATable[Maximum SLA],MATCH(G352,SLATable[Priority],0))),"YES","NO"),"")</f>
        <v/>
      </c>
    </row>
    <row r="353" spans="26:36" ht="15" customHeight="1">
      <c r="Z353" s="76" t="e">
        <f t="shared" ca="1" si="36"/>
        <v>#N/A</v>
      </c>
      <c r="AA353" s="75" t="e">
        <f t="shared" ca="1" si="32"/>
        <v>#N/A</v>
      </c>
      <c r="AB353" s="76">
        <f t="shared" ca="1" si="37"/>
        <v>0</v>
      </c>
      <c r="AC353" s="75">
        <f t="shared" ca="1" si="33"/>
        <v>0</v>
      </c>
      <c r="AD353" s="76">
        <f t="shared" ca="1" si="38"/>
        <v>12388.425641550926</v>
      </c>
      <c r="AE353" s="76">
        <f t="shared" si="39"/>
        <v>0</v>
      </c>
      <c r="AF353" s="75">
        <f t="shared" si="34"/>
        <v>0</v>
      </c>
      <c r="AG353" s="75">
        <f t="shared" si="35"/>
        <v>0</v>
      </c>
      <c r="AH353" s="31" t="e" cm="1">
        <f t="array" aca="1" ref="AH353" ca="1">IF((AD353) &lt; (INDEX(ResponseSLA[#All],(MATCH((G353),ResponseSLA[Priority],0))+1,3)),"YES","No")</f>
        <v>#N/A</v>
      </c>
      <c r="AI353" s="31" t="str">
        <f>_xlfn.IFNA(IF(AE353 &lt; (INDEX(SLATable[Minimum SLA],MATCH(G353,SLATable[Priority],0))),"YES","NO"),"")</f>
        <v/>
      </c>
      <c r="AJ353" t="str">
        <f>_xlfn.IFNA(IF(AE353 &lt; (INDEX(SLATable[Maximum SLA],MATCH(G353,SLATable[Priority],0))),"YES","NO"),"")</f>
        <v/>
      </c>
    </row>
    <row r="354" spans="26:36" ht="15" customHeight="1">
      <c r="Z354" s="76" t="e">
        <f t="shared" ca="1" si="36"/>
        <v>#N/A</v>
      </c>
      <c r="AA354" s="75" t="e">
        <f t="shared" ca="1" si="32"/>
        <v>#N/A</v>
      </c>
      <c r="AB354" s="76">
        <f t="shared" ca="1" si="37"/>
        <v>0</v>
      </c>
      <c r="AC354" s="75">
        <f t="shared" ca="1" si="33"/>
        <v>0</v>
      </c>
      <c r="AD354" s="76">
        <f t="shared" ca="1" si="38"/>
        <v>12388.425641550926</v>
      </c>
      <c r="AE354" s="76">
        <f t="shared" si="39"/>
        <v>0</v>
      </c>
      <c r="AF354" s="75">
        <f t="shared" si="34"/>
        <v>0</v>
      </c>
      <c r="AG354" s="75">
        <f t="shared" si="35"/>
        <v>0</v>
      </c>
      <c r="AH354" s="31" t="e" cm="1">
        <f t="array" aca="1" ref="AH354" ca="1">IF((AD354) &lt; (INDEX(ResponseSLA[#All],(MATCH((G354),ResponseSLA[Priority],0))+1,3)),"YES","No")</f>
        <v>#N/A</v>
      </c>
      <c r="AI354" s="31" t="str">
        <f>_xlfn.IFNA(IF(AE354 &lt; (INDEX(SLATable[Minimum SLA],MATCH(G354,SLATable[Priority],0))),"YES","NO"),"")</f>
        <v/>
      </c>
      <c r="AJ354" t="str">
        <f>_xlfn.IFNA(IF(AE354 &lt; (INDEX(SLATable[Maximum SLA],MATCH(G354,SLATable[Priority],0))),"YES","NO"),"")</f>
        <v/>
      </c>
    </row>
    <row r="355" spans="26:36" ht="15" customHeight="1">
      <c r="Z355" s="76" t="e">
        <f t="shared" ca="1" si="36"/>
        <v>#N/A</v>
      </c>
      <c r="AA355" s="75" t="e">
        <f t="shared" ca="1" si="32"/>
        <v>#N/A</v>
      </c>
      <c r="AB355" s="76">
        <f t="shared" ca="1" si="37"/>
        <v>0</v>
      </c>
      <c r="AC355" s="75">
        <f t="shared" ca="1" si="33"/>
        <v>0</v>
      </c>
      <c r="AD355" s="76">
        <f t="shared" ca="1" si="38"/>
        <v>12388.425641782411</v>
      </c>
      <c r="AE355" s="76">
        <f t="shared" si="39"/>
        <v>0</v>
      </c>
      <c r="AF355" s="75">
        <f t="shared" si="34"/>
        <v>0</v>
      </c>
      <c r="AG355" s="75">
        <f t="shared" si="35"/>
        <v>0</v>
      </c>
      <c r="AH355" s="31" t="e" cm="1">
        <f t="array" aca="1" ref="AH355" ca="1">IF((AD355) &lt; (INDEX(ResponseSLA[#All],(MATCH((G355),ResponseSLA[Priority],0))+1,3)),"YES","No")</f>
        <v>#N/A</v>
      </c>
      <c r="AI355" s="31" t="str">
        <f>_xlfn.IFNA(IF(AE355 &lt; (INDEX(SLATable[Minimum SLA],MATCH(G355,SLATable[Priority],0))),"YES","NO"),"")</f>
        <v/>
      </c>
      <c r="AJ355" t="str">
        <f>_xlfn.IFNA(IF(AE355 &lt; (INDEX(SLATable[Maximum SLA],MATCH(G355,SLATable[Priority],0))),"YES","NO"),"")</f>
        <v/>
      </c>
    </row>
    <row r="356" spans="26:36" ht="15" customHeight="1">
      <c r="Z356" s="76" t="e">
        <f t="shared" ca="1" si="36"/>
        <v>#N/A</v>
      </c>
      <c r="AA356" s="75" t="e">
        <f t="shared" ca="1" si="32"/>
        <v>#N/A</v>
      </c>
      <c r="AB356" s="76">
        <f t="shared" ca="1" si="37"/>
        <v>0</v>
      </c>
      <c r="AC356" s="75">
        <f t="shared" ca="1" si="33"/>
        <v>0</v>
      </c>
      <c r="AD356" s="76">
        <f t="shared" ca="1" si="38"/>
        <v>12388.425641550926</v>
      </c>
      <c r="AE356" s="76">
        <f t="shared" si="39"/>
        <v>0</v>
      </c>
      <c r="AF356" s="75">
        <f t="shared" si="34"/>
        <v>0</v>
      </c>
      <c r="AG356" s="75">
        <f t="shared" si="35"/>
        <v>0</v>
      </c>
      <c r="AH356" s="31" t="e" cm="1">
        <f t="array" aca="1" ref="AH356" ca="1">IF((AD356) &lt; (INDEX(ResponseSLA[#All],(MATCH((G356),ResponseSLA[Priority],0))+1,3)),"YES","No")</f>
        <v>#N/A</v>
      </c>
      <c r="AI356" s="31" t="str">
        <f>_xlfn.IFNA(IF(AE356 &lt; (INDEX(SLATable[Minimum SLA],MATCH(G356,SLATable[Priority],0))),"YES","NO"),"")</f>
        <v/>
      </c>
      <c r="AJ356" t="str">
        <f>_xlfn.IFNA(IF(AE356 &lt; (INDEX(SLATable[Maximum SLA],MATCH(G356,SLATable[Priority],0))),"YES","NO"),"")</f>
        <v/>
      </c>
    </row>
    <row r="357" spans="26:36" ht="15" customHeight="1">
      <c r="Z357" s="76" t="e">
        <f t="shared" ca="1" si="36"/>
        <v>#N/A</v>
      </c>
      <c r="AA357" s="75" t="e">
        <f t="shared" ca="1" si="32"/>
        <v>#N/A</v>
      </c>
      <c r="AB357" s="76">
        <f t="shared" ca="1" si="37"/>
        <v>0</v>
      </c>
      <c r="AC357" s="75">
        <f t="shared" ca="1" si="33"/>
        <v>0</v>
      </c>
      <c r="AD357" s="76">
        <f t="shared" ca="1" si="38"/>
        <v>12388.425641550926</v>
      </c>
      <c r="AE357" s="76">
        <f t="shared" si="39"/>
        <v>0</v>
      </c>
      <c r="AF357" s="75">
        <f t="shared" si="34"/>
        <v>0</v>
      </c>
      <c r="AG357" s="75">
        <f t="shared" si="35"/>
        <v>0</v>
      </c>
      <c r="AH357" s="31" t="e" cm="1">
        <f t="array" aca="1" ref="AH357" ca="1">IF((AD357) &lt; (INDEX(ResponseSLA[#All],(MATCH((G357),ResponseSLA[Priority],0))+1,3)),"YES","No")</f>
        <v>#N/A</v>
      </c>
      <c r="AI357" s="31" t="str">
        <f>_xlfn.IFNA(IF(AE357 &lt; (INDEX(SLATable[Minimum SLA],MATCH(G357,SLATable[Priority],0))),"YES","NO"),"")</f>
        <v/>
      </c>
      <c r="AJ357" t="str">
        <f>_xlfn.IFNA(IF(AE357 &lt; (INDEX(SLATable[Maximum SLA],MATCH(G357,SLATable[Priority],0))),"YES","NO"),"")</f>
        <v/>
      </c>
    </row>
    <row r="358" spans="26:36" ht="15" customHeight="1">
      <c r="Z358" s="76" t="e">
        <f t="shared" ca="1" si="36"/>
        <v>#N/A</v>
      </c>
      <c r="AA358" s="75" t="e">
        <f t="shared" ca="1" si="32"/>
        <v>#N/A</v>
      </c>
      <c r="AB358" s="76">
        <f t="shared" ca="1" si="37"/>
        <v>0</v>
      </c>
      <c r="AC358" s="75">
        <f t="shared" ca="1" si="33"/>
        <v>0</v>
      </c>
      <c r="AD358" s="76">
        <f t="shared" ca="1" si="38"/>
        <v>12388.425641782411</v>
      </c>
      <c r="AE358" s="76">
        <f t="shared" si="39"/>
        <v>0</v>
      </c>
      <c r="AF358" s="75">
        <f t="shared" si="34"/>
        <v>0</v>
      </c>
      <c r="AG358" s="75">
        <f t="shared" si="35"/>
        <v>0</v>
      </c>
      <c r="AH358" s="31" t="e" cm="1">
        <f t="array" aca="1" ref="AH358" ca="1">IF((AD358) &lt; (INDEX(ResponseSLA[#All],(MATCH((G358),ResponseSLA[Priority],0))+1,3)),"YES","No")</f>
        <v>#N/A</v>
      </c>
      <c r="AI358" s="31" t="str">
        <f>_xlfn.IFNA(IF(AE358 &lt; (INDEX(SLATable[Minimum SLA],MATCH(G358,SLATable[Priority],0))),"YES","NO"),"")</f>
        <v/>
      </c>
      <c r="AJ358" t="str">
        <f>_xlfn.IFNA(IF(AE358 &lt; (INDEX(SLATable[Maximum SLA],MATCH(G358,SLATable[Priority],0))),"YES","NO"),"")</f>
        <v/>
      </c>
    </row>
    <row r="359" spans="26:36" ht="15" customHeight="1">
      <c r="Z359" s="76" t="e">
        <f t="shared" ca="1" si="36"/>
        <v>#N/A</v>
      </c>
      <c r="AA359" s="75" t="e">
        <f t="shared" ca="1" si="32"/>
        <v>#N/A</v>
      </c>
      <c r="AB359" s="76">
        <f t="shared" ca="1" si="37"/>
        <v>0</v>
      </c>
      <c r="AC359" s="75">
        <f t="shared" ca="1" si="33"/>
        <v>0</v>
      </c>
      <c r="AD359" s="76">
        <f t="shared" ca="1" si="38"/>
        <v>12388.425641550926</v>
      </c>
      <c r="AE359" s="76">
        <f t="shared" si="39"/>
        <v>0</v>
      </c>
      <c r="AF359" s="75">
        <f t="shared" si="34"/>
        <v>0</v>
      </c>
      <c r="AG359" s="75">
        <f t="shared" si="35"/>
        <v>0</v>
      </c>
      <c r="AH359" s="31" t="e" cm="1">
        <f t="array" aca="1" ref="AH359" ca="1">IF((AD359) &lt; (INDEX(ResponseSLA[#All],(MATCH((G359),ResponseSLA[Priority],0))+1,3)),"YES","No")</f>
        <v>#N/A</v>
      </c>
      <c r="AI359" s="31" t="str">
        <f>_xlfn.IFNA(IF(AE359 &lt; (INDEX(SLATable[Minimum SLA],MATCH(G359,SLATable[Priority],0))),"YES","NO"),"")</f>
        <v/>
      </c>
      <c r="AJ359" t="str">
        <f>_xlfn.IFNA(IF(AE359 &lt; (INDEX(SLATable[Maximum SLA],MATCH(G359,SLATable[Priority],0))),"YES","NO"),"")</f>
        <v/>
      </c>
    </row>
    <row r="360" spans="26:36" ht="15" customHeight="1">
      <c r="Z360" s="76" t="e">
        <f t="shared" ca="1" si="36"/>
        <v>#N/A</v>
      </c>
      <c r="AA360" s="75" t="e">
        <f t="shared" ca="1" si="32"/>
        <v>#N/A</v>
      </c>
      <c r="AB360" s="76">
        <f t="shared" ca="1" si="37"/>
        <v>0</v>
      </c>
      <c r="AC360" s="75">
        <f t="shared" ca="1" si="33"/>
        <v>0</v>
      </c>
      <c r="AD360" s="76">
        <f t="shared" ca="1" si="38"/>
        <v>12388.425641550926</v>
      </c>
      <c r="AE360" s="76">
        <f t="shared" si="39"/>
        <v>0</v>
      </c>
      <c r="AF360" s="75">
        <f t="shared" si="34"/>
        <v>0</v>
      </c>
      <c r="AG360" s="75">
        <f t="shared" si="35"/>
        <v>0</v>
      </c>
      <c r="AH360" s="31" t="e" cm="1">
        <f t="array" aca="1" ref="AH360" ca="1">IF((AD360) &lt; (INDEX(ResponseSLA[#All],(MATCH((G360),ResponseSLA[Priority],0))+1,3)),"YES","No")</f>
        <v>#N/A</v>
      </c>
      <c r="AI360" s="31" t="str">
        <f>_xlfn.IFNA(IF(AE360 &lt; (INDEX(SLATable[Minimum SLA],MATCH(G360,SLATable[Priority],0))),"YES","NO"),"")</f>
        <v/>
      </c>
      <c r="AJ360" t="str">
        <f>_xlfn.IFNA(IF(AE360 &lt; (INDEX(SLATable[Maximum SLA],MATCH(G360,SLATable[Priority],0))),"YES","NO"),"")</f>
        <v/>
      </c>
    </row>
    <row r="361" spans="26:36" ht="15" customHeight="1">
      <c r="Z361" s="76" t="e">
        <f t="shared" ca="1" si="36"/>
        <v>#N/A</v>
      </c>
      <c r="AA361" s="75" t="e">
        <f t="shared" ca="1" si="32"/>
        <v>#N/A</v>
      </c>
      <c r="AB361" s="76">
        <f t="shared" ca="1" si="37"/>
        <v>0</v>
      </c>
      <c r="AC361" s="75">
        <f t="shared" ca="1" si="33"/>
        <v>0</v>
      </c>
      <c r="AD361" s="76">
        <f t="shared" ca="1" si="38"/>
        <v>12388.425641782411</v>
      </c>
      <c r="AE361" s="76">
        <f t="shared" si="39"/>
        <v>0</v>
      </c>
      <c r="AF361" s="75">
        <f t="shared" si="34"/>
        <v>0</v>
      </c>
      <c r="AG361" s="75">
        <f t="shared" si="35"/>
        <v>0</v>
      </c>
      <c r="AH361" s="31" t="e" cm="1">
        <f t="array" aca="1" ref="AH361" ca="1">IF((AD361) &lt; (INDEX(ResponseSLA[#All],(MATCH((G361),ResponseSLA[Priority],0))+1,3)),"YES","No")</f>
        <v>#N/A</v>
      </c>
      <c r="AI361" s="31" t="str">
        <f>_xlfn.IFNA(IF(AE361 &lt; (INDEX(SLATable[Minimum SLA],MATCH(G361,SLATable[Priority],0))),"YES","NO"),"")</f>
        <v/>
      </c>
      <c r="AJ361" t="str">
        <f>_xlfn.IFNA(IF(AE361 &lt; (INDEX(SLATable[Maximum SLA],MATCH(G361,SLATable[Priority],0))),"YES","NO"),"")</f>
        <v/>
      </c>
    </row>
    <row r="362" spans="26:36" ht="15" customHeight="1">
      <c r="Z362" s="76" t="e">
        <f t="shared" ca="1" si="36"/>
        <v>#N/A</v>
      </c>
      <c r="AA362" s="75" t="e">
        <f t="shared" ca="1" si="32"/>
        <v>#N/A</v>
      </c>
      <c r="AB362" s="76">
        <f t="shared" ca="1" si="37"/>
        <v>0</v>
      </c>
      <c r="AC362" s="75">
        <f t="shared" ca="1" si="33"/>
        <v>0</v>
      </c>
      <c r="AD362" s="76">
        <f t="shared" ca="1" si="38"/>
        <v>12388.425641550926</v>
      </c>
      <c r="AE362" s="76">
        <f t="shared" si="39"/>
        <v>0</v>
      </c>
      <c r="AF362" s="75">
        <f t="shared" si="34"/>
        <v>0</v>
      </c>
      <c r="AG362" s="75">
        <f t="shared" si="35"/>
        <v>0</v>
      </c>
      <c r="AH362" s="31" t="e" cm="1">
        <f t="array" aca="1" ref="AH362" ca="1">IF((AD362) &lt; (INDEX(ResponseSLA[#All],(MATCH((G362),ResponseSLA[Priority],0))+1,3)),"YES","No")</f>
        <v>#N/A</v>
      </c>
      <c r="AI362" s="31" t="str">
        <f>_xlfn.IFNA(IF(AE362 &lt; (INDEX(SLATable[Minimum SLA],MATCH(G362,SLATable[Priority],0))),"YES","NO"),"")</f>
        <v/>
      </c>
      <c r="AJ362" t="str">
        <f>_xlfn.IFNA(IF(AE362 &lt; (INDEX(SLATable[Maximum SLA],MATCH(G362,SLATable[Priority],0))),"YES","NO"),"")</f>
        <v/>
      </c>
    </row>
    <row r="363" spans="26:36" ht="15" customHeight="1">
      <c r="Z363" s="76" t="e">
        <f t="shared" ca="1" si="36"/>
        <v>#N/A</v>
      </c>
      <c r="AA363" s="75" t="e">
        <f t="shared" ca="1" si="32"/>
        <v>#N/A</v>
      </c>
      <c r="AB363" s="76">
        <f t="shared" ca="1" si="37"/>
        <v>0</v>
      </c>
      <c r="AC363" s="75">
        <f t="shared" ca="1" si="33"/>
        <v>0</v>
      </c>
      <c r="AD363" s="76">
        <f t="shared" ca="1" si="38"/>
        <v>12388.425641550926</v>
      </c>
      <c r="AE363" s="76">
        <f t="shared" si="39"/>
        <v>0</v>
      </c>
      <c r="AF363" s="75">
        <f t="shared" si="34"/>
        <v>0</v>
      </c>
      <c r="AG363" s="75">
        <f t="shared" si="35"/>
        <v>0</v>
      </c>
      <c r="AH363" s="31" t="e" cm="1">
        <f t="array" aca="1" ref="AH363" ca="1">IF((AD363) &lt; (INDEX(ResponseSLA[#All],(MATCH((G363),ResponseSLA[Priority],0))+1,3)),"YES","No")</f>
        <v>#N/A</v>
      </c>
      <c r="AI363" s="31" t="str">
        <f>_xlfn.IFNA(IF(AE363 &lt; (INDEX(SLATable[Minimum SLA],MATCH(G363,SLATable[Priority],0))),"YES","NO"),"")</f>
        <v/>
      </c>
      <c r="AJ363" t="str">
        <f>_xlfn.IFNA(IF(AE363 &lt; (INDEX(SLATable[Maximum SLA],MATCH(G363,SLATable[Priority],0))),"YES","NO"),"")</f>
        <v/>
      </c>
    </row>
    <row r="364" spans="26:36" ht="15" customHeight="1">
      <c r="Z364" s="76" t="e">
        <f t="shared" ca="1" si="36"/>
        <v>#N/A</v>
      </c>
      <c r="AA364" s="75" t="e">
        <f t="shared" ca="1" si="32"/>
        <v>#N/A</v>
      </c>
      <c r="AB364" s="76">
        <f t="shared" ca="1" si="37"/>
        <v>0</v>
      </c>
      <c r="AC364" s="75">
        <f t="shared" ca="1" si="33"/>
        <v>0</v>
      </c>
      <c r="AD364" s="76">
        <f t="shared" ca="1" si="38"/>
        <v>12388.425641782411</v>
      </c>
      <c r="AE364" s="76">
        <f t="shared" si="39"/>
        <v>0</v>
      </c>
      <c r="AF364" s="75">
        <f t="shared" si="34"/>
        <v>0</v>
      </c>
      <c r="AG364" s="75">
        <f t="shared" si="35"/>
        <v>0</v>
      </c>
      <c r="AH364" s="31" t="e" cm="1">
        <f t="array" aca="1" ref="AH364" ca="1">IF((AD364) &lt; (INDEX(ResponseSLA[#All],(MATCH((G364),ResponseSLA[Priority],0))+1,3)),"YES","No")</f>
        <v>#N/A</v>
      </c>
      <c r="AI364" s="31" t="str">
        <f>_xlfn.IFNA(IF(AE364 &lt; (INDEX(SLATable[Minimum SLA],MATCH(G364,SLATable[Priority],0))),"YES","NO"),"")</f>
        <v/>
      </c>
      <c r="AJ364" t="str">
        <f>_xlfn.IFNA(IF(AE364 &lt; (INDEX(SLATable[Maximum SLA],MATCH(G364,SLATable[Priority],0))),"YES","NO"),"")</f>
        <v/>
      </c>
    </row>
    <row r="365" spans="26:36" ht="15" customHeight="1">
      <c r="Z365" s="76" t="e">
        <f t="shared" ca="1" si="36"/>
        <v>#N/A</v>
      </c>
      <c r="AA365" s="75" t="e">
        <f t="shared" ca="1" si="32"/>
        <v>#N/A</v>
      </c>
      <c r="AB365" s="76">
        <f t="shared" ca="1" si="37"/>
        <v>0</v>
      </c>
      <c r="AC365" s="75">
        <f t="shared" ca="1" si="33"/>
        <v>0</v>
      </c>
      <c r="AD365" s="76">
        <f t="shared" ca="1" si="38"/>
        <v>12388.425641550926</v>
      </c>
      <c r="AE365" s="76">
        <f t="shared" si="39"/>
        <v>0</v>
      </c>
      <c r="AF365" s="75">
        <f t="shared" si="34"/>
        <v>0</v>
      </c>
      <c r="AG365" s="75">
        <f t="shared" si="35"/>
        <v>0</v>
      </c>
      <c r="AH365" s="31" t="e" cm="1">
        <f t="array" aca="1" ref="AH365" ca="1">IF((AD365) &lt; (INDEX(ResponseSLA[#All],(MATCH((G365),ResponseSLA[Priority],0))+1,3)),"YES","No")</f>
        <v>#N/A</v>
      </c>
      <c r="AI365" s="31" t="str">
        <f>_xlfn.IFNA(IF(AE365 &lt; (INDEX(SLATable[Minimum SLA],MATCH(G365,SLATable[Priority],0))),"YES","NO"),"")</f>
        <v/>
      </c>
      <c r="AJ365" t="str">
        <f>_xlfn.IFNA(IF(AE365 &lt; (INDEX(SLATable[Maximum SLA],MATCH(G365,SLATable[Priority],0))),"YES","NO"),"")</f>
        <v/>
      </c>
    </row>
    <row r="366" spans="26:36" ht="15" customHeight="1">
      <c r="Z366" s="76" t="e">
        <f t="shared" ca="1" si="36"/>
        <v>#N/A</v>
      </c>
      <c r="AA366" s="75" t="e">
        <f t="shared" ca="1" si="32"/>
        <v>#N/A</v>
      </c>
      <c r="AB366" s="76">
        <f t="shared" ca="1" si="37"/>
        <v>0</v>
      </c>
      <c r="AC366" s="75">
        <f t="shared" ca="1" si="33"/>
        <v>0</v>
      </c>
      <c r="AD366" s="76">
        <f t="shared" ca="1" si="38"/>
        <v>12388.425641550926</v>
      </c>
      <c r="AE366" s="76">
        <f t="shared" si="39"/>
        <v>0</v>
      </c>
      <c r="AF366" s="75">
        <f t="shared" si="34"/>
        <v>0</v>
      </c>
      <c r="AG366" s="75">
        <f t="shared" si="35"/>
        <v>0</v>
      </c>
      <c r="AH366" s="31" t="e" cm="1">
        <f t="array" aca="1" ref="AH366" ca="1">IF((AD366) &lt; (INDEX(ResponseSLA[#All],(MATCH((G366),ResponseSLA[Priority],0))+1,3)),"YES","No")</f>
        <v>#N/A</v>
      </c>
      <c r="AI366" s="31" t="str">
        <f>_xlfn.IFNA(IF(AE366 &lt; (INDEX(SLATable[Minimum SLA],MATCH(G366,SLATable[Priority],0))),"YES","NO"),"")</f>
        <v/>
      </c>
      <c r="AJ366" t="str">
        <f>_xlfn.IFNA(IF(AE366 &lt; (INDEX(SLATable[Maximum SLA],MATCH(G366,SLATable[Priority],0))),"YES","NO"),"")</f>
        <v/>
      </c>
    </row>
    <row r="367" spans="26:36" ht="15" customHeight="1">
      <c r="Z367" s="76" t="e">
        <f t="shared" ca="1" si="36"/>
        <v>#N/A</v>
      </c>
      <c r="AA367" s="75" t="e">
        <f t="shared" ca="1" si="32"/>
        <v>#N/A</v>
      </c>
      <c r="AB367" s="76">
        <f t="shared" ca="1" si="37"/>
        <v>0</v>
      </c>
      <c r="AC367" s="75">
        <f t="shared" ca="1" si="33"/>
        <v>0</v>
      </c>
      <c r="AD367" s="76">
        <f t="shared" ca="1" si="38"/>
        <v>12388.425641782411</v>
      </c>
      <c r="AE367" s="76">
        <f t="shared" si="39"/>
        <v>0</v>
      </c>
      <c r="AF367" s="75">
        <f t="shared" si="34"/>
        <v>0</v>
      </c>
      <c r="AG367" s="75">
        <f t="shared" si="35"/>
        <v>0</v>
      </c>
      <c r="AH367" s="31" t="e" cm="1">
        <f t="array" aca="1" ref="AH367" ca="1">IF((AD367) &lt; (INDEX(ResponseSLA[#All],(MATCH((G367),ResponseSLA[Priority],0))+1,3)),"YES","No")</f>
        <v>#N/A</v>
      </c>
      <c r="AI367" s="31" t="str">
        <f>_xlfn.IFNA(IF(AE367 &lt; (INDEX(SLATable[Minimum SLA],MATCH(G367,SLATable[Priority],0))),"YES","NO"),"")</f>
        <v/>
      </c>
      <c r="AJ367" t="str">
        <f>_xlfn.IFNA(IF(AE367 &lt; (INDEX(SLATable[Maximum SLA],MATCH(G367,SLATable[Priority],0))),"YES","NO"),"")</f>
        <v/>
      </c>
    </row>
    <row r="368" spans="26:36" ht="15" customHeight="1">
      <c r="Z368" s="76" t="e">
        <f t="shared" ca="1" si="36"/>
        <v>#N/A</v>
      </c>
      <c r="AA368" s="75" t="e">
        <f t="shared" ca="1" si="32"/>
        <v>#N/A</v>
      </c>
      <c r="AB368" s="76">
        <f t="shared" ca="1" si="37"/>
        <v>0</v>
      </c>
      <c r="AC368" s="75">
        <f t="shared" ca="1" si="33"/>
        <v>0</v>
      </c>
      <c r="AD368" s="76">
        <f t="shared" ca="1" si="38"/>
        <v>12388.425641550926</v>
      </c>
      <c r="AE368" s="76">
        <f t="shared" si="39"/>
        <v>0</v>
      </c>
      <c r="AF368" s="75">
        <f t="shared" si="34"/>
        <v>0</v>
      </c>
      <c r="AG368" s="75">
        <f t="shared" si="35"/>
        <v>0</v>
      </c>
      <c r="AH368" s="31" t="e" cm="1">
        <f t="array" aca="1" ref="AH368" ca="1">IF((AD368) &lt; (INDEX(ResponseSLA[#All],(MATCH((G368),ResponseSLA[Priority],0))+1,3)),"YES","No")</f>
        <v>#N/A</v>
      </c>
      <c r="AI368" s="31" t="str">
        <f>_xlfn.IFNA(IF(AE368 &lt; (INDEX(SLATable[Minimum SLA],MATCH(G368,SLATable[Priority],0))),"YES","NO"),"")</f>
        <v/>
      </c>
      <c r="AJ368" t="str">
        <f>_xlfn.IFNA(IF(AE368 &lt; (INDEX(SLATable[Maximum SLA],MATCH(G368,SLATable[Priority],0))),"YES","NO"),"")</f>
        <v/>
      </c>
    </row>
    <row r="369" spans="26:36" ht="15" customHeight="1">
      <c r="Z369" s="76" t="e">
        <f t="shared" ca="1" si="36"/>
        <v>#N/A</v>
      </c>
      <c r="AA369" s="75" t="e">
        <f t="shared" ca="1" si="32"/>
        <v>#N/A</v>
      </c>
      <c r="AB369" s="76">
        <f t="shared" ca="1" si="37"/>
        <v>0</v>
      </c>
      <c r="AC369" s="75">
        <f t="shared" ca="1" si="33"/>
        <v>0</v>
      </c>
      <c r="AD369" s="76">
        <f t="shared" ca="1" si="38"/>
        <v>12388.425641550926</v>
      </c>
      <c r="AE369" s="76">
        <f t="shared" si="39"/>
        <v>0</v>
      </c>
      <c r="AF369" s="75">
        <f t="shared" si="34"/>
        <v>0</v>
      </c>
      <c r="AG369" s="75">
        <f t="shared" si="35"/>
        <v>0</v>
      </c>
      <c r="AH369" s="31" t="e" cm="1">
        <f t="array" aca="1" ref="AH369" ca="1">IF((AD369) &lt; (INDEX(ResponseSLA[#All],(MATCH((G369),ResponseSLA[Priority],0))+1,3)),"YES","No")</f>
        <v>#N/A</v>
      </c>
      <c r="AI369" s="31" t="str">
        <f>_xlfn.IFNA(IF(AE369 &lt; (INDEX(SLATable[Minimum SLA],MATCH(G369,SLATable[Priority],0))),"YES","NO"),"")</f>
        <v/>
      </c>
      <c r="AJ369" t="str">
        <f>_xlfn.IFNA(IF(AE369 &lt; (INDEX(SLATable[Maximum SLA],MATCH(G369,SLATable[Priority],0))),"YES","NO"),"")</f>
        <v/>
      </c>
    </row>
    <row r="370" spans="26:36" ht="15" customHeight="1">
      <c r="Z370" s="76" t="e">
        <f t="shared" ca="1" si="36"/>
        <v>#N/A</v>
      </c>
      <c r="AA370" s="75" t="e">
        <f t="shared" ca="1" si="32"/>
        <v>#N/A</v>
      </c>
      <c r="AB370" s="76">
        <f t="shared" ca="1" si="37"/>
        <v>0</v>
      </c>
      <c r="AC370" s="75">
        <f t="shared" ca="1" si="33"/>
        <v>0</v>
      </c>
      <c r="AD370" s="76">
        <f t="shared" ca="1" si="38"/>
        <v>12388.425641782411</v>
      </c>
      <c r="AE370" s="76">
        <f t="shared" si="39"/>
        <v>0</v>
      </c>
      <c r="AF370" s="75">
        <f t="shared" si="34"/>
        <v>0</v>
      </c>
      <c r="AG370" s="75">
        <f t="shared" si="35"/>
        <v>0</v>
      </c>
      <c r="AH370" s="31" t="e" cm="1">
        <f t="array" aca="1" ref="AH370" ca="1">IF((AD370) &lt; (INDEX(ResponseSLA[#All],(MATCH((G370),ResponseSLA[Priority],0))+1,3)),"YES","No")</f>
        <v>#N/A</v>
      </c>
      <c r="AI370" s="31" t="str">
        <f>_xlfn.IFNA(IF(AE370 &lt; (INDEX(SLATable[Minimum SLA],MATCH(G370,SLATable[Priority],0))),"YES","NO"),"")</f>
        <v/>
      </c>
      <c r="AJ370" t="str">
        <f>_xlfn.IFNA(IF(AE370 &lt; (INDEX(SLATable[Maximum SLA],MATCH(G370,SLATable[Priority],0))),"YES","NO"),"")</f>
        <v/>
      </c>
    </row>
    <row r="371" spans="26:36" ht="15" customHeight="1">
      <c r="Z371" s="76" t="e">
        <f t="shared" ca="1" si="36"/>
        <v>#N/A</v>
      </c>
      <c r="AA371" s="75" t="e">
        <f t="shared" ca="1" si="32"/>
        <v>#N/A</v>
      </c>
      <c r="AB371" s="76">
        <f t="shared" ca="1" si="37"/>
        <v>0</v>
      </c>
      <c r="AC371" s="75">
        <f t="shared" ca="1" si="33"/>
        <v>0</v>
      </c>
      <c r="AD371" s="76">
        <f t="shared" ca="1" si="38"/>
        <v>12388.425641550926</v>
      </c>
      <c r="AE371" s="76">
        <f t="shared" si="39"/>
        <v>0</v>
      </c>
      <c r="AF371" s="75">
        <f t="shared" si="34"/>
        <v>0</v>
      </c>
      <c r="AG371" s="75">
        <f t="shared" si="35"/>
        <v>0</v>
      </c>
      <c r="AH371" s="31" t="e" cm="1">
        <f t="array" aca="1" ref="AH371" ca="1">IF((AD371) &lt; (INDEX(ResponseSLA[#All],(MATCH((G371),ResponseSLA[Priority],0))+1,3)),"YES","No")</f>
        <v>#N/A</v>
      </c>
      <c r="AI371" s="31" t="str">
        <f>_xlfn.IFNA(IF(AE371 &lt; (INDEX(SLATable[Minimum SLA],MATCH(G371,SLATable[Priority],0))),"YES","NO"),"")</f>
        <v/>
      </c>
      <c r="AJ371" t="str">
        <f>_xlfn.IFNA(IF(AE371 &lt; (INDEX(SLATable[Maximum SLA],MATCH(G371,SLATable[Priority],0))),"YES","NO"),"")</f>
        <v/>
      </c>
    </row>
    <row r="372" spans="26:36" ht="15" customHeight="1">
      <c r="Z372" s="76" t="e">
        <f t="shared" ca="1" si="36"/>
        <v>#N/A</v>
      </c>
      <c r="AA372" s="75" t="e">
        <f t="shared" ca="1" si="32"/>
        <v>#N/A</v>
      </c>
      <c r="AB372" s="76">
        <f t="shared" ca="1" si="37"/>
        <v>0</v>
      </c>
      <c r="AC372" s="75">
        <f t="shared" ca="1" si="33"/>
        <v>0</v>
      </c>
      <c r="AD372" s="76">
        <f t="shared" ca="1" si="38"/>
        <v>12388.425641550926</v>
      </c>
      <c r="AE372" s="76">
        <f t="shared" si="39"/>
        <v>0</v>
      </c>
      <c r="AF372" s="75">
        <f t="shared" si="34"/>
        <v>0</v>
      </c>
      <c r="AG372" s="75">
        <f t="shared" si="35"/>
        <v>0</v>
      </c>
      <c r="AH372" s="31" t="e" cm="1">
        <f t="array" aca="1" ref="AH372" ca="1">IF((AD372) &lt; (INDEX(ResponseSLA[#All],(MATCH((G372),ResponseSLA[Priority],0))+1,3)),"YES","No")</f>
        <v>#N/A</v>
      </c>
      <c r="AI372" s="31" t="str">
        <f>_xlfn.IFNA(IF(AE372 &lt; (INDEX(SLATable[Minimum SLA],MATCH(G372,SLATable[Priority],0))),"YES","NO"),"")</f>
        <v/>
      </c>
      <c r="AJ372" t="str">
        <f>_xlfn.IFNA(IF(AE372 &lt; (INDEX(SLATable[Maximum SLA],MATCH(G372,SLATable[Priority],0))),"YES","NO"),"")</f>
        <v/>
      </c>
    </row>
    <row r="373" spans="26:36" ht="15" customHeight="1">
      <c r="Z373" s="76" t="e">
        <f t="shared" ca="1" si="36"/>
        <v>#N/A</v>
      </c>
      <c r="AA373" s="75" t="e">
        <f t="shared" ca="1" si="32"/>
        <v>#N/A</v>
      </c>
      <c r="AB373" s="76">
        <f t="shared" ca="1" si="37"/>
        <v>0</v>
      </c>
      <c r="AC373" s="75">
        <f t="shared" ca="1" si="33"/>
        <v>0</v>
      </c>
      <c r="AD373" s="76">
        <f t="shared" ca="1" si="38"/>
        <v>12388.425641782411</v>
      </c>
      <c r="AE373" s="76">
        <f t="shared" si="39"/>
        <v>0</v>
      </c>
      <c r="AF373" s="75">
        <f t="shared" si="34"/>
        <v>0</v>
      </c>
      <c r="AG373" s="75">
        <f t="shared" si="35"/>
        <v>0</v>
      </c>
      <c r="AH373" s="31" t="e" cm="1">
        <f t="array" aca="1" ref="AH373" ca="1">IF((AD373) &lt; (INDEX(ResponseSLA[#All],(MATCH((G373),ResponseSLA[Priority],0))+1,3)),"YES","No")</f>
        <v>#N/A</v>
      </c>
      <c r="AI373" s="31" t="str">
        <f>_xlfn.IFNA(IF(AE373 &lt; (INDEX(SLATable[Minimum SLA],MATCH(G373,SLATable[Priority],0))),"YES","NO"),"")</f>
        <v/>
      </c>
      <c r="AJ373" t="str">
        <f>_xlfn.IFNA(IF(AE373 &lt; (INDEX(SLATable[Maximum SLA],MATCH(G373,SLATable[Priority],0))),"YES","NO"),"")</f>
        <v/>
      </c>
    </row>
    <row r="374" spans="26:36" ht="15" customHeight="1">
      <c r="Z374" s="76" t="e">
        <f t="shared" ca="1" si="36"/>
        <v>#N/A</v>
      </c>
      <c r="AA374" s="75" t="e">
        <f t="shared" ca="1" si="32"/>
        <v>#N/A</v>
      </c>
      <c r="AB374" s="76">
        <f t="shared" ca="1" si="37"/>
        <v>0</v>
      </c>
      <c r="AC374" s="75">
        <f t="shared" ca="1" si="33"/>
        <v>0</v>
      </c>
      <c r="AD374" s="76">
        <f t="shared" ca="1" si="38"/>
        <v>12388.425641550926</v>
      </c>
      <c r="AE374" s="76">
        <f t="shared" si="39"/>
        <v>0</v>
      </c>
      <c r="AF374" s="75">
        <f t="shared" si="34"/>
        <v>0</v>
      </c>
      <c r="AG374" s="75">
        <f t="shared" si="35"/>
        <v>0</v>
      </c>
      <c r="AH374" s="31" t="e" cm="1">
        <f t="array" aca="1" ref="AH374" ca="1">IF((AD374) &lt; (INDEX(ResponseSLA[#All],(MATCH((G374),ResponseSLA[Priority],0))+1,3)),"YES","No")</f>
        <v>#N/A</v>
      </c>
      <c r="AI374" s="31" t="str">
        <f>_xlfn.IFNA(IF(AE374 &lt; (INDEX(SLATable[Minimum SLA],MATCH(G374,SLATable[Priority],0))),"YES","NO"),"")</f>
        <v/>
      </c>
      <c r="AJ374" t="str">
        <f>_xlfn.IFNA(IF(AE374 &lt; (INDEX(SLATable[Maximum SLA],MATCH(G374,SLATable[Priority],0))),"YES","NO"),"")</f>
        <v/>
      </c>
    </row>
    <row r="375" spans="26:36" ht="15" customHeight="1">
      <c r="Z375" s="76" t="e">
        <f t="shared" ca="1" si="36"/>
        <v>#N/A</v>
      </c>
      <c r="AA375" s="75" t="e">
        <f t="shared" ca="1" si="32"/>
        <v>#N/A</v>
      </c>
      <c r="AB375" s="76">
        <f t="shared" ca="1" si="37"/>
        <v>0</v>
      </c>
      <c r="AC375" s="75">
        <f t="shared" ca="1" si="33"/>
        <v>0</v>
      </c>
      <c r="AD375" s="76">
        <f t="shared" ca="1" si="38"/>
        <v>12388.425641550926</v>
      </c>
      <c r="AE375" s="76">
        <f t="shared" si="39"/>
        <v>0</v>
      </c>
      <c r="AF375" s="75">
        <f t="shared" si="34"/>
        <v>0</v>
      </c>
      <c r="AG375" s="75">
        <f t="shared" si="35"/>
        <v>0</v>
      </c>
      <c r="AH375" s="31" t="e" cm="1">
        <f t="array" aca="1" ref="AH375" ca="1">IF((AD375) &lt; (INDEX(ResponseSLA[#All],(MATCH((G375),ResponseSLA[Priority],0))+1,3)),"YES","No")</f>
        <v>#N/A</v>
      </c>
      <c r="AI375" s="31" t="str">
        <f>_xlfn.IFNA(IF(AE375 &lt; (INDEX(SLATable[Minimum SLA],MATCH(G375,SLATable[Priority],0))),"YES","NO"),"")</f>
        <v/>
      </c>
      <c r="AJ375" t="str">
        <f>_xlfn.IFNA(IF(AE375 &lt; (INDEX(SLATable[Maximum SLA],MATCH(G375,SLATable[Priority],0))),"YES","NO"),"")</f>
        <v/>
      </c>
    </row>
    <row r="376" spans="26:36" ht="15" customHeight="1">
      <c r="Z376" s="76" t="e">
        <f t="shared" ca="1" si="36"/>
        <v>#N/A</v>
      </c>
      <c r="AA376" s="75" t="e">
        <f t="shared" ca="1" si="32"/>
        <v>#N/A</v>
      </c>
      <c r="AB376" s="76">
        <f t="shared" ca="1" si="37"/>
        <v>0</v>
      </c>
      <c r="AC376" s="75">
        <f t="shared" ca="1" si="33"/>
        <v>0</v>
      </c>
      <c r="AD376" s="76">
        <f t="shared" ca="1" si="38"/>
        <v>12388.425641782411</v>
      </c>
      <c r="AE376" s="76">
        <f t="shared" si="39"/>
        <v>0</v>
      </c>
      <c r="AF376" s="75">
        <f t="shared" si="34"/>
        <v>0</v>
      </c>
      <c r="AG376" s="75">
        <f t="shared" si="35"/>
        <v>0</v>
      </c>
      <c r="AH376" s="31" t="e" cm="1">
        <f t="array" aca="1" ref="AH376" ca="1">IF((AD376) &lt; (INDEX(ResponseSLA[#All],(MATCH((G376),ResponseSLA[Priority],0))+1,3)),"YES","No")</f>
        <v>#N/A</v>
      </c>
      <c r="AI376" s="31" t="str">
        <f>_xlfn.IFNA(IF(AE376 &lt; (INDEX(SLATable[Minimum SLA],MATCH(G376,SLATable[Priority],0))),"YES","NO"),"")</f>
        <v/>
      </c>
      <c r="AJ376" t="str">
        <f>_xlfn.IFNA(IF(AE376 &lt; (INDEX(SLATable[Maximum SLA],MATCH(G376,SLATable[Priority],0))),"YES","NO"),"")</f>
        <v/>
      </c>
    </row>
    <row r="377" spans="26:36" ht="15" customHeight="1">
      <c r="Z377" s="76" t="e">
        <f t="shared" ca="1" si="36"/>
        <v>#N/A</v>
      </c>
      <c r="AA377" s="75" t="e">
        <f t="shared" ca="1" si="32"/>
        <v>#N/A</v>
      </c>
      <c r="AB377" s="76">
        <f t="shared" ca="1" si="37"/>
        <v>0</v>
      </c>
      <c r="AC377" s="75">
        <f t="shared" ca="1" si="33"/>
        <v>0</v>
      </c>
      <c r="AD377" s="76">
        <f t="shared" ca="1" si="38"/>
        <v>12388.425641550926</v>
      </c>
      <c r="AE377" s="76">
        <f t="shared" si="39"/>
        <v>0</v>
      </c>
      <c r="AF377" s="75">
        <f t="shared" si="34"/>
        <v>0</v>
      </c>
      <c r="AG377" s="75">
        <f t="shared" si="35"/>
        <v>0</v>
      </c>
      <c r="AH377" s="31" t="e" cm="1">
        <f t="array" aca="1" ref="AH377" ca="1">IF((AD377) &lt; (INDEX(ResponseSLA[#All],(MATCH((G377),ResponseSLA[Priority],0))+1,3)),"YES","No")</f>
        <v>#N/A</v>
      </c>
      <c r="AI377" s="31" t="str">
        <f>_xlfn.IFNA(IF(AE377 &lt; (INDEX(SLATable[Minimum SLA],MATCH(G377,SLATable[Priority],0))),"YES","NO"),"")</f>
        <v/>
      </c>
      <c r="AJ377" t="str">
        <f>_xlfn.IFNA(IF(AE377 &lt; (INDEX(SLATable[Maximum SLA],MATCH(G377,SLATable[Priority],0))),"YES","NO"),"")</f>
        <v/>
      </c>
    </row>
    <row r="378" spans="26:36" ht="15" customHeight="1">
      <c r="Z378" s="76" t="e">
        <f t="shared" ca="1" si="36"/>
        <v>#N/A</v>
      </c>
      <c r="AA378" s="75" t="e">
        <f t="shared" ca="1" si="32"/>
        <v>#N/A</v>
      </c>
      <c r="AB378" s="76">
        <f t="shared" ca="1" si="37"/>
        <v>0</v>
      </c>
      <c r="AC378" s="75">
        <f t="shared" ca="1" si="33"/>
        <v>0</v>
      </c>
      <c r="AD378" s="76">
        <f t="shared" ca="1" si="38"/>
        <v>12388.425641550926</v>
      </c>
      <c r="AE378" s="76">
        <f t="shared" si="39"/>
        <v>0</v>
      </c>
      <c r="AF378" s="75">
        <f t="shared" si="34"/>
        <v>0</v>
      </c>
      <c r="AG378" s="75">
        <f t="shared" si="35"/>
        <v>0</v>
      </c>
      <c r="AH378" s="31" t="e" cm="1">
        <f t="array" aca="1" ref="AH378" ca="1">IF((AD378) &lt; (INDEX(ResponseSLA[#All],(MATCH((G378),ResponseSLA[Priority],0))+1,3)),"YES","No")</f>
        <v>#N/A</v>
      </c>
      <c r="AI378" s="31" t="str">
        <f>_xlfn.IFNA(IF(AE378 &lt; (INDEX(SLATable[Minimum SLA],MATCH(G378,SLATable[Priority],0))),"YES","NO"),"")</f>
        <v/>
      </c>
      <c r="AJ378" t="str">
        <f>_xlfn.IFNA(IF(AE378 &lt; (INDEX(SLATable[Maximum SLA],MATCH(G378,SLATable[Priority],0))),"YES","NO"),"")</f>
        <v/>
      </c>
    </row>
    <row r="379" spans="26:36" ht="15" customHeight="1">
      <c r="Z379" s="76" t="e">
        <f t="shared" ca="1" si="36"/>
        <v>#N/A</v>
      </c>
      <c r="AA379" s="75" t="e">
        <f t="shared" ca="1" si="32"/>
        <v>#N/A</v>
      </c>
      <c r="AB379" s="76">
        <f t="shared" ca="1" si="37"/>
        <v>0</v>
      </c>
      <c r="AC379" s="75">
        <f t="shared" ca="1" si="33"/>
        <v>0</v>
      </c>
      <c r="AD379" s="76">
        <f t="shared" ca="1" si="38"/>
        <v>12388.425641782411</v>
      </c>
      <c r="AE379" s="76">
        <f t="shared" si="39"/>
        <v>0</v>
      </c>
      <c r="AF379" s="75">
        <f t="shared" si="34"/>
        <v>0</v>
      </c>
      <c r="AG379" s="75">
        <f t="shared" si="35"/>
        <v>0</v>
      </c>
      <c r="AH379" s="31" t="e" cm="1">
        <f t="array" aca="1" ref="AH379" ca="1">IF((AD379) &lt; (INDEX(ResponseSLA[#All],(MATCH((G379),ResponseSLA[Priority],0))+1,3)),"YES","No")</f>
        <v>#N/A</v>
      </c>
      <c r="AI379" s="31" t="str">
        <f>_xlfn.IFNA(IF(AE379 &lt; (INDEX(SLATable[Minimum SLA],MATCH(G379,SLATable[Priority],0))),"YES","NO"),"")</f>
        <v/>
      </c>
      <c r="AJ379" t="str">
        <f>_xlfn.IFNA(IF(AE379 &lt; (INDEX(SLATable[Maximum SLA],MATCH(G379,SLATable[Priority],0))),"YES","NO"),"")</f>
        <v/>
      </c>
    </row>
    <row r="380" spans="26:36" ht="15" customHeight="1">
      <c r="Z380" s="76" t="e">
        <f t="shared" ca="1" si="36"/>
        <v>#N/A</v>
      </c>
      <c r="AA380" s="75" t="e">
        <f t="shared" ca="1" si="32"/>
        <v>#N/A</v>
      </c>
      <c r="AB380" s="76">
        <f t="shared" ca="1" si="37"/>
        <v>0</v>
      </c>
      <c r="AC380" s="75">
        <f t="shared" ca="1" si="33"/>
        <v>0</v>
      </c>
      <c r="AD380" s="76">
        <f t="shared" ca="1" si="38"/>
        <v>12388.425641550926</v>
      </c>
      <c r="AE380" s="76">
        <f t="shared" si="39"/>
        <v>0</v>
      </c>
      <c r="AF380" s="75">
        <f t="shared" si="34"/>
        <v>0</v>
      </c>
      <c r="AG380" s="75">
        <f t="shared" si="35"/>
        <v>0</v>
      </c>
      <c r="AH380" s="31" t="e" cm="1">
        <f t="array" aca="1" ref="AH380" ca="1">IF((AD380) &lt; (INDEX(ResponseSLA[#All],(MATCH((G380),ResponseSLA[Priority],0))+1,3)),"YES","No")</f>
        <v>#N/A</v>
      </c>
      <c r="AI380" s="31" t="str">
        <f>_xlfn.IFNA(IF(AE380 &lt; (INDEX(SLATable[Minimum SLA],MATCH(G380,SLATable[Priority],0))),"YES","NO"),"")</f>
        <v/>
      </c>
      <c r="AJ380" t="str">
        <f>_xlfn.IFNA(IF(AE380 &lt; (INDEX(SLATable[Maximum SLA],MATCH(G380,SLATable[Priority],0))),"YES","NO"),"")</f>
        <v/>
      </c>
    </row>
    <row r="381" spans="26:36" ht="15" customHeight="1">
      <c r="Z381" s="76" t="e">
        <f t="shared" ca="1" si="36"/>
        <v>#N/A</v>
      </c>
      <c r="AA381" s="75" t="e">
        <f t="shared" ca="1" si="32"/>
        <v>#N/A</v>
      </c>
      <c r="AB381" s="76">
        <f t="shared" ca="1" si="37"/>
        <v>0</v>
      </c>
      <c r="AC381" s="75">
        <f t="shared" ca="1" si="33"/>
        <v>0</v>
      </c>
      <c r="AD381" s="76">
        <f t="shared" ca="1" si="38"/>
        <v>12388.425641782411</v>
      </c>
      <c r="AE381" s="76">
        <f t="shared" si="39"/>
        <v>0</v>
      </c>
      <c r="AF381" s="75">
        <f t="shared" si="34"/>
        <v>0</v>
      </c>
      <c r="AG381" s="75">
        <f t="shared" si="35"/>
        <v>0</v>
      </c>
      <c r="AH381" s="31" t="e" cm="1">
        <f t="array" aca="1" ref="AH381" ca="1">IF((AD381) &lt; (INDEX(ResponseSLA[#All],(MATCH((G381),ResponseSLA[Priority],0))+1,3)),"YES","No")</f>
        <v>#N/A</v>
      </c>
      <c r="AI381" s="31" t="str">
        <f>_xlfn.IFNA(IF(AE381 &lt; (INDEX(SLATable[Minimum SLA],MATCH(G381,SLATable[Priority],0))),"YES","NO"),"")</f>
        <v/>
      </c>
      <c r="AJ381" t="str">
        <f>_xlfn.IFNA(IF(AE381 &lt; (INDEX(SLATable[Maximum SLA],MATCH(G381,SLATable[Priority],0))),"YES","NO"),"")</f>
        <v/>
      </c>
    </row>
    <row r="382" spans="26:36" ht="15" customHeight="1">
      <c r="Z382" s="76" t="e">
        <f t="shared" ca="1" si="36"/>
        <v>#N/A</v>
      </c>
      <c r="AA382" s="75" t="e">
        <f t="shared" ca="1" si="32"/>
        <v>#N/A</v>
      </c>
      <c r="AB382" s="76">
        <f t="shared" ca="1" si="37"/>
        <v>0</v>
      </c>
      <c r="AC382" s="75">
        <f t="shared" ca="1" si="33"/>
        <v>0</v>
      </c>
      <c r="AD382" s="76">
        <f t="shared" ca="1" si="38"/>
        <v>12388.425641782411</v>
      </c>
      <c r="AE382" s="76">
        <f t="shared" si="39"/>
        <v>0</v>
      </c>
      <c r="AF382" s="75">
        <f t="shared" si="34"/>
        <v>0</v>
      </c>
      <c r="AG382" s="75">
        <f t="shared" si="35"/>
        <v>0</v>
      </c>
      <c r="AH382" s="31" t="e" cm="1">
        <f t="array" aca="1" ref="AH382" ca="1">IF((AD382) &lt; (INDEX(ResponseSLA[#All],(MATCH((G382),ResponseSLA[Priority],0))+1,3)),"YES","No")</f>
        <v>#N/A</v>
      </c>
      <c r="AI382" s="31" t="str">
        <f>_xlfn.IFNA(IF(AE382 &lt; (INDEX(SLATable[Minimum SLA],MATCH(G382,SLATable[Priority],0))),"YES","NO"),"")</f>
        <v/>
      </c>
      <c r="AJ382" t="str">
        <f>_xlfn.IFNA(IF(AE382 &lt; (INDEX(SLATable[Maximum SLA],MATCH(G382,SLATable[Priority],0))),"YES","NO"),"")</f>
        <v/>
      </c>
    </row>
    <row r="383" spans="26:36" ht="15" customHeight="1">
      <c r="Z383" s="76" t="e">
        <f t="shared" ca="1" si="36"/>
        <v>#N/A</v>
      </c>
      <c r="AA383" s="75" t="e">
        <f t="shared" ca="1" si="32"/>
        <v>#N/A</v>
      </c>
      <c r="AB383" s="76">
        <f t="shared" ca="1" si="37"/>
        <v>0</v>
      </c>
      <c r="AC383" s="75">
        <f t="shared" ca="1" si="33"/>
        <v>0</v>
      </c>
      <c r="AD383" s="76">
        <f t="shared" ca="1" si="38"/>
        <v>12388.425641550926</v>
      </c>
      <c r="AE383" s="76">
        <f t="shared" si="39"/>
        <v>0</v>
      </c>
      <c r="AF383" s="75">
        <f t="shared" si="34"/>
        <v>0</v>
      </c>
      <c r="AG383" s="75">
        <f t="shared" si="35"/>
        <v>0</v>
      </c>
      <c r="AH383" s="31" t="e" cm="1">
        <f t="array" aca="1" ref="AH383" ca="1">IF((AD383) &lt; (INDEX(ResponseSLA[#All],(MATCH((G383),ResponseSLA[Priority],0))+1,3)),"YES","No")</f>
        <v>#N/A</v>
      </c>
      <c r="AI383" s="31" t="str">
        <f>_xlfn.IFNA(IF(AE383 &lt; (INDEX(SLATable[Minimum SLA],MATCH(G383,SLATable[Priority],0))),"YES","NO"),"")</f>
        <v/>
      </c>
      <c r="AJ383" t="str">
        <f>_xlfn.IFNA(IF(AE383 &lt; (INDEX(SLATable[Maximum SLA],MATCH(G383,SLATable[Priority],0))),"YES","NO"),"")</f>
        <v/>
      </c>
    </row>
    <row r="384" spans="26:36" ht="15" customHeight="1">
      <c r="Z384" s="76" t="e">
        <f t="shared" ca="1" si="36"/>
        <v>#N/A</v>
      </c>
      <c r="AA384" s="75" t="e">
        <f t="shared" ca="1" si="32"/>
        <v>#N/A</v>
      </c>
      <c r="AB384" s="76">
        <f t="shared" ca="1" si="37"/>
        <v>0</v>
      </c>
      <c r="AC384" s="75">
        <f t="shared" ca="1" si="33"/>
        <v>0</v>
      </c>
      <c r="AD384" s="76">
        <f t="shared" ca="1" si="38"/>
        <v>12388.425641782411</v>
      </c>
      <c r="AE384" s="76">
        <f t="shared" si="39"/>
        <v>0</v>
      </c>
      <c r="AF384" s="75">
        <f t="shared" si="34"/>
        <v>0</v>
      </c>
      <c r="AG384" s="75">
        <f t="shared" si="35"/>
        <v>0</v>
      </c>
      <c r="AH384" s="31" t="e" cm="1">
        <f t="array" aca="1" ref="AH384" ca="1">IF((AD384) &lt; (INDEX(ResponseSLA[#All],(MATCH((G384),ResponseSLA[Priority],0))+1,3)),"YES","No")</f>
        <v>#N/A</v>
      </c>
      <c r="AI384" s="31" t="str">
        <f>_xlfn.IFNA(IF(AE384 &lt; (INDEX(SLATable[Minimum SLA],MATCH(G384,SLATable[Priority],0))),"YES","NO"),"")</f>
        <v/>
      </c>
      <c r="AJ384" t="str">
        <f>_xlfn.IFNA(IF(AE384 &lt; (INDEX(SLATable[Maximum SLA],MATCH(G384,SLATable[Priority],0))),"YES","NO"),"")</f>
        <v/>
      </c>
    </row>
    <row r="385" spans="26:36" ht="15" customHeight="1">
      <c r="Z385" s="76" t="e">
        <f t="shared" ca="1" si="36"/>
        <v>#N/A</v>
      </c>
      <c r="AA385" s="75" t="e">
        <f t="shared" ref="AA385:AA448" ca="1" si="40">(Z385*24)/9</f>
        <v>#N/A</v>
      </c>
      <c r="AB385" s="76">
        <f t="shared" ca="1" si="37"/>
        <v>0</v>
      </c>
      <c r="AC385" s="75">
        <f t="shared" ref="AC385:AC448" ca="1" si="41">(AB385*24)/9</f>
        <v>0</v>
      </c>
      <c r="AD385" s="76">
        <f t="shared" ca="1" si="38"/>
        <v>12388.425641782411</v>
      </c>
      <c r="AE385" s="76">
        <f t="shared" si="39"/>
        <v>0</v>
      </c>
      <c r="AF385" s="75">
        <f t="shared" ref="AF385:AF448" si="42">(AE385*24)/9</f>
        <v>0</v>
      </c>
      <c r="AG385" s="75">
        <f t="shared" ref="AG385:AG448" si="43">AF385</f>
        <v>0</v>
      </c>
      <c r="AH385" s="31" t="e" cm="1">
        <f t="array" aca="1" ref="AH385" ca="1">IF((AD385) &lt; (INDEX(ResponseSLA[#All],(MATCH((G385),ResponseSLA[Priority],0))+1,3)),"YES","No")</f>
        <v>#N/A</v>
      </c>
      <c r="AI385" s="31" t="str">
        <f>_xlfn.IFNA(IF(AE385 &lt; (INDEX(SLATable[Minimum SLA],MATCH(G385,SLATable[Priority],0))),"YES","NO"),"")</f>
        <v/>
      </c>
      <c r="AJ385" t="str">
        <f>_xlfn.IFNA(IF(AE385 &lt; (INDEX(SLATable[Maximum SLA],MATCH(G385,SLATable[Priority],0))),"YES","NO"),"")</f>
        <v/>
      </c>
    </row>
    <row r="386" spans="26:36" ht="15" customHeight="1">
      <c r="Z386" s="76" t="e">
        <f t="shared" ca="1" si="36"/>
        <v>#N/A</v>
      </c>
      <c r="AA386" s="75" t="e">
        <f t="shared" ca="1" si="40"/>
        <v>#N/A</v>
      </c>
      <c r="AB386" s="76">
        <f t="shared" ca="1" si="37"/>
        <v>0</v>
      </c>
      <c r="AC386" s="75">
        <f t="shared" ca="1" si="41"/>
        <v>0</v>
      </c>
      <c r="AD386" s="76">
        <f t="shared" ca="1" si="38"/>
        <v>12388.425641550926</v>
      </c>
      <c r="AE386" s="76">
        <f t="shared" si="39"/>
        <v>0</v>
      </c>
      <c r="AF386" s="75">
        <f t="shared" si="42"/>
        <v>0</v>
      </c>
      <c r="AG386" s="75">
        <f t="shared" si="43"/>
        <v>0</v>
      </c>
      <c r="AH386" s="31" t="e" cm="1">
        <f t="array" aca="1" ref="AH386" ca="1">IF((AD386) &lt; (INDEX(ResponseSLA[#All],(MATCH((G386),ResponseSLA[Priority],0))+1,3)),"YES","No")</f>
        <v>#N/A</v>
      </c>
      <c r="AI386" s="31" t="str">
        <f>_xlfn.IFNA(IF(AE386 &lt; (INDEX(SLATable[Minimum SLA],MATCH(G386,SLATable[Priority],0))),"YES","NO"),"")</f>
        <v/>
      </c>
      <c r="AJ386" t="str">
        <f>_xlfn.IFNA(IF(AE386 &lt; (INDEX(SLATable[Maximum SLA],MATCH(G386,SLATable[Priority],0))),"YES","NO"),"")</f>
        <v/>
      </c>
    </row>
    <row r="387" spans="26:36" ht="15" customHeight="1">
      <c r="Z387" s="76" t="e">
        <f t="shared" ref="Z387:Z450" ca="1" si="44">IF(NOT(OR(G387=1,G387=2)),MAX(0,_xlfn.IFS(AND(K387&lt;&gt;"",N387&lt;&gt;""),((MAX(NETWORKDAYS(K387,N387,UKBankHolidays)-1,0))*(TIME(17,0,0)-TIME(8,0,0))+IF(NETWORKDAYS(N387,N387,UKBankHolidays)&gt;0,MEDIAN(TIME(8,0,0),MOD(N387,1),TIME(17,0,0)),TIME(8,0,0))-IF(NETWORKDAYS(K387,K387,UKBankHolidays)&gt;0,MEDIAN(TIME(8,0,0),MOD(K387,1),TIME(17,0,0)),TIME(8,0,0)))-IF(AND(O387&lt;&gt;"",P387&lt;&gt;""),((MAX(NETWORKDAYS(O387,P387,UKBankHolidays)-1,0))*(TIME(17,0,0)-TIME(8,0,0))+IF(NETWORKDAYS(P387,P387,UKBankHolidays)&gt;0,MEDIAN(TIME(8,0,0),MOD(P387,1),TIME(17,0,0)),TIME(8,0,0))-IF(NETWORKDAYS(O387,O387,UKBankHolidays)&gt;0,MEDIAN(TIME(8,0,0),MOD(O387,1),TIME(17,0,0)),TIME(8,0,0))),0),AND(K387&lt;&gt;"",N387=""),((MAX(NETWORKDAYS(K387,NOW(),UKBankHolidays)-1,0))*(TIME(17,0,0)-TIME(8,0,0))+IF(NETWORKDAYS(NOW(),NOW(),UKBankHolidays)&gt;0,MEDIAN(TIME(8,0,0),MOD(NOW(),1),TIME(17,0,0)),TIME(8,0,0))-IF(NETWORKDAYS(K387,K387,UKBankHolidays)&gt;0,MEDIAN(TIME(8,0,0),MOD(K387,1),TIME(17,0,0)),TIME(8,0,0))))),IF(N387="",NOW()-K387,N387-K387))</f>
        <v>#N/A</v>
      </c>
      <c r="AA387" s="75" t="e">
        <f t="shared" ca="1" si="40"/>
        <v>#N/A</v>
      </c>
      <c r="AB387" s="76">
        <f t="shared" ref="AB387:AB450" ca="1" si="45">IF(NOT(OR(G387=1,G387=2)),MAX(0,_xlfn.IFS(AND(K387&lt;&gt;"",N387&lt;&gt;""),(((MAX(NETWORKDAYS(L387,N387,UKBankHolidays)-1,0))*(TIME(17,0,0)-TIME(8,0,0)))+IF(NETWORKDAYS(N387,N387,UKBankHolidays)&gt;0,MEDIAN(TIME(8,0,0),MOD(N387,1),TIME(17,0,0)),TIME(8,0,0))-IF(NETWORKDAYS(L387,L387,UKBankHolidays)&gt;0,MEDIAN(TIME(8,0,0),MOD(L387,1),TIME(17,0,0)),TIME(8,0,0)))-IF(AND(O387&lt;&gt;"",P387&lt;&gt;""),(((MAX(NETWORKDAYS(O387,P387,UKBankHolidays)-1,0))*(TIME(17,0,0)-TIME(8,0,0)))+IF(NETWORKDAYS(P387,P387,UKBankHolidays)&gt;0,MEDIAN(TIME(8,0,0),MOD(P387,1),TIME(17,0,0)),TIME(8,0,0))-IF(NETWORKDAYS(O387,O387,UKBankHolidays)&gt;0,MEDIAN(TIME(8,0,0),MOD(O387,1),TIME(17,0,0)),TIME(8,0,0))),0),AND(L387&lt;&gt;"",N387="",O387=""),(((MAX(NETWORKDAYS(L387,NOW(),UKBankHolidays)-1,0))*(TIME(17,0,0)-TIME(8,0,0)))+IF(NETWORKDAYS(NOW(),NOW(),UKBankHolidays)&gt;0,MEDIAN(TIME(8,0,0),MOD(NOW(),1),TIME(17,0,0)),TIME(8,0,0))-IF(NETWORKDAYS(L387,L387,UKBankHolidays)&gt;0,MEDIAN(TIME(8,0,0),MOD(L387,1),TIME(17,0,0)),TIME(8,0,0)))-IF(AND(O387&lt;&gt;"",P387&lt;&gt;""),(((MAX(NETWORKDAYS(O387,P387,UKBankHolidays)-1,0))*(TIME(17,0,0)-TIME(8,0,0)))+IF(NETWORKDAYS(P387,P387,UKBankHolidays)&gt;0,MEDIAN(TIME(8,0,0),MOD(P387,1),TIME(17,0,0)),TIME(8,0,0))-IF(NETWORKDAYS(O387,O387,UKBankHolidays)&gt;0,MEDIAN(TIME(8,0,0),MOD(O387,1),TIME(17,0,0)),TIME(8,0,0))),0),AND(L387&lt;&gt;"",N387="",P387="",O387&lt;&gt;""),(((MAX(NETWORKDAYS(L387,O387,UKBankHolidays)-1,0))*(TIME(17,0,0)-TIME(8,0,0)))+IF(NETWORKDAYS(O387,O387,UKBankHolidays)&gt;0,MEDIAN(TIME(8,0,0),MOD(O387,1),TIME(17,0,0)),TIME(8,0,0))-IF(NETWORKDAYS(L387,L387,UKBankHolidays)&gt;0,MEDIAN(TIME(8,0,0),MOD(L387,1),TIME(17,0,0)),TIME(8,0,0))),ISBLANK(K387),"0")),IF(ISBLANK(N387),NOW()-L387,N387-L387))</f>
        <v>0</v>
      </c>
      <c r="AC387" s="75">
        <f t="shared" ca="1" si="41"/>
        <v>0</v>
      </c>
      <c r="AD387" s="76">
        <f t="shared" ref="AD387:AD450" ca="1" si="46">MAX(0,IF(NOT(OR(G387=1,G387=2)),IF(M387&lt;&gt;"",((MAX(NETWORKDAYS(L387,M387,UKBankHolidays)-1,0))*(TIME(17,0,0)-TIME(8,0,0))+IF(NETWORKDAYS(M387,M387,UKBankHolidays)&gt;0,MEDIAN(TIME(8,0,0),MOD(M387,1),TIME(17,0,0)),TIME(8,0,0))-MEDIAN(TIME(8,0,0),MOD(L387,1),TIME(17,0,0))),((MAX(NETWORKDAYS(L387,NOW(),UKBankHolidays)-1,0))*(TIME(17,0,0)-TIME(8,0,0))+IF(NETWORKDAYS(NOW(),NOW(),UKBankHolidays)&gt;0,MEDIAN(TIME(8,0,0),MOD(NOW(),1),TIME(17,0,0)),TIME(8,0,0))-MEDIAN(TIME(8,0,0),MOD(L387,1),TIME(17,0,0)))),IF(M387&lt;&gt;"",M387-L387,NOW()-L387)))</f>
        <v>12388.425641782411</v>
      </c>
      <c r="AE387" s="76">
        <f t="shared" ref="AE387:AE450" si="47">SUMIFS(AB:AB,E:E,E387)</f>
        <v>0</v>
      </c>
      <c r="AF387" s="75">
        <f t="shared" si="42"/>
        <v>0</v>
      </c>
      <c r="AG387" s="75">
        <f t="shared" si="43"/>
        <v>0</v>
      </c>
      <c r="AH387" s="31" t="e" cm="1">
        <f t="array" aca="1" ref="AH387" ca="1">IF((AD387) &lt; (INDEX(ResponseSLA[#All],(MATCH((G387),ResponseSLA[Priority],0))+1,3)),"YES","No")</f>
        <v>#N/A</v>
      </c>
      <c r="AI387" s="31" t="str">
        <f>_xlfn.IFNA(IF(AE387 &lt; (INDEX(SLATable[Minimum SLA],MATCH(G387,SLATable[Priority],0))),"YES","NO"),"")</f>
        <v/>
      </c>
      <c r="AJ387" t="str">
        <f>_xlfn.IFNA(IF(AE387 &lt; (INDEX(SLATable[Maximum SLA],MATCH(G387,SLATable[Priority],0))),"YES","NO"),"")</f>
        <v/>
      </c>
    </row>
    <row r="388" spans="26:36" ht="15" customHeight="1">
      <c r="Z388" s="76" t="e">
        <f t="shared" ca="1" si="44"/>
        <v>#N/A</v>
      </c>
      <c r="AA388" s="75" t="e">
        <f t="shared" ca="1" si="40"/>
        <v>#N/A</v>
      </c>
      <c r="AB388" s="76">
        <f t="shared" ca="1" si="45"/>
        <v>0</v>
      </c>
      <c r="AC388" s="75">
        <f t="shared" ca="1" si="41"/>
        <v>0</v>
      </c>
      <c r="AD388" s="76">
        <f t="shared" ca="1" si="46"/>
        <v>12388.425641782411</v>
      </c>
      <c r="AE388" s="76">
        <f t="shared" si="47"/>
        <v>0</v>
      </c>
      <c r="AF388" s="75">
        <f t="shared" si="42"/>
        <v>0</v>
      </c>
      <c r="AG388" s="75">
        <f t="shared" si="43"/>
        <v>0</v>
      </c>
      <c r="AH388" s="31" t="e" cm="1">
        <f t="array" aca="1" ref="AH388" ca="1">IF((AD388) &lt; (INDEX(ResponseSLA[#All],(MATCH((G388),ResponseSLA[Priority],0))+1,3)),"YES","No")</f>
        <v>#N/A</v>
      </c>
      <c r="AI388" s="31" t="str">
        <f>_xlfn.IFNA(IF(AE388 &lt; (INDEX(SLATable[Minimum SLA],MATCH(G388,SLATable[Priority],0))),"YES","NO"),"")</f>
        <v/>
      </c>
      <c r="AJ388" t="str">
        <f>_xlfn.IFNA(IF(AE388 &lt; (INDEX(SLATable[Maximum SLA],MATCH(G388,SLATable[Priority],0))),"YES","NO"),"")</f>
        <v/>
      </c>
    </row>
    <row r="389" spans="26:36" ht="15" customHeight="1">
      <c r="Z389" s="76" t="e">
        <f t="shared" ca="1" si="44"/>
        <v>#N/A</v>
      </c>
      <c r="AA389" s="75" t="e">
        <f t="shared" ca="1" si="40"/>
        <v>#N/A</v>
      </c>
      <c r="AB389" s="76">
        <f t="shared" ca="1" si="45"/>
        <v>0</v>
      </c>
      <c r="AC389" s="75">
        <f t="shared" ca="1" si="41"/>
        <v>0</v>
      </c>
      <c r="AD389" s="76">
        <f t="shared" ca="1" si="46"/>
        <v>12388.425641550926</v>
      </c>
      <c r="AE389" s="76">
        <f t="shared" si="47"/>
        <v>0</v>
      </c>
      <c r="AF389" s="75">
        <f t="shared" si="42"/>
        <v>0</v>
      </c>
      <c r="AG389" s="75">
        <f t="shared" si="43"/>
        <v>0</v>
      </c>
      <c r="AH389" s="31" t="e" cm="1">
        <f t="array" aca="1" ref="AH389" ca="1">IF((AD389) &lt; (INDEX(ResponseSLA[#All],(MATCH((G389),ResponseSLA[Priority],0))+1,3)),"YES","No")</f>
        <v>#N/A</v>
      </c>
      <c r="AI389" s="31" t="str">
        <f>_xlfn.IFNA(IF(AE389 &lt; (INDEX(SLATable[Minimum SLA],MATCH(G389,SLATable[Priority],0))),"YES","NO"),"")</f>
        <v/>
      </c>
      <c r="AJ389" t="str">
        <f>_xlfn.IFNA(IF(AE389 &lt; (INDEX(SLATable[Maximum SLA],MATCH(G389,SLATable[Priority],0))),"YES","NO"),"")</f>
        <v/>
      </c>
    </row>
    <row r="390" spans="26:36" ht="15" customHeight="1">
      <c r="Z390" s="76" t="e">
        <f t="shared" ca="1" si="44"/>
        <v>#N/A</v>
      </c>
      <c r="AA390" s="75" t="e">
        <f t="shared" ca="1" si="40"/>
        <v>#N/A</v>
      </c>
      <c r="AB390" s="76">
        <f t="shared" ca="1" si="45"/>
        <v>0</v>
      </c>
      <c r="AC390" s="75">
        <f t="shared" ca="1" si="41"/>
        <v>0</v>
      </c>
      <c r="AD390" s="76">
        <f t="shared" ca="1" si="46"/>
        <v>12388.425641782411</v>
      </c>
      <c r="AE390" s="76">
        <f t="shared" si="47"/>
        <v>0</v>
      </c>
      <c r="AF390" s="75">
        <f t="shared" si="42"/>
        <v>0</v>
      </c>
      <c r="AG390" s="75">
        <f t="shared" si="43"/>
        <v>0</v>
      </c>
      <c r="AH390" s="31" t="e" cm="1">
        <f t="array" aca="1" ref="AH390" ca="1">IF((AD390) &lt; (INDEX(ResponseSLA[#All],(MATCH((G390),ResponseSLA[Priority],0))+1,3)),"YES","No")</f>
        <v>#N/A</v>
      </c>
      <c r="AI390" s="31" t="str">
        <f>_xlfn.IFNA(IF(AE390 &lt; (INDEX(SLATable[Minimum SLA],MATCH(G390,SLATable[Priority],0))),"YES","NO"),"")</f>
        <v/>
      </c>
      <c r="AJ390" t="str">
        <f>_xlfn.IFNA(IF(AE390 &lt; (INDEX(SLATable[Maximum SLA],MATCH(G390,SLATable[Priority],0))),"YES","NO"),"")</f>
        <v/>
      </c>
    </row>
    <row r="391" spans="26:36" ht="15" customHeight="1">
      <c r="Z391" s="76" t="e">
        <f t="shared" ca="1" si="44"/>
        <v>#N/A</v>
      </c>
      <c r="AA391" s="75" t="e">
        <f t="shared" ca="1" si="40"/>
        <v>#N/A</v>
      </c>
      <c r="AB391" s="76">
        <f t="shared" ca="1" si="45"/>
        <v>0</v>
      </c>
      <c r="AC391" s="75">
        <f t="shared" ca="1" si="41"/>
        <v>0</v>
      </c>
      <c r="AD391" s="76">
        <f t="shared" ca="1" si="46"/>
        <v>12388.425641782411</v>
      </c>
      <c r="AE391" s="76">
        <f t="shared" si="47"/>
        <v>0</v>
      </c>
      <c r="AF391" s="75">
        <f t="shared" si="42"/>
        <v>0</v>
      </c>
      <c r="AG391" s="75">
        <f t="shared" si="43"/>
        <v>0</v>
      </c>
      <c r="AH391" s="31" t="e" cm="1">
        <f t="array" aca="1" ref="AH391" ca="1">IF((AD391) &lt; (INDEX(ResponseSLA[#All],(MATCH((G391),ResponseSLA[Priority],0))+1,3)),"YES","No")</f>
        <v>#N/A</v>
      </c>
      <c r="AI391" s="31" t="str">
        <f>_xlfn.IFNA(IF(AE391 &lt; (INDEX(SLATable[Minimum SLA],MATCH(G391,SLATable[Priority],0))),"YES","NO"),"")</f>
        <v/>
      </c>
      <c r="AJ391" t="str">
        <f>_xlfn.IFNA(IF(AE391 &lt; (INDEX(SLATable[Maximum SLA],MATCH(G391,SLATable[Priority],0))),"YES","NO"),"")</f>
        <v/>
      </c>
    </row>
    <row r="392" spans="26:36" ht="15" customHeight="1">
      <c r="Z392" s="76" t="e">
        <f t="shared" ca="1" si="44"/>
        <v>#N/A</v>
      </c>
      <c r="AA392" s="75" t="e">
        <f t="shared" ca="1" si="40"/>
        <v>#N/A</v>
      </c>
      <c r="AB392" s="76">
        <f t="shared" ca="1" si="45"/>
        <v>0</v>
      </c>
      <c r="AC392" s="75">
        <f t="shared" ca="1" si="41"/>
        <v>0</v>
      </c>
      <c r="AD392" s="76">
        <f t="shared" ca="1" si="46"/>
        <v>12388.425641550926</v>
      </c>
      <c r="AE392" s="76">
        <f t="shared" si="47"/>
        <v>0</v>
      </c>
      <c r="AF392" s="75">
        <f t="shared" si="42"/>
        <v>0</v>
      </c>
      <c r="AG392" s="75">
        <f t="shared" si="43"/>
        <v>0</v>
      </c>
      <c r="AH392" s="31" t="e" cm="1">
        <f t="array" aca="1" ref="AH392" ca="1">IF((AD392) &lt; (INDEX(ResponseSLA[#All],(MATCH((G392),ResponseSLA[Priority],0))+1,3)),"YES","No")</f>
        <v>#N/A</v>
      </c>
      <c r="AI392" s="31" t="str">
        <f>_xlfn.IFNA(IF(AE392 &lt; (INDEX(SLATable[Minimum SLA],MATCH(G392,SLATable[Priority],0))),"YES","NO"),"")</f>
        <v/>
      </c>
      <c r="AJ392" t="str">
        <f>_xlfn.IFNA(IF(AE392 &lt; (INDEX(SLATable[Maximum SLA],MATCH(G392,SLATable[Priority],0))),"YES","NO"),"")</f>
        <v/>
      </c>
    </row>
    <row r="393" spans="26:36" ht="15" customHeight="1">
      <c r="Z393" s="76" t="e">
        <f t="shared" ca="1" si="44"/>
        <v>#N/A</v>
      </c>
      <c r="AA393" s="75" t="e">
        <f t="shared" ca="1" si="40"/>
        <v>#N/A</v>
      </c>
      <c r="AB393" s="76">
        <f t="shared" ca="1" si="45"/>
        <v>0</v>
      </c>
      <c r="AC393" s="75">
        <f t="shared" ca="1" si="41"/>
        <v>0</v>
      </c>
      <c r="AD393" s="76">
        <f t="shared" ca="1" si="46"/>
        <v>12388.425641782411</v>
      </c>
      <c r="AE393" s="76">
        <f t="shared" si="47"/>
        <v>0</v>
      </c>
      <c r="AF393" s="75">
        <f t="shared" si="42"/>
        <v>0</v>
      </c>
      <c r="AG393" s="75">
        <f t="shared" si="43"/>
        <v>0</v>
      </c>
      <c r="AH393" s="31" t="e" cm="1">
        <f t="array" aca="1" ref="AH393" ca="1">IF((AD393) &lt; (INDEX(ResponseSLA[#All],(MATCH((G393),ResponseSLA[Priority],0))+1,3)),"YES","No")</f>
        <v>#N/A</v>
      </c>
      <c r="AI393" s="31" t="str">
        <f>_xlfn.IFNA(IF(AE393 &lt; (INDEX(SLATable[Minimum SLA],MATCH(G393,SLATable[Priority],0))),"YES","NO"),"")</f>
        <v/>
      </c>
      <c r="AJ393" t="str">
        <f>_xlfn.IFNA(IF(AE393 &lt; (INDEX(SLATable[Maximum SLA],MATCH(G393,SLATable[Priority],0))),"YES","NO"),"")</f>
        <v/>
      </c>
    </row>
    <row r="394" spans="26:36" ht="15" customHeight="1">
      <c r="Z394" s="76" t="e">
        <f t="shared" ca="1" si="44"/>
        <v>#N/A</v>
      </c>
      <c r="AA394" s="75" t="e">
        <f t="shared" ca="1" si="40"/>
        <v>#N/A</v>
      </c>
      <c r="AB394" s="76">
        <f t="shared" ca="1" si="45"/>
        <v>0</v>
      </c>
      <c r="AC394" s="75">
        <f t="shared" ca="1" si="41"/>
        <v>0</v>
      </c>
      <c r="AD394" s="76">
        <f t="shared" ca="1" si="46"/>
        <v>12388.425641782411</v>
      </c>
      <c r="AE394" s="76">
        <f t="shared" si="47"/>
        <v>0</v>
      </c>
      <c r="AF394" s="75">
        <f t="shared" si="42"/>
        <v>0</v>
      </c>
      <c r="AG394" s="75">
        <f t="shared" si="43"/>
        <v>0</v>
      </c>
      <c r="AH394" s="31" t="e" cm="1">
        <f t="array" aca="1" ref="AH394" ca="1">IF((AD394) &lt; (INDEX(ResponseSLA[#All],(MATCH((G394),ResponseSLA[Priority],0))+1,3)),"YES","No")</f>
        <v>#N/A</v>
      </c>
      <c r="AI394" s="31" t="str">
        <f>_xlfn.IFNA(IF(AE394 &lt; (INDEX(SLATable[Minimum SLA],MATCH(G394,SLATable[Priority],0))),"YES","NO"),"")</f>
        <v/>
      </c>
      <c r="AJ394" t="str">
        <f>_xlfn.IFNA(IF(AE394 &lt; (INDEX(SLATable[Maximum SLA],MATCH(G394,SLATable[Priority],0))),"YES","NO"),"")</f>
        <v/>
      </c>
    </row>
    <row r="395" spans="26:36" ht="15" customHeight="1">
      <c r="Z395" s="76" t="e">
        <f t="shared" ca="1" si="44"/>
        <v>#N/A</v>
      </c>
      <c r="AA395" s="75" t="e">
        <f t="shared" ca="1" si="40"/>
        <v>#N/A</v>
      </c>
      <c r="AB395" s="76">
        <f t="shared" ca="1" si="45"/>
        <v>0</v>
      </c>
      <c r="AC395" s="75">
        <f t="shared" ca="1" si="41"/>
        <v>0</v>
      </c>
      <c r="AD395" s="76">
        <f t="shared" ca="1" si="46"/>
        <v>12388.425641550926</v>
      </c>
      <c r="AE395" s="76">
        <f t="shared" si="47"/>
        <v>0</v>
      </c>
      <c r="AF395" s="75">
        <f t="shared" si="42"/>
        <v>0</v>
      </c>
      <c r="AG395" s="75">
        <f t="shared" si="43"/>
        <v>0</v>
      </c>
      <c r="AH395" s="31" t="e" cm="1">
        <f t="array" aca="1" ref="AH395" ca="1">IF((AD395) &lt; (INDEX(ResponseSLA[#All],(MATCH((G395),ResponseSLA[Priority],0))+1,3)),"YES","No")</f>
        <v>#N/A</v>
      </c>
      <c r="AI395" s="31" t="str">
        <f>_xlfn.IFNA(IF(AE395 &lt; (INDEX(SLATable[Minimum SLA],MATCH(G395,SLATable[Priority],0))),"YES","NO"),"")</f>
        <v/>
      </c>
      <c r="AJ395" t="str">
        <f>_xlfn.IFNA(IF(AE395 &lt; (INDEX(SLATable[Maximum SLA],MATCH(G395,SLATable[Priority],0))),"YES","NO"),"")</f>
        <v/>
      </c>
    </row>
    <row r="396" spans="26:36" ht="15" customHeight="1">
      <c r="Z396" s="76" t="e">
        <f t="shared" ca="1" si="44"/>
        <v>#N/A</v>
      </c>
      <c r="AA396" s="75" t="e">
        <f t="shared" ca="1" si="40"/>
        <v>#N/A</v>
      </c>
      <c r="AB396" s="76">
        <f t="shared" ca="1" si="45"/>
        <v>0</v>
      </c>
      <c r="AC396" s="75">
        <f t="shared" ca="1" si="41"/>
        <v>0</v>
      </c>
      <c r="AD396" s="76">
        <f t="shared" ca="1" si="46"/>
        <v>12388.425641782411</v>
      </c>
      <c r="AE396" s="76">
        <f t="shared" si="47"/>
        <v>0</v>
      </c>
      <c r="AF396" s="75">
        <f t="shared" si="42"/>
        <v>0</v>
      </c>
      <c r="AG396" s="75">
        <f t="shared" si="43"/>
        <v>0</v>
      </c>
      <c r="AH396" s="31" t="e" cm="1">
        <f t="array" aca="1" ref="AH396" ca="1">IF((AD396) &lt; (INDEX(ResponseSLA[#All],(MATCH((G396),ResponseSLA[Priority],0))+1,3)),"YES","No")</f>
        <v>#N/A</v>
      </c>
      <c r="AI396" s="31" t="str">
        <f>_xlfn.IFNA(IF(AE396 &lt; (INDEX(SLATable[Minimum SLA],MATCH(G396,SLATable[Priority],0))),"YES","NO"),"")</f>
        <v/>
      </c>
      <c r="AJ396" t="str">
        <f>_xlfn.IFNA(IF(AE396 &lt; (INDEX(SLATable[Maximum SLA],MATCH(G396,SLATable[Priority],0))),"YES","NO"),"")</f>
        <v/>
      </c>
    </row>
    <row r="397" spans="26:36" ht="15" customHeight="1">
      <c r="Z397" s="76" t="e">
        <f t="shared" ca="1" si="44"/>
        <v>#N/A</v>
      </c>
      <c r="AA397" s="75" t="e">
        <f t="shared" ca="1" si="40"/>
        <v>#N/A</v>
      </c>
      <c r="AB397" s="76">
        <f t="shared" ca="1" si="45"/>
        <v>0</v>
      </c>
      <c r="AC397" s="75">
        <f t="shared" ca="1" si="41"/>
        <v>0</v>
      </c>
      <c r="AD397" s="76">
        <f t="shared" ca="1" si="46"/>
        <v>12388.425641782411</v>
      </c>
      <c r="AE397" s="76">
        <f t="shared" si="47"/>
        <v>0</v>
      </c>
      <c r="AF397" s="75">
        <f t="shared" si="42"/>
        <v>0</v>
      </c>
      <c r="AG397" s="75">
        <f t="shared" si="43"/>
        <v>0</v>
      </c>
      <c r="AH397" s="31" t="e" cm="1">
        <f t="array" aca="1" ref="AH397" ca="1">IF((AD397) &lt; (INDEX(ResponseSLA[#All],(MATCH((G397),ResponseSLA[Priority],0))+1,3)),"YES","No")</f>
        <v>#N/A</v>
      </c>
      <c r="AI397" s="31" t="str">
        <f>_xlfn.IFNA(IF(AE397 &lt; (INDEX(SLATable[Minimum SLA],MATCH(G397,SLATable[Priority],0))),"YES","NO"),"")</f>
        <v/>
      </c>
      <c r="AJ397" t="str">
        <f>_xlfn.IFNA(IF(AE397 &lt; (INDEX(SLATable[Maximum SLA],MATCH(G397,SLATable[Priority],0))),"YES","NO"),"")</f>
        <v/>
      </c>
    </row>
    <row r="398" spans="26:36" ht="15" customHeight="1">
      <c r="Z398" s="76" t="e">
        <f t="shared" ca="1" si="44"/>
        <v>#N/A</v>
      </c>
      <c r="AA398" s="75" t="e">
        <f t="shared" ca="1" si="40"/>
        <v>#N/A</v>
      </c>
      <c r="AB398" s="76">
        <f t="shared" ca="1" si="45"/>
        <v>0</v>
      </c>
      <c r="AC398" s="75">
        <f t="shared" ca="1" si="41"/>
        <v>0</v>
      </c>
      <c r="AD398" s="76">
        <f t="shared" ca="1" si="46"/>
        <v>12388.425641550926</v>
      </c>
      <c r="AE398" s="76">
        <f t="shared" si="47"/>
        <v>0</v>
      </c>
      <c r="AF398" s="75">
        <f t="shared" si="42"/>
        <v>0</v>
      </c>
      <c r="AG398" s="75">
        <f t="shared" si="43"/>
        <v>0</v>
      </c>
      <c r="AH398" s="31" t="e" cm="1">
        <f t="array" aca="1" ref="AH398" ca="1">IF((AD398) &lt; (INDEX(ResponseSLA[#All],(MATCH((G398),ResponseSLA[Priority],0))+1,3)),"YES","No")</f>
        <v>#N/A</v>
      </c>
      <c r="AI398" s="31" t="str">
        <f>_xlfn.IFNA(IF(AE398 &lt; (INDEX(SLATable[Minimum SLA],MATCH(G398,SLATable[Priority],0))),"YES","NO"),"")</f>
        <v/>
      </c>
      <c r="AJ398" t="str">
        <f>_xlfn.IFNA(IF(AE398 &lt; (INDEX(SLATable[Maximum SLA],MATCH(G398,SLATable[Priority],0))),"YES","NO"),"")</f>
        <v/>
      </c>
    </row>
    <row r="399" spans="26:36" ht="15" customHeight="1">
      <c r="Z399" s="76" t="e">
        <f t="shared" ca="1" si="44"/>
        <v>#N/A</v>
      </c>
      <c r="AA399" s="75" t="e">
        <f t="shared" ca="1" si="40"/>
        <v>#N/A</v>
      </c>
      <c r="AB399" s="76">
        <f t="shared" ca="1" si="45"/>
        <v>0</v>
      </c>
      <c r="AC399" s="75">
        <f t="shared" ca="1" si="41"/>
        <v>0</v>
      </c>
      <c r="AD399" s="76">
        <f t="shared" ca="1" si="46"/>
        <v>12388.425641782411</v>
      </c>
      <c r="AE399" s="76">
        <f t="shared" si="47"/>
        <v>0</v>
      </c>
      <c r="AF399" s="75">
        <f t="shared" si="42"/>
        <v>0</v>
      </c>
      <c r="AG399" s="75">
        <f t="shared" si="43"/>
        <v>0</v>
      </c>
      <c r="AH399" s="31" t="e" cm="1">
        <f t="array" aca="1" ref="AH399" ca="1">IF((AD399) &lt; (INDEX(ResponseSLA[#All],(MATCH((G399),ResponseSLA[Priority],0))+1,3)),"YES","No")</f>
        <v>#N/A</v>
      </c>
      <c r="AI399" s="31" t="str">
        <f>_xlfn.IFNA(IF(AE399 &lt; (INDEX(SLATable[Minimum SLA],MATCH(G399,SLATable[Priority],0))),"YES","NO"),"")</f>
        <v/>
      </c>
      <c r="AJ399" t="str">
        <f>_xlfn.IFNA(IF(AE399 &lt; (INDEX(SLATable[Maximum SLA],MATCH(G399,SLATable[Priority],0))),"YES","NO"),"")</f>
        <v/>
      </c>
    </row>
    <row r="400" spans="26:36" ht="15" customHeight="1">
      <c r="Z400" s="76" t="e">
        <f t="shared" ca="1" si="44"/>
        <v>#N/A</v>
      </c>
      <c r="AA400" s="75" t="e">
        <f t="shared" ca="1" si="40"/>
        <v>#N/A</v>
      </c>
      <c r="AB400" s="76">
        <f t="shared" ca="1" si="45"/>
        <v>0</v>
      </c>
      <c r="AC400" s="75">
        <f t="shared" ca="1" si="41"/>
        <v>0</v>
      </c>
      <c r="AD400" s="76">
        <f t="shared" ca="1" si="46"/>
        <v>12388.425641782411</v>
      </c>
      <c r="AE400" s="76">
        <f t="shared" si="47"/>
        <v>0</v>
      </c>
      <c r="AF400" s="75">
        <f t="shared" si="42"/>
        <v>0</v>
      </c>
      <c r="AG400" s="75">
        <f t="shared" si="43"/>
        <v>0</v>
      </c>
      <c r="AH400" s="31" t="e" cm="1">
        <f t="array" aca="1" ref="AH400" ca="1">IF((AD400) &lt; (INDEX(ResponseSLA[#All],(MATCH((G400),ResponseSLA[Priority],0))+1,3)),"YES","No")</f>
        <v>#N/A</v>
      </c>
      <c r="AI400" s="31" t="str">
        <f>_xlfn.IFNA(IF(AE400 &lt; (INDEX(SLATable[Minimum SLA],MATCH(G400,SLATable[Priority],0))),"YES","NO"),"")</f>
        <v/>
      </c>
      <c r="AJ400" t="str">
        <f>_xlfn.IFNA(IF(AE400 &lt; (INDEX(SLATable[Maximum SLA],MATCH(G400,SLATable[Priority],0))),"YES","NO"),"")</f>
        <v/>
      </c>
    </row>
    <row r="401" spans="26:36" ht="15" customHeight="1">
      <c r="Z401" s="76" t="e">
        <f t="shared" ca="1" si="44"/>
        <v>#N/A</v>
      </c>
      <c r="AA401" s="75" t="e">
        <f t="shared" ca="1" si="40"/>
        <v>#N/A</v>
      </c>
      <c r="AB401" s="76">
        <f t="shared" ca="1" si="45"/>
        <v>0</v>
      </c>
      <c r="AC401" s="75">
        <f t="shared" ca="1" si="41"/>
        <v>0</v>
      </c>
      <c r="AD401" s="76">
        <f t="shared" ca="1" si="46"/>
        <v>12388.425641550926</v>
      </c>
      <c r="AE401" s="76">
        <f t="shared" si="47"/>
        <v>0</v>
      </c>
      <c r="AF401" s="75">
        <f t="shared" si="42"/>
        <v>0</v>
      </c>
      <c r="AG401" s="75">
        <f t="shared" si="43"/>
        <v>0</v>
      </c>
      <c r="AH401" s="31" t="e" cm="1">
        <f t="array" aca="1" ref="AH401" ca="1">IF((AD401) &lt; (INDEX(ResponseSLA[#All],(MATCH((G401),ResponseSLA[Priority],0))+1,3)),"YES","No")</f>
        <v>#N/A</v>
      </c>
      <c r="AI401" s="31" t="str">
        <f>_xlfn.IFNA(IF(AE401 &lt; (INDEX(SLATable[Minimum SLA],MATCH(G401,SLATable[Priority],0))),"YES","NO"),"")</f>
        <v/>
      </c>
      <c r="AJ401" t="str">
        <f>_xlfn.IFNA(IF(AE401 &lt; (INDEX(SLATable[Maximum SLA],MATCH(G401,SLATable[Priority],0))),"YES","NO"),"")</f>
        <v/>
      </c>
    </row>
    <row r="402" spans="26:36" ht="15" customHeight="1">
      <c r="Z402" s="76" t="e">
        <f t="shared" ca="1" si="44"/>
        <v>#N/A</v>
      </c>
      <c r="AA402" s="75" t="e">
        <f t="shared" ca="1" si="40"/>
        <v>#N/A</v>
      </c>
      <c r="AB402" s="76">
        <f t="shared" ca="1" si="45"/>
        <v>0</v>
      </c>
      <c r="AC402" s="75">
        <f t="shared" ca="1" si="41"/>
        <v>0</v>
      </c>
      <c r="AD402" s="76">
        <f t="shared" ca="1" si="46"/>
        <v>12388.425641782411</v>
      </c>
      <c r="AE402" s="76">
        <f t="shared" si="47"/>
        <v>0</v>
      </c>
      <c r="AF402" s="75">
        <f t="shared" si="42"/>
        <v>0</v>
      </c>
      <c r="AG402" s="75">
        <f t="shared" si="43"/>
        <v>0</v>
      </c>
      <c r="AH402" s="31" t="e" cm="1">
        <f t="array" aca="1" ref="AH402" ca="1">IF((AD402) &lt; (INDEX(ResponseSLA[#All],(MATCH((G402),ResponseSLA[Priority],0))+1,3)),"YES","No")</f>
        <v>#N/A</v>
      </c>
      <c r="AI402" s="31" t="str">
        <f>_xlfn.IFNA(IF(AE402 &lt; (INDEX(SLATable[Minimum SLA],MATCH(G402,SLATable[Priority],0))),"YES","NO"),"")</f>
        <v/>
      </c>
      <c r="AJ402" t="str">
        <f>_xlfn.IFNA(IF(AE402 &lt; (INDEX(SLATable[Maximum SLA],MATCH(G402,SLATable[Priority],0))),"YES","NO"),"")</f>
        <v/>
      </c>
    </row>
    <row r="403" spans="26:36" ht="15" customHeight="1">
      <c r="Z403" s="76" t="e">
        <f t="shared" ca="1" si="44"/>
        <v>#N/A</v>
      </c>
      <c r="AA403" s="75" t="e">
        <f t="shared" ca="1" si="40"/>
        <v>#N/A</v>
      </c>
      <c r="AB403" s="76">
        <f t="shared" ca="1" si="45"/>
        <v>0</v>
      </c>
      <c r="AC403" s="75">
        <f t="shared" ca="1" si="41"/>
        <v>0</v>
      </c>
      <c r="AD403" s="76">
        <f t="shared" ca="1" si="46"/>
        <v>12388.425641782411</v>
      </c>
      <c r="AE403" s="76">
        <f t="shared" si="47"/>
        <v>0</v>
      </c>
      <c r="AF403" s="75">
        <f t="shared" si="42"/>
        <v>0</v>
      </c>
      <c r="AG403" s="75">
        <f t="shared" si="43"/>
        <v>0</v>
      </c>
      <c r="AH403" s="31" t="e" cm="1">
        <f t="array" aca="1" ref="AH403" ca="1">IF((AD403) &lt; (INDEX(ResponseSLA[#All],(MATCH((G403),ResponseSLA[Priority],0))+1,3)),"YES","No")</f>
        <v>#N/A</v>
      </c>
      <c r="AI403" s="31" t="str">
        <f>_xlfn.IFNA(IF(AE403 &lt; (INDEX(SLATable[Minimum SLA],MATCH(G403,SLATable[Priority],0))),"YES","NO"),"")</f>
        <v/>
      </c>
      <c r="AJ403" t="str">
        <f>_xlfn.IFNA(IF(AE403 &lt; (INDEX(SLATable[Maximum SLA],MATCH(G403,SLATable[Priority],0))),"YES","NO"),"")</f>
        <v/>
      </c>
    </row>
    <row r="404" spans="26:36" ht="15" customHeight="1">
      <c r="Z404" s="76" t="e">
        <f t="shared" ca="1" si="44"/>
        <v>#N/A</v>
      </c>
      <c r="AA404" s="75" t="e">
        <f t="shared" ca="1" si="40"/>
        <v>#N/A</v>
      </c>
      <c r="AB404" s="76">
        <f t="shared" ca="1" si="45"/>
        <v>0</v>
      </c>
      <c r="AC404" s="75">
        <f t="shared" ca="1" si="41"/>
        <v>0</v>
      </c>
      <c r="AD404" s="76">
        <f t="shared" ca="1" si="46"/>
        <v>12388.425641550926</v>
      </c>
      <c r="AE404" s="76">
        <f t="shared" si="47"/>
        <v>0</v>
      </c>
      <c r="AF404" s="75">
        <f t="shared" si="42"/>
        <v>0</v>
      </c>
      <c r="AG404" s="75">
        <f t="shared" si="43"/>
        <v>0</v>
      </c>
      <c r="AH404" s="31" t="e" cm="1">
        <f t="array" aca="1" ref="AH404" ca="1">IF((AD404) &lt; (INDEX(ResponseSLA[#All],(MATCH((G404),ResponseSLA[Priority],0))+1,3)),"YES","No")</f>
        <v>#N/A</v>
      </c>
      <c r="AI404" s="31" t="str">
        <f>_xlfn.IFNA(IF(AE404 &lt; (INDEX(SLATable[Minimum SLA],MATCH(G404,SLATable[Priority],0))),"YES","NO"),"")</f>
        <v/>
      </c>
      <c r="AJ404" t="str">
        <f>_xlfn.IFNA(IF(AE404 &lt; (INDEX(SLATable[Maximum SLA],MATCH(G404,SLATable[Priority],0))),"YES","NO"),"")</f>
        <v/>
      </c>
    </row>
    <row r="405" spans="26:36" ht="15" customHeight="1">
      <c r="Z405" s="76" t="e">
        <f t="shared" ca="1" si="44"/>
        <v>#N/A</v>
      </c>
      <c r="AA405" s="75" t="e">
        <f t="shared" ca="1" si="40"/>
        <v>#N/A</v>
      </c>
      <c r="AB405" s="76">
        <f t="shared" ca="1" si="45"/>
        <v>0</v>
      </c>
      <c r="AC405" s="75">
        <f t="shared" ca="1" si="41"/>
        <v>0</v>
      </c>
      <c r="AD405" s="76">
        <f t="shared" ca="1" si="46"/>
        <v>12388.425641782411</v>
      </c>
      <c r="AE405" s="76">
        <f t="shared" si="47"/>
        <v>0</v>
      </c>
      <c r="AF405" s="75">
        <f t="shared" si="42"/>
        <v>0</v>
      </c>
      <c r="AG405" s="75">
        <f t="shared" si="43"/>
        <v>0</v>
      </c>
      <c r="AH405" s="31" t="e" cm="1">
        <f t="array" aca="1" ref="AH405" ca="1">IF((AD405) &lt; (INDEX(ResponseSLA[#All],(MATCH((G405),ResponseSLA[Priority],0))+1,3)),"YES","No")</f>
        <v>#N/A</v>
      </c>
      <c r="AI405" s="31" t="str">
        <f>_xlfn.IFNA(IF(AE405 &lt; (INDEX(SLATable[Minimum SLA],MATCH(G405,SLATable[Priority],0))),"YES","NO"),"")</f>
        <v/>
      </c>
      <c r="AJ405" t="str">
        <f>_xlfn.IFNA(IF(AE405 &lt; (INDEX(SLATable[Maximum SLA],MATCH(G405,SLATable[Priority],0))),"YES","NO"),"")</f>
        <v/>
      </c>
    </row>
    <row r="406" spans="26:36" ht="15" customHeight="1">
      <c r="Z406" s="76" t="e">
        <f t="shared" ca="1" si="44"/>
        <v>#N/A</v>
      </c>
      <c r="AA406" s="75" t="e">
        <f t="shared" ca="1" si="40"/>
        <v>#N/A</v>
      </c>
      <c r="AB406" s="76">
        <f t="shared" ca="1" si="45"/>
        <v>0</v>
      </c>
      <c r="AC406" s="75">
        <f t="shared" ca="1" si="41"/>
        <v>0</v>
      </c>
      <c r="AD406" s="76">
        <f t="shared" ca="1" si="46"/>
        <v>12388.425641782411</v>
      </c>
      <c r="AE406" s="76">
        <f t="shared" si="47"/>
        <v>0</v>
      </c>
      <c r="AF406" s="75">
        <f t="shared" si="42"/>
        <v>0</v>
      </c>
      <c r="AG406" s="75">
        <f t="shared" si="43"/>
        <v>0</v>
      </c>
      <c r="AH406" s="31" t="e" cm="1">
        <f t="array" aca="1" ref="AH406" ca="1">IF((AD406) &lt; (INDEX(ResponseSLA[#All],(MATCH((G406),ResponseSLA[Priority],0))+1,3)),"YES","No")</f>
        <v>#N/A</v>
      </c>
      <c r="AI406" s="31" t="str">
        <f>_xlfn.IFNA(IF(AE406 &lt; (INDEX(SLATable[Minimum SLA],MATCH(G406,SLATable[Priority],0))),"YES","NO"),"")</f>
        <v/>
      </c>
      <c r="AJ406" t="str">
        <f>_xlfn.IFNA(IF(AE406 &lt; (INDEX(SLATable[Maximum SLA],MATCH(G406,SLATable[Priority],0))),"YES","NO"),"")</f>
        <v/>
      </c>
    </row>
    <row r="407" spans="26:36" ht="15" customHeight="1">
      <c r="Z407" s="76" t="e">
        <f t="shared" ca="1" si="44"/>
        <v>#N/A</v>
      </c>
      <c r="AA407" s="75" t="e">
        <f t="shared" ca="1" si="40"/>
        <v>#N/A</v>
      </c>
      <c r="AB407" s="76">
        <f t="shared" ca="1" si="45"/>
        <v>0</v>
      </c>
      <c r="AC407" s="75">
        <f t="shared" ca="1" si="41"/>
        <v>0</v>
      </c>
      <c r="AD407" s="76">
        <f t="shared" ca="1" si="46"/>
        <v>12388.425641550926</v>
      </c>
      <c r="AE407" s="76">
        <f t="shared" si="47"/>
        <v>0</v>
      </c>
      <c r="AF407" s="75">
        <f t="shared" si="42"/>
        <v>0</v>
      </c>
      <c r="AG407" s="75">
        <f t="shared" si="43"/>
        <v>0</v>
      </c>
      <c r="AH407" s="31" t="e" cm="1">
        <f t="array" aca="1" ref="AH407" ca="1">IF((AD407) &lt; (INDEX(ResponseSLA[#All],(MATCH((G407),ResponseSLA[Priority],0))+1,3)),"YES","No")</f>
        <v>#N/A</v>
      </c>
      <c r="AI407" s="31" t="str">
        <f>_xlfn.IFNA(IF(AE407 &lt; (INDEX(SLATable[Minimum SLA],MATCH(G407,SLATable[Priority],0))),"YES","NO"),"")</f>
        <v/>
      </c>
      <c r="AJ407" t="str">
        <f>_xlfn.IFNA(IF(AE407 &lt; (INDEX(SLATable[Maximum SLA],MATCH(G407,SLATable[Priority],0))),"YES","NO"),"")</f>
        <v/>
      </c>
    </row>
    <row r="408" spans="26:36" ht="15" customHeight="1">
      <c r="Z408" s="76" t="e">
        <f t="shared" ca="1" si="44"/>
        <v>#N/A</v>
      </c>
      <c r="AA408" s="75" t="e">
        <f t="shared" ca="1" si="40"/>
        <v>#N/A</v>
      </c>
      <c r="AB408" s="76">
        <f t="shared" ca="1" si="45"/>
        <v>0</v>
      </c>
      <c r="AC408" s="75">
        <f t="shared" ca="1" si="41"/>
        <v>0</v>
      </c>
      <c r="AD408" s="76">
        <f t="shared" ca="1" si="46"/>
        <v>12388.425641782411</v>
      </c>
      <c r="AE408" s="76">
        <f t="shared" si="47"/>
        <v>0</v>
      </c>
      <c r="AF408" s="75">
        <f t="shared" si="42"/>
        <v>0</v>
      </c>
      <c r="AG408" s="75">
        <f t="shared" si="43"/>
        <v>0</v>
      </c>
      <c r="AH408" s="31" t="e" cm="1">
        <f t="array" aca="1" ref="AH408" ca="1">IF((AD408) &lt; (INDEX(ResponseSLA[#All],(MATCH((G408),ResponseSLA[Priority],0))+1,3)),"YES","No")</f>
        <v>#N/A</v>
      </c>
      <c r="AI408" s="31" t="str">
        <f>_xlfn.IFNA(IF(AE408 &lt; (INDEX(SLATable[Minimum SLA],MATCH(G408,SLATable[Priority],0))),"YES","NO"),"")</f>
        <v/>
      </c>
      <c r="AJ408" t="str">
        <f>_xlfn.IFNA(IF(AE408 &lt; (INDEX(SLATable[Maximum SLA],MATCH(G408,SLATable[Priority],0))),"YES","NO"),"")</f>
        <v/>
      </c>
    </row>
    <row r="409" spans="26:36" ht="15" customHeight="1">
      <c r="Z409" s="76" t="e">
        <f t="shared" ca="1" si="44"/>
        <v>#N/A</v>
      </c>
      <c r="AA409" s="75" t="e">
        <f t="shared" ca="1" si="40"/>
        <v>#N/A</v>
      </c>
      <c r="AB409" s="76">
        <f t="shared" ca="1" si="45"/>
        <v>0</v>
      </c>
      <c r="AC409" s="75">
        <f t="shared" ca="1" si="41"/>
        <v>0</v>
      </c>
      <c r="AD409" s="76">
        <f t="shared" ca="1" si="46"/>
        <v>12388.425641782411</v>
      </c>
      <c r="AE409" s="76">
        <f t="shared" si="47"/>
        <v>0</v>
      </c>
      <c r="AF409" s="75">
        <f t="shared" si="42"/>
        <v>0</v>
      </c>
      <c r="AG409" s="75">
        <f t="shared" si="43"/>
        <v>0</v>
      </c>
      <c r="AH409" s="31" t="e" cm="1">
        <f t="array" aca="1" ref="AH409" ca="1">IF((AD409) &lt; (INDEX(ResponseSLA[#All],(MATCH((G409),ResponseSLA[Priority],0))+1,3)),"YES","No")</f>
        <v>#N/A</v>
      </c>
      <c r="AI409" s="31" t="str">
        <f>_xlfn.IFNA(IF(AE409 &lt; (INDEX(SLATable[Minimum SLA],MATCH(G409,SLATable[Priority],0))),"YES","NO"),"")</f>
        <v/>
      </c>
      <c r="AJ409" t="str">
        <f>_xlfn.IFNA(IF(AE409 &lt; (INDEX(SLATable[Maximum SLA],MATCH(G409,SLATable[Priority],0))),"YES","NO"),"")</f>
        <v/>
      </c>
    </row>
    <row r="410" spans="26:36" ht="15" customHeight="1">
      <c r="Z410" s="76" t="e">
        <f t="shared" ca="1" si="44"/>
        <v>#N/A</v>
      </c>
      <c r="AA410" s="75" t="e">
        <f t="shared" ca="1" si="40"/>
        <v>#N/A</v>
      </c>
      <c r="AB410" s="76">
        <f t="shared" ca="1" si="45"/>
        <v>0</v>
      </c>
      <c r="AC410" s="75">
        <f t="shared" ca="1" si="41"/>
        <v>0</v>
      </c>
      <c r="AD410" s="76">
        <f t="shared" ca="1" si="46"/>
        <v>12388.425641550926</v>
      </c>
      <c r="AE410" s="76">
        <f t="shared" si="47"/>
        <v>0</v>
      </c>
      <c r="AF410" s="75">
        <f t="shared" si="42"/>
        <v>0</v>
      </c>
      <c r="AG410" s="75">
        <f t="shared" si="43"/>
        <v>0</v>
      </c>
      <c r="AH410" s="31" t="e" cm="1">
        <f t="array" aca="1" ref="AH410" ca="1">IF((AD410) &lt; (INDEX(ResponseSLA[#All],(MATCH((G410),ResponseSLA[Priority],0))+1,3)),"YES","No")</f>
        <v>#N/A</v>
      </c>
      <c r="AI410" s="31" t="str">
        <f>_xlfn.IFNA(IF(AE410 &lt; (INDEX(SLATable[Minimum SLA],MATCH(G410,SLATable[Priority],0))),"YES","NO"),"")</f>
        <v/>
      </c>
      <c r="AJ410" t="str">
        <f>_xlfn.IFNA(IF(AE410 &lt; (INDEX(SLATable[Maximum SLA],MATCH(G410,SLATable[Priority],0))),"YES","NO"),"")</f>
        <v/>
      </c>
    </row>
    <row r="411" spans="26:36" ht="15" customHeight="1">
      <c r="Z411" s="76" t="e">
        <f t="shared" ca="1" si="44"/>
        <v>#N/A</v>
      </c>
      <c r="AA411" s="75" t="e">
        <f t="shared" ca="1" si="40"/>
        <v>#N/A</v>
      </c>
      <c r="AB411" s="76">
        <f t="shared" ca="1" si="45"/>
        <v>0</v>
      </c>
      <c r="AC411" s="75">
        <f t="shared" ca="1" si="41"/>
        <v>0</v>
      </c>
      <c r="AD411" s="76">
        <f t="shared" ca="1" si="46"/>
        <v>12388.425641782411</v>
      </c>
      <c r="AE411" s="76">
        <f t="shared" si="47"/>
        <v>0</v>
      </c>
      <c r="AF411" s="75">
        <f t="shared" si="42"/>
        <v>0</v>
      </c>
      <c r="AG411" s="75">
        <f t="shared" si="43"/>
        <v>0</v>
      </c>
      <c r="AH411" s="31" t="e" cm="1">
        <f t="array" aca="1" ref="AH411" ca="1">IF((AD411) &lt; (INDEX(ResponseSLA[#All],(MATCH((G411),ResponseSLA[Priority],0))+1,3)),"YES","No")</f>
        <v>#N/A</v>
      </c>
      <c r="AI411" s="31" t="str">
        <f>_xlfn.IFNA(IF(AE411 &lt; (INDEX(SLATable[Minimum SLA],MATCH(G411,SLATable[Priority],0))),"YES","NO"),"")</f>
        <v/>
      </c>
      <c r="AJ411" t="str">
        <f>_xlfn.IFNA(IF(AE411 &lt; (INDEX(SLATable[Maximum SLA],MATCH(G411,SLATable[Priority],0))),"YES","NO"),"")</f>
        <v/>
      </c>
    </row>
    <row r="412" spans="26:36" ht="15" customHeight="1">
      <c r="Z412" s="76" t="e">
        <f t="shared" ca="1" si="44"/>
        <v>#N/A</v>
      </c>
      <c r="AA412" s="75" t="e">
        <f t="shared" ca="1" si="40"/>
        <v>#N/A</v>
      </c>
      <c r="AB412" s="76">
        <f t="shared" ca="1" si="45"/>
        <v>0</v>
      </c>
      <c r="AC412" s="75">
        <f t="shared" ca="1" si="41"/>
        <v>0</v>
      </c>
      <c r="AD412" s="76">
        <f t="shared" ca="1" si="46"/>
        <v>12388.425641782411</v>
      </c>
      <c r="AE412" s="76">
        <f t="shared" si="47"/>
        <v>0</v>
      </c>
      <c r="AF412" s="75">
        <f t="shared" si="42"/>
        <v>0</v>
      </c>
      <c r="AG412" s="75">
        <f t="shared" si="43"/>
        <v>0</v>
      </c>
      <c r="AH412" s="31" t="e" cm="1">
        <f t="array" aca="1" ref="AH412" ca="1">IF((AD412) &lt; (INDEX(ResponseSLA[#All],(MATCH((G412),ResponseSLA[Priority],0))+1,3)),"YES","No")</f>
        <v>#N/A</v>
      </c>
      <c r="AI412" s="31" t="str">
        <f>_xlfn.IFNA(IF(AE412 &lt; (INDEX(SLATable[Minimum SLA],MATCH(G412,SLATable[Priority],0))),"YES","NO"),"")</f>
        <v/>
      </c>
      <c r="AJ412" t="str">
        <f>_xlfn.IFNA(IF(AE412 &lt; (INDEX(SLATable[Maximum SLA],MATCH(G412,SLATable[Priority],0))),"YES","NO"),"")</f>
        <v/>
      </c>
    </row>
    <row r="413" spans="26:36" ht="15" customHeight="1">
      <c r="Z413" s="76" t="e">
        <f t="shared" ca="1" si="44"/>
        <v>#N/A</v>
      </c>
      <c r="AA413" s="75" t="e">
        <f t="shared" ca="1" si="40"/>
        <v>#N/A</v>
      </c>
      <c r="AB413" s="76">
        <f t="shared" ca="1" si="45"/>
        <v>0</v>
      </c>
      <c r="AC413" s="75">
        <f t="shared" ca="1" si="41"/>
        <v>0</v>
      </c>
      <c r="AD413" s="76">
        <f t="shared" ca="1" si="46"/>
        <v>12388.425641550926</v>
      </c>
      <c r="AE413" s="76">
        <f t="shared" si="47"/>
        <v>0</v>
      </c>
      <c r="AF413" s="75">
        <f t="shared" si="42"/>
        <v>0</v>
      </c>
      <c r="AG413" s="75">
        <f t="shared" si="43"/>
        <v>0</v>
      </c>
      <c r="AH413" s="31" t="e" cm="1">
        <f t="array" aca="1" ref="AH413" ca="1">IF((AD413) &lt; (INDEX(ResponseSLA[#All],(MATCH((G413),ResponseSLA[Priority],0))+1,3)),"YES","No")</f>
        <v>#N/A</v>
      </c>
      <c r="AI413" s="31" t="str">
        <f>_xlfn.IFNA(IF(AE413 &lt; (INDEX(SLATable[Minimum SLA],MATCH(G413,SLATable[Priority],0))),"YES","NO"),"")</f>
        <v/>
      </c>
      <c r="AJ413" t="str">
        <f>_xlfn.IFNA(IF(AE413 &lt; (INDEX(SLATable[Maximum SLA],MATCH(G413,SLATable[Priority],0))),"YES","NO"),"")</f>
        <v/>
      </c>
    </row>
    <row r="414" spans="26:36" ht="15" customHeight="1">
      <c r="Z414" s="76" t="e">
        <f t="shared" ca="1" si="44"/>
        <v>#N/A</v>
      </c>
      <c r="AA414" s="75" t="e">
        <f t="shared" ca="1" si="40"/>
        <v>#N/A</v>
      </c>
      <c r="AB414" s="76">
        <f t="shared" ca="1" si="45"/>
        <v>0</v>
      </c>
      <c r="AC414" s="75">
        <f t="shared" ca="1" si="41"/>
        <v>0</v>
      </c>
      <c r="AD414" s="76">
        <f t="shared" ca="1" si="46"/>
        <v>12388.425641782411</v>
      </c>
      <c r="AE414" s="76">
        <f t="shared" si="47"/>
        <v>0</v>
      </c>
      <c r="AF414" s="75">
        <f t="shared" si="42"/>
        <v>0</v>
      </c>
      <c r="AG414" s="75">
        <f t="shared" si="43"/>
        <v>0</v>
      </c>
      <c r="AH414" s="31" t="e" cm="1">
        <f t="array" aca="1" ref="AH414" ca="1">IF((AD414) &lt; (INDEX(ResponseSLA[#All],(MATCH((G414),ResponseSLA[Priority],0))+1,3)),"YES","No")</f>
        <v>#N/A</v>
      </c>
      <c r="AI414" s="31" t="str">
        <f>_xlfn.IFNA(IF(AE414 &lt; (INDEX(SLATable[Minimum SLA],MATCH(G414,SLATable[Priority],0))),"YES","NO"),"")</f>
        <v/>
      </c>
      <c r="AJ414" t="str">
        <f>_xlfn.IFNA(IF(AE414 &lt; (INDEX(SLATable[Maximum SLA],MATCH(G414,SLATable[Priority],0))),"YES","NO"),"")</f>
        <v/>
      </c>
    </row>
    <row r="415" spans="26:36" ht="15" customHeight="1">
      <c r="Z415" s="76" t="e">
        <f t="shared" ca="1" si="44"/>
        <v>#N/A</v>
      </c>
      <c r="AA415" s="75" t="e">
        <f t="shared" ca="1" si="40"/>
        <v>#N/A</v>
      </c>
      <c r="AB415" s="76">
        <f t="shared" ca="1" si="45"/>
        <v>0</v>
      </c>
      <c r="AC415" s="75">
        <f t="shared" ca="1" si="41"/>
        <v>0</v>
      </c>
      <c r="AD415" s="76">
        <f t="shared" ca="1" si="46"/>
        <v>12388.425641782411</v>
      </c>
      <c r="AE415" s="76">
        <f t="shared" si="47"/>
        <v>0</v>
      </c>
      <c r="AF415" s="75">
        <f t="shared" si="42"/>
        <v>0</v>
      </c>
      <c r="AG415" s="75">
        <f t="shared" si="43"/>
        <v>0</v>
      </c>
      <c r="AH415" s="31" t="e" cm="1">
        <f t="array" aca="1" ref="AH415" ca="1">IF((AD415) &lt; (INDEX(ResponseSLA[#All],(MATCH((G415),ResponseSLA[Priority],0))+1,3)),"YES","No")</f>
        <v>#N/A</v>
      </c>
      <c r="AI415" s="31" t="str">
        <f>_xlfn.IFNA(IF(AE415 &lt; (INDEX(SLATable[Minimum SLA],MATCH(G415,SLATable[Priority],0))),"YES","NO"),"")</f>
        <v/>
      </c>
      <c r="AJ415" t="str">
        <f>_xlfn.IFNA(IF(AE415 &lt; (INDEX(SLATable[Maximum SLA],MATCH(G415,SLATable[Priority],0))),"YES","NO"),"")</f>
        <v/>
      </c>
    </row>
    <row r="416" spans="26:36" ht="15" customHeight="1">
      <c r="Z416" s="76" t="e">
        <f t="shared" ca="1" si="44"/>
        <v>#N/A</v>
      </c>
      <c r="AA416" s="75" t="e">
        <f t="shared" ca="1" si="40"/>
        <v>#N/A</v>
      </c>
      <c r="AB416" s="76">
        <f t="shared" ca="1" si="45"/>
        <v>0</v>
      </c>
      <c r="AC416" s="75">
        <f t="shared" ca="1" si="41"/>
        <v>0</v>
      </c>
      <c r="AD416" s="76">
        <f t="shared" ca="1" si="46"/>
        <v>12388.425641782411</v>
      </c>
      <c r="AE416" s="76">
        <f t="shared" si="47"/>
        <v>0</v>
      </c>
      <c r="AF416" s="75">
        <f t="shared" si="42"/>
        <v>0</v>
      </c>
      <c r="AG416" s="75">
        <f t="shared" si="43"/>
        <v>0</v>
      </c>
      <c r="AH416" s="31" t="e" cm="1">
        <f t="array" aca="1" ref="AH416" ca="1">IF((AD416) &lt; (INDEX(ResponseSLA[#All],(MATCH((G416),ResponseSLA[Priority],0))+1,3)),"YES","No")</f>
        <v>#N/A</v>
      </c>
      <c r="AI416" s="31" t="str">
        <f>_xlfn.IFNA(IF(AE416 &lt; (INDEX(SLATable[Minimum SLA],MATCH(G416,SLATable[Priority],0))),"YES","NO"),"")</f>
        <v/>
      </c>
      <c r="AJ416" t="str">
        <f>_xlfn.IFNA(IF(AE416 &lt; (INDEX(SLATable[Maximum SLA],MATCH(G416,SLATable[Priority],0))),"YES","NO"),"")</f>
        <v/>
      </c>
    </row>
    <row r="417" spans="26:36" ht="15" customHeight="1">
      <c r="Z417" s="76" t="e">
        <f t="shared" ca="1" si="44"/>
        <v>#N/A</v>
      </c>
      <c r="AA417" s="75" t="e">
        <f t="shared" ca="1" si="40"/>
        <v>#N/A</v>
      </c>
      <c r="AB417" s="76">
        <f t="shared" ca="1" si="45"/>
        <v>0</v>
      </c>
      <c r="AC417" s="75">
        <f t="shared" ca="1" si="41"/>
        <v>0</v>
      </c>
      <c r="AD417" s="76">
        <f t="shared" ca="1" si="46"/>
        <v>12388.425641782411</v>
      </c>
      <c r="AE417" s="76">
        <f t="shared" si="47"/>
        <v>0</v>
      </c>
      <c r="AF417" s="75">
        <f t="shared" si="42"/>
        <v>0</v>
      </c>
      <c r="AG417" s="75">
        <f t="shared" si="43"/>
        <v>0</v>
      </c>
      <c r="AH417" s="31" t="e" cm="1">
        <f t="array" aca="1" ref="AH417" ca="1">IF((AD417) &lt; (INDEX(ResponseSLA[#All],(MATCH((G417),ResponseSLA[Priority],0))+1,3)),"YES","No")</f>
        <v>#N/A</v>
      </c>
      <c r="AI417" s="31" t="str">
        <f>_xlfn.IFNA(IF(AE417 &lt; (INDEX(SLATable[Minimum SLA],MATCH(G417,SLATable[Priority],0))),"YES","NO"),"")</f>
        <v/>
      </c>
      <c r="AJ417" t="str">
        <f>_xlfn.IFNA(IF(AE417 &lt; (INDEX(SLATable[Maximum SLA],MATCH(G417,SLATable[Priority],0))),"YES","NO"),"")</f>
        <v/>
      </c>
    </row>
    <row r="418" spans="26:36" ht="15" customHeight="1">
      <c r="Z418" s="76" t="e">
        <f t="shared" ca="1" si="44"/>
        <v>#N/A</v>
      </c>
      <c r="AA418" s="75" t="e">
        <f t="shared" ca="1" si="40"/>
        <v>#N/A</v>
      </c>
      <c r="AB418" s="76">
        <f t="shared" ca="1" si="45"/>
        <v>0</v>
      </c>
      <c r="AC418" s="75">
        <f t="shared" ca="1" si="41"/>
        <v>0</v>
      </c>
      <c r="AD418" s="76">
        <f t="shared" ca="1" si="46"/>
        <v>12388.425641782411</v>
      </c>
      <c r="AE418" s="76">
        <f t="shared" si="47"/>
        <v>0</v>
      </c>
      <c r="AF418" s="75">
        <f t="shared" si="42"/>
        <v>0</v>
      </c>
      <c r="AG418" s="75">
        <f t="shared" si="43"/>
        <v>0</v>
      </c>
      <c r="AH418" s="31" t="e" cm="1">
        <f t="array" aca="1" ref="AH418" ca="1">IF((AD418) &lt; (INDEX(ResponseSLA[#All],(MATCH((G418),ResponseSLA[Priority],0))+1,3)),"YES","No")</f>
        <v>#N/A</v>
      </c>
      <c r="AI418" s="31" t="str">
        <f>_xlfn.IFNA(IF(AE418 &lt; (INDEX(SLATable[Minimum SLA],MATCH(G418,SLATable[Priority],0))),"YES","NO"),"")</f>
        <v/>
      </c>
      <c r="AJ418" t="str">
        <f>_xlfn.IFNA(IF(AE418 &lt; (INDEX(SLATable[Maximum SLA],MATCH(G418,SLATable[Priority],0))),"YES","NO"),"")</f>
        <v/>
      </c>
    </row>
    <row r="419" spans="26:36" ht="15" customHeight="1">
      <c r="Z419" s="76" t="e">
        <f t="shared" ca="1" si="44"/>
        <v>#N/A</v>
      </c>
      <c r="AA419" s="75" t="e">
        <f t="shared" ca="1" si="40"/>
        <v>#N/A</v>
      </c>
      <c r="AB419" s="76">
        <f t="shared" ca="1" si="45"/>
        <v>0</v>
      </c>
      <c r="AC419" s="75">
        <f t="shared" ca="1" si="41"/>
        <v>0</v>
      </c>
      <c r="AD419" s="76">
        <f t="shared" ca="1" si="46"/>
        <v>12388.425641782411</v>
      </c>
      <c r="AE419" s="76">
        <f t="shared" si="47"/>
        <v>0</v>
      </c>
      <c r="AF419" s="75">
        <f t="shared" si="42"/>
        <v>0</v>
      </c>
      <c r="AG419" s="75">
        <f t="shared" si="43"/>
        <v>0</v>
      </c>
      <c r="AH419" s="31" t="e" cm="1">
        <f t="array" aca="1" ref="AH419" ca="1">IF((AD419) &lt; (INDEX(ResponseSLA[#All],(MATCH((G419),ResponseSLA[Priority],0))+1,3)),"YES","No")</f>
        <v>#N/A</v>
      </c>
      <c r="AI419" s="31" t="str">
        <f>_xlfn.IFNA(IF(AE419 &lt; (INDEX(SLATable[Minimum SLA],MATCH(G419,SLATable[Priority],0))),"YES","NO"),"")</f>
        <v/>
      </c>
      <c r="AJ419" t="str">
        <f>_xlfn.IFNA(IF(AE419 &lt; (INDEX(SLATable[Maximum SLA],MATCH(G419,SLATable[Priority],0))),"YES","NO"),"")</f>
        <v/>
      </c>
    </row>
    <row r="420" spans="26:36" ht="15" customHeight="1">
      <c r="Z420" s="76" t="e">
        <f t="shared" ca="1" si="44"/>
        <v>#N/A</v>
      </c>
      <c r="AA420" s="75" t="e">
        <f t="shared" ca="1" si="40"/>
        <v>#N/A</v>
      </c>
      <c r="AB420" s="76">
        <f t="shared" ca="1" si="45"/>
        <v>0</v>
      </c>
      <c r="AC420" s="75">
        <f t="shared" ca="1" si="41"/>
        <v>0</v>
      </c>
      <c r="AD420" s="76">
        <f t="shared" ca="1" si="46"/>
        <v>12388.425641782411</v>
      </c>
      <c r="AE420" s="76">
        <f t="shared" si="47"/>
        <v>0</v>
      </c>
      <c r="AF420" s="75">
        <f t="shared" si="42"/>
        <v>0</v>
      </c>
      <c r="AG420" s="75">
        <f t="shared" si="43"/>
        <v>0</v>
      </c>
      <c r="AH420" s="31" t="e" cm="1">
        <f t="array" aca="1" ref="AH420" ca="1">IF((AD420) &lt; (INDEX(ResponseSLA[#All],(MATCH((G420),ResponseSLA[Priority],0))+1,3)),"YES","No")</f>
        <v>#N/A</v>
      </c>
      <c r="AI420" s="31" t="str">
        <f>_xlfn.IFNA(IF(AE420 &lt; (INDEX(SLATable[Minimum SLA],MATCH(G420,SLATable[Priority],0))),"YES","NO"),"")</f>
        <v/>
      </c>
      <c r="AJ420" t="str">
        <f>_xlfn.IFNA(IF(AE420 &lt; (INDEX(SLATable[Maximum SLA],MATCH(G420,SLATable[Priority],0))),"YES","NO"),"")</f>
        <v/>
      </c>
    </row>
    <row r="421" spans="26:36" ht="15" customHeight="1">
      <c r="Z421" s="76" t="e">
        <f t="shared" ca="1" si="44"/>
        <v>#N/A</v>
      </c>
      <c r="AA421" s="75" t="e">
        <f t="shared" ca="1" si="40"/>
        <v>#N/A</v>
      </c>
      <c r="AB421" s="76">
        <f t="shared" ca="1" si="45"/>
        <v>0</v>
      </c>
      <c r="AC421" s="75">
        <f t="shared" ca="1" si="41"/>
        <v>0</v>
      </c>
      <c r="AD421" s="76">
        <f t="shared" ca="1" si="46"/>
        <v>12388.425641782411</v>
      </c>
      <c r="AE421" s="76">
        <f t="shared" si="47"/>
        <v>0</v>
      </c>
      <c r="AF421" s="75">
        <f t="shared" si="42"/>
        <v>0</v>
      </c>
      <c r="AG421" s="75">
        <f t="shared" si="43"/>
        <v>0</v>
      </c>
      <c r="AH421" s="31" t="e" cm="1">
        <f t="array" aca="1" ref="AH421" ca="1">IF((AD421) &lt; (INDEX(ResponseSLA[#All],(MATCH((G421),ResponseSLA[Priority],0))+1,3)),"YES","No")</f>
        <v>#N/A</v>
      </c>
      <c r="AI421" s="31" t="str">
        <f>_xlfn.IFNA(IF(AE421 &lt; (INDEX(SLATable[Minimum SLA],MATCH(G421,SLATable[Priority],0))),"YES","NO"),"")</f>
        <v/>
      </c>
      <c r="AJ421" t="str">
        <f>_xlfn.IFNA(IF(AE421 &lt; (INDEX(SLATable[Maximum SLA],MATCH(G421,SLATable[Priority],0))),"YES","NO"),"")</f>
        <v/>
      </c>
    </row>
    <row r="422" spans="26:36" ht="15" customHeight="1">
      <c r="Z422" s="76" t="e">
        <f t="shared" ca="1" si="44"/>
        <v>#N/A</v>
      </c>
      <c r="AA422" s="75" t="e">
        <f t="shared" ca="1" si="40"/>
        <v>#N/A</v>
      </c>
      <c r="AB422" s="76">
        <f t="shared" ca="1" si="45"/>
        <v>0</v>
      </c>
      <c r="AC422" s="75">
        <f t="shared" ca="1" si="41"/>
        <v>0</v>
      </c>
      <c r="AD422" s="76">
        <f t="shared" ca="1" si="46"/>
        <v>12388.425641782411</v>
      </c>
      <c r="AE422" s="76">
        <f t="shared" si="47"/>
        <v>0</v>
      </c>
      <c r="AF422" s="75">
        <f t="shared" si="42"/>
        <v>0</v>
      </c>
      <c r="AG422" s="75">
        <f t="shared" si="43"/>
        <v>0</v>
      </c>
      <c r="AH422" s="31" t="e" cm="1">
        <f t="array" aca="1" ref="AH422" ca="1">IF((AD422) &lt; (INDEX(ResponseSLA[#All],(MATCH((G422),ResponseSLA[Priority],0))+1,3)),"YES","No")</f>
        <v>#N/A</v>
      </c>
      <c r="AI422" s="31" t="str">
        <f>_xlfn.IFNA(IF(AE422 &lt; (INDEX(SLATable[Minimum SLA],MATCH(G422,SLATable[Priority],0))),"YES","NO"),"")</f>
        <v/>
      </c>
      <c r="AJ422" t="str">
        <f>_xlfn.IFNA(IF(AE422 &lt; (INDEX(SLATable[Maximum SLA],MATCH(G422,SLATable[Priority],0))),"YES","NO"),"")</f>
        <v/>
      </c>
    </row>
    <row r="423" spans="26:36" ht="15" customHeight="1">
      <c r="Z423" s="76" t="e">
        <f t="shared" ca="1" si="44"/>
        <v>#N/A</v>
      </c>
      <c r="AA423" s="75" t="e">
        <f t="shared" ca="1" si="40"/>
        <v>#N/A</v>
      </c>
      <c r="AB423" s="76">
        <f t="shared" ca="1" si="45"/>
        <v>0</v>
      </c>
      <c r="AC423" s="75">
        <f t="shared" ca="1" si="41"/>
        <v>0</v>
      </c>
      <c r="AD423" s="76">
        <f t="shared" ca="1" si="46"/>
        <v>12388.425641782411</v>
      </c>
      <c r="AE423" s="76">
        <f t="shared" si="47"/>
        <v>0</v>
      </c>
      <c r="AF423" s="75">
        <f t="shared" si="42"/>
        <v>0</v>
      </c>
      <c r="AG423" s="75">
        <f t="shared" si="43"/>
        <v>0</v>
      </c>
      <c r="AH423" s="31" t="e" cm="1">
        <f t="array" aca="1" ref="AH423" ca="1">IF((AD423) &lt; (INDEX(ResponseSLA[#All],(MATCH((G423),ResponseSLA[Priority],0))+1,3)),"YES","No")</f>
        <v>#N/A</v>
      </c>
      <c r="AI423" s="31" t="str">
        <f>_xlfn.IFNA(IF(AE423 &lt; (INDEX(SLATable[Minimum SLA],MATCH(G423,SLATable[Priority],0))),"YES","NO"),"")</f>
        <v/>
      </c>
      <c r="AJ423" t="str">
        <f>_xlfn.IFNA(IF(AE423 &lt; (INDEX(SLATable[Maximum SLA],MATCH(G423,SLATable[Priority],0))),"YES","NO"),"")</f>
        <v/>
      </c>
    </row>
    <row r="424" spans="26:36" ht="15" customHeight="1">
      <c r="Z424" s="76" t="e">
        <f t="shared" ca="1" si="44"/>
        <v>#N/A</v>
      </c>
      <c r="AA424" s="75" t="e">
        <f t="shared" ca="1" si="40"/>
        <v>#N/A</v>
      </c>
      <c r="AB424" s="76">
        <f t="shared" ca="1" si="45"/>
        <v>0</v>
      </c>
      <c r="AC424" s="75">
        <f t="shared" ca="1" si="41"/>
        <v>0</v>
      </c>
      <c r="AD424" s="76">
        <f t="shared" ca="1" si="46"/>
        <v>12388.425641782411</v>
      </c>
      <c r="AE424" s="76">
        <f t="shared" si="47"/>
        <v>0</v>
      </c>
      <c r="AF424" s="75">
        <f t="shared" si="42"/>
        <v>0</v>
      </c>
      <c r="AG424" s="75">
        <f t="shared" si="43"/>
        <v>0</v>
      </c>
      <c r="AH424" s="31" t="e" cm="1">
        <f t="array" aca="1" ref="AH424" ca="1">IF((AD424) &lt; (INDEX(ResponseSLA[#All],(MATCH((G424),ResponseSLA[Priority],0))+1,3)),"YES","No")</f>
        <v>#N/A</v>
      </c>
      <c r="AI424" s="31" t="str">
        <f>_xlfn.IFNA(IF(AE424 &lt; (INDEX(SLATable[Minimum SLA],MATCH(G424,SLATable[Priority],0))),"YES","NO"),"")</f>
        <v/>
      </c>
      <c r="AJ424" t="str">
        <f>_xlfn.IFNA(IF(AE424 &lt; (INDEX(SLATable[Maximum SLA],MATCH(G424,SLATable[Priority],0))),"YES","NO"),"")</f>
        <v/>
      </c>
    </row>
    <row r="425" spans="26:36" ht="15" customHeight="1">
      <c r="Z425" s="76" t="e">
        <f t="shared" ca="1" si="44"/>
        <v>#N/A</v>
      </c>
      <c r="AA425" s="75" t="e">
        <f t="shared" ca="1" si="40"/>
        <v>#N/A</v>
      </c>
      <c r="AB425" s="76">
        <f t="shared" ca="1" si="45"/>
        <v>0</v>
      </c>
      <c r="AC425" s="75">
        <f t="shared" ca="1" si="41"/>
        <v>0</v>
      </c>
      <c r="AD425" s="76">
        <f t="shared" ca="1" si="46"/>
        <v>12388.425641782411</v>
      </c>
      <c r="AE425" s="76">
        <f t="shared" si="47"/>
        <v>0</v>
      </c>
      <c r="AF425" s="75">
        <f t="shared" si="42"/>
        <v>0</v>
      </c>
      <c r="AG425" s="75">
        <f t="shared" si="43"/>
        <v>0</v>
      </c>
      <c r="AH425" s="31" t="e" cm="1">
        <f t="array" aca="1" ref="AH425" ca="1">IF((AD425) &lt; (INDEX(ResponseSLA[#All],(MATCH((G425),ResponseSLA[Priority],0))+1,3)),"YES","No")</f>
        <v>#N/A</v>
      </c>
      <c r="AI425" s="31" t="str">
        <f>_xlfn.IFNA(IF(AE425 &lt; (INDEX(SLATable[Minimum SLA],MATCH(G425,SLATable[Priority],0))),"YES","NO"),"")</f>
        <v/>
      </c>
      <c r="AJ425" t="str">
        <f>_xlfn.IFNA(IF(AE425 &lt; (INDEX(SLATable[Maximum SLA],MATCH(G425,SLATable[Priority],0))),"YES","NO"),"")</f>
        <v/>
      </c>
    </row>
    <row r="426" spans="26:36" ht="15" customHeight="1">
      <c r="Z426" s="76" t="e">
        <f t="shared" ca="1" si="44"/>
        <v>#N/A</v>
      </c>
      <c r="AA426" s="75" t="e">
        <f t="shared" ca="1" si="40"/>
        <v>#N/A</v>
      </c>
      <c r="AB426" s="76">
        <f t="shared" ca="1" si="45"/>
        <v>0</v>
      </c>
      <c r="AC426" s="75">
        <f t="shared" ca="1" si="41"/>
        <v>0</v>
      </c>
      <c r="AD426" s="76">
        <f t="shared" ca="1" si="46"/>
        <v>12388.425641782411</v>
      </c>
      <c r="AE426" s="76">
        <f t="shared" si="47"/>
        <v>0</v>
      </c>
      <c r="AF426" s="75">
        <f t="shared" si="42"/>
        <v>0</v>
      </c>
      <c r="AG426" s="75">
        <f t="shared" si="43"/>
        <v>0</v>
      </c>
      <c r="AH426" s="31" t="e" cm="1">
        <f t="array" aca="1" ref="AH426" ca="1">IF((AD426) &lt; (INDEX(ResponseSLA[#All],(MATCH((G426),ResponseSLA[Priority],0))+1,3)),"YES","No")</f>
        <v>#N/A</v>
      </c>
      <c r="AI426" s="31" t="str">
        <f>_xlfn.IFNA(IF(AE426 &lt; (INDEX(SLATable[Minimum SLA],MATCH(G426,SLATable[Priority],0))),"YES","NO"),"")</f>
        <v/>
      </c>
      <c r="AJ426" t="str">
        <f>_xlfn.IFNA(IF(AE426 &lt; (INDEX(SLATable[Maximum SLA],MATCH(G426,SLATable[Priority],0))),"YES","NO"),"")</f>
        <v/>
      </c>
    </row>
    <row r="427" spans="26:36" ht="15" customHeight="1">
      <c r="Z427" s="76" t="e">
        <f t="shared" ca="1" si="44"/>
        <v>#N/A</v>
      </c>
      <c r="AA427" s="75" t="e">
        <f t="shared" ca="1" si="40"/>
        <v>#N/A</v>
      </c>
      <c r="AB427" s="76">
        <f t="shared" ca="1" si="45"/>
        <v>0</v>
      </c>
      <c r="AC427" s="75">
        <f t="shared" ca="1" si="41"/>
        <v>0</v>
      </c>
      <c r="AD427" s="76">
        <f t="shared" ca="1" si="46"/>
        <v>12388.425641782411</v>
      </c>
      <c r="AE427" s="76">
        <f t="shared" si="47"/>
        <v>0</v>
      </c>
      <c r="AF427" s="75">
        <f t="shared" si="42"/>
        <v>0</v>
      </c>
      <c r="AG427" s="75">
        <f t="shared" si="43"/>
        <v>0</v>
      </c>
      <c r="AH427" s="31" t="e" cm="1">
        <f t="array" aca="1" ref="AH427" ca="1">IF((AD427) &lt; (INDEX(ResponseSLA[#All],(MATCH((G427),ResponseSLA[Priority],0))+1,3)),"YES","No")</f>
        <v>#N/A</v>
      </c>
      <c r="AI427" s="31" t="str">
        <f>_xlfn.IFNA(IF(AE427 &lt; (INDEX(SLATable[Minimum SLA],MATCH(G427,SLATable[Priority],0))),"YES","NO"),"")</f>
        <v/>
      </c>
      <c r="AJ427" t="str">
        <f>_xlfn.IFNA(IF(AE427 &lt; (INDEX(SLATable[Maximum SLA],MATCH(G427,SLATable[Priority],0))),"YES","NO"),"")</f>
        <v/>
      </c>
    </row>
    <row r="428" spans="26:36" ht="15" customHeight="1">
      <c r="Z428" s="76" t="e">
        <f t="shared" ca="1" si="44"/>
        <v>#N/A</v>
      </c>
      <c r="AA428" s="75" t="e">
        <f t="shared" ca="1" si="40"/>
        <v>#N/A</v>
      </c>
      <c r="AB428" s="76">
        <f t="shared" ca="1" si="45"/>
        <v>0</v>
      </c>
      <c r="AC428" s="75">
        <f t="shared" ca="1" si="41"/>
        <v>0</v>
      </c>
      <c r="AD428" s="76">
        <f t="shared" ca="1" si="46"/>
        <v>12388.425641782411</v>
      </c>
      <c r="AE428" s="76">
        <f t="shared" si="47"/>
        <v>0</v>
      </c>
      <c r="AF428" s="75">
        <f t="shared" si="42"/>
        <v>0</v>
      </c>
      <c r="AG428" s="75">
        <f t="shared" si="43"/>
        <v>0</v>
      </c>
      <c r="AH428" s="31" t="e" cm="1">
        <f t="array" aca="1" ref="AH428" ca="1">IF((AD428) &lt; (INDEX(ResponseSLA[#All],(MATCH((G428),ResponseSLA[Priority],0))+1,3)),"YES","No")</f>
        <v>#N/A</v>
      </c>
      <c r="AI428" s="31" t="str">
        <f>_xlfn.IFNA(IF(AE428 &lt; (INDEX(SLATable[Minimum SLA],MATCH(G428,SLATable[Priority],0))),"YES","NO"),"")</f>
        <v/>
      </c>
      <c r="AJ428" t="str">
        <f>_xlfn.IFNA(IF(AE428 &lt; (INDEX(SLATable[Maximum SLA],MATCH(G428,SLATable[Priority],0))),"YES","NO"),"")</f>
        <v/>
      </c>
    </row>
    <row r="429" spans="26:36" ht="15" customHeight="1">
      <c r="Z429" s="76" t="e">
        <f t="shared" ca="1" si="44"/>
        <v>#N/A</v>
      </c>
      <c r="AA429" s="75" t="e">
        <f t="shared" ca="1" si="40"/>
        <v>#N/A</v>
      </c>
      <c r="AB429" s="76">
        <f t="shared" ca="1" si="45"/>
        <v>0</v>
      </c>
      <c r="AC429" s="75">
        <f t="shared" ca="1" si="41"/>
        <v>0</v>
      </c>
      <c r="AD429" s="76">
        <f t="shared" ca="1" si="46"/>
        <v>12388.425641782411</v>
      </c>
      <c r="AE429" s="76">
        <f t="shared" si="47"/>
        <v>0</v>
      </c>
      <c r="AF429" s="75">
        <f t="shared" si="42"/>
        <v>0</v>
      </c>
      <c r="AG429" s="75">
        <f t="shared" si="43"/>
        <v>0</v>
      </c>
      <c r="AH429" s="31" t="e" cm="1">
        <f t="array" aca="1" ref="AH429" ca="1">IF((AD429) &lt; (INDEX(ResponseSLA[#All],(MATCH((G429),ResponseSLA[Priority],0))+1,3)),"YES","No")</f>
        <v>#N/A</v>
      </c>
      <c r="AI429" s="31" t="str">
        <f>_xlfn.IFNA(IF(AE429 &lt; (INDEX(SLATable[Minimum SLA],MATCH(G429,SLATable[Priority],0))),"YES","NO"),"")</f>
        <v/>
      </c>
      <c r="AJ429" t="str">
        <f>_xlfn.IFNA(IF(AE429 &lt; (INDEX(SLATable[Maximum SLA],MATCH(G429,SLATable[Priority],0))),"YES","NO"),"")</f>
        <v/>
      </c>
    </row>
    <row r="430" spans="26:36" ht="15" customHeight="1">
      <c r="Z430" s="76" t="e">
        <f t="shared" ca="1" si="44"/>
        <v>#N/A</v>
      </c>
      <c r="AA430" s="75" t="e">
        <f t="shared" ca="1" si="40"/>
        <v>#N/A</v>
      </c>
      <c r="AB430" s="76">
        <f t="shared" ca="1" si="45"/>
        <v>0</v>
      </c>
      <c r="AC430" s="75">
        <f t="shared" ca="1" si="41"/>
        <v>0</v>
      </c>
      <c r="AD430" s="76">
        <f t="shared" ca="1" si="46"/>
        <v>12388.425641782411</v>
      </c>
      <c r="AE430" s="76">
        <f t="shared" si="47"/>
        <v>0</v>
      </c>
      <c r="AF430" s="75">
        <f t="shared" si="42"/>
        <v>0</v>
      </c>
      <c r="AG430" s="75">
        <f t="shared" si="43"/>
        <v>0</v>
      </c>
      <c r="AH430" s="31" t="e" cm="1">
        <f t="array" aca="1" ref="AH430" ca="1">IF((AD430) &lt; (INDEX(ResponseSLA[#All],(MATCH((G430),ResponseSLA[Priority],0))+1,3)),"YES","No")</f>
        <v>#N/A</v>
      </c>
      <c r="AI430" s="31" t="str">
        <f>_xlfn.IFNA(IF(AE430 &lt; (INDEX(SLATable[Minimum SLA],MATCH(G430,SLATable[Priority],0))),"YES","NO"),"")</f>
        <v/>
      </c>
      <c r="AJ430" t="str">
        <f>_xlfn.IFNA(IF(AE430 &lt; (INDEX(SLATable[Maximum SLA],MATCH(G430,SLATable[Priority],0))),"YES","NO"),"")</f>
        <v/>
      </c>
    </row>
    <row r="431" spans="26:36" ht="15" customHeight="1">
      <c r="Z431" s="76" t="e">
        <f t="shared" ca="1" si="44"/>
        <v>#N/A</v>
      </c>
      <c r="AA431" s="75" t="e">
        <f t="shared" ca="1" si="40"/>
        <v>#N/A</v>
      </c>
      <c r="AB431" s="76">
        <f t="shared" ca="1" si="45"/>
        <v>0</v>
      </c>
      <c r="AC431" s="75">
        <f t="shared" ca="1" si="41"/>
        <v>0</v>
      </c>
      <c r="AD431" s="76">
        <f t="shared" ca="1" si="46"/>
        <v>12388.425641782411</v>
      </c>
      <c r="AE431" s="76">
        <f t="shared" si="47"/>
        <v>0</v>
      </c>
      <c r="AF431" s="75">
        <f t="shared" si="42"/>
        <v>0</v>
      </c>
      <c r="AG431" s="75">
        <f t="shared" si="43"/>
        <v>0</v>
      </c>
      <c r="AH431" s="31" t="e" cm="1">
        <f t="array" aca="1" ref="AH431" ca="1">IF((AD431) &lt; (INDEX(ResponseSLA[#All],(MATCH((G431),ResponseSLA[Priority],0))+1,3)),"YES","No")</f>
        <v>#N/A</v>
      </c>
      <c r="AI431" s="31" t="str">
        <f>_xlfn.IFNA(IF(AE431 &lt; (INDEX(SLATable[Minimum SLA],MATCH(G431,SLATable[Priority],0))),"YES","NO"),"")</f>
        <v/>
      </c>
      <c r="AJ431" t="str">
        <f>_xlfn.IFNA(IF(AE431 &lt; (INDEX(SLATable[Maximum SLA],MATCH(G431,SLATable[Priority],0))),"YES","NO"),"")</f>
        <v/>
      </c>
    </row>
    <row r="432" spans="26:36" ht="15" customHeight="1">
      <c r="Z432" s="76" t="e">
        <f t="shared" ca="1" si="44"/>
        <v>#N/A</v>
      </c>
      <c r="AA432" s="75" t="e">
        <f t="shared" ca="1" si="40"/>
        <v>#N/A</v>
      </c>
      <c r="AB432" s="76">
        <f t="shared" ca="1" si="45"/>
        <v>0</v>
      </c>
      <c r="AC432" s="75">
        <f t="shared" ca="1" si="41"/>
        <v>0</v>
      </c>
      <c r="AD432" s="76">
        <f t="shared" ca="1" si="46"/>
        <v>12388.425641782411</v>
      </c>
      <c r="AE432" s="76">
        <f t="shared" si="47"/>
        <v>0</v>
      </c>
      <c r="AF432" s="75">
        <f t="shared" si="42"/>
        <v>0</v>
      </c>
      <c r="AG432" s="75">
        <f t="shared" si="43"/>
        <v>0</v>
      </c>
      <c r="AH432" s="31" t="e" cm="1">
        <f t="array" aca="1" ref="AH432" ca="1">IF((AD432) &lt; (INDEX(ResponseSLA[#All],(MATCH((G432),ResponseSLA[Priority],0))+1,3)),"YES","No")</f>
        <v>#N/A</v>
      </c>
      <c r="AI432" s="31" t="str">
        <f>_xlfn.IFNA(IF(AE432 &lt; (INDEX(SLATable[Minimum SLA],MATCH(G432,SLATable[Priority],0))),"YES","NO"),"")</f>
        <v/>
      </c>
      <c r="AJ432" t="str">
        <f>_xlfn.IFNA(IF(AE432 &lt; (INDEX(SLATable[Maximum SLA],MATCH(G432,SLATable[Priority],0))),"YES","NO"),"")</f>
        <v/>
      </c>
    </row>
    <row r="433" spans="26:36" ht="15" customHeight="1">
      <c r="Z433" s="76" t="e">
        <f t="shared" ca="1" si="44"/>
        <v>#N/A</v>
      </c>
      <c r="AA433" s="75" t="e">
        <f t="shared" ca="1" si="40"/>
        <v>#N/A</v>
      </c>
      <c r="AB433" s="76">
        <f t="shared" ca="1" si="45"/>
        <v>0</v>
      </c>
      <c r="AC433" s="75">
        <f t="shared" ca="1" si="41"/>
        <v>0</v>
      </c>
      <c r="AD433" s="76">
        <f t="shared" ca="1" si="46"/>
        <v>12388.425641782411</v>
      </c>
      <c r="AE433" s="76">
        <f t="shared" si="47"/>
        <v>0</v>
      </c>
      <c r="AF433" s="75">
        <f t="shared" si="42"/>
        <v>0</v>
      </c>
      <c r="AG433" s="75">
        <f t="shared" si="43"/>
        <v>0</v>
      </c>
      <c r="AH433" s="31" t="e" cm="1">
        <f t="array" aca="1" ref="AH433" ca="1">IF((AD433) &lt; (INDEX(ResponseSLA[#All],(MATCH((G433),ResponseSLA[Priority],0))+1,3)),"YES","No")</f>
        <v>#N/A</v>
      </c>
      <c r="AI433" s="31" t="str">
        <f>_xlfn.IFNA(IF(AE433 &lt; (INDEX(SLATable[Minimum SLA],MATCH(G433,SLATable[Priority],0))),"YES","NO"),"")</f>
        <v/>
      </c>
      <c r="AJ433" t="str">
        <f>_xlfn.IFNA(IF(AE433 &lt; (INDEX(SLATable[Maximum SLA],MATCH(G433,SLATable[Priority],0))),"YES","NO"),"")</f>
        <v/>
      </c>
    </row>
    <row r="434" spans="26:36" ht="15" customHeight="1">
      <c r="Z434" s="76" t="e">
        <f t="shared" ca="1" si="44"/>
        <v>#N/A</v>
      </c>
      <c r="AA434" s="75" t="e">
        <f t="shared" ca="1" si="40"/>
        <v>#N/A</v>
      </c>
      <c r="AB434" s="76">
        <f t="shared" ca="1" si="45"/>
        <v>0</v>
      </c>
      <c r="AC434" s="75">
        <f t="shared" ca="1" si="41"/>
        <v>0</v>
      </c>
      <c r="AD434" s="76">
        <f t="shared" ca="1" si="46"/>
        <v>12388.425641782411</v>
      </c>
      <c r="AE434" s="76">
        <f t="shared" si="47"/>
        <v>0</v>
      </c>
      <c r="AF434" s="75">
        <f t="shared" si="42"/>
        <v>0</v>
      </c>
      <c r="AG434" s="75">
        <f t="shared" si="43"/>
        <v>0</v>
      </c>
      <c r="AH434" s="31" t="e" cm="1">
        <f t="array" aca="1" ref="AH434" ca="1">IF((AD434) &lt; (INDEX(ResponseSLA[#All],(MATCH((G434),ResponseSLA[Priority],0))+1,3)),"YES","No")</f>
        <v>#N/A</v>
      </c>
      <c r="AI434" s="31" t="str">
        <f>_xlfn.IFNA(IF(AE434 &lt; (INDEX(SLATable[Minimum SLA],MATCH(G434,SLATable[Priority],0))),"YES","NO"),"")</f>
        <v/>
      </c>
      <c r="AJ434" t="str">
        <f>_xlfn.IFNA(IF(AE434 &lt; (INDEX(SLATable[Maximum SLA],MATCH(G434,SLATable[Priority],0))),"YES","NO"),"")</f>
        <v/>
      </c>
    </row>
    <row r="435" spans="26:36" ht="15" customHeight="1">
      <c r="Z435" s="76" t="e">
        <f t="shared" ca="1" si="44"/>
        <v>#N/A</v>
      </c>
      <c r="AA435" s="75" t="e">
        <f t="shared" ca="1" si="40"/>
        <v>#N/A</v>
      </c>
      <c r="AB435" s="76">
        <f t="shared" ca="1" si="45"/>
        <v>0</v>
      </c>
      <c r="AC435" s="75">
        <f t="shared" ca="1" si="41"/>
        <v>0</v>
      </c>
      <c r="AD435" s="76">
        <f t="shared" ca="1" si="46"/>
        <v>12388.425641782411</v>
      </c>
      <c r="AE435" s="76">
        <f t="shared" si="47"/>
        <v>0</v>
      </c>
      <c r="AF435" s="75">
        <f t="shared" si="42"/>
        <v>0</v>
      </c>
      <c r="AG435" s="75">
        <f t="shared" si="43"/>
        <v>0</v>
      </c>
      <c r="AH435" s="31" t="e" cm="1">
        <f t="array" aca="1" ref="AH435" ca="1">IF((AD435) &lt; (INDEX(ResponseSLA[#All],(MATCH((G435),ResponseSLA[Priority],0))+1,3)),"YES","No")</f>
        <v>#N/A</v>
      </c>
      <c r="AI435" s="31" t="str">
        <f>_xlfn.IFNA(IF(AE435 &lt; (INDEX(SLATable[Minimum SLA],MATCH(G435,SLATable[Priority],0))),"YES","NO"),"")</f>
        <v/>
      </c>
      <c r="AJ435" t="str">
        <f>_xlfn.IFNA(IF(AE435 &lt; (INDEX(SLATable[Maximum SLA],MATCH(G435,SLATable[Priority],0))),"YES","NO"),"")</f>
        <v/>
      </c>
    </row>
    <row r="436" spans="26:36" ht="15" customHeight="1">
      <c r="Z436" s="76" t="e">
        <f t="shared" ca="1" si="44"/>
        <v>#N/A</v>
      </c>
      <c r="AA436" s="75" t="e">
        <f t="shared" ca="1" si="40"/>
        <v>#N/A</v>
      </c>
      <c r="AB436" s="76">
        <f t="shared" ca="1" si="45"/>
        <v>0</v>
      </c>
      <c r="AC436" s="75">
        <f t="shared" ca="1" si="41"/>
        <v>0</v>
      </c>
      <c r="AD436" s="76">
        <f t="shared" ca="1" si="46"/>
        <v>12388.425641782411</v>
      </c>
      <c r="AE436" s="76">
        <f t="shared" si="47"/>
        <v>0</v>
      </c>
      <c r="AF436" s="75">
        <f t="shared" si="42"/>
        <v>0</v>
      </c>
      <c r="AG436" s="75">
        <f t="shared" si="43"/>
        <v>0</v>
      </c>
      <c r="AH436" s="31" t="e" cm="1">
        <f t="array" aca="1" ref="AH436" ca="1">IF((AD436) &lt; (INDEX(ResponseSLA[#All],(MATCH((G436),ResponseSLA[Priority],0))+1,3)),"YES","No")</f>
        <v>#N/A</v>
      </c>
      <c r="AI436" s="31" t="str">
        <f>_xlfn.IFNA(IF(AE436 &lt; (INDEX(SLATable[Minimum SLA],MATCH(G436,SLATable[Priority],0))),"YES","NO"),"")</f>
        <v/>
      </c>
      <c r="AJ436" t="str">
        <f>_xlfn.IFNA(IF(AE436 &lt; (INDEX(SLATable[Maximum SLA],MATCH(G436,SLATable[Priority],0))),"YES","NO"),"")</f>
        <v/>
      </c>
    </row>
    <row r="437" spans="26:36" ht="15" customHeight="1">
      <c r="Z437" s="76" t="e">
        <f t="shared" ca="1" si="44"/>
        <v>#N/A</v>
      </c>
      <c r="AA437" s="75" t="e">
        <f t="shared" ca="1" si="40"/>
        <v>#N/A</v>
      </c>
      <c r="AB437" s="76">
        <f t="shared" ca="1" si="45"/>
        <v>0</v>
      </c>
      <c r="AC437" s="75">
        <f t="shared" ca="1" si="41"/>
        <v>0</v>
      </c>
      <c r="AD437" s="76">
        <f t="shared" ca="1" si="46"/>
        <v>12388.425641782411</v>
      </c>
      <c r="AE437" s="76">
        <f t="shared" si="47"/>
        <v>0</v>
      </c>
      <c r="AF437" s="75">
        <f t="shared" si="42"/>
        <v>0</v>
      </c>
      <c r="AG437" s="75">
        <f t="shared" si="43"/>
        <v>0</v>
      </c>
      <c r="AH437" s="31" t="e" cm="1">
        <f t="array" aca="1" ref="AH437" ca="1">IF((AD437) &lt; (INDEX(ResponseSLA[#All],(MATCH((G437),ResponseSLA[Priority],0))+1,3)),"YES","No")</f>
        <v>#N/A</v>
      </c>
      <c r="AI437" s="31" t="str">
        <f>_xlfn.IFNA(IF(AE437 &lt; (INDEX(SLATable[Minimum SLA],MATCH(G437,SLATable[Priority],0))),"YES","NO"),"")</f>
        <v/>
      </c>
      <c r="AJ437" t="str">
        <f>_xlfn.IFNA(IF(AE437 &lt; (INDEX(SLATable[Maximum SLA],MATCH(G437,SLATable[Priority],0))),"YES","NO"),"")</f>
        <v/>
      </c>
    </row>
    <row r="438" spans="26:36" ht="15" customHeight="1">
      <c r="Z438" s="76" t="e">
        <f t="shared" ca="1" si="44"/>
        <v>#N/A</v>
      </c>
      <c r="AA438" s="75" t="e">
        <f t="shared" ca="1" si="40"/>
        <v>#N/A</v>
      </c>
      <c r="AB438" s="76">
        <f t="shared" ca="1" si="45"/>
        <v>0</v>
      </c>
      <c r="AC438" s="75">
        <f t="shared" ca="1" si="41"/>
        <v>0</v>
      </c>
      <c r="AD438" s="76">
        <f t="shared" ca="1" si="46"/>
        <v>12388.425641782411</v>
      </c>
      <c r="AE438" s="76">
        <f t="shared" si="47"/>
        <v>0</v>
      </c>
      <c r="AF438" s="75">
        <f t="shared" si="42"/>
        <v>0</v>
      </c>
      <c r="AG438" s="75">
        <f t="shared" si="43"/>
        <v>0</v>
      </c>
      <c r="AH438" s="31" t="e" cm="1">
        <f t="array" aca="1" ref="AH438" ca="1">IF((AD438) &lt; (INDEX(ResponseSLA[#All],(MATCH((G438),ResponseSLA[Priority],0))+1,3)),"YES","No")</f>
        <v>#N/A</v>
      </c>
      <c r="AI438" s="31" t="str">
        <f>_xlfn.IFNA(IF(AE438 &lt; (INDEX(SLATable[Minimum SLA],MATCH(G438,SLATable[Priority],0))),"YES","NO"),"")</f>
        <v/>
      </c>
      <c r="AJ438" t="str">
        <f>_xlfn.IFNA(IF(AE438 &lt; (INDEX(SLATable[Maximum SLA],MATCH(G438,SLATable[Priority],0))),"YES","NO"),"")</f>
        <v/>
      </c>
    </row>
    <row r="439" spans="26:36" ht="15" customHeight="1">
      <c r="Z439" s="76" t="e">
        <f t="shared" ca="1" si="44"/>
        <v>#N/A</v>
      </c>
      <c r="AA439" s="75" t="e">
        <f t="shared" ca="1" si="40"/>
        <v>#N/A</v>
      </c>
      <c r="AB439" s="76">
        <f t="shared" ca="1" si="45"/>
        <v>0</v>
      </c>
      <c r="AC439" s="75">
        <f t="shared" ca="1" si="41"/>
        <v>0</v>
      </c>
      <c r="AD439" s="76">
        <f t="shared" ca="1" si="46"/>
        <v>12388.425641782411</v>
      </c>
      <c r="AE439" s="76">
        <f t="shared" si="47"/>
        <v>0</v>
      </c>
      <c r="AF439" s="75">
        <f t="shared" si="42"/>
        <v>0</v>
      </c>
      <c r="AG439" s="75">
        <f t="shared" si="43"/>
        <v>0</v>
      </c>
      <c r="AH439" s="31" t="e" cm="1">
        <f t="array" aca="1" ref="AH439" ca="1">IF((AD439) &lt; (INDEX(ResponseSLA[#All],(MATCH((G439),ResponseSLA[Priority],0))+1,3)),"YES","No")</f>
        <v>#N/A</v>
      </c>
      <c r="AI439" s="31" t="str">
        <f>_xlfn.IFNA(IF(AE439 &lt; (INDEX(SLATable[Minimum SLA],MATCH(G439,SLATable[Priority],0))),"YES","NO"),"")</f>
        <v/>
      </c>
      <c r="AJ439" t="str">
        <f>_xlfn.IFNA(IF(AE439 &lt; (INDEX(SLATable[Maximum SLA],MATCH(G439,SLATable[Priority],0))),"YES","NO"),"")</f>
        <v/>
      </c>
    </row>
    <row r="440" spans="26:36" ht="15" customHeight="1">
      <c r="Z440" s="76" t="e">
        <f t="shared" ca="1" si="44"/>
        <v>#N/A</v>
      </c>
      <c r="AA440" s="75" t="e">
        <f t="shared" ca="1" si="40"/>
        <v>#N/A</v>
      </c>
      <c r="AB440" s="76">
        <f t="shared" ca="1" si="45"/>
        <v>0</v>
      </c>
      <c r="AC440" s="75">
        <f t="shared" ca="1" si="41"/>
        <v>0</v>
      </c>
      <c r="AD440" s="76">
        <f t="shared" ca="1" si="46"/>
        <v>12388.425641782411</v>
      </c>
      <c r="AE440" s="76">
        <f t="shared" si="47"/>
        <v>0</v>
      </c>
      <c r="AF440" s="75">
        <f t="shared" si="42"/>
        <v>0</v>
      </c>
      <c r="AG440" s="75">
        <f t="shared" si="43"/>
        <v>0</v>
      </c>
      <c r="AH440" s="31" t="e" cm="1">
        <f t="array" aca="1" ref="AH440" ca="1">IF((AD440) &lt; (INDEX(ResponseSLA[#All],(MATCH((G440),ResponseSLA[Priority],0))+1,3)),"YES","No")</f>
        <v>#N/A</v>
      </c>
      <c r="AI440" s="31" t="str">
        <f>_xlfn.IFNA(IF(AE440 &lt; (INDEX(SLATable[Minimum SLA],MATCH(G440,SLATable[Priority],0))),"YES","NO"),"")</f>
        <v/>
      </c>
      <c r="AJ440" t="str">
        <f>_xlfn.IFNA(IF(AE440 &lt; (INDEX(SLATable[Maximum SLA],MATCH(G440,SLATable[Priority],0))),"YES","NO"),"")</f>
        <v/>
      </c>
    </row>
    <row r="441" spans="26:36" ht="15" customHeight="1">
      <c r="Z441" s="76" t="e">
        <f t="shared" ca="1" si="44"/>
        <v>#N/A</v>
      </c>
      <c r="AA441" s="75" t="e">
        <f t="shared" ca="1" si="40"/>
        <v>#N/A</v>
      </c>
      <c r="AB441" s="76">
        <f t="shared" ca="1" si="45"/>
        <v>0</v>
      </c>
      <c r="AC441" s="75">
        <f t="shared" ca="1" si="41"/>
        <v>0</v>
      </c>
      <c r="AD441" s="76">
        <f t="shared" ca="1" si="46"/>
        <v>12388.425641782411</v>
      </c>
      <c r="AE441" s="76">
        <f t="shared" si="47"/>
        <v>0</v>
      </c>
      <c r="AF441" s="75">
        <f t="shared" si="42"/>
        <v>0</v>
      </c>
      <c r="AG441" s="75">
        <f t="shared" si="43"/>
        <v>0</v>
      </c>
      <c r="AH441" s="31" t="e" cm="1">
        <f t="array" aca="1" ref="AH441" ca="1">IF((AD441) &lt; (INDEX(ResponseSLA[#All],(MATCH((G441),ResponseSLA[Priority],0))+1,3)),"YES","No")</f>
        <v>#N/A</v>
      </c>
      <c r="AI441" s="31" t="str">
        <f>_xlfn.IFNA(IF(AE441 &lt; (INDEX(SLATable[Minimum SLA],MATCH(G441,SLATable[Priority],0))),"YES","NO"),"")</f>
        <v/>
      </c>
      <c r="AJ441" t="str">
        <f>_xlfn.IFNA(IF(AE441 &lt; (INDEX(SLATable[Maximum SLA],MATCH(G441,SLATable[Priority],0))),"YES","NO"),"")</f>
        <v/>
      </c>
    </row>
    <row r="442" spans="26:36" ht="15" customHeight="1">
      <c r="Z442" s="76" t="e">
        <f t="shared" ca="1" si="44"/>
        <v>#N/A</v>
      </c>
      <c r="AA442" s="75" t="e">
        <f t="shared" ca="1" si="40"/>
        <v>#N/A</v>
      </c>
      <c r="AB442" s="76">
        <f t="shared" ca="1" si="45"/>
        <v>0</v>
      </c>
      <c r="AC442" s="75">
        <f t="shared" ca="1" si="41"/>
        <v>0</v>
      </c>
      <c r="AD442" s="76">
        <f t="shared" ca="1" si="46"/>
        <v>12388.425641782411</v>
      </c>
      <c r="AE442" s="76">
        <f t="shared" si="47"/>
        <v>0</v>
      </c>
      <c r="AF442" s="75">
        <f t="shared" si="42"/>
        <v>0</v>
      </c>
      <c r="AG442" s="75">
        <f t="shared" si="43"/>
        <v>0</v>
      </c>
      <c r="AH442" s="31" t="e" cm="1">
        <f t="array" aca="1" ref="AH442" ca="1">IF((AD442) &lt; (INDEX(ResponseSLA[#All],(MATCH((G442),ResponseSLA[Priority],0))+1,3)),"YES","No")</f>
        <v>#N/A</v>
      </c>
      <c r="AI442" s="31" t="str">
        <f>_xlfn.IFNA(IF(AE442 &lt; (INDEX(SLATable[Minimum SLA],MATCH(G442,SLATable[Priority],0))),"YES","NO"),"")</f>
        <v/>
      </c>
      <c r="AJ442" t="str">
        <f>_xlfn.IFNA(IF(AE442 &lt; (INDEX(SLATable[Maximum SLA],MATCH(G442,SLATable[Priority],0))),"YES","NO"),"")</f>
        <v/>
      </c>
    </row>
    <row r="443" spans="26:36" ht="15" customHeight="1">
      <c r="Z443" s="76" t="e">
        <f t="shared" ca="1" si="44"/>
        <v>#N/A</v>
      </c>
      <c r="AA443" s="75" t="e">
        <f t="shared" ca="1" si="40"/>
        <v>#N/A</v>
      </c>
      <c r="AB443" s="76">
        <f t="shared" ca="1" si="45"/>
        <v>0</v>
      </c>
      <c r="AC443" s="75">
        <f t="shared" ca="1" si="41"/>
        <v>0</v>
      </c>
      <c r="AD443" s="76">
        <f t="shared" ca="1" si="46"/>
        <v>12388.425641782411</v>
      </c>
      <c r="AE443" s="76">
        <f t="shared" si="47"/>
        <v>0</v>
      </c>
      <c r="AF443" s="75">
        <f t="shared" si="42"/>
        <v>0</v>
      </c>
      <c r="AG443" s="75">
        <f t="shared" si="43"/>
        <v>0</v>
      </c>
      <c r="AH443" s="31" t="e" cm="1">
        <f t="array" aca="1" ref="AH443" ca="1">IF((AD443) &lt; (INDEX(ResponseSLA[#All],(MATCH((G443),ResponseSLA[Priority],0))+1,3)),"YES","No")</f>
        <v>#N/A</v>
      </c>
      <c r="AI443" s="31" t="str">
        <f>_xlfn.IFNA(IF(AE443 &lt; (INDEX(SLATable[Minimum SLA],MATCH(G443,SLATable[Priority],0))),"YES","NO"),"")</f>
        <v/>
      </c>
      <c r="AJ443" t="str">
        <f>_xlfn.IFNA(IF(AE443 &lt; (INDEX(SLATable[Maximum SLA],MATCH(G443,SLATable[Priority],0))),"YES","NO"),"")</f>
        <v/>
      </c>
    </row>
    <row r="444" spans="26:36" ht="15" customHeight="1">
      <c r="Z444" s="76" t="e">
        <f t="shared" ca="1" si="44"/>
        <v>#N/A</v>
      </c>
      <c r="AA444" s="75" t="e">
        <f t="shared" ca="1" si="40"/>
        <v>#N/A</v>
      </c>
      <c r="AB444" s="76">
        <f t="shared" ca="1" si="45"/>
        <v>0</v>
      </c>
      <c r="AC444" s="75">
        <f t="shared" ca="1" si="41"/>
        <v>0</v>
      </c>
      <c r="AD444" s="76">
        <f t="shared" ca="1" si="46"/>
        <v>12388.425641782411</v>
      </c>
      <c r="AE444" s="76">
        <f t="shared" si="47"/>
        <v>0</v>
      </c>
      <c r="AF444" s="75">
        <f t="shared" si="42"/>
        <v>0</v>
      </c>
      <c r="AG444" s="75">
        <f t="shared" si="43"/>
        <v>0</v>
      </c>
      <c r="AH444" s="31" t="e" cm="1">
        <f t="array" aca="1" ref="AH444" ca="1">IF((AD444) &lt; (INDEX(ResponseSLA[#All],(MATCH((G444),ResponseSLA[Priority],0))+1,3)),"YES","No")</f>
        <v>#N/A</v>
      </c>
      <c r="AI444" s="31" t="str">
        <f>_xlfn.IFNA(IF(AE444 &lt; (INDEX(SLATable[Minimum SLA],MATCH(G444,SLATable[Priority],0))),"YES","NO"),"")</f>
        <v/>
      </c>
      <c r="AJ444" t="str">
        <f>_xlfn.IFNA(IF(AE444 &lt; (INDEX(SLATable[Maximum SLA],MATCH(G444,SLATable[Priority],0))),"YES","NO"),"")</f>
        <v/>
      </c>
    </row>
    <row r="445" spans="26:36" ht="15" customHeight="1">
      <c r="Z445" s="76" t="e">
        <f t="shared" ca="1" si="44"/>
        <v>#N/A</v>
      </c>
      <c r="AA445" s="75" t="e">
        <f t="shared" ca="1" si="40"/>
        <v>#N/A</v>
      </c>
      <c r="AB445" s="76">
        <f t="shared" ca="1" si="45"/>
        <v>0</v>
      </c>
      <c r="AC445" s="75">
        <f t="shared" ca="1" si="41"/>
        <v>0</v>
      </c>
      <c r="AD445" s="76">
        <f t="shared" ca="1" si="46"/>
        <v>12388.425641782411</v>
      </c>
      <c r="AE445" s="76">
        <f t="shared" si="47"/>
        <v>0</v>
      </c>
      <c r="AF445" s="75">
        <f t="shared" si="42"/>
        <v>0</v>
      </c>
      <c r="AG445" s="75">
        <f t="shared" si="43"/>
        <v>0</v>
      </c>
      <c r="AH445" s="31" t="e" cm="1">
        <f t="array" aca="1" ref="AH445" ca="1">IF((AD445) &lt; (INDEX(ResponseSLA[#All],(MATCH((G445),ResponseSLA[Priority],0))+1,3)),"YES","No")</f>
        <v>#N/A</v>
      </c>
      <c r="AI445" s="31" t="str">
        <f>_xlfn.IFNA(IF(AE445 &lt; (INDEX(SLATable[Minimum SLA],MATCH(G445,SLATable[Priority],0))),"YES","NO"),"")</f>
        <v/>
      </c>
      <c r="AJ445" t="str">
        <f>_xlfn.IFNA(IF(AE445 &lt; (INDEX(SLATable[Maximum SLA],MATCH(G445,SLATable[Priority],0))),"YES","NO"),"")</f>
        <v/>
      </c>
    </row>
    <row r="446" spans="26:36" ht="15" customHeight="1">
      <c r="Z446" s="76" t="e">
        <f t="shared" ca="1" si="44"/>
        <v>#N/A</v>
      </c>
      <c r="AA446" s="75" t="e">
        <f t="shared" ca="1" si="40"/>
        <v>#N/A</v>
      </c>
      <c r="AB446" s="76">
        <f t="shared" ca="1" si="45"/>
        <v>0</v>
      </c>
      <c r="AC446" s="75">
        <f t="shared" ca="1" si="41"/>
        <v>0</v>
      </c>
      <c r="AD446" s="76">
        <f t="shared" ca="1" si="46"/>
        <v>12388.425641782411</v>
      </c>
      <c r="AE446" s="76">
        <f t="shared" si="47"/>
        <v>0</v>
      </c>
      <c r="AF446" s="75">
        <f t="shared" si="42"/>
        <v>0</v>
      </c>
      <c r="AG446" s="75">
        <f t="shared" si="43"/>
        <v>0</v>
      </c>
      <c r="AH446" s="31" t="e" cm="1">
        <f t="array" aca="1" ref="AH446" ca="1">IF((AD446) &lt; (INDEX(ResponseSLA[#All],(MATCH((G446),ResponseSLA[Priority],0))+1,3)),"YES","No")</f>
        <v>#N/A</v>
      </c>
      <c r="AI446" s="31" t="str">
        <f>_xlfn.IFNA(IF(AE446 &lt; (INDEX(SLATable[Minimum SLA],MATCH(G446,SLATable[Priority],0))),"YES","NO"),"")</f>
        <v/>
      </c>
      <c r="AJ446" t="str">
        <f>_xlfn.IFNA(IF(AE446 &lt; (INDEX(SLATable[Maximum SLA],MATCH(G446,SLATable[Priority],0))),"YES","NO"),"")</f>
        <v/>
      </c>
    </row>
    <row r="447" spans="26:36" ht="15" customHeight="1">
      <c r="Z447" s="76" t="e">
        <f t="shared" ca="1" si="44"/>
        <v>#N/A</v>
      </c>
      <c r="AA447" s="75" t="e">
        <f t="shared" ca="1" si="40"/>
        <v>#N/A</v>
      </c>
      <c r="AB447" s="76">
        <f t="shared" ca="1" si="45"/>
        <v>0</v>
      </c>
      <c r="AC447" s="75">
        <f t="shared" ca="1" si="41"/>
        <v>0</v>
      </c>
      <c r="AD447" s="76">
        <f t="shared" ca="1" si="46"/>
        <v>12388.425641782411</v>
      </c>
      <c r="AE447" s="76">
        <f t="shared" si="47"/>
        <v>0</v>
      </c>
      <c r="AF447" s="75">
        <f t="shared" si="42"/>
        <v>0</v>
      </c>
      <c r="AG447" s="75">
        <f t="shared" si="43"/>
        <v>0</v>
      </c>
      <c r="AH447" s="31" t="e" cm="1">
        <f t="array" aca="1" ref="AH447" ca="1">IF((AD447) &lt; (INDEX(ResponseSLA[#All],(MATCH((G447),ResponseSLA[Priority],0))+1,3)),"YES","No")</f>
        <v>#N/A</v>
      </c>
      <c r="AI447" s="31" t="str">
        <f>_xlfn.IFNA(IF(AE447 &lt; (INDEX(SLATable[Minimum SLA],MATCH(G447,SLATable[Priority],0))),"YES","NO"),"")</f>
        <v/>
      </c>
      <c r="AJ447" t="str">
        <f>_xlfn.IFNA(IF(AE447 &lt; (INDEX(SLATable[Maximum SLA],MATCH(G447,SLATable[Priority],0))),"YES","NO"),"")</f>
        <v/>
      </c>
    </row>
    <row r="448" spans="26:36" ht="15" customHeight="1">
      <c r="Z448" s="76" t="e">
        <f t="shared" ca="1" si="44"/>
        <v>#N/A</v>
      </c>
      <c r="AA448" s="75" t="e">
        <f t="shared" ca="1" si="40"/>
        <v>#N/A</v>
      </c>
      <c r="AB448" s="76">
        <f t="shared" ca="1" si="45"/>
        <v>0</v>
      </c>
      <c r="AC448" s="75">
        <f t="shared" ca="1" si="41"/>
        <v>0</v>
      </c>
      <c r="AD448" s="76">
        <f t="shared" ca="1" si="46"/>
        <v>12388.425641782411</v>
      </c>
      <c r="AE448" s="76">
        <f t="shared" si="47"/>
        <v>0</v>
      </c>
      <c r="AF448" s="75">
        <f t="shared" si="42"/>
        <v>0</v>
      </c>
      <c r="AG448" s="75">
        <f t="shared" si="43"/>
        <v>0</v>
      </c>
      <c r="AH448" s="31" t="e" cm="1">
        <f t="array" aca="1" ref="AH448" ca="1">IF((AD448) &lt; (INDEX(ResponseSLA[#All],(MATCH((G448),ResponseSLA[Priority],0))+1,3)),"YES","No")</f>
        <v>#N/A</v>
      </c>
      <c r="AI448" s="31" t="str">
        <f>_xlfn.IFNA(IF(AE448 &lt; (INDEX(SLATable[Minimum SLA],MATCH(G448,SLATable[Priority],0))),"YES","NO"),"")</f>
        <v/>
      </c>
      <c r="AJ448" t="str">
        <f>_xlfn.IFNA(IF(AE448 &lt; (INDEX(SLATable[Maximum SLA],MATCH(G448,SLATable[Priority],0))),"YES","NO"),"")</f>
        <v/>
      </c>
    </row>
    <row r="449" spans="26:36" ht="15" customHeight="1">
      <c r="Z449" s="76" t="e">
        <f t="shared" ca="1" si="44"/>
        <v>#N/A</v>
      </c>
      <c r="AA449" s="75" t="e">
        <f t="shared" ref="AA449:AA500" ca="1" si="48">(Z449*24)/9</f>
        <v>#N/A</v>
      </c>
      <c r="AB449" s="76">
        <f t="shared" ca="1" si="45"/>
        <v>0</v>
      </c>
      <c r="AC449" s="75">
        <f t="shared" ref="AC449:AC500" ca="1" si="49">(AB449*24)/9</f>
        <v>0</v>
      </c>
      <c r="AD449" s="76">
        <f t="shared" ca="1" si="46"/>
        <v>12388.425641782411</v>
      </c>
      <c r="AE449" s="76">
        <f t="shared" si="47"/>
        <v>0</v>
      </c>
      <c r="AF449" s="75">
        <f t="shared" ref="AF449:AF500" si="50">(AE449*24)/9</f>
        <v>0</v>
      </c>
      <c r="AG449" s="75">
        <f t="shared" ref="AG449:AG500" si="51">AF449</f>
        <v>0</v>
      </c>
      <c r="AH449" s="31" t="e" cm="1">
        <f t="array" aca="1" ref="AH449" ca="1">IF((AD449) &lt; (INDEX(ResponseSLA[#All],(MATCH((G449),ResponseSLA[Priority],0))+1,3)),"YES","No")</f>
        <v>#N/A</v>
      </c>
      <c r="AI449" s="31" t="str">
        <f>_xlfn.IFNA(IF(AE449 &lt; (INDEX(SLATable[Minimum SLA],MATCH(G449,SLATable[Priority],0))),"YES","NO"),"")</f>
        <v/>
      </c>
      <c r="AJ449" t="str">
        <f>_xlfn.IFNA(IF(AE449 &lt; (INDEX(SLATable[Maximum SLA],MATCH(G449,SLATable[Priority],0))),"YES","NO"),"")</f>
        <v/>
      </c>
    </row>
    <row r="450" spans="26:36" ht="15" customHeight="1">
      <c r="Z450" s="76" t="e">
        <f t="shared" ca="1" si="44"/>
        <v>#N/A</v>
      </c>
      <c r="AA450" s="75" t="e">
        <f t="shared" ca="1" si="48"/>
        <v>#N/A</v>
      </c>
      <c r="AB450" s="76">
        <f t="shared" ca="1" si="45"/>
        <v>0</v>
      </c>
      <c r="AC450" s="75">
        <f t="shared" ca="1" si="49"/>
        <v>0</v>
      </c>
      <c r="AD450" s="76">
        <f t="shared" ca="1" si="46"/>
        <v>12388.425641782411</v>
      </c>
      <c r="AE450" s="76">
        <f t="shared" si="47"/>
        <v>0</v>
      </c>
      <c r="AF450" s="75">
        <f t="shared" si="50"/>
        <v>0</v>
      </c>
      <c r="AG450" s="75">
        <f t="shared" si="51"/>
        <v>0</v>
      </c>
      <c r="AH450" s="31" t="e" cm="1">
        <f t="array" aca="1" ref="AH450" ca="1">IF((AD450) &lt; (INDEX(ResponseSLA[#All],(MATCH((G450),ResponseSLA[Priority],0))+1,3)),"YES","No")</f>
        <v>#N/A</v>
      </c>
      <c r="AI450" s="31" t="str">
        <f>_xlfn.IFNA(IF(AE450 &lt; (INDEX(SLATable[Minimum SLA],MATCH(G450,SLATable[Priority],0))),"YES","NO"),"")</f>
        <v/>
      </c>
      <c r="AJ450" t="str">
        <f>_xlfn.IFNA(IF(AE450 &lt; (INDEX(SLATable[Maximum SLA],MATCH(G450,SLATable[Priority],0))),"YES","NO"),"")</f>
        <v/>
      </c>
    </row>
    <row r="451" spans="26:36" ht="15" customHeight="1">
      <c r="Z451" s="76" t="e">
        <f t="shared" ref="Z451:Z500" ca="1" si="52">IF(NOT(OR(G451=1,G451=2)),MAX(0,_xlfn.IFS(AND(K451&lt;&gt;"",N451&lt;&gt;""),((MAX(NETWORKDAYS(K451,N451,UKBankHolidays)-1,0))*(TIME(17,0,0)-TIME(8,0,0))+IF(NETWORKDAYS(N451,N451,UKBankHolidays)&gt;0,MEDIAN(TIME(8,0,0),MOD(N451,1),TIME(17,0,0)),TIME(8,0,0))-IF(NETWORKDAYS(K451,K451,UKBankHolidays)&gt;0,MEDIAN(TIME(8,0,0),MOD(K451,1),TIME(17,0,0)),TIME(8,0,0)))-IF(AND(O451&lt;&gt;"",P451&lt;&gt;""),((MAX(NETWORKDAYS(O451,P451,UKBankHolidays)-1,0))*(TIME(17,0,0)-TIME(8,0,0))+IF(NETWORKDAYS(P451,P451,UKBankHolidays)&gt;0,MEDIAN(TIME(8,0,0),MOD(P451,1),TIME(17,0,0)),TIME(8,0,0))-IF(NETWORKDAYS(O451,O451,UKBankHolidays)&gt;0,MEDIAN(TIME(8,0,0),MOD(O451,1),TIME(17,0,0)),TIME(8,0,0))),0),AND(K451&lt;&gt;"",N451=""),((MAX(NETWORKDAYS(K451,NOW(),UKBankHolidays)-1,0))*(TIME(17,0,0)-TIME(8,0,0))+IF(NETWORKDAYS(NOW(),NOW(),UKBankHolidays)&gt;0,MEDIAN(TIME(8,0,0),MOD(NOW(),1),TIME(17,0,0)),TIME(8,0,0))-IF(NETWORKDAYS(K451,K451,UKBankHolidays)&gt;0,MEDIAN(TIME(8,0,0),MOD(K451,1),TIME(17,0,0)),TIME(8,0,0))))),IF(N451="",NOW()-K451,N451-K451))</f>
        <v>#N/A</v>
      </c>
      <c r="AA451" s="75" t="e">
        <f t="shared" ca="1" si="48"/>
        <v>#N/A</v>
      </c>
      <c r="AB451" s="76">
        <f t="shared" ref="AB451:AB500" ca="1" si="53">IF(NOT(OR(G451=1,G451=2)),MAX(0,_xlfn.IFS(AND(K451&lt;&gt;"",N451&lt;&gt;""),(((MAX(NETWORKDAYS(L451,N451,UKBankHolidays)-1,0))*(TIME(17,0,0)-TIME(8,0,0)))+IF(NETWORKDAYS(N451,N451,UKBankHolidays)&gt;0,MEDIAN(TIME(8,0,0),MOD(N451,1),TIME(17,0,0)),TIME(8,0,0))-IF(NETWORKDAYS(L451,L451,UKBankHolidays)&gt;0,MEDIAN(TIME(8,0,0),MOD(L451,1),TIME(17,0,0)),TIME(8,0,0)))-IF(AND(O451&lt;&gt;"",P451&lt;&gt;""),(((MAX(NETWORKDAYS(O451,P451,UKBankHolidays)-1,0))*(TIME(17,0,0)-TIME(8,0,0)))+IF(NETWORKDAYS(P451,P451,UKBankHolidays)&gt;0,MEDIAN(TIME(8,0,0),MOD(P451,1),TIME(17,0,0)),TIME(8,0,0))-IF(NETWORKDAYS(O451,O451,UKBankHolidays)&gt;0,MEDIAN(TIME(8,0,0),MOD(O451,1),TIME(17,0,0)),TIME(8,0,0))),0),AND(L451&lt;&gt;"",N451="",O451=""),(((MAX(NETWORKDAYS(L451,NOW(),UKBankHolidays)-1,0))*(TIME(17,0,0)-TIME(8,0,0)))+IF(NETWORKDAYS(NOW(),NOW(),UKBankHolidays)&gt;0,MEDIAN(TIME(8,0,0),MOD(NOW(),1),TIME(17,0,0)),TIME(8,0,0))-IF(NETWORKDAYS(L451,L451,UKBankHolidays)&gt;0,MEDIAN(TIME(8,0,0),MOD(L451,1),TIME(17,0,0)),TIME(8,0,0)))-IF(AND(O451&lt;&gt;"",P451&lt;&gt;""),(((MAX(NETWORKDAYS(O451,P451,UKBankHolidays)-1,0))*(TIME(17,0,0)-TIME(8,0,0)))+IF(NETWORKDAYS(P451,P451,UKBankHolidays)&gt;0,MEDIAN(TIME(8,0,0),MOD(P451,1),TIME(17,0,0)),TIME(8,0,0))-IF(NETWORKDAYS(O451,O451,UKBankHolidays)&gt;0,MEDIAN(TIME(8,0,0),MOD(O451,1),TIME(17,0,0)),TIME(8,0,0))),0),AND(L451&lt;&gt;"",N451="",P451="",O451&lt;&gt;""),(((MAX(NETWORKDAYS(L451,O451,UKBankHolidays)-1,0))*(TIME(17,0,0)-TIME(8,0,0)))+IF(NETWORKDAYS(O451,O451,UKBankHolidays)&gt;0,MEDIAN(TIME(8,0,0),MOD(O451,1),TIME(17,0,0)),TIME(8,0,0))-IF(NETWORKDAYS(L451,L451,UKBankHolidays)&gt;0,MEDIAN(TIME(8,0,0),MOD(L451,1),TIME(17,0,0)),TIME(8,0,0))),ISBLANK(K451),"0")),IF(ISBLANK(N451),NOW()-L451,N451-L451))</f>
        <v>0</v>
      </c>
      <c r="AC451" s="75">
        <f t="shared" ca="1" si="49"/>
        <v>0</v>
      </c>
      <c r="AD451" s="76">
        <f t="shared" ref="AD451:AD500" ca="1" si="54">MAX(0,IF(NOT(OR(G451=1,G451=2)),IF(M451&lt;&gt;"",((MAX(NETWORKDAYS(L451,M451,UKBankHolidays)-1,0))*(TIME(17,0,0)-TIME(8,0,0))+IF(NETWORKDAYS(M451,M451,UKBankHolidays)&gt;0,MEDIAN(TIME(8,0,0),MOD(M451,1),TIME(17,0,0)),TIME(8,0,0))-MEDIAN(TIME(8,0,0),MOD(L451,1),TIME(17,0,0))),((MAX(NETWORKDAYS(L451,NOW(),UKBankHolidays)-1,0))*(TIME(17,0,0)-TIME(8,0,0))+IF(NETWORKDAYS(NOW(),NOW(),UKBankHolidays)&gt;0,MEDIAN(TIME(8,0,0),MOD(NOW(),1),TIME(17,0,0)),TIME(8,0,0))-MEDIAN(TIME(8,0,0),MOD(L451,1),TIME(17,0,0)))),IF(M451&lt;&gt;"",M451-L451,NOW()-L451)))</f>
        <v>12388.425641782411</v>
      </c>
      <c r="AE451" s="76">
        <f t="shared" ref="AE451:AE500" si="55">SUMIFS(AB:AB,E:E,E451)</f>
        <v>0</v>
      </c>
      <c r="AF451" s="75">
        <f t="shared" si="50"/>
        <v>0</v>
      </c>
      <c r="AG451" s="75">
        <f t="shared" si="51"/>
        <v>0</v>
      </c>
      <c r="AH451" s="31" t="e" cm="1">
        <f t="array" aca="1" ref="AH451" ca="1">IF((AD451) &lt; (INDEX(ResponseSLA[#All],(MATCH((G451),ResponseSLA[Priority],0))+1,3)),"YES","No")</f>
        <v>#N/A</v>
      </c>
      <c r="AI451" s="31" t="str">
        <f>_xlfn.IFNA(IF(AE451 &lt; (INDEX(SLATable[Minimum SLA],MATCH(G451,SLATable[Priority],0))),"YES","NO"),"")</f>
        <v/>
      </c>
      <c r="AJ451" t="str">
        <f>_xlfn.IFNA(IF(AE451 &lt; (INDEX(SLATable[Maximum SLA],MATCH(G451,SLATable[Priority],0))),"YES","NO"),"")</f>
        <v/>
      </c>
    </row>
    <row r="452" spans="26:36" ht="15" customHeight="1">
      <c r="Z452" s="76" t="e">
        <f t="shared" ca="1" si="52"/>
        <v>#N/A</v>
      </c>
      <c r="AA452" s="75" t="e">
        <f t="shared" ca="1" si="48"/>
        <v>#N/A</v>
      </c>
      <c r="AB452" s="76">
        <f t="shared" ca="1" si="53"/>
        <v>0</v>
      </c>
      <c r="AC452" s="75">
        <f t="shared" ca="1" si="49"/>
        <v>0</v>
      </c>
      <c r="AD452" s="76">
        <f t="shared" ca="1" si="54"/>
        <v>12388.425641782411</v>
      </c>
      <c r="AE452" s="76">
        <f t="shared" si="55"/>
        <v>0</v>
      </c>
      <c r="AF452" s="75">
        <f t="shared" si="50"/>
        <v>0</v>
      </c>
      <c r="AG452" s="75">
        <f t="shared" si="51"/>
        <v>0</v>
      </c>
      <c r="AH452" s="31" t="e" cm="1">
        <f t="array" aca="1" ref="AH452" ca="1">IF((AD452) &lt; (INDEX(ResponseSLA[#All],(MATCH((G452),ResponseSLA[Priority],0))+1,3)),"YES","No")</f>
        <v>#N/A</v>
      </c>
      <c r="AI452" s="31" t="str">
        <f>_xlfn.IFNA(IF(AE452 &lt; (INDEX(SLATable[Minimum SLA],MATCH(G452,SLATable[Priority],0))),"YES","NO"),"")</f>
        <v/>
      </c>
      <c r="AJ452" t="str">
        <f>_xlfn.IFNA(IF(AE452 &lt; (INDEX(SLATable[Maximum SLA],MATCH(G452,SLATable[Priority],0))),"YES","NO"),"")</f>
        <v/>
      </c>
    </row>
    <row r="453" spans="26:36" ht="15" customHeight="1">
      <c r="Z453" s="76" t="e">
        <f t="shared" ca="1" si="52"/>
        <v>#N/A</v>
      </c>
      <c r="AA453" s="75" t="e">
        <f t="shared" ca="1" si="48"/>
        <v>#N/A</v>
      </c>
      <c r="AB453" s="76">
        <f t="shared" ca="1" si="53"/>
        <v>0</v>
      </c>
      <c r="AC453" s="75">
        <f t="shared" ca="1" si="49"/>
        <v>0</v>
      </c>
      <c r="AD453" s="76">
        <f t="shared" ca="1" si="54"/>
        <v>12388.425641782411</v>
      </c>
      <c r="AE453" s="76">
        <f t="shared" si="55"/>
        <v>0</v>
      </c>
      <c r="AF453" s="75">
        <f t="shared" si="50"/>
        <v>0</v>
      </c>
      <c r="AG453" s="75">
        <f t="shared" si="51"/>
        <v>0</v>
      </c>
      <c r="AH453" s="31" t="e" cm="1">
        <f t="array" aca="1" ref="AH453" ca="1">IF((AD453) &lt; (INDEX(ResponseSLA[#All],(MATCH((G453),ResponseSLA[Priority],0))+1,3)),"YES","No")</f>
        <v>#N/A</v>
      </c>
      <c r="AI453" s="31" t="str">
        <f>_xlfn.IFNA(IF(AE453 &lt; (INDEX(SLATable[Minimum SLA],MATCH(G453,SLATable[Priority],0))),"YES","NO"),"")</f>
        <v/>
      </c>
      <c r="AJ453" t="str">
        <f>_xlfn.IFNA(IF(AE453 &lt; (INDEX(SLATable[Maximum SLA],MATCH(G453,SLATable[Priority],0))),"YES","NO"),"")</f>
        <v/>
      </c>
    </row>
    <row r="454" spans="26:36" ht="15" customHeight="1">
      <c r="Z454" s="76" t="e">
        <f t="shared" ca="1" si="52"/>
        <v>#N/A</v>
      </c>
      <c r="AA454" s="75" t="e">
        <f t="shared" ca="1" si="48"/>
        <v>#N/A</v>
      </c>
      <c r="AB454" s="76">
        <f t="shared" ca="1" si="53"/>
        <v>0</v>
      </c>
      <c r="AC454" s="75">
        <f t="shared" ca="1" si="49"/>
        <v>0</v>
      </c>
      <c r="AD454" s="76">
        <f t="shared" ca="1" si="54"/>
        <v>12388.425641782411</v>
      </c>
      <c r="AE454" s="76">
        <f t="shared" si="55"/>
        <v>0</v>
      </c>
      <c r="AF454" s="75">
        <f t="shared" si="50"/>
        <v>0</v>
      </c>
      <c r="AG454" s="75">
        <f t="shared" si="51"/>
        <v>0</v>
      </c>
      <c r="AH454" s="31" t="e" cm="1">
        <f t="array" aca="1" ref="AH454" ca="1">IF((AD454) &lt; (INDEX(ResponseSLA[#All],(MATCH((G454),ResponseSLA[Priority],0))+1,3)),"YES","No")</f>
        <v>#N/A</v>
      </c>
      <c r="AI454" s="31" t="str">
        <f>_xlfn.IFNA(IF(AE454 &lt; (INDEX(SLATable[Minimum SLA],MATCH(G454,SLATable[Priority],0))),"YES","NO"),"")</f>
        <v/>
      </c>
      <c r="AJ454" t="str">
        <f>_xlfn.IFNA(IF(AE454 &lt; (INDEX(SLATable[Maximum SLA],MATCH(G454,SLATable[Priority],0))),"YES","NO"),"")</f>
        <v/>
      </c>
    </row>
    <row r="455" spans="26:36" ht="15" customHeight="1">
      <c r="Z455" s="76" t="e">
        <f t="shared" ca="1" si="52"/>
        <v>#N/A</v>
      </c>
      <c r="AA455" s="75" t="e">
        <f t="shared" ca="1" si="48"/>
        <v>#N/A</v>
      </c>
      <c r="AB455" s="76">
        <f t="shared" ca="1" si="53"/>
        <v>0</v>
      </c>
      <c r="AC455" s="75">
        <f t="shared" ca="1" si="49"/>
        <v>0</v>
      </c>
      <c r="AD455" s="76">
        <f t="shared" ca="1" si="54"/>
        <v>12388.425641782411</v>
      </c>
      <c r="AE455" s="76">
        <f t="shared" si="55"/>
        <v>0</v>
      </c>
      <c r="AF455" s="75">
        <f t="shared" si="50"/>
        <v>0</v>
      </c>
      <c r="AG455" s="75">
        <f t="shared" si="51"/>
        <v>0</v>
      </c>
      <c r="AH455" s="31" t="e" cm="1">
        <f t="array" aca="1" ref="AH455" ca="1">IF((AD455) &lt; (INDEX(ResponseSLA[#All],(MATCH((G455),ResponseSLA[Priority],0))+1,3)),"YES","No")</f>
        <v>#N/A</v>
      </c>
      <c r="AI455" s="31" t="str">
        <f>_xlfn.IFNA(IF(AE455 &lt; (INDEX(SLATable[Minimum SLA],MATCH(G455,SLATable[Priority],0))),"YES","NO"),"")</f>
        <v/>
      </c>
      <c r="AJ455" t="str">
        <f>_xlfn.IFNA(IF(AE455 &lt; (INDEX(SLATable[Maximum SLA],MATCH(G455,SLATable[Priority],0))),"YES","NO"),"")</f>
        <v/>
      </c>
    </row>
    <row r="456" spans="26:36" ht="15" customHeight="1">
      <c r="Z456" s="76" t="e">
        <f t="shared" ca="1" si="52"/>
        <v>#N/A</v>
      </c>
      <c r="AA456" s="75" t="e">
        <f t="shared" ca="1" si="48"/>
        <v>#N/A</v>
      </c>
      <c r="AB456" s="76">
        <f t="shared" ca="1" si="53"/>
        <v>0</v>
      </c>
      <c r="AC456" s="75">
        <f t="shared" ca="1" si="49"/>
        <v>0</v>
      </c>
      <c r="AD456" s="76">
        <f t="shared" ca="1" si="54"/>
        <v>12388.425641782411</v>
      </c>
      <c r="AE456" s="76">
        <f t="shared" si="55"/>
        <v>0</v>
      </c>
      <c r="AF456" s="75">
        <f t="shared" si="50"/>
        <v>0</v>
      </c>
      <c r="AG456" s="75">
        <f t="shared" si="51"/>
        <v>0</v>
      </c>
      <c r="AH456" s="31" t="e" cm="1">
        <f t="array" aca="1" ref="AH456" ca="1">IF((AD456) &lt; (INDEX(ResponseSLA[#All],(MATCH((G456),ResponseSLA[Priority],0))+1,3)),"YES","No")</f>
        <v>#N/A</v>
      </c>
      <c r="AI456" s="31" t="str">
        <f>_xlfn.IFNA(IF(AE456 &lt; (INDEX(SLATable[Minimum SLA],MATCH(G456,SLATable[Priority],0))),"YES","NO"),"")</f>
        <v/>
      </c>
      <c r="AJ456" t="str">
        <f>_xlfn.IFNA(IF(AE456 &lt; (INDEX(SLATable[Maximum SLA],MATCH(G456,SLATable[Priority],0))),"YES","NO"),"")</f>
        <v/>
      </c>
    </row>
    <row r="457" spans="26:36" ht="15" customHeight="1">
      <c r="Z457" s="76" t="e">
        <f t="shared" ca="1" si="52"/>
        <v>#N/A</v>
      </c>
      <c r="AA457" s="75" t="e">
        <f t="shared" ca="1" si="48"/>
        <v>#N/A</v>
      </c>
      <c r="AB457" s="76">
        <f t="shared" ca="1" si="53"/>
        <v>0</v>
      </c>
      <c r="AC457" s="75">
        <f t="shared" ca="1" si="49"/>
        <v>0</v>
      </c>
      <c r="AD457" s="76">
        <f t="shared" ca="1" si="54"/>
        <v>12388.425641782411</v>
      </c>
      <c r="AE457" s="76">
        <f t="shared" si="55"/>
        <v>0</v>
      </c>
      <c r="AF457" s="75">
        <f t="shared" si="50"/>
        <v>0</v>
      </c>
      <c r="AG457" s="75">
        <f t="shared" si="51"/>
        <v>0</v>
      </c>
      <c r="AH457" s="31" t="e" cm="1">
        <f t="array" aca="1" ref="AH457" ca="1">IF((AD457) &lt; (INDEX(ResponseSLA[#All],(MATCH((G457),ResponseSLA[Priority],0))+1,3)),"YES","No")</f>
        <v>#N/A</v>
      </c>
      <c r="AI457" s="31" t="str">
        <f>_xlfn.IFNA(IF(AE457 &lt; (INDEX(SLATable[Minimum SLA],MATCH(G457,SLATable[Priority],0))),"YES","NO"),"")</f>
        <v/>
      </c>
      <c r="AJ457" t="str">
        <f>_xlfn.IFNA(IF(AE457 &lt; (INDEX(SLATable[Maximum SLA],MATCH(G457,SLATable[Priority],0))),"YES","NO"),"")</f>
        <v/>
      </c>
    </row>
    <row r="458" spans="26:36" ht="15" customHeight="1">
      <c r="Z458" s="76" t="e">
        <f t="shared" ca="1" si="52"/>
        <v>#N/A</v>
      </c>
      <c r="AA458" s="75" t="e">
        <f t="shared" ca="1" si="48"/>
        <v>#N/A</v>
      </c>
      <c r="AB458" s="76">
        <f t="shared" ca="1" si="53"/>
        <v>0</v>
      </c>
      <c r="AC458" s="75">
        <f t="shared" ca="1" si="49"/>
        <v>0</v>
      </c>
      <c r="AD458" s="76">
        <f t="shared" ca="1" si="54"/>
        <v>12388.425641782411</v>
      </c>
      <c r="AE458" s="76">
        <f t="shared" si="55"/>
        <v>0</v>
      </c>
      <c r="AF458" s="75">
        <f t="shared" si="50"/>
        <v>0</v>
      </c>
      <c r="AG458" s="75">
        <f t="shared" si="51"/>
        <v>0</v>
      </c>
      <c r="AH458" s="31" t="e" cm="1">
        <f t="array" aca="1" ref="AH458" ca="1">IF((AD458) &lt; (INDEX(ResponseSLA[#All],(MATCH((G458),ResponseSLA[Priority],0))+1,3)),"YES","No")</f>
        <v>#N/A</v>
      </c>
      <c r="AI458" s="31" t="str">
        <f>_xlfn.IFNA(IF(AE458 &lt; (INDEX(SLATable[Minimum SLA],MATCH(G458,SLATable[Priority],0))),"YES","NO"),"")</f>
        <v/>
      </c>
      <c r="AJ458" t="str">
        <f>_xlfn.IFNA(IF(AE458 &lt; (INDEX(SLATable[Maximum SLA],MATCH(G458,SLATable[Priority],0))),"YES","NO"),"")</f>
        <v/>
      </c>
    </row>
    <row r="459" spans="26:36" ht="15" customHeight="1">
      <c r="Z459" s="76" t="e">
        <f t="shared" ca="1" si="52"/>
        <v>#N/A</v>
      </c>
      <c r="AA459" s="75" t="e">
        <f t="shared" ca="1" si="48"/>
        <v>#N/A</v>
      </c>
      <c r="AB459" s="76">
        <f t="shared" ca="1" si="53"/>
        <v>0</v>
      </c>
      <c r="AC459" s="75">
        <f t="shared" ca="1" si="49"/>
        <v>0</v>
      </c>
      <c r="AD459" s="76">
        <f t="shared" ca="1" si="54"/>
        <v>12388.425641782411</v>
      </c>
      <c r="AE459" s="76">
        <f t="shared" si="55"/>
        <v>0</v>
      </c>
      <c r="AF459" s="75">
        <f t="shared" si="50"/>
        <v>0</v>
      </c>
      <c r="AG459" s="75">
        <f t="shared" si="51"/>
        <v>0</v>
      </c>
      <c r="AH459" s="31" t="e" cm="1">
        <f t="array" aca="1" ref="AH459" ca="1">IF((AD459) &lt; (INDEX(ResponseSLA[#All],(MATCH((G459),ResponseSLA[Priority],0))+1,3)),"YES","No")</f>
        <v>#N/A</v>
      </c>
      <c r="AI459" s="31" t="str">
        <f>_xlfn.IFNA(IF(AE459 &lt; (INDEX(SLATable[Minimum SLA],MATCH(G459,SLATable[Priority],0))),"YES","NO"),"")</f>
        <v/>
      </c>
      <c r="AJ459" t="str">
        <f>_xlfn.IFNA(IF(AE459 &lt; (INDEX(SLATable[Maximum SLA],MATCH(G459,SLATable[Priority],0))),"YES","NO"),"")</f>
        <v/>
      </c>
    </row>
    <row r="460" spans="26:36" ht="15" customHeight="1">
      <c r="Z460" s="76" t="e">
        <f t="shared" ca="1" si="52"/>
        <v>#N/A</v>
      </c>
      <c r="AA460" s="75" t="e">
        <f t="shared" ca="1" si="48"/>
        <v>#N/A</v>
      </c>
      <c r="AB460" s="76">
        <f t="shared" ca="1" si="53"/>
        <v>0</v>
      </c>
      <c r="AC460" s="75">
        <f t="shared" ca="1" si="49"/>
        <v>0</v>
      </c>
      <c r="AD460" s="76">
        <f t="shared" ca="1" si="54"/>
        <v>12388.425641782411</v>
      </c>
      <c r="AE460" s="76">
        <f t="shared" si="55"/>
        <v>0</v>
      </c>
      <c r="AF460" s="75">
        <f t="shared" si="50"/>
        <v>0</v>
      </c>
      <c r="AG460" s="75">
        <f t="shared" si="51"/>
        <v>0</v>
      </c>
      <c r="AH460" s="31" t="e" cm="1">
        <f t="array" aca="1" ref="AH460" ca="1">IF((AD460) &lt; (INDEX(ResponseSLA[#All],(MATCH((G460),ResponseSLA[Priority],0))+1,3)),"YES","No")</f>
        <v>#N/A</v>
      </c>
      <c r="AI460" s="31" t="str">
        <f>_xlfn.IFNA(IF(AE460 &lt; (INDEX(SLATable[Minimum SLA],MATCH(G460,SLATable[Priority],0))),"YES","NO"),"")</f>
        <v/>
      </c>
      <c r="AJ460" t="str">
        <f>_xlfn.IFNA(IF(AE460 &lt; (INDEX(SLATable[Maximum SLA],MATCH(G460,SLATable[Priority],0))),"YES","NO"),"")</f>
        <v/>
      </c>
    </row>
    <row r="461" spans="26:36" ht="15" customHeight="1">
      <c r="Z461" s="76" t="e">
        <f t="shared" ca="1" si="52"/>
        <v>#N/A</v>
      </c>
      <c r="AA461" s="75" t="e">
        <f t="shared" ca="1" si="48"/>
        <v>#N/A</v>
      </c>
      <c r="AB461" s="76">
        <f t="shared" ca="1" si="53"/>
        <v>0</v>
      </c>
      <c r="AC461" s="75">
        <f t="shared" ca="1" si="49"/>
        <v>0</v>
      </c>
      <c r="AD461" s="76">
        <f t="shared" ca="1" si="54"/>
        <v>12388.425641782411</v>
      </c>
      <c r="AE461" s="76">
        <f t="shared" si="55"/>
        <v>0</v>
      </c>
      <c r="AF461" s="75">
        <f t="shared" si="50"/>
        <v>0</v>
      </c>
      <c r="AG461" s="75">
        <f t="shared" si="51"/>
        <v>0</v>
      </c>
      <c r="AH461" s="31" t="e" cm="1">
        <f t="array" aca="1" ref="AH461" ca="1">IF((AD461) &lt; (INDEX(ResponseSLA[#All],(MATCH((G461),ResponseSLA[Priority],0))+1,3)),"YES","No")</f>
        <v>#N/A</v>
      </c>
      <c r="AI461" s="31" t="str">
        <f>_xlfn.IFNA(IF(AE461 &lt; (INDEX(SLATable[Minimum SLA],MATCH(G461,SLATable[Priority],0))),"YES","NO"),"")</f>
        <v/>
      </c>
      <c r="AJ461" t="str">
        <f>_xlfn.IFNA(IF(AE461 &lt; (INDEX(SLATable[Maximum SLA],MATCH(G461,SLATable[Priority],0))),"YES","NO"),"")</f>
        <v/>
      </c>
    </row>
    <row r="462" spans="26:36" ht="15" customHeight="1">
      <c r="Z462" s="76" t="e">
        <f t="shared" ca="1" si="52"/>
        <v>#N/A</v>
      </c>
      <c r="AA462" s="75" t="e">
        <f t="shared" ca="1" si="48"/>
        <v>#N/A</v>
      </c>
      <c r="AB462" s="76">
        <f t="shared" ca="1" si="53"/>
        <v>0</v>
      </c>
      <c r="AC462" s="75">
        <f t="shared" ca="1" si="49"/>
        <v>0</v>
      </c>
      <c r="AD462" s="76">
        <f t="shared" ca="1" si="54"/>
        <v>12388.425641782411</v>
      </c>
      <c r="AE462" s="76">
        <f t="shared" si="55"/>
        <v>0</v>
      </c>
      <c r="AF462" s="75">
        <f t="shared" si="50"/>
        <v>0</v>
      </c>
      <c r="AG462" s="75">
        <f t="shared" si="51"/>
        <v>0</v>
      </c>
      <c r="AH462" s="31" t="e" cm="1">
        <f t="array" aca="1" ref="AH462" ca="1">IF((AD462) &lt; (INDEX(ResponseSLA[#All],(MATCH((G462),ResponseSLA[Priority],0))+1,3)),"YES","No")</f>
        <v>#N/A</v>
      </c>
      <c r="AI462" s="31" t="str">
        <f>_xlfn.IFNA(IF(AE462 &lt; (INDEX(SLATable[Minimum SLA],MATCH(G462,SLATable[Priority],0))),"YES","NO"),"")</f>
        <v/>
      </c>
      <c r="AJ462" t="str">
        <f>_xlfn.IFNA(IF(AE462 &lt; (INDEX(SLATable[Maximum SLA],MATCH(G462,SLATable[Priority],0))),"YES","NO"),"")</f>
        <v/>
      </c>
    </row>
    <row r="463" spans="26:36" ht="15" customHeight="1">
      <c r="Z463" s="76" t="e">
        <f t="shared" ca="1" si="52"/>
        <v>#N/A</v>
      </c>
      <c r="AA463" s="75" t="e">
        <f t="shared" ca="1" si="48"/>
        <v>#N/A</v>
      </c>
      <c r="AB463" s="76">
        <f t="shared" ca="1" si="53"/>
        <v>0</v>
      </c>
      <c r="AC463" s="75">
        <f t="shared" ca="1" si="49"/>
        <v>0</v>
      </c>
      <c r="AD463" s="76">
        <f t="shared" ca="1" si="54"/>
        <v>12388.425641782411</v>
      </c>
      <c r="AE463" s="76">
        <f t="shared" si="55"/>
        <v>0</v>
      </c>
      <c r="AF463" s="75">
        <f t="shared" si="50"/>
        <v>0</v>
      </c>
      <c r="AG463" s="75">
        <f t="shared" si="51"/>
        <v>0</v>
      </c>
      <c r="AH463" s="31" t="e" cm="1">
        <f t="array" aca="1" ref="AH463" ca="1">IF((AD463) &lt; (INDEX(ResponseSLA[#All],(MATCH((G463),ResponseSLA[Priority],0))+1,3)),"YES","No")</f>
        <v>#N/A</v>
      </c>
      <c r="AI463" s="31" t="str">
        <f>_xlfn.IFNA(IF(AE463 &lt; (INDEX(SLATable[Minimum SLA],MATCH(G463,SLATable[Priority],0))),"YES","NO"),"")</f>
        <v/>
      </c>
      <c r="AJ463" t="str">
        <f>_xlfn.IFNA(IF(AE463 &lt; (INDEX(SLATable[Maximum SLA],MATCH(G463,SLATable[Priority],0))),"YES","NO"),"")</f>
        <v/>
      </c>
    </row>
    <row r="464" spans="26:36" ht="15" customHeight="1">
      <c r="Z464" s="76" t="e">
        <f t="shared" ca="1" si="52"/>
        <v>#N/A</v>
      </c>
      <c r="AA464" s="75" t="e">
        <f t="shared" ca="1" si="48"/>
        <v>#N/A</v>
      </c>
      <c r="AB464" s="76">
        <f t="shared" ca="1" si="53"/>
        <v>0</v>
      </c>
      <c r="AC464" s="75">
        <f t="shared" ca="1" si="49"/>
        <v>0</v>
      </c>
      <c r="AD464" s="76">
        <f t="shared" ca="1" si="54"/>
        <v>12388.425641782411</v>
      </c>
      <c r="AE464" s="76">
        <f t="shared" si="55"/>
        <v>0</v>
      </c>
      <c r="AF464" s="75">
        <f t="shared" si="50"/>
        <v>0</v>
      </c>
      <c r="AG464" s="75">
        <f t="shared" si="51"/>
        <v>0</v>
      </c>
      <c r="AH464" s="31" t="e" cm="1">
        <f t="array" aca="1" ref="AH464" ca="1">IF((AD464) &lt; (INDEX(ResponseSLA[#All],(MATCH((G464),ResponseSLA[Priority],0))+1,3)),"YES","No")</f>
        <v>#N/A</v>
      </c>
      <c r="AI464" s="31" t="str">
        <f>_xlfn.IFNA(IF(AE464 &lt; (INDEX(SLATable[Minimum SLA],MATCH(G464,SLATable[Priority],0))),"YES","NO"),"")</f>
        <v/>
      </c>
      <c r="AJ464" t="str">
        <f>_xlfn.IFNA(IF(AE464 &lt; (INDEX(SLATable[Maximum SLA],MATCH(G464,SLATable[Priority],0))),"YES","NO"),"")</f>
        <v/>
      </c>
    </row>
    <row r="465" spans="26:36" ht="15" customHeight="1">
      <c r="Z465" s="76" t="e">
        <f t="shared" ca="1" si="52"/>
        <v>#N/A</v>
      </c>
      <c r="AA465" s="75" t="e">
        <f t="shared" ca="1" si="48"/>
        <v>#N/A</v>
      </c>
      <c r="AB465" s="76">
        <f t="shared" ca="1" si="53"/>
        <v>0</v>
      </c>
      <c r="AC465" s="75">
        <f t="shared" ca="1" si="49"/>
        <v>0</v>
      </c>
      <c r="AD465" s="76">
        <f t="shared" ca="1" si="54"/>
        <v>12388.425641782411</v>
      </c>
      <c r="AE465" s="76">
        <f t="shared" si="55"/>
        <v>0</v>
      </c>
      <c r="AF465" s="75">
        <f t="shared" si="50"/>
        <v>0</v>
      </c>
      <c r="AG465" s="75">
        <f t="shared" si="51"/>
        <v>0</v>
      </c>
      <c r="AH465" s="31" t="e" cm="1">
        <f t="array" aca="1" ref="AH465" ca="1">IF((AD465) &lt; (INDEX(ResponseSLA[#All],(MATCH((G465),ResponseSLA[Priority],0))+1,3)),"YES","No")</f>
        <v>#N/A</v>
      </c>
      <c r="AI465" s="31" t="str">
        <f>_xlfn.IFNA(IF(AE465 &lt; (INDEX(SLATable[Minimum SLA],MATCH(G465,SLATable[Priority],0))),"YES","NO"),"")</f>
        <v/>
      </c>
      <c r="AJ465" t="str">
        <f>_xlfn.IFNA(IF(AE465 &lt; (INDEX(SLATable[Maximum SLA],MATCH(G465,SLATable[Priority],0))),"YES","NO"),"")</f>
        <v/>
      </c>
    </row>
    <row r="466" spans="26:36" ht="15" customHeight="1">
      <c r="Z466" s="76" t="e">
        <f t="shared" ca="1" si="52"/>
        <v>#N/A</v>
      </c>
      <c r="AA466" s="75" t="e">
        <f t="shared" ca="1" si="48"/>
        <v>#N/A</v>
      </c>
      <c r="AB466" s="76">
        <f t="shared" ca="1" si="53"/>
        <v>0</v>
      </c>
      <c r="AC466" s="75">
        <f t="shared" ca="1" si="49"/>
        <v>0</v>
      </c>
      <c r="AD466" s="76">
        <f t="shared" ca="1" si="54"/>
        <v>12388.425641782411</v>
      </c>
      <c r="AE466" s="76">
        <f t="shared" si="55"/>
        <v>0</v>
      </c>
      <c r="AF466" s="75">
        <f t="shared" si="50"/>
        <v>0</v>
      </c>
      <c r="AG466" s="75">
        <f t="shared" si="51"/>
        <v>0</v>
      </c>
      <c r="AH466" s="31" t="e" cm="1">
        <f t="array" aca="1" ref="AH466" ca="1">IF((AD466) &lt; (INDEX(ResponseSLA[#All],(MATCH((G466),ResponseSLA[Priority],0))+1,3)),"YES","No")</f>
        <v>#N/A</v>
      </c>
      <c r="AI466" s="31" t="str">
        <f>_xlfn.IFNA(IF(AE466 &lt; (INDEX(SLATable[Minimum SLA],MATCH(G466,SLATable[Priority],0))),"YES","NO"),"")</f>
        <v/>
      </c>
      <c r="AJ466" t="str">
        <f>_xlfn.IFNA(IF(AE466 &lt; (INDEX(SLATable[Maximum SLA],MATCH(G466,SLATable[Priority],0))),"YES","NO"),"")</f>
        <v/>
      </c>
    </row>
    <row r="467" spans="26:36" ht="15" customHeight="1">
      <c r="Z467" s="76" t="e">
        <f t="shared" ca="1" si="52"/>
        <v>#N/A</v>
      </c>
      <c r="AA467" s="75" t="e">
        <f t="shared" ca="1" si="48"/>
        <v>#N/A</v>
      </c>
      <c r="AB467" s="76">
        <f t="shared" ca="1" si="53"/>
        <v>0</v>
      </c>
      <c r="AC467" s="75">
        <f t="shared" ca="1" si="49"/>
        <v>0</v>
      </c>
      <c r="AD467" s="76">
        <f t="shared" ca="1" si="54"/>
        <v>12388.425641782411</v>
      </c>
      <c r="AE467" s="76">
        <f t="shared" si="55"/>
        <v>0</v>
      </c>
      <c r="AF467" s="75">
        <f t="shared" si="50"/>
        <v>0</v>
      </c>
      <c r="AG467" s="75">
        <f t="shared" si="51"/>
        <v>0</v>
      </c>
      <c r="AH467" s="31" t="e" cm="1">
        <f t="array" aca="1" ref="AH467" ca="1">IF((AD467) &lt; (INDEX(ResponseSLA[#All],(MATCH((G467),ResponseSLA[Priority],0))+1,3)),"YES","No")</f>
        <v>#N/A</v>
      </c>
      <c r="AI467" s="31" t="str">
        <f>_xlfn.IFNA(IF(AE467 &lt; (INDEX(SLATable[Minimum SLA],MATCH(G467,SLATable[Priority],0))),"YES","NO"),"")</f>
        <v/>
      </c>
      <c r="AJ467" t="str">
        <f>_xlfn.IFNA(IF(AE467 &lt; (INDEX(SLATable[Maximum SLA],MATCH(G467,SLATable[Priority],0))),"YES","NO"),"")</f>
        <v/>
      </c>
    </row>
    <row r="468" spans="26:36" ht="15" customHeight="1">
      <c r="Z468" s="76" t="e">
        <f t="shared" ca="1" si="52"/>
        <v>#N/A</v>
      </c>
      <c r="AA468" s="75" t="e">
        <f t="shared" ca="1" si="48"/>
        <v>#N/A</v>
      </c>
      <c r="AB468" s="76">
        <f t="shared" ca="1" si="53"/>
        <v>0</v>
      </c>
      <c r="AC468" s="75">
        <f t="shared" ca="1" si="49"/>
        <v>0</v>
      </c>
      <c r="AD468" s="76">
        <f t="shared" ca="1" si="54"/>
        <v>12388.425641782411</v>
      </c>
      <c r="AE468" s="76">
        <f t="shared" si="55"/>
        <v>0</v>
      </c>
      <c r="AF468" s="75">
        <f t="shared" si="50"/>
        <v>0</v>
      </c>
      <c r="AG468" s="75">
        <f t="shared" si="51"/>
        <v>0</v>
      </c>
      <c r="AH468" s="31" t="e" cm="1">
        <f t="array" aca="1" ref="AH468" ca="1">IF((AD468) &lt; (INDEX(ResponseSLA[#All],(MATCH((G468),ResponseSLA[Priority],0))+1,3)),"YES","No")</f>
        <v>#N/A</v>
      </c>
      <c r="AI468" s="31" t="str">
        <f>_xlfn.IFNA(IF(AE468 &lt; (INDEX(SLATable[Minimum SLA],MATCH(G468,SLATable[Priority],0))),"YES","NO"),"")</f>
        <v/>
      </c>
      <c r="AJ468" t="str">
        <f>_xlfn.IFNA(IF(AE468 &lt; (INDEX(SLATable[Maximum SLA],MATCH(G468,SLATable[Priority],0))),"YES","NO"),"")</f>
        <v/>
      </c>
    </row>
    <row r="469" spans="26:36" ht="15" customHeight="1">
      <c r="Z469" s="76" t="e">
        <f t="shared" ca="1" si="52"/>
        <v>#N/A</v>
      </c>
      <c r="AA469" s="75" t="e">
        <f t="shared" ca="1" si="48"/>
        <v>#N/A</v>
      </c>
      <c r="AB469" s="76">
        <f t="shared" ca="1" si="53"/>
        <v>0</v>
      </c>
      <c r="AC469" s="75">
        <f t="shared" ca="1" si="49"/>
        <v>0</v>
      </c>
      <c r="AD469" s="76">
        <f t="shared" ca="1" si="54"/>
        <v>12388.425641782411</v>
      </c>
      <c r="AE469" s="76">
        <f t="shared" si="55"/>
        <v>0</v>
      </c>
      <c r="AF469" s="75">
        <f t="shared" si="50"/>
        <v>0</v>
      </c>
      <c r="AG469" s="75">
        <f t="shared" si="51"/>
        <v>0</v>
      </c>
      <c r="AH469" s="31" t="e" cm="1">
        <f t="array" aca="1" ref="AH469" ca="1">IF((AD469) &lt; (INDEX(ResponseSLA[#All],(MATCH((G469),ResponseSLA[Priority],0))+1,3)),"YES","No")</f>
        <v>#N/A</v>
      </c>
      <c r="AI469" s="31" t="str">
        <f>_xlfn.IFNA(IF(AE469 &lt; (INDEX(SLATable[Minimum SLA],MATCH(G469,SLATable[Priority],0))),"YES","NO"),"")</f>
        <v/>
      </c>
      <c r="AJ469" t="str">
        <f>_xlfn.IFNA(IF(AE469 &lt; (INDEX(SLATable[Maximum SLA],MATCH(G469,SLATable[Priority],0))),"YES","NO"),"")</f>
        <v/>
      </c>
    </row>
    <row r="470" spans="26:36" ht="15" customHeight="1">
      <c r="Z470" s="76" t="e">
        <f t="shared" ca="1" si="52"/>
        <v>#N/A</v>
      </c>
      <c r="AA470" s="75" t="e">
        <f t="shared" ca="1" si="48"/>
        <v>#N/A</v>
      </c>
      <c r="AB470" s="76">
        <f t="shared" ca="1" si="53"/>
        <v>0</v>
      </c>
      <c r="AC470" s="75">
        <f t="shared" ca="1" si="49"/>
        <v>0</v>
      </c>
      <c r="AD470" s="76">
        <f t="shared" ca="1" si="54"/>
        <v>12388.425641782411</v>
      </c>
      <c r="AE470" s="76">
        <f t="shared" si="55"/>
        <v>0</v>
      </c>
      <c r="AF470" s="75">
        <f t="shared" si="50"/>
        <v>0</v>
      </c>
      <c r="AG470" s="75">
        <f t="shared" si="51"/>
        <v>0</v>
      </c>
      <c r="AH470" s="31" t="e" cm="1">
        <f t="array" aca="1" ref="AH470" ca="1">IF((AD470) &lt; (INDEX(ResponseSLA[#All],(MATCH((G470),ResponseSLA[Priority],0))+1,3)),"YES","No")</f>
        <v>#N/A</v>
      </c>
      <c r="AI470" s="31" t="str">
        <f>_xlfn.IFNA(IF(AE470 &lt; (INDEX(SLATable[Minimum SLA],MATCH(G470,SLATable[Priority],0))),"YES","NO"),"")</f>
        <v/>
      </c>
      <c r="AJ470" t="str">
        <f>_xlfn.IFNA(IF(AE470 &lt; (INDEX(SLATable[Maximum SLA],MATCH(G470,SLATable[Priority],0))),"YES","NO"),"")</f>
        <v/>
      </c>
    </row>
    <row r="471" spans="26:36" ht="15" customHeight="1">
      <c r="Z471" s="76" t="e">
        <f t="shared" ca="1" si="52"/>
        <v>#N/A</v>
      </c>
      <c r="AA471" s="75" t="e">
        <f t="shared" ca="1" si="48"/>
        <v>#N/A</v>
      </c>
      <c r="AB471" s="76">
        <f t="shared" ca="1" si="53"/>
        <v>0</v>
      </c>
      <c r="AC471" s="75">
        <f t="shared" ca="1" si="49"/>
        <v>0</v>
      </c>
      <c r="AD471" s="76">
        <f t="shared" ca="1" si="54"/>
        <v>12388.425641782411</v>
      </c>
      <c r="AE471" s="76">
        <f t="shared" si="55"/>
        <v>0</v>
      </c>
      <c r="AF471" s="75">
        <f t="shared" si="50"/>
        <v>0</v>
      </c>
      <c r="AG471" s="75">
        <f t="shared" si="51"/>
        <v>0</v>
      </c>
      <c r="AH471" s="31" t="e" cm="1">
        <f t="array" aca="1" ref="AH471" ca="1">IF((AD471) &lt; (INDEX(ResponseSLA[#All],(MATCH((G471),ResponseSLA[Priority],0))+1,3)),"YES","No")</f>
        <v>#N/A</v>
      </c>
      <c r="AI471" s="31" t="str">
        <f>_xlfn.IFNA(IF(AE471 &lt; (INDEX(SLATable[Minimum SLA],MATCH(G471,SLATable[Priority],0))),"YES","NO"),"")</f>
        <v/>
      </c>
      <c r="AJ471" t="str">
        <f>_xlfn.IFNA(IF(AE471 &lt; (INDEX(SLATable[Maximum SLA],MATCH(G471,SLATable[Priority],0))),"YES","NO"),"")</f>
        <v/>
      </c>
    </row>
    <row r="472" spans="26:36" ht="15" customHeight="1">
      <c r="Z472" s="76" t="e">
        <f t="shared" ca="1" si="52"/>
        <v>#N/A</v>
      </c>
      <c r="AA472" s="75" t="e">
        <f t="shared" ca="1" si="48"/>
        <v>#N/A</v>
      </c>
      <c r="AB472" s="76">
        <f t="shared" ca="1" si="53"/>
        <v>0</v>
      </c>
      <c r="AC472" s="75">
        <f t="shared" ca="1" si="49"/>
        <v>0</v>
      </c>
      <c r="AD472" s="76">
        <f t="shared" ca="1" si="54"/>
        <v>12388.425641782411</v>
      </c>
      <c r="AE472" s="76">
        <f t="shared" si="55"/>
        <v>0</v>
      </c>
      <c r="AF472" s="75">
        <f t="shared" si="50"/>
        <v>0</v>
      </c>
      <c r="AG472" s="75">
        <f t="shared" si="51"/>
        <v>0</v>
      </c>
      <c r="AH472" s="31" t="e" cm="1">
        <f t="array" aca="1" ref="AH472" ca="1">IF((AD472) &lt; (INDEX(ResponseSLA[#All],(MATCH((G472),ResponseSLA[Priority],0))+1,3)),"YES","No")</f>
        <v>#N/A</v>
      </c>
      <c r="AI472" s="31" t="str">
        <f>_xlfn.IFNA(IF(AE472 &lt; (INDEX(SLATable[Minimum SLA],MATCH(G472,SLATable[Priority],0))),"YES","NO"),"")</f>
        <v/>
      </c>
      <c r="AJ472" t="str">
        <f>_xlfn.IFNA(IF(AE472 &lt; (INDEX(SLATable[Maximum SLA],MATCH(G472,SLATable[Priority],0))),"YES","NO"),"")</f>
        <v/>
      </c>
    </row>
    <row r="473" spans="26:36" ht="15" customHeight="1">
      <c r="Z473" s="76" t="e">
        <f t="shared" ca="1" si="52"/>
        <v>#N/A</v>
      </c>
      <c r="AA473" s="75" t="e">
        <f t="shared" ca="1" si="48"/>
        <v>#N/A</v>
      </c>
      <c r="AB473" s="76">
        <f t="shared" ca="1" si="53"/>
        <v>0</v>
      </c>
      <c r="AC473" s="75">
        <f t="shared" ca="1" si="49"/>
        <v>0</v>
      </c>
      <c r="AD473" s="76">
        <f t="shared" ca="1" si="54"/>
        <v>12388.425641782411</v>
      </c>
      <c r="AE473" s="76">
        <f t="shared" si="55"/>
        <v>0</v>
      </c>
      <c r="AF473" s="75">
        <f t="shared" si="50"/>
        <v>0</v>
      </c>
      <c r="AG473" s="75">
        <f t="shared" si="51"/>
        <v>0</v>
      </c>
      <c r="AH473" s="31" t="e" cm="1">
        <f t="array" aca="1" ref="AH473" ca="1">IF((AD473) &lt; (INDEX(ResponseSLA[#All],(MATCH((G473),ResponseSLA[Priority],0))+1,3)),"YES","No")</f>
        <v>#N/A</v>
      </c>
      <c r="AI473" s="31" t="str">
        <f>_xlfn.IFNA(IF(AE473 &lt; (INDEX(SLATable[Minimum SLA],MATCH(G473,SLATable[Priority],0))),"YES","NO"),"")</f>
        <v/>
      </c>
      <c r="AJ473" t="str">
        <f>_xlfn.IFNA(IF(AE473 &lt; (INDEX(SLATable[Maximum SLA],MATCH(G473,SLATable[Priority],0))),"YES","NO"),"")</f>
        <v/>
      </c>
    </row>
    <row r="474" spans="26:36" ht="15" customHeight="1">
      <c r="Z474" s="76" t="e">
        <f t="shared" ca="1" si="52"/>
        <v>#N/A</v>
      </c>
      <c r="AA474" s="75" t="e">
        <f t="shared" ca="1" si="48"/>
        <v>#N/A</v>
      </c>
      <c r="AB474" s="76">
        <f t="shared" ca="1" si="53"/>
        <v>0</v>
      </c>
      <c r="AC474" s="75">
        <f t="shared" ca="1" si="49"/>
        <v>0</v>
      </c>
      <c r="AD474" s="76">
        <f t="shared" ca="1" si="54"/>
        <v>12388.425641782411</v>
      </c>
      <c r="AE474" s="76">
        <f t="shared" si="55"/>
        <v>0</v>
      </c>
      <c r="AF474" s="75">
        <f t="shared" si="50"/>
        <v>0</v>
      </c>
      <c r="AG474" s="75">
        <f t="shared" si="51"/>
        <v>0</v>
      </c>
      <c r="AH474" s="31" t="e" cm="1">
        <f t="array" aca="1" ref="AH474" ca="1">IF((AD474) &lt; (INDEX(ResponseSLA[#All],(MATCH((G474),ResponseSLA[Priority],0))+1,3)),"YES","No")</f>
        <v>#N/A</v>
      </c>
      <c r="AI474" s="31" t="str">
        <f>_xlfn.IFNA(IF(AE474 &lt; (INDEX(SLATable[Minimum SLA],MATCH(G474,SLATable[Priority],0))),"YES","NO"),"")</f>
        <v/>
      </c>
      <c r="AJ474" t="str">
        <f>_xlfn.IFNA(IF(AE474 &lt; (INDEX(SLATable[Maximum SLA],MATCH(G474,SLATable[Priority],0))),"YES","NO"),"")</f>
        <v/>
      </c>
    </row>
    <row r="475" spans="26:36" ht="15" customHeight="1">
      <c r="Z475" s="76" t="e">
        <f t="shared" ca="1" si="52"/>
        <v>#N/A</v>
      </c>
      <c r="AA475" s="75" t="e">
        <f t="shared" ca="1" si="48"/>
        <v>#N/A</v>
      </c>
      <c r="AB475" s="76">
        <f t="shared" ca="1" si="53"/>
        <v>0</v>
      </c>
      <c r="AC475" s="75">
        <f t="shared" ca="1" si="49"/>
        <v>0</v>
      </c>
      <c r="AD475" s="76">
        <f t="shared" ca="1" si="54"/>
        <v>12388.425641782411</v>
      </c>
      <c r="AE475" s="76">
        <f t="shared" si="55"/>
        <v>0</v>
      </c>
      <c r="AF475" s="75">
        <f t="shared" si="50"/>
        <v>0</v>
      </c>
      <c r="AG475" s="75">
        <f t="shared" si="51"/>
        <v>0</v>
      </c>
      <c r="AH475" s="31" t="e" cm="1">
        <f t="array" aca="1" ref="AH475" ca="1">IF((AD475) &lt; (INDEX(ResponseSLA[#All],(MATCH((G475),ResponseSLA[Priority],0))+1,3)),"YES","No")</f>
        <v>#N/A</v>
      </c>
      <c r="AI475" s="31" t="str">
        <f>_xlfn.IFNA(IF(AE475 &lt; (INDEX(SLATable[Minimum SLA],MATCH(G475,SLATable[Priority],0))),"YES","NO"),"")</f>
        <v/>
      </c>
      <c r="AJ475" t="str">
        <f>_xlfn.IFNA(IF(AE475 &lt; (INDEX(SLATable[Maximum SLA],MATCH(G475,SLATable[Priority],0))),"YES","NO"),"")</f>
        <v/>
      </c>
    </row>
    <row r="476" spans="26:36" ht="15" customHeight="1">
      <c r="Z476" s="76" t="e">
        <f t="shared" ca="1" si="52"/>
        <v>#N/A</v>
      </c>
      <c r="AA476" s="75" t="e">
        <f t="shared" ca="1" si="48"/>
        <v>#N/A</v>
      </c>
      <c r="AB476" s="76">
        <f t="shared" ca="1" si="53"/>
        <v>0</v>
      </c>
      <c r="AC476" s="75">
        <f t="shared" ca="1" si="49"/>
        <v>0</v>
      </c>
      <c r="AD476" s="76">
        <f t="shared" ca="1" si="54"/>
        <v>12388.425641782411</v>
      </c>
      <c r="AE476" s="76">
        <f t="shared" si="55"/>
        <v>0</v>
      </c>
      <c r="AF476" s="75">
        <f t="shared" si="50"/>
        <v>0</v>
      </c>
      <c r="AG476" s="75">
        <f t="shared" si="51"/>
        <v>0</v>
      </c>
      <c r="AH476" s="31" t="e" cm="1">
        <f t="array" aca="1" ref="AH476" ca="1">IF((AD476) &lt; (INDEX(ResponseSLA[#All],(MATCH((G476),ResponseSLA[Priority],0))+1,3)),"YES","No")</f>
        <v>#N/A</v>
      </c>
      <c r="AI476" s="31" t="str">
        <f>_xlfn.IFNA(IF(AE476 &lt; (INDEX(SLATable[Minimum SLA],MATCH(G476,SLATable[Priority],0))),"YES","NO"),"")</f>
        <v/>
      </c>
      <c r="AJ476" t="str">
        <f>_xlfn.IFNA(IF(AE476 &lt; (INDEX(SLATable[Maximum SLA],MATCH(G476,SLATable[Priority],0))),"YES","NO"),"")</f>
        <v/>
      </c>
    </row>
    <row r="477" spans="26:36" ht="15" customHeight="1">
      <c r="Z477" s="76" t="e">
        <f t="shared" ca="1" si="52"/>
        <v>#N/A</v>
      </c>
      <c r="AA477" s="75" t="e">
        <f t="shared" ca="1" si="48"/>
        <v>#N/A</v>
      </c>
      <c r="AB477" s="76">
        <f t="shared" ca="1" si="53"/>
        <v>0</v>
      </c>
      <c r="AC477" s="75">
        <f t="shared" ca="1" si="49"/>
        <v>0</v>
      </c>
      <c r="AD477" s="76">
        <f t="shared" ca="1" si="54"/>
        <v>12388.425641782411</v>
      </c>
      <c r="AE477" s="76">
        <f t="shared" si="55"/>
        <v>0</v>
      </c>
      <c r="AF477" s="75">
        <f t="shared" si="50"/>
        <v>0</v>
      </c>
      <c r="AG477" s="75">
        <f t="shared" si="51"/>
        <v>0</v>
      </c>
      <c r="AH477" s="31" t="e" cm="1">
        <f t="array" aca="1" ref="AH477" ca="1">IF((AD477) &lt; (INDEX(ResponseSLA[#All],(MATCH((G477),ResponseSLA[Priority],0))+1,3)),"YES","No")</f>
        <v>#N/A</v>
      </c>
      <c r="AI477" s="31" t="str">
        <f>_xlfn.IFNA(IF(AE477 &lt; (INDEX(SLATable[Minimum SLA],MATCH(G477,SLATable[Priority],0))),"YES","NO"),"")</f>
        <v/>
      </c>
      <c r="AJ477" t="str">
        <f>_xlfn.IFNA(IF(AE477 &lt; (INDEX(SLATable[Maximum SLA],MATCH(G477,SLATable[Priority],0))),"YES","NO"),"")</f>
        <v/>
      </c>
    </row>
    <row r="478" spans="26:36" ht="15" customHeight="1">
      <c r="Z478" s="76" t="e">
        <f t="shared" ca="1" si="52"/>
        <v>#N/A</v>
      </c>
      <c r="AA478" s="75" t="e">
        <f t="shared" ca="1" si="48"/>
        <v>#N/A</v>
      </c>
      <c r="AB478" s="76">
        <f t="shared" ca="1" si="53"/>
        <v>0</v>
      </c>
      <c r="AC478" s="75">
        <f t="shared" ca="1" si="49"/>
        <v>0</v>
      </c>
      <c r="AD478" s="76">
        <f t="shared" ca="1" si="54"/>
        <v>12388.425641782411</v>
      </c>
      <c r="AE478" s="76">
        <f t="shared" si="55"/>
        <v>0</v>
      </c>
      <c r="AF478" s="75">
        <f t="shared" si="50"/>
        <v>0</v>
      </c>
      <c r="AG478" s="75">
        <f t="shared" si="51"/>
        <v>0</v>
      </c>
      <c r="AH478" s="31" t="e" cm="1">
        <f t="array" aca="1" ref="AH478" ca="1">IF((AD478) &lt; (INDEX(ResponseSLA[#All],(MATCH((G478),ResponseSLA[Priority],0))+1,3)),"YES","No")</f>
        <v>#N/A</v>
      </c>
      <c r="AI478" s="31" t="str">
        <f>_xlfn.IFNA(IF(AE478 &lt; (INDEX(SLATable[Minimum SLA],MATCH(G478,SLATable[Priority],0))),"YES","NO"),"")</f>
        <v/>
      </c>
      <c r="AJ478" t="str">
        <f>_xlfn.IFNA(IF(AE478 &lt; (INDEX(SLATable[Maximum SLA],MATCH(G478,SLATable[Priority],0))),"YES","NO"),"")</f>
        <v/>
      </c>
    </row>
    <row r="479" spans="26:36" ht="15" customHeight="1">
      <c r="Z479" s="76" t="e">
        <f t="shared" ca="1" si="52"/>
        <v>#N/A</v>
      </c>
      <c r="AA479" s="75" t="e">
        <f t="shared" ca="1" si="48"/>
        <v>#N/A</v>
      </c>
      <c r="AB479" s="76">
        <f t="shared" ca="1" si="53"/>
        <v>0</v>
      </c>
      <c r="AC479" s="75">
        <f t="shared" ca="1" si="49"/>
        <v>0</v>
      </c>
      <c r="AD479" s="76">
        <f t="shared" ca="1" si="54"/>
        <v>12388.425641782411</v>
      </c>
      <c r="AE479" s="76">
        <f t="shared" si="55"/>
        <v>0</v>
      </c>
      <c r="AF479" s="75">
        <f t="shared" si="50"/>
        <v>0</v>
      </c>
      <c r="AG479" s="75">
        <f t="shared" si="51"/>
        <v>0</v>
      </c>
      <c r="AH479" s="31" t="e" cm="1">
        <f t="array" aca="1" ref="AH479" ca="1">IF((AD479) &lt; (INDEX(ResponseSLA[#All],(MATCH((G479),ResponseSLA[Priority],0))+1,3)),"YES","No")</f>
        <v>#N/A</v>
      </c>
      <c r="AI479" s="31" t="str">
        <f>_xlfn.IFNA(IF(AE479 &lt; (INDEX(SLATable[Minimum SLA],MATCH(G479,SLATable[Priority],0))),"YES","NO"),"")</f>
        <v/>
      </c>
      <c r="AJ479" t="str">
        <f>_xlfn.IFNA(IF(AE479 &lt; (INDEX(SLATable[Maximum SLA],MATCH(G479,SLATable[Priority],0))),"YES","NO"),"")</f>
        <v/>
      </c>
    </row>
    <row r="480" spans="26:36" ht="15" customHeight="1">
      <c r="Z480" s="76" t="e">
        <f t="shared" ca="1" si="52"/>
        <v>#N/A</v>
      </c>
      <c r="AA480" s="75" t="e">
        <f t="shared" ca="1" si="48"/>
        <v>#N/A</v>
      </c>
      <c r="AB480" s="76">
        <f t="shared" ca="1" si="53"/>
        <v>0</v>
      </c>
      <c r="AC480" s="75">
        <f t="shared" ca="1" si="49"/>
        <v>0</v>
      </c>
      <c r="AD480" s="76">
        <f t="shared" ca="1" si="54"/>
        <v>12388.425641782411</v>
      </c>
      <c r="AE480" s="76">
        <f t="shared" si="55"/>
        <v>0</v>
      </c>
      <c r="AF480" s="75">
        <f t="shared" si="50"/>
        <v>0</v>
      </c>
      <c r="AG480" s="75">
        <f t="shared" si="51"/>
        <v>0</v>
      </c>
      <c r="AH480" s="31" t="e" cm="1">
        <f t="array" aca="1" ref="AH480" ca="1">IF((AD480) &lt; (INDEX(ResponseSLA[#All],(MATCH((G480),ResponseSLA[Priority],0))+1,3)),"YES","No")</f>
        <v>#N/A</v>
      </c>
      <c r="AI480" s="31" t="str">
        <f>_xlfn.IFNA(IF(AE480 &lt; (INDEX(SLATable[Minimum SLA],MATCH(G480,SLATable[Priority],0))),"YES","NO"),"")</f>
        <v/>
      </c>
      <c r="AJ480" t="str">
        <f>_xlfn.IFNA(IF(AE480 &lt; (INDEX(SLATable[Maximum SLA],MATCH(G480,SLATable[Priority],0))),"YES","NO"),"")</f>
        <v/>
      </c>
    </row>
    <row r="481" spans="26:36" ht="15" customHeight="1">
      <c r="Z481" s="76" t="e">
        <f t="shared" ca="1" si="52"/>
        <v>#N/A</v>
      </c>
      <c r="AA481" s="75" t="e">
        <f t="shared" ca="1" si="48"/>
        <v>#N/A</v>
      </c>
      <c r="AB481" s="76">
        <f t="shared" ca="1" si="53"/>
        <v>0</v>
      </c>
      <c r="AC481" s="75">
        <f t="shared" ca="1" si="49"/>
        <v>0</v>
      </c>
      <c r="AD481" s="76">
        <f t="shared" ca="1" si="54"/>
        <v>12388.425641782411</v>
      </c>
      <c r="AE481" s="76">
        <f t="shared" si="55"/>
        <v>0</v>
      </c>
      <c r="AF481" s="75">
        <f t="shared" si="50"/>
        <v>0</v>
      </c>
      <c r="AG481" s="75">
        <f t="shared" si="51"/>
        <v>0</v>
      </c>
      <c r="AH481" s="31" t="e" cm="1">
        <f t="array" aca="1" ref="AH481" ca="1">IF((AD481) &lt; (INDEX(ResponseSLA[#All],(MATCH((G481),ResponseSLA[Priority],0))+1,3)),"YES","No")</f>
        <v>#N/A</v>
      </c>
      <c r="AI481" s="31" t="str">
        <f>_xlfn.IFNA(IF(AE481 &lt; (INDEX(SLATable[Minimum SLA],MATCH(G481,SLATable[Priority],0))),"YES","NO"),"")</f>
        <v/>
      </c>
      <c r="AJ481" t="str">
        <f>_xlfn.IFNA(IF(AE481 &lt; (INDEX(SLATable[Maximum SLA],MATCH(G481,SLATable[Priority],0))),"YES","NO"),"")</f>
        <v/>
      </c>
    </row>
    <row r="482" spans="26:36" ht="15" customHeight="1">
      <c r="Z482" s="76" t="e">
        <f t="shared" ca="1" si="52"/>
        <v>#N/A</v>
      </c>
      <c r="AA482" s="75" t="e">
        <f t="shared" ca="1" si="48"/>
        <v>#N/A</v>
      </c>
      <c r="AB482" s="76">
        <f t="shared" ca="1" si="53"/>
        <v>0</v>
      </c>
      <c r="AC482" s="75">
        <f t="shared" ca="1" si="49"/>
        <v>0</v>
      </c>
      <c r="AD482" s="76">
        <f t="shared" ca="1" si="54"/>
        <v>12388.425641782411</v>
      </c>
      <c r="AE482" s="76">
        <f t="shared" si="55"/>
        <v>0</v>
      </c>
      <c r="AF482" s="75">
        <f t="shared" si="50"/>
        <v>0</v>
      </c>
      <c r="AG482" s="75">
        <f t="shared" si="51"/>
        <v>0</v>
      </c>
      <c r="AH482" s="31" t="e" cm="1">
        <f t="array" aca="1" ref="AH482" ca="1">IF((AD482) &lt; (INDEX(ResponseSLA[#All],(MATCH((G482),ResponseSLA[Priority],0))+1,3)),"YES","No")</f>
        <v>#N/A</v>
      </c>
      <c r="AI482" s="31" t="str">
        <f>_xlfn.IFNA(IF(AE482 &lt; (INDEX(SLATable[Minimum SLA],MATCH(G482,SLATable[Priority],0))),"YES","NO"),"")</f>
        <v/>
      </c>
      <c r="AJ482" t="str">
        <f>_xlfn.IFNA(IF(AE482 &lt; (INDEX(SLATable[Maximum SLA],MATCH(G482,SLATable[Priority],0))),"YES","NO"),"")</f>
        <v/>
      </c>
    </row>
    <row r="483" spans="26:36" ht="15" customHeight="1">
      <c r="Z483" s="76" t="e">
        <f t="shared" ca="1" si="52"/>
        <v>#N/A</v>
      </c>
      <c r="AA483" s="75" t="e">
        <f t="shared" ca="1" si="48"/>
        <v>#N/A</v>
      </c>
      <c r="AB483" s="76">
        <f t="shared" ca="1" si="53"/>
        <v>0</v>
      </c>
      <c r="AC483" s="75">
        <f t="shared" ca="1" si="49"/>
        <v>0</v>
      </c>
      <c r="AD483" s="76">
        <f t="shared" ca="1" si="54"/>
        <v>12388.425641782411</v>
      </c>
      <c r="AE483" s="76">
        <f t="shared" si="55"/>
        <v>0</v>
      </c>
      <c r="AF483" s="75">
        <f t="shared" si="50"/>
        <v>0</v>
      </c>
      <c r="AG483" s="75">
        <f t="shared" si="51"/>
        <v>0</v>
      </c>
      <c r="AH483" s="31" t="e" cm="1">
        <f t="array" aca="1" ref="AH483" ca="1">IF((AD483) &lt; (INDEX(ResponseSLA[#All],(MATCH((G483),ResponseSLA[Priority],0))+1,3)),"YES","No")</f>
        <v>#N/A</v>
      </c>
      <c r="AI483" s="31" t="str">
        <f>_xlfn.IFNA(IF(AE483 &lt; (INDEX(SLATable[Minimum SLA],MATCH(G483,SLATable[Priority],0))),"YES","NO"),"")</f>
        <v/>
      </c>
      <c r="AJ483" t="str">
        <f>_xlfn.IFNA(IF(AE483 &lt; (INDEX(SLATable[Maximum SLA],MATCH(G483,SLATable[Priority],0))),"YES","NO"),"")</f>
        <v/>
      </c>
    </row>
    <row r="484" spans="26:36" ht="15" customHeight="1">
      <c r="Z484" s="76" t="e">
        <f t="shared" ca="1" si="52"/>
        <v>#N/A</v>
      </c>
      <c r="AA484" s="75" t="e">
        <f t="shared" ca="1" si="48"/>
        <v>#N/A</v>
      </c>
      <c r="AB484" s="76">
        <f t="shared" ca="1" si="53"/>
        <v>0</v>
      </c>
      <c r="AC484" s="75">
        <f t="shared" ca="1" si="49"/>
        <v>0</v>
      </c>
      <c r="AD484" s="76">
        <f t="shared" ca="1" si="54"/>
        <v>12388.425641782411</v>
      </c>
      <c r="AE484" s="76">
        <f t="shared" si="55"/>
        <v>0</v>
      </c>
      <c r="AF484" s="75">
        <f t="shared" si="50"/>
        <v>0</v>
      </c>
      <c r="AG484" s="75">
        <f t="shared" si="51"/>
        <v>0</v>
      </c>
      <c r="AH484" s="31" t="e" cm="1">
        <f t="array" aca="1" ref="AH484" ca="1">IF((AD484) &lt; (INDEX(ResponseSLA[#All],(MATCH((G484),ResponseSLA[Priority],0))+1,3)),"YES","No")</f>
        <v>#N/A</v>
      </c>
      <c r="AI484" s="31" t="str">
        <f>_xlfn.IFNA(IF(AE484 &lt; (INDEX(SLATable[Minimum SLA],MATCH(G484,SLATable[Priority],0))),"YES","NO"),"")</f>
        <v/>
      </c>
      <c r="AJ484" t="str">
        <f>_xlfn.IFNA(IF(AE484 &lt; (INDEX(SLATable[Maximum SLA],MATCH(G484,SLATable[Priority],0))),"YES","NO"),"")</f>
        <v/>
      </c>
    </row>
    <row r="485" spans="26:36" ht="15" customHeight="1">
      <c r="Z485" s="76" t="e">
        <f t="shared" ca="1" si="52"/>
        <v>#N/A</v>
      </c>
      <c r="AA485" s="75" t="e">
        <f t="shared" ca="1" si="48"/>
        <v>#N/A</v>
      </c>
      <c r="AB485" s="76">
        <f t="shared" ca="1" si="53"/>
        <v>0</v>
      </c>
      <c r="AC485" s="75">
        <f t="shared" ca="1" si="49"/>
        <v>0</v>
      </c>
      <c r="AD485" s="76">
        <f t="shared" ca="1" si="54"/>
        <v>12388.425641782411</v>
      </c>
      <c r="AE485" s="76">
        <f t="shared" si="55"/>
        <v>0</v>
      </c>
      <c r="AF485" s="75">
        <f t="shared" si="50"/>
        <v>0</v>
      </c>
      <c r="AG485" s="75">
        <f t="shared" si="51"/>
        <v>0</v>
      </c>
      <c r="AH485" s="31" t="e" cm="1">
        <f t="array" aca="1" ref="AH485" ca="1">IF((AD485) &lt; (INDEX(ResponseSLA[#All],(MATCH((G485),ResponseSLA[Priority],0))+1,3)),"YES","No")</f>
        <v>#N/A</v>
      </c>
      <c r="AI485" s="31" t="str">
        <f>_xlfn.IFNA(IF(AE485 &lt; (INDEX(SLATable[Minimum SLA],MATCH(G485,SLATable[Priority],0))),"YES","NO"),"")</f>
        <v/>
      </c>
      <c r="AJ485" t="str">
        <f>_xlfn.IFNA(IF(AE485 &lt; (INDEX(SLATable[Maximum SLA],MATCH(G485,SLATable[Priority],0))),"YES","NO"),"")</f>
        <v/>
      </c>
    </row>
    <row r="486" spans="26:36" ht="15" customHeight="1">
      <c r="Z486" s="76" t="e">
        <f t="shared" ca="1" si="52"/>
        <v>#N/A</v>
      </c>
      <c r="AA486" s="75" t="e">
        <f t="shared" ca="1" si="48"/>
        <v>#N/A</v>
      </c>
      <c r="AB486" s="76">
        <f t="shared" ca="1" si="53"/>
        <v>0</v>
      </c>
      <c r="AC486" s="75">
        <f t="shared" ca="1" si="49"/>
        <v>0</v>
      </c>
      <c r="AD486" s="76">
        <f t="shared" ca="1" si="54"/>
        <v>12388.425641782411</v>
      </c>
      <c r="AE486" s="76">
        <f t="shared" si="55"/>
        <v>0</v>
      </c>
      <c r="AF486" s="75">
        <f t="shared" si="50"/>
        <v>0</v>
      </c>
      <c r="AG486" s="75">
        <f t="shared" si="51"/>
        <v>0</v>
      </c>
      <c r="AH486" s="31" t="e" cm="1">
        <f t="array" aca="1" ref="AH486" ca="1">IF((AD486) &lt; (INDEX(ResponseSLA[#All],(MATCH((G486),ResponseSLA[Priority],0))+1,3)),"YES","No")</f>
        <v>#N/A</v>
      </c>
      <c r="AI486" s="31" t="str">
        <f>_xlfn.IFNA(IF(AE486 &lt; (INDEX(SLATable[Minimum SLA],MATCH(G486,SLATable[Priority],0))),"YES","NO"),"")</f>
        <v/>
      </c>
      <c r="AJ486" t="str">
        <f>_xlfn.IFNA(IF(AE486 &lt; (INDEX(SLATable[Maximum SLA],MATCH(G486,SLATable[Priority],0))),"YES","NO"),"")</f>
        <v/>
      </c>
    </row>
    <row r="487" spans="26:36" ht="15" customHeight="1">
      <c r="Z487" s="76" t="e">
        <f t="shared" ca="1" si="52"/>
        <v>#N/A</v>
      </c>
      <c r="AA487" s="75" t="e">
        <f t="shared" ca="1" si="48"/>
        <v>#N/A</v>
      </c>
      <c r="AB487" s="76">
        <f t="shared" ca="1" si="53"/>
        <v>0</v>
      </c>
      <c r="AC487" s="75">
        <f t="shared" ca="1" si="49"/>
        <v>0</v>
      </c>
      <c r="AD487" s="76">
        <f t="shared" ca="1" si="54"/>
        <v>12388.425641782411</v>
      </c>
      <c r="AE487" s="76">
        <f t="shared" si="55"/>
        <v>0</v>
      </c>
      <c r="AF487" s="75">
        <f t="shared" si="50"/>
        <v>0</v>
      </c>
      <c r="AG487" s="75">
        <f t="shared" si="51"/>
        <v>0</v>
      </c>
      <c r="AH487" s="31" t="e" cm="1">
        <f t="array" aca="1" ref="AH487" ca="1">IF((AD487) &lt; (INDEX(ResponseSLA[#All],(MATCH((G487),ResponseSLA[Priority],0))+1,3)),"YES","No")</f>
        <v>#N/A</v>
      </c>
      <c r="AI487" s="31" t="str">
        <f>_xlfn.IFNA(IF(AE487 &lt; (INDEX(SLATable[Minimum SLA],MATCH(G487,SLATable[Priority],0))),"YES","NO"),"")</f>
        <v/>
      </c>
      <c r="AJ487" t="str">
        <f>_xlfn.IFNA(IF(AE487 &lt; (INDEX(SLATable[Maximum SLA],MATCH(G487,SLATable[Priority],0))),"YES","NO"),"")</f>
        <v/>
      </c>
    </row>
    <row r="488" spans="26:36" ht="15" customHeight="1">
      <c r="Z488" s="76" t="e">
        <f t="shared" ca="1" si="52"/>
        <v>#N/A</v>
      </c>
      <c r="AA488" s="75" t="e">
        <f t="shared" ca="1" si="48"/>
        <v>#N/A</v>
      </c>
      <c r="AB488" s="76">
        <f t="shared" ca="1" si="53"/>
        <v>0</v>
      </c>
      <c r="AC488" s="75">
        <f t="shared" ca="1" si="49"/>
        <v>0</v>
      </c>
      <c r="AD488" s="76">
        <f t="shared" ca="1" si="54"/>
        <v>12388.425641782411</v>
      </c>
      <c r="AE488" s="76">
        <f t="shared" si="55"/>
        <v>0</v>
      </c>
      <c r="AF488" s="75">
        <f t="shared" si="50"/>
        <v>0</v>
      </c>
      <c r="AG488" s="75">
        <f t="shared" si="51"/>
        <v>0</v>
      </c>
      <c r="AH488" s="31" t="e" cm="1">
        <f t="array" aca="1" ref="AH488" ca="1">IF((AD488) &lt; (INDEX(ResponseSLA[#All],(MATCH((G488),ResponseSLA[Priority],0))+1,3)),"YES","No")</f>
        <v>#N/A</v>
      </c>
      <c r="AI488" s="31" t="str">
        <f>_xlfn.IFNA(IF(AE488 &lt; (INDEX(SLATable[Minimum SLA],MATCH(G488,SLATable[Priority],0))),"YES","NO"),"")</f>
        <v/>
      </c>
      <c r="AJ488" t="str">
        <f>_xlfn.IFNA(IF(AE488 &lt; (INDEX(SLATable[Maximum SLA],MATCH(G488,SLATable[Priority],0))),"YES","NO"),"")</f>
        <v/>
      </c>
    </row>
    <row r="489" spans="26:36" ht="15" customHeight="1">
      <c r="Z489" s="76" t="e">
        <f t="shared" ca="1" si="52"/>
        <v>#N/A</v>
      </c>
      <c r="AA489" s="75" t="e">
        <f t="shared" ca="1" si="48"/>
        <v>#N/A</v>
      </c>
      <c r="AB489" s="76">
        <f t="shared" ca="1" si="53"/>
        <v>0</v>
      </c>
      <c r="AC489" s="75">
        <f t="shared" ca="1" si="49"/>
        <v>0</v>
      </c>
      <c r="AD489" s="76">
        <f t="shared" ca="1" si="54"/>
        <v>12388.425641782411</v>
      </c>
      <c r="AE489" s="76">
        <f t="shared" si="55"/>
        <v>0</v>
      </c>
      <c r="AF489" s="75">
        <f t="shared" si="50"/>
        <v>0</v>
      </c>
      <c r="AG489" s="75">
        <f t="shared" si="51"/>
        <v>0</v>
      </c>
      <c r="AH489" s="31" t="e" cm="1">
        <f t="array" aca="1" ref="AH489" ca="1">IF((AD489) &lt; (INDEX(ResponseSLA[#All],(MATCH((G489),ResponseSLA[Priority],0))+1,3)),"YES","No")</f>
        <v>#N/A</v>
      </c>
      <c r="AI489" s="31" t="str">
        <f>_xlfn.IFNA(IF(AE489 &lt; (INDEX(SLATable[Minimum SLA],MATCH(G489,SLATable[Priority],0))),"YES","NO"),"")</f>
        <v/>
      </c>
      <c r="AJ489" t="str">
        <f>_xlfn.IFNA(IF(AE489 &lt; (INDEX(SLATable[Maximum SLA],MATCH(G489,SLATable[Priority],0))),"YES","NO"),"")</f>
        <v/>
      </c>
    </row>
    <row r="490" spans="26:36" ht="15" customHeight="1">
      <c r="Z490" s="76" t="e">
        <f t="shared" ca="1" si="52"/>
        <v>#N/A</v>
      </c>
      <c r="AA490" s="75" t="e">
        <f t="shared" ca="1" si="48"/>
        <v>#N/A</v>
      </c>
      <c r="AB490" s="76">
        <f t="shared" ca="1" si="53"/>
        <v>0</v>
      </c>
      <c r="AC490" s="75">
        <f t="shared" ca="1" si="49"/>
        <v>0</v>
      </c>
      <c r="AD490" s="76">
        <f t="shared" ca="1" si="54"/>
        <v>12388.425641782411</v>
      </c>
      <c r="AE490" s="76">
        <f t="shared" si="55"/>
        <v>0</v>
      </c>
      <c r="AF490" s="75">
        <f t="shared" si="50"/>
        <v>0</v>
      </c>
      <c r="AG490" s="75">
        <f t="shared" si="51"/>
        <v>0</v>
      </c>
      <c r="AH490" s="31" t="e" cm="1">
        <f t="array" aca="1" ref="AH490" ca="1">IF((AD490) &lt; (INDEX(ResponseSLA[#All],(MATCH((G490),ResponseSLA[Priority],0))+1,3)),"YES","No")</f>
        <v>#N/A</v>
      </c>
      <c r="AI490" s="31" t="str">
        <f>_xlfn.IFNA(IF(AE490 &lt; (INDEX(SLATable[Minimum SLA],MATCH(G490,SLATable[Priority],0))),"YES","NO"),"")</f>
        <v/>
      </c>
      <c r="AJ490" t="str">
        <f>_xlfn.IFNA(IF(AE490 &lt; (INDEX(SLATable[Maximum SLA],MATCH(G490,SLATable[Priority],0))),"YES","NO"),"")</f>
        <v/>
      </c>
    </row>
    <row r="491" spans="26:36" ht="15" customHeight="1">
      <c r="Z491" s="76" t="e">
        <f t="shared" ca="1" si="52"/>
        <v>#N/A</v>
      </c>
      <c r="AA491" s="75" t="e">
        <f t="shared" ca="1" si="48"/>
        <v>#N/A</v>
      </c>
      <c r="AB491" s="76">
        <f t="shared" ca="1" si="53"/>
        <v>0</v>
      </c>
      <c r="AC491" s="75">
        <f t="shared" ca="1" si="49"/>
        <v>0</v>
      </c>
      <c r="AD491" s="76">
        <f t="shared" ca="1" si="54"/>
        <v>12388.425641782411</v>
      </c>
      <c r="AE491" s="76">
        <f t="shared" si="55"/>
        <v>0</v>
      </c>
      <c r="AF491" s="75">
        <f t="shared" si="50"/>
        <v>0</v>
      </c>
      <c r="AG491" s="75">
        <f t="shared" si="51"/>
        <v>0</v>
      </c>
      <c r="AH491" s="31" t="e" cm="1">
        <f t="array" aca="1" ref="AH491" ca="1">IF((AD491) &lt; (INDEX(ResponseSLA[#All],(MATCH((G491),ResponseSLA[Priority],0))+1,3)),"YES","No")</f>
        <v>#N/A</v>
      </c>
      <c r="AI491" s="31" t="str">
        <f>_xlfn.IFNA(IF(AE491 &lt; (INDEX(SLATable[Minimum SLA],MATCH(G491,SLATable[Priority],0))),"YES","NO"),"")</f>
        <v/>
      </c>
      <c r="AJ491" t="str">
        <f>_xlfn.IFNA(IF(AE491 &lt; (INDEX(SLATable[Maximum SLA],MATCH(G491,SLATable[Priority],0))),"YES","NO"),"")</f>
        <v/>
      </c>
    </row>
    <row r="492" spans="26:36" ht="15" customHeight="1">
      <c r="Z492" s="76" t="e">
        <f t="shared" ca="1" si="52"/>
        <v>#N/A</v>
      </c>
      <c r="AA492" s="75" t="e">
        <f t="shared" ca="1" si="48"/>
        <v>#N/A</v>
      </c>
      <c r="AB492" s="76">
        <f t="shared" ca="1" si="53"/>
        <v>0</v>
      </c>
      <c r="AC492" s="75">
        <f t="shared" ca="1" si="49"/>
        <v>0</v>
      </c>
      <c r="AD492" s="76">
        <f t="shared" ca="1" si="54"/>
        <v>12388.425641782411</v>
      </c>
      <c r="AE492" s="76">
        <f t="shared" si="55"/>
        <v>0</v>
      </c>
      <c r="AF492" s="75">
        <f t="shared" si="50"/>
        <v>0</v>
      </c>
      <c r="AG492" s="75">
        <f t="shared" si="51"/>
        <v>0</v>
      </c>
      <c r="AH492" s="31" t="e" cm="1">
        <f t="array" aca="1" ref="AH492" ca="1">IF((AD492) &lt; (INDEX(ResponseSLA[#All],(MATCH((G492),ResponseSLA[Priority],0))+1,3)),"YES","No")</f>
        <v>#N/A</v>
      </c>
      <c r="AI492" s="31" t="str">
        <f>_xlfn.IFNA(IF(AE492 &lt; (INDEX(SLATable[Minimum SLA],MATCH(G492,SLATable[Priority],0))),"YES","NO"),"")</f>
        <v/>
      </c>
      <c r="AJ492" t="str">
        <f>_xlfn.IFNA(IF(AE492 &lt; (INDEX(SLATable[Maximum SLA],MATCH(G492,SLATable[Priority],0))),"YES","NO"),"")</f>
        <v/>
      </c>
    </row>
    <row r="493" spans="26:36" ht="15" customHeight="1">
      <c r="Z493" s="76" t="e">
        <f t="shared" ca="1" si="52"/>
        <v>#N/A</v>
      </c>
      <c r="AA493" s="75" t="e">
        <f t="shared" ca="1" si="48"/>
        <v>#N/A</v>
      </c>
      <c r="AB493" s="76">
        <f t="shared" ca="1" si="53"/>
        <v>0</v>
      </c>
      <c r="AC493" s="75">
        <f t="shared" ca="1" si="49"/>
        <v>0</v>
      </c>
      <c r="AD493" s="76">
        <f t="shared" ca="1" si="54"/>
        <v>12388.425641782411</v>
      </c>
      <c r="AE493" s="76">
        <f t="shared" si="55"/>
        <v>0</v>
      </c>
      <c r="AF493" s="75">
        <f t="shared" si="50"/>
        <v>0</v>
      </c>
      <c r="AG493" s="75">
        <f t="shared" si="51"/>
        <v>0</v>
      </c>
      <c r="AH493" s="31" t="e" cm="1">
        <f t="array" aca="1" ref="AH493" ca="1">IF((AD493) &lt; (INDEX(ResponseSLA[#All],(MATCH((G493),ResponseSLA[Priority],0))+1,3)),"YES","No")</f>
        <v>#N/A</v>
      </c>
      <c r="AI493" s="31" t="str">
        <f>_xlfn.IFNA(IF(AE493 &lt; (INDEX(SLATable[Minimum SLA],MATCH(G493,SLATable[Priority],0))),"YES","NO"),"")</f>
        <v/>
      </c>
      <c r="AJ493" t="str">
        <f>_xlfn.IFNA(IF(AE493 &lt; (INDEX(SLATable[Maximum SLA],MATCH(G493,SLATable[Priority],0))),"YES","NO"),"")</f>
        <v/>
      </c>
    </row>
    <row r="494" spans="26:36" ht="15" customHeight="1">
      <c r="Z494" s="76" t="e">
        <f t="shared" ca="1" si="52"/>
        <v>#N/A</v>
      </c>
      <c r="AA494" s="75" t="e">
        <f t="shared" ca="1" si="48"/>
        <v>#N/A</v>
      </c>
      <c r="AB494" s="76">
        <f t="shared" ca="1" si="53"/>
        <v>0</v>
      </c>
      <c r="AC494" s="75">
        <f t="shared" ca="1" si="49"/>
        <v>0</v>
      </c>
      <c r="AD494" s="76">
        <f t="shared" ca="1" si="54"/>
        <v>12388.425641782411</v>
      </c>
      <c r="AE494" s="76">
        <f t="shared" si="55"/>
        <v>0</v>
      </c>
      <c r="AF494" s="75">
        <f t="shared" si="50"/>
        <v>0</v>
      </c>
      <c r="AG494" s="75">
        <f t="shared" si="51"/>
        <v>0</v>
      </c>
      <c r="AH494" s="31" t="e" cm="1">
        <f t="array" aca="1" ref="AH494" ca="1">IF((AD494) &lt; (INDEX(ResponseSLA[#All],(MATCH((G494),ResponseSLA[Priority],0))+1,3)),"YES","No")</f>
        <v>#N/A</v>
      </c>
      <c r="AI494" s="31" t="str">
        <f>_xlfn.IFNA(IF(AE494 &lt; (INDEX(SLATable[Minimum SLA],MATCH(G494,SLATable[Priority],0))),"YES","NO"),"")</f>
        <v/>
      </c>
      <c r="AJ494" t="str">
        <f>_xlfn.IFNA(IF(AE494 &lt; (INDEX(SLATable[Maximum SLA],MATCH(G494,SLATable[Priority],0))),"YES","NO"),"")</f>
        <v/>
      </c>
    </row>
    <row r="495" spans="26:36" ht="15" customHeight="1">
      <c r="Z495" s="76" t="e">
        <f t="shared" ca="1" si="52"/>
        <v>#N/A</v>
      </c>
      <c r="AA495" s="75" t="e">
        <f t="shared" ca="1" si="48"/>
        <v>#N/A</v>
      </c>
      <c r="AB495" s="76">
        <f t="shared" ca="1" si="53"/>
        <v>0</v>
      </c>
      <c r="AC495" s="75">
        <f t="shared" ca="1" si="49"/>
        <v>0</v>
      </c>
      <c r="AD495" s="76">
        <f t="shared" ca="1" si="54"/>
        <v>12388.425641782411</v>
      </c>
      <c r="AE495" s="76">
        <f t="shared" si="55"/>
        <v>0</v>
      </c>
      <c r="AF495" s="75">
        <f t="shared" si="50"/>
        <v>0</v>
      </c>
      <c r="AG495" s="75">
        <f t="shared" si="51"/>
        <v>0</v>
      </c>
      <c r="AH495" s="31" t="e" cm="1">
        <f t="array" aca="1" ref="AH495" ca="1">IF((AD495) &lt; (INDEX(ResponseSLA[#All],(MATCH((G495),ResponseSLA[Priority],0))+1,3)),"YES","No")</f>
        <v>#N/A</v>
      </c>
      <c r="AI495" s="31" t="str">
        <f>_xlfn.IFNA(IF(AE495 &lt; (INDEX(SLATable[Minimum SLA],MATCH(G495,SLATable[Priority],0))),"YES","NO"),"")</f>
        <v/>
      </c>
      <c r="AJ495" t="str">
        <f>_xlfn.IFNA(IF(AE495 &lt; (INDEX(SLATable[Maximum SLA],MATCH(G495,SLATable[Priority],0))),"YES","NO"),"")</f>
        <v/>
      </c>
    </row>
    <row r="496" spans="26:36" ht="15" customHeight="1">
      <c r="Z496" s="76" t="e">
        <f t="shared" ca="1" si="52"/>
        <v>#N/A</v>
      </c>
      <c r="AA496" s="75" t="e">
        <f t="shared" ca="1" si="48"/>
        <v>#N/A</v>
      </c>
      <c r="AB496" s="76">
        <f t="shared" ca="1" si="53"/>
        <v>0</v>
      </c>
      <c r="AC496" s="75">
        <f t="shared" ca="1" si="49"/>
        <v>0</v>
      </c>
      <c r="AD496" s="76">
        <f t="shared" ca="1" si="54"/>
        <v>12388.425641782411</v>
      </c>
      <c r="AE496" s="76">
        <f t="shared" si="55"/>
        <v>0</v>
      </c>
      <c r="AF496" s="75">
        <f t="shared" si="50"/>
        <v>0</v>
      </c>
      <c r="AG496" s="75">
        <f t="shared" si="51"/>
        <v>0</v>
      </c>
      <c r="AH496" s="31" t="e" cm="1">
        <f t="array" aca="1" ref="AH496" ca="1">IF((AD496) &lt; (INDEX(ResponseSLA[#All],(MATCH((G496),ResponseSLA[Priority],0))+1,3)),"YES","No")</f>
        <v>#N/A</v>
      </c>
      <c r="AI496" s="31" t="str">
        <f>_xlfn.IFNA(IF(AE496 &lt; (INDEX(SLATable[Minimum SLA],MATCH(G496,SLATable[Priority],0))),"YES","NO"),"")</f>
        <v/>
      </c>
      <c r="AJ496" t="str">
        <f>_xlfn.IFNA(IF(AE496 &lt; (INDEX(SLATable[Maximum SLA],MATCH(G496,SLATable[Priority],0))),"YES","NO"),"")</f>
        <v/>
      </c>
    </row>
    <row r="497" spans="26:36" ht="15" customHeight="1">
      <c r="Z497" s="76" t="e">
        <f t="shared" ca="1" si="52"/>
        <v>#N/A</v>
      </c>
      <c r="AA497" s="75" t="e">
        <f t="shared" ca="1" si="48"/>
        <v>#N/A</v>
      </c>
      <c r="AB497" s="76">
        <f t="shared" ca="1" si="53"/>
        <v>0</v>
      </c>
      <c r="AC497" s="75">
        <f t="shared" ca="1" si="49"/>
        <v>0</v>
      </c>
      <c r="AD497" s="76">
        <f t="shared" ca="1" si="54"/>
        <v>12388.425641782411</v>
      </c>
      <c r="AE497" s="76">
        <f t="shared" si="55"/>
        <v>0</v>
      </c>
      <c r="AF497" s="75">
        <f t="shared" si="50"/>
        <v>0</v>
      </c>
      <c r="AG497" s="75">
        <f t="shared" si="51"/>
        <v>0</v>
      </c>
      <c r="AH497" s="31" t="e" cm="1">
        <f t="array" aca="1" ref="AH497" ca="1">IF((AD497) &lt; (INDEX(ResponseSLA[#All],(MATCH((G497),ResponseSLA[Priority],0))+1,3)),"YES","No")</f>
        <v>#N/A</v>
      </c>
      <c r="AI497" s="31" t="str">
        <f>_xlfn.IFNA(IF(AE497 &lt; (INDEX(SLATable[Minimum SLA],MATCH(G497,SLATable[Priority],0))),"YES","NO"),"")</f>
        <v/>
      </c>
      <c r="AJ497" t="str">
        <f>_xlfn.IFNA(IF(AE497 &lt; (INDEX(SLATable[Maximum SLA],MATCH(G497,SLATable[Priority],0))),"YES","NO"),"")</f>
        <v/>
      </c>
    </row>
    <row r="498" spans="26:36" ht="15" customHeight="1">
      <c r="Z498" s="76" t="e">
        <f t="shared" ca="1" si="52"/>
        <v>#N/A</v>
      </c>
      <c r="AA498" s="75" t="e">
        <f t="shared" ca="1" si="48"/>
        <v>#N/A</v>
      </c>
      <c r="AB498" s="76">
        <f t="shared" ca="1" si="53"/>
        <v>0</v>
      </c>
      <c r="AC498" s="75">
        <f t="shared" ca="1" si="49"/>
        <v>0</v>
      </c>
      <c r="AD498" s="76">
        <f t="shared" ca="1" si="54"/>
        <v>12388.425641782411</v>
      </c>
      <c r="AE498" s="76">
        <f t="shared" si="55"/>
        <v>0</v>
      </c>
      <c r="AF498" s="75">
        <f t="shared" si="50"/>
        <v>0</v>
      </c>
      <c r="AG498" s="75">
        <f t="shared" si="51"/>
        <v>0</v>
      </c>
      <c r="AH498" s="31" t="e" cm="1">
        <f t="array" aca="1" ref="AH498" ca="1">IF((AD498) &lt; (INDEX(ResponseSLA[#All],(MATCH((G498),ResponseSLA[Priority],0))+1,3)),"YES","No")</f>
        <v>#N/A</v>
      </c>
      <c r="AI498" s="31" t="str">
        <f>_xlfn.IFNA(IF(AE498 &lt; (INDEX(SLATable[Minimum SLA],MATCH(G498,SLATable[Priority],0))),"YES","NO"),"")</f>
        <v/>
      </c>
      <c r="AJ498" t="str">
        <f>_xlfn.IFNA(IF(AE498 &lt; (INDEX(SLATable[Maximum SLA],MATCH(G498,SLATable[Priority],0))),"YES","NO"),"")</f>
        <v/>
      </c>
    </row>
    <row r="499" spans="26:36" ht="15" customHeight="1">
      <c r="Z499" s="76" t="e">
        <f t="shared" ca="1" si="52"/>
        <v>#N/A</v>
      </c>
      <c r="AA499" s="75" t="e">
        <f t="shared" ca="1" si="48"/>
        <v>#N/A</v>
      </c>
      <c r="AB499" s="76">
        <f t="shared" ca="1" si="53"/>
        <v>0</v>
      </c>
      <c r="AC499" s="75">
        <f t="shared" ca="1" si="49"/>
        <v>0</v>
      </c>
      <c r="AD499" s="76">
        <f t="shared" ca="1" si="54"/>
        <v>12388.425641782411</v>
      </c>
      <c r="AE499" s="76">
        <f t="shared" si="55"/>
        <v>0</v>
      </c>
      <c r="AF499" s="75">
        <f t="shared" si="50"/>
        <v>0</v>
      </c>
      <c r="AG499" s="75">
        <f t="shared" si="51"/>
        <v>0</v>
      </c>
      <c r="AH499" s="31" t="e" cm="1">
        <f t="array" aca="1" ref="AH499" ca="1">IF((AD499) &lt; (INDEX(ResponseSLA[#All],(MATCH((G499),ResponseSLA[Priority],0))+1,3)),"YES","No")</f>
        <v>#N/A</v>
      </c>
      <c r="AI499" s="31" t="str">
        <f>_xlfn.IFNA(IF(AE499 &lt; (INDEX(SLATable[Minimum SLA],MATCH(G499,SLATable[Priority],0))),"YES","NO"),"")</f>
        <v/>
      </c>
      <c r="AJ499" t="str">
        <f>_xlfn.IFNA(IF(AE499 &lt; (INDEX(SLATable[Maximum SLA],MATCH(G499,SLATable[Priority],0))),"YES","NO"),"")</f>
        <v/>
      </c>
    </row>
    <row r="500" spans="26:36" ht="15" customHeight="1">
      <c r="Z500" s="76" t="e">
        <f t="shared" ca="1" si="52"/>
        <v>#N/A</v>
      </c>
      <c r="AA500" s="75" t="e">
        <f t="shared" ca="1" si="48"/>
        <v>#N/A</v>
      </c>
      <c r="AB500" s="76">
        <f t="shared" ca="1" si="53"/>
        <v>0</v>
      </c>
      <c r="AC500" s="75">
        <f t="shared" ca="1" si="49"/>
        <v>0</v>
      </c>
      <c r="AD500" s="76">
        <f t="shared" ca="1" si="54"/>
        <v>12388.425641782411</v>
      </c>
      <c r="AE500" s="76">
        <f t="shared" si="55"/>
        <v>0</v>
      </c>
      <c r="AF500" s="75">
        <f t="shared" si="50"/>
        <v>0</v>
      </c>
      <c r="AG500" s="75">
        <f t="shared" si="51"/>
        <v>0</v>
      </c>
      <c r="AH500" s="31" t="e" cm="1">
        <f t="array" aca="1" ref="AH500" ca="1">IF((AD500) &lt; (INDEX(ResponseSLA[#All],(MATCH((G500),ResponseSLA[Priority],0))+1,3)),"YES","No")</f>
        <v>#N/A</v>
      </c>
      <c r="AI500" s="31" t="str">
        <f>_xlfn.IFNA(IF(AE500 &lt; (INDEX(SLATable[Minimum SLA],MATCH(G500,SLATable[Priority],0))),"YES","NO"),"")</f>
        <v/>
      </c>
      <c r="AJ500" t="str">
        <f>_xlfn.IFNA(IF(AE500 &lt; (INDEX(SLATable[Maximum SLA],MATCH(G500,SLATable[Priority],0))),"YES","NO"),"")</f>
        <v/>
      </c>
    </row>
  </sheetData>
  <sheetProtection algorithmName="SHA-512" hashValue="Vg0akDVDwBHE6NCutLfcg7aHQ0pkXpg1MffqGlWOW09UJsREja62Pn87f1boCYPzzrE/HUbszFWBzWJ7e6hrDQ==" saltValue="001rExTYRRs/mjHl15BOIQ==" spinCount="100000" sheet="1" objects="1" scenarios="1" autoFilter="0"/>
  <protectedRanges>
    <protectedRange algorithmName="SHA-512" hashValue="99OQ+VOyYeTgkyp5V2h7IJuhOY+ByGUUH4Kc0xKuZgn2w66Z/zb6NCagB6+bjIBmhadenmL7/H2PSKzd599e6Q==" saltValue="s8mGfn7WVHJZXEYeB6j8Yw==" spinCount="100000" sqref="U1 AB1:AJ1" name="Formula Cells"/>
  </protectedRanges>
  <conditionalFormatting sqref="E1">
    <cfRule type="duplicateValues" dxfId="8" priority="2"/>
  </conditionalFormatting>
  <conditionalFormatting sqref="E1:E1048576">
    <cfRule type="duplicateValues" dxfId="7" priority="1"/>
  </conditionalFormatting>
  <dataValidations count="13">
    <dataValidation type="list" allowBlank="1" showInputMessage="1" showErrorMessage="1" sqref="I1:I1048576" xr:uid="{2151012B-31CC-4AC3-BFA1-7B2E7FB03FDF}">
      <formula1>Status_List</formula1>
    </dataValidation>
    <dataValidation type="list" allowBlank="1" showInputMessage="1" showErrorMessage="1" sqref="B1:B1048576" xr:uid="{BFA71CB4-22D1-4F6B-BF6E-788A1016DDF1}">
      <formula1>OpCo_List</formula1>
    </dataValidation>
    <dataValidation type="list" showInputMessage="1" showErrorMessage="1" errorTitle="Invalid Domain" error="Please select value only from dropdown" sqref="C1:C1048576" xr:uid="{BBC573A6-B9C0-4DFB-9A37-EBD7DCDF1A42}">
      <formula1>Domain_List</formula1>
    </dataValidation>
    <dataValidation type="list" allowBlank="1" showInputMessage="1" showErrorMessage="1" sqref="D1:D1048576" xr:uid="{83E72B35-F47C-4653-945C-E0084AA5D424}">
      <formula1>Type_List</formula1>
    </dataValidation>
    <dataValidation type="list" allowBlank="1" showInputMessage="1" showErrorMessage="1" sqref="F1:F1048576" xr:uid="{D5561930-7A96-413C-90FC-1D1122AB46B3}">
      <formula1>Queue_List</formula1>
    </dataValidation>
    <dataValidation type="list" allowBlank="1" showInputMessage="1" showErrorMessage="1" sqref="R1:R1048576" xr:uid="{2155F3FD-838D-49D6-8396-EFA0E601D20A}">
      <formula1>Resolution_List</formula1>
    </dataValidation>
    <dataValidation type="list" allowBlank="1" showInputMessage="1" showErrorMessage="1" sqref="U1:U1048576" xr:uid="{E00418FE-BB65-45B4-A792-85AC1A31F602}">
      <formula1>"Yes,No"</formula1>
    </dataValidation>
    <dataValidation allowBlank="1" showInputMessage="1" showErrorMessage="1" errorTitle="Assigned to" error="dont type idiot" sqref="J1:J5" xr:uid="{CE7DE516-E8B1-4428-B0B6-CE2E0F6099C5}"/>
    <dataValidation type="list" allowBlank="1" showInputMessage="1" showErrorMessage="1" sqref="S2:S1048576" xr:uid="{8F29B963-ECCB-4791-A554-F77C658F66F7}">
      <formula1>IF(D2="","",INDIRECT(D2))</formula1>
    </dataValidation>
    <dataValidation allowBlank="1" showInputMessage="1" showErrorMessage="1" sqref="S1" xr:uid="{E0EE1810-857A-48EA-A6A9-E51349687A99}"/>
    <dataValidation type="date" allowBlank="1" showInputMessage="1" showErrorMessage="1" sqref="O1:P5 N1 K1 L1:M2 L11:N494 L8:N8 L5:M6 K8:K494" xr:uid="{088D01F0-81CF-4FFB-B52F-D174D591ED7C}">
      <formula1>36526</formula1>
      <formula2>73050</formula2>
    </dataValidation>
    <dataValidation type="list" allowBlank="1" showInputMessage="1" showErrorMessage="1" sqref="U1 T1:T1048576" xr:uid="{7B33E35F-CDFC-4CE1-93C9-A5C7252422F6}">
      <formula1>SubCategory</formula1>
    </dataValidation>
    <dataValidation type="list" showInputMessage="1" showErrorMessage="1" errorTitle="Invalid Entry" error="Please select a value in TYPE before entering Priority" sqref="G1:G1048576" xr:uid="{C2C993AE-6229-4CA1-9C7D-31ADFF04AD4D}">
      <formula1>IF(D1="","",INDIRECT(D1&amp;"_PR"))</formula1>
    </dataValidation>
  </dataValidations>
  <pageMargins left="0.7" right="0.7" top="0.75" bottom="0.75"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A9094-EFF1-44FA-8DAF-8105C07CE572}">
  <sheetPr codeName="Sheet16"/>
  <dimension ref="A1:AJ500"/>
  <sheetViews>
    <sheetView topLeftCell="W1" zoomScale="70" zoomScaleNormal="70" workbookViewId="0">
      <pane ySplit="1" topLeftCell="A19" activePane="bottomLeft" state="frozen"/>
      <selection pane="bottomLeft" activeCell="G34" sqref="G34"/>
    </sheetView>
  </sheetViews>
  <sheetFormatPr defaultColWidth="9.140625" defaultRowHeight="15" customHeight="1"/>
  <cols>
    <col min="1" max="1" width="6.42578125" style="45" customWidth="1"/>
    <col min="2" max="2" width="7.85546875" style="45" customWidth="1"/>
    <col min="3" max="3" width="10.42578125" style="45" customWidth="1"/>
    <col min="4" max="4" width="8.28515625" style="45" customWidth="1"/>
    <col min="5" max="5" width="12.140625" style="45" customWidth="1"/>
    <col min="6" max="6" width="13.7109375" style="45" customWidth="1"/>
    <col min="7" max="7" width="9" style="45" customWidth="1"/>
    <col min="8" max="8" width="16.85546875" style="45" customWidth="1"/>
    <col min="9" max="9" width="8.140625" style="45" customWidth="1"/>
    <col min="10" max="10" width="12.42578125" style="45" customWidth="1"/>
    <col min="11" max="11" width="20.140625" style="47" customWidth="1"/>
    <col min="12" max="12" width="16.42578125" style="47" customWidth="1"/>
    <col min="13" max="13" width="24.7109375" style="47" customWidth="1"/>
    <col min="14" max="14" width="23.42578125" style="47" customWidth="1"/>
    <col min="15" max="15" width="21.42578125" style="47" customWidth="1"/>
    <col min="16" max="16" width="18.42578125" style="47" customWidth="1"/>
    <col min="17" max="17" width="20.42578125" style="45" customWidth="1"/>
    <col min="18" max="18" width="16.140625" style="45" customWidth="1"/>
    <col min="19" max="19" width="19.42578125" style="45" customWidth="1"/>
    <col min="20" max="20" width="13.85546875" style="45" customWidth="1"/>
    <col min="21" max="21" width="18" style="45" customWidth="1"/>
    <col min="22" max="22" width="17.85546875" style="45" customWidth="1"/>
    <col min="23" max="23" width="15.42578125" style="45" customWidth="1"/>
    <col min="24" max="24" width="25" style="45" customWidth="1"/>
    <col min="25" max="25" width="10.42578125" style="45" customWidth="1"/>
    <col min="26" max="26" width="19.28515625" style="45" customWidth="1"/>
    <col min="27" max="27" width="16.42578125" style="45" customWidth="1"/>
    <col min="28" max="28" width="21.85546875" style="45" customWidth="1"/>
    <col min="29" max="29" width="19.85546875" style="45" customWidth="1"/>
    <col min="30" max="30" width="13.42578125" style="45" customWidth="1"/>
    <col min="31" max="31" width="14" style="45" customWidth="1"/>
    <col min="32" max="32" width="18.85546875" style="45" customWidth="1"/>
    <col min="33" max="33" width="21" style="45" customWidth="1"/>
    <col min="34" max="34" width="17.85546875" style="45" bestFit="1" customWidth="1"/>
    <col min="35" max="35" width="28.28515625" style="45" bestFit="1" customWidth="1"/>
    <col min="36" max="36" width="28.7109375" style="45" bestFit="1" customWidth="1"/>
    <col min="37" max="16384" width="9.140625" style="45"/>
  </cols>
  <sheetData>
    <row r="1" spans="1:36" s="44" customFormat="1" ht="15" customHeight="1">
      <c r="A1" s="43" t="s">
        <v>347</v>
      </c>
      <c r="B1" s="43" t="s">
        <v>2</v>
      </c>
      <c r="C1" s="43" t="s">
        <v>3</v>
      </c>
      <c r="D1" s="43" t="s">
        <v>253</v>
      </c>
      <c r="E1" s="43" t="s">
        <v>348</v>
      </c>
      <c r="F1" s="43" t="s">
        <v>1</v>
      </c>
      <c r="G1" s="43" t="s">
        <v>324</v>
      </c>
      <c r="H1" s="43" t="s">
        <v>349</v>
      </c>
      <c r="I1" s="43" t="s">
        <v>254</v>
      </c>
      <c r="J1" s="43" t="s">
        <v>350</v>
      </c>
      <c r="K1" s="43" t="s">
        <v>351</v>
      </c>
      <c r="L1" s="43" t="s">
        <v>352</v>
      </c>
      <c r="M1" s="43" t="s">
        <v>353</v>
      </c>
      <c r="N1" s="43" t="s">
        <v>354</v>
      </c>
      <c r="O1" s="43" t="s">
        <v>355</v>
      </c>
      <c r="P1" s="43" t="s">
        <v>356</v>
      </c>
      <c r="Q1" s="43" t="s">
        <v>357</v>
      </c>
      <c r="R1" s="43" t="s">
        <v>358</v>
      </c>
      <c r="S1" s="43" t="s">
        <v>359</v>
      </c>
      <c r="T1" s="43" t="s">
        <v>258</v>
      </c>
      <c r="U1" s="43" t="s">
        <v>360</v>
      </c>
      <c r="V1" s="43" t="s">
        <v>361</v>
      </c>
      <c r="W1" s="43" t="s">
        <v>362</v>
      </c>
      <c r="X1" s="43" t="s">
        <v>363</v>
      </c>
      <c r="Y1" s="43" t="s">
        <v>364</v>
      </c>
      <c r="Z1" s="32" t="s">
        <v>82</v>
      </c>
      <c r="AA1" s="32" t="s">
        <v>90</v>
      </c>
      <c r="AB1" s="32" t="s">
        <v>84</v>
      </c>
      <c r="AC1" s="32" t="s">
        <v>92</v>
      </c>
      <c r="AD1" s="32" t="s">
        <v>86</v>
      </c>
      <c r="AE1" s="32" t="s">
        <v>88</v>
      </c>
      <c r="AF1" s="32" t="s">
        <v>365</v>
      </c>
      <c r="AG1" s="32" t="s">
        <v>366</v>
      </c>
      <c r="AH1" s="32" t="s">
        <v>94</v>
      </c>
      <c r="AI1" s="32" t="s">
        <v>96</v>
      </c>
      <c r="AJ1" s="33" t="s">
        <v>98</v>
      </c>
    </row>
    <row r="2" spans="1:36" ht="15" customHeight="1">
      <c r="A2" s="45">
        <v>1</v>
      </c>
      <c r="B2" s="45" t="s">
        <v>46</v>
      </c>
      <c r="C2" s="45" t="s">
        <v>42</v>
      </c>
      <c r="D2" s="45" t="s">
        <v>207</v>
      </c>
      <c r="E2" s="63" t="s">
        <v>8665</v>
      </c>
      <c r="F2" s="53" t="s">
        <v>49</v>
      </c>
      <c r="G2" s="45">
        <v>4</v>
      </c>
      <c r="H2" s="55" t="s">
        <v>8666</v>
      </c>
      <c r="I2" s="45" t="s">
        <v>271</v>
      </c>
      <c r="J2" s="45" t="s">
        <v>8667</v>
      </c>
      <c r="K2" s="71">
        <v>46148.421666666669</v>
      </c>
      <c r="L2" s="47">
        <v>46148.421666666669</v>
      </c>
      <c r="M2" s="47">
        <v>46148.595879629633</v>
      </c>
      <c r="N2" s="70">
        <v>46212.478483796294</v>
      </c>
      <c r="O2" s="47">
        <v>46150.312708333331</v>
      </c>
      <c r="P2" s="47">
        <v>46212.478483796294</v>
      </c>
      <c r="Q2" s="45" t="s">
        <v>5509</v>
      </c>
      <c r="R2" s="45" t="s">
        <v>267</v>
      </c>
      <c r="S2" s="45" t="s">
        <v>141</v>
      </c>
      <c r="Z2" s="76">
        <f t="shared" ref="Z2" ca="1" si="0">IF(NOT(OR(G2=1,G2=2)),MAX(0,_xlfn.IFS(AND(K2&lt;&gt;"",N2&lt;&gt;""),((MAX(NETWORKDAYS(K2,N2,UKBankHolidays)-1,0))*(TIME(17,0,0)-TIME(8,0,0))+IF(NETWORKDAYS(N2,N2,UKBankHolidays)&gt;0,MEDIAN(TIME(8,0,0),MOD(N2,1),TIME(17,0,0)),TIME(8,0,0))-IF(NETWORKDAYS(K2,K2,UKBankHolidays)&gt;0,MEDIAN(TIME(8,0,0),MOD(K2,1),TIME(17,0,0)),TIME(8,0,0)))-IF(AND(O2&lt;&gt;"",P2&lt;&gt;""),((MAX(NETWORKDAYS(O2,P2,UKBankHolidays)-1,0))*(TIME(17,0,0)-TIME(8,0,0))+IF(NETWORKDAYS(P2,P2,UKBankHolidays)&gt;0,MEDIAN(TIME(8,0,0),MOD(P2,1),TIME(17,0,0)),TIME(8,0,0))-IF(NETWORKDAYS(O2,O2,UKBankHolidays)&gt;0,MEDIAN(TIME(8,0,0),MOD(O2,1),TIME(17,0,0)),TIME(8,0,0))),0),AND(K2&lt;&gt;"",N2=""),((MAX(NETWORKDAYS(K2,NOW(),UKBankHolidays)-1,0))*(TIME(17,0,0)-TIME(8,0,0))+IF(NETWORKDAYS(NOW(),NOW(),UKBankHolidays)&gt;0,MEDIAN(TIME(8,0,0),MOD(NOW(),1),TIME(17,0,0)),TIME(8,0,0))-IF(NETWORKDAYS(K2,K2,UKBankHolidays)&gt;0,MEDIAN(TIME(8,0,0),MOD(K2,1),TIME(17,0,0)),TIME(8,0,0))))),IF(N2="",NOW()-K2,N2-K2))</f>
        <v>0.66166666666443419</v>
      </c>
      <c r="AA2" s="75">
        <f t="shared" ref="AA2:AA256" ca="1" si="1">(Z2*24)/9</f>
        <v>1.7644444444384912</v>
      </c>
      <c r="AB2" s="76">
        <f t="shared" ref="AB2" ca="1" si="2">IF(NOT(OR(G2=1,G2=2)),MAX(0,_xlfn.IFS(AND(K2&lt;&gt;"",N2&lt;&gt;""),(((MAX(NETWORKDAYS(L2,N2,UKBankHolidays)-1,0))*(TIME(17,0,0)-TIME(8,0,0)))+IF(NETWORKDAYS(N2,N2,UKBankHolidays)&gt;0,MEDIAN(TIME(8,0,0),MOD(N2,1),TIME(17,0,0)),TIME(8,0,0))-IF(NETWORKDAYS(L2,L2,UKBankHolidays)&gt;0,MEDIAN(TIME(8,0,0),MOD(L2,1),TIME(17,0,0)),TIME(8,0,0)))-IF(AND(O2&lt;&gt;"",P2&lt;&gt;""),(((MAX(NETWORKDAYS(O2,P2,UKBankHolidays)-1,0))*(TIME(17,0,0)-TIME(8,0,0)))+IF(NETWORKDAYS(P2,P2,UKBankHolidays)&gt;0,MEDIAN(TIME(8,0,0),MOD(P2,1),TIME(17,0,0)),TIME(8,0,0))-IF(NETWORKDAYS(O2,O2,UKBankHolidays)&gt;0,MEDIAN(TIME(8,0,0),MOD(O2,1),TIME(17,0,0)),TIME(8,0,0))),0),AND(L2&lt;&gt;"",N2="",O2=""),(((MAX(NETWORKDAYS(L2,NOW(),UKBankHolidays)-1,0))*(TIME(17,0,0)-TIME(8,0,0)))+IF(NETWORKDAYS(NOW(),NOW(),UKBankHolidays)&gt;0,MEDIAN(TIME(8,0,0),MOD(NOW(),1),TIME(17,0,0)),TIME(8,0,0))-IF(NETWORKDAYS(L2,L2,UKBankHolidays)&gt;0,MEDIAN(TIME(8,0,0),MOD(L2,1),TIME(17,0,0)),TIME(8,0,0)))-IF(AND(O2&lt;&gt;"",P2&lt;&gt;""),(((MAX(NETWORKDAYS(O2,P2,UKBankHolidays)-1,0))*(TIME(17,0,0)-TIME(8,0,0)))+IF(NETWORKDAYS(P2,P2,UKBankHolidays)&gt;0,MEDIAN(TIME(8,0,0),MOD(P2,1),TIME(17,0,0)),TIME(8,0,0))-IF(NETWORKDAYS(O2,O2,UKBankHolidays)&gt;0,MEDIAN(TIME(8,0,0),MOD(O2,1),TIME(17,0,0)),TIME(8,0,0))),0),AND(L2&lt;&gt;"",N2="",P2="",O2&lt;&gt;""),(((MAX(NETWORKDAYS(L2,O2,UKBankHolidays)-1,0))*(TIME(17,0,0)-TIME(8,0,0)))+IF(NETWORKDAYS(O2,O2,UKBankHolidays)&gt;0,MEDIAN(TIME(8,0,0),MOD(O2,1),TIME(17,0,0)),TIME(8,0,0))-IF(NETWORKDAYS(L2,L2,UKBankHolidays)&gt;0,MEDIAN(TIME(8,0,0),MOD(L2,1),TIME(17,0,0)),TIME(8,0,0))),ISBLANK(K2),"0")),IF(ISBLANK(N2),NOW()-L2,N2-L2))</f>
        <v>0.66166666666443419</v>
      </c>
      <c r="AC2" s="75">
        <f t="shared" ref="AC2:AC256" ca="1" si="3">(AB2*24)/9</f>
        <v>1.7644444444384912</v>
      </c>
      <c r="AD2" s="76">
        <f t="shared" ref="AD2" ca="1" si="4">MAX(0,IF(NOT(OR(G2=1,G2=2)),IF(M2&lt;&gt;"",((MAX(NETWORKDAYS(L2,M2,UKBankHolidays)-1,0))*(TIME(17,0,0)-TIME(8,0,0))+IF(NETWORKDAYS(M2,M2,UKBankHolidays)&gt;0,MEDIAN(TIME(8,0,0),MOD(M2,1),TIME(17,0,0)),TIME(8,0,0))-MEDIAN(TIME(8,0,0),MOD(L2,1),TIME(17,0,0))),((MAX(NETWORKDAYS(L2,NOW(),UKBankHolidays)-1,0))*(TIME(17,0,0)-TIME(8,0,0))+IF(NETWORKDAYS(NOW(),NOW(),UKBankHolidays)&gt;0,MEDIAN(TIME(8,0,0),MOD(NOW(),1),TIME(17,0,0)),TIME(8,0,0))-MEDIAN(TIME(8,0,0),MOD(L2,1),TIME(17,0,0)))),IF(M2&lt;&gt;"",M2-L2,NOW()-L2)))</f>
        <v>0.17421296296379296</v>
      </c>
      <c r="AE2" s="76">
        <f t="shared" ref="AE2" ca="1" si="5">SUMIFS(AB:AB,E:E,E2)</f>
        <v>0.66166666666443419</v>
      </c>
      <c r="AF2" s="75">
        <f t="shared" ref="AF2:AF256" ca="1" si="6">(AE2*24)/9</f>
        <v>1.7644444444384912</v>
      </c>
      <c r="AG2" s="75">
        <f t="shared" ref="AG2:AG256" ca="1" si="7">AF2</f>
        <v>1.7644444444384912</v>
      </c>
      <c r="AH2" s="31" t="str" cm="1">
        <f t="array" aca="1" ref="AH2" ca="1">IF((AD2) &lt; (INDEX(ResponseSLA[#All],(MATCH((G2),ResponseSLA[Priority],0))+1,3)),"YES","No")</f>
        <v>No</v>
      </c>
      <c r="AI2" s="31" t="str">
        <f ca="1">_xlfn.IFNA(IF(AE2 &lt; (INDEX(SLATable[Minimum SLA],MATCH(G2,SLATable[Priority],0))),"YES","NO"),"")</f>
        <v>YES</v>
      </c>
      <c r="AJ2" t="str">
        <f ca="1">_xlfn.IFNA(IF(AE2 &lt; (INDEX(SLATable[Maximum SLA],MATCH(G2,SLATable[Priority],0))),"YES","NO"),"")</f>
        <v>YES</v>
      </c>
    </row>
    <row r="3" spans="1:36" ht="15" customHeight="1">
      <c r="A3" s="45">
        <v>2</v>
      </c>
      <c r="B3" s="45" t="s">
        <v>46</v>
      </c>
      <c r="C3" s="45" t="s">
        <v>42</v>
      </c>
      <c r="D3" s="45" t="s">
        <v>207</v>
      </c>
      <c r="E3" s="69" t="s">
        <v>8668</v>
      </c>
      <c r="F3" s="45" t="s">
        <v>49</v>
      </c>
      <c r="G3" s="45">
        <v>4</v>
      </c>
      <c r="H3" s="55" t="s">
        <v>8666</v>
      </c>
      <c r="I3" s="45" t="s">
        <v>271</v>
      </c>
      <c r="J3" s="45" t="s">
        <v>8667</v>
      </c>
      <c r="K3" s="70">
        <v>46142.640636574077</v>
      </c>
      <c r="L3" s="47">
        <v>46142.640636574077</v>
      </c>
      <c r="M3" s="47">
        <v>46148.306377314817</v>
      </c>
      <c r="N3" s="70">
        <v>46199.450937499998</v>
      </c>
      <c r="O3" s="47">
        <v>46148.329895833333</v>
      </c>
      <c r="P3" s="47">
        <v>46199.450937499998</v>
      </c>
      <c r="Q3" s="45" t="s">
        <v>5509</v>
      </c>
      <c r="R3" s="45" t="s">
        <v>267</v>
      </c>
      <c r="S3" s="45" t="s">
        <v>141</v>
      </c>
      <c r="Z3" s="76">
        <f t="shared" ref="Z3:Z66" ca="1" si="8">IF(NOT(OR(G3=1,G3=2)),MAX(0,_xlfn.IFS(AND(K3&lt;&gt;"",N3&lt;&gt;""),((MAX(NETWORKDAYS(K3,N3,UKBankHolidays)-1,0))*(TIME(17,0,0)-TIME(8,0,0))+IF(NETWORKDAYS(N3,N3,UKBankHolidays)&gt;0,MEDIAN(TIME(8,0,0),MOD(N3,1),TIME(17,0,0)),TIME(8,0,0))-IF(NETWORKDAYS(K3,K3,UKBankHolidays)&gt;0,MEDIAN(TIME(8,0,0),MOD(K3,1),TIME(17,0,0)),TIME(8,0,0)))-IF(AND(O3&lt;&gt;"",P3&lt;&gt;""),((MAX(NETWORKDAYS(O3,P3,UKBankHolidays)-1,0))*(TIME(17,0,0)-TIME(8,0,0))+IF(NETWORKDAYS(P3,P3,UKBankHolidays)&gt;0,MEDIAN(TIME(8,0,0),MOD(P3,1),TIME(17,0,0)),TIME(8,0,0))-IF(NETWORKDAYS(O3,O3,UKBankHolidays)&gt;0,MEDIAN(TIME(8,0,0),MOD(O3,1),TIME(17,0,0)),TIME(8,0,0))),0),AND(K3&lt;&gt;"",N3=""),((MAX(NETWORKDAYS(K3,NOW(),UKBankHolidays)-1,0))*(TIME(17,0,0)-TIME(8,0,0))+IF(NETWORKDAYS(NOW(),NOW(),UKBankHolidays)&gt;0,MEDIAN(TIME(8,0,0),MOD(NOW(),1),TIME(17,0,0)),TIME(8,0,0))-IF(NETWORKDAYS(K3,K3,UKBankHolidays)&gt;0,MEDIAN(TIME(8,0,0),MOD(K3,1),TIME(17,0,0)),TIME(8,0,0))))),IF(N3="",NOW()-K3,N3-K3))</f>
        <v>0.44269675925655427</v>
      </c>
      <c r="AA3" s="75">
        <f t="shared" ca="1" si="1"/>
        <v>1.1805246913508114</v>
      </c>
      <c r="AB3" s="76">
        <f t="shared" ref="AB3:AB66" ca="1" si="9">IF(NOT(OR(G3=1,G3=2)),MAX(0,_xlfn.IFS(AND(K3&lt;&gt;"",N3&lt;&gt;""),(((MAX(NETWORKDAYS(L3,N3,UKBankHolidays)-1,0))*(TIME(17,0,0)-TIME(8,0,0)))+IF(NETWORKDAYS(N3,N3,UKBankHolidays)&gt;0,MEDIAN(TIME(8,0,0),MOD(N3,1),TIME(17,0,0)),TIME(8,0,0))-IF(NETWORKDAYS(L3,L3,UKBankHolidays)&gt;0,MEDIAN(TIME(8,0,0),MOD(L3,1),TIME(17,0,0)),TIME(8,0,0)))-IF(AND(O3&lt;&gt;"",P3&lt;&gt;""),(((MAX(NETWORKDAYS(O3,P3,UKBankHolidays)-1,0))*(TIME(17,0,0)-TIME(8,0,0)))+IF(NETWORKDAYS(P3,P3,UKBankHolidays)&gt;0,MEDIAN(TIME(8,0,0),MOD(P3,1),TIME(17,0,0)),TIME(8,0,0))-IF(NETWORKDAYS(O3,O3,UKBankHolidays)&gt;0,MEDIAN(TIME(8,0,0),MOD(O3,1),TIME(17,0,0)),TIME(8,0,0))),0),AND(L3&lt;&gt;"",N3="",O3=""),(((MAX(NETWORKDAYS(L3,NOW(),UKBankHolidays)-1,0))*(TIME(17,0,0)-TIME(8,0,0)))+IF(NETWORKDAYS(NOW(),NOW(),UKBankHolidays)&gt;0,MEDIAN(TIME(8,0,0),MOD(NOW(),1),TIME(17,0,0)),TIME(8,0,0))-IF(NETWORKDAYS(L3,L3,UKBankHolidays)&gt;0,MEDIAN(TIME(8,0,0),MOD(L3,1),TIME(17,0,0)),TIME(8,0,0)))-IF(AND(O3&lt;&gt;"",P3&lt;&gt;""),(((MAX(NETWORKDAYS(O3,P3,UKBankHolidays)-1,0))*(TIME(17,0,0)-TIME(8,0,0)))+IF(NETWORKDAYS(P3,P3,UKBankHolidays)&gt;0,MEDIAN(TIME(8,0,0),MOD(P3,1),TIME(17,0,0)),TIME(8,0,0))-IF(NETWORKDAYS(O3,O3,UKBankHolidays)&gt;0,MEDIAN(TIME(8,0,0),MOD(O3,1),TIME(17,0,0)),TIME(8,0,0))),0),AND(L3&lt;&gt;"",N3="",P3="",O3&lt;&gt;""),(((MAX(NETWORKDAYS(L3,O3,UKBankHolidays)-1,0))*(TIME(17,0,0)-TIME(8,0,0)))+IF(NETWORKDAYS(O3,O3,UKBankHolidays)&gt;0,MEDIAN(TIME(8,0,0),MOD(O3,1),TIME(17,0,0)),TIME(8,0,0))-IF(NETWORKDAYS(L3,L3,UKBankHolidays)&gt;0,MEDIAN(TIME(8,0,0),MOD(L3,1),TIME(17,0,0)),TIME(8,0,0))),ISBLANK(K3),"0")),IF(ISBLANK(N3),NOW()-L3,N3-L3))</f>
        <v>0.44269675925655427</v>
      </c>
      <c r="AC3" s="75">
        <f t="shared" ca="1" si="3"/>
        <v>1.1805246913508114</v>
      </c>
      <c r="AD3" s="76">
        <f t="shared" ref="AD3:AD66" ca="1" si="10">MAX(0,IF(NOT(OR(G3=1,G3=2)),IF(M3&lt;&gt;"",((MAX(NETWORKDAYS(L3,M3,UKBankHolidays)-1,0))*(TIME(17,0,0)-TIME(8,0,0))+IF(NETWORKDAYS(M3,M3,UKBankHolidays)&gt;0,MEDIAN(TIME(8,0,0),MOD(M3,1),TIME(17,0,0)),TIME(8,0,0))-MEDIAN(TIME(8,0,0),MOD(L3,1),TIME(17,0,0))),((MAX(NETWORKDAYS(L3,NOW(),UKBankHolidays)-1,0))*(TIME(17,0,0)-TIME(8,0,0))+IF(NETWORKDAYS(NOW(),NOW(),UKBankHolidays)&gt;0,MEDIAN(TIME(8,0,0),MOD(NOW(),1),TIME(17,0,0)),TIME(8,0,0))-MEDIAN(TIME(8,0,0),MOD(L3,1),TIME(17,0,0)))),IF(M3&lt;&gt;"",M3-L3,NOW()-L3)))</f>
        <v>0.44269675925655383</v>
      </c>
      <c r="AE3" s="76">
        <f t="shared" ref="AE3:AE66" ca="1" si="11">SUMIFS(AB:AB,E:E,E3)</f>
        <v>0.44269675925655427</v>
      </c>
      <c r="AF3" s="75">
        <f t="shared" ca="1" si="6"/>
        <v>1.1805246913508114</v>
      </c>
      <c r="AG3" s="75">
        <f t="shared" ca="1" si="7"/>
        <v>1.1805246913508114</v>
      </c>
      <c r="AH3" s="31" t="str" cm="1">
        <f t="array" aca="1" ref="AH3" ca="1">IF((AD3) &lt; (INDEX(ResponseSLA[#All],(MATCH((G3),ResponseSLA[Priority],0))+1,3)),"YES","No")</f>
        <v>No</v>
      </c>
      <c r="AI3" s="31" t="str">
        <f ca="1">_xlfn.IFNA(IF(AE3 &lt; (INDEX(SLATable[Minimum SLA],MATCH(G3,SLATable[Priority],0))),"YES","NO"),"")</f>
        <v>YES</v>
      </c>
      <c r="AJ3" t="str">
        <f ca="1">_xlfn.IFNA(IF(AE3 &lt; (INDEX(SLATable[Maximum SLA],MATCH(G3,SLATable[Priority],0))),"YES","NO"),"")</f>
        <v>YES</v>
      </c>
    </row>
    <row r="4" spans="1:36" ht="15" customHeight="1">
      <c r="A4" s="45">
        <v>3</v>
      </c>
      <c r="B4" s="45" t="s">
        <v>46</v>
      </c>
      <c r="C4" s="45" t="s">
        <v>42</v>
      </c>
      <c r="D4" s="45" t="s">
        <v>208</v>
      </c>
      <c r="E4" s="69" t="s">
        <v>8669</v>
      </c>
      <c r="F4" s="45" t="s">
        <v>49</v>
      </c>
      <c r="G4" s="45" t="s">
        <v>208</v>
      </c>
      <c r="H4" s="63" t="s">
        <v>8670</v>
      </c>
      <c r="I4" s="45" t="s">
        <v>271</v>
      </c>
      <c r="J4" s="45" t="s">
        <v>8667</v>
      </c>
      <c r="K4" s="71">
        <v>46146.507037037038</v>
      </c>
      <c r="L4" s="54">
        <v>46146.507037037038</v>
      </c>
      <c r="M4" s="54">
        <v>46148.308657407404</v>
      </c>
      <c r="N4" s="70">
        <v>46148.308993055558</v>
      </c>
      <c r="O4" s="47">
        <v>46148.308993055558</v>
      </c>
      <c r="P4" s="47">
        <v>46148.308993055558</v>
      </c>
      <c r="Q4" s="45" t="s">
        <v>5509</v>
      </c>
      <c r="R4" s="45" t="s">
        <v>267</v>
      </c>
      <c r="S4" s="45" t="s">
        <v>179</v>
      </c>
      <c r="Z4" s="76">
        <f t="shared" ca="1" si="8"/>
        <v>0.37500000000000006</v>
      </c>
      <c r="AA4" s="75">
        <f t="shared" ca="1" si="1"/>
        <v>1.0000000000000002</v>
      </c>
      <c r="AB4" s="76">
        <f t="shared" ca="1" si="9"/>
        <v>0.37500000000000006</v>
      </c>
      <c r="AC4" s="75">
        <f t="shared" ca="1" si="3"/>
        <v>1.0000000000000002</v>
      </c>
      <c r="AD4" s="76">
        <f t="shared" ca="1" si="10"/>
        <v>0.20129629629567114</v>
      </c>
      <c r="AE4" s="76">
        <f t="shared" ca="1" si="11"/>
        <v>0.37500000000000006</v>
      </c>
      <c r="AF4" s="75">
        <f t="shared" ca="1" si="6"/>
        <v>1.0000000000000002</v>
      </c>
      <c r="AG4" s="75">
        <f t="shared" ca="1" si="7"/>
        <v>1.0000000000000002</v>
      </c>
      <c r="AH4" s="31" t="str" cm="1">
        <f t="array" aca="1" ref="AH4" ca="1">IF((AD4) &lt; (INDEX(ResponseSLA[#All],(MATCH((G4),ResponseSLA[Priority],0))+1,3)),"YES","No")</f>
        <v>YES</v>
      </c>
      <c r="AI4" s="31" t="str">
        <f ca="1">_xlfn.IFNA(IF(AE4 &lt; (INDEX(SLATable[Minimum SLA],MATCH(G4,SLATable[Priority],0))),"YES","NO"),"")</f>
        <v>YES</v>
      </c>
      <c r="AJ4" t="str">
        <f ca="1">_xlfn.IFNA(IF(AE4 &lt; (INDEX(SLATable[Maximum SLA],MATCH(G4,SLATable[Priority],0))),"YES","NO"),"")</f>
        <v>YES</v>
      </c>
    </row>
    <row r="5" spans="1:36" ht="15" customHeight="1">
      <c r="A5" s="45">
        <v>4</v>
      </c>
      <c r="B5" s="45" t="s">
        <v>46</v>
      </c>
      <c r="C5" s="45" t="s">
        <v>42</v>
      </c>
      <c r="D5" s="45" t="s">
        <v>231</v>
      </c>
      <c r="E5" s="69" t="s">
        <v>8671</v>
      </c>
      <c r="F5" s="45" t="s">
        <v>49</v>
      </c>
      <c r="G5" s="45" t="s">
        <v>265</v>
      </c>
      <c r="H5" s="63" t="s">
        <v>8672</v>
      </c>
      <c r="I5" s="45" t="s">
        <v>271</v>
      </c>
      <c r="J5" s="45" t="s">
        <v>8667</v>
      </c>
      <c r="K5" s="70">
        <v>46126.872013888889</v>
      </c>
      <c r="L5" s="47">
        <v>46126.872013888889</v>
      </c>
      <c r="M5" s="47">
        <v>46126.872013888889</v>
      </c>
      <c r="N5" s="70">
        <v>46192.367199074077</v>
      </c>
      <c r="Q5" s="45" t="s">
        <v>5509</v>
      </c>
      <c r="R5" s="45" t="s">
        <v>267</v>
      </c>
      <c r="S5" s="45" t="s">
        <v>141</v>
      </c>
      <c r="Z5" s="76">
        <f t="shared" ca="1" si="8"/>
        <v>16.533865740743451</v>
      </c>
      <c r="AA5" s="75">
        <f t="shared" ca="1" si="1"/>
        <v>44.090308641982539</v>
      </c>
      <c r="AB5" s="76">
        <f t="shared" ca="1" si="9"/>
        <v>16.533865740743451</v>
      </c>
      <c r="AC5" s="75">
        <f t="shared" ca="1" si="3"/>
        <v>44.090308641982539</v>
      </c>
      <c r="AD5" s="76">
        <f t="shared" ca="1" si="10"/>
        <v>0</v>
      </c>
      <c r="AE5" s="76">
        <f t="shared" ca="1" si="11"/>
        <v>16.533865740743451</v>
      </c>
      <c r="AF5" s="75">
        <f t="shared" ca="1" si="6"/>
        <v>44.090308641982539</v>
      </c>
      <c r="AG5" s="75">
        <f t="shared" ca="1" si="7"/>
        <v>44.090308641982539</v>
      </c>
      <c r="AH5" s="31" t="str" cm="1">
        <f t="array" aca="1" ref="AH5" ca="1">IF((AD5) &lt; (INDEX(ResponseSLA[#All],(MATCH((G5),ResponseSLA[Priority],0))+1,3)),"YES","No")</f>
        <v>YES</v>
      </c>
      <c r="AI5" s="31" t="str">
        <f ca="1">_xlfn.IFNA(IF(AE5 &lt; (INDEX(SLATable[Minimum SLA],MATCH(G5,SLATable[Priority],0))),"YES","NO"),"")</f>
        <v>NO</v>
      </c>
      <c r="AJ5" t="str">
        <f ca="1">_xlfn.IFNA(IF(AE5 &lt; (INDEX(SLATable[Maximum SLA],MATCH(G5,SLATable[Priority],0))),"YES","NO"),"")</f>
        <v>NO</v>
      </c>
    </row>
    <row r="6" spans="1:36" ht="15" customHeight="1">
      <c r="A6" s="45">
        <v>5</v>
      </c>
      <c r="B6" s="45" t="s">
        <v>46</v>
      </c>
      <c r="C6" s="45" t="s">
        <v>42</v>
      </c>
      <c r="D6" s="45" t="s">
        <v>207</v>
      </c>
      <c r="E6" s="69" t="s">
        <v>8673</v>
      </c>
      <c r="F6" s="45" t="s">
        <v>49</v>
      </c>
      <c r="G6" s="45">
        <v>4</v>
      </c>
      <c r="H6" s="63" t="s">
        <v>8674</v>
      </c>
      <c r="I6" s="45" t="s">
        <v>271</v>
      </c>
      <c r="J6" s="45" t="s">
        <v>8675</v>
      </c>
      <c r="K6" s="70">
        <v>46176.513564814813</v>
      </c>
      <c r="L6" s="47">
        <v>46176.528784722221</v>
      </c>
      <c r="M6" s="47">
        <v>46177.478900462964</v>
      </c>
      <c r="N6" s="70">
        <v>46181.562858796293</v>
      </c>
      <c r="O6" s="71">
        <v>46177.479212962964</v>
      </c>
      <c r="P6" s="47">
        <v>46181.562858796293</v>
      </c>
      <c r="Q6" s="45" t="s">
        <v>8676</v>
      </c>
      <c r="R6" s="45" t="s">
        <v>267</v>
      </c>
      <c r="S6" s="45" t="s">
        <v>149</v>
      </c>
      <c r="Z6" s="76">
        <f t="shared" ca="1" si="8"/>
        <v>0.34064814815064914</v>
      </c>
      <c r="AA6" s="75">
        <f t="shared" ca="1" si="1"/>
        <v>0.90839506173506435</v>
      </c>
      <c r="AB6" s="76">
        <f t="shared" ca="1" si="9"/>
        <v>0.32542824074334953</v>
      </c>
      <c r="AC6" s="75">
        <f t="shared" ca="1" si="3"/>
        <v>0.86780864198226537</v>
      </c>
      <c r="AD6" s="76">
        <f t="shared" ca="1" si="10"/>
        <v>0.32511574074305827</v>
      </c>
      <c r="AE6" s="76">
        <f t="shared" ca="1" si="11"/>
        <v>0.32542824074334953</v>
      </c>
      <c r="AF6" s="75">
        <f t="shared" ca="1" si="6"/>
        <v>0.86780864198226537</v>
      </c>
      <c r="AG6" s="75">
        <f t="shared" ca="1" si="7"/>
        <v>0.86780864198226537</v>
      </c>
      <c r="AH6" s="31" t="str" cm="1">
        <f t="array" aca="1" ref="AH6" ca="1">IF((AD6) &lt; (INDEX(ResponseSLA[#All],(MATCH((G6),ResponseSLA[Priority],0))+1,3)),"YES","No")</f>
        <v>No</v>
      </c>
      <c r="AI6" s="31" t="str">
        <f ca="1">_xlfn.IFNA(IF(AE6 &lt; (INDEX(SLATable[Minimum SLA],MATCH(G6,SLATable[Priority],0))),"YES","NO"),"")</f>
        <v>YES</v>
      </c>
      <c r="AJ6" t="str">
        <f ca="1">_xlfn.IFNA(IF(AE6 &lt; (INDEX(SLATable[Maximum SLA],MATCH(G6,SLATable[Priority],0))),"YES","NO"),"")</f>
        <v>YES</v>
      </c>
    </row>
    <row r="7" spans="1:36" ht="15" customHeight="1">
      <c r="A7" s="45">
        <v>6</v>
      </c>
      <c r="B7" s="45" t="s">
        <v>46</v>
      </c>
      <c r="C7" s="45" t="s">
        <v>42</v>
      </c>
      <c r="D7" s="45" t="s">
        <v>208</v>
      </c>
      <c r="E7" s="45" t="s">
        <v>8677</v>
      </c>
      <c r="F7" s="45" t="s">
        <v>49</v>
      </c>
      <c r="G7" s="45" t="s">
        <v>208</v>
      </c>
      <c r="H7" s="45" t="s">
        <v>8678</v>
      </c>
      <c r="I7" s="45" t="s">
        <v>271</v>
      </c>
      <c r="J7" s="45" t="s">
        <v>8675</v>
      </c>
      <c r="K7" s="71">
        <v>46175.58625</v>
      </c>
      <c r="L7" s="54">
        <v>46181.563738425924</v>
      </c>
      <c r="M7" s="54">
        <v>46181.563738425924</v>
      </c>
      <c r="N7" s="70">
        <v>46181.565798611111</v>
      </c>
      <c r="Q7" s="45" t="s">
        <v>8676</v>
      </c>
      <c r="R7" s="45" t="s">
        <v>267</v>
      </c>
      <c r="S7" s="45" t="s">
        <v>179</v>
      </c>
      <c r="Z7" s="76">
        <f t="shared" ca="1" si="8"/>
        <v>1.4795486111106584</v>
      </c>
      <c r="AA7" s="75">
        <f t="shared" ca="1" si="1"/>
        <v>3.9454629629617557</v>
      </c>
      <c r="AB7" s="76">
        <f t="shared" ca="1" si="9"/>
        <v>2.0601851865649223E-3</v>
      </c>
      <c r="AC7" s="75">
        <f t="shared" ca="1" si="3"/>
        <v>5.4938271641731262E-3</v>
      </c>
      <c r="AD7" s="76">
        <f t="shared" ca="1" si="10"/>
        <v>0</v>
      </c>
      <c r="AE7" s="76">
        <f t="shared" ca="1" si="11"/>
        <v>2.0601851865649223E-3</v>
      </c>
      <c r="AF7" s="75">
        <f t="shared" ca="1" si="6"/>
        <v>5.4938271641731262E-3</v>
      </c>
      <c r="AG7" s="75">
        <f t="shared" ca="1" si="7"/>
        <v>5.4938271641731262E-3</v>
      </c>
      <c r="AH7" s="31" t="str" cm="1">
        <f t="array" aca="1" ref="AH7" ca="1">IF((AD7) &lt; (INDEX(ResponseSLA[#All],(MATCH((G7),ResponseSLA[Priority],0))+1,3)),"YES","No")</f>
        <v>YES</v>
      </c>
      <c r="AI7" s="31" t="str">
        <f ca="1">_xlfn.IFNA(IF(AE7 &lt; (INDEX(SLATable[Minimum SLA],MATCH(G7,SLATable[Priority],0))),"YES","NO"),"")</f>
        <v>YES</v>
      </c>
      <c r="AJ7" t="str">
        <f ca="1">_xlfn.IFNA(IF(AE7 &lt; (INDEX(SLATable[Maximum SLA],MATCH(G7,SLATable[Priority],0))),"YES","NO"),"")</f>
        <v>YES</v>
      </c>
    </row>
    <row r="8" spans="1:36" ht="15" customHeight="1">
      <c r="A8" s="45">
        <v>7</v>
      </c>
      <c r="B8" s="45" t="s">
        <v>46</v>
      </c>
      <c r="C8" s="45" t="s">
        <v>42</v>
      </c>
      <c r="D8" s="45" t="s">
        <v>208</v>
      </c>
      <c r="E8" s="45" t="s">
        <v>8679</v>
      </c>
      <c r="F8" s="45" t="s">
        <v>49</v>
      </c>
      <c r="G8" s="45" t="s">
        <v>208</v>
      </c>
      <c r="H8" s="45" t="s">
        <v>8670</v>
      </c>
      <c r="I8" s="45" t="s">
        <v>271</v>
      </c>
      <c r="J8" s="45" t="s">
        <v>8675</v>
      </c>
      <c r="K8" s="47">
        <v>46191.401666666665</v>
      </c>
      <c r="L8" s="47">
        <v>46191.401666666665</v>
      </c>
      <c r="M8" s="47">
        <v>46191.571504629632</v>
      </c>
      <c r="N8" s="47">
        <v>46192.324976851851</v>
      </c>
      <c r="O8" s="47">
        <v>46191.58021990741</v>
      </c>
      <c r="P8" s="47">
        <v>46192.324976851851</v>
      </c>
      <c r="Q8" s="45" t="s">
        <v>8680</v>
      </c>
      <c r="R8" s="45" t="s">
        <v>267</v>
      </c>
      <c r="S8" s="45" t="s">
        <v>179</v>
      </c>
      <c r="Z8" s="76">
        <f t="shared" ca="1" si="8"/>
        <v>0.1785532407448045</v>
      </c>
      <c r="AA8" s="75">
        <f t="shared" ca="1" si="1"/>
        <v>0.47614197531947866</v>
      </c>
      <c r="AB8" s="76">
        <f t="shared" ca="1" si="9"/>
        <v>0.1785532407448045</v>
      </c>
      <c r="AC8" s="75">
        <f t="shared" ca="1" si="3"/>
        <v>0.47614197531947866</v>
      </c>
      <c r="AD8" s="76">
        <f t="shared" ca="1" si="10"/>
        <v>0.16983796296699438</v>
      </c>
      <c r="AE8" s="76">
        <f t="shared" ca="1" si="11"/>
        <v>0.1785532407448045</v>
      </c>
      <c r="AF8" s="75">
        <f t="shared" ca="1" si="6"/>
        <v>0.47614197531947866</v>
      </c>
      <c r="AG8" s="75">
        <f t="shared" ca="1" si="7"/>
        <v>0.47614197531947866</v>
      </c>
      <c r="AH8" s="31" t="str" cm="1">
        <f t="array" aca="1" ref="AH8" ca="1">IF((AD8) &lt; (INDEX(ResponseSLA[#All],(MATCH((G8),ResponseSLA[Priority],0))+1,3)),"YES","No")</f>
        <v>YES</v>
      </c>
      <c r="AI8" s="31" t="str">
        <f ca="1">_xlfn.IFNA(IF(AE8 &lt; (INDEX(SLATable[Minimum SLA],MATCH(G8,SLATable[Priority],0))),"YES","NO"),"")</f>
        <v>YES</v>
      </c>
      <c r="AJ8" t="str">
        <f ca="1">_xlfn.IFNA(IF(AE8 &lt; (INDEX(SLATable[Maximum SLA],MATCH(G8,SLATable[Priority],0))),"YES","NO"),"")</f>
        <v>YES</v>
      </c>
    </row>
    <row r="9" spans="1:36" ht="15" customHeight="1">
      <c r="A9" s="45">
        <v>8</v>
      </c>
      <c r="B9" s="45" t="s">
        <v>46</v>
      </c>
      <c r="C9" s="45" t="s">
        <v>42</v>
      </c>
      <c r="D9" s="45" t="s">
        <v>208</v>
      </c>
      <c r="E9" s="45" t="s">
        <v>8681</v>
      </c>
      <c r="F9" s="45" t="s">
        <v>49</v>
      </c>
      <c r="G9" s="45" t="s">
        <v>208</v>
      </c>
      <c r="H9" s="45" t="s">
        <v>8670</v>
      </c>
      <c r="I9" s="45" t="s">
        <v>271</v>
      </c>
      <c r="J9" s="45" t="s">
        <v>8675</v>
      </c>
      <c r="K9" s="47">
        <v>46191.4766087963</v>
      </c>
      <c r="L9" s="52">
        <v>46191.4766087963</v>
      </c>
      <c r="M9" s="188">
        <v>46191.537743055553</v>
      </c>
      <c r="N9" s="188">
        <v>46192.323055555556</v>
      </c>
      <c r="O9" s="188">
        <v>46191.568993055553</v>
      </c>
      <c r="P9" s="188">
        <v>46192.323055555556</v>
      </c>
      <c r="Q9" s="45" t="s">
        <v>8680</v>
      </c>
      <c r="R9" s="45" t="s">
        <v>267</v>
      </c>
      <c r="S9" s="45" t="s">
        <v>179</v>
      </c>
      <c r="Z9" s="76">
        <f t="shared" ca="1" si="8"/>
        <v>9.2384259252867196E-2</v>
      </c>
      <c r="AA9" s="75">
        <f t="shared" ca="1" si="1"/>
        <v>0.24635802467431253</v>
      </c>
      <c r="AB9" s="76">
        <f t="shared" ca="1" si="9"/>
        <v>9.2384259252867196E-2</v>
      </c>
      <c r="AC9" s="75">
        <f t="shared" ca="1" si="3"/>
        <v>0.24635802467431253</v>
      </c>
      <c r="AD9" s="76">
        <f t="shared" ca="1" si="10"/>
        <v>6.1134259252867196E-2</v>
      </c>
      <c r="AE9" s="76">
        <f t="shared" ca="1" si="11"/>
        <v>9.2384259252867196E-2</v>
      </c>
      <c r="AF9" s="75">
        <f t="shared" ca="1" si="6"/>
        <v>0.24635802467431253</v>
      </c>
      <c r="AG9" s="75">
        <f t="shared" ca="1" si="7"/>
        <v>0.24635802467431253</v>
      </c>
      <c r="AH9" s="31" t="str" cm="1">
        <f t="array" aca="1" ref="AH9" ca="1">IF((AD9) &lt; (INDEX(ResponseSLA[#All],(MATCH((G9),ResponseSLA[Priority],0))+1,3)),"YES","No")</f>
        <v>YES</v>
      </c>
      <c r="AI9" s="31" t="str">
        <f ca="1">_xlfn.IFNA(IF(AE9 &lt; (INDEX(SLATable[Minimum SLA],MATCH(G9,SLATable[Priority],0))),"YES","NO"),"")</f>
        <v>YES</v>
      </c>
      <c r="AJ9" t="str">
        <f ca="1">_xlfn.IFNA(IF(AE9 &lt; (INDEX(SLATable[Maximum SLA],MATCH(G9,SLATable[Priority],0))),"YES","NO"),"")</f>
        <v>YES</v>
      </c>
    </row>
    <row r="10" spans="1:36" ht="15" customHeight="1">
      <c r="A10" s="45">
        <v>9</v>
      </c>
      <c r="B10" s="45" t="s">
        <v>46</v>
      </c>
      <c r="C10" s="45" t="s">
        <v>42</v>
      </c>
      <c r="D10" s="45" t="s">
        <v>208</v>
      </c>
      <c r="E10" s="45" t="s">
        <v>8682</v>
      </c>
      <c r="F10" s="45" t="s">
        <v>49</v>
      </c>
      <c r="G10" s="45" t="s">
        <v>208</v>
      </c>
      <c r="H10" s="53" t="s">
        <v>8670</v>
      </c>
      <c r="I10" s="45" t="s">
        <v>271</v>
      </c>
      <c r="J10" s="45" t="s">
        <v>8675</v>
      </c>
      <c r="K10" s="47">
        <v>46191.49386574074</v>
      </c>
      <c r="L10" s="52">
        <v>46191.49386574074</v>
      </c>
      <c r="M10" s="52">
        <v>46191.537858796299</v>
      </c>
      <c r="N10" s="52">
        <v>46192.319814814815</v>
      </c>
      <c r="O10" s="47">
        <v>46191.568958333337</v>
      </c>
      <c r="P10" s="47">
        <v>46192.319814814815</v>
      </c>
      <c r="Q10" s="45" t="s">
        <v>8680</v>
      </c>
      <c r="R10" s="45" t="s">
        <v>267</v>
      </c>
      <c r="S10" s="45" t="s">
        <v>179</v>
      </c>
      <c r="Z10" s="76">
        <f t="shared" ca="1" si="8"/>
        <v>7.5092592596774921E-2</v>
      </c>
      <c r="AA10" s="75">
        <f t="shared" ca="1" si="1"/>
        <v>0.20024691359139979</v>
      </c>
      <c r="AB10" s="76">
        <f t="shared" ca="1" si="9"/>
        <v>7.5092592596774921E-2</v>
      </c>
      <c r="AC10" s="75">
        <f t="shared" ca="1" si="3"/>
        <v>0.20024691359139979</v>
      </c>
      <c r="AD10" s="76">
        <f t="shared" ca="1" si="10"/>
        <v>4.3993055558530614E-2</v>
      </c>
      <c r="AE10" s="76">
        <f t="shared" ca="1" si="11"/>
        <v>7.5092592596774921E-2</v>
      </c>
      <c r="AF10" s="75">
        <f t="shared" ca="1" si="6"/>
        <v>0.20024691359139979</v>
      </c>
      <c r="AG10" s="75">
        <f t="shared" ca="1" si="7"/>
        <v>0.20024691359139979</v>
      </c>
      <c r="AH10" s="31" t="str" cm="1">
        <f t="array" aca="1" ref="AH10" ca="1">IF((AD10) &lt; (INDEX(ResponseSLA[#All],(MATCH((G10),ResponseSLA[Priority],0))+1,3)),"YES","No")</f>
        <v>YES</v>
      </c>
      <c r="AI10" s="31" t="str">
        <f ca="1">_xlfn.IFNA(IF(AE10 &lt; (INDEX(SLATable[Minimum SLA],MATCH(G10,SLATable[Priority],0))),"YES","NO"),"")</f>
        <v>YES</v>
      </c>
      <c r="AJ10" t="str">
        <f ca="1">_xlfn.IFNA(IF(AE10 &lt; (INDEX(SLATable[Maximum SLA],MATCH(G10,SLATable[Priority],0))),"YES","NO"),"")</f>
        <v>YES</v>
      </c>
    </row>
    <row r="11" spans="1:36" ht="15" customHeight="1">
      <c r="A11" s="45">
        <v>10</v>
      </c>
      <c r="B11" s="45" t="s">
        <v>46</v>
      </c>
      <c r="C11" s="45" t="s">
        <v>42</v>
      </c>
      <c r="D11" s="45" t="s">
        <v>207</v>
      </c>
      <c r="E11" s="45" t="s">
        <v>8683</v>
      </c>
      <c r="F11" s="45" t="s">
        <v>49</v>
      </c>
      <c r="G11" s="45">
        <v>3</v>
      </c>
      <c r="H11" s="45" t="s">
        <v>8684</v>
      </c>
      <c r="I11" s="45" t="s">
        <v>271</v>
      </c>
      <c r="J11" s="45" t="s">
        <v>8667</v>
      </c>
      <c r="K11" s="47">
        <v>46189.43340277778</v>
      </c>
      <c r="L11" s="47">
        <v>46189.43340277778</v>
      </c>
      <c r="M11" s="47">
        <v>46189.458333333336</v>
      </c>
      <c r="N11" s="47">
        <v>46192.562743055554</v>
      </c>
      <c r="Q11" s="45" t="s">
        <v>5509</v>
      </c>
      <c r="R11" s="45" t="s">
        <v>267</v>
      </c>
      <c r="S11" s="45" t="s">
        <v>141</v>
      </c>
      <c r="Z11" s="76">
        <f t="shared" ca="1" si="8"/>
        <v>1.2543402777737358</v>
      </c>
      <c r="AA11" s="75">
        <f t="shared" ca="1" si="1"/>
        <v>3.344907407396629</v>
      </c>
      <c r="AB11" s="76">
        <f t="shared" ca="1" si="9"/>
        <v>1.2543402777737358</v>
      </c>
      <c r="AC11" s="75">
        <f t="shared" ca="1" si="3"/>
        <v>3.344907407396629</v>
      </c>
      <c r="AD11" s="76">
        <f t="shared" ca="1" si="10"/>
        <v>2.4930555555329192E-2</v>
      </c>
      <c r="AE11" s="76">
        <f t="shared" ca="1" si="11"/>
        <v>1.2543402777737358</v>
      </c>
      <c r="AF11" s="75">
        <f t="shared" ca="1" si="6"/>
        <v>3.344907407396629</v>
      </c>
      <c r="AG11" s="75">
        <f t="shared" ca="1" si="7"/>
        <v>3.344907407396629</v>
      </c>
      <c r="AH11" s="31" t="str" cm="1">
        <f t="array" aca="1" ref="AH11" ca="1">IF((AD11) &lt; (INDEX(ResponseSLA[#All],(MATCH((G11),ResponseSLA[Priority],0))+1,3)),"YES","No")</f>
        <v>YES</v>
      </c>
      <c r="AI11" s="31" t="str">
        <f ca="1">_xlfn.IFNA(IF(AE11 &lt; (INDEX(SLATable[Minimum SLA],MATCH(G11,SLATable[Priority],0))),"YES","NO"),"")</f>
        <v>NO</v>
      </c>
      <c r="AJ11" t="str">
        <f ca="1">_xlfn.IFNA(IF(AE11 &lt; (INDEX(SLATable[Maximum SLA],MATCH(G11,SLATable[Priority],0))),"YES","NO"),"")</f>
        <v>YES</v>
      </c>
    </row>
    <row r="12" spans="1:36" ht="15" customHeight="1">
      <c r="A12" s="45">
        <v>11</v>
      </c>
      <c r="B12" s="45" t="s">
        <v>46</v>
      </c>
      <c r="C12" s="45" t="s">
        <v>42</v>
      </c>
      <c r="D12" s="45" t="s">
        <v>207</v>
      </c>
      <c r="E12" s="45" t="s">
        <v>8685</v>
      </c>
      <c r="F12" s="45" t="s">
        <v>49</v>
      </c>
      <c r="G12" s="45">
        <v>4</v>
      </c>
      <c r="H12" s="45" t="s">
        <v>8686</v>
      </c>
      <c r="I12" s="45" t="s">
        <v>271</v>
      </c>
      <c r="J12" s="45" t="s">
        <v>8675</v>
      </c>
      <c r="K12" s="47">
        <v>46195.104953703703</v>
      </c>
      <c r="L12" s="47">
        <v>46195.336388888885</v>
      </c>
      <c r="M12" s="47">
        <v>46195.336469907408</v>
      </c>
      <c r="N12" s="47">
        <v>46202.611574074072</v>
      </c>
      <c r="O12" s="47">
        <v>46199.489178240743</v>
      </c>
      <c r="P12" s="47">
        <v>46202.611574074072</v>
      </c>
      <c r="Q12" s="45" t="s">
        <v>5509</v>
      </c>
      <c r="R12" s="45" t="s">
        <v>267</v>
      </c>
      <c r="S12" s="45" t="s">
        <v>141</v>
      </c>
      <c r="Z12" s="76">
        <f t="shared" ca="1" si="8"/>
        <v>1.6558449074097248</v>
      </c>
      <c r="AA12" s="75">
        <f t="shared" ca="1" si="1"/>
        <v>4.4155864197592667</v>
      </c>
      <c r="AB12" s="76">
        <f t="shared" ca="1" si="9"/>
        <v>1.6527893518577912</v>
      </c>
      <c r="AC12" s="75">
        <f t="shared" ca="1" si="3"/>
        <v>4.4074382716207765</v>
      </c>
      <c r="AD12" s="76">
        <f t="shared" ca="1" si="10"/>
        <v>8.101852290565148E-5</v>
      </c>
      <c r="AE12" s="76">
        <f t="shared" ca="1" si="11"/>
        <v>1.6527893518577912</v>
      </c>
      <c r="AF12" s="75">
        <f t="shared" ca="1" si="6"/>
        <v>4.4074382716207765</v>
      </c>
      <c r="AG12" s="75">
        <f t="shared" ca="1" si="7"/>
        <v>4.4074382716207765</v>
      </c>
      <c r="AH12" s="31" t="str" cm="1">
        <f t="array" aca="1" ref="AH12" ca="1">IF((AD12) &lt; (INDEX(ResponseSLA[#All],(MATCH((G12),ResponseSLA[Priority],0))+1,3)),"YES","No")</f>
        <v>YES</v>
      </c>
      <c r="AI12" s="31" t="str">
        <f ca="1">_xlfn.IFNA(IF(AE12 &lt; (INDEX(SLATable[Minimum SLA],MATCH(G12,SLATable[Priority],0))),"YES","NO"),"")</f>
        <v>YES</v>
      </c>
      <c r="AJ12" t="str">
        <f ca="1">_xlfn.IFNA(IF(AE12 &lt; (INDEX(SLATable[Maximum SLA],MATCH(G12,SLATable[Priority],0))),"YES","NO"),"")</f>
        <v>YES</v>
      </c>
    </row>
    <row r="13" spans="1:36" ht="15" customHeight="1">
      <c r="A13" s="45">
        <v>12</v>
      </c>
      <c r="B13" s="45" t="s">
        <v>46</v>
      </c>
      <c r="C13" s="45" t="s">
        <v>42</v>
      </c>
      <c r="D13" s="45" t="s">
        <v>208</v>
      </c>
      <c r="E13" s="45" t="s">
        <v>8687</v>
      </c>
      <c r="F13" s="45" t="s">
        <v>49</v>
      </c>
      <c r="G13" s="45" t="s">
        <v>208</v>
      </c>
      <c r="H13" s="45" t="s">
        <v>8670</v>
      </c>
      <c r="I13" s="45" t="s">
        <v>271</v>
      </c>
      <c r="J13" s="45" t="s">
        <v>8675</v>
      </c>
      <c r="K13" s="47">
        <v>46202.332025462965</v>
      </c>
      <c r="L13" s="47">
        <v>46202.332025462965</v>
      </c>
      <c r="M13" s="47">
        <v>46202.766817129632</v>
      </c>
      <c r="N13" s="47">
        <v>46203.324004629627</v>
      </c>
      <c r="O13" s="47">
        <v>46202.767268518517</v>
      </c>
      <c r="P13" s="47">
        <v>46203.324004629627</v>
      </c>
      <c r="Q13" s="45" t="s">
        <v>8680</v>
      </c>
      <c r="R13" s="45" t="s">
        <v>267</v>
      </c>
      <c r="S13" s="45" t="s">
        <v>179</v>
      </c>
      <c r="Z13" s="76">
        <f t="shared" ca="1" si="8"/>
        <v>0.37500000000000006</v>
      </c>
      <c r="AA13" s="75">
        <f t="shared" ca="1" si="1"/>
        <v>1.0000000000000002</v>
      </c>
      <c r="AB13" s="76">
        <f t="shared" ca="1" si="9"/>
        <v>0.37500000000000006</v>
      </c>
      <c r="AC13" s="75">
        <f t="shared" ca="1" si="3"/>
        <v>1.0000000000000002</v>
      </c>
      <c r="AD13" s="76">
        <f t="shared" ca="1" si="10"/>
        <v>0.37500000000000006</v>
      </c>
      <c r="AE13" s="76">
        <f t="shared" ca="1" si="11"/>
        <v>0.37500000000000006</v>
      </c>
      <c r="AF13" s="75">
        <f t="shared" ca="1" si="6"/>
        <v>1.0000000000000002</v>
      </c>
      <c r="AG13" s="75">
        <f t="shared" ca="1" si="7"/>
        <v>1.0000000000000002</v>
      </c>
      <c r="AH13" s="31" t="str" cm="1">
        <f t="array" aca="1" ref="AH13" ca="1">IF((AD13) &lt; (INDEX(ResponseSLA[#All],(MATCH((G13),ResponseSLA[Priority],0))+1,3)),"YES","No")</f>
        <v>No</v>
      </c>
      <c r="AI13" s="31" t="str">
        <f ca="1">_xlfn.IFNA(IF(AE13 &lt; (INDEX(SLATable[Minimum SLA],MATCH(G13,SLATable[Priority],0))),"YES","NO"),"")</f>
        <v>YES</v>
      </c>
      <c r="AJ13" t="str">
        <f ca="1">_xlfn.IFNA(IF(AE13 &lt; (INDEX(SLATable[Maximum SLA],MATCH(G13,SLATable[Priority],0))),"YES","NO"),"")</f>
        <v>YES</v>
      </c>
    </row>
    <row r="14" spans="1:36" ht="15" customHeight="1">
      <c r="A14" s="45">
        <v>13</v>
      </c>
      <c r="B14" s="45" t="s">
        <v>46</v>
      </c>
      <c r="C14" s="45" t="s">
        <v>42</v>
      </c>
      <c r="D14" s="45" t="s">
        <v>207</v>
      </c>
      <c r="E14" s="45" t="s">
        <v>8688</v>
      </c>
      <c r="F14" s="45" t="s">
        <v>49</v>
      </c>
      <c r="G14" s="45">
        <v>3</v>
      </c>
      <c r="H14" s="45" t="s">
        <v>8689</v>
      </c>
      <c r="I14" s="45" t="s">
        <v>271</v>
      </c>
      <c r="J14" s="45" t="s">
        <v>8667</v>
      </c>
      <c r="K14" s="47">
        <v>46197.571921296294</v>
      </c>
      <c r="L14" s="47">
        <v>46197.571921296294</v>
      </c>
      <c r="M14" s="47">
        <v>46199.490231481483</v>
      </c>
      <c r="N14" s="47">
        <v>46203.493310185186</v>
      </c>
      <c r="O14" s="47">
        <v>46199.49082175926</v>
      </c>
      <c r="P14" s="47">
        <v>46199.849074074074</v>
      </c>
      <c r="Q14" s="45" t="s">
        <v>8680</v>
      </c>
      <c r="R14" s="45" t="s">
        <v>267</v>
      </c>
      <c r="S14" s="45" t="s">
        <v>141</v>
      </c>
      <c r="Z14" s="76">
        <f t="shared" ca="1" si="8"/>
        <v>1.20387731481848</v>
      </c>
      <c r="AA14" s="75">
        <f t="shared" ca="1" si="1"/>
        <v>3.2103395061826134</v>
      </c>
      <c r="AB14" s="76">
        <f t="shared" ca="1" si="9"/>
        <v>1.20387731481848</v>
      </c>
      <c r="AC14" s="75">
        <f t="shared" ca="1" si="3"/>
        <v>3.2103395061826134</v>
      </c>
      <c r="AD14" s="76">
        <f t="shared" ca="1" si="10"/>
        <v>0.66831018518860219</v>
      </c>
      <c r="AE14" s="76">
        <f t="shared" ca="1" si="11"/>
        <v>1.20387731481848</v>
      </c>
      <c r="AF14" s="75">
        <f t="shared" ca="1" si="6"/>
        <v>3.2103395061826134</v>
      </c>
      <c r="AG14" s="75">
        <f t="shared" ca="1" si="7"/>
        <v>3.2103395061826134</v>
      </c>
      <c r="AH14" s="31" t="str" cm="1">
        <f t="array" aca="1" ref="AH14" ca="1">IF((AD14) &lt; (INDEX(ResponseSLA[#All],(MATCH((G14),ResponseSLA[Priority],0))+1,3)),"YES","No")</f>
        <v>No</v>
      </c>
      <c r="AI14" s="31" t="str">
        <f ca="1">_xlfn.IFNA(IF(AE14 &lt; (INDEX(SLATable[Minimum SLA],MATCH(G14,SLATable[Priority],0))),"YES","NO"),"")</f>
        <v>NO</v>
      </c>
      <c r="AJ14" t="str">
        <f ca="1">_xlfn.IFNA(IF(AE14 &lt; (INDEX(SLATable[Maximum SLA],MATCH(G14,SLATable[Priority],0))),"YES","NO"),"")</f>
        <v>YES</v>
      </c>
    </row>
    <row r="15" spans="1:36" ht="15" customHeight="1">
      <c r="A15" s="45">
        <v>14</v>
      </c>
      <c r="B15" s="45" t="s">
        <v>46</v>
      </c>
      <c r="C15" s="45" t="s">
        <v>42</v>
      </c>
      <c r="D15" s="45" t="s">
        <v>207</v>
      </c>
      <c r="E15" s="45" t="s">
        <v>8690</v>
      </c>
      <c r="F15" s="45" t="s">
        <v>49</v>
      </c>
      <c r="G15" s="45">
        <v>4</v>
      </c>
      <c r="H15" s="45" t="s">
        <v>8691</v>
      </c>
      <c r="I15" s="45" t="s">
        <v>271</v>
      </c>
      <c r="J15" s="45" t="s">
        <v>8675</v>
      </c>
      <c r="K15" s="47">
        <v>46198.744409722225</v>
      </c>
      <c r="L15" s="47">
        <v>46198.744409722225</v>
      </c>
      <c r="M15" s="47">
        <v>46199.454699074071</v>
      </c>
      <c r="N15" s="47">
        <v>46217.508298611108</v>
      </c>
      <c r="O15" s="47">
        <v>46199.456655092596</v>
      </c>
      <c r="P15" s="47">
        <v>46217.508298611108</v>
      </c>
      <c r="Q15" s="45" t="s">
        <v>8680</v>
      </c>
      <c r="R15" s="45" t="s">
        <v>267</v>
      </c>
      <c r="S15" s="45" t="s">
        <v>141</v>
      </c>
      <c r="Z15" s="76">
        <f t="shared" ca="1" si="8"/>
        <v>0.12332175926227773</v>
      </c>
      <c r="AA15" s="75">
        <f t="shared" ca="1" si="1"/>
        <v>0.32885802469940728</v>
      </c>
      <c r="AB15" s="76">
        <f t="shared" ca="1" si="9"/>
        <v>0.12332175926227773</v>
      </c>
      <c r="AC15" s="75">
        <f t="shared" ca="1" si="3"/>
        <v>0.32885802469940728</v>
      </c>
      <c r="AD15" s="76">
        <f t="shared" ca="1" si="10"/>
        <v>0.12136574073762552</v>
      </c>
      <c r="AE15" s="76">
        <f t="shared" ca="1" si="11"/>
        <v>0.12332175926227773</v>
      </c>
      <c r="AF15" s="75">
        <f t="shared" ca="1" si="6"/>
        <v>0.32885802469940728</v>
      </c>
      <c r="AG15" s="75">
        <f t="shared" ca="1" si="7"/>
        <v>0.32885802469940728</v>
      </c>
      <c r="AH15" s="31" t="str" cm="1">
        <f t="array" aca="1" ref="AH15" ca="1">IF((AD15) &lt; (INDEX(ResponseSLA[#All],(MATCH((G15),ResponseSLA[Priority],0))+1,3)),"YES","No")</f>
        <v>YES</v>
      </c>
      <c r="AI15" s="31" t="str">
        <f ca="1">_xlfn.IFNA(IF(AE15 &lt; (INDEX(SLATable[Minimum SLA],MATCH(G15,SLATable[Priority],0))),"YES","NO"),"")</f>
        <v>YES</v>
      </c>
      <c r="AJ15" t="str">
        <f ca="1">_xlfn.IFNA(IF(AE15 &lt; (INDEX(SLATable[Maximum SLA],MATCH(G15,SLATable[Priority],0))),"YES","NO"),"")</f>
        <v>YES</v>
      </c>
    </row>
    <row r="16" spans="1:36" ht="15" customHeight="1">
      <c r="A16" s="45">
        <v>15</v>
      </c>
      <c r="B16" s="45" t="s">
        <v>46</v>
      </c>
      <c r="C16" s="45" t="s">
        <v>42</v>
      </c>
      <c r="D16" s="45" t="s">
        <v>207</v>
      </c>
      <c r="E16" s="45" t="s">
        <v>8692</v>
      </c>
      <c r="F16" s="45" t="s">
        <v>49</v>
      </c>
      <c r="G16" s="45">
        <v>3</v>
      </c>
      <c r="H16" s="46" t="s">
        <v>8693</v>
      </c>
      <c r="I16" s="45" t="s">
        <v>271</v>
      </c>
      <c r="J16" s="45" t="s">
        <v>8667</v>
      </c>
      <c r="K16" s="47">
        <v>46198.853877314818</v>
      </c>
      <c r="L16" s="47">
        <v>46199.305671296293</v>
      </c>
      <c r="M16" s="47">
        <v>46199.489652777775</v>
      </c>
      <c r="N16" s="47">
        <v>46226.083356481482</v>
      </c>
      <c r="O16" s="47">
        <v>46199.490034722221</v>
      </c>
      <c r="P16" s="47">
        <v>46226.083356481482</v>
      </c>
      <c r="Q16" s="45" t="s">
        <v>8680</v>
      </c>
      <c r="R16" s="45" t="s">
        <v>272</v>
      </c>
      <c r="S16" s="45" t="s">
        <v>141</v>
      </c>
      <c r="Z16" s="76">
        <f t="shared" ca="1" si="8"/>
        <v>0.15670138888769269</v>
      </c>
      <c r="AA16" s="75">
        <f t="shared" ca="1" si="1"/>
        <v>0.4178703703671805</v>
      </c>
      <c r="AB16" s="76">
        <f t="shared" ca="1" si="9"/>
        <v>0.15670138888769269</v>
      </c>
      <c r="AC16" s="75">
        <f t="shared" ca="1" si="3"/>
        <v>0.4178703703671805</v>
      </c>
      <c r="AD16" s="76">
        <f t="shared" ca="1" si="10"/>
        <v>0.15631944444127538</v>
      </c>
      <c r="AE16" s="76">
        <f t="shared" ca="1" si="11"/>
        <v>0.15670138888769269</v>
      </c>
      <c r="AF16" s="75">
        <f t="shared" ca="1" si="6"/>
        <v>0.4178703703671805</v>
      </c>
      <c r="AG16" s="75">
        <f t="shared" ca="1" si="7"/>
        <v>0.4178703703671805</v>
      </c>
      <c r="AH16" s="31" t="str" cm="1">
        <f t="array" aca="1" ref="AH16" ca="1">IF((AD16) &lt; (INDEX(ResponseSLA[#All],(MATCH((G16),ResponseSLA[Priority],0))+1,3)),"YES","No")</f>
        <v>No</v>
      </c>
      <c r="AI16" s="31" t="str">
        <f ca="1">_xlfn.IFNA(IF(AE16 &lt; (INDEX(SLATable[Minimum SLA],MATCH(G16,SLATable[Priority],0))),"YES","NO"),"")</f>
        <v>YES</v>
      </c>
      <c r="AJ16" t="str">
        <f ca="1">_xlfn.IFNA(IF(AE16 &lt; (INDEX(SLATable[Maximum SLA],MATCH(G16,SLATable[Priority],0))),"YES","NO"),"")</f>
        <v>YES</v>
      </c>
    </row>
    <row r="17" spans="1:36" ht="15" customHeight="1">
      <c r="A17" s="45">
        <v>16</v>
      </c>
      <c r="B17" s="45" t="s">
        <v>46</v>
      </c>
      <c r="C17" s="45" t="s">
        <v>42</v>
      </c>
      <c r="D17" s="45" t="s">
        <v>208</v>
      </c>
      <c r="E17" s="45" t="s">
        <v>8694</v>
      </c>
      <c r="F17" s="45" t="s">
        <v>49</v>
      </c>
      <c r="G17" s="45" t="s">
        <v>208</v>
      </c>
      <c r="H17" s="45" t="s">
        <v>8678</v>
      </c>
      <c r="I17" s="45" t="s">
        <v>271</v>
      </c>
      <c r="J17" s="45" t="s">
        <v>8667</v>
      </c>
      <c r="K17" s="47">
        <v>46203.5468287037</v>
      </c>
      <c r="L17" s="47">
        <v>46204.33965277778</v>
      </c>
      <c r="M17" s="47">
        <v>46204.33965277778</v>
      </c>
      <c r="N17" s="47">
        <v>46211.465081018519</v>
      </c>
      <c r="O17" s="47">
        <v>46204.608136574076</v>
      </c>
      <c r="P17" s="47">
        <v>46211.465081018519</v>
      </c>
      <c r="Q17" s="45" t="s">
        <v>8676</v>
      </c>
      <c r="R17" s="45" t="s">
        <v>267</v>
      </c>
      <c r="S17" s="45" t="s">
        <v>179</v>
      </c>
      <c r="Z17" s="76">
        <f t="shared" ca="1" si="8"/>
        <v>0.4363078703754586</v>
      </c>
      <c r="AA17" s="75">
        <f t="shared" ca="1" si="1"/>
        <v>1.1634876543345563</v>
      </c>
      <c r="AB17" s="76">
        <f t="shared" ca="1" si="9"/>
        <v>0.26848379629518604</v>
      </c>
      <c r="AC17" s="75">
        <f t="shared" ca="1" si="3"/>
        <v>0.71595679012049607</v>
      </c>
      <c r="AD17" s="76">
        <f t="shared" ca="1" si="10"/>
        <v>0</v>
      </c>
      <c r="AE17" s="76">
        <f t="shared" ca="1" si="11"/>
        <v>0.26848379629518604</v>
      </c>
      <c r="AF17" s="75">
        <f t="shared" ca="1" si="6"/>
        <v>0.71595679012049607</v>
      </c>
      <c r="AG17" s="75">
        <f t="shared" ca="1" si="7"/>
        <v>0.71595679012049607</v>
      </c>
      <c r="AH17" s="31" t="str" cm="1">
        <f t="array" aca="1" ref="AH17" ca="1">IF((AD17) &lt; (INDEX(ResponseSLA[#All],(MATCH((G17),ResponseSLA[Priority],0))+1,3)),"YES","No")</f>
        <v>YES</v>
      </c>
      <c r="AI17" s="31" t="str">
        <f ca="1">_xlfn.IFNA(IF(AE17 &lt; (INDEX(SLATable[Minimum SLA],MATCH(G17,SLATable[Priority],0))),"YES","NO"),"")</f>
        <v>YES</v>
      </c>
      <c r="AJ17" t="str">
        <f ca="1">_xlfn.IFNA(IF(AE17 &lt; (INDEX(SLATable[Maximum SLA],MATCH(G17,SLATable[Priority],0))),"YES","NO"),"")</f>
        <v>YES</v>
      </c>
    </row>
    <row r="18" spans="1:36" ht="15" customHeight="1">
      <c r="A18" s="45">
        <v>17</v>
      </c>
      <c r="B18" s="45" t="s">
        <v>46</v>
      </c>
      <c r="C18" s="45" t="s">
        <v>42</v>
      </c>
      <c r="D18" s="45" t="s">
        <v>208</v>
      </c>
      <c r="E18" s="45" t="s">
        <v>8695</v>
      </c>
      <c r="F18" s="45" t="s">
        <v>49</v>
      </c>
      <c r="G18" s="45" t="s">
        <v>208</v>
      </c>
      <c r="H18" s="45" t="s">
        <v>8678</v>
      </c>
      <c r="I18" s="45" t="s">
        <v>271</v>
      </c>
      <c r="J18" s="45" t="s">
        <v>8667</v>
      </c>
      <c r="K18" s="47">
        <v>46203.492997685185</v>
      </c>
      <c r="L18" s="47">
        <v>46204.343622685185</v>
      </c>
      <c r="M18" s="47">
        <v>46204.343622685185</v>
      </c>
      <c r="N18" s="47">
        <v>46211.472893518519</v>
      </c>
      <c r="O18" s="47">
        <v>46204.608391203707</v>
      </c>
      <c r="P18" s="47">
        <v>46211.472893518519</v>
      </c>
      <c r="Q18" s="45" t="s">
        <v>8676</v>
      </c>
      <c r="R18" s="45" t="s">
        <v>267</v>
      </c>
      <c r="S18" s="45" t="s">
        <v>179</v>
      </c>
      <c r="Z18" s="76">
        <f t="shared" ca="1" si="8"/>
        <v>0.49039351852115987</v>
      </c>
      <c r="AA18" s="75">
        <f t="shared" ca="1" si="1"/>
        <v>1.3077160493897597</v>
      </c>
      <c r="AB18" s="76">
        <f t="shared" ca="1" si="9"/>
        <v>0.26476851852203254</v>
      </c>
      <c r="AC18" s="75">
        <f t="shared" ca="1" si="3"/>
        <v>0.70604938272542006</v>
      </c>
      <c r="AD18" s="76">
        <f t="shared" ca="1" si="10"/>
        <v>0</v>
      </c>
      <c r="AE18" s="76">
        <f t="shared" ca="1" si="11"/>
        <v>0.26476851852203254</v>
      </c>
      <c r="AF18" s="75">
        <f t="shared" ca="1" si="6"/>
        <v>0.70604938272542006</v>
      </c>
      <c r="AG18" s="75">
        <f t="shared" ca="1" si="7"/>
        <v>0.70604938272542006</v>
      </c>
      <c r="AH18" s="31" t="str" cm="1">
        <f t="array" aca="1" ref="AH18" ca="1">IF((AD18) &lt; (INDEX(ResponseSLA[#All],(MATCH((G18),ResponseSLA[Priority],0))+1,3)),"YES","No")</f>
        <v>YES</v>
      </c>
      <c r="AI18" s="31" t="str">
        <f ca="1">_xlfn.IFNA(IF(AE18 &lt; (INDEX(SLATable[Minimum SLA],MATCH(G18,SLATable[Priority],0))),"YES","NO"),"")</f>
        <v>YES</v>
      </c>
      <c r="AJ18" t="str">
        <f ca="1">_xlfn.IFNA(IF(AE18 &lt; (INDEX(SLATable[Maximum SLA],MATCH(G18,SLATable[Priority],0))),"YES","NO"),"")</f>
        <v>YES</v>
      </c>
    </row>
    <row r="19" spans="1:36" ht="15" customHeight="1">
      <c r="A19" s="45">
        <v>18</v>
      </c>
      <c r="B19" s="45" t="s">
        <v>46</v>
      </c>
      <c r="C19" s="45" t="s">
        <v>42</v>
      </c>
      <c r="D19" s="45" t="s">
        <v>208</v>
      </c>
      <c r="E19" s="45" t="s">
        <v>8696</v>
      </c>
      <c r="F19" s="45" t="s">
        <v>49</v>
      </c>
      <c r="G19" s="45" t="s">
        <v>208</v>
      </c>
      <c r="H19" s="45" t="s">
        <v>8670</v>
      </c>
      <c r="I19" s="45" t="s">
        <v>271</v>
      </c>
      <c r="J19" s="45" t="s">
        <v>8675</v>
      </c>
      <c r="K19" s="188">
        <v>46203.495057870372</v>
      </c>
      <c r="L19" s="188">
        <v>46203.495057870372</v>
      </c>
      <c r="M19" s="47">
        <v>46203.773148148146</v>
      </c>
      <c r="N19" s="47">
        <v>46204.609143518515</v>
      </c>
      <c r="O19" s="47">
        <v>46203.804224537038</v>
      </c>
      <c r="P19" s="47">
        <v>46204.609143518515</v>
      </c>
      <c r="Q19" s="45" t="s">
        <v>8680</v>
      </c>
      <c r="R19" s="45" t="s">
        <v>267</v>
      </c>
      <c r="S19" s="45" t="s">
        <v>179</v>
      </c>
      <c r="Z19" s="76">
        <f t="shared" ca="1" si="8"/>
        <v>0.21327546296136768</v>
      </c>
      <c r="AA19" s="75">
        <f t="shared" ca="1" si="1"/>
        <v>0.56873456789698051</v>
      </c>
      <c r="AB19" s="76">
        <f t="shared" ca="1" si="9"/>
        <v>0.21327546296136768</v>
      </c>
      <c r="AC19" s="75">
        <f t="shared" ca="1" si="3"/>
        <v>0.56873456789698051</v>
      </c>
      <c r="AD19" s="76">
        <f t="shared" ca="1" si="10"/>
        <v>0.21327546296136768</v>
      </c>
      <c r="AE19" s="76">
        <f t="shared" ca="1" si="11"/>
        <v>0.21327546296136768</v>
      </c>
      <c r="AF19" s="75">
        <f t="shared" ca="1" si="6"/>
        <v>0.56873456789698051</v>
      </c>
      <c r="AG19" s="75">
        <f t="shared" ca="1" si="7"/>
        <v>0.56873456789698051</v>
      </c>
      <c r="AH19" s="31" t="str" cm="1">
        <f t="array" aca="1" ref="AH19" ca="1">IF((AD19) &lt; (INDEX(ResponseSLA[#All],(MATCH((G19),ResponseSLA[Priority],0))+1,3)),"YES","No")</f>
        <v>YES</v>
      </c>
      <c r="AI19" s="31" t="str">
        <f ca="1">_xlfn.IFNA(IF(AE19 &lt; (INDEX(SLATable[Minimum SLA],MATCH(G19,SLATable[Priority],0))),"YES","NO"),"")</f>
        <v>YES</v>
      </c>
      <c r="AJ19" t="str">
        <f ca="1">_xlfn.IFNA(IF(AE19 &lt; (INDEX(SLATable[Maximum SLA],MATCH(G19,SLATable[Priority],0))),"YES","NO"),"")</f>
        <v>YES</v>
      </c>
    </row>
    <row r="20" spans="1:36" ht="15" customHeight="1">
      <c r="A20" s="45">
        <v>19</v>
      </c>
      <c r="B20" s="45" t="s">
        <v>46</v>
      </c>
      <c r="C20" s="45" t="s">
        <v>42</v>
      </c>
      <c r="D20" s="45" t="s">
        <v>208</v>
      </c>
      <c r="E20" s="45" t="s">
        <v>8697</v>
      </c>
      <c r="F20" s="45" t="s">
        <v>49</v>
      </c>
      <c r="G20" s="45" t="s">
        <v>208</v>
      </c>
      <c r="H20" s="45" t="s">
        <v>8670</v>
      </c>
      <c r="I20" s="45" t="s">
        <v>271</v>
      </c>
      <c r="J20" s="45" t="s">
        <v>8675</v>
      </c>
      <c r="K20" s="47">
        <v>46202.58452546296</v>
      </c>
      <c r="L20" s="47">
        <v>46202.58452546296</v>
      </c>
      <c r="Q20" s="45" t="s">
        <v>8680</v>
      </c>
      <c r="R20" s="45" t="s">
        <v>267</v>
      </c>
      <c r="S20" s="45" t="s">
        <v>179</v>
      </c>
      <c r="Z20" s="76">
        <f t="shared" ca="1" si="8"/>
        <v>15.424449074074801</v>
      </c>
      <c r="AA20" s="75">
        <f t="shared" ca="1" si="1"/>
        <v>41.131864197532799</v>
      </c>
      <c r="AB20" s="76">
        <f t="shared" ca="1" si="9"/>
        <v>15.424449305559392</v>
      </c>
      <c r="AC20" s="75">
        <f t="shared" ca="1" si="3"/>
        <v>41.131864814825043</v>
      </c>
      <c r="AD20" s="76">
        <f t="shared" ca="1" si="10"/>
        <v>15.424449305559392</v>
      </c>
      <c r="AE20" s="76">
        <f t="shared" ca="1" si="11"/>
        <v>15.424449305559392</v>
      </c>
      <c r="AF20" s="75">
        <f t="shared" ca="1" si="6"/>
        <v>41.131864814825043</v>
      </c>
      <c r="AG20" s="75">
        <f t="shared" ca="1" si="7"/>
        <v>41.131864814825043</v>
      </c>
      <c r="AH20" s="31" t="str" cm="1">
        <f t="array" aca="1" ref="AH20" ca="1">IF((AD20) &lt; (INDEX(ResponseSLA[#All],(MATCH((G20),ResponseSLA[Priority],0))+1,3)),"YES","No")</f>
        <v>No</v>
      </c>
      <c r="AI20" s="31" t="str">
        <f ca="1">_xlfn.IFNA(IF(AE20 &lt; (INDEX(SLATable[Minimum SLA],MATCH(G20,SLATable[Priority],0))),"YES","NO"),"")</f>
        <v>NO</v>
      </c>
      <c r="AJ20" t="str">
        <f ca="1">_xlfn.IFNA(IF(AE20 &lt; (INDEX(SLATable[Maximum SLA],MATCH(G20,SLATable[Priority],0))),"YES","NO"),"")</f>
        <v>NO</v>
      </c>
    </row>
    <row r="21" spans="1:36" ht="15" customHeight="1">
      <c r="A21" s="45">
        <v>20</v>
      </c>
      <c r="B21" s="45" t="s">
        <v>46</v>
      </c>
      <c r="C21" s="45" t="s">
        <v>42</v>
      </c>
      <c r="D21" s="45" t="s">
        <v>207</v>
      </c>
      <c r="E21" s="45" t="s">
        <v>8698</v>
      </c>
      <c r="F21" s="45" t="s">
        <v>49</v>
      </c>
      <c r="G21" s="45">
        <v>3</v>
      </c>
      <c r="H21" s="45" t="s">
        <v>8699</v>
      </c>
      <c r="I21" s="45" t="s">
        <v>271</v>
      </c>
      <c r="J21" s="45" t="s">
        <v>8675</v>
      </c>
      <c r="K21" s="47">
        <v>46203.850844907407</v>
      </c>
      <c r="L21" s="47">
        <v>46211.334340277775</v>
      </c>
      <c r="M21" s="47">
        <v>46211.334340277775</v>
      </c>
      <c r="N21" s="47">
        <v>46212.290810185186</v>
      </c>
      <c r="O21" s="47">
        <v>46211.517164351855</v>
      </c>
      <c r="P21" s="47">
        <v>46212.290810185186</v>
      </c>
      <c r="Q21" s="45" t="s">
        <v>8676</v>
      </c>
      <c r="R21" s="45" t="s">
        <v>267</v>
      </c>
      <c r="S21" s="45" t="s">
        <v>149</v>
      </c>
      <c r="Z21" s="76">
        <f t="shared" ca="1" si="8"/>
        <v>2.0588310185218388</v>
      </c>
      <c r="AA21" s="75">
        <f t="shared" ca="1" si="1"/>
        <v>5.4902160493915702</v>
      </c>
      <c r="AB21" s="76">
        <f t="shared" ca="1" si="9"/>
        <v>0.18282407407969004</v>
      </c>
      <c r="AC21" s="75">
        <f t="shared" ca="1" si="3"/>
        <v>0.48753086421250674</v>
      </c>
      <c r="AD21" s="76">
        <f t="shared" ca="1" si="10"/>
        <v>0</v>
      </c>
      <c r="AE21" s="76">
        <f t="shared" ca="1" si="11"/>
        <v>0.18282407407969004</v>
      </c>
      <c r="AF21" s="75">
        <f t="shared" ca="1" si="6"/>
        <v>0.48753086421250674</v>
      </c>
      <c r="AG21" s="75">
        <f t="shared" ca="1" si="7"/>
        <v>0.48753086421250674</v>
      </c>
      <c r="AH21" s="31" t="str" cm="1">
        <f t="array" aca="1" ref="AH21" ca="1">IF((AD21) &lt; (INDEX(ResponseSLA[#All],(MATCH((G21),ResponseSLA[Priority],0))+1,3)),"YES","No")</f>
        <v>YES</v>
      </c>
      <c r="AI21" s="31" t="str">
        <f ca="1">_xlfn.IFNA(IF(AE21 &lt; (INDEX(SLATable[Minimum SLA],MATCH(G21,SLATable[Priority],0))),"YES","NO"),"")</f>
        <v>YES</v>
      </c>
      <c r="AJ21" t="str">
        <f ca="1">_xlfn.IFNA(IF(AE21 &lt; (INDEX(SLATable[Maximum SLA],MATCH(G21,SLATable[Priority],0))),"YES","NO"),"")</f>
        <v>YES</v>
      </c>
    </row>
    <row r="22" spans="1:36" ht="15" customHeight="1">
      <c r="A22" s="45">
        <v>21</v>
      </c>
      <c r="B22" s="45" t="s">
        <v>46</v>
      </c>
      <c r="C22" s="45" t="s">
        <v>42</v>
      </c>
      <c r="D22" s="45" t="s">
        <v>208</v>
      </c>
      <c r="E22" s="45" t="s">
        <v>8700</v>
      </c>
      <c r="F22" s="45" t="s">
        <v>49</v>
      </c>
      <c r="G22" s="45" t="s">
        <v>208</v>
      </c>
      <c r="H22" s="45" t="s">
        <v>8701</v>
      </c>
      <c r="I22" s="45" t="s">
        <v>271</v>
      </c>
      <c r="J22" s="45" t="s">
        <v>8667</v>
      </c>
      <c r="K22" s="47">
        <v>46209.421099537038</v>
      </c>
      <c r="L22" s="188">
        <v>46209.421099537038</v>
      </c>
      <c r="M22" s="47">
        <v>46210.529606481483</v>
      </c>
      <c r="N22" s="47">
        <v>46218.299513888887</v>
      </c>
      <c r="O22" s="47">
        <v>46211.464409722219</v>
      </c>
      <c r="P22" s="47">
        <v>46218.299513888887</v>
      </c>
      <c r="Q22" s="45" t="s">
        <v>8680</v>
      </c>
      <c r="R22" s="45" t="s">
        <v>267</v>
      </c>
      <c r="S22" s="45" t="s">
        <v>179</v>
      </c>
      <c r="Z22" s="76">
        <f t="shared" ca="1" si="8"/>
        <v>0.79331018518132668</v>
      </c>
      <c r="AA22" s="75">
        <f t="shared" ca="1" si="1"/>
        <v>2.1154938271502046</v>
      </c>
      <c r="AB22" s="76">
        <f t="shared" ca="1" si="9"/>
        <v>0.79331018518132668</v>
      </c>
      <c r="AC22" s="75">
        <f t="shared" ca="1" si="3"/>
        <v>2.1154938271502046</v>
      </c>
      <c r="AD22" s="76">
        <f t="shared" ca="1" si="10"/>
        <v>0.48350694444525288</v>
      </c>
      <c r="AE22" s="76">
        <f t="shared" ca="1" si="11"/>
        <v>0.79331018518132668</v>
      </c>
      <c r="AF22" s="75">
        <f t="shared" ca="1" si="6"/>
        <v>2.1154938271502046</v>
      </c>
      <c r="AG22" s="75">
        <f t="shared" ca="1" si="7"/>
        <v>2.1154938271502046</v>
      </c>
      <c r="AH22" s="31" t="str" cm="1">
        <f t="array" aca="1" ref="AH22" ca="1">IF((AD22) &lt; (INDEX(ResponseSLA[#All],(MATCH((G22),ResponseSLA[Priority],0))+1,3)),"YES","No")</f>
        <v>No</v>
      </c>
      <c r="AI22" s="31" t="str">
        <f ca="1">_xlfn.IFNA(IF(AE22 &lt; (INDEX(SLATable[Minimum SLA],MATCH(G22,SLATable[Priority],0))),"YES","NO"),"")</f>
        <v>NO</v>
      </c>
      <c r="AJ22" t="str">
        <f ca="1">_xlfn.IFNA(IF(AE22 &lt; (INDEX(SLATable[Maximum SLA],MATCH(G22,SLATable[Priority],0))),"YES","NO"),"")</f>
        <v>NO</v>
      </c>
    </row>
    <row r="23" spans="1:36" ht="15" customHeight="1">
      <c r="A23" s="45">
        <v>22</v>
      </c>
      <c r="B23" s="45" t="s">
        <v>46</v>
      </c>
      <c r="C23" s="45" t="s">
        <v>42</v>
      </c>
      <c r="D23" s="45" t="s">
        <v>207</v>
      </c>
      <c r="E23" s="45" t="s">
        <v>8702</v>
      </c>
      <c r="F23" s="45" t="s">
        <v>49</v>
      </c>
      <c r="G23" s="45">
        <v>3</v>
      </c>
      <c r="H23" s="45" t="s">
        <v>8703</v>
      </c>
      <c r="I23" s="45" t="s">
        <v>271</v>
      </c>
      <c r="J23" s="45" t="s">
        <v>8675</v>
      </c>
      <c r="K23" s="47">
        <v>46204.442465277774</v>
      </c>
      <c r="L23" s="47">
        <v>46205.681469907409</v>
      </c>
      <c r="M23" s="47">
        <v>46212.468530092592</v>
      </c>
      <c r="N23" s="47">
        <v>46226.083344907405</v>
      </c>
      <c r="O23" s="47">
        <v>46212.475057870368</v>
      </c>
      <c r="P23" s="47">
        <v>46226.083344907405</v>
      </c>
      <c r="Q23" s="45" t="s">
        <v>5509</v>
      </c>
      <c r="R23" s="45" t="s">
        <v>272</v>
      </c>
      <c r="S23" s="45" t="s">
        <v>141</v>
      </c>
      <c r="Z23" s="76">
        <f t="shared" ca="1" si="8"/>
        <v>2.2825925925935735</v>
      </c>
      <c r="AA23" s="75">
        <f t="shared" ca="1" si="1"/>
        <v>6.0869135802495293</v>
      </c>
      <c r="AB23" s="76">
        <f t="shared" ca="1" si="9"/>
        <v>1.6685879629585543</v>
      </c>
      <c r="AC23" s="75">
        <f t="shared" ca="1" si="3"/>
        <v>4.4495679012228111</v>
      </c>
      <c r="AD23" s="76">
        <f t="shared" ca="1" si="10"/>
        <v>1.6620601851827814</v>
      </c>
      <c r="AE23" s="76">
        <f t="shared" ca="1" si="11"/>
        <v>1.6685879629585543</v>
      </c>
      <c r="AF23" s="75">
        <f t="shared" ca="1" si="6"/>
        <v>4.4495679012228111</v>
      </c>
      <c r="AG23" s="75">
        <f t="shared" ca="1" si="7"/>
        <v>4.4495679012228111</v>
      </c>
      <c r="AH23" s="31" t="str" cm="1">
        <f t="array" aca="1" ref="AH23" ca="1">IF((AD23) &lt; (INDEX(ResponseSLA[#All],(MATCH((G23),ResponseSLA[Priority],0))+1,3)),"YES","No")</f>
        <v>No</v>
      </c>
      <c r="AI23" s="31" t="str">
        <f ca="1">_xlfn.IFNA(IF(AE23 &lt; (INDEX(SLATable[Minimum SLA],MATCH(G23,SLATable[Priority],0))),"YES","NO"),"")</f>
        <v>NO</v>
      </c>
      <c r="AJ23" t="str">
        <f ca="1">_xlfn.IFNA(IF(AE23 &lt; (INDEX(SLATable[Maximum SLA],MATCH(G23,SLATable[Priority],0))),"YES","NO"),"")</f>
        <v>YES</v>
      </c>
    </row>
    <row r="24" spans="1:36" ht="15" customHeight="1">
      <c r="A24" s="45">
        <v>23</v>
      </c>
      <c r="B24" s="45" t="s">
        <v>46</v>
      </c>
      <c r="C24" s="45" t="s">
        <v>42</v>
      </c>
      <c r="D24" s="45" t="s">
        <v>207</v>
      </c>
      <c r="E24" s="45" t="s">
        <v>8704</v>
      </c>
      <c r="F24" s="45" t="s">
        <v>49</v>
      </c>
      <c r="G24" s="45">
        <v>4</v>
      </c>
      <c r="H24" s="45" t="s">
        <v>8705</v>
      </c>
      <c r="I24" s="45" t="s">
        <v>271</v>
      </c>
      <c r="J24" s="45" t="s">
        <v>8675</v>
      </c>
      <c r="K24" s="47">
        <v>46217.537094907406</v>
      </c>
      <c r="L24" s="47">
        <v>46217.537094907406</v>
      </c>
      <c r="M24" s="47">
        <v>46218.300196759257</v>
      </c>
      <c r="N24" s="47">
        <v>46218.481979166667</v>
      </c>
      <c r="O24" s="47">
        <v>46218.305162037039</v>
      </c>
      <c r="P24" s="47">
        <v>46218.393854166665</v>
      </c>
      <c r="Q24" s="45" t="s">
        <v>8676</v>
      </c>
      <c r="R24" s="45" t="s">
        <v>267</v>
      </c>
      <c r="S24" s="45" t="s">
        <v>205</v>
      </c>
      <c r="Z24" s="76">
        <f t="shared" ca="1" si="8"/>
        <v>0.25936342592952616</v>
      </c>
      <c r="AA24" s="75">
        <f t="shared" ca="1" si="1"/>
        <v>0.69163580247873646</v>
      </c>
      <c r="AB24" s="76">
        <f t="shared" ca="1" si="9"/>
        <v>0.25936342592952616</v>
      </c>
      <c r="AC24" s="75">
        <f t="shared" ca="1" si="3"/>
        <v>0.69163580247873646</v>
      </c>
      <c r="AD24" s="76">
        <f t="shared" ca="1" si="10"/>
        <v>0.17123842592748895</v>
      </c>
      <c r="AE24" s="76">
        <f t="shared" ca="1" si="11"/>
        <v>0.25936342592952616</v>
      </c>
      <c r="AF24" s="75">
        <f t="shared" ca="1" si="6"/>
        <v>0.69163580247873646</v>
      </c>
      <c r="AG24" s="75">
        <f t="shared" ca="1" si="7"/>
        <v>0.69163580247873646</v>
      </c>
      <c r="AH24" s="31" t="str" cm="1">
        <f t="array" aca="1" ref="AH24" ca="1">IF((AD24) &lt; (INDEX(ResponseSLA[#All],(MATCH((G24),ResponseSLA[Priority],0))+1,3)),"YES","No")</f>
        <v>No</v>
      </c>
      <c r="AI24" s="31" t="str">
        <f ca="1">_xlfn.IFNA(IF(AE24 &lt; (INDEX(SLATable[Minimum SLA],MATCH(G24,SLATable[Priority],0))),"YES","NO"),"")</f>
        <v>YES</v>
      </c>
      <c r="AJ24" t="str">
        <f ca="1">_xlfn.IFNA(IF(AE24 &lt; (INDEX(SLATable[Maximum SLA],MATCH(G24,SLATable[Priority],0))),"YES","NO"),"")</f>
        <v>YES</v>
      </c>
    </row>
    <row r="25" spans="1:36" ht="15" customHeight="1">
      <c r="A25" s="45">
        <v>24</v>
      </c>
      <c r="B25" s="45" t="s">
        <v>46</v>
      </c>
      <c r="C25" s="45" t="s">
        <v>42</v>
      </c>
      <c r="D25" s="45" t="s">
        <v>208</v>
      </c>
      <c r="E25" s="45" t="s">
        <v>8706</v>
      </c>
      <c r="F25" s="45" t="s">
        <v>49</v>
      </c>
      <c r="G25" s="45" t="s">
        <v>208</v>
      </c>
      <c r="H25" s="45" t="s">
        <v>8678</v>
      </c>
      <c r="I25" s="45" t="s">
        <v>271</v>
      </c>
      <c r="J25" s="45" t="s">
        <v>8675</v>
      </c>
      <c r="K25" s="47">
        <v>46219.388148148151</v>
      </c>
      <c r="L25" s="47">
        <v>46219.570543981485</v>
      </c>
      <c r="M25" s="47">
        <v>46219.570543981485</v>
      </c>
      <c r="N25" s="47">
        <v>46219.583761574075</v>
      </c>
      <c r="Q25" s="45" t="s">
        <v>8676</v>
      </c>
      <c r="R25" s="45" t="s">
        <v>267</v>
      </c>
      <c r="S25" s="45" t="s">
        <v>179</v>
      </c>
      <c r="Z25" s="76">
        <f t="shared" ca="1" si="8"/>
        <v>0.19561342592351139</v>
      </c>
      <c r="AA25" s="75">
        <f t="shared" ca="1" si="1"/>
        <v>0.52163580246269703</v>
      </c>
      <c r="AB25" s="76">
        <f t="shared" ca="1" si="9"/>
        <v>1.321759259008104E-2</v>
      </c>
      <c r="AC25" s="75">
        <f t="shared" ca="1" si="3"/>
        <v>3.5246913573549442E-2</v>
      </c>
      <c r="AD25" s="76">
        <f t="shared" ca="1" si="10"/>
        <v>0</v>
      </c>
      <c r="AE25" s="76">
        <f t="shared" ca="1" si="11"/>
        <v>1.321759259008104E-2</v>
      </c>
      <c r="AF25" s="75">
        <f t="shared" ca="1" si="6"/>
        <v>3.5246913573549442E-2</v>
      </c>
      <c r="AG25" s="75">
        <f t="shared" ca="1" si="7"/>
        <v>3.5246913573549442E-2</v>
      </c>
      <c r="AH25" s="31" t="str" cm="1">
        <f t="array" aca="1" ref="AH25" ca="1">IF((AD25) &lt; (INDEX(ResponseSLA[#All],(MATCH((G25),ResponseSLA[Priority],0))+1,3)),"YES","No")</f>
        <v>YES</v>
      </c>
      <c r="AI25" s="31" t="str">
        <f ca="1">_xlfn.IFNA(IF(AE25 &lt; (INDEX(SLATable[Minimum SLA],MATCH(G25,SLATable[Priority],0))),"YES","NO"),"")</f>
        <v>YES</v>
      </c>
      <c r="AJ25" t="str">
        <f ca="1">_xlfn.IFNA(IF(AE25 &lt; (INDEX(SLATable[Maximum SLA],MATCH(G25,SLATable[Priority],0))),"YES","NO"),"")</f>
        <v>YES</v>
      </c>
    </row>
    <row r="26" spans="1:36" ht="15" customHeight="1">
      <c r="A26" s="45">
        <v>25</v>
      </c>
      <c r="B26" s="45" t="s">
        <v>46</v>
      </c>
      <c r="C26" s="45" t="s">
        <v>42</v>
      </c>
      <c r="D26" s="45" t="s">
        <v>208</v>
      </c>
      <c r="E26" s="45" t="s">
        <v>8707</v>
      </c>
      <c r="F26" s="45" t="s">
        <v>49</v>
      </c>
      <c r="G26" s="45" t="s">
        <v>208</v>
      </c>
      <c r="H26" s="45" t="s">
        <v>8678</v>
      </c>
      <c r="I26" s="45" t="s">
        <v>271</v>
      </c>
      <c r="J26" s="45" t="s">
        <v>8675</v>
      </c>
      <c r="K26" s="47">
        <v>46216.534386574072</v>
      </c>
      <c r="L26" s="47">
        <v>46219.582812499997</v>
      </c>
      <c r="M26" s="47">
        <v>46219.582812499997</v>
      </c>
      <c r="N26" s="47">
        <v>46219.584988425922</v>
      </c>
      <c r="Q26" s="45" t="s">
        <v>8676</v>
      </c>
      <c r="R26" s="45" t="s">
        <v>267</v>
      </c>
      <c r="S26" s="45" t="s">
        <v>179</v>
      </c>
      <c r="Z26" s="76">
        <f t="shared" ca="1" si="8"/>
        <v>1.1756018518499334</v>
      </c>
      <c r="AA26" s="75">
        <f t="shared" ca="1" si="1"/>
        <v>3.1349382715998226</v>
      </c>
      <c r="AB26" s="76">
        <f t="shared" ca="1" si="9"/>
        <v>2.1759259252576157E-3</v>
      </c>
      <c r="AC26" s="75">
        <f t="shared" ca="1" si="3"/>
        <v>5.8024691340203089E-3</v>
      </c>
      <c r="AD26" s="76">
        <f t="shared" ca="1" si="10"/>
        <v>0</v>
      </c>
      <c r="AE26" s="76">
        <f t="shared" ca="1" si="11"/>
        <v>2.1759259252576157E-3</v>
      </c>
      <c r="AF26" s="75">
        <f t="shared" ca="1" si="6"/>
        <v>5.8024691340203089E-3</v>
      </c>
      <c r="AG26" s="75">
        <f t="shared" ca="1" si="7"/>
        <v>5.8024691340203089E-3</v>
      </c>
      <c r="AH26" s="31" t="str" cm="1">
        <f t="array" aca="1" ref="AH26" ca="1">IF((AD26) &lt; (INDEX(ResponseSLA[#All],(MATCH((G26),ResponseSLA[Priority],0))+1,3)),"YES","No")</f>
        <v>YES</v>
      </c>
      <c r="AI26" s="31" t="str">
        <f ca="1">_xlfn.IFNA(IF(AE26 &lt; (INDEX(SLATable[Minimum SLA],MATCH(G26,SLATable[Priority],0))),"YES","NO"),"")</f>
        <v>YES</v>
      </c>
      <c r="AJ26" t="str">
        <f ca="1">_xlfn.IFNA(IF(AE26 &lt; (INDEX(SLATable[Maximum SLA],MATCH(G26,SLATable[Priority],0))),"YES","NO"),"")</f>
        <v>YES</v>
      </c>
    </row>
    <row r="27" spans="1:36" ht="15" customHeight="1">
      <c r="A27" s="45">
        <v>26</v>
      </c>
      <c r="B27" s="45" t="s">
        <v>46</v>
      </c>
      <c r="C27" s="45" t="s">
        <v>42</v>
      </c>
      <c r="D27" s="45" t="s">
        <v>207</v>
      </c>
      <c r="E27" s="45" t="s">
        <v>8708</v>
      </c>
      <c r="F27" s="45" t="s">
        <v>49</v>
      </c>
      <c r="G27" s="45">
        <v>3</v>
      </c>
      <c r="H27" s="45" t="s">
        <v>8709</v>
      </c>
      <c r="I27" s="45" t="s">
        <v>271</v>
      </c>
      <c r="J27" s="45" t="s">
        <v>8675</v>
      </c>
      <c r="K27" s="47">
        <v>46226.38784722222</v>
      </c>
      <c r="L27" s="47">
        <v>46226.38784722222</v>
      </c>
      <c r="M27" s="47">
        <v>46226.38784722222</v>
      </c>
      <c r="N27" s="47">
        <v>46227.818541666667</v>
      </c>
      <c r="Q27" s="45" t="s">
        <v>8680</v>
      </c>
      <c r="R27" s="45" t="s">
        <v>267</v>
      </c>
      <c r="S27" s="45" t="s">
        <v>141</v>
      </c>
      <c r="Z27" s="76" t="e">
        <f ca="1">IF(NOT(OR(G27=1,G27=2)),MAX(0,_xlfn.IFS(AND(K27&lt;&gt;"",#REF!&lt;&gt;""),((MAX(NETWORKDAYS(K27,#REF!,UKBankHolidays)-1,0))*(TIME(17,0,0)-TIME(8,0,0))+IF(NETWORKDAYS(#REF!,#REF!,UKBankHolidays)&gt;0,MEDIAN(TIME(8,0,0),MOD(#REF!,1),TIME(17,0,0)),TIME(8,0,0))-IF(NETWORKDAYS(K27,K27,UKBankHolidays)&gt;0,MEDIAN(TIME(8,0,0),MOD(K27,1),TIME(17,0,0)),TIME(8,0,0)))-IF(AND(O27&lt;&gt;"",P27&lt;&gt;""),((MAX(NETWORKDAYS(O27,P27,UKBankHolidays)-1,0))*(TIME(17,0,0)-TIME(8,0,0))+IF(NETWORKDAYS(P27,P27,UKBankHolidays)&gt;0,MEDIAN(TIME(8,0,0),MOD(P27,1),TIME(17,0,0)),TIME(8,0,0))-IF(NETWORKDAYS(O27,O27,UKBankHolidays)&gt;0,MEDIAN(TIME(8,0,0),MOD(O27,1),TIME(17,0,0)),TIME(8,0,0))),0),AND(K27&lt;&gt;"",#REF!=""),((MAX(NETWORKDAYS(K27,NOW(),UKBankHolidays)-1,0))*(TIME(17,0,0)-TIME(8,0,0))+IF(NETWORKDAYS(NOW(),NOW(),UKBankHolidays)&gt;0,MEDIAN(TIME(8,0,0),MOD(NOW(),1),TIME(17,0,0)),TIME(8,0,0))-IF(NETWORKDAYS(K27,K27,UKBankHolidays)&gt;0,MEDIAN(TIME(8,0,0),MOD(K27,1),TIME(17,0,0)),TIME(8,0,0))))),IF(#REF!="",NOW()-K27,#REF!-K27))</f>
        <v>#REF!</v>
      </c>
      <c r="AA27" s="75" t="e">
        <f t="shared" ca="1" si="1"/>
        <v>#REF!</v>
      </c>
      <c r="AB27" s="76" t="e">
        <f ca="1">IF(NOT(OR(G27=1,G27=2)),MAX(0,_xlfn.IFS(AND(K27&lt;&gt;"",#REF!&lt;&gt;""),(((MAX(NETWORKDAYS(L27,#REF!,UKBankHolidays)-1,0))*(TIME(17,0,0)-TIME(8,0,0)))+IF(NETWORKDAYS(#REF!,#REF!,UKBankHolidays)&gt;0,MEDIAN(TIME(8,0,0),MOD(#REF!,1),TIME(17,0,0)),TIME(8,0,0))-IF(NETWORKDAYS(L27,L27,UKBankHolidays)&gt;0,MEDIAN(TIME(8,0,0),MOD(L27,1),TIME(17,0,0)),TIME(8,0,0)))-IF(AND(O27&lt;&gt;"",P27&lt;&gt;""),(((MAX(NETWORKDAYS(O27,P27,UKBankHolidays)-1,0))*(TIME(17,0,0)-TIME(8,0,0)))+IF(NETWORKDAYS(P27,P27,UKBankHolidays)&gt;0,MEDIAN(TIME(8,0,0),MOD(P27,1),TIME(17,0,0)),TIME(8,0,0))-IF(NETWORKDAYS(O27,O27,UKBankHolidays)&gt;0,MEDIAN(TIME(8,0,0),MOD(O27,1),TIME(17,0,0)),TIME(8,0,0))),0),AND(L27&lt;&gt;"",#REF!="",O27=""),(((MAX(NETWORKDAYS(L27,NOW(),UKBankHolidays)-1,0))*(TIME(17,0,0)-TIME(8,0,0)))+IF(NETWORKDAYS(NOW(),NOW(),UKBankHolidays)&gt;0,MEDIAN(TIME(8,0,0),MOD(NOW(),1),TIME(17,0,0)),TIME(8,0,0))-IF(NETWORKDAYS(L27,L27,UKBankHolidays)&gt;0,MEDIAN(TIME(8,0,0),MOD(L27,1),TIME(17,0,0)),TIME(8,0,0)))-IF(AND(O27&lt;&gt;"",P27&lt;&gt;""),(((MAX(NETWORKDAYS(O27,P27,UKBankHolidays)-1,0))*(TIME(17,0,0)-TIME(8,0,0)))+IF(NETWORKDAYS(P27,P27,UKBankHolidays)&gt;0,MEDIAN(TIME(8,0,0),MOD(P27,1),TIME(17,0,0)),TIME(8,0,0))-IF(NETWORKDAYS(O27,O27,UKBankHolidays)&gt;0,MEDIAN(TIME(8,0,0),MOD(O27,1),TIME(17,0,0)),TIME(8,0,0))),0),AND(L27&lt;&gt;"",#REF!="",P27="",O27&lt;&gt;""),(((MAX(NETWORKDAYS(L27,O27,UKBankHolidays)-1,0))*(TIME(17,0,0)-TIME(8,0,0)))+IF(NETWORKDAYS(O27,O27,UKBankHolidays)&gt;0,MEDIAN(TIME(8,0,0),MOD(O27,1),TIME(17,0,0)),TIME(8,0,0))-IF(NETWORKDAYS(L27,L27,UKBankHolidays)&gt;0,MEDIAN(TIME(8,0,0),MOD(L27,1),TIME(17,0,0)),TIME(8,0,0))),ISBLANK(K27),"0")),IF(ISBLANK(#REF!),NOW()-L27,#REF!-L27))</f>
        <v>#REF!</v>
      </c>
      <c r="AC27" s="75" t="e">
        <f t="shared" ca="1" si="3"/>
        <v>#REF!</v>
      </c>
      <c r="AD27" s="76">
        <f t="shared" ca="1" si="10"/>
        <v>0</v>
      </c>
      <c r="AE27" s="76" t="e">
        <f t="shared" ca="1" si="11"/>
        <v>#REF!</v>
      </c>
      <c r="AF27" s="75" t="e">
        <f t="shared" ca="1" si="6"/>
        <v>#REF!</v>
      </c>
      <c r="AG27" s="75" t="e">
        <f t="shared" ca="1" si="7"/>
        <v>#REF!</v>
      </c>
      <c r="AH27" s="31" t="str" cm="1">
        <f t="array" aca="1" ref="AH27" ca="1">IF((AD27) &lt; (INDEX(ResponseSLA[#All],(MATCH((G27),ResponseSLA[Priority],0))+1,3)),"YES","No")</f>
        <v>YES</v>
      </c>
      <c r="AI27" s="31" t="e">
        <f ca="1">_xlfn.IFNA(IF(AE27 &lt; (INDEX(SLATable[Minimum SLA],MATCH(G27,SLATable[Priority],0))),"YES","NO"),"")</f>
        <v>#REF!</v>
      </c>
      <c r="AJ27" t="e">
        <f ca="1">_xlfn.IFNA(IF(AE27 &lt; (INDEX(SLATable[Maximum SLA],MATCH(G27,SLATable[Priority],0))),"YES","NO"),"")</f>
        <v>#REF!</v>
      </c>
    </row>
    <row r="28" spans="1:36" ht="15" customHeight="1">
      <c r="A28" s="45">
        <v>27</v>
      </c>
      <c r="B28" s="45" t="s">
        <v>46</v>
      </c>
      <c r="C28" s="45" t="s">
        <v>42</v>
      </c>
      <c r="D28" s="45" t="s">
        <v>207</v>
      </c>
      <c r="E28" s="45" t="s">
        <v>8710</v>
      </c>
      <c r="F28" s="45" t="s">
        <v>49</v>
      </c>
      <c r="G28" s="45">
        <v>4</v>
      </c>
      <c r="H28" s="45" t="s">
        <v>8711</v>
      </c>
      <c r="I28" s="45" t="s">
        <v>271</v>
      </c>
      <c r="J28" s="45" t="s">
        <v>8667</v>
      </c>
      <c r="K28" s="47">
        <v>46225.624918981484</v>
      </c>
      <c r="L28" s="47">
        <v>46225.624918981484</v>
      </c>
      <c r="M28" s="47">
        <v>46226.207627314812</v>
      </c>
      <c r="N28" s="47">
        <v>46227.819699074076</v>
      </c>
      <c r="Q28" s="45" t="s">
        <v>8680</v>
      </c>
      <c r="R28" s="45" t="s">
        <v>267</v>
      </c>
      <c r="S28" s="45" t="s">
        <v>141</v>
      </c>
      <c r="W28" s="47"/>
      <c r="Z28" s="76">
        <f t="shared" ca="1" si="8"/>
        <v>0.83341435184896318</v>
      </c>
      <c r="AA28" s="75">
        <f t="shared" ca="1" si="1"/>
        <v>2.2224382715972353</v>
      </c>
      <c r="AB28" s="76">
        <f t="shared" ca="1" si="9"/>
        <v>0.83341435184896318</v>
      </c>
      <c r="AC28" s="75">
        <f t="shared" ca="1" si="3"/>
        <v>2.2224382715972353</v>
      </c>
      <c r="AD28" s="76">
        <f t="shared" ca="1" si="10"/>
        <v>8.3414351848963064E-2</v>
      </c>
      <c r="AE28" s="76">
        <f t="shared" ca="1" si="11"/>
        <v>0.83341435184896318</v>
      </c>
      <c r="AF28" s="75">
        <f t="shared" ca="1" si="6"/>
        <v>2.2224382715972353</v>
      </c>
      <c r="AG28" s="75">
        <f t="shared" ca="1" si="7"/>
        <v>2.2224382715972353</v>
      </c>
      <c r="AH28" s="31" t="str" cm="1">
        <f t="array" aca="1" ref="AH28" ca="1">IF((AD28) &lt; (INDEX(ResponseSLA[#All],(MATCH((G28),ResponseSLA[Priority],0))+1,3)),"YES","No")</f>
        <v>YES</v>
      </c>
      <c r="AI28" s="31" t="str">
        <f ca="1">_xlfn.IFNA(IF(AE28 &lt; (INDEX(SLATable[Minimum SLA],MATCH(G28,SLATable[Priority],0))),"YES","NO"),"")</f>
        <v>YES</v>
      </c>
      <c r="AJ28" t="str">
        <f ca="1">_xlfn.IFNA(IF(AE28 &lt; (INDEX(SLATable[Maximum SLA],MATCH(G28,SLATable[Priority],0))),"YES","NO"),"")</f>
        <v>YES</v>
      </c>
    </row>
    <row r="29" spans="1:36" ht="15" customHeight="1">
      <c r="A29" s="45">
        <v>28</v>
      </c>
      <c r="B29" s="45" t="s">
        <v>46</v>
      </c>
      <c r="C29" s="45" t="s">
        <v>42</v>
      </c>
      <c r="D29" s="45" t="s">
        <v>207</v>
      </c>
      <c r="E29" s="45" t="s">
        <v>8712</v>
      </c>
      <c r="F29" s="45" t="s">
        <v>49</v>
      </c>
      <c r="G29" s="45">
        <v>3</v>
      </c>
      <c r="H29" s="45" t="s">
        <v>8711</v>
      </c>
      <c r="I29" s="45" t="s">
        <v>271</v>
      </c>
      <c r="J29" s="45" t="s">
        <v>8667</v>
      </c>
      <c r="K29" s="47">
        <v>46225.896493055552</v>
      </c>
      <c r="L29" s="47">
        <v>46225.896493055552</v>
      </c>
      <c r="M29" s="47">
        <v>46226.18891203704</v>
      </c>
      <c r="N29" s="47">
        <v>46227.8203125</v>
      </c>
      <c r="O29" s="47">
        <v>46226.374537037038</v>
      </c>
      <c r="P29" s="47">
        <v>46227.8203125</v>
      </c>
      <c r="Q29" s="45" t="s">
        <v>8680</v>
      </c>
      <c r="R29" s="45" t="s">
        <v>267</v>
      </c>
      <c r="S29" s="45" t="s">
        <v>141</v>
      </c>
      <c r="Z29" s="76">
        <f ca="1">IF(NOT(OR(G29=1,G29=2)),MAX(0,_xlfn.IFS(AND(K29&lt;&gt;"",W28&lt;&gt;""),((MAX(NETWORKDAYS(K29,W28,UKBankHolidays)-1,0))*(TIME(17,0,0)-TIME(8,0,0))+IF(NETWORKDAYS(W28,W28,UKBankHolidays)&gt;0,MEDIAN(TIME(8,0,0),MOD(W28,1),TIME(17,0,0)),TIME(8,0,0))-IF(NETWORKDAYS(K29,K29,UKBankHolidays)&gt;0,MEDIAN(TIME(8,0,0),MOD(K29,1),TIME(17,0,0)),TIME(8,0,0)))-IF(AND(O29&lt;&gt;"",P29&lt;&gt;""),((MAX(NETWORKDAYS(O29,P29,UKBankHolidays)-1,0))*(TIME(17,0,0)-TIME(8,0,0))+IF(NETWORKDAYS(P29,P29,UKBankHolidays)&gt;0,MEDIAN(TIME(8,0,0),MOD(P29,1),TIME(17,0,0)),TIME(8,0,0))-IF(NETWORKDAYS(O29,O29,UKBankHolidays)&gt;0,MEDIAN(TIME(8,0,0),MOD(O29,1),TIME(17,0,0)),TIME(8,0,0))),0),AND(K29&lt;&gt;"",W28=""),((MAX(NETWORKDAYS(K29,NOW(),UKBankHolidays)-1,0))*(TIME(17,0,0)-TIME(8,0,0))+IF(NETWORKDAYS(NOW(),NOW(),UKBankHolidays)&gt;0,MEDIAN(TIME(8,0,0),MOD(NOW(),1),TIME(17,0,0)),TIME(8,0,0))-IF(NETWORKDAYS(K29,K29,UKBankHolidays)&gt;0,MEDIAN(TIME(8,0,0),MOD(K29,1),TIME(17,0,0)),TIME(8,0,0))))),IF(W28="",NOW()-K29,W28-K29))</f>
        <v>8.9256412037017689</v>
      </c>
      <c r="AA29" s="75">
        <f t="shared" ca="1" si="1"/>
        <v>23.801709876538052</v>
      </c>
      <c r="AB29" s="76" t="e">
        <f ca="1">IF(NOT(OR(G29=1,G29=2)),MAX(0,_xlfn.IFS(AND(K29&lt;&gt;"",W28&lt;&gt;""),(((MAX(NETWORKDAYS(L29,W28,UKBankHolidays)-1,0))*(TIME(17,0,0)-TIME(8,0,0)))+IF(NETWORKDAYS(W28,W28,UKBankHolidays)&gt;0,MEDIAN(TIME(8,0,0),MOD(W28,1),TIME(17,0,0)),TIME(8,0,0))-IF(NETWORKDAYS(L29,L29,UKBankHolidays)&gt;0,MEDIAN(TIME(8,0,0),MOD(L29,1),TIME(17,0,0)),TIME(8,0,0)))-IF(AND(O29&lt;&gt;"",P29&lt;&gt;""),(((MAX(NETWORKDAYS(O29,P29,UKBankHolidays)-1,0))*(TIME(17,0,0)-TIME(8,0,0)))+IF(NETWORKDAYS(P29,P29,UKBankHolidays)&gt;0,MEDIAN(TIME(8,0,0),MOD(P29,1),TIME(17,0,0)),TIME(8,0,0))-IF(NETWORKDAYS(O29,O29,UKBankHolidays)&gt;0,MEDIAN(TIME(8,0,0),MOD(O29,1),TIME(17,0,0)),TIME(8,0,0))),0),AND(L29&lt;&gt;"",W28="",O29=""),(((MAX(NETWORKDAYS(L29,NOW(),UKBankHolidays)-1,0))*(TIME(17,0,0)-TIME(8,0,0)))+IF(NETWORKDAYS(NOW(),NOW(),UKBankHolidays)&gt;0,MEDIAN(TIME(8,0,0),MOD(NOW(),1),TIME(17,0,0)),TIME(8,0,0))-IF(NETWORKDAYS(L29,L29,UKBankHolidays)&gt;0,MEDIAN(TIME(8,0,0),MOD(L29,1),TIME(17,0,0)),TIME(8,0,0)))-IF(AND(O29&lt;&gt;"",P29&lt;&gt;""),(((MAX(NETWORKDAYS(O29,P29,UKBankHolidays)-1,0))*(TIME(17,0,0)-TIME(8,0,0)))+IF(NETWORKDAYS(P29,P29,UKBankHolidays)&gt;0,MEDIAN(TIME(8,0,0),MOD(P29,1),TIME(17,0,0)),TIME(8,0,0))-IF(NETWORKDAYS(O29,O29,UKBankHolidays)&gt;0,MEDIAN(TIME(8,0,0),MOD(O29,1),TIME(17,0,0)),TIME(8,0,0))),0),AND(L29&lt;&gt;"",W28="",P29="",O29&lt;&gt;""),(((MAX(NETWORKDAYS(L29,O29,UKBankHolidays)-1,0))*(TIME(17,0,0)-TIME(8,0,0)))+IF(NETWORKDAYS(O29,O29,UKBankHolidays)&gt;0,MEDIAN(TIME(8,0,0),MOD(O29,1),TIME(17,0,0)),TIME(8,0,0))-IF(NETWORKDAYS(L29,L29,UKBankHolidays)&gt;0,MEDIAN(TIME(8,0,0),MOD(L29,1),TIME(17,0,0)),TIME(8,0,0))),ISBLANK(K29),"0")),IF(ISBLANK(W28),NOW()-L29,W28-L29))</f>
        <v>#N/A</v>
      </c>
      <c r="AC29" s="75" t="e">
        <f t="shared" ca="1" si="3"/>
        <v>#N/A</v>
      </c>
      <c r="AD29" s="76">
        <f t="shared" ca="1" si="10"/>
        <v>0</v>
      </c>
      <c r="AE29" s="76" t="e">
        <f t="shared" ca="1" si="11"/>
        <v>#N/A</v>
      </c>
      <c r="AF29" s="75" t="e">
        <f t="shared" ca="1" si="6"/>
        <v>#N/A</v>
      </c>
      <c r="AG29" s="75" t="e">
        <f t="shared" ca="1" si="7"/>
        <v>#N/A</v>
      </c>
      <c r="AH29" s="31" t="str" cm="1">
        <f t="array" aca="1" ref="AH29" ca="1">IF((AD29) &lt; (INDEX(ResponseSLA[#All],(MATCH((G29),ResponseSLA[Priority],0))+1,3)),"YES","No")</f>
        <v>YES</v>
      </c>
      <c r="AI29" s="31" t="str">
        <f ca="1">_xlfn.IFNA(IF(AE29 &lt; (INDEX(SLATable[Minimum SLA],MATCH(G29,SLATable[Priority],0))),"YES","NO"),"")</f>
        <v/>
      </c>
      <c r="AJ29" t="str">
        <f ca="1">_xlfn.IFNA(IF(AE29 &lt; (INDEX(SLATable[Maximum SLA],MATCH(G29,SLATable[Priority],0))),"YES","NO"),"")</f>
        <v/>
      </c>
    </row>
    <row r="30" spans="1:36" ht="15" customHeight="1">
      <c r="A30" s="45">
        <v>29</v>
      </c>
      <c r="B30" s="45" t="s">
        <v>46</v>
      </c>
      <c r="C30" s="45" t="s">
        <v>42</v>
      </c>
      <c r="D30" s="45" t="s">
        <v>207</v>
      </c>
      <c r="E30" s="45" t="s">
        <v>8713</v>
      </c>
      <c r="F30" s="45" t="s">
        <v>49</v>
      </c>
      <c r="G30" s="45">
        <v>3</v>
      </c>
      <c r="H30" s="45" t="s">
        <v>8711</v>
      </c>
      <c r="I30" s="45" t="s">
        <v>271</v>
      </c>
      <c r="J30" s="45" t="s">
        <v>8675</v>
      </c>
      <c r="K30" s="47">
        <v>46226.277002314811</v>
      </c>
      <c r="L30" s="47">
        <v>46226.277002314811</v>
      </c>
      <c r="M30" s="47">
        <v>46226.374745370369</v>
      </c>
      <c r="N30" s="47">
        <v>46227.821134259262</v>
      </c>
      <c r="O30" s="47">
        <v>46226.375138888892</v>
      </c>
      <c r="P30" s="47">
        <v>46227.821134259262</v>
      </c>
      <c r="Q30" s="45" t="s">
        <v>8680</v>
      </c>
      <c r="R30" s="45" t="s">
        <v>267</v>
      </c>
      <c r="S30" s="45" t="s">
        <v>141</v>
      </c>
      <c r="Z30" s="76">
        <f t="shared" ca="1" si="8"/>
        <v>4.1805555558918739E-2</v>
      </c>
      <c r="AA30" s="75">
        <f t="shared" ca="1" si="1"/>
        <v>0.11148148149044997</v>
      </c>
      <c r="AB30" s="76">
        <f t="shared" ca="1" si="9"/>
        <v>4.1805555558918739E-2</v>
      </c>
      <c r="AC30" s="75">
        <f t="shared" ca="1" si="3"/>
        <v>0.11148148149044997</v>
      </c>
      <c r="AD30" s="76">
        <f t="shared" ca="1" si="10"/>
        <v>4.1412037035721994E-2</v>
      </c>
      <c r="AE30" s="76">
        <f t="shared" ca="1" si="11"/>
        <v>4.1805555558918739E-2</v>
      </c>
      <c r="AF30" s="75">
        <f t="shared" ca="1" si="6"/>
        <v>0.11148148149044997</v>
      </c>
      <c r="AG30" s="75">
        <f t="shared" ca="1" si="7"/>
        <v>0.11148148149044997</v>
      </c>
      <c r="AH30" s="31" t="str" cm="1">
        <f t="array" aca="1" ref="AH30" ca="1">IF((AD30) &lt; (INDEX(ResponseSLA[#All],(MATCH((G30),ResponseSLA[Priority],0))+1,3)),"YES","No")</f>
        <v>YES</v>
      </c>
      <c r="AI30" s="31" t="str">
        <f ca="1">_xlfn.IFNA(IF(AE30 &lt; (INDEX(SLATable[Minimum SLA],MATCH(G30,SLATable[Priority],0))),"YES","NO"),"")</f>
        <v>YES</v>
      </c>
      <c r="AJ30" t="str">
        <f ca="1">_xlfn.IFNA(IF(AE30 &lt; (INDEX(SLATable[Maximum SLA],MATCH(G30,SLATable[Priority],0))),"YES","NO"),"")</f>
        <v>YES</v>
      </c>
    </row>
    <row r="31" spans="1:36" ht="15" customHeight="1">
      <c r="A31" s="45">
        <v>30</v>
      </c>
      <c r="B31" s="45" t="s">
        <v>46</v>
      </c>
      <c r="C31" s="45" t="s">
        <v>42</v>
      </c>
      <c r="D31" s="45" t="s">
        <v>207</v>
      </c>
      <c r="E31" s="45" t="s">
        <v>8714</v>
      </c>
      <c r="F31" s="45" t="s">
        <v>49</v>
      </c>
      <c r="G31" s="45">
        <v>3</v>
      </c>
      <c r="H31" s="45" t="s">
        <v>8715</v>
      </c>
      <c r="I31" s="45" t="s">
        <v>271</v>
      </c>
      <c r="J31" s="45" t="s">
        <v>8675</v>
      </c>
      <c r="K31" s="47">
        <v>46226.33289351852</v>
      </c>
      <c r="L31" s="47">
        <v>46226.33289351852</v>
      </c>
      <c r="M31" s="47">
        <v>46226.352453703701</v>
      </c>
      <c r="N31" s="47">
        <v>46227.822164351855</v>
      </c>
      <c r="O31" s="47">
        <v>46226.37394675926</v>
      </c>
      <c r="P31" s="47">
        <v>46227.822164351855</v>
      </c>
      <c r="Q31" s="45" t="s">
        <v>8680</v>
      </c>
      <c r="R31" s="45" t="s">
        <v>267</v>
      </c>
      <c r="S31" s="45" t="s">
        <v>141</v>
      </c>
      <c r="Z31" s="76">
        <f t="shared" ca="1" si="8"/>
        <v>4.0613425927100932E-2</v>
      </c>
      <c r="AA31" s="75">
        <f t="shared" ca="1" si="1"/>
        <v>0.10830246913893582</v>
      </c>
      <c r="AB31" s="76">
        <f t="shared" ca="1" si="9"/>
        <v>4.0613425927100932E-2</v>
      </c>
      <c r="AC31" s="75">
        <f t="shared" ca="1" si="3"/>
        <v>0.10830246913893582</v>
      </c>
      <c r="AD31" s="76">
        <f t="shared" ca="1" si="10"/>
        <v>1.9120370367697148E-2</v>
      </c>
      <c r="AE31" s="76">
        <f t="shared" ca="1" si="11"/>
        <v>4.0613425927100932E-2</v>
      </c>
      <c r="AF31" s="75">
        <f t="shared" ca="1" si="6"/>
        <v>0.10830246913893582</v>
      </c>
      <c r="AG31" s="75">
        <f t="shared" ca="1" si="7"/>
        <v>0.10830246913893582</v>
      </c>
      <c r="AH31" s="31" t="str" cm="1">
        <f t="array" aca="1" ref="AH31" ca="1">IF((AD31) &lt; (INDEX(ResponseSLA[#All],(MATCH((G31),ResponseSLA[Priority],0))+1,3)),"YES","No")</f>
        <v>YES</v>
      </c>
      <c r="AI31" s="31" t="str">
        <f ca="1">_xlfn.IFNA(IF(AE31 &lt; (INDEX(SLATable[Minimum SLA],MATCH(G31,SLATable[Priority],0))),"YES","NO"),"")</f>
        <v>YES</v>
      </c>
      <c r="AJ31" t="str">
        <f ca="1">_xlfn.IFNA(IF(AE31 &lt; (INDEX(SLATable[Maximum SLA],MATCH(G31,SLATable[Priority],0))),"YES","NO"),"")</f>
        <v>YES</v>
      </c>
    </row>
    <row r="32" spans="1:36" ht="15" customHeight="1">
      <c r="A32" s="45">
        <v>31</v>
      </c>
      <c r="B32" s="45" t="s">
        <v>46</v>
      </c>
      <c r="C32" s="45" t="s">
        <v>42</v>
      </c>
      <c r="D32" s="45" t="s">
        <v>207</v>
      </c>
      <c r="E32" s="45" t="s">
        <v>8716</v>
      </c>
      <c r="F32" s="45" t="s">
        <v>49</v>
      </c>
      <c r="G32" s="45">
        <v>3</v>
      </c>
      <c r="H32" s="45" t="s">
        <v>8711</v>
      </c>
      <c r="I32" s="45" t="s">
        <v>271</v>
      </c>
      <c r="J32" s="45" t="s">
        <v>8675</v>
      </c>
      <c r="K32" s="47">
        <v>46226.292928240742</v>
      </c>
      <c r="L32" s="47">
        <v>46226.520520833335</v>
      </c>
      <c r="M32" s="47">
        <v>46226.520520833335</v>
      </c>
      <c r="N32" s="47">
        <v>46227.825439814813</v>
      </c>
      <c r="Q32" s="45" t="s">
        <v>8680</v>
      </c>
      <c r="R32" s="45" t="s">
        <v>267</v>
      </c>
      <c r="S32" s="45" t="s">
        <v>141</v>
      </c>
      <c r="Z32" s="76">
        <f t="shared" ca="1" si="8"/>
        <v>0.75000000000000022</v>
      </c>
      <c r="AA32" s="75">
        <f t="shared" ca="1" si="1"/>
        <v>2.0000000000000009</v>
      </c>
      <c r="AB32" s="76">
        <f t="shared" ca="1" si="9"/>
        <v>0.56281249999786587</v>
      </c>
      <c r="AC32" s="75">
        <f t="shared" ca="1" si="3"/>
        <v>1.5008333333276422</v>
      </c>
      <c r="AD32" s="76">
        <f t="shared" ca="1" si="10"/>
        <v>0</v>
      </c>
      <c r="AE32" s="76">
        <f t="shared" ca="1" si="11"/>
        <v>0.56281249999786587</v>
      </c>
      <c r="AF32" s="75">
        <f t="shared" ca="1" si="6"/>
        <v>1.5008333333276422</v>
      </c>
      <c r="AG32" s="75">
        <f t="shared" ca="1" si="7"/>
        <v>1.5008333333276422</v>
      </c>
      <c r="AH32" s="31" t="str" cm="1">
        <f t="array" aca="1" ref="AH32" ca="1">IF((AD32) &lt; (INDEX(ResponseSLA[#All],(MATCH((G32),ResponseSLA[Priority],0))+1,3)),"YES","No")</f>
        <v>YES</v>
      </c>
      <c r="AI32" s="31" t="str">
        <f ca="1">_xlfn.IFNA(IF(AE32 &lt; (INDEX(SLATable[Minimum SLA],MATCH(G32,SLATable[Priority],0))),"YES","NO"),"")</f>
        <v>NO</v>
      </c>
      <c r="AJ32" t="str">
        <f ca="1">_xlfn.IFNA(IF(AE32 &lt; (INDEX(SLATable[Maximum SLA],MATCH(G32,SLATable[Priority],0))),"YES","NO"),"")</f>
        <v>YES</v>
      </c>
    </row>
    <row r="33" spans="1:36" ht="15" customHeight="1">
      <c r="A33" s="45">
        <v>32</v>
      </c>
      <c r="B33" s="45" t="s">
        <v>46</v>
      </c>
      <c r="C33" s="45" t="s">
        <v>42</v>
      </c>
      <c r="D33" s="45" t="s">
        <v>208</v>
      </c>
      <c r="E33" s="45" t="s">
        <v>8717</v>
      </c>
      <c r="F33" s="45" t="s">
        <v>49</v>
      </c>
      <c r="G33" s="45" t="s">
        <v>208</v>
      </c>
      <c r="H33" s="45" t="s">
        <v>8670</v>
      </c>
      <c r="I33" s="45" t="s">
        <v>271</v>
      </c>
      <c r="J33" s="45" t="s">
        <v>8675</v>
      </c>
      <c r="K33" s="47">
        <v>46233.41333333333</v>
      </c>
      <c r="L33" s="47">
        <v>46233.41333333333</v>
      </c>
      <c r="M33" s="47">
        <v>46234.330023148148</v>
      </c>
      <c r="N33" s="47">
        <v>46238.321527777778</v>
      </c>
      <c r="O33" s="47">
        <v>46234.332372685189</v>
      </c>
      <c r="P33" s="47">
        <v>46238.321527777778</v>
      </c>
      <c r="Q33" s="45" t="s">
        <v>8680</v>
      </c>
      <c r="R33" s="45" t="s">
        <v>267</v>
      </c>
      <c r="S33" s="45" t="s">
        <v>179</v>
      </c>
      <c r="Z33" s="76">
        <f t="shared" ca="1" si="8"/>
        <v>0.29500000000310433</v>
      </c>
      <c r="AA33" s="75">
        <f t="shared" ca="1" si="1"/>
        <v>0.78666666667494489</v>
      </c>
      <c r="AB33" s="76">
        <f t="shared" ca="1" si="9"/>
        <v>0.29500000000310433</v>
      </c>
      <c r="AC33" s="75">
        <f t="shared" ca="1" si="3"/>
        <v>0.78666666667494489</v>
      </c>
      <c r="AD33" s="76">
        <f t="shared" ca="1" si="10"/>
        <v>0.29500000000310445</v>
      </c>
      <c r="AE33" s="76">
        <f t="shared" ca="1" si="11"/>
        <v>0.29500000000310433</v>
      </c>
      <c r="AF33" s="75">
        <f t="shared" ca="1" si="6"/>
        <v>0.78666666667494489</v>
      </c>
      <c r="AG33" s="75">
        <f t="shared" ca="1" si="7"/>
        <v>0.78666666667494489</v>
      </c>
      <c r="AH33" s="31" t="str" cm="1">
        <f t="array" aca="1" ref="AH33" ca="1">IF((AD33) &lt; (INDEX(ResponseSLA[#All],(MATCH((G33),ResponseSLA[Priority],0))+1,3)),"YES","No")</f>
        <v>YES</v>
      </c>
      <c r="AI33" s="31" t="str">
        <f ca="1">_xlfn.IFNA(IF(AE33 &lt; (INDEX(SLATable[Minimum SLA],MATCH(G33,SLATable[Priority],0))),"YES","NO"),"")</f>
        <v>YES</v>
      </c>
      <c r="AJ33" t="str">
        <f ca="1">_xlfn.IFNA(IF(AE33 &lt; (INDEX(SLATable[Maximum SLA],MATCH(G33,SLATable[Priority],0))),"YES","NO"),"")</f>
        <v>YES</v>
      </c>
    </row>
    <row r="34" spans="1:36" ht="15" customHeight="1">
      <c r="A34" s="45">
        <v>33</v>
      </c>
      <c r="B34" s="45" t="s">
        <v>46</v>
      </c>
      <c r="C34" s="45" t="s">
        <v>42</v>
      </c>
      <c r="D34" s="45" t="s">
        <v>207</v>
      </c>
      <c r="E34" s="45" t="s">
        <v>8718</v>
      </c>
      <c r="F34" s="45" t="s">
        <v>49</v>
      </c>
      <c r="G34" s="45">
        <v>4</v>
      </c>
      <c r="H34" s="45" t="s">
        <v>8686</v>
      </c>
      <c r="I34" s="45" t="s">
        <v>271</v>
      </c>
      <c r="J34" s="45" t="s">
        <v>8675</v>
      </c>
      <c r="K34" s="47">
        <v>46231.470694444448</v>
      </c>
      <c r="L34" s="47">
        <v>46231.503842592596</v>
      </c>
      <c r="M34" s="47">
        <v>46232.366574074076</v>
      </c>
      <c r="N34" s="47">
        <v>46251.415138888886</v>
      </c>
      <c r="O34" s="47">
        <v>46244.281886574077</v>
      </c>
      <c r="P34" s="188">
        <v>46251.414583333331</v>
      </c>
      <c r="Q34" s="45" t="s">
        <v>8680</v>
      </c>
      <c r="R34" s="45" t="s">
        <v>267</v>
      </c>
      <c r="S34" s="45" t="s">
        <v>149</v>
      </c>
      <c r="Z34" s="76">
        <f t="shared" ca="1" si="8"/>
        <v>3.2381944444399178</v>
      </c>
      <c r="AA34" s="75">
        <f t="shared" ca="1" si="1"/>
        <v>8.6351851851731141</v>
      </c>
      <c r="AB34" s="76">
        <f t="shared" ca="1" si="9"/>
        <v>3.2050462962918882</v>
      </c>
      <c r="AC34" s="75">
        <f t="shared" ca="1" si="3"/>
        <v>8.5467901234450352</v>
      </c>
      <c r="AD34" s="76">
        <f t="shared" ca="1" si="10"/>
        <v>0.23773148148029577</v>
      </c>
      <c r="AE34" s="76">
        <f t="shared" ca="1" si="11"/>
        <v>3.2050462962918882</v>
      </c>
      <c r="AF34" s="75">
        <f t="shared" ca="1" si="6"/>
        <v>8.5467901234450352</v>
      </c>
      <c r="AG34" s="75">
        <f t="shared" ca="1" si="7"/>
        <v>8.5467901234450352</v>
      </c>
      <c r="AH34" s="31" t="str" cm="1">
        <f t="array" aca="1" ref="AH34" ca="1">IF((AD34) &lt; (INDEX(ResponseSLA[#All],(MATCH((G34),ResponseSLA[Priority],0))+1,3)),"YES","No")</f>
        <v>No</v>
      </c>
      <c r="AI34" s="31" t="str">
        <f ca="1">_xlfn.IFNA(IF(AE34 &lt; (INDEX(SLATable[Minimum SLA],MATCH(G34,SLATable[Priority],0))),"YES","NO"),"")</f>
        <v>YES</v>
      </c>
      <c r="AJ34" t="str">
        <f ca="1">_xlfn.IFNA(IF(AE34 &lt; (INDEX(SLATable[Maximum SLA],MATCH(G34,SLATable[Priority],0))),"YES","NO"),"")</f>
        <v>YES</v>
      </c>
    </row>
    <row r="35" spans="1:36" ht="15" customHeight="1">
      <c r="A35" s="45">
        <v>34</v>
      </c>
      <c r="B35" s="45" t="s">
        <v>46</v>
      </c>
      <c r="C35" s="45" t="s">
        <v>42</v>
      </c>
      <c r="D35" s="45" t="s">
        <v>207</v>
      </c>
      <c r="E35" s="45" t="s">
        <v>8719</v>
      </c>
      <c r="F35" s="45" t="s">
        <v>49</v>
      </c>
      <c r="G35" s="45">
        <v>3</v>
      </c>
      <c r="H35" s="45" t="s">
        <v>8693</v>
      </c>
      <c r="I35" s="45" t="s">
        <v>271</v>
      </c>
      <c r="J35" s="45" t="s">
        <v>8675</v>
      </c>
      <c r="K35" s="47">
        <v>46230.570659722223</v>
      </c>
      <c r="L35" s="47">
        <v>46230.57613425926</v>
      </c>
      <c r="M35" s="47">
        <v>46232.366851851853</v>
      </c>
      <c r="N35" s="47">
        <v>46251.415150462963</v>
      </c>
      <c r="O35" s="47">
        <v>46244.281678240739</v>
      </c>
      <c r="P35" s="47">
        <v>46251.415150462963</v>
      </c>
      <c r="Q35" s="45" t="s">
        <v>8680</v>
      </c>
      <c r="R35" s="45" t="s">
        <v>267</v>
      </c>
      <c r="S35" s="45" t="s">
        <v>149</v>
      </c>
      <c r="Z35" s="76">
        <f t="shared" ca="1" si="8"/>
        <v>3.5126736111099799</v>
      </c>
      <c r="AA35" s="75">
        <f t="shared" ca="1" si="1"/>
        <v>9.3671296296266124</v>
      </c>
      <c r="AB35" s="76">
        <f t="shared" ca="1" si="9"/>
        <v>3.5071990740737728</v>
      </c>
      <c r="AC35" s="75">
        <f t="shared" ca="1" si="3"/>
        <v>9.3525308641967282</v>
      </c>
      <c r="AD35" s="76">
        <f t="shared" ca="1" si="10"/>
        <v>0.54071759259386454</v>
      </c>
      <c r="AE35" s="76">
        <f t="shared" ca="1" si="11"/>
        <v>3.5071990740737728</v>
      </c>
      <c r="AF35" s="75">
        <f t="shared" ca="1" si="6"/>
        <v>9.3525308641967282</v>
      </c>
      <c r="AG35" s="75">
        <f t="shared" ca="1" si="7"/>
        <v>9.3525308641967282</v>
      </c>
      <c r="AH35" s="31" t="str" cm="1">
        <f t="array" aca="1" ref="AH35" ca="1">IF((AD35) &lt; (INDEX(ResponseSLA[#All],(MATCH((G35),ResponseSLA[Priority],0))+1,3)),"YES","No")</f>
        <v>No</v>
      </c>
      <c r="AI35" s="31" t="str">
        <f ca="1">_xlfn.IFNA(IF(AE35 &lt; (INDEX(SLATable[Minimum SLA],MATCH(G35,SLATable[Priority],0))),"YES","NO"),"")</f>
        <v>NO</v>
      </c>
      <c r="AJ35" t="str">
        <f ca="1">_xlfn.IFNA(IF(AE35 &lt; (INDEX(SLATable[Maximum SLA],MATCH(G35,SLATable[Priority],0))),"YES","NO"),"")</f>
        <v>NO</v>
      </c>
    </row>
    <row r="36" spans="1:36" ht="15" customHeight="1">
      <c r="A36" s="45">
        <v>35</v>
      </c>
      <c r="B36" s="45" t="s">
        <v>46</v>
      </c>
      <c r="C36" s="45" t="s">
        <v>42</v>
      </c>
      <c r="D36" s="45" t="s">
        <v>208</v>
      </c>
      <c r="E36" s="45" t="s">
        <v>8720</v>
      </c>
      <c r="F36" s="45" t="s">
        <v>49</v>
      </c>
      <c r="G36" s="45" t="s">
        <v>208</v>
      </c>
      <c r="H36" s="45" t="s">
        <v>8670</v>
      </c>
      <c r="I36" s="45" t="s">
        <v>271</v>
      </c>
      <c r="J36" s="45" t="s">
        <v>8675</v>
      </c>
      <c r="K36" s="47">
        <v>46237.542013888888</v>
      </c>
      <c r="L36" s="47">
        <v>46237.542013888888</v>
      </c>
      <c r="M36" s="47">
        <v>46238.372800925928</v>
      </c>
      <c r="N36" s="47">
        <v>46238.446597222224</v>
      </c>
      <c r="Q36" s="45" t="s">
        <v>8680</v>
      </c>
      <c r="R36" s="45" t="s">
        <v>267</v>
      </c>
      <c r="S36" s="45" t="s">
        <v>179</v>
      </c>
      <c r="Z36" s="76">
        <f t="shared" ca="1" si="8"/>
        <v>0.27958333333663177</v>
      </c>
      <c r="AA36" s="75">
        <f t="shared" ca="1" si="1"/>
        <v>0.74555555556435138</v>
      </c>
      <c r="AB36" s="76">
        <f t="shared" ca="1" si="9"/>
        <v>0.27958333333663177</v>
      </c>
      <c r="AC36" s="75">
        <f t="shared" ca="1" si="3"/>
        <v>0.74555555556435138</v>
      </c>
      <c r="AD36" s="76">
        <f t="shared" ca="1" si="10"/>
        <v>0.20578703704086365</v>
      </c>
      <c r="AE36" s="76">
        <f t="shared" ca="1" si="11"/>
        <v>0.27958333333663177</v>
      </c>
      <c r="AF36" s="75">
        <f t="shared" ca="1" si="6"/>
        <v>0.74555555556435138</v>
      </c>
      <c r="AG36" s="75">
        <f t="shared" ca="1" si="7"/>
        <v>0.74555555556435138</v>
      </c>
      <c r="AH36" s="31" t="str" cm="1">
        <f t="array" aca="1" ref="AH36" ca="1">IF((AD36) &lt; (INDEX(ResponseSLA[#All],(MATCH((G36),ResponseSLA[Priority],0))+1,3)),"YES","No")</f>
        <v>YES</v>
      </c>
      <c r="AI36" s="31" t="str">
        <f ca="1">_xlfn.IFNA(IF(AE36 &lt; (INDEX(SLATable[Minimum SLA],MATCH(G36,SLATable[Priority],0))),"YES","NO"),"")</f>
        <v>YES</v>
      </c>
      <c r="AJ36" t="str">
        <f ca="1">_xlfn.IFNA(IF(AE36 &lt; (INDEX(SLATable[Maximum SLA],MATCH(G36,SLATable[Priority],0))),"YES","NO"),"")</f>
        <v>YES</v>
      </c>
    </row>
    <row r="37" spans="1:36" ht="15" customHeight="1">
      <c r="A37" s="45">
        <v>36</v>
      </c>
      <c r="B37" s="45" t="s">
        <v>46</v>
      </c>
      <c r="C37" s="45" t="s">
        <v>42</v>
      </c>
      <c r="D37" s="53" t="s">
        <v>208</v>
      </c>
      <c r="E37" s="45" t="s">
        <v>8721</v>
      </c>
      <c r="F37" s="45" t="s">
        <v>49</v>
      </c>
      <c r="G37" s="53" t="s">
        <v>208</v>
      </c>
      <c r="H37" s="45" t="s">
        <v>8670</v>
      </c>
      <c r="I37" s="45" t="s">
        <v>271</v>
      </c>
      <c r="J37" s="45" t="s">
        <v>8675</v>
      </c>
      <c r="K37" s="47">
        <v>46237.549930555557</v>
      </c>
      <c r="L37" s="47">
        <v>46237.549930555557</v>
      </c>
      <c r="M37" s="47">
        <v>46238.366956018515</v>
      </c>
      <c r="N37" s="47">
        <v>46238.447372685187</v>
      </c>
      <c r="Q37" s="45" t="s">
        <v>8680</v>
      </c>
      <c r="R37" s="45" t="s">
        <v>267</v>
      </c>
      <c r="S37" s="45" t="s">
        <v>179</v>
      </c>
      <c r="Z37" s="76">
        <f t="shared" ca="1" si="8"/>
        <v>0.27244212962978054</v>
      </c>
      <c r="AA37" s="75">
        <f t="shared" ca="1" si="1"/>
        <v>0.72651234567941481</v>
      </c>
      <c r="AB37" s="76">
        <f t="shared" ca="1" si="9"/>
        <v>0.27244212962978054</v>
      </c>
      <c r="AC37" s="75">
        <f t="shared" ca="1" si="3"/>
        <v>0.72651234567941481</v>
      </c>
      <c r="AD37" s="76">
        <f t="shared" ca="1" si="10"/>
        <v>0.19202546295855427</v>
      </c>
      <c r="AE37" s="76">
        <f t="shared" ca="1" si="11"/>
        <v>0.27244212962978054</v>
      </c>
      <c r="AF37" s="75">
        <f t="shared" ca="1" si="6"/>
        <v>0.72651234567941481</v>
      </c>
      <c r="AG37" s="75">
        <f t="shared" ca="1" si="7"/>
        <v>0.72651234567941481</v>
      </c>
      <c r="AH37" s="31" t="str" cm="1">
        <f t="array" aca="1" ref="AH37" ca="1">IF((AD37) &lt; (INDEX(ResponseSLA[#All],(MATCH((G37),ResponseSLA[Priority],0))+1,3)),"YES","No")</f>
        <v>YES</v>
      </c>
      <c r="AI37" s="31" t="str">
        <f ca="1">_xlfn.IFNA(IF(AE37 &lt; (INDEX(SLATable[Minimum SLA],MATCH(G37,SLATable[Priority],0))),"YES","NO"),"")</f>
        <v>YES</v>
      </c>
      <c r="AJ37" t="str">
        <f ca="1">_xlfn.IFNA(IF(AE37 &lt; (INDEX(SLATable[Maximum SLA],MATCH(G37,SLATable[Priority],0))),"YES","NO"),"")</f>
        <v>YES</v>
      </c>
    </row>
    <row r="38" spans="1:36" ht="15" customHeight="1">
      <c r="A38" s="45">
        <v>37</v>
      </c>
      <c r="B38" s="45" t="s">
        <v>46</v>
      </c>
      <c r="C38" s="45" t="s">
        <v>42</v>
      </c>
      <c r="D38" s="45" t="s">
        <v>208</v>
      </c>
      <c r="E38" s="45" t="s">
        <v>8722</v>
      </c>
      <c r="F38" s="45" t="s">
        <v>49</v>
      </c>
      <c r="G38" s="45" t="s">
        <v>208</v>
      </c>
      <c r="H38" s="45" t="s">
        <v>8670</v>
      </c>
      <c r="I38" s="45" t="s">
        <v>271</v>
      </c>
      <c r="J38" s="45" t="s">
        <v>8675</v>
      </c>
      <c r="K38" s="47">
        <v>46247.400034722225</v>
      </c>
      <c r="L38" s="47">
        <v>46247.400034722225</v>
      </c>
      <c r="M38" s="47">
        <v>46248.141932870371</v>
      </c>
      <c r="N38" s="47">
        <v>46248.525462962964</v>
      </c>
      <c r="O38" s="47">
        <v>46248.156678240739</v>
      </c>
      <c r="P38" s="47">
        <v>46248.525462962964</v>
      </c>
      <c r="Q38" s="45" t="s">
        <v>8680</v>
      </c>
      <c r="R38" s="45" t="s">
        <v>267</v>
      </c>
      <c r="S38" s="45" t="s">
        <v>179</v>
      </c>
      <c r="Z38" s="76">
        <f t="shared" ca="1" si="8"/>
        <v>0.30829861110881512</v>
      </c>
      <c r="AA38" s="75">
        <f t="shared" ca="1" si="1"/>
        <v>0.822129629623507</v>
      </c>
      <c r="AB38" s="76">
        <f t="shared" ca="1" si="9"/>
        <v>0.30829861110881512</v>
      </c>
      <c r="AC38" s="75">
        <f t="shared" ca="1" si="3"/>
        <v>0.822129629623507</v>
      </c>
      <c r="AD38" s="76">
        <f t="shared" ca="1" si="10"/>
        <v>0.30829861110881518</v>
      </c>
      <c r="AE38" s="76">
        <f>SUMIFS(AB:AB,E:E,#REF!)</f>
        <v>0</v>
      </c>
      <c r="AF38" s="75">
        <f t="shared" si="6"/>
        <v>0</v>
      </c>
      <c r="AG38" s="75">
        <f t="shared" si="7"/>
        <v>0</v>
      </c>
      <c r="AH38" s="31" t="str" cm="1">
        <f t="array" aca="1" ref="AH38" ca="1">IF((AD38) &lt; (INDEX(ResponseSLA[#All],(MATCH((G38),ResponseSLA[Priority],0))+1,3)),"YES","No")</f>
        <v>YES</v>
      </c>
      <c r="AI38" s="31" t="str">
        <f>_xlfn.IFNA(IF(AE38 &lt; (INDEX(SLATable[Minimum SLA],MATCH(G38,SLATable[Priority],0))),"YES","NO"),"")</f>
        <v>YES</v>
      </c>
      <c r="AJ38" t="str">
        <f>_xlfn.IFNA(IF(AE38 &lt; (INDEX(SLATable[Maximum SLA],MATCH(G38,SLATable[Priority],0))),"YES","NO"),"")</f>
        <v>YES</v>
      </c>
    </row>
    <row r="39" spans="1:36" ht="15" customHeight="1">
      <c r="A39" s="45">
        <v>38</v>
      </c>
      <c r="Z39" s="76" t="e">
        <f t="shared" ca="1" si="8"/>
        <v>#N/A</v>
      </c>
      <c r="AA39" s="75" t="e">
        <f t="shared" ca="1" si="1"/>
        <v>#N/A</v>
      </c>
      <c r="AB39" s="76">
        <f t="shared" ca="1" si="9"/>
        <v>0</v>
      </c>
      <c r="AC39" s="75">
        <f t="shared" ca="1" si="3"/>
        <v>0</v>
      </c>
      <c r="AD39" s="76">
        <f t="shared" ca="1" si="10"/>
        <v>12388.425641435188</v>
      </c>
      <c r="AE39" s="76">
        <f t="shared" si="11"/>
        <v>0</v>
      </c>
      <c r="AF39" s="75">
        <f t="shared" si="6"/>
        <v>0</v>
      </c>
      <c r="AG39" s="75">
        <f t="shared" si="7"/>
        <v>0</v>
      </c>
      <c r="AH39" s="31" t="e" cm="1">
        <f t="array" aca="1" ref="AH39" ca="1">IF((AD39) &lt; (INDEX(ResponseSLA[#All],(MATCH((G39),ResponseSLA[Priority],0))+1,3)),"YES","No")</f>
        <v>#N/A</v>
      </c>
      <c r="AI39" s="31" t="str">
        <f>_xlfn.IFNA(IF(AE39 &lt; (INDEX(SLATable[Minimum SLA],MATCH(G39,SLATable[Priority],0))),"YES","NO"),"")</f>
        <v/>
      </c>
      <c r="AJ39" t="str">
        <f>_xlfn.IFNA(IF(AE39 &lt; (INDEX(SLATable[Maximum SLA],MATCH(G39,SLATable[Priority],0))),"YES","NO"),"")</f>
        <v/>
      </c>
    </row>
    <row r="40" spans="1:36" ht="15" customHeight="1">
      <c r="A40" s="45">
        <v>39</v>
      </c>
      <c r="Z40" s="76" t="e">
        <f t="shared" ca="1" si="8"/>
        <v>#N/A</v>
      </c>
      <c r="AA40" s="75" t="e">
        <f t="shared" ca="1" si="1"/>
        <v>#N/A</v>
      </c>
      <c r="AB40" s="76">
        <f t="shared" ca="1" si="9"/>
        <v>0</v>
      </c>
      <c r="AC40" s="75">
        <f t="shared" ca="1" si="3"/>
        <v>0</v>
      </c>
      <c r="AD40" s="76">
        <f t="shared" ca="1" si="10"/>
        <v>12388.425641203703</v>
      </c>
      <c r="AE40" s="76">
        <f ca="1">SUMIFS(AB:AB,E:E,E38)</f>
        <v>0.30829861110881512</v>
      </c>
      <c r="AF40" s="75">
        <f t="shared" ca="1" si="6"/>
        <v>0.822129629623507</v>
      </c>
      <c r="AG40" s="75">
        <f t="shared" ca="1" si="7"/>
        <v>0.822129629623507</v>
      </c>
      <c r="AH40" s="31" t="e" cm="1">
        <f t="array" aca="1" ref="AH40" ca="1">IF((AD40) &lt; (INDEX(ResponseSLA[#All],(MATCH((G40),ResponseSLA[Priority],0))+1,3)),"YES","No")</f>
        <v>#N/A</v>
      </c>
      <c r="AI40" s="31" t="str">
        <f ca="1">_xlfn.IFNA(IF(AE40 &lt; (INDEX(SLATable[Minimum SLA],MATCH(G40,SLATable[Priority],0))),"YES","NO"),"")</f>
        <v/>
      </c>
      <c r="AJ40" t="str">
        <f ca="1">_xlfn.IFNA(IF(AE40 &lt; (INDEX(SLATable[Maximum SLA],MATCH(G40,SLATable[Priority],0))),"YES","NO"),"")</f>
        <v/>
      </c>
    </row>
    <row r="41" spans="1:36" ht="15" customHeight="1">
      <c r="Z41" s="76" t="e">
        <f t="shared" ca="1" si="8"/>
        <v>#N/A</v>
      </c>
      <c r="AA41" s="75" t="e">
        <f t="shared" ca="1" si="1"/>
        <v>#N/A</v>
      </c>
      <c r="AB41" s="76">
        <f t="shared" ca="1" si="9"/>
        <v>0</v>
      </c>
      <c r="AC41" s="75">
        <f t="shared" ca="1" si="3"/>
        <v>0</v>
      </c>
      <c r="AD41" s="76">
        <f t="shared" ca="1" si="10"/>
        <v>12388.425641203703</v>
      </c>
      <c r="AE41" s="76">
        <f t="shared" si="11"/>
        <v>0</v>
      </c>
      <c r="AF41" s="75">
        <f t="shared" si="6"/>
        <v>0</v>
      </c>
      <c r="AG41" s="75">
        <f t="shared" si="7"/>
        <v>0</v>
      </c>
      <c r="AH41" s="31" t="e" cm="1">
        <f t="array" aca="1" ref="AH41" ca="1">IF((AD41) &lt; (INDEX(ResponseSLA[#All],(MATCH((G41),ResponseSLA[Priority],0))+1,3)),"YES","No")</f>
        <v>#N/A</v>
      </c>
      <c r="AI41" s="31" t="str">
        <f>_xlfn.IFNA(IF(AE41 &lt; (INDEX(SLATable[Minimum SLA],MATCH(G41,SLATable[Priority],0))),"YES","NO"),"")</f>
        <v/>
      </c>
      <c r="AJ41" t="str">
        <f>_xlfn.IFNA(IF(AE41 &lt; (INDEX(SLATable[Maximum SLA],MATCH(G41,SLATable[Priority],0))),"YES","NO"),"")</f>
        <v/>
      </c>
    </row>
    <row r="42" spans="1:36" ht="15" customHeight="1">
      <c r="Z42" s="76" t="e">
        <f t="shared" ca="1" si="8"/>
        <v>#N/A</v>
      </c>
      <c r="AA42" s="75" t="e">
        <f t="shared" ca="1" si="1"/>
        <v>#N/A</v>
      </c>
      <c r="AB42" s="76">
        <f t="shared" ca="1" si="9"/>
        <v>0</v>
      </c>
      <c r="AC42" s="75">
        <f t="shared" ca="1" si="3"/>
        <v>0</v>
      </c>
      <c r="AD42" s="76">
        <f t="shared" ca="1" si="10"/>
        <v>12388.425641435188</v>
      </c>
      <c r="AE42" s="76">
        <f t="shared" si="11"/>
        <v>0</v>
      </c>
      <c r="AF42" s="75">
        <f t="shared" si="6"/>
        <v>0</v>
      </c>
      <c r="AG42" s="75">
        <f t="shared" si="7"/>
        <v>0</v>
      </c>
      <c r="AH42" s="31" t="e" cm="1">
        <f t="array" aca="1" ref="AH42" ca="1">IF((AD42) &lt; (INDEX(ResponseSLA[#All],(MATCH((G42),ResponseSLA[Priority],0))+1,3)),"YES","No")</f>
        <v>#N/A</v>
      </c>
      <c r="AI42" s="31" t="str">
        <f>_xlfn.IFNA(IF(AE42 &lt; (INDEX(SLATable[Minimum SLA],MATCH(G42,SLATable[Priority],0))),"YES","NO"),"")</f>
        <v/>
      </c>
      <c r="AJ42" t="str">
        <f>_xlfn.IFNA(IF(AE42 &lt; (INDEX(SLATable[Maximum SLA],MATCH(G42,SLATable[Priority],0))),"YES","NO"),"")</f>
        <v/>
      </c>
    </row>
    <row r="43" spans="1:36" ht="15" customHeight="1">
      <c r="Z43" s="76" t="e">
        <f t="shared" ca="1" si="8"/>
        <v>#N/A</v>
      </c>
      <c r="AA43" s="75" t="e">
        <f t="shared" ca="1" si="1"/>
        <v>#N/A</v>
      </c>
      <c r="AB43" s="76">
        <f t="shared" ca="1" si="9"/>
        <v>0</v>
      </c>
      <c r="AC43" s="75">
        <f t="shared" ca="1" si="3"/>
        <v>0</v>
      </c>
      <c r="AD43" s="76">
        <f t="shared" ca="1" si="10"/>
        <v>12388.425641435188</v>
      </c>
      <c r="AE43" s="76">
        <f t="shared" si="11"/>
        <v>0</v>
      </c>
      <c r="AF43" s="75">
        <f t="shared" si="6"/>
        <v>0</v>
      </c>
      <c r="AG43" s="75">
        <f t="shared" si="7"/>
        <v>0</v>
      </c>
      <c r="AH43" s="31" t="e" cm="1">
        <f t="array" aca="1" ref="AH43" ca="1">IF((AD43) &lt; (INDEX(ResponseSLA[#All],(MATCH((G43),ResponseSLA[Priority],0))+1,3)),"YES","No")</f>
        <v>#N/A</v>
      </c>
      <c r="AI43" s="31" t="str">
        <f>_xlfn.IFNA(IF(AE43 &lt; (INDEX(SLATable[Minimum SLA],MATCH(G43,SLATable[Priority],0))),"YES","NO"),"")</f>
        <v/>
      </c>
      <c r="AJ43" t="str">
        <f>_xlfn.IFNA(IF(AE43 &lt; (INDEX(SLATable[Maximum SLA],MATCH(G43,SLATable[Priority],0))),"YES","NO"),"")</f>
        <v/>
      </c>
    </row>
    <row r="44" spans="1:36" ht="15" customHeight="1">
      <c r="Z44" s="76" t="e">
        <f t="shared" ca="1" si="8"/>
        <v>#N/A</v>
      </c>
      <c r="AA44" s="75" t="e">
        <f t="shared" ca="1" si="1"/>
        <v>#N/A</v>
      </c>
      <c r="AB44" s="76">
        <f t="shared" ca="1" si="9"/>
        <v>0</v>
      </c>
      <c r="AC44" s="75">
        <f t="shared" ca="1" si="3"/>
        <v>0</v>
      </c>
      <c r="AD44" s="76">
        <f t="shared" ca="1" si="10"/>
        <v>12388.425641435188</v>
      </c>
      <c r="AE44" s="76">
        <f t="shared" si="11"/>
        <v>0</v>
      </c>
      <c r="AF44" s="75">
        <f t="shared" si="6"/>
        <v>0</v>
      </c>
      <c r="AG44" s="75">
        <f t="shared" si="7"/>
        <v>0</v>
      </c>
      <c r="AH44" s="31" t="e" cm="1">
        <f t="array" aca="1" ref="AH44" ca="1">IF((AD44) &lt; (INDEX(ResponseSLA[#All],(MATCH((G44),ResponseSLA[Priority],0))+1,3)),"YES","No")</f>
        <v>#N/A</v>
      </c>
      <c r="AI44" s="31" t="str">
        <f>_xlfn.IFNA(IF(AE44 &lt; (INDEX(SLATable[Minimum SLA],MATCH(G44,SLATable[Priority],0))),"YES","NO"),"")</f>
        <v/>
      </c>
      <c r="AJ44" t="str">
        <f>_xlfn.IFNA(IF(AE44 &lt; (INDEX(SLATable[Maximum SLA],MATCH(G44,SLATable[Priority],0))),"YES","NO"),"")</f>
        <v/>
      </c>
    </row>
    <row r="45" spans="1:36" ht="15" customHeight="1">
      <c r="Z45" s="76" t="e">
        <f t="shared" ca="1" si="8"/>
        <v>#N/A</v>
      </c>
      <c r="AA45" s="75" t="e">
        <f t="shared" ca="1" si="1"/>
        <v>#N/A</v>
      </c>
      <c r="AB45" s="76">
        <f t="shared" ca="1" si="9"/>
        <v>0</v>
      </c>
      <c r="AC45" s="75">
        <f t="shared" ca="1" si="3"/>
        <v>0</v>
      </c>
      <c r="AD45" s="76">
        <f t="shared" ca="1" si="10"/>
        <v>12388.425641435188</v>
      </c>
      <c r="AE45" s="76">
        <f t="shared" si="11"/>
        <v>0</v>
      </c>
      <c r="AF45" s="75">
        <f t="shared" si="6"/>
        <v>0</v>
      </c>
      <c r="AG45" s="75">
        <f t="shared" si="7"/>
        <v>0</v>
      </c>
      <c r="AH45" s="31" t="e" cm="1">
        <f t="array" aca="1" ref="AH45" ca="1">IF((AD45) &lt; (INDEX(ResponseSLA[#All],(MATCH((G45),ResponseSLA[Priority],0))+1,3)),"YES","No")</f>
        <v>#N/A</v>
      </c>
      <c r="AI45" s="31" t="str">
        <f>_xlfn.IFNA(IF(AE45 &lt; (INDEX(SLATable[Minimum SLA],MATCH(G45,SLATable[Priority],0))),"YES","NO"),"")</f>
        <v/>
      </c>
      <c r="AJ45" t="str">
        <f>_xlfn.IFNA(IF(AE45 &lt; (INDEX(SLATable[Maximum SLA],MATCH(G45,SLATable[Priority],0))),"YES","NO"),"")</f>
        <v/>
      </c>
    </row>
    <row r="46" spans="1:36" ht="15" customHeight="1">
      <c r="Z46" s="76" t="e">
        <f t="shared" ca="1" si="8"/>
        <v>#N/A</v>
      </c>
      <c r="AA46" s="75" t="e">
        <f t="shared" ca="1" si="1"/>
        <v>#N/A</v>
      </c>
      <c r="AB46" s="76">
        <f t="shared" ca="1" si="9"/>
        <v>0</v>
      </c>
      <c r="AC46" s="75">
        <f t="shared" ca="1" si="3"/>
        <v>0</v>
      </c>
      <c r="AD46" s="76">
        <f t="shared" ca="1" si="10"/>
        <v>12388.425641435188</v>
      </c>
      <c r="AE46" s="76">
        <f t="shared" si="11"/>
        <v>0</v>
      </c>
      <c r="AF46" s="75">
        <f t="shared" si="6"/>
        <v>0</v>
      </c>
      <c r="AG46" s="75">
        <f t="shared" si="7"/>
        <v>0</v>
      </c>
      <c r="AH46" s="31" t="e" cm="1">
        <f t="array" aca="1" ref="AH46" ca="1">IF((AD46) &lt; (INDEX(ResponseSLA[#All],(MATCH((G46),ResponseSLA[Priority],0))+1,3)),"YES","No")</f>
        <v>#N/A</v>
      </c>
      <c r="AI46" s="31" t="str">
        <f>_xlfn.IFNA(IF(AE46 &lt; (INDEX(SLATable[Minimum SLA],MATCH(G46,SLATable[Priority],0))),"YES","NO"),"")</f>
        <v/>
      </c>
      <c r="AJ46" t="str">
        <f>_xlfn.IFNA(IF(AE46 &lt; (INDEX(SLATable[Maximum SLA],MATCH(G46,SLATable[Priority],0))),"YES","NO"),"")</f>
        <v/>
      </c>
    </row>
    <row r="47" spans="1:36" ht="15" customHeight="1">
      <c r="Z47" s="76" t="e">
        <f t="shared" ca="1" si="8"/>
        <v>#N/A</v>
      </c>
      <c r="AA47" s="75" t="e">
        <f t="shared" ca="1" si="1"/>
        <v>#N/A</v>
      </c>
      <c r="AB47" s="76">
        <f t="shared" ca="1" si="9"/>
        <v>0</v>
      </c>
      <c r="AC47" s="75">
        <f t="shared" ca="1" si="3"/>
        <v>0</v>
      </c>
      <c r="AD47" s="76">
        <f t="shared" ca="1" si="10"/>
        <v>12388.425641435188</v>
      </c>
      <c r="AE47" s="76">
        <f t="shared" si="11"/>
        <v>0</v>
      </c>
      <c r="AF47" s="75">
        <f t="shared" si="6"/>
        <v>0</v>
      </c>
      <c r="AG47" s="75">
        <f t="shared" si="7"/>
        <v>0</v>
      </c>
      <c r="AH47" s="31" t="e" cm="1">
        <f t="array" aca="1" ref="AH47" ca="1">IF((AD47) &lt; (INDEX(ResponseSLA[#All],(MATCH((G47),ResponseSLA[Priority],0))+1,3)),"YES","No")</f>
        <v>#N/A</v>
      </c>
      <c r="AI47" s="31" t="str">
        <f>_xlfn.IFNA(IF(AE47 &lt; (INDEX(SLATable[Minimum SLA],MATCH(G47,SLATable[Priority],0))),"YES","NO"),"")</f>
        <v/>
      </c>
      <c r="AJ47" t="str">
        <f>_xlfn.IFNA(IF(AE47 &lt; (INDEX(SLATable[Maximum SLA],MATCH(G47,SLATable[Priority],0))),"YES","NO"),"")</f>
        <v/>
      </c>
    </row>
    <row r="48" spans="1:36" ht="15" customHeight="1">
      <c r="Z48" s="76" t="e">
        <f t="shared" ca="1" si="8"/>
        <v>#N/A</v>
      </c>
      <c r="AA48" s="75" t="e">
        <f t="shared" ca="1" si="1"/>
        <v>#N/A</v>
      </c>
      <c r="AB48" s="76">
        <f t="shared" ca="1" si="9"/>
        <v>0</v>
      </c>
      <c r="AC48" s="75">
        <f t="shared" ca="1" si="3"/>
        <v>0</v>
      </c>
      <c r="AD48" s="76">
        <f t="shared" ca="1" si="10"/>
        <v>12388.425641435188</v>
      </c>
      <c r="AE48" s="76">
        <f t="shared" si="11"/>
        <v>0</v>
      </c>
      <c r="AF48" s="75">
        <f t="shared" si="6"/>
        <v>0</v>
      </c>
      <c r="AG48" s="75">
        <f t="shared" si="7"/>
        <v>0</v>
      </c>
      <c r="AH48" s="31" t="e" cm="1">
        <f t="array" aca="1" ref="AH48" ca="1">IF((AD48) &lt; (INDEX(ResponseSLA[#All],(MATCH((G48),ResponseSLA[Priority],0))+1,3)),"YES","No")</f>
        <v>#N/A</v>
      </c>
      <c r="AI48" s="31" t="str">
        <f>_xlfn.IFNA(IF(AE48 &lt; (INDEX(SLATable[Minimum SLA],MATCH(G48,SLATable[Priority],0))),"YES","NO"),"")</f>
        <v/>
      </c>
      <c r="AJ48" t="str">
        <f>_xlfn.IFNA(IF(AE48 &lt; (INDEX(SLATable[Maximum SLA],MATCH(G48,SLATable[Priority],0))),"YES","NO"),"")</f>
        <v/>
      </c>
    </row>
    <row r="49" spans="26:36" ht="15" customHeight="1">
      <c r="Z49" s="76" t="e">
        <f t="shared" ca="1" si="8"/>
        <v>#N/A</v>
      </c>
      <c r="AA49" s="75" t="e">
        <f t="shared" ca="1" si="1"/>
        <v>#N/A</v>
      </c>
      <c r="AB49" s="76">
        <f t="shared" ca="1" si="9"/>
        <v>0</v>
      </c>
      <c r="AC49" s="75">
        <f t="shared" ca="1" si="3"/>
        <v>0</v>
      </c>
      <c r="AD49" s="76">
        <f t="shared" ca="1" si="10"/>
        <v>12388.425641435188</v>
      </c>
      <c r="AE49" s="76">
        <f t="shared" si="11"/>
        <v>0</v>
      </c>
      <c r="AF49" s="75">
        <f t="shared" si="6"/>
        <v>0</v>
      </c>
      <c r="AG49" s="75">
        <f t="shared" si="7"/>
        <v>0</v>
      </c>
      <c r="AH49" s="31" t="e" cm="1">
        <f t="array" aca="1" ref="AH49" ca="1">IF((AD49) &lt; (INDEX(ResponseSLA[#All],(MATCH((G49),ResponseSLA[Priority],0))+1,3)),"YES","No")</f>
        <v>#N/A</v>
      </c>
      <c r="AI49" s="31" t="str">
        <f>_xlfn.IFNA(IF(AE49 &lt; (INDEX(SLATable[Minimum SLA],MATCH(G49,SLATable[Priority],0))),"YES","NO"),"")</f>
        <v/>
      </c>
      <c r="AJ49" t="str">
        <f>_xlfn.IFNA(IF(AE49 &lt; (INDEX(SLATable[Maximum SLA],MATCH(G49,SLATable[Priority],0))),"YES","NO"),"")</f>
        <v/>
      </c>
    </row>
    <row r="50" spans="26:36" ht="15" customHeight="1">
      <c r="Z50" s="76" t="e">
        <f t="shared" ca="1" si="8"/>
        <v>#N/A</v>
      </c>
      <c r="AA50" s="75" t="e">
        <f t="shared" ca="1" si="1"/>
        <v>#N/A</v>
      </c>
      <c r="AB50" s="76">
        <f t="shared" ca="1" si="9"/>
        <v>0</v>
      </c>
      <c r="AC50" s="75">
        <f t="shared" ca="1" si="3"/>
        <v>0</v>
      </c>
      <c r="AD50" s="76">
        <f t="shared" ca="1" si="10"/>
        <v>12388.425641435188</v>
      </c>
      <c r="AE50" s="76">
        <f t="shared" si="11"/>
        <v>0</v>
      </c>
      <c r="AF50" s="75">
        <f t="shared" si="6"/>
        <v>0</v>
      </c>
      <c r="AG50" s="75">
        <f t="shared" si="7"/>
        <v>0</v>
      </c>
      <c r="AH50" s="31" t="e" cm="1">
        <f t="array" aca="1" ref="AH50" ca="1">IF((AD50) &lt; (INDEX(ResponseSLA[#All],(MATCH((G50),ResponseSLA[Priority],0))+1,3)),"YES","No")</f>
        <v>#N/A</v>
      </c>
      <c r="AI50" s="31" t="str">
        <f>_xlfn.IFNA(IF(AE50 &lt; (INDEX(SLATable[Minimum SLA],MATCH(G50,SLATable[Priority],0))),"YES","NO"),"")</f>
        <v/>
      </c>
      <c r="AJ50" t="str">
        <f>_xlfn.IFNA(IF(AE50 &lt; (INDEX(SLATable[Maximum SLA],MATCH(G50,SLATable[Priority],0))),"YES","NO"),"")</f>
        <v/>
      </c>
    </row>
    <row r="51" spans="26:36" ht="15" customHeight="1">
      <c r="Z51" s="76" t="e">
        <f t="shared" ca="1" si="8"/>
        <v>#N/A</v>
      </c>
      <c r="AA51" s="75" t="e">
        <f t="shared" ca="1" si="1"/>
        <v>#N/A</v>
      </c>
      <c r="AB51" s="76">
        <f t="shared" ca="1" si="9"/>
        <v>0</v>
      </c>
      <c r="AC51" s="75">
        <f t="shared" ca="1" si="3"/>
        <v>0</v>
      </c>
      <c r="AD51" s="76">
        <f t="shared" ca="1" si="10"/>
        <v>12388.425641435188</v>
      </c>
      <c r="AE51" s="76">
        <f t="shared" si="11"/>
        <v>0</v>
      </c>
      <c r="AF51" s="75">
        <f t="shared" si="6"/>
        <v>0</v>
      </c>
      <c r="AG51" s="75">
        <f t="shared" si="7"/>
        <v>0</v>
      </c>
      <c r="AH51" s="31" t="e" cm="1">
        <f t="array" aca="1" ref="AH51" ca="1">IF((AD51) &lt; (INDEX(ResponseSLA[#All],(MATCH((G51),ResponseSLA[Priority],0))+1,3)),"YES","No")</f>
        <v>#N/A</v>
      </c>
      <c r="AI51" s="31" t="str">
        <f>_xlfn.IFNA(IF(AE51 &lt; (INDEX(SLATable[Minimum SLA],MATCH(G51,SLATable[Priority],0))),"YES","NO"),"")</f>
        <v/>
      </c>
      <c r="AJ51" t="str">
        <f>_xlfn.IFNA(IF(AE51 &lt; (INDEX(SLATable[Maximum SLA],MATCH(G51,SLATable[Priority],0))),"YES","NO"),"")</f>
        <v/>
      </c>
    </row>
    <row r="52" spans="26:36" ht="15" customHeight="1">
      <c r="Z52" s="76" t="e">
        <f t="shared" ca="1" si="8"/>
        <v>#N/A</v>
      </c>
      <c r="AA52" s="75" t="e">
        <f t="shared" ca="1" si="1"/>
        <v>#N/A</v>
      </c>
      <c r="AB52" s="76">
        <f t="shared" ca="1" si="9"/>
        <v>0</v>
      </c>
      <c r="AC52" s="75">
        <f t="shared" ca="1" si="3"/>
        <v>0</v>
      </c>
      <c r="AD52" s="76">
        <f t="shared" ca="1" si="10"/>
        <v>12388.425641435188</v>
      </c>
      <c r="AE52" s="76">
        <f t="shared" si="11"/>
        <v>0</v>
      </c>
      <c r="AF52" s="75">
        <f t="shared" si="6"/>
        <v>0</v>
      </c>
      <c r="AG52" s="75">
        <f t="shared" si="7"/>
        <v>0</v>
      </c>
      <c r="AH52" s="31" t="e" cm="1">
        <f t="array" aca="1" ref="AH52" ca="1">IF((AD52) &lt; (INDEX(ResponseSLA[#All],(MATCH((G52),ResponseSLA[Priority],0))+1,3)),"YES","No")</f>
        <v>#N/A</v>
      </c>
      <c r="AI52" s="31" t="str">
        <f>_xlfn.IFNA(IF(AE52 &lt; (INDEX(SLATable[Minimum SLA],MATCH(G52,SLATable[Priority],0))),"YES","NO"),"")</f>
        <v/>
      </c>
      <c r="AJ52" t="str">
        <f>_xlfn.IFNA(IF(AE52 &lt; (INDEX(SLATable[Maximum SLA],MATCH(G52,SLATable[Priority],0))),"YES","NO"),"")</f>
        <v/>
      </c>
    </row>
    <row r="53" spans="26:36" ht="15" customHeight="1">
      <c r="Z53" s="76" t="e">
        <f t="shared" ca="1" si="8"/>
        <v>#N/A</v>
      </c>
      <c r="AA53" s="75" t="e">
        <f t="shared" ca="1" si="1"/>
        <v>#N/A</v>
      </c>
      <c r="AB53" s="76">
        <f t="shared" ca="1" si="9"/>
        <v>0</v>
      </c>
      <c r="AC53" s="75">
        <f t="shared" ca="1" si="3"/>
        <v>0</v>
      </c>
      <c r="AD53" s="76">
        <f t="shared" ca="1" si="10"/>
        <v>12388.425641435188</v>
      </c>
      <c r="AE53" s="76">
        <f t="shared" si="11"/>
        <v>0</v>
      </c>
      <c r="AF53" s="75">
        <f t="shared" si="6"/>
        <v>0</v>
      </c>
      <c r="AG53" s="75">
        <f t="shared" si="7"/>
        <v>0</v>
      </c>
      <c r="AH53" s="31" t="e" cm="1">
        <f t="array" aca="1" ref="AH53" ca="1">IF((AD53) &lt; (INDEX(ResponseSLA[#All],(MATCH((G53),ResponseSLA[Priority],0))+1,3)),"YES","No")</f>
        <v>#N/A</v>
      </c>
      <c r="AI53" s="31" t="str">
        <f>_xlfn.IFNA(IF(AE53 &lt; (INDEX(SLATable[Minimum SLA],MATCH(G53,SLATable[Priority],0))),"YES","NO"),"")</f>
        <v/>
      </c>
      <c r="AJ53" t="str">
        <f>_xlfn.IFNA(IF(AE53 &lt; (INDEX(SLATable[Maximum SLA],MATCH(G53,SLATable[Priority],0))),"YES","NO"),"")</f>
        <v/>
      </c>
    </row>
    <row r="54" spans="26:36" ht="15" customHeight="1">
      <c r="Z54" s="76" t="e">
        <f t="shared" ca="1" si="8"/>
        <v>#N/A</v>
      </c>
      <c r="AA54" s="75" t="e">
        <f t="shared" ca="1" si="1"/>
        <v>#N/A</v>
      </c>
      <c r="AB54" s="76">
        <f t="shared" ca="1" si="9"/>
        <v>0</v>
      </c>
      <c r="AC54" s="75">
        <f t="shared" ca="1" si="3"/>
        <v>0</v>
      </c>
      <c r="AD54" s="76">
        <f t="shared" ca="1" si="10"/>
        <v>12388.425641435188</v>
      </c>
      <c r="AE54" s="76">
        <f t="shared" si="11"/>
        <v>0</v>
      </c>
      <c r="AF54" s="75">
        <f t="shared" si="6"/>
        <v>0</v>
      </c>
      <c r="AG54" s="75">
        <f t="shared" si="7"/>
        <v>0</v>
      </c>
      <c r="AH54" s="31" t="e" cm="1">
        <f t="array" aca="1" ref="AH54" ca="1">IF((AD54) &lt; (INDEX(ResponseSLA[#All],(MATCH((G54),ResponseSLA[Priority],0))+1,3)),"YES","No")</f>
        <v>#N/A</v>
      </c>
      <c r="AI54" s="31" t="str">
        <f>_xlfn.IFNA(IF(AE54 &lt; (INDEX(SLATable[Minimum SLA],MATCH(G54,SLATable[Priority],0))),"YES","NO"),"")</f>
        <v/>
      </c>
      <c r="AJ54" t="str">
        <f>_xlfn.IFNA(IF(AE54 &lt; (INDEX(SLATable[Maximum SLA],MATCH(G54,SLATable[Priority],0))),"YES","NO"),"")</f>
        <v/>
      </c>
    </row>
    <row r="55" spans="26:36" ht="15" customHeight="1">
      <c r="Z55" s="76" t="e">
        <f t="shared" ca="1" si="8"/>
        <v>#N/A</v>
      </c>
      <c r="AA55" s="75" t="e">
        <f t="shared" ca="1" si="1"/>
        <v>#N/A</v>
      </c>
      <c r="AB55" s="76">
        <f t="shared" ca="1" si="9"/>
        <v>0</v>
      </c>
      <c r="AC55" s="75">
        <f t="shared" ca="1" si="3"/>
        <v>0</v>
      </c>
      <c r="AD55" s="76">
        <f t="shared" ca="1" si="10"/>
        <v>12388.425641435188</v>
      </c>
      <c r="AE55" s="76">
        <f t="shared" si="11"/>
        <v>0</v>
      </c>
      <c r="AF55" s="75">
        <f t="shared" si="6"/>
        <v>0</v>
      </c>
      <c r="AG55" s="75">
        <f t="shared" si="7"/>
        <v>0</v>
      </c>
      <c r="AH55" s="31" t="e" cm="1">
        <f t="array" aca="1" ref="AH55" ca="1">IF((AD55) &lt; (INDEX(ResponseSLA[#All],(MATCH((G55),ResponseSLA[Priority],0))+1,3)),"YES","No")</f>
        <v>#N/A</v>
      </c>
      <c r="AI55" s="31" t="str">
        <f>_xlfn.IFNA(IF(AE55 &lt; (INDEX(SLATable[Minimum SLA],MATCH(G55,SLATable[Priority],0))),"YES","NO"),"")</f>
        <v/>
      </c>
      <c r="AJ55" t="str">
        <f>_xlfn.IFNA(IF(AE55 &lt; (INDEX(SLATable[Maximum SLA],MATCH(G55,SLATable[Priority],0))),"YES","NO"),"")</f>
        <v/>
      </c>
    </row>
    <row r="56" spans="26:36" ht="15" customHeight="1">
      <c r="Z56" s="76" t="e">
        <f t="shared" ca="1" si="8"/>
        <v>#N/A</v>
      </c>
      <c r="AA56" s="75" t="e">
        <f t="shared" ca="1" si="1"/>
        <v>#N/A</v>
      </c>
      <c r="AB56" s="76">
        <f t="shared" ca="1" si="9"/>
        <v>0</v>
      </c>
      <c r="AC56" s="75">
        <f t="shared" ca="1" si="3"/>
        <v>0</v>
      </c>
      <c r="AD56" s="76">
        <f t="shared" ca="1" si="10"/>
        <v>12388.425641435188</v>
      </c>
      <c r="AE56" s="76">
        <f t="shared" si="11"/>
        <v>0</v>
      </c>
      <c r="AF56" s="75">
        <f t="shared" si="6"/>
        <v>0</v>
      </c>
      <c r="AG56" s="75">
        <f t="shared" si="7"/>
        <v>0</v>
      </c>
      <c r="AH56" s="31" t="e" cm="1">
        <f t="array" aca="1" ref="AH56" ca="1">IF((AD56) &lt; (INDEX(ResponseSLA[#All],(MATCH((G56),ResponseSLA[Priority],0))+1,3)),"YES","No")</f>
        <v>#N/A</v>
      </c>
      <c r="AI56" s="31" t="str">
        <f>_xlfn.IFNA(IF(AE56 &lt; (INDEX(SLATable[Minimum SLA],MATCH(G56,SLATable[Priority],0))),"YES","NO"),"")</f>
        <v/>
      </c>
      <c r="AJ56" t="str">
        <f>_xlfn.IFNA(IF(AE56 &lt; (INDEX(SLATable[Maximum SLA],MATCH(G56,SLATable[Priority],0))),"YES","NO"),"")</f>
        <v/>
      </c>
    </row>
    <row r="57" spans="26:36" ht="15" customHeight="1">
      <c r="Z57" s="76" t="e">
        <f t="shared" ca="1" si="8"/>
        <v>#N/A</v>
      </c>
      <c r="AA57" s="75" t="e">
        <f t="shared" ca="1" si="1"/>
        <v>#N/A</v>
      </c>
      <c r="AB57" s="76">
        <f t="shared" ca="1" si="9"/>
        <v>0</v>
      </c>
      <c r="AC57" s="75">
        <f t="shared" ca="1" si="3"/>
        <v>0</v>
      </c>
      <c r="AD57" s="76">
        <f t="shared" ca="1" si="10"/>
        <v>12388.425641435188</v>
      </c>
      <c r="AE57" s="76">
        <f t="shared" si="11"/>
        <v>0</v>
      </c>
      <c r="AF57" s="75">
        <f t="shared" si="6"/>
        <v>0</v>
      </c>
      <c r="AG57" s="75">
        <f t="shared" si="7"/>
        <v>0</v>
      </c>
      <c r="AH57" s="31" t="e" cm="1">
        <f t="array" aca="1" ref="AH57" ca="1">IF((AD57) &lt; (INDEX(ResponseSLA[#All],(MATCH((G57),ResponseSLA[Priority],0))+1,3)),"YES","No")</f>
        <v>#N/A</v>
      </c>
      <c r="AI57" s="31" t="str">
        <f>_xlfn.IFNA(IF(AE57 &lt; (INDEX(SLATable[Minimum SLA],MATCH(G57,SLATable[Priority],0))),"YES","NO"),"")</f>
        <v/>
      </c>
      <c r="AJ57" t="str">
        <f>_xlfn.IFNA(IF(AE57 &lt; (INDEX(SLATable[Maximum SLA],MATCH(G57,SLATable[Priority],0))),"YES","NO"),"")</f>
        <v/>
      </c>
    </row>
    <row r="58" spans="26:36" ht="15" customHeight="1">
      <c r="Z58" s="76" t="e">
        <f t="shared" ca="1" si="8"/>
        <v>#N/A</v>
      </c>
      <c r="AA58" s="75" t="e">
        <f t="shared" ca="1" si="1"/>
        <v>#N/A</v>
      </c>
      <c r="AB58" s="76">
        <f t="shared" ca="1" si="9"/>
        <v>0</v>
      </c>
      <c r="AC58" s="75">
        <f t="shared" ca="1" si="3"/>
        <v>0</v>
      </c>
      <c r="AD58" s="76">
        <f t="shared" ca="1" si="10"/>
        <v>12388.425641435188</v>
      </c>
      <c r="AE58" s="76">
        <f t="shared" si="11"/>
        <v>0</v>
      </c>
      <c r="AF58" s="75">
        <f t="shared" si="6"/>
        <v>0</v>
      </c>
      <c r="AG58" s="75">
        <f t="shared" si="7"/>
        <v>0</v>
      </c>
      <c r="AH58" s="31" t="e" cm="1">
        <f t="array" aca="1" ref="AH58" ca="1">IF((AD58) &lt; (INDEX(ResponseSLA[#All],(MATCH((G58),ResponseSLA[Priority],0))+1,3)),"YES","No")</f>
        <v>#N/A</v>
      </c>
      <c r="AI58" s="31" t="str">
        <f>_xlfn.IFNA(IF(AE58 &lt; (INDEX(SLATable[Minimum SLA],MATCH(G58,SLATable[Priority],0))),"YES","NO"),"")</f>
        <v/>
      </c>
      <c r="AJ58" t="str">
        <f>_xlfn.IFNA(IF(AE58 &lt; (INDEX(SLATable[Maximum SLA],MATCH(G58,SLATable[Priority],0))),"YES","NO"),"")</f>
        <v/>
      </c>
    </row>
    <row r="59" spans="26:36" ht="15" customHeight="1">
      <c r="Z59" s="76" t="e">
        <f t="shared" ca="1" si="8"/>
        <v>#N/A</v>
      </c>
      <c r="AA59" s="75" t="e">
        <f t="shared" ca="1" si="1"/>
        <v>#N/A</v>
      </c>
      <c r="AB59" s="76">
        <f t="shared" ca="1" si="9"/>
        <v>0</v>
      </c>
      <c r="AC59" s="75">
        <f t="shared" ca="1" si="3"/>
        <v>0</v>
      </c>
      <c r="AD59" s="76">
        <f t="shared" ca="1" si="10"/>
        <v>12388.425641435188</v>
      </c>
      <c r="AE59" s="76">
        <f t="shared" si="11"/>
        <v>0</v>
      </c>
      <c r="AF59" s="75">
        <f t="shared" si="6"/>
        <v>0</v>
      </c>
      <c r="AG59" s="75">
        <f t="shared" si="7"/>
        <v>0</v>
      </c>
      <c r="AH59" s="31" t="e" cm="1">
        <f t="array" aca="1" ref="AH59" ca="1">IF((AD59) &lt; (INDEX(ResponseSLA[#All],(MATCH((G59),ResponseSLA[Priority],0))+1,3)),"YES","No")</f>
        <v>#N/A</v>
      </c>
      <c r="AI59" s="31" t="str">
        <f>_xlfn.IFNA(IF(AE59 &lt; (INDEX(SLATable[Minimum SLA],MATCH(G59,SLATable[Priority],0))),"YES","NO"),"")</f>
        <v/>
      </c>
      <c r="AJ59" t="str">
        <f>_xlfn.IFNA(IF(AE59 &lt; (INDEX(SLATable[Maximum SLA],MATCH(G59,SLATable[Priority],0))),"YES","NO"),"")</f>
        <v/>
      </c>
    </row>
    <row r="60" spans="26:36" ht="15" customHeight="1">
      <c r="Z60" s="76" t="e">
        <f t="shared" ca="1" si="8"/>
        <v>#N/A</v>
      </c>
      <c r="AA60" s="75" t="e">
        <f t="shared" ca="1" si="1"/>
        <v>#N/A</v>
      </c>
      <c r="AB60" s="76">
        <f t="shared" ca="1" si="9"/>
        <v>0</v>
      </c>
      <c r="AC60" s="75">
        <f t="shared" ca="1" si="3"/>
        <v>0</v>
      </c>
      <c r="AD60" s="76">
        <f t="shared" ca="1" si="10"/>
        <v>12388.425641435188</v>
      </c>
      <c r="AE60" s="76">
        <f t="shared" si="11"/>
        <v>0</v>
      </c>
      <c r="AF60" s="75">
        <f t="shared" si="6"/>
        <v>0</v>
      </c>
      <c r="AG60" s="75">
        <f t="shared" si="7"/>
        <v>0</v>
      </c>
      <c r="AH60" s="31" t="e" cm="1">
        <f t="array" aca="1" ref="AH60" ca="1">IF((AD60) &lt; (INDEX(ResponseSLA[#All],(MATCH((G60),ResponseSLA[Priority],0))+1,3)),"YES","No")</f>
        <v>#N/A</v>
      </c>
      <c r="AI60" s="31" t="str">
        <f>_xlfn.IFNA(IF(AE60 &lt; (INDEX(SLATable[Minimum SLA],MATCH(G60,SLATable[Priority],0))),"YES","NO"),"")</f>
        <v/>
      </c>
      <c r="AJ60" t="str">
        <f>_xlfn.IFNA(IF(AE60 &lt; (INDEX(SLATable[Maximum SLA],MATCH(G60,SLATable[Priority],0))),"YES","NO"),"")</f>
        <v/>
      </c>
    </row>
    <row r="61" spans="26:36" ht="15" customHeight="1">
      <c r="Z61" s="76" t="e">
        <f t="shared" ca="1" si="8"/>
        <v>#N/A</v>
      </c>
      <c r="AA61" s="75" t="e">
        <f t="shared" ca="1" si="1"/>
        <v>#N/A</v>
      </c>
      <c r="AB61" s="76">
        <f t="shared" ca="1" si="9"/>
        <v>0</v>
      </c>
      <c r="AC61" s="75">
        <f t="shared" ca="1" si="3"/>
        <v>0</v>
      </c>
      <c r="AD61" s="76">
        <f t="shared" ca="1" si="10"/>
        <v>12388.425641435188</v>
      </c>
      <c r="AE61" s="76">
        <f t="shared" si="11"/>
        <v>0</v>
      </c>
      <c r="AF61" s="75">
        <f t="shared" si="6"/>
        <v>0</v>
      </c>
      <c r="AG61" s="75">
        <f t="shared" si="7"/>
        <v>0</v>
      </c>
      <c r="AH61" s="31" t="e" cm="1">
        <f t="array" aca="1" ref="AH61" ca="1">IF((AD61) &lt; (INDEX(ResponseSLA[#All],(MATCH((G61),ResponseSLA[Priority],0))+1,3)),"YES","No")</f>
        <v>#N/A</v>
      </c>
      <c r="AI61" s="31" t="str">
        <f>_xlfn.IFNA(IF(AE61 &lt; (INDEX(SLATable[Minimum SLA],MATCH(G61,SLATable[Priority],0))),"YES","NO"),"")</f>
        <v/>
      </c>
      <c r="AJ61" t="str">
        <f>_xlfn.IFNA(IF(AE61 &lt; (INDEX(SLATable[Maximum SLA],MATCH(G61,SLATable[Priority],0))),"YES","NO"),"")</f>
        <v/>
      </c>
    </row>
    <row r="62" spans="26:36" ht="15" customHeight="1">
      <c r="Z62" s="76" t="e">
        <f t="shared" ca="1" si="8"/>
        <v>#N/A</v>
      </c>
      <c r="AA62" s="75" t="e">
        <f t="shared" ca="1" si="1"/>
        <v>#N/A</v>
      </c>
      <c r="AB62" s="76">
        <f t="shared" ca="1" si="9"/>
        <v>0</v>
      </c>
      <c r="AC62" s="75">
        <f t="shared" ca="1" si="3"/>
        <v>0</v>
      </c>
      <c r="AD62" s="76">
        <f t="shared" ca="1" si="10"/>
        <v>12388.425641435188</v>
      </c>
      <c r="AE62" s="76">
        <f t="shared" si="11"/>
        <v>0</v>
      </c>
      <c r="AF62" s="75">
        <f t="shared" si="6"/>
        <v>0</v>
      </c>
      <c r="AG62" s="75">
        <f t="shared" si="7"/>
        <v>0</v>
      </c>
      <c r="AH62" s="31" t="e" cm="1">
        <f t="array" aca="1" ref="AH62" ca="1">IF((AD62) &lt; (INDEX(ResponseSLA[#All],(MATCH((G62),ResponseSLA[Priority],0))+1,3)),"YES","No")</f>
        <v>#N/A</v>
      </c>
      <c r="AI62" s="31" t="str">
        <f>_xlfn.IFNA(IF(AE62 &lt; (INDEX(SLATable[Minimum SLA],MATCH(G62,SLATable[Priority],0))),"YES","NO"),"")</f>
        <v/>
      </c>
      <c r="AJ62" t="str">
        <f>_xlfn.IFNA(IF(AE62 &lt; (INDEX(SLATable[Maximum SLA],MATCH(G62,SLATable[Priority],0))),"YES","NO"),"")</f>
        <v/>
      </c>
    </row>
    <row r="63" spans="26:36" ht="15" customHeight="1">
      <c r="Z63" s="76" t="e">
        <f t="shared" ca="1" si="8"/>
        <v>#N/A</v>
      </c>
      <c r="AA63" s="75" t="e">
        <f t="shared" ca="1" si="1"/>
        <v>#N/A</v>
      </c>
      <c r="AB63" s="76">
        <f t="shared" ca="1" si="9"/>
        <v>0</v>
      </c>
      <c r="AC63" s="75">
        <f t="shared" ca="1" si="3"/>
        <v>0</v>
      </c>
      <c r="AD63" s="76">
        <f t="shared" ca="1" si="10"/>
        <v>12388.425641435188</v>
      </c>
      <c r="AE63" s="76">
        <f t="shared" si="11"/>
        <v>0</v>
      </c>
      <c r="AF63" s="75">
        <f t="shared" si="6"/>
        <v>0</v>
      </c>
      <c r="AG63" s="75">
        <f t="shared" si="7"/>
        <v>0</v>
      </c>
      <c r="AH63" s="31" t="e" cm="1">
        <f t="array" aca="1" ref="AH63" ca="1">IF((AD63) &lt; (INDEX(ResponseSLA[#All],(MATCH((G63),ResponseSLA[Priority],0))+1,3)),"YES","No")</f>
        <v>#N/A</v>
      </c>
      <c r="AI63" s="31" t="str">
        <f>_xlfn.IFNA(IF(AE63 &lt; (INDEX(SLATable[Minimum SLA],MATCH(G63,SLATable[Priority],0))),"YES","NO"),"")</f>
        <v/>
      </c>
      <c r="AJ63" t="str">
        <f>_xlfn.IFNA(IF(AE63 &lt; (INDEX(SLATable[Maximum SLA],MATCH(G63,SLATable[Priority],0))),"YES","NO"),"")</f>
        <v/>
      </c>
    </row>
    <row r="64" spans="26:36" ht="15" customHeight="1">
      <c r="Z64" s="76" t="e">
        <f t="shared" ca="1" si="8"/>
        <v>#N/A</v>
      </c>
      <c r="AA64" s="75" t="e">
        <f t="shared" ca="1" si="1"/>
        <v>#N/A</v>
      </c>
      <c r="AB64" s="76">
        <f t="shared" ca="1" si="9"/>
        <v>0</v>
      </c>
      <c r="AC64" s="75">
        <f t="shared" ca="1" si="3"/>
        <v>0</v>
      </c>
      <c r="AD64" s="76">
        <f t="shared" ca="1" si="10"/>
        <v>12388.425641435188</v>
      </c>
      <c r="AE64" s="76">
        <f t="shared" si="11"/>
        <v>0</v>
      </c>
      <c r="AF64" s="75">
        <f t="shared" si="6"/>
        <v>0</v>
      </c>
      <c r="AG64" s="75">
        <f t="shared" si="7"/>
        <v>0</v>
      </c>
      <c r="AH64" s="31" t="e" cm="1">
        <f t="array" aca="1" ref="AH64" ca="1">IF((AD64) &lt; (INDEX(ResponseSLA[#All],(MATCH((G64),ResponseSLA[Priority],0))+1,3)),"YES","No")</f>
        <v>#N/A</v>
      </c>
      <c r="AI64" s="31" t="str">
        <f>_xlfn.IFNA(IF(AE64 &lt; (INDEX(SLATable[Minimum SLA],MATCH(G64,SLATable[Priority],0))),"YES","NO"),"")</f>
        <v/>
      </c>
      <c r="AJ64" t="str">
        <f>_xlfn.IFNA(IF(AE64 &lt; (INDEX(SLATable[Maximum SLA],MATCH(G64,SLATable[Priority],0))),"YES","NO"),"")</f>
        <v/>
      </c>
    </row>
    <row r="65" spans="26:36" ht="15" customHeight="1">
      <c r="Z65" s="76" t="e">
        <f t="shared" ca="1" si="8"/>
        <v>#N/A</v>
      </c>
      <c r="AA65" s="75" t="e">
        <f t="shared" ca="1" si="1"/>
        <v>#N/A</v>
      </c>
      <c r="AB65" s="76">
        <f t="shared" ca="1" si="9"/>
        <v>0</v>
      </c>
      <c r="AC65" s="75">
        <f t="shared" ca="1" si="3"/>
        <v>0</v>
      </c>
      <c r="AD65" s="76">
        <f t="shared" ca="1" si="10"/>
        <v>12388.425641435188</v>
      </c>
      <c r="AE65" s="76">
        <f t="shared" si="11"/>
        <v>0</v>
      </c>
      <c r="AF65" s="75">
        <f t="shared" si="6"/>
        <v>0</v>
      </c>
      <c r="AG65" s="75">
        <f t="shared" si="7"/>
        <v>0</v>
      </c>
      <c r="AH65" s="31" t="e" cm="1">
        <f t="array" aca="1" ref="AH65" ca="1">IF((AD65) &lt; (INDEX(ResponseSLA[#All],(MATCH((G65),ResponseSLA[Priority],0))+1,3)),"YES","No")</f>
        <v>#N/A</v>
      </c>
      <c r="AI65" s="31" t="str">
        <f>_xlfn.IFNA(IF(AE65 &lt; (INDEX(SLATable[Minimum SLA],MATCH(G65,SLATable[Priority],0))),"YES","NO"),"")</f>
        <v/>
      </c>
      <c r="AJ65" t="str">
        <f>_xlfn.IFNA(IF(AE65 &lt; (INDEX(SLATable[Maximum SLA],MATCH(G65,SLATable[Priority],0))),"YES","NO"),"")</f>
        <v/>
      </c>
    </row>
    <row r="66" spans="26:36" ht="15" customHeight="1">
      <c r="Z66" s="76" t="e">
        <f t="shared" ca="1" si="8"/>
        <v>#N/A</v>
      </c>
      <c r="AA66" s="75" t="e">
        <f t="shared" ca="1" si="1"/>
        <v>#N/A</v>
      </c>
      <c r="AB66" s="76">
        <f t="shared" ca="1" si="9"/>
        <v>0</v>
      </c>
      <c r="AC66" s="75">
        <f t="shared" ca="1" si="3"/>
        <v>0</v>
      </c>
      <c r="AD66" s="76">
        <f t="shared" ca="1" si="10"/>
        <v>12388.425641435188</v>
      </c>
      <c r="AE66" s="76">
        <f t="shared" si="11"/>
        <v>0</v>
      </c>
      <c r="AF66" s="75">
        <f t="shared" si="6"/>
        <v>0</v>
      </c>
      <c r="AG66" s="75">
        <f t="shared" si="7"/>
        <v>0</v>
      </c>
      <c r="AH66" s="31" t="e" cm="1">
        <f t="array" aca="1" ref="AH66" ca="1">IF((AD66) &lt; (INDEX(ResponseSLA[#All],(MATCH((G66),ResponseSLA[Priority],0))+1,3)),"YES","No")</f>
        <v>#N/A</v>
      </c>
      <c r="AI66" s="31" t="str">
        <f>_xlfn.IFNA(IF(AE66 &lt; (INDEX(SLATable[Minimum SLA],MATCH(G66,SLATable[Priority],0))),"YES","NO"),"")</f>
        <v/>
      </c>
      <c r="AJ66" t="str">
        <f>_xlfn.IFNA(IF(AE66 &lt; (INDEX(SLATable[Maximum SLA],MATCH(G66,SLATable[Priority],0))),"YES","NO"),"")</f>
        <v/>
      </c>
    </row>
    <row r="67" spans="26:36" ht="15" customHeight="1">
      <c r="Z67" s="76" t="e">
        <f t="shared" ref="Z67:Z130" ca="1" si="12">IF(NOT(OR(G67=1,G67=2)),MAX(0,_xlfn.IFS(AND(K67&lt;&gt;"",N67&lt;&gt;""),((MAX(NETWORKDAYS(K67,N67,UKBankHolidays)-1,0))*(TIME(17,0,0)-TIME(8,0,0))+IF(NETWORKDAYS(N67,N67,UKBankHolidays)&gt;0,MEDIAN(TIME(8,0,0),MOD(N67,1),TIME(17,0,0)),TIME(8,0,0))-IF(NETWORKDAYS(K67,K67,UKBankHolidays)&gt;0,MEDIAN(TIME(8,0,0),MOD(K67,1),TIME(17,0,0)),TIME(8,0,0)))-IF(AND(O67&lt;&gt;"",P67&lt;&gt;""),((MAX(NETWORKDAYS(O67,P67,UKBankHolidays)-1,0))*(TIME(17,0,0)-TIME(8,0,0))+IF(NETWORKDAYS(P67,P67,UKBankHolidays)&gt;0,MEDIAN(TIME(8,0,0),MOD(P67,1),TIME(17,0,0)),TIME(8,0,0))-IF(NETWORKDAYS(O67,O67,UKBankHolidays)&gt;0,MEDIAN(TIME(8,0,0),MOD(O67,1),TIME(17,0,0)),TIME(8,0,0))),0),AND(K67&lt;&gt;"",N67=""),((MAX(NETWORKDAYS(K67,NOW(),UKBankHolidays)-1,0))*(TIME(17,0,0)-TIME(8,0,0))+IF(NETWORKDAYS(NOW(),NOW(),UKBankHolidays)&gt;0,MEDIAN(TIME(8,0,0),MOD(NOW(),1),TIME(17,0,0)),TIME(8,0,0))-IF(NETWORKDAYS(K67,K67,UKBankHolidays)&gt;0,MEDIAN(TIME(8,0,0),MOD(K67,1),TIME(17,0,0)),TIME(8,0,0))))),IF(N67="",NOW()-K67,N67-K67))</f>
        <v>#N/A</v>
      </c>
      <c r="AA67" s="75" t="e">
        <f t="shared" ca="1" si="1"/>
        <v>#N/A</v>
      </c>
      <c r="AB67" s="76">
        <f t="shared" ref="AB67:AB130" ca="1" si="13">IF(NOT(OR(G67=1,G67=2)),MAX(0,_xlfn.IFS(AND(K67&lt;&gt;"",N67&lt;&gt;""),(((MAX(NETWORKDAYS(L67,N67,UKBankHolidays)-1,0))*(TIME(17,0,0)-TIME(8,0,0)))+IF(NETWORKDAYS(N67,N67,UKBankHolidays)&gt;0,MEDIAN(TIME(8,0,0),MOD(N67,1),TIME(17,0,0)),TIME(8,0,0))-IF(NETWORKDAYS(L67,L67,UKBankHolidays)&gt;0,MEDIAN(TIME(8,0,0),MOD(L67,1),TIME(17,0,0)),TIME(8,0,0)))-IF(AND(O67&lt;&gt;"",P67&lt;&gt;""),(((MAX(NETWORKDAYS(O67,P67,UKBankHolidays)-1,0))*(TIME(17,0,0)-TIME(8,0,0)))+IF(NETWORKDAYS(P67,P67,UKBankHolidays)&gt;0,MEDIAN(TIME(8,0,0),MOD(P67,1),TIME(17,0,0)),TIME(8,0,0))-IF(NETWORKDAYS(O67,O67,UKBankHolidays)&gt;0,MEDIAN(TIME(8,0,0),MOD(O67,1),TIME(17,0,0)),TIME(8,0,0))),0),AND(L67&lt;&gt;"",N67="",O67=""),(((MAX(NETWORKDAYS(L67,NOW(),UKBankHolidays)-1,0))*(TIME(17,0,0)-TIME(8,0,0)))+IF(NETWORKDAYS(NOW(),NOW(),UKBankHolidays)&gt;0,MEDIAN(TIME(8,0,0),MOD(NOW(),1),TIME(17,0,0)),TIME(8,0,0))-IF(NETWORKDAYS(L67,L67,UKBankHolidays)&gt;0,MEDIAN(TIME(8,0,0),MOD(L67,1),TIME(17,0,0)),TIME(8,0,0)))-IF(AND(O67&lt;&gt;"",P67&lt;&gt;""),(((MAX(NETWORKDAYS(O67,P67,UKBankHolidays)-1,0))*(TIME(17,0,0)-TIME(8,0,0)))+IF(NETWORKDAYS(P67,P67,UKBankHolidays)&gt;0,MEDIAN(TIME(8,0,0),MOD(P67,1),TIME(17,0,0)),TIME(8,0,0))-IF(NETWORKDAYS(O67,O67,UKBankHolidays)&gt;0,MEDIAN(TIME(8,0,0),MOD(O67,1),TIME(17,0,0)),TIME(8,0,0))),0),AND(L67&lt;&gt;"",N67="",P67="",O67&lt;&gt;""),(((MAX(NETWORKDAYS(L67,O67,UKBankHolidays)-1,0))*(TIME(17,0,0)-TIME(8,0,0)))+IF(NETWORKDAYS(O67,O67,UKBankHolidays)&gt;0,MEDIAN(TIME(8,0,0),MOD(O67,1),TIME(17,0,0)),TIME(8,0,0))-IF(NETWORKDAYS(L67,L67,UKBankHolidays)&gt;0,MEDIAN(TIME(8,0,0),MOD(L67,1),TIME(17,0,0)),TIME(8,0,0))),ISBLANK(K67),"0")),IF(ISBLANK(N67),NOW()-L67,N67-L67))</f>
        <v>0</v>
      </c>
      <c r="AC67" s="75">
        <f t="shared" ca="1" si="3"/>
        <v>0</v>
      </c>
      <c r="AD67" s="76">
        <f t="shared" ref="AD67:AD130" ca="1" si="14">MAX(0,IF(NOT(OR(G67=1,G67=2)),IF(M67&lt;&gt;"",((MAX(NETWORKDAYS(L67,M67,UKBankHolidays)-1,0))*(TIME(17,0,0)-TIME(8,0,0))+IF(NETWORKDAYS(M67,M67,UKBankHolidays)&gt;0,MEDIAN(TIME(8,0,0),MOD(M67,1),TIME(17,0,0)),TIME(8,0,0))-MEDIAN(TIME(8,0,0),MOD(L67,1),TIME(17,0,0))),((MAX(NETWORKDAYS(L67,NOW(),UKBankHolidays)-1,0))*(TIME(17,0,0)-TIME(8,0,0))+IF(NETWORKDAYS(NOW(),NOW(),UKBankHolidays)&gt;0,MEDIAN(TIME(8,0,0),MOD(NOW(),1),TIME(17,0,0)),TIME(8,0,0))-MEDIAN(TIME(8,0,0),MOD(L67,1),TIME(17,0,0)))),IF(M67&lt;&gt;"",M67-L67,NOW()-L67)))</f>
        <v>12388.425641435188</v>
      </c>
      <c r="AE67" s="76">
        <f t="shared" ref="AE67:AE130" si="15">SUMIFS(AB:AB,E:E,E67)</f>
        <v>0</v>
      </c>
      <c r="AF67" s="75">
        <f t="shared" si="6"/>
        <v>0</v>
      </c>
      <c r="AG67" s="75">
        <f t="shared" si="7"/>
        <v>0</v>
      </c>
      <c r="AH67" s="31" t="e" cm="1">
        <f t="array" aca="1" ref="AH67" ca="1">IF((AD67) &lt; (INDEX(ResponseSLA[#All],(MATCH((G67),ResponseSLA[Priority],0))+1,3)),"YES","No")</f>
        <v>#N/A</v>
      </c>
      <c r="AI67" s="31" t="str">
        <f>_xlfn.IFNA(IF(AE67 &lt; (INDEX(SLATable[Minimum SLA],MATCH(G67,SLATable[Priority],0))),"YES","NO"),"")</f>
        <v/>
      </c>
      <c r="AJ67" t="str">
        <f>_xlfn.IFNA(IF(AE67 &lt; (INDEX(SLATable[Maximum SLA],MATCH(G67,SLATable[Priority],0))),"YES","NO"),"")</f>
        <v/>
      </c>
    </row>
    <row r="68" spans="26:36" ht="15" customHeight="1">
      <c r="Z68" s="76" t="e">
        <f t="shared" ca="1" si="12"/>
        <v>#N/A</v>
      </c>
      <c r="AA68" s="75" t="e">
        <f t="shared" ca="1" si="1"/>
        <v>#N/A</v>
      </c>
      <c r="AB68" s="76">
        <f t="shared" ca="1" si="13"/>
        <v>0</v>
      </c>
      <c r="AC68" s="75">
        <f t="shared" ca="1" si="3"/>
        <v>0</v>
      </c>
      <c r="AD68" s="76">
        <f t="shared" ca="1" si="14"/>
        <v>12388.425641435188</v>
      </c>
      <c r="AE68" s="76">
        <f t="shared" si="15"/>
        <v>0</v>
      </c>
      <c r="AF68" s="75">
        <f t="shared" si="6"/>
        <v>0</v>
      </c>
      <c r="AG68" s="75">
        <f t="shared" si="7"/>
        <v>0</v>
      </c>
      <c r="AH68" s="31" t="e" cm="1">
        <f t="array" aca="1" ref="AH68" ca="1">IF((AD68) &lt; (INDEX(ResponseSLA[#All],(MATCH((G68),ResponseSLA[Priority],0))+1,3)),"YES","No")</f>
        <v>#N/A</v>
      </c>
      <c r="AI68" s="31" t="str">
        <f>_xlfn.IFNA(IF(AE68 &lt; (INDEX(SLATable[Minimum SLA],MATCH(G68,SLATable[Priority],0))),"YES","NO"),"")</f>
        <v/>
      </c>
      <c r="AJ68" t="str">
        <f>_xlfn.IFNA(IF(AE68 &lt; (INDEX(SLATable[Maximum SLA],MATCH(G68,SLATable[Priority],0))),"YES","NO"),"")</f>
        <v/>
      </c>
    </row>
    <row r="69" spans="26:36" ht="15" customHeight="1">
      <c r="Z69" s="76" t="e">
        <f t="shared" ca="1" si="12"/>
        <v>#N/A</v>
      </c>
      <c r="AA69" s="75" t="e">
        <f t="shared" ca="1" si="1"/>
        <v>#N/A</v>
      </c>
      <c r="AB69" s="76">
        <f t="shared" ca="1" si="13"/>
        <v>0</v>
      </c>
      <c r="AC69" s="75">
        <f t="shared" ca="1" si="3"/>
        <v>0</v>
      </c>
      <c r="AD69" s="76">
        <f t="shared" ca="1" si="14"/>
        <v>12388.425641435188</v>
      </c>
      <c r="AE69" s="76">
        <f t="shared" si="15"/>
        <v>0</v>
      </c>
      <c r="AF69" s="75">
        <f t="shared" si="6"/>
        <v>0</v>
      </c>
      <c r="AG69" s="75">
        <f t="shared" si="7"/>
        <v>0</v>
      </c>
      <c r="AH69" s="31" t="e" cm="1">
        <f t="array" aca="1" ref="AH69" ca="1">IF((AD69) &lt; (INDEX(ResponseSLA[#All],(MATCH((G69),ResponseSLA[Priority],0))+1,3)),"YES","No")</f>
        <v>#N/A</v>
      </c>
      <c r="AI69" s="31" t="str">
        <f>_xlfn.IFNA(IF(AE69 &lt; (INDEX(SLATable[Minimum SLA],MATCH(G69,SLATable[Priority],0))),"YES","NO"),"")</f>
        <v/>
      </c>
      <c r="AJ69" t="str">
        <f>_xlfn.IFNA(IF(AE69 &lt; (INDEX(SLATable[Maximum SLA],MATCH(G69,SLATable[Priority],0))),"YES","NO"),"")</f>
        <v/>
      </c>
    </row>
    <row r="70" spans="26:36" ht="15" customHeight="1">
      <c r="Z70" s="76" t="e">
        <f t="shared" ca="1" si="12"/>
        <v>#N/A</v>
      </c>
      <c r="AA70" s="75" t="e">
        <f t="shared" ca="1" si="1"/>
        <v>#N/A</v>
      </c>
      <c r="AB70" s="76">
        <f t="shared" ca="1" si="13"/>
        <v>0</v>
      </c>
      <c r="AC70" s="75">
        <f t="shared" ca="1" si="3"/>
        <v>0</v>
      </c>
      <c r="AD70" s="76">
        <f t="shared" ca="1" si="14"/>
        <v>12388.425641435188</v>
      </c>
      <c r="AE70" s="76">
        <f t="shared" si="15"/>
        <v>0</v>
      </c>
      <c r="AF70" s="75">
        <f t="shared" si="6"/>
        <v>0</v>
      </c>
      <c r="AG70" s="75">
        <f t="shared" si="7"/>
        <v>0</v>
      </c>
      <c r="AH70" s="31" t="e" cm="1">
        <f t="array" aca="1" ref="AH70" ca="1">IF((AD70) &lt; (INDEX(ResponseSLA[#All],(MATCH((G70),ResponseSLA[Priority],0))+1,3)),"YES","No")</f>
        <v>#N/A</v>
      </c>
      <c r="AI70" s="31" t="str">
        <f>_xlfn.IFNA(IF(AE70 &lt; (INDEX(SLATable[Minimum SLA],MATCH(G70,SLATable[Priority],0))),"YES","NO"),"")</f>
        <v/>
      </c>
      <c r="AJ70" t="str">
        <f>_xlfn.IFNA(IF(AE70 &lt; (INDEX(SLATable[Maximum SLA],MATCH(G70,SLATable[Priority],0))),"YES","NO"),"")</f>
        <v/>
      </c>
    </row>
    <row r="71" spans="26:36" ht="15" customHeight="1">
      <c r="Z71" s="76" t="e">
        <f t="shared" ca="1" si="12"/>
        <v>#N/A</v>
      </c>
      <c r="AA71" s="75" t="e">
        <f t="shared" ca="1" si="1"/>
        <v>#N/A</v>
      </c>
      <c r="AB71" s="76">
        <f t="shared" ca="1" si="13"/>
        <v>0</v>
      </c>
      <c r="AC71" s="75">
        <f t="shared" ca="1" si="3"/>
        <v>0</v>
      </c>
      <c r="AD71" s="76">
        <f t="shared" ca="1" si="14"/>
        <v>12388.425641435188</v>
      </c>
      <c r="AE71" s="76">
        <f t="shared" si="15"/>
        <v>0</v>
      </c>
      <c r="AF71" s="75">
        <f t="shared" si="6"/>
        <v>0</v>
      </c>
      <c r="AG71" s="75">
        <f t="shared" si="7"/>
        <v>0</v>
      </c>
      <c r="AH71" s="31" t="e" cm="1">
        <f t="array" aca="1" ref="AH71" ca="1">IF((AD71) &lt; (INDEX(ResponseSLA[#All],(MATCH((G71),ResponseSLA[Priority],0))+1,3)),"YES","No")</f>
        <v>#N/A</v>
      </c>
      <c r="AI71" s="31" t="str">
        <f>_xlfn.IFNA(IF(AE71 &lt; (INDEX(SLATable[Minimum SLA],MATCH(G71,SLATable[Priority],0))),"YES","NO"),"")</f>
        <v/>
      </c>
      <c r="AJ71" t="str">
        <f>_xlfn.IFNA(IF(AE71 &lt; (INDEX(SLATable[Maximum SLA],MATCH(G71,SLATable[Priority],0))),"YES","NO"),"")</f>
        <v/>
      </c>
    </row>
    <row r="72" spans="26:36" ht="15" customHeight="1">
      <c r="Z72" s="76" t="e">
        <f t="shared" ca="1" si="12"/>
        <v>#N/A</v>
      </c>
      <c r="AA72" s="75" t="e">
        <f t="shared" ca="1" si="1"/>
        <v>#N/A</v>
      </c>
      <c r="AB72" s="76">
        <f t="shared" ca="1" si="13"/>
        <v>0</v>
      </c>
      <c r="AC72" s="75">
        <f t="shared" ca="1" si="3"/>
        <v>0</v>
      </c>
      <c r="AD72" s="76">
        <f t="shared" ca="1" si="14"/>
        <v>12388.425641435188</v>
      </c>
      <c r="AE72" s="76">
        <f t="shared" si="15"/>
        <v>0</v>
      </c>
      <c r="AF72" s="75">
        <f t="shared" si="6"/>
        <v>0</v>
      </c>
      <c r="AG72" s="75">
        <f t="shared" si="7"/>
        <v>0</v>
      </c>
      <c r="AH72" s="31" t="e" cm="1">
        <f t="array" aca="1" ref="AH72" ca="1">IF((AD72) &lt; (INDEX(ResponseSLA[#All],(MATCH((G72),ResponseSLA[Priority],0))+1,3)),"YES","No")</f>
        <v>#N/A</v>
      </c>
      <c r="AI72" s="31" t="str">
        <f>_xlfn.IFNA(IF(AE72 &lt; (INDEX(SLATable[Minimum SLA],MATCH(G72,SLATable[Priority],0))),"YES","NO"),"")</f>
        <v/>
      </c>
      <c r="AJ72" t="str">
        <f>_xlfn.IFNA(IF(AE72 &lt; (INDEX(SLATable[Maximum SLA],MATCH(G72,SLATable[Priority],0))),"YES","NO"),"")</f>
        <v/>
      </c>
    </row>
    <row r="73" spans="26:36" ht="15" customHeight="1">
      <c r="Z73" s="76" t="e">
        <f t="shared" ca="1" si="12"/>
        <v>#N/A</v>
      </c>
      <c r="AA73" s="75" t="e">
        <f t="shared" ca="1" si="1"/>
        <v>#N/A</v>
      </c>
      <c r="AB73" s="76">
        <f t="shared" ca="1" si="13"/>
        <v>0</v>
      </c>
      <c r="AC73" s="75">
        <f t="shared" ca="1" si="3"/>
        <v>0</v>
      </c>
      <c r="AD73" s="76">
        <f t="shared" ca="1" si="14"/>
        <v>12388.425641435188</v>
      </c>
      <c r="AE73" s="76">
        <f t="shared" si="15"/>
        <v>0</v>
      </c>
      <c r="AF73" s="75">
        <f t="shared" si="6"/>
        <v>0</v>
      </c>
      <c r="AG73" s="75">
        <f t="shared" si="7"/>
        <v>0</v>
      </c>
      <c r="AH73" s="31" t="e" cm="1">
        <f t="array" aca="1" ref="AH73" ca="1">IF((AD73) &lt; (INDEX(ResponseSLA[#All],(MATCH((G73),ResponseSLA[Priority],0))+1,3)),"YES","No")</f>
        <v>#N/A</v>
      </c>
      <c r="AI73" s="31" t="str">
        <f>_xlfn.IFNA(IF(AE73 &lt; (INDEX(SLATable[Minimum SLA],MATCH(G73,SLATable[Priority],0))),"YES","NO"),"")</f>
        <v/>
      </c>
      <c r="AJ73" t="str">
        <f>_xlfn.IFNA(IF(AE73 &lt; (INDEX(SLATable[Maximum SLA],MATCH(G73,SLATable[Priority],0))),"YES","NO"),"")</f>
        <v/>
      </c>
    </row>
    <row r="74" spans="26:36" ht="15" customHeight="1">
      <c r="Z74" s="76" t="e">
        <f t="shared" ca="1" si="12"/>
        <v>#N/A</v>
      </c>
      <c r="AA74" s="75" t="e">
        <f t="shared" ca="1" si="1"/>
        <v>#N/A</v>
      </c>
      <c r="AB74" s="76">
        <f t="shared" ca="1" si="13"/>
        <v>0</v>
      </c>
      <c r="AC74" s="75">
        <f t="shared" ca="1" si="3"/>
        <v>0</v>
      </c>
      <c r="AD74" s="76">
        <f t="shared" ca="1" si="14"/>
        <v>12388.425641435188</v>
      </c>
      <c r="AE74" s="76">
        <f t="shared" si="15"/>
        <v>0</v>
      </c>
      <c r="AF74" s="75">
        <f t="shared" si="6"/>
        <v>0</v>
      </c>
      <c r="AG74" s="75">
        <f t="shared" si="7"/>
        <v>0</v>
      </c>
      <c r="AH74" s="31" t="e" cm="1">
        <f t="array" aca="1" ref="AH74" ca="1">IF((AD74) &lt; (INDEX(ResponseSLA[#All],(MATCH((G74),ResponseSLA[Priority],0))+1,3)),"YES","No")</f>
        <v>#N/A</v>
      </c>
      <c r="AI74" s="31" t="str">
        <f>_xlfn.IFNA(IF(AE74 &lt; (INDEX(SLATable[Minimum SLA],MATCH(G74,SLATable[Priority],0))),"YES","NO"),"")</f>
        <v/>
      </c>
      <c r="AJ74" t="str">
        <f>_xlfn.IFNA(IF(AE74 &lt; (INDEX(SLATable[Maximum SLA],MATCH(G74,SLATable[Priority],0))),"YES","NO"),"")</f>
        <v/>
      </c>
    </row>
    <row r="75" spans="26:36" ht="15" customHeight="1">
      <c r="Z75" s="76" t="e">
        <f t="shared" ca="1" si="12"/>
        <v>#N/A</v>
      </c>
      <c r="AA75" s="75" t="e">
        <f t="shared" ca="1" si="1"/>
        <v>#N/A</v>
      </c>
      <c r="AB75" s="76">
        <f t="shared" ca="1" si="13"/>
        <v>0</v>
      </c>
      <c r="AC75" s="75">
        <f t="shared" ca="1" si="3"/>
        <v>0</v>
      </c>
      <c r="AD75" s="76">
        <f t="shared" ca="1" si="14"/>
        <v>12388.425641435188</v>
      </c>
      <c r="AE75" s="76">
        <f t="shared" si="15"/>
        <v>0</v>
      </c>
      <c r="AF75" s="75">
        <f t="shared" si="6"/>
        <v>0</v>
      </c>
      <c r="AG75" s="75">
        <f t="shared" si="7"/>
        <v>0</v>
      </c>
      <c r="AH75" s="31" t="e" cm="1">
        <f t="array" aca="1" ref="AH75" ca="1">IF((AD75) &lt; (INDEX(ResponseSLA[#All],(MATCH((G75),ResponseSLA[Priority],0))+1,3)),"YES","No")</f>
        <v>#N/A</v>
      </c>
      <c r="AI75" s="31" t="str">
        <f>_xlfn.IFNA(IF(AE75 &lt; (INDEX(SLATable[Minimum SLA],MATCH(G75,SLATable[Priority],0))),"YES","NO"),"")</f>
        <v/>
      </c>
      <c r="AJ75" t="str">
        <f>_xlfn.IFNA(IF(AE75 &lt; (INDEX(SLATable[Maximum SLA],MATCH(G75,SLATable[Priority],0))),"YES","NO"),"")</f>
        <v/>
      </c>
    </row>
    <row r="76" spans="26:36" ht="15" customHeight="1">
      <c r="Z76" s="76" t="e">
        <f t="shared" ca="1" si="12"/>
        <v>#N/A</v>
      </c>
      <c r="AA76" s="75" t="e">
        <f t="shared" ca="1" si="1"/>
        <v>#N/A</v>
      </c>
      <c r="AB76" s="76">
        <f t="shared" ca="1" si="13"/>
        <v>0</v>
      </c>
      <c r="AC76" s="75">
        <f t="shared" ca="1" si="3"/>
        <v>0</v>
      </c>
      <c r="AD76" s="76">
        <f t="shared" ca="1" si="14"/>
        <v>12388.425641435188</v>
      </c>
      <c r="AE76" s="76">
        <f t="shared" si="15"/>
        <v>0</v>
      </c>
      <c r="AF76" s="75">
        <f t="shared" si="6"/>
        <v>0</v>
      </c>
      <c r="AG76" s="75">
        <f t="shared" si="7"/>
        <v>0</v>
      </c>
      <c r="AH76" s="31" t="e" cm="1">
        <f t="array" aca="1" ref="AH76" ca="1">IF((AD76) &lt; (INDEX(ResponseSLA[#All],(MATCH((G76),ResponseSLA[Priority],0))+1,3)),"YES","No")</f>
        <v>#N/A</v>
      </c>
      <c r="AI76" s="31" t="str">
        <f>_xlfn.IFNA(IF(AE76 &lt; (INDEX(SLATable[Minimum SLA],MATCH(G76,SLATable[Priority],0))),"YES","NO"),"")</f>
        <v/>
      </c>
      <c r="AJ76" t="str">
        <f>_xlfn.IFNA(IF(AE76 &lt; (INDEX(SLATable[Maximum SLA],MATCH(G76,SLATable[Priority],0))),"YES","NO"),"")</f>
        <v/>
      </c>
    </row>
    <row r="77" spans="26:36" ht="15" customHeight="1">
      <c r="Z77" s="76" t="e">
        <f t="shared" ca="1" si="12"/>
        <v>#N/A</v>
      </c>
      <c r="AA77" s="75" t="e">
        <f t="shared" ca="1" si="1"/>
        <v>#N/A</v>
      </c>
      <c r="AB77" s="76">
        <f t="shared" ca="1" si="13"/>
        <v>0</v>
      </c>
      <c r="AC77" s="75">
        <f t="shared" ca="1" si="3"/>
        <v>0</v>
      </c>
      <c r="AD77" s="76">
        <f t="shared" ca="1" si="14"/>
        <v>12388.425641435188</v>
      </c>
      <c r="AE77" s="76">
        <f t="shared" si="15"/>
        <v>0</v>
      </c>
      <c r="AF77" s="75">
        <f t="shared" si="6"/>
        <v>0</v>
      </c>
      <c r="AG77" s="75">
        <f t="shared" si="7"/>
        <v>0</v>
      </c>
      <c r="AH77" s="31" t="e" cm="1">
        <f t="array" aca="1" ref="AH77" ca="1">IF((AD77) &lt; (INDEX(ResponseSLA[#All],(MATCH((G77),ResponseSLA[Priority],0))+1,3)),"YES","No")</f>
        <v>#N/A</v>
      </c>
      <c r="AI77" s="31" t="str">
        <f>_xlfn.IFNA(IF(AE77 &lt; (INDEX(SLATable[Minimum SLA],MATCH(G77,SLATable[Priority],0))),"YES","NO"),"")</f>
        <v/>
      </c>
      <c r="AJ77" t="str">
        <f>_xlfn.IFNA(IF(AE77 &lt; (INDEX(SLATable[Maximum SLA],MATCH(G77,SLATable[Priority],0))),"YES","NO"),"")</f>
        <v/>
      </c>
    </row>
    <row r="78" spans="26:36" ht="15" customHeight="1">
      <c r="Z78" s="76" t="e">
        <f t="shared" ca="1" si="12"/>
        <v>#N/A</v>
      </c>
      <c r="AA78" s="75" t="e">
        <f t="shared" ca="1" si="1"/>
        <v>#N/A</v>
      </c>
      <c r="AB78" s="76">
        <f t="shared" ca="1" si="13"/>
        <v>0</v>
      </c>
      <c r="AC78" s="75">
        <f t="shared" ca="1" si="3"/>
        <v>0</v>
      </c>
      <c r="AD78" s="76">
        <f t="shared" ca="1" si="14"/>
        <v>12388.425641435188</v>
      </c>
      <c r="AE78" s="76">
        <f t="shared" si="15"/>
        <v>0</v>
      </c>
      <c r="AF78" s="75">
        <f t="shared" si="6"/>
        <v>0</v>
      </c>
      <c r="AG78" s="75">
        <f t="shared" si="7"/>
        <v>0</v>
      </c>
      <c r="AH78" s="31" t="e" cm="1">
        <f t="array" aca="1" ref="AH78" ca="1">IF((AD78) &lt; (INDEX(ResponseSLA[#All],(MATCH((G78),ResponseSLA[Priority],0))+1,3)),"YES","No")</f>
        <v>#N/A</v>
      </c>
      <c r="AI78" s="31" t="str">
        <f>_xlfn.IFNA(IF(AE78 &lt; (INDEX(SLATable[Minimum SLA],MATCH(G78,SLATable[Priority],0))),"YES","NO"),"")</f>
        <v/>
      </c>
      <c r="AJ78" t="str">
        <f>_xlfn.IFNA(IF(AE78 &lt; (INDEX(SLATable[Maximum SLA],MATCH(G78,SLATable[Priority],0))),"YES","NO"),"")</f>
        <v/>
      </c>
    </row>
    <row r="79" spans="26:36" ht="15" customHeight="1">
      <c r="Z79" s="76" t="e">
        <f t="shared" ca="1" si="12"/>
        <v>#N/A</v>
      </c>
      <c r="AA79" s="75" t="e">
        <f t="shared" ca="1" si="1"/>
        <v>#N/A</v>
      </c>
      <c r="AB79" s="76">
        <f t="shared" ca="1" si="13"/>
        <v>0</v>
      </c>
      <c r="AC79" s="75">
        <f t="shared" ca="1" si="3"/>
        <v>0</v>
      </c>
      <c r="AD79" s="76">
        <f t="shared" ca="1" si="14"/>
        <v>12388.425641435188</v>
      </c>
      <c r="AE79" s="76">
        <f t="shared" si="15"/>
        <v>0</v>
      </c>
      <c r="AF79" s="75">
        <f t="shared" si="6"/>
        <v>0</v>
      </c>
      <c r="AG79" s="75">
        <f t="shared" si="7"/>
        <v>0</v>
      </c>
      <c r="AH79" s="31" t="e" cm="1">
        <f t="array" aca="1" ref="AH79" ca="1">IF((AD79) &lt; (INDEX(ResponseSLA[#All],(MATCH((G79),ResponseSLA[Priority],0))+1,3)),"YES","No")</f>
        <v>#N/A</v>
      </c>
      <c r="AI79" s="31" t="str">
        <f>_xlfn.IFNA(IF(AE79 &lt; (INDEX(SLATable[Minimum SLA],MATCH(G79,SLATable[Priority],0))),"YES","NO"),"")</f>
        <v/>
      </c>
      <c r="AJ79" t="str">
        <f>_xlfn.IFNA(IF(AE79 &lt; (INDEX(SLATable[Maximum SLA],MATCH(G79,SLATable[Priority],0))),"YES","NO"),"")</f>
        <v/>
      </c>
    </row>
    <row r="80" spans="26:36" ht="15" customHeight="1">
      <c r="Z80" s="76" t="e">
        <f t="shared" ca="1" si="12"/>
        <v>#N/A</v>
      </c>
      <c r="AA80" s="75" t="e">
        <f t="shared" ca="1" si="1"/>
        <v>#N/A</v>
      </c>
      <c r="AB80" s="76">
        <f t="shared" ca="1" si="13"/>
        <v>0</v>
      </c>
      <c r="AC80" s="75">
        <f t="shared" ca="1" si="3"/>
        <v>0</v>
      </c>
      <c r="AD80" s="76">
        <f t="shared" ca="1" si="14"/>
        <v>12388.425641435188</v>
      </c>
      <c r="AE80" s="76">
        <f t="shared" si="15"/>
        <v>0</v>
      </c>
      <c r="AF80" s="75">
        <f t="shared" si="6"/>
        <v>0</v>
      </c>
      <c r="AG80" s="75">
        <f t="shared" si="7"/>
        <v>0</v>
      </c>
      <c r="AH80" s="31" t="e" cm="1">
        <f t="array" aca="1" ref="AH80" ca="1">IF((AD80) &lt; (INDEX(ResponseSLA[#All],(MATCH((G80),ResponseSLA[Priority],0))+1,3)),"YES","No")</f>
        <v>#N/A</v>
      </c>
      <c r="AI80" s="31" t="str">
        <f>_xlfn.IFNA(IF(AE80 &lt; (INDEX(SLATable[Minimum SLA],MATCH(G80,SLATable[Priority],0))),"YES","NO"),"")</f>
        <v/>
      </c>
      <c r="AJ80" t="str">
        <f>_xlfn.IFNA(IF(AE80 &lt; (INDEX(SLATable[Maximum SLA],MATCH(G80,SLATable[Priority],0))),"YES","NO"),"")</f>
        <v/>
      </c>
    </row>
    <row r="81" spans="26:36" ht="15" customHeight="1">
      <c r="Z81" s="76" t="e">
        <f t="shared" ca="1" si="12"/>
        <v>#N/A</v>
      </c>
      <c r="AA81" s="75" t="e">
        <f t="shared" ca="1" si="1"/>
        <v>#N/A</v>
      </c>
      <c r="AB81" s="76">
        <f t="shared" ca="1" si="13"/>
        <v>0</v>
      </c>
      <c r="AC81" s="75">
        <f t="shared" ca="1" si="3"/>
        <v>0</v>
      </c>
      <c r="AD81" s="76">
        <f t="shared" ca="1" si="14"/>
        <v>12388.425641435188</v>
      </c>
      <c r="AE81" s="76">
        <f t="shared" si="15"/>
        <v>0</v>
      </c>
      <c r="AF81" s="75">
        <f t="shared" si="6"/>
        <v>0</v>
      </c>
      <c r="AG81" s="75">
        <f t="shared" si="7"/>
        <v>0</v>
      </c>
      <c r="AH81" s="31" t="e" cm="1">
        <f t="array" aca="1" ref="AH81" ca="1">IF((AD81) &lt; (INDEX(ResponseSLA[#All],(MATCH((G81),ResponseSLA[Priority],0))+1,3)),"YES","No")</f>
        <v>#N/A</v>
      </c>
      <c r="AI81" s="31" t="str">
        <f>_xlfn.IFNA(IF(AE81 &lt; (INDEX(SLATable[Minimum SLA],MATCH(G81,SLATable[Priority],0))),"YES","NO"),"")</f>
        <v/>
      </c>
      <c r="AJ81" t="str">
        <f>_xlfn.IFNA(IF(AE81 &lt; (INDEX(SLATable[Maximum SLA],MATCH(G81,SLATable[Priority],0))),"YES","NO"),"")</f>
        <v/>
      </c>
    </row>
    <row r="82" spans="26:36" ht="15" customHeight="1">
      <c r="Z82" s="76" t="e">
        <f t="shared" ca="1" si="12"/>
        <v>#N/A</v>
      </c>
      <c r="AA82" s="75" t="e">
        <f t="shared" ca="1" si="1"/>
        <v>#N/A</v>
      </c>
      <c r="AB82" s="76">
        <f t="shared" ca="1" si="13"/>
        <v>0</v>
      </c>
      <c r="AC82" s="75">
        <f t="shared" ca="1" si="3"/>
        <v>0</v>
      </c>
      <c r="AD82" s="76">
        <f t="shared" ca="1" si="14"/>
        <v>12388.425641435188</v>
      </c>
      <c r="AE82" s="76">
        <f t="shared" si="15"/>
        <v>0</v>
      </c>
      <c r="AF82" s="75">
        <f t="shared" si="6"/>
        <v>0</v>
      </c>
      <c r="AG82" s="75">
        <f t="shared" si="7"/>
        <v>0</v>
      </c>
      <c r="AH82" s="31" t="e" cm="1">
        <f t="array" aca="1" ref="AH82" ca="1">IF((AD82) &lt; (INDEX(ResponseSLA[#All],(MATCH((G82),ResponseSLA[Priority],0))+1,3)),"YES","No")</f>
        <v>#N/A</v>
      </c>
      <c r="AI82" s="31" t="str">
        <f>_xlfn.IFNA(IF(AE82 &lt; (INDEX(SLATable[Minimum SLA],MATCH(G82,SLATable[Priority],0))),"YES","NO"),"")</f>
        <v/>
      </c>
      <c r="AJ82" t="str">
        <f>_xlfn.IFNA(IF(AE82 &lt; (INDEX(SLATable[Maximum SLA],MATCH(G82,SLATable[Priority],0))),"YES","NO"),"")</f>
        <v/>
      </c>
    </row>
    <row r="83" spans="26:36" ht="15" customHeight="1">
      <c r="Z83" s="76" t="e">
        <f t="shared" ca="1" si="12"/>
        <v>#N/A</v>
      </c>
      <c r="AA83" s="75" t="e">
        <f t="shared" ca="1" si="1"/>
        <v>#N/A</v>
      </c>
      <c r="AB83" s="76">
        <f t="shared" ca="1" si="13"/>
        <v>0</v>
      </c>
      <c r="AC83" s="75">
        <f t="shared" ca="1" si="3"/>
        <v>0</v>
      </c>
      <c r="AD83" s="76">
        <f t="shared" ca="1" si="14"/>
        <v>12388.425641435188</v>
      </c>
      <c r="AE83" s="76">
        <f t="shared" si="15"/>
        <v>0</v>
      </c>
      <c r="AF83" s="75">
        <f t="shared" si="6"/>
        <v>0</v>
      </c>
      <c r="AG83" s="75">
        <f t="shared" si="7"/>
        <v>0</v>
      </c>
      <c r="AH83" s="31" t="e" cm="1">
        <f t="array" aca="1" ref="AH83" ca="1">IF((AD83) &lt; (INDEX(ResponseSLA[#All],(MATCH((G83),ResponseSLA[Priority],0))+1,3)),"YES","No")</f>
        <v>#N/A</v>
      </c>
      <c r="AI83" s="31" t="str">
        <f>_xlfn.IFNA(IF(AE83 &lt; (INDEX(SLATable[Minimum SLA],MATCH(G83,SLATable[Priority],0))),"YES","NO"),"")</f>
        <v/>
      </c>
      <c r="AJ83" t="str">
        <f>_xlfn.IFNA(IF(AE83 &lt; (INDEX(SLATable[Maximum SLA],MATCH(G83,SLATable[Priority],0))),"YES","NO"),"")</f>
        <v/>
      </c>
    </row>
    <row r="84" spans="26:36" ht="15" customHeight="1">
      <c r="Z84" s="76" t="e">
        <f t="shared" ca="1" si="12"/>
        <v>#N/A</v>
      </c>
      <c r="AA84" s="75" t="e">
        <f t="shared" ca="1" si="1"/>
        <v>#N/A</v>
      </c>
      <c r="AB84" s="76">
        <f t="shared" ca="1" si="13"/>
        <v>0</v>
      </c>
      <c r="AC84" s="75">
        <f t="shared" ca="1" si="3"/>
        <v>0</v>
      </c>
      <c r="AD84" s="76">
        <f t="shared" ca="1" si="14"/>
        <v>12388.425641435188</v>
      </c>
      <c r="AE84" s="76">
        <f t="shared" si="15"/>
        <v>0</v>
      </c>
      <c r="AF84" s="75">
        <f t="shared" si="6"/>
        <v>0</v>
      </c>
      <c r="AG84" s="75">
        <f t="shared" si="7"/>
        <v>0</v>
      </c>
      <c r="AH84" s="31" t="e" cm="1">
        <f t="array" aca="1" ref="AH84" ca="1">IF((AD84) &lt; (INDEX(ResponseSLA[#All],(MATCH((G84),ResponseSLA[Priority],0))+1,3)),"YES","No")</f>
        <v>#N/A</v>
      </c>
      <c r="AI84" s="31" t="str">
        <f>_xlfn.IFNA(IF(AE84 &lt; (INDEX(SLATable[Minimum SLA],MATCH(G84,SLATable[Priority],0))),"YES","NO"),"")</f>
        <v/>
      </c>
      <c r="AJ84" t="str">
        <f>_xlfn.IFNA(IF(AE84 &lt; (INDEX(SLATable[Maximum SLA],MATCH(G84,SLATable[Priority],0))),"YES","NO"),"")</f>
        <v/>
      </c>
    </row>
    <row r="85" spans="26:36" ht="15" customHeight="1">
      <c r="Z85" s="76" t="e">
        <f t="shared" ca="1" si="12"/>
        <v>#N/A</v>
      </c>
      <c r="AA85" s="75" t="e">
        <f t="shared" ca="1" si="1"/>
        <v>#N/A</v>
      </c>
      <c r="AB85" s="76">
        <f t="shared" ca="1" si="13"/>
        <v>0</v>
      </c>
      <c r="AC85" s="75">
        <f t="shared" ca="1" si="3"/>
        <v>0</v>
      </c>
      <c r="AD85" s="76">
        <f t="shared" ca="1" si="14"/>
        <v>12388.425641435188</v>
      </c>
      <c r="AE85" s="76">
        <f t="shared" si="15"/>
        <v>0</v>
      </c>
      <c r="AF85" s="75">
        <f t="shared" si="6"/>
        <v>0</v>
      </c>
      <c r="AG85" s="75">
        <f t="shared" si="7"/>
        <v>0</v>
      </c>
      <c r="AH85" s="31" t="e" cm="1">
        <f t="array" aca="1" ref="AH85" ca="1">IF((AD85) &lt; (INDEX(ResponseSLA[#All],(MATCH((G85),ResponseSLA[Priority],0))+1,3)),"YES","No")</f>
        <v>#N/A</v>
      </c>
      <c r="AI85" s="31" t="str">
        <f>_xlfn.IFNA(IF(AE85 &lt; (INDEX(SLATable[Minimum SLA],MATCH(G85,SLATable[Priority],0))),"YES","NO"),"")</f>
        <v/>
      </c>
      <c r="AJ85" t="str">
        <f>_xlfn.IFNA(IF(AE85 &lt; (INDEX(SLATable[Maximum SLA],MATCH(G85,SLATable[Priority],0))),"YES","NO"),"")</f>
        <v/>
      </c>
    </row>
    <row r="86" spans="26:36" ht="15" customHeight="1">
      <c r="Z86" s="76" t="e">
        <f t="shared" ca="1" si="12"/>
        <v>#N/A</v>
      </c>
      <c r="AA86" s="75" t="e">
        <f t="shared" ca="1" si="1"/>
        <v>#N/A</v>
      </c>
      <c r="AB86" s="76">
        <f t="shared" ca="1" si="13"/>
        <v>0</v>
      </c>
      <c r="AC86" s="75">
        <f t="shared" ca="1" si="3"/>
        <v>0</v>
      </c>
      <c r="AD86" s="76">
        <f t="shared" ca="1" si="14"/>
        <v>12388.425641435188</v>
      </c>
      <c r="AE86" s="76">
        <f t="shared" si="15"/>
        <v>0</v>
      </c>
      <c r="AF86" s="75">
        <f t="shared" si="6"/>
        <v>0</v>
      </c>
      <c r="AG86" s="75">
        <f t="shared" si="7"/>
        <v>0</v>
      </c>
      <c r="AH86" s="31" t="e" cm="1">
        <f t="array" aca="1" ref="AH86" ca="1">IF((AD86) &lt; (INDEX(ResponseSLA[#All],(MATCH((G86),ResponseSLA[Priority],0))+1,3)),"YES","No")</f>
        <v>#N/A</v>
      </c>
      <c r="AI86" s="31" t="str">
        <f>_xlfn.IFNA(IF(AE86 &lt; (INDEX(SLATable[Minimum SLA],MATCH(G86,SLATable[Priority],0))),"YES","NO"),"")</f>
        <v/>
      </c>
      <c r="AJ86" t="str">
        <f>_xlfn.IFNA(IF(AE86 &lt; (INDEX(SLATable[Maximum SLA],MATCH(G86,SLATable[Priority],0))),"YES","NO"),"")</f>
        <v/>
      </c>
    </row>
    <row r="87" spans="26:36" ht="15" customHeight="1">
      <c r="Z87" s="76" t="e">
        <f t="shared" ca="1" si="12"/>
        <v>#N/A</v>
      </c>
      <c r="AA87" s="75" t="e">
        <f t="shared" ca="1" si="1"/>
        <v>#N/A</v>
      </c>
      <c r="AB87" s="76">
        <f t="shared" ca="1" si="13"/>
        <v>0</v>
      </c>
      <c r="AC87" s="75">
        <f t="shared" ca="1" si="3"/>
        <v>0</v>
      </c>
      <c r="AD87" s="76">
        <f t="shared" ca="1" si="14"/>
        <v>12388.425641435188</v>
      </c>
      <c r="AE87" s="76">
        <f t="shared" si="15"/>
        <v>0</v>
      </c>
      <c r="AF87" s="75">
        <f t="shared" si="6"/>
        <v>0</v>
      </c>
      <c r="AG87" s="75">
        <f t="shared" si="7"/>
        <v>0</v>
      </c>
      <c r="AH87" s="31" t="e" cm="1">
        <f t="array" aca="1" ref="AH87" ca="1">IF((AD87) &lt; (INDEX(ResponseSLA[#All],(MATCH((G87),ResponseSLA[Priority],0))+1,3)),"YES","No")</f>
        <v>#N/A</v>
      </c>
      <c r="AI87" s="31" t="str">
        <f>_xlfn.IFNA(IF(AE87 &lt; (INDEX(SLATable[Minimum SLA],MATCH(G87,SLATable[Priority],0))),"YES","NO"),"")</f>
        <v/>
      </c>
      <c r="AJ87" t="str">
        <f>_xlfn.IFNA(IF(AE87 &lt; (INDEX(SLATable[Maximum SLA],MATCH(G87,SLATable[Priority],0))),"YES","NO"),"")</f>
        <v/>
      </c>
    </row>
    <row r="88" spans="26:36" ht="15" customHeight="1">
      <c r="Z88" s="76" t="e">
        <f t="shared" ca="1" si="12"/>
        <v>#N/A</v>
      </c>
      <c r="AA88" s="75" t="e">
        <f t="shared" ca="1" si="1"/>
        <v>#N/A</v>
      </c>
      <c r="AB88" s="76">
        <f t="shared" ca="1" si="13"/>
        <v>0</v>
      </c>
      <c r="AC88" s="75">
        <f t="shared" ca="1" si="3"/>
        <v>0</v>
      </c>
      <c r="AD88" s="76">
        <f t="shared" ca="1" si="14"/>
        <v>12388.425641435188</v>
      </c>
      <c r="AE88" s="76">
        <f t="shared" si="15"/>
        <v>0</v>
      </c>
      <c r="AF88" s="75">
        <f t="shared" si="6"/>
        <v>0</v>
      </c>
      <c r="AG88" s="75">
        <f t="shared" si="7"/>
        <v>0</v>
      </c>
      <c r="AH88" s="31" t="e" cm="1">
        <f t="array" aca="1" ref="AH88" ca="1">IF((AD88) &lt; (INDEX(ResponseSLA[#All],(MATCH((G88),ResponseSLA[Priority],0))+1,3)),"YES","No")</f>
        <v>#N/A</v>
      </c>
      <c r="AI88" s="31" t="str">
        <f>_xlfn.IFNA(IF(AE88 &lt; (INDEX(SLATable[Minimum SLA],MATCH(G88,SLATable[Priority],0))),"YES","NO"),"")</f>
        <v/>
      </c>
      <c r="AJ88" t="str">
        <f>_xlfn.IFNA(IF(AE88 &lt; (INDEX(SLATable[Maximum SLA],MATCH(G88,SLATable[Priority],0))),"YES","NO"),"")</f>
        <v/>
      </c>
    </row>
    <row r="89" spans="26:36" ht="15" customHeight="1">
      <c r="Z89" s="76" t="e">
        <f t="shared" ca="1" si="12"/>
        <v>#N/A</v>
      </c>
      <c r="AA89" s="75" t="e">
        <f t="shared" ca="1" si="1"/>
        <v>#N/A</v>
      </c>
      <c r="AB89" s="76">
        <f t="shared" ca="1" si="13"/>
        <v>0</v>
      </c>
      <c r="AC89" s="75">
        <f t="shared" ca="1" si="3"/>
        <v>0</v>
      </c>
      <c r="AD89" s="76">
        <f t="shared" ca="1" si="14"/>
        <v>12388.425641435188</v>
      </c>
      <c r="AE89" s="76">
        <f t="shared" si="15"/>
        <v>0</v>
      </c>
      <c r="AF89" s="75">
        <f t="shared" si="6"/>
        <v>0</v>
      </c>
      <c r="AG89" s="75">
        <f t="shared" si="7"/>
        <v>0</v>
      </c>
      <c r="AH89" s="31" t="e" cm="1">
        <f t="array" aca="1" ref="AH89" ca="1">IF((AD89) &lt; (INDEX(ResponseSLA[#All],(MATCH((G89),ResponseSLA[Priority],0))+1,3)),"YES","No")</f>
        <v>#N/A</v>
      </c>
      <c r="AI89" s="31" t="str">
        <f>_xlfn.IFNA(IF(AE89 &lt; (INDEX(SLATable[Minimum SLA],MATCH(G89,SLATable[Priority],0))),"YES","NO"),"")</f>
        <v/>
      </c>
      <c r="AJ89" t="str">
        <f>_xlfn.IFNA(IF(AE89 &lt; (INDEX(SLATable[Maximum SLA],MATCH(G89,SLATable[Priority],0))),"YES","NO"),"")</f>
        <v/>
      </c>
    </row>
    <row r="90" spans="26:36" ht="15" customHeight="1">
      <c r="Z90" s="76" t="e">
        <f t="shared" ca="1" si="12"/>
        <v>#N/A</v>
      </c>
      <c r="AA90" s="75" t="e">
        <f t="shared" ca="1" si="1"/>
        <v>#N/A</v>
      </c>
      <c r="AB90" s="76">
        <f t="shared" ca="1" si="13"/>
        <v>0</v>
      </c>
      <c r="AC90" s="75">
        <f t="shared" ca="1" si="3"/>
        <v>0</v>
      </c>
      <c r="AD90" s="76">
        <f t="shared" ca="1" si="14"/>
        <v>12388.425641435188</v>
      </c>
      <c r="AE90" s="76">
        <f t="shared" si="15"/>
        <v>0</v>
      </c>
      <c r="AF90" s="75">
        <f t="shared" si="6"/>
        <v>0</v>
      </c>
      <c r="AG90" s="75">
        <f t="shared" si="7"/>
        <v>0</v>
      </c>
      <c r="AH90" s="31" t="e" cm="1">
        <f t="array" aca="1" ref="AH90" ca="1">IF((AD90) &lt; (INDEX(ResponseSLA[#All],(MATCH((G90),ResponseSLA[Priority],0))+1,3)),"YES","No")</f>
        <v>#N/A</v>
      </c>
      <c r="AI90" s="31" t="str">
        <f>_xlfn.IFNA(IF(AE90 &lt; (INDEX(SLATable[Minimum SLA],MATCH(G90,SLATable[Priority],0))),"YES","NO"),"")</f>
        <v/>
      </c>
      <c r="AJ90" t="str">
        <f>_xlfn.IFNA(IF(AE90 &lt; (INDEX(SLATable[Maximum SLA],MATCH(G90,SLATable[Priority],0))),"YES","NO"),"")</f>
        <v/>
      </c>
    </row>
    <row r="91" spans="26:36" ht="15" customHeight="1">
      <c r="Z91" s="76" t="e">
        <f t="shared" ca="1" si="12"/>
        <v>#N/A</v>
      </c>
      <c r="AA91" s="75" t="e">
        <f t="shared" ca="1" si="1"/>
        <v>#N/A</v>
      </c>
      <c r="AB91" s="76">
        <f t="shared" ca="1" si="13"/>
        <v>0</v>
      </c>
      <c r="AC91" s="75">
        <f t="shared" ca="1" si="3"/>
        <v>0</v>
      </c>
      <c r="AD91" s="76">
        <f t="shared" ca="1" si="14"/>
        <v>12388.425641550926</v>
      </c>
      <c r="AE91" s="76">
        <f t="shared" si="15"/>
        <v>0</v>
      </c>
      <c r="AF91" s="75">
        <f t="shared" si="6"/>
        <v>0</v>
      </c>
      <c r="AG91" s="75">
        <f t="shared" si="7"/>
        <v>0</v>
      </c>
      <c r="AH91" s="31" t="e" cm="1">
        <f t="array" aca="1" ref="AH91" ca="1">IF((AD91) &lt; (INDEX(ResponseSLA[#All],(MATCH((G91),ResponseSLA[Priority],0))+1,3)),"YES","No")</f>
        <v>#N/A</v>
      </c>
      <c r="AI91" s="31" t="str">
        <f>_xlfn.IFNA(IF(AE91 &lt; (INDEX(SLATable[Minimum SLA],MATCH(G91,SLATable[Priority],0))),"YES","NO"),"")</f>
        <v/>
      </c>
      <c r="AJ91" t="str">
        <f>_xlfn.IFNA(IF(AE91 &lt; (INDEX(SLATable[Maximum SLA],MATCH(G91,SLATable[Priority],0))),"YES","NO"),"")</f>
        <v/>
      </c>
    </row>
    <row r="92" spans="26:36" ht="15" customHeight="1">
      <c r="Z92" s="76" t="e">
        <f t="shared" ca="1" si="12"/>
        <v>#N/A</v>
      </c>
      <c r="AA92" s="75" t="e">
        <f t="shared" ca="1" si="1"/>
        <v>#N/A</v>
      </c>
      <c r="AB92" s="76">
        <f t="shared" ca="1" si="13"/>
        <v>0</v>
      </c>
      <c r="AC92" s="75">
        <f t="shared" ca="1" si="3"/>
        <v>0</v>
      </c>
      <c r="AD92" s="76">
        <f t="shared" ca="1" si="14"/>
        <v>12388.425641435188</v>
      </c>
      <c r="AE92" s="76">
        <f t="shared" si="15"/>
        <v>0</v>
      </c>
      <c r="AF92" s="75">
        <f t="shared" si="6"/>
        <v>0</v>
      </c>
      <c r="AG92" s="75">
        <f t="shared" si="7"/>
        <v>0</v>
      </c>
      <c r="AH92" s="31" t="e" cm="1">
        <f t="array" aca="1" ref="AH92" ca="1">IF((AD92) &lt; (INDEX(ResponseSLA[#All],(MATCH((G92),ResponseSLA[Priority],0))+1,3)),"YES","No")</f>
        <v>#N/A</v>
      </c>
      <c r="AI92" s="31" t="str">
        <f>_xlfn.IFNA(IF(AE92 &lt; (INDEX(SLATable[Minimum SLA],MATCH(G92,SLATable[Priority],0))),"YES","NO"),"")</f>
        <v/>
      </c>
      <c r="AJ92" t="str">
        <f>_xlfn.IFNA(IF(AE92 &lt; (INDEX(SLATable[Maximum SLA],MATCH(G92,SLATable[Priority],0))),"YES","NO"),"")</f>
        <v/>
      </c>
    </row>
    <row r="93" spans="26:36" ht="15" customHeight="1">
      <c r="Z93" s="76" t="e">
        <f t="shared" ca="1" si="12"/>
        <v>#N/A</v>
      </c>
      <c r="AA93" s="75" t="e">
        <f t="shared" ca="1" si="1"/>
        <v>#N/A</v>
      </c>
      <c r="AB93" s="76">
        <f t="shared" ca="1" si="13"/>
        <v>0</v>
      </c>
      <c r="AC93" s="75">
        <f t="shared" ca="1" si="3"/>
        <v>0</v>
      </c>
      <c r="AD93" s="76">
        <f t="shared" ca="1" si="14"/>
        <v>12388.425641435188</v>
      </c>
      <c r="AE93" s="76">
        <f t="shared" si="15"/>
        <v>0</v>
      </c>
      <c r="AF93" s="75">
        <f t="shared" si="6"/>
        <v>0</v>
      </c>
      <c r="AG93" s="75">
        <f t="shared" si="7"/>
        <v>0</v>
      </c>
      <c r="AH93" s="31" t="e" cm="1">
        <f t="array" aca="1" ref="AH93" ca="1">IF((AD93) &lt; (INDEX(ResponseSLA[#All],(MATCH((G93),ResponseSLA[Priority],0))+1,3)),"YES","No")</f>
        <v>#N/A</v>
      </c>
      <c r="AI93" s="31" t="str">
        <f>_xlfn.IFNA(IF(AE93 &lt; (INDEX(SLATable[Minimum SLA],MATCH(G93,SLATable[Priority],0))),"YES","NO"),"")</f>
        <v/>
      </c>
      <c r="AJ93" t="str">
        <f>_xlfn.IFNA(IF(AE93 &lt; (INDEX(SLATable[Maximum SLA],MATCH(G93,SLATable[Priority],0))),"YES","NO"),"")</f>
        <v/>
      </c>
    </row>
    <row r="94" spans="26:36" ht="15" customHeight="1">
      <c r="Z94" s="76" t="e">
        <f t="shared" ca="1" si="12"/>
        <v>#N/A</v>
      </c>
      <c r="AA94" s="75" t="e">
        <f t="shared" ca="1" si="1"/>
        <v>#N/A</v>
      </c>
      <c r="AB94" s="76">
        <f t="shared" ca="1" si="13"/>
        <v>0</v>
      </c>
      <c r="AC94" s="75">
        <f t="shared" ca="1" si="3"/>
        <v>0</v>
      </c>
      <c r="AD94" s="76">
        <f t="shared" ca="1" si="14"/>
        <v>12388.425641550926</v>
      </c>
      <c r="AE94" s="76">
        <f t="shared" si="15"/>
        <v>0</v>
      </c>
      <c r="AF94" s="75">
        <f t="shared" si="6"/>
        <v>0</v>
      </c>
      <c r="AG94" s="75">
        <f t="shared" si="7"/>
        <v>0</v>
      </c>
      <c r="AH94" s="31" t="e" cm="1">
        <f t="array" aca="1" ref="AH94" ca="1">IF((AD94) &lt; (INDEX(ResponseSLA[#All],(MATCH((G94),ResponseSLA[Priority],0))+1,3)),"YES","No")</f>
        <v>#N/A</v>
      </c>
      <c r="AI94" s="31" t="str">
        <f>_xlfn.IFNA(IF(AE94 &lt; (INDEX(SLATable[Minimum SLA],MATCH(G94,SLATable[Priority],0))),"YES","NO"),"")</f>
        <v/>
      </c>
      <c r="AJ94" t="str">
        <f>_xlfn.IFNA(IF(AE94 &lt; (INDEX(SLATable[Maximum SLA],MATCH(G94,SLATable[Priority],0))),"YES","NO"),"")</f>
        <v/>
      </c>
    </row>
    <row r="95" spans="26:36" ht="15" customHeight="1">
      <c r="Z95" s="76" t="e">
        <f t="shared" ca="1" si="12"/>
        <v>#N/A</v>
      </c>
      <c r="AA95" s="75" t="e">
        <f t="shared" ca="1" si="1"/>
        <v>#N/A</v>
      </c>
      <c r="AB95" s="76">
        <f t="shared" ca="1" si="13"/>
        <v>0</v>
      </c>
      <c r="AC95" s="75">
        <f t="shared" ca="1" si="3"/>
        <v>0</v>
      </c>
      <c r="AD95" s="76">
        <f t="shared" ca="1" si="14"/>
        <v>12388.425641435188</v>
      </c>
      <c r="AE95" s="76">
        <f t="shared" si="15"/>
        <v>0</v>
      </c>
      <c r="AF95" s="75">
        <f t="shared" si="6"/>
        <v>0</v>
      </c>
      <c r="AG95" s="75">
        <f t="shared" si="7"/>
        <v>0</v>
      </c>
      <c r="AH95" s="31" t="e" cm="1">
        <f t="array" aca="1" ref="AH95" ca="1">IF((AD95) &lt; (INDEX(ResponseSLA[#All],(MATCH((G95),ResponseSLA[Priority],0))+1,3)),"YES","No")</f>
        <v>#N/A</v>
      </c>
      <c r="AI95" s="31" t="str">
        <f>_xlfn.IFNA(IF(AE95 &lt; (INDEX(SLATable[Minimum SLA],MATCH(G95,SLATable[Priority],0))),"YES","NO"),"")</f>
        <v/>
      </c>
      <c r="AJ95" t="str">
        <f>_xlfn.IFNA(IF(AE95 &lt; (INDEX(SLATable[Maximum SLA],MATCH(G95,SLATable[Priority],0))),"YES","NO"),"")</f>
        <v/>
      </c>
    </row>
    <row r="96" spans="26:36" ht="15" customHeight="1">
      <c r="Z96" s="76" t="e">
        <f t="shared" ca="1" si="12"/>
        <v>#N/A</v>
      </c>
      <c r="AA96" s="75" t="e">
        <f t="shared" ca="1" si="1"/>
        <v>#N/A</v>
      </c>
      <c r="AB96" s="76">
        <f t="shared" ca="1" si="13"/>
        <v>0</v>
      </c>
      <c r="AC96" s="75">
        <f t="shared" ca="1" si="3"/>
        <v>0</v>
      </c>
      <c r="AD96" s="76">
        <f t="shared" ca="1" si="14"/>
        <v>12388.425641435188</v>
      </c>
      <c r="AE96" s="76">
        <f t="shared" si="15"/>
        <v>0</v>
      </c>
      <c r="AF96" s="75">
        <f t="shared" si="6"/>
        <v>0</v>
      </c>
      <c r="AG96" s="75">
        <f t="shared" si="7"/>
        <v>0</v>
      </c>
      <c r="AH96" s="31" t="e" cm="1">
        <f t="array" aca="1" ref="AH96" ca="1">IF((AD96) &lt; (INDEX(ResponseSLA[#All],(MATCH((G96),ResponseSLA[Priority],0))+1,3)),"YES","No")</f>
        <v>#N/A</v>
      </c>
      <c r="AI96" s="31" t="str">
        <f>_xlfn.IFNA(IF(AE96 &lt; (INDEX(SLATable[Minimum SLA],MATCH(G96,SLATable[Priority],0))),"YES","NO"),"")</f>
        <v/>
      </c>
      <c r="AJ96" t="str">
        <f>_xlfn.IFNA(IF(AE96 &lt; (INDEX(SLATable[Maximum SLA],MATCH(G96,SLATable[Priority],0))),"YES","NO"),"")</f>
        <v/>
      </c>
    </row>
    <row r="97" spans="26:36" ht="15" customHeight="1">
      <c r="Z97" s="76" t="e">
        <f t="shared" ca="1" si="12"/>
        <v>#N/A</v>
      </c>
      <c r="AA97" s="75" t="e">
        <f t="shared" ca="1" si="1"/>
        <v>#N/A</v>
      </c>
      <c r="AB97" s="76">
        <f t="shared" ca="1" si="13"/>
        <v>0</v>
      </c>
      <c r="AC97" s="75">
        <f t="shared" ca="1" si="3"/>
        <v>0</v>
      </c>
      <c r="AD97" s="76">
        <f t="shared" ca="1" si="14"/>
        <v>12388.425641550926</v>
      </c>
      <c r="AE97" s="76">
        <f t="shared" si="15"/>
        <v>0</v>
      </c>
      <c r="AF97" s="75">
        <f t="shared" si="6"/>
        <v>0</v>
      </c>
      <c r="AG97" s="75">
        <f t="shared" si="7"/>
        <v>0</v>
      </c>
      <c r="AH97" s="31" t="e" cm="1">
        <f t="array" aca="1" ref="AH97" ca="1">IF((AD97) &lt; (INDEX(ResponseSLA[#All],(MATCH((G97),ResponseSLA[Priority],0))+1,3)),"YES","No")</f>
        <v>#N/A</v>
      </c>
      <c r="AI97" s="31" t="str">
        <f>_xlfn.IFNA(IF(AE97 &lt; (INDEX(SLATable[Minimum SLA],MATCH(G97,SLATable[Priority],0))),"YES","NO"),"")</f>
        <v/>
      </c>
      <c r="AJ97" t="str">
        <f>_xlfn.IFNA(IF(AE97 &lt; (INDEX(SLATable[Maximum SLA],MATCH(G97,SLATable[Priority],0))),"YES","NO"),"")</f>
        <v/>
      </c>
    </row>
    <row r="98" spans="26:36" ht="15" customHeight="1">
      <c r="Z98" s="76" t="e">
        <f t="shared" ca="1" si="12"/>
        <v>#N/A</v>
      </c>
      <c r="AA98" s="75" t="e">
        <f t="shared" ca="1" si="1"/>
        <v>#N/A</v>
      </c>
      <c r="AB98" s="76">
        <f t="shared" ca="1" si="13"/>
        <v>0</v>
      </c>
      <c r="AC98" s="75">
        <f t="shared" ca="1" si="3"/>
        <v>0</v>
      </c>
      <c r="AD98" s="76">
        <f t="shared" ca="1" si="14"/>
        <v>12388.425641435188</v>
      </c>
      <c r="AE98" s="76">
        <f t="shared" si="15"/>
        <v>0</v>
      </c>
      <c r="AF98" s="75">
        <f t="shared" si="6"/>
        <v>0</v>
      </c>
      <c r="AG98" s="75">
        <f t="shared" si="7"/>
        <v>0</v>
      </c>
      <c r="AH98" s="31" t="e" cm="1">
        <f t="array" aca="1" ref="AH98" ca="1">IF((AD98) &lt; (INDEX(ResponseSLA[#All],(MATCH((G98),ResponseSLA[Priority],0))+1,3)),"YES","No")</f>
        <v>#N/A</v>
      </c>
      <c r="AI98" s="31" t="str">
        <f>_xlfn.IFNA(IF(AE98 &lt; (INDEX(SLATable[Minimum SLA],MATCH(G98,SLATable[Priority],0))),"YES","NO"),"")</f>
        <v/>
      </c>
      <c r="AJ98" t="str">
        <f>_xlfn.IFNA(IF(AE98 &lt; (INDEX(SLATable[Maximum SLA],MATCH(G98,SLATable[Priority],0))),"YES","NO"),"")</f>
        <v/>
      </c>
    </row>
    <row r="99" spans="26:36" ht="15" customHeight="1">
      <c r="Z99" s="76" t="e">
        <f t="shared" ca="1" si="12"/>
        <v>#N/A</v>
      </c>
      <c r="AA99" s="75" t="e">
        <f t="shared" ca="1" si="1"/>
        <v>#N/A</v>
      </c>
      <c r="AB99" s="76">
        <f t="shared" ca="1" si="13"/>
        <v>0</v>
      </c>
      <c r="AC99" s="75">
        <f t="shared" ca="1" si="3"/>
        <v>0</v>
      </c>
      <c r="AD99" s="76">
        <f t="shared" ca="1" si="14"/>
        <v>12388.425641435188</v>
      </c>
      <c r="AE99" s="76">
        <f t="shared" si="15"/>
        <v>0</v>
      </c>
      <c r="AF99" s="75">
        <f t="shared" si="6"/>
        <v>0</v>
      </c>
      <c r="AG99" s="75">
        <f t="shared" si="7"/>
        <v>0</v>
      </c>
      <c r="AH99" s="31" t="e" cm="1">
        <f t="array" aca="1" ref="AH99" ca="1">IF((AD99) &lt; (INDEX(ResponseSLA[#All],(MATCH((G99),ResponseSLA[Priority],0))+1,3)),"YES","No")</f>
        <v>#N/A</v>
      </c>
      <c r="AI99" s="31" t="str">
        <f>_xlfn.IFNA(IF(AE99 &lt; (INDEX(SLATable[Minimum SLA],MATCH(G99,SLATable[Priority],0))),"YES","NO"),"")</f>
        <v/>
      </c>
      <c r="AJ99" t="str">
        <f>_xlfn.IFNA(IF(AE99 &lt; (INDEX(SLATable[Maximum SLA],MATCH(G99,SLATable[Priority],0))),"YES","NO"),"")</f>
        <v/>
      </c>
    </row>
    <row r="100" spans="26:36" ht="15" customHeight="1">
      <c r="Z100" s="76" t="e">
        <f t="shared" ca="1" si="12"/>
        <v>#N/A</v>
      </c>
      <c r="AA100" s="75" t="e">
        <f t="shared" ca="1" si="1"/>
        <v>#N/A</v>
      </c>
      <c r="AB100" s="76">
        <f t="shared" ca="1" si="13"/>
        <v>0</v>
      </c>
      <c r="AC100" s="75">
        <f t="shared" ca="1" si="3"/>
        <v>0</v>
      </c>
      <c r="AD100" s="76">
        <f t="shared" ca="1" si="14"/>
        <v>12388.425641550926</v>
      </c>
      <c r="AE100" s="76">
        <f t="shared" si="15"/>
        <v>0</v>
      </c>
      <c r="AF100" s="75">
        <f t="shared" si="6"/>
        <v>0</v>
      </c>
      <c r="AG100" s="75">
        <f t="shared" si="7"/>
        <v>0</v>
      </c>
      <c r="AH100" s="31" t="e" cm="1">
        <f t="array" aca="1" ref="AH100" ca="1">IF((AD100) &lt; (INDEX(ResponseSLA[#All],(MATCH((G100),ResponseSLA[Priority],0))+1,3)),"YES","No")</f>
        <v>#N/A</v>
      </c>
      <c r="AI100" s="31" t="str">
        <f>_xlfn.IFNA(IF(AE100 &lt; (INDEX(SLATable[Minimum SLA],MATCH(G100,SLATable[Priority],0))),"YES","NO"),"")</f>
        <v/>
      </c>
      <c r="AJ100" t="str">
        <f>_xlfn.IFNA(IF(AE100 &lt; (INDEX(SLATable[Maximum SLA],MATCH(G100,SLATable[Priority],0))),"YES","NO"),"")</f>
        <v/>
      </c>
    </row>
    <row r="101" spans="26:36" ht="15" customHeight="1">
      <c r="Z101" s="76" t="e">
        <f t="shared" ca="1" si="12"/>
        <v>#N/A</v>
      </c>
      <c r="AA101" s="75" t="e">
        <f t="shared" ca="1" si="1"/>
        <v>#N/A</v>
      </c>
      <c r="AB101" s="76">
        <f t="shared" ca="1" si="13"/>
        <v>0</v>
      </c>
      <c r="AC101" s="75">
        <f t="shared" ca="1" si="3"/>
        <v>0</v>
      </c>
      <c r="AD101" s="76">
        <f t="shared" ca="1" si="14"/>
        <v>12388.425641435188</v>
      </c>
      <c r="AE101" s="76">
        <f t="shared" si="15"/>
        <v>0</v>
      </c>
      <c r="AF101" s="75">
        <f t="shared" si="6"/>
        <v>0</v>
      </c>
      <c r="AG101" s="75">
        <f t="shared" si="7"/>
        <v>0</v>
      </c>
      <c r="AH101" s="31" t="e" cm="1">
        <f t="array" aca="1" ref="AH101" ca="1">IF((AD101) &lt; (INDEX(ResponseSLA[#All],(MATCH((G101),ResponseSLA[Priority],0))+1,3)),"YES","No")</f>
        <v>#N/A</v>
      </c>
      <c r="AI101" s="31" t="str">
        <f>_xlfn.IFNA(IF(AE101 &lt; (INDEX(SLATable[Minimum SLA],MATCH(G101,SLATable[Priority],0))),"YES","NO"),"")</f>
        <v/>
      </c>
      <c r="AJ101" t="str">
        <f>_xlfn.IFNA(IF(AE101 &lt; (INDEX(SLATable[Maximum SLA],MATCH(G101,SLATable[Priority],0))),"YES","NO"),"")</f>
        <v/>
      </c>
    </row>
    <row r="102" spans="26:36" ht="15" customHeight="1">
      <c r="Z102" s="76" t="e">
        <f t="shared" ca="1" si="12"/>
        <v>#N/A</v>
      </c>
      <c r="AA102" s="75" t="e">
        <f t="shared" ca="1" si="1"/>
        <v>#N/A</v>
      </c>
      <c r="AB102" s="76">
        <f t="shared" ca="1" si="13"/>
        <v>0</v>
      </c>
      <c r="AC102" s="75">
        <f t="shared" ca="1" si="3"/>
        <v>0</v>
      </c>
      <c r="AD102" s="76">
        <f t="shared" ca="1" si="14"/>
        <v>12388.425641435188</v>
      </c>
      <c r="AE102" s="76">
        <f t="shared" si="15"/>
        <v>0</v>
      </c>
      <c r="AF102" s="75">
        <f t="shared" si="6"/>
        <v>0</v>
      </c>
      <c r="AG102" s="75">
        <f t="shared" si="7"/>
        <v>0</v>
      </c>
      <c r="AH102" s="31" t="e" cm="1">
        <f t="array" aca="1" ref="AH102" ca="1">IF((AD102) &lt; (INDEX(ResponseSLA[#All],(MATCH((G102),ResponseSLA[Priority],0))+1,3)),"YES","No")</f>
        <v>#N/A</v>
      </c>
      <c r="AI102" s="31" t="str">
        <f>_xlfn.IFNA(IF(AE102 &lt; (INDEX(SLATable[Minimum SLA],MATCH(G102,SLATable[Priority],0))),"YES","NO"),"")</f>
        <v/>
      </c>
      <c r="AJ102" t="str">
        <f>_xlfn.IFNA(IF(AE102 &lt; (INDEX(SLATable[Maximum SLA],MATCH(G102,SLATable[Priority],0))),"YES","NO"),"")</f>
        <v/>
      </c>
    </row>
    <row r="103" spans="26:36" ht="15" customHeight="1">
      <c r="Z103" s="76" t="e">
        <f t="shared" ca="1" si="12"/>
        <v>#N/A</v>
      </c>
      <c r="AA103" s="75" t="e">
        <f t="shared" ca="1" si="1"/>
        <v>#N/A</v>
      </c>
      <c r="AB103" s="76">
        <f t="shared" ca="1" si="13"/>
        <v>0</v>
      </c>
      <c r="AC103" s="75">
        <f t="shared" ca="1" si="3"/>
        <v>0</v>
      </c>
      <c r="AD103" s="76">
        <f t="shared" ca="1" si="14"/>
        <v>12388.425641550926</v>
      </c>
      <c r="AE103" s="76">
        <f t="shared" si="15"/>
        <v>0</v>
      </c>
      <c r="AF103" s="75">
        <f t="shared" si="6"/>
        <v>0</v>
      </c>
      <c r="AG103" s="75">
        <f t="shared" si="7"/>
        <v>0</v>
      </c>
      <c r="AH103" s="31" t="e" cm="1">
        <f t="array" aca="1" ref="AH103" ca="1">IF((AD103) &lt; (INDEX(ResponseSLA[#All],(MATCH((G103),ResponseSLA[Priority],0))+1,3)),"YES","No")</f>
        <v>#N/A</v>
      </c>
      <c r="AI103" s="31" t="str">
        <f>_xlfn.IFNA(IF(AE103 &lt; (INDEX(SLATable[Minimum SLA],MATCH(G103,SLATable[Priority],0))),"YES","NO"),"")</f>
        <v/>
      </c>
      <c r="AJ103" t="str">
        <f>_xlfn.IFNA(IF(AE103 &lt; (INDEX(SLATable[Maximum SLA],MATCH(G103,SLATable[Priority],0))),"YES","NO"),"")</f>
        <v/>
      </c>
    </row>
    <row r="104" spans="26:36" ht="15" customHeight="1">
      <c r="Z104" s="76" t="e">
        <f t="shared" ca="1" si="12"/>
        <v>#N/A</v>
      </c>
      <c r="AA104" s="75" t="e">
        <f t="shared" ca="1" si="1"/>
        <v>#N/A</v>
      </c>
      <c r="AB104" s="76">
        <f t="shared" ca="1" si="13"/>
        <v>0</v>
      </c>
      <c r="AC104" s="75">
        <f t="shared" ca="1" si="3"/>
        <v>0</v>
      </c>
      <c r="AD104" s="76">
        <f t="shared" ca="1" si="14"/>
        <v>12388.425641435188</v>
      </c>
      <c r="AE104" s="76">
        <f t="shared" si="15"/>
        <v>0</v>
      </c>
      <c r="AF104" s="75">
        <f t="shared" si="6"/>
        <v>0</v>
      </c>
      <c r="AG104" s="75">
        <f t="shared" si="7"/>
        <v>0</v>
      </c>
      <c r="AH104" s="31" t="e" cm="1">
        <f t="array" aca="1" ref="AH104" ca="1">IF((AD104) &lt; (INDEX(ResponseSLA[#All],(MATCH((G104),ResponseSLA[Priority],0))+1,3)),"YES","No")</f>
        <v>#N/A</v>
      </c>
      <c r="AI104" s="31" t="str">
        <f>_xlfn.IFNA(IF(AE104 &lt; (INDEX(SLATable[Minimum SLA],MATCH(G104,SLATable[Priority],0))),"YES","NO"),"")</f>
        <v/>
      </c>
      <c r="AJ104" t="str">
        <f>_xlfn.IFNA(IF(AE104 &lt; (INDEX(SLATable[Maximum SLA],MATCH(G104,SLATable[Priority],0))),"YES","NO"),"")</f>
        <v/>
      </c>
    </row>
    <row r="105" spans="26:36" ht="15" customHeight="1">
      <c r="Z105" s="76" t="e">
        <f t="shared" ca="1" si="12"/>
        <v>#N/A</v>
      </c>
      <c r="AA105" s="75" t="e">
        <f t="shared" ca="1" si="1"/>
        <v>#N/A</v>
      </c>
      <c r="AB105" s="76">
        <f t="shared" ca="1" si="13"/>
        <v>0</v>
      </c>
      <c r="AC105" s="75">
        <f t="shared" ca="1" si="3"/>
        <v>0</v>
      </c>
      <c r="AD105" s="76">
        <f t="shared" ca="1" si="14"/>
        <v>12388.425641435188</v>
      </c>
      <c r="AE105" s="76">
        <f t="shared" si="15"/>
        <v>0</v>
      </c>
      <c r="AF105" s="75">
        <f t="shared" si="6"/>
        <v>0</v>
      </c>
      <c r="AG105" s="75">
        <f t="shared" si="7"/>
        <v>0</v>
      </c>
      <c r="AH105" s="31" t="e" cm="1">
        <f t="array" aca="1" ref="AH105" ca="1">IF((AD105) &lt; (INDEX(ResponseSLA[#All],(MATCH((G105),ResponseSLA[Priority],0))+1,3)),"YES","No")</f>
        <v>#N/A</v>
      </c>
      <c r="AI105" s="31" t="str">
        <f>_xlfn.IFNA(IF(AE105 &lt; (INDEX(SLATable[Minimum SLA],MATCH(G105,SLATable[Priority],0))),"YES","NO"),"")</f>
        <v/>
      </c>
      <c r="AJ105" t="str">
        <f>_xlfn.IFNA(IF(AE105 &lt; (INDEX(SLATable[Maximum SLA],MATCH(G105,SLATable[Priority],0))),"YES","NO"),"")</f>
        <v/>
      </c>
    </row>
    <row r="106" spans="26:36" ht="15" customHeight="1">
      <c r="Z106" s="76" t="e">
        <f t="shared" ca="1" si="12"/>
        <v>#N/A</v>
      </c>
      <c r="AA106" s="75" t="e">
        <f t="shared" ca="1" si="1"/>
        <v>#N/A</v>
      </c>
      <c r="AB106" s="76">
        <f t="shared" ca="1" si="13"/>
        <v>0</v>
      </c>
      <c r="AC106" s="75">
        <f t="shared" ca="1" si="3"/>
        <v>0</v>
      </c>
      <c r="AD106" s="76">
        <f t="shared" ca="1" si="14"/>
        <v>12388.425641550926</v>
      </c>
      <c r="AE106" s="76">
        <f t="shared" si="15"/>
        <v>0</v>
      </c>
      <c r="AF106" s="75">
        <f t="shared" si="6"/>
        <v>0</v>
      </c>
      <c r="AG106" s="75">
        <f t="shared" si="7"/>
        <v>0</v>
      </c>
      <c r="AH106" s="31" t="e" cm="1">
        <f t="array" aca="1" ref="AH106" ca="1">IF((AD106) &lt; (INDEX(ResponseSLA[#All],(MATCH((G106),ResponseSLA[Priority],0))+1,3)),"YES","No")</f>
        <v>#N/A</v>
      </c>
      <c r="AI106" s="31" t="str">
        <f>_xlfn.IFNA(IF(AE106 &lt; (INDEX(SLATable[Minimum SLA],MATCH(G106,SLATable[Priority],0))),"YES","NO"),"")</f>
        <v/>
      </c>
      <c r="AJ106" t="str">
        <f>_xlfn.IFNA(IF(AE106 &lt; (INDEX(SLATable[Maximum SLA],MATCH(G106,SLATable[Priority],0))),"YES","NO"),"")</f>
        <v/>
      </c>
    </row>
    <row r="107" spans="26:36" ht="15" customHeight="1">
      <c r="Z107" s="76" t="e">
        <f t="shared" ca="1" si="12"/>
        <v>#N/A</v>
      </c>
      <c r="AA107" s="75" t="e">
        <f t="shared" ca="1" si="1"/>
        <v>#N/A</v>
      </c>
      <c r="AB107" s="76">
        <f t="shared" ca="1" si="13"/>
        <v>0</v>
      </c>
      <c r="AC107" s="75">
        <f t="shared" ca="1" si="3"/>
        <v>0</v>
      </c>
      <c r="AD107" s="76">
        <f t="shared" ca="1" si="14"/>
        <v>12388.425641435188</v>
      </c>
      <c r="AE107" s="76">
        <f t="shared" si="15"/>
        <v>0</v>
      </c>
      <c r="AF107" s="75">
        <f t="shared" si="6"/>
        <v>0</v>
      </c>
      <c r="AG107" s="75">
        <f t="shared" si="7"/>
        <v>0</v>
      </c>
      <c r="AH107" s="31" t="e" cm="1">
        <f t="array" aca="1" ref="AH107" ca="1">IF((AD107) &lt; (INDEX(ResponseSLA[#All],(MATCH((G107),ResponseSLA[Priority],0))+1,3)),"YES","No")</f>
        <v>#N/A</v>
      </c>
      <c r="AI107" s="31" t="str">
        <f>_xlfn.IFNA(IF(AE107 &lt; (INDEX(SLATable[Minimum SLA],MATCH(G107,SLATable[Priority],0))),"YES","NO"),"")</f>
        <v/>
      </c>
      <c r="AJ107" t="str">
        <f>_xlfn.IFNA(IF(AE107 &lt; (INDEX(SLATable[Maximum SLA],MATCH(G107,SLATable[Priority],0))),"YES","NO"),"")</f>
        <v/>
      </c>
    </row>
    <row r="108" spans="26:36" ht="15" customHeight="1">
      <c r="Z108" s="76" t="e">
        <f t="shared" ca="1" si="12"/>
        <v>#N/A</v>
      </c>
      <c r="AA108" s="75" t="e">
        <f t="shared" ca="1" si="1"/>
        <v>#N/A</v>
      </c>
      <c r="AB108" s="76">
        <f t="shared" ca="1" si="13"/>
        <v>0</v>
      </c>
      <c r="AC108" s="75">
        <f t="shared" ca="1" si="3"/>
        <v>0</v>
      </c>
      <c r="AD108" s="76">
        <f t="shared" ca="1" si="14"/>
        <v>12388.425641435188</v>
      </c>
      <c r="AE108" s="76">
        <f t="shared" si="15"/>
        <v>0</v>
      </c>
      <c r="AF108" s="75">
        <f t="shared" si="6"/>
        <v>0</v>
      </c>
      <c r="AG108" s="75">
        <f t="shared" si="7"/>
        <v>0</v>
      </c>
      <c r="AH108" s="31" t="e" cm="1">
        <f t="array" aca="1" ref="AH108" ca="1">IF((AD108) &lt; (INDEX(ResponseSLA[#All],(MATCH((G108),ResponseSLA[Priority],0))+1,3)),"YES","No")</f>
        <v>#N/A</v>
      </c>
      <c r="AI108" s="31" t="str">
        <f>_xlfn.IFNA(IF(AE108 &lt; (INDEX(SLATable[Minimum SLA],MATCH(G108,SLATable[Priority],0))),"YES","NO"),"")</f>
        <v/>
      </c>
      <c r="AJ108" t="str">
        <f>_xlfn.IFNA(IF(AE108 &lt; (INDEX(SLATable[Maximum SLA],MATCH(G108,SLATable[Priority],0))),"YES","NO"),"")</f>
        <v/>
      </c>
    </row>
    <row r="109" spans="26:36" ht="15" customHeight="1">
      <c r="Z109" s="76" t="e">
        <f t="shared" ca="1" si="12"/>
        <v>#N/A</v>
      </c>
      <c r="AA109" s="75" t="e">
        <f t="shared" ca="1" si="1"/>
        <v>#N/A</v>
      </c>
      <c r="AB109" s="76">
        <f t="shared" ca="1" si="13"/>
        <v>0</v>
      </c>
      <c r="AC109" s="75">
        <f t="shared" ca="1" si="3"/>
        <v>0</v>
      </c>
      <c r="AD109" s="76">
        <f t="shared" ca="1" si="14"/>
        <v>12388.425641550926</v>
      </c>
      <c r="AE109" s="76">
        <f t="shared" si="15"/>
        <v>0</v>
      </c>
      <c r="AF109" s="75">
        <f t="shared" si="6"/>
        <v>0</v>
      </c>
      <c r="AG109" s="75">
        <f t="shared" si="7"/>
        <v>0</v>
      </c>
      <c r="AH109" s="31" t="e" cm="1">
        <f t="array" aca="1" ref="AH109" ca="1">IF((AD109) &lt; (INDEX(ResponseSLA[#All],(MATCH((G109),ResponseSLA[Priority],0))+1,3)),"YES","No")</f>
        <v>#N/A</v>
      </c>
      <c r="AI109" s="31" t="str">
        <f>_xlfn.IFNA(IF(AE109 &lt; (INDEX(SLATable[Minimum SLA],MATCH(G109,SLATable[Priority],0))),"YES","NO"),"")</f>
        <v/>
      </c>
      <c r="AJ109" t="str">
        <f>_xlfn.IFNA(IF(AE109 &lt; (INDEX(SLATable[Maximum SLA],MATCH(G109,SLATable[Priority],0))),"YES","NO"),"")</f>
        <v/>
      </c>
    </row>
    <row r="110" spans="26:36" ht="15" customHeight="1">
      <c r="Z110" s="76" t="e">
        <f t="shared" ca="1" si="12"/>
        <v>#N/A</v>
      </c>
      <c r="AA110" s="75" t="e">
        <f t="shared" ca="1" si="1"/>
        <v>#N/A</v>
      </c>
      <c r="AB110" s="76">
        <f t="shared" ca="1" si="13"/>
        <v>0</v>
      </c>
      <c r="AC110" s="75">
        <f t="shared" ca="1" si="3"/>
        <v>0</v>
      </c>
      <c r="AD110" s="76">
        <f t="shared" ca="1" si="14"/>
        <v>12388.425641435188</v>
      </c>
      <c r="AE110" s="76">
        <f t="shared" si="15"/>
        <v>0</v>
      </c>
      <c r="AF110" s="75">
        <f t="shared" si="6"/>
        <v>0</v>
      </c>
      <c r="AG110" s="75">
        <f t="shared" si="7"/>
        <v>0</v>
      </c>
      <c r="AH110" s="31" t="e" cm="1">
        <f t="array" aca="1" ref="AH110" ca="1">IF((AD110) &lt; (INDEX(ResponseSLA[#All],(MATCH((G110),ResponseSLA[Priority],0))+1,3)),"YES","No")</f>
        <v>#N/A</v>
      </c>
      <c r="AI110" s="31" t="str">
        <f>_xlfn.IFNA(IF(AE110 &lt; (INDEX(SLATable[Minimum SLA],MATCH(G110,SLATable[Priority],0))),"YES","NO"),"")</f>
        <v/>
      </c>
      <c r="AJ110" t="str">
        <f>_xlfn.IFNA(IF(AE110 &lt; (INDEX(SLATable[Maximum SLA],MATCH(G110,SLATable[Priority],0))),"YES","NO"),"")</f>
        <v/>
      </c>
    </row>
    <row r="111" spans="26:36" ht="15" customHeight="1">
      <c r="Z111" s="76" t="e">
        <f t="shared" ca="1" si="12"/>
        <v>#N/A</v>
      </c>
      <c r="AA111" s="75" t="e">
        <f t="shared" ca="1" si="1"/>
        <v>#N/A</v>
      </c>
      <c r="AB111" s="76">
        <f t="shared" ca="1" si="13"/>
        <v>0</v>
      </c>
      <c r="AC111" s="75">
        <f t="shared" ca="1" si="3"/>
        <v>0</v>
      </c>
      <c r="AD111" s="76">
        <f t="shared" ca="1" si="14"/>
        <v>12388.425641435188</v>
      </c>
      <c r="AE111" s="76">
        <f t="shared" si="15"/>
        <v>0</v>
      </c>
      <c r="AF111" s="75">
        <f t="shared" si="6"/>
        <v>0</v>
      </c>
      <c r="AG111" s="75">
        <f t="shared" si="7"/>
        <v>0</v>
      </c>
      <c r="AH111" s="31" t="e" cm="1">
        <f t="array" aca="1" ref="AH111" ca="1">IF((AD111) &lt; (INDEX(ResponseSLA[#All],(MATCH((G111),ResponseSLA[Priority],0))+1,3)),"YES","No")</f>
        <v>#N/A</v>
      </c>
      <c r="AI111" s="31" t="str">
        <f>_xlfn.IFNA(IF(AE111 &lt; (INDEX(SLATable[Minimum SLA],MATCH(G111,SLATable[Priority],0))),"YES","NO"),"")</f>
        <v/>
      </c>
      <c r="AJ111" t="str">
        <f>_xlfn.IFNA(IF(AE111 &lt; (INDEX(SLATable[Maximum SLA],MATCH(G111,SLATable[Priority],0))),"YES","NO"),"")</f>
        <v/>
      </c>
    </row>
    <row r="112" spans="26:36" ht="15" customHeight="1">
      <c r="Z112" s="76" t="e">
        <f t="shared" ca="1" si="12"/>
        <v>#N/A</v>
      </c>
      <c r="AA112" s="75" t="e">
        <f t="shared" ca="1" si="1"/>
        <v>#N/A</v>
      </c>
      <c r="AB112" s="76">
        <f t="shared" ca="1" si="13"/>
        <v>0</v>
      </c>
      <c r="AC112" s="75">
        <f t="shared" ca="1" si="3"/>
        <v>0</v>
      </c>
      <c r="AD112" s="76">
        <f t="shared" ca="1" si="14"/>
        <v>12388.425641550926</v>
      </c>
      <c r="AE112" s="76">
        <f t="shared" si="15"/>
        <v>0</v>
      </c>
      <c r="AF112" s="75">
        <f t="shared" si="6"/>
        <v>0</v>
      </c>
      <c r="AG112" s="75">
        <f t="shared" si="7"/>
        <v>0</v>
      </c>
      <c r="AH112" s="31" t="e" cm="1">
        <f t="array" aca="1" ref="AH112" ca="1">IF((AD112) &lt; (INDEX(ResponseSLA[#All],(MATCH((G112),ResponseSLA[Priority],0))+1,3)),"YES","No")</f>
        <v>#N/A</v>
      </c>
      <c r="AI112" s="31" t="str">
        <f>_xlfn.IFNA(IF(AE112 &lt; (INDEX(SLATable[Minimum SLA],MATCH(G112,SLATable[Priority],0))),"YES","NO"),"")</f>
        <v/>
      </c>
      <c r="AJ112" t="str">
        <f>_xlfn.IFNA(IF(AE112 &lt; (INDEX(SLATable[Maximum SLA],MATCH(G112,SLATable[Priority],0))),"YES","NO"),"")</f>
        <v/>
      </c>
    </row>
    <row r="113" spans="26:36" ht="15" customHeight="1">
      <c r="Z113" s="76" t="e">
        <f t="shared" ca="1" si="12"/>
        <v>#N/A</v>
      </c>
      <c r="AA113" s="75" t="e">
        <f t="shared" ca="1" si="1"/>
        <v>#N/A</v>
      </c>
      <c r="AB113" s="76">
        <f t="shared" ca="1" si="13"/>
        <v>0</v>
      </c>
      <c r="AC113" s="75">
        <f t="shared" ca="1" si="3"/>
        <v>0</v>
      </c>
      <c r="AD113" s="76">
        <f t="shared" ca="1" si="14"/>
        <v>12388.425641435188</v>
      </c>
      <c r="AE113" s="76">
        <f t="shared" si="15"/>
        <v>0</v>
      </c>
      <c r="AF113" s="75">
        <f t="shared" si="6"/>
        <v>0</v>
      </c>
      <c r="AG113" s="75">
        <f t="shared" si="7"/>
        <v>0</v>
      </c>
      <c r="AH113" s="31" t="e" cm="1">
        <f t="array" aca="1" ref="AH113" ca="1">IF((AD113) &lt; (INDEX(ResponseSLA[#All],(MATCH((G113),ResponseSLA[Priority],0))+1,3)),"YES","No")</f>
        <v>#N/A</v>
      </c>
      <c r="AI113" s="31" t="str">
        <f>_xlfn.IFNA(IF(AE113 &lt; (INDEX(SLATable[Minimum SLA],MATCH(G113,SLATable[Priority],0))),"YES","NO"),"")</f>
        <v/>
      </c>
      <c r="AJ113" t="str">
        <f>_xlfn.IFNA(IF(AE113 &lt; (INDEX(SLATable[Maximum SLA],MATCH(G113,SLATable[Priority],0))),"YES","NO"),"")</f>
        <v/>
      </c>
    </row>
    <row r="114" spans="26:36" ht="15" customHeight="1">
      <c r="Z114" s="76" t="e">
        <f t="shared" ca="1" si="12"/>
        <v>#N/A</v>
      </c>
      <c r="AA114" s="75" t="e">
        <f t="shared" ca="1" si="1"/>
        <v>#N/A</v>
      </c>
      <c r="AB114" s="76">
        <f t="shared" ca="1" si="13"/>
        <v>0</v>
      </c>
      <c r="AC114" s="75">
        <f t="shared" ca="1" si="3"/>
        <v>0</v>
      </c>
      <c r="AD114" s="76">
        <f t="shared" ca="1" si="14"/>
        <v>12388.425641435188</v>
      </c>
      <c r="AE114" s="76">
        <f t="shared" si="15"/>
        <v>0</v>
      </c>
      <c r="AF114" s="75">
        <f t="shared" si="6"/>
        <v>0</v>
      </c>
      <c r="AG114" s="75">
        <f t="shared" si="7"/>
        <v>0</v>
      </c>
      <c r="AH114" s="31" t="e" cm="1">
        <f t="array" aca="1" ref="AH114" ca="1">IF((AD114) &lt; (INDEX(ResponseSLA[#All],(MATCH((G114),ResponseSLA[Priority],0))+1,3)),"YES","No")</f>
        <v>#N/A</v>
      </c>
      <c r="AI114" s="31" t="str">
        <f>_xlfn.IFNA(IF(AE114 &lt; (INDEX(SLATable[Minimum SLA],MATCH(G114,SLATable[Priority],0))),"YES","NO"),"")</f>
        <v/>
      </c>
      <c r="AJ114" t="str">
        <f>_xlfn.IFNA(IF(AE114 &lt; (INDEX(SLATable[Maximum SLA],MATCH(G114,SLATable[Priority],0))),"YES","NO"),"")</f>
        <v/>
      </c>
    </row>
    <row r="115" spans="26:36" ht="15" customHeight="1">
      <c r="Z115" s="76" t="e">
        <f t="shared" ca="1" si="12"/>
        <v>#N/A</v>
      </c>
      <c r="AA115" s="75" t="e">
        <f t="shared" ca="1" si="1"/>
        <v>#N/A</v>
      </c>
      <c r="AB115" s="76">
        <f t="shared" ca="1" si="13"/>
        <v>0</v>
      </c>
      <c r="AC115" s="75">
        <f t="shared" ca="1" si="3"/>
        <v>0</v>
      </c>
      <c r="AD115" s="76">
        <f t="shared" ca="1" si="14"/>
        <v>12388.425641550926</v>
      </c>
      <c r="AE115" s="76">
        <f t="shared" si="15"/>
        <v>0</v>
      </c>
      <c r="AF115" s="75">
        <f t="shared" si="6"/>
        <v>0</v>
      </c>
      <c r="AG115" s="75">
        <f t="shared" si="7"/>
        <v>0</v>
      </c>
      <c r="AH115" s="31" t="e" cm="1">
        <f t="array" aca="1" ref="AH115" ca="1">IF((AD115) &lt; (INDEX(ResponseSLA[#All],(MATCH((G115),ResponseSLA[Priority],0))+1,3)),"YES","No")</f>
        <v>#N/A</v>
      </c>
      <c r="AI115" s="31" t="str">
        <f>_xlfn.IFNA(IF(AE115 &lt; (INDEX(SLATable[Minimum SLA],MATCH(G115,SLATable[Priority],0))),"YES","NO"),"")</f>
        <v/>
      </c>
      <c r="AJ115" t="str">
        <f>_xlfn.IFNA(IF(AE115 &lt; (INDEX(SLATable[Maximum SLA],MATCH(G115,SLATable[Priority],0))),"YES","NO"),"")</f>
        <v/>
      </c>
    </row>
    <row r="116" spans="26:36" ht="15" customHeight="1">
      <c r="Z116" s="76" t="e">
        <f t="shared" ca="1" si="12"/>
        <v>#N/A</v>
      </c>
      <c r="AA116" s="75" t="e">
        <f t="shared" ca="1" si="1"/>
        <v>#N/A</v>
      </c>
      <c r="AB116" s="76">
        <f t="shared" ca="1" si="13"/>
        <v>0</v>
      </c>
      <c r="AC116" s="75">
        <f t="shared" ca="1" si="3"/>
        <v>0</v>
      </c>
      <c r="AD116" s="76">
        <f t="shared" ca="1" si="14"/>
        <v>12388.425641435188</v>
      </c>
      <c r="AE116" s="76">
        <f t="shared" si="15"/>
        <v>0</v>
      </c>
      <c r="AF116" s="75">
        <f t="shared" si="6"/>
        <v>0</v>
      </c>
      <c r="AG116" s="75">
        <f t="shared" si="7"/>
        <v>0</v>
      </c>
      <c r="AH116" s="31" t="e" cm="1">
        <f t="array" aca="1" ref="AH116" ca="1">IF((AD116) &lt; (INDEX(ResponseSLA[#All],(MATCH((G116),ResponseSLA[Priority],0))+1,3)),"YES","No")</f>
        <v>#N/A</v>
      </c>
      <c r="AI116" s="31" t="str">
        <f>_xlfn.IFNA(IF(AE116 &lt; (INDEX(SLATable[Minimum SLA],MATCH(G116,SLATable[Priority],0))),"YES","NO"),"")</f>
        <v/>
      </c>
      <c r="AJ116" t="str">
        <f>_xlfn.IFNA(IF(AE116 &lt; (INDEX(SLATable[Maximum SLA],MATCH(G116,SLATable[Priority],0))),"YES","NO"),"")</f>
        <v/>
      </c>
    </row>
    <row r="117" spans="26:36" ht="15" customHeight="1">
      <c r="Z117" s="76" t="e">
        <f t="shared" ca="1" si="12"/>
        <v>#N/A</v>
      </c>
      <c r="AA117" s="75" t="e">
        <f t="shared" ca="1" si="1"/>
        <v>#N/A</v>
      </c>
      <c r="AB117" s="76">
        <f t="shared" ca="1" si="13"/>
        <v>0</v>
      </c>
      <c r="AC117" s="75">
        <f t="shared" ca="1" si="3"/>
        <v>0</v>
      </c>
      <c r="AD117" s="76">
        <f t="shared" ca="1" si="14"/>
        <v>12388.425641435188</v>
      </c>
      <c r="AE117" s="76">
        <f t="shared" si="15"/>
        <v>0</v>
      </c>
      <c r="AF117" s="75">
        <f t="shared" si="6"/>
        <v>0</v>
      </c>
      <c r="AG117" s="75">
        <f t="shared" si="7"/>
        <v>0</v>
      </c>
      <c r="AH117" s="31" t="e" cm="1">
        <f t="array" aca="1" ref="AH117" ca="1">IF((AD117) &lt; (INDEX(ResponseSLA[#All],(MATCH((G117),ResponseSLA[Priority],0))+1,3)),"YES","No")</f>
        <v>#N/A</v>
      </c>
      <c r="AI117" s="31" t="str">
        <f>_xlfn.IFNA(IF(AE117 &lt; (INDEX(SLATable[Minimum SLA],MATCH(G117,SLATable[Priority],0))),"YES","NO"),"")</f>
        <v/>
      </c>
      <c r="AJ117" t="str">
        <f>_xlfn.IFNA(IF(AE117 &lt; (INDEX(SLATable[Maximum SLA],MATCH(G117,SLATable[Priority],0))),"YES","NO"),"")</f>
        <v/>
      </c>
    </row>
    <row r="118" spans="26:36" ht="15" customHeight="1">
      <c r="Z118" s="76" t="e">
        <f t="shared" ca="1" si="12"/>
        <v>#N/A</v>
      </c>
      <c r="AA118" s="75" t="e">
        <f t="shared" ca="1" si="1"/>
        <v>#N/A</v>
      </c>
      <c r="AB118" s="76">
        <f t="shared" ca="1" si="13"/>
        <v>0</v>
      </c>
      <c r="AC118" s="75">
        <f t="shared" ca="1" si="3"/>
        <v>0</v>
      </c>
      <c r="AD118" s="76">
        <f t="shared" ca="1" si="14"/>
        <v>12388.425641550926</v>
      </c>
      <c r="AE118" s="76">
        <f t="shared" si="15"/>
        <v>0</v>
      </c>
      <c r="AF118" s="75">
        <f t="shared" si="6"/>
        <v>0</v>
      </c>
      <c r="AG118" s="75">
        <f t="shared" si="7"/>
        <v>0</v>
      </c>
      <c r="AH118" s="31" t="e" cm="1">
        <f t="array" aca="1" ref="AH118" ca="1">IF((AD118) &lt; (INDEX(ResponseSLA[#All],(MATCH((G118),ResponseSLA[Priority],0))+1,3)),"YES","No")</f>
        <v>#N/A</v>
      </c>
      <c r="AI118" s="31" t="str">
        <f>_xlfn.IFNA(IF(AE118 &lt; (INDEX(SLATable[Minimum SLA],MATCH(G118,SLATable[Priority],0))),"YES","NO"),"")</f>
        <v/>
      </c>
      <c r="AJ118" t="str">
        <f>_xlfn.IFNA(IF(AE118 &lt; (INDEX(SLATable[Maximum SLA],MATCH(G118,SLATable[Priority],0))),"YES","NO"),"")</f>
        <v/>
      </c>
    </row>
    <row r="119" spans="26:36" ht="15" customHeight="1">
      <c r="Z119" s="76" t="e">
        <f t="shared" ca="1" si="12"/>
        <v>#N/A</v>
      </c>
      <c r="AA119" s="75" t="e">
        <f t="shared" ca="1" si="1"/>
        <v>#N/A</v>
      </c>
      <c r="AB119" s="76">
        <f t="shared" ca="1" si="13"/>
        <v>0</v>
      </c>
      <c r="AC119" s="75">
        <f t="shared" ca="1" si="3"/>
        <v>0</v>
      </c>
      <c r="AD119" s="76">
        <f t="shared" ca="1" si="14"/>
        <v>12388.425641435188</v>
      </c>
      <c r="AE119" s="76">
        <f t="shared" si="15"/>
        <v>0</v>
      </c>
      <c r="AF119" s="75">
        <f t="shared" si="6"/>
        <v>0</v>
      </c>
      <c r="AG119" s="75">
        <f t="shared" si="7"/>
        <v>0</v>
      </c>
      <c r="AH119" s="31" t="e" cm="1">
        <f t="array" aca="1" ref="AH119" ca="1">IF((AD119) &lt; (INDEX(ResponseSLA[#All],(MATCH((G119),ResponseSLA[Priority],0))+1,3)),"YES","No")</f>
        <v>#N/A</v>
      </c>
      <c r="AI119" s="31" t="str">
        <f>_xlfn.IFNA(IF(AE119 &lt; (INDEX(SLATable[Minimum SLA],MATCH(G119,SLATable[Priority],0))),"YES","NO"),"")</f>
        <v/>
      </c>
      <c r="AJ119" t="str">
        <f>_xlfn.IFNA(IF(AE119 &lt; (INDEX(SLATable[Maximum SLA],MATCH(G119,SLATable[Priority],0))),"YES","NO"),"")</f>
        <v/>
      </c>
    </row>
    <row r="120" spans="26:36" ht="15" customHeight="1">
      <c r="Z120" s="76" t="e">
        <f t="shared" ca="1" si="12"/>
        <v>#N/A</v>
      </c>
      <c r="AA120" s="75" t="e">
        <f t="shared" ca="1" si="1"/>
        <v>#N/A</v>
      </c>
      <c r="AB120" s="76">
        <f t="shared" ca="1" si="13"/>
        <v>0</v>
      </c>
      <c r="AC120" s="75">
        <f t="shared" ca="1" si="3"/>
        <v>0</v>
      </c>
      <c r="AD120" s="76">
        <f t="shared" ca="1" si="14"/>
        <v>12388.425641435188</v>
      </c>
      <c r="AE120" s="76">
        <f t="shared" si="15"/>
        <v>0</v>
      </c>
      <c r="AF120" s="75">
        <f t="shared" si="6"/>
        <v>0</v>
      </c>
      <c r="AG120" s="75">
        <f t="shared" si="7"/>
        <v>0</v>
      </c>
      <c r="AH120" s="31" t="e" cm="1">
        <f t="array" aca="1" ref="AH120" ca="1">IF((AD120) &lt; (INDEX(ResponseSLA[#All],(MATCH((G120),ResponseSLA[Priority],0))+1,3)),"YES","No")</f>
        <v>#N/A</v>
      </c>
      <c r="AI120" s="31" t="str">
        <f>_xlfn.IFNA(IF(AE120 &lt; (INDEX(SLATable[Minimum SLA],MATCH(G120,SLATable[Priority],0))),"YES","NO"),"")</f>
        <v/>
      </c>
      <c r="AJ120" t="str">
        <f>_xlfn.IFNA(IF(AE120 &lt; (INDEX(SLATable[Maximum SLA],MATCH(G120,SLATable[Priority],0))),"YES","NO"),"")</f>
        <v/>
      </c>
    </row>
    <row r="121" spans="26:36" ht="15" customHeight="1">
      <c r="Z121" s="76" t="e">
        <f t="shared" ca="1" si="12"/>
        <v>#N/A</v>
      </c>
      <c r="AA121" s="75" t="e">
        <f t="shared" ca="1" si="1"/>
        <v>#N/A</v>
      </c>
      <c r="AB121" s="76">
        <f t="shared" ca="1" si="13"/>
        <v>0</v>
      </c>
      <c r="AC121" s="75">
        <f t="shared" ca="1" si="3"/>
        <v>0</v>
      </c>
      <c r="AD121" s="76">
        <f t="shared" ca="1" si="14"/>
        <v>12388.425641550926</v>
      </c>
      <c r="AE121" s="76">
        <f t="shared" si="15"/>
        <v>0</v>
      </c>
      <c r="AF121" s="75">
        <f t="shared" si="6"/>
        <v>0</v>
      </c>
      <c r="AG121" s="75">
        <f t="shared" si="7"/>
        <v>0</v>
      </c>
      <c r="AH121" s="31" t="e" cm="1">
        <f t="array" aca="1" ref="AH121" ca="1">IF((AD121) &lt; (INDEX(ResponseSLA[#All],(MATCH((G121),ResponseSLA[Priority],0))+1,3)),"YES","No")</f>
        <v>#N/A</v>
      </c>
      <c r="AI121" s="31" t="str">
        <f>_xlfn.IFNA(IF(AE121 &lt; (INDEX(SLATable[Minimum SLA],MATCH(G121,SLATable[Priority],0))),"YES","NO"),"")</f>
        <v/>
      </c>
      <c r="AJ121" t="str">
        <f>_xlfn.IFNA(IF(AE121 &lt; (INDEX(SLATable[Maximum SLA],MATCH(G121,SLATable[Priority],0))),"YES","NO"),"")</f>
        <v/>
      </c>
    </row>
    <row r="122" spans="26:36" ht="15" customHeight="1">
      <c r="Z122" s="76" t="e">
        <f t="shared" ca="1" si="12"/>
        <v>#N/A</v>
      </c>
      <c r="AA122" s="75" t="e">
        <f t="shared" ca="1" si="1"/>
        <v>#N/A</v>
      </c>
      <c r="AB122" s="76">
        <f t="shared" ca="1" si="13"/>
        <v>0</v>
      </c>
      <c r="AC122" s="75">
        <f t="shared" ca="1" si="3"/>
        <v>0</v>
      </c>
      <c r="AD122" s="76">
        <f t="shared" ca="1" si="14"/>
        <v>12388.425641435188</v>
      </c>
      <c r="AE122" s="76">
        <f t="shared" si="15"/>
        <v>0</v>
      </c>
      <c r="AF122" s="75">
        <f t="shared" si="6"/>
        <v>0</v>
      </c>
      <c r="AG122" s="75">
        <f t="shared" si="7"/>
        <v>0</v>
      </c>
      <c r="AH122" s="31" t="e" cm="1">
        <f t="array" aca="1" ref="AH122" ca="1">IF((AD122) &lt; (INDEX(ResponseSLA[#All],(MATCH((G122),ResponseSLA[Priority],0))+1,3)),"YES","No")</f>
        <v>#N/A</v>
      </c>
      <c r="AI122" s="31" t="str">
        <f>_xlfn.IFNA(IF(AE122 &lt; (INDEX(SLATable[Minimum SLA],MATCH(G122,SLATable[Priority],0))),"YES","NO"),"")</f>
        <v/>
      </c>
      <c r="AJ122" t="str">
        <f>_xlfn.IFNA(IF(AE122 &lt; (INDEX(SLATable[Maximum SLA],MATCH(G122,SLATable[Priority],0))),"YES","NO"),"")</f>
        <v/>
      </c>
    </row>
    <row r="123" spans="26:36" ht="15" customHeight="1">
      <c r="Z123" s="76" t="e">
        <f t="shared" ca="1" si="12"/>
        <v>#N/A</v>
      </c>
      <c r="AA123" s="75" t="e">
        <f t="shared" ca="1" si="1"/>
        <v>#N/A</v>
      </c>
      <c r="AB123" s="76">
        <f t="shared" ca="1" si="13"/>
        <v>0</v>
      </c>
      <c r="AC123" s="75">
        <f t="shared" ca="1" si="3"/>
        <v>0</v>
      </c>
      <c r="AD123" s="76">
        <f t="shared" ca="1" si="14"/>
        <v>12388.425641435188</v>
      </c>
      <c r="AE123" s="76">
        <f t="shared" si="15"/>
        <v>0</v>
      </c>
      <c r="AF123" s="75">
        <f t="shared" si="6"/>
        <v>0</v>
      </c>
      <c r="AG123" s="75">
        <f t="shared" si="7"/>
        <v>0</v>
      </c>
      <c r="AH123" s="31" t="e" cm="1">
        <f t="array" aca="1" ref="AH123" ca="1">IF((AD123) &lt; (INDEX(ResponseSLA[#All],(MATCH((G123),ResponseSLA[Priority],0))+1,3)),"YES","No")</f>
        <v>#N/A</v>
      </c>
      <c r="AI123" s="31" t="str">
        <f>_xlfn.IFNA(IF(AE123 &lt; (INDEX(SLATable[Minimum SLA],MATCH(G123,SLATable[Priority],0))),"YES","NO"),"")</f>
        <v/>
      </c>
      <c r="AJ123" t="str">
        <f>_xlfn.IFNA(IF(AE123 &lt; (INDEX(SLATable[Maximum SLA],MATCH(G123,SLATable[Priority],0))),"YES","NO"),"")</f>
        <v/>
      </c>
    </row>
    <row r="124" spans="26:36" ht="15" customHeight="1">
      <c r="Z124" s="76" t="e">
        <f t="shared" ca="1" si="12"/>
        <v>#N/A</v>
      </c>
      <c r="AA124" s="75" t="e">
        <f t="shared" ca="1" si="1"/>
        <v>#N/A</v>
      </c>
      <c r="AB124" s="76">
        <f t="shared" ca="1" si="13"/>
        <v>0</v>
      </c>
      <c r="AC124" s="75">
        <f t="shared" ca="1" si="3"/>
        <v>0</v>
      </c>
      <c r="AD124" s="76">
        <f t="shared" ca="1" si="14"/>
        <v>12388.425641550926</v>
      </c>
      <c r="AE124" s="76">
        <f t="shared" si="15"/>
        <v>0</v>
      </c>
      <c r="AF124" s="75">
        <f t="shared" si="6"/>
        <v>0</v>
      </c>
      <c r="AG124" s="75">
        <f t="shared" si="7"/>
        <v>0</v>
      </c>
      <c r="AH124" s="31" t="e" cm="1">
        <f t="array" aca="1" ref="AH124" ca="1">IF((AD124) &lt; (INDEX(ResponseSLA[#All],(MATCH((G124),ResponseSLA[Priority],0))+1,3)),"YES","No")</f>
        <v>#N/A</v>
      </c>
      <c r="AI124" s="31" t="str">
        <f>_xlfn.IFNA(IF(AE124 &lt; (INDEX(SLATable[Minimum SLA],MATCH(G124,SLATable[Priority],0))),"YES","NO"),"")</f>
        <v/>
      </c>
      <c r="AJ124" t="str">
        <f>_xlfn.IFNA(IF(AE124 &lt; (INDEX(SLATable[Maximum SLA],MATCH(G124,SLATable[Priority],0))),"YES","NO"),"")</f>
        <v/>
      </c>
    </row>
    <row r="125" spans="26:36" ht="15" customHeight="1">
      <c r="Z125" s="76" t="e">
        <f t="shared" ca="1" si="12"/>
        <v>#N/A</v>
      </c>
      <c r="AA125" s="75" t="e">
        <f t="shared" ca="1" si="1"/>
        <v>#N/A</v>
      </c>
      <c r="AB125" s="76">
        <f t="shared" ca="1" si="13"/>
        <v>0</v>
      </c>
      <c r="AC125" s="75">
        <f t="shared" ca="1" si="3"/>
        <v>0</v>
      </c>
      <c r="AD125" s="76">
        <f t="shared" ca="1" si="14"/>
        <v>12388.425641435188</v>
      </c>
      <c r="AE125" s="76">
        <f t="shared" si="15"/>
        <v>0</v>
      </c>
      <c r="AF125" s="75">
        <f t="shared" si="6"/>
        <v>0</v>
      </c>
      <c r="AG125" s="75">
        <f t="shared" si="7"/>
        <v>0</v>
      </c>
      <c r="AH125" s="31" t="e" cm="1">
        <f t="array" aca="1" ref="AH125" ca="1">IF((AD125) &lt; (INDEX(ResponseSLA[#All],(MATCH((G125),ResponseSLA[Priority],0))+1,3)),"YES","No")</f>
        <v>#N/A</v>
      </c>
      <c r="AI125" s="31" t="str">
        <f>_xlfn.IFNA(IF(AE125 &lt; (INDEX(SLATable[Minimum SLA],MATCH(G125,SLATable[Priority],0))),"YES","NO"),"")</f>
        <v/>
      </c>
      <c r="AJ125" t="str">
        <f>_xlfn.IFNA(IF(AE125 &lt; (INDEX(SLATable[Maximum SLA],MATCH(G125,SLATable[Priority],0))),"YES","NO"),"")</f>
        <v/>
      </c>
    </row>
    <row r="126" spans="26:36" ht="15" customHeight="1">
      <c r="Z126" s="76" t="e">
        <f t="shared" ca="1" si="12"/>
        <v>#N/A</v>
      </c>
      <c r="AA126" s="75" t="e">
        <f t="shared" ca="1" si="1"/>
        <v>#N/A</v>
      </c>
      <c r="AB126" s="76">
        <f t="shared" ca="1" si="13"/>
        <v>0</v>
      </c>
      <c r="AC126" s="75">
        <f t="shared" ca="1" si="3"/>
        <v>0</v>
      </c>
      <c r="AD126" s="76">
        <f t="shared" ca="1" si="14"/>
        <v>12388.425641435188</v>
      </c>
      <c r="AE126" s="76">
        <f t="shared" si="15"/>
        <v>0</v>
      </c>
      <c r="AF126" s="75">
        <f t="shared" si="6"/>
        <v>0</v>
      </c>
      <c r="AG126" s="75">
        <f t="shared" si="7"/>
        <v>0</v>
      </c>
      <c r="AH126" s="31" t="e" cm="1">
        <f t="array" aca="1" ref="AH126" ca="1">IF((AD126) &lt; (INDEX(ResponseSLA[#All],(MATCH((G126),ResponseSLA[Priority],0))+1,3)),"YES","No")</f>
        <v>#N/A</v>
      </c>
      <c r="AI126" s="31" t="str">
        <f>_xlfn.IFNA(IF(AE126 &lt; (INDEX(SLATable[Minimum SLA],MATCH(G126,SLATable[Priority],0))),"YES","NO"),"")</f>
        <v/>
      </c>
      <c r="AJ126" t="str">
        <f>_xlfn.IFNA(IF(AE126 &lt; (INDEX(SLATable[Maximum SLA],MATCH(G126,SLATable[Priority],0))),"YES","NO"),"")</f>
        <v/>
      </c>
    </row>
    <row r="127" spans="26:36" ht="15" customHeight="1">
      <c r="Z127" s="76" t="e">
        <f t="shared" ca="1" si="12"/>
        <v>#N/A</v>
      </c>
      <c r="AA127" s="75" t="e">
        <f t="shared" ca="1" si="1"/>
        <v>#N/A</v>
      </c>
      <c r="AB127" s="76">
        <f t="shared" ca="1" si="13"/>
        <v>0</v>
      </c>
      <c r="AC127" s="75">
        <f t="shared" ca="1" si="3"/>
        <v>0</v>
      </c>
      <c r="AD127" s="76">
        <f t="shared" ca="1" si="14"/>
        <v>12388.425641550926</v>
      </c>
      <c r="AE127" s="76">
        <f t="shared" si="15"/>
        <v>0</v>
      </c>
      <c r="AF127" s="75">
        <f t="shared" si="6"/>
        <v>0</v>
      </c>
      <c r="AG127" s="75">
        <f t="shared" si="7"/>
        <v>0</v>
      </c>
      <c r="AH127" s="31" t="e" cm="1">
        <f t="array" aca="1" ref="AH127" ca="1">IF((AD127) &lt; (INDEX(ResponseSLA[#All],(MATCH((G127),ResponseSLA[Priority],0))+1,3)),"YES","No")</f>
        <v>#N/A</v>
      </c>
      <c r="AI127" s="31" t="str">
        <f>_xlfn.IFNA(IF(AE127 &lt; (INDEX(SLATable[Minimum SLA],MATCH(G127,SLATable[Priority],0))),"YES","NO"),"")</f>
        <v/>
      </c>
      <c r="AJ127" t="str">
        <f>_xlfn.IFNA(IF(AE127 &lt; (INDEX(SLATable[Maximum SLA],MATCH(G127,SLATable[Priority],0))),"YES","NO"),"")</f>
        <v/>
      </c>
    </row>
    <row r="128" spans="26:36" ht="15" customHeight="1">
      <c r="Z128" s="76" t="e">
        <f t="shared" ca="1" si="12"/>
        <v>#N/A</v>
      </c>
      <c r="AA128" s="75" t="e">
        <f t="shared" ca="1" si="1"/>
        <v>#N/A</v>
      </c>
      <c r="AB128" s="76">
        <f t="shared" ca="1" si="13"/>
        <v>0</v>
      </c>
      <c r="AC128" s="75">
        <f t="shared" ca="1" si="3"/>
        <v>0</v>
      </c>
      <c r="AD128" s="76">
        <f t="shared" ca="1" si="14"/>
        <v>12388.425641435188</v>
      </c>
      <c r="AE128" s="76">
        <f t="shared" si="15"/>
        <v>0</v>
      </c>
      <c r="AF128" s="75">
        <f t="shared" si="6"/>
        <v>0</v>
      </c>
      <c r="AG128" s="75">
        <f t="shared" si="7"/>
        <v>0</v>
      </c>
      <c r="AH128" s="31" t="e" cm="1">
        <f t="array" aca="1" ref="AH128" ca="1">IF((AD128) &lt; (INDEX(ResponseSLA[#All],(MATCH((G128),ResponseSLA[Priority],0))+1,3)),"YES","No")</f>
        <v>#N/A</v>
      </c>
      <c r="AI128" s="31" t="str">
        <f>_xlfn.IFNA(IF(AE128 &lt; (INDEX(SLATable[Minimum SLA],MATCH(G128,SLATable[Priority],0))),"YES","NO"),"")</f>
        <v/>
      </c>
      <c r="AJ128" t="str">
        <f>_xlfn.IFNA(IF(AE128 &lt; (INDEX(SLATable[Maximum SLA],MATCH(G128,SLATable[Priority],0))),"YES","NO"),"")</f>
        <v/>
      </c>
    </row>
    <row r="129" spans="26:36" ht="15" customHeight="1">
      <c r="Z129" s="76" t="e">
        <f t="shared" ca="1" si="12"/>
        <v>#N/A</v>
      </c>
      <c r="AA129" s="75" t="e">
        <f t="shared" ca="1" si="1"/>
        <v>#N/A</v>
      </c>
      <c r="AB129" s="76">
        <f t="shared" ca="1" si="13"/>
        <v>0</v>
      </c>
      <c r="AC129" s="75">
        <f t="shared" ca="1" si="3"/>
        <v>0</v>
      </c>
      <c r="AD129" s="76">
        <f t="shared" ca="1" si="14"/>
        <v>12388.425641435188</v>
      </c>
      <c r="AE129" s="76">
        <f t="shared" si="15"/>
        <v>0</v>
      </c>
      <c r="AF129" s="75">
        <f t="shared" si="6"/>
        <v>0</v>
      </c>
      <c r="AG129" s="75">
        <f t="shared" si="7"/>
        <v>0</v>
      </c>
      <c r="AH129" s="31" t="e" cm="1">
        <f t="array" aca="1" ref="AH129" ca="1">IF((AD129) &lt; (INDEX(ResponseSLA[#All],(MATCH((G129),ResponseSLA[Priority],0))+1,3)),"YES","No")</f>
        <v>#N/A</v>
      </c>
      <c r="AI129" s="31" t="str">
        <f>_xlfn.IFNA(IF(AE129 &lt; (INDEX(SLATable[Minimum SLA],MATCH(G129,SLATable[Priority],0))),"YES","NO"),"")</f>
        <v/>
      </c>
      <c r="AJ129" t="str">
        <f>_xlfn.IFNA(IF(AE129 &lt; (INDEX(SLATable[Maximum SLA],MATCH(G129,SLATable[Priority],0))),"YES","NO"),"")</f>
        <v/>
      </c>
    </row>
    <row r="130" spans="26:36" ht="15" customHeight="1">
      <c r="Z130" s="76" t="e">
        <f t="shared" ca="1" si="12"/>
        <v>#N/A</v>
      </c>
      <c r="AA130" s="75" t="e">
        <f t="shared" ca="1" si="1"/>
        <v>#N/A</v>
      </c>
      <c r="AB130" s="76">
        <f t="shared" ca="1" si="13"/>
        <v>0</v>
      </c>
      <c r="AC130" s="75">
        <f t="shared" ca="1" si="3"/>
        <v>0</v>
      </c>
      <c r="AD130" s="76">
        <f t="shared" ca="1" si="14"/>
        <v>12388.425641550926</v>
      </c>
      <c r="AE130" s="76">
        <f t="shared" si="15"/>
        <v>0</v>
      </c>
      <c r="AF130" s="75">
        <f t="shared" si="6"/>
        <v>0</v>
      </c>
      <c r="AG130" s="75">
        <f t="shared" si="7"/>
        <v>0</v>
      </c>
      <c r="AH130" s="31" t="e" cm="1">
        <f t="array" aca="1" ref="AH130" ca="1">IF((AD130) &lt; (INDEX(ResponseSLA[#All],(MATCH((G130),ResponseSLA[Priority],0))+1,3)),"YES","No")</f>
        <v>#N/A</v>
      </c>
      <c r="AI130" s="31" t="str">
        <f>_xlfn.IFNA(IF(AE130 &lt; (INDEX(SLATable[Minimum SLA],MATCH(G130,SLATable[Priority],0))),"YES","NO"),"")</f>
        <v/>
      </c>
      <c r="AJ130" t="str">
        <f>_xlfn.IFNA(IF(AE130 &lt; (INDEX(SLATable[Maximum SLA],MATCH(G130,SLATable[Priority],0))),"YES","NO"),"")</f>
        <v/>
      </c>
    </row>
    <row r="131" spans="26:36" ht="15" customHeight="1">
      <c r="Z131" s="76" t="e">
        <f t="shared" ref="Z131:Z194" ca="1" si="16">IF(NOT(OR(G131=1,G131=2)),MAX(0,_xlfn.IFS(AND(K131&lt;&gt;"",N131&lt;&gt;""),((MAX(NETWORKDAYS(K131,N131,UKBankHolidays)-1,0))*(TIME(17,0,0)-TIME(8,0,0))+IF(NETWORKDAYS(N131,N131,UKBankHolidays)&gt;0,MEDIAN(TIME(8,0,0),MOD(N131,1),TIME(17,0,0)),TIME(8,0,0))-IF(NETWORKDAYS(K131,K131,UKBankHolidays)&gt;0,MEDIAN(TIME(8,0,0),MOD(K131,1),TIME(17,0,0)),TIME(8,0,0)))-IF(AND(O131&lt;&gt;"",P131&lt;&gt;""),((MAX(NETWORKDAYS(O131,P131,UKBankHolidays)-1,0))*(TIME(17,0,0)-TIME(8,0,0))+IF(NETWORKDAYS(P131,P131,UKBankHolidays)&gt;0,MEDIAN(TIME(8,0,0),MOD(P131,1),TIME(17,0,0)),TIME(8,0,0))-IF(NETWORKDAYS(O131,O131,UKBankHolidays)&gt;0,MEDIAN(TIME(8,0,0),MOD(O131,1),TIME(17,0,0)),TIME(8,0,0))),0),AND(K131&lt;&gt;"",N131=""),((MAX(NETWORKDAYS(K131,NOW(),UKBankHolidays)-1,0))*(TIME(17,0,0)-TIME(8,0,0))+IF(NETWORKDAYS(NOW(),NOW(),UKBankHolidays)&gt;0,MEDIAN(TIME(8,0,0),MOD(NOW(),1),TIME(17,0,0)),TIME(8,0,0))-IF(NETWORKDAYS(K131,K131,UKBankHolidays)&gt;0,MEDIAN(TIME(8,0,0),MOD(K131,1),TIME(17,0,0)),TIME(8,0,0))))),IF(N131="",NOW()-K131,N131-K131))</f>
        <v>#N/A</v>
      </c>
      <c r="AA131" s="75" t="e">
        <f t="shared" ca="1" si="1"/>
        <v>#N/A</v>
      </c>
      <c r="AB131" s="76">
        <f t="shared" ref="AB131:AB194" ca="1" si="17">IF(NOT(OR(G131=1,G131=2)),MAX(0,_xlfn.IFS(AND(K131&lt;&gt;"",N131&lt;&gt;""),(((MAX(NETWORKDAYS(L131,N131,UKBankHolidays)-1,0))*(TIME(17,0,0)-TIME(8,0,0)))+IF(NETWORKDAYS(N131,N131,UKBankHolidays)&gt;0,MEDIAN(TIME(8,0,0),MOD(N131,1),TIME(17,0,0)),TIME(8,0,0))-IF(NETWORKDAYS(L131,L131,UKBankHolidays)&gt;0,MEDIAN(TIME(8,0,0),MOD(L131,1),TIME(17,0,0)),TIME(8,0,0)))-IF(AND(O131&lt;&gt;"",P131&lt;&gt;""),(((MAX(NETWORKDAYS(O131,P131,UKBankHolidays)-1,0))*(TIME(17,0,0)-TIME(8,0,0)))+IF(NETWORKDAYS(P131,P131,UKBankHolidays)&gt;0,MEDIAN(TIME(8,0,0),MOD(P131,1),TIME(17,0,0)),TIME(8,0,0))-IF(NETWORKDAYS(O131,O131,UKBankHolidays)&gt;0,MEDIAN(TIME(8,0,0),MOD(O131,1),TIME(17,0,0)),TIME(8,0,0))),0),AND(L131&lt;&gt;"",N131="",O131=""),(((MAX(NETWORKDAYS(L131,NOW(),UKBankHolidays)-1,0))*(TIME(17,0,0)-TIME(8,0,0)))+IF(NETWORKDAYS(NOW(),NOW(),UKBankHolidays)&gt;0,MEDIAN(TIME(8,0,0),MOD(NOW(),1),TIME(17,0,0)),TIME(8,0,0))-IF(NETWORKDAYS(L131,L131,UKBankHolidays)&gt;0,MEDIAN(TIME(8,0,0),MOD(L131,1),TIME(17,0,0)),TIME(8,0,0)))-IF(AND(O131&lt;&gt;"",P131&lt;&gt;""),(((MAX(NETWORKDAYS(O131,P131,UKBankHolidays)-1,0))*(TIME(17,0,0)-TIME(8,0,0)))+IF(NETWORKDAYS(P131,P131,UKBankHolidays)&gt;0,MEDIAN(TIME(8,0,0),MOD(P131,1),TIME(17,0,0)),TIME(8,0,0))-IF(NETWORKDAYS(O131,O131,UKBankHolidays)&gt;0,MEDIAN(TIME(8,0,0),MOD(O131,1),TIME(17,0,0)),TIME(8,0,0))),0),AND(L131&lt;&gt;"",N131="",P131="",O131&lt;&gt;""),(((MAX(NETWORKDAYS(L131,O131,UKBankHolidays)-1,0))*(TIME(17,0,0)-TIME(8,0,0)))+IF(NETWORKDAYS(O131,O131,UKBankHolidays)&gt;0,MEDIAN(TIME(8,0,0),MOD(O131,1),TIME(17,0,0)),TIME(8,0,0))-IF(NETWORKDAYS(L131,L131,UKBankHolidays)&gt;0,MEDIAN(TIME(8,0,0),MOD(L131,1),TIME(17,0,0)),TIME(8,0,0))),ISBLANK(K131),"0")),IF(ISBLANK(N131),NOW()-L131,N131-L131))</f>
        <v>0</v>
      </c>
      <c r="AC131" s="75">
        <f t="shared" ca="1" si="3"/>
        <v>0</v>
      </c>
      <c r="AD131" s="76">
        <f t="shared" ref="AD131:AD194" ca="1" si="18">MAX(0,IF(NOT(OR(G131=1,G131=2)),IF(M131&lt;&gt;"",((MAX(NETWORKDAYS(L131,M131,UKBankHolidays)-1,0))*(TIME(17,0,0)-TIME(8,0,0))+IF(NETWORKDAYS(M131,M131,UKBankHolidays)&gt;0,MEDIAN(TIME(8,0,0),MOD(M131,1),TIME(17,0,0)),TIME(8,0,0))-MEDIAN(TIME(8,0,0),MOD(L131,1),TIME(17,0,0))),((MAX(NETWORKDAYS(L131,NOW(),UKBankHolidays)-1,0))*(TIME(17,0,0)-TIME(8,0,0))+IF(NETWORKDAYS(NOW(),NOW(),UKBankHolidays)&gt;0,MEDIAN(TIME(8,0,0),MOD(NOW(),1),TIME(17,0,0)),TIME(8,0,0))-MEDIAN(TIME(8,0,0),MOD(L131,1),TIME(17,0,0)))),IF(M131&lt;&gt;"",M131-L131,NOW()-L131)))</f>
        <v>12388.425641435188</v>
      </c>
      <c r="AE131" s="76">
        <f t="shared" ref="AE131:AE194" si="19">SUMIFS(AB:AB,E:E,E131)</f>
        <v>0</v>
      </c>
      <c r="AF131" s="75">
        <f t="shared" si="6"/>
        <v>0</v>
      </c>
      <c r="AG131" s="75">
        <f t="shared" si="7"/>
        <v>0</v>
      </c>
      <c r="AH131" s="31" t="e" cm="1">
        <f t="array" aca="1" ref="AH131" ca="1">IF((AD131) &lt; (INDEX(ResponseSLA[#All],(MATCH((G131),ResponseSLA[Priority],0))+1,3)),"YES","No")</f>
        <v>#N/A</v>
      </c>
      <c r="AI131" s="31" t="str">
        <f>_xlfn.IFNA(IF(AE131 &lt; (INDEX(SLATable[Minimum SLA],MATCH(G131,SLATable[Priority],0))),"YES","NO"),"")</f>
        <v/>
      </c>
      <c r="AJ131" t="str">
        <f>_xlfn.IFNA(IF(AE131 &lt; (INDEX(SLATable[Maximum SLA],MATCH(G131,SLATable[Priority],0))),"YES","NO"),"")</f>
        <v/>
      </c>
    </row>
    <row r="132" spans="26:36" ht="15" customHeight="1">
      <c r="Z132" s="76" t="e">
        <f t="shared" ca="1" si="16"/>
        <v>#N/A</v>
      </c>
      <c r="AA132" s="75" t="e">
        <f t="shared" ca="1" si="1"/>
        <v>#N/A</v>
      </c>
      <c r="AB132" s="76">
        <f t="shared" ca="1" si="17"/>
        <v>0</v>
      </c>
      <c r="AC132" s="75">
        <f t="shared" ca="1" si="3"/>
        <v>0</v>
      </c>
      <c r="AD132" s="76">
        <f t="shared" ca="1" si="18"/>
        <v>12388.425641435188</v>
      </c>
      <c r="AE132" s="76">
        <f t="shared" si="19"/>
        <v>0</v>
      </c>
      <c r="AF132" s="75">
        <f t="shared" si="6"/>
        <v>0</v>
      </c>
      <c r="AG132" s="75">
        <f t="shared" si="7"/>
        <v>0</v>
      </c>
      <c r="AH132" s="31" t="e" cm="1">
        <f t="array" aca="1" ref="AH132" ca="1">IF((AD132) &lt; (INDEX(ResponseSLA[#All],(MATCH((G132),ResponseSLA[Priority],0))+1,3)),"YES","No")</f>
        <v>#N/A</v>
      </c>
      <c r="AI132" s="31" t="str">
        <f>_xlfn.IFNA(IF(AE132 &lt; (INDEX(SLATable[Minimum SLA],MATCH(G132,SLATable[Priority],0))),"YES","NO"),"")</f>
        <v/>
      </c>
      <c r="AJ132" t="str">
        <f>_xlfn.IFNA(IF(AE132 &lt; (INDEX(SLATable[Maximum SLA],MATCH(G132,SLATable[Priority],0))),"YES","NO"),"")</f>
        <v/>
      </c>
    </row>
    <row r="133" spans="26:36" ht="15" customHeight="1">
      <c r="Z133" s="76" t="e">
        <f t="shared" ca="1" si="16"/>
        <v>#N/A</v>
      </c>
      <c r="AA133" s="75" t="e">
        <f t="shared" ca="1" si="1"/>
        <v>#N/A</v>
      </c>
      <c r="AB133" s="76">
        <f t="shared" ca="1" si="17"/>
        <v>0</v>
      </c>
      <c r="AC133" s="75">
        <f t="shared" ca="1" si="3"/>
        <v>0</v>
      </c>
      <c r="AD133" s="76">
        <f t="shared" ca="1" si="18"/>
        <v>12388.425641550926</v>
      </c>
      <c r="AE133" s="76">
        <f t="shared" si="19"/>
        <v>0</v>
      </c>
      <c r="AF133" s="75">
        <f t="shared" si="6"/>
        <v>0</v>
      </c>
      <c r="AG133" s="75">
        <f t="shared" si="7"/>
        <v>0</v>
      </c>
      <c r="AH133" s="31" t="e" cm="1">
        <f t="array" aca="1" ref="AH133" ca="1">IF((AD133) &lt; (INDEX(ResponseSLA[#All],(MATCH((G133),ResponseSLA[Priority],0))+1,3)),"YES","No")</f>
        <v>#N/A</v>
      </c>
      <c r="AI133" s="31" t="str">
        <f>_xlfn.IFNA(IF(AE133 &lt; (INDEX(SLATable[Minimum SLA],MATCH(G133,SLATable[Priority],0))),"YES","NO"),"")</f>
        <v/>
      </c>
      <c r="AJ133" t="str">
        <f>_xlfn.IFNA(IF(AE133 &lt; (INDEX(SLATable[Maximum SLA],MATCH(G133,SLATable[Priority],0))),"YES","NO"),"")</f>
        <v/>
      </c>
    </row>
    <row r="134" spans="26:36" ht="15" customHeight="1">
      <c r="Z134" s="76" t="e">
        <f t="shared" ca="1" si="16"/>
        <v>#N/A</v>
      </c>
      <c r="AA134" s="75" t="e">
        <f t="shared" ca="1" si="1"/>
        <v>#N/A</v>
      </c>
      <c r="AB134" s="76">
        <f t="shared" ca="1" si="17"/>
        <v>0</v>
      </c>
      <c r="AC134" s="75">
        <f t="shared" ca="1" si="3"/>
        <v>0</v>
      </c>
      <c r="AD134" s="76">
        <f t="shared" ca="1" si="18"/>
        <v>12388.425641435188</v>
      </c>
      <c r="AE134" s="76">
        <f t="shared" si="19"/>
        <v>0</v>
      </c>
      <c r="AF134" s="75">
        <f t="shared" si="6"/>
        <v>0</v>
      </c>
      <c r="AG134" s="75">
        <f t="shared" si="7"/>
        <v>0</v>
      </c>
      <c r="AH134" s="31" t="e" cm="1">
        <f t="array" aca="1" ref="AH134" ca="1">IF((AD134) &lt; (INDEX(ResponseSLA[#All],(MATCH((G134),ResponseSLA[Priority],0))+1,3)),"YES","No")</f>
        <v>#N/A</v>
      </c>
      <c r="AI134" s="31" t="str">
        <f>_xlfn.IFNA(IF(AE134 &lt; (INDEX(SLATable[Minimum SLA],MATCH(G134,SLATable[Priority],0))),"YES","NO"),"")</f>
        <v/>
      </c>
      <c r="AJ134" t="str">
        <f>_xlfn.IFNA(IF(AE134 &lt; (INDEX(SLATable[Maximum SLA],MATCH(G134,SLATable[Priority],0))),"YES","NO"),"")</f>
        <v/>
      </c>
    </row>
    <row r="135" spans="26:36" ht="15" customHeight="1">
      <c r="Z135" s="76" t="e">
        <f t="shared" ca="1" si="16"/>
        <v>#N/A</v>
      </c>
      <c r="AA135" s="75" t="e">
        <f t="shared" ca="1" si="1"/>
        <v>#N/A</v>
      </c>
      <c r="AB135" s="76">
        <f t="shared" ca="1" si="17"/>
        <v>0</v>
      </c>
      <c r="AC135" s="75">
        <f t="shared" ca="1" si="3"/>
        <v>0</v>
      </c>
      <c r="AD135" s="76">
        <f t="shared" ca="1" si="18"/>
        <v>12388.425641435188</v>
      </c>
      <c r="AE135" s="76">
        <f t="shared" si="19"/>
        <v>0</v>
      </c>
      <c r="AF135" s="75">
        <f t="shared" si="6"/>
        <v>0</v>
      </c>
      <c r="AG135" s="75">
        <f t="shared" si="7"/>
        <v>0</v>
      </c>
      <c r="AH135" s="31" t="e" cm="1">
        <f t="array" aca="1" ref="AH135" ca="1">IF((AD135) &lt; (INDEX(ResponseSLA[#All],(MATCH((G135),ResponseSLA[Priority],0))+1,3)),"YES","No")</f>
        <v>#N/A</v>
      </c>
      <c r="AI135" s="31" t="str">
        <f>_xlfn.IFNA(IF(AE135 &lt; (INDEX(SLATable[Minimum SLA],MATCH(G135,SLATable[Priority],0))),"YES","NO"),"")</f>
        <v/>
      </c>
      <c r="AJ135" t="str">
        <f>_xlfn.IFNA(IF(AE135 &lt; (INDEX(SLATable[Maximum SLA],MATCH(G135,SLATable[Priority],0))),"YES","NO"),"")</f>
        <v/>
      </c>
    </row>
    <row r="136" spans="26:36" ht="15" customHeight="1">
      <c r="Z136" s="76" t="e">
        <f t="shared" ca="1" si="16"/>
        <v>#N/A</v>
      </c>
      <c r="AA136" s="75" t="e">
        <f t="shared" ca="1" si="1"/>
        <v>#N/A</v>
      </c>
      <c r="AB136" s="76">
        <f t="shared" ca="1" si="17"/>
        <v>0</v>
      </c>
      <c r="AC136" s="75">
        <f t="shared" ca="1" si="3"/>
        <v>0</v>
      </c>
      <c r="AD136" s="76">
        <f t="shared" ca="1" si="18"/>
        <v>12388.425641550926</v>
      </c>
      <c r="AE136" s="76">
        <f t="shared" si="19"/>
        <v>0</v>
      </c>
      <c r="AF136" s="75">
        <f t="shared" si="6"/>
        <v>0</v>
      </c>
      <c r="AG136" s="75">
        <f t="shared" si="7"/>
        <v>0</v>
      </c>
      <c r="AH136" s="31" t="e" cm="1">
        <f t="array" aca="1" ref="AH136" ca="1">IF((AD136) &lt; (INDEX(ResponseSLA[#All],(MATCH((G136),ResponseSLA[Priority],0))+1,3)),"YES","No")</f>
        <v>#N/A</v>
      </c>
      <c r="AI136" s="31" t="str">
        <f>_xlfn.IFNA(IF(AE136 &lt; (INDEX(SLATable[Minimum SLA],MATCH(G136,SLATable[Priority],0))),"YES","NO"),"")</f>
        <v/>
      </c>
      <c r="AJ136" t="str">
        <f>_xlfn.IFNA(IF(AE136 &lt; (INDEX(SLATable[Maximum SLA],MATCH(G136,SLATable[Priority],0))),"YES","NO"),"")</f>
        <v/>
      </c>
    </row>
    <row r="137" spans="26:36" ht="15" customHeight="1">
      <c r="Z137" s="76" t="e">
        <f t="shared" ca="1" si="16"/>
        <v>#N/A</v>
      </c>
      <c r="AA137" s="75" t="e">
        <f t="shared" ca="1" si="1"/>
        <v>#N/A</v>
      </c>
      <c r="AB137" s="76">
        <f t="shared" ca="1" si="17"/>
        <v>0</v>
      </c>
      <c r="AC137" s="75">
        <f t="shared" ca="1" si="3"/>
        <v>0</v>
      </c>
      <c r="AD137" s="76">
        <f t="shared" ca="1" si="18"/>
        <v>12388.425641435188</v>
      </c>
      <c r="AE137" s="76">
        <f t="shared" si="19"/>
        <v>0</v>
      </c>
      <c r="AF137" s="75">
        <f t="shared" si="6"/>
        <v>0</v>
      </c>
      <c r="AG137" s="75">
        <f t="shared" si="7"/>
        <v>0</v>
      </c>
      <c r="AH137" s="31" t="e" cm="1">
        <f t="array" aca="1" ref="AH137" ca="1">IF((AD137) &lt; (INDEX(ResponseSLA[#All],(MATCH((G137),ResponseSLA[Priority],0))+1,3)),"YES","No")</f>
        <v>#N/A</v>
      </c>
      <c r="AI137" s="31" t="str">
        <f>_xlfn.IFNA(IF(AE137 &lt; (INDEX(SLATable[Minimum SLA],MATCH(G137,SLATable[Priority],0))),"YES","NO"),"")</f>
        <v/>
      </c>
      <c r="AJ137" t="str">
        <f>_xlfn.IFNA(IF(AE137 &lt; (INDEX(SLATable[Maximum SLA],MATCH(G137,SLATable[Priority],0))),"YES","NO"),"")</f>
        <v/>
      </c>
    </row>
    <row r="138" spans="26:36" ht="15" customHeight="1">
      <c r="Z138" s="76" t="e">
        <f t="shared" ca="1" si="16"/>
        <v>#N/A</v>
      </c>
      <c r="AA138" s="75" t="e">
        <f t="shared" ca="1" si="1"/>
        <v>#N/A</v>
      </c>
      <c r="AB138" s="76">
        <f t="shared" ca="1" si="17"/>
        <v>0</v>
      </c>
      <c r="AC138" s="75">
        <f t="shared" ca="1" si="3"/>
        <v>0</v>
      </c>
      <c r="AD138" s="76">
        <f t="shared" ca="1" si="18"/>
        <v>12388.425641435188</v>
      </c>
      <c r="AE138" s="76">
        <f t="shared" si="19"/>
        <v>0</v>
      </c>
      <c r="AF138" s="75">
        <f t="shared" si="6"/>
        <v>0</v>
      </c>
      <c r="AG138" s="75">
        <f t="shared" si="7"/>
        <v>0</v>
      </c>
      <c r="AH138" s="31" t="e" cm="1">
        <f t="array" aca="1" ref="AH138" ca="1">IF((AD138) &lt; (INDEX(ResponseSLA[#All],(MATCH((G138),ResponseSLA[Priority],0))+1,3)),"YES","No")</f>
        <v>#N/A</v>
      </c>
      <c r="AI138" s="31" t="str">
        <f>_xlfn.IFNA(IF(AE138 &lt; (INDEX(SLATable[Minimum SLA],MATCH(G138,SLATable[Priority],0))),"YES","NO"),"")</f>
        <v/>
      </c>
      <c r="AJ138" t="str">
        <f>_xlfn.IFNA(IF(AE138 &lt; (INDEX(SLATable[Maximum SLA],MATCH(G138,SLATable[Priority],0))),"YES","NO"),"")</f>
        <v/>
      </c>
    </row>
    <row r="139" spans="26:36" ht="15" customHeight="1">
      <c r="Z139" s="76" t="e">
        <f t="shared" ca="1" si="16"/>
        <v>#N/A</v>
      </c>
      <c r="AA139" s="75" t="e">
        <f t="shared" ca="1" si="1"/>
        <v>#N/A</v>
      </c>
      <c r="AB139" s="76">
        <f t="shared" ca="1" si="17"/>
        <v>0</v>
      </c>
      <c r="AC139" s="75">
        <f t="shared" ca="1" si="3"/>
        <v>0</v>
      </c>
      <c r="AD139" s="76">
        <f t="shared" ca="1" si="18"/>
        <v>12388.425641550926</v>
      </c>
      <c r="AE139" s="76">
        <f t="shared" si="19"/>
        <v>0</v>
      </c>
      <c r="AF139" s="75">
        <f t="shared" si="6"/>
        <v>0</v>
      </c>
      <c r="AG139" s="75">
        <f t="shared" si="7"/>
        <v>0</v>
      </c>
      <c r="AH139" s="31" t="e" cm="1">
        <f t="array" aca="1" ref="AH139" ca="1">IF((AD139) &lt; (INDEX(ResponseSLA[#All],(MATCH((G139),ResponseSLA[Priority],0))+1,3)),"YES","No")</f>
        <v>#N/A</v>
      </c>
      <c r="AI139" s="31" t="str">
        <f>_xlfn.IFNA(IF(AE139 &lt; (INDEX(SLATable[Minimum SLA],MATCH(G139,SLATable[Priority],0))),"YES","NO"),"")</f>
        <v/>
      </c>
      <c r="AJ139" t="str">
        <f>_xlfn.IFNA(IF(AE139 &lt; (INDEX(SLATable[Maximum SLA],MATCH(G139,SLATable[Priority],0))),"YES","NO"),"")</f>
        <v/>
      </c>
    </row>
    <row r="140" spans="26:36" ht="15" customHeight="1">
      <c r="Z140" s="76" t="e">
        <f t="shared" ca="1" si="16"/>
        <v>#N/A</v>
      </c>
      <c r="AA140" s="75" t="e">
        <f t="shared" ca="1" si="1"/>
        <v>#N/A</v>
      </c>
      <c r="AB140" s="76">
        <f t="shared" ca="1" si="17"/>
        <v>0</v>
      </c>
      <c r="AC140" s="75">
        <f t="shared" ca="1" si="3"/>
        <v>0</v>
      </c>
      <c r="AD140" s="76">
        <f t="shared" ca="1" si="18"/>
        <v>12388.425641435188</v>
      </c>
      <c r="AE140" s="76">
        <f t="shared" si="19"/>
        <v>0</v>
      </c>
      <c r="AF140" s="75">
        <f t="shared" si="6"/>
        <v>0</v>
      </c>
      <c r="AG140" s="75">
        <f t="shared" si="7"/>
        <v>0</v>
      </c>
      <c r="AH140" s="31" t="e" cm="1">
        <f t="array" aca="1" ref="AH140" ca="1">IF((AD140) &lt; (INDEX(ResponseSLA[#All],(MATCH((G140),ResponseSLA[Priority],0))+1,3)),"YES","No")</f>
        <v>#N/A</v>
      </c>
      <c r="AI140" s="31" t="str">
        <f>_xlfn.IFNA(IF(AE140 &lt; (INDEX(SLATable[Minimum SLA],MATCH(G140,SLATable[Priority],0))),"YES","NO"),"")</f>
        <v/>
      </c>
      <c r="AJ140" t="str">
        <f>_xlfn.IFNA(IF(AE140 &lt; (INDEX(SLATable[Maximum SLA],MATCH(G140,SLATable[Priority],0))),"YES","NO"),"")</f>
        <v/>
      </c>
    </row>
    <row r="141" spans="26:36" ht="15" customHeight="1">
      <c r="Z141" s="76" t="e">
        <f t="shared" ca="1" si="16"/>
        <v>#N/A</v>
      </c>
      <c r="AA141" s="75" t="e">
        <f t="shared" ca="1" si="1"/>
        <v>#N/A</v>
      </c>
      <c r="AB141" s="76">
        <f t="shared" ca="1" si="17"/>
        <v>0</v>
      </c>
      <c r="AC141" s="75">
        <f t="shared" ca="1" si="3"/>
        <v>0</v>
      </c>
      <c r="AD141" s="76">
        <f t="shared" ca="1" si="18"/>
        <v>12388.425641435188</v>
      </c>
      <c r="AE141" s="76">
        <f t="shared" si="19"/>
        <v>0</v>
      </c>
      <c r="AF141" s="75">
        <f t="shared" si="6"/>
        <v>0</v>
      </c>
      <c r="AG141" s="75">
        <f t="shared" si="7"/>
        <v>0</v>
      </c>
      <c r="AH141" s="31" t="e" cm="1">
        <f t="array" aca="1" ref="AH141" ca="1">IF((AD141) &lt; (INDEX(ResponseSLA[#All],(MATCH((G141),ResponseSLA[Priority],0))+1,3)),"YES","No")</f>
        <v>#N/A</v>
      </c>
      <c r="AI141" s="31" t="str">
        <f>_xlfn.IFNA(IF(AE141 &lt; (INDEX(SLATable[Minimum SLA],MATCH(G141,SLATable[Priority],0))),"YES","NO"),"")</f>
        <v/>
      </c>
      <c r="AJ141" t="str">
        <f>_xlfn.IFNA(IF(AE141 &lt; (INDEX(SLATable[Maximum SLA],MATCH(G141,SLATable[Priority],0))),"YES","NO"),"")</f>
        <v/>
      </c>
    </row>
    <row r="142" spans="26:36" ht="15" customHeight="1">
      <c r="Z142" s="76" t="e">
        <f t="shared" ca="1" si="16"/>
        <v>#N/A</v>
      </c>
      <c r="AA142" s="75" t="e">
        <f t="shared" ca="1" si="1"/>
        <v>#N/A</v>
      </c>
      <c r="AB142" s="76">
        <f t="shared" ca="1" si="17"/>
        <v>0</v>
      </c>
      <c r="AC142" s="75">
        <f t="shared" ca="1" si="3"/>
        <v>0</v>
      </c>
      <c r="AD142" s="76">
        <f t="shared" ca="1" si="18"/>
        <v>12388.425641550926</v>
      </c>
      <c r="AE142" s="76">
        <f t="shared" si="19"/>
        <v>0</v>
      </c>
      <c r="AF142" s="75">
        <f t="shared" si="6"/>
        <v>0</v>
      </c>
      <c r="AG142" s="75">
        <f t="shared" si="7"/>
        <v>0</v>
      </c>
      <c r="AH142" s="31" t="e" cm="1">
        <f t="array" aca="1" ref="AH142" ca="1">IF((AD142) &lt; (INDEX(ResponseSLA[#All],(MATCH((G142),ResponseSLA[Priority],0))+1,3)),"YES","No")</f>
        <v>#N/A</v>
      </c>
      <c r="AI142" s="31" t="str">
        <f>_xlfn.IFNA(IF(AE142 &lt; (INDEX(SLATable[Minimum SLA],MATCH(G142,SLATable[Priority],0))),"YES","NO"),"")</f>
        <v/>
      </c>
      <c r="AJ142" t="str">
        <f>_xlfn.IFNA(IF(AE142 &lt; (INDEX(SLATable[Maximum SLA],MATCH(G142,SLATable[Priority],0))),"YES","NO"),"")</f>
        <v/>
      </c>
    </row>
    <row r="143" spans="26:36" ht="15" customHeight="1">
      <c r="Z143" s="76" t="e">
        <f t="shared" ca="1" si="16"/>
        <v>#N/A</v>
      </c>
      <c r="AA143" s="75" t="e">
        <f t="shared" ca="1" si="1"/>
        <v>#N/A</v>
      </c>
      <c r="AB143" s="76">
        <f t="shared" ca="1" si="17"/>
        <v>0</v>
      </c>
      <c r="AC143" s="75">
        <f t="shared" ca="1" si="3"/>
        <v>0</v>
      </c>
      <c r="AD143" s="76">
        <f t="shared" ca="1" si="18"/>
        <v>12388.425641435188</v>
      </c>
      <c r="AE143" s="76">
        <f t="shared" si="19"/>
        <v>0</v>
      </c>
      <c r="AF143" s="75">
        <f t="shared" si="6"/>
        <v>0</v>
      </c>
      <c r="AG143" s="75">
        <f t="shared" si="7"/>
        <v>0</v>
      </c>
      <c r="AH143" s="31" t="e" cm="1">
        <f t="array" aca="1" ref="AH143" ca="1">IF((AD143) &lt; (INDEX(ResponseSLA[#All],(MATCH((G143),ResponseSLA[Priority],0))+1,3)),"YES","No")</f>
        <v>#N/A</v>
      </c>
      <c r="AI143" s="31" t="str">
        <f>_xlfn.IFNA(IF(AE143 &lt; (INDEX(SLATable[Minimum SLA],MATCH(G143,SLATable[Priority],0))),"YES","NO"),"")</f>
        <v/>
      </c>
      <c r="AJ143" t="str">
        <f>_xlfn.IFNA(IF(AE143 &lt; (INDEX(SLATable[Maximum SLA],MATCH(G143,SLATable[Priority],0))),"YES","NO"),"")</f>
        <v/>
      </c>
    </row>
    <row r="144" spans="26:36" ht="15" customHeight="1">
      <c r="Z144" s="76" t="e">
        <f t="shared" ca="1" si="16"/>
        <v>#N/A</v>
      </c>
      <c r="AA144" s="75" t="e">
        <f t="shared" ca="1" si="1"/>
        <v>#N/A</v>
      </c>
      <c r="AB144" s="76">
        <f t="shared" ca="1" si="17"/>
        <v>0</v>
      </c>
      <c r="AC144" s="75">
        <f t="shared" ca="1" si="3"/>
        <v>0</v>
      </c>
      <c r="AD144" s="76">
        <f t="shared" ca="1" si="18"/>
        <v>12388.425641435188</v>
      </c>
      <c r="AE144" s="76">
        <f t="shared" si="19"/>
        <v>0</v>
      </c>
      <c r="AF144" s="75">
        <f t="shared" si="6"/>
        <v>0</v>
      </c>
      <c r="AG144" s="75">
        <f t="shared" si="7"/>
        <v>0</v>
      </c>
      <c r="AH144" s="31" t="e" cm="1">
        <f t="array" aca="1" ref="AH144" ca="1">IF((AD144) &lt; (INDEX(ResponseSLA[#All],(MATCH((G144),ResponseSLA[Priority],0))+1,3)),"YES","No")</f>
        <v>#N/A</v>
      </c>
      <c r="AI144" s="31" t="str">
        <f>_xlfn.IFNA(IF(AE144 &lt; (INDEX(SLATable[Minimum SLA],MATCH(G144,SLATable[Priority],0))),"YES","NO"),"")</f>
        <v/>
      </c>
      <c r="AJ144" t="str">
        <f>_xlfn.IFNA(IF(AE144 &lt; (INDEX(SLATable[Maximum SLA],MATCH(G144,SLATable[Priority],0))),"YES","NO"),"")</f>
        <v/>
      </c>
    </row>
    <row r="145" spans="26:36" ht="15" customHeight="1">
      <c r="Z145" s="76" t="e">
        <f t="shared" ca="1" si="16"/>
        <v>#N/A</v>
      </c>
      <c r="AA145" s="75" t="e">
        <f t="shared" ca="1" si="1"/>
        <v>#N/A</v>
      </c>
      <c r="AB145" s="76">
        <f t="shared" ca="1" si="17"/>
        <v>0</v>
      </c>
      <c r="AC145" s="75">
        <f t="shared" ca="1" si="3"/>
        <v>0</v>
      </c>
      <c r="AD145" s="76">
        <f t="shared" ca="1" si="18"/>
        <v>12388.425641550926</v>
      </c>
      <c r="AE145" s="76">
        <f t="shared" si="19"/>
        <v>0</v>
      </c>
      <c r="AF145" s="75">
        <f t="shared" si="6"/>
        <v>0</v>
      </c>
      <c r="AG145" s="75">
        <f t="shared" si="7"/>
        <v>0</v>
      </c>
      <c r="AH145" s="31" t="e" cm="1">
        <f t="array" aca="1" ref="AH145" ca="1">IF((AD145) &lt; (INDEX(ResponseSLA[#All],(MATCH((G145),ResponseSLA[Priority],0))+1,3)),"YES","No")</f>
        <v>#N/A</v>
      </c>
      <c r="AI145" s="31" t="str">
        <f>_xlfn.IFNA(IF(AE145 &lt; (INDEX(SLATable[Minimum SLA],MATCH(G145,SLATable[Priority],0))),"YES","NO"),"")</f>
        <v/>
      </c>
      <c r="AJ145" t="str">
        <f>_xlfn.IFNA(IF(AE145 &lt; (INDEX(SLATable[Maximum SLA],MATCH(G145,SLATable[Priority],0))),"YES","NO"),"")</f>
        <v/>
      </c>
    </row>
    <row r="146" spans="26:36" ht="15" customHeight="1">
      <c r="Z146" s="76" t="e">
        <f t="shared" ca="1" si="16"/>
        <v>#N/A</v>
      </c>
      <c r="AA146" s="75" t="e">
        <f t="shared" ca="1" si="1"/>
        <v>#N/A</v>
      </c>
      <c r="AB146" s="76">
        <f t="shared" ca="1" si="17"/>
        <v>0</v>
      </c>
      <c r="AC146" s="75">
        <f t="shared" ca="1" si="3"/>
        <v>0</v>
      </c>
      <c r="AD146" s="76">
        <f t="shared" ca="1" si="18"/>
        <v>12388.425641435188</v>
      </c>
      <c r="AE146" s="76">
        <f t="shared" si="19"/>
        <v>0</v>
      </c>
      <c r="AF146" s="75">
        <f t="shared" si="6"/>
        <v>0</v>
      </c>
      <c r="AG146" s="75">
        <f t="shared" si="7"/>
        <v>0</v>
      </c>
      <c r="AH146" s="31" t="e" cm="1">
        <f t="array" aca="1" ref="AH146" ca="1">IF((AD146) &lt; (INDEX(ResponseSLA[#All],(MATCH((G146),ResponseSLA[Priority],0))+1,3)),"YES","No")</f>
        <v>#N/A</v>
      </c>
      <c r="AI146" s="31" t="str">
        <f>_xlfn.IFNA(IF(AE146 &lt; (INDEX(SLATable[Minimum SLA],MATCH(G146,SLATable[Priority],0))),"YES","NO"),"")</f>
        <v/>
      </c>
      <c r="AJ146" t="str">
        <f>_xlfn.IFNA(IF(AE146 &lt; (INDEX(SLATable[Maximum SLA],MATCH(G146,SLATable[Priority],0))),"YES","NO"),"")</f>
        <v/>
      </c>
    </row>
    <row r="147" spans="26:36" ht="15" customHeight="1">
      <c r="Z147" s="76" t="e">
        <f t="shared" ca="1" si="16"/>
        <v>#N/A</v>
      </c>
      <c r="AA147" s="75" t="e">
        <f t="shared" ca="1" si="1"/>
        <v>#N/A</v>
      </c>
      <c r="AB147" s="76">
        <f t="shared" ca="1" si="17"/>
        <v>0</v>
      </c>
      <c r="AC147" s="75">
        <f t="shared" ca="1" si="3"/>
        <v>0</v>
      </c>
      <c r="AD147" s="76">
        <f t="shared" ca="1" si="18"/>
        <v>12388.425641435188</v>
      </c>
      <c r="AE147" s="76">
        <f t="shared" si="19"/>
        <v>0</v>
      </c>
      <c r="AF147" s="75">
        <f t="shared" si="6"/>
        <v>0</v>
      </c>
      <c r="AG147" s="75">
        <f t="shared" si="7"/>
        <v>0</v>
      </c>
      <c r="AH147" s="31" t="e" cm="1">
        <f t="array" aca="1" ref="AH147" ca="1">IF((AD147) &lt; (INDEX(ResponseSLA[#All],(MATCH((G147),ResponseSLA[Priority],0))+1,3)),"YES","No")</f>
        <v>#N/A</v>
      </c>
      <c r="AI147" s="31" t="str">
        <f>_xlfn.IFNA(IF(AE147 &lt; (INDEX(SLATable[Minimum SLA],MATCH(G147,SLATable[Priority],0))),"YES","NO"),"")</f>
        <v/>
      </c>
      <c r="AJ147" t="str">
        <f>_xlfn.IFNA(IF(AE147 &lt; (INDEX(SLATable[Maximum SLA],MATCH(G147,SLATable[Priority],0))),"YES","NO"),"")</f>
        <v/>
      </c>
    </row>
    <row r="148" spans="26:36" ht="15" customHeight="1">
      <c r="Z148" s="76" t="e">
        <f t="shared" ca="1" si="16"/>
        <v>#N/A</v>
      </c>
      <c r="AA148" s="75" t="e">
        <f t="shared" ca="1" si="1"/>
        <v>#N/A</v>
      </c>
      <c r="AB148" s="76">
        <f t="shared" ca="1" si="17"/>
        <v>0</v>
      </c>
      <c r="AC148" s="75">
        <f t="shared" ca="1" si="3"/>
        <v>0</v>
      </c>
      <c r="AD148" s="76">
        <f t="shared" ca="1" si="18"/>
        <v>12388.425641550926</v>
      </c>
      <c r="AE148" s="76">
        <f t="shared" si="19"/>
        <v>0</v>
      </c>
      <c r="AF148" s="75">
        <f t="shared" si="6"/>
        <v>0</v>
      </c>
      <c r="AG148" s="75">
        <f t="shared" si="7"/>
        <v>0</v>
      </c>
      <c r="AH148" s="31" t="e" cm="1">
        <f t="array" aca="1" ref="AH148" ca="1">IF((AD148) &lt; (INDEX(ResponseSLA[#All],(MATCH((G148),ResponseSLA[Priority],0))+1,3)),"YES","No")</f>
        <v>#N/A</v>
      </c>
      <c r="AI148" s="31" t="str">
        <f>_xlfn.IFNA(IF(AE148 &lt; (INDEX(SLATable[Minimum SLA],MATCH(G148,SLATable[Priority],0))),"YES","NO"),"")</f>
        <v/>
      </c>
      <c r="AJ148" t="str">
        <f>_xlfn.IFNA(IF(AE148 &lt; (INDEX(SLATable[Maximum SLA],MATCH(G148,SLATable[Priority],0))),"YES","NO"),"")</f>
        <v/>
      </c>
    </row>
    <row r="149" spans="26:36" ht="15" customHeight="1">
      <c r="Z149" s="76" t="e">
        <f t="shared" ca="1" si="16"/>
        <v>#N/A</v>
      </c>
      <c r="AA149" s="75" t="e">
        <f t="shared" ca="1" si="1"/>
        <v>#N/A</v>
      </c>
      <c r="AB149" s="76">
        <f t="shared" ca="1" si="17"/>
        <v>0</v>
      </c>
      <c r="AC149" s="75">
        <f t="shared" ca="1" si="3"/>
        <v>0</v>
      </c>
      <c r="AD149" s="76">
        <f t="shared" ca="1" si="18"/>
        <v>12388.425641435188</v>
      </c>
      <c r="AE149" s="76">
        <f t="shared" si="19"/>
        <v>0</v>
      </c>
      <c r="AF149" s="75">
        <f t="shared" si="6"/>
        <v>0</v>
      </c>
      <c r="AG149" s="75">
        <f t="shared" si="7"/>
        <v>0</v>
      </c>
      <c r="AH149" s="31" t="e" cm="1">
        <f t="array" aca="1" ref="AH149" ca="1">IF((AD149) &lt; (INDEX(ResponseSLA[#All],(MATCH((G149),ResponseSLA[Priority],0))+1,3)),"YES","No")</f>
        <v>#N/A</v>
      </c>
      <c r="AI149" s="31" t="str">
        <f>_xlfn.IFNA(IF(AE149 &lt; (INDEX(SLATable[Minimum SLA],MATCH(G149,SLATable[Priority],0))),"YES","NO"),"")</f>
        <v/>
      </c>
      <c r="AJ149" t="str">
        <f>_xlfn.IFNA(IF(AE149 &lt; (INDEX(SLATable[Maximum SLA],MATCH(G149,SLATable[Priority],0))),"YES","NO"),"")</f>
        <v/>
      </c>
    </row>
    <row r="150" spans="26:36" ht="15" customHeight="1">
      <c r="Z150" s="76" t="e">
        <f t="shared" ca="1" si="16"/>
        <v>#N/A</v>
      </c>
      <c r="AA150" s="75" t="e">
        <f t="shared" ca="1" si="1"/>
        <v>#N/A</v>
      </c>
      <c r="AB150" s="76">
        <f t="shared" ca="1" si="17"/>
        <v>0</v>
      </c>
      <c r="AC150" s="75">
        <f t="shared" ca="1" si="3"/>
        <v>0</v>
      </c>
      <c r="AD150" s="76">
        <f t="shared" ca="1" si="18"/>
        <v>12388.425641435188</v>
      </c>
      <c r="AE150" s="76">
        <f t="shared" si="19"/>
        <v>0</v>
      </c>
      <c r="AF150" s="75">
        <f t="shared" si="6"/>
        <v>0</v>
      </c>
      <c r="AG150" s="75">
        <f t="shared" si="7"/>
        <v>0</v>
      </c>
      <c r="AH150" s="31" t="e" cm="1">
        <f t="array" aca="1" ref="AH150" ca="1">IF((AD150) &lt; (INDEX(ResponseSLA[#All],(MATCH((G150),ResponseSLA[Priority],0))+1,3)),"YES","No")</f>
        <v>#N/A</v>
      </c>
      <c r="AI150" s="31" t="str">
        <f>_xlfn.IFNA(IF(AE150 &lt; (INDEX(SLATable[Minimum SLA],MATCH(G150,SLATable[Priority],0))),"YES","NO"),"")</f>
        <v/>
      </c>
      <c r="AJ150" t="str">
        <f>_xlfn.IFNA(IF(AE150 &lt; (INDEX(SLATable[Maximum SLA],MATCH(G150,SLATable[Priority],0))),"YES","NO"),"")</f>
        <v/>
      </c>
    </row>
    <row r="151" spans="26:36" ht="15" customHeight="1">
      <c r="Z151" s="76" t="e">
        <f t="shared" ca="1" si="16"/>
        <v>#N/A</v>
      </c>
      <c r="AA151" s="75" t="e">
        <f t="shared" ca="1" si="1"/>
        <v>#N/A</v>
      </c>
      <c r="AB151" s="76">
        <f t="shared" ca="1" si="17"/>
        <v>0</v>
      </c>
      <c r="AC151" s="75">
        <f t="shared" ca="1" si="3"/>
        <v>0</v>
      </c>
      <c r="AD151" s="76">
        <f t="shared" ca="1" si="18"/>
        <v>12388.425641550926</v>
      </c>
      <c r="AE151" s="76">
        <f t="shared" si="19"/>
        <v>0</v>
      </c>
      <c r="AF151" s="75">
        <f t="shared" si="6"/>
        <v>0</v>
      </c>
      <c r="AG151" s="75">
        <f t="shared" si="7"/>
        <v>0</v>
      </c>
      <c r="AH151" s="31" t="e" cm="1">
        <f t="array" aca="1" ref="AH151" ca="1">IF((AD151) &lt; (INDEX(ResponseSLA[#All],(MATCH((G151),ResponseSLA[Priority],0))+1,3)),"YES","No")</f>
        <v>#N/A</v>
      </c>
      <c r="AI151" s="31" t="str">
        <f>_xlfn.IFNA(IF(AE151 &lt; (INDEX(SLATable[Minimum SLA],MATCH(G151,SLATable[Priority],0))),"YES","NO"),"")</f>
        <v/>
      </c>
      <c r="AJ151" t="str">
        <f>_xlfn.IFNA(IF(AE151 &lt; (INDEX(SLATable[Maximum SLA],MATCH(G151,SLATable[Priority],0))),"YES","NO"),"")</f>
        <v/>
      </c>
    </row>
    <row r="152" spans="26:36" ht="15" customHeight="1">
      <c r="Z152" s="76" t="e">
        <f t="shared" ca="1" si="16"/>
        <v>#N/A</v>
      </c>
      <c r="AA152" s="75" t="e">
        <f t="shared" ca="1" si="1"/>
        <v>#N/A</v>
      </c>
      <c r="AB152" s="76">
        <f t="shared" ca="1" si="17"/>
        <v>0</v>
      </c>
      <c r="AC152" s="75">
        <f t="shared" ca="1" si="3"/>
        <v>0</v>
      </c>
      <c r="AD152" s="76">
        <f t="shared" ca="1" si="18"/>
        <v>12388.425641435188</v>
      </c>
      <c r="AE152" s="76">
        <f t="shared" si="19"/>
        <v>0</v>
      </c>
      <c r="AF152" s="75">
        <f t="shared" si="6"/>
        <v>0</v>
      </c>
      <c r="AG152" s="75">
        <f t="shared" si="7"/>
        <v>0</v>
      </c>
      <c r="AH152" s="31" t="e" cm="1">
        <f t="array" aca="1" ref="AH152" ca="1">IF((AD152) &lt; (INDEX(ResponseSLA[#All],(MATCH((G152),ResponseSLA[Priority],0))+1,3)),"YES","No")</f>
        <v>#N/A</v>
      </c>
      <c r="AI152" s="31" t="str">
        <f>_xlfn.IFNA(IF(AE152 &lt; (INDEX(SLATable[Minimum SLA],MATCH(G152,SLATable[Priority],0))),"YES","NO"),"")</f>
        <v/>
      </c>
      <c r="AJ152" t="str">
        <f>_xlfn.IFNA(IF(AE152 &lt; (INDEX(SLATable[Maximum SLA],MATCH(G152,SLATable[Priority],0))),"YES","NO"),"")</f>
        <v/>
      </c>
    </row>
    <row r="153" spans="26:36" ht="15" customHeight="1">
      <c r="Z153" s="76" t="e">
        <f t="shared" ca="1" si="16"/>
        <v>#N/A</v>
      </c>
      <c r="AA153" s="75" t="e">
        <f t="shared" ca="1" si="1"/>
        <v>#N/A</v>
      </c>
      <c r="AB153" s="76">
        <f t="shared" ca="1" si="17"/>
        <v>0</v>
      </c>
      <c r="AC153" s="75">
        <f t="shared" ca="1" si="3"/>
        <v>0</v>
      </c>
      <c r="AD153" s="76">
        <f t="shared" ca="1" si="18"/>
        <v>12388.425641435188</v>
      </c>
      <c r="AE153" s="76">
        <f t="shared" si="19"/>
        <v>0</v>
      </c>
      <c r="AF153" s="75">
        <f t="shared" si="6"/>
        <v>0</v>
      </c>
      <c r="AG153" s="75">
        <f t="shared" si="7"/>
        <v>0</v>
      </c>
      <c r="AH153" s="31" t="e" cm="1">
        <f t="array" aca="1" ref="AH153" ca="1">IF((AD153) &lt; (INDEX(ResponseSLA[#All],(MATCH((G153),ResponseSLA[Priority],0))+1,3)),"YES","No")</f>
        <v>#N/A</v>
      </c>
      <c r="AI153" s="31" t="str">
        <f>_xlfn.IFNA(IF(AE153 &lt; (INDEX(SLATable[Minimum SLA],MATCH(G153,SLATable[Priority],0))),"YES","NO"),"")</f>
        <v/>
      </c>
      <c r="AJ153" t="str">
        <f>_xlfn.IFNA(IF(AE153 &lt; (INDEX(SLATable[Maximum SLA],MATCH(G153,SLATable[Priority],0))),"YES","NO"),"")</f>
        <v/>
      </c>
    </row>
    <row r="154" spans="26:36" ht="15" customHeight="1">
      <c r="Z154" s="76" t="e">
        <f t="shared" ca="1" si="16"/>
        <v>#N/A</v>
      </c>
      <c r="AA154" s="75" t="e">
        <f t="shared" ca="1" si="1"/>
        <v>#N/A</v>
      </c>
      <c r="AB154" s="76">
        <f t="shared" ca="1" si="17"/>
        <v>0</v>
      </c>
      <c r="AC154" s="75">
        <f t="shared" ca="1" si="3"/>
        <v>0</v>
      </c>
      <c r="AD154" s="76">
        <f t="shared" ca="1" si="18"/>
        <v>12388.425641550926</v>
      </c>
      <c r="AE154" s="76">
        <f t="shared" si="19"/>
        <v>0</v>
      </c>
      <c r="AF154" s="75">
        <f t="shared" si="6"/>
        <v>0</v>
      </c>
      <c r="AG154" s="75">
        <f t="shared" si="7"/>
        <v>0</v>
      </c>
      <c r="AH154" s="31" t="e" cm="1">
        <f t="array" aca="1" ref="AH154" ca="1">IF((AD154) &lt; (INDEX(ResponseSLA[#All],(MATCH((G154),ResponseSLA[Priority],0))+1,3)),"YES","No")</f>
        <v>#N/A</v>
      </c>
      <c r="AI154" s="31" t="str">
        <f>_xlfn.IFNA(IF(AE154 &lt; (INDEX(SLATable[Minimum SLA],MATCH(G154,SLATable[Priority],0))),"YES","NO"),"")</f>
        <v/>
      </c>
      <c r="AJ154" t="str">
        <f>_xlfn.IFNA(IF(AE154 &lt; (INDEX(SLATable[Maximum SLA],MATCH(G154,SLATable[Priority],0))),"YES","NO"),"")</f>
        <v/>
      </c>
    </row>
    <row r="155" spans="26:36" ht="15" customHeight="1">
      <c r="Z155" s="76" t="e">
        <f t="shared" ca="1" si="16"/>
        <v>#N/A</v>
      </c>
      <c r="AA155" s="75" t="e">
        <f t="shared" ca="1" si="1"/>
        <v>#N/A</v>
      </c>
      <c r="AB155" s="76">
        <f t="shared" ca="1" si="17"/>
        <v>0</v>
      </c>
      <c r="AC155" s="75">
        <f t="shared" ca="1" si="3"/>
        <v>0</v>
      </c>
      <c r="AD155" s="76">
        <f t="shared" ca="1" si="18"/>
        <v>12388.425641435188</v>
      </c>
      <c r="AE155" s="76">
        <f t="shared" si="19"/>
        <v>0</v>
      </c>
      <c r="AF155" s="75">
        <f t="shared" si="6"/>
        <v>0</v>
      </c>
      <c r="AG155" s="75">
        <f t="shared" si="7"/>
        <v>0</v>
      </c>
      <c r="AH155" s="31" t="e" cm="1">
        <f t="array" aca="1" ref="AH155" ca="1">IF((AD155) &lt; (INDEX(ResponseSLA[#All],(MATCH((G155),ResponseSLA[Priority],0))+1,3)),"YES","No")</f>
        <v>#N/A</v>
      </c>
      <c r="AI155" s="31" t="str">
        <f>_xlfn.IFNA(IF(AE155 &lt; (INDEX(SLATable[Minimum SLA],MATCH(G155,SLATable[Priority],0))),"YES","NO"),"")</f>
        <v/>
      </c>
      <c r="AJ155" t="str">
        <f>_xlfn.IFNA(IF(AE155 &lt; (INDEX(SLATable[Maximum SLA],MATCH(G155,SLATable[Priority],0))),"YES","NO"),"")</f>
        <v/>
      </c>
    </row>
    <row r="156" spans="26:36" ht="15" customHeight="1">
      <c r="Z156" s="76" t="e">
        <f t="shared" ca="1" si="16"/>
        <v>#N/A</v>
      </c>
      <c r="AA156" s="75" t="e">
        <f t="shared" ca="1" si="1"/>
        <v>#N/A</v>
      </c>
      <c r="AB156" s="76">
        <f t="shared" ca="1" si="17"/>
        <v>0</v>
      </c>
      <c r="AC156" s="75">
        <f t="shared" ca="1" si="3"/>
        <v>0</v>
      </c>
      <c r="AD156" s="76">
        <f t="shared" ca="1" si="18"/>
        <v>12388.425641435188</v>
      </c>
      <c r="AE156" s="76">
        <f t="shared" si="19"/>
        <v>0</v>
      </c>
      <c r="AF156" s="75">
        <f t="shared" si="6"/>
        <v>0</v>
      </c>
      <c r="AG156" s="75">
        <f t="shared" si="7"/>
        <v>0</v>
      </c>
      <c r="AH156" s="31" t="e" cm="1">
        <f t="array" aca="1" ref="AH156" ca="1">IF((AD156) &lt; (INDEX(ResponseSLA[#All],(MATCH((G156),ResponseSLA[Priority],0))+1,3)),"YES","No")</f>
        <v>#N/A</v>
      </c>
      <c r="AI156" s="31" t="str">
        <f>_xlfn.IFNA(IF(AE156 &lt; (INDEX(SLATable[Minimum SLA],MATCH(G156,SLATable[Priority],0))),"YES","NO"),"")</f>
        <v/>
      </c>
      <c r="AJ156" t="str">
        <f>_xlfn.IFNA(IF(AE156 &lt; (INDEX(SLATable[Maximum SLA],MATCH(G156,SLATable[Priority],0))),"YES","NO"),"")</f>
        <v/>
      </c>
    </row>
    <row r="157" spans="26:36" ht="15" customHeight="1">
      <c r="Z157" s="76" t="e">
        <f t="shared" ca="1" si="16"/>
        <v>#N/A</v>
      </c>
      <c r="AA157" s="75" t="e">
        <f t="shared" ca="1" si="1"/>
        <v>#N/A</v>
      </c>
      <c r="AB157" s="76">
        <f t="shared" ca="1" si="17"/>
        <v>0</v>
      </c>
      <c r="AC157" s="75">
        <f t="shared" ca="1" si="3"/>
        <v>0</v>
      </c>
      <c r="AD157" s="76">
        <f t="shared" ca="1" si="18"/>
        <v>12388.425641550926</v>
      </c>
      <c r="AE157" s="76">
        <f t="shared" si="19"/>
        <v>0</v>
      </c>
      <c r="AF157" s="75">
        <f t="shared" si="6"/>
        <v>0</v>
      </c>
      <c r="AG157" s="75">
        <f t="shared" si="7"/>
        <v>0</v>
      </c>
      <c r="AH157" s="31" t="e" cm="1">
        <f t="array" aca="1" ref="AH157" ca="1">IF((AD157) &lt; (INDEX(ResponseSLA[#All],(MATCH((G157),ResponseSLA[Priority],0))+1,3)),"YES","No")</f>
        <v>#N/A</v>
      </c>
      <c r="AI157" s="31" t="str">
        <f>_xlfn.IFNA(IF(AE157 &lt; (INDEX(SLATable[Minimum SLA],MATCH(G157,SLATable[Priority],0))),"YES","NO"),"")</f>
        <v/>
      </c>
      <c r="AJ157" t="str">
        <f>_xlfn.IFNA(IF(AE157 &lt; (INDEX(SLATable[Maximum SLA],MATCH(G157,SLATable[Priority],0))),"YES","NO"),"")</f>
        <v/>
      </c>
    </row>
    <row r="158" spans="26:36" ht="15" customHeight="1">
      <c r="Z158" s="76" t="e">
        <f t="shared" ca="1" si="16"/>
        <v>#N/A</v>
      </c>
      <c r="AA158" s="75" t="e">
        <f t="shared" ca="1" si="1"/>
        <v>#N/A</v>
      </c>
      <c r="AB158" s="76">
        <f t="shared" ca="1" si="17"/>
        <v>0</v>
      </c>
      <c r="AC158" s="75">
        <f t="shared" ca="1" si="3"/>
        <v>0</v>
      </c>
      <c r="AD158" s="76">
        <f t="shared" ca="1" si="18"/>
        <v>12388.425641435188</v>
      </c>
      <c r="AE158" s="76">
        <f t="shared" si="19"/>
        <v>0</v>
      </c>
      <c r="AF158" s="75">
        <f t="shared" si="6"/>
        <v>0</v>
      </c>
      <c r="AG158" s="75">
        <f t="shared" si="7"/>
        <v>0</v>
      </c>
      <c r="AH158" s="31" t="e" cm="1">
        <f t="array" aca="1" ref="AH158" ca="1">IF((AD158) &lt; (INDEX(ResponseSLA[#All],(MATCH((G158),ResponseSLA[Priority],0))+1,3)),"YES","No")</f>
        <v>#N/A</v>
      </c>
      <c r="AI158" s="31" t="str">
        <f>_xlfn.IFNA(IF(AE158 &lt; (INDEX(SLATable[Minimum SLA],MATCH(G158,SLATable[Priority],0))),"YES","NO"),"")</f>
        <v/>
      </c>
      <c r="AJ158" t="str">
        <f>_xlfn.IFNA(IF(AE158 &lt; (INDEX(SLATable[Maximum SLA],MATCH(G158,SLATable[Priority],0))),"YES","NO"),"")</f>
        <v/>
      </c>
    </row>
    <row r="159" spans="26:36" ht="15" customHeight="1">
      <c r="Z159" s="76" t="e">
        <f t="shared" ca="1" si="16"/>
        <v>#N/A</v>
      </c>
      <c r="AA159" s="75" t="e">
        <f t="shared" ca="1" si="1"/>
        <v>#N/A</v>
      </c>
      <c r="AB159" s="76">
        <f t="shared" ca="1" si="17"/>
        <v>0</v>
      </c>
      <c r="AC159" s="75">
        <f t="shared" ca="1" si="3"/>
        <v>0</v>
      </c>
      <c r="AD159" s="76">
        <f t="shared" ca="1" si="18"/>
        <v>12388.425641435188</v>
      </c>
      <c r="AE159" s="76">
        <f t="shared" si="19"/>
        <v>0</v>
      </c>
      <c r="AF159" s="75">
        <f t="shared" si="6"/>
        <v>0</v>
      </c>
      <c r="AG159" s="75">
        <f t="shared" si="7"/>
        <v>0</v>
      </c>
      <c r="AH159" s="31" t="e" cm="1">
        <f t="array" aca="1" ref="AH159" ca="1">IF((AD159) &lt; (INDEX(ResponseSLA[#All],(MATCH((G159),ResponseSLA[Priority],0))+1,3)),"YES","No")</f>
        <v>#N/A</v>
      </c>
      <c r="AI159" s="31" t="str">
        <f>_xlfn.IFNA(IF(AE159 &lt; (INDEX(SLATable[Minimum SLA],MATCH(G159,SLATable[Priority],0))),"YES","NO"),"")</f>
        <v/>
      </c>
      <c r="AJ159" t="str">
        <f>_xlfn.IFNA(IF(AE159 &lt; (INDEX(SLATable[Maximum SLA],MATCH(G159,SLATable[Priority],0))),"YES","NO"),"")</f>
        <v/>
      </c>
    </row>
    <row r="160" spans="26:36" ht="15" customHeight="1">
      <c r="Z160" s="76" t="e">
        <f t="shared" ca="1" si="16"/>
        <v>#N/A</v>
      </c>
      <c r="AA160" s="75" t="e">
        <f t="shared" ca="1" si="1"/>
        <v>#N/A</v>
      </c>
      <c r="AB160" s="76">
        <f t="shared" ca="1" si="17"/>
        <v>0</v>
      </c>
      <c r="AC160" s="75">
        <f t="shared" ca="1" si="3"/>
        <v>0</v>
      </c>
      <c r="AD160" s="76">
        <f t="shared" ca="1" si="18"/>
        <v>12388.425641550926</v>
      </c>
      <c r="AE160" s="76">
        <f t="shared" si="19"/>
        <v>0</v>
      </c>
      <c r="AF160" s="75">
        <f t="shared" si="6"/>
        <v>0</v>
      </c>
      <c r="AG160" s="75">
        <f t="shared" si="7"/>
        <v>0</v>
      </c>
      <c r="AH160" s="31" t="e" cm="1">
        <f t="array" aca="1" ref="AH160" ca="1">IF((AD160) &lt; (INDEX(ResponseSLA[#All],(MATCH((G160),ResponseSLA[Priority],0))+1,3)),"YES","No")</f>
        <v>#N/A</v>
      </c>
      <c r="AI160" s="31" t="str">
        <f>_xlfn.IFNA(IF(AE160 &lt; (INDEX(SLATable[Minimum SLA],MATCH(G160,SLATable[Priority],0))),"YES","NO"),"")</f>
        <v/>
      </c>
      <c r="AJ160" t="str">
        <f>_xlfn.IFNA(IF(AE160 &lt; (INDEX(SLATable[Maximum SLA],MATCH(G160,SLATable[Priority],0))),"YES","NO"),"")</f>
        <v/>
      </c>
    </row>
    <row r="161" spans="26:36" ht="15" customHeight="1">
      <c r="Z161" s="76" t="e">
        <f t="shared" ca="1" si="16"/>
        <v>#N/A</v>
      </c>
      <c r="AA161" s="75" t="e">
        <f t="shared" ca="1" si="1"/>
        <v>#N/A</v>
      </c>
      <c r="AB161" s="76">
        <f t="shared" ca="1" si="17"/>
        <v>0</v>
      </c>
      <c r="AC161" s="75">
        <f t="shared" ca="1" si="3"/>
        <v>0</v>
      </c>
      <c r="AD161" s="76">
        <f t="shared" ca="1" si="18"/>
        <v>12388.425641435188</v>
      </c>
      <c r="AE161" s="76">
        <f t="shared" si="19"/>
        <v>0</v>
      </c>
      <c r="AF161" s="75">
        <f t="shared" si="6"/>
        <v>0</v>
      </c>
      <c r="AG161" s="75">
        <f t="shared" si="7"/>
        <v>0</v>
      </c>
      <c r="AH161" s="31" t="e" cm="1">
        <f t="array" aca="1" ref="AH161" ca="1">IF((AD161) &lt; (INDEX(ResponseSLA[#All],(MATCH((G161),ResponseSLA[Priority],0))+1,3)),"YES","No")</f>
        <v>#N/A</v>
      </c>
      <c r="AI161" s="31" t="str">
        <f>_xlfn.IFNA(IF(AE161 &lt; (INDEX(SLATable[Minimum SLA],MATCH(G161,SLATable[Priority],0))),"YES","NO"),"")</f>
        <v/>
      </c>
      <c r="AJ161" t="str">
        <f>_xlfn.IFNA(IF(AE161 &lt; (INDEX(SLATable[Maximum SLA],MATCH(G161,SLATable[Priority],0))),"YES","NO"),"")</f>
        <v/>
      </c>
    </row>
    <row r="162" spans="26:36" ht="15" customHeight="1">
      <c r="Z162" s="76" t="e">
        <f t="shared" ca="1" si="16"/>
        <v>#N/A</v>
      </c>
      <c r="AA162" s="75" t="e">
        <f t="shared" ca="1" si="1"/>
        <v>#N/A</v>
      </c>
      <c r="AB162" s="76">
        <f t="shared" ca="1" si="17"/>
        <v>0</v>
      </c>
      <c r="AC162" s="75">
        <f t="shared" ca="1" si="3"/>
        <v>0</v>
      </c>
      <c r="AD162" s="76">
        <f t="shared" ca="1" si="18"/>
        <v>12388.425641435188</v>
      </c>
      <c r="AE162" s="76">
        <f t="shared" si="19"/>
        <v>0</v>
      </c>
      <c r="AF162" s="75">
        <f t="shared" si="6"/>
        <v>0</v>
      </c>
      <c r="AG162" s="75">
        <f t="shared" si="7"/>
        <v>0</v>
      </c>
      <c r="AH162" s="31" t="e" cm="1">
        <f t="array" aca="1" ref="AH162" ca="1">IF((AD162) &lt; (INDEX(ResponseSLA[#All],(MATCH((G162),ResponseSLA[Priority],0))+1,3)),"YES","No")</f>
        <v>#N/A</v>
      </c>
      <c r="AI162" s="31" t="str">
        <f>_xlfn.IFNA(IF(AE162 &lt; (INDEX(SLATable[Minimum SLA],MATCH(G162,SLATable[Priority],0))),"YES","NO"),"")</f>
        <v/>
      </c>
      <c r="AJ162" t="str">
        <f>_xlfn.IFNA(IF(AE162 &lt; (INDEX(SLATable[Maximum SLA],MATCH(G162,SLATable[Priority],0))),"YES","NO"),"")</f>
        <v/>
      </c>
    </row>
    <row r="163" spans="26:36" ht="15" customHeight="1">
      <c r="Z163" s="76" t="e">
        <f t="shared" ca="1" si="16"/>
        <v>#N/A</v>
      </c>
      <c r="AA163" s="75" t="e">
        <f t="shared" ca="1" si="1"/>
        <v>#N/A</v>
      </c>
      <c r="AB163" s="76">
        <f t="shared" ca="1" si="17"/>
        <v>0</v>
      </c>
      <c r="AC163" s="75">
        <f t="shared" ca="1" si="3"/>
        <v>0</v>
      </c>
      <c r="AD163" s="76">
        <f t="shared" ca="1" si="18"/>
        <v>12388.425641550926</v>
      </c>
      <c r="AE163" s="76">
        <f t="shared" si="19"/>
        <v>0</v>
      </c>
      <c r="AF163" s="75">
        <f t="shared" si="6"/>
        <v>0</v>
      </c>
      <c r="AG163" s="75">
        <f t="shared" si="7"/>
        <v>0</v>
      </c>
      <c r="AH163" s="31" t="e" cm="1">
        <f t="array" aca="1" ref="AH163" ca="1">IF((AD163) &lt; (INDEX(ResponseSLA[#All],(MATCH((G163),ResponseSLA[Priority],0))+1,3)),"YES","No")</f>
        <v>#N/A</v>
      </c>
      <c r="AI163" s="31" t="str">
        <f>_xlfn.IFNA(IF(AE163 &lt; (INDEX(SLATable[Minimum SLA],MATCH(G163,SLATable[Priority],0))),"YES","NO"),"")</f>
        <v/>
      </c>
      <c r="AJ163" t="str">
        <f>_xlfn.IFNA(IF(AE163 &lt; (INDEX(SLATable[Maximum SLA],MATCH(G163,SLATable[Priority],0))),"YES","NO"),"")</f>
        <v/>
      </c>
    </row>
    <row r="164" spans="26:36" ht="15" customHeight="1">
      <c r="Z164" s="76" t="e">
        <f t="shared" ca="1" si="16"/>
        <v>#N/A</v>
      </c>
      <c r="AA164" s="75" t="e">
        <f t="shared" ca="1" si="1"/>
        <v>#N/A</v>
      </c>
      <c r="AB164" s="76">
        <f t="shared" ca="1" si="17"/>
        <v>0</v>
      </c>
      <c r="AC164" s="75">
        <f t="shared" ca="1" si="3"/>
        <v>0</v>
      </c>
      <c r="AD164" s="76">
        <f t="shared" ca="1" si="18"/>
        <v>12388.425641435188</v>
      </c>
      <c r="AE164" s="76">
        <f t="shared" si="19"/>
        <v>0</v>
      </c>
      <c r="AF164" s="75">
        <f t="shared" si="6"/>
        <v>0</v>
      </c>
      <c r="AG164" s="75">
        <f t="shared" si="7"/>
        <v>0</v>
      </c>
      <c r="AH164" s="31" t="e" cm="1">
        <f t="array" aca="1" ref="AH164" ca="1">IF((AD164) &lt; (INDEX(ResponseSLA[#All],(MATCH((G164),ResponseSLA[Priority],0))+1,3)),"YES","No")</f>
        <v>#N/A</v>
      </c>
      <c r="AI164" s="31" t="str">
        <f>_xlfn.IFNA(IF(AE164 &lt; (INDEX(SLATable[Minimum SLA],MATCH(G164,SLATable[Priority],0))),"YES","NO"),"")</f>
        <v/>
      </c>
      <c r="AJ164" t="str">
        <f>_xlfn.IFNA(IF(AE164 &lt; (INDEX(SLATable[Maximum SLA],MATCH(G164,SLATable[Priority],0))),"YES","NO"),"")</f>
        <v/>
      </c>
    </row>
    <row r="165" spans="26:36" ht="15" customHeight="1">
      <c r="Z165" s="76" t="e">
        <f t="shared" ca="1" si="16"/>
        <v>#N/A</v>
      </c>
      <c r="AA165" s="75" t="e">
        <f t="shared" ca="1" si="1"/>
        <v>#N/A</v>
      </c>
      <c r="AB165" s="76">
        <f t="shared" ca="1" si="17"/>
        <v>0</v>
      </c>
      <c r="AC165" s="75">
        <f t="shared" ca="1" si="3"/>
        <v>0</v>
      </c>
      <c r="AD165" s="76">
        <f t="shared" ca="1" si="18"/>
        <v>12388.425641435188</v>
      </c>
      <c r="AE165" s="76">
        <f t="shared" si="19"/>
        <v>0</v>
      </c>
      <c r="AF165" s="75">
        <f t="shared" si="6"/>
        <v>0</v>
      </c>
      <c r="AG165" s="75">
        <f t="shared" si="7"/>
        <v>0</v>
      </c>
      <c r="AH165" s="31" t="e" cm="1">
        <f t="array" aca="1" ref="AH165" ca="1">IF((AD165) &lt; (INDEX(ResponseSLA[#All],(MATCH((G165),ResponseSLA[Priority],0))+1,3)),"YES","No")</f>
        <v>#N/A</v>
      </c>
      <c r="AI165" s="31" t="str">
        <f>_xlfn.IFNA(IF(AE165 &lt; (INDEX(SLATable[Minimum SLA],MATCH(G165,SLATable[Priority],0))),"YES","NO"),"")</f>
        <v/>
      </c>
      <c r="AJ165" t="str">
        <f>_xlfn.IFNA(IF(AE165 &lt; (INDEX(SLATable[Maximum SLA],MATCH(G165,SLATable[Priority],0))),"YES","NO"),"")</f>
        <v/>
      </c>
    </row>
    <row r="166" spans="26:36" ht="15" customHeight="1">
      <c r="Z166" s="76" t="e">
        <f t="shared" ca="1" si="16"/>
        <v>#N/A</v>
      </c>
      <c r="AA166" s="75" t="e">
        <f t="shared" ca="1" si="1"/>
        <v>#N/A</v>
      </c>
      <c r="AB166" s="76">
        <f t="shared" ca="1" si="17"/>
        <v>0</v>
      </c>
      <c r="AC166" s="75">
        <f t="shared" ca="1" si="3"/>
        <v>0</v>
      </c>
      <c r="AD166" s="76">
        <f t="shared" ca="1" si="18"/>
        <v>12388.425641550926</v>
      </c>
      <c r="AE166" s="76">
        <f t="shared" si="19"/>
        <v>0</v>
      </c>
      <c r="AF166" s="75">
        <f t="shared" si="6"/>
        <v>0</v>
      </c>
      <c r="AG166" s="75">
        <f t="shared" si="7"/>
        <v>0</v>
      </c>
      <c r="AH166" s="31" t="e" cm="1">
        <f t="array" aca="1" ref="AH166" ca="1">IF((AD166) &lt; (INDEX(ResponseSLA[#All],(MATCH((G166),ResponseSLA[Priority],0))+1,3)),"YES","No")</f>
        <v>#N/A</v>
      </c>
      <c r="AI166" s="31" t="str">
        <f>_xlfn.IFNA(IF(AE166 &lt; (INDEX(SLATable[Minimum SLA],MATCH(G166,SLATable[Priority],0))),"YES","NO"),"")</f>
        <v/>
      </c>
      <c r="AJ166" t="str">
        <f>_xlfn.IFNA(IF(AE166 &lt; (INDEX(SLATable[Maximum SLA],MATCH(G166,SLATable[Priority],0))),"YES","NO"),"")</f>
        <v/>
      </c>
    </row>
    <row r="167" spans="26:36" ht="15" customHeight="1">
      <c r="Z167" s="76" t="e">
        <f t="shared" ca="1" si="16"/>
        <v>#N/A</v>
      </c>
      <c r="AA167" s="75" t="e">
        <f t="shared" ca="1" si="1"/>
        <v>#N/A</v>
      </c>
      <c r="AB167" s="76">
        <f t="shared" ca="1" si="17"/>
        <v>0</v>
      </c>
      <c r="AC167" s="75">
        <f t="shared" ca="1" si="3"/>
        <v>0</v>
      </c>
      <c r="AD167" s="76">
        <f t="shared" ca="1" si="18"/>
        <v>12388.425641435188</v>
      </c>
      <c r="AE167" s="76">
        <f t="shared" si="19"/>
        <v>0</v>
      </c>
      <c r="AF167" s="75">
        <f t="shared" si="6"/>
        <v>0</v>
      </c>
      <c r="AG167" s="75">
        <f t="shared" si="7"/>
        <v>0</v>
      </c>
      <c r="AH167" s="31" t="e" cm="1">
        <f t="array" aca="1" ref="AH167" ca="1">IF((AD167) &lt; (INDEX(ResponseSLA[#All],(MATCH((G167),ResponseSLA[Priority],0))+1,3)),"YES","No")</f>
        <v>#N/A</v>
      </c>
      <c r="AI167" s="31" t="str">
        <f>_xlfn.IFNA(IF(AE167 &lt; (INDEX(SLATable[Minimum SLA],MATCH(G167,SLATable[Priority],0))),"YES","NO"),"")</f>
        <v/>
      </c>
      <c r="AJ167" t="str">
        <f>_xlfn.IFNA(IF(AE167 &lt; (INDEX(SLATable[Maximum SLA],MATCH(G167,SLATable[Priority],0))),"YES","NO"),"")</f>
        <v/>
      </c>
    </row>
    <row r="168" spans="26:36" ht="15" customHeight="1">
      <c r="Z168" s="76" t="e">
        <f t="shared" ca="1" si="16"/>
        <v>#N/A</v>
      </c>
      <c r="AA168" s="75" t="e">
        <f t="shared" ca="1" si="1"/>
        <v>#N/A</v>
      </c>
      <c r="AB168" s="76">
        <f t="shared" ca="1" si="17"/>
        <v>0</v>
      </c>
      <c r="AC168" s="75">
        <f t="shared" ca="1" si="3"/>
        <v>0</v>
      </c>
      <c r="AD168" s="76">
        <f t="shared" ca="1" si="18"/>
        <v>12388.425641435188</v>
      </c>
      <c r="AE168" s="76">
        <f t="shared" si="19"/>
        <v>0</v>
      </c>
      <c r="AF168" s="75">
        <f t="shared" si="6"/>
        <v>0</v>
      </c>
      <c r="AG168" s="75">
        <f t="shared" si="7"/>
        <v>0</v>
      </c>
      <c r="AH168" s="31" t="e" cm="1">
        <f t="array" aca="1" ref="AH168" ca="1">IF((AD168) &lt; (INDEX(ResponseSLA[#All],(MATCH((G168),ResponseSLA[Priority],0))+1,3)),"YES","No")</f>
        <v>#N/A</v>
      </c>
      <c r="AI168" s="31" t="str">
        <f>_xlfn.IFNA(IF(AE168 &lt; (INDEX(SLATable[Minimum SLA],MATCH(G168,SLATable[Priority],0))),"YES","NO"),"")</f>
        <v/>
      </c>
      <c r="AJ168" t="str">
        <f>_xlfn.IFNA(IF(AE168 &lt; (INDEX(SLATable[Maximum SLA],MATCH(G168,SLATable[Priority],0))),"YES","NO"),"")</f>
        <v/>
      </c>
    </row>
    <row r="169" spans="26:36" ht="15" customHeight="1">
      <c r="Z169" s="76" t="e">
        <f t="shared" ca="1" si="16"/>
        <v>#N/A</v>
      </c>
      <c r="AA169" s="75" t="e">
        <f t="shared" ca="1" si="1"/>
        <v>#N/A</v>
      </c>
      <c r="AB169" s="76">
        <f t="shared" ca="1" si="17"/>
        <v>0</v>
      </c>
      <c r="AC169" s="75">
        <f t="shared" ca="1" si="3"/>
        <v>0</v>
      </c>
      <c r="AD169" s="76">
        <f t="shared" ca="1" si="18"/>
        <v>12388.425641550926</v>
      </c>
      <c r="AE169" s="76">
        <f t="shared" si="19"/>
        <v>0</v>
      </c>
      <c r="AF169" s="75">
        <f t="shared" si="6"/>
        <v>0</v>
      </c>
      <c r="AG169" s="75">
        <f t="shared" si="7"/>
        <v>0</v>
      </c>
      <c r="AH169" s="31" t="e" cm="1">
        <f t="array" aca="1" ref="AH169" ca="1">IF((AD169) &lt; (INDEX(ResponseSLA[#All],(MATCH((G169),ResponseSLA[Priority],0))+1,3)),"YES","No")</f>
        <v>#N/A</v>
      </c>
      <c r="AI169" s="31" t="str">
        <f>_xlfn.IFNA(IF(AE169 &lt; (INDEX(SLATable[Minimum SLA],MATCH(G169,SLATable[Priority],0))),"YES","NO"),"")</f>
        <v/>
      </c>
      <c r="AJ169" t="str">
        <f>_xlfn.IFNA(IF(AE169 &lt; (INDEX(SLATable[Maximum SLA],MATCH(G169,SLATable[Priority],0))),"YES","NO"),"")</f>
        <v/>
      </c>
    </row>
    <row r="170" spans="26:36" ht="15" customHeight="1">
      <c r="Z170" s="76" t="e">
        <f t="shared" ca="1" si="16"/>
        <v>#N/A</v>
      </c>
      <c r="AA170" s="75" t="e">
        <f t="shared" ca="1" si="1"/>
        <v>#N/A</v>
      </c>
      <c r="AB170" s="76">
        <f t="shared" ca="1" si="17"/>
        <v>0</v>
      </c>
      <c r="AC170" s="75">
        <f t="shared" ca="1" si="3"/>
        <v>0</v>
      </c>
      <c r="AD170" s="76">
        <f t="shared" ca="1" si="18"/>
        <v>12388.425641435188</v>
      </c>
      <c r="AE170" s="76">
        <f t="shared" si="19"/>
        <v>0</v>
      </c>
      <c r="AF170" s="75">
        <f t="shared" si="6"/>
        <v>0</v>
      </c>
      <c r="AG170" s="75">
        <f t="shared" si="7"/>
        <v>0</v>
      </c>
      <c r="AH170" s="31" t="e" cm="1">
        <f t="array" aca="1" ref="AH170" ca="1">IF((AD170) &lt; (INDEX(ResponseSLA[#All],(MATCH((G170),ResponseSLA[Priority],0))+1,3)),"YES","No")</f>
        <v>#N/A</v>
      </c>
      <c r="AI170" s="31" t="str">
        <f>_xlfn.IFNA(IF(AE170 &lt; (INDEX(SLATable[Minimum SLA],MATCH(G170,SLATable[Priority],0))),"YES","NO"),"")</f>
        <v/>
      </c>
      <c r="AJ170" t="str">
        <f>_xlfn.IFNA(IF(AE170 &lt; (INDEX(SLATable[Maximum SLA],MATCH(G170,SLATable[Priority],0))),"YES","NO"),"")</f>
        <v/>
      </c>
    </row>
    <row r="171" spans="26:36" ht="15" customHeight="1">
      <c r="Z171" s="76" t="e">
        <f t="shared" ca="1" si="16"/>
        <v>#N/A</v>
      </c>
      <c r="AA171" s="75" t="e">
        <f t="shared" ca="1" si="1"/>
        <v>#N/A</v>
      </c>
      <c r="AB171" s="76">
        <f t="shared" ca="1" si="17"/>
        <v>0</v>
      </c>
      <c r="AC171" s="75">
        <f t="shared" ca="1" si="3"/>
        <v>0</v>
      </c>
      <c r="AD171" s="76">
        <f t="shared" ca="1" si="18"/>
        <v>12388.425641435188</v>
      </c>
      <c r="AE171" s="76">
        <f t="shared" si="19"/>
        <v>0</v>
      </c>
      <c r="AF171" s="75">
        <f t="shared" si="6"/>
        <v>0</v>
      </c>
      <c r="AG171" s="75">
        <f t="shared" si="7"/>
        <v>0</v>
      </c>
      <c r="AH171" s="31" t="e" cm="1">
        <f t="array" aca="1" ref="AH171" ca="1">IF((AD171) &lt; (INDEX(ResponseSLA[#All],(MATCH((G171),ResponseSLA[Priority],0))+1,3)),"YES","No")</f>
        <v>#N/A</v>
      </c>
      <c r="AI171" s="31" t="str">
        <f>_xlfn.IFNA(IF(AE171 &lt; (INDEX(SLATable[Minimum SLA],MATCH(G171,SLATable[Priority],0))),"YES","NO"),"")</f>
        <v/>
      </c>
      <c r="AJ171" t="str">
        <f>_xlfn.IFNA(IF(AE171 &lt; (INDEX(SLATable[Maximum SLA],MATCH(G171,SLATable[Priority],0))),"YES","NO"),"")</f>
        <v/>
      </c>
    </row>
    <row r="172" spans="26:36" ht="15" customHeight="1">
      <c r="Z172" s="76" t="e">
        <f t="shared" ca="1" si="16"/>
        <v>#N/A</v>
      </c>
      <c r="AA172" s="75" t="e">
        <f t="shared" ca="1" si="1"/>
        <v>#N/A</v>
      </c>
      <c r="AB172" s="76">
        <f t="shared" ca="1" si="17"/>
        <v>0</v>
      </c>
      <c r="AC172" s="75">
        <f t="shared" ca="1" si="3"/>
        <v>0</v>
      </c>
      <c r="AD172" s="76">
        <f t="shared" ca="1" si="18"/>
        <v>12388.425641550926</v>
      </c>
      <c r="AE172" s="76">
        <f t="shared" si="19"/>
        <v>0</v>
      </c>
      <c r="AF172" s="75">
        <f t="shared" si="6"/>
        <v>0</v>
      </c>
      <c r="AG172" s="75">
        <f t="shared" si="7"/>
        <v>0</v>
      </c>
      <c r="AH172" s="31" t="e" cm="1">
        <f t="array" aca="1" ref="AH172" ca="1">IF((AD172) &lt; (INDEX(ResponseSLA[#All],(MATCH((G172),ResponseSLA[Priority],0))+1,3)),"YES","No")</f>
        <v>#N/A</v>
      </c>
      <c r="AI172" s="31" t="str">
        <f>_xlfn.IFNA(IF(AE172 &lt; (INDEX(SLATable[Minimum SLA],MATCH(G172,SLATable[Priority],0))),"YES","NO"),"")</f>
        <v/>
      </c>
      <c r="AJ172" t="str">
        <f>_xlfn.IFNA(IF(AE172 &lt; (INDEX(SLATable[Maximum SLA],MATCH(G172,SLATable[Priority],0))),"YES","NO"),"")</f>
        <v/>
      </c>
    </row>
    <row r="173" spans="26:36" ht="15" customHeight="1">
      <c r="Z173" s="76" t="e">
        <f t="shared" ca="1" si="16"/>
        <v>#N/A</v>
      </c>
      <c r="AA173" s="75" t="e">
        <f t="shared" ca="1" si="1"/>
        <v>#N/A</v>
      </c>
      <c r="AB173" s="76">
        <f t="shared" ca="1" si="17"/>
        <v>0</v>
      </c>
      <c r="AC173" s="75">
        <f t="shared" ca="1" si="3"/>
        <v>0</v>
      </c>
      <c r="AD173" s="76">
        <f t="shared" ca="1" si="18"/>
        <v>12388.425641435188</v>
      </c>
      <c r="AE173" s="76">
        <f t="shared" si="19"/>
        <v>0</v>
      </c>
      <c r="AF173" s="75">
        <f t="shared" si="6"/>
        <v>0</v>
      </c>
      <c r="AG173" s="75">
        <f t="shared" si="7"/>
        <v>0</v>
      </c>
      <c r="AH173" s="31" t="e" cm="1">
        <f t="array" aca="1" ref="AH173" ca="1">IF((AD173) &lt; (INDEX(ResponseSLA[#All],(MATCH((G173),ResponseSLA[Priority],0))+1,3)),"YES","No")</f>
        <v>#N/A</v>
      </c>
      <c r="AI173" s="31" t="str">
        <f>_xlfn.IFNA(IF(AE173 &lt; (INDEX(SLATable[Minimum SLA],MATCH(G173,SLATable[Priority],0))),"YES","NO"),"")</f>
        <v/>
      </c>
      <c r="AJ173" t="str">
        <f>_xlfn.IFNA(IF(AE173 &lt; (INDEX(SLATable[Maximum SLA],MATCH(G173,SLATable[Priority],0))),"YES","NO"),"")</f>
        <v/>
      </c>
    </row>
    <row r="174" spans="26:36" ht="15" customHeight="1">
      <c r="Z174" s="76" t="e">
        <f t="shared" ca="1" si="16"/>
        <v>#N/A</v>
      </c>
      <c r="AA174" s="75" t="e">
        <f t="shared" ca="1" si="1"/>
        <v>#N/A</v>
      </c>
      <c r="AB174" s="76">
        <f t="shared" ca="1" si="17"/>
        <v>0</v>
      </c>
      <c r="AC174" s="75">
        <f t="shared" ca="1" si="3"/>
        <v>0</v>
      </c>
      <c r="AD174" s="76">
        <f t="shared" ca="1" si="18"/>
        <v>12388.425641435188</v>
      </c>
      <c r="AE174" s="76">
        <f t="shared" si="19"/>
        <v>0</v>
      </c>
      <c r="AF174" s="75">
        <f t="shared" si="6"/>
        <v>0</v>
      </c>
      <c r="AG174" s="75">
        <f t="shared" si="7"/>
        <v>0</v>
      </c>
      <c r="AH174" s="31" t="e" cm="1">
        <f t="array" aca="1" ref="AH174" ca="1">IF((AD174) &lt; (INDEX(ResponseSLA[#All],(MATCH((G174),ResponseSLA[Priority],0))+1,3)),"YES","No")</f>
        <v>#N/A</v>
      </c>
      <c r="AI174" s="31" t="str">
        <f>_xlfn.IFNA(IF(AE174 &lt; (INDEX(SLATable[Minimum SLA],MATCH(G174,SLATable[Priority],0))),"YES","NO"),"")</f>
        <v/>
      </c>
      <c r="AJ174" t="str">
        <f>_xlfn.IFNA(IF(AE174 &lt; (INDEX(SLATable[Maximum SLA],MATCH(G174,SLATable[Priority],0))),"YES","NO"),"")</f>
        <v/>
      </c>
    </row>
    <row r="175" spans="26:36" ht="15" customHeight="1">
      <c r="Z175" s="76" t="e">
        <f t="shared" ca="1" si="16"/>
        <v>#N/A</v>
      </c>
      <c r="AA175" s="75" t="e">
        <f t="shared" ca="1" si="1"/>
        <v>#N/A</v>
      </c>
      <c r="AB175" s="76">
        <f t="shared" ca="1" si="17"/>
        <v>0</v>
      </c>
      <c r="AC175" s="75">
        <f t="shared" ca="1" si="3"/>
        <v>0</v>
      </c>
      <c r="AD175" s="76">
        <f t="shared" ca="1" si="18"/>
        <v>12388.425641550926</v>
      </c>
      <c r="AE175" s="76">
        <f t="shared" si="19"/>
        <v>0</v>
      </c>
      <c r="AF175" s="75">
        <f t="shared" si="6"/>
        <v>0</v>
      </c>
      <c r="AG175" s="75">
        <f t="shared" si="7"/>
        <v>0</v>
      </c>
      <c r="AH175" s="31" t="e" cm="1">
        <f t="array" aca="1" ref="AH175" ca="1">IF((AD175) &lt; (INDEX(ResponseSLA[#All],(MATCH((G175),ResponseSLA[Priority],0))+1,3)),"YES","No")</f>
        <v>#N/A</v>
      </c>
      <c r="AI175" s="31" t="str">
        <f>_xlfn.IFNA(IF(AE175 &lt; (INDEX(SLATable[Minimum SLA],MATCH(G175,SLATable[Priority],0))),"YES","NO"),"")</f>
        <v/>
      </c>
      <c r="AJ175" t="str">
        <f>_xlfn.IFNA(IF(AE175 &lt; (INDEX(SLATable[Maximum SLA],MATCH(G175,SLATable[Priority],0))),"YES","NO"),"")</f>
        <v/>
      </c>
    </row>
    <row r="176" spans="26:36" ht="15" customHeight="1">
      <c r="Z176" s="76" t="e">
        <f t="shared" ca="1" si="16"/>
        <v>#N/A</v>
      </c>
      <c r="AA176" s="75" t="e">
        <f t="shared" ca="1" si="1"/>
        <v>#N/A</v>
      </c>
      <c r="AB176" s="76">
        <f t="shared" ca="1" si="17"/>
        <v>0</v>
      </c>
      <c r="AC176" s="75">
        <f t="shared" ca="1" si="3"/>
        <v>0</v>
      </c>
      <c r="AD176" s="76">
        <f t="shared" ca="1" si="18"/>
        <v>12388.425641435188</v>
      </c>
      <c r="AE176" s="76">
        <f t="shared" si="19"/>
        <v>0</v>
      </c>
      <c r="AF176" s="75">
        <f t="shared" si="6"/>
        <v>0</v>
      </c>
      <c r="AG176" s="75">
        <f t="shared" si="7"/>
        <v>0</v>
      </c>
      <c r="AH176" s="31" t="e" cm="1">
        <f t="array" aca="1" ref="AH176" ca="1">IF((AD176) &lt; (INDEX(ResponseSLA[#All],(MATCH((G176),ResponseSLA[Priority],0))+1,3)),"YES","No")</f>
        <v>#N/A</v>
      </c>
      <c r="AI176" s="31" t="str">
        <f>_xlfn.IFNA(IF(AE176 &lt; (INDEX(SLATable[Minimum SLA],MATCH(G176,SLATable[Priority],0))),"YES","NO"),"")</f>
        <v/>
      </c>
      <c r="AJ176" t="str">
        <f>_xlfn.IFNA(IF(AE176 &lt; (INDEX(SLATable[Maximum SLA],MATCH(G176,SLATable[Priority],0))),"YES","NO"),"")</f>
        <v/>
      </c>
    </row>
    <row r="177" spans="26:36" ht="15" customHeight="1">
      <c r="Z177" s="76" t="e">
        <f t="shared" ca="1" si="16"/>
        <v>#N/A</v>
      </c>
      <c r="AA177" s="75" t="e">
        <f t="shared" ca="1" si="1"/>
        <v>#N/A</v>
      </c>
      <c r="AB177" s="76">
        <f t="shared" ca="1" si="17"/>
        <v>0</v>
      </c>
      <c r="AC177" s="75">
        <f t="shared" ca="1" si="3"/>
        <v>0</v>
      </c>
      <c r="AD177" s="76">
        <f t="shared" ca="1" si="18"/>
        <v>12388.425641435188</v>
      </c>
      <c r="AE177" s="76">
        <f t="shared" si="19"/>
        <v>0</v>
      </c>
      <c r="AF177" s="75">
        <f t="shared" si="6"/>
        <v>0</v>
      </c>
      <c r="AG177" s="75">
        <f t="shared" si="7"/>
        <v>0</v>
      </c>
      <c r="AH177" s="31" t="e" cm="1">
        <f t="array" aca="1" ref="AH177" ca="1">IF((AD177) &lt; (INDEX(ResponseSLA[#All],(MATCH((G177),ResponseSLA[Priority],0))+1,3)),"YES","No")</f>
        <v>#N/A</v>
      </c>
      <c r="AI177" s="31" t="str">
        <f>_xlfn.IFNA(IF(AE177 &lt; (INDEX(SLATable[Minimum SLA],MATCH(G177,SLATable[Priority],0))),"YES","NO"),"")</f>
        <v/>
      </c>
      <c r="AJ177" t="str">
        <f>_xlfn.IFNA(IF(AE177 &lt; (INDEX(SLATable[Maximum SLA],MATCH(G177,SLATable[Priority],0))),"YES","NO"),"")</f>
        <v/>
      </c>
    </row>
    <row r="178" spans="26:36" ht="15" customHeight="1">
      <c r="Z178" s="76" t="e">
        <f t="shared" ca="1" si="16"/>
        <v>#N/A</v>
      </c>
      <c r="AA178" s="75" t="e">
        <f t="shared" ca="1" si="1"/>
        <v>#N/A</v>
      </c>
      <c r="AB178" s="76">
        <f t="shared" ca="1" si="17"/>
        <v>0</v>
      </c>
      <c r="AC178" s="75">
        <f t="shared" ca="1" si="3"/>
        <v>0</v>
      </c>
      <c r="AD178" s="76">
        <f t="shared" ca="1" si="18"/>
        <v>12388.425641550926</v>
      </c>
      <c r="AE178" s="76">
        <f t="shared" si="19"/>
        <v>0</v>
      </c>
      <c r="AF178" s="75">
        <f t="shared" si="6"/>
        <v>0</v>
      </c>
      <c r="AG178" s="75">
        <f t="shared" si="7"/>
        <v>0</v>
      </c>
      <c r="AH178" s="31" t="e" cm="1">
        <f t="array" aca="1" ref="AH178" ca="1">IF((AD178) &lt; (INDEX(ResponseSLA[#All],(MATCH((G178),ResponseSLA[Priority],0))+1,3)),"YES","No")</f>
        <v>#N/A</v>
      </c>
      <c r="AI178" s="31" t="str">
        <f>_xlfn.IFNA(IF(AE178 &lt; (INDEX(SLATable[Minimum SLA],MATCH(G178,SLATable[Priority],0))),"YES","NO"),"")</f>
        <v/>
      </c>
      <c r="AJ178" t="str">
        <f>_xlfn.IFNA(IF(AE178 &lt; (INDEX(SLATable[Maximum SLA],MATCH(G178,SLATable[Priority],0))),"YES","NO"),"")</f>
        <v/>
      </c>
    </row>
    <row r="179" spans="26:36" ht="15" customHeight="1">
      <c r="Z179" s="76" t="e">
        <f t="shared" ca="1" si="16"/>
        <v>#N/A</v>
      </c>
      <c r="AA179" s="75" t="e">
        <f t="shared" ca="1" si="1"/>
        <v>#N/A</v>
      </c>
      <c r="AB179" s="76">
        <f t="shared" ca="1" si="17"/>
        <v>0</v>
      </c>
      <c r="AC179" s="75">
        <f t="shared" ca="1" si="3"/>
        <v>0</v>
      </c>
      <c r="AD179" s="76">
        <f t="shared" ca="1" si="18"/>
        <v>12388.425641435188</v>
      </c>
      <c r="AE179" s="76">
        <f t="shared" si="19"/>
        <v>0</v>
      </c>
      <c r="AF179" s="75">
        <f t="shared" si="6"/>
        <v>0</v>
      </c>
      <c r="AG179" s="75">
        <f t="shared" si="7"/>
        <v>0</v>
      </c>
      <c r="AH179" s="31" t="e" cm="1">
        <f t="array" aca="1" ref="AH179" ca="1">IF((AD179) &lt; (INDEX(ResponseSLA[#All],(MATCH((G179),ResponseSLA[Priority],0))+1,3)),"YES","No")</f>
        <v>#N/A</v>
      </c>
      <c r="AI179" s="31" t="str">
        <f>_xlfn.IFNA(IF(AE179 &lt; (INDEX(SLATable[Minimum SLA],MATCH(G179,SLATable[Priority],0))),"YES","NO"),"")</f>
        <v/>
      </c>
      <c r="AJ179" t="str">
        <f>_xlfn.IFNA(IF(AE179 &lt; (INDEX(SLATable[Maximum SLA],MATCH(G179,SLATable[Priority],0))),"YES","NO"),"")</f>
        <v/>
      </c>
    </row>
    <row r="180" spans="26:36" ht="15" customHeight="1">
      <c r="Z180" s="76" t="e">
        <f t="shared" ca="1" si="16"/>
        <v>#N/A</v>
      </c>
      <c r="AA180" s="75" t="e">
        <f t="shared" ca="1" si="1"/>
        <v>#N/A</v>
      </c>
      <c r="AB180" s="76">
        <f t="shared" ca="1" si="17"/>
        <v>0</v>
      </c>
      <c r="AC180" s="75">
        <f t="shared" ca="1" si="3"/>
        <v>0</v>
      </c>
      <c r="AD180" s="76">
        <f t="shared" ca="1" si="18"/>
        <v>12388.425641435188</v>
      </c>
      <c r="AE180" s="76">
        <f t="shared" si="19"/>
        <v>0</v>
      </c>
      <c r="AF180" s="75">
        <f t="shared" si="6"/>
        <v>0</v>
      </c>
      <c r="AG180" s="75">
        <f t="shared" si="7"/>
        <v>0</v>
      </c>
      <c r="AH180" s="31" t="e" cm="1">
        <f t="array" aca="1" ref="AH180" ca="1">IF((AD180) &lt; (INDEX(ResponseSLA[#All],(MATCH((G180),ResponseSLA[Priority],0))+1,3)),"YES","No")</f>
        <v>#N/A</v>
      </c>
      <c r="AI180" s="31" t="str">
        <f>_xlfn.IFNA(IF(AE180 &lt; (INDEX(SLATable[Minimum SLA],MATCH(G180,SLATable[Priority],0))),"YES","NO"),"")</f>
        <v/>
      </c>
      <c r="AJ180" t="str">
        <f>_xlfn.IFNA(IF(AE180 &lt; (INDEX(SLATable[Maximum SLA],MATCH(G180,SLATable[Priority],0))),"YES","NO"),"")</f>
        <v/>
      </c>
    </row>
    <row r="181" spans="26:36" ht="15" customHeight="1">
      <c r="Z181" s="76" t="e">
        <f t="shared" ca="1" si="16"/>
        <v>#N/A</v>
      </c>
      <c r="AA181" s="75" t="e">
        <f t="shared" ca="1" si="1"/>
        <v>#N/A</v>
      </c>
      <c r="AB181" s="76">
        <f t="shared" ca="1" si="17"/>
        <v>0</v>
      </c>
      <c r="AC181" s="75">
        <f t="shared" ca="1" si="3"/>
        <v>0</v>
      </c>
      <c r="AD181" s="76">
        <f t="shared" ca="1" si="18"/>
        <v>12388.425641550926</v>
      </c>
      <c r="AE181" s="76">
        <f t="shared" si="19"/>
        <v>0</v>
      </c>
      <c r="AF181" s="75">
        <f t="shared" si="6"/>
        <v>0</v>
      </c>
      <c r="AG181" s="75">
        <f t="shared" si="7"/>
        <v>0</v>
      </c>
      <c r="AH181" s="31" t="e" cm="1">
        <f t="array" aca="1" ref="AH181" ca="1">IF((AD181) &lt; (INDEX(ResponseSLA[#All],(MATCH((G181),ResponseSLA[Priority],0))+1,3)),"YES","No")</f>
        <v>#N/A</v>
      </c>
      <c r="AI181" s="31" t="str">
        <f>_xlfn.IFNA(IF(AE181 &lt; (INDEX(SLATable[Minimum SLA],MATCH(G181,SLATable[Priority],0))),"YES","NO"),"")</f>
        <v/>
      </c>
      <c r="AJ181" t="str">
        <f>_xlfn.IFNA(IF(AE181 &lt; (INDEX(SLATable[Maximum SLA],MATCH(G181,SLATable[Priority],0))),"YES","NO"),"")</f>
        <v/>
      </c>
    </row>
    <row r="182" spans="26:36" ht="15" customHeight="1">
      <c r="Z182" s="76" t="e">
        <f t="shared" ca="1" si="16"/>
        <v>#N/A</v>
      </c>
      <c r="AA182" s="75" t="e">
        <f t="shared" ca="1" si="1"/>
        <v>#N/A</v>
      </c>
      <c r="AB182" s="76">
        <f t="shared" ca="1" si="17"/>
        <v>0</v>
      </c>
      <c r="AC182" s="75">
        <f t="shared" ca="1" si="3"/>
        <v>0</v>
      </c>
      <c r="AD182" s="76">
        <f t="shared" ca="1" si="18"/>
        <v>12388.425641435188</v>
      </c>
      <c r="AE182" s="76">
        <f t="shared" si="19"/>
        <v>0</v>
      </c>
      <c r="AF182" s="75">
        <f t="shared" si="6"/>
        <v>0</v>
      </c>
      <c r="AG182" s="75">
        <f t="shared" si="7"/>
        <v>0</v>
      </c>
      <c r="AH182" s="31" t="e" cm="1">
        <f t="array" aca="1" ref="AH182" ca="1">IF((AD182) &lt; (INDEX(ResponseSLA[#All],(MATCH((G182),ResponseSLA[Priority],0))+1,3)),"YES","No")</f>
        <v>#N/A</v>
      </c>
      <c r="AI182" s="31" t="str">
        <f>_xlfn.IFNA(IF(AE182 &lt; (INDEX(SLATable[Minimum SLA],MATCH(G182,SLATable[Priority],0))),"YES","NO"),"")</f>
        <v/>
      </c>
      <c r="AJ182" t="str">
        <f>_xlfn.IFNA(IF(AE182 &lt; (INDEX(SLATable[Maximum SLA],MATCH(G182,SLATable[Priority],0))),"YES","NO"),"")</f>
        <v/>
      </c>
    </row>
    <row r="183" spans="26:36" ht="15" customHeight="1">
      <c r="Z183" s="76" t="e">
        <f t="shared" ca="1" si="16"/>
        <v>#N/A</v>
      </c>
      <c r="AA183" s="75" t="e">
        <f t="shared" ca="1" si="1"/>
        <v>#N/A</v>
      </c>
      <c r="AB183" s="76">
        <f t="shared" ca="1" si="17"/>
        <v>0</v>
      </c>
      <c r="AC183" s="75">
        <f t="shared" ca="1" si="3"/>
        <v>0</v>
      </c>
      <c r="AD183" s="76">
        <f t="shared" ca="1" si="18"/>
        <v>12388.425641435188</v>
      </c>
      <c r="AE183" s="76">
        <f t="shared" si="19"/>
        <v>0</v>
      </c>
      <c r="AF183" s="75">
        <f t="shared" si="6"/>
        <v>0</v>
      </c>
      <c r="AG183" s="75">
        <f t="shared" si="7"/>
        <v>0</v>
      </c>
      <c r="AH183" s="31" t="e" cm="1">
        <f t="array" aca="1" ref="AH183" ca="1">IF((AD183) &lt; (INDEX(ResponseSLA[#All],(MATCH((G183),ResponseSLA[Priority],0))+1,3)),"YES","No")</f>
        <v>#N/A</v>
      </c>
      <c r="AI183" s="31" t="str">
        <f>_xlfn.IFNA(IF(AE183 &lt; (INDEX(SLATable[Minimum SLA],MATCH(G183,SLATable[Priority],0))),"YES","NO"),"")</f>
        <v/>
      </c>
      <c r="AJ183" t="str">
        <f>_xlfn.IFNA(IF(AE183 &lt; (INDEX(SLATable[Maximum SLA],MATCH(G183,SLATable[Priority],0))),"YES","NO"),"")</f>
        <v/>
      </c>
    </row>
    <row r="184" spans="26:36" ht="15" customHeight="1">
      <c r="Z184" s="76" t="e">
        <f t="shared" ca="1" si="16"/>
        <v>#N/A</v>
      </c>
      <c r="AA184" s="75" t="e">
        <f t="shared" ca="1" si="1"/>
        <v>#N/A</v>
      </c>
      <c r="AB184" s="76">
        <f t="shared" ca="1" si="17"/>
        <v>0</v>
      </c>
      <c r="AC184" s="75">
        <f t="shared" ca="1" si="3"/>
        <v>0</v>
      </c>
      <c r="AD184" s="76">
        <f t="shared" ca="1" si="18"/>
        <v>12388.425641550926</v>
      </c>
      <c r="AE184" s="76">
        <f t="shared" si="19"/>
        <v>0</v>
      </c>
      <c r="AF184" s="75">
        <f t="shared" si="6"/>
        <v>0</v>
      </c>
      <c r="AG184" s="75">
        <f t="shared" si="7"/>
        <v>0</v>
      </c>
      <c r="AH184" s="31" t="e" cm="1">
        <f t="array" aca="1" ref="AH184" ca="1">IF((AD184) &lt; (INDEX(ResponseSLA[#All],(MATCH((G184),ResponseSLA[Priority],0))+1,3)),"YES","No")</f>
        <v>#N/A</v>
      </c>
      <c r="AI184" s="31" t="str">
        <f>_xlfn.IFNA(IF(AE184 &lt; (INDEX(SLATable[Minimum SLA],MATCH(G184,SLATable[Priority],0))),"YES","NO"),"")</f>
        <v/>
      </c>
      <c r="AJ184" t="str">
        <f>_xlfn.IFNA(IF(AE184 &lt; (INDEX(SLATable[Maximum SLA],MATCH(G184,SLATable[Priority],0))),"YES","NO"),"")</f>
        <v/>
      </c>
    </row>
    <row r="185" spans="26:36" ht="15" customHeight="1">
      <c r="Z185" s="76" t="e">
        <f t="shared" ca="1" si="16"/>
        <v>#N/A</v>
      </c>
      <c r="AA185" s="75" t="e">
        <f t="shared" ca="1" si="1"/>
        <v>#N/A</v>
      </c>
      <c r="AB185" s="76">
        <f t="shared" ca="1" si="17"/>
        <v>0</v>
      </c>
      <c r="AC185" s="75">
        <f t="shared" ca="1" si="3"/>
        <v>0</v>
      </c>
      <c r="AD185" s="76">
        <f t="shared" ca="1" si="18"/>
        <v>12388.425641435188</v>
      </c>
      <c r="AE185" s="76">
        <f t="shared" si="19"/>
        <v>0</v>
      </c>
      <c r="AF185" s="75">
        <f t="shared" si="6"/>
        <v>0</v>
      </c>
      <c r="AG185" s="75">
        <f t="shared" si="7"/>
        <v>0</v>
      </c>
      <c r="AH185" s="31" t="e" cm="1">
        <f t="array" aca="1" ref="AH185" ca="1">IF((AD185) &lt; (INDEX(ResponseSLA[#All],(MATCH((G185),ResponseSLA[Priority],0))+1,3)),"YES","No")</f>
        <v>#N/A</v>
      </c>
      <c r="AI185" s="31" t="str">
        <f>_xlfn.IFNA(IF(AE185 &lt; (INDEX(SLATable[Minimum SLA],MATCH(G185,SLATable[Priority],0))),"YES","NO"),"")</f>
        <v/>
      </c>
      <c r="AJ185" t="str">
        <f>_xlfn.IFNA(IF(AE185 &lt; (INDEX(SLATable[Maximum SLA],MATCH(G185,SLATable[Priority],0))),"YES","NO"),"")</f>
        <v/>
      </c>
    </row>
    <row r="186" spans="26:36" ht="15" customHeight="1">
      <c r="Z186" s="76" t="e">
        <f t="shared" ca="1" si="16"/>
        <v>#N/A</v>
      </c>
      <c r="AA186" s="75" t="e">
        <f t="shared" ca="1" si="1"/>
        <v>#N/A</v>
      </c>
      <c r="AB186" s="76">
        <f t="shared" ca="1" si="17"/>
        <v>0</v>
      </c>
      <c r="AC186" s="75">
        <f t="shared" ca="1" si="3"/>
        <v>0</v>
      </c>
      <c r="AD186" s="76">
        <f t="shared" ca="1" si="18"/>
        <v>12388.425641435188</v>
      </c>
      <c r="AE186" s="76">
        <f t="shared" si="19"/>
        <v>0</v>
      </c>
      <c r="AF186" s="75">
        <f t="shared" si="6"/>
        <v>0</v>
      </c>
      <c r="AG186" s="75">
        <f t="shared" si="7"/>
        <v>0</v>
      </c>
      <c r="AH186" s="31" t="e" cm="1">
        <f t="array" aca="1" ref="AH186" ca="1">IF((AD186) &lt; (INDEX(ResponseSLA[#All],(MATCH((G186),ResponseSLA[Priority],0))+1,3)),"YES","No")</f>
        <v>#N/A</v>
      </c>
      <c r="AI186" s="31" t="str">
        <f>_xlfn.IFNA(IF(AE186 &lt; (INDEX(SLATable[Minimum SLA],MATCH(G186,SLATable[Priority],0))),"YES","NO"),"")</f>
        <v/>
      </c>
      <c r="AJ186" t="str">
        <f>_xlfn.IFNA(IF(AE186 &lt; (INDEX(SLATable[Maximum SLA],MATCH(G186,SLATable[Priority],0))),"YES","NO"),"")</f>
        <v/>
      </c>
    </row>
    <row r="187" spans="26:36" ht="15" customHeight="1">
      <c r="Z187" s="76" t="e">
        <f t="shared" ca="1" si="16"/>
        <v>#N/A</v>
      </c>
      <c r="AA187" s="75" t="e">
        <f t="shared" ca="1" si="1"/>
        <v>#N/A</v>
      </c>
      <c r="AB187" s="76">
        <f t="shared" ca="1" si="17"/>
        <v>0</v>
      </c>
      <c r="AC187" s="75">
        <f t="shared" ca="1" si="3"/>
        <v>0</v>
      </c>
      <c r="AD187" s="76">
        <f t="shared" ca="1" si="18"/>
        <v>12388.425641550926</v>
      </c>
      <c r="AE187" s="76">
        <f t="shared" si="19"/>
        <v>0</v>
      </c>
      <c r="AF187" s="75">
        <f t="shared" si="6"/>
        <v>0</v>
      </c>
      <c r="AG187" s="75">
        <f t="shared" si="7"/>
        <v>0</v>
      </c>
      <c r="AH187" s="31" t="e" cm="1">
        <f t="array" aca="1" ref="AH187" ca="1">IF((AD187) &lt; (INDEX(ResponseSLA[#All],(MATCH((G187),ResponseSLA[Priority],0))+1,3)),"YES","No")</f>
        <v>#N/A</v>
      </c>
      <c r="AI187" s="31" t="str">
        <f>_xlfn.IFNA(IF(AE187 &lt; (INDEX(SLATable[Minimum SLA],MATCH(G187,SLATable[Priority],0))),"YES","NO"),"")</f>
        <v/>
      </c>
      <c r="AJ187" t="str">
        <f>_xlfn.IFNA(IF(AE187 &lt; (INDEX(SLATable[Maximum SLA],MATCH(G187,SLATable[Priority],0))),"YES","NO"),"")</f>
        <v/>
      </c>
    </row>
    <row r="188" spans="26:36" ht="15" customHeight="1">
      <c r="Z188" s="76" t="e">
        <f t="shared" ca="1" si="16"/>
        <v>#N/A</v>
      </c>
      <c r="AA188" s="75" t="e">
        <f t="shared" ca="1" si="1"/>
        <v>#N/A</v>
      </c>
      <c r="AB188" s="76">
        <f t="shared" ca="1" si="17"/>
        <v>0</v>
      </c>
      <c r="AC188" s="75">
        <f t="shared" ca="1" si="3"/>
        <v>0</v>
      </c>
      <c r="AD188" s="76">
        <f t="shared" ca="1" si="18"/>
        <v>12388.425641435188</v>
      </c>
      <c r="AE188" s="76">
        <f t="shared" si="19"/>
        <v>0</v>
      </c>
      <c r="AF188" s="75">
        <f t="shared" si="6"/>
        <v>0</v>
      </c>
      <c r="AG188" s="75">
        <f t="shared" si="7"/>
        <v>0</v>
      </c>
      <c r="AH188" s="31" t="e" cm="1">
        <f t="array" aca="1" ref="AH188" ca="1">IF((AD188) &lt; (INDEX(ResponseSLA[#All],(MATCH((G188),ResponseSLA[Priority],0))+1,3)),"YES","No")</f>
        <v>#N/A</v>
      </c>
      <c r="AI188" s="31" t="str">
        <f>_xlfn.IFNA(IF(AE188 &lt; (INDEX(SLATable[Minimum SLA],MATCH(G188,SLATable[Priority],0))),"YES","NO"),"")</f>
        <v/>
      </c>
      <c r="AJ188" t="str">
        <f>_xlfn.IFNA(IF(AE188 &lt; (INDEX(SLATable[Maximum SLA],MATCH(G188,SLATable[Priority],0))),"YES","NO"),"")</f>
        <v/>
      </c>
    </row>
    <row r="189" spans="26:36" ht="15" customHeight="1">
      <c r="Z189" s="76" t="e">
        <f t="shared" ca="1" si="16"/>
        <v>#N/A</v>
      </c>
      <c r="AA189" s="75" t="e">
        <f t="shared" ca="1" si="1"/>
        <v>#N/A</v>
      </c>
      <c r="AB189" s="76">
        <f t="shared" ca="1" si="17"/>
        <v>0</v>
      </c>
      <c r="AC189" s="75">
        <f t="shared" ca="1" si="3"/>
        <v>0</v>
      </c>
      <c r="AD189" s="76">
        <f t="shared" ca="1" si="18"/>
        <v>12388.425641435188</v>
      </c>
      <c r="AE189" s="76">
        <f t="shared" si="19"/>
        <v>0</v>
      </c>
      <c r="AF189" s="75">
        <f t="shared" si="6"/>
        <v>0</v>
      </c>
      <c r="AG189" s="75">
        <f t="shared" si="7"/>
        <v>0</v>
      </c>
      <c r="AH189" s="31" t="e" cm="1">
        <f t="array" aca="1" ref="AH189" ca="1">IF((AD189) &lt; (INDEX(ResponseSLA[#All],(MATCH((G189),ResponseSLA[Priority],0))+1,3)),"YES","No")</f>
        <v>#N/A</v>
      </c>
      <c r="AI189" s="31" t="str">
        <f>_xlfn.IFNA(IF(AE189 &lt; (INDEX(SLATable[Minimum SLA],MATCH(G189,SLATable[Priority],0))),"YES","NO"),"")</f>
        <v/>
      </c>
      <c r="AJ189" t="str">
        <f>_xlfn.IFNA(IF(AE189 &lt; (INDEX(SLATable[Maximum SLA],MATCH(G189,SLATable[Priority],0))),"YES","NO"),"")</f>
        <v/>
      </c>
    </row>
    <row r="190" spans="26:36" ht="15" customHeight="1">
      <c r="Z190" s="76" t="e">
        <f t="shared" ca="1" si="16"/>
        <v>#N/A</v>
      </c>
      <c r="AA190" s="75" t="e">
        <f t="shared" ca="1" si="1"/>
        <v>#N/A</v>
      </c>
      <c r="AB190" s="76">
        <f t="shared" ca="1" si="17"/>
        <v>0</v>
      </c>
      <c r="AC190" s="75">
        <f t="shared" ca="1" si="3"/>
        <v>0</v>
      </c>
      <c r="AD190" s="76">
        <f t="shared" ca="1" si="18"/>
        <v>12388.425641550926</v>
      </c>
      <c r="AE190" s="76">
        <f t="shared" si="19"/>
        <v>0</v>
      </c>
      <c r="AF190" s="75">
        <f t="shared" si="6"/>
        <v>0</v>
      </c>
      <c r="AG190" s="75">
        <f t="shared" si="7"/>
        <v>0</v>
      </c>
      <c r="AH190" s="31" t="e" cm="1">
        <f t="array" aca="1" ref="AH190" ca="1">IF((AD190) &lt; (INDEX(ResponseSLA[#All],(MATCH((G190),ResponseSLA[Priority],0))+1,3)),"YES","No")</f>
        <v>#N/A</v>
      </c>
      <c r="AI190" s="31" t="str">
        <f>_xlfn.IFNA(IF(AE190 &lt; (INDEX(SLATable[Minimum SLA],MATCH(G190,SLATable[Priority],0))),"YES","NO"),"")</f>
        <v/>
      </c>
      <c r="AJ190" t="str">
        <f>_xlfn.IFNA(IF(AE190 &lt; (INDEX(SLATable[Maximum SLA],MATCH(G190,SLATable[Priority],0))),"YES","NO"),"")</f>
        <v/>
      </c>
    </row>
    <row r="191" spans="26:36" ht="15" customHeight="1">
      <c r="Z191" s="76" t="e">
        <f t="shared" ca="1" si="16"/>
        <v>#N/A</v>
      </c>
      <c r="AA191" s="75" t="e">
        <f t="shared" ca="1" si="1"/>
        <v>#N/A</v>
      </c>
      <c r="AB191" s="76">
        <f t="shared" ca="1" si="17"/>
        <v>0</v>
      </c>
      <c r="AC191" s="75">
        <f t="shared" ca="1" si="3"/>
        <v>0</v>
      </c>
      <c r="AD191" s="76">
        <f t="shared" ca="1" si="18"/>
        <v>12388.425641435188</v>
      </c>
      <c r="AE191" s="76">
        <f t="shared" si="19"/>
        <v>0</v>
      </c>
      <c r="AF191" s="75">
        <f t="shared" si="6"/>
        <v>0</v>
      </c>
      <c r="AG191" s="75">
        <f t="shared" si="7"/>
        <v>0</v>
      </c>
      <c r="AH191" s="31" t="e" cm="1">
        <f t="array" aca="1" ref="AH191" ca="1">IF((AD191) &lt; (INDEX(ResponseSLA[#All],(MATCH((G191),ResponseSLA[Priority],0))+1,3)),"YES","No")</f>
        <v>#N/A</v>
      </c>
      <c r="AI191" s="31" t="str">
        <f>_xlfn.IFNA(IF(AE191 &lt; (INDEX(SLATable[Minimum SLA],MATCH(G191,SLATable[Priority],0))),"YES","NO"),"")</f>
        <v/>
      </c>
      <c r="AJ191" t="str">
        <f>_xlfn.IFNA(IF(AE191 &lt; (INDEX(SLATable[Maximum SLA],MATCH(G191,SLATable[Priority],0))),"YES","NO"),"")</f>
        <v/>
      </c>
    </row>
    <row r="192" spans="26:36" ht="15" customHeight="1">
      <c r="Z192" s="76" t="e">
        <f t="shared" ca="1" si="16"/>
        <v>#N/A</v>
      </c>
      <c r="AA192" s="75" t="e">
        <f t="shared" ca="1" si="1"/>
        <v>#N/A</v>
      </c>
      <c r="AB192" s="76">
        <f t="shared" ca="1" si="17"/>
        <v>0</v>
      </c>
      <c r="AC192" s="75">
        <f t="shared" ca="1" si="3"/>
        <v>0</v>
      </c>
      <c r="AD192" s="76">
        <f t="shared" ca="1" si="18"/>
        <v>12388.425641435188</v>
      </c>
      <c r="AE192" s="76">
        <f t="shared" si="19"/>
        <v>0</v>
      </c>
      <c r="AF192" s="75">
        <f t="shared" si="6"/>
        <v>0</v>
      </c>
      <c r="AG192" s="75">
        <f t="shared" si="7"/>
        <v>0</v>
      </c>
      <c r="AH192" s="31" t="e" cm="1">
        <f t="array" aca="1" ref="AH192" ca="1">IF((AD192) &lt; (INDEX(ResponseSLA[#All],(MATCH((G192),ResponseSLA[Priority],0))+1,3)),"YES","No")</f>
        <v>#N/A</v>
      </c>
      <c r="AI192" s="31" t="str">
        <f>_xlfn.IFNA(IF(AE192 &lt; (INDEX(SLATable[Minimum SLA],MATCH(G192,SLATable[Priority],0))),"YES","NO"),"")</f>
        <v/>
      </c>
      <c r="AJ192" t="str">
        <f>_xlfn.IFNA(IF(AE192 &lt; (INDEX(SLATable[Maximum SLA],MATCH(G192,SLATable[Priority],0))),"YES","NO"),"")</f>
        <v/>
      </c>
    </row>
    <row r="193" spans="26:36" ht="15" customHeight="1">
      <c r="Z193" s="76" t="e">
        <f t="shared" ca="1" si="16"/>
        <v>#N/A</v>
      </c>
      <c r="AA193" s="75" t="e">
        <f t="shared" ca="1" si="1"/>
        <v>#N/A</v>
      </c>
      <c r="AB193" s="76">
        <f t="shared" ca="1" si="17"/>
        <v>0</v>
      </c>
      <c r="AC193" s="75">
        <f t="shared" ca="1" si="3"/>
        <v>0</v>
      </c>
      <c r="AD193" s="76">
        <f t="shared" ca="1" si="18"/>
        <v>12388.425641550926</v>
      </c>
      <c r="AE193" s="76">
        <f t="shared" si="19"/>
        <v>0</v>
      </c>
      <c r="AF193" s="75">
        <f t="shared" si="6"/>
        <v>0</v>
      </c>
      <c r="AG193" s="75">
        <f t="shared" si="7"/>
        <v>0</v>
      </c>
      <c r="AH193" s="31" t="e" cm="1">
        <f t="array" aca="1" ref="AH193" ca="1">IF((AD193) &lt; (INDEX(ResponseSLA[#All],(MATCH((G193),ResponseSLA[Priority],0))+1,3)),"YES","No")</f>
        <v>#N/A</v>
      </c>
      <c r="AI193" s="31" t="str">
        <f>_xlfn.IFNA(IF(AE193 &lt; (INDEX(SLATable[Minimum SLA],MATCH(G193,SLATable[Priority],0))),"YES","NO"),"")</f>
        <v/>
      </c>
      <c r="AJ193" t="str">
        <f>_xlfn.IFNA(IF(AE193 &lt; (INDEX(SLATable[Maximum SLA],MATCH(G193,SLATable[Priority],0))),"YES","NO"),"")</f>
        <v/>
      </c>
    </row>
    <row r="194" spans="26:36" ht="15" customHeight="1">
      <c r="Z194" s="76" t="e">
        <f t="shared" ca="1" si="16"/>
        <v>#N/A</v>
      </c>
      <c r="AA194" s="75" t="e">
        <f t="shared" ca="1" si="1"/>
        <v>#N/A</v>
      </c>
      <c r="AB194" s="76">
        <f t="shared" ca="1" si="17"/>
        <v>0</v>
      </c>
      <c r="AC194" s="75">
        <f t="shared" ca="1" si="3"/>
        <v>0</v>
      </c>
      <c r="AD194" s="76">
        <f t="shared" ca="1" si="18"/>
        <v>12388.425641435188</v>
      </c>
      <c r="AE194" s="76">
        <f t="shared" si="19"/>
        <v>0</v>
      </c>
      <c r="AF194" s="75">
        <f t="shared" si="6"/>
        <v>0</v>
      </c>
      <c r="AG194" s="75">
        <f t="shared" si="7"/>
        <v>0</v>
      </c>
      <c r="AH194" s="31" t="e" cm="1">
        <f t="array" aca="1" ref="AH194" ca="1">IF((AD194) &lt; (INDEX(ResponseSLA[#All],(MATCH((G194),ResponseSLA[Priority],0))+1,3)),"YES","No")</f>
        <v>#N/A</v>
      </c>
      <c r="AI194" s="31" t="str">
        <f>_xlfn.IFNA(IF(AE194 &lt; (INDEX(SLATable[Minimum SLA],MATCH(G194,SLATable[Priority],0))),"YES","NO"),"")</f>
        <v/>
      </c>
      <c r="AJ194" t="str">
        <f>_xlfn.IFNA(IF(AE194 &lt; (INDEX(SLATable[Maximum SLA],MATCH(G194,SLATable[Priority],0))),"YES","NO"),"")</f>
        <v/>
      </c>
    </row>
    <row r="195" spans="26:36" ht="15" customHeight="1">
      <c r="Z195" s="76" t="e">
        <f t="shared" ref="Z195:Z258" ca="1" si="20">IF(NOT(OR(G195=1,G195=2)),MAX(0,_xlfn.IFS(AND(K195&lt;&gt;"",N195&lt;&gt;""),((MAX(NETWORKDAYS(K195,N195,UKBankHolidays)-1,0))*(TIME(17,0,0)-TIME(8,0,0))+IF(NETWORKDAYS(N195,N195,UKBankHolidays)&gt;0,MEDIAN(TIME(8,0,0),MOD(N195,1),TIME(17,0,0)),TIME(8,0,0))-IF(NETWORKDAYS(K195,K195,UKBankHolidays)&gt;0,MEDIAN(TIME(8,0,0),MOD(K195,1),TIME(17,0,0)),TIME(8,0,0)))-IF(AND(O195&lt;&gt;"",P195&lt;&gt;""),((MAX(NETWORKDAYS(O195,P195,UKBankHolidays)-1,0))*(TIME(17,0,0)-TIME(8,0,0))+IF(NETWORKDAYS(P195,P195,UKBankHolidays)&gt;0,MEDIAN(TIME(8,0,0),MOD(P195,1),TIME(17,0,0)),TIME(8,0,0))-IF(NETWORKDAYS(O195,O195,UKBankHolidays)&gt;0,MEDIAN(TIME(8,0,0),MOD(O195,1),TIME(17,0,0)),TIME(8,0,0))),0),AND(K195&lt;&gt;"",N195=""),((MAX(NETWORKDAYS(K195,NOW(),UKBankHolidays)-1,0))*(TIME(17,0,0)-TIME(8,0,0))+IF(NETWORKDAYS(NOW(),NOW(),UKBankHolidays)&gt;0,MEDIAN(TIME(8,0,0),MOD(NOW(),1),TIME(17,0,0)),TIME(8,0,0))-IF(NETWORKDAYS(K195,K195,UKBankHolidays)&gt;0,MEDIAN(TIME(8,0,0),MOD(K195,1),TIME(17,0,0)),TIME(8,0,0))))),IF(N195="",NOW()-K195,N195-K195))</f>
        <v>#N/A</v>
      </c>
      <c r="AA195" s="75" t="e">
        <f t="shared" ca="1" si="1"/>
        <v>#N/A</v>
      </c>
      <c r="AB195" s="76">
        <f t="shared" ref="AB195:AB258" ca="1" si="21">IF(NOT(OR(G195=1,G195=2)),MAX(0,_xlfn.IFS(AND(K195&lt;&gt;"",N195&lt;&gt;""),(((MAX(NETWORKDAYS(L195,N195,UKBankHolidays)-1,0))*(TIME(17,0,0)-TIME(8,0,0)))+IF(NETWORKDAYS(N195,N195,UKBankHolidays)&gt;0,MEDIAN(TIME(8,0,0),MOD(N195,1),TIME(17,0,0)),TIME(8,0,0))-IF(NETWORKDAYS(L195,L195,UKBankHolidays)&gt;0,MEDIAN(TIME(8,0,0),MOD(L195,1),TIME(17,0,0)),TIME(8,0,0)))-IF(AND(O195&lt;&gt;"",P195&lt;&gt;""),(((MAX(NETWORKDAYS(O195,P195,UKBankHolidays)-1,0))*(TIME(17,0,0)-TIME(8,0,0)))+IF(NETWORKDAYS(P195,P195,UKBankHolidays)&gt;0,MEDIAN(TIME(8,0,0),MOD(P195,1),TIME(17,0,0)),TIME(8,0,0))-IF(NETWORKDAYS(O195,O195,UKBankHolidays)&gt;0,MEDIAN(TIME(8,0,0),MOD(O195,1),TIME(17,0,0)),TIME(8,0,0))),0),AND(L195&lt;&gt;"",N195="",O195=""),(((MAX(NETWORKDAYS(L195,NOW(),UKBankHolidays)-1,0))*(TIME(17,0,0)-TIME(8,0,0)))+IF(NETWORKDAYS(NOW(),NOW(),UKBankHolidays)&gt;0,MEDIAN(TIME(8,0,0),MOD(NOW(),1),TIME(17,0,0)),TIME(8,0,0))-IF(NETWORKDAYS(L195,L195,UKBankHolidays)&gt;0,MEDIAN(TIME(8,0,0),MOD(L195,1),TIME(17,0,0)),TIME(8,0,0)))-IF(AND(O195&lt;&gt;"",P195&lt;&gt;""),(((MAX(NETWORKDAYS(O195,P195,UKBankHolidays)-1,0))*(TIME(17,0,0)-TIME(8,0,0)))+IF(NETWORKDAYS(P195,P195,UKBankHolidays)&gt;0,MEDIAN(TIME(8,0,0),MOD(P195,1),TIME(17,0,0)),TIME(8,0,0))-IF(NETWORKDAYS(O195,O195,UKBankHolidays)&gt;0,MEDIAN(TIME(8,0,0),MOD(O195,1),TIME(17,0,0)),TIME(8,0,0))),0),AND(L195&lt;&gt;"",N195="",P195="",O195&lt;&gt;""),(((MAX(NETWORKDAYS(L195,O195,UKBankHolidays)-1,0))*(TIME(17,0,0)-TIME(8,0,0)))+IF(NETWORKDAYS(O195,O195,UKBankHolidays)&gt;0,MEDIAN(TIME(8,0,0),MOD(O195,1),TIME(17,0,0)),TIME(8,0,0))-IF(NETWORKDAYS(L195,L195,UKBankHolidays)&gt;0,MEDIAN(TIME(8,0,0),MOD(L195,1),TIME(17,0,0)),TIME(8,0,0))),ISBLANK(K195),"0")),IF(ISBLANK(N195),NOW()-L195,N195-L195))</f>
        <v>0</v>
      </c>
      <c r="AC195" s="75">
        <f t="shared" ca="1" si="3"/>
        <v>0</v>
      </c>
      <c r="AD195" s="76">
        <f t="shared" ref="AD195:AD258" ca="1" si="22">MAX(0,IF(NOT(OR(G195=1,G195=2)),IF(M195&lt;&gt;"",((MAX(NETWORKDAYS(L195,M195,UKBankHolidays)-1,0))*(TIME(17,0,0)-TIME(8,0,0))+IF(NETWORKDAYS(M195,M195,UKBankHolidays)&gt;0,MEDIAN(TIME(8,0,0),MOD(M195,1),TIME(17,0,0)),TIME(8,0,0))-MEDIAN(TIME(8,0,0),MOD(L195,1),TIME(17,0,0))),((MAX(NETWORKDAYS(L195,NOW(),UKBankHolidays)-1,0))*(TIME(17,0,0)-TIME(8,0,0))+IF(NETWORKDAYS(NOW(),NOW(),UKBankHolidays)&gt;0,MEDIAN(TIME(8,0,0),MOD(NOW(),1),TIME(17,0,0)),TIME(8,0,0))-MEDIAN(TIME(8,0,0),MOD(L195,1),TIME(17,0,0)))),IF(M195&lt;&gt;"",M195-L195,NOW()-L195)))</f>
        <v>12388.425641435188</v>
      </c>
      <c r="AE195" s="76">
        <f t="shared" ref="AE195:AE258" si="23">SUMIFS(AB:AB,E:E,E195)</f>
        <v>0</v>
      </c>
      <c r="AF195" s="75">
        <f t="shared" si="6"/>
        <v>0</v>
      </c>
      <c r="AG195" s="75">
        <f t="shared" si="7"/>
        <v>0</v>
      </c>
      <c r="AH195" s="31" t="e" cm="1">
        <f t="array" aca="1" ref="AH195" ca="1">IF((AD195) &lt; (INDEX(ResponseSLA[#All],(MATCH((G195),ResponseSLA[Priority],0))+1,3)),"YES","No")</f>
        <v>#N/A</v>
      </c>
      <c r="AI195" s="31" t="str">
        <f>_xlfn.IFNA(IF(AE195 &lt; (INDEX(SLATable[Minimum SLA],MATCH(G195,SLATable[Priority],0))),"YES","NO"),"")</f>
        <v/>
      </c>
      <c r="AJ195" t="str">
        <f>_xlfn.IFNA(IF(AE195 &lt; (INDEX(SLATable[Maximum SLA],MATCH(G195,SLATable[Priority],0))),"YES","NO"),"")</f>
        <v/>
      </c>
    </row>
    <row r="196" spans="26:36" ht="15" customHeight="1">
      <c r="Z196" s="76" t="e">
        <f t="shared" ca="1" si="20"/>
        <v>#N/A</v>
      </c>
      <c r="AA196" s="75" t="e">
        <f t="shared" ca="1" si="1"/>
        <v>#N/A</v>
      </c>
      <c r="AB196" s="76">
        <f t="shared" ca="1" si="21"/>
        <v>0</v>
      </c>
      <c r="AC196" s="75">
        <f t="shared" ca="1" si="3"/>
        <v>0</v>
      </c>
      <c r="AD196" s="76">
        <f t="shared" ca="1" si="22"/>
        <v>12388.425641550926</v>
      </c>
      <c r="AE196" s="76">
        <f t="shared" si="23"/>
        <v>0</v>
      </c>
      <c r="AF196" s="75">
        <f t="shared" si="6"/>
        <v>0</v>
      </c>
      <c r="AG196" s="75">
        <f t="shared" si="7"/>
        <v>0</v>
      </c>
      <c r="AH196" s="31" t="e" cm="1">
        <f t="array" aca="1" ref="AH196" ca="1">IF((AD196) &lt; (INDEX(ResponseSLA[#All],(MATCH((G196),ResponseSLA[Priority],0))+1,3)),"YES","No")</f>
        <v>#N/A</v>
      </c>
      <c r="AI196" s="31" t="str">
        <f>_xlfn.IFNA(IF(AE196 &lt; (INDEX(SLATable[Minimum SLA],MATCH(G196,SLATable[Priority],0))),"YES","NO"),"")</f>
        <v/>
      </c>
      <c r="AJ196" t="str">
        <f>_xlfn.IFNA(IF(AE196 &lt; (INDEX(SLATable[Maximum SLA],MATCH(G196,SLATable[Priority],0))),"YES","NO"),"")</f>
        <v/>
      </c>
    </row>
    <row r="197" spans="26:36" ht="15" customHeight="1">
      <c r="Z197" s="76" t="e">
        <f t="shared" ca="1" si="20"/>
        <v>#N/A</v>
      </c>
      <c r="AA197" s="75" t="e">
        <f t="shared" ca="1" si="1"/>
        <v>#N/A</v>
      </c>
      <c r="AB197" s="76">
        <f t="shared" ca="1" si="21"/>
        <v>0</v>
      </c>
      <c r="AC197" s="75">
        <f t="shared" ca="1" si="3"/>
        <v>0</v>
      </c>
      <c r="AD197" s="76">
        <f t="shared" ca="1" si="22"/>
        <v>12388.425641435188</v>
      </c>
      <c r="AE197" s="76">
        <f t="shared" si="23"/>
        <v>0</v>
      </c>
      <c r="AF197" s="75">
        <f t="shared" si="6"/>
        <v>0</v>
      </c>
      <c r="AG197" s="75">
        <f t="shared" si="7"/>
        <v>0</v>
      </c>
      <c r="AH197" s="31" t="e" cm="1">
        <f t="array" aca="1" ref="AH197" ca="1">IF((AD197) &lt; (INDEX(ResponseSLA[#All],(MATCH((G197),ResponseSLA[Priority],0))+1,3)),"YES","No")</f>
        <v>#N/A</v>
      </c>
      <c r="AI197" s="31" t="str">
        <f>_xlfn.IFNA(IF(AE197 &lt; (INDEX(SLATable[Minimum SLA],MATCH(G197,SLATable[Priority],0))),"YES","NO"),"")</f>
        <v/>
      </c>
      <c r="AJ197" t="str">
        <f>_xlfn.IFNA(IF(AE197 &lt; (INDEX(SLATable[Maximum SLA],MATCH(G197,SLATable[Priority],0))),"YES","NO"),"")</f>
        <v/>
      </c>
    </row>
    <row r="198" spans="26:36" ht="15" customHeight="1">
      <c r="Z198" s="76" t="e">
        <f t="shared" ca="1" si="20"/>
        <v>#N/A</v>
      </c>
      <c r="AA198" s="75" t="e">
        <f t="shared" ca="1" si="1"/>
        <v>#N/A</v>
      </c>
      <c r="AB198" s="76">
        <f t="shared" ca="1" si="21"/>
        <v>0</v>
      </c>
      <c r="AC198" s="75">
        <f t="shared" ca="1" si="3"/>
        <v>0</v>
      </c>
      <c r="AD198" s="76">
        <f t="shared" ca="1" si="22"/>
        <v>12388.425641435188</v>
      </c>
      <c r="AE198" s="76">
        <f t="shared" si="23"/>
        <v>0</v>
      </c>
      <c r="AF198" s="75">
        <f t="shared" si="6"/>
        <v>0</v>
      </c>
      <c r="AG198" s="75">
        <f t="shared" si="7"/>
        <v>0</v>
      </c>
      <c r="AH198" s="31" t="e" cm="1">
        <f t="array" aca="1" ref="AH198" ca="1">IF((AD198) &lt; (INDEX(ResponseSLA[#All],(MATCH((G198),ResponseSLA[Priority],0))+1,3)),"YES","No")</f>
        <v>#N/A</v>
      </c>
      <c r="AI198" s="31" t="str">
        <f>_xlfn.IFNA(IF(AE198 &lt; (INDEX(SLATable[Minimum SLA],MATCH(G198,SLATable[Priority],0))),"YES","NO"),"")</f>
        <v/>
      </c>
      <c r="AJ198" t="str">
        <f>_xlfn.IFNA(IF(AE198 &lt; (INDEX(SLATable[Maximum SLA],MATCH(G198,SLATable[Priority],0))),"YES","NO"),"")</f>
        <v/>
      </c>
    </row>
    <row r="199" spans="26:36" ht="15" customHeight="1">
      <c r="Z199" s="76" t="e">
        <f t="shared" ca="1" si="20"/>
        <v>#N/A</v>
      </c>
      <c r="AA199" s="75" t="e">
        <f t="shared" ca="1" si="1"/>
        <v>#N/A</v>
      </c>
      <c r="AB199" s="76">
        <f t="shared" ca="1" si="21"/>
        <v>0</v>
      </c>
      <c r="AC199" s="75">
        <f t="shared" ca="1" si="3"/>
        <v>0</v>
      </c>
      <c r="AD199" s="76">
        <f t="shared" ca="1" si="22"/>
        <v>12388.425641550926</v>
      </c>
      <c r="AE199" s="76">
        <f t="shared" si="23"/>
        <v>0</v>
      </c>
      <c r="AF199" s="75">
        <f t="shared" si="6"/>
        <v>0</v>
      </c>
      <c r="AG199" s="75">
        <f t="shared" si="7"/>
        <v>0</v>
      </c>
      <c r="AH199" s="31" t="e" cm="1">
        <f t="array" aca="1" ref="AH199" ca="1">IF((AD199) &lt; (INDEX(ResponseSLA[#All],(MATCH((G199),ResponseSLA[Priority],0))+1,3)),"YES","No")</f>
        <v>#N/A</v>
      </c>
      <c r="AI199" s="31" t="str">
        <f>_xlfn.IFNA(IF(AE199 &lt; (INDEX(SLATable[Minimum SLA],MATCH(G199,SLATable[Priority],0))),"YES","NO"),"")</f>
        <v/>
      </c>
      <c r="AJ199" t="str">
        <f>_xlfn.IFNA(IF(AE199 &lt; (INDEX(SLATable[Maximum SLA],MATCH(G199,SLATable[Priority],0))),"YES","NO"),"")</f>
        <v/>
      </c>
    </row>
    <row r="200" spans="26:36" ht="15" customHeight="1">
      <c r="Z200" s="76" t="e">
        <f t="shared" ca="1" si="20"/>
        <v>#N/A</v>
      </c>
      <c r="AA200" s="75" t="e">
        <f t="shared" ca="1" si="1"/>
        <v>#N/A</v>
      </c>
      <c r="AB200" s="76">
        <f t="shared" ca="1" si="21"/>
        <v>0</v>
      </c>
      <c r="AC200" s="75">
        <f t="shared" ca="1" si="3"/>
        <v>0</v>
      </c>
      <c r="AD200" s="76">
        <f t="shared" ca="1" si="22"/>
        <v>12388.425641435188</v>
      </c>
      <c r="AE200" s="76">
        <f t="shared" si="23"/>
        <v>0</v>
      </c>
      <c r="AF200" s="75">
        <f t="shared" si="6"/>
        <v>0</v>
      </c>
      <c r="AG200" s="75">
        <f t="shared" si="7"/>
        <v>0</v>
      </c>
      <c r="AH200" s="31" t="e" cm="1">
        <f t="array" aca="1" ref="AH200" ca="1">IF((AD200) &lt; (INDEX(ResponseSLA[#All],(MATCH((G200),ResponseSLA[Priority],0))+1,3)),"YES","No")</f>
        <v>#N/A</v>
      </c>
      <c r="AI200" s="31" t="str">
        <f>_xlfn.IFNA(IF(AE200 &lt; (INDEX(SLATable[Minimum SLA],MATCH(G200,SLATable[Priority],0))),"YES","NO"),"")</f>
        <v/>
      </c>
      <c r="AJ200" t="str">
        <f>_xlfn.IFNA(IF(AE200 &lt; (INDEX(SLATable[Maximum SLA],MATCH(G200,SLATable[Priority],0))),"YES","NO"),"")</f>
        <v/>
      </c>
    </row>
    <row r="201" spans="26:36" ht="15" customHeight="1">
      <c r="Z201" s="76" t="e">
        <f t="shared" ca="1" si="20"/>
        <v>#N/A</v>
      </c>
      <c r="AA201" s="75" t="e">
        <f t="shared" ca="1" si="1"/>
        <v>#N/A</v>
      </c>
      <c r="AB201" s="76">
        <f t="shared" ca="1" si="21"/>
        <v>0</v>
      </c>
      <c r="AC201" s="75">
        <f t="shared" ca="1" si="3"/>
        <v>0</v>
      </c>
      <c r="AD201" s="76">
        <f t="shared" ca="1" si="22"/>
        <v>12388.425641435188</v>
      </c>
      <c r="AE201" s="76">
        <f t="shared" si="23"/>
        <v>0</v>
      </c>
      <c r="AF201" s="75">
        <f t="shared" si="6"/>
        <v>0</v>
      </c>
      <c r="AG201" s="75">
        <f t="shared" si="7"/>
        <v>0</v>
      </c>
      <c r="AH201" s="31" t="e" cm="1">
        <f t="array" aca="1" ref="AH201" ca="1">IF((AD201) &lt; (INDEX(ResponseSLA[#All],(MATCH((G201),ResponseSLA[Priority],0))+1,3)),"YES","No")</f>
        <v>#N/A</v>
      </c>
      <c r="AI201" s="31" t="str">
        <f>_xlfn.IFNA(IF(AE201 &lt; (INDEX(SLATable[Minimum SLA],MATCH(G201,SLATable[Priority],0))),"YES","NO"),"")</f>
        <v/>
      </c>
      <c r="AJ201" t="str">
        <f>_xlfn.IFNA(IF(AE201 &lt; (INDEX(SLATable[Maximum SLA],MATCH(G201,SLATable[Priority],0))),"YES","NO"),"")</f>
        <v/>
      </c>
    </row>
    <row r="202" spans="26:36" ht="15" customHeight="1">
      <c r="Z202" s="76" t="e">
        <f t="shared" ca="1" si="20"/>
        <v>#N/A</v>
      </c>
      <c r="AA202" s="75" t="e">
        <f t="shared" ca="1" si="1"/>
        <v>#N/A</v>
      </c>
      <c r="AB202" s="76">
        <f t="shared" ca="1" si="21"/>
        <v>0</v>
      </c>
      <c r="AC202" s="75">
        <f t="shared" ca="1" si="3"/>
        <v>0</v>
      </c>
      <c r="AD202" s="76">
        <f t="shared" ca="1" si="22"/>
        <v>12388.425641550926</v>
      </c>
      <c r="AE202" s="76">
        <f t="shared" si="23"/>
        <v>0</v>
      </c>
      <c r="AF202" s="75">
        <f t="shared" si="6"/>
        <v>0</v>
      </c>
      <c r="AG202" s="75">
        <f t="shared" si="7"/>
        <v>0</v>
      </c>
      <c r="AH202" s="31" t="e" cm="1">
        <f t="array" aca="1" ref="AH202" ca="1">IF((AD202) &lt; (INDEX(ResponseSLA[#All],(MATCH((G202),ResponseSLA[Priority],0))+1,3)),"YES","No")</f>
        <v>#N/A</v>
      </c>
      <c r="AI202" s="31" t="str">
        <f>_xlfn.IFNA(IF(AE202 &lt; (INDEX(SLATable[Minimum SLA],MATCH(G202,SLATable[Priority],0))),"YES","NO"),"")</f>
        <v/>
      </c>
      <c r="AJ202" t="str">
        <f>_xlfn.IFNA(IF(AE202 &lt; (INDEX(SLATable[Maximum SLA],MATCH(G202,SLATable[Priority],0))),"YES","NO"),"")</f>
        <v/>
      </c>
    </row>
    <row r="203" spans="26:36" ht="15" customHeight="1">
      <c r="Z203" s="76" t="e">
        <f t="shared" ca="1" si="20"/>
        <v>#N/A</v>
      </c>
      <c r="AA203" s="75" t="e">
        <f t="shared" ca="1" si="1"/>
        <v>#N/A</v>
      </c>
      <c r="AB203" s="76">
        <f t="shared" ca="1" si="21"/>
        <v>0</v>
      </c>
      <c r="AC203" s="75">
        <f t="shared" ca="1" si="3"/>
        <v>0</v>
      </c>
      <c r="AD203" s="76">
        <f t="shared" ca="1" si="22"/>
        <v>12388.425641435188</v>
      </c>
      <c r="AE203" s="76">
        <f t="shared" si="23"/>
        <v>0</v>
      </c>
      <c r="AF203" s="75">
        <f t="shared" si="6"/>
        <v>0</v>
      </c>
      <c r="AG203" s="75">
        <f t="shared" si="7"/>
        <v>0</v>
      </c>
      <c r="AH203" s="31" t="e" cm="1">
        <f t="array" aca="1" ref="AH203" ca="1">IF((AD203) &lt; (INDEX(ResponseSLA[#All],(MATCH((G203),ResponseSLA[Priority],0))+1,3)),"YES","No")</f>
        <v>#N/A</v>
      </c>
      <c r="AI203" s="31" t="str">
        <f>_xlfn.IFNA(IF(AE203 &lt; (INDEX(SLATable[Minimum SLA],MATCH(G203,SLATable[Priority],0))),"YES","NO"),"")</f>
        <v/>
      </c>
      <c r="AJ203" t="str">
        <f>_xlfn.IFNA(IF(AE203 &lt; (INDEX(SLATable[Maximum SLA],MATCH(G203,SLATable[Priority],0))),"YES","NO"),"")</f>
        <v/>
      </c>
    </row>
    <row r="204" spans="26:36" ht="15" customHeight="1">
      <c r="Z204" s="76" t="e">
        <f t="shared" ca="1" si="20"/>
        <v>#N/A</v>
      </c>
      <c r="AA204" s="75" t="e">
        <f t="shared" ca="1" si="1"/>
        <v>#N/A</v>
      </c>
      <c r="AB204" s="76">
        <f t="shared" ca="1" si="21"/>
        <v>0</v>
      </c>
      <c r="AC204" s="75">
        <f t="shared" ca="1" si="3"/>
        <v>0</v>
      </c>
      <c r="AD204" s="76">
        <f t="shared" ca="1" si="22"/>
        <v>12388.425641435188</v>
      </c>
      <c r="AE204" s="76">
        <f t="shared" si="23"/>
        <v>0</v>
      </c>
      <c r="AF204" s="75">
        <f t="shared" si="6"/>
        <v>0</v>
      </c>
      <c r="AG204" s="75">
        <f t="shared" si="7"/>
        <v>0</v>
      </c>
      <c r="AH204" s="31" t="e" cm="1">
        <f t="array" aca="1" ref="AH204" ca="1">IF((AD204) &lt; (INDEX(ResponseSLA[#All],(MATCH((G204),ResponseSLA[Priority],0))+1,3)),"YES","No")</f>
        <v>#N/A</v>
      </c>
      <c r="AI204" s="31" t="str">
        <f>_xlfn.IFNA(IF(AE204 &lt; (INDEX(SLATable[Minimum SLA],MATCH(G204,SLATable[Priority],0))),"YES","NO"),"")</f>
        <v/>
      </c>
      <c r="AJ204" t="str">
        <f>_xlfn.IFNA(IF(AE204 &lt; (INDEX(SLATable[Maximum SLA],MATCH(G204,SLATable[Priority],0))),"YES","NO"),"")</f>
        <v/>
      </c>
    </row>
    <row r="205" spans="26:36" ht="15" customHeight="1">
      <c r="Z205" s="76" t="e">
        <f t="shared" ca="1" si="20"/>
        <v>#N/A</v>
      </c>
      <c r="AA205" s="75" t="e">
        <f t="shared" ca="1" si="1"/>
        <v>#N/A</v>
      </c>
      <c r="AB205" s="76">
        <f t="shared" ca="1" si="21"/>
        <v>0</v>
      </c>
      <c r="AC205" s="75">
        <f t="shared" ca="1" si="3"/>
        <v>0</v>
      </c>
      <c r="AD205" s="76">
        <f t="shared" ca="1" si="22"/>
        <v>12388.425641550926</v>
      </c>
      <c r="AE205" s="76">
        <f t="shared" si="23"/>
        <v>0</v>
      </c>
      <c r="AF205" s="75">
        <f t="shared" si="6"/>
        <v>0</v>
      </c>
      <c r="AG205" s="75">
        <f t="shared" si="7"/>
        <v>0</v>
      </c>
      <c r="AH205" s="31" t="e" cm="1">
        <f t="array" aca="1" ref="AH205" ca="1">IF((AD205) &lt; (INDEX(ResponseSLA[#All],(MATCH((G205),ResponseSLA[Priority],0))+1,3)),"YES","No")</f>
        <v>#N/A</v>
      </c>
      <c r="AI205" s="31" t="str">
        <f>_xlfn.IFNA(IF(AE205 &lt; (INDEX(SLATable[Minimum SLA],MATCH(G205,SLATable[Priority],0))),"YES","NO"),"")</f>
        <v/>
      </c>
      <c r="AJ205" t="str">
        <f>_xlfn.IFNA(IF(AE205 &lt; (INDEX(SLATable[Maximum SLA],MATCH(G205,SLATable[Priority],0))),"YES","NO"),"")</f>
        <v/>
      </c>
    </row>
    <row r="206" spans="26:36" ht="15" customHeight="1">
      <c r="Z206" s="76" t="e">
        <f t="shared" ca="1" si="20"/>
        <v>#N/A</v>
      </c>
      <c r="AA206" s="75" t="e">
        <f t="shared" ca="1" si="1"/>
        <v>#N/A</v>
      </c>
      <c r="AB206" s="76">
        <f t="shared" ca="1" si="21"/>
        <v>0</v>
      </c>
      <c r="AC206" s="75">
        <f t="shared" ca="1" si="3"/>
        <v>0</v>
      </c>
      <c r="AD206" s="76">
        <f t="shared" ca="1" si="22"/>
        <v>12388.425641435188</v>
      </c>
      <c r="AE206" s="76">
        <f t="shared" si="23"/>
        <v>0</v>
      </c>
      <c r="AF206" s="75">
        <f t="shared" si="6"/>
        <v>0</v>
      </c>
      <c r="AG206" s="75">
        <f t="shared" si="7"/>
        <v>0</v>
      </c>
      <c r="AH206" s="31" t="e" cm="1">
        <f t="array" aca="1" ref="AH206" ca="1">IF((AD206) &lt; (INDEX(ResponseSLA[#All],(MATCH((G206),ResponseSLA[Priority],0))+1,3)),"YES","No")</f>
        <v>#N/A</v>
      </c>
      <c r="AI206" s="31" t="str">
        <f>_xlfn.IFNA(IF(AE206 &lt; (INDEX(SLATable[Minimum SLA],MATCH(G206,SLATable[Priority],0))),"YES","NO"),"")</f>
        <v/>
      </c>
      <c r="AJ206" t="str">
        <f>_xlfn.IFNA(IF(AE206 &lt; (INDEX(SLATable[Maximum SLA],MATCH(G206,SLATable[Priority],0))),"YES","NO"),"")</f>
        <v/>
      </c>
    </row>
    <row r="207" spans="26:36" ht="15" customHeight="1">
      <c r="Z207" s="76" t="e">
        <f t="shared" ca="1" si="20"/>
        <v>#N/A</v>
      </c>
      <c r="AA207" s="75" t="e">
        <f t="shared" ca="1" si="1"/>
        <v>#N/A</v>
      </c>
      <c r="AB207" s="76">
        <f t="shared" ca="1" si="21"/>
        <v>0</v>
      </c>
      <c r="AC207" s="75">
        <f t="shared" ca="1" si="3"/>
        <v>0</v>
      </c>
      <c r="AD207" s="76">
        <f t="shared" ca="1" si="22"/>
        <v>12388.425641435188</v>
      </c>
      <c r="AE207" s="76">
        <f t="shared" si="23"/>
        <v>0</v>
      </c>
      <c r="AF207" s="75">
        <f t="shared" si="6"/>
        <v>0</v>
      </c>
      <c r="AG207" s="75">
        <f t="shared" si="7"/>
        <v>0</v>
      </c>
      <c r="AH207" s="31" t="e" cm="1">
        <f t="array" aca="1" ref="AH207" ca="1">IF((AD207) &lt; (INDEX(ResponseSLA[#All],(MATCH((G207),ResponseSLA[Priority],0))+1,3)),"YES","No")</f>
        <v>#N/A</v>
      </c>
      <c r="AI207" s="31" t="str">
        <f>_xlfn.IFNA(IF(AE207 &lt; (INDEX(SLATable[Minimum SLA],MATCH(G207,SLATable[Priority],0))),"YES","NO"),"")</f>
        <v/>
      </c>
      <c r="AJ207" t="str">
        <f>_xlfn.IFNA(IF(AE207 &lt; (INDEX(SLATable[Maximum SLA],MATCH(G207,SLATable[Priority],0))),"YES","NO"),"")</f>
        <v/>
      </c>
    </row>
    <row r="208" spans="26:36" ht="15" customHeight="1">
      <c r="Z208" s="76" t="e">
        <f t="shared" ca="1" si="20"/>
        <v>#N/A</v>
      </c>
      <c r="AA208" s="75" t="e">
        <f t="shared" ca="1" si="1"/>
        <v>#N/A</v>
      </c>
      <c r="AB208" s="76">
        <f t="shared" ca="1" si="21"/>
        <v>0</v>
      </c>
      <c r="AC208" s="75">
        <f t="shared" ca="1" si="3"/>
        <v>0</v>
      </c>
      <c r="AD208" s="76">
        <f t="shared" ca="1" si="22"/>
        <v>12388.425641550926</v>
      </c>
      <c r="AE208" s="76">
        <f t="shared" si="23"/>
        <v>0</v>
      </c>
      <c r="AF208" s="75">
        <f t="shared" si="6"/>
        <v>0</v>
      </c>
      <c r="AG208" s="75">
        <f t="shared" si="7"/>
        <v>0</v>
      </c>
      <c r="AH208" s="31" t="e" cm="1">
        <f t="array" aca="1" ref="AH208" ca="1">IF((AD208) &lt; (INDEX(ResponseSLA[#All],(MATCH((G208),ResponseSLA[Priority],0))+1,3)),"YES","No")</f>
        <v>#N/A</v>
      </c>
      <c r="AI208" s="31" t="str">
        <f>_xlfn.IFNA(IF(AE208 &lt; (INDEX(SLATable[Minimum SLA],MATCH(G208,SLATable[Priority],0))),"YES","NO"),"")</f>
        <v/>
      </c>
      <c r="AJ208" t="str">
        <f>_xlfn.IFNA(IF(AE208 &lt; (INDEX(SLATable[Maximum SLA],MATCH(G208,SLATable[Priority],0))),"YES","NO"),"")</f>
        <v/>
      </c>
    </row>
    <row r="209" spans="26:36" ht="15" customHeight="1">
      <c r="Z209" s="76" t="e">
        <f t="shared" ca="1" si="20"/>
        <v>#N/A</v>
      </c>
      <c r="AA209" s="75" t="e">
        <f t="shared" ca="1" si="1"/>
        <v>#N/A</v>
      </c>
      <c r="AB209" s="76">
        <f t="shared" ca="1" si="21"/>
        <v>0</v>
      </c>
      <c r="AC209" s="75">
        <f t="shared" ca="1" si="3"/>
        <v>0</v>
      </c>
      <c r="AD209" s="76">
        <f t="shared" ca="1" si="22"/>
        <v>12388.425641435188</v>
      </c>
      <c r="AE209" s="76">
        <f t="shared" si="23"/>
        <v>0</v>
      </c>
      <c r="AF209" s="75">
        <f t="shared" si="6"/>
        <v>0</v>
      </c>
      <c r="AG209" s="75">
        <f t="shared" si="7"/>
        <v>0</v>
      </c>
      <c r="AH209" s="31" t="e" cm="1">
        <f t="array" aca="1" ref="AH209" ca="1">IF((AD209) &lt; (INDEX(ResponseSLA[#All],(MATCH((G209),ResponseSLA[Priority],0))+1,3)),"YES","No")</f>
        <v>#N/A</v>
      </c>
      <c r="AI209" s="31" t="str">
        <f>_xlfn.IFNA(IF(AE209 &lt; (INDEX(SLATable[Minimum SLA],MATCH(G209,SLATable[Priority],0))),"YES","NO"),"")</f>
        <v/>
      </c>
      <c r="AJ209" t="str">
        <f>_xlfn.IFNA(IF(AE209 &lt; (INDEX(SLATable[Maximum SLA],MATCH(G209,SLATable[Priority],0))),"YES","NO"),"")</f>
        <v/>
      </c>
    </row>
    <row r="210" spans="26:36" ht="15" customHeight="1">
      <c r="Z210" s="76" t="e">
        <f t="shared" ca="1" si="20"/>
        <v>#N/A</v>
      </c>
      <c r="AA210" s="75" t="e">
        <f t="shared" ca="1" si="1"/>
        <v>#N/A</v>
      </c>
      <c r="AB210" s="76">
        <f t="shared" ca="1" si="21"/>
        <v>0</v>
      </c>
      <c r="AC210" s="75">
        <f t="shared" ca="1" si="3"/>
        <v>0</v>
      </c>
      <c r="AD210" s="76">
        <f t="shared" ca="1" si="22"/>
        <v>12388.425641435188</v>
      </c>
      <c r="AE210" s="76">
        <f t="shared" si="23"/>
        <v>0</v>
      </c>
      <c r="AF210" s="75">
        <f t="shared" si="6"/>
        <v>0</v>
      </c>
      <c r="AG210" s="75">
        <f t="shared" si="7"/>
        <v>0</v>
      </c>
      <c r="AH210" s="31" t="e" cm="1">
        <f t="array" aca="1" ref="AH210" ca="1">IF((AD210) &lt; (INDEX(ResponseSLA[#All],(MATCH((G210),ResponseSLA[Priority],0))+1,3)),"YES","No")</f>
        <v>#N/A</v>
      </c>
      <c r="AI210" s="31" t="str">
        <f>_xlfn.IFNA(IF(AE210 &lt; (INDEX(SLATable[Minimum SLA],MATCH(G210,SLATable[Priority],0))),"YES","NO"),"")</f>
        <v/>
      </c>
      <c r="AJ210" t="str">
        <f>_xlfn.IFNA(IF(AE210 &lt; (INDEX(SLATable[Maximum SLA],MATCH(G210,SLATable[Priority],0))),"YES","NO"),"")</f>
        <v/>
      </c>
    </row>
    <row r="211" spans="26:36" ht="15" customHeight="1">
      <c r="Z211" s="76" t="e">
        <f t="shared" ca="1" si="20"/>
        <v>#N/A</v>
      </c>
      <c r="AA211" s="75" t="e">
        <f t="shared" ca="1" si="1"/>
        <v>#N/A</v>
      </c>
      <c r="AB211" s="76">
        <f t="shared" ca="1" si="21"/>
        <v>0</v>
      </c>
      <c r="AC211" s="75">
        <f t="shared" ca="1" si="3"/>
        <v>0</v>
      </c>
      <c r="AD211" s="76">
        <f t="shared" ca="1" si="22"/>
        <v>12388.425641550926</v>
      </c>
      <c r="AE211" s="76">
        <f t="shared" si="23"/>
        <v>0</v>
      </c>
      <c r="AF211" s="75">
        <f t="shared" si="6"/>
        <v>0</v>
      </c>
      <c r="AG211" s="75">
        <f t="shared" si="7"/>
        <v>0</v>
      </c>
      <c r="AH211" s="31" t="e" cm="1">
        <f t="array" aca="1" ref="AH211" ca="1">IF((AD211) &lt; (INDEX(ResponseSLA[#All],(MATCH((G211),ResponseSLA[Priority],0))+1,3)),"YES","No")</f>
        <v>#N/A</v>
      </c>
      <c r="AI211" s="31" t="str">
        <f>_xlfn.IFNA(IF(AE211 &lt; (INDEX(SLATable[Minimum SLA],MATCH(G211,SLATable[Priority],0))),"YES","NO"),"")</f>
        <v/>
      </c>
      <c r="AJ211" t="str">
        <f>_xlfn.IFNA(IF(AE211 &lt; (INDEX(SLATable[Maximum SLA],MATCH(G211,SLATable[Priority],0))),"YES","NO"),"")</f>
        <v/>
      </c>
    </row>
    <row r="212" spans="26:36" ht="15" customHeight="1">
      <c r="Z212" s="76" t="e">
        <f t="shared" ca="1" si="20"/>
        <v>#N/A</v>
      </c>
      <c r="AA212" s="75" t="e">
        <f t="shared" ca="1" si="1"/>
        <v>#N/A</v>
      </c>
      <c r="AB212" s="76">
        <f t="shared" ca="1" si="21"/>
        <v>0</v>
      </c>
      <c r="AC212" s="75">
        <f t="shared" ca="1" si="3"/>
        <v>0</v>
      </c>
      <c r="AD212" s="76">
        <f t="shared" ca="1" si="22"/>
        <v>12388.425641435188</v>
      </c>
      <c r="AE212" s="76">
        <f t="shared" si="23"/>
        <v>0</v>
      </c>
      <c r="AF212" s="75">
        <f t="shared" si="6"/>
        <v>0</v>
      </c>
      <c r="AG212" s="75">
        <f t="shared" si="7"/>
        <v>0</v>
      </c>
      <c r="AH212" s="31" t="e" cm="1">
        <f t="array" aca="1" ref="AH212" ca="1">IF((AD212) &lt; (INDEX(ResponseSLA[#All],(MATCH((G212),ResponseSLA[Priority],0))+1,3)),"YES","No")</f>
        <v>#N/A</v>
      </c>
      <c r="AI212" s="31" t="str">
        <f>_xlfn.IFNA(IF(AE212 &lt; (INDEX(SLATable[Minimum SLA],MATCH(G212,SLATable[Priority],0))),"YES","NO"),"")</f>
        <v/>
      </c>
      <c r="AJ212" t="str">
        <f>_xlfn.IFNA(IF(AE212 &lt; (INDEX(SLATable[Maximum SLA],MATCH(G212,SLATable[Priority],0))),"YES","NO"),"")</f>
        <v/>
      </c>
    </row>
    <row r="213" spans="26:36" ht="15" customHeight="1">
      <c r="Z213" s="76" t="e">
        <f t="shared" ca="1" si="20"/>
        <v>#N/A</v>
      </c>
      <c r="AA213" s="75" t="e">
        <f t="shared" ca="1" si="1"/>
        <v>#N/A</v>
      </c>
      <c r="AB213" s="76">
        <f t="shared" ca="1" si="21"/>
        <v>0</v>
      </c>
      <c r="AC213" s="75">
        <f t="shared" ca="1" si="3"/>
        <v>0</v>
      </c>
      <c r="AD213" s="76">
        <f t="shared" ca="1" si="22"/>
        <v>12388.425641435188</v>
      </c>
      <c r="AE213" s="76">
        <f t="shared" si="23"/>
        <v>0</v>
      </c>
      <c r="AF213" s="75">
        <f t="shared" si="6"/>
        <v>0</v>
      </c>
      <c r="AG213" s="75">
        <f t="shared" si="7"/>
        <v>0</v>
      </c>
      <c r="AH213" s="31" t="e" cm="1">
        <f t="array" aca="1" ref="AH213" ca="1">IF((AD213) &lt; (INDEX(ResponseSLA[#All],(MATCH((G213),ResponseSLA[Priority],0))+1,3)),"YES","No")</f>
        <v>#N/A</v>
      </c>
      <c r="AI213" s="31" t="str">
        <f>_xlfn.IFNA(IF(AE213 &lt; (INDEX(SLATable[Minimum SLA],MATCH(G213,SLATable[Priority],0))),"YES","NO"),"")</f>
        <v/>
      </c>
      <c r="AJ213" t="str">
        <f>_xlfn.IFNA(IF(AE213 &lt; (INDEX(SLATable[Maximum SLA],MATCH(G213,SLATable[Priority],0))),"YES","NO"),"")</f>
        <v/>
      </c>
    </row>
    <row r="214" spans="26:36" ht="15" customHeight="1">
      <c r="Z214" s="76" t="e">
        <f t="shared" ca="1" si="20"/>
        <v>#N/A</v>
      </c>
      <c r="AA214" s="75" t="e">
        <f t="shared" ca="1" si="1"/>
        <v>#N/A</v>
      </c>
      <c r="AB214" s="76">
        <f t="shared" ca="1" si="21"/>
        <v>0</v>
      </c>
      <c r="AC214" s="75">
        <f t="shared" ca="1" si="3"/>
        <v>0</v>
      </c>
      <c r="AD214" s="76">
        <f t="shared" ca="1" si="22"/>
        <v>12388.425641550926</v>
      </c>
      <c r="AE214" s="76">
        <f t="shared" si="23"/>
        <v>0</v>
      </c>
      <c r="AF214" s="75">
        <f t="shared" si="6"/>
        <v>0</v>
      </c>
      <c r="AG214" s="75">
        <f t="shared" si="7"/>
        <v>0</v>
      </c>
      <c r="AH214" s="31" t="e" cm="1">
        <f t="array" aca="1" ref="AH214" ca="1">IF((AD214) &lt; (INDEX(ResponseSLA[#All],(MATCH((G214),ResponseSLA[Priority],0))+1,3)),"YES","No")</f>
        <v>#N/A</v>
      </c>
      <c r="AI214" s="31" t="str">
        <f>_xlfn.IFNA(IF(AE214 &lt; (INDEX(SLATable[Minimum SLA],MATCH(G214,SLATable[Priority],0))),"YES","NO"),"")</f>
        <v/>
      </c>
      <c r="AJ214" t="str">
        <f>_xlfn.IFNA(IF(AE214 &lt; (INDEX(SLATable[Maximum SLA],MATCH(G214,SLATable[Priority],0))),"YES","NO"),"")</f>
        <v/>
      </c>
    </row>
    <row r="215" spans="26:36" ht="15" customHeight="1">
      <c r="Z215" s="76" t="e">
        <f t="shared" ca="1" si="20"/>
        <v>#N/A</v>
      </c>
      <c r="AA215" s="75" t="e">
        <f t="shared" ca="1" si="1"/>
        <v>#N/A</v>
      </c>
      <c r="AB215" s="76">
        <f t="shared" ca="1" si="21"/>
        <v>0</v>
      </c>
      <c r="AC215" s="75">
        <f t="shared" ca="1" si="3"/>
        <v>0</v>
      </c>
      <c r="AD215" s="76">
        <f t="shared" ca="1" si="22"/>
        <v>12388.425641435188</v>
      </c>
      <c r="AE215" s="76">
        <f t="shared" si="23"/>
        <v>0</v>
      </c>
      <c r="AF215" s="75">
        <f t="shared" si="6"/>
        <v>0</v>
      </c>
      <c r="AG215" s="75">
        <f t="shared" si="7"/>
        <v>0</v>
      </c>
      <c r="AH215" s="31" t="e" cm="1">
        <f t="array" aca="1" ref="AH215" ca="1">IF((AD215) &lt; (INDEX(ResponseSLA[#All],(MATCH((G215),ResponseSLA[Priority],0))+1,3)),"YES","No")</f>
        <v>#N/A</v>
      </c>
      <c r="AI215" s="31" t="str">
        <f>_xlfn.IFNA(IF(AE215 &lt; (INDEX(SLATable[Minimum SLA],MATCH(G215,SLATable[Priority],0))),"YES","NO"),"")</f>
        <v/>
      </c>
      <c r="AJ215" t="str">
        <f>_xlfn.IFNA(IF(AE215 &lt; (INDEX(SLATable[Maximum SLA],MATCH(G215,SLATable[Priority],0))),"YES","NO"),"")</f>
        <v/>
      </c>
    </row>
    <row r="216" spans="26:36" ht="15" customHeight="1">
      <c r="Z216" s="76" t="e">
        <f t="shared" ca="1" si="20"/>
        <v>#N/A</v>
      </c>
      <c r="AA216" s="75" t="e">
        <f t="shared" ca="1" si="1"/>
        <v>#N/A</v>
      </c>
      <c r="AB216" s="76">
        <f t="shared" ca="1" si="21"/>
        <v>0</v>
      </c>
      <c r="AC216" s="75">
        <f t="shared" ca="1" si="3"/>
        <v>0</v>
      </c>
      <c r="AD216" s="76">
        <f t="shared" ca="1" si="22"/>
        <v>12388.425641435188</v>
      </c>
      <c r="AE216" s="76">
        <f t="shared" si="23"/>
        <v>0</v>
      </c>
      <c r="AF216" s="75">
        <f t="shared" si="6"/>
        <v>0</v>
      </c>
      <c r="AG216" s="75">
        <f t="shared" si="7"/>
        <v>0</v>
      </c>
      <c r="AH216" s="31" t="e" cm="1">
        <f t="array" aca="1" ref="AH216" ca="1">IF((AD216) &lt; (INDEX(ResponseSLA[#All],(MATCH((G216),ResponseSLA[Priority],0))+1,3)),"YES","No")</f>
        <v>#N/A</v>
      </c>
      <c r="AI216" s="31" t="str">
        <f>_xlfn.IFNA(IF(AE216 &lt; (INDEX(SLATable[Minimum SLA],MATCH(G216,SLATable[Priority],0))),"YES","NO"),"")</f>
        <v/>
      </c>
      <c r="AJ216" t="str">
        <f>_xlfn.IFNA(IF(AE216 &lt; (INDEX(SLATable[Maximum SLA],MATCH(G216,SLATable[Priority],0))),"YES","NO"),"")</f>
        <v/>
      </c>
    </row>
    <row r="217" spans="26:36" ht="15" customHeight="1">
      <c r="Z217" s="76" t="e">
        <f t="shared" ca="1" si="20"/>
        <v>#N/A</v>
      </c>
      <c r="AA217" s="75" t="e">
        <f t="shared" ca="1" si="1"/>
        <v>#N/A</v>
      </c>
      <c r="AB217" s="76">
        <f t="shared" ca="1" si="21"/>
        <v>0</v>
      </c>
      <c r="AC217" s="75">
        <f t="shared" ca="1" si="3"/>
        <v>0</v>
      </c>
      <c r="AD217" s="76">
        <f t="shared" ca="1" si="22"/>
        <v>12388.425641550926</v>
      </c>
      <c r="AE217" s="76">
        <f t="shared" si="23"/>
        <v>0</v>
      </c>
      <c r="AF217" s="75">
        <f t="shared" si="6"/>
        <v>0</v>
      </c>
      <c r="AG217" s="75">
        <f t="shared" si="7"/>
        <v>0</v>
      </c>
      <c r="AH217" s="31" t="e" cm="1">
        <f t="array" aca="1" ref="AH217" ca="1">IF((AD217) &lt; (INDEX(ResponseSLA[#All],(MATCH((G217),ResponseSLA[Priority],0))+1,3)),"YES","No")</f>
        <v>#N/A</v>
      </c>
      <c r="AI217" s="31" t="str">
        <f>_xlfn.IFNA(IF(AE217 &lt; (INDEX(SLATable[Minimum SLA],MATCH(G217,SLATable[Priority],0))),"YES","NO"),"")</f>
        <v/>
      </c>
      <c r="AJ217" t="str">
        <f>_xlfn.IFNA(IF(AE217 &lt; (INDEX(SLATable[Maximum SLA],MATCH(G217,SLATable[Priority],0))),"YES","NO"),"")</f>
        <v/>
      </c>
    </row>
    <row r="218" spans="26:36" ht="15" customHeight="1">
      <c r="Z218" s="76" t="e">
        <f t="shared" ca="1" si="20"/>
        <v>#N/A</v>
      </c>
      <c r="AA218" s="75" t="e">
        <f t="shared" ca="1" si="1"/>
        <v>#N/A</v>
      </c>
      <c r="AB218" s="76">
        <f t="shared" ca="1" si="21"/>
        <v>0</v>
      </c>
      <c r="AC218" s="75">
        <f t="shared" ca="1" si="3"/>
        <v>0</v>
      </c>
      <c r="AD218" s="76">
        <f t="shared" ca="1" si="22"/>
        <v>12388.425641435188</v>
      </c>
      <c r="AE218" s="76">
        <f t="shared" si="23"/>
        <v>0</v>
      </c>
      <c r="AF218" s="75">
        <f t="shared" si="6"/>
        <v>0</v>
      </c>
      <c r="AG218" s="75">
        <f t="shared" si="7"/>
        <v>0</v>
      </c>
      <c r="AH218" s="31" t="e" cm="1">
        <f t="array" aca="1" ref="AH218" ca="1">IF((AD218) &lt; (INDEX(ResponseSLA[#All],(MATCH((G218),ResponseSLA[Priority],0))+1,3)),"YES","No")</f>
        <v>#N/A</v>
      </c>
      <c r="AI218" s="31" t="str">
        <f>_xlfn.IFNA(IF(AE218 &lt; (INDEX(SLATable[Minimum SLA],MATCH(G218,SLATable[Priority],0))),"YES","NO"),"")</f>
        <v/>
      </c>
      <c r="AJ218" t="str">
        <f>_xlfn.IFNA(IF(AE218 &lt; (INDEX(SLATable[Maximum SLA],MATCH(G218,SLATable[Priority],0))),"YES","NO"),"")</f>
        <v/>
      </c>
    </row>
    <row r="219" spans="26:36" ht="15" customHeight="1">
      <c r="Z219" s="76" t="e">
        <f t="shared" ca="1" si="20"/>
        <v>#N/A</v>
      </c>
      <c r="AA219" s="75" t="e">
        <f t="shared" ca="1" si="1"/>
        <v>#N/A</v>
      </c>
      <c r="AB219" s="76">
        <f t="shared" ca="1" si="21"/>
        <v>0</v>
      </c>
      <c r="AC219" s="75">
        <f t="shared" ca="1" si="3"/>
        <v>0</v>
      </c>
      <c r="AD219" s="76">
        <f t="shared" ca="1" si="22"/>
        <v>12388.425641435188</v>
      </c>
      <c r="AE219" s="76">
        <f t="shared" si="23"/>
        <v>0</v>
      </c>
      <c r="AF219" s="75">
        <f t="shared" si="6"/>
        <v>0</v>
      </c>
      <c r="AG219" s="75">
        <f t="shared" si="7"/>
        <v>0</v>
      </c>
      <c r="AH219" s="31" t="e" cm="1">
        <f t="array" aca="1" ref="AH219" ca="1">IF((AD219) &lt; (INDEX(ResponseSLA[#All],(MATCH((G219),ResponseSLA[Priority],0))+1,3)),"YES","No")</f>
        <v>#N/A</v>
      </c>
      <c r="AI219" s="31" t="str">
        <f>_xlfn.IFNA(IF(AE219 &lt; (INDEX(SLATable[Minimum SLA],MATCH(G219,SLATable[Priority],0))),"YES","NO"),"")</f>
        <v/>
      </c>
      <c r="AJ219" t="str">
        <f>_xlfn.IFNA(IF(AE219 &lt; (INDEX(SLATable[Maximum SLA],MATCH(G219,SLATable[Priority],0))),"YES","NO"),"")</f>
        <v/>
      </c>
    </row>
    <row r="220" spans="26:36" ht="15" customHeight="1">
      <c r="Z220" s="76" t="e">
        <f t="shared" ca="1" si="20"/>
        <v>#N/A</v>
      </c>
      <c r="AA220" s="75" t="e">
        <f t="shared" ca="1" si="1"/>
        <v>#N/A</v>
      </c>
      <c r="AB220" s="76">
        <f t="shared" ca="1" si="21"/>
        <v>0</v>
      </c>
      <c r="AC220" s="75">
        <f t="shared" ca="1" si="3"/>
        <v>0</v>
      </c>
      <c r="AD220" s="76">
        <f t="shared" ca="1" si="22"/>
        <v>12388.425641550926</v>
      </c>
      <c r="AE220" s="76">
        <f t="shared" si="23"/>
        <v>0</v>
      </c>
      <c r="AF220" s="75">
        <f t="shared" si="6"/>
        <v>0</v>
      </c>
      <c r="AG220" s="75">
        <f t="shared" si="7"/>
        <v>0</v>
      </c>
      <c r="AH220" s="31" t="e" cm="1">
        <f t="array" aca="1" ref="AH220" ca="1">IF((AD220) &lt; (INDEX(ResponseSLA[#All],(MATCH((G220),ResponseSLA[Priority],0))+1,3)),"YES","No")</f>
        <v>#N/A</v>
      </c>
      <c r="AI220" s="31" t="str">
        <f>_xlfn.IFNA(IF(AE220 &lt; (INDEX(SLATable[Minimum SLA],MATCH(G220,SLATable[Priority],0))),"YES","NO"),"")</f>
        <v/>
      </c>
      <c r="AJ220" t="str">
        <f>_xlfn.IFNA(IF(AE220 &lt; (INDEX(SLATable[Maximum SLA],MATCH(G220,SLATable[Priority],0))),"YES","NO"),"")</f>
        <v/>
      </c>
    </row>
    <row r="221" spans="26:36" ht="15" customHeight="1">
      <c r="Z221" s="76" t="e">
        <f t="shared" ca="1" si="20"/>
        <v>#N/A</v>
      </c>
      <c r="AA221" s="75" t="e">
        <f t="shared" ca="1" si="1"/>
        <v>#N/A</v>
      </c>
      <c r="AB221" s="76">
        <f t="shared" ca="1" si="21"/>
        <v>0</v>
      </c>
      <c r="AC221" s="75">
        <f t="shared" ca="1" si="3"/>
        <v>0</v>
      </c>
      <c r="AD221" s="76">
        <f t="shared" ca="1" si="22"/>
        <v>12388.425641435188</v>
      </c>
      <c r="AE221" s="76">
        <f t="shared" si="23"/>
        <v>0</v>
      </c>
      <c r="AF221" s="75">
        <f t="shared" si="6"/>
        <v>0</v>
      </c>
      <c r="AG221" s="75">
        <f t="shared" si="7"/>
        <v>0</v>
      </c>
      <c r="AH221" s="31" t="e" cm="1">
        <f t="array" aca="1" ref="AH221" ca="1">IF((AD221) &lt; (INDEX(ResponseSLA[#All],(MATCH((G221),ResponseSLA[Priority],0))+1,3)),"YES","No")</f>
        <v>#N/A</v>
      </c>
      <c r="AI221" s="31" t="str">
        <f>_xlfn.IFNA(IF(AE221 &lt; (INDEX(SLATable[Minimum SLA],MATCH(G221,SLATable[Priority],0))),"YES","NO"),"")</f>
        <v/>
      </c>
      <c r="AJ221" t="str">
        <f>_xlfn.IFNA(IF(AE221 &lt; (INDEX(SLATable[Maximum SLA],MATCH(G221,SLATable[Priority],0))),"YES","NO"),"")</f>
        <v/>
      </c>
    </row>
    <row r="222" spans="26:36" ht="15" customHeight="1">
      <c r="Z222" s="76" t="e">
        <f t="shared" ca="1" si="20"/>
        <v>#N/A</v>
      </c>
      <c r="AA222" s="75" t="e">
        <f t="shared" ca="1" si="1"/>
        <v>#N/A</v>
      </c>
      <c r="AB222" s="76">
        <f t="shared" ca="1" si="21"/>
        <v>0</v>
      </c>
      <c r="AC222" s="75">
        <f t="shared" ca="1" si="3"/>
        <v>0</v>
      </c>
      <c r="AD222" s="76">
        <f t="shared" ca="1" si="22"/>
        <v>12388.425641435188</v>
      </c>
      <c r="AE222" s="76">
        <f t="shared" si="23"/>
        <v>0</v>
      </c>
      <c r="AF222" s="75">
        <f t="shared" si="6"/>
        <v>0</v>
      </c>
      <c r="AG222" s="75">
        <f t="shared" si="7"/>
        <v>0</v>
      </c>
      <c r="AH222" s="31" t="e" cm="1">
        <f t="array" aca="1" ref="AH222" ca="1">IF((AD222) &lt; (INDEX(ResponseSLA[#All],(MATCH((G222),ResponseSLA[Priority],0))+1,3)),"YES","No")</f>
        <v>#N/A</v>
      </c>
      <c r="AI222" s="31" t="str">
        <f>_xlfn.IFNA(IF(AE222 &lt; (INDEX(SLATable[Minimum SLA],MATCH(G222,SLATable[Priority],0))),"YES","NO"),"")</f>
        <v/>
      </c>
      <c r="AJ222" t="str">
        <f>_xlfn.IFNA(IF(AE222 &lt; (INDEX(SLATable[Maximum SLA],MATCH(G222,SLATable[Priority],0))),"YES","NO"),"")</f>
        <v/>
      </c>
    </row>
    <row r="223" spans="26:36" ht="15" customHeight="1">
      <c r="Z223" s="76" t="e">
        <f t="shared" ca="1" si="20"/>
        <v>#N/A</v>
      </c>
      <c r="AA223" s="75" t="e">
        <f t="shared" ca="1" si="1"/>
        <v>#N/A</v>
      </c>
      <c r="AB223" s="76">
        <f t="shared" ca="1" si="21"/>
        <v>0</v>
      </c>
      <c r="AC223" s="75">
        <f t="shared" ca="1" si="3"/>
        <v>0</v>
      </c>
      <c r="AD223" s="76">
        <f t="shared" ca="1" si="22"/>
        <v>12388.425641550926</v>
      </c>
      <c r="AE223" s="76">
        <f t="shared" si="23"/>
        <v>0</v>
      </c>
      <c r="AF223" s="75">
        <f t="shared" si="6"/>
        <v>0</v>
      </c>
      <c r="AG223" s="75">
        <f t="shared" si="7"/>
        <v>0</v>
      </c>
      <c r="AH223" s="31" t="e" cm="1">
        <f t="array" aca="1" ref="AH223" ca="1">IF((AD223) &lt; (INDEX(ResponseSLA[#All],(MATCH((G223),ResponseSLA[Priority],0))+1,3)),"YES","No")</f>
        <v>#N/A</v>
      </c>
      <c r="AI223" s="31" t="str">
        <f>_xlfn.IFNA(IF(AE223 &lt; (INDEX(SLATable[Minimum SLA],MATCH(G223,SLATable[Priority],0))),"YES","NO"),"")</f>
        <v/>
      </c>
      <c r="AJ223" t="str">
        <f>_xlfn.IFNA(IF(AE223 &lt; (INDEX(SLATable[Maximum SLA],MATCH(G223,SLATable[Priority],0))),"YES","NO"),"")</f>
        <v/>
      </c>
    </row>
    <row r="224" spans="26:36" ht="15" customHeight="1">
      <c r="Z224" s="76" t="e">
        <f t="shared" ca="1" si="20"/>
        <v>#N/A</v>
      </c>
      <c r="AA224" s="75" t="e">
        <f t="shared" ca="1" si="1"/>
        <v>#N/A</v>
      </c>
      <c r="AB224" s="76">
        <f t="shared" ca="1" si="21"/>
        <v>0</v>
      </c>
      <c r="AC224" s="75">
        <f t="shared" ca="1" si="3"/>
        <v>0</v>
      </c>
      <c r="AD224" s="76">
        <f t="shared" ca="1" si="22"/>
        <v>12388.425641435188</v>
      </c>
      <c r="AE224" s="76">
        <f t="shared" si="23"/>
        <v>0</v>
      </c>
      <c r="AF224" s="75">
        <f t="shared" si="6"/>
        <v>0</v>
      </c>
      <c r="AG224" s="75">
        <f t="shared" si="7"/>
        <v>0</v>
      </c>
      <c r="AH224" s="31" t="e" cm="1">
        <f t="array" aca="1" ref="AH224" ca="1">IF((AD224) &lt; (INDEX(ResponseSLA[#All],(MATCH((G224),ResponseSLA[Priority],0))+1,3)),"YES","No")</f>
        <v>#N/A</v>
      </c>
      <c r="AI224" s="31" t="str">
        <f>_xlfn.IFNA(IF(AE224 &lt; (INDEX(SLATable[Minimum SLA],MATCH(G224,SLATable[Priority],0))),"YES","NO"),"")</f>
        <v/>
      </c>
      <c r="AJ224" t="str">
        <f>_xlfn.IFNA(IF(AE224 &lt; (INDEX(SLATable[Maximum SLA],MATCH(G224,SLATable[Priority],0))),"YES","NO"),"")</f>
        <v/>
      </c>
    </row>
    <row r="225" spans="26:36" ht="15" customHeight="1">
      <c r="Z225" s="76" t="e">
        <f t="shared" ca="1" si="20"/>
        <v>#N/A</v>
      </c>
      <c r="AA225" s="75" t="e">
        <f t="shared" ca="1" si="1"/>
        <v>#N/A</v>
      </c>
      <c r="AB225" s="76">
        <f t="shared" ca="1" si="21"/>
        <v>0</v>
      </c>
      <c r="AC225" s="75">
        <f t="shared" ca="1" si="3"/>
        <v>0</v>
      </c>
      <c r="AD225" s="76">
        <f t="shared" ca="1" si="22"/>
        <v>12388.425641435188</v>
      </c>
      <c r="AE225" s="76">
        <f t="shared" si="23"/>
        <v>0</v>
      </c>
      <c r="AF225" s="75">
        <f t="shared" si="6"/>
        <v>0</v>
      </c>
      <c r="AG225" s="75">
        <f t="shared" si="7"/>
        <v>0</v>
      </c>
      <c r="AH225" s="31" t="e" cm="1">
        <f t="array" aca="1" ref="AH225" ca="1">IF((AD225) &lt; (INDEX(ResponseSLA[#All],(MATCH((G225),ResponseSLA[Priority],0))+1,3)),"YES","No")</f>
        <v>#N/A</v>
      </c>
      <c r="AI225" s="31" t="str">
        <f>_xlfn.IFNA(IF(AE225 &lt; (INDEX(SLATable[Minimum SLA],MATCH(G225,SLATable[Priority],0))),"YES","NO"),"")</f>
        <v/>
      </c>
      <c r="AJ225" t="str">
        <f>_xlfn.IFNA(IF(AE225 &lt; (INDEX(SLATable[Maximum SLA],MATCH(G225,SLATable[Priority],0))),"YES","NO"),"")</f>
        <v/>
      </c>
    </row>
    <row r="226" spans="26:36" ht="15" customHeight="1">
      <c r="Z226" s="76" t="e">
        <f t="shared" ca="1" si="20"/>
        <v>#N/A</v>
      </c>
      <c r="AA226" s="75" t="e">
        <f t="shared" ca="1" si="1"/>
        <v>#N/A</v>
      </c>
      <c r="AB226" s="76">
        <f t="shared" ca="1" si="21"/>
        <v>0</v>
      </c>
      <c r="AC226" s="75">
        <f t="shared" ca="1" si="3"/>
        <v>0</v>
      </c>
      <c r="AD226" s="76">
        <f t="shared" ca="1" si="22"/>
        <v>12388.425641550926</v>
      </c>
      <c r="AE226" s="76">
        <f t="shared" si="23"/>
        <v>0</v>
      </c>
      <c r="AF226" s="75">
        <f t="shared" si="6"/>
        <v>0</v>
      </c>
      <c r="AG226" s="75">
        <f t="shared" si="7"/>
        <v>0</v>
      </c>
      <c r="AH226" s="31" t="e" cm="1">
        <f t="array" aca="1" ref="AH226" ca="1">IF((AD226) &lt; (INDEX(ResponseSLA[#All],(MATCH((G226),ResponseSLA[Priority],0))+1,3)),"YES","No")</f>
        <v>#N/A</v>
      </c>
      <c r="AI226" s="31" t="str">
        <f>_xlfn.IFNA(IF(AE226 &lt; (INDEX(SLATable[Minimum SLA],MATCH(G226,SLATable[Priority],0))),"YES","NO"),"")</f>
        <v/>
      </c>
      <c r="AJ226" t="str">
        <f>_xlfn.IFNA(IF(AE226 &lt; (INDEX(SLATable[Maximum SLA],MATCH(G226,SLATable[Priority],0))),"YES","NO"),"")</f>
        <v/>
      </c>
    </row>
    <row r="227" spans="26:36" ht="15" customHeight="1">
      <c r="Z227" s="76" t="e">
        <f t="shared" ca="1" si="20"/>
        <v>#N/A</v>
      </c>
      <c r="AA227" s="75" t="e">
        <f t="shared" ca="1" si="1"/>
        <v>#N/A</v>
      </c>
      <c r="AB227" s="76">
        <f t="shared" ca="1" si="21"/>
        <v>0</v>
      </c>
      <c r="AC227" s="75">
        <f t="shared" ca="1" si="3"/>
        <v>0</v>
      </c>
      <c r="AD227" s="76">
        <f t="shared" ca="1" si="22"/>
        <v>12388.425641435188</v>
      </c>
      <c r="AE227" s="76">
        <f t="shared" si="23"/>
        <v>0</v>
      </c>
      <c r="AF227" s="75">
        <f t="shared" si="6"/>
        <v>0</v>
      </c>
      <c r="AG227" s="75">
        <f t="shared" si="7"/>
        <v>0</v>
      </c>
      <c r="AH227" s="31" t="e" cm="1">
        <f t="array" aca="1" ref="AH227" ca="1">IF((AD227) &lt; (INDEX(ResponseSLA[#All],(MATCH((G227),ResponseSLA[Priority],0))+1,3)),"YES","No")</f>
        <v>#N/A</v>
      </c>
      <c r="AI227" s="31" t="str">
        <f>_xlfn.IFNA(IF(AE227 &lt; (INDEX(SLATable[Minimum SLA],MATCH(G227,SLATable[Priority],0))),"YES","NO"),"")</f>
        <v/>
      </c>
      <c r="AJ227" t="str">
        <f>_xlfn.IFNA(IF(AE227 &lt; (INDEX(SLATable[Maximum SLA],MATCH(G227,SLATable[Priority],0))),"YES","NO"),"")</f>
        <v/>
      </c>
    </row>
    <row r="228" spans="26:36" ht="15" customHeight="1">
      <c r="Z228" s="76" t="e">
        <f t="shared" ca="1" si="20"/>
        <v>#N/A</v>
      </c>
      <c r="AA228" s="75" t="e">
        <f t="shared" ca="1" si="1"/>
        <v>#N/A</v>
      </c>
      <c r="AB228" s="76">
        <f t="shared" ca="1" si="21"/>
        <v>0</v>
      </c>
      <c r="AC228" s="75">
        <f t="shared" ca="1" si="3"/>
        <v>0</v>
      </c>
      <c r="AD228" s="76">
        <f t="shared" ca="1" si="22"/>
        <v>12388.425641435188</v>
      </c>
      <c r="AE228" s="76">
        <f t="shared" si="23"/>
        <v>0</v>
      </c>
      <c r="AF228" s="75">
        <f t="shared" si="6"/>
        <v>0</v>
      </c>
      <c r="AG228" s="75">
        <f t="shared" si="7"/>
        <v>0</v>
      </c>
      <c r="AH228" s="31" t="e" cm="1">
        <f t="array" aca="1" ref="AH228" ca="1">IF((AD228) &lt; (INDEX(ResponseSLA[#All],(MATCH((G228),ResponseSLA[Priority],0))+1,3)),"YES","No")</f>
        <v>#N/A</v>
      </c>
      <c r="AI228" s="31" t="str">
        <f>_xlfn.IFNA(IF(AE228 &lt; (INDEX(SLATable[Minimum SLA],MATCH(G228,SLATable[Priority],0))),"YES","NO"),"")</f>
        <v/>
      </c>
      <c r="AJ228" t="str">
        <f>_xlfn.IFNA(IF(AE228 &lt; (INDEX(SLATable[Maximum SLA],MATCH(G228,SLATable[Priority],0))),"YES","NO"),"")</f>
        <v/>
      </c>
    </row>
    <row r="229" spans="26:36" ht="15" customHeight="1">
      <c r="Z229" s="76" t="e">
        <f t="shared" ca="1" si="20"/>
        <v>#N/A</v>
      </c>
      <c r="AA229" s="75" t="e">
        <f t="shared" ca="1" si="1"/>
        <v>#N/A</v>
      </c>
      <c r="AB229" s="76">
        <f t="shared" ca="1" si="21"/>
        <v>0</v>
      </c>
      <c r="AC229" s="75">
        <f t="shared" ca="1" si="3"/>
        <v>0</v>
      </c>
      <c r="AD229" s="76">
        <f t="shared" ca="1" si="22"/>
        <v>12388.425641550926</v>
      </c>
      <c r="AE229" s="76">
        <f t="shared" si="23"/>
        <v>0</v>
      </c>
      <c r="AF229" s="75">
        <f t="shared" si="6"/>
        <v>0</v>
      </c>
      <c r="AG229" s="75">
        <f t="shared" si="7"/>
        <v>0</v>
      </c>
      <c r="AH229" s="31" t="e" cm="1">
        <f t="array" aca="1" ref="AH229" ca="1">IF((AD229) &lt; (INDEX(ResponseSLA[#All],(MATCH((G229),ResponseSLA[Priority],0))+1,3)),"YES","No")</f>
        <v>#N/A</v>
      </c>
      <c r="AI229" s="31" t="str">
        <f>_xlfn.IFNA(IF(AE229 &lt; (INDEX(SLATable[Minimum SLA],MATCH(G229,SLATable[Priority],0))),"YES","NO"),"")</f>
        <v/>
      </c>
      <c r="AJ229" t="str">
        <f>_xlfn.IFNA(IF(AE229 &lt; (INDEX(SLATable[Maximum SLA],MATCH(G229,SLATable[Priority],0))),"YES","NO"),"")</f>
        <v/>
      </c>
    </row>
    <row r="230" spans="26:36" ht="15" customHeight="1">
      <c r="Z230" s="76" t="e">
        <f t="shared" ca="1" si="20"/>
        <v>#N/A</v>
      </c>
      <c r="AA230" s="75" t="e">
        <f t="shared" ca="1" si="1"/>
        <v>#N/A</v>
      </c>
      <c r="AB230" s="76">
        <f t="shared" ca="1" si="21"/>
        <v>0</v>
      </c>
      <c r="AC230" s="75">
        <f t="shared" ca="1" si="3"/>
        <v>0</v>
      </c>
      <c r="AD230" s="76">
        <f t="shared" ca="1" si="22"/>
        <v>12388.425641435188</v>
      </c>
      <c r="AE230" s="76">
        <f t="shared" si="23"/>
        <v>0</v>
      </c>
      <c r="AF230" s="75">
        <f t="shared" si="6"/>
        <v>0</v>
      </c>
      <c r="AG230" s="75">
        <f t="shared" si="7"/>
        <v>0</v>
      </c>
      <c r="AH230" s="31" t="e" cm="1">
        <f t="array" aca="1" ref="AH230" ca="1">IF((AD230) &lt; (INDEX(ResponseSLA[#All],(MATCH((G230),ResponseSLA[Priority],0))+1,3)),"YES","No")</f>
        <v>#N/A</v>
      </c>
      <c r="AI230" s="31" t="str">
        <f>_xlfn.IFNA(IF(AE230 &lt; (INDEX(SLATable[Minimum SLA],MATCH(G230,SLATable[Priority],0))),"YES","NO"),"")</f>
        <v/>
      </c>
      <c r="AJ230" t="str">
        <f>_xlfn.IFNA(IF(AE230 &lt; (INDEX(SLATable[Maximum SLA],MATCH(G230,SLATable[Priority],0))),"YES","NO"),"")</f>
        <v/>
      </c>
    </row>
    <row r="231" spans="26:36" ht="15" customHeight="1">
      <c r="Z231" s="76" t="e">
        <f t="shared" ca="1" si="20"/>
        <v>#N/A</v>
      </c>
      <c r="AA231" s="75" t="e">
        <f t="shared" ca="1" si="1"/>
        <v>#N/A</v>
      </c>
      <c r="AB231" s="76">
        <f t="shared" ca="1" si="21"/>
        <v>0</v>
      </c>
      <c r="AC231" s="75">
        <f t="shared" ca="1" si="3"/>
        <v>0</v>
      </c>
      <c r="AD231" s="76">
        <f t="shared" ca="1" si="22"/>
        <v>12388.425641435188</v>
      </c>
      <c r="AE231" s="76">
        <f t="shared" si="23"/>
        <v>0</v>
      </c>
      <c r="AF231" s="75">
        <f t="shared" si="6"/>
        <v>0</v>
      </c>
      <c r="AG231" s="75">
        <f t="shared" si="7"/>
        <v>0</v>
      </c>
      <c r="AH231" s="31" t="e" cm="1">
        <f t="array" aca="1" ref="AH231" ca="1">IF((AD231) &lt; (INDEX(ResponseSLA[#All],(MATCH((G231),ResponseSLA[Priority],0))+1,3)),"YES","No")</f>
        <v>#N/A</v>
      </c>
      <c r="AI231" s="31" t="str">
        <f>_xlfn.IFNA(IF(AE231 &lt; (INDEX(SLATable[Minimum SLA],MATCH(G231,SLATable[Priority],0))),"YES","NO"),"")</f>
        <v/>
      </c>
      <c r="AJ231" t="str">
        <f>_xlfn.IFNA(IF(AE231 &lt; (INDEX(SLATable[Maximum SLA],MATCH(G231,SLATable[Priority],0))),"YES","NO"),"")</f>
        <v/>
      </c>
    </row>
    <row r="232" spans="26:36" ht="15" customHeight="1">
      <c r="Z232" s="76" t="e">
        <f t="shared" ca="1" si="20"/>
        <v>#N/A</v>
      </c>
      <c r="AA232" s="75" t="e">
        <f t="shared" ca="1" si="1"/>
        <v>#N/A</v>
      </c>
      <c r="AB232" s="76">
        <f t="shared" ca="1" si="21"/>
        <v>0</v>
      </c>
      <c r="AC232" s="75">
        <f t="shared" ca="1" si="3"/>
        <v>0</v>
      </c>
      <c r="AD232" s="76">
        <f t="shared" ca="1" si="22"/>
        <v>12388.425641550926</v>
      </c>
      <c r="AE232" s="76">
        <f t="shared" si="23"/>
        <v>0</v>
      </c>
      <c r="AF232" s="75">
        <f t="shared" si="6"/>
        <v>0</v>
      </c>
      <c r="AG232" s="75">
        <f t="shared" si="7"/>
        <v>0</v>
      </c>
      <c r="AH232" s="31" t="e" cm="1">
        <f t="array" aca="1" ref="AH232" ca="1">IF((AD232) &lt; (INDEX(ResponseSLA[#All],(MATCH((G232),ResponseSLA[Priority],0))+1,3)),"YES","No")</f>
        <v>#N/A</v>
      </c>
      <c r="AI232" s="31" t="str">
        <f>_xlfn.IFNA(IF(AE232 &lt; (INDEX(SLATable[Minimum SLA],MATCH(G232,SLATable[Priority],0))),"YES","NO"),"")</f>
        <v/>
      </c>
      <c r="AJ232" t="str">
        <f>_xlfn.IFNA(IF(AE232 &lt; (INDEX(SLATable[Maximum SLA],MATCH(G232,SLATable[Priority],0))),"YES","NO"),"")</f>
        <v/>
      </c>
    </row>
    <row r="233" spans="26:36" ht="15" customHeight="1">
      <c r="Z233" s="76" t="e">
        <f t="shared" ca="1" si="20"/>
        <v>#N/A</v>
      </c>
      <c r="AA233" s="75" t="e">
        <f t="shared" ca="1" si="1"/>
        <v>#N/A</v>
      </c>
      <c r="AB233" s="76">
        <f t="shared" ca="1" si="21"/>
        <v>0</v>
      </c>
      <c r="AC233" s="75">
        <f t="shared" ca="1" si="3"/>
        <v>0</v>
      </c>
      <c r="AD233" s="76">
        <f t="shared" ca="1" si="22"/>
        <v>12388.425641435188</v>
      </c>
      <c r="AE233" s="76">
        <f t="shared" si="23"/>
        <v>0</v>
      </c>
      <c r="AF233" s="75">
        <f t="shared" si="6"/>
        <v>0</v>
      </c>
      <c r="AG233" s="75">
        <f t="shared" si="7"/>
        <v>0</v>
      </c>
      <c r="AH233" s="31" t="e" cm="1">
        <f t="array" aca="1" ref="AH233" ca="1">IF((AD233) &lt; (INDEX(ResponseSLA[#All],(MATCH((G233),ResponseSLA[Priority],0))+1,3)),"YES","No")</f>
        <v>#N/A</v>
      </c>
      <c r="AI233" s="31" t="str">
        <f>_xlfn.IFNA(IF(AE233 &lt; (INDEX(SLATable[Minimum SLA],MATCH(G233,SLATable[Priority],0))),"YES","NO"),"")</f>
        <v/>
      </c>
      <c r="AJ233" t="str">
        <f>_xlfn.IFNA(IF(AE233 &lt; (INDEX(SLATable[Maximum SLA],MATCH(G233,SLATable[Priority],0))),"YES","NO"),"")</f>
        <v/>
      </c>
    </row>
    <row r="234" spans="26:36" ht="15" customHeight="1">
      <c r="Z234" s="76" t="e">
        <f t="shared" ca="1" si="20"/>
        <v>#N/A</v>
      </c>
      <c r="AA234" s="75" t="e">
        <f t="shared" ca="1" si="1"/>
        <v>#N/A</v>
      </c>
      <c r="AB234" s="76">
        <f t="shared" ca="1" si="21"/>
        <v>0</v>
      </c>
      <c r="AC234" s="75">
        <f t="shared" ca="1" si="3"/>
        <v>0</v>
      </c>
      <c r="AD234" s="76">
        <f t="shared" ca="1" si="22"/>
        <v>12388.425641435188</v>
      </c>
      <c r="AE234" s="76">
        <f t="shared" si="23"/>
        <v>0</v>
      </c>
      <c r="AF234" s="75">
        <f t="shared" si="6"/>
        <v>0</v>
      </c>
      <c r="AG234" s="75">
        <f t="shared" si="7"/>
        <v>0</v>
      </c>
      <c r="AH234" s="31" t="e" cm="1">
        <f t="array" aca="1" ref="AH234" ca="1">IF((AD234) &lt; (INDEX(ResponseSLA[#All],(MATCH((G234),ResponseSLA[Priority],0))+1,3)),"YES","No")</f>
        <v>#N/A</v>
      </c>
      <c r="AI234" s="31" t="str">
        <f>_xlfn.IFNA(IF(AE234 &lt; (INDEX(SLATable[Minimum SLA],MATCH(G234,SLATable[Priority],0))),"YES","NO"),"")</f>
        <v/>
      </c>
      <c r="AJ234" t="str">
        <f>_xlfn.IFNA(IF(AE234 &lt; (INDEX(SLATable[Maximum SLA],MATCH(G234,SLATable[Priority],0))),"YES","NO"),"")</f>
        <v/>
      </c>
    </row>
    <row r="235" spans="26:36" ht="15" customHeight="1">
      <c r="Z235" s="76" t="e">
        <f t="shared" ca="1" si="20"/>
        <v>#N/A</v>
      </c>
      <c r="AA235" s="75" t="e">
        <f t="shared" ca="1" si="1"/>
        <v>#N/A</v>
      </c>
      <c r="AB235" s="76">
        <f t="shared" ca="1" si="21"/>
        <v>0</v>
      </c>
      <c r="AC235" s="75">
        <f t="shared" ca="1" si="3"/>
        <v>0</v>
      </c>
      <c r="AD235" s="76">
        <f t="shared" ca="1" si="22"/>
        <v>12388.425641550926</v>
      </c>
      <c r="AE235" s="76">
        <f t="shared" si="23"/>
        <v>0</v>
      </c>
      <c r="AF235" s="75">
        <f t="shared" si="6"/>
        <v>0</v>
      </c>
      <c r="AG235" s="75">
        <f t="shared" si="7"/>
        <v>0</v>
      </c>
      <c r="AH235" s="31" t="e" cm="1">
        <f t="array" aca="1" ref="AH235" ca="1">IF((AD235) &lt; (INDEX(ResponseSLA[#All],(MATCH((G235),ResponseSLA[Priority],0))+1,3)),"YES","No")</f>
        <v>#N/A</v>
      </c>
      <c r="AI235" s="31" t="str">
        <f>_xlfn.IFNA(IF(AE235 &lt; (INDEX(SLATable[Minimum SLA],MATCH(G235,SLATable[Priority],0))),"YES","NO"),"")</f>
        <v/>
      </c>
      <c r="AJ235" t="str">
        <f>_xlfn.IFNA(IF(AE235 &lt; (INDEX(SLATable[Maximum SLA],MATCH(G235,SLATable[Priority],0))),"YES","NO"),"")</f>
        <v/>
      </c>
    </row>
    <row r="236" spans="26:36" ht="15" customHeight="1">
      <c r="Z236" s="76" t="e">
        <f t="shared" ca="1" si="20"/>
        <v>#N/A</v>
      </c>
      <c r="AA236" s="75" t="e">
        <f t="shared" ca="1" si="1"/>
        <v>#N/A</v>
      </c>
      <c r="AB236" s="76">
        <f t="shared" ca="1" si="21"/>
        <v>0</v>
      </c>
      <c r="AC236" s="75">
        <f t="shared" ca="1" si="3"/>
        <v>0</v>
      </c>
      <c r="AD236" s="76">
        <f t="shared" ca="1" si="22"/>
        <v>12388.425641435188</v>
      </c>
      <c r="AE236" s="76">
        <f t="shared" si="23"/>
        <v>0</v>
      </c>
      <c r="AF236" s="75">
        <f t="shared" si="6"/>
        <v>0</v>
      </c>
      <c r="AG236" s="75">
        <f t="shared" si="7"/>
        <v>0</v>
      </c>
      <c r="AH236" s="31" t="e" cm="1">
        <f t="array" aca="1" ref="AH236" ca="1">IF((AD236) &lt; (INDEX(ResponseSLA[#All],(MATCH((G236),ResponseSLA[Priority],0))+1,3)),"YES","No")</f>
        <v>#N/A</v>
      </c>
      <c r="AI236" s="31" t="str">
        <f>_xlfn.IFNA(IF(AE236 &lt; (INDEX(SLATable[Minimum SLA],MATCH(G236,SLATable[Priority],0))),"YES","NO"),"")</f>
        <v/>
      </c>
      <c r="AJ236" t="str">
        <f>_xlfn.IFNA(IF(AE236 &lt; (INDEX(SLATable[Maximum SLA],MATCH(G236,SLATable[Priority],0))),"YES","NO"),"")</f>
        <v/>
      </c>
    </row>
    <row r="237" spans="26:36" ht="15" customHeight="1">
      <c r="Z237" s="76" t="e">
        <f t="shared" ca="1" si="20"/>
        <v>#N/A</v>
      </c>
      <c r="AA237" s="75" t="e">
        <f t="shared" ca="1" si="1"/>
        <v>#N/A</v>
      </c>
      <c r="AB237" s="76">
        <f t="shared" ca="1" si="21"/>
        <v>0</v>
      </c>
      <c r="AC237" s="75">
        <f t="shared" ca="1" si="3"/>
        <v>0</v>
      </c>
      <c r="AD237" s="76">
        <f t="shared" ca="1" si="22"/>
        <v>12388.425641435188</v>
      </c>
      <c r="AE237" s="76">
        <f t="shared" si="23"/>
        <v>0</v>
      </c>
      <c r="AF237" s="75">
        <f t="shared" si="6"/>
        <v>0</v>
      </c>
      <c r="AG237" s="75">
        <f t="shared" si="7"/>
        <v>0</v>
      </c>
      <c r="AH237" s="31" t="e" cm="1">
        <f t="array" aca="1" ref="AH237" ca="1">IF((AD237) &lt; (INDEX(ResponseSLA[#All],(MATCH((G237),ResponseSLA[Priority],0))+1,3)),"YES","No")</f>
        <v>#N/A</v>
      </c>
      <c r="AI237" s="31" t="str">
        <f>_xlfn.IFNA(IF(AE237 &lt; (INDEX(SLATable[Minimum SLA],MATCH(G237,SLATable[Priority],0))),"YES","NO"),"")</f>
        <v/>
      </c>
      <c r="AJ237" t="str">
        <f>_xlfn.IFNA(IF(AE237 &lt; (INDEX(SLATable[Maximum SLA],MATCH(G237,SLATable[Priority],0))),"YES","NO"),"")</f>
        <v/>
      </c>
    </row>
    <row r="238" spans="26:36" ht="15" customHeight="1">
      <c r="Z238" s="76" t="e">
        <f t="shared" ca="1" si="20"/>
        <v>#N/A</v>
      </c>
      <c r="AA238" s="75" t="e">
        <f t="shared" ca="1" si="1"/>
        <v>#N/A</v>
      </c>
      <c r="AB238" s="76">
        <f t="shared" ca="1" si="21"/>
        <v>0</v>
      </c>
      <c r="AC238" s="75">
        <f t="shared" ca="1" si="3"/>
        <v>0</v>
      </c>
      <c r="AD238" s="76">
        <f t="shared" ca="1" si="22"/>
        <v>12388.425641550926</v>
      </c>
      <c r="AE238" s="76">
        <f t="shared" si="23"/>
        <v>0</v>
      </c>
      <c r="AF238" s="75">
        <f t="shared" si="6"/>
        <v>0</v>
      </c>
      <c r="AG238" s="75">
        <f t="shared" si="7"/>
        <v>0</v>
      </c>
      <c r="AH238" s="31" t="e" cm="1">
        <f t="array" aca="1" ref="AH238" ca="1">IF((AD238) &lt; (INDEX(ResponseSLA[#All],(MATCH((G238),ResponseSLA[Priority],0))+1,3)),"YES","No")</f>
        <v>#N/A</v>
      </c>
      <c r="AI238" s="31" t="str">
        <f>_xlfn.IFNA(IF(AE238 &lt; (INDEX(SLATable[Minimum SLA],MATCH(G238,SLATable[Priority],0))),"YES","NO"),"")</f>
        <v/>
      </c>
      <c r="AJ238" t="str">
        <f>_xlfn.IFNA(IF(AE238 &lt; (INDEX(SLATable[Maximum SLA],MATCH(G238,SLATable[Priority],0))),"YES","NO"),"")</f>
        <v/>
      </c>
    </row>
    <row r="239" spans="26:36" ht="15" customHeight="1">
      <c r="Z239" s="76" t="e">
        <f t="shared" ca="1" si="20"/>
        <v>#N/A</v>
      </c>
      <c r="AA239" s="75" t="e">
        <f t="shared" ca="1" si="1"/>
        <v>#N/A</v>
      </c>
      <c r="AB239" s="76">
        <f t="shared" ca="1" si="21"/>
        <v>0</v>
      </c>
      <c r="AC239" s="75">
        <f t="shared" ca="1" si="3"/>
        <v>0</v>
      </c>
      <c r="AD239" s="76">
        <f t="shared" ca="1" si="22"/>
        <v>12388.425641435188</v>
      </c>
      <c r="AE239" s="76">
        <f t="shared" si="23"/>
        <v>0</v>
      </c>
      <c r="AF239" s="75">
        <f t="shared" si="6"/>
        <v>0</v>
      </c>
      <c r="AG239" s="75">
        <f t="shared" si="7"/>
        <v>0</v>
      </c>
      <c r="AH239" s="31" t="e" cm="1">
        <f t="array" aca="1" ref="AH239" ca="1">IF((AD239) &lt; (INDEX(ResponseSLA[#All],(MATCH((G239),ResponseSLA[Priority],0))+1,3)),"YES","No")</f>
        <v>#N/A</v>
      </c>
      <c r="AI239" s="31" t="str">
        <f>_xlfn.IFNA(IF(AE239 &lt; (INDEX(SLATable[Minimum SLA],MATCH(G239,SLATable[Priority],0))),"YES","NO"),"")</f>
        <v/>
      </c>
      <c r="AJ239" t="str">
        <f>_xlfn.IFNA(IF(AE239 &lt; (INDEX(SLATable[Maximum SLA],MATCH(G239,SLATable[Priority],0))),"YES","NO"),"")</f>
        <v/>
      </c>
    </row>
    <row r="240" spans="26:36" ht="15" customHeight="1">
      <c r="Z240" s="76" t="e">
        <f t="shared" ca="1" si="20"/>
        <v>#N/A</v>
      </c>
      <c r="AA240" s="75" t="e">
        <f t="shared" ca="1" si="1"/>
        <v>#N/A</v>
      </c>
      <c r="AB240" s="76">
        <f t="shared" ca="1" si="21"/>
        <v>0</v>
      </c>
      <c r="AC240" s="75">
        <f t="shared" ca="1" si="3"/>
        <v>0</v>
      </c>
      <c r="AD240" s="76">
        <f t="shared" ca="1" si="22"/>
        <v>12388.425641435188</v>
      </c>
      <c r="AE240" s="76">
        <f t="shared" si="23"/>
        <v>0</v>
      </c>
      <c r="AF240" s="75">
        <f t="shared" si="6"/>
        <v>0</v>
      </c>
      <c r="AG240" s="75">
        <f t="shared" si="7"/>
        <v>0</v>
      </c>
      <c r="AH240" s="31" t="e" cm="1">
        <f t="array" aca="1" ref="AH240" ca="1">IF((AD240) &lt; (INDEX(ResponseSLA[#All],(MATCH((G240),ResponseSLA[Priority],0))+1,3)),"YES","No")</f>
        <v>#N/A</v>
      </c>
      <c r="AI240" s="31" t="str">
        <f>_xlfn.IFNA(IF(AE240 &lt; (INDEX(SLATable[Minimum SLA],MATCH(G240,SLATable[Priority],0))),"YES","NO"),"")</f>
        <v/>
      </c>
      <c r="AJ240" t="str">
        <f>_xlfn.IFNA(IF(AE240 &lt; (INDEX(SLATable[Maximum SLA],MATCH(G240,SLATable[Priority],0))),"YES","NO"),"")</f>
        <v/>
      </c>
    </row>
    <row r="241" spans="26:36" ht="15" customHeight="1">
      <c r="Z241" s="76" t="e">
        <f t="shared" ca="1" si="20"/>
        <v>#N/A</v>
      </c>
      <c r="AA241" s="75" t="e">
        <f t="shared" ca="1" si="1"/>
        <v>#N/A</v>
      </c>
      <c r="AB241" s="76">
        <f t="shared" ca="1" si="21"/>
        <v>0</v>
      </c>
      <c r="AC241" s="75">
        <f t="shared" ca="1" si="3"/>
        <v>0</v>
      </c>
      <c r="AD241" s="76">
        <f t="shared" ca="1" si="22"/>
        <v>12388.425641550926</v>
      </c>
      <c r="AE241" s="76">
        <f t="shared" si="23"/>
        <v>0</v>
      </c>
      <c r="AF241" s="75">
        <f t="shared" si="6"/>
        <v>0</v>
      </c>
      <c r="AG241" s="75">
        <f t="shared" si="7"/>
        <v>0</v>
      </c>
      <c r="AH241" s="31" t="e" cm="1">
        <f t="array" aca="1" ref="AH241" ca="1">IF((AD241) &lt; (INDEX(ResponseSLA[#All],(MATCH((G241),ResponseSLA[Priority],0))+1,3)),"YES","No")</f>
        <v>#N/A</v>
      </c>
      <c r="AI241" s="31" t="str">
        <f>_xlfn.IFNA(IF(AE241 &lt; (INDEX(SLATable[Minimum SLA],MATCH(G241,SLATable[Priority],0))),"YES","NO"),"")</f>
        <v/>
      </c>
      <c r="AJ241" t="str">
        <f>_xlfn.IFNA(IF(AE241 &lt; (INDEX(SLATable[Maximum SLA],MATCH(G241,SLATable[Priority],0))),"YES","NO"),"")</f>
        <v/>
      </c>
    </row>
    <row r="242" spans="26:36" ht="15" customHeight="1">
      <c r="Z242" s="76" t="e">
        <f t="shared" ca="1" si="20"/>
        <v>#N/A</v>
      </c>
      <c r="AA242" s="75" t="e">
        <f t="shared" ca="1" si="1"/>
        <v>#N/A</v>
      </c>
      <c r="AB242" s="76">
        <f t="shared" ca="1" si="21"/>
        <v>0</v>
      </c>
      <c r="AC242" s="75">
        <f t="shared" ca="1" si="3"/>
        <v>0</v>
      </c>
      <c r="AD242" s="76">
        <f t="shared" ca="1" si="22"/>
        <v>12388.425641435188</v>
      </c>
      <c r="AE242" s="76">
        <f t="shared" si="23"/>
        <v>0</v>
      </c>
      <c r="AF242" s="75">
        <f t="shared" si="6"/>
        <v>0</v>
      </c>
      <c r="AG242" s="75">
        <f t="shared" si="7"/>
        <v>0</v>
      </c>
      <c r="AH242" s="31" t="e" cm="1">
        <f t="array" aca="1" ref="AH242" ca="1">IF((AD242) &lt; (INDEX(ResponseSLA[#All],(MATCH((G242),ResponseSLA[Priority],0))+1,3)),"YES","No")</f>
        <v>#N/A</v>
      </c>
      <c r="AI242" s="31" t="str">
        <f>_xlfn.IFNA(IF(AE242 &lt; (INDEX(SLATable[Minimum SLA],MATCH(G242,SLATable[Priority],0))),"YES","NO"),"")</f>
        <v/>
      </c>
      <c r="AJ242" t="str">
        <f>_xlfn.IFNA(IF(AE242 &lt; (INDEX(SLATable[Maximum SLA],MATCH(G242,SLATable[Priority],0))),"YES","NO"),"")</f>
        <v/>
      </c>
    </row>
    <row r="243" spans="26:36" ht="15" customHeight="1">
      <c r="Z243" s="76" t="e">
        <f t="shared" ca="1" si="20"/>
        <v>#N/A</v>
      </c>
      <c r="AA243" s="75" t="e">
        <f t="shared" ca="1" si="1"/>
        <v>#N/A</v>
      </c>
      <c r="AB243" s="76">
        <f t="shared" ca="1" si="21"/>
        <v>0</v>
      </c>
      <c r="AC243" s="75">
        <f t="shared" ca="1" si="3"/>
        <v>0</v>
      </c>
      <c r="AD243" s="76">
        <f t="shared" ca="1" si="22"/>
        <v>12388.425641435188</v>
      </c>
      <c r="AE243" s="76">
        <f t="shared" si="23"/>
        <v>0</v>
      </c>
      <c r="AF243" s="75">
        <f t="shared" si="6"/>
        <v>0</v>
      </c>
      <c r="AG243" s="75">
        <f t="shared" si="7"/>
        <v>0</v>
      </c>
      <c r="AH243" s="31" t="e" cm="1">
        <f t="array" aca="1" ref="AH243" ca="1">IF((AD243) &lt; (INDEX(ResponseSLA[#All],(MATCH((G243),ResponseSLA[Priority],0))+1,3)),"YES","No")</f>
        <v>#N/A</v>
      </c>
      <c r="AI243" s="31" t="str">
        <f>_xlfn.IFNA(IF(AE243 &lt; (INDEX(SLATable[Minimum SLA],MATCH(G243,SLATable[Priority],0))),"YES","NO"),"")</f>
        <v/>
      </c>
      <c r="AJ243" t="str">
        <f>_xlfn.IFNA(IF(AE243 &lt; (INDEX(SLATable[Maximum SLA],MATCH(G243,SLATable[Priority],0))),"YES","NO"),"")</f>
        <v/>
      </c>
    </row>
    <row r="244" spans="26:36" ht="15" customHeight="1">
      <c r="Z244" s="76" t="e">
        <f t="shared" ca="1" si="20"/>
        <v>#N/A</v>
      </c>
      <c r="AA244" s="75" t="e">
        <f t="shared" ca="1" si="1"/>
        <v>#N/A</v>
      </c>
      <c r="AB244" s="76">
        <f t="shared" ca="1" si="21"/>
        <v>0</v>
      </c>
      <c r="AC244" s="75">
        <f t="shared" ca="1" si="3"/>
        <v>0</v>
      </c>
      <c r="AD244" s="76">
        <f t="shared" ca="1" si="22"/>
        <v>12388.425641550926</v>
      </c>
      <c r="AE244" s="76">
        <f t="shared" si="23"/>
        <v>0</v>
      </c>
      <c r="AF244" s="75">
        <f t="shared" si="6"/>
        <v>0</v>
      </c>
      <c r="AG244" s="75">
        <f t="shared" si="7"/>
        <v>0</v>
      </c>
      <c r="AH244" s="31" t="e" cm="1">
        <f t="array" aca="1" ref="AH244" ca="1">IF((AD244) &lt; (INDEX(ResponseSLA[#All],(MATCH((G244),ResponseSLA[Priority],0))+1,3)),"YES","No")</f>
        <v>#N/A</v>
      </c>
      <c r="AI244" s="31" t="str">
        <f>_xlfn.IFNA(IF(AE244 &lt; (INDEX(SLATable[Minimum SLA],MATCH(G244,SLATable[Priority],0))),"YES","NO"),"")</f>
        <v/>
      </c>
      <c r="AJ244" t="str">
        <f>_xlfn.IFNA(IF(AE244 &lt; (INDEX(SLATable[Maximum SLA],MATCH(G244,SLATable[Priority],0))),"YES","NO"),"")</f>
        <v/>
      </c>
    </row>
    <row r="245" spans="26:36" ht="15" customHeight="1">
      <c r="Z245" s="76" t="e">
        <f t="shared" ca="1" si="20"/>
        <v>#N/A</v>
      </c>
      <c r="AA245" s="75" t="e">
        <f t="shared" ca="1" si="1"/>
        <v>#N/A</v>
      </c>
      <c r="AB245" s="76">
        <f t="shared" ca="1" si="21"/>
        <v>0</v>
      </c>
      <c r="AC245" s="75">
        <f t="shared" ca="1" si="3"/>
        <v>0</v>
      </c>
      <c r="AD245" s="76">
        <f t="shared" ca="1" si="22"/>
        <v>12388.425641435188</v>
      </c>
      <c r="AE245" s="76">
        <f t="shared" si="23"/>
        <v>0</v>
      </c>
      <c r="AF245" s="75">
        <f t="shared" si="6"/>
        <v>0</v>
      </c>
      <c r="AG245" s="75">
        <f t="shared" si="7"/>
        <v>0</v>
      </c>
      <c r="AH245" s="31" t="e" cm="1">
        <f t="array" aca="1" ref="AH245" ca="1">IF((AD245) &lt; (INDEX(ResponseSLA[#All],(MATCH((G245),ResponseSLA[Priority],0))+1,3)),"YES","No")</f>
        <v>#N/A</v>
      </c>
      <c r="AI245" s="31" t="str">
        <f>_xlfn.IFNA(IF(AE245 &lt; (INDEX(SLATable[Minimum SLA],MATCH(G245,SLATable[Priority],0))),"YES","NO"),"")</f>
        <v/>
      </c>
      <c r="AJ245" t="str">
        <f>_xlfn.IFNA(IF(AE245 &lt; (INDEX(SLATable[Maximum SLA],MATCH(G245,SLATable[Priority],0))),"YES","NO"),"")</f>
        <v/>
      </c>
    </row>
    <row r="246" spans="26:36" ht="15" customHeight="1">
      <c r="Z246" s="76" t="e">
        <f t="shared" ca="1" si="20"/>
        <v>#N/A</v>
      </c>
      <c r="AA246" s="75" t="e">
        <f t="shared" ca="1" si="1"/>
        <v>#N/A</v>
      </c>
      <c r="AB246" s="76">
        <f t="shared" ca="1" si="21"/>
        <v>0</v>
      </c>
      <c r="AC246" s="75">
        <f t="shared" ca="1" si="3"/>
        <v>0</v>
      </c>
      <c r="AD246" s="76">
        <f t="shared" ca="1" si="22"/>
        <v>12388.425641435188</v>
      </c>
      <c r="AE246" s="76">
        <f t="shared" si="23"/>
        <v>0</v>
      </c>
      <c r="AF246" s="75">
        <f t="shared" si="6"/>
        <v>0</v>
      </c>
      <c r="AG246" s="75">
        <f t="shared" si="7"/>
        <v>0</v>
      </c>
      <c r="AH246" s="31" t="e" cm="1">
        <f t="array" aca="1" ref="AH246" ca="1">IF((AD246) &lt; (INDEX(ResponseSLA[#All],(MATCH((G246),ResponseSLA[Priority],0))+1,3)),"YES","No")</f>
        <v>#N/A</v>
      </c>
      <c r="AI246" s="31" t="str">
        <f>_xlfn.IFNA(IF(AE246 &lt; (INDEX(SLATable[Minimum SLA],MATCH(G246,SLATable[Priority],0))),"YES","NO"),"")</f>
        <v/>
      </c>
      <c r="AJ246" t="str">
        <f>_xlfn.IFNA(IF(AE246 &lt; (INDEX(SLATable[Maximum SLA],MATCH(G246,SLATable[Priority],0))),"YES","NO"),"")</f>
        <v/>
      </c>
    </row>
    <row r="247" spans="26:36" ht="15" customHeight="1">
      <c r="Z247" s="76" t="e">
        <f t="shared" ca="1" si="20"/>
        <v>#N/A</v>
      </c>
      <c r="AA247" s="75" t="e">
        <f t="shared" ca="1" si="1"/>
        <v>#N/A</v>
      </c>
      <c r="AB247" s="76">
        <f t="shared" ca="1" si="21"/>
        <v>0</v>
      </c>
      <c r="AC247" s="75">
        <f t="shared" ca="1" si="3"/>
        <v>0</v>
      </c>
      <c r="AD247" s="76">
        <f t="shared" ca="1" si="22"/>
        <v>12388.425641550926</v>
      </c>
      <c r="AE247" s="76">
        <f t="shared" si="23"/>
        <v>0</v>
      </c>
      <c r="AF247" s="75">
        <f t="shared" si="6"/>
        <v>0</v>
      </c>
      <c r="AG247" s="75">
        <f t="shared" si="7"/>
        <v>0</v>
      </c>
      <c r="AH247" s="31" t="e" cm="1">
        <f t="array" aca="1" ref="AH247" ca="1">IF((AD247) &lt; (INDEX(ResponseSLA[#All],(MATCH((G247),ResponseSLA[Priority],0))+1,3)),"YES","No")</f>
        <v>#N/A</v>
      </c>
      <c r="AI247" s="31" t="str">
        <f>_xlfn.IFNA(IF(AE247 &lt; (INDEX(SLATable[Minimum SLA],MATCH(G247,SLATable[Priority],0))),"YES","NO"),"")</f>
        <v/>
      </c>
      <c r="AJ247" t="str">
        <f>_xlfn.IFNA(IF(AE247 &lt; (INDEX(SLATable[Maximum SLA],MATCH(G247,SLATable[Priority],0))),"YES","NO"),"")</f>
        <v/>
      </c>
    </row>
    <row r="248" spans="26:36" ht="15" customHeight="1">
      <c r="Z248" s="76" t="e">
        <f t="shared" ca="1" si="20"/>
        <v>#N/A</v>
      </c>
      <c r="AA248" s="75" t="e">
        <f t="shared" ca="1" si="1"/>
        <v>#N/A</v>
      </c>
      <c r="AB248" s="76">
        <f t="shared" ca="1" si="21"/>
        <v>0</v>
      </c>
      <c r="AC248" s="75">
        <f t="shared" ca="1" si="3"/>
        <v>0</v>
      </c>
      <c r="AD248" s="76">
        <f t="shared" ca="1" si="22"/>
        <v>12388.425641435188</v>
      </c>
      <c r="AE248" s="76">
        <f t="shared" si="23"/>
        <v>0</v>
      </c>
      <c r="AF248" s="75">
        <f t="shared" si="6"/>
        <v>0</v>
      </c>
      <c r="AG248" s="75">
        <f t="shared" si="7"/>
        <v>0</v>
      </c>
      <c r="AH248" s="31" t="e" cm="1">
        <f t="array" aca="1" ref="AH248" ca="1">IF((AD248) &lt; (INDEX(ResponseSLA[#All],(MATCH((G248),ResponseSLA[Priority],0))+1,3)),"YES","No")</f>
        <v>#N/A</v>
      </c>
      <c r="AI248" s="31" t="str">
        <f>_xlfn.IFNA(IF(AE248 &lt; (INDEX(SLATable[Minimum SLA],MATCH(G248,SLATable[Priority],0))),"YES","NO"),"")</f>
        <v/>
      </c>
      <c r="AJ248" t="str">
        <f>_xlfn.IFNA(IF(AE248 &lt; (INDEX(SLATable[Maximum SLA],MATCH(G248,SLATable[Priority],0))),"YES","NO"),"")</f>
        <v/>
      </c>
    </row>
    <row r="249" spans="26:36" ht="15" customHeight="1">
      <c r="Z249" s="76" t="e">
        <f t="shared" ca="1" si="20"/>
        <v>#N/A</v>
      </c>
      <c r="AA249" s="75" t="e">
        <f t="shared" ca="1" si="1"/>
        <v>#N/A</v>
      </c>
      <c r="AB249" s="76">
        <f t="shared" ca="1" si="21"/>
        <v>0</v>
      </c>
      <c r="AC249" s="75">
        <f t="shared" ca="1" si="3"/>
        <v>0</v>
      </c>
      <c r="AD249" s="76">
        <f t="shared" ca="1" si="22"/>
        <v>12388.425641435188</v>
      </c>
      <c r="AE249" s="76">
        <f t="shared" si="23"/>
        <v>0</v>
      </c>
      <c r="AF249" s="75">
        <f t="shared" si="6"/>
        <v>0</v>
      </c>
      <c r="AG249" s="75">
        <f t="shared" si="7"/>
        <v>0</v>
      </c>
      <c r="AH249" s="31" t="e" cm="1">
        <f t="array" aca="1" ref="AH249" ca="1">IF((AD249) &lt; (INDEX(ResponseSLA[#All],(MATCH((G249),ResponseSLA[Priority],0))+1,3)),"YES","No")</f>
        <v>#N/A</v>
      </c>
      <c r="AI249" s="31" t="str">
        <f>_xlfn.IFNA(IF(AE249 &lt; (INDEX(SLATable[Minimum SLA],MATCH(G249,SLATable[Priority],0))),"YES","NO"),"")</f>
        <v/>
      </c>
      <c r="AJ249" t="str">
        <f>_xlfn.IFNA(IF(AE249 &lt; (INDEX(SLATable[Maximum SLA],MATCH(G249,SLATable[Priority],0))),"YES","NO"),"")</f>
        <v/>
      </c>
    </row>
    <row r="250" spans="26:36" ht="15" customHeight="1">
      <c r="Z250" s="76" t="e">
        <f t="shared" ca="1" si="20"/>
        <v>#N/A</v>
      </c>
      <c r="AA250" s="75" t="e">
        <f t="shared" ca="1" si="1"/>
        <v>#N/A</v>
      </c>
      <c r="AB250" s="76">
        <f t="shared" ca="1" si="21"/>
        <v>0</v>
      </c>
      <c r="AC250" s="75">
        <f t="shared" ca="1" si="3"/>
        <v>0</v>
      </c>
      <c r="AD250" s="76">
        <f t="shared" ca="1" si="22"/>
        <v>12388.425641550926</v>
      </c>
      <c r="AE250" s="76">
        <f t="shared" si="23"/>
        <v>0</v>
      </c>
      <c r="AF250" s="75">
        <f t="shared" si="6"/>
        <v>0</v>
      </c>
      <c r="AG250" s="75">
        <f t="shared" si="7"/>
        <v>0</v>
      </c>
      <c r="AH250" s="31" t="e" cm="1">
        <f t="array" aca="1" ref="AH250" ca="1">IF((AD250) &lt; (INDEX(ResponseSLA[#All],(MATCH((G250),ResponseSLA[Priority],0))+1,3)),"YES","No")</f>
        <v>#N/A</v>
      </c>
      <c r="AI250" s="31" t="str">
        <f>_xlfn.IFNA(IF(AE250 &lt; (INDEX(SLATable[Minimum SLA],MATCH(G250,SLATable[Priority],0))),"YES","NO"),"")</f>
        <v/>
      </c>
      <c r="AJ250" t="str">
        <f>_xlfn.IFNA(IF(AE250 &lt; (INDEX(SLATable[Maximum SLA],MATCH(G250,SLATable[Priority],0))),"YES","NO"),"")</f>
        <v/>
      </c>
    </row>
    <row r="251" spans="26:36" ht="15" customHeight="1">
      <c r="Z251" s="76" t="e">
        <f t="shared" ca="1" si="20"/>
        <v>#N/A</v>
      </c>
      <c r="AA251" s="75" t="e">
        <f t="shared" ca="1" si="1"/>
        <v>#N/A</v>
      </c>
      <c r="AB251" s="76">
        <f t="shared" ca="1" si="21"/>
        <v>0</v>
      </c>
      <c r="AC251" s="75">
        <f t="shared" ca="1" si="3"/>
        <v>0</v>
      </c>
      <c r="AD251" s="76">
        <f t="shared" ca="1" si="22"/>
        <v>12388.425641435188</v>
      </c>
      <c r="AE251" s="76">
        <f t="shared" si="23"/>
        <v>0</v>
      </c>
      <c r="AF251" s="75">
        <f t="shared" si="6"/>
        <v>0</v>
      </c>
      <c r="AG251" s="75">
        <f t="shared" si="7"/>
        <v>0</v>
      </c>
      <c r="AH251" s="31" t="e" cm="1">
        <f t="array" aca="1" ref="AH251" ca="1">IF((AD251) &lt; (INDEX(ResponseSLA[#All],(MATCH((G251),ResponseSLA[Priority],0))+1,3)),"YES","No")</f>
        <v>#N/A</v>
      </c>
      <c r="AI251" s="31" t="str">
        <f>_xlfn.IFNA(IF(AE251 &lt; (INDEX(SLATable[Minimum SLA],MATCH(G251,SLATable[Priority],0))),"YES","NO"),"")</f>
        <v/>
      </c>
      <c r="AJ251" t="str">
        <f>_xlfn.IFNA(IF(AE251 &lt; (INDEX(SLATable[Maximum SLA],MATCH(G251,SLATable[Priority],0))),"YES","NO"),"")</f>
        <v/>
      </c>
    </row>
    <row r="252" spans="26:36" ht="15" customHeight="1">
      <c r="Z252" s="76" t="e">
        <f t="shared" ca="1" si="20"/>
        <v>#N/A</v>
      </c>
      <c r="AA252" s="75" t="e">
        <f t="shared" ca="1" si="1"/>
        <v>#N/A</v>
      </c>
      <c r="AB252" s="76">
        <f t="shared" ca="1" si="21"/>
        <v>0</v>
      </c>
      <c r="AC252" s="75">
        <f t="shared" ca="1" si="3"/>
        <v>0</v>
      </c>
      <c r="AD252" s="76">
        <f t="shared" ca="1" si="22"/>
        <v>12388.425641435188</v>
      </c>
      <c r="AE252" s="76">
        <f t="shared" si="23"/>
        <v>0</v>
      </c>
      <c r="AF252" s="75">
        <f t="shared" si="6"/>
        <v>0</v>
      </c>
      <c r="AG252" s="75">
        <f t="shared" si="7"/>
        <v>0</v>
      </c>
      <c r="AH252" s="31" t="e" cm="1">
        <f t="array" aca="1" ref="AH252" ca="1">IF((AD252) &lt; (INDEX(ResponseSLA[#All],(MATCH((G252),ResponseSLA[Priority],0))+1,3)),"YES","No")</f>
        <v>#N/A</v>
      </c>
      <c r="AI252" s="31" t="str">
        <f>_xlfn.IFNA(IF(AE252 &lt; (INDEX(SLATable[Minimum SLA],MATCH(G252,SLATable[Priority],0))),"YES","NO"),"")</f>
        <v/>
      </c>
      <c r="AJ252" t="str">
        <f>_xlfn.IFNA(IF(AE252 &lt; (INDEX(SLATable[Maximum SLA],MATCH(G252,SLATable[Priority],0))),"YES","NO"),"")</f>
        <v/>
      </c>
    </row>
    <row r="253" spans="26:36" ht="15" customHeight="1">
      <c r="Z253" s="76" t="e">
        <f t="shared" ca="1" si="20"/>
        <v>#N/A</v>
      </c>
      <c r="AA253" s="75" t="e">
        <f t="shared" ca="1" si="1"/>
        <v>#N/A</v>
      </c>
      <c r="AB253" s="76">
        <f t="shared" ca="1" si="21"/>
        <v>0</v>
      </c>
      <c r="AC253" s="75">
        <f t="shared" ca="1" si="3"/>
        <v>0</v>
      </c>
      <c r="AD253" s="76">
        <f t="shared" ca="1" si="22"/>
        <v>12388.425641550926</v>
      </c>
      <c r="AE253" s="76">
        <f t="shared" si="23"/>
        <v>0</v>
      </c>
      <c r="AF253" s="75">
        <f t="shared" si="6"/>
        <v>0</v>
      </c>
      <c r="AG253" s="75">
        <f t="shared" si="7"/>
        <v>0</v>
      </c>
      <c r="AH253" s="31" t="e" cm="1">
        <f t="array" aca="1" ref="AH253" ca="1">IF((AD253) &lt; (INDEX(ResponseSLA[#All],(MATCH((G253),ResponseSLA[Priority],0))+1,3)),"YES","No")</f>
        <v>#N/A</v>
      </c>
      <c r="AI253" s="31" t="str">
        <f>_xlfn.IFNA(IF(AE253 &lt; (INDEX(SLATable[Minimum SLA],MATCH(G253,SLATable[Priority],0))),"YES","NO"),"")</f>
        <v/>
      </c>
      <c r="AJ253" t="str">
        <f>_xlfn.IFNA(IF(AE253 &lt; (INDEX(SLATable[Maximum SLA],MATCH(G253,SLATable[Priority],0))),"YES","NO"),"")</f>
        <v/>
      </c>
    </row>
    <row r="254" spans="26:36" ht="15" customHeight="1">
      <c r="Z254" s="76" t="e">
        <f t="shared" ca="1" si="20"/>
        <v>#N/A</v>
      </c>
      <c r="AA254" s="75" t="e">
        <f t="shared" ca="1" si="1"/>
        <v>#N/A</v>
      </c>
      <c r="AB254" s="76">
        <f t="shared" ca="1" si="21"/>
        <v>0</v>
      </c>
      <c r="AC254" s="75">
        <f t="shared" ca="1" si="3"/>
        <v>0</v>
      </c>
      <c r="AD254" s="76">
        <f t="shared" ca="1" si="22"/>
        <v>12388.425641435188</v>
      </c>
      <c r="AE254" s="76">
        <f t="shared" si="23"/>
        <v>0</v>
      </c>
      <c r="AF254" s="75">
        <f t="shared" si="6"/>
        <v>0</v>
      </c>
      <c r="AG254" s="75">
        <f t="shared" si="7"/>
        <v>0</v>
      </c>
      <c r="AH254" s="31" t="e" cm="1">
        <f t="array" aca="1" ref="AH254" ca="1">IF((AD254) &lt; (INDEX(ResponseSLA[#All],(MATCH((G254),ResponseSLA[Priority],0))+1,3)),"YES","No")</f>
        <v>#N/A</v>
      </c>
      <c r="AI254" s="31" t="str">
        <f>_xlfn.IFNA(IF(AE254 &lt; (INDEX(SLATable[Minimum SLA],MATCH(G254,SLATable[Priority],0))),"YES","NO"),"")</f>
        <v/>
      </c>
      <c r="AJ254" t="str">
        <f>_xlfn.IFNA(IF(AE254 &lt; (INDEX(SLATable[Maximum SLA],MATCH(G254,SLATable[Priority],0))),"YES","NO"),"")</f>
        <v/>
      </c>
    </row>
    <row r="255" spans="26:36" ht="15" customHeight="1">
      <c r="Z255" s="76" t="e">
        <f t="shared" ca="1" si="20"/>
        <v>#N/A</v>
      </c>
      <c r="AA255" s="75" t="e">
        <f t="shared" ca="1" si="1"/>
        <v>#N/A</v>
      </c>
      <c r="AB255" s="76">
        <f t="shared" ca="1" si="21"/>
        <v>0</v>
      </c>
      <c r="AC255" s="75">
        <f t="shared" ca="1" si="3"/>
        <v>0</v>
      </c>
      <c r="AD255" s="76">
        <f t="shared" ca="1" si="22"/>
        <v>12388.425641435188</v>
      </c>
      <c r="AE255" s="76">
        <f t="shared" si="23"/>
        <v>0</v>
      </c>
      <c r="AF255" s="75">
        <f t="shared" si="6"/>
        <v>0</v>
      </c>
      <c r="AG255" s="75">
        <f t="shared" si="7"/>
        <v>0</v>
      </c>
      <c r="AH255" s="31" t="e" cm="1">
        <f t="array" aca="1" ref="AH255" ca="1">IF((AD255) &lt; (INDEX(ResponseSLA[#All],(MATCH((G255),ResponseSLA[Priority],0))+1,3)),"YES","No")</f>
        <v>#N/A</v>
      </c>
      <c r="AI255" s="31" t="str">
        <f>_xlfn.IFNA(IF(AE255 &lt; (INDEX(SLATable[Minimum SLA],MATCH(G255,SLATable[Priority],0))),"YES","NO"),"")</f>
        <v/>
      </c>
      <c r="AJ255" t="str">
        <f>_xlfn.IFNA(IF(AE255 &lt; (INDEX(SLATable[Maximum SLA],MATCH(G255,SLATable[Priority],0))),"YES","NO"),"")</f>
        <v/>
      </c>
    </row>
    <row r="256" spans="26:36" ht="15" customHeight="1">
      <c r="Z256" s="76" t="e">
        <f t="shared" ca="1" si="20"/>
        <v>#N/A</v>
      </c>
      <c r="AA256" s="75" t="e">
        <f t="shared" ca="1" si="1"/>
        <v>#N/A</v>
      </c>
      <c r="AB256" s="76">
        <f t="shared" ca="1" si="21"/>
        <v>0</v>
      </c>
      <c r="AC256" s="75">
        <f t="shared" ca="1" si="3"/>
        <v>0</v>
      </c>
      <c r="AD256" s="76">
        <f t="shared" ca="1" si="22"/>
        <v>12388.425641550926</v>
      </c>
      <c r="AE256" s="76">
        <f t="shared" si="23"/>
        <v>0</v>
      </c>
      <c r="AF256" s="75">
        <f t="shared" si="6"/>
        <v>0</v>
      </c>
      <c r="AG256" s="75">
        <f t="shared" si="7"/>
        <v>0</v>
      </c>
      <c r="AH256" s="31" t="e" cm="1">
        <f t="array" aca="1" ref="AH256" ca="1">IF((AD256) &lt; (INDEX(ResponseSLA[#All],(MATCH((G256),ResponseSLA[Priority],0))+1,3)),"YES","No")</f>
        <v>#N/A</v>
      </c>
      <c r="AI256" s="31" t="str">
        <f>_xlfn.IFNA(IF(AE256 &lt; (INDEX(SLATable[Minimum SLA],MATCH(G256,SLATable[Priority],0))),"YES","NO"),"")</f>
        <v/>
      </c>
      <c r="AJ256" t="str">
        <f>_xlfn.IFNA(IF(AE256 &lt; (INDEX(SLATable[Maximum SLA],MATCH(G256,SLATable[Priority],0))),"YES","NO"),"")</f>
        <v/>
      </c>
    </row>
    <row r="257" spans="26:36" ht="15" customHeight="1">
      <c r="Z257" s="76" t="e">
        <f t="shared" ca="1" si="20"/>
        <v>#N/A</v>
      </c>
      <c r="AA257" s="75" t="e">
        <f t="shared" ref="AA257:AA320" ca="1" si="24">(Z257*24)/9</f>
        <v>#N/A</v>
      </c>
      <c r="AB257" s="76">
        <f t="shared" ca="1" si="21"/>
        <v>0</v>
      </c>
      <c r="AC257" s="75">
        <f t="shared" ref="AC257:AC320" ca="1" si="25">(AB257*24)/9</f>
        <v>0</v>
      </c>
      <c r="AD257" s="76">
        <f t="shared" ca="1" si="22"/>
        <v>12388.425641435188</v>
      </c>
      <c r="AE257" s="76">
        <f t="shared" si="23"/>
        <v>0</v>
      </c>
      <c r="AF257" s="75">
        <f t="shared" ref="AF257:AF320" si="26">(AE257*24)/9</f>
        <v>0</v>
      </c>
      <c r="AG257" s="75">
        <f t="shared" ref="AG257:AG320" si="27">AF257</f>
        <v>0</v>
      </c>
      <c r="AH257" s="31" t="e" cm="1">
        <f t="array" aca="1" ref="AH257" ca="1">IF((AD257) &lt; (INDEX(ResponseSLA[#All],(MATCH((G257),ResponseSLA[Priority],0))+1,3)),"YES","No")</f>
        <v>#N/A</v>
      </c>
      <c r="AI257" s="31" t="str">
        <f>_xlfn.IFNA(IF(AE257 &lt; (INDEX(SLATable[Minimum SLA],MATCH(G257,SLATable[Priority],0))),"YES","NO"),"")</f>
        <v/>
      </c>
      <c r="AJ257" t="str">
        <f>_xlfn.IFNA(IF(AE257 &lt; (INDEX(SLATable[Maximum SLA],MATCH(G257,SLATable[Priority],0))),"YES","NO"),"")</f>
        <v/>
      </c>
    </row>
    <row r="258" spans="26:36" ht="15" customHeight="1">
      <c r="Z258" s="76" t="e">
        <f t="shared" ca="1" si="20"/>
        <v>#N/A</v>
      </c>
      <c r="AA258" s="75" t="e">
        <f t="shared" ca="1" si="24"/>
        <v>#N/A</v>
      </c>
      <c r="AB258" s="76">
        <f t="shared" ca="1" si="21"/>
        <v>0</v>
      </c>
      <c r="AC258" s="75">
        <f t="shared" ca="1" si="25"/>
        <v>0</v>
      </c>
      <c r="AD258" s="76">
        <f t="shared" ca="1" si="22"/>
        <v>12388.425641435188</v>
      </c>
      <c r="AE258" s="76">
        <f t="shared" si="23"/>
        <v>0</v>
      </c>
      <c r="AF258" s="75">
        <f t="shared" si="26"/>
        <v>0</v>
      </c>
      <c r="AG258" s="75">
        <f t="shared" si="27"/>
        <v>0</v>
      </c>
      <c r="AH258" s="31" t="e" cm="1">
        <f t="array" aca="1" ref="AH258" ca="1">IF((AD258) &lt; (INDEX(ResponseSLA[#All],(MATCH((G258),ResponseSLA[Priority],0))+1,3)),"YES","No")</f>
        <v>#N/A</v>
      </c>
      <c r="AI258" s="31" t="str">
        <f>_xlfn.IFNA(IF(AE258 &lt; (INDEX(SLATable[Minimum SLA],MATCH(G258,SLATable[Priority],0))),"YES","NO"),"")</f>
        <v/>
      </c>
      <c r="AJ258" t="str">
        <f>_xlfn.IFNA(IF(AE258 &lt; (INDEX(SLATable[Maximum SLA],MATCH(G258,SLATable[Priority],0))),"YES","NO"),"")</f>
        <v/>
      </c>
    </row>
    <row r="259" spans="26:36" ht="15" customHeight="1">
      <c r="Z259" s="76" t="e">
        <f t="shared" ref="Z259:Z322" ca="1" si="28">IF(NOT(OR(G259=1,G259=2)),MAX(0,_xlfn.IFS(AND(K259&lt;&gt;"",N259&lt;&gt;""),((MAX(NETWORKDAYS(K259,N259,UKBankHolidays)-1,0))*(TIME(17,0,0)-TIME(8,0,0))+IF(NETWORKDAYS(N259,N259,UKBankHolidays)&gt;0,MEDIAN(TIME(8,0,0),MOD(N259,1),TIME(17,0,0)),TIME(8,0,0))-IF(NETWORKDAYS(K259,K259,UKBankHolidays)&gt;0,MEDIAN(TIME(8,0,0),MOD(K259,1),TIME(17,0,0)),TIME(8,0,0)))-IF(AND(O259&lt;&gt;"",P259&lt;&gt;""),((MAX(NETWORKDAYS(O259,P259,UKBankHolidays)-1,0))*(TIME(17,0,0)-TIME(8,0,0))+IF(NETWORKDAYS(P259,P259,UKBankHolidays)&gt;0,MEDIAN(TIME(8,0,0),MOD(P259,1),TIME(17,0,0)),TIME(8,0,0))-IF(NETWORKDAYS(O259,O259,UKBankHolidays)&gt;0,MEDIAN(TIME(8,0,0),MOD(O259,1),TIME(17,0,0)),TIME(8,0,0))),0),AND(K259&lt;&gt;"",N259=""),((MAX(NETWORKDAYS(K259,NOW(),UKBankHolidays)-1,0))*(TIME(17,0,0)-TIME(8,0,0))+IF(NETWORKDAYS(NOW(),NOW(),UKBankHolidays)&gt;0,MEDIAN(TIME(8,0,0),MOD(NOW(),1),TIME(17,0,0)),TIME(8,0,0))-IF(NETWORKDAYS(K259,K259,UKBankHolidays)&gt;0,MEDIAN(TIME(8,0,0),MOD(K259,1),TIME(17,0,0)),TIME(8,0,0))))),IF(N259="",NOW()-K259,N259-K259))</f>
        <v>#N/A</v>
      </c>
      <c r="AA259" s="75" t="e">
        <f t="shared" ca="1" si="24"/>
        <v>#N/A</v>
      </c>
      <c r="AB259" s="76">
        <f t="shared" ref="AB259:AB322" ca="1" si="29">IF(NOT(OR(G259=1,G259=2)),MAX(0,_xlfn.IFS(AND(K259&lt;&gt;"",N259&lt;&gt;""),(((MAX(NETWORKDAYS(L259,N259,UKBankHolidays)-1,0))*(TIME(17,0,0)-TIME(8,0,0)))+IF(NETWORKDAYS(N259,N259,UKBankHolidays)&gt;0,MEDIAN(TIME(8,0,0),MOD(N259,1),TIME(17,0,0)),TIME(8,0,0))-IF(NETWORKDAYS(L259,L259,UKBankHolidays)&gt;0,MEDIAN(TIME(8,0,0),MOD(L259,1),TIME(17,0,0)),TIME(8,0,0)))-IF(AND(O259&lt;&gt;"",P259&lt;&gt;""),(((MAX(NETWORKDAYS(O259,P259,UKBankHolidays)-1,0))*(TIME(17,0,0)-TIME(8,0,0)))+IF(NETWORKDAYS(P259,P259,UKBankHolidays)&gt;0,MEDIAN(TIME(8,0,0),MOD(P259,1),TIME(17,0,0)),TIME(8,0,0))-IF(NETWORKDAYS(O259,O259,UKBankHolidays)&gt;0,MEDIAN(TIME(8,0,0),MOD(O259,1),TIME(17,0,0)),TIME(8,0,0))),0),AND(L259&lt;&gt;"",N259="",O259=""),(((MAX(NETWORKDAYS(L259,NOW(),UKBankHolidays)-1,0))*(TIME(17,0,0)-TIME(8,0,0)))+IF(NETWORKDAYS(NOW(),NOW(),UKBankHolidays)&gt;0,MEDIAN(TIME(8,0,0),MOD(NOW(),1),TIME(17,0,0)),TIME(8,0,0))-IF(NETWORKDAYS(L259,L259,UKBankHolidays)&gt;0,MEDIAN(TIME(8,0,0),MOD(L259,1),TIME(17,0,0)),TIME(8,0,0)))-IF(AND(O259&lt;&gt;"",P259&lt;&gt;""),(((MAX(NETWORKDAYS(O259,P259,UKBankHolidays)-1,0))*(TIME(17,0,0)-TIME(8,0,0)))+IF(NETWORKDAYS(P259,P259,UKBankHolidays)&gt;0,MEDIAN(TIME(8,0,0),MOD(P259,1),TIME(17,0,0)),TIME(8,0,0))-IF(NETWORKDAYS(O259,O259,UKBankHolidays)&gt;0,MEDIAN(TIME(8,0,0),MOD(O259,1),TIME(17,0,0)),TIME(8,0,0))),0),AND(L259&lt;&gt;"",N259="",P259="",O259&lt;&gt;""),(((MAX(NETWORKDAYS(L259,O259,UKBankHolidays)-1,0))*(TIME(17,0,0)-TIME(8,0,0)))+IF(NETWORKDAYS(O259,O259,UKBankHolidays)&gt;0,MEDIAN(TIME(8,0,0),MOD(O259,1),TIME(17,0,0)),TIME(8,0,0))-IF(NETWORKDAYS(L259,L259,UKBankHolidays)&gt;0,MEDIAN(TIME(8,0,0),MOD(L259,1),TIME(17,0,0)),TIME(8,0,0))),ISBLANK(K259),"0")),IF(ISBLANK(N259),NOW()-L259,N259-L259))</f>
        <v>0</v>
      </c>
      <c r="AC259" s="75">
        <f t="shared" ca="1" si="25"/>
        <v>0</v>
      </c>
      <c r="AD259" s="76">
        <f t="shared" ref="AD259:AD322" ca="1" si="30">MAX(0,IF(NOT(OR(G259=1,G259=2)),IF(M259&lt;&gt;"",((MAX(NETWORKDAYS(L259,M259,UKBankHolidays)-1,0))*(TIME(17,0,0)-TIME(8,0,0))+IF(NETWORKDAYS(M259,M259,UKBankHolidays)&gt;0,MEDIAN(TIME(8,0,0),MOD(M259,1),TIME(17,0,0)),TIME(8,0,0))-MEDIAN(TIME(8,0,0),MOD(L259,1),TIME(17,0,0))),((MAX(NETWORKDAYS(L259,NOW(),UKBankHolidays)-1,0))*(TIME(17,0,0)-TIME(8,0,0))+IF(NETWORKDAYS(NOW(),NOW(),UKBankHolidays)&gt;0,MEDIAN(TIME(8,0,0),MOD(NOW(),1),TIME(17,0,0)),TIME(8,0,0))-MEDIAN(TIME(8,0,0),MOD(L259,1),TIME(17,0,0)))),IF(M259&lt;&gt;"",M259-L259,NOW()-L259)))</f>
        <v>12388.425641550926</v>
      </c>
      <c r="AE259" s="76">
        <f t="shared" ref="AE259:AE322" si="31">SUMIFS(AB:AB,E:E,E259)</f>
        <v>0</v>
      </c>
      <c r="AF259" s="75">
        <f t="shared" si="26"/>
        <v>0</v>
      </c>
      <c r="AG259" s="75">
        <f t="shared" si="27"/>
        <v>0</v>
      </c>
      <c r="AH259" s="31" t="e" cm="1">
        <f t="array" aca="1" ref="AH259" ca="1">IF((AD259) &lt; (INDEX(ResponseSLA[#All],(MATCH((G259),ResponseSLA[Priority],0))+1,3)),"YES","No")</f>
        <v>#N/A</v>
      </c>
      <c r="AI259" s="31" t="str">
        <f>_xlfn.IFNA(IF(AE259 &lt; (INDEX(SLATable[Minimum SLA],MATCH(G259,SLATable[Priority],0))),"YES","NO"),"")</f>
        <v/>
      </c>
      <c r="AJ259" t="str">
        <f>_xlfn.IFNA(IF(AE259 &lt; (INDEX(SLATable[Maximum SLA],MATCH(G259,SLATable[Priority],0))),"YES","NO"),"")</f>
        <v/>
      </c>
    </row>
    <row r="260" spans="26:36" ht="15" customHeight="1">
      <c r="Z260" s="76" t="e">
        <f t="shared" ca="1" si="28"/>
        <v>#N/A</v>
      </c>
      <c r="AA260" s="75" t="e">
        <f t="shared" ca="1" si="24"/>
        <v>#N/A</v>
      </c>
      <c r="AB260" s="76">
        <f t="shared" ca="1" si="29"/>
        <v>0</v>
      </c>
      <c r="AC260" s="75">
        <f t="shared" ca="1" si="25"/>
        <v>0</v>
      </c>
      <c r="AD260" s="76">
        <f t="shared" ca="1" si="30"/>
        <v>12388.425641435188</v>
      </c>
      <c r="AE260" s="76">
        <f t="shared" si="31"/>
        <v>0</v>
      </c>
      <c r="AF260" s="75">
        <f t="shared" si="26"/>
        <v>0</v>
      </c>
      <c r="AG260" s="75">
        <f t="shared" si="27"/>
        <v>0</v>
      </c>
      <c r="AH260" s="31" t="e" cm="1">
        <f t="array" aca="1" ref="AH260" ca="1">IF((AD260) &lt; (INDEX(ResponseSLA[#All],(MATCH((G260),ResponseSLA[Priority],0))+1,3)),"YES","No")</f>
        <v>#N/A</v>
      </c>
      <c r="AI260" s="31" t="str">
        <f>_xlfn.IFNA(IF(AE260 &lt; (INDEX(SLATable[Minimum SLA],MATCH(G260,SLATable[Priority],0))),"YES","NO"),"")</f>
        <v/>
      </c>
      <c r="AJ260" t="str">
        <f>_xlfn.IFNA(IF(AE260 &lt; (INDEX(SLATable[Maximum SLA],MATCH(G260,SLATable[Priority],0))),"YES","NO"),"")</f>
        <v/>
      </c>
    </row>
    <row r="261" spans="26:36" ht="15" customHeight="1">
      <c r="Z261" s="76" t="e">
        <f t="shared" ca="1" si="28"/>
        <v>#N/A</v>
      </c>
      <c r="AA261" s="75" t="e">
        <f t="shared" ca="1" si="24"/>
        <v>#N/A</v>
      </c>
      <c r="AB261" s="76">
        <f t="shared" ca="1" si="29"/>
        <v>0</v>
      </c>
      <c r="AC261" s="75">
        <f t="shared" ca="1" si="25"/>
        <v>0</v>
      </c>
      <c r="AD261" s="76">
        <f t="shared" ca="1" si="30"/>
        <v>12388.425641435188</v>
      </c>
      <c r="AE261" s="76">
        <f t="shared" si="31"/>
        <v>0</v>
      </c>
      <c r="AF261" s="75">
        <f t="shared" si="26"/>
        <v>0</v>
      </c>
      <c r="AG261" s="75">
        <f t="shared" si="27"/>
        <v>0</v>
      </c>
      <c r="AH261" s="31" t="e" cm="1">
        <f t="array" aca="1" ref="AH261" ca="1">IF((AD261) &lt; (INDEX(ResponseSLA[#All],(MATCH((G261),ResponseSLA[Priority],0))+1,3)),"YES","No")</f>
        <v>#N/A</v>
      </c>
      <c r="AI261" s="31" t="str">
        <f>_xlfn.IFNA(IF(AE261 &lt; (INDEX(SLATable[Minimum SLA],MATCH(G261,SLATable[Priority],0))),"YES","NO"),"")</f>
        <v/>
      </c>
      <c r="AJ261" t="str">
        <f>_xlfn.IFNA(IF(AE261 &lt; (INDEX(SLATable[Maximum SLA],MATCH(G261,SLATable[Priority],0))),"YES","NO"),"")</f>
        <v/>
      </c>
    </row>
    <row r="262" spans="26:36" ht="15" customHeight="1">
      <c r="Z262" s="76" t="e">
        <f t="shared" ca="1" si="28"/>
        <v>#N/A</v>
      </c>
      <c r="AA262" s="75" t="e">
        <f t="shared" ca="1" si="24"/>
        <v>#N/A</v>
      </c>
      <c r="AB262" s="76">
        <f t="shared" ca="1" si="29"/>
        <v>0</v>
      </c>
      <c r="AC262" s="75">
        <f t="shared" ca="1" si="25"/>
        <v>0</v>
      </c>
      <c r="AD262" s="76">
        <f t="shared" ca="1" si="30"/>
        <v>12388.425641550926</v>
      </c>
      <c r="AE262" s="76">
        <f t="shared" si="31"/>
        <v>0</v>
      </c>
      <c r="AF262" s="75">
        <f t="shared" si="26"/>
        <v>0</v>
      </c>
      <c r="AG262" s="75">
        <f t="shared" si="27"/>
        <v>0</v>
      </c>
      <c r="AH262" s="31" t="e" cm="1">
        <f t="array" aca="1" ref="AH262" ca="1">IF((AD262) &lt; (INDEX(ResponseSLA[#All],(MATCH((G262),ResponseSLA[Priority],0))+1,3)),"YES","No")</f>
        <v>#N/A</v>
      </c>
      <c r="AI262" s="31" t="str">
        <f>_xlfn.IFNA(IF(AE262 &lt; (INDEX(SLATable[Minimum SLA],MATCH(G262,SLATable[Priority],0))),"YES","NO"),"")</f>
        <v/>
      </c>
      <c r="AJ262" t="str">
        <f>_xlfn.IFNA(IF(AE262 &lt; (INDEX(SLATable[Maximum SLA],MATCH(G262,SLATable[Priority],0))),"YES","NO"),"")</f>
        <v/>
      </c>
    </row>
    <row r="263" spans="26:36" ht="15" customHeight="1">
      <c r="Z263" s="76" t="e">
        <f t="shared" ca="1" si="28"/>
        <v>#N/A</v>
      </c>
      <c r="AA263" s="75" t="e">
        <f t="shared" ca="1" si="24"/>
        <v>#N/A</v>
      </c>
      <c r="AB263" s="76">
        <f t="shared" ca="1" si="29"/>
        <v>0</v>
      </c>
      <c r="AC263" s="75">
        <f t="shared" ca="1" si="25"/>
        <v>0</v>
      </c>
      <c r="AD263" s="76">
        <f t="shared" ca="1" si="30"/>
        <v>12388.425641435188</v>
      </c>
      <c r="AE263" s="76">
        <f t="shared" si="31"/>
        <v>0</v>
      </c>
      <c r="AF263" s="75">
        <f t="shared" si="26"/>
        <v>0</v>
      </c>
      <c r="AG263" s="75">
        <f t="shared" si="27"/>
        <v>0</v>
      </c>
      <c r="AH263" s="31" t="e" cm="1">
        <f t="array" aca="1" ref="AH263" ca="1">IF((AD263) &lt; (INDEX(ResponseSLA[#All],(MATCH((G263),ResponseSLA[Priority],0))+1,3)),"YES","No")</f>
        <v>#N/A</v>
      </c>
      <c r="AI263" s="31" t="str">
        <f>_xlfn.IFNA(IF(AE263 &lt; (INDEX(SLATable[Minimum SLA],MATCH(G263,SLATable[Priority],0))),"YES","NO"),"")</f>
        <v/>
      </c>
      <c r="AJ263" t="str">
        <f>_xlfn.IFNA(IF(AE263 &lt; (INDEX(SLATable[Maximum SLA],MATCH(G263,SLATable[Priority],0))),"YES","NO"),"")</f>
        <v/>
      </c>
    </row>
    <row r="264" spans="26:36" ht="15" customHeight="1">
      <c r="Z264" s="76" t="e">
        <f t="shared" ca="1" si="28"/>
        <v>#N/A</v>
      </c>
      <c r="AA264" s="75" t="e">
        <f t="shared" ca="1" si="24"/>
        <v>#N/A</v>
      </c>
      <c r="AB264" s="76">
        <f t="shared" ca="1" si="29"/>
        <v>0</v>
      </c>
      <c r="AC264" s="75">
        <f t="shared" ca="1" si="25"/>
        <v>0</v>
      </c>
      <c r="AD264" s="76">
        <f t="shared" ca="1" si="30"/>
        <v>12388.425641435188</v>
      </c>
      <c r="AE264" s="76">
        <f t="shared" si="31"/>
        <v>0</v>
      </c>
      <c r="AF264" s="75">
        <f t="shared" si="26"/>
        <v>0</v>
      </c>
      <c r="AG264" s="75">
        <f t="shared" si="27"/>
        <v>0</v>
      </c>
      <c r="AH264" s="31" t="e" cm="1">
        <f t="array" aca="1" ref="AH264" ca="1">IF((AD264) &lt; (INDEX(ResponseSLA[#All],(MATCH((G264),ResponseSLA[Priority],0))+1,3)),"YES","No")</f>
        <v>#N/A</v>
      </c>
      <c r="AI264" s="31" t="str">
        <f>_xlfn.IFNA(IF(AE264 &lt; (INDEX(SLATable[Minimum SLA],MATCH(G264,SLATable[Priority],0))),"YES","NO"),"")</f>
        <v/>
      </c>
      <c r="AJ264" t="str">
        <f>_xlfn.IFNA(IF(AE264 &lt; (INDEX(SLATable[Maximum SLA],MATCH(G264,SLATable[Priority],0))),"YES","NO"),"")</f>
        <v/>
      </c>
    </row>
    <row r="265" spans="26:36" ht="15" customHeight="1">
      <c r="Z265" s="76" t="e">
        <f t="shared" ca="1" si="28"/>
        <v>#N/A</v>
      </c>
      <c r="AA265" s="75" t="e">
        <f t="shared" ca="1" si="24"/>
        <v>#N/A</v>
      </c>
      <c r="AB265" s="76">
        <f t="shared" ca="1" si="29"/>
        <v>0</v>
      </c>
      <c r="AC265" s="75">
        <f t="shared" ca="1" si="25"/>
        <v>0</v>
      </c>
      <c r="AD265" s="76">
        <f t="shared" ca="1" si="30"/>
        <v>12388.425641550926</v>
      </c>
      <c r="AE265" s="76">
        <f t="shared" si="31"/>
        <v>0</v>
      </c>
      <c r="AF265" s="75">
        <f t="shared" si="26"/>
        <v>0</v>
      </c>
      <c r="AG265" s="75">
        <f t="shared" si="27"/>
        <v>0</v>
      </c>
      <c r="AH265" s="31" t="e" cm="1">
        <f t="array" aca="1" ref="AH265" ca="1">IF((AD265) &lt; (INDEX(ResponseSLA[#All],(MATCH((G265),ResponseSLA[Priority],0))+1,3)),"YES","No")</f>
        <v>#N/A</v>
      </c>
      <c r="AI265" s="31" t="str">
        <f>_xlfn.IFNA(IF(AE265 &lt; (INDEX(SLATable[Minimum SLA],MATCH(G265,SLATable[Priority],0))),"YES","NO"),"")</f>
        <v/>
      </c>
      <c r="AJ265" t="str">
        <f>_xlfn.IFNA(IF(AE265 &lt; (INDEX(SLATable[Maximum SLA],MATCH(G265,SLATable[Priority],0))),"YES","NO"),"")</f>
        <v/>
      </c>
    </row>
    <row r="266" spans="26:36" ht="15" customHeight="1">
      <c r="Z266" s="76" t="e">
        <f t="shared" ca="1" si="28"/>
        <v>#N/A</v>
      </c>
      <c r="AA266" s="75" t="e">
        <f t="shared" ca="1" si="24"/>
        <v>#N/A</v>
      </c>
      <c r="AB266" s="76">
        <f t="shared" ca="1" si="29"/>
        <v>0</v>
      </c>
      <c r="AC266" s="75">
        <f t="shared" ca="1" si="25"/>
        <v>0</v>
      </c>
      <c r="AD266" s="76">
        <f t="shared" ca="1" si="30"/>
        <v>12388.425641435188</v>
      </c>
      <c r="AE266" s="76">
        <f t="shared" si="31"/>
        <v>0</v>
      </c>
      <c r="AF266" s="75">
        <f t="shared" si="26"/>
        <v>0</v>
      </c>
      <c r="AG266" s="75">
        <f t="shared" si="27"/>
        <v>0</v>
      </c>
      <c r="AH266" s="31" t="e" cm="1">
        <f t="array" aca="1" ref="AH266" ca="1">IF((AD266) &lt; (INDEX(ResponseSLA[#All],(MATCH((G266),ResponseSLA[Priority],0))+1,3)),"YES","No")</f>
        <v>#N/A</v>
      </c>
      <c r="AI266" s="31" t="str">
        <f>_xlfn.IFNA(IF(AE266 &lt; (INDEX(SLATable[Minimum SLA],MATCH(G266,SLATable[Priority],0))),"YES","NO"),"")</f>
        <v/>
      </c>
      <c r="AJ266" t="str">
        <f>_xlfn.IFNA(IF(AE266 &lt; (INDEX(SLATable[Maximum SLA],MATCH(G266,SLATable[Priority],0))),"YES","NO"),"")</f>
        <v/>
      </c>
    </row>
    <row r="267" spans="26:36" ht="15" customHeight="1">
      <c r="Z267" s="76" t="e">
        <f t="shared" ca="1" si="28"/>
        <v>#N/A</v>
      </c>
      <c r="AA267" s="75" t="e">
        <f t="shared" ca="1" si="24"/>
        <v>#N/A</v>
      </c>
      <c r="AB267" s="76">
        <f t="shared" ca="1" si="29"/>
        <v>0</v>
      </c>
      <c r="AC267" s="75">
        <f t="shared" ca="1" si="25"/>
        <v>0</v>
      </c>
      <c r="AD267" s="76">
        <f t="shared" ca="1" si="30"/>
        <v>12388.425641435188</v>
      </c>
      <c r="AE267" s="76">
        <f t="shared" si="31"/>
        <v>0</v>
      </c>
      <c r="AF267" s="75">
        <f t="shared" si="26"/>
        <v>0</v>
      </c>
      <c r="AG267" s="75">
        <f t="shared" si="27"/>
        <v>0</v>
      </c>
      <c r="AH267" s="31" t="e" cm="1">
        <f t="array" aca="1" ref="AH267" ca="1">IF((AD267) &lt; (INDEX(ResponseSLA[#All],(MATCH((G267),ResponseSLA[Priority],0))+1,3)),"YES","No")</f>
        <v>#N/A</v>
      </c>
      <c r="AI267" s="31" t="str">
        <f>_xlfn.IFNA(IF(AE267 &lt; (INDEX(SLATable[Minimum SLA],MATCH(G267,SLATable[Priority],0))),"YES","NO"),"")</f>
        <v/>
      </c>
      <c r="AJ267" t="str">
        <f>_xlfn.IFNA(IF(AE267 &lt; (INDEX(SLATable[Maximum SLA],MATCH(G267,SLATable[Priority],0))),"YES","NO"),"")</f>
        <v/>
      </c>
    </row>
    <row r="268" spans="26:36" ht="15" customHeight="1">
      <c r="Z268" s="76" t="e">
        <f t="shared" ca="1" si="28"/>
        <v>#N/A</v>
      </c>
      <c r="AA268" s="75" t="e">
        <f t="shared" ca="1" si="24"/>
        <v>#N/A</v>
      </c>
      <c r="AB268" s="76">
        <f t="shared" ca="1" si="29"/>
        <v>0</v>
      </c>
      <c r="AC268" s="75">
        <f t="shared" ca="1" si="25"/>
        <v>0</v>
      </c>
      <c r="AD268" s="76">
        <f t="shared" ca="1" si="30"/>
        <v>12388.425641550926</v>
      </c>
      <c r="AE268" s="76">
        <f t="shared" si="31"/>
        <v>0</v>
      </c>
      <c r="AF268" s="75">
        <f t="shared" si="26"/>
        <v>0</v>
      </c>
      <c r="AG268" s="75">
        <f t="shared" si="27"/>
        <v>0</v>
      </c>
      <c r="AH268" s="31" t="e" cm="1">
        <f t="array" aca="1" ref="AH268" ca="1">IF((AD268) &lt; (INDEX(ResponseSLA[#All],(MATCH((G268),ResponseSLA[Priority],0))+1,3)),"YES","No")</f>
        <v>#N/A</v>
      </c>
      <c r="AI268" s="31" t="str">
        <f>_xlfn.IFNA(IF(AE268 &lt; (INDEX(SLATable[Minimum SLA],MATCH(G268,SLATable[Priority],0))),"YES","NO"),"")</f>
        <v/>
      </c>
      <c r="AJ268" t="str">
        <f>_xlfn.IFNA(IF(AE268 &lt; (INDEX(SLATable[Maximum SLA],MATCH(G268,SLATable[Priority],0))),"YES","NO"),"")</f>
        <v/>
      </c>
    </row>
    <row r="269" spans="26:36" ht="15" customHeight="1">
      <c r="Z269" s="76" t="e">
        <f t="shared" ca="1" si="28"/>
        <v>#N/A</v>
      </c>
      <c r="AA269" s="75" t="e">
        <f t="shared" ca="1" si="24"/>
        <v>#N/A</v>
      </c>
      <c r="AB269" s="76">
        <f t="shared" ca="1" si="29"/>
        <v>0</v>
      </c>
      <c r="AC269" s="75">
        <f t="shared" ca="1" si="25"/>
        <v>0</v>
      </c>
      <c r="AD269" s="76">
        <f t="shared" ca="1" si="30"/>
        <v>12388.425641435188</v>
      </c>
      <c r="AE269" s="76">
        <f t="shared" si="31"/>
        <v>0</v>
      </c>
      <c r="AF269" s="75">
        <f t="shared" si="26"/>
        <v>0</v>
      </c>
      <c r="AG269" s="75">
        <f t="shared" si="27"/>
        <v>0</v>
      </c>
      <c r="AH269" s="31" t="e" cm="1">
        <f t="array" aca="1" ref="AH269" ca="1">IF((AD269) &lt; (INDEX(ResponseSLA[#All],(MATCH((G269),ResponseSLA[Priority],0))+1,3)),"YES","No")</f>
        <v>#N/A</v>
      </c>
      <c r="AI269" s="31" t="str">
        <f>_xlfn.IFNA(IF(AE269 &lt; (INDEX(SLATable[Minimum SLA],MATCH(G269,SLATable[Priority],0))),"YES","NO"),"")</f>
        <v/>
      </c>
      <c r="AJ269" t="str">
        <f>_xlfn.IFNA(IF(AE269 &lt; (INDEX(SLATable[Maximum SLA],MATCH(G269,SLATable[Priority],0))),"YES","NO"),"")</f>
        <v/>
      </c>
    </row>
    <row r="270" spans="26:36" ht="15" customHeight="1">
      <c r="Z270" s="76" t="e">
        <f t="shared" ca="1" si="28"/>
        <v>#N/A</v>
      </c>
      <c r="AA270" s="75" t="e">
        <f t="shared" ca="1" si="24"/>
        <v>#N/A</v>
      </c>
      <c r="AB270" s="76">
        <f t="shared" ca="1" si="29"/>
        <v>0</v>
      </c>
      <c r="AC270" s="75">
        <f t="shared" ca="1" si="25"/>
        <v>0</v>
      </c>
      <c r="AD270" s="76">
        <f t="shared" ca="1" si="30"/>
        <v>12388.425641435188</v>
      </c>
      <c r="AE270" s="76">
        <f t="shared" si="31"/>
        <v>0</v>
      </c>
      <c r="AF270" s="75">
        <f t="shared" si="26"/>
        <v>0</v>
      </c>
      <c r="AG270" s="75">
        <f t="shared" si="27"/>
        <v>0</v>
      </c>
      <c r="AH270" s="31" t="e" cm="1">
        <f t="array" aca="1" ref="AH270" ca="1">IF((AD270) &lt; (INDEX(ResponseSLA[#All],(MATCH((G270),ResponseSLA[Priority],0))+1,3)),"YES","No")</f>
        <v>#N/A</v>
      </c>
      <c r="AI270" s="31" t="str">
        <f>_xlfn.IFNA(IF(AE270 &lt; (INDEX(SLATable[Minimum SLA],MATCH(G270,SLATable[Priority],0))),"YES","NO"),"")</f>
        <v/>
      </c>
      <c r="AJ270" t="str">
        <f>_xlfn.IFNA(IF(AE270 &lt; (INDEX(SLATable[Maximum SLA],MATCH(G270,SLATable[Priority],0))),"YES","NO"),"")</f>
        <v/>
      </c>
    </row>
    <row r="271" spans="26:36" ht="15" customHeight="1">
      <c r="Z271" s="76" t="e">
        <f t="shared" ca="1" si="28"/>
        <v>#N/A</v>
      </c>
      <c r="AA271" s="75" t="e">
        <f t="shared" ca="1" si="24"/>
        <v>#N/A</v>
      </c>
      <c r="AB271" s="76">
        <f t="shared" ca="1" si="29"/>
        <v>0</v>
      </c>
      <c r="AC271" s="75">
        <f t="shared" ca="1" si="25"/>
        <v>0</v>
      </c>
      <c r="AD271" s="76">
        <f t="shared" ca="1" si="30"/>
        <v>12388.425641550926</v>
      </c>
      <c r="AE271" s="76">
        <f t="shared" si="31"/>
        <v>0</v>
      </c>
      <c r="AF271" s="75">
        <f t="shared" si="26"/>
        <v>0</v>
      </c>
      <c r="AG271" s="75">
        <f t="shared" si="27"/>
        <v>0</v>
      </c>
      <c r="AH271" s="31" t="e" cm="1">
        <f t="array" aca="1" ref="AH271" ca="1">IF((AD271) &lt; (INDEX(ResponseSLA[#All],(MATCH((G271),ResponseSLA[Priority],0))+1,3)),"YES","No")</f>
        <v>#N/A</v>
      </c>
      <c r="AI271" s="31" t="str">
        <f>_xlfn.IFNA(IF(AE271 &lt; (INDEX(SLATable[Minimum SLA],MATCH(G271,SLATable[Priority],0))),"YES","NO"),"")</f>
        <v/>
      </c>
      <c r="AJ271" t="str">
        <f>_xlfn.IFNA(IF(AE271 &lt; (INDEX(SLATable[Maximum SLA],MATCH(G271,SLATable[Priority],0))),"YES","NO"),"")</f>
        <v/>
      </c>
    </row>
    <row r="272" spans="26:36" ht="15" customHeight="1">
      <c r="Z272" s="76" t="e">
        <f t="shared" ca="1" si="28"/>
        <v>#N/A</v>
      </c>
      <c r="AA272" s="75" t="e">
        <f t="shared" ca="1" si="24"/>
        <v>#N/A</v>
      </c>
      <c r="AB272" s="76">
        <f t="shared" ca="1" si="29"/>
        <v>0</v>
      </c>
      <c r="AC272" s="75">
        <f t="shared" ca="1" si="25"/>
        <v>0</v>
      </c>
      <c r="AD272" s="76">
        <f t="shared" ca="1" si="30"/>
        <v>12388.425641435188</v>
      </c>
      <c r="AE272" s="76">
        <f t="shared" si="31"/>
        <v>0</v>
      </c>
      <c r="AF272" s="75">
        <f t="shared" si="26"/>
        <v>0</v>
      </c>
      <c r="AG272" s="75">
        <f t="shared" si="27"/>
        <v>0</v>
      </c>
      <c r="AH272" s="31" t="e" cm="1">
        <f t="array" aca="1" ref="AH272" ca="1">IF((AD272) &lt; (INDEX(ResponseSLA[#All],(MATCH((G272),ResponseSLA[Priority],0))+1,3)),"YES","No")</f>
        <v>#N/A</v>
      </c>
      <c r="AI272" s="31" t="str">
        <f>_xlfn.IFNA(IF(AE272 &lt; (INDEX(SLATable[Minimum SLA],MATCH(G272,SLATable[Priority],0))),"YES","NO"),"")</f>
        <v/>
      </c>
      <c r="AJ272" t="str">
        <f>_xlfn.IFNA(IF(AE272 &lt; (INDEX(SLATable[Maximum SLA],MATCH(G272,SLATable[Priority],0))),"YES","NO"),"")</f>
        <v/>
      </c>
    </row>
    <row r="273" spans="26:36" ht="15" customHeight="1">
      <c r="Z273" s="76" t="e">
        <f t="shared" ca="1" si="28"/>
        <v>#N/A</v>
      </c>
      <c r="AA273" s="75" t="e">
        <f t="shared" ca="1" si="24"/>
        <v>#N/A</v>
      </c>
      <c r="AB273" s="76">
        <f t="shared" ca="1" si="29"/>
        <v>0</v>
      </c>
      <c r="AC273" s="75">
        <f t="shared" ca="1" si="25"/>
        <v>0</v>
      </c>
      <c r="AD273" s="76">
        <f t="shared" ca="1" si="30"/>
        <v>12388.425641435188</v>
      </c>
      <c r="AE273" s="76">
        <f t="shared" si="31"/>
        <v>0</v>
      </c>
      <c r="AF273" s="75">
        <f t="shared" si="26"/>
        <v>0</v>
      </c>
      <c r="AG273" s="75">
        <f t="shared" si="27"/>
        <v>0</v>
      </c>
      <c r="AH273" s="31" t="e" cm="1">
        <f t="array" aca="1" ref="AH273" ca="1">IF((AD273) &lt; (INDEX(ResponseSLA[#All],(MATCH((G273),ResponseSLA[Priority],0))+1,3)),"YES","No")</f>
        <v>#N/A</v>
      </c>
      <c r="AI273" s="31" t="str">
        <f>_xlfn.IFNA(IF(AE273 &lt; (INDEX(SLATable[Minimum SLA],MATCH(G273,SLATable[Priority],0))),"YES","NO"),"")</f>
        <v/>
      </c>
      <c r="AJ273" t="str">
        <f>_xlfn.IFNA(IF(AE273 &lt; (INDEX(SLATable[Maximum SLA],MATCH(G273,SLATable[Priority],0))),"YES","NO"),"")</f>
        <v/>
      </c>
    </row>
    <row r="274" spans="26:36" ht="15" customHeight="1">
      <c r="Z274" s="76" t="e">
        <f t="shared" ca="1" si="28"/>
        <v>#N/A</v>
      </c>
      <c r="AA274" s="75" t="e">
        <f t="shared" ca="1" si="24"/>
        <v>#N/A</v>
      </c>
      <c r="AB274" s="76">
        <f t="shared" ca="1" si="29"/>
        <v>0</v>
      </c>
      <c r="AC274" s="75">
        <f t="shared" ca="1" si="25"/>
        <v>0</v>
      </c>
      <c r="AD274" s="76">
        <f t="shared" ca="1" si="30"/>
        <v>12388.425641550926</v>
      </c>
      <c r="AE274" s="76">
        <f t="shared" si="31"/>
        <v>0</v>
      </c>
      <c r="AF274" s="75">
        <f t="shared" si="26"/>
        <v>0</v>
      </c>
      <c r="AG274" s="75">
        <f t="shared" si="27"/>
        <v>0</v>
      </c>
      <c r="AH274" s="31" t="e" cm="1">
        <f t="array" aca="1" ref="AH274" ca="1">IF((AD274) &lt; (INDEX(ResponseSLA[#All],(MATCH((G274),ResponseSLA[Priority],0))+1,3)),"YES","No")</f>
        <v>#N/A</v>
      </c>
      <c r="AI274" s="31" t="str">
        <f>_xlfn.IFNA(IF(AE274 &lt; (INDEX(SLATable[Minimum SLA],MATCH(G274,SLATable[Priority],0))),"YES","NO"),"")</f>
        <v/>
      </c>
      <c r="AJ274" t="str">
        <f>_xlfn.IFNA(IF(AE274 &lt; (INDEX(SLATable[Maximum SLA],MATCH(G274,SLATable[Priority],0))),"YES","NO"),"")</f>
        <v/>
      </c>
    </row>
    <row r="275" spans="26:36" ht="15" customHeight="1">
      <c r="Z275" s="76" t="e">
        <f t="shared" ca="1" si="28"/>
        <v>#N/A</v>
      </c>
      <c r="AA275" s="75" t="e">
        <f t="shared" ca="1" si="24"/>
        <v>#N/A</v>
      </c>
      <c r="AB275" s="76">
        <f t="shared" ca="1" si="29"/>
        <v>0</v>
      </c>
      <c r="AC275" s="75">
        <f t="shared" ca="1" si="25"/>
        <v>0</v>
      </c>
      <c r="AD275" s="76">
        <f t="shared" ca="1" si="30"/>
        <v>12388.425641435188</v>
      </c>
      <c r="AE275" s="76">
        <f t="shared" si="31"/>
        <v>0</v>
      </c>
      <c r="AF275" s="75">
        <f t="shared" si="26"/>
        <v>0</v>
      </c>
      <c r="AG275" s="75">
        <f t="shared" si="27"/>
        <v>0</v>
      </c>
      <c r="AH275" s="31" t="e" cm="1">
        <f t="array" aca="1" ref="AH275" ca="1">IF((AD275) &lt; (INDEX(ResponseSLA[#All],(MATCH((G275),ResponseSLA[Priority],0))+1,3)),"YES","No")</f>
        <v>#N/A</v>
      </c>
      <c r="AI275" s="31" t="str">
        <f>_xlfn.IFNA(IF(AE275 &lt; (INDEX(SLATable[Minimum SLA],MATCH(G275,SLATable[Priority],0))),"YES","NO"),"")</f>
        <v/>
      </c>
      <c r="AJ275" t="str">
        <f>_xlfn.IFNA(IF(AE275 &lt; (INDEX(SLATable[Maximum SLA],MATCH(G275,SLATable[Priority],0))),"YES","NO"),"")</f>
        <v/>
      </c>
    </row>
    <row r="276" spans="26:36" ht="15" customHeight="1">
      <c r="Z276" s="76" t="e">
        <f t="shared" ca="1" si="28"/>
        <v>#N/A</v>
      </c>
      <c r="AA276" s="75" t="e">
        <f t="shared" ca="1" si="24"/>
        <v>#N/A</v>
      </c>
      <c r="AB276" s="76">
        <f t="shared" ca="1" si="29"/>
        <v>0</v>
      </c>
      <c r="AC276" s="75">
        <f t="shared" ca="1" si="25"/>
        <v>0</v>
      </c>
      <c r="AD276" s="76">
        <f t="shared" ca="1" si="30"/>
        <v>12388.425641435188</v>
      </c>
      <c r="AE276" s="76">
        <f t="shared" si="31"/>
        <v>0</v>
      </c>
      <c r="AF276" s="75">
        <f t="shared" si="26"/>
        <v>0</v>
      </c>
      <c r="AG276" s="75">
        <f t="shared" si="27"/>
        <v>0</v>
      </c>
      <c r="AH276" s="31" t="e" cm="1">
        <f t="array" aca="1" ref="AH276" ca="1">IF((AD276) &lt; (INDEX(ResponseSLA[#All],(MATCH((G276),ResponseSLA[Priority],0))+1,3)),"YES","No")</f>
        <v>#N/A</v>
      </c>
      <c r="AI276" s="31" t="str">
        <f>_xlfn.IFNA(IF(AE276 &lt; (INDEX(SLATable[Minimum SLA],MATCH(G276,SLATable[Priority],0))),"YES","NO"),"")</f>
        <v/>
      </c>
      <c r="AJ276" t="str">
        <f>_xlfn.IFNA(IF(AE276 &lt; (INDEX(SLATable[Maximum SLA],MATCH(G276,SLATable[Priority],0))),"YES","NO"),"")</f>
        <v/>
      </c>
    </row>
    <row r="277" spans="26:36" ht="15" customHeight="1">
      <c r="Z277" s="76" t="e">
        <f t="shared" ca="1" si="28"/>
        <v>#N/A</v>
      </c>
      <c r="AA277" s="75" t="e">
        <f t="shared" ca="1" si="24"/>
        <v>#N/A</v>
      </c>
      <c r="AB277" s="76">
        <f t="shared" ca="1" si="29"/>
        <v>0</v>
      </c>
      <c r="AC277" s="75">
        <f t="shared" ca="1" si="25"/>
        <v>0</v>
      </c>
      <c r="AD277" s="76">
        <f t="shared" ca="1" si="30"/>
        <v>12388.425641550926</v>
      </c>
      <c r="AE277" s="76">
        <f t="shared" si="31"/>
        <v>0</v>
      </c>
      <c r="AF277" s="75">
        <f t="shared" si="26"/>
        <v>0</v>
      </c>
      <c r="AG277" s="75">
        <f t="shared" si="27"/>
        <v>0</v>
      </c>
      <c r="AH277" s="31" t="e" cm="1">
        <f t="array" aca="1" ref="AH277" ca="1">IF((AD277) &lt; (INDEX(ResponseSLA[#All],(MATCH((G277),ResponseSLA[Priority],0))+1,3)),"YES","No")</f>
        <v>#N/A</v>
      </c>
      <c r="AI277" s="31" t="str">
        <f>_xlfn.IFNA(IF(AE277 &lt; (INDEX(SLATable[Minimum SLA],MATCH(G277,SLATable[Priority],0))),"YES","NO"),"")</f>
        <v/>
      </c>
      <c r="AJ277" t="str">
        <f>_xlfn.IFNA(IF(AE277 &lt; (INDEX(SLATable[Maximum SLA],MATCH(G277,SLATable[Priority],0))),"YES","NO"),"")</f>
        <v/>
      </c>
    </row>
    <row r="278" spans="26:36" ht="15" customHeight="1">
      <c r="Z278" s="76" t="e">
        <f t="shared" ca="1" si="28"/>
        <v>#N/A</v>
      </c>
      <c r="AA278" s="75" t="e">
        <f t="shared" ca="1" si="24"/>
        <v>#N/A</v>
      </c>
      <c r="AB278" s="76">
        <f t="shared" ca="1" si="29"/>
        <v>0</v>
      </c>
      <c r="AC278" s="75">
        <f t="shared" ca="1" si="25"/>
        <v>0</v>
      </c>
      <c r="AD278" s="76">
        <f t="shared" ca="1" si="30"/>
        <v>12388.425641435188</v>
      </c>
      <c r="AE278" s="76">
        <f t="shared" si="31"/>
        <v>0</v>
      </c>
      <c r="AF278" s="75">
        <f t="shared" si="26"/>
        <v>0</v>
      </c>
      <c r="AG278" s="75">
        <f t="shared" si="27"/>
        <v>0</v>
      </c>
      <c r="AH278" s="31" t="e" cm="1">
        <f t="array" aca="1" ref="AH278" ca="1">IF((AD278) &lt; (INDEX(ResponseSLA[#All],(MATCH((G278),ResponseSLA[Priority],0))+1,3)),"YES","No")</f>
        <v>#N/A</v>
      </c>
      <c r="AI278" s="31" t="str">
        <f>_xlfn.IFNA(IF(AE278 &lt; (INDEX(SLATable[Minimum SLA],MATCH(G278,SLATable[Priority],0))),"YES","NO"),"")</f>
        <v/>
      </c>
      <c r="AJ278" t="str">
        <f>_xlfn.IFNA(IF(AE278 &lt; (INDEX(SLATable[Maximum SLA],MATCH(G278,SLATable[Priority],0))),"YES","NO"),"")</f>
        <v/>
      </c>
    </row>
    <row r="279" spans="26:36" ht="15" customHeight="1">
      <c r="Z279" s="76" t="e">
        <f t="shared" ca="1" si="28"/>
        <v>#N/A</v>
      </c>
      <c r="AA279" s="75" t="e">
        <f t="shared" ca="1" si="24"/>
        <v>#N/A</v>
      </c>
      <c r="AB279" s="76">
        <f t="shared" ca="1" si="29"/>
        <v>0</v>
      </c>
      <c r="AC279" s="75">
        <f t="shared" ca="1" si="25"/>
        <v>0</v>
      </c>
      <c r="AD279" s="76">
        <f t="shared" ca="1" si="30"/>
        <v>12388.425641435188</v>
      </c>
      <c r="AE279" s="76">
        <f t="shared" si="31"/>
        <v>0</v>
      </c>
      <c r="AF279" s="75">
        <f t="shared" si="26"/>
        <v>0</v>
      </c>
      <c r="AG279" s="75">
        <f t="shared" si="27"/>
        <v>0</v>
      </c>
      <c r="AH279" s="31" t="e" cm="1">
        <f t="array" aca="1" ref="AH279" ca="1">IF((AD279) &lt; (INDEX(ResponseSLA[#All],(MATCH((G279),ResponseSLA[Priority],0))+1,3)),"YES","No")</f>
        <v>#N/A</v>
      </c>
      <c r="AI279" s="31" t="str">
        <f>_xlfn.IFNA(IF(AE279 &lt; (INDEX(SLATable[Minimum SLA],MATCH(G279,SLATable[Priority],0))),"YES","NO"),"")</f>
        <v/>
      </c>
      <c r="AJ279" t="str">
        <f>_xlfn.IFNA(IF(AE279 &lt; (INDEX(SLATable[Maximum SLA],MATCH(G279,SLATable[Priority],0))),"YES","NO"),"")</f>
        <v/>
      </c>
    </row>
    <row r="280" spans="26:36" ht="15" customHeight="1">
      <c r="Z280" s="76" t="e">
        <f t="shared" ca="1" si="28"/>
        <v>#N/A</v>
      </c>
      <c r="AA280" s="75" t="e">
        <f t="shared" ca="1" si="24"/>
        <v>#N/A</v>
      </c>
      <c r="AB280" s="76">
        <f t="shared" ca="1" si="29"/>
        <v>0</v>
      </c>
      <c r="AC280" s="75">
        <f t="shared" ca="1" si="25"/>
        <v>0</v>
      </c>
      <c r="AD280" s="76">
        <f t="shared" ca="1" si="30"/>
        <v>12388.425641550926</v>
      </c>
      <c r="AE280" s="76">
        <f t="shared" si="31"/>
        <v>0</v>
      </c>
      <c r="AF280" s="75">
        <f t="shared" si="26"/>
        <v>0</v>
      </c>
      <c r="AG280" s="75">
        <f t="shared" si="27"/>
        <v>0</v>
      </c>
      <c r="AH280" s="31" t="e" cm="1">
        <f t="array" aca="1" ref="AH280" ca="1">IF((AD280) &lt; (INDEX(ResponseSLA[#All],(MATCH((G280),ResponseSLA[Priority],0))+1,3)),"YES","No")</f>
        <v>#N/A</v>
      </c>
      <c r="AI280" s="31" t="str">
        <f>_xlfn.IFNA(IF(AE280 &lt; (INDEX(SLATable[Minimum SLA],MATCH(G280,SLATable[Priority],0))),"YES","NO"),"")</f>
        <v/>
      </c>
      <c r="AJ280" t="str">
        <f>_xlfn.IFNA(IF(AE280 &lt; (INDEX(SLATable[Maximum SLA],MATCH(G280,SLATable[Priority],0))),"YES","NO"),"")</f>
        <v/>
      </c>
    </row>
    <row r="281" spans="26:36" ht="15" customHeight="1">
      <c r="Z281" s="76" t="e">
        <f t="shared" ca="1" si="28"/>
        <v>#N/A</v>
      </c>
      <c r="AA281" s="75" t="e">
        <f t="shared" ca="1" si="24"/>
        <v>#N/A</v>
      </c>
      <c r="AB281" s="76">
        <f t="shared" ca="1" si="29"/>
        <v>0</v>
      </c>
      <c r="AC281" s="75">
        <f t="shared" ca="1" si="25"/>
        <v>0</v>
      </c>
      <c r="AD281" s="76">
        <f t="shared" ca="1" si="30"/>
        <v>12388.425641435188</v>
      </c>
      <c r="AE281" s="76">
        <f t="shared" si="31"/>
        <v>0</v>
      </c>
      <c r="AF281" s="75">
        <f t="shared" si="26"/>
        <v>0</v>
      </c>
      <c r="AG281" s="75">
        <f t="shared" si="27"/>
        <v>0</v>
      </c>
      <c r="AH281" s="31" t="e" cm="1">
        <f t="array" aca="1" ref="AH281" ca="1">IF((AD281) &lt; (INDEX(ResponseSLA[#All],(MATCH((G281),ResponseSLA[Priority],0))+1,3)),"YES","No")</f>
        <v>#N/A</v>
      </c>
      <c r="AI281" s="31" t="str">
        <f>_xlfn.IFNA(IF(AE281 &lt; (INDEX(SLATable[Minimum SLA],MATCH(G281,SLATable[Priority],0))),"YES","NO"),"")</f>
        <v/>
      </c>
      <c r="AJ281" t="str">
        <f>_xlfn.IFNA(IF(AE281 &lt; (INDEX(SLATable[Maximum SLA],MATCH(G281,SLATable[Priority],0))),"YES","NO"),"")</f>
        <v/>
      </c>
    </row>
    <row r="282" spans="26:36" ht="15" customHeight="1">
      <c r="Z282" s="76" t="e">
        <f t="shared" ca="1" si="28"/>
        <v>#N/A</v>
      </c>
      <c r="AA282" s="75" t="e">
        <f t="shared" ca="1" si="24"/>
        <v>#N/A</v>
      </c>
      <c r="AB282" s="76">
        <f t="shared" ca="1" si="29"/>
        <v>0</v>
      </c>
      <c r="AC282" s="75">
        <f t="shared" ca="1" si="25"/>
        <v>0</v>
      </c>
      <c r="AD282" s="76">
        <f t="shared" ca="1" si="30"/>
        <v>12388.425641435188</v>
      </c>
      <c r="AE282" s="76">
        <f t="shared" si="31"/>
        <v>0</v>
      </c>
      <c r="AF282" s="75">
        <f t="shared" si="26"/>
        <v>0</v>
      </c>
      <c r="AG282" s="75">
        <f t="shared" si="27"/>
        <v>0</v>
      </c>
      <c r="AH282" s="31" t="e" cm="1">
        <f t="array" aca="1" ref="AH282" ca="1">IF((AD282) &lt; (INDEX(ResponseSLA[#All],(MATCH((G282),ResponseSLA[Priority],0))+1,3)),"YES","No")</f>
        <v>#N/A</v>
      </c>
      <c r="AI282" s="31" t="str">
        <f>_xlfn.IFNA(IF(AE282 &lt; (INDEX(SLATable[Minimum SLA],MATCH(G282,SLATable[Priority],0))),"YES","NO"),"")</f>
        <v/>
      </c>
      <c r="AJ282" t="str">
        <f>_xlfn.IFNA(IF(AE282 &lt; (INDEX(SLATable[Maximum SLA],MATCH(G282,SLATable[Priority],0))),"YES","NO"),"")</f>
        <v/>
      </c>
    </row>
    <row r="283" spans="26:36" ht="15" customHeight="1">
      <c r="Z283" s="76" t="e">
        <f t="shared" ca="1" si="28"/>
        <v>#N/A</v>
      </c>
      <c r="AA283" s="75" t="e">
        <f t="shared" ca="1" si="24"/>
        <v>#N/A</v>
      </c>
      <c r="AB283" s="76">
        <f t="shared" ca="1" si="29"/>
        <v>0</v>
      </c>
      <c r="AC283" s="75">
        <f t="shared" ca="1" si="25"/>
        <v>0</v>
      </c>
      <c r="AD283" s="76">
        <f t="shared" ca="1" si="30"/>
        <v>12388.425641550926</v>
      </c>
      <c r="AE283" s="76">
        <f t="shared" si="31"/>
        <v>0</v>
      </c>
      <c r="AF283" s="75">
        <f t="shared" si="26"/>
        <v>0</v>
      </c>
      <c r="AG283" s="75">
        <f t="shared" si="27"/>
        <v>0</v>
      </c>
      <c r="AH283" s="31" t="e" cm="1">
        <f t="array" aca="1" ref="AH283" ca="1">IF((AD283) &lt; (INDEX(ResponseSLA[#All],(MATCH((G283),ResponseSLA[Priority],0))+1,3)),"YES","No")</f>
        <v>#N/A</v>
      </c>
      <c r="AI283" s="31" t="str">
        <f>_xlfn.IFNA(IF(AE283 &lt; (INDEX(SLATable[Minimum SLA],MATCH(G283,SLATable[Priority],0))),"YES","NO"),"")</f>
        <v/>
      </c>
      <c r="AJ283" t="str">
        <f>_xlfn.IFNA(IF(AE283 &lt; (INDEX(SLATable[Maximum SLA],MATCH(G283,SLATable[Priority],0))),"YES","NO"),"")</f>
        <v/>
      </c>
    </row>
    <row r="284" spans="26:36" ht="15" customHeight="1">
      <c r="Z284" s="76" t="e">
        <f t="shared" ca="1" si="28"/>
        <v>#N/A</v>
      </c>
      <c r="AA284" s="75" t="e">
        <f t="shared" ca="1" si="24"/>
        <v>#N/A</v>
      </c>
      <c r="AB284" s="76">
        <f t="shared" ca="1" si="29"/>
        <v>0</v>
      </c>
      <c r="AC284" s="75">
        <f t="shared" ca="1" si="25"/>
        <v>0</v>
      </c>
      <c r="AD284" s="76">
        <f t="shared" ca="1" si="30"/>
        <v>12388.425641435188</v>
      </c>
      <c r="AE284" s="76">
        <f t="shared" si="31"/>
        <v>0</v>
      </c>
      <c r="AF284" s="75">
        <f t="shared" si="26"/>
        <v>0</v>
      </c>
      <c r="AG284" s="75">
        <f t="shared" si="27"/>
        <v>0</v>
      </c>
      <c r="AH284" s="31" t="e" cm="1">
        <f t="array" aca="1" ref="AH284" ca="1">IF((AD284) &lt; (INDEX(ResponseSLA[#All],(MATCH((G284),ResponseSLA[Priority],0))+1,3)),"YES","No")</f>
        <v>#N/A</v>
      </c>
      <c r="AI284" s="31" t="str">
        <f>_xlfn.IFNA(IF(AE284 &lt; (INDEX(SLATable[Minimum SLA],MATCH(G284,SLATable[Priority],0))),"YES","NO"),"")</f>
        <v/>
      </c>
      <c r="AJ284" t="str">
        <f>_xlfn.IFNA(IF(AE284 &lt; (INDEX(SLATable[Maximum SLA],MATCH(G284,SLATable[Priority],0))),"YES","NO"),"")</f>
        <v/>
      </c>
    </row>
    <row r="285" spans="26:36" ht="15" customHeight="1">
      <c r="Z285" s="76" t="e">
        <f t="shared" ca="1" si="28"/>
        <v>#N/A</v>
      </c>
      <c r="AA285" s="75" t="e">
        <f t="shared" ca="1" si="24"/>
        <v>#N/A</v>
      </c>
      <c r="AB285" s="76">
        <f t="shared" ca="1" si="29"/>
        <v>0</v>
      </c>
      <c r="AC285" s="75">
        <f t="shared" ca="1" si="25"/>
        <v>0</v>
      </c>
      <c r="AD285" s="76">
        <f t="shared" ca="1" si="30"/>
        <v>12388.425641435188</v>
      </c>
      <c r="AE285" s="76">
        <f t="shared" si="31"/>
        <v>0</v>
      </c>
      <c r="AF285" s="75">
        <f t="shared" si="26"/>
        <v>0</v>
      </c>
      <c r="AG285" s="75">
        <f t="shared" si="27"/>
        <v>0</v>
      </c>
      <c r="AH285" s="31" t="e" cm="1">
        <f t="array" aca="1" ref="AH285" ca="1">IF((AD285) &lt; (INDEX(ResponseSLA[#All],(MATCH((G285),ResponseSLA[Priority],0))+1,3)),"YES","No")</f>
        <v>#N/A</v>
      </c>
      <c r="AI285" s="31" t="str">
        <f>_xlfn.IFNA(IF(AE285 &lt; (INDEX(SLATable[Minimum SLA],MATCH(G285,SLATable[Priority],0))),"YES","NO"),"")</f>
        <v/>
      </c>
      <c r="AJ285" t="str">
        <f>_xlfn.IFNA(IF(AE285 &lt; (INDEX(SLATable[Maximum SLA],MATCH(G285,SLATable[Priority],0))),"YES","NO"),"")</f>
        <v/>
      </c>
    </row>
    <row r="286" spans="26:36" ht="15" customHeight="1">
      <c r="Z286" s="76" t="e">
        <f t="shared" ca="1" si="28"/>
        <v>#N/A</v>
      </c>
      <c r="AA286" s="75" t="e">
        <f t="shared" ca="1" si="24"/>
        <v>#N/A</v>
      </c>
      <c r="AB286" s="76">
        <f t="shared" ca="1" si="29"/>
        <v>0</v>
      </c>
      <c r="AC286" s="75">
        <f t="shared" ca="1" si="25"/>
        <v>0</v>
      </c>
      <c r="AD286" s="76">
        <f t="shared" ca="1" si="30"/>
        <v>12388.425641550926</v>
      </c>
      <c r="AE286" s="76">
        <f t="shared" si="31"/>
        <v>0</v>
      </c>
      <c r="AF286" s="75">
        <f t="shared" si="26"/>
        <v>0</v>
      </c>
      <c r="AG286" s="75">
        <f t="shared" si="27"/>
        <v>0</v>
      </c>
      <c r="AH286" s="31" t="e" cm="1">
        <f t="array" aca="1" ref="AH286" ca="1">IF((AD286) &lt; (INDEX(ResponseSLA[#All],(MATCH((G286),ResponseSLA[Priority],0))+1,3)),"YES","No")</f>
        <v>#N/A</v>
      </c>
      <c r="AI286" s="31" t="str">
        <f>_xlfn.IFNA(IF(AE286 &lt; (INDEX(SLATable[Minimum SLA],MATCH(G286,SLATable[Priority],0))),"YES","NO"),"")</f>
        <v/>
      </c>
      <c r="AJ286" t="str">
        <f>_xlfn.IFNA(IF(AE286 &lt; (INDEX(SLATable[Maximum SLA],MATCH(G286,SLATable[Priority],0))),"YES","NO"),"")</f>
        <v/>
      </c>
    </row>
    <row r="287" spans="26:36" ht="15" customHeight="1">
      <c r="Z287" s="76" t="e">
        <f t="shared" ca="1" si="28"/>
        <v>#N/A</v>
      </c>
      <c r="AA287" s="75" t="e">
        <f t="shared" ca="1" si="24"/>
        <v>#N/A</v>
      </c>
      <c r="AB287" s="76">
        <f t="shared" ca="1" si="29"/>
        <v>0</v>
      </c>
      <c r="AC287" s="75">
        <f t="shared" ca="1" si="25"/>
        <v>0</v>
      </c>
      <c r="AD287" s="76">
        <f t="shared" ca="1" si="30"/>
        <v>12388.425641435188</v>
      </c>
      <c r="AE287" s="76">
        <f t="shared" si="31"/>
        <v>0</v>
      </c>
      <c r="AF287" s="75">
        <f t="shared" si="26"/>
        <v>0</v>
      </c>
      <c r="AG287" s="75">
        <f t="shared" si="27"/>
        <v>0</v>
      </c>
      <c r="AH287" s="31" t="e" cm="1">
        <f t="array" aca="1" ref="AH287" ca="1">IF((AD287) &lt; (INDEX(ResponseSLA[#All],(MATCH((G287),ResponseSLA[Priority],0))+1,3)),"YES","No")</f>
        <v>#N/A</v>
      </c>
      <c r="AI287" s="31" t="str">
        <f>_xlfn.IFNA(IF(AE287 &lt; (INDEX(SLATable[Minimum SLA],MATCH(G287,SLATable[Priority],0))),"YES","NO"),"")</f>
        <v/>
      </c>
      <c r="AJ287" t="str">
        <f>_xlfn.IFNA(IF(AE287 &lt; (INDEX(SLATable[Maximum SLA],MATCH(G287,SLATable[Priority],0))),"YES","NO"),"")</f>
        <v/>
      </c>
    </row>
    <row r="288" spans="26:36" ht="15" customHeight="1">
      <c r="Z288" s="76" t="e">
        <f t="shared" ca="1" si="28"/>
        <v>#N/A</v>
      </c>
      <c r="AA288" s="75" t="e">
        <f t="shared" ca="1" si="24"/>
        <v>#N/A</v>
      </c>
      <c r="AB288" s="76">
        <f t="shared" ca="1" si="29"/>
        <v>0</v>
      </c>
      <c r="AC288" s="75">
        <f t="shared" ca="1" si="25"/>
        <v>0</v>
      </c>
      <c r="AD288" s="76">
        <f t="shared" ca="1" si="30"/>
        <v>12388.425641435188</v>
      </c>
      <c r="AE288" s="76">
        <f t="shared" si="31"/>
        <v>0</v>
      </c>
      <c r="AF288" s="75">
        <f t="shared" si="26"/>
        <v>0</v>
      </c>
      <c r="AG288" s="75">
        <f t="shared" si="27"/>
        <v>0</v>
      </c>
      <c r="AH288" s="31" t="e" cm="1">
        <f t="array" aca="1" ref="AH288" ca="1">IF((AD288) &lt; (INDEX(ResponseSLA[#All],(MATCH((G288),ResponseSLA[Priority],0))+1,3)),"YES","No")</f>
        <v>#N/A</v>
      </c>
      <c r="AI288" s="31" t="str">
        <f>_xlfn.IFNA(IF(AE288 &lt; (INDEX(SLATable[Minimum SLA],MATCH(G288,SLATable[Priority],0))),"YES","NO"),"")</f>
        <v/>
      </c>
      <c r="AJ288" t="str">
        <f>_xlfn.IFNA(IF(AE288 &lt; (INDEX(SLATable[Maximum SLA],MATCH(G288,SLATable[Priority],0))),"YES","NO"),"")</f>
        <v/>
      </c>
    </row>
    <row r="289" spans="26:36" ht="15" customHeight="1">
      <c r="Z289" s="76" t="e">
        <f t="shared" ca="1" si="28"/>
        <v>#N/A</v>
      </c>
      <c r="AA289" s="75" t="e">
        <f t="shared" ca="1" si="24"/>
        <v>#N/A</v>
      </c>
      <c r="AB289" s="76">
        <f t="shared" ca="1" si="29"/>
        <v>0</v>
      </c>
      <c r="AC289" s="75">
        <f t="shared" ca="1" si="25"/>
        <v>0</v>
      </c>
      <c r="AD289" s="76">
        <f t="shared" ca="1" si="30"/>
        <v>12388.425641550926</v>
      </c>
      <c r="AE289" s="76">
        <f t="shared" si="31"/>
        <v>0</v>
      </c>
      <c r="AF289" s="75">
        <f t="shared" si="26"/>
        <v>0</v>
      </c>
      <c r="AG289" s="75">
        <f t="shared" si="27"/>
        <v>0</v>
      </c>
      <c r="AH289" s="31" t="e" cm="1">
        <f t="array" aca="1" ref="AH289" ca="1">IF((AD289) &lt; (INDEX(ResponseSLA[#All],(MATCH((G289),ResponseSLA[Priority],0))+1,3)),"YES","No")</f>
        <v>#N/A</v>
      </c>
      <c r="AI289" s="31" t="str">
        <f>_xlfn.IFNA(IF(AE289 &lt; (INDEX(SLATable[Minimum SLA],MATCH(G289,SLATable[Priority],0))),"YES","NO"),"")</f>
        <v/>
      </c>
      <c r="AJ289" t="str">
        <f>_xlfn.IFNA(IF(AE289 &lt; (INDEX(SLATable[Maximum SLA],MATCH(G289,SLATable[Priority],0))),"YES","NO"),"")</f>
        <v/>
      </c>
    </row>
    <row r="290" spans="26:36" ht="15" customHeight="1">
      <c r="Z290" s="76" t="e">
        <f t="shared" ca="1" si="28"/>
        <v>#N/A</v>
      </c>
      <c r="AA290" s="75" t="e">
        <f t="shared" ca="1" si="24"/>
        <v>#N/A</v>
      </c>
      <c r="AB290" s="76">
        <f t="shared" ca="1" si="29"/>
        <v>0</v>
      </c>
      <c r="AC290" s="75">
        <f t="shared" ca="1" si="25"/>
        <v>0</v>
      </c>
      <c r="AD290" s="76">
        <f t="shared" ca="1" si="30"/>
        <v>12388.425641435188</v>
      </c>
      <c r="AE290" s="76">
        <f t="shared" si="31"/>
        <v>0</v>
      </c>
      <c r="AF290" s="75">
        <f t="shared" si="26"/>
        <v>0</v>
      </c>
      <c r="AG290" s="75">
        <f t="shared" si="27"/>
        <v>0</v>
      </c>
      <c r="AH290" s="31" t="e" cm="1">
        <f t="array" aca="1" ref="AH290" ca="1">IF((AD290) &lt; (INDEX(ResponseSLA[#All],(MATCH((G290),ResponseSLA[Priority],0))+1,3)),"YES","No")</f>
        <v>#N/A</v>
      </c>
      <c r="AI290" s="31" t="str">
        <f>_xlfn.IFNA(IF(AE290 &lt; (INDEX(SLATable[Minimum SLA],MATCH(G290,SLATable[Priority],0))),"YES","NO"),"")</f>
        <v/>
      </c>
      <c r="AJ290" t="str">
        <f>_xlfn.IFNA(IF(AE290 &lt; (INDEX(SLATable[Maximum SLA],MATCH(G290,SLATable[Priority],0))),"YES","NO"),"")</f>
        <v/>
      </c>
    </row>
    <row r="291" spans="26:36" ht="15" customHeight="1">
      <c r="Z291" s="76" t="e">
        <f t="shared" ca="1" si="28"/>
        <v>#N/A</v>
      </c>
      <c r="AA291" s="75" t="e">
        <f t="shared" ca="1" si="24"/>
        <v>#N/A</v>
      </c>
      <c r="AB291" s="76">
        <f t="shared" ca="1" si="29"/>
        <v>0</v>
      </c>
      <c r="AC291" s="75">
        <f t="shared" ca="1" si="25"/>
        <v>0</v>
      </c>
      <c r="AD291" s="76">
        <f t="shared" ca="1" si="30"/>
        <v>12388.425641435188</v>
      </c>
      <c r="AE291" s="76">
        <f t="shared" si="31"/>
        <v>0</v>
      </c>
      <c r="AF291" s="75">
        <f t="shared" si="26"/>
        <v>0</v>
      </c>
      <c r="AG291" s="75">
        <f t="shared" si="27"/>
        <v>0</v>
      </c>
      <c r="AH291" s="31" t="e" cm="1">
        <f t="array" aca="1" ref="AH291" ca="1">IF((AD291) &lt; (INDEX(ResponseSLA[#All],(MATCH((G291),ResponseSLA[Priority],0))+1,3)),"YES","No")</f>
        <v>#N/A</v>
      </c>
      <c r="AI291" s="31" t="str">
        <f>_xlfn.IFNA(IF(AE291 &lt; (INDEX(SLATable[Minimum SLA],MATCH(G291,SLATable[Priority],0))),"YES","NO"),"")</f>
        <v/>
      </c>
      <c r="AJ291" t="str">
        <f>_xlfn.IFNA(IF(AE291 &lt; (INDEX(SLATable[Maximum SLA],MATCH(G291,SLATable[Priority],0))),"YES","NO"),"")</f>
        <v/>
      </c>
    </row>
    <row r="292" spans="26:36" ht="15" customHeight="1">
      <c r="Z292" s="76" t="e">
        <f t="shared" ca="1" si="28"/>
        <v>#N/A</v>
      </c>
      <c r="AA292" s="75" t="e">
        <f t="shared" ca="1" si="24"/>
        <v>#N/A</v>
      </c>
      <c r="AB292" s="76">
        <f t="shared" ca="1" si="29"/>
        <v>0</v>
      </c>
      <c r="AC292" s="75">
        <f t="shared" ca="1" si="25"/>
        <v>0</v>
      </c>
      <c r="AD292" s="76">
        <f t="shared" ca="1" si="30"/>
        <v>12388.425641550926</v>
      </c>
      <c r="AE292" s="76">
        <f t="shared" si="31"/>
        <v>0</v>
      </c>
      <c r="AF292" s="75">
        <f t="shared" si="26"/>
        <v>0</v>
      </c>
      <c r="AG292" s="75">
        <f t="shared" si="27"/>
        <v>0</v>
      </c>
      <c r="AH292" s="31" t="e" cm="1">
        <f t="array" aca="1" ref="AH292" ca="1">IF((AD292) &lt; (INDEX(ResponseSLA[#All],(MATCH((G292),ResponseSLA[Priority],0))+1,3)),"YES","No")</f>
        <v>#N/A</v>
      </c>
      <c r="AI292" s="31" t="str">
        <f>_xlfn.IFNA(IF(AE292 &lt; (INDEX(SLATable[Minimum SLA],MATCH(G292,SLATable[Priority],0))),"YES","NO"),"")</f>
        <v/>
      </c>
      <c r="AJ292" t="str">
        <f>_xlfn.IFNA(IF(AE292 &lt; (INDEX(SLATable[Maximum SLA],MATCH(G292,SLATable[Priority],0))),"YES","NO"),"")</f>
        <v/>
      </c>
    </row>
    <row r="293" spans="26:36" ht="15" customHeight="1">
      <c r="Z293" s="76" t="e">
        <f t="shared" ca="1" si="28"/>
        <v>#N/A</v>
      </c>
      <c r="AA293" s="75" t="e">
        <f t="shared" ca="1" si="24"/>
        <v>#N/A</v>
      </c>
      <c r="AB293" s="76">
        <f t="shared" ca="1" si="29"/>
        <v>0</v>
      </c>
      <c r="AC293" s="75">
        <f t="shared" ca="1" si="25"/>
        <v>0</v>
      </c>
      <c r="AD293" s="76">
        <f t="shared" ca="1" si="30"/>
        <v>12388.425641435188</v>
      </c>
      <c r="AE293" s="76">
        <f t="shared" si="31"/>
        <v>0</v>
      </c>
      <c r="AF293" s="75">
        <f t="shared" si="26"/>
        <v>0</v>
      </c>
      <c r="AG293" s="75">
        <f t="shared" si="27"/>
        <v>0</v>
      </c>
      <c r="AH293" s="31" t="e" cm="1">
        <f t="array" aca="1" ref="AH293" ca="1">IF((AD293) &lt; (INDEX(ResponseSLA[#All],(MATCH((G293),ResponseSLA[Priority],0))+1,3)),"YES","No")</f>
        <v>#N/A</v>
      </c>
      <c r="AI293" s="31" t="str">
        <f>_xlfn.IFNA(IF(AE293 &lt; (INDEX(SLATable[Minimum SLA],MATCH(G293,SLATable[Priority],0))),"YES","NO"),"")</f>
        <v/>
      </c>
      <c r="AJ293" t="str">
        <f>_xlfn.IFNA(IF(AE293 &lt; (INDEX(SLATable[Maximum SLA],MATCH(G293,SLATable[Priority],0))),"YES","NO"),"")</f>
        <v/>
      </c>
    </row>
    <row r="294" spans="26:36" ht="15" customHeight="1">
      <c r="Z294" s="76" t="e">
        <f t="shared" ca="1" si="28"/>
        <v>#N/A</v>
      </c>
      <c r="AA294" s="75" t="e">
        <f t="shared" ca="1" si="24"/>
        <v>#N/A</v>
      </c>
      <c r="AB294" s="76">
        <f t="shared" ca="1" si="29"/>
        <v>0</v>
      </c>
      <c r="AC294" s="75">
        <f t="shared" ca="1" si="25"/>
        <v>0</v>
      </c>
      <c r="AD294" s="76">
        <f t="shared" ca="1" si="30"/>
        <v>12388.425641435188</v>
      </c>
      <c r="AE294" s="76">
        <f t="shared" si="31"/>
        <v>0</v>
      </c>
      <c r="AF294" s="75">
        <f t="shared" si="26"/>
        <v>0</v>
      </c>
      <c r="AG294" s="75">
        <f t="shared" si="27"/>
        <v>0</v>
      </c>
      <c r="AH294" s="31" t="e" cm="1">
        <f t="array" aca="1" ref="AH294" ca="1">IF((AD294) &lt; (INDEX(ResponseSLA[#All],(MATCH((G294),ResponseSLA[Priority],0))+1,3)),"YES","No")</f>
        <v>#N/A</v>
      </c>
      <c r="AI294" s="31" t="str">
        <f>_xlfn.IFNA(IF(AE294 &lt; (INDEX(SLATable[Minimum SLA],MATCH(G294,SLATable[Priority],0))),"YES","NO"),"")</f>
        <v/>
      </c>
      <c r="AJ294" t="str">
        <f>_xlfn.IFNA(IF(AE294 &lt; (INDEX(SLATable[Maximum SLA],MATCH(G294,SLATable[Priority],0))),"YES","NO"),"")</f>
        <v/>
      </c>
    </row>
    <row r="295" spans="26:36" ht="15" customHeight="1">
      <c r="Z295" s="76" t="e">
        <f t="shared" ca="1" si="28"/>
        <v>#N/A</v>
      </c>
      <c r="AA295" s="75" t="e">
        <f t="shared" ca="1" si="24"/>
        <v>#N/A</v>
      </c>
      <c r="AB295" s="76">
        <f t="shared" ca="1" si="29"/>
        <v>0</v>
      </c>
      <c r="AC295" s="75">
        <f t="shared" ca="1" si="25"/>
        <v>0</v>
      </c>
      <c r="AD295" s="76">
        <f t="shared" ca="1" si="30"/>
        <v>12388.425641550926</v>
      </c>
      <c r="AE295" s="76">
        <f t="shared" si="31"/>
        <v>0</v>
      </c>
      <c r="AF295" s="75">
        <f t="shared" si="26"/>
        <v>0</v>
      </c>
      <c r="AG295" s="75">
        <f t="shared" si="27"/>
        <v>0</v>
      </c>
      <c r="AH295" s="31" t="e" cm="1">
        <f t="array" aca="1" ref="AH295" ca="1">IF((AD295) &lt; (INDEX(ResponseSLA[#All],(MATCH((G295),ResponseSLA[Priority],0))+1,3)),"YES","No")</f>
        <v>#N/A</v>
      </c>
      <c r="AI295" s="31" t="str">
        <f>_xlfn.IFNA(IF(AE295 &lt; (INDEX(SLATable[Minimum SLA],MATCH(G295,SLATable[Priority],0))),"YES","NO"),"")</f>
        <v/>
      </c>
      <c r="AJ295" t="str">
        <f>_xlfn.IFNA(IF(AE295 &lt; (INDEX(SLATable[Maximum SLA],MATCH(G295,SLATable[Priority],0))),"YES","NO"),"")</f>
        <v/>
      </c>
    </row>
    <row r="296" spans="26:36" ht="15" customHeight="1">
      <c r="Z296" s="76" t="e">
        <f t="shared" ca="1" si="28"/>
        <v>#N/A</v>
      </c>
      <c r="AA296" s="75" t="e">
        <f t="shared" ca="1" si="24"/>
        <v>#N/A</v>
      </c>
      <c r="AB296" s="76">
        <f t="shared" ca="1" si="29"/>
        <v>0</v>
      </c>
      <c r="AC296" s="75">
        <f t="shared" ca="1" si="25"/>
        <v>0</v>
      </c>
      <c r="AD296" s="76">
        <f t="shared" ca="1" si="30"/>
        <v>12388.425641435188</v>
      </c>
      <c r="AE296" s="76">
        <f t="shared" si="31"/>
        <v>0</v>
      </c>
      <c r="AF296" s="75">
        <f t="shared" si="26"/>
        <v>0</v>
      </c>
      <c r="AG296" s="75">
        <f t="shared" si="27"/>
        <v>0</v>
      </c>
      <c r="AH296" s="31" t="e" cm="1">
        <f t="array" aca="1" ref="AH296" ca="1">IF((AD296) &lt; (INDEX(ResponseSLA[#All],(MATCH((G296),ResponseSLA[Priority],0))+1,3)),"YES","No")</f>
        <v>#N/A</v>
      </c>
      <c r="AI296" s="31" t="str">
        <f>_xlfn.IFNA(IF(AE296 &lt; (INDEX(SLATable[Minimum SLA],MATCH(G296,SLATable[Priority],0))),"YES","NO"),"")</f>
        <v/>
      </c>
      <c r="AJ296" t="str">
        <f>_xlfn.IFNA(IF(AE296 &lt; (INDEX(SLATable[Maximum SLA],MATCH(G296,SLATable[Priority],0))),"YES","NO"),"")</f>
        <v/>
      </c>
    </row>
    <row r="297" spans="26:36" ht="15" customHeight="1">
      <c r="Z297" s="76" t="e">
        <f t="shared" ca="1" si="28"/>
        <v>#N/A</v>
      </c>
      <c r="AA297" s="75" t="e">
        <f t="shared" ca="1" si="24"/>
        <v>#N/A</v>
      </c>
      <c r="AB297" s="76">
        <f t="shared" ca="1" si="29"/>
        <v>0</v>
      </c>
      <c r="AC297" s="75">
        <f t="shared" ca="1" si="25"/>
        <v>0</v>
      </c>
      <c r="AD297" s="76">
        <f t="shared" ca="1" si="30"/>
        <v>12388.425641435188</v>
      </c>
      <c r="AE297" s="76">
        <f t="shared" si="31"/>
        <v>0</v>
      </c>
      <c r="AF297" s="75">
        <f t="shared" si="26"/>
        <v>0</v>
      </c>
      <c r="AG297" s="75">
        <f t="shared" si="27"/>
        <v>0</v>
      </c>
      <c r="AH297" s="31" t="e" cm="1">
        <f t="array" aca="1" ref="AH297" ca="1">IF((AD297) &lt; (INDEX(ResponseSLA[#All],(MATCH((G297),ResponseSLA[Priority],0))+1,3)),"YES","No")</f>
        <v>#N/A</v>
      </c>
      <c r="AI297" s="31" t="str">
        <f>_xlfn.IFNA(IF(AE297 &lt; (INDEX(SLATable[Minimum SLA],MATCH(G297,SLATable[Priority],0))),"YES","NO"),"")</f>
        <v/>
      </c>
      <c r="AJ297" t="str">
        <f>_xlfn.IFNA(IF(AE297 &lt; (INDEX(SLATable[Maximum SLA],MATCH(G297,SLATable[Priority],0))),"YES","NO"),"")</f>
        <v/>
      </c>
    </row>
    <row r="298" spans="26:36" ht="15" customHeight="1">
      <c r="Z298" s="76" t="e">
        <f t="shared" ca="1" si="28"/>
        <v>#N/A</v>
      </c>
      <c r="AA298" s="75" t="e">
        <f t="shared" ca="1" si="24"/>
        <v>#N/A</v>
      </c>
      <c r="AB298" s="76">
        <f t="shared" ca="1" si="29"/>
        <v>0</v>
      </c>
      <c r="AC298" s="75">
        <f t="shared" ca="1" si="25"/>
        <v>0</v>
      </c>
      <c r="AD298" s="76">
        <f t="shared" ca="1" si="30"/>
        <v>12388.425641550926</v>
      </c>
      <c r="AE298" s="76">
        <f t="shared" si="31"/>
        <v>0</v>
      </c>
      <c r="AF298" s="75">
        <f t="shared" si="26"/>
        <v>0</v>
      </c>
      <c r="AG298" s="75">
        <f t="shared" si="27"/>
        <v>0</v>
      </c>
      <c r="AH298" s="31" t="e" cm="1">
        <f t="array" aca="1" ref="AH298" ca="1">IF((AD298) &lt; (INDEX(ResponseSLA[#All],(MATCH((G298),ResponseSLA[Priority],0))+1,3)),"YES","No")</f>
        <v>#N/A</v>
      </c>
      <c r="AI298" s="31" t="str">
        <f>_xlfn.IFNA(IF(AE298 &lt; (INDEX(SLATable[Minimum SLA],MATCH(G298,SLATable[Priority],0))),"YES","NO"),"")</f>
        <v/>
      </c>
      <c r="AJ298" t="str">
        <f>_xlfn.IFNA(IF(AE298 &lt; (INDEX(SLATable[Maximum SLA],MATCH(G298,SLATable[Priority],0))),"YES","NO"),"")</f>
        <v/>
      </c>
    </row>
    <row r="299" spans="26:36" ht="15" customHeight="1">
      <c r="Z299" s="76" t="e">
        <f t="shared" ca="1" si="28"/>
        <v>#N/A</v>
      </c>
      <c r="AA299" s="75" t="e">
        <f t="shared" ca="1" si="24"/>
        <v>#N/A</v>
      </c>
      <c r="AB299" s="76">
        <f t="shared" ca="1" si="29"/>
        <v>0</v>
      </c>
      <c r="AC299" s="75">
        <f t="shared" ca="1" si="25"/>
        <v>0</v>
      </c>
      <c r="AD299" s="76">
        <f t="shared" ca="1" si="30"/>
        <v>12388.425641435188</v>
      </c>
      <c r="AE299" s="76">
        <f t="shared" si="31"/>
        <v>0</v>
      </c>
      <c r="AF299" s="75">
        <f t="shared" si="26"/>
        <v>0</v>
      </c>
      <c r="AG299" s="75">
        <f t="shared" si="27"/>
        <v>0</v>
      </c>
      <c r="AH299" s="31" t="e" cm="1">
        <f t="array" aca="1" ref="AH299" ca="1">IF((AD299) &lt; (INDEX(ResponseSLA[#All],(MATCH((G299),ResponseSLA[Priority],0))+1,3)),"YES","No")</f>
        <v>#N/A</v>
      </c>
      <c r="AI299" s="31" t="str">
        <f>_xlfn.IFNA(IF(AE299 &lt; (INDEX(SLATable[Minimum SLA],MATCH(G299,SLATable[Priority],0))),"YES","NO"),"")</f>
        <v/>
      </c>
      <c r="AJ299" t="str">
        <f>_xlfn.IFNA(IF(AE299 &lt; (INDEX(SLATable[Maximum SLA],MATCH(G299,SLATable[Priority],0))),"YES","NO"),"")</f>
        <v/>
      </c>
    </row>
    <row r="300" spans="26:36" ht="15" customHeight="1">
      <c r="Z300" s="76" t="e">
        <f t="shared" ca="1" si="28"/>
        <v>#N/A</v>
      </c>
      <c r="AA300" s="75" t="e">
        <f t="shared" ca="1" si="24"/>
        <v>#N/A</v>
      </c>
      <c r="AB300" s="76">
        <f t="shared" ca="1" si="29"/>
        <v>0</v>
      </c>
      <c r="AC300" s="75">
        <f t="shared" ca="1" si="25"/>
        <v>0</v>
      </c>
      <c r="AD300" s="76">
        <f t="shared" ca="1" si="30"/>
        <v>12388.425641435188</v>
      </c>
      <c r="AE300" s="76">
        <f t="shared" si="31"/>
        <v>0</v>
      </c>
      <c r="AF300" s="75">
        <f t="shared" si="26"/>
        <v>0</v>
      </c>
      <c r="AG300" s="75">
        <f t="shared" si="27"/>
        <v>0</v>
      </c>
      <c r="AH300" s="31" t="e" cm="1">
        <f t="array" aca="1" ref="AH300" ca="1">IF((AD300) &lt; (INDEX(ResponseSLA[#All],(MATCH((G300),ResponseSLA[Priority],0))+1,3)),"YES","No")</f>
        <v>#N/A</v>
      </c>
      <c r="AI300" s="31" t="str">
        <f>_xlfn.IFNA(IF(AE300 &lt; (INDEX(SLATable[Minimum SLA],MATCH(G300,SLATable[Priority],0))),"YES","NO"),"")</f>
        <v/>
      </c>
      <c r="AJ300" t="str">
        <f>_xlfn.IFNA(IF(AE300 &lt; (INDEX(SLATable[Maximum SLA],MATCH(G300,SLATable[Priority],0))),"YES","NO"),"")</f>
        <v/>
      </c>
    </row>
    <row r="301" spans="26:36" ht="15" customHeight="1">
      <c r="Z301" s="76" t="e">
        <f t="shared" ca="1" si="28"/>
        <v>#N/A</v>
      </c>
      <c r="AA301" s="75" t="e">
        <f t="shared" ca="1" si="24"/>
        <v>#N/A</v>
      </c>
      <c r="AB301" s="76">
        <f t="shared" ca="1" si="29"/>
        <v>0</v>
      </c>
      <c r="AC301" s="75">
        <f t="shared" ca="1" si="25"/>
        <v>0</v>
      </c>
      <c r="AD301" s="76">
        <f t="shared" ca="1" si="30"/>
        <v>12388.425641550926</v>
      </c>
      <c r="AE301" s="76">
        <f t="shared" si="31"/>
        <v>0</v>
      </c>
      <c r="AF301" s="75">
        <f t="shared" si="26"/>
        <v>0</v>
      </c>
      <c r="AG301" s="75">
        <f t="shared" si="27"/>
        <v>0</v>
      </c>
      <c r="AH301" s="31" t="e" cm="1">
        <f t="array" aca="1" ref="AH301" ca="1">IF((AD301) &lt; (INDEX(ResponseSLA[#All],(MATCH((G301),ResponseSLA[Priority],0))+1,3)),"YES","No")</f>
        <v>#N/A</v>
      </c>
      <c r="AI301" s="31" t="str">
        <f>_xlfn.IFNA(IF(AE301 &lt; (INDEX(SLATable[Minimum SLA],MATCH(G301,SLATable[Priority],0))),"YES","NO"),"")</f>
        <v/>
      </c>
      <c r="AJ301" t="str">
        <f>_xlfn.IFNA(IF(AE301 &lt; (INDEX(SLATable[Maximum SLA],MATCH(G301,SLATable[Priority],0))),"YES","NO"),"")</f>
        <v/>
      </c>
    </row>
    <row r="302" spans="26:36" ht="15" customHeight="1">
      <c r="Z302" s="76" t="e">
        <f t="shared" ca="1" si="28"/>
        <v>#N/A</v>
      </c>
      <c r="AA302" s="75" t="e">
        <f t="shared" ca="1" si="24"/>
        <v>#N/A</v>
      </c>
      <c r="AB302" s="76">
        <f t="shared" ca="1" si="29"/>
        <v>0</v>
      </c>
      <c r="AC302" s="75">
        <f t="shared" ca="1" si="25"/>
        <v>0</v>
      </c>
      <c r="AD302" s="76">
        <f t="shared" ca="1" si="30"/>
        <v>12388.425641435188</v>
      </c>
      <c r="AE302" s="76">
        <f t="shared" si="31"/>
        <v>0</v>
      </c>
      <c r="AF302" s="75">
        <f t="shared" si="26"/>
        <v>0</v>
      </c>
      <c r="AG302" s="75">
        <f t="shared" si="27"/>
        <v>0</v>
      </c>
      <c r="AH302" s="31" t="e" cm="1">
        <f t="array" aca="1" ref="AH302" ca="1">IF((AD302) &lt; (INDEX(ResponseSLA[#All],(MATCH((G302),ResponseSLA[Priority],0))+1,3)),"YES","No")</f>
        <v>#N/A</v>
      </c>
      <c r="AI302" s="31" t="str">
        <f>_xlfn.IFNA(IF(AE302 &lt; (INDEX(SLATable[Minimum SLA],MATCH(G302,SLATable[Priority],0))),"YES","NO"),"")</f>
        <v/>
      </c>
      <c r="AJ302" t="str">
        <f>_xlfn.IFNA(IF(AE302 &lt; (INDEX(SLATable[Maximum SLA],MATCH(G302,SLATable[Priority],0))),"YES","NO"),"")</f>
        <v/>
      </c>
    </row>
    <row r="303" spans="26:36" ht="15" customHeight="1">
      <c r="Z303" s="76" t="e">
        <f t="shared" ca="1" si="28"/>
        <v>#N/A</v>
      </c>
      <c r="AA303" s="75" t="e">
        <f t="shared" ca="1" si="24"/>
        <v>#N/A</v>
      </c>
      <c r="AB303" s="76">
        <f t="shared" ca="1" si="29"/>
        <v>0</v>
      </c>
      <c r="AC303" s="75">
        <f t="shared" ca="1" si="25"/>
        <v>0</v>
      </c>
      <c r="AD303" s="76">
        <f t="shared" ca="1" si="30"/>
        <v>12388.425641435188</v>
      </c>
      <c r="AE303" s="76">
        <f t="shared" si="31"/>
        <v>0</v>
      </c>
      <c r="AF303" s="75">
        <f t="shared" si="26"/>
        <v>0</v>
      </c>
      <c r="AG303" s="75">
        <f t="shared" si="27"/>
        <v>0</v>
      </c>
      <c r="AH303" s="31" t="e" cm="1">
        <f t="array" aca="1" ref="AH303" ca="1">IF((AD303) &lt; (INDEX(ResponseSLA[#All],(MATCH((G303),ResponseSLA[Priority],0))+1,3)),"YES","No")</f>
        <v>#N/A</v>
      </c>
      <c r="AI303" s="31" t="str">
        <f>_xlfn.IFNA(IF(AE303 &lt; (INDEX(SLATable[Minimum SLA],MATCH(G303,SLATable[Priority],0))),"YES","NO"),"")</f>
        <v/>
      </c>
      <c r="AJ303" t="str">
        <f>_xlfn.IFNA(IF(AE303 &lt; (INDEX(SLATable[Maximum SLA],MATCH(G303,SLATable[Priority],0))),"YES","NO"),"")</f>
        <v/>
      </c>
    </row>
    <row r="304" spans="26:36" ht="15" customHeight="1">
      <c r="Z304" s="76" t="e">
        <f t="shared" ca="1" si="28"/>
        <v>#N/A</v>
      </c>
      <c r="AA304" s="75" t="e">
        <f t="shared" ca="1" si="24"/>
        <v>#N/A</v>
      </c>
      <c r="AB304" s="76">
        <f t="shared" ca="1" si="29"/>
        <v>0</v>
      </c>
      <c r="AC304" s="75">
        <f t="shared" ca="1" si="25"/>
        <v>0</v>
      </c>
      <c r="AD304" s="76">
        <f t="shared" ca="1" si="30"/>
        <v>12388.425641550926</v>
      </c>
      <c r="AE304" s="76">
        <f t="shared" si="31"/>
        <v>0</v>
      </c>
      <c r="AF304" s="75">
        <f t="shared" si="26"/>
        <v>0</v>
      </c>
      <c r="AG304" s="75">
        <f t="shared" si="27"/>
        <v>0</v>
      </c>
      <c r="AH304" s="31" t="e" cm="1">
        <f t="array" aca="1" ref="AH304" ca="1">IF((AD304) &lt; (INDEX(ResponseSLA[#All],(MATCH((G304),ResponseSLA[Priority],0))+1,3)),"YES","No")</f>
        <v>#N/A</v>
      </c>
      <c r="AI304" s="31" t="str">
        <f>_xlfn.IFNA(IF(AE304 &lt; (INDEX(SLATable[Minimum SLA],MATCH(G304,SLATable[Priority],0))),"YES","NO"),"")</f>
        <v/>
      </c>
      <c r="AJ304" t="str">
        <f>_xlfn.IFNA(IF(AE304 &lt; (INDEX(SLATable[Maximum SLA],MATCH(G304,SLATable[Priority],0))),"YES","NO"),"")</f>
        <v/>
      </c>
    </row>
    <row r="305" spans="26:36" ht="15" customHeight="1">
      <c r="Z305" s="76" t="e">
        <f t="shared" ca="1" si="28"/>
        <v>#N/A</v>
      </c>
      <c r="AA305" s="75" t="e">
        <f t="shared" ca="1" si="24"/>
        <v>#N/A</v>
      </c>
      <c r="AB305" s="76">
        <f t="shared" ca="1" si="29"/>
        <v>0</v>
      </c>
      <c r="AC305" s="75">
        <f t="shared" ca="1" si="25"/>
        <v>0</v>
      </c>
      <c r="AD305" s="76">
        <f t="shared" ca="1" si="30"/>
        <v>12388.425641435188</v>
      </c>
      <c r="AE305" s="76">
        <f t="shared" si="31"/>
        <v>0</v>
      </c>
      <c r="AF305" s="75">
        <f t="shared" si="26"/>
        <v>0</v>
      </c>
      <c r="AG305" s="75">
        <f t="shared" si="27"/>
        <v>0</v>
      </c>
      <c r="AH305" s="31" t="e" cm="1">
        <f t="array" aca="1" ref="AH305" ca="1">IF((AD305) &lt; (INDEX(ResponseSLA[#All],(MATCH((G305),ResponseSLA[Priority],0))+1,3)),"YES","No")</f>
        <v>#N/A</v>
      </c>
      <c r="AI305" s="31" t="str">
        <f>_xlfn.IFNA(IF(AE305 &lt; (INDEX(SLATable[Minimum SLA],MATCH(G305,SLATable[Priority],0))),"YES","NO"),"")</f>
        <v/>
      </c>
      <c r="AJ305" t="str">
        <f>_xlfn.IFNA(IF(AE305 &lt; (INDEX(SLATable[Maximum SLA],MATCH(G305,SLATable[Priority],0))),"YES","NO"),"")</f>
        <v/>
      </c>
    </row>
    <row r="306" spans="26:36" ht="15" customHeight="1">
      <c r="Z306" s="76" t="e">
        <f t="shared" ca="1" si="28"/>
        <v>#N/A</v>
      </c>
      <c r="AA306" s="75" t="e">
        <f t="shared" ca="1" si="24"/>
        <v>#N/A</v>
      </c>
      <c r="AB306" s="76">
        <f t="shared" ca="1" si="29"/>
        <v>0</v>
      </c>
      <c r="AC306" s="75">
        <f t="shared" ca="1" si="25"/>
        <v>0</v>
      </c>
      <c r="AD306" s="76">
        <f t="shared" ca="1" si="30"/>
        <v>12388.425641435188</v>
      </c>
      <c r="AE306" s="76">
        <f t="shared" si="31"/>
        <v>0</v>
      </c>
      <c r="AF306" s="75">
        <f t="shared" si="26"/>
        <v>0</v>
      </c>
      <c r="AG306" s="75">
        <f t="shared" si="27"/>
        <v>0</v>
      </c>
      <c r="AH306" s="31" t="e" cm="1">
        <f t="array" aca="1" ref="AH306" ca="1">IF((AD306) &lt; (INDEX(ResponseSLA[#All],(MATCH((G306),ResponseSLA[Priority],0))+1,3)),"YES","No")</f>
        <v>#N/A</v>
      </c>
      <c r="AI306" s="31" t="str">
        <f>_xlfn.IFNA(IF(AE306 &lt; (INDEX(SLATable[Minimum SLA],MATCH(G306,SLATable[Priority],0))),"YES","NO"),"")</f>
        <v/>
      </c>
      <c r="AJ306" t="str">
        <f>_xlfn.IFNA(IF(AE306 &lt; (INDEX(SLATable[Maximum SLA],MATCH(G306,SLATable[Priority],0))),"YES","NO"),"")</f>
        <v/>
      </c>
    </row>
    <row r="307" spans="26:36" ht="15" customHeight="1">
      <c r="Z307" s="76" t="e">
        <f t="shared" ca="1" si="28"/>
        <v>#N/A</v>
      </c>
      <c r="AA307" s="75" t="e">
        <f t="shared" ca="1" si="24"/>
        <v>#N/A</v>
      </c>
      <c r="AB307" s="76">
        <f t="shared" ca="1" si="29"/>
        <v>0</v>
      </c>
      <c r="AC307" s="75">
        <f t="shared" ca="1" si="25"/>
        <v>0</v>
      </c>
      <c r="AD307" s="76">
        <f t="shared" ca="1" si="30"/>
        <v>12388.425641550926</v>
      </c>
      <c r="AE307" s="76">
        <f t="shared" si="31"/>
        <v>0</v>
      </c>
      <c r="AF307" s="75">
        <f t="shared" si="26"/>
        <v>0</v>
      </c>
      <c r="AG307" s="75">
        <f t="shared" si="27"/>
        <v>0</v>
      </c>
      <c r="AH307" s="31" t="e" cm="1">
        <f t="array" aca="1" ref="AH307" ca="1">IF((AD307) &lt; (INDEX(ResponseSLA[#All],(MATCH((G307),ResponseSLA[Priority],0))+1,3)),"YES","No")</f>
        <v>#N/A</v>
      </c>
      <c r="AI307" s="31" t="str">
        <f>_xlfn.IFNA(IF(AE307 &lt; (INDEX(SLATable[Minimum SLA],MATCH(G307,SLATable[Priority],0))),"YES","NO"),"")</f>
        <v/>
      </c>
      <c r="AJ307" t="str">
        <f>_xlfn.IFNA(IF(AE307 &lt; (INDEX(SLATable[Maximum SLA],MATCH(G307,SLATable[Priority],0))),"YES","NO"),"")</f>
        <v/>
      </c>
    </row>
    <row r="308" spans="26:36" ht="15" customHeight="1">
      <c r="Z308" s="76" t="e">
        <f t="shared" ca="1" si="28"/>
        <v>#N/A</v>
      </c>
      <c r="AA308" s="75" t="e">
        <f t="shared" ca="1" si="24"/>
        <v>#N/A</v>
      </c>
      <c r="AB308" s="76">
        <f t="shared" ca="1" si="29"/>
        <v>0</v>
      </c>
      <c r="AC308" s="75">
        <f t="shared" ca="1" si="25"/>
        <v>0</v>
      </c>
      <c r="AD308" s="76">
        <f t="shared" ca="1" si="30"/>
        <v>12388.425641435188</v>
      </c>
      <c r="AE308" s="76">
        <f t="shared" si="31"/>
        <v>0</v>
      </c>
      <c r="AF308" s="75">
        <f t="shared" si="26"/>
        <v>0</v>
      </c>
      <c r="AG308" s="75">
        <f t="shared" si="27"/>
        <v>0</v>
      </c>
      <c r="AH308" s="31" t="e" cm="1">
        <f t="array" aca="1" ref="AH308" ca="1">IF((AD308) &lt; (INDEX(ResponseSLA[#All],(MATCH((G308),ResponseSLA[Priority],0))+1,3)),"YES","No")</f>
        <v>#N/A</v>
      </c>
      <c r="AI308" s="31" t="str">
        <f>_xlfn.IFNA(IF(AE308 &lt; (INDEX(SLATable[Minimum SLA],MATCH(G308,SLATable[Priority],0))),"YES","NO"),"")</f>
        <v/>
      </c>
      <c r="AJ308" t="str">
        <f>_xlfn.IFNA(IF(AE308 &lt; (INDEX(SLATable[Maximum SLA],MATCH(G308,SLATable[Priority],0))),"YES","NO"),"")</f>
        <v/>
      </c>
    </row>
    <row r="309" spans="26:36" ht="15" customHeight="1">
      <c r="Z309" s="76" t="e">
        <f t="shared" ca="1" si="28"/>
        <v>#N/A</v>
      </c>
      <c r="AA309" s="75" t="e">
        <f t="shared" ca="1" si="24"/>
        <v>#N/A</v>
      </c>
      <c r="AB309" s="76">
        <f t="shared" ca="1" si="29"/>
        <v>0</v>
      </c>
      <c r="AC309" s="75">
        <f t="shared" ca="1" si="25"/>
        <v>0</v>
      </c>
      <c r="AD309" s="76">
        <f t="shared" ca="1" si="30"/>
        <v>12388.425641435188</v>
      </c>
      <c r="AE309" s="76">
        <f t="shared" si="31"/>
        <v>0</v>
      </c>
      <c r="AF309" s="75">
        <f t="shared" si="26"/>
        <v>0</v>
      </c>
      <c r="AG309" s="75">
        <f t="shared" si="27"/>
        <v>0</v>
      </c>
      <c r="AH309" s="31" t="e" cm="1">
        <f t="array" aca="1" ref="AH309" ca="1">IF((AD309) &lt; (INDEX(ResponseSLA[#All],(MATCH((G309),ResponseSLA[Priority],0))+1,3)),"YES","No")</f>
        <v>#N/A</v>
      </c>
      <c r="AI309" s="31" t="str">
        <f>_xlfn.IFNA(IF(AE309 &lt; (INDEX(SLATable[Minimum SLA],MATCH(G309,SLATable[Priority],0))),"YES","NO"),"")</f>
        <v/>
      </c>
      <c r="AJ309" t="str">
        <f>_xlfn.IFNA(IF(AE309 &lt; (INDEX(SLATable[Maximum SLA],MATCH(G309,SLATable[Priority],0))),"YES","NO"),"")</f>
        <v/>
      </c>
    </row>
    <row r="310" spans="26:36" ht="15" customHeight="1">
      <c r="Z310" s="76" t="e">
        <f t="shared" ca="1" si="28"/>
        <v>#N/A</v>
      </c>
      <c r="AA310" s="75" t="e">
        <f t="shared" ca="1" si="24"/>
        <v>#N/A</v>
      </c>
      <c r="AB310" s="76">
        <f t="shared" ca="1" si="29"/>
        <v>0</v>
      </c>
      <c r="AC310" s="75">
        <f t="shared" ca="1" si="25"/>
        <v>0</v>
      </c>
      <c r="AD310" s="76">
        <f t="shared" ca="1" si="30"/>
        <v>12388.425641550926</v>
      </c>
      <c r="AE310" s="76">
        <f t="shared" si="31"/>
        <v>0</v>
      </c>
      <c r="AF310" s="75">
        <f t="shared" si="26"/>
        <v>0</v>
      </c>
      <c r="AG310" s="75">
        <f t="shared" si="27"/>
        <v>0</v>
      </c>
      <c r="AH310" s="31" t="e" cm="1">
        <f t="array" aca="1" ref="AH310" ca="1">IF((AD310) &lt; (INDEX(ResponseSLA[#All],(MATCH((G310),ResponseSLA[Priority],0))+1,3)),"YES","No")</f>
        <v>#N/A</v>
      </c>
      <c r="AI310" s="31" t="str">
        <f>_xlfn.IFNA(IF(AE310 &lt; (INDEX(SLATable[Minimum SLA],MATCH(G310,SLATable[Priority],0))),"YES","NO"),"")</f>
        <v/>
      </c>
      <c r="AJ310" t="str">
        <f>_xlfn.IFNA(IF(AE310 &lt; (INDEX(SLATable[Maximum SLA],MATCH(G310,SLATable[Priority],0))),"YES","NO"),"")</f>
        <v/>
      </c>
    </row>
    <row r="311" spans="26:36" ht="15" customHeight="1">
      <c r="Z311" s="76" t="e">
        <f t="shared" ca="1" si="28"/>
        <v>#N/A</v>
      </c>
      <c r="AA311" s="75" t="e">
        <f t="shared" ca="1" si="24"/>
        <v>#N/A</v>
      </c>
      <c r="AB311" s="76">
        <f t="shared" ca="1" si="29"/>
        <v>0</v>
      </c>
      <c r="AC311" s="75">
        <f t="shared" ca="1" si="25"/>
        <v>0</v>
      </c>
      <c r="AD311" s="76">
        <f t="shared" ca="1" si="30"/>
        <v>12388.425641435188</v>
      </c>
      <c r="AE311" s="76">
        <f t="shared" si="31"/>
        <v>0</v>
      </c>
      <c r="AF311" s="75">
        <f t="shared" si="26"/>
        <v>0</v>
      </c>
      <c r="AG311" s="75">
        <f t="shared" si="27"/>
        <v>0</v>
      </c>
      <c r="AH311" s="31" t="e" cm="1">
        <f t="array" aca="1" ref="AH311" ca="1">IF((AD311) &lt; (INDEX(ResponseSLA[#All],(MATCH((G311),ResponseSLA[Priority],0))+1,3)),"YES","No")</f>
        <v>#N/A</v>
      </c>
      <c r="AI311" s="31" t="str">
        <f>_xlfn.IFNA(IF(AE311 &lt; (INDEX(SLATable[Minimum SLA],MATCH(G311,SLATable[Priority],0))),"YES","NO"),"")</f>
        <v/>
      </c>
      <c r="AJ311" t="str">
        <f>_xlfn.IFNA(IF(AE311 &lt; (INDEX(SLATable[Maximum SLA],MATCH(G311,SLATable[Priority],0))),"YES","NO"),"")</f>
        <v/>
      </c>
    </row>
    <row r="312" spans="26:36" ht="15" customHeight="1">
      <c r="Z312" s="76" t="e">
        <f t="shared" ca="1" si="28"/>
        <v>#N/A</v>
      </c>
      <c r="AA312" s="75" t="e">
        <f t="shared" ca="1" si="24"/>
        <v>#N/A</v>
      </c>
      <c r="AB312" s="76">
        <f t="shared" ca="1" si="29"/>
        <v>0</v>
      </c>
      <c r="AC312" s="75">
        <f t="shared" ca="1" si="25"/>
        <v>0</v>
      </c>
      <c r="AD312" s="76">
        <f t="shared" ca="1" si="30"/>
        <v>12388.425641435188</v>
      </c>
      <c r="AE312" s="76">
        <f t="shared" si="31"/>
        <v>0</v>
      </c>
      <c r="AF312" s="75">
        <f t="shared" si="26"/>
        <v>0</v>
      </c>
      <c r="AG312" s="75">
        <f t="shared" si="27"/>
        <v>0</v>
      </c>
      <c r="AH312" s="31" t="e" cm="1">
        <f t="array" aca="1" ref="AH312" ca="1">IF((AD312) &lt; (INDEX(ResponseSLA[#All],(MATCH((G312),ResponseSLA[Priority],0))+1,3)),"YES","No")</f>
        <v>#N/A</v>
      </c>
      <c r="AI312" s="31" t="str">
        <f>_xlfn.IFNA(IF(AE312 &lt; (INDEX(SLATable[Minimum SLA],MATCH(G312,SLATable[Priority],0))),"YES","NO"),"")</f>
        <v/>
      </c>
      <c r="AJ312" t="str">
        <f>_xlfn.IFNA(IF(AE312 &lt; (INDEX(SLATable[Maximum SLA],MATCH(G312,SLATable[Priority],0))),"YES","NO"),"")</f>
        <v/>
      </c>
    </row>
    <row r="313" spans="26:36" ht="15" customHeight="1">
      <c r="Z313" s="76" t="e">
        <f t="shared" ca="1" si="28"/>
        <v>#N/A</v>
      </c>
      <c r="AA313" s="75" t="e">
        <f t="shared" ca="1" si="24"/>
        <v>#N/A</v>
      </c>
      <c r="AB313" s="76">
        <f t="shared" ca="1" si="29"/>
        <v>0</v>
      </c>
      <c r="AC313" s="75">
        <f t="shared" ca="1" si="25"/>
        <v>0</v>
      </c>
      <c r="AD313" s="76">
        <f t="shared" ca="1" si="30"/>
        <v>12388.425641550926</v>
      </c>
      <c r="AE313" s="76">
        <f t="shared" si="31"/>
        <v>0</v>
      </c>
      <c r="AF313" s="75">
        <f t="shared" si="26"/>
        <v>0</v>
      </c>
      <c r="AG313" s="75">
        <f t="shared" si="27"/>
        <v>0</v>
      </c>
      <c r="AH313" s="31" t="e" cm="1">
        <f t="array" aca="1" ref="AH313" ca="1">IF((AD313) &lt; (INDEX(ResponseSLA[#All],(MATCH((G313),ResponseSLA[Priority],0))+1,3)),"YES","No")</f>
        <v>#N/A</v>
      </c>
      <c r="AI313" s="31" t="str">
        <f>_xlfn.IFNA(IF(AE313 &lt; (INDEX(SLATable[Minimum SLA],MATCH(G313,SLATable[Priority],0))),"YES","NO"),"")</f>
        <v/>
      </c>
      <c r="AJ313" t="str">
        <f>_xlfn.IFNA(IF(AE313 &lt; (INDEX(SLATable[Maximum SLA],MATCH(G313,SLATable[Priority],0))),"YES","NO"),"")</f>
        <v/>
      </c>
    </row>
    <row r="314" spans="26:36" ht="15" customHeight="1">
      <c r="Z314" s="76" t="e">
        <f t="shared" ca="1" si="28"/>
        <v>#N/A</v>
      </c>
      <c r="AA314" s="75" t="e">
        <f t="shared" ca="1" si="24"/>
        <v>#N/A</v>
      </c>
      <c r="AB314" s="76">
        <f t="shared" ca="1" si="29"/>
        <v>0</v>
      </c>
      <c r="AC314" s="75">
        <f t="shared" ca="1" si="25"/>
        <v>0</v>
      </c>
      <c r="AD314" s="76">
        <f t="shared" ca="1" si="30"/>
        <v>12388.425641435188</v>
      </c>
      <c r="AE314" s="76">
        <f t="shared" si="31"/>
        <v>0</v>
      </c>
      <c r="AF314" s="75">
        <f t="shared" si="26"/>
        <v>0</v>
      </c>
      <c r="AG314" s="75">
        <f t="shared" si="27"/>
        <v>0</v>
      </c>
      <c r="AH314" s="31" t="e" cm="1">
        <f t="array" aca="1" ref="AH314" ca="1">IF((AD314) &lt; (INDEX(ResponseSLA[#All],(MATCH((G314),ResponseSLA[Priority],0))+1,3)),"YES","No")</f>
        <v>#N/A</v>
      </c>
      <c r="AI314" s="31" t="str">
        <f>_xlfn.IFNA(IF(AE314 &lt; (INDEX(SLATable[Minimum SLA],MATCH(G314,SLATable[Priority],0))),"YES","NO"),"")</f>
        <v/>
      </c>
      <c r="AJ314" t="str">
        <f>_xlfn.IFNA(IF(AE314 &lt; (INDEX(SLATable[Maximum SLA],MATCH(G314,SLATable[Priority],0))),"YES","NO"),"")</f>
        <v/>
      </c>
    </row>
    <row r="315" spans="26:36" ht="15" customHeight="1">
      <c r="Z315" s="76" t="e">
        <f t="shared" ca="1" si="28"/>
        <v>#N/A</v>
      </c>
      <c r="AA315" s="75" t="e">
        <f t="shared" ca="1" si="24"/>
        <v>#N/A</v>
      </c>
      <c r="AB315" s="76">
        <f t="shared" ca="1" si="29"/>
        <v>0</v>
      </c>
      <c r="AC315" s="75">
        <f t="shared" ca="1" si="25"/>
        <v>0</v>
      </c>
      <c r="AD315" s="76">
        <f t="shared" ca="1" si="30"/>
        <v>12388.425641435188</v>
      </c>
      <c r="AE315" s="76">
        <f t="shared" si="31"/>
        <v>0</v>
      </c>
      <c r="AF315" s="75">
        <f t="shared" si="26"/>
        <v>0</v>
      </c>
      <c r="AG315" s="75">
        <f t="shared" si="27"/>
        <v>0</v>
      </c>
      <c r="AH315" s="31" t="e" cm="1">
        <f t="array" aca="1" ref="AH315" ca="1">IF((AD315) &lt; (INDEX(ResponseSLA[#All],(MATCH((G315),ResponseSLA[Priority],0))+1,3)),"YES","No")</f>
        <v>#N/A</v>
      </c>
      <c r="AI315" s="31" t="str">
        <f>_xlfn.IFNA(IF(AE315 &lt; (INDEX(SLATable[Minimum SLA],MATCH(G315,SLATable[Priority],0))),"YES","NO"),"")</f>
        <v/>
      </c>
      <c r="AJ315" t="str">
        <f>_xlfn.IFNA(IF(AE315 &lt; (INDEX(SLATable[Maximum SLA],MATCH(G315,SLATable[Priority],0))),"YES","NO"),"")</f>
        <v/>
      </c>
    </row>
    <row r="316" spans="26:36" ht="15" customHeight="1">
      <c r="Z316" s="76" t="e">
        <f t="shared" ca="1" si="28"/>
        <v>#N/A</v>
      </c>
      <c r="AA316" s="75" t="e">
        <f t="shared" ca="1" si="24"/>
        <v>#N/A</v>
      </c>
      <c r="AB316" s="76">
        <f t="shared" ca="1" si="29"/>
        <v>0</v>
      </c>
      <c r="AC316" s="75">
        <f t="shared" ca="1" si="25"/>
        <v>0</v>
      </c>
      <c r="AD316" s="76">
        <f t="shared" ca="1" si="30"/>
        <v>12388.425641550926</v>
      </c>
      <c r="AE316" s="76">
        <f t="shared" si="31"/>
        <v>0</v>
      </c>
      <c r="AF316" s="75">
        <f t="shared" si="26"/>
        <v>0</v>
      </c>
      <c r="AG316" s="75">
        <f t="shared" si="27"/>
        <v>0</v>
      </c>
      <c r="AH316" s="31" t="e" cm="1">
        <f t="array" aca="1" ref="AH316" ca="1">IF((AD316) &lt; (INDEX(ResponseSLA[#All],(MATCH((G316),ResponseSLA[Priority],0))+1,3)),"YES","No")</f>
        <v>#N/A</v>
      </c>
      <c r="AI316" s="31" t="str">
        <f>_xlfn.IFNA(IF(AE316 &lt; (INDEX(SLATable[Minimum SLA],MATCH(G316,SLATable[Priority],0))),"YES","NO"),"")</f>
        <v/>
      </c>
      <c r="AJ316" t="str">
        <f>_xlfn.IFNA(IF(AE316 &lt; (INDEX(SLATable[Maximum SLA],MATCH(G316,SLATable[Priority],0))),"YES","NO"),"")</f>
        <v/>
      </c>
    </row>
    <row r="317" spans="26:36" ht="15" customHeight="1">
      <c r="Z317" s="76" t="e">
        <f t="shared" ca="1" si="28"/>
        <v>#N/A</v>
      </c>
      <c r="AA317" s="75" t="e">
        <f t="shared" ca="1" si="24"/>
        <v>#N/A</v>
      </c>
      <c r="AB317" s="76">
        <f t="shared" ca="1" si="29"/>
        <v>0</v>
      </c>
      <c r="AC317" s="75">
        <f t="shared" ca="1" si="25"/>
        <v>0</v>
      </c>
      <c r="AD317" s="76">
        <f t="shared" ca="1" si="30"/>
        <v>12388.425641435188</v>
      </c>
      <c r="AE317" s="76">
        <f t="shared" si="31"/>
        <v>0</v>
      </c>
      <c r="AF317" s="75">
        <f t="shared" si="26"/>
        <v>0</v>
      </c>
      <c r="AG317" s="75">
        <f t="shared" si="27"/>
        <v>0</v>
      </c>
      <c r="AH317" s="31" t="e" cm="1">
        <f t="array" aca="1" ref="AH317" ca="1">IF((AD317) &lt; (INDEX(ResponseSLA[#All],(MATCH((G317),ResponseSLA[Priority],0))+1,3)),"YES","No")</f>
        <v>#N/A</v>
      </c>
      <c r="AI317" s="31" t="str">
        <f>_xlfn.IFNA(IF(AE317 &lt; (INDEX(SLATable[Minimum SLA],MATCH(G317,SLATable[Priority],0))),"YES","NO"),"")</f>
        <v/>
      </c>
      <c r="AJ317" t="str">
        <f>_xlfn.IFNA(IF(AE317 &lt; (INDEX(SLATable[Maximum SLA],MATCH(G317,SLATable[Priority],0))),"YES","NO"),"")</f>
        <v/>
      </c>
    </row>
    <row r="318" spans="26:36" ht="15" customHeight="1">
      <c r="Z318" s="76" t="e">
        <f t="shared" ca="1" si="28"/>
        <v>#N/A</v>
      </c>
      <c r="AA318" s="75" t="e">
        <f t="shared" ca="1" si="24"/>
        <v>#N/A</v>
      </c>
      <c r="AB318" s="76">
        <f t="shared" ca="1" si="29"/>
        <v>0</v>
      </c>
      <c r="AC318" s="75">
        <f t="shared" ca="1" si="25"/>
        <v>0</v>
      </c>
      <c r="AD318" s="76">
        <f t="shared" ca="1" si="30"/>
        <v>12388.425641435188</v>
      </c>
      <c r="AE318" s="76">
        <f t="shared" si="31"/>
        <v>0</v>
      </c>
      <c r="AF318" s="75">
        <f t="shared" si="26"/>
        <v>0</v>
      </c>
      <c r="AG318" s="75">
        <f t="shared" si="27"/>
        <v>0</v>
      </c>
      <c r="AH318" s="31" t="e" cm="1">
        <f t="array" aca="1" ref="AH318" ca="1">IF((AD318) &lt; (INDEX(ResponseSLA[#All],(MATCH((G318),ResponseSLA[Priority],0))+1,3)),"YES","No")</f>
        <v>#N/A</v>
      </c>
      <c r="AI318" s="31" t="str">
        <f>_xlfn.IFNA(IF(AE318 &lt; (INDEX(SLATable[Minimum SLA],MATCH(G318,SLATable[Priority],0))),"YES","NO"),"")</f>
        <v/>
      </c>
      <c r="AJ318" t="str">
        <f>_xlfn.IFNA(IF(AE318 &lt; (INDEX(SLATable[Maximum SLA],MATCH(G318,SLATable[Priority],0))),"YES","NO"),"")</f>
        <v/>
      </c>
    </row>
    <row r="319" spans="26:36" ht="15" customHeight="1">
      <c r="Z319" s="76" t="e">
        <f t="shared" ca="1" si="28"/>
        <v>#N/A</v>
      </c>
      <c r="AA319" s="75" t="e">
        <f t="shared" ca="1" si="24"/>
        <v>#N/A</v>
      </c>
      <c r="AB319" s="76">
        <f t="shared" ca="1" si="29"/>
        <v>0</v>
      </c>
      <c r="AC319" s="75">
        <f t="shared" ca="1" si="25"/>
        <v>0</v>
      </c>
      <c r="AD319" s="76">
        <f t="shared" ca="1" si="30"/>
        <v>12388.425641550926</v>
      </c>
      <c r="AE319" s="76">
        <f t="shared" si="31"/>
        <v>0</v>
      </c>
      <c r="AF319" s="75">
        <f t="shared" si="26"/>
        <v>0</v>
      </c>
      <c r="AG319" s="75">
        <f t="shared" si="27"/>
        <v>0</v>
      </c>
      <c r="AH319" s="31" t="e" cm="1">
        <f t="array" aca="1" ref="AH319" ca="1">IF((AD319) &lt; (INDEX(ResponseSLA[#All],(MATCH((G319),ResponseSLA[Priority],0))+1,3)),"YES","No")</f>
        <v>#N/A</v>
      </c>
      <c r="AI319" s="31" t="str">
        <f>_xlfn.IFNA(IF(AE319 &lt; (INDEX(SLATable[Minimum SLA],MATCH(G319,SLATable[Priority],0))),"YES","NO"),"")</f>
        <v/>
      </c>
      <c r="AJ319" t="str">
        <f>_xlfn.IFNA(IF(AE319 &lt; (INDEX(SLATable[Maximum SLA],MATCH(G319,SLATable[Priority],0))),"YES","NO"),"")</f>
        <v/>
      </c>
    </row>
    <row r="320" spans="26:36" ht="15" customHeight="1">
      <c r="Z320" s="76" t="e">
        <f t="shared" ca="1" si="28"/>
        <v>#N/A</v>
      </c>
      <c r="AA320" s="75" t="e">
        <f t="shared" ca="1" si="24"/>
        <v>#N/A</v>
      </c>
      <c r="AB320" s="76">
        <f t="shared" ca="1" si="29"/>
        <v>0</v>
      </c>
      <c r="AC320" s="75">
        <f t="shared" ca="1" si="25"/>
        <v>0</v>
      </c>
      <c r="AD320" s="76">
        <f t="shared" ca="1" si="30"/>
        <v>12388.425641435188</v>
      </c>
      <c r="AE320" s="76">
        <f t="shared" si="31"/>
        <v>0</v>
      </c>
      <c r="AF320" s="75">
        <f t="shared" si="26"/>
        <v>0</v>
      </c>
      <c r="AG320" s="75">
        <f t="shared" si="27"/>
        <v>0</v>
      </c>
      <c r="AH320" s="31" t="e" cm="1">
        <f t="array" aca="1" ref="AH320" ca="1">IF((AD320) &lt; (INDEX(ResponseSLA[#All],(MATCH((G320),ResponseSLA[Priority],0))+1,3)),"YES","No")</f>
        <v>#N/A</v>
      </c>
      <c r="AI320" s="31" t="str">
        <f>_xlfn.IFNA(IF(AE320 &lt; (INDEX(SLATable[Minimum SLA],MATCH(G320,SLATable[Priority],0))),"YES","NO"),"")</f>
        <v/>
      </c>
      <c r="AJ320" t="str">
        <f>_xlfn.IFNA(IF(AE320 &lt; (INDEX(SLATable[Maximum SLA],MATCH(G320,SLATable[Priority],0))),"YES","NO"),"")</f>
        <v/>
      </c>
    </row>
    <row r="321" spans="26:36" ht="15" customHeight="1">
      <c r="Z321" s="76" t="e">
        <f t="shared" ca="1" si="28"/>
        <v>#N/A</v>
      </c>
      <c r="AA321" s="75" t="e">
        <f t="shared" ref="AA321:AA384" ca="1" si="32">(Z321*24)/9</f>
        <v>#N/A</v>
      </c>
      <c r="AB321" s="76">
        <f t="shared" ca="1" si="29"/>
        <v>0</v>
      </c>
      <c r="AC321" s="75">
        <f t="shared" ref="AC321:AC384" ca="1" si="33">(AB321*24)/9</f>
        <v>0</v>
      </c>
      <c r="AD321" s="76">
        <f t="shared" ca="1" si="30"/>
        <v>12388.425641435188</v>
      </c>
      <c r="AE321" s="76">
        <f t="shared" si="31"/>
        <v>0</v>
      </c>
      <c r="AF321" s="75">
        <f t="shared" ref="AF321:AF384" si="34">(AE321*24)/9</f>
        <v>0</v>
      </c>
      <c r="AG321" s="75">
        <f t="shared" ref="AG321:AG384" si="35">AF321</f>
        <v>0</v>
      </c>
      <c r="AH321" s="31" t="e" cm="1">
        <f t="array" aca="1" ref="AH321" ca="1">IF((AD321) &lt; (INDEX(ResponseSLA[#All],(MATCH((G321),ResponseSLA[Priority],0))+1,3)),"YES","No")</f>
        <v>#N/A</v>
      </c>
      <c r="AI321" s="31" t="str">
        <f>_xlfn.IFNA(IF(AE321 &lt; (INDEX(SLATable[Minimum SLA],MATCH(G321,SLATable[Priority],0))),"YES","NO"),"")</f>
        <v/>
      </c>
      <c r="AJ321" t="str">
        <f>_xlfn.IFNA(IF(AE321 &lt; (INDEX(SLATable[Maximum SLA],MATCH(G321,SLATable[Priority],0))),"YES","NO"),"")</f>
        <v/>
      </c>
    </row>
    <row r="322" spans="26:36" ht="15" customHeight="1">
      <c r="Z322" s="76" t="e">
        <f t="shared" ca="1" si="28"/>
        <v>#N/A</v>
      </c>
      <c r="AA322" s="75" t="e">
        <f t="shared" ca="1" si="32"/>
        <v>#N/A</v>
      </c>
      <c r="AB322" s="76">
        <f t="shared" ca="1" si="29"/>
        <v>0</v>
      </c>
      <c r="AC322" s="75">
        <f t="shared" ca="1" si="33"/>
        <v>0</v>
      </c>
      <c r="AD322" s="76">
        <f t="shared" ca="1" si="30"/>
        <v>12388.425641550926</v>
      </c>
      <c r="AE322" s="76">
        <f t="shared" si="31"/>
        <v>0</v>
      </c>
      <c r="AF322" s="75">
        <f t="shared" si="34"/>
        <v>0</v>
      </c>
      <c r="AG322" s="75">
        <f t="shared" si="35"/>
        <v>0</v>
      </c>
      <c r="AH322" s="31" t="e" cm="1">
        <f t="array" aca="1" ref="AH322" ca="1">IF((AD322) &lt; (INDEX(ResponseSLA[#All],(MATCH((G322),ResponseSLA[Priority],0))+1,3)),"YES","No")</f>
        <v>#N/A</v>
      </c>
      <c r="AI322" s="31" t="str">
        <f>_xlfn.IFNA(IF(AE322 &lt; (INDEX(SLATable[Minimum SLA],MATCH(G322,SLATable[Priority],0))),"YES","NO"),"")</f>
        <v/>
      </c>
      <c r="AJ322" t="str">
        <f>_xlfn.IFNA(IF(AE322 &lt; (INDEX(SLATable[Maximum SLA],MATCH(G322,SLATable[Priority],0))),"YES","NO"),"")</f>
        <v/>
      </c>
    </row>
    <row r="323" spans="26:36" ht="15" customHeight="1">
      <c r="Z323" s="76" t="e">
        <f t="shared" ref="Z323:Z386" ca="1" si="36">IF(NOT(OR(G323=1,G323=2)),MAX(0,_xlfn.IFS(AND(K323&lt;&gt;"",N323&lt;&gt;""),((MAX(NETWORKDAYS(K323,N323,UKBankHolidays)-1,0))*(TIME(17,0,0)-TIME(8,0,0))+IF(NETWORKDAYS(N323,N323,UKBankHolidays)&gt;0,MEDIAN(TIME(8,0,0),MOD(N323,1),TIME(17,0,0)),TIME(8,0,0))-IF(NETWORKDAYS(K323,K323,UKBankHolidays)&gt;0,MEDIAN(TIME(8,0,0),MOD(K323,1),TIME(17,0,0)),TIME(8,0,0)))-IF(AND(O323&lt;&gt;"",P323&lt;&gt;""),((MAX(NETWORKDAYS(O323,P323,UKBankHolidays)-1,0))*(TIME(17,0,0)-TIME(8,0,0))+IF(NETWORKDAYS(P323,P323,UKBankHolidays)&gt;0,MEDIAN(TIME(8,0,0),MOD(P323,1),TIME(17,0,0)),TIME(8,0,0))-IF(NETWORKDAYS(O323,O323,UKBankHolidays)&gt;0,MEDIAN(TIME(8,0,0),MOD(O323,1),TIME(17,0,0)),TIME(8,0,0))),0),AND(K323&lt;&gt;"",N323=""),((MAX(NETWORKDAYS(K323,NOW(),UKBankHolidays)-1,0))*(TIME(17,0,0)-TIME(8,0,0))+IF(NETWORKDAYS(NOW(),NOW(),UKBankHolidays)&gt;0,MEDIAN(TIME(8,0,0),MOD(NOW(),1),TIME(17,0,0)),TIME(8,0,0))-IF(NETWORKDAYS(K323,K323,UKBankHolidays)&gt;0,MEDIAN(TIME(8,0,0),MOD(K323,1),TIME(17,0,0)),TIME(8,0,0))))),IF(N323="",NOW()-K323,N323-K323))</f>
        <v>#N/A</v>
      </c>
      <c r="AA323" s="75" t="e">
        <f t="shared" ca="1" si="32"/>
        <v>#N/A</v>
      </c>
      <c r="AB323" s="76">
        <f t="shared" ref="AB323:AB386" ca="1" si="37">IF(NOT(OR(G323=1,G323=2)),MAX(0,_xlfn.IFS(AND(K323&lt;&gt;"",N323&lt;&gt;""),(((MAX(NETWORKDAYS(L323,N323,UKBankHolidays)-1,0))*(TIME(17,0,0)-TIME(8,0,0)))+IF(NETWORKDAYS(N323,N323,UKBankHolidays)&gt;0,MEDIAN(TIME(8,0,0),MOD(N323,1),TIME(17,0,0)),TIME(8,0,0))-IF(NETWORKDAYS(L323,L323,UKBankHolidays)&gt;0,MEDIAN(TIME(8,0,0),MOD(L323,1),TIME(17,0,0)),TIME(8,0,0)))-IF(AND(O323&lt;&gt;"",P323&lt;&gt;""),(((MAX(NETWORKDAYS(O323,P323,UKBankHolidays)-1,0))*(TIME(17,0,0)-TIME(8,0,0)))+IF(NETWORKDAYS(P323,P323,UKBankHolidays)&gt;0,MEDIAN(TIME(8,0,0),MOD(P323,1),TIME(17,0,0)),TIME(8,0,0))-IF(NETWORKDAYS(O323,O323,UKBankHolidays)&gt;0,MEDIAN(TIME(8,0,0),MOD(O323,1),TIME(17,0,0)),TIME(8,0,0))),0),AND(L323&lt;&gt;"",N323="",O323=""),(((MAX(NETWORKDAYS(L323,NOW(),UKBankHolidays)-1,0))*(TIME(17,0,0)-TIME(8,0,0)))+IF(NETWORKDAYS(NOW(),NOW(),UKBankHolidays)&gt;0,MEDIAN(TIME(8,0,0),MOD(NOW(),1),TIME(17,0,0)),TIME(8,0,0))-IF(NETWORKDAYS(L323,L323,UKBankHolidays)&gt;0,MEDIAN(TIME(8,0,0),MOD(L323,1),TIME(17,0,0)),TIME(8,0,0)))-IF(AND(O323&lt;&gt;"",P323&lt;&gt;""),(((MAX(NETWORKDAYS(O323,P323,UKBankHolidays)-1,0))*(TIME(17,0,0)-TIME(8,0,0)))+IF(NETWORKDAYS(P323,P323,UKBankHolidays)&gt;0,MEDIAN(TIME(8,0,0),MOD(P323,1),TIME(17,0,0)),TIME(8,0,0))-IF(NETWORKDAYS(O323,O323,UKBankHolidays)&gt;0,MEDIAN(TIME(8,0,0),MOD(O323,1),TIME(17,0,0)),TIME(8,0,0))),0),AND(L323&lt;&gt;"",N323="",P323="",O323&lt;&gt;""),(((MAX(NETWORKDAYS(L323,O323,UKBankHolidays)-1,0))*(TIME(17,0,0)-TIME(8,0,0)))+IF(NETWORKDAYS(O323,O323,UKBankHolidays)&gt;0,MEDIAN(TIME(8,0,0),MOD(O323,1),TIME(17,0,0)),TIME(8,0,0))-IF(NETWORKDAYS(L323,L323,UKBankHolidays)&gt;0,MEDIAN(TIME(8,0,0),MOD(L323,1),TIME(17,0,0)),TIME(8,0,0))),ISBLANK(K323),"0")),IF(ISBLANK(N323),NOW()-L323,N323-L323))</f>
        <v>0</v>
      </c>
      <c r="AC323" s="75">
        <f t="shared" ca="1" si="33"/>
        <v>0</v>
      </c>
      <c r="AD323" s="76">
        <f t="shared" ref="AD323:AD386" ca="1" si="38">MAX(0,IF(NOT(OR(G323=1,G323=2)),IF(M323&lt;&gt;"",((MAX(NETWORKDAYS(L323,M323,UKBankHolidays)-1,0))*(TIME(17,0,0)-TIME(8,0,0))+IF(NETWORKDAYS(M323,M323,UKBankHolidays)&gt;0,MEDIAN(TIME(8,0,0),MOD(M323,1),TIME(17,0,0)),TIME(8,0,0))-MEDIAN(TIME(8,0,0),MOD(L323,1),TIME(17,0,0))),((MAX(NETWORKDAYS(L323,NOW(),UKBankHolidays)-1,0))*(TIME(17,0,0)-TIME(8,0,0))+IF(NETWORKDAYS(NOW(),NOW(),UKBankHolidays)&gt;0,MEDIAN(TIME(8,0,0),MOD(NOW(),1),TIME(17,0,0)),TIME(8,0,0))-MEDIAN(TIME(8,0,0),MOD(L323,1),TIME(17,0,0)))),IF(M323&lt;&gt;"",M323-L323,NOW()-L323)))</f>
        <v>12388.425641435188</v>
      </c>
      <c r="AE323" s="76">
        <f t="shared" ref="AE323:AE386" si="39">SUMIFS(AB:AB,E:E,E323)</f>
        <v>0</v>
      </c>
      <c r="AF323" s="75">
        <f t="shared" si="34"/>
        <v>0</v>
      </c>
      <c r="AG323" s="75">
        <f t="shared" si="35"/>
        <v>0</v>
      </c>
      <c r="AH323" s="31" t="e" cm="1">
        <f t="array" aca="1" ref="AH323" ca="1">IF((AD323) &lt; (INDEX(ResponseSLA[#All],(MATCH((G323),ResponseSLA[Priority],0))+1,3)),"YES","No")</f>
        <v>#N/A</v>
      </c>
      <c r="AI323" s="31" t="str">
        <f>_xlfn.IFNA(IF(AE323 &lt; (INDEX(SLATable[Minimum SLA],MATCH(G323,SLATable[Priority],0))),"YES","NO"),"")</f>
        <v/>
      </c>
      <c r="AJ323" t="str">
        <f>_xlfn.IFNA(IF(AE323 &lt; (INDEX(SLATable[Maximum SLA],MATCH(G323,SLATable[Priority],0))),"YES","NO"),"")</f>
        <v/>
      </c>
    </row>
    <row r="324" spans="26:36" ht="15" customHeight="1">
      <c r="Z324" s="76" t="e">
        <f t="shared" ca="1" si="36"/>
        <v>#N/A</v>
      </c>
      <c r="AA324" s="75" t="e">
        <f t="shared" ca="1" si="32"/>
        <v>#N/A</v>
      </c>
      <c r="AB324" s="76">
        <f t="shared" ca="1" si="37"/>
        <v>0</v>
      </c>
      <c r="AC324" s="75">
        <f t="shared" ca="1" si="33"/>
        <v>0</v>
      </c>
      <c r="AD324" s="76">
        <f t="shared" ca="1" si="38"/>
        <v>12388.425641435188</v>
      </c>
      <c r="AE324" s="76">
        <f t="shared" si="39"/>
        <v>0</v>
      </c>
      <c r="AF324" s="75">
        <f t="shared" si="34"/>
        <v>0</v>
      </c>
      <c r="AG324" s="75">
        <f t="shared" si="35"/>
        <v>0</v>
      </c>
      <c r="AH324" s="31" t="e" cm="1">
        <f t="array" aca="1" ref="AH324" ca="1">IF((AD324) &lt; (INDEX(ResponseSLA[#All],(MATCH((G324),ResponseSLA[Priority],0))+1,3)),"YES","No")</f>
        <v>#N/A</v>
      </c>
      <c r="AI324" s="31" t="str">
        <f>_xlfn.IFNA(IF(AE324 &lt; (INDEX(SLATable[Minimum SLA],MATCH(G324,SLATable[Priority],0))),"YES","NO"),"")</f>
        <v/>
      </c>
      <c r="AJ324" t="str">
        <f>_xlfn.IFNA(IF(AE324 &lt; (INDEX(SLATable[Maximum SLA],MATCH(G324,SLATable[Priority],0))),"YES","NO"),"")</f>
        <v/>
      </c>
    </row>
    <row r="325" spans="26:36" ht="15" customHeight="1">
      <c r="Z325" s="76" t="e">
        <f t="shared" ca="1" si="36"/>
        <v>#N/A</v>
      </c>
      <c r="AA325" s="75" t="e">
        <f t="shared" ca="1" si="32"/>
        <v>#N/A</v>
      </c>
      <c r="AB325" s="76">
        <f t="shared" ca="1" si="37"/>
        <v>0</v>
      </c>
      <c r="AC325" s="75">
        <f t="shared" ca="1" si="33"/>
        <v>0</v>
      </c>
      <c r="AD325" s="76">
        <f t="shared" ca="1" si="38"/>
        <v>12388.425641550926</v>
      </c>
      <c r="AE325" s="76">
        <f t="shared" si="39"/>
        <v>0</v>
      </c>
      <c r="AF325" s="75">
        <f t="shared" si="34"/>
        <v>0</v>
      </c>
      <c r="AG325" s="75">
        <f t="shared" si="35"/>
        <v>0</v>
      </c>
      <c r="AH325" s="31" t="e" cm="1">
        <f t="array" aca="1" ref="AH325" ca="1">IF((AD325) &lt; (INDEX(ResponseSLA[#All],(MATCH((G325),ResponseSLA[Priority],0))+1,3)),"YES","No")</f>
        <v>#N/A</v>
      </c>
      <c r="AI325" s="31" t="str">
        <f>_xlfn.IFNA(IF(AE325 &lt; (INDEX(SLATable[Minimum SLA],MATCH(G325,SLATable[Priority],0))),"YES","NO"),"")</f>
        <v/>
      </c>
      <c r="AJ325" t="str">
        <f>_xlfn.IFNA(IF(AE325 &lt; (INDEX(SLATable[Maximum SLA],MATCH(G325,SLATable[Priority],0))),"YES","NO"),"")</f>
        <v/>
      </c>
    </row>
    <row r="326" spans="26:36" ht="15" customHeight="1">
      <c r="Z326" s="76" t="e">
        <f t="shared" ca="1" si="36"/>
        <v>#N/A</v>
      </c>
      <c r="AA326" s="75" t="e">
        <f t="shared" ca="1" si="32"/>
        <v>#N/A</v>
      </c>
      <c r="AB326" s="76">
        <f t="shared" ca="1" si="37"/>
        <v>0</v>
      </c>
      <c r="AC326" s="75">
        <f t="shared" ca="1" si="33"/>
        <v>0</v>
      </c>
      <c r="AD326" s="76">
        <f t="shared" ca="1" si="38"/>
        <v>12388.425641435188</v>
      </c>
      <c r="AE326" s="76">
        <f t="shared" si="39"/>
        <v>0</v>
      </c>
      <c r="AF326" s="75">
        <f t="shared" si="34"/>
        <v>0</v>
      </c>
      <c r="AG326" s="75">
        <f t="shared" si="35"/>
        <v>0</v>
      </c>
      <c r="AH326" s="31" t="e" cm="1">
        <f t="array" aca="1" ref="AH326" ca="1">IF((AD326) &lt; (INDEX(ResponseSLA[#All],(MATCH((G326),ResponseSLA[Priority],0))+1,3)),"YES","No")</f>
        <v>#N/A</v>
      </c>
      <c r="AI326" s="31" t="str">
        <f>_xlfn.IFNA(IF(AE326 &lt; (INDEX(SLATable[Minimum SLA],MATCH(G326,SLATable[Priority],0))),"YES","NO"),"")</f>
        <v/>
      </c>
      <c r="AJ326" t="str">
        <f>_xlfn.IFNA(IF(AE326 &lt; (INDEX(SLATable[Maximum SLA],MATCH(G326,SLATable[Priority],0))),"YES","NO"),"")</f>
        <v/>
      </c>
    </row>
    <row r="327" spans="26:36" ht="15" customHeight="1">
      <c r="Z327" s="76" t="e">
        <f t="shared" ca="1" si="36"/>
        <v>#N/A</v>
      </c>
      <c r="AA327" s="75" t="e">
        <f t="shared" ca="1" si="32"/>
        <v>#N/A</v>
      </c>
      <c r="AB327" s="76">
        <f t="shared" ca="1" si="37"/>
        <v>0</v>
      </c>
      <c r="AC327" s="75">
        <f t="shared" ca="1" si="33"/>
        <v>0</v>
      </c>
      <c r="AD327" s="76">
        <f t="shared" ca="1" si="38"/>
        <v>12388.425641435188</v>
      </c>
      <c r="AE327" s="76">
        <f t="shared" si="39"/>
        <v>0</v>
      </c>
      <c r="AF327" s="75">
        <f t="shared" si="34"/>
        <v>0</v>
      </c>
      <c r="AG327" s="75">
        <f t="shared" si="35"/>
        <v>0</v>
      </c>
      <c r="AH327" s="31" t="e" cm="1">
        <f t="array" aca="1" ref="AH327" ca="1">IF((AD327) &lt; (INDEX(ResponseSLA[#All],(MATCH((G327),ResponseSLA[Priority],0))+1,3)),"YES","No")</f>
        <v>#N/A</v>
      </c>
      <c r="AI327" s="31" t="str">
        <f>_xlfn.IFNA(IF(AE327 &lt; (INDEX(SLATable[Minimum SLA],MATCH(G327,SLATable[Priority],0))),"YES","NO"),"")</f>
        <v/>
      </c>
      <c r="AJ327" t="str">
        <f>_xlfn.IFNA(IF(AE327 &lt; (INDEX(SLATable[Maximum SLA],MATCH(G327,SLATable[Priority],0))),"YES","NO"),"")</f>
        <v/>
      </c>
    </row>
    <row r="328" spans="26:36" ht="15" customHeight="1">
      <c r="Z328" s="76" t="e">
        <f t="shared" ca="1" si="36"/>
        <v>#N/A</v>
      </c>
      <c r="AA328" s="75" t="e">
        <f t="shared" ca="1" si="32"/>
        <v>#N/A</v>
      </c>
      <c r="AB328" s="76">
        <f t="shared" ca="1" si="37"/>
        <v>0</v>
      </c>
      <c r="AC328" s="75">
        <f t="shared" ca="1" si="33"/>
        <v>0</v>
      </c>
      <c r="AD328" s="76">
        <f t="shared" ca="1" si="38"/>
        <v>12388.425641550926</v>
      </c>
      <c r="AE328" s="76">
        <f t="shared" si="39"/>
        <v>0</v>
      </c>
      <c r="AF328" s="75">
        <f t="shared" si="34"/>
        <v>0</v>
      </c>
      <c r="AG328" s="75">
        <f t="shared" si="35"/>
        <v>0</v>
      </c>
      <c r="AH328" s="31" t="e" cm="1">
        <f t="array" aca="1" ref="AH328" ca="1">IF((AD328) &lt; (INDEX(ResponseSLA[#All],(MATCH((G328),ResponseSLA[Priority],0))+1,3)),"YES","No")</f>
        <v>#N/A</v>
      </c>
      <c r="AI328" s="31" t="str">
        <f>_xlfn.IFNA(IF(AE328 &lt; (INDEX(SLATable[Minimum SLA],MATCH(G328,SLATable[Priority],0))),"YES","NO"),"")</f>
        <v/>
      </c>
      <c r="AJ328" t="str">
        <f>_xlfn.IFNA(IF(AE328 &lt; (INDEX(SLATable[Maximum SLA],MATCH(G328,SLATable[Priority],0))),"YES","NO"),"")</f>
        <v/>
      </c>
    </row>
    <row r="329" spans="26:36" ht="15" customHeight="1">
      <c r="Z329" s="76" t="e">
        <f t="shared" ca="1" si="36"/>
        <v>#N/A</v>
      </c>
      <c r="AA329" s="75" t="e">
        <f t="shared" ca="1" si="32"/>
        <v>#N/A</v>
      </c>
      <c r="AB329" s="76">
        <f t="shared" ca="1" si="37"/>
        <v>0</v>
      </c>
      <c r="AC329" s="75">
        <f t="shared" ca="1" si="33"/>
        <v>0</v>
      </c>
      <c r="AD329" s="76">
        <f t="shared" ca="1" si="38"/>
        <v>12388.425641435188</v>
      </c>
      <c r="AE329" s="76">
        <f t="shared" si="39"/>
        <v>0</v>
      </c>
      <c r="AF329" s="75">
        <f t="shared" si="34"/>
        <v>0</v>
      </c>
      <c r="AG329" s="75">
        <f t="shared" si="35"/>
        <v>0</v>
      </c>
      <c r="AH329" s="31" t="e" cm="1">
        <f t="array" aca="1" ref="AH329" ca="1">IF((AD329) &lt; (INDEX(ResponseSLA[#All],(MATCH((G329),ResponseSLA[Priority],0))+1,3)),"YES","No")</f>
        <v>#N/A</v>
      </c>
      <c r="AI329" s="31" t="str">
        <f>_xlfn.IFNA(IF(AE329 &lt; (INDEX(SLATable[Minimum SLA],MATCH(G329,SLATable[Priority],0))),"YES","NO"),"")</f>
        <v/>
      </c>
      <c r="AJ329" t="str">
        <f>_xlfn.IFNA(IF(AE329 &lt; (INDEX(SLATable[Maximum SLA],MATCH(G329,SLATable[Priority],0))),"YES","NO"),"")</f>
        <v/>
      </c>
    </row>
    <row r="330" spans="26:36" ht="15" customHeight="1">
      <c r="Z330" s="76" t="e">
        <f t="shared" ca="1" si="36"/>
        <v>#N/A</v>
      </c>
      <c r="AA330" s="75" t="e">
        <f t="shared" ca="1" si="32"/>
        <v>#N/A</v>
      </c>
      <c r="AB330" s="76">
        <f t="shared" ca="1" si="37"/>
        <v>0</v>
      </c>
      <c r="AC330" s="75">
        <f t="shared" ca="1" si="33"/>
        <v>0</v>
      </c>
      <c r="AD330" s="76">
        <f t="shared" ca="1" si="38"/>
        <v>12388.425641435188</v>
      </c>
      <c r="AE330" s="76">
        <f t="shared" si="39"/>
        <v>0</v>
      </c>
      <c r="AF330" s="75">
        <f t="shared" si="34"/>
        <v>0</v>
      </c>
      <c r="AG330" s="75">
        <f t="shared" si="35"/>
        <v>0</v>
      </c>
      <c r="AH330" s="31" t="e" cm="1">
        <f t="array" aca="1" ref="AH330" ca="1">IF((AD330) &lt; (INDEX(ResponseSLA[#All],(MATCH((G330),ResponseSLA[Priority],0))+1,3)),"YES","No")</f>
        <v>#N/A</v>
      </c>
      <c r="AI330" s="31" t="str">
        <f>_xlfn.IFNA(IF(AE330 &lt; (INDEX(SLATable[Minimum SLA],MATCH(G330,SLATable[Priority],0))),"YES","NO"),"")</f>
        <v/>
      </c>
      <c r="AJ330" t="str">
        <f>_xlfn.IFNA(IF(AE330 &lt; (INDEX(SLATable[Maximum SLA],MATCH(G330,SLATable[Priority],0))),"YES","NO"),"")</f>
        <v/>
      </c>
    </row>
    <row r="331" spans="26:36" ht="15" customHeight="1">
      <c r="Z331" s="76" t="e">
        <f t="shared" ca="1" si="36"/>
        <v>#N/A</v>
      </c>
      <c r="AA331" s="75" t="e">
        <f t="shared" ca="1" si="32"/>
        <v>#N/A</v>
      </c>
      <c r="AB331" s="76">
        <f t="shared" ca="1" si="37"/>
        <v>0</v>
      </c>
      <c r="AC331" s="75">
        <f t="shared" ca="1" si="33"/>
        <v>0</v>
      </c>
      <c r="AD331" s="76">
        <f t="shared" ca="1" si="38"/>
        <v>12388.425641550926</v>
      </c>
      <c r="AE331" s="76">
        <f t="shared" si="39"/>
        <v>0</v>
      </c>
      <c r="AF331" s="75">
        <f t="shared" si="34"/>
        <v>0</v>
      </c>
      <c r="AG331" s="75">
        <f t="shared" si="35"/>
        <v>0</v>
      </c>
      <c r="AH331" s="31" t="e" cm="1">
        <f t="array" aca="1" ref="AH331" ca="1">IF((AD331) &lt; (INDEX(ResponseSLA[#All],(MATCH((G331),ResponseSLA[Priority],0))+1,3)),"YES","No")</f>
        <v>#N/A</v>
      </c>
      <c r="AI331" s="31" t="str">
        <f>_xlfn.IFNA(IF(AE331 &lt; (INDEX(SLATable[Minimum SLA],MATCH(G331,SLATable[Priority],0))),"YES","NO"),"")</f>
        <v/>
      </c>
      <c r="AJ331" t="str">
        <f>_xlfn.IFNA(IF(AE331 &lt; (INDEX(SLATable[Maximum SLA],MATCH(G331,SLATable[Priority],0))),"YES","NO"),"")</f>
        <v/>
      </c>
    </row>
    <row r="332" spans="26:36" ht="15" customHeight="1">
      <c r="Z332" s="76" t="e">
        <f t="shared" ca="1" si="36"/>
        <v>#N/A</v>
      </c>
      <c r="AA332" s="75" t="e">
        <f t="shared" ca="1" si="32"/>
        <v>#N/A</v>
      </c>
      <c r="AB332" s="76">
        <f t="shared" ca="1" si="37"/>
        <v>0</v>
      </c>
      <c r="AC332" s="75">
        <f t="shared" ca="1" si="33"/>
        <v>0</v>
      </c>
      <c r="AD332" s="76">
        <f t="shared" ca="1" si="38"/>
        <v>12388.425641435188</v>
      </c>
      <c r="AE332" s="76">
        <f t="shared" si="39"/>
        <v>0</v>
      </c>
      <c r="AF332" s="75">
        <f t="shared" si="34"/>
        <v>0</v>
      </c>
      <c r="AG332" s="75">
        <f t="shared" si="35"/>
        <v>0</v>
      </c>
      <c r="AH332" s="31" t="e" cm="1">
        <f t="array" aca="1" ref="AH332" ca="1">IF((AD332) &lt; (INDEX(ResponseSLA[#All],(MATCH((G332),ResponseSLA[Priority],0))+1,3)),"YES","No")</f>
        <v>#N/A</v>
      </c>
      <c r="AI332" s="31" t="str">
        <f>_xlfn.IFNA(IF(AE332 &lt; (INDEX(SLATable[Minimum SLA],MATCH(G332,SLATable[Priority],0))),"YES","NO"),"")</f>
        <v/>
      </c>
      <c r="AJ332" t="str">
        <f>_xlfn.IFNA(IF(AE332 &lt; (INDEX(SLATable[Maximum SLA],MATCH(G332,SLATable[Priority],0))),"YES","NO"),"")</f>
        <v/>
      </c>
    </row>
    <row r="333" spans="26:36" ht="15" customHeight="1">
      <c r="Z333" s="76" t="e">
        <f t="shared" ca="1" si="36"/>
        <v>#N/A</v>
      </c>
      <c r="AA333" s="75" t="e">
        <f t="shared" ca="1" si="32"/>
        <v>#N/A</v>
      </c>
      <c r="AB333" s="76">
        <f t="shared" ca="1" si="37"/>
        <v>0</v>
      </c>
      <c r="AC333" s="75">
        <f t="shared" ca="1" si="33"/>
        <v>0</v>
      </c>
      <c r="AD333" s="76">
        <f t="shared" ca="1" si="38"/>
        <v>12388.425641435188</v>
      </c>
      <c r="AE333" s="76">
        <f t="shared" si="39"/>
        <v>0</v>
      </c>
      <c r="AF333" s="75">
        <f t="shared" si="34"/>
        <v>0</v>
      </c>
      <c r="AG333" s="75">
        <f t="shared" si="35"/>
        <v>0</v>
      </c>
      <c r="AH333" s="31" t="e" cm="1">
        <f t="array" aca="1" ref="AH333" ca="1">IF((AD333) &lt; (INDEX(ResponseSLA[#All],(MATCH((G333),ResponseSLA[Priority],0))+1,3)),"YES","No")</f>
        <v>#N/A</v>
      </c>
      <c r="AI333" s="31" t="str">
        <f>_xlfn.IFNA(IF(AE333 &lt; (INDEX(SLATable[Minimum SLA],MATCH(G333,SLATable[Priority],0))),"YES","NO"),"")</f>
        <v/>
      </c>
      <c r="AJ333" t="str">
        <f>_xlfn.IFNA(IF(AE333 &lt; (INDEX(SLATable[Maximum SLA],MATCH(G333,SLATable[Priority],0))),"YES","NO"),"")</f>
        <v/>
      </c>
    </row>
    <row r="334" spans="26:36" ht="15" customHeight="1">
      <c r="Z334" s="76" t="e">
        <f t="shared" ca="1" si="36"/>
        <v>#N/A</v>
      </c>
      <c r="AA334" s="75" t="e">
        <f t="shared" ca="1" si="32"/>
        <v>#N/A</v>
      </c>
      <c r="AB334" s="76">
        <f t="shared" ca="1" si="37"/>
        <v>0</v>
      </c>
      <c r="AC334" s="75">
        <f t="shared" ca="1" si="33"/>
        <v>0</v>
      </c>
      <c r="AD334" s="76">
        <f t="shared" ca="1" si="38"/>
        <v>12388.425641550926</v>
      </c>
      <c r="AE334" s="76">
        <f t="shared" si="39"/>
        <v>0</v>
      </c>
      <c r="AF334" s="75">
        <f t="shared" si="34"/>
        <v>0</v>
      </c>
      <c r="AG334" s="75">
        <f t="shared" si="35"/>
        <v>0</v>
      </c>
      <c r="AH334" s="31" t="e" cm="1">
        <f t="array" aca="1" ref="AH334" ca="1">IF((AD334) &lt; (INDEX(ResponseSLA[#All],(MATCH((G334),ResponseSLA[Priority],0))+1,3)),"YES","No")</f>
        <v>#N/A</v>
      </c>
      <c r="AI334" s="31" t="str">
        <f>_xlfn.IFNA(IF(AE334 &lt; (INDEX(SLATable[Minimum SLA],MATCH(G334,SLATable[Priority],0))),"YES","NO"),"")</f>
        <v/>
      </c>
      <c r="AJ334" t="str">
        <f>_xlfn.IFNA(IF(AE334 &lt; (INDEX(SLATable[Maximum SLA],MATCH(G334,SLATable[Priority],0))),"YES","NO"),"")</f>
        <v/>
      </c>
    </row>
    <row r="335" spans="26:36" ht="15" customHeight="1">
      <c r="Z335" s="76" t="e">
        <f t="shared" ca="1" si="36"/>
        <v>#N/A</v>
      </c>
      <c r="AA335" s="75" t="e">
        <f t="shared" ca="1" si="32"/>
        <v>#N/A</v>
      </c>
      <c r="AB335" s="76">
        <f t="shared" ca="1" si="37"/>
        <v>0</v>
      </c>
      <c r="AC335" s="75">
        <f t="shared" ca="1" si="33"/>
        <v>0</v>
      </c>
      <c r="AD335" s="76">
        <f t="shared" ca="1" si="38"/>
        <v>12388.425641435188</v>
      </c>
      <c r="AE335" s="76">
        <f t="shared" si="39"/>
        <v>0</v>
      </c>
      <c r="AF335" s="75">
        <f t="shared" si="34"/>
        <v>0</v>
      </c>
      <c r="AG335" s="75">
        <f t="shared" si="35"/>
        <v>0</v>
      </c>
      <c r="AH335" s="31" t="e" cm="1">
        <f t="array" aca="1" ref="AH335" ca="1">IF((AD335) &lt; (INDEX(ResponseSLA[#All],(MATCH((G335),ResponseSLA[Priority],0))+1,3)),"YES","No")</f>
        <v>#N/A</v>
      </c>
      <c r="AI335" s="31" t="str">
        <f>_xlfn.IFNA(IF(AE335 &lt; (INDEX(SLATable[Minimum SLA],MATCH(G335,SLATable[Priority],0))),"YES","NO"),"")</f>
        <v/>
      </c>
      <c r="AJ335" t="str">
        <f>_xlfn.IFNA(IF(AE335 &lt; (INDEX(SLATable[Maximum SLA],MATCH(G335,SLATable[Priority],0))),"YES","NO"),"")</f>
        <v/>
      </c>
    </row>
    <row r="336" spans="26:36" ht="15" customHeight="1">
      <c r="Z336" s="76" t="e">
        <f t="shared" ca="1" si="36"/>
        <v>#N/A</v>
      </c>
      <c r="AA336" s="75" t="e">
        <f t="shared" ca="1" si="32"/>
        <v>#N/A</v>
      </c>
      <c r="AB336" s="76">
        <f t="shared" ca="1" si="37"/>
        <v>0</v>
      </c>
      <c r="AC336" s="75">
        <f t="shared" ca="1" si="33"/>
        <v>0</v>
      </c>
      <c r="AD336" s="76">
        <f t="shared" ca="1" si="38"/>
        <v>12388.425641435188</v>
      </c>
      <c r="AE336" s="76">
        <f t="shared" si="39"/>
        <v>0</v>
      </c>
      <c r="AF336" s="75">
        <f t="shared" si="34"/>
        <v>0</v>
      </c>
      <c r="AG336" s="75">
        <f t="shared" si="35"/>
        <v>0</v>
      </c>
      <c r="AH336" s="31" t="e" cm="1">
        <f t="array" aca="1" ref="AH336" ca="1">IF((AD336) &lt; (INDEX(ResponseSLA[#All],(MATCH((G336),ResponseSLA[Priority],0))+1,3)),"YES","No")</f>
        <v>#N/A</v>
      </c>
      <c r="AI336" s="31" t="str">
        <f>_xlfn.IFNA(IF(AE336 &lt; (INDEX(SLATable[Minimum SLA],MATCH(G336,SLATable[Priority],0))),"YES","NO"),"")</f>
        <v/>
      </c>
      <c r="AJ336" t="str">
        <f>_xlfn.IFNA(IF(AE336 &lt; (INDEX(SLATable[Maximum SLA],MATCH(G336,SLATable[Priority],0))),"YES","NO"),"")</f>
        <v/>
      </c>
    </row>
    <row r="337" spans="26:36" ht="15" customHeight="1">
      <c r="Z337" s="76" t="e">
        <f t="shared" ca="1" si="36"/>
        <v>#N/A</v>
      </c>
      <c r="AA337" s="75" t="e">
        <f t="shared" ca="1" si="32"/>
        <v>#N/A</v>
      </c>
      <c r="AB337" s="76">
        <f t="shared" ca="1" si="37"/>
        <v>0</v>
      </c>
      <c r="AC337" s="75">
        <f t="shared" ca="1" si="33"/>
        <v>0</v>
      </c>
      <c r="AD337" s="76">
        <f t="shared" ca="1" si="38"/>
        <v>12388.425641550926</v>
      </c>
      <c r="AE337" s="76">
        <f t="shared" si="39"/>
        <v>0</v>
      </c>
      <c r="AF337" s="75">
        <f t="shared" si="34"/>
        <v>0</v>
      </c>
      <c r="AG337" s="75">
        <f t="shared" si="35"/>
        <v>0</v>
      </c>
      <c r="AH337" s="31" t="e" cm="1">
        <f t="array" aca="1" ref="AH337" ca="1">IF((AD337) &lt; (INDEX(ResponseSLA[#All],(MATCH((G337),ResponseSLA[Priority],0))+1,3)),"YES","No")</f>
        <v>#N/A</v>
      </c>
      <c r="AI337" s="31" t="str">
        <f>_xlfn.IFNA(IF(AE337 &lt; (INDEX(SLATable[Minimum SLA],MATCH(G337,SLATable[Priority],0))),"YES","NO"),"")</f>
        <v/>
      </c>
      <c r="AJ337" t="str">
        <f>_xlfn.IFNA(IF(AE337 &lt; (INDEX(SLATable[Maximum SLA],MATCH(G337,SLATable[Priority],0))),"YES","NO"),"")</f>
        <v/>
      </c>
    </row>
    <row r="338" spans="26:36" ht="15" customHeight="1">
      <c r="Z338" s="76" t="e">
        <f t="shared" ca="1" si="36"/>
        <v>#N/A</v>
      </c>
      <c r="AA338" s="75" t="e">
        <f t="shared" ca="1" si="32"/>
        <v>#N/A</v>
      </c>
      <c r="AB338" s="76">
        <f t="shared" ca="1" si="37"/>
        <v>0</v>
      </c>
      <c r="AC338" s="75">
        <f t="shared" ca="1" si="33"/>
        <v>0</v>
      </c>
      <c r="AD338" s="76">
        <f t="shared" ca="1" si="38"/>
        <v>12388.425641435188</v>
      </c>
      <c r="AE338" s="76">
        <f t="shared" si="39"/>
        <v>0</v>
      </c>
      <c r="AF338" s="75">
        <f t="shared" si="34"/>
        <v>0</v>
      </c>
      <c r="AG338" s="75">
        <f t="shared" si="35"/>
        <v>0</v>
      </c>
      <c r="AH338" s="31" t="e" cm="1">
        <f t="array" aca="1" ref="AH338" ca="1">IF((AD338) &lt; (INDEX(ResponseSLA[#All],(MATCH((G338),ResponseSLA[Priority],0))+1,3)),"YES","No")</f>
        <v>#N/A</v>
      </c>
      <c r="AI338" s="31" t="str">
        <f>_xlfn.IFNA(IF(AE338 &lt; (INDEX(SLATable[Minimum SLA],MATCH(G338,SLATable[Priority],0))),"YES","NO"),"")</f>
        <v/>
      </c>
      <c r="AJ338" t="str">
        <f>_xlfn.IFNA(IF(AE338 &lt; (INDEX(SLATable[Maximum SLA],MATCH(G338,SLATable[Priority],0))),"YES","NO"),"")</f>
        <v/>
      </c>
    </row>
    <row r="339" spans="26:36" ht="15" customHeight="1">
      <c r="Z339" s="76" t="e">
        <f t="shared" ca="1" si="36"/>
        <v>#N/A</v>
      </c>
      <c r="AA339" s="75" t="e">
        <f t="shared" ca="1" si="32"/>
        <v>#N/A</v>
      </c>
      <c r="AB339" s="76">
        <f t="shared" ca="1" si="37"/>
        <v>0</v>
      </c>
      <c r="AC339" s="75">
        <f t="shared" ca="1" si="33"/>
        <v>0</v>
      </c>
      <c r="AD339" s="76">
        <f t="shared" ca="1" si="38"/>
        <v>12388.425641435188</v>
      </c>
      <c r="AE339" s="76">
        <f t="shared" si="39"/>
        <v>0</v>
      </c>
      <c r="AF339" s="75">
        <f t="shared" si="34"/>
        <v>0</v>
      </c>
      <c r="AG339" s="75">
        <f t="shared" si="35"/>
        <v>0</v>
      </c>
      <c r="AH339" s="31" t="e" cm="1">
        <f t="array" aca="1" ref="AH339" ca="1">IF((AD339) &lt; (INDEX(ResponseSLA[#All],(MATCH((G339),ResponseSLA[Priority],0))+1,3)),"YES","No")</f>
        <v>#N/A</v>
      </c>
      <c r="AI339" s="31" t="str">
        <f>_xlfn.IFNA(IF(AE339 &lt; (INDEX(SLATable[Minimum SLA],MATCH(G339,SLATable[Priority],0))),"YES","NO"),"")</f>
        <v/>
      </c>
      <c r="AJ339" t="str">
        <f>_xlfn.IFNA(IF(AE339 &lt; (INDEX(SLATable[Maximum SLA],MATCH(G339,SLATable[Priority],0))),"YES","NO"),"")</f>
        <v/>
      </c>
    </row>
    <row r="340" spans="26:36" ht="15" customHeight="1">
      <c r="Z340" s="76" t="e">
        <f t="shared" ca="1" si="36"/>
        <v>#N/A</v>
      </c>
      <c r="AA340" s="75" t="e">
        <f t="shared" ca="1" si="32"/>
        <v>#N/A</v>
      </c>
      <c r="AB340" s="76">
        <f t="shared" ca="1" si="37"/>
        <v>0</v>
      </c>
      <c r="AC340" s="75">
        <f t="shared" ca="1" si="33"/>
        <v>0</v>
      </c>
      <c r="AD340" s="76">
        <f t="shared" ca="1" si="38"/>
        <v>12388.425641550926</v>
      </c>
      <c r="AE340" s="76">
        <f t="shared" si="39"/>
        <v>0</v>
      </c>
      <c r="AF340" s="75">
        <f t="shared" si="34"/>
        <v>0</v>
      </c>
      <c r="AG340" s="75">
        <f t="shared" si="35"/>
        <v>0</v>
      </c>
      <c r="AH340" s="31" t="e" cm="1">
        <f t="array" aca="1" ref="AH340" ca="1">IF((AD340) &lt; (INDEX(ResponseSLA[#All],(MATCH((G340),ResponseSLA[Priority],0))+1,3)),"YES","No")</f>
        <v>#N/A</v>
      </c>
      <c r="AI340" s="31" t="str">
        <f>_xlfn.IFNA(IF(AE340 &lt; (INDEX(SLATable[Minimum SLA],MATCH(G340,SLATable[Priority],0))),"YES","NO"),"")</f>
        <v/>
      </c>
      <c r="AJ340" t="str">
        <f>_xlfn.IFNA(IF(AE340 &lt; (INDEX(SLATable[Maximum SLA],MATCH(G340,SLATable[Priority],0))),"YES","NO"),"")</f>
        <v/>
      </c>
    </row>
    <row r="341" spans="26:36" ht="15" customHeight="1">
      <c r="Z341" s="76" t="e">
        <f t="shared" ca="1" si="36"/>
        <v>#N/A</v>
      </c>
      <c r="AA341" s="75" t="e">
        <f t="shared" ca="1" si="32"/>
        <v>#N/A</v>
      </c>
      <c r="AB341" s="76">
        <f t="shared" ca="1" si="37"/>
        <v>0</v>
      </c>
      <c r="AC341" s="75">
        <f t="shared" ca="1" si="33"/>
        <v>0</v>
      </c>
      <c r="AD341" s="76">
        <f t="shared" ca="1" si="38"/>
        <v>12388.425641435188</v>
      </c>
      <c r="AE341" s="76">
        <f t="shared" si="39"/>
        <v>0</v>
      </c>
      <c r="AF341" s="75">
        <f t="shared" si="34"/>
        <v>0</v>
      </c>
      <c r="AG341" s="75">
        <f t="shared" si="35"/>
        <v>0</v>
      </c>
      <c r="AH341" s="31" t="e" cm="1">
        <f t="array" aca="1" ref="AH341" ca="1">IF((AD341) &lt; (INDEX(ResponseSLA[#All],(MATCH((G341),ResponseSLA[Priority],0))+1,3)),"YES","No")</f>
        <v>#N/A</v>
      </c>
      <c r="AI341" s="31" t="str">
        <f>_xlfn.IFNA(IF(AE341 &lt; (INDEX(SLATable[Minimum SLA],MATCH(G341,SLATable[Priority],0))),"YES","NO"),"")</f>
        <v/>
      </c>
      <c r="AJ341" t="str">
        <f>_xlfn.IFNA(IF(AE341 &lt; (INDEX(SLATable[Maximum SLA],MATCH(G341,SLATable[Priority],0))),"YES","NO"),"")</f>
        <v/>
      </c>
    </row>
    <row r="342" spans="26:36" ht="15" customHeight="1">
      <c r="Z342" s="76" t="e">
        <f t="shared" ca="1" si="36"/>
        <v>#N/A</v>
      </c>
      <c r="AA342" s="75" t="e">
        <f t="shared" ca="1" si="32"/>
        <v>#N/A</v>
      </c>
      <c r="AB342" s="76">
        <f t="shared" ca="1" si="37"/>
        <v>0</v>
      </c>
      <c r="AC342" s="75">
        <f t="shared" ca="1" si="33"/>
        <v>0</v>
      </c>
      <c r="AD342" s="76">
        <f t="shared" ca="1" si="38"/>
        <v>12388.425641435188</v>
      </c>
      <c r="AE342" s="76">
        <f t="shared" si="39"/>
        <v>0</v>
      </c>
      <c r="AF342" s="75">
        <f t="shared" si="34"/>
        <v>0</v>
      </c>
      <c r="AG342" s="75">
        <f t="shared" si="35"/>
        <v>0</v>
      </c>
      <c r="AH342" s="31" t="e" cm="1">
        <f t="array" aca="1" ref="AH342" ca="1">IF((AD342) &lt; (INDEX(ResponseSLA[#All],(MATCH((G342),ResponseSLA[Priority],0))+1,3)),"YES","No")</f>
        <v>#N/A</v>
      </c>
      <c r="AI342" s="31" t="str">
        <f>_xlfn.IFNA(IF(AE342 &lt; (INDEX(SLATable[Minimum SLA],MATCH(G342,SLATable[Priority],0))),"YES","NO"),"")</f>
        <v/>
      </c>
      <c r="AJ342" t="str">
        <f>_xlfn.IFNA(IF(AE342 &lt; (INDEX(SLATable[Maximum SLA],MATCH(G342,SLATable[Priority],0))),"YES","NO"),"")</f>
        <v/>
      </c>
    </row>
    <row r="343" spans="26:36" ht="15" customHeight="1">
      <c r="Z343" s="76" t="e">
        <f t="shared" ca="1" si="36"/>
        <v>#N/A</v>
      </c>
      <c r="AA343" s="75" t="e">
        <f t="shared" ca="1" si="32"/>
        <v>#N/A</v>
      </c>
      <c r="AB343" s="76">
        <f t="shared" ca="1" si="37"/>
        <v>0</v>
      </c>
      <c r="AC343" s="75">
        <f t="shared" ca="1" si="33"/>
        <v>0</v>
      </c>
      <c r="AD343" s="76">
        <f t="shared" ca="1" si="38"/>
        <v>12388.425641550926</v>
      </c>
      <c r="AE343" s="76">
        <f t="shared" si="39"/>
        <v>0</v>
      </c>
      <c r="AF343" s="75">
        <f t="shared" si="34"/>
        <v>0</v>
      </c>
      <c r="AG343" s="75">
        <f t="shared" si="35"/>
        <v>0</v>
      </c>
      <c r="AH343" s="31" t="e" cm="1">
        <f t="array" aca="1" ref="AH343" ca="1">IF((AD343) &lt; (INDEX(ResponseSLA[#All],(MATCH((G343),ResponseSLA[Priority],0))+1,3)),"YES","No")</f>
        <v>#N/A</v>
      </c>
      <c r="AI343" s="31" t="str">
        <f>_xlfn.IFNA(IF(AE343 &lt; (INDEX(SLATable[Minimum SLA],MATCH(G343,SLATable[Priority],0))),"YES","NO"),"")</f>
        <v/>
      </c>
      <c r="AJ343" t="str">
        <f>_xlfn.IFNA(IF(AE343 &lt; (INDEX(SLATable[Maximum SLA],MATCH(G343,SLATable[Priority],0))),"YES","NO"),"")</f>
        <v/>
      </c>
    </row>
    <row r="344" spans="26:36" ht="15" customHeight="1">
      <c r="Z344" s="76" t="e">
        <f t="shared" ca="1" si="36"/>
        <v>#N/A</v>
      </c>
      <c r="AA344" s="75" t="e">
        <f t="shared" ca="1" si="32"/>
        <v>#N/A</v>
      </c>
      <c r="AB344" s="76">
        <f t="shared" ca="1" si="37"/>
        <v>0</v>
      </c>
      <c r="AC344" s="75">
        <f t="shared" ca="1" si="33"/>
        <v>0</v>
      </c>
      <c r="AD344" s="76">
        <f t="shared" ca="1" si="38"/>
        <v>12388.425641435188</v>
      </c>
      <c r="AE344" s="76">
        <f t="shared" si="39"/>
        <v>0</v>
      </c>
      <c r="AF344" s="75">
        <f t="shared" si="34"/>
        <v>0</v>
      </c>
      <c r="AG344" s="75">
        <f t="shared" si="35"/>
        <v>0</v>
      </c>
      <c r="AH344" s="31" t="e" cm="1">
        <f t="array" aca="1" ref="AH344" ca="1">IF((AD344) &lt; (INDEX(ResponseSLA[#All],(MATCH((G344),ResponseSLA[Priority],0))+1,3)),"YES","No")</f>
        <v>#N/A</v>
      </c>
      <c r="AI344" s="31" t="str">
        <f>_xlfn.IFNA(IF(AE344 &lt; (INDEX(SLATable[Minimum SLA],MATCH(G344,SLATable[Priority],0))),"YES","NO"),"")</f>
        <v/>
      </c>
      <c r="AJ344" t="str">
        <f>_xlfn.IFNA(IF(AE344 &lt; (INDEX(SLATable[Maximum SLA],MATCH(G344,SLATable[Priority],0))),"YES","NO"),"")</f>
        <v/>
      </c>
    </row>
    <row r="345" spans="26:36" ht="15" customHeight="1">
      <c r="Z345" s="76" t="e">
        <f t="shared" ca="1" si="36"/>
        <v>#N/A</v>
      </c>
      <c r="AA345" s="75" t="e">
        <f t="shared" ca="1" si="32"/>
        <v>#N/A</v>
      </c>
      <c r="AB345" s="76">
        <f t="shared" ca="1" si="37"/>
        <v>0</v>
      </c>
      <c r="AC345" s="75">
        <f t="shared" ca="1" si="33"/>
        <v>0</v>
      </c>
      <c r="AD345" s="76">
        <f t="shared" ca="1" si="38"/>
        <v>12388.425641435188</v>
      </c>
      <c r="AE345" s="76">
        <f t="shared" si="39"/>
        <v>0</v>
      </c>
      <c r="AF345" s="75">
        <f t="shared" si="34"/>
        <v>0</v>
      </c>
      <c r="AG345" s="75">
        <f t="shared" si="35"/>
        <v>0</v>
      </c>
      <c r="AH345" s="31" t="e" cm="1">
        <f t="array" aca="1" ref="AH345" ca="1">IF((AD345) &lt; (INDEX(ResponseSLA[#All],(MATCH((G345),ResponseSLA[Priority],0))+1,3)),"YES","No")</f>
        <v>#N/A</v>
      </c>
      <c r="AI345" s="31" t="str">
        <f>_xlfn.IFNA(IF(AE345 &lt; (INDEX(SLATable[Minimum SLA],MATCH(G345,SLATable[Priority],0))),"YES","NO"),"")</f>
        <v/>
      </c>
      <c r="AJ345" t="str">
        <f>_xlfn.IFNA(IF(AE345 &lt; (INDEX(SLATable[Maximum SLA],MATCH(G345,SLATable[Priority],0))),"YES","NO"),"")</f>
        <v/>
      </c>
    </row>
    <row r="346" spans="26:36" ht="15" customHeight="1">
      <c r="Z346" s="76" t="e">
        <f t="shared" ca="1" si="36"/>
        <v>#N/A</v>
      </c>
      <c r="AA346" s="75" t="e">
        <f t="shared" ca="1" si="32"/>
        <v>#N/A</v>
      </c>
      <c r="AB346" s="76">
        <f t="shared" ca="1" si="37"/>
        <v>0</v>
      </c>
      <c r="AC346" s="75">
        <f t="shared" ca="1" si="33"/>
        <v>0</v>
      </c>
      <c r="AD346" s="76">
        <f t="shared" ca="1" si="38"/>
        <v>12388.425641550926</v>
      </c>
      <c r="AE346" s="76">
        <f t="shared" si="39"/>
        <v>0</v>
      </c>
      <c r="AF346" s="75">
        <f t="shared" si="34"/>
        <v>0</v>
      </c>
      <c r="AG346" s="75">
        <f t="shared" si="35"/>
        <v>0</v>
      </c>
      <c r="AH346" s="31" t="e" cm="1">
        <f t="array" aca="1" ref="AH346" ca="1">IF((AD346) &lt; (INDEX(ResponseSLA[#All],(MATCH((G346),ResponseSLA[Priority],0))+1,3)),"YES","No")</f>
        <v>#N/A</v>
      </c>
      <c r="AI346" s="31" t="str">
        <f>_xlfn.IFNA(IF(AE346 &lt; (INDEX(SLATable[Minimum SLA],MATCH(G346,SLATable[Priority],0))),"YES","NO"),"")</f>
        <v/>
      </c>
      <c r="AJ346" t="str">
        <f>_xlfn.IFNA(IF(AE346 &lt; (INDEX(SLATable[Maximum SLA],MATCH(G346,SLATable[Priority],0))),"YES","NO"),"")</f>
        <v/>
      </c>
    </row>
    <row r="347" spans="26:36" ht="15" customHeight="1">
      <c r="Z347" s="76" t="e">
        <f t="shared" ca="1" si="36"/>
        <v>#N/A</v>
      </c>
      <c r="AA347" s="75" t="e">
        <f t="shared" ca="1" si="32"/>
        <v>#N/A</v>
      </c>
      <c r="AB347" s="76">
        <f t="shared" ca="1" si="37"/>
        <v>0</v>
      </c>
      <c r="AC347" s="75">
        <f t="shared" ca="1" si="33"/>
        <v>0</v>
      </c>
      <c r="AD347" s="76">
        <f t="shared" ca="1" si="38"/>
        <v>12388.425641435188</v>
      </c>
      <c r="AE347" s="76">
        <f t="shared" si="39"/>
        <v>0</v>
      </c>
      <c r="AF347" s="75">
        <f t="shared" si="34"/>
        <v>0</v>
      </c>
      <c r="AG347" s="75">
        <f t="shared" si="35"/>
        <v>0</v>
      </c>
      <c r="AH347" s="31" t="e" cm="1">
        <f t="array" aca="1" ref="AH347" ca="1">IF((AD347) &lt; (INDEX(ResponseSLA[#All],(MATCH((G347),ResponseSLA[Priority],0))+1,3)),"YES","No")</f>
        <v>#N/A</v>
      </c>
      <c r="AI347" s="31" t="str">
        <f>_xlfn.IFNA(IF(AE347 &lt; (INDEX(SLATable[Minimum SLA],MATCH(G347,SLATable[Priority],0))),"YES","NO"),"")</f>
        <v/>
      </c>
      <c r="AJ347" t="str">
        <f>_xlfn.IFNA(IF(AE347 &lt; (INDEX(SLATable[Maximum SLA],MATCH(G347,SLATable[Priority],0))),"YES","NO"),"")</f>
        <v/>
      </c>
    </row>
    <row r="348" spans="26:36" ht="15" customHeight="1">
      <c r="Z348" s="76" t="e">
        <f t="shared" ca="1" si="36"/>
        <v>#N/A</v>
      </c>
      <c r="AA348" s="75" t="e">
        <f t="shared" ca="1" si="32"/>
        <v>#N/A</v>
      </c>
      <c r="AB348" s="76">
        <f t="shared" ca="1" si="37"/>
        <v>0</v>
      </c>
      <c r="AC348" s="75">
        <f t="shared" ca="1" si="33"/>
        <v>0</v>
      </c>
      <c r="AD348" s="76">
        <f t="shared" ca="1" si="38"/>
        <v>12388.425641435188</v>
      </c>
      <c r="AE348" s="76">
        <f t="shared" si="39"/>
        <v>0</v>
      </c>
      <c r="AF348" s="75">
        <f t="shared" si="34"/>
        <v>0</v>
      </c>
      <c r="AG348" s="75">
        <f t="shared" si="35"/>
        <v>0</v>
      </c>
      <c r="AH348" s="31" t="e" cm="1">
        <f t="array" aca="1" ref="AH348" ca="1">IF((AD348) &lt; (INDEX(ResponseSLA[#All],(MATCH((G348),ResponseSLA[Priority],0))+1,3)),"YES","No")</f>
        <v>#N/A</v>
      </c>
      <c r="AI348" s="31" t="str">
        <f>_xlfn.IFNA(IF(AE348 &lt; (INDEX(SLATable[Minimum SLA],MATCH(G348,SLATable[Priority],0))),"YES","NO"),"")</f>
        <v/>
      </c>
      <c r="AJ348" t="str">
        <f>_xlfn.IFNA(IF(AE348 &lt; (INDEX(SLATable[Maximum SLA],MATCH(G348,SLATable[Priority],0))),"YES","NO"),"")</f>
        <v/>
      </c>
    </row>
    <row r="349" spans="26:36" ht="15" customHeight="1">
      <c r="Z349" s="76" t="e">
        <f t="shared" ca="1" si="36"/>
        <v>#N/A</v>
      </c>
      <c r="AA349" s="75" t="e">
        <f t="shared" ca="1" si="32"/>
        <v>#N/A</v>
      </c>
      <c r="AB349" s="76">
        <f t="shared" ca="1" si="37"/>
        <v>0</v>
      </c>
      <c r="AC349" s="75">
        <f t="shared" ca="1" si="33"/>
        <v>0</v>
      </c>
      <c r="AD349" s="76">
        <f t="shared" ca="1" si="38"/>
        <v>12388.425641550926</v>
      </c>
      <c r="AE349" s="76">
        <f t="shared" si="39"/>
        <v>0</v>
      </c>
      <c r="AF349" s="75">
        <f t="shared" si="34"/>
        <v>0</v>
      </c>
      <c r="AG349" s="75">
        <f t="shared" si="35"/>
        <v>0</v>
      </c>
      <c r="AH349" s="31" t="e" cm="1">
        <f t="array" aca="1" ref="AH349" ca="1">IF((AD349) &lt; (INDEX(ResponseSLA[#All],(MATCH((G349),ResponseSLA[Priority],0))+1,3)),"YES","No")</f>
        <v>#N/A</v>
      </c>
      <c r="AI349" s="31" t="str">
        <f>_xlfn.IFNA(IF(AE349 &lt; (INDEX(SLATable[Minimum SLA],MATCH(G349,SLATable[Priority],0))),"YES","NO"),"")</f>
        <v/>
      </c>
      <c r="AJ349" t="str">
        <f>_xlfn.IFNA(IF(AE349 &lt; (INDEX(SLATable[Maximum SLA],MATCH(G349,SLATable[Priority],0))),"YES","NO"),"")</f>
        <v/>
      </c>
    </row>
    <row r="350" spans="26:36" ht="15" customHeight="1">
      <c r="Z350" s="76" t="e">
        <f t="shared" ca="1" si="36"/>
        <v>#N/A</v>
      </c>
      <c r="AA350" s="75" t="e">
        <f t="shared" ca="1" si="32"/>
        <v>#N/A</v>
      </c>
      <c r="AB350" s="76">
        <f t="shared" ca="1" si="37"/>
        <v>0</v>
      </c>
      <c r="AC350" s="75">
        <f t="shared" ca="1" si="33"/>
        <v>0</v>
      </c>
      <c r="AD350" s="76">
        <f t="shared" ca="1" si="38"/>
        <v>12388.425641435188</v>
      </c>
      <c r="AE350" s="76">
        <f t="shared" si="39"/>
        <v>0</v>
      </c>
      <c r="AF350" s="75">
        <f t="shared" si="34"/>
        <v>0</v>
      </c>
      <c r="AG350" s="75">
        <f t="shared" si="35"/>
        <v>0</v>
      </c>
      <c r="AH350" s="31" t="e" cm="1">
        <f t="array" aca="1" ref="AH350" ca="1">IF((AD350) &lt; (INDEX(ResponseSLA[#All],(MATCH((G350),ResponseSLA[Priority],0))+1,3)),"YES","No")</f>
        <v>#N/A</v>
      </c>
      <c r="AI350" s="31" t="str">
        <f>_xlfn.IFNA(IF(AE350 &lt; (INDEX(SLATable[Minimum SLA],MATCH(G350,SLATable[Priority],0))),"YES","NO"),"")</f>
        <v/>
      </c>
      <c r="AJ350" t="str">
        <f>_xlfn.IFNA(IF(AE350 &lt; (INDEX(SLATable[Maximum SLA],MATCH(G350,SLATable[Priority],0))),"YES","NO"),"")</f>
        <v/>
      </c>
    </row>
    <row r="351" spans="26:36" ht="15" customHeight="1">
      <c r="Z351" s="76" t="e">
        <f t="shared" ca="1" si="36"/>
        <v>#N/A</v>
      </c>
      <c r="AA351" s="75" t="e">
        <f t="shared" ca="1" si="32"/>
        <v>#N/A</v>
      </c>
      <c r="AB351" s="76">
        <f t="shared" ca="1" si="37"/>
        <v>0</v>
      </c>
      <c r="AC351" s="75">
        <f t="shared" ca="1" si="33"/>
        <v>0</v>
      </c>
      <c r="AD351" s="76">
        <f t="shared" ca="1" si="38"/>
        <v>12388.425641435188</v>
      </c>
      <c r="AE351" s="76">
        <f t="shared" si="39"/>
        <v>0</v>
      </c>
      <c r="AF351" s="75">
        <f t="shared" si="34"/>
        <v>0</v>
      </c>
      <c r="AG351" s="75">
        <f t="shared" si="35"/>
        <v>0</v>
      </c>
      <c r="AH351" s="31" t="e" cm="1">
        <f t="array" aca="1" ref="AH351" ca="1">IF((AD351) &lt; (INDEX(ResponseSLA[#All],(MATCH((G351),ResponseSLA[Priority],0))+1,3)),"YES","No")</f>
        <v>#N/A</v>
      </c>
      <c r="AI351" s="31" t="str">
        <f>_xlfn.IFNA(IF(AE351 &lt; (INDEX(SLATable[Minimum SLA],MATCH(G351,SLATable[Priority],0))),"YES","NO"),"")</f>
        <v/>
      </c>
      <c r="AJ351" t="str">
        <f>_xlfn.IFNA(IF(AE351 &lt; (INDEX(SLATable[Maximum SLA],MATCH(G351,SLATable[Priority],0))),"YES","NO"),"")</f>
        <v/>
      </c>
    </row>
    <row r="352" spans="26:36" ht="15" customHeight="1">
      <c r="Z352" s="76" t="e">
        <f t="shared" ca="1" si="36"/>
        <v>#N/A</v>
      </c>
      <c r="AA352" s="75" t="e">
        <f t="shared" ca="1" si="32"/>
        <v>#N/A</v>
      </c>
      <c r="AB352" s="76">
        <f t="shared" ca="1" si="37"/>
        <v>0</v>
      </c>
      <c r="AC352" s="75">
        <f t="shared" ca="1" si="33"/>
        <v>0</v>
      </c>
      <c r="AD352" s="76">
        <f t="shared" ca="1" si="38"/>
        <v>12388.425641550926</v>
      </c>
      <c r="AE352" s="76">
        <f t="shared" si="39"/>
        <v>0</v>
      </c>
      <c r="AF352" s="75">
        <f t="shared" si="34"/>
        <v>0</v>
      </c>
      <c r="AG352" s="75">
        <f t="shared" si="35"/>
        <v>0</v>
      </c>
      <c r="AH352" s="31" t="e" cm="1">
        <f t="array" aca="1" ref="AH352" ca="1">IF((AD352) &lt; (INDEX(ResponseSLA[#All],(MATCH((G352),ResponseSLA[Priority],0))+1,3)),"YES","No")</f>
        <v>#N/A</v>
      </c>
      <c r="AI352" s="31" t="str">
        <f>_xlfn.IFNA(IF(AE352 &lt; (INDEX(SLATable[Minimum SLA],MATCH(G352,SLATable[Priority],0))),"YES","NO"),"")</f>
        <v/>
      </c>
      <c r="AJ352" t="str">
        <f>_xlfn.IFNA(IF(AE352 &lt; (INDEX(SLATable[Maximum SLA],MATCH(G352,SLATable[Priority],0))),"YES","NO"),"")</f>
        <v/>
      </c>
    </row>
    <row r="353" spans="26:36" ht="15" customHeight="1">
      <c r="Z353" s="76" t="e">
        <f t="shared" ca="1" si="36"/>
        <v>#N/A</v>
      </c>
      <c r="AA353" s="75" t="e">
        <f t="shared" ca="1" si="32"/>
        <v>#N/A</v>
      </c>
      <c r="AB353" s="76">
        <f t="shared" ca="1" si="37"/>
        <v>0</v>
      </c>
      <c r="AC353" s="75">
        <f t="shared" ca="1" si="33"/>
        <v>0</v>
      </c>
      <c r="AD353" s="76">
        <f t="shared" ca="1" si="38"/>
        <v>12388.425641435188</v>
      </c>
      <c r="AE353" s="76">
        <f t="shared" si="39"/>
        <v>0</v>
      </c>
      <c r="AF353" s="75">
        <f t="shared" si="34"/>
        <v>0</v>
      </c>
      <c r="AG353" s="75">
        <f t="shared" si="35"/>
        <v>0</v>
      </c>
      <c r="AH353" s="31" t="e" cm="1">
        <f t="array" aca="1" ref="AH353" ca="1">IF((AD353) &lt; (INDEX(ResponseSLA[#All],(MATCH((G353),ResponseSLA[Priority],0))+1,3)),"YES","No")</f>
        <v>#N/A</v>
      </c>
      <c r="AI353" s="31" t="str">
        <f>_xlfn.IFNA(IF(AE353 &lt; (INDEX(SLATable[Minimum SLA],MATCH(G353,SLATable[Priority],0))),"YES","NO"),"")</f>
        <v/>
      </c>
      <c r="AJ353" t="str">
        <f>_xlfn.IFNA(IF(AE353 &lt; (INDEX(SLATable[Maximum SLA],MATCH(G353,SLATable[Priority],0))),"YES","NO"),"")</f>
        <v/>
      </c>
    </row>
    <row r="354" spans="26:36" ht="15" customHeight="1">
      <c r="Z354" s="76" t="e">
        <f t="shared" ca="1" si="36"/>
        <v>#N/A</v>
      </c>
      <c r="AA354" s="75" t="e">
        <f t="shared" ca="1" si="32"/>
        <v>#N/A</v>
      </c>
      <c r="AB354" s="76">
        <f t="shared" ca="1" si="37"/>
        <v>0</v>
      </c>
      <c r="AC354" s="75">
        <f t="shared" ca="1" si="33"/>
        <v>0</v>
      </c>
      <c r="AD354" s="76">
        <f t="shared" ca="1" si="38"/>
        <v>12388.425641435188</v>
      </c>
      <c r="AE354" s="76">
        <f t="shared" si="39"/>
        <v>0</v>
      </c>
      <c r="AF354" s="75">
        <f t="shared" si="34"/>
        <v>0</v>
      </c>
      <c r="AG354" s="75">
        <f t="shared" si="35"/>
        <v>0</v>
      </c>
      <c r="AH354" s="31" t="e" cm="1">
        <f t="array" aca="1" ref="AH354" ca="1">IF((AD354) &lt; (INDEX(ResponseSLA[#All],(MATCH((G354),ResponseSLA[Priority],0))+1,3)),"YES","No")</f>
        <v>#N/A</v>
      </c>
      <c r="AI354" s="31" t="str">
        <f>_xlfn.IFNA(IF(AE354 &lt; (INDEX(SLATable[Minimum SLA],MATCH(G354,SLATable[Priority],0))),"YES","NO"),"")</f>
        <v/>
      </c>
      <c r="AJ354" t="str">
        <f>_xlfn.IFNA(IF(AE354 &lt; (INDEX(SLATable[Maximum SLA],MATCH(G354,SLATable[Priority],0))),"YES","NO"),"")</f>
        <v/>
      </c>
    </row>
    <row r="355" spans="26:36" ht="15" customHeight="1">
      <c r="Z355" s="76" t="e">
        <f t="shared" ca="1" si="36"/>
        <v>#N/A</v>
      </c>
      <c r="AA355" s="75" t="e">
        <f t="shared" ca="1" si="32"/>
        <v>#N/A</v>
      </c>
      <c r="AB355" s="76">
        <f t="shared" ca="1" si="37"/>
        <v>0</v>
      </c>
      <c r="AC355" s="75">
        <f t="shared" ca="1" si="33"/>
        <v>0</v>
      </c>
      <c r="AD355" s="76">
        <f t="shared" ca="1" si="38"/>
        <v>12388.425641550926</v>
      </c>
      <c r="AE355" s="76">
        <f t="shared" si="39"/>
        <v>0</v>
      </c>
      <c r="AF355" s="75">
        <f t="shared" si="34"/>
        <v>0</v>
      </c>
      <c r="AG355" s="75">
        <f t="shared" si="35"/>
        <v>0</v>
      </c>
      <c r="AH355" s="31" t="e" cm="1">
        <f t="array" aca="1" ref="AH355" ca="1">IF((AD355) &lt; (INDEX(ResponseSLA[#All],(MATCH((G355),ResponseSLA[Priority],0))+1,3)),"YES","No")</f>
        <v>#N/A</v>
      </c>
      <c r="AI355" s="31" t="str">
        <f>_xlfn.IFNA(IF(AE355 &lt; (INDEX(SLATable[Minimum SLA],MATCH(G355,SLATable[Priority],0))),"YES","NO"),"")</f>
        <v/>
      </c>
      <c r="AJ355" t="str">
        <f>_xlfn.IFNA(IF(AE355 &lt; (INDEX(SLATable[Maximum SLA],MATCH(G355,SLATable[Priority],0))),"YES","NO"),"")</f>
        <v/>
      </c>
    </row>
    <row r="356" spans="26:36" ht="15" customHeight="1">
      <c r="Z356" s="76" t="e">
        <f t="shared" ca="1" si="36"/>
        <v>#N/A</v>
      </c>
      <c r="AA356" s="75" t="e">
        <f t="shared" ca="1" si="32"/>
        <v>#N/A</v>
      </c>
      <c r="AB356" s="76">
        <f t="shared" ca="1" si="37"/>
        <v>0</v>
      </c>
      <c r="AC356" s="75">
        <f t="shared" ca="1" si="33"/>
        <v>0</v>
      </c>
      <c r="AD356" s="76">
        <f t="shared" ca="1" si="38"/>
        <v>12388.425641435188</v>
      </c>
      <c r="AE356" s="76">
        <f t="shared" si="39"/>
        <v>0</v>
      </c>
      <c r="AF356" s="75">
        <f t="shared" si="34"/>
        <v>0</v>
      </c>
      <c r="AG356" s="75">
        <f t="shared" si="35"/>
        <v>0</v>
      </c>
      <c r="AH356" s="31" t="e" cm="1">
        <f t="array" aca="1" ref="AH356" ca="1">IF((AD356) &lt; (INDEX(ResponseSLA[#All],(MATCH((G356),ResponseSLA[Priority],0))+1,3)),"YES","No")</f>
        <v>#N/A</v>
      </c>
      <c r="AI356" s="31" t="str">
        <f>_xlfn.IFNA(IF(AE356 &lt; (INDEX(SLATable[Minimum SLA],MATCH(G356,SLATable[Priority],0))),"YES","NO"),"")</f>
        <v/>
      </c>
      <c r="AJ356" t="str">
        <f>_xlfn.IFNA(IF(AE356 &lt; (INDEX(SLATable[Maximum SLA],MATCH(G356,SLATable[Priority],0))),"YES","NO"),"")</f>
        <v/>
      </c>
    </row>
    <row r="357" spans="26:36" ht="15" customHeight="1">
      <c r="Z357" s="76" t="e">
        <f t="shared" ca="1" si="36"/>
        <v>#N/A</v>
      </c>
      <c r="AA357" s="75" t="e">
        <f t="shared" ca="1" si="32"/>
        <v>#N/A</v>
      </c>
      <c r="AB357" s="76">
        <f t="shared" ca="1" si="37"/>
        <v>0</v>
      </c>
      <c r="AC357" s="75">
        <f t="shared" ca="1" si="33"/>
        <v>0</v>
      </c>
      <c r="AD357" s="76">
        <f t="shared" ca="1" si="38"/>
        <v>12388.425641435188</v>
      </c>
      <c r="AE357" s="76">
        <f t="shared" si="39"/>
        <v>0</v>
      </c>
      <c r="AF357" s="75">
        <f t="shared" si="34"/>
        <v>0</v>
      </c>
      <c r="AG357" s="75">
        <f t="shared" si="35"/>
        <v>0</v>
      </c>
      <c r="AH357" s="31" t="e" cm="1">
        <f t="array" aca="1" ref="AH357" ca="1">IF((AD357) &lt; (INDEX(ResponseSLA[#All],(MATCH((G357),ResponseSLA[Priority],0))+1,3)),"YES","No")</f>
        <v>#N/A</v>
      </c>
      <c r="AI357" s="31" t="str">
        <f>_xlfn.IFNA(IF(AE357 &lt; (INDEX(SLATable[Minimum SLA],MATCH(G357,SLATable[Priority],0))),"YES","NO"),"")</f>
        <v/>
      </c>
      <c r="AJ357" t="str">
        <f>_xlfn.IFNA(IF(AE357 &lt; (INDEX(SLATable[Maximum SLA],MATCH(G357,SLATable[Priority],0))),"YES","NO"),"")</f>
        <v/>
      </c>
    </row>
    <row r="358" spans="26:36" ht="15" customHeight="1">
      <c r="Z358" s="76" t="e">
        <f t="shared" ca="1" si="36"/>
        <v>#N/A</v>
      </c>
      <c r="AA358" s="75" t="e">
        <f t="shared" ca="1" si="32"/>
        <v>#N/A</v>
      </c>
      <c r="AB358" s="76">
        <f t="shared" ca="1" si="37"/>
        <v>0</v>
      </c>
      <c r="AC358" s="75">
        <f t="shared" ca="1" si="33"/>
        <v>0</v>
      </c>
      <c r="AD358" s="76">
        <f t="shared" ca="1" si="38"/>
        <v>12388.425641550926</v>
      </c>
      <c r="AE358" s="76">
        <f t="shared" si="39"/>
        <v>0</v>
      </c>
      <c r="AF358" s="75">
        <f t="shared" si="34"/>
        <v>0</v>
      </c>
      <c r="AG358" s="75">
        <f t="shared" si="35"/>
        <v>0</v>
      </c>
      <c r="AH358" s="31" t="e" cm="1">
        <f t="array" aca="1" ref="AH358" ca="1">IF((AD358) &lt; (INDEX(ResponseSLA[#All],(MATCH((G358),ResponseSLA[Priority],0))+1,3)),"YES","No")</f>
        <v>#N/A</v>
      </c>
      <c r="AI358" s="31" t="str">
        <f>_xlfn.IFNA(IF(AE358 &lt; (INDEX(SLATable[Minimum SLA],MATCH(G358,SLATable[Priority],0))),"YES","NO"),"")</f>
        <v/>
      </c>
      <c r="AJ358" t="str">
        <f>_xlfn.IFNA(IF(AE358 &lt; (INDEX(SLATable[Maximum SLA],MATCH(G358,SLATable[Priority],0))),"YES","NO"),"")</f>
        <v/>
      </c>
    </row>
    <row r="359" spans="26:36" ht="15" customHeight="1">
      <c r="Z359" s="76" t="e">
        <f t="shared" ca="1" si="36"/>
        <v>#N/A</v>
      </c>
      <c r="AA359" s="75" t="e">
        <f t="shared" ca="1" si="32"/>
        <v>#N/A</v>
      </c>
      <c r="AB359" s="76">
        <f t="shared" ca="1" si="37"/>
        <v>0</v>
      </c>
      <c r="AC359" s="75">
        <f t="shared" ca="1" si="33"/>
        <v>0</v>
      </c>
      <c r="AD359" s="76">
        <f t="shared" ca="1" si="38"/>
        <v>12388.425641435188</v>
      </c>
      <c r="AE359" s="76">
        <f t="shared" si="39"/>
        <v>0</v>
      </c>
      <c r="AF359" s="75">
        <f t="shared" si="34"/>
        <v>0</v>
      </c>
      <c r="AG359" s="75">
        <f t="shared" si="35"/>
        <v>0</v>
      </c>
      <c r="AH359" s="31" t="e" cm="1">
        <f t="array" aca="1" ref="AH359" ca="1">IF((AD359) &lt; (INDEX(ResponseSLA[#All],(MATCH((G359),ResponseSLA[Priority],0))+1,3)),"YES","No")</f>
        <v>#N/A</v>
      </c>
      <c r="AI359" s="31" t="str">
        <f>_xlfn.IFNA(IF(AE359 &lt; (INDEX(SLATable[Minimum SLA],MATCH(G359,SLATable[Priority],0))),"YES","NO"),"")</f>
        <v/>
      </c>
      <c r="AJ359" t="str">
        <f>_xlfn.IFNA(IF(AE359 &lt; (INDEX(SLATable[Maximum SLA],MATCH(G359,SLATable[Priority],0))),"YES","NO"),"")</f>
        <v/>
      </c>
    </row>
    <row r="360" spans="26:36" ht="15" customHeight="1">
      <c r="Z360" s="76" t="e">
        <f t="shared" ca="1" si="36"/>
        <v>#N/A</v>
      </c>
      <c r="AA360" s="75" t="e">
        <f t="shared" ca="1" si="32"/>
        <v>#N/A</v>
      </c>
      <c r="AB360" s="76">
        <f t="shared" ca="1" si="37"/>
        <v>0</v>
      </c>
      <c r="AC360" s="75">
        <f t="shared" ca="1" si="33"/>
        <v>0</v>
      </c>
      <c r="AD360" s="76">
        <f t="shared" ca="1" si="38"/>
        <v>12388.425641435188</v>
      </c>
      <c r="AE360" s="76">
        <f t="shared" si="39"/>
        <v>0</v>
      </c>
      <c r="AF360" s="75">
        <f t="shared" si="34"/>
        <v>0</v>
      </c>
      <c r="AG360" s="75">
        <f t="shared" si="35"/>
        <v>0</v>
      </c>
      <c r="AH360" s="31" t="e" cm="1">
        <f t="array" aca="1" ref="AH360" ca="1">IF((AD360) &lt; (INDEX(ResponseSLA[#All],(MATCH((G360),ResponseSLA[Priority],0))+1,3)),"YES","No")</f>
        <v>#N/A</v>
      </c>
      <c r="AI360" s="31" t="str">
        <f>_xlfn.IFNA(IF(AE360 &lt; (INDEX(SLATable[Minimum SLA],MATCH(G360,SLATable[Priority],0))),"YES","NO"),"")</f>
        <v/>
      </c>
      <c r="AJ360" t="str">
        <f>_xlfn.IFNA(IF(AE360 &lt; (INDEX(SLATable[Maximum SLA],MATCH(G360,SLATable[Priority],0))),"YES","NO"),"")</f>
        <v/>
      </c>
    </row>
    <row r="361" spans="26:36" ht="15" customHeight="1">
      <c r="Z361" s="76" t="e">
        <f t="shared" ca="1" si="36"/>
        <v>#N/A</v>
      </c>
      <c r="AA361" s="75" t="e">
        <f t="shared" ca="1" si="32"/>
        <v>#N/A</v>
      </c>
      <c r="AB361" s="76">
        <f t="shared" ca="1" si="37"/>
        <v>0</v>
      </c>
      <c r="AC361" s="75">
        <f t="shared" ca="1" si="33"/>
        <v>0</v>
      </c>
      <c r="AD361" s="76">
        <f t="shared" ca="1" si="38"/>
        <v>12388.425641550926</v>
      </c>
      <c r="AE361" s="76">
        <f t="shared" si="39"/>
        <v>0</v>
      </c>
      <c r="AF361" s="75">
        <f t="shared" si="34"/>
        <v>0</v>
      </c>
      <c r="AG361" s="75">
        <f t="shared" si="35"/>
        <v>0</v>
      </c>
      <c r="AH361" s="31" t="e" cm="1">
        <f t="array" aca="1" ref="AH361" ca="1">IF((AD361) &lt; (INDEX(ResponseSLA[#All],(MATCH((G361),ResponseSLA[Priority],0))+1,3)),"YES","No")</f>
        <v>#N/A</v>
      </c>
      <c r="AI361" s="31" t="str">
        <f>_xlfn.IFNA(IF(AE361 &lt; (INDEX(SLATable[Minimum SLA],MATCH(G361,SLATable[Priority],0))),"YES","NO"),"")</f>
        <v/>
      </c>
      <c r="AJ361" t="str">
        <f>_xlfn.IFNA(IF(AE361 &lt; (INDEX(SLATable[Maximum SLA],MATCH(G361,SLATable[Priority],0))),"YES","NO"),"")</f>
        <v/>
      </c>
    </row>
    <row r="362" spans="26:36" ht="15" customHeight="1">
      <c r="Z362" s="76" t="e">
        <f t="shared" ca="1" si="36"/>
        <v>#N/A</v>
      </c>
      <c r="AA362" s="75" t="e">
        <f t="shared" ca="1" si="32"/>
        <v>#N/A</v>
      </c>
      <c r="AB362" s="76">
        <f t="shared" ca="1" si="37"/>
        <v>0</v>
      </c>
      <c r="AC362" s="75">
        <f t="shared" ca="1" si="33"/>
        <v>0</v>
      </c>
      <c r="AD362" s="76">
        <f t="shared" ca="1" si="38"/>
        <v>12388.425641435188</v>
      </c>
      <c r="AE362" s="76">
        <f t="shared" si="39"/>
        <v>0</v>
      </c>
      <c r="AF362" s="75">
        <f t="shared" si="34"/>
        <v>0</v>
      </c>
      <c r="AG362" s="75">
        <f t="shared" si="35"/>
        <v>0</v>
      </c>
      <c r="AH362" s="31" t="e" cm="1">
        <f t="array" aca="1" ref="AH362" ca="1">IF((AD362) &lt; (INDEX(ResponseSLA[#All],(MATCH((G362),ResponseSLA[Priority],0))+1,3)),"YES","No")</f>
        <v>#N/A</v>
      </c>
      <c r="AI362" s="31" t="str">
        <f>_xlfn.IFNA(IF(AE362 &lt; (INDEX(SLATable[Minimum SLA],MATCH(G362,SLATable[Priority],0))),"YES","NO"),"")</f>
        <v/>
      </c>
      <c r="AJ362" t="str">
        <f>_xlfn.IFNA(IF(AE362 &lt; (INDEX(SLATable[Maximum SLA],MATCH(G362,SLATable[Priority],0))),"YES","NO"),"")</f>
        <v/>
      </c>
    </row>
    <row r="363" spans="26:36" ht="15" customHeight="1">
      <c r="Z363" s="76" t="e">
        <f t="shared" ca="1" si="36"/>
        <v>#N/A</v>
      </c>
      <c r="AA363" s="75" t="e">
        <f t="shared" ca="1" si="32"/>
        <v>#N/A</v>
      </c>
      <c r="AB363" s="76">
        <f t="shared" ca="1" si="37"/>
        <v>0</v>
      </c>
      <c r="AC363" s="75">
        <f t="shared" ca="1" si="33"/>
        <v>0</v>
      </c>
      <c r="AD363" s="76">
        <f t="shared" ca="1" si="38"/>
        <v>12388.425641435188</v>
      </c>
      <c r="AE363" s="76">
        <f t="shared" si="39"/>
        <v>0</v>
      </c>
      <c r="AF363" s="75">
        <f t="shared" si="34"/>
        <v>0</v>
      </c>
      <c r="AG363" s="75">
        <f t="shared" si="35"/>
        <v>0</v>
      </c>
      <c r="AH363" s="31" t="e" cm="1">
        <f t="array" aca="1" ref="AH363" ca="1">IF((AD363) &lt; (INDEX(ResponseSLA[#All],(MATCH((G363),ResponseSLA[Priority],0))+1,3)),"YES","No")</f>
        <v>#N/A</v>
      </c>
      <c r="AI363" s="31" t="str">
        <f>_xlfn.IFNA(IF(AE363 &lt; (INDEX(SLATable[Minimum SLA],MATCH(G363,SLATable[Priority],0))),"YES","NO"),"")</f>
        <v/>
      </c>
      <c r="AJ363" t="str">
        <f>_xlfn.IFNA(IF(AE363 &lt; (INDEX(SLATable[Maximum SLA],MATCH(G363,SLATable[Priority],0))),"YES","NO"),"")</f>
        <v/>
      </c>
    </row>
    <row r="364" spans="26:36" ht="15" customHeight="1">
      <c r="Z364" s="76" t="e">
        <f t="shared" ca="1" si="36"/>
        <v>#N/A</v>
      </c>
      <c r="AA364" s="75" t="e">
        <f t="shared" ca="1" si="32"/>
        <v>#N/A</v>
      </c>
      <c r="AB364" s="76">
        <f t="shared" ca="1" si="37"/>
        <v>0</v>
      </c>
      <c r="AC364" s="75">
        <f t="shared" ca="1" si="33"/>
        <v>0</v>
      </c>
      <c r="AD364" s="76">
        <f t="shared" ca="1" si="38"/>
        <v>12388.425641550926</v>
      </c>
      <c r="AE364" s="76">
        <f t="shared" si="39"/>
        <v>0</v>
      </c>
      <c r="AF364" s="75">
        <f t="shared" si="34"/>
        <v>0</v>
      </c>
      <c r="AG364" s="75">
        <f t="shared" si="35"/>
        <v>0</v>
      </c>
      <c r="AH364" s="31" t="e" cm="1">
        <f t="array" aca="1" ref="AH364" ca="1">IF((AD364) &lt; (INDEX(ResponseSLA[#All],(MATCH((G364),ResponseSLA[Priority],0))+1,3)),"YES","No")</f>
        <v>#N/A</v>
      </c>
      <c r="AI364" s="31" t="str">
        <f>_xlfn.IFNA(IF(AE364 &lt; (INDEX(SLATable[Minimum SLA],MATCH(G364,SLATable[Priority],0))),"YES","NO"),"")</f>
        <v/>
      </c>
      <c r="AJ364" t="str">
        <f>_xlfn.IFNA(IF(AE364 &lt; (INDEX(SLATable[Maximum SLA],MATCH(G364,SLATable[Priority],0))),"YES","NO"),"")</f>
        <v/>
      </c>
    </row>
    <row r="365" spans="26:36" ht="15" customHeight="1">
      <c r="Z365" s="76" t="e">
        <f t="shared" ca="1" si="36"/>
        <v>#N/A</v>
      </c>
      <c r="AA365" s="75" t="e">
        <f t="shared" ca="1" si="32"/>
        <v>#N/A</v>
      </c>
      <c r="AB365" s="76">
        <f t="shared" ca="1" si="37"/>
        <v>0</v>
      </c>
      <c r="AC365" s="75">
        <f t="shared" ca="1" si="33"/>
        <v>0</v>
      </c>
      <c r="AD365" s="76">
        <f t="shared" ca="1" si="38"/>
        <v>12388.425641435188</v>
      </c>
      <c r="AE365" s="76">
        <f t="shared" si="39"/>
        <v>0</v>
      </c>
      <c r="AF365" s="75">
        <f t="shared" si="34"/>
        <v>0</v>
      </c>
      <c r="AG365" s="75">
        <f t="shared" si="35"/>
        <v>0</v>
      </c>
      <c r="AH365" s="31" t="e" cm="1">
        <f t="array" aca="1" ref="AH365" ca="1">IF((AD365) &lt; (INDEX(ResponseSLA[#All],(MATCH((G365),ResponseSLA[Priority],0))+1,3)),"YES","No")</f>
        <v>#N/A</v>
      </c>
      <c r="AI365" s="31" t="str">
        <f>_xlfn.IFNA(IF(AE365 &lt; (INDEX(SLATable[Minimum SLA],MATCH(G365,SLATable[Priority],0))),"YES","NO"),"")</f>
        <v/>
      </c>
      <c r="AJ365" t="str">
        <f>_xlfn.IFNA(IF(AE365 &lt; (INDEX(SLATable[Maximum SLA],MATCH(G365,SLATable[Priority],0))),"YES","NO"),"")</f>
        <v/>
      </c>
    </row>
    <row r="366" spans="26:36" ht="15" customHeight="1">
      <c r="Z366" s="76" t="e">
        <f t="shared" ca="1" si="36"/>
        <v>#N/A</v>
      </c>
      <c r="AA366" s="75" t="e">
        <f t="shared" ca="1" si="32"/>
        <v>#N/A</v>
      </c>
      <c r="AB366" s="76">
        <f t="shared" ca="1" si="37"/>
        <v>0</v>
      </c>
      <c r="AC366" s="75">
        <f t="shared" ca="1" si="33"/>
        <v>0</v>
      </c>
      <c r="AD366" s="76">
        <f t="shared" ca="1" si="38"/>
        <v>12388.425641435188</v>
      </c>
      <c r="AE366" s="76">
        <f t="shared" si="39"/>
        <v>0</v>
      </c>
      <c r="AF366" s="75">
        <f t="shared" si="34"/>
        <v>0</v>
      </c>
      <c r="AG366" s="75">
        <f t="shared" si="35"/>
        <v>0</v>
      </c>
      <c r="AH366" s="31" t="e" cm="1">
        <f t="array" aca="1" ref="AH366" ca="1">IF((AD366) &lt; (INDEX(ResponseSLA[#All],(MATCH((G366),ResponseSLA[Priority],0))+1,3)),"YES","No")</f>
        <v>#N/A</v>
      </c>
      <c r="AI366" s="31" t="str">
        <f>_xlfn.IFNA(IF(AE366 &lt; (INDEX(SLATable[Minimum SLA],MATCH(G366,SLATable[Priority],0))),"YES","NO"),"")</f>
        <v/>
      </c>
      <c r="AJ366" t="str">
        <f>_xlfn.IFNA(IF(AE366 &lt; (INDEX(SLATable[Maximum SLA],MATCH(G366,SLATable[Priority],0))),"YES","NO"),"")</f>
        <v/>
      </c>
    </row>
    <row r="367" spans="26:36" ht="15" customHeight="1">
      <c r="Z367" s="76" t="e">
        <f t="shared" ca="1" si="36"/>
        <v>#N/A</v>
      </c>
      <c r="AA367" s="75" t="e">
        <f t="shared" ca="1" si="32"/>
        <v>#N/A</v>
      </c>
      <c r="AB367" s="76">
        <f t="shared" ca="1" si="37"/>
        <v>0</v>
      </c>
      <c r="AC367" s="75">
        <f t="shared" ca="1" si="33"/>
        <v>0</v>
      </c>
      <c r="AD367" s="76">
        <f t="shared" ca="1" si="38"/>
        <v>12388.425641550926</v>
      </c>
      <c r="AE367" s="76">
        <f t="shared" si="39"/>
        <v>0</v>
      </c>
      <c r="AF367" s="75">
        <f t="shared" si="34"/>
        <v>0</v>
      </c>
      <c r="AG367" s="75">
        <f t="shared" si="35"/>
        <v>0</v>
      </c>
      <c r="AH367" s="31" t="e" cm="1">
        <f t="array" aca="1" ref="AH367" ca="1">IF((AD367) &lt; (INDEX(ResponseSLA[#All],(MATCH((G367),ResponseSLA[Priority],0))+1,3)),"YES","No")</f>
        <v>#N/A</v>
      </c>
      <c r="AI367" s="31" t="str">
        <f>_xlfn.IFNA(IF(AE367 &lt; (INDEX(SLATable[Minimum SLA],MATCH(G367,SLATable[Priority],0))),"YES","NO"),"")</f>
        <v/>
      </c>
      <c r="AJ367" t="str">
        <f>_xlfn.IFNA(IF(AE367 &lt; (INDEX(SLATable[Maximum SLA],MATCH(G367,SLATable[Priority],0))),"YES","NO"),"")</f>
        <v/>
      </c>
    </row>
    <row r="368" spans="26:36" ht="15" customHeight="1">
      <c r="Z368" s="76" t="e">
        <f t="shared" ca="1" si="36"/>
        <v>#N/A</v>
      </c>
      <c r="AA368" s="75" t="e">
        <f t="shared" ca="1" si="32"/>
        <v>#N/A</v>
      </c>
      <c r="AB368" s="76">
        <f t="shared" ca="1" si="37"/>
        <v>0</v>
      </c>
      <c r="AC368" s="75">
        <f t="shared" ca="1" si="33"/>
        <v>0</v>
      </c>
      <c r="AD368" s="76">
        <f t="shared" ca="1" si="38"/>
        <v>12388.425641435188</v>
      </c>
      <c r="AE368" s="76">
        <f t="shared" si="39"/>
        <v>0</v>
      </c>
      <c r="AF368" s="75">
        <f t="shared" si="34"/>
        <v>0</v>
      </c>
      <c r="AG368" s="75">
        <f t="shared" si="35"/>
        <v>0</v>
      </c>
      <c r="AH368" s="31" t="e" cm="1">
        <f t="array" aca="1" ref="AH368" ca="1">IF((AD368) &lt; (INDEX(ResponseSLA[#All],(MATCH((G368),ResponseSLA[Priority],0))+1,3)),"YES","No")</f>
        <v>#N/A</v>
      </c>
      <c r="AI368" s="31" t="str">
        <f>_xlfn.IFNA(IF(AE368 &lt; (INDEX(SLATable[Minimum SLA],MATCH(G368,SLATable[Priority],0))),"YES","NO"),"")</f>
        <v/>
      </c>
      <c r="AJ368" t="str">
        <f>_xlfn.IFNA(IF(AE368 &lt; (INDEX(SLATable[Maximum SLA],MATCH(G368,SLATable[Priority],0))),"YES","NO"),"")</f>
        <v/>
      </c>
    </row>
    <row r="369" spans="26:36" ht="15" customHeight="1">
      <c r="Z369" s="76" t="e">
        <f t="shared" ca="1" si="36"/>
        <v>#N/A</v>
      </c>
      <c r="AA369" s="75" t="e">
        <f t="shared" ca="1" si="32"/>
        <v>#N/A</v>
      </c>
      <c r="AB369" s="76">
        <f t="shared" ca="1" si="37"/>
        <v>0</v>
      </c>
      <c r="AC369" s="75">
        <f t="shared" ca="1" si="33"/>
        <v>0</v>
      </c>
      <c r="AD369" s="76">
        <f t="shared" ca="1" si="38"/>
        <v>12388.425641435188</v>
      </c>
      <c r="AE369" s="76">
        <f t="shared" si="39"/>
        <v>0</v>
      </c>
      <c r="AF369" s="75">
        <f t="shared" si="34"/>
        <v>0</v>
      </c>
      <c r="AG369" s="75">
        <f t="shared" si="35"/>
        <v>0</v>
      </c>
      <c r="AH369" s="31" t="e" cm="1">
        <f t="array" aca="1" ref="AH369" ca="1">IF((AD369) &lt; (INDEX(ResponseSLA[#All],(MATCH((G369),ResponseSLA[Priority],0))+1,3)),"YES","No")</f>
        <v>#N/A</v>
      </c>
      <c r="AI369" s="31" t="str">
        <f>_xlfn.IFNA(IF(AE369 &lt; (INDEX(SLATable[Minimum SLA],MATCH(G369,SLATable[Priority],0))),"YES","NO"),"")</f>
        <v/>
      </c>
      <c r="AJ369" t="str">
        <f>_xlfn.IFNA(IF(AE369 &lt; (INDEX(SLATable[Maximum SLA],MATCH(G369,SLATable[Priority],0))),"YES","NO"),"")</f>
        <v/>
      </c>
    </row>
    <row r="370" spans="26:36" ht="15" customHeight="1">
      <c r="Z370" s="76" t="e">
        <f t="shared" ca="1" si="36"/>
        <v>#N/A</v>
      </c>
      <c r="AA370" s="75" t="e">
        <f t="shared" ca="1" si="32"/>
        <v>#N/A</v>
      </c>
      <c r="AB370" s="76">
        <f t="shared" ca="1" si="37"/>
        <v>0</v>
      </c>
      <c r="AC370" s="75">
        <f t="shared" ca="1" si="33"/>
        <v>0</v>
      </c>
      <c r="AD370" s="76">
        <f t="shared" ca="1" si="38"/>
        <v>12388.425641550926</v>
      </c>
      <c r="AE370" s="76">
        <f t="shared" si="39"/>
        <v>0</v>
      </c>
      <c r="AF370" s="75">
        <f t="shared" si="34"/>
        <v>0</v>
      </c>
      <c r="AG370" s="75">
        <f t="shared" si="35"/>
        <v>0</v>
      </c>
      <c r="AH370" s="31" t="e" cm="1">
        <f t="array" aca="1" ref="AH370" ca="1">IF((AD370) &lt; (INDEX(ResponseSLA[#All],(MATCH((G370),ResponseSLA[Priority],0))+1,3)),"YES","No")</f>
        <v>#N/A</v>
      </c>
      <c r="AI370" s="31" t="str">
        <f>_xlfn.IFNA(IF(AE370 &lt; (INDEX(SLATable[Minimum SLA],MATCH(G370,SLATable[Priority],0))),"YES","NO"),"")</f>
        <v/>
      </c>
      <c r="AJ370" t="str">
        <f>_xlfn.IFNA(IF(AE370 &lt; (INDEX(SLATable[Maximum SLA],MATCH(G370,SLATable[Priority],0))),"YES","NO"),"")</f>
        <v/>
      </c>
    </row>
    <row r="371" spans="26:36" ht="15" customHeight="1">
      <c r="Z371" s="76" t="e">
        <f t="shared" ca="1" si="36"/>
        <v>#N/A</v>
      </c>
      <c r="AA371" s="75" t="e">
        <f t="shared" ca="1" si="32"/>
        <v>#N/A</v>
      </c>
      <c r="AB371" s="76">
        <f t="shared" ca="1" si="37"/>
        <v>0</v>
      </c>
      <c r="AC371" s="75">
        <f t="shared" ca="1" si="33"/>
        <v>0</v>
      </c>
      <c r="AD371" s="76">
        <f t="shared" ca="1" si="38"/>
        <v>12388.425641435188</v>
      </c>
      <c r="AE371" s="76">
        <f t="shared" si="39"/>
        <v>0</v>
      </c>
      <c r="AF371" s="75">
        <f t="shared" si="34"/>
        <v>0</v>
      </c>
      <c r="AG371" s="75">
        <f t="shared" si="35"/>
        <v>0</v>
      </c>
      <c r="AH371" s="31" t="e" cm="1">
        <f t="array" aca="1" ref="AH371" ca="1">IF((AD371) &lt; (INDEX(ResponseSLA[#All],(MATCH((G371),ResponseSLA[Priority],0))+1,3)),"YES","No")</f>
        <v>#N/A</v>
      </c>
      <c r="AI371" s="31" t="str">
        <f>_xlfn.IFNA(IF(AE371 &lt; (INDEX(SLATable[Minimum SLA],MATCH(G371,SLATable[Priority],0))),"YES","NO"),"")</f>
        <v/>
      </c>
      <c r="AJ371" t="str">
        <f>_xlfn.IFNA(IF(AE371 &lt; (INDEX(SLATable[Maximum SLA],MATCH(G371,SLATable[Priority],0))),"YES","NO"),"")</f>
        <v/>
      </c>
    </row>
    <row r="372" spans="26:36" ht="15" customHeight="1">
      <c r="Z372" s="76" t="e">
        <f t="shared" ca="1" si="36"/>
        <v>#N/A</v>
      </c>
      <c r="AA372" s="75" t="e">
        <f t="shared" ca="1" si="32"/>
        <v>#N/A</v>
      </c>
      <c r="AB372" s="76">
        <f t="shared" ca="1" si="37"/>
        <v>0</v>
      </c>
      <c r="AC372" s="75">
        <f t="shared" ca="1" si="33"/>
        <v>0</v>
      </c>
      <c r="AD372" s="76">
        <f t="shared" ca="1" si="38"/>
        <v>12388.425641435188</v>
      </c>
      <c r="AE372" s="76">
        <f t="shared" si="39"/>
        <v>0</v>
      </c>
      <c r="AF372" s="75">
        <f t="shared" si="34"/>
        <v>0</v>
      </c>
      <c r="AG372" s="75">
        <f t="shared" si="35"/>
        <v>0</v>
      </c>
      <c r="AH372" s="31" t="e" cm="1">
        <f t="array" aca="1" ref="AH372" ca="1">IF((AD372) &lt; (INDEX(ResponseSLA[#All],(MATCH((G372),ResponseSLA[Priority],0))+1,3)),"YES","No")</f>
        <v>#N/A</v>
      </c>
      <c r="AI372" s="31" t="str">
        <f>_xlfn.IFNA(IF(AE372 &lt; (INDEX(SLATable[Minimum SLA],MATCH(G372,SLATable[Priority],0))),"YES","NO"),"")</f>
        <v/>
      </c>
      <c r="AJ372" t="str">
        <f>_xlfn.IFNA(IF(AE372 &lt; (INDEX(SLATable[Maximum SLA],MATCH(G372,SLATable[Priority],0))),"YES","NO"),"")</f>
        <v/>
      </c>
    </row>
    <row r="373" spans="26:36" ht="15" customHeight="1">
      <c r="Z373" s="76" t="e">
        <f t="shared" ca="1" si="36"/>
        <v>#N/A</v>
      </c>
      <c r="AA373" s="75" t="e">
        <f t="shared" ca="1" si="32"/>
        <v>#N/A</v>
      </c>
      <c r="AB373" s="76">
        <f t="shared" ca="1" si="37"/>
        <v>0</v>
      </c>
      <c r="AC373" s="75">
        <f t="shared" ca="1" si="33"/>
        <v>0</v>
      </c>
      <c r="AD373" s="76">
        <f t="shared" ca="1" si="38"/>
        <v>12388.425641550926</v>
      </c>
      <c r="AE373" s="76">
        <f t="shared" si="39"/>
        <v>0</v>
      </c>
      <c r="AF373" s="75">
        <f t="shared" si="34"/>
        <v>0</v>
      </c>
      <c r="AG373" s="75">
        <f t="shared" si="35"/>
        <v>0</v>
      </c>
      <c r="AH373" s="31" t="e" cm="1">
        <f t="array" aca="1" ref="AH373" ca="1">IF((AD373) &lt; (INDEX(ResponseSLA[#All],(MATCH((G373),ResponseSLA[Priority],0))+1,3)),"YES","No")</f>
        <v>#N/A</v>
      </c>
      <c r="AI373" s="31" t="str">
        <f>_xlfn.IFNA(IF(AE373 &lt; (INDEX(SLATable[Minimum SLA],MATCH(G373,SLATable[Priority],0))),"YES","NO"),"")</f>
        <v/>
      </c>
      <c r="AJ373" t="str">
        <f>_xlfn.IFNA(IF(AE373 &lt; (INDEX(SLATable[Maximum SLA],MATCH(G373,SLATable[Priority],0))),"YES","NO"),"")</f>
        <v/>
      </c>
    </row>
    <row r="374" spans="26:36" ht="15" customHeight="1">
      <c r="Z374" s="76" t="e">
        <f t="shared" ca="1" si="36"/>
        <v>#N/A</v>
      </c>
      <c r="AA374" s="75" t="e">
        <f t="shared" ca="1" si="32"/>
        <v>#N/A</v>
      </c>
      <c r="AB374" s="76">
        <f t="shared" ca="1" si="37"/>
        <v>0</v>
      </c>
      <c r="AC374" s="75">
        <f t="shared" ca="1" si="33"/>
        <v>0</v>
      </c>
      <c r="AD374" s="76">
        <f t="shared" ca="1" si="38"/>
        <v>12388.425641435188</v>
      </c>
      <c r="AE374" s="76">
        <f t="shared" si="39"/>
        <v>0</v>
      </c>
      <c r="AF374" s="75">
        <f t="shared" si="34"/>
        <v>0</v>
      </c>
      <c r="AG374" s="75">
        <f t="shared" si="35"/>
        <v>0</v>
      </c>
      <c r="AH374" s="31" t="e" cm="1">
        <f t="array" aca="1" ref="AH374" ca="1">IF((AD374) &lt; (INDEX(ResponseSLA[#All],(MATCH((G374),ResponseSLA[Priority],0))+1,3)),"YES","No")</f>
        <v>#N/A</v>
      </c>
      <c r="AI374" s="31" t="str">
        <f>_xlfn.IFNA(IF(AE374 &lt; (INDEX(SLATable[Minimum SLA],MATCH(G374,SLATable[Priority],0))),"YES","NO"),"")</f>
        <v/>
      </c>
      <c r="AJ374" t="str">
        <f>_xlfn.IFNA(IF(AE374 &lt; (INDEX(SLATable[Maximum SLA],MATCH(G374,SLATable[Priority],0))),"YES","NO"),"")</f>
        <v/>
      </c>
    </row>
    <row r="375" spans="26:36" ht="15" customHeight="1">
      <c r="Z375" s="76" t="e">
        <f t="shared" ca="1" si="36"/>
        <v>#N/A</v>
      </c>
      <c r="AA375" s="75" t="e">
        <f t="shared" ca="1" si="32"/>
        <v>#N/A</v>
      </c>
      <c r="AB375" s="76">
        <f t="shared" ca="1" si="37"/>
        <v>0</v>
      </c>
      <c r="AC375" s="75">
        <f t="shared" ca="1" si="33"/>
        <v>0</v>
      </c>
      <c r="AD375" s="76">
        <f t="shared" ca="1" si="38"/>
        <v>12388.425641435188</v>
      </c>
      <c r="AE375" s="76">
        <f t="shared" si="39"/>
        <v>0</v>
      </c>
      <c r="AF375" s="75">
        <f t="shared" si="34"/>
        <v>0</v>
      </c>
      <c r="AG375" s="75">
        <f t="shared" si="35"/>
        <v>0</v>
      </c>
      <c r="AH375" s="31" t="e" cm="1">
        <f t="array" aca="1" ref="AH375" ca="1">IF((AD375) &lt; (INDEX(ResponseSLA[#All],(MATCH((G375),ResponseSLA[Priority],0))+1,3)),"YES","No")</f>
        <v>#N/A</v>
      </c>
      <c r="AI375" s="31" t="str">
        <f>_xlfn.IFNA(IF(AE375 &lt; (INDEX(SLATable[Minimum SLA],MATCH(G375,SLATable[Priority],0))),"YES","NO"),"")</f>
        <v/>
      </c>
      <c r="AJ375" t="str">
        <f>_xlfn.IFNA(IF(AE375 &lt; (INDEX(SLATable[Maximum SLA],MATCH(G375,SLATable[Priority],0))),"YES","NO"),"")</f>
        <v/>
      </c>
    </row>
    <row r="376" spans="26:36" ht="15" customHeight="1">
      <c r="Z376" s="76" t="e">
        <f t="shared" ca="1" si="36"/>
        <v>#N/A</v>
      </c>
      <c r="AA376" s="75" t="e">
        <f t="shared" ca="1" si="32"/>
        <v>#N/A</v>
      </c>
      <c r="AB376" s="76">
        <f t="shared" ca="1" si="37"/>
        <v>0</v>
      </c>
      <c r="AC376" s="75">
        <f t="shared" ca="1" si="33"/>
        <v>0</v>
      </c>
      <c r="AD376" s="76">
        <f t="shared" ca="1" si="38"/>
        <v>12388.425641550926</v>
      </c>
      <c r="AE376" s="76">
        <f t="shared" si="39"/>
        <v>0</v>
      </c>
      <c r="AF376" s="75">
        <f t="shared" si="34"/>
        <v>0</v>
      </c>
      <c r="AG376" s="75">
        <f t="shared" si="35"/>
        <v>0</v>
      </c>
      <c r="AH376" s="31" t="e" cm="1">
        <f t="array" aca="1" ref="AH376" ca="1">IF((AD376) &lt; (INDEX(ResponseSLA[#All],(MATCH((G376),ResponseSLA[Priority],0))+1,3)),"YES","No")</f>
        <v>#N/A</v>
      </c>
      <c r="AI376" s="31" t="str">
        <f>_xlfn.IFNA(IF(AE376 &lt; (INDEX(SLATable[Minimum SLA],MATCH(G376,SLATable[Priority],0))),"YES","NO"),"")</f>
        <v/>
      </c>
      <c r="AJ376" t="str">
        <f>_xlfn.IFNA(IF(AE376 &lt; (INDEX(SLATable[Maximum SLA],MATCH(G376,SLATable[Priority],0))),"YES","NO"),"")</f>
        <v/>
      </c>
    </row>
    <row r="377" spans="26:36" ht="15" customHeight="1">
      <c r="Z377" s="76" t="e">
        <f t="shared" ca="1" si="36"/>
        <v>#N/A</v>
      </c>
      <c r="AA377" s="75" t="e">
        <f t="shared" ca="1" si="32"/>
        <v>#N/A</v>
      </c>
      <c r="AB377" s="76">
        <f t="shared" ca="1" si="37"/>
        <v>0</v>
      </c>
      <c r="AC377" s="75">
        <f t="shared" ca="1" si="33"/>
        <v>0</v>
      </c>
      <c r="AD377" s="76">
        <f t="shared" ca="1" si="38"/>
        <v>12388.425641435188</v>
      </c>
      <c r="AE377" s="76">
        <f t="shared" si="39"/>
        <v>0</v>
      </c>
      <c r="AF377" s="75">
        <f t="shared" si="34"/>
        <v>0</v>
      </c>
      <c r="AG377" s="75">
        <f t="shared" si="35"/>
        <v>0</v>
      </c>
      <c r="AH377" s="31" t="e" cm="1">
        <f t="array" aca="1" ref="AH377" ca="1">IF((AD377) &lt; (INDEX(ResponseSLA[#All],(MATCH((G377),ResponseSLA[Priority],0))+1,3)),"YES","No")</f>
        <v>#N/A</v>
      </c>
      <c r="AI377" s="31" t="str">
        <f>_xlfn.IFNA(IF(AE377 &lt; (INDEX(SLATable[Minimum SLA],MATCH(G377,SLATable[Priority],0))),"YES","NO"),"")</f>
        <v/>
      </c>
      <c r="AJ377" t="str">
        <f>_xlfn.IFNA(IF(AE377 &lt; (INDEX(SLATable[Maximum SLA],MATCH(G377,SLATable[Priority],0))),"YES","NO"),"")</f>
        <v/>
      </c>
    </row>
    <row r="378" spans="26:36" ht="15" customHeight="1">
      <c r="Z378" s="76" t="e">
        <f t="shared" ca="1" si="36"/>
        <v>#N/A</v>
      </c>
      <c r="AA378" s="75" t="e">
        <f t="shared" ca="1" si="32"/>
        <v>#N/A</v>
      </c>
      <c r="AB378" s="76">
        <f t="shared" ca="1" si="37"/>
        <v>0</v>
      </c>
      <c r="AC378" s="75">
        <f t="shared" ca="1" si="33"/>
        <v>0</v>
      </c>
      <c r="AD378" s="76">
        <f t="shared" ca="1" si="38"/>
        <v>12388.425641550926</v>
      </c>
      <c r="AE378" s="76">
        <f t="shared" si="39"/>
        <v>0</v>
      </c>
      <c r="AF378" s="75">
        <f t="shared" si="34"/>
        <v>0</v>
      </c>
      <c r="AG378" s="75">
        <f t="shared" si="35"/>
        <v>0</v>
      </c>
      <c r="AH378" s="31" t="e" cm="1">
        <f t="array" aca="1" ref="AH378" ca="1">IF((AD378) &lt; (INDEX(ResponseSLA[#All],(MATCH((G378),ResponseSLA[Priority],0))+1,3)),"YES","No")</f>
        <v>#N/A</v>
      </c>
      <c r="AI378" s="31" t="str">
        <f>_xlfn.IFNA(IF(AE378 &lt; (INDEX(SLATable[Minimum SLA],MATCH(G378,SLATable[Priority],0))),"YES","NO"),"")</f>
        <v/>
      </c>
      <c r="AJ378" t="str">
        <f>_xlfn.IFNA(IF(AE378 &lt; (INDEX(SLATable[Maximum SLA],MATCH(G378,SLATable[Priority],0))),"YES","NO"),"")</f>
        <v/>
      </c>
    </row>
    <row r="379" spans="26:36" ht="15" customHeight="1">
      <c r="Z379" s="76" t="e">
        <f t="shared" ca="1" si="36"/>
        <v>#N/A</v>
      </c>
      <c r="AA379" s="75" t="e">
        <f t="shared" ca="1" si="32"/>
        <v>#N/A</v>
      </c>
      <c r="AB379" s="76">
        <f t="shared" ca="1" si="37"/>
        <v>0</v>
      </c>
      <c r="AC379" s="75">
        <f t="shared" ca="1" si="33"/>
        <v>0</v>
      </c>
      <c r="AD379" s="76">
        <f t="shared" ca="1" si="38"/>
        <v>12388.425641550926</v>
      </c>
      <c r="AE379" s="76">
        <f t="shared" si="39"/>
        <v>0</v>
      </c>
      <c r="AF379" s="75">
        <f t="shared" si="34"/>
        <v>0</v>
      </c>
      <c r="AG379" s="75">
        <f t="shared" si="35"/>
        <v>0</v>
      </c>
      <c r="AH379" s="31" t="e" cm="1">
        <f t="array" aca="1" ref="AH379" ca="1">IF((AD379) &lt; (INDEX(ResponseSLA[#All],(MATCH((G379),ResponseSLA[Priority],0))+1,3)),"YES","No")</f>
        <v>#N/A</v>
      </c>
      <c r="AI379" s="31" t="str">
        <f>_xlfn.IFNA(IF(AE379 &lt; (INDEX(SLATable[Minimum SLA],MATCH(G379,SLATable[Priority],0))),"YES","NO"),"")</f>
        <v/>
      </c>
      <c r="AJ379" t="str">
        <f>_xlfn.IFNA(IF(AE379 &lt; (INDEX(SLATable[Maximum SLA],MATCH(G379,SLATable[Priority],0))),"YES","NO"),"")</f>
        <v/>
      </c>
    </row>
    <row r="380" spans="26:36" ht="15" customHeight="1">
      <c r="Z380" s="76" t="e">
        <f t="shared" ca="1" si="36"/>
        <v>#N/A</v>
      </c>
      <c r="AA380" s="75" t="e">
        <f t="shared" ca="1" si="32"/>
        <v>#N/A</v>
      </c>
      <c r="AB380" s="76">
        <f t="shared" ca="1" si="37"/>
        <v>0</v>
      </c>
      <c r="AC380" s="75">
        <f t="shared" ca="1" si="33"/>
        <v>0</v>
      </c>
      <c r="AD380" s="76">
        <f t="shared" ca="1" si="38"/>
        <v>12388.425641435188</v>
      </c>
      <c r="AE380" s="76">
        <f t="shared" si="39"/>
        <v>0</v>
      </c>
      <c r="AF380" s="75">
        <f t="shared" si="34"/>
        <v>0</v>
      </c>
      <c r="AG380" s="75">
        <f t="shared" si="35"/>
        <v>0</v>
      </c>
      <c r="AH380" s="31" t="e" cm="1">
        <f t="array" aca="1" ref="AH380" ca="1">IF((AD380) &lt; (INDEX(ResponseSLA[#All],(MATCH((G380),ResponseSLA[Priority],0))+1,3)),"YES","No")</f>
        <v>#N/A</v>
      </c>
      <c r="AI380" s="31" t="str">
        <f>_xlfn.IFNA(IF(AE380 &lt; (INDEX(SLATable[Minimum SLA],MATCH(G380,SLATable[Priority],0))),"YES","NO"),"")</f>
        <v/>
      </c>
      <c r="AJ380" t="str">
        <f>_xlfn.IFNA(IF(AE380 &lt; (INDEX(SLATable[Maximum SLA],MATCH(G380,SLATable[Priority],0))),"YES","NO"),"")</f>
        <v/>
      </c>
    </row>
    <row r="381" spans="26:36" ht="15" customHeight="1">
      <c r="Z381" s="76" t="e">
        <f t="shared" ca="1" si="36"/>
        <v>#N/A</v>
      </c>
      <c r="AA381" s="75" t="e">
        <f t="shared" ca="1" si="32"/>
        <v>#N/A</v>
      </c>
      <c r="AB381" s="76">
        <f t="shared" ca="1" si="37"/>
        <v>0</v>
      </c>
      <c r="AC381" s="75">
        <f t="shared" ca="1" si="33"/>
        <v>0</v>
      </c>
      <c r="AD381" s="76">
        <f t="shared" ca="1" si="38"/>
        <v>12388.425641550926</v>
      </c>
      <c r="AE381" s="76">
        <f t="shared" si="39"/>
        <v>0</v>
      </c>
      <c r="AF381" s="75">
        <f t="shared" si="34"/>
        <v>0</v>
      </c>
      <c r="AG381" s="75">
        <f t="shared" si="35"/>
        <v>0</v>
      </c>
      <c r="AH381" s="31" t="e" cm="1">
        <f t="array" aca="1" ref="AH381" ca="1">IF((AD381) &lt; (INDEX(ResponseSLA[#All],(MATCH((G381),ResponseSLA[Priority],0))+1,3)),"YES","No")</f>
        <v>#N/A</v>
      </c>
      <c r="AI381" s="31" t="str">
        <f>_xlfn.IFNA(IF(AE381 &lt; (INDEX(SLATable[Minimum SLA],MATCH(G381,SLATable[Priority],0))),"YES","NO"),"")</f>
        <v/>
      </c>
      <c r="AJ381" t="str">
        <f>_xlfn.IFNA(IF(AE381 &lt; (INDEX(SLATable[Maximum SLA],MATCH(G381,SLATable[Priority],0))),"YES","NO"),"")</f>
        <v/>
      </c>
    </row>
    <row r="382" spans="26:36" ht="15" customHeight="1">
      <c r="Z382" s="76" t="e">
        <f t="shared" ca="1" si="36"/>
        <v>#N/A</v>
      </c>
      <c r="AA382" s="75" t="e">
        <f t="shared" ca="1" si="32"/>
        <v>#N/A</v>
      </c>
      <c r="AB382" s="76">
        <f t="shared" ca="1" si="37"/>
        <v>0</v>
      </c>
      <c r="AC382" s="75">
        <f t="shared" ca="1" si="33"/>
        <v>0</v>
      </c>
      <c r="AD382" s="76">
        <f t="shared" ca="1" si="38"/>
        <v>12388.425641550926</v>
      </c>
      <c r="AE382" s="76">
        <f t="shared" si="39"/>
        <v>0</v>
      </c>
      <c r="AF382" s="75">
        <f t="shared" si="34"/>
        <v>0</v>
      </c>
      <c r="AG382" s="75">
        <f t="shared" si="35"/>
        <v>0</v>
      </c>
      <c r="AH382" s="31" t="e" cm="1">
        <f t="array" aca="1" ref="AH382" ca="1">IF((AD382) &lt; (INDEX(ResponseSLA[#All],(MATCH((G382),ResponseSLA[Priority],0))+1,3)),"YES","No")</f>
        <v>#N/A</v>
      </c>
      <c r="AI382" s="31" t="str">
        <f>_xlfn.IFNA(IF(AE382 &lt; (INDEX(SLATable[Minimum SLA],MATCH(G382,SLATable[Priority],0))),"YES","NO"),"")</f>
        <v/>
      </c>
      <c r="AJ382" t="str">
        <f>_xlfn.IFNA(IF(AE382 &lt; (INDEX(SLATable[Maximum SLA],MATCH(G382,SLATable[Priority],0))),"YES","NO"),"")</f>
        <v/>
      </c>
    </row>
    <row r="383" spans="26:36" ht="15" customHeight="1">
      <c r="Z383" s="76" t="e">
        <f t="shared" ca="1" si="36"/>
        <v>#N/A</v>
      </c>
      <c r="AA383" s="75" t="e">
        <f t="shared" ca="1" si="32"/>
        <v>#N/A</v>
      </c>
      <c r="AB383" s="76">
        <f t="shared" ca="1" si="37"/>
        <v>0</v>
      </c>
      <c r="AC383" s="75">
        <f t="shared" ca="1" si="33"/>
        <v>0</v>
      </c>
      <c r="AD383" s="76">
        <f t="shared" ca="1" si="38"/>
        <v>12388.425641435188</v>
      </c>
      <c r="AE383" s="76">
        <f t="shared" si="39"/>
        <v>0</v>
      </c>
      <c r="AF383" s="75">
        <f t="shared" si="34"/>
        <v>0</v>
      </c>
      <c r="AG383" s="75">
        <f t="shared" si="35"/>
        <v>0</v>
      </c>
      <c r="AH383" s="31" t="e" cm="1">
        <f t="array" aca="1" ref="AH383" ca="1">IF((AD383) &lt; (INDEX(ResponseSLA[#All],(MATCH((G383),ResponseSLA[Priority],0))+1,3)),"YES","No")</f>
        <v>#N/A</v>
      </c>
      <c r="AI383" s="31" t="str">
        <f>_xlfn.IFNA(IF(AE383 &lt; (INDEX(SLATable[Minimum SLA],MATCH(G383,SLATable[Priority],0))),"YES","NO"),"")</f>
        <v/>
      </c>
      <c r="AJ383" t="str">
        <f>_xlfn.IFNA(IF(AE383 &lt; (INDEX(SLATable[Maximum SLA],MATCH(G383,SLATable[Priority],0))),"YES","NO"),"")</f>
        <v/>
      </c>
    </row>
    <row r="384" spans="26:36" ht="15" customHeight="1">
      <c r="Z384" s="76" t="e">
        <f t="shared" ca="1" si="36"/>
        <v>#N/A</v>
      </c>
      <c r="AA384" s="75" t="e">
        <f t="shared" ca="1" si="32"/>
        <v>#N/A</v>
      </c>
      <c r="AB384" s="76">
        <f t="shared" ca="1" si="37"/>
        <v>0</v>
      </c>
      <c r="AC384" s="75">
        <f t="shared" ca="1" si="33"/>
        <v>0</v>
      </c>
      <c r="AD384" s="76">
        <f t="shared" ca="1" si="38"/>
        <v>12388.425641550926</v>
      </c>
      <c r="AE384" s="76">
        <f t="shared" si="39"/>
        <v>0</v>
      </c>
      <c r="AF384" s="75">
        <f t="shared" si="34"/>
        <v>0</v>
      </c>
      <c r="AG384" s="75">
        <f t="shared" si="35"/>
        <v>0</v>
      </c>
      <c r="AH384" s="31" t="e" cm="1">
        <f t="array" aca="1" ref="AH384" ca="1">IF((AD384) &lt; (INDEX(ResponseSLA[#All],(MATCH((G384),ResponseSLA[Priority],0))+1,3)),"YES","No")</f>
        <v>#N/A</v>
      </c>
      <c r="AI384" s="31" t="str">
        <f>_xlfn.IFNA(IF(AE384 &lt; (INDEX(SLATable[Minimum SLA],MATCH(G384,SLATable[Priority],0))),"YES","NO"),"")</f>
        <v/>
      </c>
      <c r="AJ384" t="str">
        <f>_xlfn.IFNA(IF(AE384 &lt; (INDEX(SLATable[Maximum SLA],MATCH(G384,SLATable[Priority],0))),"YES","NO"),"")</f>
        <v/>
      </c>
    </row>
    <row r="385" spans="26:36" ht="15" customHeight="1">
      <c r="Z385" s="76" t="e">
        <f t="shared" ca="1" si="36"/>
        <v>#N/A</v>
      </c>
      <c r="AA385" s="75" t="e">
        <f t="shared" ref="AA385:AA448" ca="1" si="40">(Z385*24)/9</f>
        <v>#N/A</v>
      </c>
      <c r="AB385" s="76">
        <f t="shared" ca="1" si="37"/>
        <v>0</v>
      </c>
      <c r="AC385" s="75">
        <f t="shared" ref="AC385:AC448" ca="1" si="41">(AB385*24)/9</f>
        <v>0</v>
      </c>
      <c r="AD385" s="76">
        <f t="shared" ca="1" si="38"/>
        <v>12388.425641550926</v>
      </c>
      <c r="AE385" s="76">
        <f t="shared" si="39"/>
        <v>0</v>
      </c>
      <c r="AF385" s="75">
        <f t="shared" ref="AF385:AF448" si="42">(AE385*24)/9</f>
        <v>0</v>
      </c>
      <c r="AG385" s="75">
        <f t="shared" ref="AG385:AG448" si="43">AF385</f>
        <v>0</v>
      </c>
      <c r="AH385" s="31" t="e" cm="1">
        <f t="array" aca="1" ref="AH385" ca="1">IF((AD385) &lt; (INDEX(ResponseSLA[#All],(MATCH((G385),ResponseSLA[Priority],0))+1,3)),"YES","No")</f>
        <v>#N/A</v>
      </c>
      <c r="AI385" s="31" t="str">
        <f>_xlfn.IFNA(IF(AE385 &lt; (INDEX(SLATable[Minimum SLA],MATCH(G385,SLATable[Priority],0))),"YES","NO"),"")</f>
        <v/>
      </c>
      <c r="AJ385" t="str">
        <f>_xlfn.IFNA(IF(AE385 &lt; (INDEX(SLATable[Maximum SLA],MATCH(G385,SLATable[Priority],0))),"YES","NO"),"")</f>
        <v/>
      </c>
    </row>
    <row r="386" spans="26:36" ht="15" customHeight="1">
      <c r="Z386" s="76" t="e">
        <f t="shared" ca="1" si="36"/>
        <v>#N/A</v>
      </c>
      <c r="AA386" s="75" t="e">
        <f t="shared" ca="1" si="40"/>
        <v>#N/A</v>
      </c>
      <c r="AB386" s="76">
        <f t="shared" ca="1" si="37"/>
        <v>0</v>
      </c>
      <c r="AC386" s="75">
        <f t="shared" ca="1" si="41"/>
        <v>0</v>
      </c>
      <c r="AD386" s="76">
        <f t="shared" ca="1" si="38"/>
        <v>12388.425641435188</v>
      </c>
      <c r="AE386" s="76">
        <f t="shared" si="39"/>
        <v>0</v>
      </c>
      <c r="AF386" s="75">
        <f t="shared" si="42"/>
        <v>0</v>
      </c>
      <c r="AG386" s="75">
        <f t="shared" si="43"/>
        <v>0</v>
      </c>
      <c r="AH386" s="31" t="e" cm="1">
        <f t="array" aca="1" ref="AH386" ca="1">IF((AD386) &lt; (INDEX(ResponseSLA[#All],(MATCH((G386),ResponseSLA[Priority],0))+1,3)),"YES","No")</f>
        <v>#N/A</v>
      </c>
      <c r="AI386" s="31" t="str">
        <f>_xlfn.IFNA(IF(AE386 &lt; (INDEX(SLATable[Minimum SLA],MATCH(G386,SLATable[Priority],0))),"YES","NO"),"")</f>
        <v/>
      </c>
      <c r="AJ386" t="str">
        <f>_xlfn.IFNA(IF(AE386 &lt; (INDEX(SLATable[Maximum SLA],MATCH(G386,SLATable[Priority],0))),"YES","NO"),"")</f>
        <v/>
      </c>
    </row>
    <row r="387" spans="26:36" ht="15" customHeight="1">
      <c r="Z387" s="76" t="e">
        <f t="shared" ref="Z387:Z450" ca="1" si="44">IF(NOT(OR(G387=1,G387=2)),MAX(0,_xlfn.IFS(AND(K387&lt;&gt;"",N387&lt;&gt;""),((MAX(NETWORKDAYS(K387,N387,UKBankHolidays)-1,0))*(TIME(17,0,0)-TIME(8,0,0))+IF(NETWORKDAYS(N387,N387,UKBankHolidays)&gt;0,MEDIAN(TIME(8,0,0),MOD(N387,1),TIME(17,0,0)),TIME(8,0,0))-IF(NETWORKDAYS(K387,K387,UKBankHolidays)&gt;0,MEDIAN(TIME(8,0,0),MOD(K387,1),TIME(17,0,0)),TIME(8,0,0)))-IF(AND(O387&lt;&gt;"",P387&lt;&gt;""),((MAX(NETWORKDAYS(O387,P387,UKBankHolidays)-1,0))*(TIME(17,0,0)-TIME(8,0,0))+IF(NETWORKDAYS(P387,P387,UKBankHolidays)&gt;0,MEDIAN(TIME(8,0,0),MOD(P387,1),TIME(17,0,0)),TIME(8,0,0))-IF(NETWORKDAYS(O387,O387,UKBankHolidays)&gt;0,MEDIAN(TIME(8,0,0),MOD(O387,1),TIME(17,0,0)),TIME(8,0,0))),0),AND(K387&lt;&gt;"",N387=""),((MAX(NETWORKDAYS(K387,NOW(),UKBankHolidays)-1,0))*(TIME(17,0,0)-TIME(8,0,0))+IF(NETWORKDAYS(NOW(),NOW(),UKBankHolidays)&gt;0,MEDIAN(TIME(8,0,0),MOD(NOW(),1),TIME(17,0,0)),TIME(8,0,0))-IF(NETWORKDAYS(K387,K387,UKBankHolidays)&gt;0,MEDIAN(TIME(8,0,0),MOD(K387,1),TIME(17,0,0)),TIME(8,0,0))))),IF(N387="",NOW()-K387,N387-K387))</f>
        <v>#N/A</v>
      </c>
      <c r="AA387" s="75" t="e">
        <f t="shared" ca="1" si="40"/>
        <v>#N/A</v>
      </c>
      <c r="AB387" s="76">
        <f t="shared" ref="AB387:AB450" ca="1" si="45">IF(NOT(OR(G387=1,G387=2)),MAX(0,_xlfn.IFS(AND(K387&lt;&gt;"",N387&lt;&gt;""),(((MAX(NETWORKDAYS(L387,N387,UKBankHolidays)-1,0))*(TIME(17,0,0)-TIME(8,0,0)))+IF(NETWORKDAYS(N387,N387,UKBankHolidays)&gt;0,MEDIAN(TIME(8,0,0),MOD(N387,1),TIME(17,0,0)),TIME(8,0,0))-IF(NETWORKDAYS(L387,L387,UKBankHolidays)&gt;0,MEDIAN(TIME(8,0,0),MOD(L387,1),TIME(17,0,0)),TIME(8,0,0)))-IF(AND(O387&lt;&gt;"",P387&lt;&gt;""),(((MAX(NETWORKDAYS(O387,P387,UKBankHolidays)-1,0))*(TIME(17,0,0)-TIME(8,0,0)))+IF(NETWORKDAYS(P387,P387,UKBankHolidays)&gt;0,MEDIAN(TIME(8,0,0),MOD(P387,1),TIME(17,0,0)),TIME(8,0,0))-IF(NETWORKDAYS(O387,O387,UKBankHolidays)&gt;0,MEDIAN(TIME(8,0,0),MOD(O387,1),TIME(17,0,0)),TIME(8,0,0))),0),AND(L387&lt;&gt;"",N387="",O387=""),(((MAX(NETWORKDAYS(L387,NOW(),UKBankHolidays)-1,0))*(TIME(17,0,0)-TIME(8,0,0)))+IF(NETWORKDAYS(NOW(),NOW(),UKBankHolidays)&gt;0,MEDIAN(TIME(8,0,0),MOD(NOW(),1),TIME(17,0,0)),TIME(8,0,0))-IF(NETWORKDAYS(L387,L387,UKBankHolidays)&gt;0,MEDIAN(TIME(8,0,0),MOD(L387,1),TIME(17,0,0)),TIME(8,0,0)))-IF(AND(O387&lt;&gt;"",P387&lt;&gt;""),(((MAX(NETWORKDAYS(O387,P387,UKBankHolidays)-1,0))*(TIME(17,0,0)-TIME(8,0,0)))+IF(NETWORKDAYS(P387,P387,UKBankHolidays)&gt;0,MEDIAN(TIME(8,0,0),MOD(P387,1),TIME(17,0,0)),TIME(8,0,0))-IF(NETWORKDAYS(O387,O387,UKBankHolidays)&gt;0,MEDIAN(TIME(8,0,0),MOD(O387,1),TIME(17,0,0)),TIME(8,0,0))),0),AND(L387&lt;&gt;"",N387="",P387="",O387&lt;&gt;""),(((MAX(NETWORKDAYS(L387,O387,UKBankHolidays)-1,0))*(TIME(17,0,0)-TIME(8,0,0)))+IF(NETWORKDAYS(O387,O387,UKBankHolidays)&gt;0,MEDIAN(TIME(8,0,0),MOD(O387,1),TIME(17,0,0)),TIME(8,0,0))-IF(NETWORKDAYS(L387,L387,UKBankHolidays)&gt;0,MEDIAN(TIME(8,0,0),MOD(L387,1),TIME(17,0,0)),TIME(8,0,0))),ISBLANK(K387),"0")),IF(ISBLANK(N387),NOW()-L387,N387-L387))</f>
        <v>0</v>
      </c>
      <c r="AC387" s="75">
        <f t="shared" ca="1" si="41"/>
        <v>0</v>
      </c>
      <c r="AD387" s="76">
        <f t="shared" ref="AD387:AD450" ca="1" si="46">MAX(0,IF(NOT(OR(G387=1,G387=2)),IF(M387&lt;&gt;"",((MAX(NETWORKDAYS(L387,M387,UKBankHolidays)-1,0))*(TIME(17,0,0)-TIME(8,0,0))+IF(NETWORKDAYS(M387,M387,UKBankHolidays)&gt;0,MEDIAN(TIME(8,0,0),MOD(M387,1),TIME(17,0,0)),TIME(8,0,0))-MEDIAN(TIME(8,0,0),MOD(L387,1),TIME(17,0,0))),((MAX(NETWORKDAYS(L387,NOW(),UKBankHolidays)-1,0))*(TIME(17,0,0)-TIME(8,0,0))+IF(NETWORKDAYS(NOW(),NOW(),UKBankHolidays)&gt;0,MEDIAN(TIME(8,0,0),MOD(NOW(),1),TIME(17,0,0)),TIME(8,0,0))-MEDIAN(TIME(8,0,0),MOD(L387,1),TIME(17,0,0)))),IF(M387&lt;&gt;"",M387-L387,NOW()-L387)))</f>
        <v>12388.425641550926</v>
      </c>
      <c r="AE387" s="76">
        <f t="shared" ref="AE387:AE450" si="47">SUMIFS(AB:AB,E:E,E387)</f>
        <v>0</v>
      </c>
      <c r="AF387" s="75">
        <f t="shared" si="42"/>
        <v>0</v>
      </c>
      <c r="AG387" s="75">
        <f t="shared" si="43"/>
        <v>0</v>
      </c>
      <c r="AH387" s="31" t="e" cm="1">
        <f t="array" aca="1" ref="AH387" ca="1">IF((AD387) &lt; (INDEX(ResponseSLA[#All],(MATCH((G387),ResponseSLA[Priority],0))+1,3)),"YES","No")</f>
        <v>#N/A</v>
      </c>
      <c r="AI387" s="31" t="str">
        <f>_xlfn.IFNA(IF(AE387 &lt; (INDEX(SLATable[Minimum SLA],MATCH(G387,SLATable[Priority],0))),"YES","NO"),"")</f>
        <v/>
      </c>
      <c r="AJ387" t="str">
        <f>_xlfn.IFNA(IF(AE387 &lt; (INDEX(SLATable[Maximum SLA],MATCH(G387,SLATable[Priority],0))),"YES","NO"),"")</f>
        <v/>
      </c>
    </row>
    <row r="388" spans="26:36" ht="15" customHeight="1">
      <c r="Z388" s="76" t="e">
        <f t="shared" ca="1" si="44"/>
        <v>#N/A</v>
      </c>
      <c r="AA388" s="75" t="e">
        <f t="shared" ca="1" si="40"/>
        <v>#N/A</v>
      </c>
      <c r="AB388" s="76">
        <f t="shared" ca="1" si="45"/>
        <v>0</v>
      </c>
      <c r="AC388" s="75">
        <f t="shared" ca="1" si="41"/>
        <v>0</v>
      </c>
      <c r="AD388" s="76">
        <f t="shared" ca="1" si="46"/>
        <v>12388.425641550926</v>
      </c>
      <c r="AE388" s="76">
        <f t="shared" si="47"/>
        <v>0</v>
      </c>
      <c r="AF388" s="75">
        <f t="shared" si="42"/>
        <v>0</v>
      </c>
      <c r="AG388" s="75">
        <f t="shared" si="43"/>
        <v>0</v>
      </c>
      <c r="AH388" s="31" t="e" cm="1">
        <f t="array" aca="1" ref="AH388" ca="1">IF((AD388) &lt; (INDEX(ResponseSLA[#All],(MATCH((G388),ResponseSLA[Priority],0))+1,3)),"YES","No")</f>
        <v>#N/A</v>
      </c>
      <c r="AI388" s="31" t="str">
        <f>_xlfn.IFNA(IF(AE388 &lt; (INDEX(SLATable[Minimum SLA],MATCH(G388,SLATable[Priority],0))),"YES","NO"),"")</f>
        <v/>
      </c>
      <c r="AJ388" t="str">
        <f>_xlfn.IFNA(IF(AE388 &lt; (INDEX(SLATable[Maximum SLA],MATCH(G388,SLATable[Priority],0))),"YES","NO"),"")</f>
        <v/>
      </c>
    </row>
    <row r="389" spans="26:36" ht="15" customHeight="1">
      <c r="Z389" s="76" t="e">
        <f t="shared" ca="1" si="44"/>
        <v>#N/A</v>
      </c>
      <c r="AA389" s="75" t="e">
        <f t="shared" ca="1" si="40"/>
        <v>#N/A</v>
      </c>
      <c r="AB389" s="76">
        <f t="shared" ca="1" si="45"/>
        <v>0</v>
      </c>
      <c r="AC389" s="75">
        <f t="shared" ca="1" si="41"/>
        <v>0</v>
      </c>
      <c r="AD389" s="76">
        <f t="shared" ca="1" si="46"/>
        <v>12388.425641435188</v>
      </c>
      <c r="AE389" s="76">
        <f t="shared" si="47"/>
        <v>0</v>
      </c>
      <c r="AF389" s="75">
        <f t="shared" si="42"/>
        <v>0</v>
      </c>
      <c r="AG389" s="75">
        <f t="shared" si="43"/>
        <v>0</v>
      </c>
      <c r="AH389" s="31" t="e" cm="1">
        <f t="array" aca="1" ref="AH389" ca="1">IF((AD389) &lt; (INDEX(ResponseSLA[#All],(MATCH((G389),ResponseSLA[Priority],0))+1,3)),"YES","No")</f>
        <v>#N/A</v>
      </c>
      <c r="AI389" s="31" t="str">
        <f>_xlfn.IFNA(IF(AE389 &lt; (INDEX(SLATable[Minimum SLA],MATCH(G389,SLATable[Priority],0))),"YES","NO"),"")</f>
        <v/>
      </c>
      <c r="AJ389" t="str">
        <f>_xlfn.IFNA(IF(AE389 &lt; (INDEX(SLATable[Maximum SLA],MATCH(G389,SLATable[Priority],0))),"YES","NO"),"")</f>
        <v/>
      </c>
    </row>
    <row r="390" spans="26:36" ht="15" customHeight="1">
      <c r="Z390" s="76" t="e">
        <f t="shared" ca="1" si="44"/>
        <v>#N/A</v>
      </c>
      <c r="AA390" s="75" t="e">
        <f t="shared" ca="1" si="40"/>
        <v>#N/A</v>
      </c>
      <c r="AB390" s="76">
        <f t="shared" ca="1" si="45"/>
        <v>0</v>
      </c>
      <c r="AC390" s="75">
        <f t="shared" ca="1" si="41"/>
        <v>0</v>
      </c>
      <c r="AD390" s="76">
        <f t="shared" ca="1" si="46"/>
        <v>12388.425641550926</v>
      </c>
      <c r="AE390" s="76">
        <f t="shared" si="47"/>
        <v>0</v>
      </c>
      <c r="AF390" s="75">
        <f t="shared" si="42"/>
        <v>0</v>
      </c>
      <c r="AG390" s="75">
        <f t="shared" si="43"/>
        <v>0</v>
      </c>
      <c r="AH390" s="31" t="e" cm="1">
        <f t="array" aca="1" ref="AH390" ca="1">IF((AD390) &lt; (INDEX(ResponseSLA[#All],(MATCH((G390),ResponseSLA[Priority],0))+1,3)),"YES","No")</f>
        <v>#N/A</v>
      </c>
      <c r="AI390" s="31" t="str">
        <f>_xlfn.IFNA(IF(AE390 &lt; (INDEX(SLATable[Minimum SLA],MATCH(G390,SLATable[Priority],0))),"YES","NO"),"")</f>
        <v/>
      </c>
      <c r="AJ390" t="str">
        <f>_xlfn.IFNA(IF(AE390 &lt; (INDEX(SLATable[Maximum SLA],MATCH(G390,SLATable[Priority],0))),"YES","NO"),"")</f>
        <v/>
      </c>
    </row>
    <row r="391" spans="26:36" ht="15" customHeight="1">
      <c r="Z391" s="76" t="e">
        <f t="shared" ca="1" si="44"/>
        <v>#N/A</v>
      </c>
      <c r="AA391" s="75" t="e">
        <f t="shared" ca="1" si="40"/>
        <v>#N/A</v>
      </c>
      <c r="AB391" s="76">
        <f t="shared" ca="1" si="45"/>
        <v>0</v>
      </c>
      <c r="AC391" s="75">
        <f t="shared" ca="1" si="41"/>
        <v>0</v>
      </c>
      <c r="AD391" s="76">
        <f t="shared" ca="1" si="46"/>
        <v>12388.425641550926</v>
      </c>
      <c r="AE391" s="76">
        <f t="shared" si="47"/>
        <v>0</v>
      </c>
      <c r="AF391" s="75">
        <f t="shared" si="42"/>
        <v>0</v>
      </c>
      <c r="AG391" s="75">
        <f t="shared" si="43"/>
        <v>0</v>
      </c>
      <c r="AH391" s="31" t="e" cm="1">
        <f t="array" aca="1" ref="AH391" ca="1">IF((AD391) &lt; (INDEX(ResponseSLA[#All],(MATCH((G391),ResponseSLA[Priority],0))+1,3)),"YES","No")</f>
        <v>#N/A</v>
      </c>
      <c r="AI391" s="31" t="str">
        <f>_xlfn.IFNA(IF(AE391 &lt; (INDEX(SLATable[Minimum SLA],MATCH(G391,SLATable[Priority],0))),"YES","NO"),"")</f>
        <v/>
      </c>
      <c r="AJ391" t="str">
        <f>_xlfn.IFNA(IF(AE391 &lt; (INDEX(SLATable[Maximum SLA],MATCH(G391,SLATable[Priority],0))),"YES","NO"),"")</f>
        <v/>
      </c>
    </row>
    <row r="392" spans="26:36" ht="15" customHeight="1">
      <c r="Z392" s="76" t="e">
        <f t="shared" ca="1" si="44"/>
        <v>#N/A</v>
      </c>
      <c r="AA392" s="75" t="e">
        <f t="shared" ca="1" si="40"/>
        <v>#N/A</v>
      </c>
      <c r="AB392" s="76">
        <f t="shared" ca="1" si="45"/>
        <v>0</v>
      </c>
      <c r="AC392" s="75">
        <f t="shared" ca="1" si="41"/>
        <v>0</v>
      </c>
      <c r="AD392" s="76">
        <f t="shared" ca="1" si="46"/>
        <v>12388.425641435188</v>
      </c>
      <c r="AE392" s="76">
        <f t="shared" si="47"/>
        <v>0</v>
      </c>
      <c r="AF392" s="75">
        <f t="shared" si="42"/>
        <v>0</v>
      </c>
      <c r="AG392" s="75">
        <f t="shared" si="43"/>
        <v>0</v>
      </c>
      <c r="AH392" s="31" t="e" cm="1">
        <f t="array" aca="1" ref="AH392" ca="1">IF((AD392) &lt; (INDEX(ResponseSLA[#All],(MATCH((G392),ResponseSLA[Priority],0))+1,3)),"YES","No")</f>
        <v>#N/A</v>
      </c>
      <c r="AI392" s="31" t="str">
        <f>_xlfn.IFNA(IF(AE392 &lt; (INDEX(SLATable[Minimum SLA],MATCH(G392,SLATable[Priority],0))),"YES","NO"),"")</f>
        <v/>
      </c>
      <c r="AJ392" t="str">
        <f>_xlfn.IFNA(IF(AE392 &lt; (INDEX(SLATable[Maximum SLA],MATCH(G392,SLATable[Priority],0))),"YES","NO"),"")</f>
        <v/>
      </c>
    </row>
    <row r="393" spans="26:36" ht="15" customHeight="1">
      <c r="Z393" s="76" t="e">
        <f t="shared" ca="1" si="44"/>
        <v>#N/A</v>
      </c>
      <c r="AA393" s="75" t="e">
        <f t="shared" ca="1" si="40"/>
        <v>#N/A</v>
      </c>
      <c r="AB393" s="76">
        <f t="shared" ca="1" si="45"/>
        <v>0</v>
      </c>
      <c r="AC393" s="75">
        <f t="shared" ca="1" si="41"/>
        <v>0</v>
      </c>
      <c r="AD393" s="76">
        <f t="shared" ca="1" si="46"/>
        <v>12388.425641550926</v>
      </c>
      <c r="AE393" s="76">
        <f t="shared" si="47"/>
        <v>0</v>
      </c>
      <c r="AF393" s="75">
        <f t="shared" si="42"/>
        <v>0</v>
      </c>
      <c r="AG393" s="75">
        <f t="shared" si="43"/>
        <v>0</v>
      </c>
      <c r="AH393" s="31" t="e" cm="1">
        <f t="array" aca="1" ref="AH393" ca="1">IF((AD393) &lt; (INDEX(ResponseSLA[#All],(MATCH((G393),ResponseSLA[Priority],0))+1,3)),"YES","No")</f>
        <v>#N/A</v>
      </c>
      <c r="AI393" s="31" t="str">
        <f>_xlfn.IFNA(IF(AE393 &lt; (INDEX(SLATable[Minimum SLA],MATCH(G393,SLATable[Priority],0))),"YES","NO"),"")</f>
        <v/>
      </c>
      <c r="AJ393" t="str">
        <f>_xlfn.IFNA(IF(AE393 &lt; (INDEX(SLATable[Maximum SLA],MATCH(G393,SLATable[Priority],0))),"YES","NO"),"")</f>
        <v/>
      </c>
    </row>
    <row r="394" spans="26:36" ht="15" customHeight="1">
      <c r="Z394" s="76" t="e">
        <f t="shared" ca="1" si="44"/>
        <v>#N/A</v>
      </c>
      <c r="AA394" s="75" t="e">
        <f t="shared" ca="1" si="40"/>
        <v>#N/A</v>
      </c>
      <c r="AB394" s="76">
        <f t="shared" ca="1" si="45"/>
        <v>0</v>
      </c>
      <c r="AC394" s="75">
        <f t="shared" ca="1" si="41"/>
        <v>0</v>
      </c>
      <c r="AD394" s="76">
        <f t="shared" ca="1" si="46"/>
        <v>12388.425641550926</v>
      </c>
      <c r="AE394" s="76">
        <f t="shared" si="47"/>
        <v>0</v>
      </c>
      <c r="AF394" s="75">
        <f t="shared" si="42"/>
        <v>0</v>
      </c>
      <c r="AG394" s="75">
        <f t="shared" si="43"/>
        <v>0</v>
      </c>
      <c r="AH394" s="31" t="e" cm="1">
        <f t="array" aca="1" ref="AH394" ca="1">IF((AD394) &lt; (INDEX(ResponseSLA[#All],(MATCH((G394),ResponseSLA[Priority],0))+1,3)),"YES","No")</f>
        <v>#N/A</v>
      </c>
      <c r="AI394" s="31" t="str">
        <f>_xlfn.IFNA(IF(AE394 &lt; (INDEX(SLATable[Minimum SLA],MATCH(G394,SLATable[Priority],0))),"YES","NO"),"")</f>
        <v/>
      </c>
      <c r="AJ394" t="str">
        <f>_xlfn.IFNA(IF(AE394 &lt; (INDEX(SLATable[Maximum SLA],MATCH(G394,SLATable[Priority],0))),"YES","NO"),"")</f>
        <v/>
      </c>
    </row>
    <row r="395" spans="26:36" ht="15" customHeight="1">
      <c r="Z395" s="76" t="e">
        <f t="shared" ca="1" si="44"/>
        <v>#N/A</v>
      </c>
      <c r="AA395" s="75" t="e">
        <f t="shared" ca="1" si="40"/>
        <v>#N/A</v>
      </c>
      <c r="AB395" s="76">
        <f t="shared" ca="1" si="45"/>
        <v>0</v>
      </c>
      <c r="AC395" s="75">
        <f t="shared" ca="1" si="41"/>
        <v>0</v>
      </c>
      <c r="AD395" s="76">
        <f t="shared" ca="1" si="46"/>
        <v>12388.425641435188</v>
      </c>
      <c r="AE395" s="76">
        <f t="shared" si="47"/>
        <v>0</v>
      </c>
      <c r="AF395" s="75">
        <f t="shared" si="42"/>
        <v>0</v>
      </c>
      <c r="AG395" s="75">
        <f t="shared" si="43"/>
        <v>0</v>
      </c>
      <c r="AH395" s="31" t="e" cm="1">
        <f t="array" aca="1" ref="AH395" ca="1">IF((AD395) &lt; (INDEX(ResponseSLA[#All],(MATCH((G395),ResponseSLA[Priority],0))+1,3)),"YES","No")</f>
        <v>#N/A</v>
      </c>
      <c r="AI395" s="31" t="str">
        <f>_xlfn.IFNA(IF(AE395 &lt; (INDEX(SLATable[Minimum SLA],MATCH(G395,SLATable[Priority],0))),"YES","NO"),"")</f>
        <v/>
      </c>
      <c r="AJ395" t="str">
        <f>_xlfn.IFNA(IF(AE395 &lt; (INDEX(SLATable[Maximum SLA],MATCH(G395,SLATable[Priority],0))),"YES","NO"),"")</f>
        <v/>
      </c>
    </row>
    <row r="396" spans="26:36" ht="15" customHeight="1">
      <c r="Z396" s="76" t="e">
        <f t="shared" ca="1" si="44"/>
        <v>#N/A</v>
      </c>
      <c r="AA396" s="75" t="e">
        <f t="shared" ca="1" si="40"/>
        <v>#N/A</v>
      </c>
      <c r="AB396" s="76">
        <f t="shared" ca="1" si="45"/>
        <v>0</v>
      </c>
      <c r="AC396" s="75">
        <f t="shared" ca="1" si="41"/>
        <v>0</v>
      </c>
      <c r="AD396" s="76">
        <f t="shared" ca="1" si="46"/>
        <v>12388.425641550926</v>
      </c>
      <c r="AE396" s="76">
        <f t="shared" si="47"/>
        <v>0</v>
      </c>
      <c r="AF396" s="75">
        <f t="shared" si="42"/>
        <v>0</v>
      </c>
      <c r="AG396" s="75">
        <f t="shared" si="43"/>
        <v>0</v>
      </c>
      <c r="AH396" s="31" t="e" cm="1">
        <f t="array" aca="1" ref="AH396" ca="1">IF((AD396) &lt; (INDEX(ResponseSLA[#All],(MATCH((G396),ResponseSLA[Priority],0))+1,3)),"YES","No")</f>
        <v>#N/A</v>
      </c>
      <c r="AI396" s="31" t="str">
        <f>_xlfn.IFNA(IF(AE396 &lt; (INDEX(SLATable[Minimum SLA],MATCH(G396,SLATable[Priority],0))),"YES","NO"),"")</f>
        <v/>
      </c>
      <c r="AJ396" t="str">
        <f>_xlfn.IFNA(IF(AE396 &lt; (INDEX(SLATable[Maximum SLA],MATCH(G396,SLATable[Priority],0))),"YES","NO"),"")</f>
        <v/>
      </c>
    </row>
    <row r="397" spans="26:36" ht="15" customHeight="1">
      <c r="Z397" s="76" t="e">
        <f t="shared" ca="1" si="44"/>
        <v>#N/A</v>
      </c>
      <c r="AA397" s="75" t="e">
        <f t="shared" ca="1" si="40"/>
        <v>#N/A</v>
      </c>
      <c r="AB397" s="76">
        <f t="shared" ca="1" si="45"/>
        <v>0</v>
      </c>
      <c r="AC397" s="75">
        <f t="shared" ca="1" si="41"/>
        <v>0</v>
      </c>
      <c r="AD397" s="76">
        <f t="shared" ca="1" si="46"/>
        <v>12388.425641550926</v>
      </c>
      <c r="AE397" s="76">
        <f t="shared" si="47"/>
        <v>0</v>
      </c>
      <c r="AF397" s="75">
        <f t="shared" si="42"/>
        <v>0</v>
      </c>
      <c r="AG397" s="75">
        <f t="shared" si="43"/>
        <v>0</v>
      </c>
      <c r="AH397" s="31" t="e" cm="1">
        <f t="array" aca="1" ref="AH397" ca="1">IF((AD397) &lt; (INDEX(ResponseSLA[#All],(MATCH((G397),ResponseSLA[Priority],0))+1,3)),"YES","No")</f>
        <v>#N/A</v>
      </c>
      <c r="AI397" s="31" t="str">
        <f>_xlfn.IFNA(IF(AE397 &lt; (INDEX(SLATable[Minimum SLA],MATCH(G397,SLATable[Priority],0))),"YES","NO"),"")</f>
        <v/>
      </c>
      <c r="AJ397" t="str">
        <f>_xlfn.IFNA(IF(AE397 &lt; (INDEX(SLATable[Maximum SLA],MATCH(G397,SLATable[Priority],0))),"YES","NO"),"")</f>
        <v/>
      </c>
    </row>
    <row r="398" spans="26:36" ht="15" customHeight="1">
      <c r="Z398" s="76" t="e">
        <f t="shared" ca="1" si="44"/>
        <v>#N/A</v>
      </c>
      <c r="AA398" s="75" t="e">
        <f t="shared" ca="1" si="40"/>
        <v>#N/A</v>
      </c>
      <c r="AB398" s="76">
        <f t="shared" ca="1" si="45"/>
        <v>0</v>
      </c>
      <c r="AC398" s="75">
        <f t="shared" ca="1" si="41"/>
        <v>0</v>
      </c>
      <c r="AD398" s="76">
        <f t="shared" ca="1" si="46"/>
        <v>12388.425641435188</v>
      </c>
      <c r="AE398" s="76">
        <f t="shared" si="47"/>
        <v>0</v>
      </c>
      <c r="AF398" s="75">
        <f t="shared" si="42"/>
        <v>0</v>
      </c>
      <c r="AG398" s="75">
        <f t="shared" si="43"/>
        <v>0</v>
      </c>
      <c r="AH398" s="31" t="e" cm="1">
        <f t="array" aca="1" ref="AH398" ca="1">IF((AD398) &lt; (INDEX(ResponseSLA[#All],(MATCH((G398),ResponseSLA[Priority],0))+1,3)),"YES","No")</f>
        <v>#N/A</v>
      </c>
      <c r="AI398" s="31" t="str">
        <f>_xlfn.IFNA(IF(AE398 &lt; (INDEX(SLATable[Minimum SLA],MATCH(G398,SLATable[Priority],0))),"YES","NO"),"")</f>
        <v/>
      </c>
      <c r="AJ398" t="str">
        <f>_xlfn.IFNA(IF(AE398 &lt; (INDEX(SLATable[Maximum SLA],MATCH(G398,SLATable[Priority],0))),"YES","NO"),"")</f>
        <v/>
      </c>
    </row>
    <row r="399" spans="26:36" ht="15" customHeight="1">
      <c r="Z399" s="76" t="e">
        <f t="shared" ca="1" si="44"/>
        <v>#N/A</v>
      </c>
      <c r="AA399" s="75" t="e">
        <f t="shared" ca="1" si="40"/>
        <v>#N/A</v>
      </c>
      <c r="AB399" s="76">
        <f t="shared" ca="1" si="45"/>
        <v>0</v>
      </c>
      <c r="AC399" s="75">
        <f t="shared" ca="1" si="41"/>
        <v>0</v>
      </c>
      <c r="AD399" s="76">
        <f t="shared" ca="1" si="46"/>
        <v>12388.425641550926</v>
      </c>
      <c r="AE399" s="76">
        <f t="shared" si="47"/>
        <v>0</v>
      </c>
      <c r="AF399" s="75">
        <f t="shared" si="42"/>
        <v>0</v>
      </c>
      <c r="AG399" s="75">
        <f t="shared" si="43"/>
        <v>0</v>
      </c>
      <c r="AH399" s="31" t="e" cm="1">
        <f t="array" aca="1" ref="AH399" ca="1">IF((AD399) &lt; (INDEX(ResponseSLA[#All],(MATCH((G399),ResponseSLA[Priority],0))+1,3)),"YES","No")</f>
        <v>#N/A</v>
      </c>
      <c r="AI399" s="31" t="str">
        <f>_xlfn.IFNA(IF(AE399 &lt; (INDEX(SLATable[Minimum SLA],MATCH(G399,SLATable[Priority],0))),"YES","NO"),"")</f>
        <v/>
      </c>
      <c r="AJ399" t="str">
        <f>_xlfn.IFNA(IF(AE399 &lt; (INDEX(SLATable[Maximum SLA],MATCH(G399,SLATable[Priority],0))),"YES","NO"),"")</f>
        <v/>
      </c>
    </row>
    <row r="400" spans="26:36" ht="15" customHeight="1">
      <c r="Z400" s="76" t="e">
        <f t="shared" ca="1" si="44"/>
        <v>#N/A</v>
      </c>
      <c r="AA400" s="75" t="e">
        <f t="shared" ca="1" si="40"/>
        <v>#N/A</v>
      </c>
      <c r="AB400" s="76">
        <f t="shared" ca="1" si="45"/>
        <v>0</v>
      </c>
      <c r="AC400" s="75">
        <f t="shared" ca="1" si="41"/>
        <v>0</v>
      </c>
      <c r="AD400" s="76">
        <f t="shared" ca="1" si="46"/>
        <v>12388.425641550926</v>
      </c>
      <c r="AE400" s="76">
        <f t="shared" si="47"/>
        <v>0</v>
      </c>
      <c r="AF400" s="75">
        <f t="shared" si="42"/>
        <v>0</v>
      </c>
      <c r="AG400" s="75">
        <f t="shared" si="43"/>
        <v>0</v>
      </c>
      <c r="AH400" s="31" t="e" cm="1">
        <f t="array" aca="1" ref="AH400" ca="1">IF((AD400) &lt; (INDEX(ResponseSLA[#All],(MATCH((G400),ResponseSLA[Priority],0))+1,3)),"YES","No")</f>
        <v>#N/A</v>
      </c>
      <c r="AI400" s="31" t="str">
        <f>_xlfn.IFNA(IF(AE400 &lt; (INDEX(SLATable[Minimum SLA],MATCH(G400,SLATable[Priority],0))),"YES","NO"),"")</f>
        <v/>
      </c>
      <c r="AJ400" t="str">
        <f>_xlfn.IFNA(IF(AE400 &lt; (INDEX(SLATable[Maximum SLA],MATCH(G400,SLATable[Priority],0))),"YES","NO"),"")</f>
        <v/>
      </c>
    </row>
    <row r="401" spans="26:36" ht="15" customHeight="1">
      <c r="Z401" s="76" t="e">
        <f t="shared" ca="1" si="44"/>
        <v>#N/A</v>
      </c>
      <c r="AA401" s="75" t="e">
        <f t="shared" ca="1" si="40"/>
        <v>#N/A</v>
      </c>
      <c r="AB401" s="76">
        <f t="shared" ca="1" si="45"/>
        <v>0</v>
      </c>
      <c r="AC401" s="75">
        <f t="shared" ca="1" si="41"/>
        <v>0</v>
      </c>
      <c r="AD401" s="76">
        <f t="shared" ca="1" si="46"/>
        <v>12388.425641435188</v>
      </c>
      <c r="AE401" s="76">
        <f t="shared" si="47"/>
        <v>0</v>
      </c>
      <c r="AF401" s="75">
        <f t="shared" si="42"/>
        <v>0</v>
      </c>
      <c r="AG401" s="75">
        <f t="shared" si="43"/>
        <v>0</v>
      </c>
      <c r="AH401" s="31" t="e" cm="1">
        <f t="array" aca="1" ref="AH401" ca="1">IF((AD401) &lt; (INDEX(ResponseSLA[#All],(MATCH((G401),ResponseSLA[Priority],0))+1,3)),"YES","No")</f>
        <v>#N/A</v>
      </c>
      <c r="AI401" s="31" t="str">
        <f>_xlfn.IFNA(IF(AE401 &lt; (INDEX(SLATable[Minimum SLA],MATCH(G401,SLATable[Priority],0))),"YES","NO"),"")</f>
        <v/>
      </c>
      <c r="AJ401" t="str">
        <f>_xlfn.IFNA(IF(AE401 &lt; (INDEX(SLATable[Maximum SLA],MATCH(G401,SLATable[Priority],0))),"YES","NO"),"")</f>
        <v/>
      </c>
    </row>
    <row r="402" spans="26:36" ht="15" customHeight="1">
      <c r="Z402" s="76" t="e">
        <f t="shared" ca="1" si="44"/>
        <v>#N/A</v>
      </c>
      <c r="AA402" s="75" t="e">
        <f t="shared" ca="1" si="40"/>
        <v>#N/A</v>
      </c>
      <c r="AB402" s="76">
        <f t="shared" ca="1" si="45"/>
        <v>0</v>
      </c>
      <c r="AC402" s="75">
        <f t="shared" ca="1" si="41"/>
        <v>0</v>
      </c>
      <c r="AD402" s="76">
        <f t="shared" ca="1" si="46"/>
        <v>12388.425641550926</v>
      </c>
      <c r="AE402" s="76">
        <f t="shared" si="47"/>
        <v>0</v>
      </c>
      <c r="AF402" s="75">
        <f t="shared" si="42"/>
        <v>0</v>
      </c>
      <c r="AG402" s="75">
        <f t="shared" si="43"/>
        <v>0</v>
      </c>
      <c r="AH402" s="31" t="e" cm="1">
        <f t="array" aca="1" ref="AH402" ca="1">IF((AD402) &lt; (INDEX(ResponseSLA[#All],(MATCH((G402),ResponseSLA[Priority],0))+1,3)),"YES","No")</f>
        <v>#N/A</v>
      </c>
      <c r="AI402" s="31" t="str">
        <f>_xlfn.IFNA(IF(AE402 &lt; (INDEX(SLATable[Minimum SLA],MATCH(G402,SLATable[Priority],0))),"YES","NO"),"")</f>
        <v/>
      </c>
      <c r="AJ402" t="str">
        <f>_xlfn.IFNA(IF(AE402 &lt; (INDEX(SLATable[Maximum SLA],MATCH(G402,SLATable[Priority],0))),"YES","NO"),"")</f>
        <v/>
      </c>
    </row>
    <row r="403" spans="26:36" ht="15" customHeight="1">
      <c r="Z403" s="76" t="e">
        <f t="shared" ca="1" si="44"/>
        <v>#N/A</v>
      </c>
      <c r="AA403" s="75" t="e">
        <f t="shared" ca="1" si="40"/>
        <v>#N/A</v>
      </c>
      <c r="AB403" s="76">
        <f t="shared" ca="1" si="45"/>
        <v>0</v>
      </c>
      <c r="AC403" s="75">
        <f t="shared" ca="1" si="41"/>
        <v>0</v>
      </c>
      <c r="AD403" s="76">
        <f t="shared" ca="1" si="46"/>
        <v>12388.425641550926</v>
      </c>
      <c r="AE403" s="76">
        <f t="shared" si="47"/>
        <v>0</v>
      </c>
      <c r="AF403" s="75">
        <f t="shared" si="42"/>
        <v>0</v>
      </c>
      <c r="AG403" s="75">
        <f t="shared" si="43"/>
        <v>0</v>
      </c>
      <c r="AH403" s="31" t="e" cm="1">
        <f t="array" aca="1" ref="AH403" ca="1">IF((AD403) &lt; (INDEX(ResponseSLA[#All],(MATCH((G403),ResponseSLA[Priority],0))+1,3)),"YES","No")</f>
        <v>#N/A</v>
      </c>
      <c r="AI403" s="31" t="str">
        <f>_xlfn.IFNA(IF(AE403 &lt; (INDEX(SLATable[Minimum SLA],MATCH(G403,SLATable[Priority],0))),"YES","NO"),"")</f>
        <v/>
      </c>
      <c r="AJ403" t="str">
        <f>_xlfn.IFNA(IF(AE403 &lt; (INDEX(SLATable[Maximum SLA],MATCH(G403,SLATable[Priority],0))),"YES","NO"),"")</f>
        <v/>
      </c>
    </row>
    <row r="404" spans="26:36" ht="15" customHeight="1">
      <c r="Z404" s="76" t="e">
        <f t="shared" ca="1" si="44"/>
        <v>#N/A</v>
      </c>
      <c r="AA404" s="75" t="e">
        <f t="shared" ca="1" si="40"/>
        <v>#N/A</v>
      </c>
      <c r="AB404" s="76">
        <f t="shared" ca="1" si="45"/>
        <v>0</v>
      </c>
      <c r="AC404" s="75">
        <f t="shared" ca="1" si="41"/>
        <v>0</v>
      </c>
      <c r="AD404" s="76">
        <f t="shared" ca="1" si="46"/>
        <v>12388.425641435188</v>
      </c>
      <c r="AE404" s="76">
        <f t="shared" si="47"/>
        <v>0</v>
      </c>
      <c r="AF404" s="75">
        <f t="shared" si="42"/>
        <v>0</v>
      </c>
      <c r="AG404" s="75">
        <f t="shared" si="43"/>
        <v>0</v>
      </c>
      <c r="AH404" s="31" t="e" cm="1">
        <f t="array" aca="1" ref="AH404" ca="1">IF((AD404) &lt; (INDEX(ResponseSLA[#All],(MATCH((G404),ResponseSLA[Priority],0))+1,3)),"YES","No")</f>
        <v>#N/A</v>
      </c>
      <c r="AI404" s="31" t="str">
        <f>_xlfn.IFNA(IF(AE404 &lt; (INDEX(SLATable[Minimum SLA],MATCH(G404,SLATable[Priority],0))),"YES","NO"),"")</f>
        <v/>
      </c>
      <c r="AJ404" t="str">
        <f>_xlfn.IFNA(IF(AE404 &lt; (INDEX(SLATable[Maximum SLA],MATCH(G404,SLATable[Priority],0))),"YES","NO"),"")</f>
        <v/>
      </c>
    </row>
    <row r="405" spans="26:36" ht="15" customHeight="1">
      <c r="Z405" s="76" t="e">
        <f t="shared" ca="1" si="44"/>
        <v>#N/A</v>
      </c>
      <c r="AA405" s="75" t="e">
        <f t="shared" ca="1" si="40"/>
        <v>#N/A</v>
      </c>
      <c r="AB405" s="76">
        <f t="shared" ca="1" si="45"/>
        <v>0</v>
      </c>
      <c r="AC405" s="75">
        <f t="shared" ca="1" si="41"/>
        <v>0</v>
      </c>
      <c r="AD405" s="76">
        <f t="shared" ca="1" si="46"/>
        <v>12388.425641550926</v>
      </c>
      <c r="AE405" s="76">
        <f t="shared" si="47"/>
        <v>0</v>
      </c>
      <c r="AF405" s="75">
        <f t="shared" si="42"/>
        <v>0</v>
      </c>
      <c r="AG405" s="75">
        <f t="shared" si="43"/>
        <v>0</v>
      </c>
      <c r="AH405" s="31" t="e" cm="1">
        <f t="array" aca="1" ref="AH405" ca="1">IF((AD405) &lt; (INDEX(ResponseSLA[#All],(MATCH((G405),ResponseSLA[Priority],0))+1,3)),"YES","No")</f>
        <v>#N/A</v>
      </c>
      <c r="AI405" s="31" t="str">
        <f>_xlfn.IFNA(IF(AE405 &lt; (INDEX(SLATable[Minimum SLA],MATCH(G405,SLATable[Priority],0))),"YES","NO"),"")</f>
        <v/>
      </c>
      <c r="AJ405" t="str">
        <f>_xlfn.IFNA(IF(AE405 &lt; (INDEX(SLATable[Maximum SLA],MATCH(G405,SLATable[Priority],0))),"YES","NO"),"")</f>
        <v/>
      </c>
    </row>
    <row r="406" spans="26:36" ht="15" customHeight="1">
      <c r="Z406" s="76" t="e">
        <f t="shared" ca="1" si="44"/>
        <v>#N/A</v>
      </c>
      <c r="AA406" s="75" t="e">
        <f t="shared" ca="1" si="40"/>
        <v>#N/A</v>
      </c>
      <c r="AB406" s="76">
        <f t="shared" ca="1" si="45"/>
        <v>0</v>
      </c>
      <c r="AC406" s="75">
        <f t="shared" ca="1" si="41"/>
        <v>0</v>
      </c>
      <c r="AD406" s="76">
        <f t="shared" ca="1" si="46"/>
        <v>12388.425641550926</v>
      </c>
      <c r="AE406" s="76">
        <f t="shared" si="47"/>
        <v>0</v>
      </c>
      <c r="AF406" s="75">
        <f t="shared" si="42"/>
        <v>0</v>
      </c>
      <c r="AG406" s="75">
        <f t="shared" si="43"/>
        <v>0</v>
      </c>
      <c r="AH406" s="31" t="e" cm="1">
        <f t="array" aca="1" ref="AH406" ca="1">IF((AD406) &lt; (INDEX(ResponseSLA[#All],(MATCH((G406),ResponseSLA[Priority],0))+1,3)),"YES","No")</f>
        <v>#N/A</v>
      </c>
      <c r="AI406" s="31" t="str">
        <f>_xlfn.IFNA(IF(AE406 &lt; (INDEX(SLATable[Minimum SLA],MATCH(G406,SLATable[Priority],0))),"YES","NO"),"")</f>
        <v/>
      </c>
      <c r="AJ406" t="str">
        <f>_xlfn.IFNA(IF(AE406 &lt; (INDEX(SLATable[Maximum SLA],MATCH(G406,SLATable[Priority],0))),"YES","NO"),"")</f>
        <v/>
      </c>
    </row>
    <row r="407" spans="26:36" ht="15" customHeight="1">
      <c r="Z407" s="76" t="e">
        <f t="shared" ca="1" si="44"/>
        <v>#N/A</v>
      </c>
      <c r="AA407" s="75" t="e">
        <f t="shared" ca="1" si="40"/>
        <v>#N/A</v>
      </c>
      <c r="AB407" s="76">
        <f t="shared" ca="1" si="45"/>
        <v>0</v>
      </c>
      <c r="AC407" s="75">
        <f t="shared" ca="1" si="41"/>
        <v>0</v>
      </c>
      <c r="AD407" s="76">
        <f t="shared" ca="1" si="46"/>
        <v>12388.425641435188</v>
      </c>
      <c r="AE407" s="76">
        <f t="shared" si="47"/>
        <v>0</v>
      </c>
      <c r="AF407" s="75">
        <f t="shared" si="42"/>
        <v>0</v>
      </c>
      <c r="AG407" s="75">
        <f t="shared" si="43"/>
        <v>0</v>
      </c>
      <c r="AH407" s="31" t="e" cm="1">
        <f t="array" aca="1" ref="AH407" ca="1">IF((AD407) &lt; (INDEX(ResponseSLA[#All],(MATCH((G407),ResponseSLA[Priority],0))+1,3)),"YES","No")</f>
        <v>#N/A</v>
      </c>
      <c r="AI407" s="31" t="str">
        <f>_xlfn.IFNA(IF(AE407 &lt; (INDEX(SLATable[Minimum SLA],MATCH(G407,SLATable[Priority],0))),"YES","NO"),"")</f>
        <v/>
      </c>
      <c r="AJ407" t="str">
        <f>_xlfn.IFNA(IF(AE407 &lt; (INDEX(SLATable[Maximum SLA],MATCH(G407,SLATable[Priority],0))),"YES","NO"),"")</f>
        <v/>
      </c>
    </row>
    <row r="408" spans="26:36" ht="15" customHeight="1">
      <c r="Z408" s="76" t="e">
        <f t="shared" ca="1" si="44"/>
        <v>#N/A</v>
      </c>
      <c r="AA408" s="75" t="e">
        <f t="shared" ca="1" si="40"/>
        <v>#N/A</v>
      </c>
      <c r="AB408" s="76">
        <f t="shared" ca="1" si="45"/>
        <v>0</v>
      </c>
      <c r="AC408" s="75">
        <f t="shared" ca="1" si="41"/>
        <v>0</v>
      </c>
      <c r="AD408" s="76">
        <f t="shared" ca="1" si="46"/>
        <v>12388.425641550926</v>
      </c>
      <c r="AE408" s="76">
        <f t="shared" si="47"/>
        <v>0</v>
      </c>
      <c r="AF408" s="75">
        <f t="shared" si="42"/>
        <v>0</v>
      </c>
      <c r="AG408" s="75">
        <f t="shared" si="43"/>
        <v>0</v>
      </c>
      <c r="AH408" s="31" t="e" cm="1">
        <f t="array" aca="1" ref="AH408" ca="1">IF((AD408) &lt; (INDEX(ResponseSLA[#All],(MATCH((G408),ResponseSLA[Priority],0))+1,3)),"YES","No")</f>
        <v>#N/A</v>
      </c>
      <c r="AI408" s="31" t="str">
        <f>_xlfn.IFNA(IF(AE408 &lt; (INDEX(SLATable[Minimum SLA],MATCH(G408,SLATable[Priority],0))),"YES","NO"),"")</f>
        <v/>
      </c>
      <c r="AJ408" t="str">
        <f>_xlfn.IFNA(IF(AE408 &lt; (INDEX(SLATable[Maximum SLA],MATCH(G408,SLATable[Priority],0))),"YES","NO"),"")</f>
        <v/>
      </c>
    </row>
    <row r="409" spans="26:36" ht="15" customHeight="1">
      <c r="Z409" s="76" t="e">
        <f t="shared" ca="1" si="44"/>
        <v>#N/A</v>
      </c>
      <c r="AA409" s="75" t="e">
        <f t="shared" ca="1" si="40"/>
        <v>#N/A</v>
      </c>
      <c r="AB409" s="76">
        <f t="shared" ca="1" si="45"/>
        <v>0</v>
      </c>
      <c r="AC409" s="75">
        <f t="shared" ca="1" si="41"/>
        <v>0</v>
      </c>
      <c r="AD409" s="76">
        <f t="shared" ca="1" si="46"/>
        <v>12388.425641550926</v>
      </c>
      <c r="AE409" s="76">
        <f t="shared" si="47"/>
        <v>0</v>
      </c>
      <c r="AF409" s="75">
        <f t="shared" si="42"/>
        <v>0</v>
      </c>
      <c r="AG409" s="75">
        <f t="shared" si="43"/>
        <v>0</v>
      </c>
      <c r="AH409" s="31" t="e" cm="1">
        <f t="array" aca="1" ref="AH409" ca="1">IF((AD409) &lt; (INDEX(ResponseSLA[#All],(MATCH((G409),ResponseSLA[Priority],0))+1,3)),"YES","No")</f>
        <v>#N/A</v>
      </c>
      <c r="AI409" s="31" t="str">
        <f>_xlfn.IFNA(IF(AE409 &lt; (INDEX(SLATable[Minimum SLA],MATCH(G409,SLATable[Priority],0))),"YES","NO"),"")</f>
        <v/>
      </c>
      <c r="AJ409" t="str">
        <f>_xlfn.IFNA(IF(AE409 &lt; (INDEX(SLATable[Maximum SLA],MATCH(G409,SLATable[Priority],0))),"YES","NO"),"")</f>
        <v/>
      </c>
    </row>
    <row r="410" spans="26:36" ht="15" customHeight="1">
      <c r="Z410" s="76" t="e">
        <f t="shared" ca="1" si="44"/>
        <v>#N/A</v>
      </c>
      <c r="AA410" s="75" t="e">
        <f t="shared" ca="1" si="40"/>
        <v>#N/A</v>
      </c>
      <c r="AB410" s="76">
        <f t="shared" ca="1" si="45"/>
        <v>0</v>
      </c>
      <c r="AC410" s="75">
        <f t="shared" ca="1" si="41"/>
        <v>0</v>
      </c>
      <c r="AD410" s="76">
        <f t="shared" ca="1" si="46"/>
        <v>12388.425641550926</v>
      </c>
      <c r="AE410" s="76">
        <f t="shared" si="47"/>
        <v>0</v>
      </c>
      <c r="AF410" s="75">
        <f t="shared" si="42"/>
        <v>0</v>
      </c>
      <c r="AG410" s="75">
        <f t="shared" si="43"/>
        <v>0</v>
      </c>
      <c r="AH410" s="31" t="e" cm="1">
        <f t="array" aca="1" ref="AH410" ca="1">IF((AD410) &lt; (INDEX(ResponseSLA[#All],(MATCH((G410),ResponseSLA[Priority],0))+1,3)),"YES","No")</f>
        <v>#N/A</v>
      </c>
      <c r="AI410" s="31" t="str">
        <f>_xlfn.IFNA(IF(AE410 &lt; (INDEX(SLATable[Minimum SLA],MATCH(G410,SLATable[Priority],0))),"YES","NO"),"")</f>
        <v/>
      </c>
      <c r="AJ410" t="str">
        <f>_xlfn.IFNA(IF(AE410 &lt; (INDEX(SLATable[Maximum SLA],MATCH(G410,SLATable[Priority],0))),"YES","NO"),"")</f>
        <v/>
      </c>
    </row>
    <row r="411" spans="26:36" ht="15" customHeight="1">
      <c r="Z411" s="76" t="e">
        <f t="shared" ca="1" si="44"/>
        <v>#N/A</v>
      </c>
      <c r="AA411" s="75" t="e">
        <f t="shared" ca="1" si="40"/>
        <v>#N/A</v>
      </c>
      <c r="AB411" s="76">
        <f t="shared" ca="1" si="45"/>
        <v>0</v>
      </c>
      <c r="AC411" s="75">
        <f t="shared" ca="1" si="41"/>
        <v>0</v>
      </c>
      <c r="AD411" s="76">
        <f t="shared" ca="1" si="46"/>
        <v>12388.425641550926</v>
      </c>
      <c r="AE411" s="76">
        <f t="shared" si="47"/>
        <v>0</v>
      </c>
      <c r="AF411" s="75">
        <f t="shared" si="42"/>
        <v>0</v>
      </c>
      <c r="AG411" s="75">
        <f t="shared" si="43"/>
        <v>0</v>
      </c>
      <c r="AH411" s="31" t="e" cm="1">
        <f t="array" aca="1" ref="AH411" ca="1">IF((AD411) &lt; (INDEX(ResponseSLA[#All],(MATCH((G411),ResponseSLA[Priority],0))+1,3)),"YES","No")</f>
        <v>#N/A</v>
      </c>
      <c r="AI411" s="31" t="str">
        <f>_xlfn.IFNA(IF(AE411 &lt; (INDEX(SLATable[Minimum SLA],MATCH(G411,SLATable[Priority],0))),"YES","NO"),"")</f>
        <v/>
      </c>
      <c r="AJ411" t="str">
        <f>_xlfn.IFNA(IF(AE411 &lt; (INDEX(SLATable[Maximum SLA],MATCH(G411,SLATable[Priority],0))),"YES","NO"),"")</f>
        <v/>
      </c>
    </row>
    <row r="412" spans="26:36" ht="15" customHeight="1">
      <c r="Z412" s="76" t="e">
        <f t="shared" ca="1" si="44"/>
        <v>#N/A</v>
      </c>
      <c r="AA412" s="75" t="e">
        <f t="shared" ca="1" si="40"/>
        <v>#N/A</v>
      </c>
      <c r="AB412" s="76">
        <f t="shared" ca="1" si="45"/>
        <v>0</v>
      </c>
      <c r="AC412" s="75">
        <f t="shared" ca="1" si="41"/>
        <v>0</v>
      </c>
      <c r="AD412" s="76">
        <f t="shared" ca="1" si="46"/>
        <v>12388.425641550926</v>
      </c>
      <c r="AE412" s="76">
        <f t="shared" si="47"/>
        <v>0</v>
      </c>
      <c r="AF412" s="75">
        <f t="shared" si="42"/>
        <v>0</v>
      </c>
      <c r="AG412" s="75">
        <f t="shared" si="43"/>
        <v>0</v>
      </c>
      <c r="AH412" s="31" t="e" cm="1">
        <f t="array" aca="1" ref="AH412" ca="1">IF((AD412) &lt; (INDEX(ResponseSLA[#All],(MATCH((G412),ResponseSLA[Priority],0))+1,3)),"YES","No")</f>
        <v>#N/A</v>
      </c>
      <c r="AI412" s="31" t="str">
        <f>_xlfn.IFNA(IF(AE412 &lt; (INDEX(SLATable[Minimum SLA],MATCH(G412,SLATable[Priority],0))),"YES","NO"),"")</f>
        <v/>
      </c>
      <c r="AJ412" t="str">
        <f>_xlfn.IFNA(IF(AE412 &lt; (INDEX(SLATable[Maximum SLA],MATCH(G412,SLATable[Priority],0))),"YES","NO"),"")</f>
        <v/>
      </c>
    </row>
    <row r="413" spans="26:36" ht="15" customHeight="1">
      <c r="Z413" s="76" t="e">
        <f t="shared" ca="1" si="44"/>
        <v>#N/A</v>
      </c>
      <c r="AA413" s="75" t="e">
        <f t="shared" ca="1" si="40"/>
        <v>#N/A</v>
      </c>
      <c r="AB413" s="76">
        <f t="shared" ca="1" si="45"/>
        <v>0</v>
      </c>
      <c r="AC413" s="75">
        <f t="shared" ca="1" si="41"/>
        <v>0</v>
      </c>
      <c r="AD413" s="76">
        <f t="shared" ca="1" si="46"/>
        <v>12388.425641550926</v>
      </c>
      <c r="AE413" s="76">
        <f t="shared" si="47"/>
        <v>0</v>
      </c>
      <c r="AF413" s="75">
        <f t="shared" si="42"/>
        <v>0</v>
      </c>
      <c r="AG413" s="75">
        <f t="shared" si="43"/>
        <v>0</v>
      </c>
      <c r="AH413" s="31" t="e" cm="1">
        <f t="array" aca="1" ref="AH413" ca="1">IF((AD413) &lt; (INDEX(ResponseSLA[#All],(MATCH((G413),ResponseSLA[Priority],0))+1,3)),"YES","No")</f>
        <v>#N/A</v>
      </c>
      <c r="AI413" s="31" t="str">
        <f>_xlfn.IFNA(IF(AE413 &lt; (INDEX(SLATable[Minimum SLA],MATCH(G413,SLATable[Priority],0))),"YES","NO"),"")</f>
        <v/>
      </c>
      <c r="AJ413" t="str">
        <f>_xlfn.IFNA(IF(AE413 &lt; (INDEX(SLATable[Maximum SLA],MATCH(G413,SLATable[Priority],0))),"YES","NO"),"")</f>
        <v/>
      </c>
    </row>
    <row r="414" spans="26:36" ht="15" customHeight="1">
      <c r="Z414" s="76" t="e">
        <f t="shared" ca="1" si="44"/>
        <v>#N/A</v>
      </c>
      <c r="AA414" s="75" t="e">
        <f t="shared" ca="1" si="40"/>
        <v>#N/A</v>
      </c>
      <c r="AB414" s="76">
        <f t="shared" ca="1" si="45"/>
        <v>0</v>
      </c>
      <c r="AC414" s="75">
        <f t="shared" ca="1" si="41"/>
        <v>0</v>
      </c>
      <c r="AD414" s="76">
        <f t="shared" ca="1" si="46"/>
        <v>12388.425641550926</v>
      </c>
      <c r="AE414" s="76">
        <f t="shared" si="47"/>
        <v>0</v>
      </c>
      <c r="AF414" s="75">
        <f t="shared" si="42"/>
        <v>0</v>
      </c>
      <c r="AG414" s="75">
        <f t="shared" si="43"/>
        <v>0</v>
      </c>
      <c r="AH414" s="31" t="e" cm="1">
        <f t="array" aca="1" ref="AH414" ca="1">IF((AD414) &lt; (INDEX(ResponseSLA[#All],(MATCH((G414),ResponseSLA[Priority],0))+1,3)),"YES","No")</f>
        <v>#N/A</v>
      </c>
      <c r="AI414" s="31" t="str">
        <f>_xlfn.IFNA(IF(AE414 &lt; (INDEX(SLATable[Minimum SLA],MATCH(G414,SLATable[Priority],0))),"YES","NO"),"")</f>
        <v/>
      </c>
      <c r="AJ414" t="str">
        <f>_xlfn.IFNA(IF(AE414 &lt; (INDEX(SLATable[Maximum SLA],MATCH(G414,SLATable[Priority],0))),"YES","NO"),"")</f>
        <v/>
      </c>
    </row>
    <row r="415" spans="26:36" ht="15" customHeight="1">
      <c r="Z415" s="76" t="e">
        <f t="shared" ca="1" si="44"/>
        <v>#N/A</v>
      </c>
      <c r="AA415" s="75" t="e">
        <f t="shared" ca="1" si="40"/>
        <v>#N/A</v>
      </c>
      <c r="AB415" s="76">
        <f t="shared" ca="1" si="45"/>
        <v>0</v>
      </c>
      <c r="AC415" s="75">
        <f t="shared" ca="1" si="41"/>
        <v>0</v>
      </c>
      <c r="AD415" s="76">
        <f t="shared" ca="1" si="46"/>
        <v>12388.425641550926</v>
      </c>
      <c r="AE415" s="76">
        <f t="shared" si="47"/>
        <v>0</v>
      </c>
      <c r="AF415" s="75">
        <f t="shared" si="42"/>
        <v>0</v>
      </c>
      <c r="AG415" s="75">
        <f t="shared" si="43"/>
        <v>0</v>
      </c>
      <c r="AH415" s="31" t="e" cm="1">
        <f t="array" aca="1" ref="AH415" ca="1">IF((AD415) &lt; (INDEX(ResponseSLA[#All],(MATCH((G415),ResponseSLA[Priority],0))+1,3)),"YES","No")</f>
        <v>#N/A</v>
      </c>
      <c r="AI415" s="31" t="str">
        <f>_xlfn.IFNA(IF(AE415 &lt; (INDEX(SLATable[Minimum SLA],MATCH(G415,SLATable[Priority],0))),"YES","NO"),"")</f>
        <v/>
      </c>
      <c r="AJ415" t="str">
        <f>_xlfn.IFNA(IF(AE415 &lt; (INDEX(SLATable[Maximum SLA],MATCH(G415,SLATable[Priority],0))),"YES","NO"),"")</f>
        <v/>
      </c>
    </row>
    <row r="416" spans="26:36" ht="15" customHeight="1">
      <c r="Z416" s="76" t="e">
        <f t="shared" ca="1" si="44"/>
        <v>#N/A</v>
      </c>
      <c r="AA416" s="75" t="e">
        <f t="shared" ca="1" si="40"/>
        <v>#N/A</v>
      </c>
      <c r="AB416" s="76">
        <f t="shared" ca="1" si="45"/>
        <v>0</v>
      </c>
      <c r="AC416" s="75">
        <f t="shared" ca="1" si="41"/>
        <v>0</v>
      </c>
      <c r="AD416" s="76">
        <f t="shared" ca="1" si="46"/>
        <v>12388.425641550926</v>
      </c>
      <c r="AE416" s="76">
        <f t="shared" si="47"/>
        <v>0</v>
      </c>
      <c r="AF416" s="75">
        <f t="shared" si="42"/>
        <v>0</v>
      </c>
      <c r="AG416" s="75">
        <f t="shared" si="43"/>
        <v>0</v>
      </c>
      <c r="AH416" s="31" t="e" cm="1">
        <f t="array" aca="1" ref="AH416" ca="1">IF((AD416) &lt; (INDEX(ResponseSLA[#All],(MATCH((G416),ResponseSLA[Priority],0))+1,3)),"YES","No")</f>
        <v>#N/A</v>
      </c>
      <c r="AI416" s="31" t="str">
        <f>_xlfn.IFNA(IF(AE416 &lt; (INDEX(SLATable[Minimum SLA],MATCH(G416,SLATable[Priority],0))),"YES","NO"),"")</f>
        <v/>
      </c>
      <c r="AJ416" t="str">
        <f>_xlfn.IFNA(IF(AE416 &lt; (INDEX(SLATable[Maximum SLA],MATCH(G416,SLATable[Priority],0))),"YES","NO"),"")</f>
        <v/>
      </c>
    </row>
    <row r="417" spans="26:36" ht="15" customHeight="1">
      <c r="Z417" s="76" t="e">
        <f t="shared" ca="1" si="44"/>
        <v>#N/A</v>
      </c>
      <c r="AA417" s="75" t="e">
        <f t="shared" ca="1" si="40"/>
        <v>#N/A</v>
      </c>
      <c r="AB417" s="76">
        <f t="shared" ca="1" si="45"/>
        <v>0</v>
      </c>
      <c r="AC417" s="75">
        <f t="shared" ca="1" si="41"/>
        <v>0</v>
      </c>
      <c r="AD417" s="76">
        <f t="shared" ca="1" si="46"/>
        <v>12388.425641550926</v>
      </c>
      <c r="AE417" s="76">
        <f t="shared" si="47"/>
        <v>0</v>
      </c>
      <c r="AF417" s="75">
        <f t="shared" si="42"/>
        <v>0</v>
      </c>
      <c r="AG417" s="75">
        <f t="shared" si="43"/>
        <v>0</v>
      </c>
      <c r="AH417" s="31" t="e" cm="1">
        <f t="array" aca="1" ref="AH417" ca="1">IF((AD417) &lt; (INDEX(ResponseSLA[#All],(MATCH((G417),ResponseSLA[Priority],0))+1,3)),"YES","No")</f>
        <v>#N/A</v>
      </c>
      <c r="AI417" s="31" t="str">
        <f>_xlfn.IFNA(IF(AE417 &lt; (INDEX(SLATable[Minimum SLA],MATCH(G417,SLATable[Priority],0))),"YES","NO"),"")</f>
        <v/>
      </c>
      <c r="AJ417" t="str">
        <f>_xlfn.IFNA(IF(AE417 &lt; (INDEX(SLATable[Maximum SLA],MATCH(G417,SLATable[Priority],0))),"YES","NO"),"")</f>
        <v/>
      </c>
    </row>
    <row r="418" spans="26:36" ht="15" customHeight="1">
      <c r="Z418" s="76" t="e">
        <f t="shared" ca="1" si="44"/>
        <v>#N/A</v>
      </c>
      <c r="AA418" s="75" t="e">
        <f t="shared" ca="1" si="40"/>
        <v>#N/A</v>
      </c>
      <c r="AB418" s="76">
        <f t="shared" ca="1" si="45"/>
        <v>0</v>
      </c>
      <c r="AC418" s="75">
        <f t="shared" ca="1" si="41"/>
        <v>0</v>
      </c>
      <c r="AD418" s="76">
        <f t="shared" ca="1" si="46"/>
        <v>12388.425641550926</v>
      </c>
      <c r="AE418" s="76">
        <f t="shared" si="47"/>
        <v>0</v>
      </c>
      <c r="AF418" s="75">
        <f t="shared" si="42"/>
        <v>0</v>
      </c>
      <c r="AG418" s="75">
        <f t="shared" si="43"/>
        <v>0</v>
      </c>
      <c r="AH418" s="31" t="e" cm="1">
        <f t="array" aca="1" ref="AH418" ca="1">IF((AD418) &lt; (INDEX(ResponseSLA[#All],(MATCH((G418),ResponseSLA[Priority],0))+1,3)),"YES","No")</f>
        <v>#N/A</v>
      </c>
      <c r="AI418" s="31" t="str">
        <f>_xlfn.IFNA(IF(AE418 &lt; (INDEX(SLATable[Minimum SLA],MATCH(G418,SLATable[Priority],0))),"YES","NO"),"")</f>
        <v/>
      </c>
      <c r="AJ418" t="str">
        <f>_xlfn.IFNA(IF(AE418 &lt; (INDEX(SLATable[Maximum SLA],MATCH(G418,SLATable[Priority],0))),"YES","NO"),"")</f>
        <v/>
      </c>
    </row>
    <row r="419" spans="26:36" ht="15" customHeight="1">
      <c r="Z419" s="76" t="e">
        <f t="shared" ca="1" si="44"/>
        <v>#N/A</v>
      </c>
      <c r="AA419" s="75" t="e">
        <f t="shared" ca="1" si="40"/>
        <v>#N/A</v>
      </c>
      <c r="AB419" s="76">
        <f t="shared" ca="1" si="45"/>
        <v>0</v>
      </c>
      <c r="AC419" s="75">
        <f t="shared" ca="1" si="41"/>
        <v>0</v>
      </c>
      <c r="AD419" s="76">
        <f t="shared" ca="1" si="46"/>
        <v>12388.425641550926</v>
      </c>
      <c r="AE419" s="76">
        <f t="shared" si="47"/>
        <v>0</v>
      </c>
      <c r="AF419" s="75">
        <f t="shared" si="42"/>
        <v>0</v>
      </c>
      <c r="AG419" s="75">
        <f t="shared" si="43"/>
        <v>0</v>
      </c>
      <c r="AH419" s="31" t="e" cm="1">
        <f t="array" aca="1" ref="AH419" ca="1">IF((AD419) &lt; (INDEX(ResponseSLA[#All],(MATCH((G419),ResponseSLA[Priority],0))+1,3)),"YES","No")</f>
        <v>#N/A</v>
      </c>
      <c r="AI419" s="31" t="str">
        <f>_xlfn.IFNA(IF(AE419 &lt; (INDEX(SLATable[Minimum SLA],MATCH(G419,SLATable[Priority],0))),"YES","NO"),"")</f>
        <v/>
      </c>
      <c r="AJ419" t="str">
        <f>_xlfn.IFNA(IF(AE419 &lt; (INDEX(SLATable[Maximum SLA],MATCH(G419,SLATable[Priority],0))),"YES","NO"),"")</f>
        <v/>
      </c>
    </row>
    <row r="420" spans="26:36" ht="15" customHeight="1">
      <c r="Z420" s="76" t="e">
        <f t="shared" ca="1" si="44"/>
        <v>#N/A</v>
      </c>
      <c r="AA420" s="75" t="e">
        <f t="shared" ca="1" si="40"/>
        <v>#N/A</v>
      </c>
      <c r="AB420" s="76">
        <f t="shared" ca="1" si="45"/>
        <v>0</v>
      </c>
      <c r="AC420" s="75">
        <f t="shared" ca="1" si="41"/>
        <v>0</v>
      </c>
      <c r="AD420" s="76">
        <f t="shared" ca="1" si="46"/>
        <v>12388.425641550926</v>
      </c>
      <c r="AE420" s="76">
        <f t="shared" si="47"/>
        <v>0</v>
      </c>
      <c r="AF420" s="75">
        <f t="shared" si="42"/>
        <v>0</v>
      </c>
      <c r="AG420" s="75">
        <f t="shared" si="43"/>
        <v>0</v>
      </c>
      <c r="AH420" s="31" t="e" cm="1">
        <f t="array" aca="1" ref="AH420" ca="1">IF((AD420) &lt; (INDEX(ResponseSLA[#All],(MATCH((G420),ResponseSLA[Priority],0))+1,3)),"YES","No")</f>
        <v>#N/A</v>
      </c>
      <c r="AI420" s="31" t="str">
        <f>_xlfn.IFNA(IF(AE420 &lt; (INDEX(SLATable[Minimum SLA],MATCH(G420,SLATable[Priority],0))),"YES","NO"),"")</f>
        <v/>
      </c>
      <c r="AJ420" t="str">
        <f>_xlfn.IFNA(IF(AE420 &lt; (INDEX(SLATable[Maximum SLA],MATCH(G420,SLATable[Priority],0))),"YES","NO"),"")</f>
        <v/>
      </c>
    </row>
    <row r="421" spans="26:36" ht="15" customHeight="1">
      <c r="Z421" s="76" t="e">
        <f t="shared" ca="1" si="44"/>
        <v>#N/A</v>
      </c>
      <c r="AA421" s="75" t="e">
        <f t="shared" ca="1" si="40"/>
        <v>#N/A</v>
      </c>
      <c r="AB421" s="76">
        <f t="shared" ca="1" si="45"/>
        <v>0</v>
      </c>
      <c r="AC421" s="75">
        <f t="shared" ca="1" si="41"/>
        <v>0</v>
      </c>
      <c r="AD421" s="76">
        <f t="shared" ca="1" si="46"/>
        <v>12388.425641550926</v>
      </c>
      <c r="AE421" s="76">
        <f t="shared" si="47"/>
        <v>0</v>
      </c>
      <c r="AF421" s="75">
        <f t="shared" si="42"/>
        <v>0</v>
      </c>
      <c r="AG421" s="75">
        <f t="shared" si="43"/>
        <v>0</v>
      </c>
      <c r="AH421" s="31" t="e" cm="1">
        <f t="array" aca="1" ref="AH421" ca="1">IF((AD421) &lt; (INDEX(ResponseSLA[#All],(MATCH((G421),ResponseSLA[Priority],0))+1,3)),"YES","No")</f>
        <v>#N/A</v>
      </c>
      <c r="AI421" s="31" t="str">
        <f>_xlfn.IFNA(IF(AE421 &lt; (INDEX(SLATable[Minimum SLA],MATCH(G421,SLATable[Priority],0))),"YES","NO"),"")</f>
        <v/>
      </c>
      <c r="AJ421" t="str">
        <f>_xlfn.IFNA(IF(AE421 &lt; (INDEX(SLATable[Maximum SLA],MATCH(G421,SLATable[Priority],0))),"YES","NO"),"")</f>
        <v/>
      </c>
    </row>
    <row r="422" spans="26:36" ht="15" customHeight="1">
      <c r="Z422" s="76" t="e">
        <f t="shared" ca="1" si="44"/>
        <v>#N/A</v>
      </c>
      <c r="AA422" s="75" t="e">
        <f t="shared" ca="1" si="40"/>
        <v>#N/A</v>
      </c>
      <c r="AB422" s="76">
        <f t="shared" ca="1" si="45"/>
        <v>0</v>
      </c>
      <c r="AC422" s="75">
        <f t="shared" ca="1" si="41"/>
        <v>0</v>
      </c>
      <c r="AD422" s="76">
        <f t="shared" ca="1" si="46"/>
        <v>12388.425641550926</v>
      </c>
      <c r="AE422" s="76">
        <f t="shared" si="47"/>
        <v>0</v>
      </c>
      <c r="AF422" s="75">
        <f t="shared" si="42"/>
        <v>0</v>
      </c>
      <c r="AG422" s="75">
        <f t="shared" si="43"/>
        <v>0</v>
      </c>
      <c r="AH422" s="31" t="e" cm="1">
        <f t="array" aca="1" ref="AH422" ca="1">IF((AD422) &lt; (INDEX(ResponseSLA[#All],(MATCH((G422),ResponseSLA[Priority],0))+1,3)),"YES","No")</f>
        <v>#N/A</v>
      </c>
      <c r="AI422" s="31" t="str">
        <f>_xlfn.IFNA(IF(AE422 &lt; (INDEX(SLATable[Minimum SLA],MATCH(G422,SLATable[Priority],0))),"YES","NO"),"")</f>
        <v/>
      </c>
      <c r="AJ422" t="str">
        <f>_xlfn.IFNA(IF(AE422 &lt; (INDEX(SLATable[Maximum SLA],MATCH(G422,SLATable[Priority],0))),"YES","NO"),"")</f>
        <v/>
      </c>
    </row>
    <row r="423" spans="26:36" ht="15" customHeight="1">
      <c r="Z423" s="76" t="e">
        <f t="shared" ca="1" si="44"/>
        <v>#N/A</v>
      </c>
      <c r="AA423" s="75" t="e">
        <f t="shared" ca="1" si="40"/>
        <v>#N/A</v>
      </c>
      <c r="AB423" s="76">
        <f t="shared" ca="1" si="45"/>
        <v>0</v>
      </c>
      <c r="AC423" s="75">
        <f t="shared" ca="1" si="41"/>
        <v>0</v>
      </c>
      <c r="AD423" s="76">
        <f t="shared" ca="1" si="46"/>
        <v>12388.425641550926</v>
      </c>
      <c r="AE423" s="76">
        <f t="shared" si="47"/>
        <v>0</v>
      </c>
      <c r="AF423" s="75">
        <f t="shared" si="42"/>
        <v>0</v>
      </c>
      <c r="AG423" s="75">
        <f t="shared" si="43"/>
        <v>0</v>
      </c>
      <c r="AH423" s="31" t="e" cm="1">
        <f t="array" aca="1" ref="AH423" ca="1">IF((AD423) &lt; (INDEX(ResponseSLA[#All],(MATCH((G423),ResponseSLA[Priority],0))+1,3)),"YES","No")</f>
        <v>#N/A</v>
      </c>
      <c r="AI423" s="31" t="str">
        <f>_xlfn.IFNA(IF(AE423 &lt; (INDEX(SLATable[Minimum SLA],MATCH(G423,SLATable[Priority],0))),"YES","NO"),"")</f>
        <v/>
      </c>
      <c r="AJ423" t="str">
        <f>_xlfn.IFNA(IF(AE423 &lt; (INDEX(SLATable[Maximum SLA],MATCH(G423,SLATable[Priority],0))),"YES","NO"),"")</f>
        <v/>
      </c>
    </row>
    <row r="424" spans="26:36" ht="15" customHeight="1">
      <c r="Z424" s="76" t="e">
        <f t="shared" ca="1" si="44"/>
        <v>#N/A</v>
      </c>
      <c r="AA424" s="75" t="e">
        <f t="shared" ca="1" si="40"/>
        <v>#N/A</v>
      </c>
      <c r="AB424" s="76">
        <f t="shared" ca="1" si="45"/>
        <v>0</v>
      </c>
      <c r="AC424" s="75">
        <f t="shared" ca="1" si="41"/>
        <v>0</v>
      </c>
      <c r="AD424" s="76">
        <f t="shared" ca="1" si="46"/>
        <v>12388.425641550926</v>
      </c>
      <c r="AE424" s="76">
        <f t="shared" si="47"/>
        <v>0</v>
      </c>
      <c r="AF424" s="75">
        <f t="shared" si="42"/>
        <v>0</v>
      </c>
      <c r="AG424" s="75">
        <f t="shared" si="43"/>
        <v>0</v>
      </c>
      <c r="AH424" s="31" t="e" cm="1">
        <f t="array" aca="1" ref="AH424" ca="1">IF((AD424) &lt; (INDEX(ResponseSLA[#All],(MATCH((G424),ResponseSLA[Priority],0))+1,3)),"YES","No")</f>
        <v>#N/A</v>
      </c>
      <c r="AI424" s="31" t="str">
        <f>_xlfn.IFNA(IF(AE424 &lt; (INDEX(SLATable[Minimum SLA],MATCH(G424,SLATable[Priority],0))),"YES","NO"),"")</f>
        <v/>
      </c>
      <c r="AJ424" t="str">
        <f>_xlfn.IFNA(IF(AE424 &lt; (INDEX(SLATable[Maximum SLA],MATCH(G424,SLATable[Priority],0))),"YES","NO"),"")</f>
        <v/>
      </c>
    </row>
    <row r="425" spans="26:36" ht="15" customHeight="1">
      <c r="Z425" s="76" t="e">
        <f t="shared" ca="1" si="44"/>
        <v>#N/A</v>
      </c>
      <c r="AA425" s="75" t="e">
        <f t="shared" ca="1" si="40"/>
        <v>#N/A</v>
      </c>
      <c r="AB425" s="76">
        <f t="shared" ca="1" si="45"/>
        <v>0</v>
      </c>
      <c r="AC425" s="75">
        <f t="shared" ca="1" si="41"/>
        <v>0</v>
      </c>
      <c r="AD425" s="76">
        <f t="shared" ca="1" si="46"/>
        <v>12388.425641550926</v>
      </c>
      <c r="AE425" s="76">
        <f t="shared" si="47"/>
        <v>0</v>
      </c>
      <c r="AF425" s="75">
        <f t="shared" si="42"/>
        <v>0</v>
      </c>
      <c r="AG425" s="75">
        <f t="shared" si="43"/>
        <v>0</v>
      </c>
      <c r="AH425" s="31" t="e" cm="1">
        <f t="array" aca="1" ref="AH425" ca="1">IF((AD425) &lt; (INDEX(ResponseSLA[#All],(MATCH((G425),ResponseSLA[Priority],0))+1,3)),"YES","No")</f>
        <v>#N/A</v>
      </c>
      <c r="AI425" s="31" t="str">
        <f>_xlfn.IFNA(IF(AE425 &lt; (INDEX(SLATable[Minimum SLA],MATCH(G425,SLATable[Priority],0))),"YES","NO"),"")</f>
        <v/>
      </c>
      <c r="AJ425" t="str">
        <f>_xlfn.IFNA(IF(AE425 &lt; (INDEX(SLATable[Maximum SLA],MATCH(G425,SLATable[Priority],0))),"YES","NO"),"")</f>
        <v/>
      </c>
    </row>
    <row r="426" spans="26:36" ht="15" customHeight="1">
      <c r="Z426" s="76" t="e">
        <f t="shared" ca="1" si="44"/>
        <v>#N/A</v>
      </c>
      <c r="AA426" s="75" t="e">
        <f t="shared" ca="1" si="40"/>
        <v>#N/A</v>
      </c>
      <c r="AB426" s="76">
        <f t="shared" ca="1" si="45"/>
        <v>0</v>
      </c>
      <c r="AC426" s="75">
        <f t="shared" ca="1" si="41"/>
        <v>0</v>
      </c>
      <c r="AD426" s="76">
        <f t="shared" ca="1" si="46"/>
        <v>12388.425641550926</v>
      </c>
      <c r="AE426" s="76">
        <f t="shared" si="47"/>
        <v>0</v>
      </c>
      <c r="AF426" s="75">
        <f t="shared" si="42"/>
        <v>0</v>
      </c>
      <c r="AG426" s="75">
        <f t="shared" si="43"/>
        <v>0</v>
      </c>
      <c r="AH426" s="31" t="e" cm="1">
        <f t="array" aca="1" ref="AH426" ca="1">IF((AD426) &lt; (INDEX(ResponseSLA[#All],(MATCH((G426),ResponseSLA[Priority],0))+1,3)),"YES","No")</f>
        <v>#N/A</v>
      </c>
      <c r="AI426" s="31" t="str">
        <f>_xlfn.IFNA(IF(AE426 &lt; (INDEX(SLATable[Minimum SLA],MATCH(G426,SLATable[Priority],0))),"YES","NO"),"")</f>
        <v/>
      </c>
      <c r="AJ426" t="str">
        <f>_xlfn.IFNA(IF(AE426 &lt; (INDEX(SLATable[Maximum SLA],MATCH(G426,SLATable[Priority],0))),"YES","NO"),"")</f>
        <v/>
      </c>
    </row>
    <row r="427" spans="26:36" ht="15" customHeight="1">
      <c r="Z427" s="76" t="e">
        <f t="shared" ca="1" si="44"/>
        <v>#N/A</v>
      </c>
      <c r="AA427" s="75" t="e">
        <f t="shared" ca="1" si="40"/>
        <v>#N/A</v>
      </c>
      <c r="AB427" s="76">
        <f t="shared" ca="1" si="45"/>
        <v>0</v>
      </c>
      <c r="AC427" s="75">
        <f t="shared" ca="1" si="41"/>
        <v>0</v>
      </c>
      <c r="AD427" s="76">
        <f t="shared" ca="1" si="46"/>
        <v>12388.425641550926</v>
      </c>
      <c r="AE427" s="76">
        <f t="shared" si="47"/>
        <v>0</v>
      </c>
      <c r="AF427" s="75">
        <f t="shared" si="42"/>
        <v>0</v>
      </c>
      <c r="AG427" s="75">
        <f t="shared" si="43"/>
        <v>0</v>
      </c>
      <c r="AH427" s="31" t="e" cm="1">
        <f t="array" aca="1" ref="AH427" ca="1">IF((AD427) &lt; (INDEX(ResponseSLA[#All],(MATCH((G427),ResponseSLA[Priority],0))+1,3)),"YES","No")</f>
        <v>#N/A</v>
      </c>
      <c r="AI427" s="31" t="str">
        <f>_xlfn.IFNA(IF(AE427 &lt; (INDEX(SLATable[Minimum SLA],MATCH(G427,SLATable[Priority],0))),"YES","NO"),"")</f>
        <v/>
      </c>
      <c r="AJ427" t="str">
        <f>_xlfn.IFNA(IF(AE427 &lt; (INDEX(SLATable[Maximum SLA],MATCH(G427,SLATable[Priority],0))),"YES","NO"),"")</f>
        <v/>
      </c>
    </row>
    <row r="428" spans="26:36" ht="15" customHeight="1">
      <c r="Z428" s="76" t="e">
        <f t="shared" ca="1" si="44"/>
        <v>#N/A</v>
      </c>
      <c r="AA428" s="75" t="e">
        <f t="shared" ca="1" si="40"/>
        <v>#N/A</v>
      </c>
      <c r="AB428" s="76">
        <f t="shared" ca="1" si="45"/>
        <v>0</v>
      </c>
      <c r="AC428" s="75">
        <f t="shared" ca="1" si="41"/>
        <v>0</v>
      </c>
      <c r="AD428" s="76">
        <f t="shared" ca="1" si="46"/>
        <v>12388.425641550926</v>
      </c>
      <c r="AE428" s="76">
        <f t="shared" si="47"/>
        <v>0</v>
      </c>
      <c r="AF428" s="75">
        <f t="shared" si="42"/>
        <v>0</v>
      </c>
      <c r="AG428" s="75">
        <f t="shared" si="43"/>
        <v>0</v>
      </c>
      <c r="AH428" s="31" t="e" cm="1">
        <f t="array" aca="1" ref="AH428" ca="1">IF((AD428) &lt; (INDEX(ResponseSLA[#All],(MATCH((G428),ResponseSLA[Priority],0))+1,3)),"YES","No")</f>
        <v>#N/A</v>
      </c>
      <c r="AI428" s="31" t="str">
        <f>_xlfn.IFNA(IF(AE428 &lt; (INDEX(SLATable[Minimum SLA],MATCH(G428,SLATable[Priority],0))),"YES","NO"),"")</f>
        <v/>
      </c>
      <c r="AJ428" t="str">
        <f>_xlfn.IFNA(IF(AE428 &lt; (INDEX(SLATable[Maximum SLA],MATCH(G428,SLATable[Priority],0))),"YES","NO"),"")</f>
        <v/>
      </c>
    </row>
    <row r="429" spans="26:36" ht="15" customHeight="1">
      <c r="Z429" s="76" t="e">
        <f t="shared" ca="1" si="44"/>
        <v>#N/A</v>
      </c>
      <c r="AA429" s="75" t="e">
        <f t="shared" ca="1" si="40"/>
        <v>#N/A</v>
      </c>
      <c r="AB429" s="76">
        <f t="shared" ca="1" si="45"/>
        <v>0</v>
      </c>
      <c r="AC429" s="75">
        <f t="shared" ca="1" si="41"/>
        <v>0</v>
      </c>
      <c r="AD429" s="76">
        <f t="shared" ca="1" si="46"/>
        <v>12388.425641550926</v>
      </c>
      <c r="AE429" s="76">
        <f t="shared" si="47"/>
        <v>0</v>
      </c>
      <c r="AF429" s="75">
        <f t="shared" si="42"/>
        <v>0</v>
      </c>
      <c r="AG429" s="75">
        <f t="shared" si="43"/>
        <v>0</v>
      </c>
      <c r="AH429" s="31" t="e" cm="1">
        <f t="array" aca="1" ref="AH429" ca="1">IF((AD429) &lt; (INDEX(ResponseSLA[#All],(MATCH((G429),ResponseSLA[Priority],0))+1,3)),"YES","No")</f>
        <v>#N/A</v>
      </c>
      <c r="AI429" s="31" t="str">
        <f>_xlfn.IFNA(IF(AE429 &lt; (INDEX(SLATable[Minimum SLA],MATCH(G429,SLATable[Priority],0))),"YES","NO"),"")</f>
        <v/>
      </c>
      <c r="AJ429" t="str">
        <f>_xlfn.IFNA(IF(AE429 &lt; (INDEX(SLATable[Maximum SLA],MATCH(G429,SLATable[Priority],0))),"YES","NO"),"")</f>
        <v/>
      </c>
    </row>
    <row r="430" spans="26:36" ht="15" customHeight="1">
      <c r="Z430" s="76" t="e">
        <f t="shared" ca="1" si="44"/>
        <v>#N/A</v>
      </c>
      <c r="AA430" s="75" t="e">
        <f t="shared" ca="1" si="40"/>
        <v>#N/A</v>
      </c>
      <c r="AB430" s="76">
        <f t="shared" ca="1" si="45"/>
        <v>0</v>
      </c>
      <c r="AC430" s="75">
        <f t="shared" ca="1" si="41"/>
        <v>0</v>
      </c>
      <c r="AD430" s="76">
        <f t="shared" ca="1" si="46"/>
        <v>12388.425641550926</v>
      </c>
      <c r="AE430" s="76">
        <f t="shared" si="47"/>
        <v>0</v>
      </c>
      <c r="AF430" s="75">
        <f t="shared" si="42"/>
        <v>0</v>
      </c>
      <c r="AG430" s="75">
        <f t="shared" si="43"/>
        <v>0</v>
      </c>
      <c r="AH430" s="31" t="e" cm="1">
        <f t="array" aca="1" ref="AH430" ca="1">IF((AD430) &lt; (INDEX(ResponseSLA[#All],(MATCH((G430),ResponseSLA[Priority],0))+1,3)),"YES","No")</f>
        <v>#N/A</v>
      </c>
      <c r="AI430" s="31" t="str">
        <f>_xlfn.IFNA(IF(AE430 &lt; (INDEX(SLATable[Minimum SLA],MATCH(G430,SLATable[Priority],0))),"YES","NO"),"")</f>
        <v/>
      </c>
      <c r="AJ430" t="str">
        <f>_xlfn.IFNA(IF(AE430 &lt; (INDEX(SLATable[Maximum SLA],MATCH(G430,SLATable[Priority],0))),"YES","NO"),"")</f>
        <v/>
      </c>
    </row>
    <row r="431" spans="26:36" ht="15" customHeight="1">
      <c r="Z431" s="76" t="e">
        <f t="shared" ca="1" si="44"/>
        <v>#N/A</v>
      </c>
      <c r="AA431" s="75" t="e">
        <f t="shared" ca="1" si="40"/>
        <v>#N/A</v>
      </c>
      <c r="AB431" s="76">
        <f t="shared" ca="1" si="45"/>
        <v>0</v>
      </c>
      <c r="AC431" s="75">
        <f t="shared" ca="1" si="41"/>
        <v>0</v>
      </c>
      <c r="AD431" s="76">
        <f t="shared" ca="1" si="46"/>
        <v>12388.425641550926</v>
      </c>
      <c r="AE431" s="76">
        <f t="shared" si="47"/>
        <v>0</v>
      </c>
      <c r="AF431" s="75">
        <f t="shared" si="42"/>
        <v>0</v>
      </c>
      <c r="AG431" s="75">
        <f t="shared" si="43"/>
        <v>0</v>
      </c>
      <c r="AH431" s="31" t="e" cm="1">
        <f t="array" aca="1" ref="AH431" ca="1">IF((AD431) &lt; (INDEX(ResponseSLA[#All],(MATCH((G431),ResponseSLA[Priority],0))+1,3)),"YES","No")</f>
        <v>#N/A</v>
      </c>
      <c r="AI431" s="31" t="str">
        <f>_xlfn.IFNA(IF(AE431 &lt; (INDEX(SLATable[Minimum SLA],MATCH(G431,SLATable[Priority],0))),"YES","NO"),"")</f>
        <v/>
      </c>
      <c r="AJ431" t="str">
        <f>_xlfn.IFNA(IF(AE431 &lt; (INDEX(SLATable[Maximum SLA],MATCH(G431,SLATable[Priority],0))),"YES","NO"),"")</f>
        <v/>
      </c>
    </row>
    <row r="432" spans="26:36" ht="15" customHeight="1">
      <c r="Z432" s="76" t="e">
        <f t="shared" ca="1" si="44"/>
        <v>#N/A</v>
      </c>
      <c r="AA432" s="75" t="e">
        <f t="shared" ca="1" si="40"/>
        <v>#N/A</v>
      </c>
      <c r="AB432" s="76">
        <f t="shared" ca="1" si="45"/>
        <v>0</v>
      </c>
      <c r="AC432" s="75">
        <f t="shared" ca="1" si="41"/>
        <v>0</v>
      </c>
      <c r="AD432" s="76">
        <f t="shared" ca="1" si="46"/>
        <v>12388.425641550926</v>
      </c>
      <c r="AE432" s="76">
        <f t="shared" si="47"/>
        <v>0</v>
      </c>
      <c r="AF432" s="75">
        <f t="shared" si="42"/>
        <v>0</v>
      </c>
      <c r="AG432" s="75">
        <f t="shared" si="43"/>
        <v>0</v>
      </c>
      <c r="AH432" s="31" t="e" cm="1">
        <f t="array" aca="1" ref="AH432" ca="1">IF((AD432) &lt; (INDEX(ResponseSLA[#All],(MATCH((G432),ResponseSLA[Priority],0))+1,3)),"YES","No")</f>
        <v>#N/A</v>
      </c>
      <c r="AI432" s="31" t="str">
        <f>_xlfn.IFNA(IF(AE432 &lt; (INDEX(SLATable[Minimum SLA],MATCH(G432,SLATable[Priority],0))),"YES","NO"),"")</f>
        <v/>
      </c>
      <c r="AJ432" t="str">
        <f>_xlfn.IFNA(IF(AE432 &lt; (INDEX(SLATable[Maximum SLA],MATCH(G432,SLATable[Priority],0))),"YES","NO"),"")</f>
        <v/>
      </c>
    </row>
    <row r="433" spans="26:36" ht="15" customHeight="1">
      <c r="Z433" s="76" t="e">
        <f t="shared" ca="1" si="44"/>
        <v>#N/A</v>
      </c>
      <c r="AA433" s="75" t="e">
        <f t="shared" ca="1" si="40"/>
        <v>#N/A</v>
      </c>
      <c r="AB433" s="76">
        <f t="shared" ca="1" si="45"/>
        <v>0</v>
      </c>
      <c r="AC433" s="75">
        <f t="shared" ca="1" si="41"/>
        <v>0</v>
      </c>
      <c r="AD433" s="76">
        <f t="shared" ca="1" si="46"/>
        <v>12388.425641550926</v>
      </c>
      <c r="AE433" s="76">
        <f t="shared" si="47"/>
        <v>0</v>
      </c>
      <c r="AF433" s="75">
        <f t="shared" si="42"/>
        <v>0</v>
      </c>
      <c r="AG433" s="75">
        <f t="shared" si="43"/>
        <v>0</v>
      </c>
      <c r="AH433" s="31" t="e" cm="1">
        <f t="array" aca="1" ref="AH433" ca="1">IF((AD433) &lt; (INDEX(ResponseSLA[#All],(MATCH((G433),ResponseSLA[Priority],0))+1,3)),"YES","No")</f>
        <v>#N/A</v>
      </c>
      <c r="AI433" s="31" t="str">
        <f>_xlfn.IFNA(IF(AE433 &lt; (INDEX(SLATable[Minimum SLA],MATCH(G433,SLATable[Priority],0))),"YES","NO"),"")</f>
        <v/>
      </c>
      <c r="AJ433" t="str">
        <f>_xlfn.IFNA(IF(AE433 &lt; (INDEX(SLATable[Maximum SLA],MATCH(G433,SLATable[Priority],0))),"YES","NO"),"")</f>
        <v/>
      </c>
    </row>
    <row r="434" spans="26:36" ht="15" customHeight="1">
      <c r="Z434" s="76" t="e">
        <f t="shared" ca="1" si="44"/>
        <v>#N/A</v>
      </c>
      <c r="AA434" s="75" t="e">
        <f t="shared" ca="1" si="40"/>
        <v>#N/A</v>
      </c>
      <c r="AB434" s="76">
        <f t="shared" ca="1" si="45"/>
        <v>0</v>
      </c>
      <c r="AC434" s="75">
        <f t="shared" ca="1" si="41"/>
        <v>0</v>
      </c>
      <c r="AD434" s="76">
        <f t="shared" ca="1" si="46"/>
        <v>12388.425641550926</v>
      </c>
      <c r="AE434" s="76">
        <f t="shared" si="47"/>
        <v>0</v>
      </c>
      <c r="AF434" s="75">
        <f t="shared" si="42"/>
        <v>0</v>
      </c>
      <c r="AG434" s="75">
        <f t="shared" si="43"/>
        <v>0</v>
      </c>
      <c r="AH434" s="31" t="e" cm="1">
        <f t="array" aca="1" ref="AH434" ca="1">IF((AD434) &lt; (INDEX(ResponseSLA[#All],(MATCH((G434),ResponseSLA[Priority],0))+1,3)),"YES","No")</f>
        <v>#N/A</v>
      </c>
      <c r="AI434" s="31" t="str">
        <f>_xlfn.IFNA(IF(AE434 &lt; (INDEX(SLATable[Minimum SLA],MATCH(G434,SLATable[Priority],0))),"YES","NO"),"")</f>
        <v/>
      </c>
      <c r="AJ434" t="str">
        <f>_xlfn.IFNA(IF(AE434 &lt; (INDEX(SLATable[Maximum SLA],MATCH(G434,SLATable[Priority],0))),"YES","NO"),"")</f>
        <v/>
      </c>
    </row>
    <row r="435" spans="26:36" ht="15" customHeight="1">
      <c r="Z435" s="76" t="e">
        <f t="shared" ca="1" si="44"/>
        <v>#N/A</v>
      </c>
      <c r="AA435" s="75" t="e">
        <f t="shared" ca="1" si="40"/>
        <v>#N/A</v>
      </c>
      <c r="AB435" s="76">
        <f t="shared" ca="1" si="45"/>
        <v>0</v>
      </c>
      <c r="AC435" s="75">
        <f t="shared" ca="1" si="41"/>
        <v>0</v>
      </c>
      <c r="AD435" s="76">
        <f t="shared" ca="1" si="46"/>
        <v>12388.425641550926</v>
      </c>
      <c r="AE435" s="76">
        <f t="shared" si="47"/>
        <v>0</v>
      </c>
      <c r="AF435" s="75">
        <f t="shared" si="42"/>
        <v>0</v>
      </c>
      <c r="AG435" s="75">
        <f t="shared" si="43"/>
        <v>0</v>
      </c>
      <c r="AH435" s="31" t="e" cm="1">
        <f t="array" aca="1" ref="AH435" ca="1">IF((AD435) &lt; (INDEX(ResponseSLA[#All],(MATCH((G435),ResponseSLA[Priority],0))+1,3)),"YES","No")</f>
        <v>#N/A</v>
      </c>
      <c r="AI435" s="31" t="str">
        <f>_xlfn.IFNA(IF(AE435 &lt; (INDEX(SLATable[Minimum SLA],MATCH(G435,SLATable[Priority],0))),"YES","NO"),"")</f>
        <v/>
      </c>
      <c r="AJ435" t="str">
        <f>_xlfn.IFNA(IF(AE435 &lt; (INDEX(SLATable[Maximum SLA],MATCH(G435,SLATable[Priority],0))),"YES","NO"),"")</f>
        <v/>
      </c>
    </row>
    <row r="436" spans="26:36" ht="15" customHeight="1">
      <c r="Z436" s="76" t="e">
        <f t="shared" ca="1" si="44"/>
        <v>#N/A</v>
      </c>
      <c r="AA436" s="75" t="e">
        <f t="shared" ca="1" si="40"/>
        <v>#N/A</v>
      </c>
      <c r="AB436" s="76">
        <f t="shared" ca="1" si="45"/>
        <v>0</v>
      </c>
      <c r="AC436" s="75">
        <f t="shared" ca="1" si="41"/>
        <v>0</v>
      </c>
      <c r="AD436" s="76">
        <f t="shared" ca="1" si="46"/>
        <v>12388.425641782411</v>
      </c>
      <c r="AE436" s="76">
        <f t="shared" si="47"/>
        <v>0</v>
      </c>
      <c r="AF436" s="75">
        <f t="shared" si="42"/>
        <v>0</v>
      </c>
      <c r="AG436" s="75">
        <f t="shared" si="43"/>
        <v>0</v>
      </c>
      <c r="AH436" s="31" t="e" cm="1">
        <f t="array" aca="1" ref="AH436" ca="1">IF((AD436) &lt; (INDEX(ResponseSLA[#All],(MATCH((G436),ResponseSLA[Priority],0))+1,3)),"YES","No")</f>
        <v>#N/A</v>
      </c>
      <c r="AI436" s="31" t="str">
        <f>_xlfn.IFNA(IF(AE436 &lt; (INDEX(SLATable[Minimum SLA],MATCH(G436,SLATable[Priority],0))),"YES","NO"),"")</f>
        <v/>
      </c>
      <c r="AJ436" t="str">
        <f>_xlfn.IFNA(IF(AE436 &lt; (INDEX(SLATable[Maximum SLA],MATCH(G436,SLATable[Priority],0))),"YES","NO"),"")</f>
        <v/>
      </c>
    </row>
    <row r="437" spans="26:36" ht="15" customHeight="1">
      <c r="Z437" s="76" t="e">
        <f t="shared" ca="1" si="44"/>
        <v>#N/A</v>
      </c>
      <c r="AA437" s="75" t="e">
        <f t="shared" ca="1" si="40"/>
        <v>#N/A</v>
      </c>
      <c r="AB437" s="76">
        <f t="shared" ca="1" si="45"/>
        <v>0</v>
      </c>
      <c r="AC437" s="75">
        <f t="shared" ca="1" si="41"/>
        <v>0</v>
      </c>
      <c r="AD437" s="76">
        <f t="shared" ca="1" si="46"/>
        <v>12388.425641550926</v>
      </c>
      <c r="AE437" s="76">
        <f t="shared" si="47"/>
        <v>0</v>
      </c>
      <c r="AF437" s="75">
        <f t="shared" si="42"/>
        <v>0</v>
      </c>
      <c r="AG437" s="75">
        <f t="shared" si="43"/>
        <v>0</v>
      </c>
      <c r="AH437" s="31" t="e" cm="1">
        <f t="array" aca="1" ref="AH437" ca="1">IF((AD437) &lt; (INDEX(ResponseSLA[#All],(MATCH((G437),ResponseSLA[Priority],0))+1,3)),"YES","No")</f>
        <v>#N/A</v>
      </c>
      <c r="AI437" s="31" t="str">
        <f>_xlfn.IFNA(IF(AE437 &lt; (INDEX(SLATable[Minimum SLA],MATCH(G437,SLATable[Priority],0))),"YES","NO"),"")</f>
        <v/>
      </c>
      <c r="AJ437" t="str">
        <f>_xlfn.IFNA(IF(AE437 &lt; (INDEX(SLATable[Maximum SLA],MATCH(G437,SLATable[Priority],0))),"YES","NO"),"")</f>
        <v/>
      </c>
    </row>
    <row r="438" spans="26:36" ht="15" customHeight="1">
      <c r="Z438" s="76" t="e">
        <f t="shared" ca="1" si="44"/>
        <v>#N/A</v>
      </c>
      <c r="AA438" s="75" t="e">
        <f t="shared" ca="1" si="40"/>
        <v>#N/A</v>
      </c>
      <c r="AB438" s="76">
        <f t="shared" ca="1" si="45"/>
        <v>0</v>
      </c>
      <c r="AC438" s="75">
        <f t="shared" ca="1" si="41"/>
        <v>0</v>
      </c>
      <c r="AD438" s="76">
        <f t="shared" ca="1" si="46"/>
        <v>12388.425641550926</v>
      </c>
      <c r="AE438" s="76">
        <f t="shared" si="47"/>
        <v>0</v>
      </c>
      <c r="AF438" s="75">
        <f t="shared" si="42"/>
        <v>0</v>
      </c>
      <c r="AG438" s="75">
        <f t="shared" si="43"/>
        <v>0</v>
      </c>
      <c r="AH438" s="31" t="e" cm="1">
        <f t="array" aca="1" ref="AH438" ca="1">IF((AD438) &lt; (INDEX(ResponseSLA[#All],(MATCH((G438),ResponseSLA[Priority],0))+1,3)),"YES","No")</f>
        <v>#N/A</v>
      </c>
      <c r="AI438" s="31" t="str">
        <f>_xlfn.IFNA(IF(AE438 &lt; (INDEX(SLATable[Minimum SLA],MATCH(G438,SLATable[Priority],0))),"YES","NO"),"")</f>
        <v/>
      </c>
      <c r="AJ438" t="str">
        <f>_xlfn.IFNA(IF(AE438 &lt; (INDEX(SLATable[Maximum SLA],MATCH(G438,SLATable[Priority],0))),"YES","NO"),"")</f>
        <v/>
      </c>
    </row>
    <row r="439" spans="26:36" ht="15" customHeight="1">
      <c r="Z439" s="76" t="e">
        <f t="shared" ca="1" si="44"/>
        <v>#N/A</v>
      </c>
      <c r="AA439" s="75" t="e">
        <f t="shared" ca="1" si="40"/>
        <v>#N/A</v>
      </c>
      <c r="AB439" s="76">
        <f t="shared" ca="1" si="45"/>
        <v>0</v>
      </c>
      <c r="AC439" s="75">
        <f t="shared" ca="1" si="41"/>
        <v>0</v>
      </c>
      <c r="AD439" s="76">
        <f t="shared" ca="1" si="46"/>
        <v>12388.425641782411</v>
      </c>
      <c r="AE439" s="76">
        <f t="shared" si="47"/>
        <v>0</v>
      </c>
      <c r="AF439" s="75">
        <f t="shared" si="42"/>
        <v>0</v>
      </c>
      <c r="AG439" s="75">
        <f t="shared" si="43"/>
        <v>0</v>
      </c>
      <c r="AH439" s="31" t="e" cm="1">
        <f t="array" aca="1" ref="AH439" ca="1">IF((AD439) &lt; (INDEX(ResponseSLA[#All],(MATCH((G439),ResponseSLA[Priority],0))+1,3)),"YES","No")</f>
        <v>#N/A</v>
      </c>
      <c r="AI439" s="31" t="str">
        <f>_xlfn.IFNA(IF(AE439 &lt; (INDEX(SLATable[Minimum SLA],MATCH(G439,SLATable[Priority],0))),"YES","NO"),"")</f>
        <v/>
      </c>
      <c r="AJ439" t="str">
        <f>_xlfn.IFNA(IF(AE439 &lt; (INDEX(SLATable[Maximum SLA],MATCH(G439,SLATable[Priority],0))),"YES","NO"),"")</f>
        <v/>
      </c>
    </row>
    <row r="440" spans="26:36" ht="15" customHeight="1">
      <c r="Z440" s="76" t="e">
        <f t="shared" ca="1" si="44"/>
        <v>#N/A</v>
      </c>
      <c r="AA440" s="75" t="e">
        <f t="shared" ca="1" si="40"/>
        <v>#N/A</v>
      </c>
      <c r="AB440" s="76">
        <f t="shared" ca="1" si="45"/>
        <v>0</v>
      </c>
      <c r="AC440" s="75">
        <f t="shared" ca="1" si="41"/>
        <v>0</v>
      </c>
      <c r="AD440" s="76">
        <f t="shared" ca="1" si="46"/>
        <v>12388.425641550926</v>
      </c>
      <c r="AE440" s="76">
        <f t="shared" si="47"/>
        <v>0</v>
      </c>
      <c r="AF440" s="75">
        <f t="shared" si="42"/>
        <v>0</v>
      </c>
      <c r="AG440" s="75">
        <f t="shared" si="43"/>
        <v>0</v>
      </c>
      <c r="AH440" s="31" t="e" cm="1">
        <f t="array" aca="1" ref="AH440" ca="1">IF((AD440) &lt; (INDEX(ResponseSLA[#All],(MATCH((G440),ResponseSLA[Priority],0))+1,3)),"YES","No")</f>
        <v>#N/A</v>
      </c>
      <c r="AI440" s="31" t="str">
        <f>_xlfn.IFNA(IF(AE440 &lt; (INDEX(SLATable[Minimum SLA],MATCH(G440,SLATable[Priority],0))),"YES","NO"),"")</f>
        <v/>
      </c>
      <c r="AJ440" t="str">
        <f>_xlfn.IFNA(IF(AE440 &lt; (INDEX(SLATable[Maximum SLA],MATCH(G440,SLATable[Priority],0))),"YES","NO"),"")</f>
        <v/>
      </c>
    </row>
    <row r="441" spans="26:36" ht="15" customHeight="1">
      <c r="Z441" s="76" t="e">
        <f t="shared" ca="1" si="44"/>
        <v>#N/A</v>
      </c>
      <c r="AA441" s="75" t="e">
        <f t="shared" ca="1" si="40"/>
        <v>#N/A</v>
      </c>
      <c r="AB441" s="76">
        <f t="shared" ca="1" si="45"/>
        <v>0</v>
      </c>
      <c r="AC441" s="75">
        <f t="shared" ca="1" si="41"/>
        <v>0</v>
      </c>
      <c r="AD441" s="76">
        <f t="shared" ca="1" si="46"/>
        <v>12388.425641550926</v>
      </c>
      <c r="AE441" s="76">
        <f t="shared" si="47"/>
        <v>0</v>
      </c>
      <c r="AF441" s="75">
        <f t="shared" si="42"/>
        <v>0</v>
      </c>
      <c r="AG441" s="75">
        <f t="shared" si="43"/>
        <v>0</v>
      </c>
      <c r="AH441" s="31" t="e" cm="1">
        <f t="array" aca="1" ref="AH441" ca="1">IF((AD441) &lt; (INDEX(ResponseSLA[#All],(MATCH((G441),ResponseSLA[Priority],0))+1,3)),"YES","No")</f>
        <v>#N/A</v>
      </c>
      <c r="AI441" s="31" t="str">
        <f>_xlfn.IFNA(IF(AE441 &lt; (INDEX(SLATable[Minimum SLA],MATCH(G441,SLATable[Priority],0))),"YES","NO"),"")</f>
        <v/>
      </c>
      <c r="AJ441" t="str">
        <f>_xlfn.IFNA(IF(AE441 &lt; (INDEX(SLATable[Maximum SLA],MATCH(G441,SLATable[Priority],0))),"YES","NO"),"")</f>
        <v/>
      </c>
    </row>
    <row r="442" spans="26:36" ht="15" customHeight="1">
      <c r="Z442" s="76" t="e">
        <f t="shared" ca="1" si="44"/>
        <v>#N/A</v>
      </c>
      <c r="AA442" s="75" t="e">
        <f t="shared" ca="1" si="40"/>
        <v>#N/A</v>
      </c>
      <c r="AB442" s="76">
        <f t="shared" ca="1" si="45"/>
        <v>0</v>
      </c>
      <c r="AC442" s="75">
        <f t="shared" ca="1" si="41"/>
        <v>0</v>
      </c>
      <c r="AD442" s="76">
        <f t="shared" ca="1" si="46"/>
        <v>12388.425641782411</v>
      </c>
      <c r="AE442" s="76">
        <f t="shared" si="47"/>
        <v>0</v>
      </c>
      <c r="AF442" s="75">
        <f t="shared" si="42"/>
        <v>0</v>
      </c>
      <c r="AG442" s="75">
        <f t="shared" si="43"/>
        <v>0</v>
      </c>
      <c r="AH442" s="31" t="e" cm="1">
        <f t="array" aca="1" ref="AH442" ca="1">IF((AD442) &lt; (INDEX(ResponseSLA[#All],(MATCH((G442),ResponseSLA[Priority],0))+1,3)),"YES","No")</f>
        <v>#N/A</v>
      </c>
      <c r="AI442" s="31" t="str">
        <f>_xlfn.IFNA(IF(AE442 &lt; (INDEX(SLATable[Minimum SLA],MATCH(G442,SLATable[Priority],0))),"YES","NO"),"")</f>
        <v/>
      </c>
      <c r="AJ442" t="str">
        <f>_xlfn.IFNA(IF(AE442 &lt; (INDEX(SLATable[Maximum SLA],MATCH(G442,SLATable[Priority],0))),"YES","NO"),"")</f>
        <v/>
      </c>
    </row>
    <row r="443" spans="26:36" ht="15" customHeight="1">
      <c r="Z443" s="76" t="e">
        <f t="shared" ca="1" si="44"/>
        <v>#N/A</v>
      </c>
      <c r="AA443" s="75" t="e">
        <f t="shared" ca="1" si="40"/>
        <v>#N/A</v>
      </c>
      <c r="AB443" s="76">
        <f t="shared" ca="1" si="45"/>
        <v>0</v>
      </c>
      <c r="AC443" s="75">
        <f t="shared" ca="1" si="41"/>
        <v>0</v>
      </c>
      <c r="AD443" s="76">
        <f t="shared" ca="1" si="46"/>
        <v>12388.425641550926</v>
      </c>
      <c r="AE443" s="76">
        <f t="shared" si="47"/>
        <v>0</v>
      </c>
      <c r="AF443" s="75">
        <f t="shared" si="42"/>
        <v>0</v>
      </c>
      <c r="AG443" s="75">
        <f t="shared" si="43"/>
        <v>0</v>
      </c>
      <c r="AH443" s="31" t="e" cm="1">
        <f t="array" aca="1" ref="AH443" ca="1">IF((AD443) &lt; (INDEX(ResponseSLA[#All],(MATCH((G443),ResponseSLA[Priority],0))+1,3)),"YES","No")</f>
        <v>#N/A</v>
      </c>
      <c r="AI443" s="31" t="str">
        <f>_xlfn.IFNA(IF(AE443 &lt; (INDEX(SLATable[Minimum SLA],MATCH(G443,SLATable[Priority],0))),"YES","NO"),"")</f>
        <v/>
      </c>
      <c r="AJ443" t="str">
        <f>_xlfn.IFNA(IF(AE443 &lt; (INDEX(SLATable[Maximum SLA],MATCH(G443,SLATable[Priority],0))),"YES","NO"),"")</f>
        <v/>
      </c>
    </row>
    <row r="444" spans="26:36" ht="15" customHeight="1">
      <c r="Z444" s="76" t="e">
        <f t="shared" ca="1" si="44"/>
        <v>#N/A</v>
      </c>
      <c r="AA444" s="75" t="e">
        <f t="shared" ca="1" si="40"/>
        <v>#N/A</v>
      </c>
      <c r="AB444" s="76">
        <f t="shared" ca="1" si="45"/>
        <v>0</v>
      </c>
      <c r="AC444" s="75">
        <f t="shared" ca="1" si="41"/>
        <v>0</v>
      </c>
      <c r="AD444" s="76">
        <f t="shared" ca="1" si="46"/>
        <v>12388.425641550926</v>
      </c>
      <c r="AE444" s="76">
        <f t="shared" si="47"/>
        <v>0</v>
      </c>
      <c r="AF444" s="75">
        <f t="shared" si="42"/>
        <v>0</v>
      </c>
      <c r="AG444" s="75">
        <f t="shared" si="43"/>
        <v>0</v>
      </c>
      <c r="AH444" s="31" t="e" cm="1">
        <f t="array" aca="1" ref="AH444" ca="1">IF((AD444) &lt; (INDEX(ResponseSLA[#All],(MATCH((G444),ResponseSLA[Priority],0))+1,3)),"YES","No")</f>
        <v>#N/A</v>
      </c>
      <c r="AI444" s="31" t="str">
        <f>_xlfn.IFNA(IF(AE444 &lt; (INDEX(SLATable[Minimum SLA],MATCH(G444,SLATable[Priority],0))),"YES","NO"),"")</f>
        <v/>
      </c>
      <c r="AJ444" t="str">
        <f>_xlfn.IFNA(IF(AE444 &lt; (INDEX(SLATable[Maximum SLA],MATCH(G444,SLATable[Priority],0))),"YES","NO"),"")</f>
        <v/>
      </c>
    </row>
    <row r="445" spans="26:36" ht="15" customHeight="1">
      <c r="Z445" s="76" t="e">
        <f t="shared" ca="1" si="44"/>
        <v>#N/A</v>
      </c>
      <c r="AA445" s="75" t="e">
        <f t="shared" ca="1" si="40"/>
        <v>#N/A</v>
      </c>
      <c r="AB445" s="76">
        <f t="shared" ca="1" si="45"/>
        <v>0</v>
      </c>
      <c r="AC445" s="75">
        <f t="shared" ca="1" si="41"/>
        <v>0</v>
      </c>
      <c r="AD445" s="76">
        <f t="shared" ca="1" si="46"/>
        <v>12388.425641782411</v>
      </c>
      <c r="AE445" s="76">
        <f t="shared" si="47"/>
        <v>0</v>
      </c>
      <c r="AF445" s="75">
        <f t="shared" si="42"/>
        <v>0</v>
      </c>
      <c r="AG445" s="75">
        <f t="shared" si="43"/>
        <v>0</v>
      </c>
      <c r="AH445" s="31" t="e" cm="1">
        <f t="array" aca="1" ref="AH445" ca="1">IF((AD445) &lt; (INDEX(ResponseSLA[#All],(MATCH((G445),ResponseSLA[Priority],0))+1,3)),"YES","No")</f>
        <v>#N/A</v>
      </c>
      <c r="AI445" s="31" t="str">
        <f>_xlfn.IFNA(IF(AE445 &lt; (INDEX(SLATable[Minimum SLA],MATCH(G445,SLATable[Priority],0))),"YES","NO"),"")</f>
        <v/>
      </c>
      <c r="AJ445" t="str">
        <f>_xlfn.IFNA(IF(AE445 &lt; (INDEX(SLATable[Maximum SLA],MATCH(G445,SLATable[Priority],0))),"YES","NO"),"")</f>
        <v/>
      </c>
    </row>
    <row r="446" spans="26:36" ht="15" customHeight="1">
      <c r="Z446" s="76" t="e">
        <f t="shared" ca="1" si="44"/>
        <v>#N/A</v>
      </c>
      <c r="AA446" s="75" t="e">
        <f t="shared" ca="1" si="40"/>
        <v>#N/A</v>
      </c>
      <c r="AB446" s="76">
        <f t="shared" ca="1" si="45"/>
        <v>0</v>
      </c>
      <c r="AC446" s="75">
        <f t="shared" ca="1" si="41"/>
        <v>0</v>
      </c>
      <c r="AD446" s="76">
        <f t="shared" ca="1" si="46"/>
        <v>12388.425641550926</v>
      </c>
      <c r="AE446" s="76">
        <f t="shared" si="47"/>
        <v>0</v>
      </c>
      <c r="AF446" s="75">
        <f t="shared" si="42"/>
        <v>0</v>
      </c>
      <c r="AG446" s="75">
        <f t="shared" si="43"/>
        <v>0</v>
      </c>
      <c r="AH446" s="31" t="e" cm="1">
        <f t="array" aca="1" ref="AH446" ca="1">IF((AD446) &lt; (INDEX(ResponseSLA[#All],(MATCH((G446),ResponseSLA[Priority],0))+1,3)),"YES","No")</f>
        <v>#N/A</v>
      </c>
      <c r="AI446" s="31" t="str">
        <f>_xlfn.IFNA(IF(AE446 &lt; (INDEX(SLATable[Minimum SLA],MATCH(G446,SLATable[Priority],0))),"YES","NO"),"")</f>
        <v/>
      </c>
      <c r="AJ446" t="str">
        <f>_xlfn.IFNA(IF(AE446 &lt; (INDEX(SLATable[Maximum SLA],MATCH(G446,SLATable[Priority],0))),"YES","NO"),"")</f>
        <v/>
      </c>
    </row>
    <row r="447" spans="26:36" ht="15" customHeight="1">
      <c r="Z447" s="76" t="e">
        <f t="shared" ca="1" si="44"/>
        <v>#N/A</v>
      </c>
      <c r="AA447" s="75" t="e">
        <f t="shared" ca="1" si="40"/>
        <v>#N/A</v>
      </c>
      <c r="AB447" s="76">
        <f t="shared" ca="1" si="45"/>
        <v>0</v>
      </c>
      <c r="AC447" s="75">
        <f t="shared" ca="1" si="41"/>
        <v>0</v>
      </c>
      <c r="AD447" s="76">
        <f t="shared" ca="1" si="46"/>
        <v>12388.425641550926</v>
      </c>
      <c r="AE447" s="76">
        <f t="shared" si="47"/>
        <v>0</v>
      </c>
      <c r="AF447" s="75">
        <f t="shared" si="42"/>
        <v>0</v>
      </c>
      <c r="AG447" s="75">
        <f t="shared" si="43"/>
        <v>0</v>
      </c>
      <c r="AH447" s="31" t="e" cm="1">
        <f t="array" aca="1" ref="AH447" ca="1">IF((AD447) &lt; (INDEX(ResponseSLA[#All],(MATCH((G447),ResponseSLA[Priority],0))+1,3)),"YES","No")</f>
        <v>#N/A</v>
      </c>
      <c r="AI447" s="31" t="str">
        <f>_xlfn.IFNA(IF(AE447 &lt; (INDEX(SLATable[Minimum SLA],MATCH(G447,SLATable[Priority],0))),"YES","NO"),"")</f>
        <v/>
      </c>
      <c r="AJ447" t="str">
        <f>_xlfn.IFNA(IF(AE447 &lt; (INDEX(SLATable[Maximum SLA],MATCH(G447,SLATable[Priority],0))),"YES","NO"),"")</f>
        <v/>
      </c>
    </row>
    <row r="448" spans="26:36" ht="15" customHeight="1">
      <c r="Z448" s="76" t="e">
        <f t="shared" ca="1" si="44"/>
        <v>#N/A</v>
      </c>
      <c r="AA448" s="75" t="e">
        <f t="shared" ca="1" si="40"/>
        <v>#N/A</v>
      </c>
      <c r="AB448" s="76">
        <f t="shared" ca="1" si="45"/>
        <v>0</v>
      </c>
      <c r="AC448" s="75">
        <f t="shared" ca="1" si="41"/>
        <v>0</v>
      </c>
      <c r="AD448" s="76">
        <f t="shared" ca="1" si="46"/>
        <v>12388.425641782411</v>
      </c>
      <c r="AE448" s="76">
        <f t="shared" si="47"/>
        <v>0</v>
      </c>
      <c r="AF448" s="75">
        <f t="shared" si="42"/>
        <v>0</v>
      </c>
      <c r="AG448" s="75">
        <f t="shared" si="43"/>
        <v>0</v>
      </c>
      <c r="AH448" s="31" t="e" cm="1">
        <f t="array" aca="1" ref="AH448" ca="1">IF((AD448) &lt; (INDEX(ResponseSLA[#All],(MATCH((G448),ResponseSLA[Priority],0))+1,3)),"YES","No")</f>
        <v>#N/A</v>
      </c>
      <c r="AI448" s="31" t="str">
        <f>_xlfn.IFNA(IF(AE448 &lt; (INDEX(SLATable[Minimum SLA],MATCH(G448,SLATable[Priority],0))),"YES","NO"),"")</f>
        <v/>
      </c>
      <c r="AJ448" t="str">
        <f>_xlfn.IFNA(IF(AE448 &lt; (INDEX(SLATable[Maximum SLA],MATCH(G448,SLATable[Priority],0))),"YES","NO"),"")</f>
        <v/>
      </c>
    </row>
    <row r="449" spans="26:36" ht="15" customHeight="1">
      <c r="Z449" s="76" t="e">
        <f t="shared" ca="1" si="44"/>
        <v>#N/A</v>
      </c>
      <c r="AA449" s="75" t="e">
        <f t="shared" ref="AA449:AA500" ca="1" si="48">(Z449*24)/9</f>
        <v>#N/A</v>
      </c>
      <c r="AB449" s="76">
        <f t="shared" ca="1" si="45"/>
        <v>0</v>
      </c>
      <c r="AC449" s="75">
        <f t="shared" ref="AC449:AC500" ca="1" si="49">(AB449*24)/9</f>
        <v>0</v>
      </c>
      <c r="AD449" s="76">
        <f t="shared" ca="1" si="46"/>
        <v>12388.425641550926</v>
      </c>
      <c r="AE449" s="76">
        <f t="shared" si="47"/>
        <v>0</v>
      </c>
      <c r="AF449" s="75">
        <f t="shared" ref="AF449:AF500" si="50">(AE449*24)/9</f>
        <v>0</v>
      </c>
      <c r="AG449" s="75">
        <f t="shared" ref="AG449:AG500" si="51">AF449</f>
        <v>0</v>
      </c>
      <c r="AH449" s="31" t="e" cm="1">
        <f t="array" aca="1" ref="AH449" ca="1">IF((AD449) &lt; (INDEX(ResponseSLA[#All],(MATCH((G449),ResponseSLA[Priority],0))+1,3)),"YES","No")</f>
        <v>#N/A</v>
      </c>
      <c r="AI449" s="31" t="str">
        <f>_xlfn.IFNA(IF(AE449 &lt; (INDEX(SLATable[Minimum SLA],MATCH(G449,SLATable[Priority],0))),"YES","NO"),"")</f>
        <v/>
      </c>
      <c r="AJ449" t="str">
        <f>_xlfn.IFNA(IF(AE449 &lt; (INDEX(SLATable[Maximum SLA],MATCH(G449,SLATable[Priority],0))),"YES","NO"),"")</f>
        <v/>
      </c>
    </row>
    <row r="450" spans="26:36" ht="15" customHeight="1">
      <c r="Z450" s="76" t="e">
        <f t="shared" ca="1" si="44"/>
        <v>#N/A</v>
      </c>
      <c r="AA450" s="75" t="e">
        <f t="shared" ca="1" si="48"/>
        <v>#N/A</v>
      </c>
      <c r="AB450" s="76">
        <f t="shared" ca="1" si="45"/>
        <v>0</v>
      </c>
      <c r="AC450" s="75">
        <f t="shared" ca="1" si="49"/>
        <v>0</v>
      </c>
      <c r="AD450" s="76">
        <f t="shared" ca="1" si="46"/>
        <v>12388.425641550926</v>
      </c>
      <c r="AE450" s="76">
        <f t="shared" si="47"/>
        <v>0</v>
      </c>
      <c r="AF450" s="75">
        <f t="shared" si="50"/>
        <v>0</v>
      </c>
      <c r="AG450" s="75">
        <f t="shared" si="51"/>
        <v>0</v>
      </c>
      <c r="AH450" s="31" t="e" cm="1">
        <f t="array" aca="1" ref="AH450" ca="1">IF((AD450) &lt; (INDEX(ResponseSLA[#All],(MATCH((G450),ResponseSLA[Priority],0))+1,3)),"YES","No")</f>
        <v>#N/A</v>
      </c>
      <c r="AI450" s="31" t="str">
        <f>_xlfn.IFNA(IF(AE450 &lt; (INDEX(SLATable[Minimum SLA],MATCH(G450,SLATable[Priority],0))),"YES","NO"),"")</f>
        <v/>
      </c>
      <c r="AJ450" t="str">
        <f>_xlfn.IFNA(IF(AE450 &lt; (INDEX(SLATable[Maximum SLA],MATCH(G450,SLATable[Priority],0))),"YES","NO"),"")</f>
        <v/>
      </c>
    </row>
    <row r="451" spans="26:36" ht="15" customHeight="1">
      <c r="Z451" s="76" t="e">
        <f t="shared" ref="Z451:Z500" ca="1" si="52">IF(NOT(OR(G451=1,G451=2)),MAX(0,_xlfn.IFS(AND(K451&lt;&gt;"",N451&lt;&gt;""),((MAX(NETWORKDAYS(K451,N451,UKBankHolidays)-1,0))*(TIME(17,0,0)-TIME(8,0,0))+IF(NETWORKDAYS(N451,N451,UKBankHolidays)&gt;0,MEDIAN(TIME(8,0,0),MOD(N451,1),TIME(17,0,0)),TIME(8,0,0))-IF(NETWORKDAYS(K451,K451,UKBankHolidays)&gt;0,MEDIAN(TIME(8,0,0),MOD(K451,1),TIME(17,0,0)),TIME(8,0,0)))-IF(AND(O451&lt;&gt;"",P451&lt;&gt;""),((MAX(NETWORKDAYS(O451,P451,UKBankHolidays)-1,0))*(TIME(17,0,0)-TIME(8,0,0))+IF(NETWORKDAYS(P451,P451,UKBankHolidays)&gt;0,MEDIAN(TIME(8,0,0),MOD(P451,1),TIME(17,0,0)),TIME(8,0,0))-IF(NETWORKDAYS(O451,O451,UKBankHolidays)&gt;0,MEDIAN(TIME(8,0,0),MOD(O451,1),TIME(17,0,0)),TIME(8,0,0))),0),AND(K451&lt;&gt;"",N451=""),((MAX(NETWORKDAYS(K451,NOW(),UKBankHolidays)-1,0))*(TIME(17,0,0)-TIME(8,0,0))+IF(NETWORKDAYS(NOW(),NOW(),UKBankHolidays)&gt;0,MEDIAN(TIME(8,0,0),MOD(NOW(),1),TIME(17,0,0)),TIME(8,0,0))-IF(NETWORKDAYS(K451,K451,UKBankHolidays)&gt;0,MEDIAN(TIME(8,0,0),MOD(K451,1),TIME(17,0,0)),TIME(8,0,0))))),IF(N451="",NOW()-K451,N451-K451))</f>
        <v>#N/A</v>
      </c>
      <c r="AA451" s="75" t="e">
        <f t="shared" ca="1" si="48"/>
        <v>#N/A</v>
      </c>
      <c r="AB451" s="76">
        <f t="shared" ref="AB451:AB500" ca="1" si="53">IF(NOT(OR(G451=1,G451=2)),MAX(0,_xlfn.IFS(AND(K451&lt;&gt;"",N451&lt;&gt;""),(((MAX(NETWORKDAYS(L451,N451,UKBankHolidays)-1,0))*(TIME(17,0,0)-TIME(8,0,0)))+IF(NETWORKDAYS(N451,N451,UKBankHolidays)&gt;0,MEDIAN(TIME(8,0,0),MOD(N451,1),TIME(17,0,0)),TIME(8,0,0))-IF(NETWORKDAYS(L451,L451,UKBankHolidays)&gt;0,MEDIAN(TIME(8,0,0),MOD(L451,1),TIME(17,0,0)),TIME(8,0,0)))-IF(AND(O451&lt;&gt;"",P451&lt;&gt;""),(((MAX(NETWORKDAYS(O451,P451,UKBankHolidays)-1,0))*(TIME(17,0,0)-TIME(8,0,0)))+IF(NETWORKDAYS(P451,P451,UKBankHolidays)&gt;0,MEDIAN(TIME(8,0,0),MOD(P451,1),TIME(17,0,0)),TIME(8,0,0))-IF(NETWORKDAYS(O451,O451,UKBankHolidays)&gt;0,MEDIAN(TIME(8,0,0),MOD(O451,1),TIME(17,0,0)),TIME(8,0,0))),0),AND(L451&lt;&gt;"",N451="",O451=""),(((MAX(NETWORKDAYS(L451,NOW(),UKBankHolidays)-1,0))*(TIME(17,0,0)-TIME(8,0,0)))+IF(NETWORKDAYS(NOW(),NOW(),UKBankHolidays)&gt;0,MEDIAN(TIME(8,0,0),MOD(NOW(),1),TIME(17,0,0)),TIME(8,0,0))-IF(NETWORKDAYS(L451,L451,UKBankHolidays)&gt;0,MEDIAN(TIME(8,0,0),MOD(L451,1),TIME(17,0,0)),TIME(8,0,0)))-IF(AND(O451&lt;&gt;"",P451&lt;&gt;""),(((MAX(NETWORKDAYS(O451,P451,UKBankHolidays)-1,0))*(TIME(17,0,0)-TIME(8,0,0)))+IF(NETWORKDAYS(P451,P451,UKBankHolidays)&gt;0,MEDIAN(TIME(8,0,0),MOD(P451,1),TIME(17,0,0)),TIME(8,0,0))-IF(NETWORKDAYS(O451,O451,UKBankHolidays)&gt;0,MEDIAN(TIME(8,0,0),MOD(O451,1),TIME(17,0,0)),TIME(8,0,0))),0),AND(L451&lt;&gt;"",N451="",P451="",O451&lt;&gt;""),(((MAX(NETWORKDAYS(L451,O451,UKBankHolidays)-1,0))*(TIME(17,0,0)-TIME(8,0,0)))+IF(NETWORKDAYS(O451,O451,UKBankHolidays)&gt;0,MEDIAN(TIME(8,0,0),MOD(O451,1),TIME(17,0,0)),TIME(8,0,0))-IF(NETWORKDAYS(L451,L451,UKBankHolidays)&gt;0,MEDIAN(TIME(8,0,0),MOD(L451,1),TIME(17,0,0)),TIME(8,0,0))),ISBLANK(K451),"0")),IF(ISBLANK(N451),NOW()-L451,N451-L451))</f>
        <v>0</v>
      </c>
      <c r="AC451" s="75">
        <f t="shared" ca="1" si="49"/>
        <v>0</v>
      </c>
      <c r="AD451" s="76">
        <f t="shared" ref="AD451:AD500" ca="1" si="54">MAX(0,IF(NOT(OR(G451=1,G451=2)),IF(M451&lt;&gt;"",((MAX(NETWORKDAYS(L451,M451,UKBankHolidays)-1,0))*(TIME(17,0,0)-TIME(8,0,0))+IF(NETWORKDAYS(M451,M451,UKBankHolidays)&gt;0,MEDIAN(TIME(8,0,0),MOD(M451,1),TIME(17,0,0)),TIME(8,0,0))-MEDIAN(TIME(8,0,0),MOD(L451,1),TIME(17,0,0))),((MAX(NETWORKDAYS(L451,NOW(),UKBankHolidays)-1,0))*(TIME(17,0,0)-TIME(8,0,0))+IF(NETWORKDAYS(NOW(),NOW(),UKBankHolidays)&gt;0,MEDIAN(TIME(8,0,0),MOD(NOW(),1),TIME(17,0,0)),TIME(8,0,0))-MEDIAN(TIME(8,0,0),MOD(L451,1),TIME(17,0,0)))),IF(M451&lt;&gt;"",M451-L451,NOW()-L451)))</f>
        <v>12388.425641782411</v>
      </c>
      <c r="AE451" s="76">
        <f t="shared" ref="AE451:AE500" si="55">SUMIFS(AB:AB,E:E,E451)</f>
        <v>0</v>
      </c>
      <c r="AF451" s="75">
        <f t="shared" si="50"/>
        <v>0</v>
      </c>
      <c r="AG451" s="75">
        <f t="shared" si="51"/>
        <v>0</v>
      </c>
      <c r="AH451" s="31" t="e" cm="1">
        <f t="array" aca="1" ref="AH451" ca="1">IF((AD451) &lt; (INDEX(ResponseSLA[#All],(MATCH((G451),ResponseSLA[Priority],0))+1,3)),"YES","No")</f>
        <v>#N/A</v>
      </c>
      <c r="AI451" s="31" t="str">
        <f>_xlfn.IFNA(IF(AE451 &lt; (INDEX(SLATable[Minimum SLA],MATCH(G451,SLATable[Priority],0))),"YES","NO"),"")</f>
        <v/>
      </c>
      <c r="AJ451" t="str">
        <f>_xlfn.IFNA(IF(AE451 &lt; (INDEX(SLATable[Maximum SLA],MATCH(G451,SLATable[Priority],0))),"YES","NO"),"")</f>
        <v/>
      </c>
    </row>
    <row r="452" spans="26:36" ht="15" customHeight="1">
      <c r="Z452" s="76" t="e">
        <f t="shared" ca="1" si="52"/>
        <v>#N/A</v>
      </c>
      <c r="AA452" s="75" t="e">
        <f t="shared" ca="1" si="48"/>
        <v>#N/A</v>
      </c>
      <c r="AB452" s="76">
        <f t="shared" ca="1" si="53"/>
        <v>0</v>
      </c>
      <c r="AC452" s="75">
        <f t="shared" ca="1" si="49"/>
        <v>0</v>
      </c>
      <c r="AD452" s="76">
        <f t="shared" ca="1" si="54"/>
        <v>12388.425641550926</v>
      </c>
      <c r="AE452" s="76">
        <f t="shared" si="55"/>
        <v>0</v>
      </c>
      <c r="AF452" s="75">
        <f t="shared" si="50"/>
        <v>0</v>
      </c>
      <c r="AG452" s="75">
        <f t="shared" si="51"/>
        <v>0</v>
      </c>
      <c r="AH452" s="31" t="e" cm="1">
        <f t="array" aca="1" ref="AH452" ca="1">IF((AD452) &lt; (INDEX(ResponseSLA[#All],(MATCH((G452),ResponseSLA[Priority],0))+1,3)),"YES","No")</f>
        <v>#N/A</v>
      </c>
      <c r="AI452" s="31" t="str">
        <f>_xlfn.IFNA(IF(AE452 &lt; (INDEX(SLATable[Minimum SLA],MATCH(G452,SLATable[Priority],0))),"YES","NO"),"")</f>
        <v/>
      </c>
      <c r="AJ452" t="str">
        <f>_xlfn.IFNA(IF(AE452 &lt; (INDEX(SLATable[Maximum SLA],MATCH(G452,SLATable[Priority],0))),"YES","NO"),"")</f>
        <v/>
      </c>
    </row>
    <row r="453" spans="26:36" ht="15" customHeight="1">
      <c r="Z453" s="76" t="e">
        <f t="shared" ca="1" si="52"/>
        <v>#N/A</v>
      </c>
      <c r="AA453" s="75" t="e">
        <f t="shared" ca="1" si="48"/>
        <v>#N/A</v>
      </c>
      <c r="AB453" s="76">
        <f t="shared" ca="1" si="53"/>
        <v>0</v>
      </c>
      <c r="AC453" s="75">
        <f t="shared" ca="1" si="49"/>
        <v>0</v>
      </c>
      <c r="AD453" s="76">
        <f t="shared" ca="1" si="54"/>
        <v>12388.425641550926</v>
      </c>
      <c r="AE453" s="76">
        <f t="shared" si="55"/>
        <v>0</v>
      </c>
      <c r="AF453" s="75">
        <f t="shared" si="50"/>
        <v>0</v>
      </c>
      <c r="AG453" s="75">
        <f t="shared" si="51"/>
        <v>0</v>
      </c>
      <c r="AH453" s="31" t="e" cm="1">
        <f t="array" aca="1" ref="AH453" ca="1">IF((AD453) &lt; (INDEX(ResponseSLA[#All],(MATCH((G453),ResponseSLA[Priority],0))+1,3)),"YES","No")</f>
        <v>#N/A</v>
      </c>
      <c r="AI453" s="31" t="str">
        <f>_xlfn.IFNA(IF(AE453 &lt; (INDEX(SLATable[Minimum SLA],MATCH(G453,SLATable[Priority],0))),"YES","NO"),"")</f>
        <v/>
      </c>
      <c r="AJ453" t="str">
        <f>_xlfn.IFNA(IF(AE453 &lt; (INDEX(SLATable[Maximum SLA],MATCH(G453,SLATable[Priority],0))),"YES","NO"),"")</f>
        <v/>
      </c>
    </row>
    <row r="454" spans="26:36" ht="15" customHeight="1">
      <c r="Z454" s="76" t="e">
        <f t="shared" ca="1" si="52"/>
        <v>#N/A</v>
      </c>
      <c r="AA454" s="75" t="e">
        <f t="shared" ca="1" si="48"/>
        <v>#N/A</v>
      </c>
      <c r="AB454" s="76">
        <f t="shared" ca="1" si="53"/>
        <v>0</v>
      </c>
      <c r="AC454" s="75">
        <f t="shared" ca="1" si="49"/>
        <v>0</v>
      </c>
      <c r="AD454" s="76">
        <f t="shared" ca="1" si="54"/>
        <v>12388.425641782411</v>
      </c>
      <c r="AE454" s="76">
        <f t="shared" si="55"/>
        <v>0</v>
      </c>
      <c r="AF454" s="75">
        <f t="shared" si="50"/>
        <v>0</v>
      </c>
      <c r="AG454" s="75">
        <f t="shared" si="51"/>
        <v>0</v>
      </c>
      <c r="AH454" s="31" t="e" cm="1">
        <f t="array" aca="1" ref="AH454" ca="1">IF((AD454) &lt; (INDEX(ResponseSLA[#All],(MATCH((G454),ResponseSLA[Priority],0))+1,3)),"YES","No")</f>
        <v>#N/A</v>
      </c>
      <c r="AI454" s="31" t="str">
        <f>_xlfn.IFNA(IF(AE454 &lt; (INDEX(SLATable[Minimum SLA],MATCH(G454,SLATable[Priority],0))),"YES","NO"),"")</f>
        <v/>
      </c>
      <c r="AJ454" t="str">
        <f>_xlfn.IFNA(IF(AE454 &lt; (INDEX(SLATable[Maximum SLA],MATCH(G454,SLATable[Priority],0))),"YES","NO"),"")</f>
        <v/>
      </c>
    </row>
    <row r="455" spans="26:36" ht="15" customHeight="1">
      <c r="Z455" s="76" t="e">
        <f t="shared" ca="1" si="52"/>
        <v>#N/A</v>
      </c>
      <c r="AA455" s="75" t="e">
        <f t="shared" ca="1" si="48"/>
        <v>#N/A</v>
      </c>
      <c r="AB455" s="76">
        <f t="shared" ca="1" si="53"/>
        <v>0</v>
      </c>
      <c r="AC455" s="75">
        <f t="shared" ca="1" si="49"/>
        <v>0</v>
      </c>
      <c r="AD455" s="76">
        <f t="shared" ca="1" si="54"/>
        <v>12388.425641550926</v>
      </c>
      <c r="AE455" s="76">
        <f t="shared" si="55"/>
        <v>0</v>
      </c>
      <c r="AF455" s="75">
        <f t="shared" si="50"/>
        <v>0</v>
      </c>
      <c r="AG455" s="75">
        <f t="shared" si="51"/>
        <v>0</v>
      </c>
      <c r="AH455" s="31" t="e" cm="1">
        <f t="array" aca="1" ref="AH455" ca="1">IF((AD455) &lt; (INDEX(ResponseSLA[#All],(MATCH((G455),ResponseSLA[Priority],0))+1,3)),"YES","No")</f>
        <v>#N/A</v>
      </c>
      <c r="AI455" s="31" t="str">
        <f>_xlfn.IFNA(IF(AE455 &lt; (INDEX(SLATable[Minimum SLA],MATCH(G455,SLATable[Priority],0))),"YES","NO"),"")</f>
        <v/>
      </c>
      <c r="AJ455" t="str">
        <f>_xlfn.IFNA(IF(AE455 &lt; (INDEX(SLATable[Maximum SLA],MATCH(G455,SLATable[Priority],0))),"YES","NO"),"")</f>
        <v/>
      </c>
    </row>
    <row r="456" spans="26:36" ht="15" customHeight="1">
      <c r="Z456" s="76" t="e">
        <f t="shared" ca="1" si="52"/>
        <v>#N/A</v>
      </c>
      <c r="AA456" s="75" t="e">
        <f t="shared" ca="1" si="48"/>
        <v>#N/A</v>
      </c>
      <c r="AB456" s="76">
        <f t="shared" ca="1" si="53"/>
        <v>0</v>
      </c>
      <c r="AC456" s="75">
        <f t="shared" ca="1" si="49"/>
        <v>0</v>
      </c>
      <c r="AD456" s="76">
        <f t="shared" ca="1" si="54"/>
        <v>12388.425641550926</v>
      </c>
      <c r="AE456" s="76">
        <f t="shared" si="55"/>
        <v>0</v>
      </c>
      <c r="AF456" s="75">
        <f t="shared" si="50"/>
        <v>0</v>
      </c>
      <c r="AG456" s="75">
        <f t="shared" si="51"/>
        <v>0</v>
      </c>
      <c r="AH456" s="31" t="e" cm="1">
        <f t="array" aca="1" ref="AH456" ca="1">IF((AD456) &lt; (INDEX(ResponseSLA[#All],(MATCH((G456),ResponseSLA[Priority],0))+1,3)),"YES","No")</f>
        <v>#N/A</v>
      </c>
      <c r="AI456" s="31" t="str">
        <f>_xlfn.IFNA(IF(AE456 &lt; (INDEX(SLATable[Minimum SLA],MATCH(G456,SLATable[Priority],0))),"YES","NO"),"")</f>
        <v/>
      </c>
      <c r="AJ456" t="str">
        <f>_xlfn.IFNA(IF(AE456 &lt; (INDEX(SLATable[Maximum SLA],MATCH(G456,SLATable[Priority],0))),"YES","NO"),"")</f>
        <v/>
      </c>
    </row>
    <row r="457" spans="26:36" ht="15" customHeight="1">
      <c r="Z457" s="76" t="e">
        <f t="shared" ca="1" si="52"/>
        <v>#N/A</v>
      </c>
      <c r="AA457" s="75" t="e">
        <f t="shared" ca="1" si="48"/>
        <v>#N/A</v>
      </c>
      <c r="AB457" s="76">
        <f t="shared" ca="1" si="53"/>
        <v>0</v>
      </c>
      <c r="AC457" s="75">
        <f t="shared" ca="1" si="49"/>
        <v>0</v>
      </c>
      <c r="AD457" s="76">
        <f t="shared" ca="1" si="54"/>
        <v>12388.425641782411</v>
      </c>
      <c r="AE457" s="76">
        <f t="shared" si="55"/>
        <v>0</v>
      </c>
      <c r="AF457" s="75">
        <f t="shared" si="50"/>
        <v>0</v>
      </c>
      <c r="AG457" s="75">
        <f t="shared" si="51"/>
        <v>0</v>
      </c>
      <c r="AH457" s="31" t="e" cm="1">
        <f t="array" aca="1" ref="AH457" ca="1">IF((AD457) &lt; (INDEX(ResponseSLA[#All],(MATCH((G457),ResponseSLA[Priority],0))+1,3)),"YES","No")</f>
        <v>#N/A</v>
      </c>
      <c r="AI457" s="31" t="str">
        <f>_xlfn.IFNA(IF(AE457 &lt; (INDEX(SLATable[Minimum SLA],MATCH(G457,SLATable[Priority],0))),"YES","NO"),"")</f>
        <v/>
      </c>
      <c r="AJ457" t="str">
        <f>_xlfn.IFNA(IF(AE457 &lt; (INDEX(SLATable[Maximum SLA],MATCH(G457,SLATable[Priority],0))),"YES","NO"),"")</f>
        <v/>
      </c>
    </row>
    <row r="458" spans="26:36" ht="15" customHeight="1">
      <c r="Z458" s="76" t="e">
        <f t="shared" ca="1" si="52"/>
        <v>#N/A</v>
      </c>
      <c r="AA458" s="75" t="e">
        <f t="shared" ca="1" si="48"/>
        <v>#N/A</v>
      </c>
      <c r="AB458" s="76">
        <f t="shared" ca="1" si="53"/>
        <v>0</v>
      </c>
      <c r="AC458" s="75">
        <f t="shared" ca="1" si="49"/>
        <v>0</v>
      </c>
      <c r="AD458" s="76">
        <f t="shared" ca="1" si="54"/>
        <v>12388.425641550926</v>
      </c>
      <c r="AE458" s="76">
        <f t="shared" si="55"/>
        <v>0</v>
      </c>
      <c r="AF458" s="75">
        <f t="shared" si="50"/>
        <v>0</v>
      </c>
      <c r="AG458" s="75">
        <f t="shared" si="51"/>
        <v>0</v>
      </c>
      <c r="AH458" s="31" t="e" cm="1">
        <f t="array" aca="1" ref="AH458" ca="1">IF((AD458) &lt; (INDEX(ResponseSLA[#All],(MATCH((G458),ResponseSLA[Priority],0))+1,3)),"YES","No")</f>
        <v>#N/A</v>
      </c>
      <c r="AI458" s="31" t="str">
        <f>_xlfn.IFNA(IF(AE458 &lt; (INDEX(SLATable[Minimum SLA],MATCH(G458,SLATable[Priority],0))),"YES","NO"),"")</f>
        <v/>
      </c>
      <c r="AJ458" t="str">
        <f>_xlfn.IFNA(IF(AE458 &lt; (INDEX(SLATable[Maximum SLA],MATCH(G458,SLATable[Priority],0))),"YES","NO"),"")</f>
        <v/>
      </c>
    </row>
    <row r="459" spans="26:36" ht="15" customHeight="1">
      <c r="Z459" s="76" t="e">
        <f t="shared" ca="1" si="52"/>
        <v>#N/A</v>
      </c>
      <c r="AA459" s="75" t="e">
        <f t="shared" ca="1" si="48"/>
        <v>#N/A</v>
      </c>
      <c r="AB459" s="76">
        <f t="shared" ca="1" si="53"/>
        <v>0</v>
      </c>
      <c r="AC459" s="75">
        <f t="shared" ca="1" si="49"/>
        <v>0</v>
      </c>
      <c r="AD459" s="76">
        <f t="shared" ca="1" si="54"/>
        <v>12388.425641550926</v>
      </c>
      <c r="AE459" s="76">
        <f t="shared" si="55"/>
        <v>0</v>
      </c>
      <c r="AF459" s="75">
        <f t="shared" si="50"/>
        <v>0</v>
      </c>
      <c r="AG459" s="75">
        <f t="shared" si="51"/>
        <v>0</v>
      </c>
      <c r="AH459" s="31" t="e" cm="1">
        <f t="array" aca="1" ref="AH459" ca="1">IF((AD459) &lt; (INDEX(ResponseSLA[#All],(MATCH((G459),ResponseSLA[Priority],0))+1,3)),"YES","No")</f>
        <v>#N/A</v>
      </c>
      <c r="AI459" s="31" t="str">
        <f>_xlfn.IFNA(IF(AE459 &lt; (INDEX(SLATable[Minimum SLA],MATCH(G459,SLATable[Priority],0))),"YES","NO"),"")</f>
        <v/>
      </c>
      <c r="AJ459" t="str">
        <f>_xlfn.IFNA(IF(AE459 &lt; (INDEX(SLATable[Maximum SLA],MATCH(G459,SLATable[Priority],0))),"YES","NO"),"")</f>
        <v/>
      </c>
    </row>
    <row r="460" spans="26:36" ht="15" customHeight="1">
      <c r="Z460" s="76" t="e">
        <f t="shared" ca="1" si="52"/>
        <v>#N/A</v>
      </c>
      <c r="AA460" s="75" t="e">
        <f t="shared" ca="1" si="48"/>
        <v>#N/A</v>
      </c>
      <c r="AB460" s="76">
        <f t="shared" ca="1" si="53"/>
        <v>0</v>
      </c>
      <c r="AC460" s="75">
        <f t="shared" ca="1" si="49"/>
        <v>0</v>
      </c>
      <c r="AD460" s="76">
        <f t="shared" ca="1" si="54"/>
        <v>12388.425641782411</v>
      </c>
      <c r="AE460" s="76">
        <f t="shared" si="55"/>
        <v>0</v>
      </c>
      <c r="AF460" s="75">
        <f t="shared" si="50"/>
        <v>0</v>
      </c>
      <c r="AG460" s="75">
        <f t="shared" si="51"/>
        <v>0</v>
      </c>
      <c r="AH460" s="31" t="e" cm="1">
        <f t="array" aca="1" ref="AH460" ca="1">IF((AD460) &lt; (INDEX(ResponseSLA[#All],(MATCH((G460),ResponseSLA[Priority],0))+1,3)),"YES","No")</f>
        <v>#N/A</v>
      </c>
      <c r="AI460" s="31" t="str">
        <f>_xlfn.IFNA(IF(AE460 &lt; (INDEX(SLATable[Minimum SLA],MATCH(G460,SLATable[Priority],0))),"YES","NO"),"")</f>
        <v/>
      </c>
      <c r="AJ460" t="str">
        <f>_xlfn.IFNA(IF(AE460 &lt; (INDEX(SLATable[Maximum SLA],MATCH(G460,SLATable[Priority],0))),"YES","NO"),"")</f>
        <v/>
      </c>
    </row>
    <row r="461" spans="26:36" ht="15" customHeight="1">
      <c r="Z461" s="76" t="e">
        <f t="shared" ca="1" si="52"/>
        <v>#N/A</v>
      </c>
      <c r="AA461" s="75" t="e">
        <f t="shared" ca="1" si="48"/>
        <v>#N/A</v>
      </c>
      <c r="AB461" s="76">
        <f t="shared" ca="1" si="53"/>
        <v>0</v>
      </c>
      <c r="AC461" s="75">
        <f t="shared" ca="1" si="49"/>
        <v>0</v>
      </c>
      <c r="AD461" s="76">
        <f t="shared" ca="1" si="54"/>
        <v>12388.425641550926</v>
      </c>
      <c r="AE461" s="76">
        <f t="shared" si="55"/>
        <v>0</v>
      </c>
      <c r="AF461" s="75">
        <f t="shared" si="50"/>
        <v>0</v>
      </c>
      <c r="AG461" s="75">
        <f t="shared" si="51"/>
        <v>0</v>
      </c>
      <c r="AH461" s="31" t="e" cm="1">
        <f t="array" aca="1" ref="AH461" ca="1">IF((AD461) &lt; (INDEX(ResponseSLA[#All],(MATCH((G461),ResponseSLA[Priority],0))+1,3)),"YES","No")</f>
        <v>#N/A</v>
      </c>
      <c r="AI461" s="31" t="str">
        <f>_xlfn.IFNA(IF(AE461 &lt; (INDEX(SLATable[Minimum SLA],MATCH(G461,SLATable[Priority],0))),"YES","NO"),"")</f>
        <v/>
      </c>
      <c r="AJ461" t="str">
        <f>_xlfn.IFNA(IF(AE461 &lt; (INDEX(SLATable[Maximum SLA],MATCH(G461,SLATable[Priority],0))),"YES","NO"),"")</f>
        <v/>
      </c>
    </row>
    <row r="462" spans="26:36" ht="15" customHeight="1">
      <c r="Z462" s="76" t="e">
        <f t="shared" ca="1" si="52"/>
        <v>#N/A</v>
      </c>
      <c r="AA462" s="75" t="e">
        <f t="shared" ca="1" si="48"/>
        <v>#N/A</v>
      </c>
      <c r="AB462" s="76">
        <f t="shared" ca="1" si="53"/>
        <v>0</v>
      </c>
      <c r="AC462" s="75">
        <f t="shared" ca="1" si="49"/>
        <v>0</v>
      </c>
      <c r="AD462" s="76">
        <f t="shared" ca="1" si="54"/>
        <v>12388.425641550926</v>
      </c>
      <c r="AE462" s="76">
        <f t="shared" si="55"/>
        <v>0</v>
      </c>
      <c r="AF462" s="75">
        <f t="shared" si="50"/>
        <v>0</v>
      </c>
      <c r="AG462" s="75">
        <f t="shared" si="51"/>
        <v>0</v>
      </c>
      <c r="AH462" s="31" t="e" cm="1">
        <f t="array" aca="1" ref="AH462" ca="1">IF((AD462) &lt; (INDEX(ResponseSLA[#All],(MATCH((G462),ResponseSLA[Priority],0))+1,3)),"YES","No")</f>
        <v>#N/A</v>
      </c>
      <c r="AI462" s="31" t="str">
        <f>_xlfn.IFNA(IF(AE462 &lt; (INDEX(SLATable[Minimum SLA],MATCH(G462,SLATable[Priority],0))),"YES","NO"),"")</f>
        <v/>
      </c>
      <c r="AJ462" t="str">
        <f>_xlfn.IFNA(IF(AE462 &lt; (INDEX(SLATable[Maximum SLA],MATCH(G462,SLATable[Priority],0))),"YES","NO"),"")</f>
        <v/>
      </c>
    </row>
    <row r="463" spans="26:36" ht="15" customHeight="1">
      <c r="Z463" s="76" t="e">
        <f t="shared" ca="1" si="52"/>
        <v>#N/A</v>
      </c>
      <c r="AA463" s="75" t="e">
        <f t="shared" ca="1" si="48"/>
        <v>#N/A</v>
      </c>
      <c r="AB463" s="76">
        <f t="shared" ca="1" si="53"/>
        <v>0</v>
      </c>
      <c r="AC463" s="75">
        <f t="shared" ca="1" si="49"/>
        <v>0</v>
      </c>
      <c r="AD463" s="76">
        <f t="shared" ca="1" si="54"/>
        <v>12388.425641782411</v>
      </c>
      <c r="AE463" s="76">
        <f t="shared" si="55"/>
        <v>0</v>
      </c>
      <c r="AF463" s="75">
        <f t="shared" si="50"/>
        <v>0</v>
      </c>
      <c r="AG463" s="75">
        <f t="shared" si="51"/>
        <v>0</v>
      </c>
      <c r="AH463" s="31" t="e" cm="1">
        <f t="array" aca="1" ref="AH463" ca="1">IF((AD463) &lt; (INDEX(ResponseSLA[#All],(MATCH((G463),ResponseSLA[Priority],0))+1,3)),"YES","No")</f>
        <v>#N/A</v>
      </c>
      <c r="AI463" s="31" t="str">
        <f>_xlfn.IFNA(IF(AE463 &lt; (INDEX(SLATable[Minimum SLA],MATCH(G463,SLATable[Priority],0))),"YES","NO"),"")</f>
        <v/>
      </c>
      <c r="AJ463" t="str">
        <f>_xlfn.IFNA(IF(AE463 &lt; (INDEX(SLATable[Maximum SLA],MATCH(G463,SLATable[Priority],0))),"YES","NO"),"")</f>
        <v/>
      </c>
    </row>
    <row r="464" spans="26:36" ht="15" customHeight="1">
      <c r="Z464" s="76" t="e">
        <f t="shared" ca="1" si="52"/>
        <v>#N/A</v>
      </c>
      <c r="AA464" s="75" t="e">
        <f t="shared" ca="1" si="48"/>
        <v>#N/A</v>
      </c>
      <c r="AB464" s="76">
        <f t="shared" ca="1" si="53"/>
        <v>0</v>
      </c>
      <c r="AC464" s="75">
        <f t="shared" ca="1" si="49"/>
        <v>0</v>
      </c>
      <c r="AD464" s="76">
        <f t="shared" ca="1" si="54"/>
        <v>12388.425641550926</v>
      </c>
      <c r="AE464" s="76">
        <f t="shared" si="55"/>
        <v>0</v>
      </c>
      <c r="AF464" s="75">
        <f t="shared" si="50"/>
        <v>0</v>
      </c>
      <c r="AG464" s="75">
        <f t="shared" si="51"/>
        <v>0</v>
      </c>
      <c r="AH464" s="31" t="e" cm="1">
        <f t="array" aca="1" ref="AH464" ca="1">IF((AD464) &lt; (INDEX(ResponseSLA[#All],(MATCH((G464),ResponseSLA[Priority],0))+1,3)),"YES","No")</f>
        <v>#N/A</v>
      </c>
      <c r="AI464" s="31" t="str">
        <f>_xlfn.IFNA(IF(AE464 &lt; (INDEX(SLATable[Minimum SLA],MATCH(G464,SLATable[Priority],0))),"YES","NO"),"")</f>
        <v/>
      </c>
      <c r="AJ464" t="str">
        <f>_xlfn.IFNA(IF(AE464 &lt; (INDEX(SLATable[Maximum SLA],MATCH(G464,SLATable[Priority],0))),"YES","NO"),"")</f>
        <v/>
      </c>
    </row>
    <row r="465" spans="26:36" ht="15" customHeight="1">
      <c r="Z465" s="76" t="e">
        <f t="shared" ca="1" si="52"/>
        <v>#N/A</v>
      </c>
      <c r="AA465" s="75" t="e">
        <f t="shared" ca="1" si="48"/>
        <v>#N/A</v>
      </c>
      <c r="AB465" s="76">
        <f t="shared" ca="1" si="53"/>
        <v>0</v>
      </c>
      <c r="AC465" s="75">
        <f t="shared" ca="1" si="49"/>
        <v>0</v>
      </c>
      <c r="AD465" s="76">
        <f t="shared" ca="1" si="54"/>
        <v>12388.425641550926</v>
      </c>
      <c r="AE465" s="76">
        <f t="shared" si="55"/>
        <v>0</v>
      </c>
      <c r="AF465" s="75">
        <f t="shared" si="50"/>
        <v>0</v>
      </c>
      <c r="AG465" s="75">
        <f t="shared" si="51"/>
        <v>0</v>
      </c>
      <c r="AH465" s="31" t="e" cm="1">
        <f t="array" aca="1" ref="AH465" ca="1">IF((AD465) &lt; (INDEX(ResponseSLA[#All],(MATCH((G465),ResponseSLA[Priority],0))+1,3)),"YES","No")</f>
        <v>#N/A</v>
      </c>
      <c r="AI465" s="31" t="str">
        <f>_xlfn.IFNA(IF(AE465 &lt; (INDEX(SLATable[Minimum SLA],MATCH(G465,SLATable[Priority],0))),"YES","NO"),"")</f>
        <v/>
      </c>
      <c r="AJ465" t="str">
        <f>_xlfn.IFNA(IF(AE465 &lt; (INDEX(SLATable[Maximum SLA],MATCH(G465,SLATable[Priority],0))),"YES","NO"),"")</f>
        <v/>
      </c>
    </row>
    <row r="466" spans="26:36" ht="15" customHeight="1">
      <c r="Z466" s="76" t="e">
        <f t="shared" ca="1" si="52"/>
        <v>#N/A</v>
      </c>
      <c r="AA466" s="75" t="e">
        <f t="shared" ca="1" si="48"/>
        <v>#N/A</v>
      </c>
      <c r="AB466" s="76">
        <f t="shared" ca="1" si="53"/>
        <v>0</v>
      </c>
      <c r="AC466" s="75">
        <f t="shared" ca="1" si="49"/>
        <v>0</v>
      </c>
      <c r="AD466" s="76">
        <f t="shared" ca="1" si="54"/>
        <v>12388.425641782411</v>
      </c>
      <c r="AE466" s="76">
        <f t="shared" si="55"/>
        <v>0</v>
      </c>
      <c r="AF466" s="75">
        <f t="shared" si="50"/>
        <v>0</v>
      </c>
      <c r="AG466" s="75">
        <f t="shared" si="51"/>
        <v>0</v>
      </c>
      <c r="AH466" s="31" t="e" cm="1">
        <f t="array" aca="1" ref="AH466" ca="1">IF((AD466) &lt; (INDEX(ResponseSLA[#All],(MATCH((G466),ResponseSLA[Priority],0))+1,3)),"YES","No")</f>
        <v>#N/A</v>
      </c>
      <c r="AI466" s="31" t="str">
        <f>_xlfn.IFNA(IF(AE466 &lt; (INDEX(SLATable[Minimum SLA],MATCH(G466,SLATable[Priority],0))),"YES","NO"),"")</f>
        <v/>
      </c>
      <c r="AJ466" t="str">
        <f>_xlfn.IFNA(IF(AE466 &lt; (INDEX(SLATable[Maximum SLA],MATCH(G466,SLATable[Priority],0))),"YES","NO"),"")</f>
        <v/>
      </c>
    </row>
    <row r="467" spans="26:36" ht="15" customHeight="1">
      <c r="Z467" s="76" t="e">
        <f t="shared" ca="1" si="52"/>
        <v>#N/A</v>
      </c>
      <c r="AA467" s="75" t="e">
        <f t="shared" ca="1" si="48"/>
        <v>#N/A</v>
      </c>
      <c r="AB467" s="76">
        <f t="shared" ca="1" si="53"/>
        <v>0</v>
      </c>
      <c r="AC467" s="75">
        <f t="shared" ca="1" si="49"/>
        <v>0</v>
      </c>
      <c r="AD467" s="76">
        <f t="shared" ca="1" si="54"/>
        <v>12388.425641550926</v>
      </c>
      <c r="AE467" s="76">
        <f t="shared" si="55"/>
        <v>0</v>
      </c>
      <c r="AF467" s="75">
        <f t="shared" si="50"/>
        <v>0</v>
      </c>
      <c r="AG467" s="75">
        <f t="shared" si="51"/>
        <v>0</v>
      </c>
      <c r="AH467" s="31" t="e" cm="1">
        <f t="array" aca="1" ref="AH467" ca="1">IF((AD467) &lt; (INDEX(ResponseSLA[#All],(MATCH((G467),ResponseSLA[Priority],0))+1,3)),"YES","No")</f>
        <v>#N/A</v>
      </c>
      <c r="AI467" s="31" t="str">
        <f>_xlfn.IFNA(IF(AE467 &lt; (INDEX(SLATable[Minimum SLA],MATCH(G467,SLATable[Priority],0))),"YES","NO"),"")</f>
        <v/>
      </c>
      <c r="AJ467" t="str">
        <f>_xlfn.IFNA(IF(AE467 &lt; (INDEX(SLATable[Maximum SLA],MATCH(G467,SLATable[Priority],0))),"YES","NO"),"")</f>
        <v/>
      </c>
    </row>
    <row r="468" spans="26:36" ht="15" customHeight="1">
      <c r="Z468" s="76" t="e">
        <f t="shared" ca="1" si="52"/>
        <v>#N/A</v>
      </c>
      <c r="AA468" s="75" t="e">
        <f t="shared" ca="1" si="48"/>
        <v>#N/A</v>
      </c>
      <c r="AB468" s="76">
        <f t="shared" ca="1" si="53"/>
        <v>0</v>
      </c>
      <c r="AC468" s="75">
        <f t="shared" ca="1" si="49"/>
        <v>0</v>
      </c>
      <c r="AD468" s="76">
        <f t="shared" ca="1" si="54"/>
        <v>12388.425641550926</v>
      </c>
      <c r="AE468" s="76">
        <f t="shared" si="55"/>
        <v>0</v>
      </c>
      <c r="AF468" s="75">
        <f t="shared" si="50"/>
        <v>0</v>
      </c>
      <c r="AG468" s="75">
        <f t="shared" si="51"/>
        <v>0</v>
      </c>
      <c r="AH468" s="31" t="e" cm="1">
        <f t="array" aca="1" ref="AH468" ca="1">IF((AD468) &lt; (INDEX(ResponseSLA[#All],(MATCH((G468),ResponseSLA[Priority],0))+1,3)),"YES","No")</f>
        <v>#N/A</v>
      </c>
      <c r="AI468" s="31" t="str">
        <f>_xlfn.IFNA(IF(AE468 &lt; (INDEX(SLATable[Minimum SLA],MATCH(G468,SLATable[Priority],0))),"YES","NO"),"")</f>
        <v/>
      </c>
      <c r="AJ468" t="str">
        <f>_xlfn.IFNA(IF(AE468 &lt; (INDEX(SLATable[Maximum SLA],MATCH(G468,SLATable[Priority],0))),"YES","NO"),"")</f>
        <v/>
      </c>
    </row>
    <row r="469" spans="26:36" ht="15" customHeight="1">
      <c r="Z469" s="76" t="e">
        <f t="shared" ca="1" si="52"/>
        <v>#N/A</v>
      </c>
      <c r="AA469" s="75" t="e">
        <f t="shared" ca="1" si="48"/>
        <v>#N/A</v>
      </c>
      <c r="AB469" s="76">
        <f t="shared" ca="1" si="53"/>
        <v>0</v>
      </c>
      <c r="AC469" s="75">
        <f t="shared" ca="1" si="49"/>
        <v>0</v>
      </c>
      <c r="AD469" s="76">
        <f t="shared" ca="1" si="54"/>
        <v>12388.425641782411</v>
      </c>
      <c r="AE469" s="76">
        <f t="shared" si="55"/>
        <v>0</v>
      </c>
      <c r="AF469" s="75">
        <f t="shared" si="50"/>
        <v>0</v>
      </c>
      <c r="AG469" s="75">
        <f t="shared" si="51"/>
        <v>0</v>
      </c>
      <c r="AH469" s="31" t="e" cm="1">
        <f t="array" aca="1" ref="AH469" ca="1">IF((AD469) &lt; (INDEX(ResponseSLA[#All],(MATCH((G469),ResponseSLA[Priority],0))+1,3)),"YES","No")</f>
        <v>#N/A</v>
      </c>
      <c r="AI469" s="31" t="str">
        <f>_xlfn.IFNA(IF(AE469 &lt; (INDEX(SLATable[Minimum SLA],MATCH(G469,SLATable[Priority],0))),"YES","NO"),"")</f>
        <v/>
      </c>
      <c r="AJ469" t="str">
        <f>_xlfn.IFNA(IF(AE469 &lt; (INDEX(SLATable[Maximum SLA],MATCH(G469,SLATable[Priority],0))),"YES","NO"),"")</f>
        <v/>
      </c>
    </row>
    <row r="470" spans="26:36" ht="15" customHeight="1">
      <c r="Z470" s="76" t="e">
        <f t="shared" ca="1" si="52"/>
        <v>#N/A</v>
      </c>
      <c r="AA470" s="75" t="e">
        <f t="shared" ca="1" si="48"/>
        <v>#N/A</v>
      </c>
      <c r="AB470" s="76">
        <f t="shared" ca="1" si="53"/>
        <v>0</v>
      </c>
      <c r="AC470" s="75">
        <f t="shared" ca="1" si="49"/>
        <v>0</v>
      </c>
      <c r="AD470" s="76">
        <f t="shared" ca="1" si="54"/>
        <v>12388.425641550926</v>
      </c>
      <c r="AE470" s="76">
        <f t="shared" si="55"/>
        <v>0</v>
      </c>
      <c r="AF470" s="75">
        <f t="shared" si="50"/>
        <v>0</v>
      </c>
      <c r="AG470" s="75">
        <f t="shared" si="51"/>
        <v>0</v>
      </c>
      <c r="AH470" s="31" t="e" cm="1">
        <f t="array" aca="1" ref="AH470" ca="1">IF((AD470) &lt; (INDEX(ResponseSLA[#All],(MATCH((G470),ResponseSLA[Priority],0))+1,3)),"YES","No")</f>
        <v>#N/A</v>
      </c>
      <c r="AI470" s="31" t="str">
        <f>_xlfn.IFNA(IF(AE470 &lt; (INDEX(SLATable[Minimum SLA],MATCH(G470,SLATable[Priority],0))),"YES","NO"),"")</f>
        <v/>
      </c>
      <c r="AJ470" t="str">
        <f>_xlfn.IFNA(IF(AE470 &lt; (INDEX(SLATable[Maximum SLA],MATCH(G470,SLATable[Priority],0))),"YES","NO"),"")</f>
        <v/>
      </c>
    </row>
    <row r="471" spans="26:36" ht="15" customHeight="1">
      <c r="Z471" s="76" t="e">
        <f t="shared" ca="1" si="52"/>
        <v>#N/A</v>
      </c>
      <c r="AA471" s="75" t="e">
        <f t="shared" ca="1" si="48"/>
        <v>#N/A</v>
      </c>
      <c r="AB471" s="76">
        <f t="shared" ca="1" si="53"/>
        <v>0</v>
      </c>
      <c r="AC471" s="75">
        <f t="shared" ca="1" si="49"/>
        <v>0</v>
      </c>
      <c r="AD471" s="76">
        <f t="shared" ca="1" si="54"/>
        <v>12388.425641550926</v>
      </c>
      <c r="AE471" s="76">
        <f t="shared" si="55"/>
        <v>0</v>
      </c>
      <c r="AF471" s="75">
        <f t="shared" si="50"/>
        <v>0</v>
      </c>
      <c r="AG471" s="75">
        <f t="shared" si="51"/>
        <v>0</v>
      </c>
      <c r="AH471" s="31" t="e" cm="1">
        <f t="array" aca="1" ref="AH471" ca="1">IF((AD471) &lt; (INDEX(ResponseSLA[#All],(MATCH((G471),ResponseSLA[Priority],0))+1,3)),"YES","No")</f>
        <v>#N/A</v>
      </c>
      <c r="AI471" s="31" t="str">
        <f>_xlfn.IFNA(IF(AE471 &lt; (INDEX(SLATable[Minimum SLA],MATCH(G471,SLATable[Priority],0))),"YES","NO"),"")</f>
        <v/>
      </c>
      <c r="AJ471" t="str">
        <f>_xlfn.IFNA(IF(AE471 &lt; (INDEX(SLATable[Maximum SLA],MATCH(G471,SLATable[Priority],0))),"YES","NO"),"")</f>
        <v/>
      </c>
    </row>
    <row r="472" spans="26:36" ht="15" customHeight="1">
      <c r="Z472" s="76" t="e">
        <f t="shared" ca="1" si="52"/>
        <v>#N/A</v>
      </c>
      <c r="AA472" s="75" t="e">
        <f t="shared" ca="1" si="48"/>
        <v>#N/A</v>
      </c>
      <c r="AB472" s="76">
        <f t="shared" ca="1" si="53"/>
        <v>0</v>
      </c>
      <c r="AC472" s="75">
        <f t="shared" ca="1" si="49"/>
        <v>0</v>
      </c>
      <c r="AD472" s="76">
        <f t="shared" ca="1" si="54"/>
        <v>12388.425641782411</v>
      </c>
      <c r="AE472" s="76">
        <f t="shared" si="55"/>
        <v>0</v>
      </c>
      <c r="AF472" s="75">
        <f t="shared" si="50"/>
        <v>0</v>
      </c>
      <c r="AG472" s="75">
        <f t="shared" si="51"/>
        <v>0</v>
      </c>
      <c r="AH472" s="31" t="e" cm="1">
        <f t="array" aca="1" ref="AH472" ca="1">IF((AD472) &lt; (INDEX(ResponseSLA[#All],(MATCH((G472),ResponseSLA[Priority],0))+1,3)),"YES","No")</f>
        <v>#N/A</v>
      </c>
      <c r="AI472" s="31" t="str">
        <f>_xlfn.IFNA(IF(AE472 &lt; (INDEX(SLATable[Minimum SLA],MATCH(G472,SLATable[Priority],0))),"YES","NO"),"")</f>
        <v/>
      </c>
      <c r="AJ472" t="str">
        <f>_xlfn.IFNA(IF(AE472 &lt; (INDEX(SLATable[Maximum SLA],MATCH(G472,SLATable[Priority],0))),"YES","NO"),"")</f>
        <v/>
      </c>
    </row>
    <row r="473" spans="26:36" ht="15" customHeight="1">
      <c r="Z473" s="76" t="e">
        <f t="shared" ca="1" si="52"/>
        <v>#N/A</v>
      </c>
      <c r="AA473" s="75" t="e">
        <f t="shared" ca="1" si="48"/>
        <v>#N/A</v>
      </c>
      <c r="AB473" s="76">
        <f t="shared" ca="1" si="53"/>
        <v>0</v>
      </c>
      <c r="AC473" s="75">
        <f t="shared" ca="1" si="49"/>
        <v>0</v>
      </c>
      <c r="AD473" s="76">
        <f t="shared" ca="1" si="54"/>
        <v>12388.425641550926</v>
      </c>
      <c r="AE473" s="76">
        <f t="shared" si="55"/>
        <v>0</v>
      </c>
      <c r="AF473" s="75">
        <f t="shared" si="50"/>
        <v>0</v>
      </c>
      <c r="AG473" s="75">
        <f t="shared" si="51"/>
        <v>0</v>
      </c>
      <c r="AH473" s="31" t="e" cm="1">
        <f t="array" aca="1" ref="AH473" ca="1">IF((AD473) &lt; (INDEX(ResponseSLA[#All],(MATCH((G473),ResponseSLA[Priority],0))+1,3)),"YES","No")</f>
        <v>#N/A</v>
      </c>
      <c r="AI473" s="31" t="str">
        <f>_xlfn.IFNA(IF(AE473 &lt; (INDEX(SLATable[Minimum SLA],MATCH(G473,SLATable[Priority],0))),"YES","NO"),"")</f>
        <v/>
      </c>
      <c r="AJ473" t="str">
        <f>_xlfn.IFNA(IF(AE473 &lt; (INDEX(SLATable[Maximum SLA],MATCH(G473,SLATable[Priority],0))),"YES","NO"),"")</f>
        <v/>
      </c>
    </row>
    <row r="474" spans="26:36" ht="15" customHeight="1">
      <c r="Z474" s="76" t="e">
        <f t="shared" ca="1" si="52"/>
        <v>#N/A</v>
      </c>
      <c r="AA474" s="75" t="e">
        <f t="shared" ca="1" si="48"/>
        <v>#N/A</v>
      </c>
      <c r="AB474" s="76">
        <f t="shared" ca="1" si="53"/>
        <v>0</v>
      </c>
      <c r="AC474" s="75">
        <f t="shared" ca="1" si="49"/>
        <v>0</v>
      </c>
      <c r="AD474" s="76">
        <f t="shared" ca="1" si="54"/>
        <v>12388.425641550926</v>
      </c>
      <c r="AE474" s="76">
        <f t="shared" si="55"/>
        <v>0</v>
      </c>
      <c r="AF474" s="75">
        <f t="shared" si="50"/>
        <v>0</v>
      </c>
      <c r="AG474" s="75">
        <f t="shared" si="51"/>
        <v>0</v>
      </c>
      <c r="AH474" s="31" t="e" cm="1">
        <f t="array" aca="1" ref="AH474" ca="1">IF((AD474) &lt; (INDEX(ResponseSLA[#All],(MATCH((G474),ResponseSLA[Priority],0))+1,3)),"YES","No")</f>
        <v>#N/A</v>
      </c>
      <c r="AI474" s="31" t="str">
        <f>_xlfn.IFNA(IF(AE474 &lt; (INDEX(SLATable[Minimum SLA],MATCH(G474,SLATable[Priority],0))),"YES","NO"),"")</f>
        <v/>
      </c>
      <c r="AJ474" t="str">
        <f>_xlfn.IFNA(IF(AE474 &lt; (INDEX(SLATable[Maximum SLA],MATCH(G474,SLATable[Priority],0))),"YES","NO"),"")</f>
        <v/>
      </c>
    </row>
    <row r="475" spans="26:36" ht="15" customHeight="1">
      <c r="Z475" s="76" t="e">
        <f t="shared" ca="1" si="52"/>
        <v>#N/A</v>
      </c>
      <c r="AA475" s="75" t="e">
        <f t="shared" ca="1" si="48"/>
        <v>#N/A</v>
      </c>
      <c r="AB475" s="76">
        <f t="shared" ca="1" si="53"/>
        <v>0</v>
      </c>
      <c r="AC475" s="75">
        <f t="shared" ca="1" si="49"/>
        <v>0</v>
      </c>
      <c r="AD475" s="76">
        <f t="shared" ca="1" si="54"/>
        <v>12388.425641782411</v>
      </c>
      <c r="AE475" s="76">
        <f t="shared" si="55"/>
        <v>0</v>
      </c>
      <c r="AF475" s="75">
        <f t="shared" si="50"/>
        <v>0</v>
      </c>
      <c r="AG475" s="75">
        <f t="shared" si="51"/>
        <v>0</v>
      </c>
      <c r="AH475" s="31" t="e" cm="1">
        <f t="array" aca="1" ref="AH475" ca="1">IF((AD475) &lt; (INDEX(ResponseSLA[#All],(MATCH((G475),ResponseSLA[Priority],0))+1,3)),"YES","No")</f>
        <v>#N/A</v>
      </c>
      <c r="AI475" s="31" t="str">
        <f>_xlfn.IFNA(IF(AE475 &lt; (INDEX(SLATable[Minimum SLA],MATCH(G475,SLATable[Priority],0))),"YES","NO"),"")</f>
        <v/>
      </c>
      <c r="AJ475" t="str">
        <f>_xlfn.IFNA(IF(AE475 &lt; (INDEX(SLATable[Maximum SLA],MATCH(G475,SLATable[Priority],0))),"YES","NO"),"")</f>
        <v/>
      </c>
    </row>
    <row r="476" spans="26:36" ht="15" customHeight="1">
      <c r="Z476" s="76" t="e">
        <f t="shared" ca="1" si="52"/>
        <v>#N/A</v>
      </c>
      <c r="AA476" s="75" t="e">
        <f t="shared" ca="1" si="48"/>
        <v>#N/A</v>
      </c>
      <c r="AB476" s="76">
        <f t="shared" ca="1" si="53"/>
        <v>0</v>
      </c>
      <c r="AC476" s="75">
        <f t="shared" ca="1" si="49"/>
        <v>0</v>
      </c>
      <c r="AD476" s="76">
        <f t="shared" ca="1" si="54"/>
        <v>12388.425641550926</v>
      </c>
      <c r="AE476" s="76">
        <f t="shared" si="55"/>
        <v>0</v>
      </c>
      <c r="AF476" s="75">
        <f t="shared" si="50"/>
        <v>0</v>
      </c>
      <c r="AG476" s="75">
        <f t="shared" si="51"/>
        <v>0</v>
      </c>
      <c r="AH476" s="31" t="e" cm="1">
        <f t="array" aca="1" ref="AH476" ca="1">IF((AD476) &lt; (INDEX(ResponseSLA[#All],(MATCH((G476),ResponseSLA[Priority],0))+1,3)),"YES","No")</f>
        <v>#N/A</v>
      </c>
      <c r="AI476" s="31" t="str">
        <f>_xlfn.IFNA(IF(AE476 &lt; (INDEX(SLATable[Minimum SLA],MATCH(G476,SLATable[Priority],0))),"YES","NO"),"")</f>
        <v/>
      </c>
      <c r="AJ476" t="str">
        <f>_xlfn.IFNA(IF(AE476 &lt; (INDEX(SLATable[Maximum SLA],MATCH(G476,SLATable[Priority],0))),"YES","NO"),"")</f>
        <v/>
      </c>
    </row>
    <row r="477" spans="26:36" ht="15" customHeight="1">
      <c r="Z477" s="76" t="e">
        <f t="shared" ca="1" si="52"/>
        <v>#N/A</v>
      </c>
      <c r="AA477" s="75" t="e">
        <f t="shared" ca="1" si="48"/>
        <v>#N/A</v>
      </c>
      <c r="AB477" s="76">
        <f t="shared" ca="1" si="53"/>
        <v>0</v>
      </c>
      <c r="AC477" s="75">
        <f t="shared" ca="1" si="49"/>
        <v>0</v>
      </c>
      <c r="AD477" s="76">
        <f t="shared" ca="1" si="54"/>
        <v>12388.425641550926</v>
      </c>
      <c r="AE477" s="76">
        <f t="shared" si="55"/>
        <v>0</v>
      </c>
      <c r="AF477" s="75">
        <f t="shared" si="50"/>
        <v>0</v>
      </c>
      <c r="AG477" s="75">
        <f t="shared" si="51"/>
        <v>0</v>
      </c>
      <c r="AH477" s="31" t="e" cm="1">
        <f t="array" aca="1" ref="AH477" ca="1">IF((AD477) &lt; (INDEX(ResponseSLA[#All],(MATCH((G477),ResponseSLA[Priority],0))+1,3)),"YES","No")</f>
        <v>#N/A</v>
      </c>
      <c r="AI477" s="31" t="str">
        <f>_xlfn.IFNA(IF(AE477 &lt; (INDEX(SLATable[Minimum SLA],MATCH(G477,SLATable[Priority],0))),"YES","NO"),"")</f>
        <v/>
      </c>
      <c r="AJ477" t="str">
        <f>_xlfn.IFNA(IF(AE477 &lt; (INDEX(SLATable[Maximum SLA],MATCH(G477,SLATable[Priority],0))),"YES","NO"),"")</f>
        <v/>
      </c>
    </row>
    <row r="478" spans="26:36" ht="15" customHeight="1">
      <c r="Z478" s="76" t="e">
        <f t="shared" ca="1" si="52"/>
        <v>#N/A</v>
      </c>
      <c r="AA478" s="75" t="e">
        <f t="shared" ca="1" si="48"/>
        <v>#N/A</v>
      </c>
      <c r="AB478" s="76">
        <f t="shared" ca="1" si="53"/>
        <v>0</v>
      </c>
      <c r="AC478" s="75">
        <f t="shared" ca="1" si="49"/>
        <v>0</v>
      </c>
      <c r="AD478" s="76">
        <f t="shared" ca="1" si="54"/>
        <v>12388.425641782411</v>
      </c>
      <c r="AE478" s="76">
        <f t="shared" si="55"/>
        <v>0</v>
      </c>
      <c r="AF478" s="75">
        <f t="shared" si="50"/>
        <v>0</v>
      </c>
      <c r="AG478" s="75">
        <f t="shared" si="51"/>
        <v>0</v>
      </c>
      <c r="AH478" s="31" t="e" cm="1">
        <f t="array" aca="1" ref="AH478" ca="1">IF((AD478) &lt; (INDEX(ResponseSLA[#All],(MATCH((G478),ResponseSLA[Priority],0))+1,3)),"YES","No")</f>
        <v>#N/A</v>
      </c>
      <c r="AI478" s="31" t="str">
        <f>_xlfn.IFNA(IF(AE478 &lt; (INDEX(SLATable[Minimum SLA],MATCH(G478,SLATable[Priority],0))),"YES","NO"),"")</f>
        <v/>
      </c>
      <c r="AJ478" t="str">
        <f>_xlfn.IFNA(IF(AE478 &lt; (INDEX(SLATable[Maximum SLA],MATCH(G478,SLATable[Priority],0))),"YES","NO"),"")</f>
        <v/>
      </c>
    </row>
    <row r="479" spans="26:36" ht="15" customHeight="1">
      <c r="Z479" s="76" t="e">
        <f t="shared" ca="1" si="52"/>
        <v>#N/A</v>
      </c>
      <c r="AA479" s="75" t="e">
        <f t="shared" ca="1" si="48"/>
        <v>#N/A</v>
      </c>
      <c r="AB479" s="76">
        <f t="shared" ca="1" si="53"/>
        <v>0</v>
      </c>
      <c r="AC479" s="75">
        <f t="shared" ca="1" si="49"/>
        <v>0</v>
      </c>
      <c r="AD479" s="76">
        <f t="shared" ca="1" si="54"/>
        <v>12388.425641550926</v>
      </c>
      <c r="AE479" s="76">
        <f t="shared" si="55"/>
        <v>0</v>
      </c>
      <c r="AF479" s="75">
        <f t="shared" si="50"/>
        <v>0</v>
      </c>
      <c r="AG479" s="75">
        <f t="shared" si="51"/>
        <v>0</v>
      </c>
      <c r="AH479" s="31" t="e" cm="1">
        <f t="array" aca="1" ref="AH479" ca="1">IF((AD479) &lt; (INDEX(ResponseSLA[#All],(MATCH((G479),ResponseSLA[Priority],0))+1,3)),"YES","No")</f>
        <v>#N/A</v>
      </c>
      <c r="AI479" s="31" t="str">
        <f>_xlfn.IFNA(IF(AE479 &lt; (INDEX(SLATable[Minimum SLA],MATCH(G479,SLATable[Priority],0))),"YES","NO"),"")</f>
        <v/>
      </c>
      <c r="AJ479" t="str">
        <f>_xlfn.IFNA(IF(AE479 &lt; (INDEX(SLATable[Maximum SLA],MATCH(G479,SLATable[Priority],0))),"YES","NO"),"")</f>
        <v/>
      </c>
    </row>
    <row r="480" spans="26:36" ht="15" customHeight="1">
      <c r="Z480" s="76" t="e">
        <f t="shared" ca="1" si="52"/>
        <v>#N/A</v>
      </c>
      <c r="AA480" s="75" t="e">
        <f t="shared" ca="1" si="48"/>
        <v>#N/A</v>
      </c>
      <c r="AB480" s="76">
        <f t="shared" ca="1" si="53"/>
        <v>0</v>
      </c>
      <c r="AC480" s="75">
        <f t="shared" ca="1" si="49"/>
        <v>0</v>
      </c>
      <c r="AD480" s="76">
        <f t="shared" ca="1" si="54"/>
        <v>12388.425641550926</v>
      </c>
      <c r="AE480" s="76">
        <f t="shared" si="55"/>
        <v>0</v>
      </c>
      <c r="AF480" s="75">
        <f t="shared" si="50"/>
        <v>0</v>
      </c>
      <c r="AG480" s="75">
        <f t="shared" si="51"/>
        <v>0</v>
      </c>
      <c r="AH480" s="31" t="e" cm="1">
        <f t="array" aca="1" ref="AH480" ca="1">IF((AD480) &lt; (INDEX(ResponseSLA[#All],(MATCH((G480),ResponseSLA[Priority],0))+1,3)),"YES","No")</f>
        <v>#N/A</v>
      </c>
      <c r="AI480" s="31" t="str">
        <f>_xlfn.IFNA(IF(AE480 &lt; (INDEX(SLATable[Minimum SLA],MATCH(G480,SLATable[Priority],0))),"YES","NO"),"")</f>
        <v/>
      </c>
      <c r="AJ480" t="str">
        <f>_xlfn.IFNA(IF(AE480 &lt; (INDEX(SLATable[Maximum SLA],MATCH(G480,SLATable[Priority],0))),"YES","NO"),"")</f>
        <v/>
      </c>
    </row>
    <row r="481" spans="26:36" ht="15" customHeight="1">
      <c r="Z481" s="76" t="e">
        <f t="shared" ca="1" si="52"/>
        <v>#N/A</v>
      </c>
      <c r="AA481" s="75" t="e">
        <f t="shared" ca="1" si="48"/>
        <v>#N/A</v>
      </c>
      <c r="AB481" s="76">
        <f t="shared" ca="1" si="53"/>
        <v>0</v>
      </c>
      <c r="AC481" s="75">
        <f t="shared" ca="1" si="49"/>
        <v>0</v>
      </c>
      <c r="AD481" s="76">
        <f t="shared" ca="1" si="54"/>
        <v>12388.425641782411</v>
      </c>
      <c r="AE481" s="76">
        <f t="shared" si="55"/>
        <v>0</v>
      </c>
      <c r="AF481" s="75">
        <f t="shared" si="50"/>
        <v>0</v>
      </c>
      <c r="AG481" s="75">
        <f t="shared" si="51"/>
        <v>0</v>
      </c>
      <c r="AH481" s="31" t="e" cm="1">
        <f t="array" aca="1" ref="AH481" ca="1">IF((AD481) &lt; (INDEX(ResponseSLA[#All],(MATCH((G481),ResponseSLA[Priority],0))+1,3)),"YES","No")</f>
        <v>#N/A</v>
      </c>
      <c r="AI481" s="31" t="str">
        <f>_xlfn.IFNA(IF(AE481 &lt; (INDEX(SLATable[Minimum SLA],MATCH(G481,SLATable[Priority],0))),"YES","NO"),"")</f>
        <v/>
      </c>
      <c r="AJ481" t="str">
        <f>_xlfn.IFNA(IF(AE481 &lt; (INDEX(SLATable[Maximum SLA],MATCH(G481,SLATable[Priority],0))),"YES","NO"),"")</f>
        <v/>
      </c>
    </row>
    <row r="482" spans="26:36" ht="15" customHeight="1">
      <c r="Z482" s="76" t="e">
        <f t="shared" ca="1" si="52"/>
        <v>#N/A</v>
      </c>
      <c r="AA482" s="75" t="e">
        <f t="shared" ca="1" si="48"/>
        <v>#N/A</v>
      </c>
      <c r="AB482" s="76">
        <f t="shared" ca="1" si="53"/>
        <v>0</v>
      </c>
      <c r="AC482" s="75">
        <f t="shared" ca="1" si="49"/>
        <v>0</v>
      </c>
      <c r="AD482" s="76">
        <f t="shared" ca="1" si="54"/>
        <v>12388.425641550926</v>
      </c>
      <c r="AE482" s="76">
        <f t="shared" si="55"/>
        <v>0</v>
      </c>
      <c r="AF482" s="75">
        <f t="shared" si="50"/>
        <v>0</v>
      </c>
      <c r="AG482" s="75">
        <f t="shared" si="51"/>
        <v>0</v>
      </c>
      <c r="AH482" s="31" t="e" cm="1">
        <f t="array" aca="1" ref="AH482" ca="1">IF((AD482) &lt; (INDEX(ResponseSLA[#All],(MATCH((G482),ResponseSLA[Priority],0))+1,3)),"YES","No")</f>
        <v>#N/A</v>
      </c>
      <c r="AI482" s="31" t="str">
        <f>_xlfn.IFNA(IF(AE482 &lt; (INDEX(SLATable[Minimum SLA],MATCH(G482,SLATable[Priority],0))),"YES","NO"),"")</f>
        <v/>
      </c>
      <c r="AJ482" t="str">
        <f>_xlfn.IFNA(IF(AE482 &lt; (INDEX(SLATable[Maximum SLA],MATCH(G482,SLATable[Priority],0))),"YES","NO"),"")</f>
        <v/>
      </c>
    </row>
    <row r="483" spans="26:36" ht="15" customHeight="1">
      <c r="Z483" s="76" t="e">
        <f t="shared" ca="1" si="52"/>
        <v>#N/A</v>
      </c>
      <c r="AA483" s="75" t="e">
        <f t="shared" ca="1" si="48"/>
        <v>#N/A</v>
      </c>
      <c r="AB483" s="76">
        <f t="shared" ca="1" si="53"/>
        <v>0</v>
      </c>
      <c r="AC483" s="75">
        <f t="shared" ca="1" si="49"/>
        <v>0</v>
      </c>
      <c r="AD483" s="76">
        <f t="shared" ca="1" si="54"/>
        <v>12388.425641550926</v>
      </c>
      <c r="AE483" s="76">
        <f t="shared" si="55"/>
        <v>0</v>
      </c>
      <c r="AF483" s="75">
        <f t="shared" si="50"/>
        <v>0</v>
      </c>
      <c r="AG483" s="75">
        <f t="shared" si="51"/>
        <v>0</v>
      </c>
      <c r="AH483" s="31" t="e" cm="1">
        <f t="array" aca="1" ref="AH483" ca="1">IF((AD483) &lt; (INDEX(ResponseSLA[#All],(MATCH((G483),ResponseSLA[Priority],0))+1,3)),"YES","No")</f>
        <v>#N/A</v>
      </c>
      <c r="AI483" s="31" t="str">
        <f>_xlfn.IFNA(IF(AE483 &lt; (INDEX(SLATable[Minimum SLA],MATCH(G483,SLATable[Priority],0))),"YES","NO"),"")</f>
        <v/>
      </c>
      <c r="AJ483" t="str">
        <f>_xlfn.IFNA(IF(AE483 &lt; (INDEX(SLATable[Maximum SLA],MATCH(G483,SLATable[Priority],0))),"YES","NO"),"")</f>
        <v/>
      </c>
    </row>
    <row r="484" spans="26:36" ht="15" customHeight="1">
      <c r="Z484" s="76" t="e">
        <f t="shared" ca="1" si="52"/>
        <v>#N/A</v>
      </c>
      <c r="AA484" s="75" t="e">
        <f t="shared" ca="1" si="48"/>
        <v>#N/A</v>
      </c>
      <c r="AB484" s="76">
        <f t="shared" ca="1" si="53"/>
        <v>0</v>
      </c>
      <c r="AC484" s="75">
        <f t="shared" ca="1" si="49"/>
        <v>0</v>
      </c>
      <c r="AD484" s="76">
        <f t="shared" ca="1" si="54"/>
        <v>12388.425641782411</v>
      </c>
      <c r="AE484" s="76">
        <f t="shared" si="55"/>
        <v>0</v>
      </c>
      <c r="AF484" s="75">
        <f t="shared" si="50"/>
        <v>0</v>
      </c>
      <c r="AG484" s="75">
        <f t="shared" si="51"/>
        <v>0</v>
      </c>
      <c r="AH484" s="31" t="e" cm="1">
        <f t="array" aca="1" ref="AH484" ca="1">IF((AD484) &lt; (INDEX(ResponseSLA[#All],(MATCH((G484),ResponseSLA[Priority],0))+1,3)),"YES","No")</f>
        <v>#N/A</v>
      </c>
      <c r="AI484" s="31" t="str">
        <f>_xlfn.IFNA(IF(AE484 &lt; (INDEX(SLATable[Minimum SLA],MATCH(G484,SLATable[Priority],0))),"YES","NO"),"")</f>
        <v/>
      </c>
      <c r="AJ484" t="str">
        <f>_xlfn.IFNA(IF(AE484 &lt; (INDEX(SLATable[Maximum SLA],MATCH(G484,SLATable[Priority],0))),"YES","NO"),"")</f>
        <v/>
      </c>
    </row>
    <row r="485" spans="26:36" ht="15" customHeight="1">
      <c r="Z485" s="76" t="e">
        <f t="shared" ca="1" si="52"/>
        <v>#N/A</v>
      </c>
      <c r="AA485" s="75" t="e">
        <f t="shared" ca="1" si="48"/>
        <v>#N/A</v>
      </c>
      <c r="AB485" s="76">
        <f t="shared" ca="1" si="53"/>
        <v>0</v>
      </c>
      <c r="AC485" s="75">
        <f t="shared" ca="1" si="49"/>
        <v>0</v>
      </c>
      <c r="AD485" s="76">
        <f t="shared" ca="1" si="54"/>
        <v>12388.425641550926</v>
      </c>
      <c r="AE485" s="76">
        <f t="shared" si="55"/>
        <v>0</v>
      </c>
      <c r="AF485" s="75">
        <f t="shared" si="50"/>
        <v>0</v>
      </c>
      <c r="AG485" s="75">
        <f t="shared" si="51"/>
        <v>0</v>
      </c>
      <c r="AH485" s="31" t="e" cm="1">
        <f t="array" aca="1" ref="AH485" ca="1">IF((AD485) &lt; (INDEX(ResponseSLA[#All],(MATCH((G485),ResponseSLA[Priority],0))+1,3)),"YES","No")</f>
        <v>#N/A</v>
      </c>
      <c r="AI485" s="31" t="str">
        <f>_xlfn.IFNA(IF(AE485 &lt; (INDEX(SLATable[Minimum SLA],MATCH(G485,SLATable[Priority],0))),"YES","NO"),"")</f>
        <v/>
      </c>
      <c r="AJ485" t="str">
        <f>_xlfn.IFNA(IF(AE485 &lt; (INDEX(SLATable[Maximum SLA],MATCH(G485,SLATable[Priority],0))),"YES","NO"),"")</f>
        <v/>
      </c>
    </row>
    <row r="486" spans="26:36" ht="15" customHeight="1">
      <c r="Z486" s="76" t="e">
        <f t="shared" ca="1" si="52"/>
        <v>#N/A</v>
      </c>
      <c r="AA486" s="75" t="e">
        <f t="shared" ca="1" si="48"/>
        <v>#N/A</v>
      </c>
      <c r="AB486" s="76">
        <f t="shared" ca="1" si="53"/>
        <v>0</v>
      </c>
      <c r="AC486" s="75">
        <f t="shared" ca="1" si="49"/>
        <v>0</v>
      </c>
      <c r="AD486" s="76">
        <f t="shared" ca="1" si="54"/>
        <v>12388.425641550926</v>
      </c>
      <c r="AE486" s="76">
        <f t="shared" si="55"/>
        <v>0</v>
      </c>
      <c r="AF486" s="75">
        <f t="shared" si="50"/>
        <v>0</v>
      </c>
      <c r="AG486" s="75">
        <f t="shared" si="51"/>
        <v>0</v>
      </c>
      <c r="AH486" s="31" t="e" cm="1">
        <f t="array" aca="1" ref="AH486" ca="1">IF((AD486) &lt; (INDEX(ResponseSLA[#All],(MATCH((G486),ResponseSLA[Priority],0))+1,3)),"YES","No")</f>
        <v>#N/A</v>
      </c>
      <c r="AI486" s="31" t="str">
        <f>_xlfn.IFNA(IF(AE486 &lt; (INDEX(SLATable[Minimum SLA],MATCH(G486,SLATable[Priority],0))),"YES","NO"),"")</f>
        <v/>
      </c>
      <c r="AJ486" t="str">
        <f>_xlfn.IFNA(IF(AE486 &lt; (INDEX(SLATable[Maximum SLA],MATCH(G486,SLATable[Priority],0))),"YES","NO"),"")</f>
        <v/>
      </c>
    </row>
    <row r="487" spans="26:36" ht="15" customHeight="1">
      <c r="Z487" s="76" t="e">
        <f t="shared" ca="1" si="52"/>
        <v>#N/A</v>
      </c>
      <c r="AA487" s="75" t="e">
        <f t="shared" ca="1" si="48"/>
        <v>#N/A</v>
      </c>
      <c r="AB487" s="76">
        <f t="shared" ca="1" si="53"/>
        <v>0</v>
      </c>
      <c r="AC487" s="75">
        <f t="shared" ca="1" si="49"/>
        <v>0</v>
      </c>
      <c r="AD487" s="76">
        <f t="shared" ca="1" si="54"/>
        <v>12388.425641782411</v>
      </c>
      <c r="AE487" s="76">
        <f t="shared" si="55"/>
        <v>0</v>
      </c>
      <c r="AF487" s="75">
        <f t="shared" si="50"/>
        <v>0</v>
      </c>
      <c r="AG487" s="75">
        <f t="shared" si="51"/>
        <v>0</v>
      </c>
      <c r="AH487" s="31" t="e" cm="1">
        <f t="array" aca="1" ref="AH487" ca="1">IF((AD487) &lt; (INDEX(ResponseSLA[#All],(MATCH((G487),ResponseSLA[Priority],0))+1,3)),"YES","No")</f>
        <v>#N/A</v>
      </c>
      <c r="AI487" s="31" t="str">
        <f>_xlfn.IFNA(IF(AE487 &lt; (INDEX(SLATable[Minimum SLA],MATCH(G487,SLATable[Priority],0))),"YES","NO"),"")</f>
        <v/>
      </c>
      <c r="AJ487" t="str">
        <f>_xlfn.IFNA(IF(AE487 &lt; (INDEX(SLATable[Maximum SLA],MATCH(G487,SLATable[Priority],0))),"YES","NO"),"")</f>
        <v/>
      </c>
    </row>
    <row r="488" spans="26:36" ht="15" customHeight="1">
      <c r="Z488" s="76" t="e">
        <f t="shared" ca="1" si="52"/>
        <v>#N/A</v>
      </c>
      <c r="AA488" s="75" t="e">
        <f t="shared" ca="1" si="48"/>
        <v>#N/A</v>
      </c>
      <c r="AB488" s="76">
        <f t="shared" ca="1" si="53"/>
        <v>0</v>
      </c>
      <c r="AC488" s="75">
        <f t="shared" ca="1" si="49"/>
        <v>0</v>
      </c>
      <c r="AD488" s="76">
        <f t="shared" ca="1" si="54"/>
        <v>12388.425641550926</v>
      </c>
      <c r="AE488" s="76">
        <f t="shared" si="55"/>
        <v>0</v>
      </c>
      <c r="AF488" s="75">
        <f t="shared" si="50"/>
        <v>0</v>
      </c>
      <c r="AG488" s="75">
        <f t="shared" si="51"/>
        <v>0</v>
      </c>
      <c r="AH488" s="31" t="e" cm="1">
        <f t="array" aca="1" ref="AH488" ca="1">IF((AD488) &lt; (INDEX(ResponseSLA[#All],(MATCH((G488),ResponseSLA[Priority],0))+1,3)),"YES","No")</f>
        <v>#N/A</v>
      </c>
      <c r="AI488" s="31" t="str">
        <f>_xlfn.IFNA(IF(AE488 &lt; (INDEX(SLATable[Minimum SLA],MATCH(G488,SLATable[Priority],0))),"YES","NO"),"")</f>
        <v/>
      </c>
      <c r="AJ488" t="str">
        <f>_xlfn.IFNA(IF(AE488 &lt; (INDEX(SLATable[Maximum SLA],MATCH(G488,SLATable[Priority],0))),"YES","NO"),"")</f>
        <v/>
      </c>
    </row>
    <row r="489" spans="26:36" ht="15" customHeight="1">
      <c r="Z489" s="76" t="e">
        <f t="shared" ca="1" si="52"/>
        <v>#N/A</v>
      </c>
      <c r="AA489" s="75" t="e">
        <f t="shared" ca="1" si="48"/>
        <v>#N/A</v>
      </c>
      <c r="AB489" s="76">
        <f t="shared" ca="1" si="53"/>
        <v>0</v>
      </c>
      <c r="AC489" s="75">
        <f t="shared" ca="1" si="49"/>
        <v>0</v>
      </c>
      <c r="AD489" s="76">
        <f t="shared" ca="1" si="54"/>
        <v>12388.425641550926</v>
      </c>
      <c r="AE489" s="76">
        <f t="shared" si="55"/>
        <v>0</v>
      </c>
      <c r="AF489" s="75">
        <f t="shared" si="50"/>
        <v>0</v>
      </c>
      <c r="AG489" s="75">
        <f t="shared" si="51"/>
        <v>0</v>
      </c>
      <c r="AH489" s="31" t="e" cm="1">
        <f t="array" aca="1" ref="AH489" ca="1">IF((AD489) &lt; (INDEX(ResponseSLA[#All],(MATCH((G489),ResponseSLA[Priority],0))+1,3)),"YES","No")</f>
        <v>#N/A</v>
      </c>
      <c r="AI489" s="31" t="str">
        <f>_xlfn.IFNA(IF(AE489 &lt; (INDEX(SLATable[Minimum SLA],MATCH(G489,SLATable[Priority],0))),"YES","NO"),"")</f>
        <v/>
      </c>
      <c r="AJ489" t="str">
        <f>_xlfn.IFNA(IF(AE489 &lt; (INDEX(SLATable[Maximum SLA],MATCH(G489,SLATable[Priority],0))),"YES","NO"),"")</f>
        <v/>
      </c>
    </row>
    <row r="490" spans="26:36" ht="15" customHeight="1">
      <c r="Z490" s="76" t="e">
        <f t="shared" ca="1" si="52"/>
        <v>#N/A</v>
      </c>
      <c r="AA490" s="75" t="e">
        <f t="shared" ca="1" si="48"/>
        <v>#N/A</v>
      </c>
      <c r="AB490" s="76">
        <f t="shared" ca="1" si="53"/>
        <v>0</v>
      </c>
      <c r="AC490" s="75">
        <f t="shared" ca="1" si="49"/>
        <v>0</v>
      </c>
      <c r="AD490" s="76">
        <f t="shared" ca="1" si="54"/>
        <v>12388.425641782411</v>
      </c>
      <c r="AE490" s="76">
        <f t="shared" si="55"/>
        <v>0</v>
      </c>
      <c r="AF490" s="75">
        <f t="shared" si="50"/>
        <v>0</v>
      </c>
      <c r="AG490" s="75">
        <f t="shared" si="51"/>
        <v>0</v>
      </c>
      <c r="AH490" s="31" t="e" cm="1">
        <f t="array" aca="1" ref="AH490" ca="1">IF((AD490) &lt; (INDEX(ResponseSLA[#All],(MATCH((G490),ResponseSLA[Priority],0))+1,3)),"YES","No")</f>
        <v>#N/A</v>
      </c>
      <c r="AI490" s="31" t="str">
        <f>_xlfn.IFNA(IF(AE490 &lt; (INDEX(SLATable[Minimum SLA],MATCH(G490,SLATable[Priority],0))),"YES","NO"),"")</f>
        <v/>
      </c>
      <c r="AJ490" t="str">
        <f>_xlfn.IFNA(IF(AE490 &lt; (INDEX(SLATable[Maximum SLA],MATCH(G490,SLATable[Priority],0))),"YES","NO"),"")</f>
        <v/>
      </c>
    </row>
    <row r="491" spans="26:36" ht="15" customHeight="1">
      <c r="Z491" s="76" t="e">
        <f t="shared" ca="1" si="52"/>
        <v>#N/A</v>
      </c>
      <c r="AA491" s="75" t="e">
        <f t="shared" ca="1" si="48"/>
        <v>#N/A</v>
      </c>
      <c r="AB491" s="76">
        <f t="shared" ca="1" si="53"/>
        <v>0</v>
      </c>
      <c r="AC491" s="75">
        <f t="shared" ca="1" si="49"/>
        <v>0</v>
      </c>
      <c r="AD491" s="76">
        <f t="shared" ca="1" si="54"/>
        <v>12388.425641550926</v>
      </c>
      <c r="AE491" s="76">
        <f t="shared" si="55"/>
        <v>0</v>
      </c>
      <c r="AF491" s="75">
        <f t="shared" si="50"/>
        <v>0</v>
      </c>
      <c r="AG491" s="75">
        <f t="shared" si="51"/>
        <v>0</v>
      </c>
      <c r="AH491" s="31" t="e" cm="1">
        <f t="array" aca="1" ref="AH491" ca="1">IF((AD491) &lt; (INDEX(ResponseSLA[#All],(MATCH((G491),ResponseSLA[Priority],0))+1,3)),"YES","No")</f>
        <v>#N/A</v>
      </c>
      <c r="AI491" s="31" t="str">
        <f>_xlfn.IFNA(IF(AE491 &lt; (INDEX(SLATable[Minimum SLA],MATCH(G491,SLATable[Priority],0))),"YES","NO"),"")</f>
        <v/>
      </c>
      <c r="AJ491" t="str">
        <f>_xlfn.IFNA(IF(AE491 &lt; (INDEX(SLATable[Maximum SLA],MATCH(G491,SLATable[Priority],0))),"YES","NO"),"")</f>
        <v/>
      </c>
    </row>
    <row r="492" spans="26:36" ht="15" customHeight="1">
      <c r="Z492" s="76" t="e">
        <f t="shared" ca="1" si="52"/>
        <v>#N/A</v>
      </c>
      <c r="AA492" s="75" t="e">
        <f t="shared" ca="1" si="48"/>
        <v>#N/A</v>
      </c>
      <c r="AB492" s="76">
        <f t="shared" ca="1" si="53"/>
        <v>0</v>
      </c>
      <c r="AC492" s="75">
        <f t="shared" ca="1" si="49"/>
        <v>0</v>
      </c>
      <c r="AD492" s="76">
        <f t="shared" ca="1" si="54"/>
        <v>12388.425641550926</v>
      </c>
      <c r="AE492" s="76">
        <f t="shared" si="55"/>
        <v>0</v>
      </c>
      <c r="AF492" s="75">
        <f t="shared" si="50"/>
        <v>0</v>
      </c>
      <c r="AG492" s="75">
        <f t="shared" si="51"/>
        <v>0</v>
      </c>
      <c r="AH492" s="31" t="e" cm="1">
        <f t="array" aca="1" ref="AH492" ca="1">IF((AD492) &lt; (INDEX(ResponseSLA[#All],(MATCH((G492),ResponseSLA[Priority],0))+1,3)),"YES","No")</f>
        <v>#N/A</v>
      </c>
      <c r="AI492" s="31" t="str">
        <f>_xlfn.IFNA(IF(AE492 &lt; (INDEX(SLATable[Minimum SLA],MATCH(G492,SLATable[Priority],0))),"YES","NO"),"")</f>
        <v/>
      </c>
      <c r="AJ492" t="str">
        <f>_xlfn.IFNA(IF(AE492 &lt; (INDEX(SLATable[Maximum SLA],MATCH(G492,SLATable[Priority],0))),"YES","NO"),"")</f>
        <v/>
      </c>
    </row>
    <row r="493" spans="26:36" ht="15" customHeight="1">
      <c r="Z493" s="76" t="e">
        <f t="shared" ca="1" si="52"/>
        <v>#N/A</v>
      </c>
      <c r="AA493" s="75" t="e">
        <f t="shared" ca="1" si="48"/>
        <v>#N/A</v>
      </c>
      <c r="AB493" s="76">
        <f t="shared" ca="1" si="53"/>
        <v>0</v>
      </c>
      <c r="AC493" s="75">
        <f t="shared" ca="1" si="49"/>
        <v>0</v>
      </c>
      <c r="AD493" s="76">
        <f t="shared" ca="1" si="54"/>
        <v>12388.425641782411</v>
      </c>
      <c r="AE493" s="76">
        <f t="shared" si="55"/>
        <v>0</v>
      </c>
      <c r="AF493" s="75">
        <f t="shared" si="50"/>
        <v>0</v>
      </c>
      <c r="AG493" s="75">
        <f t="shared" si="51"/>
        <v>0</v>
      </c>
      <c r="AH493" s="31" t="e" cm="1">
        <f t="array" aca="1" ref="AH493" ca="1">IF((AD493) &lt; (INDEX(ResponseSLA[#All],(MATCH((G493),ResponseSLA[Priority],0))+1,3)),"YES","No")</f>
        <v>#N/A</v>
      </c>
      <c r="AI493" s="31" t="str">
        <f>_xlfn.IFNA(IF(AE493 &lt; (INDEX(SLATable[Minimum SLA],MATCH(G493,SLATable[Priority],0))),"YES","NO"),"")</f>
        <v/>
      </c>
      <c r="AJ493" t="str">
        <f>_xlfn.IFNA(IF(AE493 &lt; (INDEX(SLATable[Maximum SLA],MATCH(G493,SLATable[Priority],0))),"YES","NO"),"")</f>
        <v/>
      </c>
    </row>
    <row r="494" spans="26:36" ht="15" customHeight="1">
      <c r="Z494" s="76" t="e">
        <f t="shared" ca="1" si="52"/>
        <v>#N/A</v>
      </c>
      <c r="AA494" s="75" t="e">
        <f t="shared" ca="1" si="48"/>
        <v>#N/A</v>
      </c>
      <c r="AB494" s="76">
        <f t="shared" ca="1" si="53"/>
        <v>0</v>
      </c>
      <c r="AC494" s="75">
        <f t="shared" ca="1" si="49"/>
        <v>0</v>
      </c>
      <c r="AD494" s="76">
        <f t="shared" ca="1" si="54"/>
        <v>12388.425641550926</v>
      </c>
      <c r="AE494" s="76">
        <f t="shared" si="55"/>
        <v>0</v>
      </c>
      <c r="AF494" s="75">
        <f t="shared" si="50"/>
        <v>0</v>
      </c>
      <c r="AG494" s="75">
        <f t="shared" si="51"/>
        <v>0</v>
      </c>
      <c r="AH494" s="31" t="e" cm="1">
        <f t="array" aca="1" ref="AH494" ca="1">IF((AD494) &lt; (INDEX(ResponseSLA[#All],(MATCH((G494),ResponseSLA[Priority],0))+1,3)),"YES","No")</f>
        <v>#N/A</v>
      </c>
      <c r="AI494" s="31" t="str">
        <f>_xlfn.IFNA(IF(AE494 &lt; (INDEX(SLATable[Minimum SLA],MATCH(G494,SLATable[Priority],0))),"YES","NO"),"")</f>
        <v/>
      </c>
      <c r="AJ494" t="str">
        <f>_xlfn.IFNA(IF(AE494 &lt; (INDEX(SLATable[Maximum SLA],MATCH(G494,SLATable[Priority],0))),"YES","NO"),"")</f>
        <v/>
      </c>
    </row>
    <row r="495" spans="26:36" ht="15" customHeight="1">
      <c r="Z495" s="76" t="e">
        <f t="shared" ca="1" si="52"/>
        <v>#N/A</v>
      </c>
      <c r="AA495" s="75" t="e">
        <f t="shared" ca="1" si="48"/>
        <v>#N/A</v>
      </c>
      <c r="AB495" s="76">
        <f t="shared" ca="1" si="53"/>
        <v>0</v>
      </c>
      <c r="AC495" s="75">
        <f t="shared" ca="1" si="49"/>
        <v>0</v>
      </c>
      <c r="AD495" s="76">
        <f t="shared" ca="1" si="54"/>
        <v>12388.425641550926</v>
      </c>
      <c r="AE495" s="76">
        <f t="shared" si="55"/>
        <v>0</v>
      </c>
      <c r="AF495" s="75">
        <f t="shared" si="50"/>
        <v>0</v>
      </c>
      <c r="AG495" s="75">
        <f t="shared" si="51"/>
        <v>0</v>
      </c>
      <c r="AH495" s="31" t="e" cm="1">
        <f t="array" aca="1" ref="AH495" ca="1">IF((AD495) &lt; (INDEX(ResponseSLA[#All],(MATCH((G495),ResponseSLA[Priority],0))+1,3)),"YES","No")</f>
        <v>#N/A</v>
      </c>
      <c r="AI495" s="31" t="str">
        <f>_xlfn.IFNA(IF(AE495 &lt; (INDEX(SLATable[Minimum SLA],MATCH(G495,SLATable[Priority],0))),"YES","NO"),"")</f>
        <v/>
      </c>
      <c r="AJ495" t="str">
        <f>_xlfn.IFNA(IF(AE495 &lt; (INDEX(SLATable[Maximum SLA],MATCH(G495,SLATable[Priority],0))),"YES","NO"),"")</f>
        <v/>
      </c>
    </row>
    <row r="496" spans="26:36" ht="15" customHeight="1">
      <c r="Z496" s="76" t="e">
        <f t="shared" ca="1" si="52"/>
        <v>#N/A</v>
      </c>
      <c r="AA496" s="75" t="e">
        <f t="shared" ca="1" si="48"/>
        <v>#N/A</v>
      </c>
      <c r="AB496" s="76">
        <f t="shared" ca="1" si="53"/>
        <v>0</v>
      </c>
      <c r="AC496" s="75">
        <f t="shared" ca="1" si="49"/>
        <v>0</v>
      </c>
      <c r="AD496" s="76">
        <f t="shared" ca="1" si="54"/>
        <v>12388.425641782411</v>
      </c>
      <c r="AE496" s="76">
        <f t="shared" si="55"/>
        <v>0</v>
      </c>
      <c r="AF496" s="75">
        <f t="shared" si="50"/>
        <v>0</v>
      </c>
      <c r="AG496" s="75">
        <f t="shared" si="51"/>
        <v>0</v>
      </c>
      <c r="AH496" s="31" t="e" cm="1">
        <f t="array" aca="1" ref="AH496" ca="1">IF((AD496) &lt; (INDEX(ResponseSLA[#All],(MATCH((G496),ResponseSLA[Priority],0))+1,3)),"YES","No")</f>
        <v>#N/A</v>
      </c>
      <c r="AI496" s="31" t="str">
        <f>_xlfn.IFNA(IF(AE496 &lt; (INDEX(SLATable[Minimum SLA],MATCH(G496,SLATable[Priority],0))),"YES","NO"),"")</f>
        <v/>
      </c>
      <c r="AJ496" t="str">
        <f>_xlfn.IFNA(IF(AE496 &lt; (INDEX(SLATable[Maximum SLA],MATCH(G496,SLATable[Priority],0))),"YES","NO"),"")</f>
        <v/>
      </c>
    </row>
    <row r="497" spans="26:36" ht="15" customHeight="1">
      <c r="Z497" s="76" t="e">
        <f t="shared" ca="1" si="52"/>
        <v>#N/A</v>
      </c>
      <c r="AA497" s="75" t="e">
        <f t="shared" ca="1" si="48"/>
        <v>#N/A</v>
      </c>
      <c r="AB497" s="76">
        <f t="shared" ca="1" si="53"/>
        <v>0</v>
      </c>
      <c r="AC497" s="75">
        <f t="shared" ca="1" si="49"/>
        <v>0</v>
      </c>
      <c r="AD497" s="76">
        <f t="shared" ca="1" si="54"/>
        <v>12388.425641550926</v>
      </c>
      <c r="AE497" s="76">
        <f t="shared" si="55"/>
        <v>0</v>
      </c>
      <c r="AF497" s="75">
        <f t="shared" si="50"/>
        <v>0</v>
      </c>
      <c r="AG497" s="75">
        <f t="shared" si="51"/>
        <v>0</v>
      </c>
      <c r="AH497" s="31" t="e" cm="1">
        <f t="array" aca="1" ref="AH497" ca="1">IF((AD497) &lt; (INDEX(ResponseSLA[#All],(MATCH((G497),ResponseSLA[Priority],0))+1,3)),"YES","No")</f>
        <v>#N/A</v>
      </c>
      <c r="AI497" s="31" t="str">
        <f>_xlfn.IFNA(IF(AE497 &lt; (INDEX(SLATable[Minimum SLA],MATCH(G497,SLATable[Priority],0))),"YES","NO"),"")</f>
        <v/>
      </c>
      <c r="AJ497" t="str">
        <f>_xlfn.IFNA(IF(AE497 &lt; (INDEX(SLATable[Maximum SLA],MATCH(G497,SLATable[Priority],0))),"YES","NO"),"")</f>
        <v/>
      </c>
    </row>
    <row r="498" spans="26:36" ht="15" customHeight="1">
      <c r="Z498" s="76" t="e">
        <f t="shared" ca="1" si="52"/>
        <v>#N/A</v>
      </c>
      <c r="AA498" s="75" t="e">
        <f t="shared" ca="1" si="48"/>
        <v>#N/A</v>
      </c>
      <c r="AB498" s="76">
        <f t="shared" ca="1" si="53"/>
        <v>0</v>
      </c>
      <c r="AC498" s="75">
        <f t="shared" ca="1" si="49"/>
        <v>0</v>
      </c>
      <c r="AD498" s="76">
        <f t="shared" ca="1" si="54"/>
        <v>12388.425641550926</v>
      </c>
      <c r="AE498" s="76">
        <f t="shared" si="55"/>
        <v>0</v>
      </c>
      <c r="AF498" s="75">
        <f t="shared" si="50"/>
        <v>0</v>
      </c>
      <c r="AG498" s="75">
        <f t="shared" si="51"/>
        <v>0</v>
      </c>
      <c r="AH498" s="31" t="e" cm="1">
        <f t="array" aca="1" ref="AH498" ca="1">IF((AD498) &lt; (INDEX(ResponseSLA[#All],(MATCH((G498),ResponseSLA[Priority],0))+1,3)),"YES","No")</f>
        <v>#N/A</v>
      </c>
      <c r="AI498" s="31" t="str">
        <f>_xlfn.IFNA(IF(AE498 &lt; (INDEX(SLATable[Minimum SLA],MATCH(G498,SLATable[Priority],0))),"YES","NO"),"")</f>
        <v/>
      </c>
      <c r="AJ498" t="str">
        <f>_xlfn.IFNA(IF(AE498 &lt; (INDEX(SLATable[Maximum SLA],MATCH(G498,SLATable[Priority],0))),"YES","NO"),"")</f>
        <v/>
      </c>
    </row>
    <row r="499" spans="26:36" ht="15" customHeight="1">
      <c r="Z499" s="76" t="e">
        <f t="shared" ca="1" si="52"/>
        <v>#N/A</v>
      </c>
      <c r="AA499" s="75" t="e">
        <f t="shared" ca="1" si="48"/>
        <v>#N/A</v>
      </c>
      <c r="AB499" s="76">
        <f t="shared" ca="1" si="53"/>
        <v>0</v>
      </c>
      <c r="AC499" s="75">
        <f t="shared" ca="1" si="49"/>
        <v>0</v>
      </c>
      <c r="AD499" s="76">
        <f t="shared" ca="1" si="54"/>
        <v>12388.425641782411</v>
      </c>
      <c r="AE499" s="76">
        <f t="shared" si="55"/>
        <v>0</v>
      </c>
      <c r="AF499" s="75">
        <f t="shared" si="50"/>
        <v>0</v>
      </c>
      <c r="AG499" s="75">
        <f t="shared" si="51"/>
        <v>0</v>
      </c>
      <c r="AH499" s="31" t="e" cm="1">
        <f t="array" aca="1" ref="AH499" ca="1">IF((AD499) &lt; (INDEX(ResponseSLA[#All],(MATCH((G499),ResponseSLA[Priority],0))+1,3)),"YES","No")</f>
        <v>#N/A</v>
      </c>
      <c r="AI499" s="31" t="str">
        <f>_xlfn.IFNA(IF(AE499 &lt; (INDEX(SLATable[Minimum SLA],MATCH(G499,SLATable[Priority],0))),"YES","NO"),"")</f>
        <v/>
      </c>
      <c r="AJ499" t="str">
        <f>_xlfn.IFNA(IF(AE499 &lt; (INDEX(SLATable[Maximum SLA],MATCH(G499,SLATable[Priority],0))),"YES","NO"),"")</f>
        <v/>
      </c>
    </row>
    <row r="500" spans="26:36" ht="15" customHeight="1">
      <c r="Z500" s="76" t="e">
        <f t="shared" ca="1" si="52"/>
        <v>#N/A</v>
      </c>
      <c r="AA500" s="75" t="e">
        <f t="shared" ca="1" si="48"/>
        <v>#N/A</v>
      </c>
      <c r="AB500" s="76">
        <f t="shared" ca="1" si="53"/>
        <v>0</v>
      </c>
      <c r="AC500" s="75">
        <f t="shared" ca="1" si="49"/>
        <v>0</v>
      </c>
      <c r="AD500" s="76">
        <f t="shared" ca="1" si="54"/>
        <v>12388.425641550926</v>
      </c>
      <c r="AE500" s="76">
        <f t="shared" si="55"/>
        <v>0</v>
      </c>
      <c r="AF500" s="75">
        <f t="shared" si="50"/>
        <v>0</v>
      </c>
      <c r="AG500" s="75">
        <f t="shared" si="51"/>
        <v>0</v>
      </c>
      <c r="AH500" s="31" t="e" cm="1">
        <f t="array" aca="1" ref="AH500" ca="1">IF((AD500) &lt; (INDEX(ResponseSLA[#All],(MATCH((G500),ResponseSLA[Priority],0))+1,3)),"YES","No")</f>
        <v>#N/A</v>
      </c>
      <c r="AI500" s="31" t="str">
        <f>_xlfn.IFNA(IF(AE500 &lt; (INDEX(SLATable[Minimum SLA],MATCH(G500,SLATable[Priority],0))),"YES","NO"),"")</f>
        <v/>
      </c>
      <c r="AJ500" t="str">
        <f>_xlfn.IFNA(IF(AE500 &lt; (INDEX(SLATable[Maximum SLA],MATCH(G500,SLATable[Priority],0))),"YES","NO"),"")</f>
        <v/>
      </c>
    </row>
  </sheetData>
  <sheetProtection algorithmName="SHA-512" hashValue="WZQCHCNhd40fgxqCkF5O8UirLoDmHVtgvFleWFxtcndDqfppPWQtQCbSxnA8VOJXqjU6ngsl6N7aXeAO99XJjA==" saltValue="bBab5jtOsVhy678EbAK+iA==" spinCount="100000" sheet="1" objects="1" scenarios="1" autoFilter="0"/>
  <protectedRanges>
    <protectedRange algorithmName="SHA-512" hashValue="99OQ+VOyYeTgkyp5V2h7IJuhOY+ByGUUH4Kc0xKuZgn2w66Z/zb6NCagB6+bjIBmhadenmL7/H2PSKzd599e6Q==" saltValue="s8mGfn7WVHJZXEYeB6j8Yw==" spinCount="100000" sqref="U1 AB1:AJ1" name="Formula Cells"/>
  </protectedRanges>
  <conditionalFormatting sqref="E1">
    <cfRule type="duplicateValues" dxfId="6" priority="2"/>
  </conditionalFormatting>
  <conditionalFormatting sqref="E41:E1048576 E1:E39">
    <cfRule type="duplicateValues" dxfId="5" priority="1"/>
  </conditionalFormatting>
  <dataValidations count="13">
    <dataValidation type="list" allowBlank="1" showInputMessage="1" showErrorMessage="1" sqref="U1 T1:T1048576" xr:uid="{EEA6EA48-1A62-413B-82DA-3D80C1800759}">
      <formula1>SubCategory</formula1>
    </dataValidation>
    <dataValidation type="date" allowBlank="1" showInputMessage="1" showErrorMessage="1" sqref="O1:P5 N1 K1 L1:M2 K20:K494 L8:N8 L5:M6 K8:K18 L11:L18 L20:L21 L23:L494 M11:N26 M27 W28 M28:N28 M30:N494 M29" xr:uid="{B55E876A-80FB-45FC-974D-36DC17E9C3D2}">
      <formula1>36526</formula1>
      <formula2>73050</formula2>
    </dataValidation>
    <dataValidation allowBlank="1" showInputMessage="1" showErrorMessage="1" sqref="S1" xr:uid="{A76F2A24-94FA-4F00-BBE4-F5469F3620D3}"/>
    <dataValidation allowBlank="1" showInputMessage="1" showErrorMessage="1" errorTitle="Assigned to" error="dont type idiot" sqref="J1:J5" xr:uid="{9378BD63-1BFF-4F1F-8B20-9B9455A63951}"/>
    <dataValidation type="list" allowBlank="1" showInputMessage="1" showErrorMessage="1" sqref="U1:U1048576" xr:uid="{EAF525A4-ACE6-40BE-85C1-0A7D7BD1DD50}">
      <formula1>"Yes,No"</formula1>
    </dataValidation>
    <dataValidation type="list" allowBlank="1" showInputMessage="1" showErrorMessage="1" sqref="R1:R1048576" xr:uid="{309AA0F2-D775-44DA-BC0C-20199E768B0D}">
      <formula1>Resolution_List</formula1>
    </dataValidation>
    <dataValidation type="list" allowBlank="1" showInputMessage="1" showErrorMessage="1" sqref="F1:F1048576" xr:uid="{F4B9AFC6-4730-4770-A739-6617FD2BD5FA}">
      <formula1>Queue_List</formula1>
    </dataValidation>
    <dataValidation type="list" allowBlank="1" showInputMessage="1" showErrorMessage="1" sqref="D1:D36 D38:D1048576" xr:uid="{A4CE955D-B989-45DF-9F12-94EEE33A2F48}">
      <formula1>Type_List</formula1>
    </dataValidation>
    <dataValidation type="list" showInputMessage="1" showErrorMessage="1" errorTitle="Invalid Domain" error="Please select value only from dropdown" sqref="C1:C1048576" xr:uid="{AAFB8577-7523-48EA-AAFF-299287C40E2E}">
      <formula1>Domain_List</formula1>
    </dataValidation>
    <dataValidation type="list" allowBlank="1" showInputMessage="1" showErrorMessage="1" sqref="B1:B1048576" xr:uid="{6631336B-B499-4D27-A04F-A5D1DCDC5C91}">
      <formula1>OpCo_List</formula1>
    </dataValidation>
    <dataValidation type="list" allowBlank="1" showInputMessage="1" showErrorMessage="1" sqref="I1:I1048576" xr:uid="{5E2CAEFC-A720-468C-91C7-607E6DD665C3}">
      <formula1>Status_List</formula1>
    </dataValidation>
    <dataValidation type="list" showInputMessage="1" showErrorMessage="1" errorTitle="Invalid Entry" error="Please select a value in TYPE before entering Priority" sqref="G1:G36 G38:G1048576" xr:uid="{EFD9ED1B-E33C-4841-A50E-5704E09B309C}">
      <formula1>IF(D1="","",INDIRECT(D1&amp;"_PR"))</formula1>
    </dataValidation>
    <dataValidation type="list" allowBlank="1" showInputMessage="1" showErrorMessage="1" sqref="S2:S1048576" xr:uid="{85FD12DC-B6CE-4711-9A9E-BF143068BDD7}">
      <formula1>IF(D2="","",INDIRECT(D2))</formula1>
    </dataValidation>
  </dataValidations>
  <pageMargins left="0.7" right="0.7" top="0.75" bottom="0.75"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E1E85-CCA9-49D9-A30F-D30D79712FCD}">
  <sheetPr codeName="Sheet17"/>
  <dimension ref="A1:AJ500"/>
  <sheetViews>
    <sheetView topLeftCell="W1" zoomScale="70" zoomScaleNormal="70" workbookViewId="0">
      <pane ySplit="1" topLeftCell="A2" activePane="bottomLeft" state="frozen"/>
      <selection pane="bottomLeft" activeCell="Z2" sqref="Z2:AJ500"/>
    </sheetView>
  </sheetViews>
  <sheetFormatPr defaultColWidth="9.140625" defaultRowHeight="15" customHeight="1"/>
  <cols>
    <col min="1" max="1" width="6.42578125" style="45" customWidth="1"/>
    <col min="2" max="2" width="7.85546875" style="45" customWidth="1"/>
    <col min="3" max="3" width="10.42578125" style="45" customWidth="1"/>
    <col min="4" max="4" width="8.28515625" style="45" customWidth="1"/>
    <col min="5" max="5" width="12.140625" style="45" customWidth="1"/>
    <col min="6" max="6" width="13.7109375" style="45" customWidth="1"/>
    <col min="7" max="7" width="9" style="45" customWidth="1"/>
    <col min="8" max="8" width="16.85546875" style="45" customWidth="1"/>
    <col min="9" max="9" width="8.140625" style="45" customWidth="1"/>
    <col min="10" max="10" width="12.42578125" style="45" customWidth="1"/>
    <col min="11" max="11" width="20.140625" style="47" customWidth="1"/>
    <col min="12" max="12" width="16.42578125" style="47" customWidth="1"/>
    <col min="13" max="13" width="24.7109375" style="47" customWidth="1"/>
    <col min="14" max="14" width="23.42578125" style="47" customWidth="1"/>
    <col min="15" max="15" width="21.42578125" style="47" customWidth="1"/>
    <col min="16" max="16" width="18.42578125" style="47" customWidth="1"/>
    <col min="17" max="17" width="20.42578125" style="45" customWidth="1"/>
    <col min="18" max="18" width="16.140625" style="45" customWidth="1"/>
    <col min="19" max="19" width="19.42578125" style="45" customWidth="1"/>
    <col min="20" max="20" width="13.85546875" style="45" customWidth="1"/>
    <col min="21" max="21" width="18" style="45" customWidth="1"/>
    <col min="22" max="22" width="17.85546875" style="45" customWidth="1"/>
    <col min="23" max="23" width="15.42578125" style="45" customWidth="1"/>
    <col min="24" max="24" width="25" style="45" customWidth="1"/>
    <col min="25" max="25" width="10.42578125" style="45" customWidth="1"/>
    <col min="26" max="26" width="19.28515625" style="45" customWidth="1"/>
    <col min="27" max="27" width="16.42578125" style="45" customWidth="1"/>
    <col min="28" max="28" width="21.85546875" style="45" customWidth="1"/>
    <col min="29" max="29" width="19.85546875" style="45" customWidth="1"/>
    <col min="30" max="30" width="13.42578125" style="45" customWidth="1"/>
    <col min="31" max="31" width="14" style="45" customWidth="1"/>
    <col min="32" max="32" width="18.85546875" style="45" customWidth="1"/>
    <col min="33" max="33" width="21" style="45" customWidth="1"/>
    <col min="34" max="34" width="17.85546875" style="45" bestFit="1" customWidth="1"/>
    <col min="35" max="35" width="28.28515625" style="45" bestFit="1" customWidth="1"/>
    <col min="36" max="36" width="28.7109375" style="45" bestFit="1" customWidth="1"/>
    <col min="37" max="16384" width="9.140625" style="45"/>
  </cols>
  <sheetData>
    <row r="1" spans="1:36" s="44" customFormat="1">
      <c r="A1" s="43" t="s">
        <v>347</v>
      </c>
      <c r="B1" s="43" t="s">
        <v>2</v>
      </c>
      <c r="C1" s="43" t="s">
        <v>3</v>
      </c>
      <c r="D1" s="43" t="s">
        <v>253</v>
      </c>
      <c r="E1" s="43" t="s">
        <v>348</v>
      </c>
      <c r="F1" s="43" t="s">
        <v>1</v>
      </c>
      <c r="G1" s="43" t="s">
        <v>324</v>
      </c>
      <c r="H1" s="43" t="s">
        <v>349</v>
      </c>
      <c r="I1" s="43" t="s">
        <v>254</v>
      </c>
      <c r="J1" s="43" t="s">
        <v>350</v>
      </c>
      <c r="K1" s="43" t="s">
        <v>351</v>
      </c>
      <c r="L1" s="43" t="s">
        <v>352</v>
      </c>
      <c r="M1" s="43" t="s">
        <v>353</v>
      </c>
      <c r="N1" s="43" t="s">
        <v>354</v>
      </c>
      <c r="O1" s="43" t="s">
        <v>355</v>
      </c>
      <c r="P1" s="43" t="s">
        <v>356</v>
      </c>
      <c r="Q1" s="43" t="s">
        <v>357</v>
      </c>
      <c r="R1" s="43" t="s">
        <v>358</v>
      </c>
      <c r="S1" s="43" t="s">
        <v>359</v>
      </c>
      <c r="T1" s="43" t="s">
        <v>258</v>
      </c>
      <c r="U1" s="43" t="s">
        <v>360</v>
      </c>
      <c r="V1" s="43" t="s">
        <v>361</v>
      </c>
      <c r="W1" s="43" t="s">
        <v>362</v>
      </c>
      <c r="X1" s="43" t="s">
        <v>363</v>
      </c>
      <c r="Y1" s="43" t="s">
        <v>364</v>
      </c>
      <c r="Z1" s="32" t="s">
        <v>82</v>
      </c>
      <c r="AA1" s="32" t="s">
        <v>90</v>
      </c>
      <c r="AB1" s="32" t="s">
        <v>84</v>
      </c>
      <c r="AC1" s="32" t="s">
        <v>92</v>
      </c>
      <c r="AD1" s="32" t="s">
        <v>86</v>
      </c>
      <c r="AE1" s="32" t="s">
        <v>88</v>
      </c>
      <c r="AF1" s="32" t="s">
        <v>365</v>
      </c>
      <c r="AG1" s="32" t="s">
        <v>366</v>
      </c>
      <c r="AH1" s="32" t="s">
        <v>94</v>
      </c>
      <c r="AI1" s="32" t="s">
        <v>96</v>
      </c>
      <c r="AJ1" s="33" t="s">
        <v>98</v>
      </c>
    </row>
    <row r="2" spans="1:36" ht="15.95">
      <c r="E2" s="63"/>
      <c r="F2" s="53"/>
      <c r="H2" s="55"/>
      <c r="K2" s="71"/>
      <c r="N2" s="70"/>
      <c r="Z2" s="76" t="e">
        <f t="shared" ref="Z2" ca="1" si="0">IF(NOT(OR(G2=1,G2=2)),MAX(0,_xlfn.IFS(AND(K2&lt;&gt;"",N2&lt;&gt;""),((MAX(NETWORKDAYS(K2,N2,UKBankHolidays)-1,0))*(TIME(17,0,0)-TIME(8,0,0))+IF(NETWORKDAYS(N2,N2,UKBankHolidays)&gt;0,MEDIAN(TIME(8,0,0),MOD(N2,1),TIME(17,0,0)),TIME(8,0,0))-IF(NETWORKDAYS(K2,K2,UKBankHolidays)&gt;0,MEDIAN(TIME(8,0,0),MOD(K2,1),TIME(17,0,0)),TIME(8,0,0)))-IF(AND(O2&lt;&gt;"",P2&lt;&gt;""),((MAX(NETWORKDAYS(O2,P2,UKBankHolidays)-1,0))*(TIME(17,0,0)-TIME(8,0,0))+IF(NETWORKDAYS(P2,P2,UKBankHolidays)&gt;0,MEDIAN(TIME(8,0,0),MOD(P2,1),TIME(17,0,0)),TIME(8,0,0))-IF(NETWORKDAYS(O2,O2,UKBankHolidays)&gt;0,MEDIAN(TIME(8,0,0),MOD(O2,1),TIME(17,0,0)),TIME(8,0,0))),0),AND(K2&lt;&gt;"",N2=""),((MAX(NETWORKDAYS(K2,NOW(),UKBankHolidays)-1,0))*(TIME(17,0,0)-TIME(8,0,0))+IF(NETWORKDAYS(NOW(),NOW(),UKBankHolidays)&gt;0,MEDIAN(TIME(8,0,0),MOD(NOW(),1),TIME(17,0,0)),TIME(8,0,0))-IF(NETWORKDAYS(K2,K2,UKBankHolidays)&gt;0,MEDIAN(TIME(8,0,0),MOD(K2,1),TIME(17,0,0)),TIME(8,0,0))))),IF(N2="",NOW()-K2,N2-K2))</f>
        <v>#N/A</v>
      </c>
      <c r="AA2" s="75" t="e">
        <f t="shared" ref="AA2:AA256" ca="1" si="1">(Z2*24)/9</f>
        <v>#N/A</v>
      </c>
      <c r="AB2" s="76">
        <f t="shared" ref="AB2" ca="1" si="2">IF(NOT(OR(G2=1,G2=2)),MAX(0,_xlfn.IFS(AND(K2&lt;&gt;"",N2&lt;&gt;""),(((MAX(NETWORKDAYS(L2,N2,UKBankHolidays)-1,0))*(TIME(17,0,0)-TIME(8,0,0)))+IF(NETWORKDAYS(N2,N2,UKBankHolidays)&gt;0,MEDIAN(TIME(8,0,0),MOD(N2,1),TIME(17,0,0)),TIME(8,0,0))-IF(NETWORKDAYS(L2,L2,UKBankHolidays)&gt;0,MEDIAN(TIME(8,0,0),MOD(L2,1),TIME(17,0,0)),TIME(8,0,0)))-IF(AND(O2&lt;&gt;"",P2&lt;&gt;""),(((MAX(NETWORKDAYS(O2,P2,UKBankHolidays)-1,0))*(TIME(17,0,0)-TIME(8,0,0)))+IF(NETWORKDAYS(P2,P2,UKBankHolidays)&gt;0,MEDIAN(TIME(8,0,0),MOD(P2,1),TIME(17,0,0)),TIME(8,0,0))-IF(NETWORKDAYS(O2,O2,UKBankHolidays)&gt;0,MEDIAN(TIME(8,0,0),MOD(O2,1),TIME(17,0,0)),TIME(8,0,0))),0),AND(L2&lt;&gt;"",N2="",O2=""),(((MAX(NETWORKDAYS(L2,NOW(),UKBankHolidays)-1,0))*(TIME(17,0,0)-TIME(8,0,0)))+IF(NETWORKDAYS(NOW(),NOW(),UKBankHolidays)&gt;0,MEDIAN(TIME(8,0,0),MOD(NOW(),1),TIME(17,0,0)),TIME(8,0,0))-IF(NETWORKDAYS(L2,L2,UKBankHolidays)&gt;0,MEDIAN(TIME(8,0,0),MOD(L2,1),TIME(17,0,0)),TIME(8,0,0)))-IF(AND(O2&lt;&gt;"",P2&lt;&gt;""),(((MAX(NETWORKDAYS(O2,P2,UKBankHolidays)-1,0))*(TIME(17,0,0)-TIME(8,0,0)))+IF(NETWORKDAYS(P2,P2,UKBankHolidays)&gt;0,MEDIAN(TIME(8,0,0),MOD(P2,1),TIME(17,0,0)),TIME(8,0,0))-IF(NETWORKDAYS(O2,O2,UKBankHolidays)&gt;0,MEDIAN(TIME(8,0,0),MOD(O2,1),TIME(17,0,0)),TIME(8,0,0))),0),AND(L2&lt;&gt;"",N2="",P2="",O2&lt;&gt;""),(((MAX(NETWORKDAYS(L2,O2,UKBankHolidays)-1,0))*(TIME(17,0,0)-TIME(8,0,0)))+IF(NETWORKDAYS(O2,O2,UKBankHolidays)&gt;0,MEDIAN(TIME(8,0,0),MOD(O2,1),TIME(17,0,0)),TIME(8,0,0))-IF(NETWORKDAYS(L2,L2,UKBankHolidays)&gt;0,MEDIAN(TIME(8,0,0),MOD(L2,1),TIME(17,0,0)),TIME(8,0,0))),ISBLANK(K2),"0")),IF(ISBLANK(N2),NOW()-L2,N2-L2))</f>
        <v>0</v>
      </c>
      <c r="AC2" s="75">
        <f t="shared" ref="AC2:AC256" ca="1" si="3">(AB2*24)/9</f>
        <v>0</v>
      </c>
      <c r="AD2" s="76">
        <f t="shared" ref="AD2" ca="1" si="4">MAX(0,IF(NOT(OR(G2=1,G2=2)),IF(M2&lt;&gt;"",((MAX(NETWORKDAYS(L2,M2,UKBankHolidays)-1,0))*(TIME(17,0,0)-TIME(8,0,0))+IF(NETWORKDAYS(M2,M2,UKBankHolidays)&gt;0,MEDIAN(TIME(8,0,0),MOD(M2,1),TIME(17,0,0)),TIME(8,0,0))-MEDIAN(TIME(8,0,0),MOD(L2,1),TIME(17,0,0))),((MAX(NETWORKDAYS(L2,NOW(),UKBankHolidays)-1,0))*(TIME(17,0,0)-TIME(8,0,0))+IF(NETWORKDAYS(NOW(),NOW(),UKBankHolidays)&gt;0,MEDIAN(TIME(8,0,0),MOD(NOW(),1),TIME(17,0,0)),TIME(8,0,0))-MEDIAN(TIME(8,0,0),MOD(L2,1),TIME(17,0,0)))),IF(M2&lt;&gt;"",M2-L2,NOW()-L2)))</f>
        <v>12388.425641203703</v>
      </c>
      <c r="AE2" s="76">
        <f t="shared" ref="AE2" si="5">SUMIFS(AB:AB,E:E,E2)</f>
        <v>0</v>
      </c>
      <c r="AF2" s="75">
        <f t="shared" ref="AF2:AF256" si="6">(AE2*24)/9</f>
        <v>0</v>
      </c>
      <c r="AG2" s="75">
        <f t="shared" ref="AG2:AG256" si="7">AF2</f>
        <v>0</v>
      </c>
      <c r="AH2" s="31" t="e" cm="1">
        <f t="array" aca="1" ref="AH2" ca="1">IF((AD2) &lt; (INDEX(ResponseSLA[#All],(MATCH((G2),ResponseSLA[Priority],0))+1,3)),"YES","No")</f>
        <v>#N/A</v>
      </c>
      <c r="AI2" s="31" t="str">
        <f>_xlfn.IFNA(IF(AE2 &lt; (INDEX(SLATable[Minimum SLA],MATCH(G2,SLATable[Priority],0))),"YES","NO"),"")</f>
        <v/>
      </c>
      <c r="AJ2" t="str">
        <f>_xlfn.IFNA(IF(AE2 &lt; (INDEX(SLATable[Maximum SLA],MATCH(G2,SLATable[Priority],0))),"YES","NO"),"")</f>
        <v/>
      </c>
    </row>
    <row r="3" spans="1:36" ht="15.95">
      <c r="E3" s="69"/>
      <c r="H3" s="55"/>
      <c r="K3" s="70"/>
      <c r="N3" s="70"/>
      <c r="Z3" s="76" t="e">
        <f t="shared" ref="Z3:Z66" ca="1" si="8">IF(NOT(OR(G3=1,G3=2)),MAX(0,_xlfn.IFS(AND(K3&lt;&gt;"",N3&lt;&gt;""),((MAX(NETWORKDAYS(K3,N3,UKBankHolidays)-1,0))*(TIME(17,0,0)-TIME(8,0,0))+IF(NETWORKDAYS(N3,N3,UKBankHolidays)&gt;0,MEDIAN(TIME(8,0,0),MOD(N3,1),TIME(17,0,0)),TIME(8,0,0))-IF(NETWORKDAYS(K3,K3,UKBankHolidays)&gt;0,MEDIAN(TIME(8,0,0),MOD(K3,1),TIME(17,0,0)),TIME(8,0,0)))-IF(AND(O3&lt;&gt;"",P3&lt;&gt;""),((MAX(NETWORKDAYS(O3,P3,UKBankHolidays)-1,0))*(TIME(17,0,0)-TIME(8,0,0))+IF(NETWORKDAYS(P3,P3,UKBankHolidays)&gt;0,MEDIAN(TIME(8,0,0),MOD(P3,1),TIME(17,0,0)),TIME(8,0,0))-IF(NETWORKDAYS(O3,O3,UKBankHolidays)&gt;0,MEDIAN(TIME(8,0,0),MOD(O3,1),TIME(17,0,0)),TIME(8,0,0))),0),AND(K3&lt;&gt;"",N3=""),((MAX(NETWORKDAYS(K3,NOW(),UKBankHolidays)-1,0))*(TIME(17,0,0)-TIME(8,0,0))+IF(NETWORKDAYS(NOW(),NOW(),UKBankHolidays)&gt;0,MEDIAN(TIME(8,0,0),MOD(NOW(),1),TIME(17,0,0)),TIME(8,0,0))-IF(NETWORKDAYS(K3,K3,UKBankHolidays)&gt;0,MEDIAN(TIME(8,0,0),MOD(K3,1),TIME(17,0,0)),TIME(8,0,0))))),IF(N3="",NOW()-K3,N3-K3))</f>
        <v>#N/A</v>
      </c>
      <c r="AA3" s="75" t="e">
        <f t="shared" ca="1" si="1"/>
        <v>#N/A</v>
      </c>
      <c r="AB3" s="76">
        <f t="shared" ref="AB3:AB66" ca="1" si="9">IF(NOT(OR(G3=1,G3=2)),MAX(0,_xlfn.IFS(AND(K3&lt;&gt;"",N3&lt;&gt;""),(((MAX(NETWORKDAYS(L3,N3,UKBankHolidays)-1,0))*(TIME(17,0,0)-TIME(8,0,0)))+IF(NETWORKDAYS(N3,N3,UKBankHolidays)&gt;0,MEDIAN(TIME(8,0,0),MOD(N3,1),TIME(17,0,0)),TIME(8,0,0))-IF(NETWORKDAYS(L3,L3,UKBankHolidays)&gt;0,MEDIAN(TIME(8,0,0),MOD(L3,1),TIME(17,0,0)),TIME(8,0,0)))-IF(AND(O3&lt;&gt;"",P3&lt;&gt;""),(((MAX(NETWORKDAYS(O3,P3,UKBankHolidays)-1,0))*(TIME(17,0,0)-TIME(8,0,0)))+IF(NETWORKDAYS(P3,P3,UKBankHolidays)&gt;0,MEDIAN(TIME(8,0,0),MOD(P3,1),TIME(17,0,0)),TIME(8,0,0))-IF(NETWORKDAYS(O3,O3,UKBankHolidays)&gt;0,MEDIAN(TIME(8,0,0),MOD(O3,1),TIME(17,0,0)),TIME(8,0,0))),0),AND(L3&lt;&gt;"",N3="",O3=""),(((MAX(NETWORKDAYS(L3,NOW(),UKBankHolidays)-1,0))*(TIME(17,0,0)-TIME(8,0,0)))+IF(NETWORKDAYS(NOW(),NOW(),UKBankHolidays)&gt;0,MEDIAN(TIME(8,0,0),MOD(NOW(),1),TIME(17,0,0)),TIME(8,0,0))-IF(NETWORKDAYS(L3,L3,UKBankHolidays)&gt;0,MEDIAN(TIME(8,0,0),MOD(L3,1),TIME(17,0,0)),TIME(8,0,0)))-IF(AND(O3&lt;&gt;"",P3&lt;&gt;""),(((MAX(NETWORKDAYS(O3,P3,UKBankHolidays)-1,0))*(TIME(17,0,0)-TIME(8,0,0)))+IF(NETWORKDAYS(P3,P3,UKBankHolidays)&gt;0,MEDIAN(TIME(8,0,0),MOD(P3,1),TIME(17,0,0)),TIME(8,0,0))-IF(NETWORKDAYS(O3,O3,UKBankHolidays)&gt;0,MEDIAN(TIME(8,0,0),MOD(O3,1),TIME(17,0,0)),TIME(8,0,0))),0),AND(L3&lt;&gt;"",N3="",P3="",O3&lt;&gt;""),(((MAX(NETWORKDAYS(L3,O3,UKBankHolidays)-1,0))*(TIME(17,0,0)-TIME(8,0,0)))+IF(NETWORKDAYS(O3,O3,UKBankHolidays)&gt;0,MEDIAN(TIME(8,0,0),MOD(O3,1),TIME(17,0,0)),TIME(8,0,0))-IF(NETWORKDAYS(L3,L3,UKBankHolidays)&gt;0,MEDIAN(TIME(8,0,0),MOD(L3,1),TIME(17,0,0)),TIME(8,0,0))),ISBLANK(K3),"0")),IF(ISBLANK(N3),NOW()-L3,N3-L3))</f>
        <v>0</v>
      </c>
      <c r="AC3" s="75">
        <f t="shared" ca="1" si="3"/>
        <v>0</v>
      </c>
      <c r="AD3" s="76">
        <f t="shared" ref="AD3:AD66" ca="1" si="10">MAX(0,IF(NOT(OR(G3=1,G3=2)),IF(M3&lt;&gt;"",((MAX(NETWORKDAYS(L3,M3,UKBankHolidays)-1,0))*(TIME(17,0,0)-TIME(8,0,0))+IF(NETWORKDAYS(M3,M3,UKBankHolidays)&gt;0,MEDIAN(TIME(8,0,0),MOD(M3,1),TIME(17,0,0)),TIME(8,0,0))-MEDIAN(TIME(8,0,0),MOD(L3,1),TIME(17,0,0))),((MAX(NETWORKDAYS(L3,NOW(),UKBankHolidays)-1,0))*(TIME(17,0,0)-TIME(8,0,0))+IF(NETWORKDAYS(NOW(),NOW(),UKBankHolidays)&gt;0,MEDIAN(TIME(8,0,0),MOD(NOW(),1),TIME(17,0,0)),TIME(8,0,0))-MEDIAN(TIME(8,0,0),MOD(L3,1),TIME(17,0,0)))),IF(M3&lt;&gt;"",M3-L3,NOW()-L3)))</f>
        <v>12388.425641203703</v>
      </c>
      <c r="AE3" s="76">
        <f t="shared" ref="AE3:AE66" si="11">SUMIFS(AB:AB,E:E,E3)</f>
        <v>0</v>
      </c>
      <c r="AF3" s="75">
        <f t="shared" si="6"/>
        <v>0</v>
      </c>
      <c r="AG3" s="75">
        <f t="shared" si="7"/>
        <v>0</v>
      </c>
      <c r="AH3" s="31" t="e" cm="1">
        <f t="array" aca="1" ref="AH3" ca="1">IF((AD3) &lt; (INDEX(ResponseSLA[#All],(MATCH((G3),ResponseSLA[Priority],0))+1,3)),"YES","No")</f>
        <v>#N/A</v>
      </c>
      <c r="AI3" s="31" t="str">
        <f>_xlfn.IFNA(IF(AE3 &lt; (INDEX(SLATable[Minimum SLA],MATCH(G3,SLATable[Priority],0))),"YES","NO"),"")</f>
        <v/>
      </c>
      <c r="AJ3" t="str">
        <f>_xlfn.IFNA(IF(AE3 &lt; (INDEX(SLATable[Maximum SLA],MATCH(G3,SLATable[Priority],0))),"YES","NO"),"")</f>
        <v/>
      </c>
    </row>
    <row r="4" spans="1:36" ht="15.95">
      <c r="E4" s="69"/>
      <c r="H4" s="63"/>
      <c r="K4" s="71"/>
      <c r="L4" s="54"/>
      <c r="M4" s="54"/>
      <c r="N4" s="70"/>
      <c r="Z4" s="76" t="e">
        <f t="shared" ca="1" si="8"/>
        <v>#N/A</v>
      </c>
      <c r="AA4" s="75" t="e">
        <f t="shared" ca="1" si="1"/>
        <v>#N/A</v>
      </c>
      <c r="AB4" s="76">
        <f t="shared" ca="1" si="9"/>
        <v>0</v>
      </c>
      <c r="AC4" s="75">
        <f t="shared" ca="1" si="3"/>
        <v>0</v>
      </c>
      <c r="AD4" s="76">
        <f t="shared" ca="1" si="10"/>
        <v>12388.425641435188</v>
      </c>
      <c r="AE4" s="76">
        <f t="shared" si="11"/>
        <v>0</v>
      </c>
      <c r="AF4" s="75">
        <f t="shared" si="6"/>
        <v>0</v>
      </c>
      <c r="AG4" s="75">
        <f t="shared" si="7"/>
        <v>0</v>
      </c>
      <c r="AH4" s="31" t="e" cm="1">
        <f t="array" aca="1" ref="AH4" ca="1">IF((AD4) &lt; (INDEX(ResponseSLA[#All],(MATCH((G4),ResponseSLA[Priority],0))+1,3)),"YES","No")</f>
        <v>#N/A</v>
      </c>
      <c r="AI4" s="31" t="str">
        <f>_xlfn.IFNA(IF(AE4 &lt; (INDEX(SLATable[Minimum SLA],MATCH(G4,SLATable[Priority],0))),"YES","NO"),"")</f>
        <v/>
      </c>
      <c r="AJ4" t="str">
        <f>_xlfn.IFNA(IF(AE4 &lt; (INDEX(SLATable[Maximum SLA],MATCH(G4,SLATable[Priority],0))),"YES","NO"),"")</f>
        <v/>
      </c>
    </row>
    <row r="5" spans="1:36" ht="15.95">
      <c r="E5" s="69"/>
      <c r="H5" s="63"/>
      <c r="K5" s="70"/>
      <c r="N5" s="70"/>
      <c r="Z5" s="76" t="e">
        <f t="shared" ca="1" si="8"/>
        <v>#N/A</v>
      </c>
      <c r="AA5" s="75" t="e">
        <f t="shared" ca="1" si="1"/>
        <v>#N/A</v>
      </c>
      <c r="AB5" s="76">
        <f t="shared" ca="1" si="9"/>
        <v>0</v>
      </c>
      <c r="AC5" s="75">
        <f t="shared" ca="1" si="3"/>
        <v>0</v>
      </c>
      <c r="AD5" s="76">
        <f t="shared" ca="1" si="10"/>
        <v>12388.425641203703</v>
      </c>
      <c r="AE5" s="76">
        <f t="shared" si="11"/>
        <v>0</v>
      </c>
      <c r="AF5" s="75">
        <f t="shared" si="6"/>
        <v>0</v>
      </c>
      <c r="AG5" s="75">
        <f t="shared" si="7"/>
        <v>0</v>
      </c>
      <c r="AH5" s="31" t="e" cm="1">
        <f t="array" aca="1" ref="AH5" ca="1">IF((AD5) &lt; (INDEX(ResponseSLA[#All],(MATCH((G5),ResponseSLA[Priority],0))+1,3)),"YES","No")</f>
        <v>#N/A</v>
      </c>
      <c r="AI5" s="31" t="str">
        <f>_xlfn.IFNA(IF(AE5 &lt; (INDEX(SLATable[Minimum SLA],MATCH(G5,SLATable[Priority],0))),"YES","NO"),"")</f>
        <v/>
      </c>
      <c r="AJ5" t="str">
        <f>_xlfn.IFNA(IF(AE5 &lt; (INDEX(SLATable[Maximum SLA],MATCH(G5,SLATable[Priority],0))),"YES","NO"),"")</f>
        <v/>
      </c>
    </row>
    <row r="6" spans="1:36" ht="15" customHeight="1">
      <c r="E6" s="69"/>
      <c r="H6" s="63"/>
      <c r="K6" s="70"/>
      <c r="N6" s="70"/>
      <c r="Z6" s="76" t="e">
        <f t="shared" ca="1" si="8"/>
        <v>#N/A</v>
      </c>
      <c r="AA6" s="75" t="e">
        <f t="shared" ca="1" si="1"/>
        <v>#N/A</v>
      </c>
      <c r="AB6" s="76">
        <f t="shared" ca="1" si="9"/>
        <v>0</v>
      </c>
      <c r="AC6" s="75">
        <f t="shared" ca="1" si="3"/>
        <v>0</v>
      </c>
      <c r="AD6" s="76">
        <f t="shared" ca="1" si="10"/>
        <v>12388.425641203703</v>
      </c>
      <c r="AE6" s="76">
        <f t="shared" si="11"/>
        <v>0</v>
      </c>
      <c r="AF6" s="75">
        <f t="shared" si="6"/>
        <v>0</v>
      </c>
      <c r="AG6" s="75">
        <f t="shared" si="7"/>
        <v>0</v>
      </c>
      <c r="AH6" s="31" t="e" cm="1">
        <f t="array" aca="1" ref="AH6" ca="1">IF((AD6) &lt; (INDEX(ResponseSLA[#All],(MATCH((G6),ResponseSLA[Priority],0))+1,3)),"YES","No")</f>
        <v>#N/A</v>
      </c>
      <c r="AI6" s="31" t="str">
        <f>_xlfn.IFNA(IF(AE6 &lt; (INDEX(SLATable[Minimum SLA],MATCH(G6,SLATable[Priority],0))),"YES","NO"),"")</f>
        <v/>
      </c>
      <c r="AJ6" t="str">
        <f>_xlfn.IFNA(IF(AE6 &lt; (INDEX(SLATable[Maximum SLA],MATCH(G6,SLATable[Priority],0))),"YES","NO"),"")</f>
        <v/>
      </c>
    </row>
    <row r="7" spans="1:36" ht="15" customHeight="1">
      <c r="K7" s="71"/>
      <c r="L7" s="54"/>
      <c r="M7" s="54"/>
      <c r="N7" s="70"/>
      <c r="Z7" s="76" t="e">
        <f t="shared" ca="1" si="8"/>
        <v>#N/A</v>
      </c>
      <c r="AA7" s="75" t="e">
        <f t="shared" ca="1" si="1"/>
        <v>#N/A</v>
      </c>
      <c r="AB7" s="76">
        <f t="shared" ca="1" si="9"/>
        <v>0</v>
      </c>
      <c r="AC7" s="75">
        <f t="shared" ca="1" si="3"/>
        <v>0</v>
      </c>
      <c r="AD7" s="76">
        <f t="shared" ca="1" si="10"/>
        <v>12388.425641435188</v>
      </c>
      <c r="AE7" s="76">
        <f t="shared" si="11"/>
        <v>0</v>
      </c>
      <c r="AF7" s="75">
        <f t="shared" si="6"/>
        <v>0</v>
      </c>
      <c r="AG7" s="75">
        <f t="shared" si="7"/>
        <v>0</v>
      </c>
      <c r="AH7" s="31" t="e" cm="1">
        <f t="array" aca="1" ref="AH7" ca="1">IF((AD7) &lt; (INDEX(ResponseSLA[#All],(MATCH((G7),ResponseSLA[Priority],0))+1,3)),"YES","No")</f>
        <v>#N/A</v>
      </c>
      <c r="AI7" s="31" t="str">
        <f>_xlfn.IFNA(IF(AE7 &lt; (INDEX(SLATable[Minimum SLA],MATCH(G7,SLATable[Priority],0))),"YES","NO"),"")</f>
        <v/>
      </c>
      <c r="AJ7" t="str">
        <f>_xlfn.IFNA(IF(AE7 &lt; (INDEX(SLATable[Maximum SLA],MATCH(G7,SLATable[Priority],0))),"YES","NO"),"")</f>
        <v/>
      </c>
    </row>
    <row r="8" spans="1:36" ht="15" customHeight="1">
      <c r="Z8" s="76" t="e">
        <f t="shared" ca="1" si="8"/>
        <v>#N/A</v>
      </c>
      <c r="AA8" s="75" t="e">
        <f t="shared" ca="1" si="1"/>
        <v>#N/A</v>
      </c>
      <c r="AB8" s="76">
        <f t="shared" ca="1" si="9"/>
        <v>0</v>
      </c>
      <c r="AC8" s="75">
        <f t="shared" ca="1" si="3"/>
        <v>0</v>
      </c>
      <c r="AD8" s="76">
        <f t="shared" ca="1" si="10"/>
        <v>12388.425641203703</v>
      </c>
      <c r="AE8" s="76">
        <f t="shared" si="11"/>
        <v>0</v>
      </c>
      <c r="AF8" s="75">
        <f t="shared" si="6"/>
        <v>0</v>
      </c>
      <c r="AG8" s="75">
        <f t="shared" si="7"/>
        <v>0</v>
      </c>
      <c r="AH8" s="31" t="e" cm="1">
        <f t="array" aca="1" ref="AH8" ca="1">IF((AD8) &lt; (INDEX(ResponseSLA[#All],(MATCH((G8),ResponseSLA[Priority],0))+1,3)),"YES","No")</f>
        <v>#N/A</v>
      </c>
      <c r="AI8" s="31" t="str">
        <f>_xlfn.IFNA(IF(AE8 &lt; (INDEX(SLATable[Minimum SLA],MATCH(G8,SLATable[Priority],0))),"YES","NO"),"")</f>
        <v/>
      </c>
      <c r="AJ8" t="str">
        <f>_xlfn.IFNA(IF(AE8 &lt; (INDEX(SLATable[Maximum SLA],MATCH(G8,SLATable[Priority],0))),"YES","NO"),"")</f>
        <v/>
      </c>
    </row>
    <row r="9" spans="1:36" ht="15" customHeight="1">
      <c r="L9" s="52"/>
      <c r="M9" s="52"/>
      <c r="N9" s="52"/>
      <c r="Z9" s="76" t="e">
        <f t="shared" ca="1" si="8"/>
        <v>#N/A</v>
      </c>
      <c r="AA9" s="75" t="e">
        <f t="shared" ca="1" si="1"/>
        <v>#N/A</v>
      </c>
      <c r="AB9" s="76">
        <f t="shared" ca="1" si="9"/>
        <v>0</v>
      </c>
      <c r="AC9" s="75">
        <f t="shared" ca="1" si="3"/>
        <v>0</v>
      </c>
      <c r="AD9" s="76">
        <f t="shared" ca="1" si="10"/>
        <v>12388.425641203703</v>
      </c>
      <c r="AE9" s="76">
        <f t="shared" si="11"/>
        <v>0</v>
      </c>
      <c r="AF9" s="75">
        <f t="shared" si="6"/>
        <v>0</v>
      </c>
      <c r="AG9" s="75">
        <f t="shared" si="7"/>
        <v>0</v>
      </c>
      <c r="AH9" s="31" t="e" cm="1">
        <f t="array" aca="1" ref="AH9" ca="1">IF((AD9) &lt; (INDEX(ResponseSLA[#All],(MATCH((G9),ResponseSLA[Priority],0))+1,3)),"YES","No")</f>
        <v>#N/A</v>
      </c>
      <c r="AI9" s="31" t="str">
        <f>_xlfn.IFNA(IF(AE9 &lt; (INDEX(SLATable[Minimum SLA],MATCH(G9,SLATable[Priority],0))),"YES","NO"),"")</f>
        <v/>
      </c>
      <c r="AJ9" t="str">
        <f>_xlfn.IFNA(IF(AE9 &lt; (INDEX(SLATable[Maximum SLA],MATCH(G9,SLATable[Priority],0))),"YES","NO"),"")</f>
        <v/>
      </c>
    </row>
    <row r="10" spans="1:36" ht="15" customHeight="1">
      <c r="L10" s="52"/>
      <c r="M10" s="52"/>
      <c r="N10" s="52"/>
      <c r="Z10" s="76" t="e">
        <f t="shared" ca="1" si="8"/>
        <v>#N/A</v>
      </c>
      <c r="AA10" s="75" t="e">
        <f t="shared" ca="1" si="1"/>
        <v>#N/A</v>
      </c>
      <c r="AB10" s="76">
        <f t="shared" ca="1" si="9"/>
        <v>0</v>
      </c>
      <c r="AC10" s="75">
        <f t="shared" ca="1" si="3"/>
        <v>0</v>
      </c>
      <c r="AD10" s="76">
        <f t="shared" ca="1" si="10"/>
        <v>12388.425641435188</v>
      </c>
      <c r="AE10" s="76">
        <f t="shared" si="11"/>
        <v>0</v>
      </c>
      <c r="AF10" s="75">
        <f t="shared" si="6"/>
        <v>0</v>
      </c>
      <c r="AG10" s="75">
        <f t="shared" si="7"/>
        <v>0</v>
      </c>
      <c r="AH10" s="31" t="e" cm="1">
        <f t="array" aca="1" ref="AH10" ca="1">IF((AD10) &lt; (INDEX(ResponseSLA[#All],(MATCH((G10),ResponseSLA[Priority],0))+1,3)),"YES","No")</f>
        <v>#N/A</v>
      </c>
      <c r="AI10" s="31" t="str">
        <f>_xlfn.IFNA(IF(AE10 &lt; (INDEX(SLATable[Minimum SLA],MATCH(G10,SLATable[Priority],0))),"YES","NO"),"")</f>
        <v/>
      </c>
      <c r="AJ10" t="str">
        <f>_xlfn.IFNA(IF(AE10 &lt; (INDEX(SLATable[Maximum SLA],MATCH(G10,SLATable[Priority],0))),"YES","NO"),"")</f>
        <v/>
      </c>
    </row>
    <row r="11" spans="1:36" ht="15" customHeight="1">
      <c r="Z11" s="76" t="e">
        <f t="shared" ca="1" si="8"/>
        <v>#N/A</v>
      </c>
      <c r="AA11" s="75" t="e">
        <f t="shared" ca="1" si="1"/>
        <v>#N/A</v>
      </c>
      <c r="AB11" s="76">
        <f t="shared" ca="1" si="9"/>
        <v>0</v>
      </c>
      <c r="AC11" s="75">
        <f t="shared" ca="1" si="3"/>
        <v>0</v>
      </c>
      <c r="AD11" s="76">
        <f t="shared" ca="1" si="10"/>
        <v>12388.425641203703</v>
      </c>
      <c r="AE11" s="76">
        <f t="shared" si="11"/>
        <v>0</v>
      </c>
      <c r="AF11" s="75">
        <f t="shared" si="6"/>
        <v>0</v>
      </c>
      <c r="AG11" s="75">
        <f t="shared" si="7"/>
        <v>0</v>
      </c>
      <c r="AH11" s="31" t="e" cm="1">
        <f t="array" aca="1" ref="AH11" ca="1">IF((AD11) &lt; (INDEX(ResponseSLA[#All],(MATCH((G11),ResponseSLA[Priority],0))+1,3)),"YES","No")</f>
        <v>#N/A</v>
      </c>
      <c r="AI11" s="31" t="str">
        <f>_xlfn.IFNA(IF(AE11 &lt; (INDEX(SLATable[Minimum SLA],MATCH(G11,SLATable[Priority],0))),"YES","NO"),"")</f>
        <v/>
      </c>
      <c r="AJ11" t="str">
        <f>_xlfn.IFNA(IF(AE11 &lt; (INDEX(SLATable[Maximum SLA],MATCH(G11,SLATable[Priority],0))),"YES","NO"),"")</f>
        <v/>
      </c>
    </row>
    <row r="12" spans="1:36" ht="15" customHeight="1">
      <c r="Z12" s="76" t="e">
        <f t="shared" ca="1" si="8"/>
        <v>#N/A</v>
      </c>
      <c r="AA12" s="75" t="e">
        <f t="shared" ca="1" si="1"/>
        <v>#N/A</v>
      </c>
      <c r="AB12" s="76">
        <f t="shared" ca="1" si="9"/>
        <v>0</v>
      </c>
      <c r="AC12" s="75">
        <f t="shared" ca="1" si="3"/>
        <v>0</v>
      </c>
      <c r="AD12" s="76">
        <f t="shared" ca="1" si="10"/>
        <v>12388.425641203703</v>
      </c>
      <c r="AE12" s="76">
        <f t="shared" si="11"/>
        <v>0</v>
      </c>
      <c r="AF12" s="75">
        <f t="shared" si="6"/>
        <v>0</v>
      </c>
      <c r="AG12" s="75">
        <f t="shared" si="7"/>
        <v>0</v>
      </c>
      <c r="AH12" s="31" t="e" cm="1">
        <f t="array" aca="1" ref="AH12" ca="1">IF((AD12) &lt; (INDEX(ResponseSLA[#All],(MATCH((G12),ResponseSLA[Priority],0))+1,3)),"YES","No")</f>
        <v>#N/A</v>
      </c>
      <c r="AI12" s="31" t="str">
        <f>_xlfn.IFNA(IF(AE12 &lt; (INDEX(SLATable[Minimum SLA],MATCH(G12,SLATable[Priority],0))),"YES","NO"),"")</f>
        <v/>
      </c>
      <c r="AJ12" t="str">
        <f>_xlfn.IFNA(IF(AE12 &lt; (INDEX(SLATable[Maximum SLA],MATCH(G12,SLATable[Priority],0))),"YES","NO"),"")</f>
        <v/>
      </c>
    </row>
    <row r="13" spans="1:36" ht="15" customHeight="1">
      <c r="Z13" s="76" t="e">
        <f t="shared" ca="1" si="8"/>
        <v>#N/A</v>
      </c>
      <c r="AA13" s="75" t="e">
        <f t="shared" ca="1" si="1"/>
        <v>#N/A</v>
      </c>
      <c r="AB13" s="76">
        <f t="shared" ca="1" si="9"/>
        <v>0</v>
      </c>
      <c r="AC13" s="75">
        <f t="shared" ca="1" si="3"/>
        <v>0</v>
      </c>
      <c r="AD13" s="76">
        <f t="shared" ca="1" si="10"/>
        <v>12388.425641435188</v>
      </c>
      <c r="AE13" s="76">
        <f t="shared" si="11"/>
        <v>0</v>
      </c>
      <c r="AF13" s="75">
        <f t="shared" si="6"/>
        <v>0</v>
      </c>
      <c r="AG13" s="75">
        <f t="shared" si="7"/>
        <v>0</v>
      </c>
      <c r="AH13" s="31" t="e" cm="1">
        <f t="array" aca="1" ref="AH13" ca="1">IF((AD13) &lt; (INDEX(ResponseSLA[#All],(MATCH((G13),ResponseSLA[Priority],0))+1,3)),"YES","No")</f>
        <v>#N/A</v>
      </c>
      <c r="AI13" s="31" t="str">
        <f>_xlfn.IFNA(IF(AE13 &lt; (INDEX(SLATable[Minimum SLA],MATCH(G13,SLATable[Priority],0))),"YES","NO"),"")</f>
        <v/>
      </c>
      <c r="AJ13" t="str">
        <f>_xlfn.IFNA(IF(AE13 &lt; (INDEX(SLATable[Maximum SLA],MATCH(G13,SLATable[Priority],0))),"YES","NO"),"")</f>
        <v/>
      </c>
    </row>
    <row r="14" spans="1:36" ht="15" customHeight="1">
      <c r="Z14" s="76" t="e">
        <f t="shared" ca="1" si="8"/>
        <v>#N/A</v>
      </c>
      <c r="AA14" s="75" t="e">
        <f t="shared" ca="1" si="1"/>
        <v>#N/A</v>
      </c>
      <c r="AB14" s="76">
        <f t="shared" ca="1" si="9"/>
        <v>0</v>
      </c>
      <c r="AC14" s="75">
        <f t="shared" ca="1" si="3"/>
        <v>0</v>
      </c>
      <c r="AD14" s="76">
        <f t="shared" ca="1" si="10"/>
        <v>12388.425641203703</v>
      </c>
      <c r="AE14" s="76">
        <f t="shared" si="11"/>
        <v>0</v>
      </c>
      <c r="AF14" s="75">
        <f t="shared" si="6"/>
        <v>0</v>
      </c>
      <c r="AG14" s="75">
        <f t="shared" si="7"/>
        <v>0</v>
      </c>
      <c r="AH14" s="31" t="e" cm="1">
        <f t="array" aca="1" ref="AH14" ca="1">IF((AD14) &lt; (INDEX(ResponseSLA[#All],(MATCH((G14),ResponseSLA[Priority],0))+1,3)),"YES","No")</f>
        <v>#N/A</v>
      </c>
      <c r="AI14" s="31" t="str">
        <f>_xlfn.IFNA(IF(AE14 &lt; (INDEX(SLATable[Minimum SLA],MATCH(G14,SLATable[Priority],0))),"YES","NO"),"")</f>
        <v/>
      </c>
      <c r="AJ14" t="str">
        <f>_xlfn.IFNA(IF(AE14 &lt; (INDEX(SLATable[Maximum SLA],MATCH(G14,SLATable[Priority],0))),"YES","NO"),"")</f>
        <v/>
      </c>
    </row>
    <row r="15" spans="1:36" ht="15" customHeight="1">
      <c r="Z15" s="76" t="e">
        <f t="shared" ca="1" si="8"/>
        <v>#N/A</v>
      </c>
      <c r="AA15" s="75" t="e">
        <f t="shared" ca="1" si="1"/>
        <v>#N/A</v>
      </c>
      <c r="AB15" s="76">
        <f t="shared" ca="1" si="9"/>
        <v>0</v>
      </c>
      <c r="AC15" s="75">
        <f t="shared" ca="1" si="3"/>
        <v>0</v>
      </c>
      <c r="AD15" s="76">
        <f t="shared" ca="1" si="10"/>
        <v>12388.425641203703</v>
      </c>
      <c r="AE15" s="76">
        <f t="shared" si="11"/>
        <v>0</v>
      </c>
      <c r="AF15" s="75">
        <f t="shared" si="6"/>
        <v>0</v>
      </c>
      <c r="AG15" s="75">
        <f t="shared" si="7"/>
        <v>0</v>
      </c>
      <c r="AH15" s="31" t="e" cm="1">
        <f t="array" aca="1" ref="AH15" ca="1">IF((AD15) &lt; (INDEX(ResponseSLA[#All],(MATCH((G15),ResponseSLA[Priority],0))+1,3)),"YES","No")</f>
        <v>#N/A</v>
      </c>
      <c r="AI15" s="31" t="str">
        <f>_xlfn.IFNA(IF(AE15 &lt; (INDEX(SLATable[Minimum SLA],MATCH(G15,SLATable[Priority],0))),"YES","NO"),"")</f>
        <v/>
      </c>
      <c r="AJ15" t="str">
        <f>_xlfn.IFNA(IF(AE15 &lt; (INDEX(SLATable[Maximum SLA],MATCH(G15,SLATable[Priority],0))),"YES","NO"),"")</f>
        <v/>
      </c>
    </row>
    <row r="16" spans="1:36" ht="15" customHeight="1">
      <c r="H16" s="46"/>
      <c r="Z16" s="76" t="e">
        <f t="shared" ca="1" si="8"/>
        <v>#N/A</v>
      </c>
      <c r="AA16" s="75" t="e">
        <f t="shared" ca="1" si="1"/>
        <v>#N/A</v>
      </c>
      <c r="AB16" s="76">
        <f t="shared" ca="1" si="9"/>
        <v>0</v>
      </c>
      <c r="AC16" s="75">
        <f t="shared" ca="1" si="3"/>
        <v>0</v>
      </c>
      <c r="AD16" s="76">
        <f t="shared" ca="1" si="10"/>
        <v>12388.425641435188</v>
      </c>
      <c r="AE16" s="76">
        <f t="shared" si="11"/>
        <v>0</v>
      </c>
      <c r="AF16" s="75">
        <f t="shared" si="6"/>
        <v>0</v>
      </c>
      <c r="AG16" s="75">
        <f t="shared" si="7"/>
        <v>0</v>
      </c>
      <c r="AH16" s="31" t="e" cm="1">
        <f t="array" aca="1" ref="AH16" ca="1">IF((AD16) &lt; (INDEX(ResponseSLA[#All],(MATCH((G16),ResponseSLA[Priority],0))+1,3)),"YES","No")</f>
        <v>#N/A</v>
      </c>
      <c r="AI16" s="31" t="str">
        <f>_xlfn.IFNA(IF(AE16 &lt; (INDEX(SLATable[Minimum SLA],MATCH(G16,SLATable[Priority],0))),"YES","NO"),"")</f>
        <v/>
      </c>
      <c r="AJ16" t="str">
        <f>_xlfn.IFNA(IF(AE16 &lt; (INDEX(SLATable[Maximum SLA],MATCH(G16,SLATable[Priority],0))),"YES","NO"),"")</f>
        <v/>
      </c>
    </row>
    <row r="17" spans="26:36" ht="15" customHeight="1">
      <c r="Z17" s="76" t="e">
        <f t="shared" ca="1" si="8"/>
        <v>#N/A</v>
      </c>
      <c r="AA17" s="75" t="e">
        <f t="shared" ca="1" si="1"/>
        <v>#N/A</v>
      </c>
      <c r="AB17" s="76">
        <f t="shared" ca="1" si="9"/>
        <v>0</v>
      </c>
      <c r="AC17" s="75">
        <f t="shared" ca="1" si="3"/>
        <v>0</v>
      </c>
      <c r="AD17" s="76">
        <f t="shared" ca="1" si="10"/>
        <v>12388.425641203703</v>
      </c>
      <c r="AE17" s="76">
        <f t="shared" si="11"/>
        <v>0</v>
      </c>
      <c r="AF17" s="75">
        <f t="shared" si="6"/>
        <v>0</v>
      </c>
      <c r="AG17" s="75">
        <f t="shared" si="7"/>
        <v>0</v>
      </c>
      <c r="AH17" s="31" t="e" cm="1">
        <f t="array" aca="1" ref="AH17" ca="1">IF((AD17) &lt; (INDEX(ResponseSLA[#All],(MATCH((G17),ResponseSLA[Priority],0))+1,3)),"YES","No")</f>
        <v>#N/A</v>
      </c>
      <c r="AI17" s="31" t="str">
        <f>_xlfn.IFNA(IF(AE17 &lt; (INDEX(SLATable[Minimum SLA],MATCH(G17,SLATable[Priority],0))),"YES","NO"),"")</f>
        <v/>
      </c>
      <c r="AJ17" t="str">
        <f>_xlfn.IFNA(IF(AE17 &lt; (INDEX(SLATable[Maximum SLA],MATCH(G17,SLATable[Priority],0))),"YES","NO"),"")</f>
        <v/>
      </c>
    </row>
    <row r="18" spans="26:36" ht="15" customHeight="1">
      <c r="Z18" s="76" t="e">
        <f t="shared" ca="1" si="8"/>
        <v>#N/A</v>
      </c>
      <c r="AA18" s="75" t="e">
        <f t="shared" ca="1" si="1"/>
        <v>#N/A</v>
      </c>
      <c r="AB18" s="76">
        <f t="shared" ca="1" si="9"/>
        <v>0</v>
      </c>
      <c r="AC18" s="75">
        <f t="shared" ca="1" si="3"/>
        <v>0</v>
      </c>
      <c r="AD18" s="76">
        <f t="shared" ca="1" si="10"/>
        <v>12388.425641203703</v>
      </c>
      <c r="AE18" s="76">
        <f t="shared" si="11"/>
        <v>0</v>
      </c>
      <c r="AF18" s="75">
        <f t="shared" si="6"/>
        <v>0</v>
      </c>
      <c r="AG18" s="75">
        <f t="shared" si="7"/>
        <v>0</v>
      </c>
      <c r="AH18" s="31" t="e" cm="1">
        <f t="array" aca="1" ref="AH18" ca="1">IF((AD18) &lt; (INDEX(ResponseSLA[#All],(MATCH((G18),ResponseSLA[Priority],0))+1,3)),"YES","No")</f>
        <v>#N/A</v>
      </c>
      <c r="AI18" s="31" t="str">
        <f>_xlfn.IFNA(IF(AE18 &lt; (INDEX(SLATable[Minimum SLA],MATCH(G18,SLATable[Priority],0))),"YES","NO"),"")</f>
        <v/>
      </c>
      <c r="AJ18" t="str">
        <f>_xlfn.IFNA(IF(AE18 &lt; (INDEX(SLATable[Maximum SLA],MATCH(G18,SLATable[Priority],0))),"YES","NO"),"")</f>
        <v/>
      </c>
    </row>
    <row r="19" spans="26:36" ht="15" customHeight="1">
      <c r="Z19" s="76" t="e">
        <f t="shared" ca="1" si="8"/>
        <v>#N/A</v>
      </c>
      <c r="AA19" s="75" t="e">
        <f t="shared" ca="1" si="1"/>
        <v>#N/A</v>
      </c>
      <c r="AB19" s="76">
        <f t="shared" ca="1" si="9"/>
        <v>0</v>
      </c>
      <c r="AC19" s="75">
        <f t="shared" ca="1" si="3"/>
        <v>0</v>
      </c>
      <c r="AD19" s="76">
        <f t="shared" ca="1" si="10"/>
        <v>12388.425641435188</v>
      </c>
      <c r="AE19" s="76">
        <f t="shared" si="11"/>
        <v>0</v>
      </c>
      <c r="AF19" s="75">
        <f t="shared" si="6"/>
        <v>0</v>
      </c>
      <c r="AG19" s="75">
        <f t="shared" si="7"/>
        <v>0</v>
      </c>
      <c r="AH19" s="31" t="e" cm="1">
        <f t="array" aca="1" ref="AH19" ca="1">IF((AD19) &lt; (INDEX(ResponseSLA[#All],(MATCH((G19),ResponseSLA[Priority],0))+1,3)),"YES","No")</f>
        <v>#N/A</v>
      </c>
      <c r="AI19" s="31" t="str">
        <f>_xlfn.IFNA(IF(AE19 &lt; (INDEX(SLATable[Minimum SLA],MATCH(G19,SLATable[Priority],0))),"YES","NO"),"")</f>
        <v/>
      </c>
      <c r="AJ19" t="str">
        <f>_xlfn.IFNA(IF(AE19 &lt; (INDEX(SLATable[Maximum SLA],MATCH(G19,SLATable[Priority],0))),"YES","NO"),"")</f>
        <v/>
      </c>
    </row>
    <row r="20" spans="26:36" ht="15" customHeight="1">
      <c r="Z20" s="76" t="e">
        <f t="shared" ca="1" si="8"/>
        <v>#N/A</v>
      </c>
      <c r="AA20" s="75" t="e">
        <f t="shared" ca="1" si="1"/>
        <v>#N/A</v>
      </c>
      <c r="AB20" s="76">
        <f t="shared" ca="1" si="9"/>
        <v>0</v>
      </c>
      <c r="AC20" s="75">
        <f t="shared" ca="1" si="3"/>
        <v>0</v>
      </c>
      <c r="AD20" s="76">
        <f t="shared" ca="1" si="10"/>
        <v>12388.425641203703</v>
      </c>
      <c r="AE20" s="76">
        <f t="shared" si="11"/>
        <v>0</v>
      </c>
      <c r="AF20" s="75">
        <f t="shared" si="6"/>
        <v>0</v>
      </c>
      <c r="AG20" s="75">
        <f t="shared" si="7"/>
        <v>0</v>
      </c>
      <c r="AH20" s="31" t="e" cm="1">
        <f t="array" aca="1" ref="AH20" ca="1">IF((AD20) &lt; (INDEX(ResponseSLA[#All],(MATCH((G20),ResponseSLA[Priority],0))+1,3)),"YES","No")</f>
        <v>#N/A</v>
      </c>
      <c r="AI20" s="31" t="str">
        <f>_xlfn.IFNA(IF(AE20 &lt; (INDEX(SLATable[Minimum SLA],MATCH(G20,SLATable[Priority],0))),"YES","NO"),"")</f>
        <v/>
      </c>
      <c r="AJ20" t="str">
        <f>_xlfn.IFNA(IF(AE20 &lt; (INDEX(SLATable[Maximum SLA],MATCH(G20,SLATable[Priority],0))),"YES","NO"),"")</f>
        <v/>
      </c>
    </row>
    <row r="21" spans="26:36" ht="15" customHeight="1">
      <c r="Z21" s="76" t="e">
        <f t="shared" ca="1" si="8"/>
        <v>#N/A</v>
      </c>
      <c r="AA21" s="75" t="e">
        <f t="shared" ca="1" si="1"/>
        <v>#N/A</v>
      </c>
      <c r="AB21" s="76">
        <f t="shared" ca="1" si="9"/>
        <v>0</v>
      </c>
      <c r="AC21" s="75">
        <f t="shared" ca="1" si="3"/>
        <v>0</v>
      </c>
      <c r="AD21" s="76">
        <f t="shared" ca="1" si="10"/>
        <v>12388.425641203703</v>
      </c>
      <c r="AE21" s="76">
        <f t="shared" si="11"/>
        <v>0</v>
      </c>
      <c r="AF21" s="75">
        <f t="shared" si="6"/>
        <v>0</v>
      </c>
      <c r="AG21" s="75">
        <f t="shared" si="7"/>
        <v>0</v>
      </c>
      <c r="AH21" s="31" t="e" cm="1">
        <f t="array" aca="1" ref="AH21" ca="1">IF((AD21) &lt; (INDEX(ResponseSLA[#All],(MATCH((G21),ResponseSLA[Priority],0))+1,3)),"YES","No")</f>
        <v>#N/A</v>
      </c>
      <c r="AI21" s="31" t="str">
        <f>_xlfn.IFNA(IF(AE21 &lt; (INDEX(SLATable[Minimum SLA],MATCH(G21,SLATable[Priority],0))),"YES","NO"),"")</f>
        <v/>
      </c>
      <c r="AJ21" t="str">
        <f>_xlfn.IFNA(IF(AE21 &lt; (INDEX(SLATable[Maximum SLA],MATCH(G21,SLATable[Priority],0))),"YES","NO"),"")</f>
        <v/>
      </c>
    </row>
    <row r="22" spans="26:36" ht="15" customHeight="1">
      <c r="Z22" s="76" t="e">
        <f t="shared" ca="1" si="8"/>
        <v>#N/A</v>
      </c>
      <c r="AA22" s="75" t="e">
        <f t="shared" ca="1" si="1"/>
        <v>#N/A</v>
      </c>
      <c r="AB22" s="76">
        <f t="shared" ca="1" si="9"/>
        <v>0</v>
      </c>
      <c r="AC22" s="75">
        <f t="shared" ca="1" si="3"/>
        <v>0</v>
      </c>
      <c r="AD22" s="76">
        <f t="shared" ca="1" si="10"/>
        <v>12388.425641435188</v>
      </c>
      <c r="AE22" s="76">
        <f t="shared" si="11"/>
        <v>0</v>
      </c>
      <c r="AF22" s="75">
        <f t="shared" si="6"/>
        <v>0</v>
      </c>
      <c r="AG22" s="75">
        <f t="shared" si="7"/>
        <v>0</v>
      </c>
      <c r="AH22" s="31" t="e" cm="1">
        <f t="array" aca="1" ref="AH22" ca="1">IF((AD22) &lt; (INDEX(ResponseSLA[#All],(MATCH((G22),ResponseSLA[Priority],0))+1,3)),"YES","No")</f>
        <v>#N/A</v>
      </c>
      <c r="AI22" s="31" t="str">
        <f>_xlfn.IFNA(IF(AE22 &lt; (INDEX(SLATable[Minimum SLA],MATCH(G22,SLATable[Priority],0))),"YES","NO"),"")</f>
        <v/>
      </c>
      <c r="AJ22" t="str">
        <f>_xlfn.IFNA(IF(AE22 &lt; (INDEX(SLATable[Maximum SLA],MATCH(G22,SLATable[Priority],0))),"YES","NO"),"")</f>
        <v/>
      </c>
    </row>
    <row r="23" spans="26:36" ht="15" customHeight="1">
      <c r="Z23" s="76" t="e">
        <f t="shared" ca="1" si="8"/>
        <v>#N/A</v>
      </c>
      <c r="AA23" s="75" t="e">
        <f t="shared" ca="1" si="1"/>
        <v>#N/A</v>
      </c>
      <c r="AB23" s="76">
        <f t="shared" ca="1" si="9"/>
        <v>0</v>
      </c>
      <c r="AC23" s="75">
        <f t="shared" ca="1" si="3"/>
        <v>0</v>
      </c>
      <c r="AD23" s="76">
        <f t="shared" ca="1" si="10"/>
        <v>12388.425641203703</v>
      </c>
      <c r="AE23" s="76">
        <f t="shared" si="11"/>
        <v>0</v>
      </c>
      <c r="AF23" s="75">
        <f t="shared" si="6"/>
        <v>0</v>
      </c>
      <c r="AG23" s="75">
        <f t="shared" si="7"/>
        <v>0</v>
      </c>
      <c r="AH23" s="31" t="e" cm="1">
        <f t="array" aca="1" ref="AH23" ca="1">IF((AD23) &lt; (INDEX(ResponseSLA[#All],(MATCH((G23),ResponseSLA[Priority],0))+1,3)),"YES","No")</f>
        <v>#N/A</v>
      </c>
      <c r="AI23" s="31" t="str">
        <f>_xlfn.IFNA(IF(AE23 &lt; (INDEX(SLATable[Minimum SLA],MATCH(G23,SLATable[Priority],0))),"YES","NO"),"")</f>
        <v/>
      </c>
      <c r="AJ23" t="str">
        <f>_xlfn.IFNA(IF(AE23 &lt; (INDEX(SLATable[Maximum SLA],MATCH(G23,SLATable[Priority],0))),"YES","NO"),"")</f>
        <v/>
      </c>
    </row>
    <row r="24" spans="26:36" ht="15" customHeight="1">
      <c r="Z24" s="76" t="e">
        <f t="shared" ca="1" si="8"/>
        <v>#N/A</v>
      </c>
      <c r="AA24" s="75" t="e">
        <f t="shared" ca="1" si="1"/>
        <v>#N/A</v>
      </c>
      <c r="AB24" s="76">
        <f t="shared" ca="1" si="9"/>
        <v>0</v>
      </c>
      <c r="AC24" s="75">
        <f t="shared" ca="1" si="3"/>
        <v>0</v>
      </c>
      <c r="AD24" s="76">
        <f t="shared" ca="1" si="10"/>
        <v>12388.425641203703</v>
      </c>
      <c r="AE24" s="76">
        <f t="shared" si="11"/>
        <v>0</v>
      </c>
      <c r="AF24" s="75">
        <f t="shared" si="6"/>
        <v>0</v>
      </c>
      <c r="AG24" s="75">
        <f t="shared" si="7"/>
        <v>0</v>
      </c>
      <c r="AH24" s="31" t="e" cm="1">
        <f t="array" aca="1" ref="AH24" ca="1">IF((AD24) &lt; (INDEX(ResponseSLA[#All],(MATCH((G24),ResponseSLA[Priority],0))+1,3)),"YES","No")</f>
        <v>#N/A</v>
      </c>
      <c r="AI24" s="31" t="str">
        <f>_xlfn.IFNA(IF(AE24 &lt; (INDEX(SLATable[Minimum SLA],MATCH(G24,SLATable[Priority],0))),"YES","NO"),"")</f>
        <v/>
      </c>
      <c r="AJ24" t="str">
        <f>_xlfn.IFNA(IF(AE24 &lt; (INDEX(SLATable[Maximum SLA],MATCH(G24,SLATable[Priority],0))),"YES","NO"),"")</f>
        <v/>
      </c>
    </row>
    <row r="25" spans="26:36" ht="15" customHeight="1">
      <c r="Z25" s="76" t="e">
        <f t="shared" ca="1" si="8"/>
        <v>#N/A</v>
      </c>
      <c r="AA25" s="75" t="e">
        <f t="shared" ca="1" si="1"/>
        <v>#N/A</v>
      </c>
      <c r="AB25" s="76">
        <f t="shared" ca="1" si="9"/>
        <v>0</v>
      </c>
      <c r="AC25" s="75">
        <f t="shared" ca="1" si="3"/>
        <v>0</v>
      </c>
      <c r="AD25" s="76">
        <f t="shared" ca="1" si="10"/>
        <v>12388.425641435188</v>
      </c>
      <c r="AE25" s="76">
        <f t="shared" si="11"/>
        <v>0</v>
      </c>
      <c r="AF25" s="75">
        <f t="shared" si="6"/>
        <v>0</v>
      </c>
      <c r="AG25" s="75">
        <f t="shared" si="7"/>
        <v>0</v>
      </c>
      <c r="AH25" s="31" t="e" cm="1">
        <f t="array" aca="1" ref="AH25" ca="1">IF((AD25) &lt; (INDEX(ResponseSLA[#All],(MATCH((G25),ResponseSLA[Priority],0))+1,3)),"YES","No")</f>
        <v>#N/A</v>
      </c>
      <c r="AI25" s="31" t="str">
        <f>_xlfn.IFNA(IF(AE25 &lt; (INDEX(SLATable[Minimum SLA],MATCH(G25,SLATable[Priority],0))),"YES","NO"),"")</f>
        <v/>
      </c>
      <c r="AJ25" t="str">
        <f>_xlfn.IFNA(IF(AE25 &lt; (INDEX(SLATable[Maximum SLA],MATCH(G25,SLATable[Priority],0))),"YES","NO"),"")</f>
        <v/>
      </c>
    </row>
    <row r="26" spans="26:36" ht="15" customHeight="1">
      <c r="Z26" s="76" t="e">
        <f t="shared" ca="1" si="8"/>
        <v>#N/A</v>
      </c>
      <c r="AA26" s="75" t="e">
        <f t="shared" ca="1" si="1"/>
        <v>#N/A</v>
      </c>
      <c r="AB26" s="76">
        <f t="shared" ca="1" si="9"/>
        <v>0</v>
      </c>
      <c r="AC26" s="75">
        <f t="shared" ca="1" si="3"/>
        <v>0</v>
      </c>
      <c r="AD26" s="76">
        <f t="shared" ca="1" si="10"/>
        <v>12388.425641203703</v>
      </c>
      <c r="AE26" s="76">
        <f t="shared" si="11"/>
        <v>0</v>
      </c>
      <c r="AF26" s="75">
        <f t="shared" si="6"/>
        <v>0</v>
      </c>
      <c r="AG26" s="75">
        <f t="shared" si="7"/>
        <v>0</v>
      </c>
      <c r="AH26" s="31" t="e" cm="1">
        <f t="array" aca="1" ref="AH26" ca="1">IF((AD26) &lt; (INDEX(ResponseSLA[#All],(MATCH((G26),ResponseSLA[Priority],0))+1,3)),"YES","No")</f>
        <v>#N/A</v>
      </c>
      <c r="AI26" s="31" t="str">
        <f>_xlfn.IFNA(IF(AE26 &lt; (INDEX(SLATable[Minimum SLA],MATCH(G26,SLATable[Priority],0))),"YES","NO"),"")</f>
        <v/>
      </c>
      <c r="AJ26" t="str">
        <f>_xlfn.IFNA(IF(AE26 &lt; (INDEX(SLATable[Maximum SLA],MATCH(G26,SLATable[Priority],0))),"YES","NO"),"")</f>
        <v/>
      </c>
    </row>
    <row r="27" spans="26:36" ht="15" customHeight="1">
      <c r="Z27" s="76" t="e">
        <f t="shared" ca="1" si="8"/>
        <v>#N/A</v>
      </c>
      <c r="AA27" s="75" t="e">
        <f t="shared" ca="1" si="1"/>
        <v>#N/A</v>
      </c>
      <c r="AB27" s="76">
        <f t="shared" ca="1" si="9"/>
        <v>0</v>
      </c>
      <c r="AC27" s="75">
        <f t="shared" ca="1" si="3"/>
        <v>0</v>
      </c>
      <c r="AD27" s="76">
        <f t="shared" ca="1" si="10"/>
        <v>12388.425641203703</v>
      </c>
      <c r="AE27" s="76">
        <f t="shared" si="11"/>
        <v>0</v>
      </c>
      <c r="AF27" s="75">
        <f t="shared" si="6"/>
        <v>0</v>
      </c>
      <c r="AG27" s="75">
        <f t="shared" si="7"/>
        <v>0</v>
      </c>
      <c r="AH27" s="31" t="e" cm="1">
        <f t="array" aca="1" ref="AH27" ca="1">IF((AD27) &lt; (INDEX(ResponseSLA[#All],(MATCH((G27),ResponseSLA[Priority],0))+1,3)),"YES","No")</f>
        <v>#N/A</v>
      </c>
      <c r="AI27" s="31" t="str">
        <f>_xlfn.IFNA(IF(AE27 &lt; (INDEX(SLATable[Minimum SLA],MATCH(G27,SLATable[Priority],0))),"YES","NO"),"")</f>
        <v/>
      </c>
      <c r="AJ27" t="str">
        <f>_xlfn.IFNA(IF(AE27 &lt; (INDEX(SLATable[Maximum SLA],MATCH(G27,SLATable[Priority],0))),"YES","NO"),"")</f>
        <v/>
      </c>
    </row>
    <row r="28" spans="26:36" ht="15" customHeight="1">
      <c r="Z28" s="76" t="e">
        <f t="shared" ca="1" si="8"/>
        <v>#N/A</v>
      </c>
      <c r="AA28" s="75" t="e">
        <f t="shared" ca="1" si="1"/>
        <v>#N/A</v>
      </c>
      <c r="AB28" s="76">
        <f t="shared" ca="1" si="9"/>
        <v>0</v>
      </c>
      <c r="AC28" s="75">
        <f t="shared" ca="1" si="3"/>
        <v>0</v>
      </c>
      <c r="AD28" s="76">
        <f t="shared" ca="1" si="10"/>
        <v>12388.425641435188</v>
      </c>
      <c r="AE28" s="76">
        <f t="shared" si="11"/>
        <v>0</v>
      </c>
      <c r="AF28" s="75">
        <f t="shared" si="6"/>
        <v>0</v>
      </c>
      <c r="AG28" s="75">
        <f t="shared" si="7"/>
        <v>0</v>
      </c>
      <c r="AH28" s="31" t="e" cm="1">
        <f t="array" aca="1" ref="AH28" ca="1">IF((AD28) &lt; (INDEX(ResponseSLA[#All],(MATCH((G28),ResponseSLA[Priority],0))+1,3)),"YES","No")</f>
        <v>#N/A</v>
      </c>
      <c r="AI28" s="31" t="str">
        <f>_xlfn.IFNA(IF(AE28 &lt; (INDEX(SLATable[Minimum SLA],MATCH(G28,SLATable[Priority],0))),"YES","NO"),"")</f>
        <v/>
      </c>
      <c r="AJ28" t="str">
        <f>_xlfn.IFNA(IF(AE28 &lt; (INDEX(SLATable[Maximum SLA],MATCH(G28,SLATable[Priority],0))),"YES","NO"),"")</f>
        <v/>
      </c>
    </row>
    <row r="29" spans="26:36" ht="15" customHeight="1">
      <c r="Z29" s="76" t="e">
        <f t="shared" ca="1" si="8"/>
        <v>#N/A</v>
      </c>
      <c r="AA29" s="75" t="e">
        <f t="shared" ca="1" si="1"/>
        <v>#N/A</v>
      </c>
      <c r="AB29" s="76">
        <f t="shared" ca="1" si="9"/>
        <v>0</v>
      </c>
      <c r="AC29" s="75">
        <f t="shared" ca="1" si="3"/>
        <v>0</v>
      </c>
      <c r="AD29" s="76">
        <f t="shared" ca="1" si="10"/>
        <v>12388.425641203703</v>
      </c>
      <c r="AE29" s="76">
        <f t="shared" si="11"/>
        <v>0</v>
      </c>
      <c r="AF29" s="75">
        <f t="shared" si="6"/>
        <v>0</v>
      </c>
      <c r="AG29" s="75">
        <f t="shared" si="7"/>
        <v>0</v>
      </c>
      <c r="AH29" s="31" t="e" cm="1">
        <f t="array" aca="1" ref="AH29" ca="1">IF((AD29) &lt; (INDEX(ResponseSLA[#All],(MATCH((G29),ResponseSLA[Priority],0))+1,3)),"YES","No")</f>
        <v>#N/A</v>
      </c>
      <c r="AI29" s="31" t="str">
        <f>_xlfn.IFNA(IF(AE29 &lt; (INDEX(SLATable[Minimum SLA],MATCH(G29,SLATable[Priority],0))),"YES","NO"),"")</f>
        <v/>
      </c>
      <c r="AJ29" t="str">
        <f>_xlfn.IFNA(IF(AE29 &lt; (INDEX(SLATable[Maximum SLA],MATCH(G29,SLATable[Priority],0))),"YES","NO"),"")</f>
        <v/>
      </c>
    </row>
    <row r="30" spans="26:36" ht="15" customHeight="1">
      <c r="Z30" s="76" t="e">
        <f t="shared" ca="1" si="8"/>
        <v>#N/A</v>
      </c>
      <c r="AA30" s="75" t="e">
        <f t="shared" ca="1" si="1"/>
        <v>#N/A</v>
      </c>
      <c r="AB30" s="76">
        <f t="shared" ca="1" si="9"/>
        <v>0</v>
      </c>
      <c r="AC30" s="75">
        <f t="shared" ca="1" si="3"/>
        <v>0</v>
      </c>
      <c r="AD30" s="76">
        <f t="shared" ca="1" si="10"/>
        <v>12388.425641203703</v>
      </c>
      <c r="AE30" s="76">
        <f t="shared" si="11"/>
        <v>0</v>
      </c>
      <c r="AF30" s="75">
        <f t="shared" si="6"/>
        <v>0</v>
      </c>
      <c r="AG30" s="75">
        <f t="shared" si="7"/>
        <v>0</v>
      </c>
      <c r="AH30" s="31" t="e" cm="1">
        <f t="array" aca="1" ref="AH30" ca="1">IF((AD30) &lt; (INDEX(ResponseSLA[#All],(MATCH((G30),ResponseSLA[Priority],0))+1,3)),"YES","No")</f>
        <v>#N/A</v>
      </c>
      <c r="AI30" s="31" t="str">
        <f>_xlfn.IFNA(IF(AE30 &lt; (INDEX(SLATable[Minimum SLA],MATCH(G30,SLATable[Priority],0))),"YES","NO"),"")</f>
        <v/>
      </c>
      <c r="AJ30" t="str">
        <f>_xlfn.IFNA(IF(AE30 &lt; (INDEX(SLATable[Maximum SLA],MATCH(G30,SLATable[Priority],0))),"YES","NO"),"")</f>
        <v/>
      </c>
    </row>
    <row r="31" spans="26:36" ht="15" customHeight="1">
      <c r="Z31" s="76" t="e">
        <f t="shared" ca="1" si="8"/>
        <v>#N/A</v>
      </c>
      <c r="AA31" s="75" t="e">
        <f t="shared" ca="1" si="1"/>
        <v>#N/A</v>
      </c>
      <c r="AB31" s="76">
        <f t="shared" ca="1" si="9"/>
        <v>0</v>
      </c>
      <c r="AC31" s="75">
        <f t="shared" ca="1" si="3"/>
        <v>0</v>
      </c>
      <c r="AD31" s="76">
        <f t="shared" ca="1" si="10"/>
        <v>12388.425641435188</v>
      </c>
      <c r="AE31" s="76">
        <f t="shared" si="11"/>
        <v>0</v>
      </c>
      <c r="AF31" s="75">
        <f t="shared" si="6"/>
        <v>0</v>
      </c>
      <c r="AG31" s="75">
        <f t="shared" si="7"/>
        <v>0</v>
      </c>
      <c r="AH31" s="31" t="e" cm="1">
        <f t="array" aca="1" ref="AH31" ca="1">IF((AD31) &lt; (INDEX(ResponseSLA[#All],(MATCH((G31),ResponseSLA[Priority],0))+1,3)),"YES","No")</f>
        <v>#N/A</v>
      </c>
      <c r="AI31" s="31" t="str">
        <f>_xlfn.IFNA(IF(AE31 &lt; (INDEX(SLATable[Minimum SLA],MATCH(G31,SLATable[Priority],0))),"YES","NO"),"")</f>
        <v/>
      </c>
      <c r="AJ31" t="str">
        <f>_xlfn.IFNA(IF(AE31 &lt; (INDEX(SLATable[Maximum SLA],MATCH(G31,SLATable[Priority],0))),"YES","NO"),"")</f>
        <v/>
      </c>
    </row>
    <row r="32" spans="26:36" ht="15" customHeight="1">
      <c r="Z32" s="76" t="e">
        <f t="shared" ca="1" si="8"/>
        <v>#N/A</v>
      </c>
      <c r="AA32" s="75" t="e">
        <f t="shared" ca="1" si="1"/>
        <v>#N/A</v>
      </c>
      <c r="AB32" s="76">
        <f t="shared" ca="1" si="9"/>
        <v>0</v>
      </c>
      <c r="AC32" s="75">
        <f t="shared" ca="1" si="3"/>
        <v>0</v>
      </c>
      <c r="AD32" s="76">
        <f t="shared" ca="1" si="10"/>
        <v>12388.425641203703</v>
      </c>
      <c r="AE32" s="76">
        <f t="shared" si="11"/>
        <v>0</v>
      </c>
      <c r="AF32" s="75">
        <f t="shared" si="6"/>
        <v>0</v>
      </c>
      <c r="AG32" s="75">
        <f t="shared" si="7"/>
        <v>0</v>
      </c>
      <c r="AH32" s="31" t="e" cm="1">
        <f t="array" aca="1" ref="AH32" ca="1">IF((AD32) &lt; (INDEX(ResponseSLA[#All],(MATCH((G32),ResponseSLA[Priority],0))+1,3)),"YES","No")</f>
        <v>#N/A</v>
      </c>
      <c r="AI32" s="31" t="str">
        <f>_xlfn.IFNA(IF(AE32 &lt; (INDEX(SLATable[Minimum SLA],MATCH(G32,SLATable[Priority],0))),"YES","NO"),"")</f>
        <v/>
      </c>
      <c r="AJ32" t="str">
        <f>_xlfn.IFNA(IF(AE32 &lt; (INDEX(SLATable[Maximum SLA],MATCH(G32,SLATable[Priority],0))),"YES","NO"),"")</f>
        <v/>
      </c>
    </row>
    <row r="33" spans="26:36" ht="15" customHeight="1">
      <c r="Z33" s="76" t="e">
        <f t="shared" ca="1" si="8"/>
        <v>#N/A</v>
      </c>
      <c r="AA33" s="75" t="e">
        <f t="shared" ca="1" si="1"/>
        <v>#N/A</v>
      </c>
      <c r="AB33" s="76">
        <f t="shared" ca="1" si="9"/>
        <v>0</v>
      </c>
      <c r="AC33" s="75">
        <f t="shared" ca="1" si="3"/>
        <v>0</v>
      </c>
      <c r="AD33" s="76">
        <f t="shared" ca="1" si="10"/>
        <v>12388.425641203703</v>
      </c>
      <c r="AE33" s="76">
        <f t="shared" si="11"/>
        <v>0</v>
      </c>
      <c r="AF33" s="75">
        <f t="shared" si="6"/>
        <v>0</v>
      </c>
      <c r="AG33" s="75">
        <f t="shared" si="7"/>
        <v>0</v>
      </c>
      <c r="AH33" s="31" t="e" cm="1">
        <f t="array" aca="1" ref="AH33" ca="1">IF((AD33) &lt; (INDEX(ResponseSLA[#All],(MATCH((G33),ResponseSLA[Priority],0))+1,3)),"YES","No")</f>
        <v>#N/A</v>
      </c>
      <c r="AI33" s="31" t="str">
        <f>_xlfn.IFNA(IF(AE33 &lt; (INDEX(SLATable[Minimum SLA],MATCH(G33,SLATable[Priority],0))),"YES","NO"),"")</f>
        <v/>
      </c>
      <c r="AJ33" t="str">
        <f>_xlfn.IFNA(IF(AE33 &lt; (INDEX(SLATable[Maximum SLA],MATCH(G33,SLATable[Priority],0))),"YES","NO"),"")</f>
        <v/>
      </c>
    </row>
    <row r="34" spans="26:36" ht="15" customHeight="1">
      <c r="Z34" s="76" t="e">
        <f t="shared" ca="1" si="8"/>
        <v>#N/A</v>
      </c>
      <c r="AA34" s="75" t="e">
        <f t="shared" ca="1" si="1"/>
        <v>#N/A</v>
      </c>
      <c r="AB34" s="76">
        <f t="shared" ca="1" si="9"/>
        <v>0</v>
      </c>
      <c r="AC34" s="75">
        <f t="shared" ca="1" si="3"/>
        <v>0</v>
      </c>
      <c r="AD34" s="76">
        <f t="shared" ca="1" si="10"/>
        <v>12388.425641435188</v>
      </c>
      <c r="AE34" s="76">
        <f t="shared" si="11"/>
        <v>0</v>
      </c>
      <c r="AF34" s="75">
        <f t="shared" si="6"/>
        <v>0</v>
      </c>
      <c r="AG34" s="75">
        <f t="shared" si="7"/>
        <v>0</v>
      </c>
      <c r="AH34" s="31" t="e" cm="1">
        <f t="array" aca="1" ref="AH34" ca="1">IF((AD34) &lt; (INDEX(ResponseSLA[#All],(MATCH((G34),ResponseSLA[Priority],0))+1,3)),"YES","No")</f>
        <v>#N/A</v>
      </c>
      <c r="AI34" s="31" t="str">
        <f>_xlfn.IFNA(IF(AE34 &lt; (INDEX(SLATable[Minimum SLA],MATCH(G34,SLATable[Priority],0))),"YES","NO"),"")</f>
        <v/>
      </c>
      <c r="AJ34" t="str">
        <f>_xlfn.IFNA(IF(AE34 &lt; (INDEX(SLATable[Maximum SLA],MATCH(G34,SLATable[Priority],0))),"YES","NO"),"")</f>
        <v/>
      </c>
    </row>
    <row r="35" spans="26:36" ht="15" customHeight="1">
      <c r="Z35" s="76" t="e">
        <f t="shared" ca="1" si="8"/>
        <v>#N/A</v>
      </c>
      <c r="AA35" s="75" t="e">
        <f t="shared" ca="1" si="1"/>
        <v>#N/A</v>
      </c>
      <c r="AB35" s="76">
        <f t="shared" ca="1" si="9"/>
        <v>0</v>
      </c>
      <c r="AC35" s="75">
        <f t="shared" ca="1" si="3"/>
        <v>0</v>
      </c>
      <c r="AD35" s="76">
        <f t="shared" ca="1" si="10"/>
        <v>12388.425641203703</v>
      </c>
      <c r="AE35" s="76">
        <f t="shared" si="11"/>
        <v>0</v>
      </c>
      <c r="AF35" s="75">
        <f t="shared" si="6"/>
        <v>0</v>
      </c>
      <c r="AG35" s="75">
        <f t="shared" si="7"/>
        <v>0</v>
      </c>
      <c r="AH35" s="31" t="e" cm="1">
        <f t="array" aca="1" ref="AH35" ca="1">IF((AD35) &lt; (INDEX(ResponseSLA[#All],(MATCH((G35),ResponseSLA[Priority],0))+1,3)),"YES","No")</f>
        <v>#N/A</v>
      </c>
      <c r="AI35" s="31" t="str">
        <f>_xlfn.IFNA(IF(AE35 &lt; (INDEX(SLATable[Minimum SLA],MATCH(G35,SLATable[Priority],0))),"YES","NO"),"")</f>
        <v/>
      </c>
      <c r="AJ35" t="str">
        <f>_xlfn.IFNA(IF(AE35 &lt; (INDEX(SLATable[Maximum SLA],MATCH(G35,SLATable[Priority],0))),"YES","NO"),"")</f>
        <v/>
      </c>
    </row>
    <row r="36" spans="26:36" ht="15" customHeight="1">
      <c r="Z36" s="76" t="e">
        <f t="shared" ca="1" si="8"/>
        <v>#N/A</v>
      </c>
      <c r="AA36" s="75" t="e">
        <f t="shared" ca="1" si="1"/>
        <v>#N/A</v>
      </c>
      <c r="AB36" s="76">
        <f t="shared" ca="1" si="9"/>
        <v>0</v>
      </c>
      <c r="AC36" s="75">
        <f t="shared" ca="1" si="3"/>
        <v>0</v>
      </c>
      <c r="AD36" s="76">
        <f t="shared" ca="1" si="10"/>
        <v>12388.425641203703</v>
      </c>
      <c r="AE36" s="76">
        <f t="shared" si="11"/>
        <v>0</v>
      </c>
      <c r="AF36" s="75">
        <f t="shared" si="6"/>
        <v>0</v>
      </c>
      <c r="AG36" s="75">
        <f t="shared" si="7"/>
        <v>0</v>
      </c>
      <c r="AH36" s="31" t="e" cm="1">
        <f t="array" aca="1" ref="AH36" ca="1">IF((AD36) &lt; (INDEX(ResponseSLA[#All],(MATCH((G36),ResponseSLA[Priority],0))+1,3)),"YES","No")</f>
        <v>#N/A</v>
      </c>
      <c r="AI36" s="31" t="str">
        <f>_xlfn.IFNA(IF(AE36 &lt; (INDEX(SLATable[Minimum SLA],MATCH(G36,SLATable[Priority],0))),"YES","NO"),"")</f>
        <v/>
      </c>
      <c r="AJ36" t="str">
        <f>_xlfn.IFNA(IF(AE36 &lt; (INDEX(SLATable[Maximum SLA],MATCH(G36,SLATable[Priority],0))),"YES","NO"),"")</f>
        <v/>
      </c>
    </row>
    <row r="37" spans="26:36" ht="15" customHeight="1">
      <c r="Z37" s="76" t="e">
        <f t="shared" ca="1" si="8"/>
        <v>#N/A</v>
      </c>
      <c r="AA37" s="75" t="e">
        <f t="shared" ca="1" si="1"/>
        <v>#N/A</v>
      </c>
      <c r="AB37" s="76">
        <f t="shared" ca="1" si="9"/>
        <v>0</v>
      </c>
      <c r="AC37" s="75">
        <f t="shared" ca="1" si="3"/>
        <v>0</v>
      </c>
      <c r="AD37" s="76">
        <f t="shared" ca="1" si="10"/>
        <v>12388.425641435188</v>
      </c>
      <c r="AE37" s="76">
        <f t="shared" si="11"/>
        <v>0</v>
      </c>
      <c r="AF37" s="75">
        <f t="shared" si="6"/>
        <v>0</v>
      </c>
      <c r="AG37" s="75">
        <f t="shared" si="7"/>
        <v>0</v>
      </c>
      <c r="AH37" s="31" t="e" cm="1">
        <f t="array" aca="1" ref="AH37" ca="1">IF((AD37) &lt; (INDEX(ResponseSLA[#All],(MATCH((G37),ResponseSLA[Priority],0))+1,3)),"YES","No")</f>
        <v>#N/A</v>
      </c>
      <c r="AI37" s="31" t="str">
        <f>_xlfn.IFNA(IF(AE37 &lt; (INDEX(SLATable[Minimum SLA],MATCH(G37,SLATable[Priority],0))),"YES","NO"),"")</f>
        <v/>
      </c>
      <c r="AJ37" t="str">
        <f>_xlfn.IFNA(IF(AE37 &lt; (INDEX(SLATable[Maximum SLA],MATCH(G37,SLATable[Priority],0))),"YES","NO"),"")</f>
        <v/>
      </c>
    </row>
    <row r="38" spans="26:36" ht="15" customHeight="1">
      <c r="Z38" s="76" t="e">
        <f t="shared" ca="1" si="8"/>
        <v>#N/A</v>
      </c>
      <c r="AA38" s="75" t="e">
        <f t="shared" ca="1" si="1"/>
        <v>#N/A</v>
      </c>
      <c r="AB38" s="76">
        <f t="shared" ca="1" si="9"/>
        <v>0</v>
      </c>
      <c r="AC38" s="75">
        <f t="shared" ca="1" si="3"/>
        <v>0</v>
      </c>
      <c r="AD38" s="76">
        <f t="shared" ca="1" si="10"/>
        <v>12388.425641203703</v>
      </c>
      <c r="AE38" s="76">
        <f t="shared" si="11"/>
        <v>0</v>
      </c>
      <c r="AF38" s="75">
        <f t="shared" si="6"/>
        <v>0</v>
      </c>
      <c r="AG38" s="75">
        <f t="shared" si="7"/>
        <v>0</v>
      </c>
      <c r="AH38" s="31" t="e" cm="1">
        <f t="array" aca="1" ref="AH38" ca="1">IF((AD38) &lt; (INDEX(ResponseSLA[#All],(MATCH((G38),ResponseSLA[Priority],0))+1,3)),"YES","No")</f>
        <v>#N/A</v>
      </c>
      <c r="AI38" s="31" t="str">
        <f>_xlfn.IFNA(IF(AE38 &lt; (INDEX(SLATable[Minimum SLA],MATCH(G38,SLATable[Priority],0))),"YES","NO"),"")</f>
        <v/>
      </c>
      <c r="AJ38" t="str">
        <f>_xlfn.IFNA(IF(AE38 &lt; (INDEX(SLATable[Maximum SLA],MATCH(G38,SLATable[Priority],0))),"YES","NO"),"")</f>
        <v/>
      </c>
    </row>
    <row r="39" spans="26:36" ht="15" customHeight="1">
      <c r="Z39" s="76" t="e">
        <f t="shared" ca="1" si="8"/>
        <v>#N/A</v>
      </c>
      <c r="AA39" s="75" t="e">
        <f t="shared" ca="1" si="1"/>
        <v>#N/A</v>
      </c>
      <c r="AB39" s="76">
        <f t="shared" ca="1" si="9"/>
        <v>0</v>
      </c>
      <c r="AC39" s="75">
        <f t="shared" ca="1" si="3"/>
        <v>0</v>
      </c>
      <c r="AD39" s="76">
        <f t="shared" ca="1" si="10"/>
        <v>12388.425641203703</v>
      </c>
      <c r="AE39" s="76">
        <f t="shared" si="11"/>
        <v>0</v>
      </c>
      <c r="AF39" s="75">
        <f t="shared" si="6"/>
        <v>0</v>
      </c>
      <c r="AG39" s="75">
        <f t="shared" si="7"/>
        <v>0</v>
      </c>
      <c r="AH39" s="31" t="e" cm="1">
        <f t="array" aca="1" ref="AH39" ca="1">IF((AD39) &lt; (INDEX(ResponseSLA[#All],(MATCH((G39),ResponseSLA[Priority],0))+1,3)),"YES","No")</f>
        <v>#N/A</v>
      </c>
      <c r="AI39" s="31" t="str">
        <f>_xlfn.IFNA(IF(AE39 &lt; (INDEX(SLATable[Minimum SLA],MATCH(G39,SLATable[Priority],0))),"YES","NO"),"")</f>
        <v/>
      </c>
      <c r="AJ39" t="str">
        <f>_xlfn.IFNA(IF(AE39 &lt; (INDEX(SLATable[Maximum SLA],MATCH(G39,SLATable[Priority],0))),"YES","NO"),"")</f>
        <v/>
      </c>
    </row>
    <row r="40" spans="26:36" ht="15" customHeight="1">
      <c r="Z40" s="76" t="e">
        <f t="shared" ca="1" si="8"/>
        <v>#N/A</v>
      </c>
      <c r="AA40" s="75" t="e">
        <f t="shared" ca="1" si="1"/>
        <v>#N/A</v>
      </c>
      <c r="AB40" s="76">
        <f t="shared" ca="1" si="9"/>
        <v>0</v>
      </c>
      <c r="AC40" s="75">
        <f t="shared" ca="1" si="3"/>
        <v>0</v>
      </c>
      <c r="AD40" s="76">
        <f t="shared" ca="1" si="10"/>
        <v>12388.425641435188</v>
      </c>
      <c r="AE40" s="76">
        <f t="shared" si="11"/>
        <v>0</v>
      </c>
      <c r="AF40" s="75">
        <f t="shared" si="6"/>
        <v>0</v>
      </c>
      <c r="AG40" s="75">
        <f t="shared" si="7"/>
        <v>0</v>
      </c>
      <c r="AH40" s="31" t="e" cm="1">
        <f t="array" aca="1" ref="AH40" ca="1">IF((AD40) &lt; (INDEX(ResponseSLA[#All],(MATCH((G40),ResponseSLA[Priority],0))+1,3)),"YES","No")</f>
        <v>#N/A</v>
      </c>
      <c r="AI40" s="31" t="str">
        <f>_xlfn.IFNA(IF(AE40 &lt; (INDEX(SLATable[Minimum SLA],MATCH(G40,SLATable[Priority],0))),"YES","NO"),"")</f>
        <v/>
      </c>
      <c r="AJ40" t="str">
        <f>_xlfn.IFNA(IF(AE40 &lt; (INDEX(SLATable[Maximum SLA],MATCH(G40,SLATable[Priority],0))),"YES","NO"),"")</f>
        <v/>
      </c>
    </row>
    <row r="41" spans="26:36" ht="15" customHeight="1">
      <c r="Z41" s="76" t="e">
        <f t="shared" ca="1" si="8"/>
        <v>#N/A</v>
      </c>
      <c r="AA41" s="75" t="e">
        <f t="shared" ca="1" si="1"/>
        <v>#N/A</v>
      </c>
      <c r="AB41" s="76">
        <f t="shared" ca="1" si="9"/>
        <v>0</v>
      </c>
      <c r="AC41" s="75">
        <f t="shared" ca="1" si="3"/>
        <v>0</v>
      </c>
      <c r="AD41" s="76">
        <f t="shared" ca="1" si="10"/>
        <v>12388.425641203703</v>
      </c>
      <c r="AE41" s="76">
        <f t="shared" si="11"/>
        <v>0</v>
      </c>
      <c r="AF41" s="75">
        <f t="shared" si="6"/>
        <v>0</v>
      </c>
      <c r="AG41" s="75">
        <f t="shared" si="7"/>
        <v>0</v>
      </c>
      <c r="AH41" s="31" t="e" cm="1">
        <f t="array" aca="1" ref="AH41" ca="1">IF((AD41) &lt; (INDEX(ResponseSLA[#All],(MATCH((G41),ResponseSLA[Priority],0))+1,3)),"YES","No")</f>
        <v>#N/A</v>
      </c>
      <c r="AI41" s="31" t="str">
        <f>_xlfn.IFNA(IF(AE41 &lt; (INDEX(SLATable[Minimum SLA],MATCH(G41,SLATable[Priority],0))),"YES","NO"),"")</f>
        <v/>
      </c>
      <c r="AJ41" t="str">
        <f>_xlfn.IFNA(IF(AE41 &lt; (INDEX(SLATable[Maximum SLA],MATCH(G41,SLATable[Priority],0))),"YES","NO"),"")</f>
        <v/>
      </c>
    </row>
    <row r="42" spans="26:36" ht="15" customHeight="1">
      <c r="Z42" s="76" t="e">
        <f t="shared" ca="1" si="8"/>
        <v>#N/A</v>
      </c>
      <c r="AA42" s="75" t="e">
        <f t="shared" ca="1" si="1"/>
        <v>#N/A</v>
      </c>
      <c r="AB42" s="76">
        <f t="shared" ca="1" si="9"/>
        <v>0</v>
      </c>
      <c r="AC42" s="75">
        <f t="shared" ca="1" si="3"/>
        <v>0</v>
      </c>
      <c r="AD42" s="76">
        <f t="shared" ca="1" si="10"/>
        <v>12388.425641203703</v>
      </c>
      <c r="AE42" s="76">
        <f t="shared" si="11"/>
        <v>0</v>
      </c>
      <c r="AF42" s="75">
        <f t="shared" si="6"/>
        <v>0</v>
      </c>
      <c r="AG42" s="75">
        <f t="shared" si="7"/>
        <v>0</v>
      </c>
      <c r="AH42" s="31" t="e" cm="1">
        <f t="array" aca="1" ref="AH42" ca="1">IF((AD42) &lt; (INDEX(ResponseSLA[#All],(MATCH((G42),ResponseSLA[Priority],0))+1,3)),"YES","No")</f>
        <v>#N/A</v>
      </c>
      <c r="AI42" s="31" t="str">
        <f>_xlfn.IFNA(IF(AE42 &lt; (INDEX(SLATable[Minimum SLA],MATCH(G42,SLATable[Priority],0))),"YES","NO"),"")</f>
        <v/>
      </c>
      <c r="AJ42" t="str">
        <f>_xlfn.IFNA(IF(AE42 &lt; (INDEX(SLATable[Maximum SLA],MATCH(G42,SLATable[Priority],0))),"YES","NO"),"")</f>
        <v/>
      </c>
    </row>
    <row r="43" spans="26:36" ht="15" customHeight="1">
      <c r="Z43" s="76" t="e">
        <f t="shared" ca="1" si="8"/>
        <v>#N/A</v>
      </c>
      <c r="AA43" s="75" t="e">
        <f t="shared" ca="1" si="1"/>
        <v>#N/A</v>
      </c>
      <c r="AB43" s="76">
        <f t="shared" ca="1" si="9"/>
        <v>0</v>
      </c>
      <c r="AC43" s="75">
        <f t="shared" ca="1" si="3"/>
        <v>0</v>
      </c>
      <c r="AD43" s="76">
        <f t="shared" ca="1" si="10"/>
        <v>12388.425641435188</v>
      </c>
      <c r="AE43" s="76">
        <f t="shared" si="11"/>
        <v>0</v>
      </c>
      <c r="AF43" s="75">
        <f t="shared" si="6"/>
        <v>0</v>
      </c>
      <c r="AG43" s="75">
        <f t="shared" si="7"/>
        <v>0</v>
      </c>
      <c r="AH43" s="31" t="e" cm="1">
        <f t="array" aca="1" ref="AH43" ca="1">IF((AD43) &lt; (INDEX(ResponseSLA[#All],(MATCH((G43),ResponseSLA[Priority],0))+1,3)),"YES","No")</f>
        <v>#N/A</v>
      </c>
      <c r="AI43" s="31" t="str">
        <f>_xlfn.IFNA(IF(AE43 &lt; (INDEX(SLATable[Minimum SLA],MATCH(G43,SLATable[Priority],0))),"YES","NO"),"")</f>
        <v/>
      </c>
      <c r="AJ43" t="str">
        <f>_xlfn.IFNA(IF(AE43 &lt; (INDEX(SLATable[Maximum SLA],MATCH(G43,SLATable[Priority],0))),"YES","NO"),"")</f>
        <v/>
      </c>
    </row>
    <row r="44" spans="26:36" ht="15" customHeight="1">
      <c r="Z44" s="76" t="e">
        <f t="shared" ca="1" si="8"/>
        <v>#N/A</v>
      </c>
      <c r="AA44" s="75" t="e">
        <f t="shared" ca="1" si="1"/>
        <v>#N/A</v>
      </c>
      <c r="AB44" s="76">
        <f t="shared" ca="1" si="9"/>
        <v>0</v>
      </c>
      <c r="AC44" s="75">
        <f t="shared" ca="1" si="3"/>
        <v>0</v>
      </c>
      <c r="AD44" s="76">
        <f t="shared" ca="1" si="10"/>
        <v>12388.425641203703</v>
      </c>
      <c r="AE44" s="76">
        <f t="shared" si="11"/>
        <v>0</v>
      </c>
      <c r="AF44" s="75">
        <f t="shared" si="6"/>
        <v>0</v>
      </c>
      <c r="AG44" s="75">
        <f t="shared" si="7"/>
        <v>0</v>
      </c>
      <c r="AH44" s="31" t="e" cm="1">
        <f t="array" aca="1" ref="AH44" ca="1">IF((AD44) &lt; (INDEX(ResponseSLA[#All],(MATCH((G44),ResponseSLA[Priority],0))+1,3)),"YES","No")</f>
        <v>#N/A</v>
      </c>
      <c r="AI44" s="31" t="str">
        <f>_xlfn.IFNA(IF(AE44 &lt; (INDEX(SLATable[Minimum SLA],MATCH(G44,SLATable[Priority],0))),"YES","NO"),"")</f>
        <v/>
      </c>
      <c r="AJ44" t="str">
        <f>_xlfn.IFNA(IF(AE44 &lt; (INDEX(SLATable[Maximum SLA],MATCH(G44,SLATable[Priority],0))),"YES","NO"),"")</f>
        <v/>
      </c>
    </row>
    <row r="45" spans="26:36" ht="15" customHeight="1">
      <c r="Z45" s="76" t="e">
        <f t="shared" ca="1" si="8"/>
        <v>#N/A</v>
      </c>
      <c r="AA45" s="75" t="e">
        <f t="shared" ca="1" si="1"/>
        <v>#N/A</v>
      </c>
      <c r="AB45" s="76">
        <f t="shared" ca="1" si="9"/>
        <v>0</v>
      </c>
      <c r="AC45" s="75">
        <f t="shared" ca="1" si="3"/>
        <v>0</v>
      </c>
      <c r="AD45" s="76">
        <f t="shared" ca="1" si="10"/>
        <v>12388.425641203703</v>
      </c>
      <c r="AE45" s="76">
        <f t="shared" si="11"/>
        <v>0</v>
      </c>
      <c r="AF45" s="75">
        <f t="shared" si="6"/>
        <v>0</v>
      </c>
      <c r="AG45" s="75">
        <f t="shared" si="7"/>
        <v>0</v>
      </c>
      <c r="AH45" s="31" t="e" cm="1">
        <f t="array" aca="1" ref="AH45" ca="1">IF((AD45) &lt; (INDEX(ResponseSLA[#All],(MATCH((G45),ResponseSLA[Priority],0))+1,3)),"YES","No")</f>
        <v>#N/A</v>
      </c>
      <c r="AI45" s="31" t="str">
        <f>_xlfn.IFNA(IF(AE45 &lt; (INDEX(SLATable[Minimum SLA],MATCH(G45,SLATable[Priority],0))),"YES","NO"),"")</f>
        <v/>
      </c>
      <c r="AJ45" t="str">
        <f>_xlfn.IFNA(IF(AE45 &lt; (INDEX(SLATable[Maximum SLA],MATCH(G45,SLATable[Priority],0))),"YES","NO"),"")</f>
        <v/>
      </c>
    </row>
    <row r="46" spans="26:36" ht="15" customHeight="1">
      <c r="Z46" s="76" t="e">
        <f t="shared" ca="1" si="8"/>
        <v>#N/A</v>
      </c>
      <c r="AA46" s="75" t="e">
        <f t="shared" ca="1" si="1"/>
        <v>#N/A</v>
      </c>
      <c r="AB46" s="76">
        <f t="shared" ca="1" si="9"/>
        <v>0</v>
      </c>
      <c r="AC46" s="75">
        <f t="shared" ca="1" si="3"/>
        <v>0</v>
      </c>
      <c r="AD46" s="76">
        <f t="shared" ca="1" si="10"/>
        <v>12388.425641435188</v>
      </c>
      <c r="AE46" s="76">
        <f t="shared" si="11"/>
        <v>0</v>
      </c>
      <c r="AF46" s="75">
        <f t="shared" si="6"/>
        <v>0</v>
      </c>
      <c r="AG46" s="75">
        <f t="shared" si="7"/>
        <v>0</v>
      </c>
      <c r="AH46" s="31" t="e" cm="1">
        <f t="array" aca="1" ref="AH46" ca="1">IF((AD46) &lt; (INDEX(ResponseSLA[#All],(MATCH((G46),ResponseSLA[Priority],0))+1,3)),"YES","No")</f>
        <v>#N/A</v>
      </c>
      <c r="AI46" s="31" t="str">
        <f>_xlfn.IFNA(IF(AE46 &lt; (INDEX(SLATable[Minimum SLA],MATCH(G46,SLATable[Priority],0))),"YES","NO"),"")</f>
        <v/>
      </c>
      <c r="AJ46" t="str">
        <f>_xlfn.IFNA(IF(AE46 &lt; (INDEX(SLATable[Maximum SLA],MATCH(G46,SLATable[Priority],0))),"YES","NO"),"")</f>
        <v/>
      </c>
    </row>
    <row r="47" spans="26:36" ht="15" customHeight="1">
      <c r="Z47" s="76" t="e">
        <f t="shared" ca="1" si="8"/>
        <v>#N/A</v>
      </c>
      <c r="AA47" s="75" t="e">
        <f t="shared" ca="1" si="1"/>
        <v>#N/A</v>
      </c>
      <c r="AB47" s="76">
        <f t="shared" ca="1" si="9"/>
        <v>0</v>
      </c>
      <c r="AC47" s="75">
        <f t="shared" ca="1" si="3"/>
        <v>0</v>
      </c>
      <c r="AD47" s="76">
        <f t="shared" ca="1" si="10"/>
        <v>12388.425641203703</v>
      </c>
      <c r="AE47" s="76">
        <f t="shared" si="11"/>
        <v>0</v>
      </c>
      <c r="AF47" s="75">
        <f t="shared" si="6"/>
        <v>0</v>
      </c>
      <c r="AG47" s="75">
        <f t="shared" si="7"/>
        <v>0</v>
      </c>
      <c r="AH47" s="31" t="e" cm="1">
        <f t="array" aca="1" ref="AH47" ca="1">IF((AD47) &lt; (INDEX(ResponseSLA[#All],(MATCH((G47),ResponseSLA[Priority],0))+1,3)),"YES","No")</f>
        <v>#N/A</v>
      </c>
      <c r="AI47" s="31" t="str">
        <f>_xlfn.IFNA(IF(AE47 &lt; (INDEX(SLATable[Minimum SLA],MATCH(G47,SLATable[Priority],0))),"YES","NO"),"")</f>
        <v/>
      </c>
      <c r="AJ47" t="str">
        <f>_xlfn.IFNA(IF(AE47 &lt; (INDEX(SLATable[Maximum SLA],MATCH(G47,SLATable[Priority],0))),"YES","NO"),"")</f>
        <v/>
      </c>
    </row>
    <row r="48" spans="26:36" ht="15" customHeight="1">
      <c r="Z48" s="76" t="e">
        <f t="shared" ca="1" si="8"/>
        <v>#N/A</v>
      </c>
      <c r="AA48" s="75" t="e">
        <f t="shared" ca="1" si="1"/>
        <v>#N/A</v>
      </c>
      <c r="AB48" s="76">
        <f t="shared" ca="1" si="9"/>
        <v>0</v>
      </c>
      <c r="AC48" s="75">
        <f t="shared" ca="1" si="3"/>
        <v>0</v>
      </c>
      <c r="AD48" s="76">
        <f t="shared" ca="1" si="10"/>
        <v>12388.425641203703</v>
      </c>
      <c r="AE48" s="76">
        <f t="shared" si="11"/>
        <v>0</v>
      </c>
      <c r="AF48" s="75">
        <f t="shared" si="6"/>
        <v>0</v>
      </c>
      <c r="AG48" s="75">
        <f t="shared" si="7"/>
        <v>0</v>
      </c>
      <c r="AH48" s="31" t="e" cm="1">
        <f t="array" aca="1" ref="AH48" ca="1">IF((AD48) &lt; (INDEX(ResponseSLA[#All],(MATCH((G48),ResponseSLA[Priority],0))+1,3)),"YES","No")</f>
        <v>#N/A</v>
      </c>
      <c r="AI48" s="31" t="str">
        <f>_xlfn.IFNA(IF(AE48 &lt; (INDEX(SLATable[Minimum SLA],MATCH(G48,SLATable[Priority],0))),"YES","NO"),"")</f>
        <v/>
      </c>
      <c r="AJ48" t="str">
        <f>_xlfn.IFNA(IF(AE48 &lt; (INDEX(SLATable[Maximum SLA],MATCH(G48,SLATable[Priority],0))),"YES","NO"),"")</f>
        <v/>
      </c>
    </row>
    <row r="49" spans="26:36" ht="15" customHeight="1">
      <c r="Z49" s="76" t="e">
        <f t="shared" ca="1" si="8"/>
        <v>#N/A</v>
      </c>
      <c r="AA49" s="75" t="e">
        <f t="shared" ca="1" si="1"/>
        <v>#N/A</v>
      </c>
      <c r="AB49" s="76">
        <f t="shared" ca="1" si="9"/>
        <v>0</v>
      </c>
      <c r="AC49" s="75">
        <f t="shared" ca="1" si="3"/>
        <v>0</v>
      </c>
      <c r="AD49" s="76">
        <f t="shared" ca="1" si="10"/>
        <v>12388.425641435188</v>
      </c>
      <c r="AE49" s="76">
        <f t="shared" si="11"/>
        <v>0</v>
      </c>
      <c r="AF49" s="75">
        <f t="shared" si="6"/>
        <v>0</v>
      </c>
      <c r="AG49" s="75">
        <f t="shared" si="7"/>
        <v>0</v>
      </c>
      <c r="AH49" s="31" t="e" cm="1">
        <f t="array" aca="1" ref="AH49" ca="1">IF((AD49) &lt; (INDEX(ResponseSLA[#All],(MATCH((G49),ResponseSLA[Priority],0))+1,3)),"YES","No")</f>
        <v>#N/A</v>
      </c>
      <c r="AI49" s="31" t="str">
        <f>_xlfn.IFNA(IF(AE49 &lt; (INDEX(SLATable[Minimum SLA],MATCH(G49,SLATable[Priority],0))),"YES","NO"),"")</f>
        <v/>
      </c>
      <c r="AJ49" t="str">
        <f>_xlfn.IFNA(IF(AE49 &lt; (INDEX(SLATable[Maximum SLA],MATCH(G49,SLATable[Priority],0))),"YES","NO"),"")</f>
        <v/>
      </c>
    </row>
    <row r="50" spans="26:36" ht="15" customHeight="1">
      <c r="Z50" s="76" t="e">
        <f t="shared" ca="1" si="8"/>
        <v>#N/A</v>
      </c>
      <c r="AA50" s="75" t="e">
        <f t="shared" ca="1" si="1"/>
        <v>#N/A</v>
      </c>
      <c r="AB50" s="76">
        <f t="shared" ca="1" si="9"/>
        <v>0</v>
      </c>
      <c r="AC50" s="75">
        <f t="shared" ca="1" si="3"/>
        <v>0</v>
      </c>
      <c r="AD50" s="76">
        <f t="shared" ca="1" si="10"/>
        <v>12388.425641203703</v>
      </c>
      <c r="AE50" s="76">
        <f t="shared" si="11"/>
        <v>0</v>
      </c>
      <c r="AF50" s="75">
        <f t="shared" si="6"/>
        <v>0</v>
      </c>
      <c r="AG50" s="75">
        <f t="shared" si="7"/>
        <v>0</v>
      </c>
      <c r="AH50" s="31" t="e" cm="1">
        <f t="array" aca="1" ref="AH50" ca="1">IF((AD50) &lt; (INDEX(ResponseSLA[#All],(MATCH((G50),ResponseSLA[Priority],0))+1,3)),"YES","No")</f>
        <v>#N/A</v>
      </c>
      <c r="AI50" s="31" t="str">
        <f>_xlfn.IFNA(IF(AE50 &lt; (INDEX(SLATable[Minimum SLA],MATCH(G50,SLATable[Priority],0))),"YES","NO"),"")</f>
        <v/>
      </c>
      <c r="AJ50" t="str">
        <f>_xlfn.IFNA(IF(AE50 &lt; (INDEX(SLATable[Maximum SLA],MATCH(G50,SLATable[Priority],0))),"YES","NO"),"")</f>
        <v/>
      </c>
    </row>
    <row r="51" spans="26:36" ht="15" customHeight="1">
      <c r="Z51" s="76" t="e">
        <f t="shared" ca="1" si="8"/>
        <v>#N/A</v>
      </c>
      <c r="AA51" s="75" t="e">
        <f t="shared" ca="1" si="1"/>
        <v>#N/A</v>
      </c>
      <c r="AB51" s="76">
        <f t="shared" ca="1" si="9"/>
        <v>0</v>
      </c>
      <c r="AC51" s="75">
        <f t="shared" ca="1" si="3"/>
        <v>0</v>
      </c>
      <c r="AD51" s="76">
        <f t="shared" ca="1" si="10"/>
        <v>12388.425641203703</v>
      </c>
      <c r="AE51" s="76">
        <f t="shared" si="11"/>
        <v>0</v>
      </c>
      <c r="AF51" s="75">
        <f t="shared" si="6"/>
        <v>0</v>
      </c>
      <c r="AG51" s="75">
        <f t="shared" si="7"/>
        <v>0</v>
      </c>
      <c r="AH51" s="31" t="e" cm="1">
        <f t="array" aca="1" ref="AH51" ca="1">IF((AD51) &lt; (INDEX(ResponseSLA[#All],(MATCH((G51),ResponseSLA[Priority],0))+1,3)),"YES","No")</f>
        <v>#N/A</v>
      </c>
      <c r="AI51" s="31" t="str">
        <f>_xlfn.IFNA(IF(AE51 &lt; (INDEX(SLATable[Minimum SLA],MATCH(G51,SLATable[Priority],0))),"YES","NO"),"")</f>
        <v/>
      </c>
      <c r="AJ51" t="str">
        <f>_xlfn.IFNA(IF(AE51 &lt; (INDEX(SLATable[Maximum SLA],MATCH(G51,SLATable[Priority],0))),"YES","NO"),"")</f>
        <v/>
      </c>
    </row>
    <row r="52" spans="26:36" ht="15" customHeight="1">
      <c r="Z52" s="76" t="e">
        <f t="shared" ca="1" si="8"/>
        <v>#N/A</v>
      </c>
      <c r="AA52" s="75" t="e">
        <f t="shared" ca="1" si="1"/>
        <v>#N/A</v>
      </c>
      <c r="AB52" s="76">
        <f t="shared" ca="1" si="9"/>
        <v>0</v>
      </c>
      <c r="AC52" s="75">
        <f t="shared" ca="1" si="3"/>
        <v>0</v>
      </c>
      <c r="AD52" s="76">
        <f t="shared" ca="1" si="10"/>
        <v>12388.425641435188</v>
      </c>
      <c r="AE52" s="76">
        <f t="shared" si="11"/>
        <v>0</v>
      </c>
      <c r="AF52" s="75">
        <f t="shared" si="6"/>
        <v>0</v>
      </c>
      <c r="AG52" s="75">
        <f t="shared" si="7"/>
        <v>0</v>
      </c>
      <c r="AH52" s="31" t="e" cm="1">
        <f t="array" aca="1" ref="AH52" ca="1">IF((AD52) &lt; (INDEX(ResponseSLA[#All],(MATCH((G52),ResponseSLA[Priority],0))+1,3)),"YES","No")</f>
        <v>#N/A</v>
      </c>
      <c r="AI52" s="31" t="str">
        <f>_xlfn.IFNA(IF(AE52 &lt; (INDEX(SLATable[Minimum SLA],MATCH(G52,SLATable[Priority],0))),"YES","NO"),"")</f>
        <v/>
      </c>
      <c r="AJ52" t="str">
        <f>_xlfn.IFNA(IF(AE52 &lt; (INDEX(SLATable[Maximum SLA],MATCH(G52,SLATable[Priority],0))),"YES","NO"),"")</f>
        <v/>
      </c>
    </row>
    <row r="53" spans="26:36" ht="15" customHeight="1">
      <c r="Z53" s="76" t="e">
        <f t="shared" ca="1" si="8"/>
        <v>#N/A</v>
      </c>
      <c r="AA53" s="75" t="e">
        <f t="shared" ca="1" si="1"/>
        <v>#N/A</v>
      </c>
      <c r="AB53" s="76">
        <f t="shared" ca="1" si="9"/>
        <v>0</v>
      </c>
      <c r="AC53" s="75">
        <f t="shared" ca="1" si="3"/>
        <v>0</v>
      </c>
      <c r="AD53" s="76">
        <f t="shared" ca="1" si="10"/>
        <v>12388.425641203703</v>
      </c>
      <c r="AE53" s="76">
        <f t="shared" si="11"/>
        <v>0</v>
      </c>
      <c r="AF53" s="75">
        <f t="shared" si="6"/>
        <v>0</v>
      </c>
      <c r="AG53" s="75">
        <f t="shared" si="7"/>
        <v>0</v>
      </c>
      <c r="AH53" s="31" t="e" cm="1">
        <f t="array" aca="1" ref="AH53" ca="1">IF((AD53) &lt; (INDEX(ResponseSLA[#All],(MATCH((G53),ResponseSLA[Priority],0))+1,3)),"YES","No")</f>
        <v>#N/A</v>
      </c>
      <c r="AI53" s="31" t="str">
        <f>_xlfn.IFNA(IF(AE53 &lt; (INDEX(SLATable[Minimum SLA],MATCH(G53,SLATable[Priority],0))),"YES","NO"),"")</f>
        <v/>
      </c>
      <c r="AJ53" t="str">
        <f>_xlfn.IFNA(IF(AE53 &lt; (INDEX(SLATable[Maximum SLA],MATCH(G53,SLATable[Priority],0))),"YES","NO"),"")</f>
        <v/>
      </c>
    </row>
    <row r="54" spans="26:36" ht="15" customHeight="1">
      <c r="Z54" s="76" t="e">
        <f t="shared" ca="1" si="8"/>
        <v>#N/A</v>
      </c>
      <c r="AA54" s="75" t="e">
        <f t="shared" ca="1" si="1"/>
        <v>#N/A</v>
      </c>
      <c r="AB54" s="76">
        <f t="shared" ca="1" si="9"/>
        <v>0</v>
      </c>
      <c r="AC54" s="75">
        <f t="shared" ca="1" si="3"/>
        <v>0</v>
      </c>
      <c r="AD54" s="76">
        <f t="shared" ca="1" si="10"/>
        <v>12388.425641203703</v>
      </c>
      <c r="AE54" s="76">
        <f t="shared" si="11"/>
        <v>0</v>
      </c>
      <c r="AF54" s="75">
        <f t="shared" si="6"/>
        <v>0</v>
      </c>
      <c r="AG54" s="75">
        <f t="shared" si="7"/>
        <v>0</v>
      </c>
      <c r="AH54" s="31" t="e" cm="1">
        <f t="array" aca="1" ref="AH54" ca="1">IF((AD54) &lt; (INDEX(ResponseSLA[#All],(MATCH((G54),ResponseSLA[Priority],0))+1,3)),"YES","No")</f>
        <v>#N/A</v>
      </c>
      <c r="AI54" s="31" t="str">
        <f>_xlfn.IFNA(IF(AE54 &lt; (INDEX(SLATable[Minimum SLA],MATCH(G54,SLATable[Priority],0))),"YES","NO"),"")</f>
        <v/>
      </c>
      <c r="AJ54" t="str">
        <f>_xlfn.IFNA(IF(AE54 &lt; (INDEX(SLATable[Maximum SLA],MATCH(G54,SLATable[Priority],0))),"YES","NO"),"")</f>
        <v/>
      </c>
    </row>
    <row r="55" spans="26:36" ht="15" customHeight="1">
      <c r="Z55" s="76" t="e">
        <f t="shared" ca="1" si="8"/>
        <v>#N/A</v>
      </c>
      <c r="AA55" s="75" t="e">
        <f t="shared" ca="1" si="1"/>
        <v>#N/A</v>
      </c>
      <c r="AB55" s="76">
        <f t="shared" ca="1" si="9"/>
        <v>0</v>
      </c>
      <c r="AC55" s="75">
        <f t="shared" ca="1" si="3"/>
        <v>0</v>
      </c>
      <c r="AD55" s="76">
        <f t="shared" ca="1" si="10"/>
        <v>12388.425641435188</v>
      </c>
      <c r="AE55" s="76">
        <f t="shared" si="11"/>
        <v>0</v>
      </c>
      <c r="AF55" s="75">
        <f t="shared" si="6"/>
        <v>0</v>
      </c>
      <c r="AG55" s="75">
        <f t="shared" si="7"/>
        <v>0</v>
      </c>
      <c r="AH55" s="31" t="e" cm="1">
        <f t="array" aca="1" ref="AH55" ca="1">IF((AD55) &lt; (INDEX(ResponseSLA[#All],(MATCH((G55),ResponseSLA[Priority],0))+1,3)),"YES","No")</f>
        <v>#N/A</v>
      </c>
      <c r="AI55" s="31" t="str">
        <f>_xlfn.IFNA(IF(AE55 &lt; (INDEX(SLATable[Minimum SLA],MATCH(G55,SLATable[Priority],0))),"YES","NO"),"")</f>
        <v/>
      </c>
      <c r="AJ55" t="str">
        <f>_xlfn.IFNA(IF(AE55 &lt; (INDEX(SLATable[Maximum SLA],MATCH(G55,SLATable[Priority],0))),"YES","NO"),"")</f>
        <v/>
      </c>
    </row>
    <row r="56" spans="26:36" ht="15" customHeight="1">
      <c r="Z56" s="76" t="e">
        <f t="shared" ca="1" si="8"/>
        <v>#N/A</v>
      </c>
      <c r="AA56" s="75" t="e">
        <f t="shared" ca="1" si="1"/>
        <v>#N/A</v>
      </c>
      <c r="AB56" s="76">
        <f t="shared" ca="1" si="9"/>
        <v>0</v>
      </c>
      <c r="AC56" s="75">
        <f t="shared" ca="1" si="3"/>
        <v>0</v>
      </c>
      <c r="AD56" s="76">
        <f t="shared" ca="1" si="10"/>
        <v>12388.425641203703</v>
      </c>
      <c r="AE56" s="76">
        <f t="shared" si="11"/>
        <v>0</v>
      </c>
      <c r="AF56" s="75">
        <f t="shared" si="6"/>
        <v>0</v>
      </c>
      <c r="AG56" s="75">
        <f t="shared" si="7"/>
        <v>0</v>
      </c>
      <c r="AH56" s="31" t="e" cm="1">
        <f t="array" aca="1" ref="AH56" ca="1">IF((AD56) &lt; (INDEX(ResponseSLA[#All],(MATCH((G56),ResponseSLA[Priority],0))+1,3)),"YES","No")</f>
        <v>#N/A</v>
      </c>
      <c r="AI56" s="31" t="str">
        <f>_xlfn.IFNA(IF(AE56 &lt; (INDEX(SLATable[Minimum SLA],MATCH(G56,SLATable[Priority],0))),"YES","NO"),"")</f>
        <v/>
      </c>
      <c r="AJ56" t="str">
        <f>_xlfn.IFNA(IF(AE56 &lt; (INDEX(SLATable[Maximum SLA],MATCH(G56,SLATable[Priority],0))),"YES","NO"),"")</f>
        <v/>
      </c>
    </row>
    <row r="57" spans="26:36" ht="15" customHeight="1">
      <c r="Z57" s="76" t="e">
        <f t="shared" ca="1" si="8"/>
        <v>#N/A</v>
      </c>
      <c r="AA57" s="75" t="e">
        <f t="shared" ca="1" si="1"/>
        <v>#N/A</v>
      </c>
      <c r="AB57" s="76">
        <f t="shared" ca="1" si="9"/>
        <v>0</v>
      </c>
      <c r="AC57" s="75">
        <f t="shared" ca="1" si="3"/>
        <v>0</v>
      </c>
      <c r="AD57" s="76">
        <f t="shared" ca="1" si="10"/>
        <v>12388.425641203703</v>
      </c>
      <c r="AE57" s="76">
        <f t="shared" si="11"/>
        <v>0</v>
      </c>
      <c r="AF57" s="75">
        <f t="shared" si="6"/>
        <v>0</v>
      </c>
      <c r="AG57" s="75">
        <f t="shared" si="7"/>
        <v>0</v>
      </c>
      <c r="AH57" s="31" t="e" cm="1">
        <f t="array" aca="1" ref="AH57" ca="1">IF((AD57) &lt; (INDEX(ResponseSLA[#All],(MATCH((G57),ResponseSLA[Priority],0))+1,3)),"YES","No")</f>
        <v>#N/A</v>
      </c>
      <c r="AI57" s="31" t="str">
        <f>_xlfn.IFNA(IF(AE57 &lt; (INDEX(SLATable[Minimum SLA],MATCH(G57,SLATable[Priority],0))),"YES","NO"),"")</f>
        <v/>
      </c>
      <c r="AJ57" t="str">
        <f>_xlfn.IFNA(IF(AE57 &lt; (INDEX(SLATable[Maximum SLA],MATCH(G57,SLATable[Priority],0))),"YES","NO"),"")</f>
        <v/>
      </c>
    </row>
    <row r="58" spans="26:36" ht="15" customHeight="1">
      <c r="Z58" s="76" t="e">
        <f t="shared" ca="1" si="8"/>
        <v>#N/A</v>
      </c>
      <c r="AA58" s="75" t="e">
        <f t="shared" ca="1" si="1"/>
        <v>#N/A</v>
      </c>
      <c r="AB58" s="76">
        <f t="shared" ca="1" si="9"/>
        <v>0</v>
      </c>
      <c r="AC58" s="75">
        <f t="shared" ca="1" si="3"/>
        <v>0</v>
      </c>
      <c r="AD58" s="76">
        <f t="shared" ca="1" si="10"/>
        <v>12388.425641435188</v>
      </c>
      <c r="AE58" s="76">
        <f t="shared" si="11"/>
        <v>0</v>
      </c>
      <c r="AF58" s="75">
        <f t="shared" si="6"/>
        <v>0</v>
      </c>
      <c r="AG58" s="75">
        <f t="shared" si="7"/>
        <v>0</v>
      </c>
      <c r="AH58" s="31" t="e" cm="1">
        <f t="array" aca="1" ref="AH58" ca="1">IF((AD58) &lt; (INDEX(ResponseSLA[#All],(MATCH((G58),ResponseSLA[Priority],0))+1,3)),"YES","No")</f>
        <v>#N/A</v>
      </c>
      <c r="AI58" s="31" t="str">
        <f>_xlfn.IFNA(IF(AE58 &lt; (INDEX(SLATable[Minimum SLA],MATCH(G58,SLATable[Priority],0))),"YES","NO"),"")</f>
        <v/>
      </c>
      <c r="AJ58" t="str">
        <f>_xlfn.IFNA(IF(AE58 &lt; (INDEX(SLATable[Maximum SLA],MATCH(G58,SLATable[Priority],0))),"YES","NO"),"")</f>
        <v/>
      </c>
    </row>
    <row r="59" spans="26:36" ht="15" customHeight="1">
      <c r="Z59" s="76" t="e">
        <f t="shared" ca="1" si="8"/>
        <v>#N/A</v>
      </c>
      <c r="AA59" s="75" t="e">
        <f t="shared" ca="1" si="1"/>
        <v>#N/A</v>
      </c>
      <c r="AB59" s="76">
        <f t="shared" ca="1" si="9"/>
        <v>0</v>
      </c>
      <c r="AC59" s="75">
        <f t="shared" ca="1" si="3"/>
        <v>0</v>
      </c>
      <c r="AD59" s="76">
        <f t="shared" ca="1" si="10"/>
        <v>12388.425641203703</v>
      </c>
      <c r="AE59" s="76">
        <f t="shared" si="11"/>
        <v>0</v>
      </c>
      <c r="AF59" s="75">
        <f t="shared" si="6"/>
        <v>0</v>
      </c>
      <c r="AG59" s="75">
        <f t="shared" si="7"/>
        <v>0</v>
      </c>
      <c r="AH59" s="31" t="e" cm="1">
        <f t="array" aca="1" ref="AH59" ca="1">IF((AD59) &lt; (INDEX(ResponseSLA[#All],(MATCH((G59),ResponseSLA[Priority],0))+1,3)),"YES","No")</f>
        <v>#N/A</v>
      </c>
      <c r="AI59" s="31" t="str">
        <f>_xlfn.IFNA(IF(AE59 &lt; (INDEX(SLATable[Minimum SLA],MATCH(G59,SLATable[Priority],0))),"YES","NO"),"")</f>
        <v/>
      </c>
      <c r="AJ59" t="str">
        <f>_xlfn.IFNA(IF(AE59 &lt; (INDEX(SLATable[Maximum SLA],MATCH(G59,SLATable[Priority],0))),"YES","NO"),"")</f>
        <v/>
      </c>
    </row>
    <row r="60" spans="26:36" ht="15" customHeight="1">
      <c r="Z60" s="76" t="e">
        <f t="shared" ca="1" si="8"/>
        <v>#N/A</v>
      </c>
      <c r="AA60" s="75" t="e">
        <f t="shared" ca="1" si="1"/>
        <v>#N/A</v>
      </c>
      <c r="AB60" s="76">
        <f t="shared" ca="1" si="9"/>
        <v>0</v>
      </c>
      <c r="AC60" s="75">
        <f t="shared" ca="1" si="3"/>
        <v>0</v>
      </c>
      <c r="AD60" s="76">
        <f t="shared" ca="1" si="10"/>
        <v>12388.425641203703</v>
      </c>
      <c r="AE60" s="76">
        <f t="shared" si="11"/>
        <v>0</v>
      </c>
      <c r="AF60" s="75">
        <f t="shared" si="6"/>
        <v>0</v>
      </c>
      <c r="AG60" s="75">
        <f t="shared" si="7"/>
        <v>0</v>
      </c>
      <c r="AH60" s="31" t="e" cm="1">
        <f t="array" aca="1" ref="AH60" ca="1">IF((AD60) &lt; (INDEX(ResponseSLA[#All],(MATCH((G60),ResponseSLA[Priority],0))+1,3)),"YES","No")</f>
        <v>#N/A</v>
      </c>
      <c r="AI60" s="31" t="str">
        <f>_xlfn.IFNA(IF(AE60 &lt; (INDEX(SLATable[Minimum SLA],MATCH(G60,SLATable[Priority],0))),"YES","NO"),"")</f>
        <v/>
      </c>
      <c r="AJ60" t="str">
        <f>_xlfn.IFNA(IF(AE60 &lt; (INDEX(SLATable[Maximum SLA],MATCH(G60,SLATable[Priority],0))),"YES","NO"),"")</f>
        <v/>
      </c>
    </row>
    <row r="61" spans="26:36" ht="15" customHeight="1">
      <c r="Z61" s="76" t="e">
        <f t="shared" ca="1" si="8"/>
        <v>#N/A</v>
      </c>
      <c r="AA61" s="75" t="e">
        <f t="shared" ca="1" si="1"/>
        <v>#N/A</v>
      </c>
      <c r="AB61" s="76">
        <f t="shared" ca="1" si="9"/>
        <v>0</v>
      </c>
      <c r="AC61" s="75">
        <f t="shared" ca="1" si="3"/>
        <v>0</v>
      </c>
      <c r="AD61" s="76">
        <f t="shared" ca="1" si="10"/>
        <v>12388.425641435188</v>
      </c>
      <c r="AE61" s="76">
        <f t="shared" si="11"/>
        <v>0</v>
      </c>
      <c r="AF61" s="75">
        <f t="shared" si="6"/>
        <v>0</v>
      </c>
      <c r="AG61" s="75">
        <f t="shared" si="7"/>
        <v>0</v>
      </c>
      <c r="AH61" s="31" t="e" cm="1">
        <f t="array" aca="1" ref="AH61" ca="1">IF((AD61) &lt; (INDEX(ResponseSLA[#All],(MATCH((G61),ResponseSLA[Priority],0))+1,3)),"YES","No")</f>
        <v>#N/A</v>
      </c>
      <c r="AI61" s="31" t="str">
        <f>_xlfn.IFNA(IF(AE61 &lt; (INDEX(SLATable[Minimum SLA],MATCH(G61,SLATable[Priority],0))),"YES","NO"),"")</f>
        <v/>
      </c>
      <c r="AJ61" t="str">
        <f>_xlfn.IFNA(IF(AE61 &lt; (INDEX(SLATable[Maximum SLA],MATCH(G61,SLATable[Priority],0))),"YES","NO"),"")</f>
        <v/>
      </c>
    </row>
    <row r="62" spans="26:36" ht="15" customHeight="1">
      <c r="Z62" s="76" t="e">
        <f t="shared" ca="1" si="8"/>
        <v>#N/A</v>
      </c>
      <c r="AA62" s="75" t="e">
        <f t="shared" ca="1" si="1"/>
        <v>#N/A</v>
      </c>
      <c r="AB62" s="76">
        <f t="shared" ca="1" si="9"/>
        <v>0</v>
      </c>
      <c r="AC62" s="75">
        <f t="shared" ca="1" si="3"/>
        <v>0</v>
      </c>
      <c r="AD62" s="76">
        <f t="shared" ca="1" si="10"/>
        <v>12388.425641203703</v>
      </c>
      <c r="AE62" s="76">
        <f t="shared" si="11"/>
        <v>0</v>
      </c>
      <c r="AF62" s="75">
        <f t="shared" si="6"/>
        <v>0</v>
      </c>
      <c r="AG62" s="75">
        <f t="shared" si="7"/>
        <v>0</v>
      </c>
      <c r="AH62" s="31" t="e" cm="1">
        <f t="array" aca="1" ref="AH62" ca="1">IF((AD62) &lt; (INDEX(ResponseSLA[#All],(MATCH((G62),ResponseSLA[Priority],0))+1,3)),"YES","No")</f>
        <v>#N/A</v>
      </c>
      <c r="AI62" s="31" t="str">
        <f>_xlfn.IFNA(IF(AE62 &lt; (INDEX(SLATable[Minimum SLA],MATCH(G62,SLATable[Priority],0))),"YES","NO"),"")</f>
        <v/>
      </c>
      <c r="AJ62" t="str">
        <f>_xlfn.IFNA(IF(AE62 &lt; (INDEX(SLATable[Maximum SLA],MATCH(G62,SLATable[Priority],0))),"YES","NO"),"")</f>
        <v/>
      </c>
    </row>
    <row r="63" spans="26:36" ht="15" customHeight="1">
      <c r="Z63" s="76" t="e">
        <f t="shared" ca="1" si="8"/>
        <v>#N/A</v>
      </c>
      <c r="AA63" s="75" t="e">
        <f t="shared" ca="1" si="1"/>
        <v>#N/A</v>
      </c>
      <c r="AB63" s="76">
        <f t="shared" ca="1" si="9"/>
        <v>0</v>
      </c>
      <c r="AC63" s="75">
        <f t="shared" ca="1" si="3"/>
        <v>0</v>
      </c>
      <c r="AD63" s="76">
        <f t="shared" ca="1" si="10"/>
        <v>12388.425641203703</v>
      </c>
      <c r="AE63" s="76">
        <f t="shared" si="11"/>
        <v>0</v>
      </c>
      <c r="AF63" s="75">
        <f t="shared" si="6"/>
        <v>0</v>
      </c>
      <c r="AG63" s="75">
        <f t="shared" si="7"/>
        <v>0</v>
      </c>
      <c r="AH63" s="31" t="e" cm="1">
        <f t="array" aca="1" ref="AH63" ca="1">IF((AD63) &lt; (INDEX(ResponseSLA[#All],(MATCH((G63),ResponseSLA[Priority],0))+1,3)),"YES","No")</f>
        <v>#N/A</v>
      </c>
      <c r="AI63" s="31" t="str">
        <f>_xlfn.IFNA(IF(AE63 &lt; (INDEX(SLATable[Minimum SLA],MATCH(G63,SLATable[Priority],0))),"YES","NO"),"")</f>
        <v/>
      </c>
      <c r="AJ63" t="str">
        <f>_xlfn.IFNA(IF(AE63 &lt; (INDEX(SLATable[Maximum SLA],MATCH(G63,SLATable[Priority],0))),"YES","NO"),"")</f>
        <v/>
      </c>
    </row>
    <row r="64" spans="26:36" ht="15" customHeight="1">
      <c r="Z64" s="76" t="e">
        <f t="shared" ca="1" si="8"/>
        <v>#N/A</v>
      </c>
      <c r="AA64" s="75" t="e">
        <f t="shared" ca="1" si="1"/>
        <v>#N/A</v>
      </c>
      <c r="AB64" s="76">
        <f t="shared" ca="1" si="9"/>
        <v>0</v>
      </c>
      <c r="AC64" s="75">
        <f t="shared" ca="1" si="3"/>
        <v>0</v>
      </c>
      <c r="AD64" s="76">
        <f t="shared" ca="1" si="10"/>
        <v>12388.425641435188</v>
      </c>
      <c r="AE64" s="76">
        <f t="shared" si="11"/>
        <v>0</v>
      </c>
      <c r="AF64" s="75">
        <f t="shared" si="6"/>
        <v>0</v>
      </c>
      <c r="AG64" s="75">
        <f t="shared" si="7"/>
        <v>0</v>
      </c>
      <c r="AH64" s="31" t="e" cm="1">
        <f t="array" aca="1" ref="AH64" ca="1">IF((AD64) &lt; (INDEX(ResponseSLA[#All],(MATCH((G64),ResponseSLA[Priority],0))+1,3)),"YES","No")</f>
        <v>#N/A</v>
      </c>
      <c r="AI64" s="31" t="str">
        <f>_xlfn.IFNA(IF(AE64 &lt; (INDEX(SLATable[Minimum SLA],MATCH(G64,SLATable[Priority],0))),"YES","NO"),"")</f>
        <v/>
      </c>
      <c r="AJ64" t="str">
        <f>_xlfn.IFNA(IF(AE64 &lt; (INDEX(SLATable[Maximum SLA],MATCH(G64,SLATable[Priority],0))),"YES","NO"),"")</f>
        <v/>
      </c>
    </row>
    <row r="65" spans="26:36" ht="15" customHeight="1">
      <c r="Z65" s="76" t="e">
        <f t="shared" ca="1" si="8"/>
        <v>#N/A</v>
      </c>
      <c r="AA65" s="75" t="e">
        <f t="shared" ca="1" si="1"/>
        <v>#N/A</v>
      </c>
      <c r="AB65" s="76">
        <f t="shared" ca="1" si="9"/>
        <v>0</v>
      </c>
      <c r="AC65" s="75">
        <f t="shared" ca="1" si="3"/>
        <v>0</v>
      </c>
      <c r="AD65" s="76">
        <f t="shared" ca="1" si="10"/>
        <v>12388.425641203703</v>
      </c>
      <c r="AE65" s="76">
        <f t="shared" si="11"/>
        <v>0</v>
      </c>
      <c r="AF65" s="75">
        <f t="shared" si="6"/>
        <v>0</v>
      </c>
      <c r="AG65" s="75">
        <f t="shared" si="7"/>
        <v>0</v>
      </c>
      <c r="AH65" s="31" t="e" cm="1">
        <f t="array" aca="1" ref="AH65" ca="1">IF((AD65) &lt; (INDEX(ResponseSLA[#All],(MATCH((G65),ResponseSLA[Priority],0))+1,3)),"YES","No")</f>
        <v>#N/A</v>
      </c>
      <c r="AI65" s="31" t="str">
        <f>_xlfn.IFNA(IF(AE65 &lt; (INDEX(SLATable[Minimum SLA],MATCH(G65,SLATable[Priority],0))),"YES","NO"),"")</f>
        <v/>
      </c>
      <c r="AJ65" t="str">
        <f>_xlfn.IFNA(IF(AE65 &lt; (INDEX(SLATable[Maximum SLA],MATCH(G65,SLATable[Priority],0))),"YES","NO"),"")</f>
        <v/>
      </c>
    </row>
    <row r="66" spans="26:36" ht="15" customHeight="1">
      <c r="Z66" s="76" t="e">
        <f t="shared" ca="1" si="8"/>
        <v>#N/A</v>
      </c>
      <c r="AA66" s="75" t="e">
        <f t="shared" ca="1" si="1"/>
        <v>#N/A</v>
      </c>
      <c r="AB66" s="76">
        <f t="shared" ca="1" si="9"/>
        <v>0</v>
      </c>
      <c r="AC66" s="75">
        <f t="shared" ca="1" si="3"/>
        <v>0</v>
      </c>
      <c r="AD66" s="76">
        <f t="shared" ca="1" si="10"/>
        <v>12388.425641203703</v>
      </c>
      <c r="AE66" s="76">
        <f t="shared" si="11"/>
        <v>0</v>
      </c>
      <c r="AF66" s="75">
        <f t="shared" si="6"/>
        <v>0</v>
      </c>
      <c r="AG66" s="75">
        <f t="shared" si="7"/>
        <v>0</v>
      </c>
      <c r="AH66" s="31" t="e" cm="1">
        <f t="array" aca="1" ref="AH66" ca="1">IF((AD66) &lt; (INDEX(ResponseSLA[#All],(MATCH((G66),ResponseSLA[Priority],0))+1,3)),"YES","No")</f>
        <v>#N/A</v>
      </c>
      <c r="AI66" s="31" t="str">
        <f>_xlfn.IFNA(IF(AE66 &lt; (INDEX(SLATable[Minimum SLA],MATCH(G66,SLATable[Priority],0))),"YES","NO"),"")</f>
        <v/>
      </c>
      <c r="AJ66" t="str">
        <f>_xlfn.IFNA(IF(AE66 &lt; (INDEX(SLATable[Maximum SLA],MATCH(G66,SLATable[Priority],0))),"YES","NO"),"")</f>
        <v/>
      </c>
    </row>
    <row r="67" spans="26:36" ht="15" customHeight="1">
      <c r="Z67" s="76" t="e">
        <f t="shared" ref="Z67:Z130" ca="1" si="12">IF(NOT(OR(G67=1,G67=2)),MAX(0,_xlfn.IFS(AND(K67&lt;&gt;"",N67&lt;&gt;""),((MAX(NETWORKDAYS(K67,N67,UKBankHolidays)-1,0))*(TIME(17,0,0)-TIME(8,0,0))+IF(NETWORKDAYS(N67,N67,UKBankHolidays)&gt;0,MEDIAN(TIME(8,0,0),MOD(N67,1),TIME(17,0,0)),TIME(8,0,0))-IF(NETWORKDAYS(K67,K67,UKBankHolidays)&gt;0,MEDIAN(TIME(8,0,0),MOD(K67,1),TIME(17,0,0)),TIME(8,0,0)))-IF(AND(O67&lt;&gt;"",P67&lt;&gt;""),((MAX(NETWORKDAYS(O67,P67,UKBankHolidays)-1,0))*(TIME(17,0,0)-TIME(8,0,0))+IF(NETWORKDAYS(P67,P67,UKBankHolidays)&gt;0,MEDIAN(TIME(8,0,0),MOD(P67,1),TIME(17,0,0)),TIME(8,0,0))-IF(NETWORKDAYS(O67,O67,UKBankHolidays)&gt;0,MEDIAN(TIME(8,0,0),MOD(O67,1),TIME(17,0,0)),TIME(8,0,0))),0),AND(K67&lt;&gt;"",N67=""),((MAX(NETWORKDAYS(K67,NOW(),UKBankHolidays)-1,0))*(TIME(17,0,0)-TIME(8,0,0))+IF(NETWORKDAYS(NOW(),NOW(),UKBankHolidays)&gt;0,MEDIAN(TIME(8,0,0),MOD(NOW(),1),TIME(17,0,0)),TIME(8,0,0))-IF(NETWORKDAYS(K67,K67,UKBankHolidays)&gt;0,MEDIAN(TIME(8,0,0),MOD(K67,1),TIME(17,0,0)),TIME(8,0,0))))),IF(N67="",NOW()-K67,N67-K67))</f>
        <v>#N/A</v>
      </c>
      <c r="AA67" s="75" t="e">
        <f t="shared" ca="1" si="1"/>
        <v>#N/A</v>
      </c>
      <c r="AB67" s="76">
        <f t="shared" ref="AB67:AB130" ca="1" si="13">IF(NOT(OR(G67=1,G67=2)),MAX(0,_xlfn.IFS(AND(K67&lt;&gt;"",N67&lt;&gt;""),(((MAX(NETWORKDAYS(L67,N67,UKBankHolidays)-1,0))*(TIME(17,0,0)-TIME(8,0,0)))+IF(NETWORKDAYS(N67,N67,UKBankHolidays)&gt;0,MEDIAN(TIME(8,0,0),MOD(N67,1),TIME(17,0,0)),TIME(8,0,0))-IF(NETWORKDAYS(L67,L67,UKBankHolidays)&gt;0,MEDIAN(TIME(8,0,0),MOD(L67,1),TIME(17,0,0)),TIME(8,0,0)))-IF(AND(O67&lt;&gt;"",P67&lt;&gt;""),(((MAX(NETWORKDAYS(O67,P67,UKBankHolidays)-1,0))*(TIME(17,0,0)-TIME(8,0,0)))+IF(NETWORKDAYS(P67,P67,UKBankHolidays)&gt;0,MEDIAN(TIME(8,0,0),MOD(P67,1),TIME(17,0,0)),TIME(8,0,0))-IF(NETWORKDAYS(O67,O67,UKBankHolidays)&gt;0,MEDIAN(TIME(8,0,0),MOD(O67,1),TIME(17,0,0)),TIME(8,0,0))),0),AND(L67&lt;&gt;"",N67="",O67=""),(((MAX(NETWORKDAYS(L67,NOW(),UKBankHolidays)-1,0))*(TIME(17,0,0)-TIME(8,0,0)))+IF(NETWORKDAYS(NOW(),NOW(),UKBankHolidays)&gt;0,MEDIAN(TIME(8,0,0),MOD(NOW(),1),TIME(17,0,0)),TIME(8,0,0))-IF(NETWORKDAYS(L67,L67,UKBankHolidays)&gt;0,MEDIAN(TIME(8,0,0),MOD(L67,1),TIME(17,0,0)),TIME(8,0,0)))-IF(AND(O67&lt;&gt;"",P67&lt;&gt;""),(((MAX(NETWORKDAYS(O67,P67,UKBankHolidays)-1,0))*(TIME(17,0,0)-TIME(8,0,0)))+IF(NETWORKDAYS(P67,P67,UKBankHolidays)&gt;0,MEDIAN(TIME(8,0,0),MOD(P67,1),TIME(17,0,0)),TIME(8,0,0))-IF(NETWORKDAYS(O67,O67,UKBankHolidays)&gt;0,MEDIAN(TIME(8,0,0),MOD(O67,1),TIME(17,0,0)),TIME(8,0,0))),0),AND(L67&lt;&gt;"",N67="",P67="",O67&lt;&gt;""),(((MAX(NETWORKDAYS(L67,O67,UKBankHolidays)-1,0))*(TIME(17,0,0)-TIME(8,0,0)))+IF(NETWORKDAYS(O67,O67,UKBankHolidays)&gt;0,MEDIAN(TIME(8,0,0),MOD(O67,1),TIME(17,0,0)),TIME(8,0,0))-IF(NETWORKDAYS(L67,L67,UKBankHolidays)&gt;0,MEDIAN(TIME(8,0,0),MOD(L67,1),TIME(17,0,0)),TIME(8,0,0))),ISBLANK(K67),"0")),IF(ISBLANK(N67),NOW()-L67,N67-L67))</f>
        <v>0</v>
      </c>
      <c r="AC67" s="75">
        <f t="shared" ca="1" si="3"/>
        <v>0</v>
      </c>
      <c r="AD67" s="76">
        <f t="shared" ref="AD67:AD130" ca="1" si="14">MAX(0,IF(NOT(OR(G67=1,G67=2)),IF(M67&lt;&gt;"",((MAX(NETWORKDAYS(L67,M67,UKBankHolidays)-1,0))*(TIME(17,0,0)-TIME(8,0,0))+IF(NETWORKDAYS(M67,M67,UKBankHolidays)&gt;0,MEDIAN(TIME(8,0,0),MOD(M67,1),TIME(17,0,0)),TIME(8,0,0))-MEDIAN(TIME(8,0,0),MOD(L67,1),TIME(17,0,0))),((MAX(NETWORKDAYS(L67,NOW(),UKBankHolidays)-1,0))*(TIME(17,0,0)-TIME(8,0,0))+IF(NETWORKDAYS(NOW(),NOW(),UKBankHolidays)&gt;0,MEDIAN(TIME(8,0,0),MOD(NOW(),1),TIME(17,0,0)),TIME(8,0,0))-MEDIAN(TIME(8,0,0),MOD(L67,1),TIME(17,0,0)))),IF(M67&lt;&gt;"",M67-L67,NOW()-L67)))</f>
        <v>12388.425641435188</v>
      </c>
      <c r="AE67" s="76">
        <f t="shared" ref="AE67:AE130" si="15">SUMIFS(AB:AB,E:E,E67)</f>
        <v>0</v>
      </c>
      <c r="AF67" s="75">
        <f t="shared" si="6"/>
        <v>0</v>
      </c>
      <c r="AG67" s="75">
        <f t="shared" si="7"/>
        <v>0</v>
      </c>
      <c r="AH67" s="31" t="e" cm="1">
        <f t="array" aca="1" ref="AH67" ca="1">IF((AD67) &lt; (INDEX(ResponseSLA[#All],(MATCH((G67),ResponseSLA[Priority],0))+1,3)),"YES","No")</f>
        <v>#N/A</v>
      </c>
      <c r="AI67" s="31" t="str">
        <f>_xlfn.IFNA(IF(AE67 &lt; (INDEX(SLATable[Minimum SLA],MATCH(G67,SLATable[Priority],0))),"YES","NO"),"")</f>
        <v/>
      </c>
      <c r="AJ67" t="str">
        <f>_xlfn.IFNA(IF(AE67 &lt; (INDEX(SLATable[Maximum SLA],MATCH(G67,SLATable[Priority],0))),"YES","NO"),"")</f>
        <v/>
      </c>
    </row>
    <row r="68" spans="26:36" ht="15" customHeight="1">
      <c r="Z68" s="76" t="e">
        <f t="shared" ca="1" si="12"/>
        <v>#N/A</v>
      </c>
      <c r="AA68" s="75" t="e">
        <f t="shared" ca="1" si="1"/>
        <v>#N/A</v>
      </c>
      <c r="AB68" s="76">
        <f t="shared" ca="1" si="13"/>
        <v>0</v>
      </c>
      <c r="AC68" s="75">
        <f t="shared" ca="1" si="3"/>
        <v>0</v>
      </c>
      <c r="AD68" s="76">
        <f t="shared" ca="1" si="14"/>
        <v>12388.425641203703</v>
      </c>
      <c r="AE68" s="76">
        <f t="shared" si="15"/>
        <v>0</v>
      </c>
      <c r="AF68" s="75">
        <f t="shared" si="6"/>
        <v>0</v>
      </c>
      <c r="AG68" s="75">
        <f t="shared" si="7"/>
        <v>0</v>
      </c>
      <c r="AH68" s="31" t="e" cm="1">
        <f t="array" aca="1" ref="AH68" ca="1">IF((AD68) &lt; (INDEX(ResponseSLA[#All],(MATCH((G68),ResponseSLA[Priority],0))+1,3)),"YES","No")</f>
        <v>#N/A</v>
      </c>
      <c r="AI68" s="31" t="str">
        <f>_xlfn.IFNA(IF(AE68 &lt; (INDEX(SLATable[Minimum SLA],MATCH(G68,SLATable[Priority],0))),"YES","NO"),"")</f>
        <v/>
      </c>
      <c r="AJ68" t="str">
        <f>_xlfn.IFNA(IF(AE68 &lt; (INDEX(SLATable[Maximum SLA],MATCH(G68,SLATable[Priority],0))),"YES","NO"),"")</f>
        <v/>
      </c>
    </row>
    <row r="69" spans="26:36" ht="15" customHeight="1">
      <c r="Z69" s="76" t="e">
        <f t="shared" ca="1" si="12"/>
        <v>#N/A</v>
      </c>
      <c r="AA69" s="75" t="e">
        <f t="shared" ca="1" si="1"/>
        <v>#N/A</v>
      </c>
      <c r="AB69" s="76">
        <f t="shared" ca="1" si="13"/>
        <v>0</v>
      </c>
      <c r="AC69" s="75">
        <f t="shared" ca="1" si="3"/>
        <v>0</v>
      </c>
      <c r="AD69" s="76">
        <f t="shared" ca="1" si="14"/>
        <v>12388.425641203703</v>
      </c>
      <c r="AE69" s="76">
        <f t="shared" si="15"/>
        <v>0</v>
      </c>
      <c r="AF69" s="75">
        <f t="shared" si="6"/>
        <v>0</v>
      </c>
      <c r="AG69" s="75">
        <f t="shared" si="7"/>
        <v>0</v>
      </c>
      <c r="AH69" s="31" t="e" cm="1">
        <f t="array" aca="1" ref="AH69" ca="1">IF((AD69) &lt; (INDEX(ResponseSLA[#All],(MATCH((G69),ResponseSLA[Priority],0))+1,3)),"YES","No")</f>
        <v>#N/A</v>
      </c>
      <c r="AI69" s="31" t="str">
        <f>_xlfn.IFNA(IF(AE69 &lt; (INDEX(SLATable[Minimum SLA],MATCH(G69,SLATable[Priority],0))),"YES","NO"),"")</f>
        <v/>
      </c>
      <c r="AJ69" t="str">
        <f>_xlfn.IFNA(IF(AE69 &lt; (INDEX(SLATable[Maximum SLA],MATCH(G69,SLATable[Priority],0))),"YES","NO"),"")</f>
        <v/>
      </c>
    </row>
    <row r="70" spans="26:36" ht="15" customHeight="1">
      <c r="Z70" s="76" t="e">
        <f t="shared" ca="1" si="12"/>
        <v>#N/A</v>
      </c>
      <c r="AA70" s="75" t="e">
        <f t="shared" ca="1" si="1"/>
        <v>#N/A</v>
      </c>
      <c r="AB70" s="76">
        <f t="shared" ca="1" si="13"/>
        <v>0</v>
      </c>
      <c r="AC70" s="75">
        <f t="shared" ca="1" si="3"/>
        <v>0</v>
      </c>
      <c r="AD70" s="76">
        <f t="shared" ca="1" si="14"/>
        <v>12388.425641435188</v>
      </c>
      <c r="AE70" s="76">
        <f t="shared" si="15"/>
        <v>0</v>
      </c>
      <c r="AF70" s="75">
        <f t="shared" si="6"/>
        <v>0</v>
      </c>
      <c r="AG70" s="75">
        <f t="shared" si="7"/>
        <v>0</v>
      </c>
      <c r="AH70" s="31" t="e" cm="1">
        <f t="array" aca="1" ref="AH70" ca="1">IF((AD70) &lt; (INDEX(ResponseSLA[#All],(MATCH((G70),ResponseSLA[Priority],0))+1,3)),"YES","No")</f>
        <v>#N/A</v>
      </c>
      <c r="AI70" s="31" t="str">
        <f>_xlfn.IFNA(IF(AE70 &lt; (INDEX(SLATable[Minimum SLA],MATCH(G70,SLATable[Priority],0))),"YES","NO"),"")</f>
        <v/>
      </c>
      <c r="AJ70" t="str">
        <f>_xlfn.IFNA(IF(AE70 &lt; (INDEX(SLATable[Maximum SLA],MATCH(G70,SLATable[Priority],0))),"YES","NO"),"")</f>
        <v/>
      </c>
    </row>
    <row r="71" spans="26:36" ht="15" customHeight="1">
      <c r="Z71" s="76" t="e">
        <f t="shared" ca="1" si="12"/>
        <v>#N/A</v>
      </c>
      <c r="AA71" s="75" t="e">
        <f t="shared" ca="1" si="1"/>
        <v>#N/A</v>
      </c>
      <c r="AB71" s="76">
        <f t="shared" ca="1" si="13"/>
        <v>0</v>
      </c>
      <c r="AC71" s="75">
        <f t="shared" ca="1" si="3"/>
        <v>0</v>
      </c>
      <c r="AD71" s="76">
        <f t="shared" ca="1" si="14"/>
        <v>12388.425641203703</v>
      </c>
      <c r="AE71" s="76">
        <f t="shared" si="15"/>
        <v>0</v>
      </c>
      <c r="AF71" s="75">
        <f t="shared" si="6"/>
        <v>0</v>
      </c>
      <c r="AG71" s="75">
        <f t="shared" si="7"/>
        <v>0</v>
      </c>
      <c r="AH71" s="31" t="e" cm="1">
        <f t="array" aca="1" ref="AH71" ca="1">IF((AD71) &lt; (INDEX(ResponseSLA[#All],(MATCH((G71),ResponseSLA[Priority],0))+1,3)),"YES","No")</f>
        <v>#N/A</v>
      </c>
      <c r="AI71" s="31" t="str">
        <f>_xlfn.IFNA(IF(AE71 &lt; (INDEX(SLATable[Minimum SLA],MATCH(G71,SLATable[Priority],0))),"YES","NO"),"")</f>
        <v/>
      </c>
      <c r="AJ71" t="str">
        <f>_xlfn.IFNA(IF(AE71 &lt; (INDEX(SLATable[Maximum SLA],MATCH(G71,SLATable[Priority],0))),"YES","NO"),"")</f>
        <v/>
      </c>
    </row>
    <row r="72" spans="26:36" ht="15" customHeight="1">
      <c r="Z72" s="76" t="e">
        <f t="shared" ca="1" si="12"/>
        <v>#N/A</v>
      </c>
      <c r="AA72" s="75" t="e">
        <f t="shared" ca="1" si="1"/>
        <v>#N/A</v>
      </c>
      <c r="AB72" s="76">
        <f t="shared" ca="1" si="13"/>
        <v>0</v>
      </c>
      <c r="AC72" s="75">
        <f t="shared" ca="1" si="3"/>
        <v>0</v>
      </c>
      <c r="AD72" s="76">
        <f t="shared" ca="1" si="14"/>
        <v>12388.425641203703</v>
      </c>
      <c r="AE72" s="76">
        <f t="shared" si="15"/>
        <v>0</v>
      </c>
      <c r="AF72" s="75">
        <f t="shared" si="6"/>
        <v>0</v>
      </c>
      <c r="AG72" s="75">
        <f t="shared" si="7"/>
        <v>0</v>
      </c>
      <c r="AH72" s="31" t="e" cm="1">
        <f t="array" aca="1" ref="AH72" ca="1">IF((AD72) &lt; (INDEX(ResponseSLA[#All],(MATCH((G72),ResponseSLA[Priority],0))+1,3)),"YES","No")</f>
        <v>#N/A</v>
      </c>
      <c r="AI72" s="31" t="str">
        <f>_xlfn.IFNA(IF(AE72 &lt; (INDEX(SLATable[Minimum SLA],MATCH(G72,SLATable[Priority],0))),"YES","NO"),"")</f>
        <v/>
      </c>
      <c r="AJ72" t="str">
        <f>_xlfn.IFNA(IF(AE72 &lt; (INDEX(SLATable[Maximum SLA],MATCH(G72,SLATable[Priority],0))),"YES","NO"),"")</f>
        <v/>
      </c>
    </row>
    <row r="73" spans="26:36" ht="15" customHeight="1">
      <c r="Z73" s="76" t="e">
        <f t="shared" ca="1" si="12"/>
        <v>#N/A</v>
      </c>
      <c r="AA73" s="75" t="e">
        <f t="shared" ca="1" si="1"/>
        <v>#N/A</v>
      </c>
      <c r="AB73" s="76">
        <f t="shared" ca="1" si="13"/>
        <v>0</v>
      </c>
      <c r="AC73" s="75">
        <f t="shared" ca="1" si="3"/>
        <v>0</v>
      </c>
      <c r="AD73" s="76">
        <f t="shared" ca="1" si="14"/>
        <v>12388.425641435188</v>
      </c>
      <c r="AE73" s="76">
        <f t="shared" si="15"/>
        <v>0</v>
      </c>
      <c r="AF73" s="75">
        <f t="shared" si="6"/>
        <v>0</v>
      </c>
      <c r="AG73" s="75">
        <f t="shared" si="7"/>
        <v>0</v>
      </c>
      <c r="AH73" s="31" t="e" cm="1">
        <f t="array" aca="1" ref="AH73" ca="1">IF((AD73) &lt; (INDEX(ResponseSLA[#All],(MATCH((G73),ResponseSLA[Priority],0))+1,3)),"YES","No")</f>
        <v>#N/A</v>
      </c>
      <c r="AI73" s="31" t="str">
        <f>_xlfn.IFNA(IF(AE73 &lt; (INDEX(SLATable[Minimum SLA],MATCH(G73,SLATable[Priority],0))),"YES","NO"),"")</f>
        <v/>
      </c>
      <c r="AJ73" t="str">
        <f>_xlfn.IFNA(IF(AE73 &lt; (INDEX(SLATable[Maximum SLA],MATCH(G73,SLATable[Priority],0))),"YES","NO"),"")</f>
        <v/>
      </c>
    </row>
    <row r="74" spans="26:36" ht="15" customHeight="1">
      <c r="Z74" s="76" t="e">
        <f t="shared" ca="1" si="12"/>
        <v>#N/A</v>
      </c>
      <c r="AA74" s="75" t="e">
        <f t="shared" ca="1" si="1"/>
        <v>#N/A</v>
      </c>
      <c r="AB74" s="76">
        <f t="shared" ca="1" si="13"/>
        <v>0</v>
      </c>
      <c r="AC74" s="75">
        <f t="shared" ca="1" si="3"/>
        <v>0</v>
      </c>
      <c r="AD74" s="76">
        <f t="shared" ca="1" si="14"/>
        <v>12388.425641203703</v>
      </c>
      <c r="AE74" s="76">
        <f t="shared" si="15"/>
        <v>0</v>
      </c>
      <c r="AF74" s="75">
        <f t="shared" si="6"/>
        <v>0</v>
      </c>
      <c r="AG74" s="75">
        <f t="shared" si="7"/>
        <v>0</v>
      </c>
      <c r="AH74" s="31" t="e" cm="1">
        <f t="array" aca="1" ref="AH74" ca="1">IF((AD74) &lt; (INDEX(ResponseSLA[#All],(MATCH((G74),ResponseSLA[Priority],0))+1,3)),"YES","No")</f>
        <v>#N/A</v>
      </c>
      <c r="AI74" s="31" t="str">
        <f>_xlfn.IFNA(IF(AE74 &lt; (INDEX(SLATable[Minimum SLA],MATCH(G74,SLATable[Priority],0))),"YES","NO"),"")</f>
        <v/>
      </c>
      <c r="AJ74" t="str">
        <f>_xlfn.IFNA(IF(AE74 &lt; (INDEX(SLATable[Maximum SLA],MATCH(G74,SLATable[Priority],0))),"YES","NO"),"")</f>
        <v/>
      </c>
    </row>
    <row r="75" spans="26:36" ht="15" customHeight="1">
      <c r="Z75" s="76" t="e">
        <f t="shared" ca="1" si="12"/>
        <v>#N/A</v>
      </c>
      <c r="AA75" s="75" t="e">
        <f t="shared" ca="1" si="1"/>
        <v>#N/A</v>
      </c>
      <c r="AB75" s="76">
        <f t="shared" ca="1" si="13"/>
        <v>0</v>
      </c>
      <c r="AC75" s="75">
        <f t="shared" ca="1" si="3"/>
        <v>0</v>
      </c>
      <c r="AD75" s="76">
        <f t="shared" ca="1" si="14"/>
        <v>12388.425641203703</v>
      </c>
      <c r="AE75" s="76">
        <f t="shared" si="15"/>
        <v>0</v>
      </c>
      <c r="AF75" s="75">
        <f t="shared" si="6"/>
        <v>0</v>
      </c>
      <c r="AG75" s="75">
        <f t="shared" si="7"/>
        <v>0</v>
      </c>
      <c r="AH75" s="31" t="e" cm="1">
        <f t="array" aca="1" ref="AH75" ca="1">IF((AD75) &lt; (INDEX(ResponseSLA[#All],(MATCH((G75),ResponseSLA[Priority],0))+1,3)),"YES","No")</f>
        <v>#N/A</v>
      </c>
      <c r="AI75" s="31" t="str">
        <f>_xlfn.IFNA(IF(AE75 &lt; (INDEX(SLATable[Minimum SLA],MATCH(G75,SLATable[Priority],0))),"YES","NO"),"")</f>
        <v/>
      </c>
      <c r="AJ75" t="str">
        <f>_xlfn.IFNA(IF(AE75 &lt; (INDEX(SLATable[Maximum SLA],MATCH(G75,SLATable[Priority],0))),"YES","NO"),"")</f>
        <v/>
      </c>
    </row>
    <row r="76" spans="26:36" ht="15" customHeight="1">
      <c r="Z76" s="76" t="e">
        <f t="shared" ca="1" si="12"/>
        <v>#N/A</v>
      </c>
      <c r="AA76" s="75" t="e">
        <f t="shared" ca="1" si="1"/>
        <v>#N/A</v>
      </c>
      <c r="AB76" s="76">
        <f t="shared" ca="1" si="13"/>
        <v>0</v>
      </c>
      <c r="AC76" s="75">
        <f t="shared" ca="1" si="3"/>
        <v>0</v>
      </c>
      <c r="AD76" s="76">
        <f t="shared" ca="1" si="14"/>
        <v>12388.425641435188</v>
      </c>
      <c r="AE76" s="76">
        <f t="shared" si="15"/>
        <v>0</v>
      </c>
      <c r="AF76" s="75">
        <f t="shared" si="6"/>
        <v>0</v>
      </c>
      <c r="AG76" s="75">
        <f t="shared" si="7"/>
        <v>0</v>
      </c>
      <c r="AH76" s="31" t="e" cm="1">
        <f t="array" aca="1" ref="AH76" ca="1">IF((AD76) &lt; (INDEX(ResponseSLA[#All],(MATCH((G76),ResponseSLA[Priority],0))+1,3)),"YES","No")</f>
        <v>#N/A</v>
      </c>
      <c r="AI76" s="31" t="str">
        <f>_xlfn.IFNA(IF(AE76 &lt; (INDEX(SLATable[Minimum SLA],MATCH(G76,SLATable[Priority],0))),"YES","NO"),"")</f>
        <v/>
      </c>
      <c r="AJ76" t="str">
        <f>_xlfn.IFNA(IF(AE76 &lt; (INDEX(SLATable[Maximum SLA],MATCH(G76,SLATable[Priority],0))),"YES","NO"),"")</f>
        <v/>
      </c>
    </row>
    <row r="77" spans="26:36" ht="15" customHeight="1">
      <c r="Z77" s="76" t="e">
        <f t="shared" ca="1" si="12"/>
        <v>#N/A</v>
      </c>
      <c r="AA77" s="75" t="e">
        <f t="shared" ca="1" si="1"/>
        <v>#N/A</v>
      </c>
      <c r="AB77" s="76">
        <f t="shared" ca="1" si="13"/>
        <v>0</v>
      </c>
      <c r="AC77" s="75">
        <f t="shared" ca="1" si="3"/>
        <v>0</v>
      </c>
      <c r="AD77" s="76">
        <f t="shared" ca="1" si="14"/>
        <v>12388.425641203703</v>
      </c>
      <c r="AE77" s="76">
        <f t="shared" si="15"/>
        <v>0</v>
      </c>
      <c r="AF77" s="75">
        <f t="shared" si="6"/>
        <v>0</v>
      </c>
      <c r="AG77" s="75">
        <f t="shared" si="7"/>
        <v>0</v>
      </c>
      <c r="AH77" s="31" t="e" cm="1">
        <f t="array" aca="1" ref="AH77" ca="1">IF((AD77) &lt; (INDEX(ResponseSLA[#All],(MATCH((G77),ResponseSLA[Priority],0))+1,3)),"YES","No")</f>
        <v>#N/A</v>
      </c>
      <c r="AI77" s="31" t="str">
        <f>_xlfn.IFNA(IF(AE77 &lt; (INDEX(SLATable[Minimum SLA],MATCH(G77,SLATable[Priority],0))),"YES","NO"),"")</f>
        <v/>
      </c>
      <c r="AJ77" t="str">
        <f>_xlfn.IFNA(IF(AE77 &lt; (INDEX(SLATable[Maximum SLA],MATCH(G77,SLATable[Priority],0))),"YES","NO"),"")</f>
        <v/>
      </c>
    </row>
    <row r="78" spans="26:36" ht="15" customHeight="1">
      <c r="Z78" s="76" t="e">
        <f t="shared" ca="1" si="12"/>
        <v>#N/A</v>
      </c>
      <c r="AA78" s="75" t="e">
        <f t="shared" ca="1" si="1"/>
        <v>#N/A</v>
      </c>
      <c r="AB78" s="76">
        <f t="shared" ca="1" si="13"/>
        <v>0</v>
      </c>
      <c r="AC78" s="75">
        <f t="shared" ca="1" si="3"/>
        <v>0</v>
      </c>
      <c r="AD78" s="76">
        <f t="shared" ca="1" si="14"/>
        <v>12388.425641203703</v>
      </c>
      <c r="AE78" s="76">
        <f t="shared" si="15"/>
        <v>0</v>
      </c>
      <c r="AF78" s="75">
        <f t="shared" si="6"/>
        <v>0</v>
      </c>
      <c r="AG78" s="75">
        <f t="shared" si="7"/>
        <v>0</v>
      </c>
      <c r="AH78" s="31" t="e" cm="1">
        <f t="array" aca="1" ref="AH78" ca="1">IF((AD78) &lt; (INDEX(ResponseSLA[#All],(MATCH((G78),ResponseSLA[Priority],0))+1,3)),"YES","No")</f>
        <v>#N/A</v>
      </c>
      <c r="AI78" s="31" t="str">
        <f>_xlfn.IFNA(IF(AE78 &lt; (INDEX(SLATable[Minimum SLA],MATCH(G78,SLATable[Priority],0))),"YES","NO"),"")</f>
        <v/>
      </c>
      <c r="AJ78" t="str">
        <f>_xlfn.IFNA(IF(AE78 &lt; (INDEX(SLATable[Maximum SLA],MATCH(G78,SLATable[Priority],0))),"YES","NO"),"")</f>
        <v/>
      </c>
    </row>
    <row r="79" spans="26:36" ht="15" customHeight="1">
      <c r="Z79" s="76" t="e">
        <f t="shared" ca="1" si="12"/>
        <v>#N/A</v>
      </c>
      <c r="AA79" s="75" t="e">
        <f t="shared" ca="1" si="1"/>
        <v>#N/A</v>
      </c>
      <c r="AB79" s="76">
        <f t="shared" ca="1" si="13"/>
        <v>0</v>
      </c>
      <c r="AC79" s="75">
        <f t="shared" ca="1" si="3"/>
        <v>0</v>
      </c>
      <c r="AD79" s="76">
        <f t="shared" ca="1" si="14"/>
        <v>12388.425641435188</v>
      </c>
      <c r="AE79" s="76">
        <f t="shared" si="15"/>
        <v>0</v>
      </c>
      <c r="AF79" s="75">
        <f t="shared" si="6"/>
        <v>0</v>
      </c>
      <c r="AG79" s="75">
        <f t="shared" si="7"/>
        <v>0</v>
      </c>
      <c r="AH79" s="31" t="e" cm="1">
        <f t="array" aca="1" ref="AH79" ca="1">IF((AD79) &lt; (INDEX(ResponseSLA[#All],(MATCH((G79),ResponseSLA[Priority],0))+1,3)),"YES","No")</f>
        <v>#N/A</v>
      </c>
      <c r="AI79" s="31" t="str">
        <f>_xlfn.IFNA(IF(AE79 &lt; (INDEX(SLATable[Minimum SLA],MATCH(G79,SLATable[Priority],0))),"YES","NO"),"")</f>
        <v/>
      </c>
      <c r="AJ79" t="str">
        <f>_xlfn.IFNA(IF(AE79 &lt; (INDEX(SLATable[Maximum SLA],MATCH(G79,SLATable[Priority],0))),"YES","NO"),"")</f>
        <v/>
      </c>
    </row>
    <row r="80" spans="26:36" ht="15" customHeight="1">
      <c r="Z80" s="76" t="e">
        <f t="shared" ca="1" si="12"/>
        <v>#N/A</v>
      </c>
      <c r="AA80" s="75" t="e">
        <f t="shared" ca="1" si="1"/>
        <v>#N/A</v>
      </c>
      <c r="AB80" s="76">
        <f t="shared" ca="1" si="13"/>
        <v>0</v>
      </c>
      <c r="AC80" s="75">
        <f t="shared" ca="1" si="3"/>
        <v>0</v>
      </c>
      <c r="AD80" s="76">
        <f t="shared" ca="1" si="14"/>
        <v>12388.425641203703</v>
      </c>
      <c r="AE80" s="76">
        <f t="shared" si="15"/>
        <v>0</v>
      </c>
      <c r="AF80" s="75">
        <f t="shared" si="6"/>
        <v>0</v>
      </c>
      <c r="AG80" s="75">
        <f t="shared" si="7"/>
        <v>0</v>
      </c>
      <c r="AH80" s="31" t="e" cm="1">
        <f t="array" aca="1" ref="AH80" ca="1">IF((AD80) &lt; (INDEX(ResponseSLA[#All],(MATCH((G80),ResponseSLA[Priority],0))+1,3)),"YES","No")</f>
        <v>#N/A</v>
      </c>
      <c r="AI80" s="31" t="str">
        <f>_xlfn.IFNA(IF(AE80 &lt; (INDEX(SLATable[Minimum SLA],MATCH(G80,SLATable[Priority],0))),"YES","NO"),"")</f>
        <v/>
      </c>
      <c r="AJ80" t="str">
        <f>_xlfn.IFNA(IF(AE80 &lt; (INDEX(SLATable[Maximum SLA],MATCH(G80,SLATable[Priority],0))),"YES","NO"),"")</f>
        <v/>
      </c>
    </row>
    <row r="81" spans="26:36" ht="15" customHeight="1">
      <c r="Z81" s="76" t="e">
        <f t="shared" ca="1" si="12"/>
        <v>#N/A</v>
      </c>
      <c r="AA81" s="75" t="e">
        <f t="shared" ca="1" si="1"/>
        <v>#N/A</v>
      </c>
      <c r="AB81" s="76">
        <f t="shared" ca="1" si="13"/>
        <v>0</v>
      </c>
      <c r="AC81" s="75">
        <f t="shared" ca="1" si="3"/>
        <v>0</v>
      </c>
      <c r="AD81" s="76">
        <f t="shared" ca="1" si="14"/>
        <v>12388.425641203703</v>
      </c>
      <c r="AE81" s="76">
        <f t="shared" si="15"/>
        <v>0</v>
      </c>
      <c r="AF81" s="75">
        <f t="shared" si="6"/>
        <v>0</v>
      </c>
      <c r="AG81" s="75">
        <f t="shared" si="7"/>
        <v>0</v>
      </c>
      <c r="AH81" s="31" t="e" cm="1">
        <f t="array" aca="1" ref="AH81" ca="1">IF((AD81) &lt; (INDEX(ResponseSLA[#All],(MATCH((G81),ResponseSLA[Priority],0))+1,3)),"YES","No")</f>
        <v>#N/A</v>
      </c>
      <c r="AI81" s="31" t="str">
        <f>_xlfn.IFNA(IF(AE81 &lt; (INDEX(SLATable[Minimum SLA],MATCH(G81,SLATable[Priority],0))),"YES","NO"),"")</f>
        <v/>
      </c>
      <c r="AJ81" t="str">
        <f>_xlfn.IFNA(IF(AE81 &lt; (INDEX(SLATable[Maximum SLA],MATCH(G81,SLATable[Priority],0))),"YES","NO"),"")</f>
        <v/>
      </c>
    </row>
    <row r="82" spans="26:36" ht="15" customHeight="1">
      <c r="Z82" s="76" t="e">
        <f t="shared" ca="1" si="12"/>
        <v>#N/A</v>
      </c>
      <c r="AA82" s="75" t="e">
        <f t="shared" ca="1" si="1"/>
        <v>#N/A</v>
      </c>
      <c r="AB82" s="76">
        <f t="shared" ca="1" si="13"/>
        <v>0</v>
      </c>
      <c r="AC82" s="75">
        <f t="shared" ca="1" si="3"/>
        <v>0</v>
      </c>
      <c r="AD82" s="76">
        <f t="shared" ca="1" si="14"/>
        <v>12388.425641435188</v>
      </c>
      <c r="AE82" s="76">
        <f t="shared" si="15"/>
        <v>0</v>
      </c>
      <c r="AF82" s="75">
        <f t="shared" si="6"/>
        <v>0</v>
      </c>
      <c r="AG82" s="75">
        <f t="shared" si="7"/>
        <v>0</v>
      </c>
      <c r="AH82" s="31" t="e" cm="1">
        <f t="array" aca="1" ref="AH82" ca="1">IF((AD82) &lt; (INDEX(ResponseSLA[#All],(MATCH((G82),ResponseSLA[Priority],0))+1,3)),"YES","No")</f>
        <v>#N/A</v>
      </c>
      <c r="AI82" s="31" t="str">
        <f>_xlfn.IFNA(IF(AE82 &lt; (INDEX(SLATable[Minimum SLA],MATCH(G82,SLATable[Priority],0))),"YES","NO"),"")</f>
        <v/>
      </c>
      <c r="AJ82" t="str">
        <f>_xlfn.IFNA(IF(AE82 &lt; (INDEX(SLATable[Maximum SLA],MATCH(G82,SLATable[Priority],0))),"YES","NO"),"")</f>
        <v/>
      </c>
    </row>
    <row r="83" spans="26:36" ht="15" customHeight="1">
      <c r="Z83" s="76" t="e">
        <f t="shared" ca="1" si="12"/>
        <v>#N/A</v>
      </c>
      <c r="AA83" s="75" t="e">
        <f t="shared" ca="1" si="1"/>
        <v>#N/A</v>
      </c>
      <c r="AB83" s="76">
        <f t="shared" ca="1" si="13"/>
        <v>0</v>
      </c>
      <c r="AC83" s="75">
        <f t="shared" ca="1" si="3"/>
        <v>0</v>
      </c>
      <c r="AD83" s="76">
        <f t="shared" ca="1" si="14"/>
        <v>12388.425641203703</v>
      </c>
      <c r="AE83" s="76">
        <f t="shared" si="15"/>
        <v>0</v>
      </c>
      <c r="AF83" s="75">
        <f t="shared" si="6"/>
        <v>0</v>
      </c>
      <c r="AG83" s="75">
        <f t="shared" si="7"/>
        <v>0</v>
      </c>
      <c r="AH83" s="31" t="e" cm="1">
        <f t="array" aca="1" ref="AH83" ca="1">IF((AD83) &lt; (INDEX(ResponseSLA[#All],(MATCH((G83),ResponseSLA[Priority],0))+1,3)),"YES","No")</f>
        <v>#N/A</v>
      </c>
      <c r="AI83" s="31" t="str">
        <f>_xlfn.IFNA(IF(AE83 &lt; (INDEX(SLATable[Minimum SLA],MATCH(G83,SLATable[Priority],0))),"YES","NO"),"")</f>
        <v/>
      </c>
      <c r="AJ83" t="str">
        <f>_xlfn.IFNA(IF(AE83 &lt; (INDEX(SLATable[Maximum SLA],MATCH(G83,SLATable[Priority],0))),"YES","NO"),"")</f>
        <v/>
      </c>
    </row>
    <row r="84" spans="26:36" ht="15" customHeight="1">
      <c r="Z84" s="76" t="e">
        <f t="shared" ca="1" si="12"/>
        <v>#N/A</v>
      </c>
      <c r="AA84" s="75" t="e">
        <f t="shared" ca="1" si="1"/>
        <v>#N/A</v>
      </c>
      <c r="AB84" s="76">
        <f t="shared" ca="1" si="13"/>
        <v>0</v>
      </c>
      <c r="AC84" s="75">
        <f t="shared" ca="1" si="3"/>
        <v>0</v>
      </c>
      <c r="AD84" s="76">
        <f t="shared" ca="1" si="14"/>
        <v>12388.425641203703</v>
      </c>
      <c r="AE84" s="76">
        <f t="shared" si="15"/>
        <v>0</v>
      </c>
      <c r="AF84" s="75">
        <f t="shared" si="6"/>
        <v>0</v>
      </c>
      <c r="AG84" s="75">
        <f t="shared" si="7"/>
        <v>0</v>
      </c>
      <c r="AH84" s="31" t="e" cm="1">
        <f t="array" aca="1" ref="AH84" ca="1">IF((AD84) &lt; (INDEX(ResponseSLA[#All],(MATCH((G84),ResponseSLA[Priority],0))+1,3)),"YES","No")</f>
        <v>#N/A</v>
      </c>
      <c r="AI84" s="31" t="str">
        <f>_xlfn.IFNA(IF(AE84 &lt; (INDEX(SLATable[Minimum SLA],MATCH(G84,SLATable[Priority],0))),"YES","NO"),"")</f>
        <v/>
      </c>
      <c r="AJ84" t="str">
        <f>_xlfn.IFNA(IF(AE84 &lt; (INDEX(SLATable[Maximum SLA],MATCH(G84,SLATable[Priority],0))),"YES","NO"),"")</f>
        <v/>
      </c>
    </row>
    <row r="85" spans="26:36" ht="15" customHeight="1">
      <c r="Z85" s="76" t="e">
        <f t="shared" ca="1" si="12"/>
        <v>#N/A</v>
      </c>
      <c r="AA85" s="75" t="e">
        <f t="shared" ca="1" si="1"/>
        <v>#N/A</v>
      </c>
      <c r="AB85" s="76">
        <f t="shared" ca="1" si="13"/>
        <v>0</v>
      </c>
      <c r="AC85" s="75">
        <f t="shared" ca="1" si="3"/>
        <v>0</v>
      </c>
      <c r="AD85" s="76">
        <f t="shared" ca="1" si="14"/>
        <v>12388.425641435188</v>
      </c>
      <c r="AE85" s="76">
        <f t="shared" si="15"/>
        <v>0</v>
      </c>
      <c r="AF85" s="75">
        <f t="shared" si="6"/>
        <v>0</v>
      </c>
      <c r="AG85" s="75">
        <f t="shared" si="7"/>
        <v>0</v>
      </c>
      <c r="AH85" s="31" t="e" cm="1">
        <f t="array" aca="1" ref="AH85" ca="1">IF((AD85) &lt; (INDEX(ResponseSLA[#All],(MATCH((G85),ResponseSLA[Priority],0))+1,3)),"YES","No")</f>
        <v>#N/A</v>
      </c>
      <c r="AI85" s="31" t="str">
        <f>_xlfn.IFNA(IF(AE85 &lt; (INDEX(SLATable[Minimum SLA],MATCH(G85,SLATable[Priority],0))),"YES","NO"),"")</f>
        <v/>
      </c>
      <c r="AJ85" t="str">
        <f>_xlfn.IFNA(IF(AE85 &lt; (INDEX(SLATable[Maximum SLA],MATCH(G85,SLATable[Priority],0))),"YES","NO"),"")</f>
        <v/>
      </c>
    </row>
    <row r="86" spans="26:36" ht="15" customHeight="1">
      <c r="Z86" s="76" t="e">
        <f t="shared" ca="1" si="12"/>
        <v>#N/A</v>
      </c>
      <c r="AA86" s="75" t="e">
        <f t="shared" ca="1" si="1"/>
        <v>#N/A</v>
      </c>
      <c r="AB86" s="76">
        <f t="shared" ca="1" si="13"/>
        <v>0</v>
      </c>
      <c r="AC86" s="75">
        <f t="shared" ca="1" si="3"/>
        <v>0</v>
      </c>
      <c r="AD86" s="76">
        <f t="shared" ca="1" si="14"/>
        <v>12388.425641203703</v>
      </c>
      <c r="AE86" s="76">
        <f t="shared" si="15"/>
        <v>0</v>
      </c>
      <c r="AF86" s="75">
        <f t="shared" si="6"/>
        <v>0</v>
      </c>
      <c r="AG86" s="75">
        <f t="shared" si="7"/>
        <v>0</v>
      </c>
      <c r="AH86" s="31" t="e" cm="1">
        <f t="array" aca="1" ref="AH86" ca="1">IF((AD86) &lt; (INDEX(ResponseSLA[#All],(MATCH((G86),ResponseSLA[Priority],0))+1,3)),"YES","No")</f>
        <v>#N/A</v>
      </c>
      <c r="AI86" s="31" t="str">
        <f>_xlfn.IFNA(IF(AE86 &lt; (INDEX(SLATable[Minimum SLA],MATCH(G86,SLATable[Priority],0))),"YES","NO"),"")</f>
        <v/>
      </c>
      <c r="AJ86" t="str">
        <f>_xlfn.IFNA(IF(AE86 &lt; (INDEX(SLATable[Maximum SLA],MATCH(G86,SLATable[Priority],0))),"YES","NO"),"")</f>
        <v/>
      </c>
    </row>
    <row r="87" spans="26:36" ht="15" customHeight="1">
      <c r="Z87" s="76" t="e">
        <f t="shared" ca="1" si="12"/>
        <v>#N/A</v>
      </c>
      <c r="AA87" s="75" t="e">
        <f t="shared" ca="1" si="1"/>
        <v>#N/A</v>
      </c>
      <c r="AB87" s="76">
        <f t="shared" ca="1" si="13"/>
        <v>0</v>
      </c>
      <c r="AC87" s="75">
        <f t="shared" ca="1" si="3"/>
        <v>0</v>
      </c>
      <c r="AD87" s="76">
        <f t="shared" ca="1" si="14"/>
        <v>12388.425641203703</v>
      </c>
      <c r="AE87" s="76">
        <f t="shared" si="15"/>
        <v>0</v>
      </c>
      <c r="AF87" s="75">
        <f t="shared" si="6"/>
        <v>0</v>
      </c>
      <c r="AG87" s="75">
        <f t="shared" si="7"/>
        <v>0</v>
      </c>
      <c r="AH87" s="31" t="e" cm="1">
        <f t="array" aca="1" ref="AH87" ca="1">IF((AD87) &lt; (INDEX(ResponseSLA[#All],(MATCH((G87),ResponseSLA[Priority],0))+1,3)),"YES","No")</f>
        <v>#N/A</v>
      </c>
      <c r="AI87" s="31" t="str">
        <f>_xlfn.IFNA(IF(AE87 &lt; (INDEX(SLATable[Minimum SLA],MATCH(G87,SLATable[Priority],0))),"YES","NO"),"")</f>
        <v/>
      </c>
      <c r="AJ87" t="str">
        <f>_xlfn.IFNA(IF(AE87 &lt; (INDEX(SLATable[Maximum SLA],MATCH(G87,SLATable[Priority],0))),"YES","NO"),"")</f>
        <v/>
      </c>
    </row>
    <row r="88" spans="26:36" ht="15" customHeight="1">
      <c r="Z88" s="76" t="e">
        <f t="shared" ca="1" si="12"/>
        <v>#N/A</v>
      </c>
      <c r="AA88" s="75" t="e">
        <f t="shared" ca="1" si="1"/>
        <v>#N/A</v>
      </c>
      <c r="AB88" s="76">
        <f t="shared" ca="1" si="13"/>
        <v>0</v>
      </c>
      <c r="AC88" s="75">
        <f t="shared" ca="1" si="3"/>
        <v>0</v>
      </c>
      <c r="AD88" s="76">
        <f t="shared" ca="1" si="14"/>
        <v>12388.425641435188</v>
      </c>
      <c r="AE88" s="76">
        <f t="shared" si="15"/>
        <v>0</v>
      </c>
      <c r="AF88" s="75">
        <f t="shared" si="6"/>
        <v>0</v>
      </c>
      <c r="AG88" s="75">
        <f t="shared" si="7"/>
        <v>0</v>
      </c>
      <c r="AH88" s="31" t="e" cm="1">
        <f t="array" aca="1" ref="AH88" ca="1">IF((AD88) &lt; (INDEX(ResponseSLA[#All],(MATCH((G88),ResponseSLA[Priority],0))+1,3)),"YES","No")</f>
        <v>#N/A</v>
      </c>
      <c r="AI88" s="31" t="str">
        <f>_xlfn.IFNA(IF(AE88 &lt; (INDEX(SLATable[Minimum SLA],MATCH(G88,SLATable[Priority],0))),"YES","NO"),"")</f>
        <v/>
      </c>
      <c r="AJ88" t="str">
        <f>_xlfn.IFNA(IF(AE88 &lt; (INDEX(SLATable[Maximum SLA],MATCH(G88,SLATable[Priority],0))),"YES","NO"),"")</f>
        <v/>
      </c>
    </row>
    <row r="89" spans="26:36" ht="15" customHeight="1">
      <c r="Z89" s="76" t="e">
        <f t="shared" ca="1" si="12"/>
        <v>#N/A</v>
      </c>
      <c r="AA89" s="75" t="e">
        <f t="shared" ca="1" si="1"/>
        <v>#N/A</v>
      </c>
      <c r="AB89" s="76">
        <f t="shared" ca="1" si="13"/>
        <v>0</v>
      </c>
      <c r="AC89" s="75">
        <f t="shared" ca="1" si="3"/>
        <v>0</v>
      </c>
      <c r="AD89" s="76">
        <f t="shared" ca="1" si="14"/>
        <v>12388.425641203703</v>
      </c>
      <c r="AE89" s="76">
        <f t="shared" si="15"/>
        <v>0</v>
      </c>
      <c r="AF89" s="75">
        <f t="shared" si="6"/>
        <v>0</v>
      </c>
      <c r="AG89" s="75">
        <f t="shared" si="7"/>
        <v>0</v>
      </c>
      <c r="AH89" s="31" t="e" cm="1">
        <f t="array" aca="1" ref="AH89" ca="1">IF((AD89) &lt; (INDEX(ResponseSLA[#All],(MATCH((G89),ResponseSLA[Priority],0))+1,3)),"YES","No")</f>
        <v>#N/A</v>
      </c>
      <c r="AI89" s="31" t="str">
        <f>_xlfn.IFNA(IF(AE89 &lt; (INDEX(SLATable[Minimum SLA],MATCH(G89,SLATable[Priority],0))),"YES","NO"),"")</f>
        <v/>
      </c>
      <c r="AJ89" t="str">
        <f>_xlfn.IFNA(IF(AE89 &lt; (INDEX(SLATable[Maximum SLA],MATCH(G89,SLATable[Priority],0))),"YES","NO"),"")</f>
        <v/>
      </c>
    </row>
    <row r="90" spans="26:36" ht="15" customHeight="1">
      <c r="Z90" s="76" t="e">
        <f t="shared" ca="1" si="12"/>
        <v>#N/A</v>
      </c>
      <c r="AA90" s="75" t="e">
        <f t="shared" ca="1" si="1"/>
        <v>#N/A</v>
      </c>
      <c r="AB90" s="76">
        <f t="shared" ca="1" si="13"/>
        <v>0</v>
      </c>
      <c r="AC90" s="75">
        <f t="shared" ca="1" si="3"/>
        <v>0</v>
      </c>
      <c r="AD90" s="76">
        <f t="shared" ca="1" si="14"/>
        <v>12388.425641203703</v>
      </c>
      <c r="AE90" s="76">
        <f t="shared" si="15"/>
        <v>0</v>
      </c>
      <c r="AF90" s="75">
        <f t="shared" si="6"/>
        <v>0</v>
      </c>
      <c r="AG90" s="75">
        <f t="shared" si="7"/>
        <v>0</v>
      </c>
      <c r="AH90" s="31" t="e" cm="1">
        <f t="array" aca="1" ref="AH90" ca="1">IF((AD90) &lt; (INDEX(ResponseSLA[#All],(MATCH((G90),ResponseSLA[Priority],0))+1,3)),"YES","No")</f>
        <v>#N/A</v>
      </c>
      <c r="AI90" s="31" t="str">
        <f>_xlfn.IFNA(IF(AE90 &lt; (INDEX(SLATable[Minimum SLA],MATCH(G90,SLATable[Priority],0))),"YES","NO"),"")</f>
        <v/>
      </c>
      <c r="AJ90" t="str">
        <f>_xlfn.IFNA(IF(AE90 &lt; (INDEX(SLATable[Maximum SLA],MATCH(G90,SLATable[Priority],0))),"YES","NO"),"")</f>
        <v/>
      </c>
    </row>
    <row r="91" spans="26:36" ht="15" customHeight="1">
      <c r="Z91" s="76" t="e">
        <f t="shared" ca="1" si="12"/>
        <v>#N/A</v>
      </c>
      <c r="AA91" s="75" t="e">
        <f t="shared" ca="1" si="1"/>
        <v>#N/A</v>
      </c>
      <c r="AB91" s="76">
        <f t="shared" ca="1" si="13"/>
        <v>0</v>
      </c>
      <c r="AC91" s="75">
        <f t="shared" ca="1" si="3"/>
        <v>0</v>
      </c>
      <c r="AD91" s="76">
        <f t="shared" ca="1" si="14"/>
        <v>12388.425641435188</v>
      </c>
      <c r="AE91" s="76">
        <f t="shared" si="15"/>
        <v>0</v>
      </c>
      <c r="AF91" s="75">
        <f t="shared" si="6"/>
        <v>0</v>
      </c>
      <c r="AG91" s="75">
        <f t="shared" si="7"/>
        <v>0</v>
      </c>
      <c r="AH91" s="31" t="e" cm="1">
        <f t="array" aca="1" ref="AH91" ca="1">IF((AD91) &lt; (INDEX(ResponseSLA[#All],(MATCH((G91),ResponseSLA[Priority],0))+1,3)),"YES","No")</f>
        <v>#N/A</v>
      </c>
      <c r="AI91" s="31" t="str">
        <f>_xlfn.IFNA(IF(AE91 &lt; (INDEX(SLATable[Minimum SLA],MATCH(G91,SLATable[Priority],0))),"YES","NO"),"")</f>
        <v/>
      </c>
      <c r="AJ91" t="str">
        <f>_xlfn.IFNA(IF(AE91 &lt; (INDEX(SLATable[Maximum SLA],MATCH(G91,SLATable[Priority],0))),"YES","NO"),"")</f>
        <v/>
      </c>
    </row>
    <row r="92" spans="26:36" ht="15" customHeight="1">
      <c r="Z92" s="76" t="e">
        <f t="shared" ca="1" si="12"/>
        <v>#N/A</v>
      </c>
      <c r="AA92" s="75" t="e">
        <f t="shared" ca="1" si="1"/>
        <v>#N/A</v>
      </c>
      <c r="AB92" s="76">
        <f t="shared" ca="1" si="13"/>
        <v>0</v>
      </c>
      <c r="AC92" s="75">
        <f t="shared" ca="1" si="3"/>
        <v>0</v>
      </c>
      <c r="AD92" s="76">
        <f t="shared" ca="1" si="14"/>
        <v>12388.425641203703</v>
      </c>
      <c r="AE92" s="76">
        <f t="shared" si="15"/>
        <v>0</v>
      </c>
      <c r="AF92" s="75">
        <f t="shared" si="6"/>
        <v>0</v>
      </c>
      <c r="AG92" s="75">
        <f t="shared" si="7"/>
        <v>0</v>
      </c>
      <c r="AH92" s="31" t="e" cm="1">
        <f t="array" aca="1" ref="AH92" ca="1">IF((AD92) &lt; (INDEX(ResponseSLA[#All],(MATCH((G92),ResponseSLA[Priority],0))+1,3)),"YES","No")</f>
        <v>#N/A</v>
      </c>
      <c r="AI92" s="31" t="str">
        <f>_xlfn.IFNA(IF(AE92 &lt; (INDEX(SLATable[Minimum SLA],MATCH(G92,SLATable[Priority],0))),"YES","NO"),"")</f>
        <v/>
      </c>
      <c r="AJ92" t="str">
        <f>_xlfn.IFNA(IF(AE92 &lt; (INDEX(SLATable[Maximum SLA],MATCH(G92,SLATable[Priority],0))),"YES","NO"),"")</f>
        <v/>
      </c>
    </row>
    <row r="93" spans="26:36" ht="15" customHeight="1">
      <c r="Z93" s="76" t="e">
        <f t="shared" ca="1" si="12"/>
        <v>#N/A</v>
      </c>
      <c r="AA93" s="75" t="e">
        <f t="shared" ca="1" si="1"/>
        <v>#N/A</v>
      </c>
      <c r="AB93" s="76">
        <f t="shared" ca="1" si="13"/>
        <v>0</v>
      </c>
      <c r="AC93" s="75">
        <f t="shared" ca="1" si="3"/>
        <v>0</v>
      </c>
      <c r="AD93" s="76">
        <f t="shared" ca="1" si="14"/>
        <v>12388.425641203703</v>
      </c>
      <c r="AE93" s="76">
        <f t="shared" si="15"/>
        <v>0</v>
      </c>
      <c r="AF93" s="75">
        <f t="shared" si="6"/>
        <v>0</v>
      </c>
      <c r="AG93" s="75">
        <f t="shared" si="7"/>
        <v>0</v>
      </c>
      <c r="AH93" s="31" t="e" cm="1">
        <f t="array" aca="1" ref="AH93" ca="1">IF((AD93) &lt; (INDEX(ResponseSLA[#All],(MATCH((G93),ResponseSLA[Priority],0))+1,3)),"YES","No")</f>
        <v>#N/A</v>
      </c>
      <c r="AI93" s="31" t="str">
        <f>_xlfn.IFNA(IF(AE93 &lt; (INDEX(SLATable[Minimum SLA],MATCH(G93,SLATable[Priority],0))),"YES","NO"),"")</f>
        <v/>
      </c>
      <c r="AJ93" t="str">
        <f>_xlfn.IFNA(IF(AE93 &lt; (INDEX(SLATable[Maximum SLA],MATCH(G93,SLATable[Priority],0))),"YES","NO"),"")</f>
        <v/>
      </c>
    </row>
    <row r="94" spans="26:36" ht="15" customHeight="1">
      <c r="Z94" s="76" t="e">
        <f t="shared" ca="1" si="12"/>
        <v>#N/A</v>
      </c>
      <c r="AA94" s="75" t="e">
        <f t="shared" ca="1" si="1"/>
        <v>#N/A</v>
      </c>
      <c r="AB94" s="76">
        <f t="shared" ca="1" si="13"/>
        <v>0</v>
      </c>
      <c r="AC94" s="75">
        <f t="shared" ca="1" si="3"/>
        <v>0</v>
      </c>
      <c r="AD94" s="76">
        <f t="shared" ca="1" si="14"/>
        <v>12388.425641435188</v>
      </c>
      <c r="AE94" s="76">
        <f t="shared" si="15"/>
        <v>0</v>
      </c>
      <c r="AF94" s="75">
        <f t="shared" si="6"/>
        <v>0</v>
      </c>
      <c r="AG94" s="75">
        <f t="shared" si="7"/>
        <v>0</v>
      </c>
      <c r="AH94" s="31" t="e" cm="1">
        <f t="array" aca="1" ref="AH94" ca="1">IF((AD94) &lt; (INDEX(ResponseSLA[#All],(MATCH((G94),ResponseSLA[Priority],0))+1,3)),"YES","No")</f>
        <v>#N/A</v>
      </c>
      <c r="AI94" s="31" t="str">
        <f>_xlfn.IFNA(IF(AE94 &lt; (INDEX(SLATable[Minimum SLA],MATCH(G94,SLATable[Priority],0))),"YES","NO"),"")</f>
        <v/>
      </c>
      <c r="AJ94" t="str">
        <f>_xlfn.IFNA(IF(AE94 &lt; (INDEX(SLATable[Maximum SLA],MATCH(G94,SLATable[Priority],0))),"YES","NO"),"")</f>
        <v/>
      </c>
    </row>
    <row r="95" spans="26:36" ht="15" customHeight="1">
      <c r="Z95" s="76" t="e">
        <f t="shared" ca="1" si="12"/>
        <v>#N/A</v>
      </c>
      <c r="AA95" s="75" t="e">
        <f t="shared" ca="1" si="1"/>
        <v>#N/A</v>
      </c>
      <c r="AB95" s="76">
        <f t="shared" ca="1" si="13"/>
        <v>0</v>
      </c>
      <c r="AC95" s="75">
        <f t="shared" ca="1" si="3"/>
        <v>0</v>
      </c>
      <c r="AD95" s="76">
        <f t="shared" ca="1" si="14"/>
        <v>12388.425641203703</v>
      </c>
      <c r="AE95" s="76">
        <f t="shared" si="15"/>
        <v>0</v>
      </c>
      <c r="AF95" s="75">
        <f t="shared" si="6"/>
        <v>0</v>
      </c>
      <c r="AG95" s="75">
        <f t="shared" si="7"/>
        <v>0</v>
      </c>
      <c r="AH95" s="31" t="e" cm="1">
        <f t="array" aca="1" ref="AH95" ca="1">IF((AD95) &lt; (INDEX(ResponseSLA[#All],(MATCH((G95),ResponseSLA[Priority],0))+1,3)),"YES","No")</f>
        <v>#N/A</v>
      </c>
      <c r="AI95" s="31" t="str">
        <f>_xlfn.IFNA(IF(AE95 &lt; (INDEX(SLATable[Minimum SLA],MATCH(G95,SLATable[Priority],0))),"YES","NO"),"")</f>
        <v/>
      </c>
      <c r="AJ95" t="str">
        <f>_xlfn.IFNA(IF(AE95 &lt; (INDEX(SLATable[Maximum SLA],MATCH(G95,SLATable[Priority],0))),"YES","NO"),"")</f>
        <v/>
      </c>
    </row>
    <row r="96" spans="26:36" ht="15" customHeight="1">
      <c r="Z96" s="76" t="e">
        <f t="shared" ca="1" si="12"/>
        <v>#N/A</v>
      </c>
      <c r="AA96" s="75" t="e">
        <f t="shared" ca="1" si="1"/>
        <v>#N/A</v>
      </c>
      <c r="AB96" s="76">
        <f t="shared" ca="1" si="13"/>
        <v>0</v>
      </c>
      <c r="AC96" s="75">
        <f t="shared" ca="1" si="3"/>
        <v>0</v>
      </c>
      <c r="AD96" s="76">
        <f t="shared" ca="1" si="14"/>
        <v>12388.425641203703</v>
      </c>
      <c r="AE96" s="76">
        <f t="shared" si="15"/>
        <v>0</v>
      </c>
      <c r="AF96" s="75">
        <f t="shared" si="6"/>
        <v>0</v>
      </c>
      <c r="AG96" s="75">
        <f t="shared" si="7"/>
        <v>0</v>
      </c>
      <c r="AH96" s="31" t="e" cm="1">
        <f t="array" aca="1" ref="AH96" ca="1">IF((AD96) &lt; (INDEX(ResponseSLA[#All],(MATCH((G96),ResponseSLA[Priority],0))+1,3)),"YES","No")</f>
        <v>#N/A</v>
      </c>
      <c r="AI96" s="31" t="str">
        <f>_xlfn.IFNA(IF(AE96 &lt; (INDEX(SLATable[Minimum SLA],MATCH(G96,SLATable[Priority],0))),"YES","NO"),"")</f>
        <v/>
      </c>
      <c r="AJ96" t="str">
        <f>_xlfn.IFNA(IF(AE96 &lt; (INDEX(SLATable[Maximum SLA],MATCH(G96,SLATable[Priority],0))),"YES","NO"),"")</f>
        <v/>
      </c>
    </row>
    <row r="97" spans="26:36" ht="15" customHeight="1">
      <c r="Z97" s="76" t="e">
        <f t="shared" ca="1" si="12"/>
        <v>#N/A</v>
      </c>
      <c r="AA97" s="75" t="e">
        <f t="shared" ca="1" si="1"/>
        <v>#N/A</v>
      </c>
      <c r="AB97" s="76">
        <f t="shared" ca="1" si="13"/>
        <v>0</v>
      </c>
      <c r="AC97" s="75">
        <f t="shared" ca="1" si="3"/>
        <v>0</v>
      </c>
      <c r="AD97" s="76">
        <f t="shared" ca="1" si="14"/>
        <v>12388.425641435188</v>
      </c>
      <c r="AE97" s="76">
        <f t="shared" si="15"/>
        <v>0</v>
      </c>
      <c r="AF97" s="75">
        <f t="shared" si="6"/>
        <v>0</v>
      </c>
      <c r="AG97" s="75">
        <f t="shared" si="7"/>
        <v>0</v>
      </c>
      <c r="AH97" s="31" t="e" cm="1">
        <f t="array" aca="1" ref="AH97" ca="1">IF((AD97) &lt; (INDEX(ResponseSLA[#All],(MATCH((G97),ResponseSLA[Priority],0))+1,3)),"YES","No")</f>
        <v>#N/A</v>
      </c>
      <c r="AI97" s="31" t="str">
        <f>_xlfn.IFNA(IF(AE97 &lt; (INDEX(SLATable[Minimum SLA],MATCH(G97,SLATable[Priority],0))),"YES","NO"),"")</f>
        <v/>
      </c>
      <c r="AJ97" t="str">
        <f>_xlfn.IFNA(IF(AE97 &lt; (INDEX(SLATable[Maximum SLA],MATCH(G97,SLATable[Priority],0))),"YES","NO"),"")</f>
        <v/>
      </c>
    </row>
    <row r="98" spans="26:36" ht="15" customHeight="1">
      <c r="Z98" s="76" t="e">
        <f t="shared" ca="1" si="12"/>
        <v>#N/A</v>
      </c>
      <c r="AA98" s="75" t="e">
        <f t="shared" ca="1" si="1"/>
        <v>#N/A</v>
      </c>
      <c r="AB98" s="76">
        <f t="shared" ca="1" si="13"/>
        <v>0</v>
      </c>
      <c r="AC98" s="75">
        <f t="shared" ca="1" si="3"/>
        <v>0</v>
      </c>
      <c r="AD98" s="76">
        <f t="shared" ca="1" si="14"/>
        <v>12388.425641203703</v>
      </c>
      <c r="AE98" s="76">
        <f t="shared" si="15"/>
        <v>0</v>
      </c>
      <c r="AF98" s="75">
        <f t="shared" si="6"/>
        <v>0</v>
      </c>
      <c r="AG98" s="75">
        <f t="shared" si="7"/>
        <v>0</v>
      </c>
      <c r="AH98" s="31" t="e" cm="1">
        <f t="array" aca="1" ref="AH98" ca="1">IF((AD98) &lt; (INDEX(ResponseSLA[#All],(MATCH((G98),ResponseSLA[Priority],0))+1,3)),"YES","No")</f>
        <v>#N/A</v>
      </c>
      <c r="AI98" s="31" t="str">
        <f>_xlfn.IFNA(IF(AE98 &lt; (INDEX(SLATable[Minimum SLA],MATCH(G98,SLATable[Priority],0))),"YES","NO"),"")</f>
        <v/>
      </c>
      <c r="AJ98" t="str">
        <f>_xlfn.IFNA(IF(AE98 &lt; (INDEX(SLATable[Maximum SLA],MATCH(G98,SLATable[Priority],0))),"YES","NO"),"")</f>
        <v/>
      </c>
    </row>
    <row r="99" spans="26:36" ht="15" customHeight="1">
      <c r="Z99" s="76" t="e">
        <f t="shared" ca="1" si="12"/>
        <v>#N/A</v>
      </c>
      <c r="AA99" s="75" t="e">
        <f t="shared" ca="1" si="1"/>
        <v>#N/A</v>
      </c>
      <c r="AB99" s="76">
        <f t="shared" ca="1" si="13"/>
        <v>0</v>
      </c>
      <c r="AC99" s="75">
        <f t="shared" ca="1" si="3"/>
        <v>0</v>
      </c>
      <c r="AD99" s="76">
        <f t="shared" ca="1" si="14"/>
        <v>12388.425641203703</v>
      </c>
      <c r="AE99" s="76">
        <f t="shared" si="15"/>
        <v>0</v>
      </c>
      <c r="AF99" s="75">
        <f t="shared" si="6"/>
        <v>0</v>
      </c>
      <c r="AG99" s="75">
        <f t="shared" si="7"/>
        <v>0</v>
      </c>
      <c r="AH99" s="31" t="e" cm="1">
        <f t="array" aca="1" ref="AH99" ca="1">IF((AD99) &lt; (INDEX(ResponseSLA[#All],(MATCH((G99),ResponseSLA[Priority],0))+1,3)),"YES","No")</f>
        <v>#N/A</v>
      </c>
      <c r="AI99" s="31" t="str">
        <f>_xlfn.IFNA(IF(AE99 &lt; (INDEX(SLATable[Minimum SLA],MATCH(G99,SLATable[Priority],0))),"YES","NO"),"")</f>
        <v/>
      </c>
      <c r="AJ99" t="str">
        <f>_xlfn.IFNA(IF(AE99 &lt; (INDEX(SLATable[Maximum SLA],MATCH(G99,SLATable[Priority],0))),"YES","NO"),"")</f>
        <v/>
      </c>
    </row>
    <row r="100" spans="26:36" ht="15" customHeight="1">
      <c r="Z100" s="76" t="e">
        <f t="shared" ca="1" si="12"/>
        <v>#N/A</v>
      </c>
      <c r="AA100" s="75" t="e">
        <f t="shared" ca="1" si="1"/>
        <v>#N/A</v>
      </c>
      <c r="AB100" s="76">
        <f t="shared" ca="1" si="13"/>
        <v>0</v>
      </c>
      <c r="AC100" s="75">
        <f t="shared" ca="1" si="3"/>
        <v>0</v>
      </c>
      <c r="AD100" s="76">
        <f t="shared" ca="1" si="14"/>
        <v>12388.425641435188</v>
      </c>
      <c r="AE100" s="76">
        <f t="shared" si="15"/>
        <v>0</v>
      </c>
      <c r="AF100" s="75">
        <f t="shared" si="6"/>
        <v>0</v>
      </c>
      <c r="AG100" s="75">
        <f t="shared" si="7"/>
        <v>0</v>
      </c>
      <c r="AH100" s="31" t="e" cm="1">
        <f t="array" aca="1" ref="AH100" ca="1">IF((AD100) &lt; (INDEX(ResponseSLA[#All],(MATCH((G100),ResponseSLA[Priority],0))+1,3)),"YES","No")</f>
        <v>#N/A</v>
      </c>
      <c r="AI100" s="31" t="str">
        <f>_xlfn.IFNA(IF(AE100 &lt; (INDEX(SLATable[Minimum SLA],MATCH(G100,SLATable[Priority],0))),"YES","NO"),"")</f>
        <v/>
      </c>
      <c r="AJ100" t="str">
        <f>_xlfn.IFNA(IF(AE100 &lt; (INDEX(SLATable[Maximum SLA],MATCH(G100,SLATable[Priority],0))),"YES","NO"),"")</f>
        <v/>
      </c>
    </row>
    <row r="101" spans="26:36" ht="15" customHeight="1">
      <c r="Z101" s="76" t="e">
        <f t="shared" ca="1" si="12"/>
        <v>#N/A</v>
      </c>
      <c r="AA101" s="75" t="e">
        <f t="shared" ca="1" si="1"/>
        <v>#N/A</v>
      </c>
      <c r="AB101" s="76">
        <f t="shared" ca="1" si="13"/>
        <v>0</v>
      </c>
      <c r="AC101" s="75">
        <f t="shared" ca="1" si="3"/>
        <v>0</v>
      </c>
      <c r="AD101" s="76">
        <f t="shared" ca="1" si="14"/>
        <v>12388.425641203703</v>
      </c>
      <c r="AE101" s="76">
        <f t="shared" si="15"/>
        <v>0</v>
      </c>
      <c r="AF101" s="75">
        <f t="shared" si="6"/>
        <v>0</v>
      </c>
      <c r="AG101" s="75">
        <f t="shared" si="7"/>
        <v>0</v>
      </c>
      <c r="AH101" s="31" t="e" cm="1">
        <f t="array" aca="1" ref="AH101" ca="1">IF((AD101) &lt; (INDEX(ResponseSLA[#All],(MATCH((G101),ResponseSLA[Priority],0))+1,3)),"YES","No")</f>
        <v>#N/A</v>
      </c>
      <c r="AI101" s="31" t="str">
        <f>_xlfn.IFNA(IF(AE101 &lt; (INDEX(SLATable[Minimum SLA],MATCH(G101,SLATable[Priority],0))),"YES","NO"),"")</f>
        <v/>
      </c>
      <c r="AJ101" t="str">
        <f>_xlfn.IFNA(IF(AE101 &lt; (INDEX(SLATable[Maximum SLA],MATCH(G101,SLATable[Priority],0))),"YES","NO"),"")</f>
        <v/>
      </c>
    </row>
    <row r="102" spans="26:36" ht="15" customHeight="1">
      <c r="Z102" s="76" t="e">
        <f t="shared" ca="1" si="12"/>
        <v>#N/A</v>
      </c>
      <c r="AA102" s="75" t="e">
        <f t="shared" ca="1" si="1"/>
        <v>#N/A</v>
      </c>
      <c r="AB102" s="76">
        <f t="shared" ca="1" si="13"/>
        <v>0</v>
      </c>
      <c r="AC102" s="75">
        <f t="shared" ca="1" si="3"/>
        <v>0</v>
      </c>
      <c r="AD102" s="76">
        <f t="shared" ca="1" si="14"/>
        <v>12388.425641203703</v>
      </c>
      <c r="AE102" s="76">
        <f t="shared" si="15"/>
        <v>0</v>
      </c>
      <c r="AF102" s="75">
        <f t="shared" si="6"/>
        <v>0</v>
      </c>
      <c r="AG102" s="75">
        <f t="shared" si="7"/>
        <v>0</v>
      </c>
      <c r="AH102" s="31" t="e" cm="1">
        <f t="array" aca="1" ref="AH102" ca="1">IF((AD102) &lt; (INDEX(ResponseSLA[#All],(MATCH((G102),ResponseSLA[Priority],0))+1,3)),"YES","No")</f>
        <v>#N/A</v>
      </c>
      <c r="AI102" s="31" t="str">
        <f>_xlfn.IFNA(IF(AE102 &lt; (INDEX(SLATable[Minimum SLA],MATCH(G102,SLATable[Priority],0))),"YES","NO"),"")</f>
        <v/>
      </c>
      <c r="AJ102" t="str">
        <f>_xlfn.IFNA(IF(AE102 &lt; (INDEX(SLATable[Maximum SLA],MATCH(G102,SLATable[Priority],0))),"YES","NO"),"")</f>
        <v/>
      </c>
    </row>
    <row r="103" spans="26:36" ht="15" customHeight="1">
      <c r="Z103" s="76" t="e">
        <f t="shared" ca="1" si="12"/>
        <v>#N/A</v>
      </c>
      <c r="AA103" s="75" t="e">
        <f t="shared" ca="1" si="1"/>
        <v>#N/A</v>
      </c>
      <c r="AB103" s="76">
        <f t="shared" ca="1" si="13"/>
        <v>0</v>
      </c>
      <c r="AC103" s="75">
        <f t="shared" ca="1" si="3"/>
        <v>0</v>
      </c>
      <c r="AD103" s="76">
        <f t="shared" ca="1" si="14"/>
        <v>12388.425641435188</v>
      </c>
      <c r="AE103" s="76">
        <f t="shared" si="15"/>
        <v>0</v>
      </c>
      <c r="AF103" s="75">
        <f t="shared" si="6"/>
        <v>0</v>
      </c>
      <c r="AG103" s="75">
        <f t="shared" si="7"/>
        <v>0</v>
      </c>
      <c r="AH103" s="31" t="e" cm="1">
        <f t="array" aca="1" ref="AH103" ca="1">IF((AD103) &lt; (INDEX(ResponseSLA[#All],(MATCH((G103),ResponseSLA[Priority],0))+1,3)),"YES","No")</f>
        <v>#N/A</v>
      </c>
      <c r="AI103" s="31" t="str">
        <f>_xlfn.IFNA(IF(AE103 &lt; (INDEX(SLATable[Minimum SLA],MATCH(G103,SLATable[Priority],0))),"YES","NO"),"")</f>
        <v/>
      </c>
      <c r="AJ103" t="str">
        <f>_xlfn.IFNA(IF(AE103 &lt; (INDEX(SLATable[Maximum SLA],MATCH(G103,SLATable[Priority],0))),"YES","NO"),"")</f>
        <v/>
      </c>
    </row>
    <row r="104" spans="26:36" ht="15" customHeight="1">
      <c r="Z104" s="76" t="e">
        <f t="shared" ca="1" si="12"/>
        <v>#N/A</v>
      </c>
      <c r="AA104" s="75" t="e">
        <f t="shared" ca="1" si="1"/>
        <v>#N/A</v>
      </c>
      <c r="AB104" s="76">
        <f t="shared" ca="1" si="13"/>
        <v>0</v>
      </c>
      <c r="AC104" s="75">
        <f t="shared" ca="1" si="3"/>
        <v>0</v>
      </c>
      <c r="AD104" s="76">
        <f t="shared" ca="1" si="14"/>
        <v>12388.425641203703</v>
      </c>
      <c r="AE104" s="76">
        <f t="shared" si="15"/>
        <v>0</v>
      </c>
      <c r="AF104" s="75">
        <f t="shared" si="6"/>
        <v>0</v>
      </c>
      <c r="AG104" s="75">
        <f t="shared" si="7"/>
        <v>0</v>
      </c>
      <c r="AH104" s="31" t="e" cm="1">
        <f t="array" aca="1" ref="AH104" ca="1">IF((AD104) &lt; (INDEX(ResponseSLA[#All],(MATCH((G104),ResponseSLA[Priority],0))+1,3)),"YES","No")</f>
        <v>#N/A</v>
      </c>
      <c r="AI104" s="31" t="str">
        <f>_xlfn.IFNA(IF(AE104 &lt; (INDEX(SLATable[Minimum SLA],MATCH(G104,SLATable[Priority],0))),"YES","NO"),"")</f>
        <v/>
      </c>
      <c r="AJ104" t="str">
        <f>_xlfn.IFNA(IF(AE104 &lt; (INDEX(SLATable[Maximum SLA],MATCH(G104,SLATable[Priority],0))),"YES","NO"),"")</f>
        <v/>
      </c>
    </row>
    <row r="105" spans="26:36" ht="15" customHeight="1">
      <c r="Z105" s="76" t="e">
        <f t="shared" ca="1" si="12"/>
        <v>#N/A</v>
      </c>
      <c r="AA105" s="75" t="e">
        <f t="shared" ca="1" si="1"/>
        <v>#N/A</v>
      </c>
      <c r="AB105" s="76">
        <f t="shared" ca="1" si="13"/>
        <v>0</v>
      </c>
      <c r="AC105" s="75">
        <f t="shared" ca="1" si="3"/>
        <v>0</v>
      </c>
      <c r="AD105" s="76">
        <f t="shared" ca="1" si="14"/>
        <v>12388.425641203703</v>
      </c>
      <c r="AE105" s="76">
        <f t="shared" si="15"/>
        <v>0</v>
      </c>
      <c r="AF105" s="75">
        <f t="shared" si="6"/>
        <v>0</v>
      </c>
      <c r="AG105" s="75">
        <f t="shared" si="7"/>
        <v>0</v>
      </c>
      <c r="AH105" s="31" t="e" cm="1">
        <f t="array" aca="1" ref="AH105" ca="1">IF((AD105) &lt; (INDEX(ResponseSLA[#All],(MATCH((G105),ResponseSLA[Priority],0))+1,3)),"YES","No")</f>
        <v>#N/A</v>
      </c>
      <c r="AI105" s="31" t="str">
        <f>_xlfn.IFNA(IF(AE105 &lt; (INDEX(SLATable[Minimum SLA],MATCH(G105,SLATable[Priority],0))),"YES","NO"),"")</f>
        <v/>
      </c>
      <c r="AJ105" t="str">
        <f>_xlfn.IFNA(IF(AE105 &lt; (INDEX(SLATable[Maximum SLA],MATCH(G105,SLATable[Priority],0))),"YES","NO"),"")</f>
        <v/>
      </c>
    </row>
    <row r="106" spans="26:36" ht="15" customHeight="1">
      <c r="Z106" s="76" t="e">
        <f t="shared" ca="1" si="12"/>
        <v>#N/A</v>
      </c>
      <c r="AA106" s="75" t="e">
        <f t="shared" ca="1" si="1"/>
        <v>#N/A</v>
      </c>
      <c r="AB106" s="76">
        <f t="shared" ca="1" si="13"/>
        <v>0</v>
      </c>
      <c r="AC106" s="75">
        <f t="shared" ca="1" si="3"/>
        <v>0</v>
      </c>
      <c r="AD106" s="76">
        <f t="shared" ca="1" si="14"/>
        <v>12388.425641435188</v>
      </c>
      <c r="AE106" s="76">
        <f t="shared" si="15"/>
        <v>0</v>
      </c>
      <c r="AF106" s="75">
        <f t="shared" si="6"/>
        <v>0</v>
      </c>
      <c r="AG106" s="75">
        <f t="shared" si="7"/>
        <v>0</v>
      </c>
      <c r="AH106" s="31" t="e" cm="1">
        <f t="array" aca="1" ref="AH106" ca="1">IF((AD106) &lt; (INDEX(ResponseSLA[#All],(MATCH((G106),ResponseSLA[Priority],0))+1,3)),"YES","No")</f>
        <v>#N/A</v>
      </c>
      <c r="AI106" s="31" t="str">
        <f>_xlfn.IFNA(IF(AE106 &lt; (INDEX(SLATable[Minimum SLA],MATCH(G106,SLATable[Priority],0))),"YES","NO"),"")</f>
        <v/>
      </c>
      <c r="AJ106" t="str">
        <f>_xlfn.IFNA(IF(AE106 &lt; (INDEX(SLATable[Maximum SLA],MATCH(G106,SLATable[Priority],0))),"YES","NO"),"")</f>
        <v/>
      </c>
    </row>
    <row r="107" spans="26:36" ht="15" customHeight="1">
      <c r="Z107" s="76" t="e">
        <f t="shared" ca="1" si="12"/>
        <v>#N/A</v>
      </c>
      <c r="AA107" s="75" t="e">
        <f t="shared" ca="1" si="1"/>
        <v>#N/A</v>
      </c>
      <c r="AB107" s="76">
        <f t="shared" ca="1" si="13"/>
        <v>0</v>
      </c>
      <c r="AC107" s="75">
        <f t="shared" ca="1" si="3"/>
        <v>0</v>
      </c>
      <c r="AD107" s="76">
        <f t="shared" ca="1" si="14"/>
        <v>12388.425641203703</v>
      </c>
      <c r="AE107" s="76">
        <f t="shared" si="15"/>
        <v>0</v>
      </c>
      <c r="AF107" s="75">
        <f t="shared" si="6"/>
        <v>0</v>
      </c>
      <c r="AG107" s="75">
        <f t="shared" si="7"/>
        <v>0</v>
      </c>
      <c r="AH107" s="31" t="e" cm="1">
        <f t="array" aca="1" ref="AH107" ca="1">IF((AD107) &lt; (INDEX(ResponseSLA[#All],(MATCH((G107),ResponseSLA[Priority],0))+1,3)),"YES","No")</f>
        <v>#N/A</v>
      </c>
      <c r="AI107" s="31" t="str">
        <f>_xlfn.IFNA(IF(AE107 &lt; (INDEX(SLATable[Minimum SLA],MATCH(G107,SLATable[Priority],0))),"YES","NO"),"")</f>
        <v/>
      </c>
      <c r="AJ107" t="str">
        <f>_xlfn.IFNA(IF(AE107 &lt; (INDEX(SLATable[Maximum SLA],MATCH(G107,SLATable[Priority],0))),"YES","NO"),"")</f>
        <v/>
      </c>
    </row>
    <row r="108" spans="26:36" ht="15" customHeight="1">
      <c r="Z108" s="76" t="e">
        <f t="shared" ca="1" si="12"/>
        <v>#N/A</v>
      </c>
      <c r="AA108" s="75" t="e">
        <f t="shared" ca="1" si="1"/>
        <v>#N/A</v>
      </c>
      <c r="AB108" s="76">
        <f t="shared" ca="1" si="13"/>
        <v>0</v>
      </c>
      <c r="AC108" s="75">
        <f t="shared" ca="1" si="3"/>
        <v>0</v>
      </c>
      <c r="AD108" s="76">
        <f t="shared" ca="1" si="14"/>
        <v>12388.425641203703</v>
      </c>
      <c r="AE108" s="76">
        <f t="shared" si="15"/>
        <v>0</v>
      </c>
      <c r="AF108" s="75">
        <f t="shared" si="6"/>
        <v>0</v>
      </c>
      <c r="AG108" s="75">
        <f t="shared" si="7"/>
        <v>0</v>
      </c>
      <c r="AH108" s="31" t="e" cm="1">
        <f t="array" aca="1" ref="AH108" ca="1">IF((AD108) &lt; (INDEX(ResponseSLA[#All],(MATCH((G108),ResponseSLA[Priority],0))+1,3)),"YES","No")</f>
        <v>#N/A</v>
      </c>
      <c r="AI108" s="31" t="str">
        <f>_xlfn.IFNA(IF(AE108 &lt; (INDEX(SLATable[Minimum SLA],MATCH(G108,SLATable[Priority],0))),"YES","NO"),"")</f>
        <v/>
      </c>
      <c r="AJ108" t="str">
        <f>_xlfn.IFNA(IF(AE108 &lt; (INDEX(SLATable[Maximum SLA],MATCH(G108,SLATable[Priority],0))),"YES","NO"),"")</f>
        <v/>
      </c>
    </row>
    <row r="109" spans="26:36" ht="15" customHeight="1">
      <c r="Z109" s="76" t="e">
        <f t="shared" ca="1" si="12"/>
        <v>#N/A</v>
      </c>
      <c r="AA109" s="75" t="e">
        <f t="shared" ca="1" si="1"/>
        <v>#N/A</v>
      </c>
      <c r="AB109" s="76">
        <f t="shared" ca="1" si="13"/>
        <v>0</v>
      </c>
      <c r="AC109" s="75">
        <f t="shared" ca="1" si="3"/>
        <v>0</v>
      </c>
      <c r="AD109" s="76">
        <f t="shared" ca="1" si="14"/>
        <v>12388.425641435188</v>
      </c>
      <c r="AE109" s="76">
        <f t="shared" si="15"/>
        <v>0</v>
      </c>
      <c r="AF109" s="75">
        <f t="shared" si="6"/>
        <v>0</v>
      </c>
      <c r="AG109" s="75">
        <f t="shared" si="7"/>
        <v>0</v>
      </c>
      <c r="AH109" s="31" t="e" cm="1">
        <f t="array" aca="1" ref="AH109" ca="1">IF((AD109) &lt; (INDEX(ResponseSLA[#All],(MATCH((G109),ResponseSLA[Priority],0))+1,3)),"YES","No")</f>
        <v>#N/A</v>
      </c>
      <c r="AI109" s="31" t="str">
        <f>_xlfn.IFNA(IF(AE109 &lt; (INDEX(SLATable[Minimum SLA],MATCH(G109,SLATable[Priority],0))),"YES","NO"),"")</f>
        <v/>
      </c>
      <c r="AJ109" t="str">
        <f>_xlfn.IFNA(IF(AE109 &lt; (INDEX(SLATable[Maximum SLA],MATCH(G109,SLATable[Priority],0))),"YES","NO"),"")</f>
        <v/>
      </c>
    </row>
    <row r="110" spans="26:36" ht="15" customHeight="1">
      <c r="Z110" s="76" t="e">
        <f t="shared" ca="1" si="12"/>
        <v>#N/A</v>
      </c>
      <c r="AA110" s="75" t="e">
        <f t="shared" ca="1" si="1"/>
        <v>#N/A</v>
      </c>
      <c r="AB110" s="76">
        <f t="shared" ca="1" si="13"/>
        <v>0</v>
      </c>
      <c r="AC110" s="75">
        <f t="shared" ca="1" si="3"/>
        <v>0</v>
      </c>
      <c r="AD110" s="76">
        <f t="shared" ca="1" si="14"/>
        <v>12388.425641203703</v>
      </c>
      <c r="AE110" s="76">
        <f t="shared" si="15"/>
        <v>0</v>
      </c>
      <c r="AF110" s="75">
        <f t="shared" si="6"/>
        <v>0</v>
      </c>
      <c r="AG110" s="75">
        <f t="shared" si="7"/>
        <v>0</v>
      </c>
      <c r="AH110" s="31" t="e" cm="1">
        <f t="array" aca="1" ref="AH110" ca="1">IF((AD110) &lt; (INDEX(ResponseSLA[#All],(MATCH((G110),ResponseSLA[Priority],0))+1,3)),"YES","No")</f>
        <v>#N/A</v>
      </c>
      <c r="AI110" s="31" t="str">
        <f>_xlfn.IFNA(IF(AE110 &lt; (INDEX(SLATable[Minimum SLA],MATCH(G110,SLATable[Priority],0))),"YES","NO"),"")</f>
        <v/>
      </c>
      <c r="AJ110" t="str">
        <f>_xlfn.IFNA(IF(AE110 &lt; (INDEX(SLATable[Maximum SLA],MATCH(G110,SLATable[Priority],0))),"YES","NO"),"")</f>
        <v/>
      </c>
    </row>
    <row r="111" spans="26:36" ht="15" customHeight="1">
      <c r="Z111" s="76" t="e">
        <f t="shared" ca="1" si="12"/>
        <v>#N/A</v>
      </c>
      <c r="AA111" s="75" t="e">
        <f t="shared" ca="1" si="1"/>
        <v>#N/A</v>
      </c>
      <c r="AB111" s="76">
        <f t="shared" ca="1" si="13"/>
        <v>0</v>
      </c>
      <c r="AC111" s="75">
        <f t="shared" ca="1" si="3"/>
        <v>0</v>
      </c>
      <c r="AD111" s="76">
        <f t="shared" ca="1" si="14"/>
        <v>12388.425641203703</v>
      </c>
      <c r="AE111" s="76">
        <f t="shared" si="15"/>
        <v>0</v>
      </c>
      <c r="AF111" s="75">
        <f t="shared" si="6"/>
        <v>0</v>
      </c>
      <c r="AG111" s="75">
        <f t="shared" si="7"/>
        <v>0</v>
      </c>
      <c r="AH111" s="31" t="e" cm="1">
        <f t="array" aca="1" ref="AH111" ca="1">IF((AD111) &lt; (INDEX(ResponseSLA[#All],(MATCH((G111),ResponseSLA[Priority],0))+1,3)),"YES","No")</f>
        <v>#N/A</v>
      </c>
      <c r="AI111" s="31" t="str">
        <f>_xlfn.IFNA(IF(AE111 &lt; (INDEX(SLATable[Minimum SLA],MATCH(G111,SLATable[Priority],0))),"YES","NO"),"")</f>
        <v/>
      </c>
      <c r="AJ111" t="str">
        <f>_xlfn.IFNA(IF(AE111 &lt; (INDEX(SLATable[Maximum SLA],MATCH(G111,SLATable[Priority],0))),"YES","NO"),"")</f>
        <v/>
      </c>
    </row>
    <row r="112" spans="26:36" ht="15" customHeight="1">
      <c r="Z112" s="76" t="e">
        <f t="shared" ca="1" si="12"/>
        <v>#N/A</v>
      </c>
      <c r="AA112" s="75" t="e">
        <f t="shared" ca="1" si="1"/>
        <v>#N/A</v>
      </c>
      <c r="AB112" s="76">
        <f t="shared" ca="1" si="13"/>
        <v>0</v>
      </c>
      <c r="AC112" s="75">
        <f t="shared" ca="1" si="3"/>
        <v>0</v>
      </c>
      <c r="AD112" s="76">
        <f t="shared" ca="1" si="14"/>
        <v>12388.425641435188</v>
      </c>
      <c r="AE112" s="76">
        <f t="shared" si="15"/>
        <v>0</v>
      </c>
      <c r="AF112" s="75">
        <f t="shared" si="6"/>
        <v>0</v>
      </c>
      <c r="AG112" s="75">
        <f t="shared" si="7"/>
        <v>0</v>
      </c>
      <c r="AH112" s="31" t="e" cm="1">
        <f t="array" aca="1" ref="AH112" ca="1">IF((AD112) &lt; (INDEX(ResponseSLA[#All],(MATCH((G112),ResponseSLA[Priority],0))+1,3)),"YES","No")</f>
        <v>#N/A</v>
      </c>
      <c r="AI112" s="31" t="str">
        <f>_xlfn.IFNA(IF(AE112 &lt; (INDEX(SLATable[Minimum SLA],MATCH(G112,SLATable[Priority],0))),"YES","NO"),"")</f>
        <v/>
      </c>
      <c r="AJ112" t="str">
        <f>_xlfn.IFNA(IF(AE112 &lt; (INDEX(SLATable[Maximum SLA],MATCH(G112,SLATable[Priority],0))),"YES","NO"),"")</f>
        <v/>
      </c>
    </row>
    <row r="113" spans="26:36" ht="15" customHeight="1">
      <c r="Z113" s="76" t="e">
        <f t="shared" ca="1" si="12"/>
        <v>#N/A</v>
      </c>
      <c r="AA113" s="75" t="e">
        <f t="shared" ca="1" si="1"/>
        <v>#N/A</v>
      </c>
      <c r="AB113" s="76">
        <f t="shared" ca="1" si="13"/>
        <v>0</v>
      </c>
      <c r="AC113" s="75">
        <f t="shared" ca="1" si="3"/>
        <v>0</v>
      </c>
      <c r="AD113" s="76">
        <f t="shared" ca="1" si="14"/>
        <v>12388.425641203703</v>
      </c>
      <c r="AE113" s="76">
        <f t="shared" si="15"/>
        <v>0</v>
      </c>
      <c r="AF113" s="75">
        <f t="shared" si="6"/>
        <v>0</v>
      </c>
      <c r="AG113" s="75">
        <f t="shared" si="7"/>
        <v>0</v>
      </c>
      <c r="AH113" s="31" t="e" cm="1">
        <f t="array" aca="1" ref="AH113" ca="1">IF((AD113) &lt; (INDEX(ResponseSLA[#All],(MATCH((G113),ResponseSLA[Priority],0))+1,3)),"YES","No")</f>
        <v>#N/A</v>
      </c>
      <c r="AI113" s="31" t="str">
        <f>_xlfn.IFNA(IF(AE113 &lt; (INDEX(SLATable[Minimum SLA],MATCH(G113,SLATable[Priority],0))),"YES","NO"),"")</f>
        <v/>
      </c>
      <c r="AJ113" t="str">
        <f>_xlfn.IFNA(IF(AE113 &lt; (INDEX(SLATable[Maximum SLA],MATCH(G113,SLATable[Priority],0))),"YES","NO"),"")</f>
        <v/>
      </c>
    </row>
    <row r="114" spans="26:36" ht="15" customHeight="1">
      <c r="Z114" s="76" t="e">
        <f t="shared" ca="1" si="12"/>
        <v>#N/A</v>
      </c>
      <c r="AA114" s="75" t="e">
        <f t="shared" ca="1" si="1"/>
        <v>#N/A</v>
      </c>
      <c r="AB114" s="76">
        <f t="shared" ca="1" si="13"/>
        <v>0</v>
      </c>
      <c r="AC114" s="75">
        <f t="shared" ca="1" si="3"/>
        <v>0</v>
      </c>
      <c r="AD114" s="76">
        <f t="shared" ca="1" si="14"/>
        <v>12388.425641203703</v>
      </c>
      <c r="AE114" s="76">
        <f t="shared" si="15"/>
        <v>0</v>
      </c>
      <c r="AF114" s="75">
        <f t="shared" si="6"/>
        <v>0</v>
      </c>
      <c r="AG114" s="75">
        <f t="shared" si="7"/>
        <v>0</v>
      </c>
      <c r="AH114" s="31" t="e" cm="1">
        <f t="array" aca="1" ref="AH114" ca="1">IF((AD114) &lt; (INDEX(ResponseSLA[#All],(MATCH((G114),ResponseSLA[Priority],0))+1,3)),"YES","No")</f>
        <v>#N/A</v>
      </c>
      <c r="AI114" s="31" t="str">
        <f>_xlfn.IFNA(IF(AE114 &lt; (INDEX(SLATable[Minimum SLA],MATCH(G114,SLATable[Priority],0))),"YES","NO"),"")</f>
        <v/>
      </c>
      <c r="AJ114" t="str">
        <f>_xlfn.IFNA(IF(AE114 &lt; (INDEX(SLATable[Maximum SLA],MATCH(G114,SLATable[Priority],0))),"YES","NO"),"")</f>
        <v/>
      </c>
    </row>
    <row r="115" spans="26:36" ht="15" customHeight="1">
      <c r="Z115" s="76" t="e">
        <f t="shared" ca="1" si="12"/>
        <v>#N/A</v>
      </c>
      <c r="AA115" s="75" t="e">
        <f t="shared" ca="1" si="1"/>
        <v>#N/A</v>
      </c>
      <c r="AB115" s="76">
        <f t="shared" ca="1" si="13"/>
        <v>0</v>
      </c>
      <c r="AC115" s="75">
        <f t="shared" ca="1" si="3"/>
        <v>0</v>
      </c>
      <c r="AD115" s="76">
        <f t="shared" ca="1" si="14"/>
        <v>12388.425641435188</v>
      </c>
      <c r="AE115" s="76">
        <f t="shared" si="15"/>
        <v>0</v>
      </c>
      <c r="AF115" s="75">
        <f t="shared" si="6"/>
        <v>0</v>
      </c>
      <c r="AG115" s="75">
        <f t="shared" si="7"/>
        <v>0</v>
      </c>
      <c r="AH115" s="31" t="e" cm="1">
        <f t="array" aca="1" ref="AH115" ca="1">IF((AD115) &lt; (INDEX(ResponseSLA[#All],(MATCH((G115),ResponseSLA[Priority],0))+1,3)),"YES","No")</f>
        <v>#N/A</v>
      </c>
      <c r="AI115" s="31" t="str">
        <f>_xlfn.IFNA(IF(AE115 &lt; (INDEX(SLATable[Minimum SLA],MATCH(G115,SLATable[Priority],0))),"YES","NO"),"")</f>
        <v/>
      </c>
      <c r="AJ115" t="str">
        <f>_xlfn.IFNA(IF(AE115 &lt; (INDEX(SLATable[Maximum SLA],MATCH(G115,SLATable[Priority],0))),"YES","NO"),"")</f>
        <v/>
      </c>
    </row>
    <row r="116" spans="26:36" ht="15" customHeight="1">
      <c r="Z116" s="76" t="e">
        <f t="shared" ca="1" si="12"/>
        <v>#N/A</v>
      </c>
      <c r="AA116" s="75" t="e">
        <f t="shared" ca="1" si="1"/>
        <v>#N/A</v>
      </c>
      <c r="AB116" s="76">
        <f t="shared" ca="1" si="13"/>
        <v>0</v>
      </c>
      <c r="AC116" s="75">
        <f t="shared" ca="1" si="3"/>
        <v>0</v>
      </c>
      <c r="AD116" s="76">
        <f t="shared" ca="1" si="14"/>
        <v>12388.425641203703</v>
      </c>
      <c r="AE116" s="76">
        <f t="shared" si="15"/>
        <v>0</v>
      </c>
      <c r="AF116" s="75">
        <f t="shared" si="6"/>
        <v>0</v>
      </c>
      <c r="AG116" s="75">
        <f t="shared" si="7"/>
        <v>0</v>
      </c>
      <c r="AH116" s="31" t="e" cm="1">
        <f t="array" aca="1" ref="AH116" ca="1">IF((AD116) &lt; (INDEX(ResponseSLA[#All],(MATCH((G116),ResponseSLA[Priority],0))+1,3)),"YES","No")</f>
        <v>#N/A</v>
      </c>
      <c r="AI116" s="31" t="str">
        <f>_xlfn.IFNA(IF(AE116 &lt; (INDEX(SLATable[Minimum SLA],MATCH(G116,SLATable[Priority],0))),"YES","NO"),"")</f>
        <v/>
      </c>
      <c r="AJ116" t="str">
        <f>_xlfn.IFNA(IF(AE116 &lt; (INDEX(SLATable[Maximum SLA],MATCH(G116,SLATable[Priority],0))),"YES","NO"),"")</f>
        <v/>
      </c>
    </row>
    <row r="117" spans="26:36" ht="15" customHeight="1">
      <c r="Z117" s="76" t="e">
        <f t="shared" ca="1" si="12"/>
        <v>#N/A</v>
      </c>
      <c r="AA117" s="75" t="e">
        <f t="shared" ca="1" si="1"/>
        <v>#N/A</v>
      </c>
      <c r="AB117" s="76">
        <f t="shared" ca="1" si="13"/>
        <v>0</v>
      </c>
      <c r="AC117" s="75">
        <f t="shared" ca="1" si="3"/>
        <v>0</v>
      </c>
      <c r="AD117" s="76">
        <f t="shared" ca="1" si="14"/>
        <v>12388.425641203703</v>
      </c>
      <c r="AE117" s="76">
        <f t="shared" si="15"/>
        <v>0</v>
      </c>
      <c r="AF117" s="75">
        <f t="shared" si="6"/>
        <v>0</v>
      </c>
      <c r="AG117" s="75">
        <f t="shared" si="7"/>
        <v>0</v>
      </c>
      <c r="AH117" s="31" t="e" cm="1">
        <f t="array" aca="1" ref="AH117" ca="1">IF((AD117) &lt; (INDEX(ResponseSLA[#All],(MATCH((G117),ResponseSLA[Priority],0))+1,3)),"YES","No")</f>
        <v>#N/A</v>
      </c>
      <c r="AI117" s="31" t="str">
        <f>_xlfn.IFNA(IF(AE117 &lt; (INDEX(SLATable[Minimum SLA],MATCH(G117,SLATable[Priority],0))),"YES","NO"),"")</f>
        <v/>
      </c>
      <c r="AJ117" t="str">
        <f>_xlfn.IFNA(IF(AE117 &lt; (INDEX(SLATable[Maximum SLA],MATCH(G117,SLATable[Priority],0))),"YES","NO"),"")</f>
        <v/>
      </c>
    </row>
    <row r="118" spans="26:36" ht="15" customHeight="1">
      <c r="Z118" s="76" t="e">
        <f t="shared" ca="1" si="12"/>
        <v>#N/A</v>
      </c>
      <c r="AA118" s="75" t="e">
        <f t="shared" ca="1" si="1"/>
        <v>#N/A</v>
      </c>
      <c r="AB118" s="76">
        <f t="shared" ca="1" si="13"/>
        <v>0</v>
      </c>
      <c r="AC118" s="75">
        <f t="shared" ca="1" si="3"/>
        <v>0</v>
      </c>
      <c r="AD118" s="76">
        <f t="shared" ca="1" si="14"/>
        <v>12388.425641435188</v>
      </c>
      <c r="AE118" s="76">
        <f t="shared" si="15"/>
        <v>0</v>
      </c>
      <c r="AF118" s="75">
        <f t="shared" si="6"/>
        <v>0</v>
      </c>
      <c r="AG118" s="75">
        <f t="shared" si="7"/>
        <v>0</v>
      </c>
      <c r="AH118" s="31" t="e" cm="1">
        <f t="array" aca="1" ref="AH118" ca="1">IF((AD118) &lt; (INDEX(ResponseSLA[#All],(MATCH((G118),ResponseSLA[Priority],0))+1,3)),"YES","No")</f>
        <v>#N/A</v>
      </c>
      <c r="AI118" s="31" t="str">
        <f>_xlfn.IFNA(IF(AE118 &lt; (INDEX(SLATable[Minimum SLA],MATCH(G118,SLATable[Priority],0))),"YES","NO"),"")</f>
        <v/>
      </c>
      <c r="AJ118" t="str">
        <f>_xlfn.IFNA(IF(AE118 &lt; (INDEX(SLATable[Maximum SLA],MATCH(G118,SLATable[Priority],0))),"YES","NO"),"")</f>
        <v/>
      </c>
    </row>
    <row r="119" spans="26:36" ht="15" customHeight="1">
      <c r="Z119" s="76" t="e">
        <f t="shared" ca="1" si="12"/>
        <v>#N/A</v>
      </c>
      <c r="AA119" s="75" t="e">
        <f t="shared" ca="1" si="1"/>
        <v>#N/A</v>
      </c>
      <c r="AB119" s="76">
        <f t="shared" ca="1" si="13"/>
        <v>0</v>
      </c>
      <c r="AC119" s="75">
        <f t="shared" ca="1" si="3"/>
        <v>0</v>
      </c>
      <c r="AD119" s="76">
        <f t="shared" ca="1" si="14"/>
        <v>12388.425641203703</v>
      </c>
      <c r="AE119" s="76">
        <f t="shared" si="15"/>
        <v>0</v>
      </c>
      <c r="AF119" s="75">
        <f t="shared" si="6"/>
        <v>0</v>
      </c>
      <c r="AG119" s="75">
        <f t="shared" si="7"/>
        <v>0</v>
      </c>
      <c r="AH119" s="31" t="e" cm="1">
        <f t="array" aca="1" ref="AH119" ca="1">IF((AD119) &lt; (INDEX(ResponseSLA[#All],(MATCH((G119),ResponseSLA[Priority],0))+1,3)),"YES","No")</f>
        <v>#N/A</v>
      </c>
      <c r="AI119" s="31" t="str">
        <f>_xlfn.IFNA(IF(AE119 &lt; (INDEX(SLATable[Minimum SLA],MATCH(G119,SLATable[Priority],0))),"YES","NO"),"")</f>
        <v/>
      </c>
      <c r="AJ119" t="str">
        <f>_xlfn.IFNA(IF(AE119 &lt; (INDEX(SLATable[Maximum SLA],MATCH(G119,SLATable[Priority],0))),"YES","NO"),"")</f>
        <v/>
      </c>
    </row>
    <row r="120" spans="26:36" ht="15" customHeight="1">
      <c r="Z120" s="76" t="e">
        <f t="shared" ca="1" si="12"/>
        <v>#N/A</v>
      </c>
      <c r="AA120" s="75" t="e">
        <f t="shared" ca="1" si="1"/>
        <v>#N/A</v>
      </c>
      <c r="AB120" s="76">
        <f t="shared" ca="1" si="13"/>
        <v>0</v>
      </c>
      <c r="AC120" s="75">
        <f t="shared" ca="1" si="3"/>
        <v>0</v>
      </c>
      <c r="AD120" s="76">
        <f t="shared" ca="1" si="14"/>
        <v>12388.425641203703</v>
      </c>
      <c r="AE120" s="76">
        <f t="shared" si="15"/>
        <v>0</v>
      </c>
      <c r="AF120" s="75">
        <f t="shared" si="6"/>
        <v>0</v>
      </c>
      <c r="AG120" s="75">
        <f t="shared" si="7"/>
        <v>0</v>
      </c>
      <c r="AH120" s="31" t="e" cm="1">
        <f t="array" aca="1" ref="AH120" ca="1">IF((AD120) &lt; (INDEX(ResponseSLA[#All],(MATCH((G120),ResponseSLA[Priority],0))+1,3)),"YES","No")</f>
        <v>#N/A</v>
      </c>
      <c r="AI120" s="31" t="str">
        <f>_xlfn.IFNA(IF(AE120 &lt; (INDEX(SLATable[Minimum SLA],MATCH(G120,SLATable[Priority],0))),"YES","NO"),"")</f>
        <v/>
      </c>
      <c r="AJ120" t="str">
        <f>_xlfn.IFNA(IF(AE120 &lt; (INDEX(SLATable[Maximum SLA],MATCH(G120,SLATable[Priority],0))),"YES","NO"),"")</f>
        <v/>
      </c>
    </row>
    <row r="121" spans="26:36" ht="15" customHeight="1">
      <c r="Z121" s="76" t="e">
        <f t="shared" ca="1" si="12"/>
        <v>#N/A</v>
      </c>
      <c r="AA121" s="75" t="e">
        <f t="shared" ca="1" si="1"/>
        <v>#N/A</v>
      </c>
      <c r="AB121" s="76">
        <f t="shared" ca="1" si="13"/>
        <v>0</v>
      </c>
      <c r="AC121" s="75">
        <f t="shared" ca="1" si="3"/>
        <v>0</v>
      </c>
      <c r="AD121" s="76">
        <f t="shared" ca="1" si="14"/>
        <v>12388.425641435188</v>
      </c>
      <c r="AE121" s="76">
        <f t="shared" si="15"/>
        <v>0</v>
      </c>
      <c r="AF121" s="75">
        <f t="shared" si="6"/>
        <v>0</v>
      </c>
      <c r="AG121" s="75">
        <f t="shared" si="7"/>
        <v>0</v>
      </c>
      <c r="AH121" s="31" t="e" cm="1">
        <f t="array" aca="1" ref="AH121" ca="1">IF((AD121) &lt; (INDEX(ResponseSLA[#All],(MATCH((G121),ResponseSLA[Priority],0))+1,3)),"YES","No")</f>
        <v>#N/A</v>
      </c>
      <c r="AI121" s="31" t="str">
        <f>_xlfn.IFNA(IF(AE121 &lt; (INDEX(SLATable[Minimum SLA],MATCH(G121,SLATable[Priority],0))),"YES","NO"),"")</f>
        <v/>
      </c>
      <c r="AJ121" t="str">
        <f>_xlfn.IFNA(IF(AE121 &lt; (INDEX(SLATable[Maximum SLA],MATCH(G121,SLATable[Priority],0))),"YES","NO"),"")</f>
        <v/>
      </c>
    </row>
    <row r="122" spans="26:36" ht="15" customHeight="1">
      <c r="Z122" s="76" t="e">
        <f t="shared" ca="1" si="12"/>
        <v>#N/A</v>
      </c>
      <c r="AA122" s="75" t="e">
        <f t="shared" ca="1" si="1"/>
        <v>#N/A</v>
      </c>
      <c r="AB122" s="76">
        <f t="shared" ca="1" si="13"/>
        <v>0</v>
      </c>
      <c r="AC122" s="75">
        <f t="shared" ca="1" si="3"/>
        <v>0</v>
      </c>
      <c r="AD122" s="76">
        <f t="shared" ca="1" si="14"/>
        <v>12388.425641203703</v>
      </c>
      <c r="AE122" s="76">
        <f t="shared" si="15"/>
        <v>0</v>
      </c>
      <c r="AF122" s="75">
        <f t="shared" si="6"/>
        <v>0</v>
      </c>
      <c r="AG122" s="75">
        <f t="shared" si="7"/>
        <v>0</v>
      </c>
      <c r="AH122" s="31" t="e" cm="1">
        <f t="array" aca="1" ref="AH122" ca="1">IF((AD122) &lt; (INDEX(ResponseSLA[#All],(MATCH((G122),ResponseSLA[Priority],0))+1,3)),"YES","No")</f>
        <v>#N/A</v>
      </c>
      <c r="AI122" s="31" t="str">
        <f>_xlfn.IFNA(IF(AE122 &lt; (INDEX(SLATable[Minimum SLA],MATCH(G122,SLATable[Priority],0))),"YES","NO"),"")</f>
        <v/>
      </c>
      <c r="AJ122" t="str">
        <f>_xlfn.IFNA(IF(AE122 &lt; (INDEX(SLATable[Maximum SLA],MATCH(G122,SLATable[Priority],0))),"YES","NO"),"")</f>
        <v/>
      </c>
    </row>
    <row r="123" spans="26:36" ht="15" customHeight="1">
      <c r="Z123" s="76" t="e">
        <f t="shared" ca="1" si="12"/>
        <v>#N/A</v>
      </c>
      <c r="AA123" s="75" t="e">
        <f t="shared" ca="1" si="1"/>
        <v>#N/A</v>
      </c>
      <c r="AB123" s="76">
        <f t="shared" ca="1" si="13"/>
        <v>0</v>
      </c>
      <c r="AC123" s="75">
        <f t="shared" ca="1" si="3"/>
        <v>0</v>
      </c>
      <c r="AD123" s="76">
        <f t="shared" ca="1" si="14"/>
        <v>12388.425641203703</v>
      </c>
      <c r="AE123" s="76">
        <f t="shared" si="15"/>
        <v>0</v>
      </c>
      <c r="AF123" s="75">
        <f t="shared" si="6"/>
        <v>0</v>
      </c>
      <c r="AG123" s="75">
        <f t="shared" si="7"/>
        <v>0</v>
      </c>
      <c r="AH123" s="31" t="e" cm="1">
        <f t="array" aca="1" ref="AH123" ca="1">IF((AD123) &lt; (INDEX(ResponseSLA[#All],(MATCH((G123),ResponseSLA[Priority],0))+1,3)),"YES","No")</f>
        <v>#N/A</v>
      </c>
      <c r="AI123" s="31" t="str">
        <f>_xlfn.IFNA(IF(AE123 &lt; (INDEX(SLATable[Minimum SLA],MATCH(G123,SLATable[Priority],0))),"YES","NO"),"")</f>
        <v/>
      </c>
      <c r="AJ123" t="str">
        <f>_xlfn.IFNA(IF(AE123 &lt; (INDEX(SLATable[Maximum SLA],MATCH(G123,SLATable[Priority],0))),"YES","NO"),"")</f>
        <v/>
      </c>
    </row>
    <row r="124" spans="26:36" ht="15" customHeight="1">
      <c r="Z124" s="76" t="e">
        <f t="shared" ca="1" si="12"/>
        <v>#N/A</v>
      </c>
      <c r="AA124" s="75" t="e">
        <f t="shared" ca="1" si="1"/>
        <v>#N/A</v>
      </c>
      <c r="AB124" s="76">
        <f t="shared" ca="1" si="13"/>
        <v>0</v>
      </c>
      <c r="AC124" s="75">
        <f t="shared" ca="1" si="3"/>
        <v>0</v>
      </c>
      <c r="AD124" s="76">
        <f t="shared" ca="1" si="14"/>
        <v>12388.425641435188</v>
      </c>
      <c r="AE124" s="76">
        <f t="shared" si="15"/>
        <v>0</v>
      </c>
      <c r="AF124" s="75">
        <f t="shared" si="6"/>
        <v>0</v>
      </c>
      <c r="AG124" s="75">
        <f t="shared" si="7"/>
        <v>0</v>
      </c>
      <c r="AH124" s="31" t="e" cm="1">
        <f t="array" aca="1" ref="AH124" ca="1">IF((AD124) &lt; (INDEX(ResponseSLA[#All],(MATCH((G124),ResponseSLA[Priority],0))+1,3)),"YES","No")</f>
        <v>#N/A</v>
      </c>
      <c r="AI124" s="31" t="str">
        <f>_xlfn.IFNA(IF(AE124 &lt; (INDEX(SLATable[Minimum SLA],MATCH(G124,SLATable[Priority],0))),"YES","NO"),"")</f>
        <v/>
      </c>
      <c r="AJ124" t="str">
        <f>_xlfn.IFNA(IF(AE124 &lt; (INDEX(SLATable[Maximum SLA],MATCH(G124,SLATable[Priority],0))),"YES","NO"),"")</f>
        <v/>
      </c>
    </row>
    <row r="125" spans="26:36" ht="15" customHeight="1">
      <c r="Z125" s="76" t="e">
        <f t="shared" ca="1" si="12"/>
        <v>#N/A</v>
      </c>
      <c r="AA125" s="75" t="e">
        <f t="shared" ca="1" si="1"/>
        <v>#N/A</v>
      </c>
      <c r="AB125" s="76">
        <f t="shared" ca="1" si="13"/>
        <v>0</v>
      </c>
      <c r="AC125" s="75">
        <f t="shared" ca="1" si="3"/>
        <v>0</v>
      </c>
      <c r="AD125" s="76">
        <f t="shared" ca="1" si="14"/>
        <v>12388.425641203703</v>
      </c>
      <c r="AE125" s="76">
        <f t="shared" si="15"/>
        <v>0</v>
      </c>
      <c r="AF125" s="75">
        <f t="shared" si="6"/>
        <v>0</v>
      </c>
      <c r="AG125" s="75">
        <f t="shared" si="7"/>
        <v>0</v>
      </c>
      <c r="AH125" s="31" t="e" cm="1">
        <f t="array" aca="1" ref="AH125" ca="1">IF((AD125) &lt; (INDEX(ResponseSLA[#All],(MATCH((G125),ResponseSLA[Priority],0))+1,3)),"YES","No")</f>
        <v>#N/A</v>
      </c>
      <c r="AI125" s="31" t="str">
        <f>_xlfn.IFNA(IF(AE125 &lt; (INDEX(SLATable[Minimum SLA],MATCH(G125,SLATable[Priority],0))),"YES","NO"),"")</f>
        <v/>
      </c>
      <c r="AJ125" t="str">
        <f>_xlfn.IFNA(IF(AE125 &lt; (INDEX(SLATable[Maximum SLA],MATCH(G125,SLATable[Priority],0))),"YES","NO"),"")</f>
        <v/>
      </c>
    </row>
    <row r="126" spans="26:36" ht="15" customHeight="1">
      <c r="Z126" s="76" t="e">
        <f t="shared" ca="1" si="12"/>
        <v>#N/A</v>
      </c>
      <c r="AA126" s="75" t="e">
        <f t="shared" ca="1" si="1"/>
        <v>#N/A</v>
      </c>
      <c r="AB126" s="76">
        <f t="shared" ca="1" si="13"/>
        <v>0</v>
      </c>
      <c r="AC126" s="75">
        <f t="shared" ca="1" si="3"/>
        <v>0</v>
      </c>
      <c r="AD126" s="76">
        <f t="shared" ca="1" si="14"/>
        <v>12388.425641203703</v>
      </c>
      <c r="AE126" s="76">
        <f t="shared" si="15"/>
        <v>0</v>
      </c>
      <c r="AF126" s="75">
        <f t="shared" si="6"/>
        <v>0</v>
      </c>
      <c r="AG126" s="75">
        <f t="shared" si="7"/>
        <v>0</v>
      </c>
      <c r="AH126" s="31" t="e" cm="1">
        <f t="array" aca="1" ref="AH126" ca="1">IF((AD126) &lt; (INDEX(ResponseSLA[#All],(MATCH((G126),ResponseSLA[Priority],0))+1,3)),"YES","No")</f>
        <v>#N/A</v>
      </c>
      <c r="AI126" s="31" t="str">
        <f>_xlfn.IFNA(IF(AE126 &lt; (INDEX(SLATable[Minimum SLA],MATCH(G126,SLATable[Priority],0))),"YES","NO"),"")</f>
        <v/>
      </c>
      <c r="AJ126" t="str">
        <f>_xlfn.IFNA(IF(AE126 &lt; (INDEX(SLATable[Maximum SLA],MATCH(G126,SLATable[Priority],0))),"YES","NO"),"")</f>
        <v/>
      </c>
    </row>
    <row r="127" spans="26:36" ht="15" customHeight="1">
      <c r="Z127" s="76" t="e">
        <f t="shared" ca="1" si="12"/>
        <v>#N/A</v>
      </c>
      <c r="AA127" s="75" t="e">
        <f t="shared" ca="1" si="1"/>
        <v>#N/A</v>
      </c>
      <c r="AB127" s="76">
        <f t="shared" ca="1" si="13"/>
        <v>0</v>
      </c>
      <c r="AC127" s="75">
        <f t="shared" ca="1" si="3"/>
        <v>0</v>
      </c>
      <c r="AD127" s="76">
        <f t="shared" ca="1" si="14"/>
        <v>12388.425641435188</v>
      </c>
      <c r="AE127" s="76">
        <f t="shared" si="15"/>
        <v>0</v>
      </c>
      <c r="AF127" s="75">
        <f t="shared" si="6"/>
        <v>0</v>
      </c>
      <c r="AG127" s="75">
        <f t="shared" si="7"/>
        <v>0</v>
      </c>
      <c r="AH127" s="31" t="e" cm="1">
        <f t="array" aca="1" ref="AH127" ca="1">IF((AD127) &lt; (INDEX(ResponseSLA[#All],(MATCH((G127),ResponseSLA[Priority],0))+1,3)),"YES","No")</f>
        <v>#N/A</v>
      </c>
      <c r="AI127" s="31" t="str">
        <f>_xlfn.IFNA(IF(AE127 &lt; (INDEX(SLATable[Minimum SLA],MATCH(G127,SLATable[Priority],0))),"YES","NO"),"")</f>
        <v/>
      </c>
      <c r="AJ127" t="str">
        <f>_xlfn.IFNA(IF(AE127 &lt; (INDEX(SLATable[Maximum SLA],MATCH(G127,SLATable[Priority],0))),"YES","NO"),"")</f>
        <v/>
      </c>
    </row>
    <row r="128" spans="26:36" ht="15" customHeight="1">
      <c r="Z128" s="76" t="e">
        <f t="shared" ca="1" si="12"/>
        <v>#N/A</v>
      </c>
      <c r="AA128" s="75" t="e">
        <f t="shared" ca="1" si="1"/>
        <v>#N/A</v>
      </c>
      <c r="AB128" s="76">
        <f t="shared" ca="1" si="13"/>
        <v>0</v>
      </c>
      <c r="AC128" s="75">
        <f t="shared" ca="1" si="3"/>
        <v>0</v>
      </c>
      <c r="AD128" s="76">
        <f t="shared" ca="1" si="14"/>
        <v>12388.425641203703</v>
      </c>
      <c r="AE128" s="76">
        <f t="shared" si="15"/>
        <v>0</v>
      </c>
      <c r="AF128" s="75">
        <f t="shared" si="6"/>
        <v>0</v>
      </c>
      <c r="AG128" s="75">
        <f t="shared" si="7"/>
        <v>0</v>
      </c>
      <c r="AH128" s="31" t="e" cm="1">
        <f t="array" aca="1" ref="AH128" ca="1">IF((AD128) &lt; (INDEX(ResponseSLA[#All],(MATCH((G128),ResponseSLA[Priority],0))+1,3)),"YES","No")</f>
        <v>#N/A</v>
      </c>
      <c r="AI128" s="31" t="str">
        <f>_xlfn.IFNA(IF(AE128 &lt; (INDEX(SLATable[Minimum SLA],MATCH(G128,SLATable[Priority],0))),"YES","NO"),"")</f>
        <v/>
      </c>
      <c r="AJ128" t="str">
        <f>_xlfn.IFNA(IF(AE128 &lt; (INDEX(SLATable[Maximum SLA],MATCH(G128,SLATable[Priority],0))),"YES","NO"),"")</f>
        <v/>
      </c>
    </row>
    <row r="129" spans="26:36" ht="15" customHeight="1">
      <c r="Z129" s="76" t="e">
        <f t="shared" ca="1" si="12"/>
        <v>#N/A</v>
      </c>
      <c r="AA129" s="75" t="e">
        <f t="shared" ca="1" si="1"/>
        <v>#N/A</v>
      </c>
      <c r="AB129" s="76">
        <f t="shared" ca="1" si="13"/>
        <v>0</v>
      </c>
      <c r="AC129" s="75">
        <f t="shared" ca="1" si="3"/>
        <v>0</v>
      </c>
      <c r="AD129" s="76">
        <f t="shared" ca="1" si="14"/>
        <v>12388.425641203703</v>
      </c>
      <c r="AE129" s="76">
        <f t="shared" si="15"/>
        <v>0</v>
      </c>
      <c r="AF129" s="75">
        <f t="shared" si="6"/>
        <v>0</v>
      </c>
      <c r="AG129" s="75">
        <f t="shared" si="7"/>
        <v>0</v>
      </c>
      <c r="AH129" s="31" t="e" cm="1">
        <f t="array" aca="1" ref="AH129" ca="1">IF((AD129) &lt; (INDEX(ResponseSLA[#All],(MATCH((G129),ResponseSLA[Priority],0))+1,3)),"YES","No")</f>
        <v>#N/A</v>
      </c>
      <c r="AI129" s="31" t="str">
        <f>_xlfn.IFNA(IF(AE129 &lt; (INDEX(SLATable[Minimum SLA],MATCH(G129,SLATable[Priority],0))),"YES","NO"),"")</f>
        <v/>
      </c>
      <c r="AJ129" t="str">
        <f>_xlfn.IFNA(IF(AE129 &lt; (INDEX(SLATable[Maximum SLA],MATCH(G129,SLATable[Priority],0))),"YES","NO"),"")</f>
        <v/>
      </c>
    </row>
    <row r="130" spans="26:36" ht="15" customHeight="1">
      <c r="Z130" s="76" t="e">
        <f t="shared" ca="1" si="12"/>
        <v>#N/A</v>
      </c>
      <c r="AA130" s="75" t="e">
        <f t="shared" ca="1" si="1"/>
        <v>#N/A</v>
      </c>
      <c r="AB130" s="76">
        <f t="shared" ca="1" si="13"/>
        <v>0</v>
      </c>
      <c r="AC130" s="75">
        <f t="shared" ca="1" si="3"/>
        <v>0</v>
      </c>
      <c r="AD130" s="76">
        <f t="shared" ca="1" si="14"/>
        <v>12388.425641435188</v>
      </c>
      <c r="AE130" s="76">
        <f t="shared" si="15"/>
        <v>0</v>
      </c>
      <c r="AF130" s="75">
        <f t="shared" si="6"/>
        <v>0</v>
      </c>
      <c r="AG130" s="75">
        <f t="shared" si="7"/>
        <v>0</v>
      </c>
      <c r="AH130" s="31" t="e" cm="1">
        <f t="array" aca="1" ref="AH130" ca="1">IF((AD130) &lt; (INDEX(ResponseSLA[#All],(MATCH((G130),ResponseSLA[Priority],0))+1,3)),"YES","No")</f>
        <v>#N/A</v>
      </c>
      <c r="AI130" s="31" t="str">
        <f>_xlfn.IFNA(IF(AE130 &lt; (INDEX(SLATable[Minimum SLA],MATCH(G130,SLATable[Priority],0))),"YES","NO"),"")</f>
        <v/>
      </c>
      <c r="AJ130" t="str">
        <f>_xlfn.IFNA(IF(AE130 &lt; (INDEX(SLATable[Maximum SLA],MATCH(G130,SLATable[Priority],0))),"YES","NO"),"")</f>
        <v/>
      </c>
    </row>
    <row r="131" spans="26:36" ht="15" customHeight="1">
      <c r="Z131" s="76" t="e">
        <f t="shared" ref="Z131:Z194" ca="1" si="16">IF(NOT(OR(G131=1,G131=2)),MAX(0,_xlfn.IFS(AND(K131&lt;&gt;"",N131&lt;&gt;""),((MAX(NETWORKDAYS(K131,N131,UKBankHolidays)-1,0))*(TIME(17,0,0)-TIME(8,0,0))+IF(NETWORKDAYS(N131,N131,UKBankHolidays)&gt;0,MEDIAN(TIME(8,0,0),MOD(N131,1),TIME(17,0,0)),TIME(8,0,0))-IF(NETWORKDAYS(K131,K131,UKBankHolidays)&gt;0,MEDIAN(TIME(8,0,0),MOD(K131,1),TIME(17,0,0)),TIME(8,0,0)))-IF(AND(O131&lt;&gt;"",P131&lt;&gt;""),((MAX(NETWORKDAYS(O131,P131,UKBankHolidays)-1,0))*(TIME(17,0,0)-TIME(8,0,0))+IF(NETWORKDAYS(P131,P131,UKBankHolidays)&gt;0,MEDIAN(TIME(8,0,0),MOD(P131,1),TIME(17,0,0)),TIME(8,0,0))-IF(NETWORKDAYS(O131,O131,UKBankHolidays)&gt;0,MEDIAN(TIME(8,0,0),MOD(O131,1),TIME(17,0,0)),TIME(8,0,0))),0),AND(K131&lt;&gt;"",N131=""),((MAX(NETWORKDAYS(K131,NOW(),UKBankHolidays)-1,0))*(TIME(17,0,0)-TIME(8,0,0))+IF(NETWORKDAYS(NOW(),NOW(),UKBankHolidays)&gt;0,MEDIAN(TIME(8,0,0),MOD(NOW(),1),TIME(17,0,0)),TIME(8,0,0))-IF(NETWORKDAYS(K131,K131,UKBankHolidays)&gt;0,MEDIAN(TIME(8,0,0),MOD(K131,1),TIME(17,0,0)),TIME(8,0,0))))),IF(N131="",NOW()-K131,N131-K131))</f>
        <v>#N/A</v>
      </c>
      <c r="AA131" s="75" t="e">
        <f t="shared" ca="1" si="1"/>
        <v>#N/A</v>
      </c>
      <c r="AB131" s="76">
        <f t="shared" ref="AB131:AB194" ca="1" si="17">IF(NOT(OR(G131=1,G131=2)),MAX(0,_xlfn.IFS(AND(K131&lt;&gt;"",N131&lt;&gt;""),(((MAX(NETWORKDAYS(L131,N131,UKBankHolidays)-1,0))*(TIME(17,0,0)-TIME(8,0,0)))+IF(NETWORKDAYS(N131,N131,UKBankHolidays)&gt;0,MEDIAN(TIME(8,0,0),MOD(N131,1),TIME(17,0,0)),TIME(8,0,0))-IF(NETWORKDAYS(L131,L131,UKBankHolidays)&gt;0,MEDIAN(TIME(8,0,0),MOD(L131,1),TIME(17,0,0)),TIME(8,0,0)))-IF(AND(O131&lt;&gt;"",P131&lt;&gt;""),(((MAX(NETWORKDAYS(O131,P131,UKBankHolidays)-1,0))*(TIME(17,0,0)-TIME(8,0,0)))+IF(NETWORKDAYS(P131,P131,UKBankHolidays)&gt;0,MEDIAN(TIME(8,0,0),MOD(P131,1),TIME(17,0,0)),TIME(8,0,0))-IF(NETWORKDAYS(O131,O131,UKBankHolidays)&gt;0,MEDIAN(TIME(8,0,0),MOD(O131,1),TIME(17,0,0)),TIME(8,0,0))),0),AND(L131&lt;&gt;"",N131="",O131=""),(((MAX(NETWORKDAYS(L131,NOW(),UKBankHolidays)-1,0))*(TIME(17,0,0)-TIME(8,0,0)))+IF(NETWORKDAYS(NOW(),NOW(),UKBankHolidays)&gt;0,MEDIAN(TIME(8,0,0),MOD(NOW(),1),TIME(17,0,0)),TIME(8,0,0))-IF(NETWORKDAYS(L131,L131,UKBankHolidays)&gt;0,MEDIAN(TIME(8,0,0),MOD(L131,1),TIME(17,0,0)),TIME(8,0,0)))-IF(AND(O131&lt;&gt;"",P131&lt;&gt;""),(((MAX(NETWORKDAYS(O131,P131,UKBankHolidays)-1,0))*(TIME(17,0,0)-TIME(8,0,0)))+IF(NETWORKDAYS(P131,P131,UKBankHolidays)&gt;0,MEDIAN(TIME(8,0,0),MOD(P131,1),TIME(17,0,0)),TIME(8,0,0))-IF(NETWORKDAYS(O131,O131,UKBankHolidays)&gt;0,MEDIAN(TIME(8,0,0),MOD(O131,1),TIME(17,0,0)),TIME(8,0,0))),0),AND(L131&lt;&gt;"",N131="",P131="",O131&lt;&gt;""),(((MAX(NETWORKDAYS(L131,O131,UKBankHolidays)-1,0))*(TIME(17,0,0)-TIME(8,0,0)))+IF(NETWORKDAYS(O131,O131,UKBankHolidays)&gt;0,MEDIAN(TIME(8,0,0),MOD(O131,1),TIME(17,0,0)),TIME(8,0,0))-IF(NETWORKDAYS(L131,L131,UKBankHolidays)&gt;0,MEDIAN(TIME(8,0,0),MOD(L131,1),TIME(17,0,0)),TIME(8,0,0))),ISBLANK(K131),"0")),IF(ISBLANK(N131),NOW()-L131,N131-L131))</f>
        <v>0</v>
      </c>
      <c r="AC131" s="75">
        <f t="shared" ca="1" si="3"/>
        <v>0</v>
      </c>
      <c r="AD131" s="76">
        <f t="shared" ref="AD131:AD194" ca="1" si="18">MAX(0,IF(NOT(OR(G131=1,G131=2)),IF(M131&lt;&gt;"",((MAX(NETWORKDAYS(L131,M131,UKBankHolidays)-1,0))*(TIME(17,0,0)-TIME(8,0,0))+IF(NETWORKDAYS(M131,M131,UKBankHolidays)&gt;0,MEDIAN(TIME(8,0,0),MOD(M131,1),TIME(17,0,0)),TIME(8,0,0))-MEDIAN(TIME(8,0,0),MOD(L131,1),TIME(17,0,0))),((MAX(NETWORKDAYS(L131,NOW(),UKBankHolidays)-1,0))*(TIME(17,0,0)-TIME(8,0,0))+IF(NETWORKDAYS(NOW(),NOW(),UKBankHolidays)&gt;0,MEDIAN(TIME(8,0,0),MOD(NOW(),1),TIME(17,0,0)),TIME(8,0,0))-MEDIAN(TIME(8,0,0),MOD(L131,1),TIME(17,0,0)))),IF(M131&lt;&gt;"",M131-L131,NOW()-L131)))</f>
        <v>12388.425641203703</v>
      </c>
      <c r="AE131" s="76">
        <f t="shared" ref="AE131:AE194" si="19">SUMIFS(AB:AB,E:E,E131)</f>
        <v>0</v>
      </c>
      <c r="AF131" s="75">
        <f t="shared" si="6"/>
        <v>0</v>
      </c>
      <c r="AG131" s="75">
        <f t="shared" si="7"/>
        <v>0</v>
      </c>
      <c r="AH131" s="31" t="e" cm="1">
        <f t="array" aca="1" ref="AH131" ca="1">IF((AD131) &lt; (INDEX(ResponseSLA[#All],(MATCH((G131),ResponseSLA[Priority],0))+1,3)),"YES","No")</f>
        <v>#N/A</v>
      </c>
      <c r="AI131" s="31" t="str">
        <f>_xlfn.IFNA(IF(AE131 &lt; (INDEX(SLATable[Minimum SLA],MATCH(G131,SLATable[Priority],0))),"YES","NO"),"")</f>
        <v/>
      </c>
      <c r="AJ131" t="str">
        <f>_xlfn.IFNA(IF(AE131 &lt; (INDEX(SLATable[Maximum SLA],MATCH(G131,SLATable[Priority],0))),"YES","NO"),"")</f>
        <v/>
      </c>
    </row>
    <row r="132" spans="26:36" ht="15" customHeight="1">
      <c r="Z132" s="76" t="e">
        <f t="shared" ca="1" si="16"/>
        <v>#N/A</v>
      </c>
      <c r="AA132" s="75" t="e">
        <f t="shared" ca="1" si="1"/>
        <v>#N/A</v>
      </c>
      <c r="AB132" s="76">
        <f t="shared" ca="1" si="17"/>
        <v>0</v>
      </c>
      <c r="AC132" s="75">
        <f t="shared" ca="1" si="3"/>
        <v>0</v>
      </c>
      <c r="AD132" s="76">
        <f t="shared" ca="1" si="18"/>
        <v>12388.425641203703</v>
      </c>
      <c r="AE132" s="76">
        <f t="shared" si="19"/>
        <v>0</v>
      </c>
      <c r="AF132" s="75">
        <f t="shared" si="6"/>
        <v>0</v>
      </c>
      <c r="AG132" s="75">
        <f t="shared" si="7"/>
        <v>0</v>
      </c>
      <c r="AH132" s="31" t="e" cm="1">
        <f t="array" aca="1" ref="AH132" ca="1">IF((AD132) &lt; (INDEX(ResponseSLA[#All],(MATCH((G132),ResponseSLA[Priority],0))+1,3)),"YES","No")</f>
        <v>#N/A</v>
      </c>
      <c r="AI132" s="31" t="str">
        <f>_xlfn.IFNA(IF(AE132 &lt; (INDEX(SLATable[Minimum SLA],MATCH(G132,SLATable[Priority],0))),"YES","NO"),"")</f>
        <v/>
      </c>
      <c r="AJ132" t="str">
        <f>_xlfn.IFNA(IF(AE132 &lt; (INDEX(SLATable[Maximum SLA],MATCH(G132,SLATable[Priority],0))),"YES","NO"),"")</f>
        <v/>
      </c>
    </row>
    <row r="133" spans="26:36" ht="15" customHeight="1">
      <c r="Z133" s="76" t="e">
        <f t="shared" ca="1" si="16"/>
        <v>#N/A</v>
      </c>
      <c r="AA133" s="75" t="e">
        <f t="shared" ca="1" si="1"/>
        <v>#N/A</v>
      </c>
      <c r="AB133" s="76">
        <f t="shared" ca="1" si="17"/>
        <v>0</v>
      </c>
      <c r="AC133" s="75">
        <f t="shared" ca="1" si="3"/>
        <v>0</v>
      </c>
      <c r="AD133" s="76">
        <f t="shared" ca="1" si="18"/>
        <v>12388.425641435188</v>
      </c>
      <c r="AE133" s="76">
        <f t="shared" si="19"/>
        <v>0</v>
      </c>
      <c r="AF133" s="75">
        <f t="shared" si="6"/>
        <v>0</v>
      </c>
      <c r="AG133" s="75">
        <f t="shared" si="7"/>
        <v>0</v>
      </c>
      <c r="AH133" s="31" t="e" cm="1">
        <f t="array" aca="1" ref="AH133" ca="1">IF((AD133) &lt; (INDEX(ResponseSLA[#All],(MATCH((G133),ResponseSLA[Priority],0))+1,3)),"YES","No")</f>
        <v>#N/A</v>
      </c>
      <c r="AI133" s="31" t="str">
        <f>_xlfn.IFNA(IF(AE133 &lt; (INDEX(SLATable[Minimum SLA],MATCH(G133,SLATable[Priority],0))),"YES","NO"),"")</f>
        <v/>
      </c>
      <c r="AJ133" t="str">
        <f>_xlfn.IFNA(IF(AE133 &lt; (INDEX(SLATable[Maximum SLA],MATCH(G133,SLATable[Priority],0))),"YES","NO"),"")</f>
        <v/>
      </c>
    </row>
    <row r="134" spans="26:36" ht="15" customHeight="1">
      <c r="Z134" s="76" t="e">
        <f t="shared" ca="1" si="16"/>
        <v>#N/A</v>
      </c>
      <c r="AA134" s="75" t="e">
        <f t="shared" ca="1" si="1"/>
        <v>#N/A</v>
      </c>
      <c r="AB134" s="76">
        <f t="shared" ca="1" si="17"/>
        <v>0</v>
      </c>
      <c r="AC134" s="75">
        <f t="shared" ca="1" si="3"/>
        <v>0</v>
      </c>
      <c r="AD134" s="76">
        <f t="shared" ca="1" si="18"/>
        <v>12388.425641203703</v>
      </c>
      <c r="AE134" s="76">
        <f t="shared" si="19"/>
        <v>0</v>
      </c>
      <c r="AF134" s="75">
        <f t="shared" si="6"/>
        <v>0</v>
      </c>
      <c r="AG134" s="75">
        <f t="shared" si="7"/>
        <v>0</v>
      </c>
      <c r="AH134" s="31" t="e" cm="1">
        <f t="array" aca="1" ref="AH134" ca="1">IF((AD134) &lt; (INDEX(ResponseSLA[#All],(MATCH((G134),ResponseSLA[Priority],0))+1,3)),"YES","No")</f>
        <v>#N/A</v>
      </c>
      <c r="AI134" s="31" t="str">
        <f>_xlfn.IFNA(IF(AE134 &lt; (INDEX(SLATable[Minimum SLA],MATCH(G134,SLATable[Priority],0))),"YES","NO"),"")</f>
        <v/>
      </c>
      <c r="AJ134" t="str">
        <f>_xlfn.IFNA(IF(AE134 &lt; (INDEX(SLATable[Maximum SLA],MATCH(G134,SLATable[Priority],0))),"YES","NO"),"")</f>
        <v/>
      </c>
    </row>
    <row r="135" spans="26:36" ht="15" customHeight="1">
      <c r="Z135" s="76" t="e">
        <f t="shared" ca="1" si="16"/>
        <v>#N/A</v>
      </c>
      <c r="AA135" s="75" t="e">
        <f t="shared" ca="1" si="1"/>
        <v>#N/A</v>
      </c>
      <c r="AB135" s="76">
        <f t="shared" ca="1" si="17"/>
        <v>0</v>
      </c>
      <c r="AC135" s="75">
        <f t="shared" ca="1" si="3"/>
        <v>0</v>
      </c>
      <c r="AD135" s="76">
        <f t="shared" ca="1" si="18"/>
        <v>12388.425641203703</v>
      </c>
      <c r="AE135" s="76">
        <f t="shared" si="19"/>
        <v>0</v>
      </c>
      <c r="AF135" s="75">
        <f t="shared" si="6"/>
        <v>0</v>
      </c>
      <c r="AG135" s="75">
        <f t="shared" si="7"/>
        <v>0</v>
      </c>
      <c r="AH135" s="31" t="e" cm="1">
        <f t="array" aca="1" ref="AH135" ca="1">IF((AD135) &lt; (INDEX(ResponseSLA[#All],(MATCH((G135),ResponseSLA[Priority],0))+1,3)),"YES","No")</f>
        <v>#N/A</v>
      </c>
      <c r="AI135" s="31" t="str">
        <f>_xlfn.IFNA(IF(AE135 &lt; (INDEX(SLATable[Minimum SLA],MATCH(G135,SLATable[Priority],0))),"YES","NO"),"")</f>
        <v/>
      </c>
      <c r="AJ135" t="str">
        <f>_xlfn.IFNA(IF(AE135 &lt; (INDEX(SLATable[Maximum SLA],MATCH(G135,SLATable[Priority],0))),"YES","NO"),"")</f>
        <v/>
      </c>
    </row>
    <row r="136" spans="26:36" ht="15" customHeight="1">
      <c r="Z136" s="76" t="e">
        <f t="shared" ca="1" si="16"/>
        <v>#N/A</v>
      </c>
      <c r="AA136" s="75" t="e">
        <f t="shared" ca="1" si="1"/>
        <v>#N/A</v>
      </c>
      <c r="AB136" s="76">
        <f t="shared" ca="1" si="17"/>
        <v>0</v>
      </c>
      <c r="AC136" s="75">
        <f t="shared" ca="1" si="3"/>
        <v>0</v>
      </c>
      <c r="AD136" s="76">
        <f t="shared" ca="1" si="18"/>
        <v>12388.425641435188</v>
      </c>
      <c r="AE136" s="76">
        <f t="shared" si="19"/>
        <v>0</v>
      </c>
      <c r="AF136" s="75">
        <f t="shared" si="6"/>
        <v>0</v>
      </c>
      <c r="AG136" s="75">
        <f t="shared" si="7"/>
        <v>0</v>
      </c>
      <c r="AH136" s="31" t="e" cm="1">
        <f t="array" aca="1" ref="AH136" ca="1">IF((AD136) &lt; (INDEX(ResponseSLA[#All],(MATCH((G136),ResponseSLA[Priority],0))+1,3)),"YES","No")</f>
        <v>#N/A</v>
      </c>
      <c r="AI136" s="31" t="str">
        <f>_xlfn.IFNA(IF(AE136 &lt; (INDEX(SLATable[Minimum SLA],MATCH(G136,SLATable[Priority],0))),"YES","NO"),"")</f>
        <v/>
      </c>
      <c r="AJ136" t="str">
        <f>_xlfn.IFNA(IF(AE136 &lt; (INDEX(SLATable[Maximum SLA],MATCH(G136,SLATable[Priority],0))),"YES","NO"),"")</f>
        <v/>
      </c>
    </row>
    <row r="137" spans="26:36" ht="15" customHeight="1">
      <c r="Z137" s="76" t="e">
        <f t="shared" ca="1" si="16"/>
        <v>#N/A</v>
      </c>
      <c r="AA137" s="75" t="e">
        <f t="shared" ca="1" si="1"/>
        <v>#N/A</v>
      </c>
      <c r="AB137" s="76">
        <f t="shared" ca="1" si="17"/>
        <v>0</v>
      </c>
      <c r="AC137" s="75">
        <f t="shared" ca="1" si="3"/>
        <v>0</v>
      </c>
      <c r="AD137" s="76">
        <f t="shared" ca="1" si="18"/>
        <v>12388.425641203703</v>
      </c>
      <c r="AE137" s="76">
        <f t="shared" si="19"/>
        <v>0</v>
      </c>
      <c r="AF137" s="75">
        <f t="shared" si="6"/>
        <v>0</v>
      </c>
      <c r="AG137" s="75">
        <f t="shared" si="7"/>
        <v>0</v>
      </c>
      <c r="AH137" s="31" t="e" cm="1">
        <f t="array" aca="1" ref="AH137" ca="1">IF((AD137) &lt; (INDEX(ResponseSLA[#All],(MATCH((G137),ResponseSLA[Priority],0))+1,3)),"YES","No")</f>
        <v>#N/A</v>
      </c>
      <c r="AI137" s="31" t="str">
        <f>_xlfn.IFNA(IF(AE137 &lt; (INDEX(SLATable[Minimum SLA],MATCH(G137,SLATable[Priority],0))),"YES","NO"),"")</f>
        <v/>
      </c>
      <c r="AJ137" t="str">
        <f>_xlfn.IFNA(IF(AE137 &lt; (INDEX(SLATable[Maximum SLA],MATCH(G137,SLATable[Priority],0))),"YES","NO"),"")</f>
        <v/>
      </c>
    </row>
    <row r="138" spans="26:36" ht="15" customHeight="1">
      <c r="Z138" s="76" t="e">
        <f t="shared" ca="1" si="16"/>
        <v>#N/A</v>
      </c>
      <c r="AA138" s="75" t="e">
        <f t="shared" ca="1" si="1"/>
        <v>#N/A</v>
      </c>
      <c r="AB138" s="76">
        <f t="shared" ca="1" si="17"/>
        <v>0</v>
      </c>
      <c r="AC138" s="75">
        <f t="shared" ca="1" si="3"/>
        <v>0</v>
      </c>
      <c r="AD138" s="76">
        <f t="shared" ca="1" si="18"/>
        <v>12388.425641203703</v>
      </c>
      <c r="AE138" s="76">
        <f t="shared" si="19"/>
        <v>0</v>
      </c>
      <c r="AF138" s="75">
        <f t="shared" si="6"/>
        <v>0</v>
      </c>
      <c r="AG138" s="75">
        <f t="shared" si="7"/>
        <v>0</v>
      </c>
      <c r="AH138" s="31" t="e" cm="1">
        <f t="array" aca="1" ref="AH138" ca="1">IF((AD138) &lt; (INDEX(ResponseSLA[#All],(MATCH((G138),ResponseSLA[Priority],0))+1,3)),"YES","No")</f>
        <v>#N/A</v>
      </c>
      <c r="AI138" s="31" t="str">
        <f>_xlfn.IFNA(IF(AE138 &lt; (INDEX(SLATable[Minimum SLA],MATCH(G138,SLATable[Priority],0))),"YES","NO"),"")</f>
        <v/>
      </c>
      <c r="AJ138" t="str">
        <f>_xlfn.IFNA(IF(AE138 &lt; (INDEX(SLATable[Maximum SLA],MATCH(G138,SLATable[Priority],0))),"YES","NO"),"")</f>
        <v/>
      </c>
    </row>
    <row r="139" spans="26:36" ht="15" customHeight="1">
      <c r="Z139" s="76" t="e">
        <f t="shared" ca="1" si="16"/>
        <v>#N/A</v>
      </c>
      <c r="AA139" s="75" t="e">
        <f t="shared" ca="1" si="1"/>
        <v>#N/A</v>
      </c>
      <c r="AB139" s="76">
        <f t="shared" ca="1" si="17"/>
        <v>0</v>
      </c>
      <c r="AC139" s="75">
        <f t="shared" ca="1" si="3"/>
        <v>0</v>
      </c>
      <c r="AD139" s="76">
        <f t="shared" ca="1" si="18"/>
        <v>12388.425641435188</v>
      </c>
      <c r="AE139" s="76">
        <f t="shared" si="19"/>
        <v>0</v>
      </c>
      <c r="AF139" s="75">
        <f t="shared" si="6"/>
        <v>0</v>
      </c>
      <c r="AG139" s="75">
        <f t="shared" si="7"/>
        <v>0</v>
      </c>
      <c r="AH139" s="31" t="e" cm="1">
        <f t="array" aca="1" ref="AH139" ca="1">IF((AD139) &lt; (INDEX(ResponseSLA[#All],(MATCH((G139),ResponseSLA[Priority],0))+1,3)),"YES","No")</f>
        <v>#N/A</v>
      </c>
      <c r="AI139" s="31" t="str">
        <f>_xlfn.IFNA(IF(AE139 &lt; (INDEX(SLATable[Minimum SLA],MATCH(G139,SLATable[Priority],0))),"YES","NO"),"")</f>
        <v/>
      </c>
      <c r="AJ139" t="str">
        <f>_xlfn.IFNA(IF(AE139 &lt; (INDEX(SLATable[Maximum SLA],MATCH(G139,SLATable[Priority],0))),"YES","NO"),"")</f>
        <v/>
      </c>
    </row>
    <row r="140" spans="26:36" ht="15" customHeight="1">
      <c r="Z140" s="76" t="e">
        <f t="shared" ca="1" si="16"/>
        <v>#N/A</v>
      </c>
      <c r="AA140" s="75" t="e">
        <f t="shared" ca="1" si="1"/>
        <v>#N/A</v>
      </c>
      <c r="AB140" s="76">
        <f t="shared" ca="1" si="17"/>
        <v>0</v>
      </c>
      <c r="AC140" s="75">
        <f t="shared" ca="1" si="3"/>
        <v>0</v>
      </c>
      <c r="AD140" s="76">
        <f t="shared" ca="1" si="18"/>
        <v>12388.425641203703</v>
      </c>
      <c r="AE140" s="76">
        <f t="shared" si="19"/>
        <v>0</v>
      </c>
      <c r="AF140" s="75">
        <f t="shared" si="6"/>
        <v>0</v>
      </c>
      <c r="AG140" s="75">
        <f t="shared" si="7"/>
        <v>0</v>
      </c>
      <c r="AH140" s="31" t="e" cm="1">
        <f t="array" aca="1" ref="AH140" ca="1">IF((AD140) &lt; (INDEX(ResponseSLA[#All],(MATCH((G140),ResponseSLA[Priority],0))+1,3)),"YES","No")</f>
        <v>#N/A</v>
      </c>
      <c r="AI140" s="31" t="str">
        <f>_xlfn.IFNA(IF(AE140 &lt; (INDEX(SLATable[Minimum SLA],MATCH(G140,SLATable[Priority],0))),"YES","NO"),"")</f>
        <v/>
      </c>
      <c r="AJ140" t="str">
        <f>_xlfn.IFNA(IF(AE140 &lt; (INDEX(SLATable[Maximum SLA],MATCH(G140,SLATable[Priority],0))),"YES","NO"),"")</f>
        <v/>
      </c>
    </row>
    <row r="141" spans="26:36" ht="15" customHeight="1">
      <c r="Z141" s="76" t="e">
        <f t="shared" ca="1" si="16"/>
        <v>#N/A</v>
      </c>
      <c r="AA141" s="75" t="e">
        <f t="shared" ca="1" si="1"/>
        <v>#N/A</v>
      </c>
      <c r="AB141" s="76">
        <f t="shared" ca="1" si="17"/>
        <v>0</v>
      </c>
      <c r="AC141" s="75">
        <f t="shared" ca="1" si="3"/>
        <v>0</v>
      </c>
      <c r="AD141" s="76">
        <f t="shared" ca="1" si="18"/>
        <v>12388.425641203703</v>
      </c>
      <c r="AE141" s="76">
        <f t="shared" si="19"/>
        <v>0</v>
      </c>
      <c r="AF141" s="75">
        <f t="shared" si="6"/>
        <v>0</v>
      </c>
      <c r="AG141" s="75">
        <f t="shared" si="7"/>
        <v>0</v>
      </c>
      <c r="AH141" s="31" t="e" cm="1">
        <f t="array" aca="1" ref="AH141" ca="1">IF((AD141) &lt; (INDEX(ResponseSLA[#All],(MATCH((G141),ResponseSLA[Priority],0))+1,3)),"YES","No")</f>
        <v>#N/A</v>
      </c>
      <c r="AI141" s="31" t="str">
        <f>_xlfn.IFNA(IF(AE141 &lt; (INDEX(SLATable[Minimum SLA],MATCH(G141,SLATable[Priority],0))),"YES","NO"),"")</f>
        <v/>
      </c>
      <c r="AJ141" t="str">
        <f>_xlfn.IFNA(IF(AE141 &lt; (INDEX(SLATable[Maximum SLA],MATCH(G141,SLATable[Priority],0))),"YES","NO"),"")</f>
        <v/>
      </c>
    </row>
    <row r="142" spans="26:36" ht="15" customHeight="1">
      <c r="Z142" s="76" t="e">
        <f t="shared" ca="1" si="16"/>
        <v>#N/A</v>
      </c>
      <c r="AA142" s="75" t="e">
        <f t="shared" ca="1" si="1"/>
        <v>#N/A</v>
      </c>
      <c r="AB142" s="76">
        <f t="shared" ca="1" si="17"/>
        <v>0</v>
      </c>
      <c r="AC142" s="75">
        <f t="shared" ca="1" si="3"/>
        <v>0</v>
      </c>
      <c r="AD142" s="76">
        <f t="shared" ca="1" si="18"/>
        <v>12388.425641435188</v>
      </c>
      <c r="AE142" s="76">
        <f t="shared" si="19"/>
        <v>0</v>
      </c>
      <c r="AF142" s="75">
        <f t="shared" si="6"/>
        <v>0</v>
      </c>
      <c r="AG142" s="75">
        <f t="shared" si="7"/>
        <v>0</v>
      </c>
      <c r="AH142" s="31" t="e" cm="1">
        <f t="array" aca="1" ref="AH142" ca="1">IF((AD142) &lt; (INDEX(ResponseSLA[#All],(MATCH((G142),ResponseSLA[Priority],0))+1,3)),"YES","No")</f>
        <v>#N/A</v>
      </c>
      <c r="AI142" s="31" t="str">
        <f>_xlfn.IFNA(IF(AE142 &lt; (INDEX(SLATable[Minimum SLA],MATCH(G142,SLATable[Priority],0))),"YES","NO"),"")</f>
        <v/>
      </c>
      <c r="AJ142" t="str">
        <f>_xlfn.IFNA(IF(AE142 &lt; (INDEX(SLATable[Maximum SLA],MATCH(G142,SLATable[Priority],0))),"YES","NO"),"")</f>
        <v/>
      </c>
    </row>
    <row r="143" spans="26:36" ht="15" customHeight="1">
      <c r="Z143" s="76" t="e">
        <f t="shared" ca="1" si="16"/>
        <v>#N/A</v>
      </c>
      <c r="AA143" s="75" t="e">
        <f t="shared" ca="1" si="1"/>
        <v>#N/A</v>
      </c>
      <c r="AB143" s="76">
        <f t="shared" ca="1" si="17"/>
        <v>0</v>
      </c>
      <c r="AC143" s="75">
        <f t="shared" ca="1" si="3"/>
        <v>0</v>
      </c>
      <c r="AD143" s="76">
        <f t="shared" ca="1" si="18"/>
        <v>12388.425641203703</v>
      </c>
      <c r="AE143" s="76">
        <f t="shared" si="19"/>
        <v>0</v>
      </c>
      <c r="AF143" s="75">
        <f t="shared" si="6"/>
        <v>0</v>
      </c>
      <c r="AG143" s="75">
        <f t="shared" si="7"/>
        <v>0</v>
      </c>
      <c r="AH143" s="31" t="e" cm="1">
        <f t="array" aca="1" ref="AH143" ca="1">IF((AD143) &lt; (INDEX(ResponseSLA[#All],(MATCH((G143),ResponseSLA[Priority],0))+1,3)),"YES","No")</f>
        <v>#N/A</v>
      </c>
      <c r="AI143" s="31" t="str">
        <f>_xlfn.IFNA(IF(AE143 &lt; (INDEX(SLATable[Minimum SLA],MATCH(G143,SLATable[Priority],0))),"YES","NO"),"")</f>
        <v/>
      </c>
      <c r="AJ143" t="str">
        <f>_xlfn.IFNA(IF(AE143 &lt; (INDEX(SLATable[Maximum SLA],MATCH(G143,SLATable[Priority],0))),"YES","NO"),"")</f>
        <v/>
      </c>
    </row>
    <row r="144" spans="26:36" ht="15" customHeight="1">
      <c r="Z144" s="76" t="e">
        <f t="shared" ca="1" si="16"/>
        <v>#N/A</v>
      </c>
      <c r="AA144" s="75" t="e">
        <f t="shared" ca="1" si="1"/>
        <v>#N/A</v>
      </c>
      <c r="AB144" s="76">
        <f t="shared" ca="1" si="17"/>
        <v>0</v>
      </c>
      <c r="AC144" s="75">
        <f t="shared" ca="1" si="3"/>
        <v>0</v>
      </c>
      <c r="AD144" s="76">
        <f t="shared" ca="1" si="18"/>
        <v>12388.425641203703</v>
      </c>
      <c r="AE144" s="76">
        <f t="shared" si="19"/>
        <v>0</v>
      </c>
      <c r="AF144" s="75">
        <f t="shared" si="6"/>
        <v>0</v>
      </c>
      <c r="AG144" s="75">
        <f t="shared" si="7"/>
        <v>0</v>
      </c>
      <c r="AH144" s="31" t="e" cm="1">
        <f t="array" aca="1" ref="AH144" ca="1">IF((AD144) &lt; (INDEX(ResponseSLA[#All],(MATCH((G144),ResponseSLA[Priority],0))+1,3)),"YES","No")</f>
        <v>#N/A</v>
      </c>
      <c r="AI144" s="31" t="str">
        <f>_xlfn.IFNA(IF(AE144 &lt; (INDEX(SLATable[Minimum SLA],MATCH(G144,SLATable[Priority],0))),"YES","NO"),"")</f>
        <v/>
      </c>
      <c r="AJ144" t="str">
        <f>_xlfn.IFNA(IF(AE144 &lt; (INDEX(SLATable[Maximum SLA],MATCH(G144,SLATable[Priority],0))),"YES","NO"),"")</f>
        <v/>
      </c>
    </row>
    <row r="145" spans="26:36" ht="15" customHeight="1">
      <c r="Z145" s="76" t="e">
        <f t="shared" ca="1" si="16"/>
        <v>#N/A</v>
      </c>
      <c r="AA145" s="75" t="e">
        <f t="shared" ca="1" si="1"/>
        <v>#N/A</v>
      </c>
      <c r="AB145" s="76">
        <f t="shared" ca="1" si="17"/>
        <v>0</v>
      </c>
      <c r="AC145" s="75">
        <f t="shared" ca="1" si="3"/>
        <v>0</v>
      </c>
      <c r="AD145" s="76">
        <f t="shared" ca="1" si="18"/>
        <v>12388.425641435188</v>
      </c>
      <c r="AE145" s="76">
        <f t="shared" si="19"/>
        <v>0</v>
      </c>
      <c r="AF145" s="75">
        <f t="shared" si="6"/>
        <v>0</v>
      </c>
      <c r="AG145" s="75">
        <f t="shared" si="7"/>
        <v>0</v>
      </c>
      <c r="AH145" s="31" t="e" cm="1">
        <f t="array" aca="1" ref="AH145" ca="1">IF((AD145) &lt; (INDEX(ResponseSLA[#All],(MATCH((G145),ResponseSLA[Priority],0))+1,3)),"YES","No")</f>
        <v>#N/A</v>
      </c>
      <c r="AI145" s="31" t="str">
        <f>_xlfn.IFNA(IF(AE145 &lt; (INDEX(SLATable[Minimum SLA],MATCH(G145,SLATable[Priority],0))),"YES","NO"),"")</f>
        <v/>
      </c>
      <c r="AJ145" t="str">
        <f>_xlfn.IFNA(IF(AE145 &lt; (INDEX(SLATable[Maximum SLA],MATCH(G145,SLATable[Priority],0))),"YES","NO"),"")</f>
        <v/>
      </c>
    </row>
    <row r="146" spans="26:36" ht="15" customHeight="1">
      <c r="Z146" s="76" t="e">
        <f t="shared" ca="1" si="16"/>
        <v>#N/A</v>
      </c>
      <c r="AA146" s="75" t="e">
        <f t="shared" ca="1" si="1"/>
        <v>#N/A</v>
      </c>
      <c r="AB146" s="76">
        <f t="shared" ca="1" si="17"/>
        <v>0</v>
      </c>
      <c r="AC146" s="75">
        <f t="shared" ca="1" si="3"/>
        <v>0</v>
      </c>
      <c r="AD146" s="76">
        <f t="shared" ca="1" si="18"/>
        <v>12388.425641203703</v>
      </c>
      <c r="AE146" s="76">
        <f t="shared" si="19"/>
        <v>0</v>
      </c>
      <c r="AF146" s="75">
        <f t="shared" si="6"/>
        <v>0</v>
      </c>
      <c r="AG146" s="75">
        <f t="shared" si="7"/>
        <v>0</v>
      </c>
      <c r="AH146" s="31" t="e" cm="1">
        <f t="array" aca="1" ref="AH146" ca="1">IF((AD146) &lt; (INDEX(ResponseSLA[#All],(MATCH((G146),ResponseSLA[Priority],0))+1,3)),"YES","No")</f>
        <v>#N/A</v>
      </c>
      <c r="AI146" s="31" t="str">
        <f>_xlfn.IFNA(IF(AE146 &lt; (INDEX(SLATable[Minimum SLA],MATCH(G146,SLATable[Priority],0))),"YES","NO"),"")</f>
        <v/>
      </c>
      <c r="AJ146" t="str">
        <f>_xlfn.IFNA(IF(AE146 &lt; (INDEX(SLATable[Maximum SLA],MATCH(G146,SLATable[Priority],0))),"YES","NO"),"")</f>
        <v/>
      </c>
    </row>
    <row r="147" spans="26:36" ht="15" customHeight="1">
      <c r="Z147" s="76" t="e">
        <f t="shared" ca="1" si="16"/>
        <v>#N/A</v>
      </c>
      <c r="AA147" s="75" t="e">
        <f t="shared" ca="1" si="1"/>
        <v>#N/A</v>
      </c>
      <c r="AB147" s="76">
        <f t="shared" ca="1" si="17"/>
        <v>0</v>
      </c>
      <c r="AC147" s="75">
        <f t="shared" ca="1" si="3"/>
        <v>0</v>
      </c>
      <c r="AD147" s="76">
        <f t="shared" ca="1" si="18"/>
        <v>12388.425641203703</v>
      </c>
      <c r="AE147" s="76">
        <f t="shared" si="19"/>
        <v>0</v>
      </c>
      <c r="AF147" s="75">
        <f t="shared" si="6"/>
        <v>0</v>
      </c>
      <c r="AG147" s="75">
        <f t="shared" si="7"/>
        <v>0</v>
      </c>
      <c r="AH147" s="31" t="e" cm="1">
        <f t="array" aca="1" ref="AH147" ca="1">IF((AD147) &lt; (INDEX(ResponseSLA[#All],(MATCH((G147),ResponseSLA[Priority],0))+1,3)),"YES","No")</f>
        <v>#N/A</v>
      </c>
      <c r="AI147" s="31" t="str">
        <f>_xlfn.IFNA(IF(AE147 &lt; (INDEX(SLATable[Minimum SLA],MATCH(G147,SLATable[Priority],0))),"YES","NO"),"")</f>
        <v/>
      </c>
      <c r="AJ147" t="str">
        <f>_xlfn.IFNA(IF(AE147 &lt; (INDEX(SLATable[Maximum SLA],MATCH(G147,SLATable[Priority],0))),"YES","NO"),"")</f>
        <v/>
      </c>
    </row>
    <row r="148" spans="26:36" ht="15" customHeight="1">
      <c r="Z148" s="76" t="e">
        <f t="shared" ca="1" si="16"/>
        <v>#N/A</v>
      </c>
      <c r="AA148" s="75" t="e">
        <f t="shared" ca="1" si="1"/>
        <v>#N/A</v>
      </c>
      <c r="AB148" s="76">
        <f t="shared" ca="1" si="17"/>
        <v>0</v>
      </c>
      <c r="AC148" s="75">
        <f t="shared" ca="1" si="3"/>
        <v>0</v>
      </c>
      <c r="AD148" s="76">
        <f t="shared" ca="1" si="18"/>
        <v>12388.425641435188</v>
      </c>
      <c r="AE148" s="76">
        <f t="shared" si="19"/>
        <v>0</v>
      </c>
      <c r="AF148" s="75">
        <f t="shared" si="6"/>
        <v>0</v>
      </c>
      <c r="AG148" s="75">
        <f t="shared" si="7"/>
        <v>0</v>
      </c>
      <c r="AH148" s="31" t="e" cm="1">
        <f t="array" aca="1" ref="AH148" ca="1">IF((AD148) &lt; (INDEX(ResponseSLA[#All],(MATCH((G148),ResponseSLA[Priority],0))+1,3)),"YES","No")</f>
        <v>#N/A</v>
      </c>
      <c r="AI148" s="31" t="str">
        <f>_xlfn.IFNA(IF(AE148 &lt; (INDEX(SLATable[Minimum SLA],MATCH(G148,SLATable[Priority],0))),"YES","NO"),"")</f>
        <v/>
      </c>
      <c r="AJ148" t="str">
        <f>_xlfn.IFNA(IF(AE148 &lt; (INDEX(SLATable[Maximum SLA],MATCH(G148,SLATable[Priority],0))),"YES","NO"),"")</f>
        <v/>
      </c>
    </row>
    <row r="149" spans="26:36" ht="15" customHeight="1">
      <c r="Z149" s="76" t="e">
        <f t="shared" ca="1" si="16"/>
        <v>#N/A</v>
      </c>
      <c r="AA149" s="75" t="e">
        <f t="shared" ca="1" si="1"/>
        <v>#N/A</v>
      </c>
      <c r="AB149" s="76">
        <f t="shared" ca="1" si="17"/>
        <v>0</v>
      </c>
      <c r="AC149" s="75">
        <f t="shared" ca="1" si="3"/>
        <v>0</v>
      </c>
      <c r="AD149" s="76">
        <f t="shared" ca="1" si="18"/>
        <v>12388.425641203703</v>
      </c>
      <c r="AE149" s="76">
        <f t="shared" si="19"/>
        <v>0</v>
      </c>
      <c r="AF149" s="75">
        <f t="shared" si="6"/>
        <v>0</v>
      </c>
      <c r="AG149" s="75">
        <f t="shared" si="7"/>
        <v>0</v>
      </c>
      <c r="AH149" s="31" t="e" cm="1">
        <f t="array" aca="1" ref="AH149" ca="1">IF((AD149) &lt; (INDEX(ResponseSLA[#All],(MATCH((G149),ResponseSLA[Priority],0))+1,3)),"YES","No")</f>
        <v>#N/A</v>
      </c>
      <c r="AI149" s="31" t="str">
        <f>_xlfn.IFNA(IF(AE149 &lt; (INDEX(SLATable[Minimum SLA],MATCH(G149,SLATable[Priority],0))),"YES","NO"),"")</f>
        <v/>
      </c>
      <c r="AJ149" t="str">
        <f>_xlfn.IFNA(IF(AE149 &lt; (INDEX(SLATable[Maximum SLA],MATCH(G149,SLATable[Priority],0))),"YES","NO"),"")</f>
        <v/>
      </c>
    </row>
    <row r="150" spans="26:36" ht="15" customHeight="1">
      <c r="Z150" s="76" t="e">
        <f t="shared" ca="1" si="16"/>
        <v>#N/A</v>
      </c>
      <c r="AA150" s="75" t="e">
        <f t="shared" ca="1" si="1"/>
        <v>#N/A</v>
      </c>
      <c r="AB150" s="76">
        <f t="shared" ca="1" si="17"/>
        <v>0</v>
      </c>
      <c r="AC150" s="75">
        <f t="shared" ca="1" si="3"/>
        <v>0</v>
      </c>
      <c r="AD150" s="76">
        <f t="shared" ca="1" si="18"/>
        <v>12388.425641203703</v>
      </c>
      <c r="AE150" s="76">
        <f t="shared" si="19"/>
        <v>0</v>
      </c>
      <c r="AF150" s="75">
        <f t="shared" si="6"/>
        <v>0</v>
      </c>
      <c r="AG150" s="75">
        <f t="shared" si="7"/>
        <v>0</v>
      </c>
      <c r="AH150" s="31" t="e" cm="1">
        <f t="array" aca="1" ref="AH150" ca="1">IF((AD150) &lt; (INDEX(ResponseSLA[#All],(MATCH((G150),ResponseSLA[Priority],0))+1,3)),"YES","No")</f>
        <v>#N/A</v>
      </c>
      <c r="AI150" s="31" t="str">
        <f>_xlfn.IFNA(IF(AE150 &lt; (INDEX(SLATable[Minimum SLA],MATCH(G150,SLATable[Priority],0))),"YES","NO"),"")</f>
        <v/>
      </c>
      <c r="AJ150" t="str">
        <f>_xlfn.IFNA(IF(AE150 &lt; (INDEX(SLATable[Maximum SLA],MATCH(G150,SLATable[Priority],0))),"YES","NO"),"")</f>
        <v/>
      </c>
    </row>
    <row r="151" spans="26:36" ht="15" customHeight="1">
      <c r="Z151" s="76" t="e">
        <f t="shared" ca="1" si="16"/>
        <v>#N/A</v>
      </c>
      <c r="AA151" s="75" t="e">
        <f t="shared" ca="1" si="1"/>
        <v>#N/A</v>
      </c>
      <c r="AB151" s="76">
        <f t="shared" ca="1" si="17"/>
        <v>0</v>
      </c>
      <c r="AC151" s="75">
        <f t="shared" ca="1" si="3"/>
        <v>0</v>
      </c>
      <c r="AD151" s="76">
        <f t="shared" ca="1" si="18"/>
        <v>12388.425641435188</v>
      </c>
      <c r="AE151" s="76">
        <f t="shared" si="19"/>
        <v>0</v>
      </c>
      <c r="AF151" s="75">
        <f t="shared" si="6"/>
        <v>0</v>
      </c>
      <c r="AG151" s="75">
        <f t="shared" si="7"/>
        <v>0</v>
      </c>
      <c r="AH151" s="31" t="e" cm="1">
        <f t="array" aca="1" ref="AH151" ca="1">IF((AD151) &lt; (INDEX(ResponseSLA[#All],(MATCH((G151),ResponseSLA[Priority],0))+1,3)),"YES","No")</f>
        <v>#N/A</v>
      </c>
      <c r="AI151" s="31" t="str">
        <f>_xlfn.IFNA(IF(AE151 &lt; (INDEX(SLATable[Minimum SLA],MATCH(G151,SLATable[Priority],0))),"YES","NO"),"")</f>
        <v/>
      </c>
      <c r="AJ151" t="str">
        <f>_xlfn.IFNA(IF(AE151 &lt; (INDEX(SLATable[Maximum SLA],MATCH(G151,SLATable[Priority],0))),"YES","NO"),"")</f>
        <v/>
      </c>
    </row>
    <row r="152" spans="26:36" ht="15" customHeight="1">
      <c r="Z152" s="76" t="e">
        <f t="shared" ca="1" si="16"/>
        <v>#N/A</v>
      </c>
      <c r="AA152" s="75" t="e">
        <f t="shared" ca="1" si="1"/>
        <v>#N/A</v>
      </c>
      <c r="AB152" s="76">
        <f t="shared" ca="1" si="17"/>
        <v>0</v>
      </c>
      <c r="AC152" s="75">
        <f t="shared" ca="1" si="3"/>
        <v>0</v>
      </c>
      <c r="AD152" s="76">
        <f t="shared" ca="1" si="18"/>
        <v>12388.425641203703</v>
      </c>
      <c r="AE152" s="76">
        <f t="shared" si="19"/>
        <v>0</v>
      </c>
      <c r="AF152" s="75">
        <f t="shared" si="6"/>
        <v>0</v>
      </c>
      <c r="AG152" s="75">
        <f t="shared" si="7"/>
        <v>0</v>
      </c>
      <c r="AH152" s="31" t="e" cm="1">
        <f t="array" aca="1" ref="AH152" ca="1">IF((AD152) &lt; (INDEX(ResponseSLA[#All],(MATCH((G152),ResponseSLA[Priority],0))+1,3)),"YES","No")</f>
        <v>#N/A</v>
      </c>
      <c r="AI152" s="31" t="str">
        <f>_xlfn.IFNA(IF(AE152 &lt; (INDEX(SLATable[Minimum SLA],MATCH(G152,SLATable[Priority],0))),"YES","NO"),"")</f>
        <v/>
      </c>
      <c r="AJ152" t="str">
        <f>_xlfn.IFNA(IF(AE152 &lt; (INDEX(SLATable[Maximum SLA],MATCH(G152,SLATable[Priority],0))),"YES","NO"),"")</f>
        <v/>
      </c>
    </row>
    <row r="153" spans="26:36" ht="15" customHeight="1">
      <c r="Z153" s="76" t="e">
        <f t="shared" ca="1" si="16"/>
        <v>#N/A</v>
      </c>
      <c r="AA153" s="75" t="e">
        <f t="shared" ca="1" si="1"/>
        <v>#N/A</v>
      </c>
      <c r="AB153" s="76">
        <f t="shared" ca="1" si="17"/>
        <v>0</v>
      </c>
      <c r="AC153" s="75">
        <f t="shared" ca="1" si="3"/>
        <v>0</v>
      </c>
      <c r="AD153" s="76">
        <f t="shared" ca="1" si="18"/>
        <v>12388.425641203703</v>
      </c>
      <c r="AE153" s="76">
        <f t="shared" si="19"/>
        <v>0</v>
      </c>
      <c r="AF153" s="75">
        <f t="shared" si="6"/>
        <v>0</v>
      </c>
      <c r="AG153" s="75">
        <f t="shared" si="7"/>
        <v>0</v>
      </c>
      <c r="AH153" s="31" t="e" cm="1">
        <f t="array" aca="1" ref="AH153" ca="1">IF((AD153) &lt; (INDEX(ResponseSLA[#All],(MATCH((G153),ResponseSLA[Priority],0))+1,3)),"YES","No")</f>
        <v>#N/A</v>
      </c>
      <c r="AI153" s="31" t="str">
        <f>_xlfn.IFNA(IF(AE153 &lt; (INDEX(SLATable[Minimum SLA],MATCH(G153,SLATable[Priority],0))),"YES","NO"),"")</f>
        <v/>
      </c>
      <c r="AJ153" t="str">
        <f>_xlfn.IFNA(IF(AE153 &lt; (INDEX(SLATable[Maximum SLA],MATCH(G153,SLATable[Priority],0))),"YES","NO"),"")</f>
        <v/>
      </c>
    </row>
    <row r="154" spans="26:36" ht="15" customHeight="1">
      <c r="Z154" s="76" t="e">
        <f t="shared" ca="1" si="16"/>
        <v>#N/A</v>
      </c>
      <c r="AA154" s="75" t="e">
        <f t="shared" ca="1" si="1"/>
        <v>#N/A</v>
      </c>
      <c r="AB154" s="76">
        <f t="shared" ca="1" si="17"/>
        <v>0</v>
      </c>
      <c r="AC154" s="75">
        <f t="shared" ca="1" si="3"/>
        <v>0</v>
      </c>
      <c r="AD154" s="76">
        <f t="shared" ca="1" si="18"/>
        <v>12388.425641435188</v>
      </c>
      <c r="AE154" s="76">
        <f t="shared" si="19"/>
        <v>0</v>
      </c>
      <c r="AF154" s="75">
        <f t="shared" si="6"/>
        <v>0</v>
      </c>
      <c r="AG154" s="75">
        <f t="shared" si="7"/>
        <v>0</v>
      </c>
      <c r="AH154" s="31" t="e" cm="1">
        <f t="array" aca="1" ref="AH154" ca="1">IF((AD154) &lt; (INDEX(ResponseSLA[#All],(MATCH((G154),ResponseSLA[Priority],0))+1,3)),"YES","No")</f>
        <v>#N/A</v>
      </c>
      <c r="AI154" s="31" t="str">
        <f>_xlfn.IFNA(IF(AE154 &lt; (INDEX(SLATable[Minimum SLA],MATCH(G154,SLATable[Priority],0))),"YES","NO"),"")</f>
        <v/>
      </c>
      <c r="AJ154" t="str">
        <f>_xlfn.IFNA(IF(AE154 &lt; (INDEX(SLATable[Maximum SLA],MATCH(G154,SLATable[Priority],0))),"YES","NO"),"")</f>
        <v/>
      </c>
    </row>
    <row r="155" spans="26:36" ht="15" customHeight="1">
      <c r="Z155" s="76" t="e">
        <f t="shared" ca="1" si="16"/>
        <v>#N/A</v>
      </c>
      <c r="AA155" s="75" t="e">
        <f t="shared" ca="1" si="1"/>
        <v>#N/A</v>
      </c>
      <c r="AB155" s="76">
        <f t="shared" ca="1" si="17"/>
        <v>0</v>
      </c>
      <c r="AC155" s="75">
        <f t="shared" ca="1" si="3"/>
        <v>0</v>
      </c>
      <c r="AD155" s="76">
        <f t="shared" ca="1" si="18"/>
        <v>12388.425641203703</v>
      </c>
      <c r="AE155" s="76">
        <f t="shared" si="19"/>
        <v>0</v>
      </c>
      <c r="AF155" s="75">
        <f t="shared" si="6"/>
        <v>0</v>
      </c>
      <c r="AG155" s="75">
        <f t="shared" si="7"/>
        <v>0</v>
      </c>
      <c r="AH155" s="31" t="e" cm="1">
        <f t="array" aca="1" ref="AH155" ca="1">IF((AD155) &lt; (INDEX(ResponseSLA[#All],(MATCH((G155),ResponseSLA[Priority],0))+1,3)),"YES","No")</f>
        <v>#N/A</v>
      </c>
      <c r="AI155" s="31" t="str">
        <f>_xlfn.IFNA(IF(AE155 &lt; (INDEX(SLATable[Minimum SLA],MATCH(G155,SLATable[Priority],0))),"YES","NO"),"")</f>
        <v/>
      </c>
      <c r="AJ155" t="str">
        <f>_xlfn.IFNA(IF(AE155 &lt; (INDEX(SLATable[Maximum SLA],MATCH(G155,SLATable[Priority],0))),"YES","NO"),"")</f>
        <v/>
      </c>
    </row>
    <row r="156" spans="26:36" ht="15" customHeight="1">
      <c r="Z156" s="76" t="e">
        <f t="shared" ca="1" si="16"/>
        <v>#N/A</v>
      </c>
      <c r="AA156" s="75" t="e">
        <f t="shared" ca="1" si="1"/>
        <v>#N/A</v>
      </c>
      <c r="AB156" s="76">
        <f t="shared" ca="1" si="17"/>
        <v>0</v>
      </c>
      <c r="AC156" s="75">
        <f t="shared" ca="1" si="3"/>
        <v>0</v>
      </c>
      <c r="AD156" s="76">
        <f t="shared" ca="1" si="18"/>
        <v>12388.425641203703</v>
      </c>
      <c r="AE156" s="76">
        <f t="shared" si="19"/>
        <v>0</v>
      </c>
      <c r="AF156" s="75">
        <f t="shared" si="6"/>
        <v>0</v>
      </c>
      <c r="AG156" s="75">
        <f t="shared" si="7"/>
        <v>0</v>
      </c>
      <c r="AH156" s="31" t="e" cm="1">
        <f t="array" aca="1" ref="AH156" ca="1">IF((AD156) &lt; (INDEX(ResponseSLA[#All],(MATCH((G156),ResponseSLA[Priority],0))+1,3)),"YES","No")</f>
        <v>#N/A</v>
      </c>
      <c r="AI156" s="31" t="str">
        <f>_xlfn.IFNA(IF(AE156 &lt; (INDEX(SLATable[Minimum SLA],MATCH(G156,SLATable[Priority],0))),"YES","NO"),"")</f>
        <v/>
      </c>
      <c r="AJ156" t="str">
        <f>_xlfn.IFNA(IF(AE156 &lt; (INDEX(SLATable[Maximum SLA],MATCH(G156,SLATable[Priority],0))),"YES","NO"),"")</f>
        <v/>
      </c>
    </row>
    <row r="157" spans="26:36" ht="15" customHeight="1">
      <c r="Z157" s="76" t="e">
        <f t="shared" ca="1" si="16"/>
        <v>#N/A</v>
      </c>
      <c r="AA157" s="75" t="e">
        <f t="shared" ca="1" si="1"/>
        <v>#N/A</v>
      </c>
      <c r="AB157" s="76">
        <f t="shared" ca="1" si="17"/>
        <v>0</v>
      </c>
      <c r="AC157" s="75">
        <f t="shared" ca="1" si="3"/>
        <v>0</v>
      </c>
      <c r="AD157" s="76">
        <f t="shared" ca="1" si="18"/>
        <v>12388.425641435188</v>
      </c>
      <c r="AE157" s="76">
        <f t="shared" si="19"/>
        <v>0</v>
      </c>
      <c r="AF157" s="75">
        <f t="shared" si="6"/>
        <v>0</v>
      </c>
      <c r="AG157" s="75">
        <f t="shared" si="7"/>
        <v>0</v>
      </c>
      <c r="AH157" s="31" t="e" cm="1">
        <f t="array" aca="1" ref="AH157" ca="1">IF((AD157) &lt; (INDEX(ResponseSLA[#All],(MATCH((G157),ResponseSLA[Priority],0))+1,3)),"YES","No")</f>
        <v>#N/A</v>
      </c>
      <c r="AI157" s="31" t="str">
        <f>_xlfn.IFNA(IF(AE157 &lt; (INDEX(SLATable[Minimum SLA],MATCH(G157,SLATable[Priority],0))),"YES","NO"),"")</f>
        <v/>
      </c>
      <c r="AJ157" t="str">
        <f>_xlfn.IFNA(IF(AE157 &lt; (INDEX(SLATable[Maximum SLA],MATCH(G157,SLATable[Priority],0))),"YES","NO"),"")</f>
        <v/>
      </c>
    </row>
    <row r="158" spans="26:36" ht="15" customHeight="1">
      <c r="Z158" s="76" t="e">
        <f t="shared" ca="1" si="16"/>
        <v>#N/A</v>
      </c>
      <c r="AA158" s="75" t="e">
        <f t="shared" ca="1" si="1"/>
        <v>#N/A</v>
      </c>
      <c r="AB158" s="76">
        <f t="shared" ca="1" si="17"/>
        <v>0</v>
      </c>
      <c r="AC158" s="75">
        <f t="shared" ca="1" si="3"/>
        <v>0</v>
      </c>
      <c r="AD158" s="76">
        <f t="shared" ca="1" si="18"/>
        <v>12388.425641203703</v>
      </c>
      <c r="AE158" s="76">
        <f t="shared" si="19"/>
        <v>0</v>
      </c>
      <c r="AF158" s="75">
        <f t="shared" si="6"/>
        <v>0</v>
      </c>
      <c r="AG158" s="75">
        <f t="shared" si="7"/>
        <v>0</v>
      </c>
      <c r="AH158" s="31" t="e" cm="1">
        <f t="array" aca="1" ref="AH158" ca="1">IF((AD158) &lt; (INDEX(ResponseSLA[#All],(MATCH((G158),ResponseSLA[Priority],0))+1,3)),"YES","No")</f>
        <v>#N/A</v>
      </c>
      <c r="AI158" s="31" t="str">
        <f>_xlfn.IFNA(IF(AE158 &lt; (INDEX(SLATable[Minimum SLA],MATCH(G158,SLATable[Priority],0))),"YES","NO"),"")</f>
        <v/>
      </c>
      <c r="AJ158" t="str">
        <f>_xlfn.IFNA(IF(AE158 &lt; (INDEX(SLATable[Maximum SLA],MATCH(G158,SLATable[Priority],0))),"YES","NO"),"")</f>
        <v/>
      </c>
    </row>
    <row r="159" spans="26:36" ht="15" customHeight="1">
      <c r="Z159" s="76" t="e">
        <f t="shared" ca="1" si="16"/>
        <v>#N/A</v>
      </c>
      <c r="AA159" s="75" t="e">
        <f t="shared" ca="1" si="1"/>
        <v>#N/A</v>
      </c>
      <c r="AB159" s="76">
        <f t="shared" ca="1" si="17"/>
        <v>0</v>
      </c>
      <c r="AC159" s="75">
        <f t="shared" ca="1" si="3"/>
        <v>0</v>
      </c>
      <c r="AD159" s="76">
        <f t="shared" ca="1" si="18"/>
        <v>12388.425641203703</v>
      </c>
      <c r="AE159" s="76">
        <f t="shared" si="19"/>
        <v>0</v>
      </c>
      <c r="AF159" s="75">
        <f t="shared" si="6"/>
        <v>0</v>
      </c>
      <c r="AG159" s="75">
        <f t="shared" si="7"/>
        <v>0</v>
      </c>
      <c r="AH159" s="31" t="e" cm="1">
        <f t="array" aca="1" ref="AH159" ca="1">IF((AD159) &lt; (INDEX(ResponseSLA[#All],(MATCH((G159),ResponseSLA[Priority],0))+1,3)),"YES","No")</f>
        <v>#N/A</v>
      </c>
      <c r="AI159" s="31" t="str">
        <f>_xlfn.IFNA(IF(AE159 &lt; (INDEX(SLATable[Minimum SLA],MATCH(G159,SLATable[Priority],0))),"YES","NO"),"")</f>
        <v/>
      </c>
      <c r="AJ159" t="str">
        <f>_xlfn.IFNA(IF(AE159 &lt; (INDEX(SLATable[Maximum SLA],MATCH(G159,SLATable[Priority],0))),"YES","NO"),"")</f>
        <v/>
      </c>
    </row>
    <row r="160" spans="26:36" ht="15" customHeight="1">
      <c r="Z160" s="76" t="e">
        <f t="shared" ca="1" si="16"/>
        <v>#N/A</v>
      </c>
      <c r="AA160" s="75" t="e">
        <f t="shared" ca="1" si="1"/>
        <v>#N/A</v>
      </c>
      <c r="AB160" s="76">
        <f t="shared" ca="1" si="17"/>
        <v>0</v>
      </c>
      <c r="AC160" s="75">
        <f t="shared" ca="1" si="3"/>
        <v>0</v>
      </c>
      <c r="AD160" s="76">
        <f t="shared" ca="1" si="18"/>
        <v>12388.425641435188</v>
      </c>
      <c r="AE160" s="76">
        <f t="shared" si="19"/>
        <v>0</v>
      </c>
      <c r="AF160" s="75">
        <f t="shared" si="6"/>
        <v>0</v>
      </c>
      <c r="AG160" s="75">
        <f t="shared" si="7"/>
        <v>0</v>
      </c>
      <c r="AH160" s="31" t="e" cm="1">
        <f t="array" aca="1" ref="AH160" ca="1">IF((AD160) &lt; (INDEX(ResponseSLA[#All],(MATCH((G160),ResponseSLA[Priority],0))+1,3)),"YES","No")</f>
        <v>#N/A</v>
      </c>
      <c r="AI160" s="31" t="str">
        <f>_xlfn.IFNA(IF(AE160 &lt; (INDEX(SLATable[Minimum SLA],MATCH(G160,SLATable[Priority],0))),"YES","NO"),"")</f>
        <v/>
      </c>
      <c r="AJ160" t="str">
        <f>_xlfn.IFNA(IF(AE160 &lt; (INDEX(SLATable[Maximum SLA],MATCH(G160,SLATable[Priority],0))),"YES","NO"),"")</f>
        <v/>
      </c>
    </row>
    <row r="161" spans="26:36" ht="15" customHeight="1">
      <c r="Z161" s="76" t="e">
        <f t="shared" ca="1" si="16"/>
        <v>#N/A</v>
      </c>
      <c r="AA161" s="75" t="e">
        <f t="shared" ca="1" si="1"/>
        <v>#N/A</v>
      </c>
      <c r="AB161" s="76">
        <f t="shared" ca="1" si="17"/>
        <v>0</v>
      </c>
      <c r="AC161" s="75">
        <f t="shared" ca="1" si="3"/>
        <v>0</v>
      </c>
      <c r="AD161" s="76">
        <f t="shared" ca="1" si="18"/>
        <v>12388.425641203703</v>
      </c>
      <c r="AE161" s="76">
        <f t="shared" si="19"/>
        <v>0</v>
      </c>
      <c r="AF161" s="75">
        <f t="shared" si="6"/>
        <v>0</v>
      </c>
      <c r="AG161" s="75">
        <f t="shared" si="7"/>
        <v>0</v>
      </c>
      <c r="AH161" s="31" t="e" cm="1">
        <f t="array" aca="1" ref="AH161" ca="1">IF((AD161) &lt; (INDEX(ResponseSLA[#All],(MATCH((G161),ResponseSLA[Priority],0))+1,3)),"YES","No")</f>
        <v>#N/A</v>
      </c>
      <c r="AI161" s="31" t="str">
        <f>_xlfn.IFNA(IF(AE161 &lt; (INDEX(SLATable[Minimum SLA],MATCH(G161,SLATable[Priority],0))),"YES","NO"),"")</f>
        <v/>
      </c>
      <c r="AJ161" t="str">
        <f>_xlfn.IFNA(IF(AE161 &lt; (INDEX(SLATable[Maximum SLA],MATCH(G161,SLATable[Priority],0))),"YES","NO"),"")</f>
        <v/>
      </c>
    </row>
    <row r="162" spans="26:36" ht="15" customHeight="1">
      <c r="Z162" s="76" t="e">
        <f t="shared" ca="1" si="16"/>
        <v>#N/A</v>
      </c>
      <c r="AA162" s="75" t="e">
        <f t="shared" ca="1" si="1"/>
        <v>#N/A</v>
      </c>
      <c r="AB162" s="76">
        <f t="shared" ca="1" si="17"/>
        <v>0</v>
      </c>
      <c r="AC162" s="75">
        <f t="shared" ca="1" si="3"/>
        <v>0</v>
      </c>
      <c r="AD162" s="76">
        <f t="shared" ca="1" si="18"/>
        <v>12388.425641203703</v>
      </c>
      <c r="AE162" s="76">
        <f t="shared" si="19"/>
        <v>0</v>
      </c>
      <c r="AF162" s="75">
        <f t="shared" si="6"/>
        <v>0</v>
      </c>
      <c r="AG162" s="75">
        <f t="shared" si="7"/>
        <v>0</v>
      </c>
      <c r="AH162" s="31" t="e" cm="1">
        <f t="array" aca="1" ref="AH162" ca="1">IF((AD162) &lt; (INDEX(ResponseSLA[#All],(MATCH((G162),ResponseSLA[Priority],0))+1,3)),"YES","No")</f>
        <v>#N/A</v>
      </c>
      <c r="AI162" s="31" t="str">
        <f>_xlfn.IFNA(IF(AE162 &lt; (INDEX(SLATable[Minimum SLA],MATCH(G162,SLATable[Priority],0))),"YES","NO"),"")</f>
        <v/>
      </c>
      <c r="AJ162" t="str">
        <f>_xlfn.IFNA(IF(AE162 &lt; (INDEX(SLATable[Maximum SLA],MATCH(G162,SLATable[Priority],0))),"YES","NO"),"")</f>
        <v/>
      </c>
    </row>
    <row r="163" spans="26:36" ht="15" customHeight="1">
      <c r="Z163" s="76" t="e">
        <f t="shared" ca="1" si="16"/>
        <v>#N/A</v>
      </c>
      <c r="AA163" s="75" t="e">
        <f t="shared" ca="1" si="1"/>
        <v>#N/A</v>
      </c>
      <c r="AB163" s="76">
        <f t="shared" ca="1" si="17"/>
        <v>0</v>
      </c>
      <c r="AC163" s="75">
        <f t="shared" ca="1" si="3"/>
        <v>0</v>
      </c>
      <c r="AD163" s="76">
        <f t="shared" ca="1" si="18"/>
        <v>12388.425641435188</v>
      </c>
      <c r="AE163" s="76">
        <f t="shared" si="19"/>
        <v>0</v>
      </c>
      <c r="AF163" s="75">
        <f t="shared" si="6"/>
        <v>0</v>
      </c>
      <c r="AG163" s="75">
        <f t="shared" si="7"/>
        <v>0</v>
      </c>
      <c r="AH163" s="31" t="e" cm="1">
        <f t="array" aca="1" ref="AH163" ca="1">IF((AD163) &lt; (INDEX(ResponseSLA[#All],(MATCH((G163),ResponseSLA[Priority],0))+1,3)),"YES","No")</f>
        <v>#N/A</v>
      </c>
      <c r="AI163" s="31" t="str">
        <f>_xlfn.IFNA(IF(AE163 &lt; (INDEX(SLATable[Minimum SLA],MATCH(G163,SLATable[Priority],0))),"YES","NO"),"")</f>
        <v/>
      </c>
      <c r="AJ163" t="str">
        <f>_xlfn.IFNA(IF(AE163 &lt; (INDEX(SLATable[Maximum SLA],MATCH(G163,SLATable[Priority],0))),"YES","NO"),"")</f>
        <v/>
      </c>
    </row>
    <row r="164" spans="26:36" ht="15" customHeight="1">
      <c r="Z164" s="76" t="e">
        <f t="shared" ca="1" si="16"/>
        <v>#N/A</v>
      </c>
      <c r="AA164" s="75" t="e">
        <f t="shared" ca="1" si="1"/>
        <v>#N/A</v>
      </c>
      <c r="AB164" s="76">
        <f t="shared" ca="1" si="17"/>
        <v>0</v>
      </c>
      <c r="AC164" s="75">
        <f t="shared" ca="1" si="3"/>
        <v>0</v>
      </c>
      <c r="AD164" s="76">
        <f t="shared" ca="1" si="18"/>
        <v>12388.425641203703</v>
      </c>
      <c r="AE164" s="76">
        <f t="shared" si="19"/>
        <v>0</v>
      </c>
      <c r="AF164" s="75">
        <f t="shared" si="6"/>
        <v>0</v>
      </c>
      <c r="AG164" s="75">
        <f t="shared" si="7"/>
        <v>0</v>
      </c>
      <c r="AH164" s="31" t="e" cm="1">
        <f t="array" aca="1" ref="AH164" ca="1">IF((AD164) &lt; (INDEX(ResponseSLA[#All],(MATCH((G164),ResponseSLA[Priority],0))+1,3)),"YES","No")</f>
        <v>#N/A</v>
      </c>
      <c r="AI164" s="31" t="str">
        <f>_xlfn.IFNA(IF(AE164 &lt; (INDEX(SLATable[Minimum SLA],MATCH(G164,SLATable[Priority],0))),"YES","NO"),"")</f>
        <v/>
      </c>
      <c r="AJ164" t="str">
        <f>_xlfn.IFNA(IF(AE164 &lt; (INDEX(SLATable[Maximum SLA],MATCH(G164,SLATable[Priority],0))),"YES","NO"),"")</f>
        <v/>
      </c>
    </row>
    <row r="165" spans="26:36" ht="15" customHeight="1">
      <c r="Z165" s="76" t="e">
        <f t="shared" ca="1" si="16"/>
        <v>#N/A</v>
      </c>
      <c r="AA165" s="75" t="e">
        <f t="shared" ca="1" si="1"/>
        <v>#N/A</v>
      </c>
      <c r="AB165" s="76">
        <f t="shared" ca="1" si="17"/>
        <v>0</v>
      </c>
      <c r="AC165" s="75">
        <f t="shared" ca="1" si="3"/>
        <v>0</v>
      </c>
      <c r="AD165" s="76">
        <f t="shared" ca="1" si="18"/>
        <v>12388.425641203703</v>
      </c>
      <c r="AE165" s="76">
        <f t="shared" si="19"/>
        <v>0</v>
      </c>
      <c r="AF165" s="75">
        <f t="shared" si="6"/>
        <v>0</v>
      </c>
      <c r="AG165" s="75">
        <f t="shared" si="7"/>
        <v>0</v>
      </c>
      <c r="AH165" s="31" t="e" cm="1">
        <f t="array" aca="1" ref="AH165" ca="1">IF((AD165) &lt; (INDEX(ResponseSLA[#All],(MATCH((G165),ResponseSLA[Priority],0))+1,3)),"YES","No")</f>
        <v>#N/A</v>
      </c>
      <c r="AI165" s="31" t="str">
        <f>_xlfn.IFNA(IF(AE165 &lt; (INDEX(SLATable[Minimum SLA],MATCH(G165,SLATable[Priority],0))),"YES","NO"),"")</f>
        <v/>
      </c>
      <c r="AJ165" t="str">
        <f>_xlfn.IFNA(IF(AE165 &lt; (INDEX(SLATable[Maximum SLA],MATCH(G165,SLATable[Priority],0))),"YES","NO"),"")</f>
        <v/>
      </c>
    </row>
    <row r="166" spans="26:36" ht="15" customHeight="1">
      <c r="Z166" s="76" t="e">
        <f t="shared" ca="1" si="16"/>
        <v>#N/A</v>
      </c>
      <c r="AA166" s="75" t="e">
        <f t="shared" ca="1" si="1"/>
        <v>#N/A</v>
      </c>
      <c r="AB166" s="76">
        <f t="shared" ca="1" si="17"/>
        <v>0</v>
      </c>
      <c r="AC166" s="75">
        <f t="shared" ca="1" si="3"/>
        <v>0</v>
      </c>
      <c r="AD166" s="76">
        <f t="shared" ca="1" si="18"/>
        <v>12388.425641435188</v>
      </c>
      <c r="AE166" s="76">
        <f t="shared" si="19"/>
        <v>0</v>
      </c>
      <c r="AF166" s="75">
        <f t="shared" si="6"/>
        <v>0</v>
      </c>
      <c r="AG166" s="75">
        <f t="shared" si="7"/>
        <v>0</v>
      </c>
      <c r="AH166" s="31" t="e" cm="1">
        <f t="array" aca="1" ref="AH166" ca="1">IF((AD166) &lt; (INDEX(ResponseSLA[#All],(MATCH((G166),ResponseSLA[Priority],0))+1,3)),"YES","No")</f>
        <v>#N/A</v>
      </c>
      <c r="AI166" s="31" t="str">
        <f>_xlfn.IFNA(IF(AE166 &lt; (INDEX(SLATable[Minimum SLA],MATCH(G166,SLATable[Priority],0))),"YES","NO"),"")</f>
        <v/>
      </c>
      <c r="AJ166" t="str">
        <f>_xlfn.IFNA(IF(AE166 &lt; (INDEX(SLATable[Maximum SLA],MATCH(G166,SLATable[Priority],0))),"YES","NO"),"")</f>
        <v/>
      </c>
    </row>
    <row r="167" spans="26:36" ht="15" customHeight="1">
      <c r="Z167" s="76" t="e">
        <f t="shared" ca="1" si="16"/>
        <v>#N/A</v>
      </c>
      <c r="AA167" s="75" t="e">
        <f t="shared" ca="1" si="1"/>
        <v>#N/A</v>
      </c>
      <c r="AB167" s="76">
        <f t="shared" ca="1" si="17"/>
        <v>0</v>
      </c>
      <c r="AC167" s="75">
        <f t="shared" ca="1" si="3"/>
        <v>0</v>
      </c>
      <c r="AD167" s="76">
        <f t="shared" ca="1" si="18"/>
        <v>12388.425641203703</v>
      </c>
      <c r="AE167" s="76">
        <f t="shared" si="19"/>
        <v>0</v>
      </c>
      <c r="AF167" s="75">
        <f t="shared" si="6"/>
        <v>0</v>
      </c>
      <c r="AG167" s="75">
        <f t="shared" si="7"/>
        <v>0</v>
      </c>
      <c r="AH167" s="31" t="e" cm="1">
        <f t="array" aca="1" ref="AH167" ca="1">IF((AD167) &lt; (INDEX(ResponseSLA[#All],(MATCH((G167),ResponseSLA[Priority],0))+1,3)),"YES","No")</f>
        <v>#N/A</v>
      </c>
      <c r="AI167" s="31" t="str">
        <f>_xlfn.IFNA(IF(AE167 &lt; (INDEX(SLATable[Minimum SLA],MATCH(G167,SLATable[Priority],0))),"YES","NO"),"")</f>
        <v/>
      </c>
      <c r="AJ167" t="str">
        <f>_xlfn.IFNA(IF(AE167 &lt; (INDEX(SLATable[Maximum SLA],MATCH(G167,SLATable[Priority],0))),"YES","NO"),"")</f>
        <v/>
      </c>
    </row>
    <row r="168" spans="26:36" ht="15" customHeight="1">
      <c r="Z168" s="76" t="e">
        <f t="shared" ca="1" si="16"/>
        <v>#N/A</v>
      </c>
      <c r="AA168" s="75" t="e">
        <f t="shared" ca="1" si="1"/>
        <v>#N/A</v>
      </c>
      <c r="AB168" s="76">
        <f t="shared" ca="1" si="17"/>
        <v>0</v>
      </c>
      <c r="AC168" s="75">
        <f t="shared" ca="1" si="3"/>
        <v>0</v>
      </c>
      <c r="AD168" s="76">
        <f t="shared" ca="1" si="18"/>
        <v>12388.425641203703</v>
      </c>
      <c r="AE168" s="76">
        <f t="shared" si="19"/>
        <v>0</v>
      </c>
      <c r="AF168" s="75">
        <f t="shared" si="6"/>
        <v>0</v>
      </c>
      <c r="AG168" s="75">
        <f t="shared" si="7"/>
        <v>0</v>
      </c>
      <c r="AH168" s="31" t="e" cm="1">
        <f t="array" aca="1" ref="AH168" ca="1">IF((AD168) &lt; (INDEX(ResponseSLA[#All],(MATCH((G168),ResponseSLA[Priority],0))+1,3)),"YES","No")</f>
        <v>#N/A</v>
      </c>
      <c r="AI168" s="31" t="str">
        <f>_xlfn.IFNA(IF(AE168 &lt; (INDEX(SLATable[Minimum SLA],MATCH(G168,SLATable[Priority],0))),"YES","NO"),"")</f>
        <v/>
      </c>
      <c r="AJ168" t="str">
        <f>_xlfn.IFNA(IF(AE168 &lt; (INDEX(SLATable[Maximum SLA],MATCH(G168,SLATable[Priority],0))),"YES","NO"),"")</f>
        <v/>
      </c>
    </row>
    <row r="169" spans="26:36" ht="15" customHeight="1">
      <c r="Z169" s="76" t="e">
        <f t="shared" ca="1" si="16"/>
        <v>#N/A</v>
      </c>
      <c r="AA169" s="75" t="e">
        <f t="shared" ca="1" si="1"/>
        <v>#N/A</v>
      </c>
      <c r="AB169" s="76">
        <f t="shared" ca="1" si="17"/>
        <v>0</v>
      </c>
      <c r="AC169" s="75">
        <f t="shared" ca="1" si="3"/>
        <v>0</v>
      </c>
      <c r="AD169" s="76">
        <f t="shared" ca="1" si="18"/>
        <v>12388.425641435188</v>
      </c>
      <c r="AE169" s="76">
        <f t="shared" si="19"/>
        <v>0</v>
      </c>
      <c r="AF169" s="75">
        <f t="shared" si="6"/>
        <v>0</v>
      </c>
      <c r="AG169" s="75">
        <f t="shared" si="7"/>
        <v>0</v>
      </c>
      <c r="AH169" s="31" t="e" cm="1">
        <f t="array" aca="1" ref="AH169" ca="1">IF((AD169) &lt; (INDEX(ResponseSLA[#All],(MATCH((G169),ResponseSLA[Priority],0))+1,3)),"YES","No")</f>
        <v>#N/A</v>
      </c>
      <c r="AI169" s="31" t="str">
        <f>_xlfn.IFNA(IF(AE169 &lt; (INDEX(SLATable[Minimum SLA],MATCH(G169,SLATable[Priority],0))),"YES","NO"),"")</f>
        <v/>
      </c>
      <c r="AJ169" t="str">
        <f>_xlfn.IFNA(IF(AE169 &lt; (INDEX(SLATable[Maximum SLA],MATCH(G169,SLATable[Priority],0))),"YES","NO"),"")</f>
        <v/>
      </c>
    </row>
    <row r="170" spans="26:36" ht="15" customHeight="1">
      <c r="Z170" s="76" t="e">
        <f t="shared" ca="1" si="16"/>
        <v>#N/A</v>
      </c>
      <c r="AA170" s="75" t="e">
        <f t="shared" ca="1" si="1"/>
        <v>#N/A</v>
      </c>
      <c r="AB170" s="76">
        <f t="shared" ca="1" si="17"/>
        <v>0</v>
      </c>
      <c r="AC170" s="75">
        <f t="shared" ca="1" si="3"/>
        <v>0</v>
      </c>
      <c r="AD170" s="76">
        <f t="shared" ca="1" si="18"/>
        <v>12388.425641203703</v>
      </c>
      <c r="AE170" s="76">
        <f t="shared" si="19"/>
        <v>0</v>
      </c>
      <c r="AF170" s="75">
        <f t="shared" si="6"/>
        <v>0</v>
      </c>
      <c r="AG170" s="75">
        <f t="shared" si="7"/>
        <v>0</v>
      </c>
      <c r="AH170" s="31" t="e" cm="1">
        <f t="array" aca="1" ref="AH170" ca="1">IF((AD170) &lt; (INDEX(ResponseSLA[#All],(MATCH((G170),ResponseSLA[Priority],0))+1,3)),"YES","No")</f>
        <v>#N/A</v>
      </c>
      <c r="AI170" s="31" t="str">
        <f>_xlfn.IFNA(IF(AE170 &lt; (INDEX(SLATable[Minimum SLA],MATCH(G170,SLATable[Priority],0))),"YES","NO"),"")</f>
        <v/>
      </c>
      <c r="AJ170" t="str">
        <f>_xlfn.IFNA(IF(AE170 &lt; (INDEX(SLATable[Maximum SLA],MATCH(G170,SLATable[Priority],0))),"YES","NO"),"")</f>
        <v/>
      </c>
    </row>
    <row r="171" spans="26:36" ht="15" customHeight="1">
      <c r="Z171" s="76" t="e">
        <f t="shared" ca="1" si="16"/>
        <v>#N/A</v>
      </c>
      <c r="AA171" s="75" t="e">
        <f t="shared" ca="1" si="1"/>
        <v>#N/A</v>
      </c>
      <c r="AB171" s="76">
        <f t="shared" ca="1" si="17"/>
        <v>0</v>
      </c>
      <c r="AC171" s="75">
        <f t="shared" ca="1" si="3"/>
        <v>0</v>
      </c>
      <c r="AD171" s="76">
        <f t="shared" ca="1" si="18"/>
        <v>12388.425641203703</v>
      </c>
      <c r="AE171" s="76">
        <f t="shared" si="19"/>
        <v>0</v>
      </c>
      <c r="AF171" s="75">
        <f t="shared" si="6"/>
        <v>0</v>
      </c>
      <c r="AG171" s="75">
        <f t="shared" si="7"/>
        <v>0</v>
      </c>
      <c r="AH171" s="31" t="e" cm="1">
        <f t="array" aca="1" ref="AH171" ca="1">IF((AD171) &lt; (INDEX(ResponseSLA[#All],(MATCH((G171),ResponseSLA[Priority],0))+1,3)),"YES","No")</f>
        <v>#N/A</v>
      </c>
      <c r="AI171" s="31" t="str">
        <f>_xlfn.IFNA(IF(AE171 &lt; (INDEX(SLATable[Minimum SLA],MATCH(G171,SLATable[Priority],0))),"YES","NO"),"")</f>
        <v/>
      </c>
      <c r="AJ171" t="str">
        <f>_xlfn.IFNA(IF(AE171 &lt; (INDEX(SLATable[Maximum SLA],MATCH(G171,SLATable[Priority],0))),"YES","NO"),"")</f>
        <v/>
      </c>
    </row>
    <row r="172" spans="26:36" ht="15" customHeight="1">
      <c r="Z172" s="76" t="e">
        <f t="shared" ca="1" si="16"/>
        <v>#N/A</v>
      </c>
      <c r="AA172" s="75" t="e">
        <f t="shared" ca="1" si="1"/>
        <v>#N/A</v>
      </c>
      <c r="AB172" s="76">
        <f t="shared" ca="1" si="17"/>
        <v>0</v>
      </c>
      <c r="AC172" s="75">
        <f t="shared" ca="1" si="3"/>
        <v>0</v>
      </c>
      <c r="AD172" s="76">
        <f t="shared" ca="1" si="18"/>
        <v>12388.425641435188</v>
      </c>
      <c r="AE172" s="76">
        <f t="shared" si="19"/>
        <v>0</v>
      </c>
      <c r="AF172" s="75">
        <f t="shared" si="6"/>
        <v>0</v>
      </c>
      <c r="AG172" s="75">
        <f t="shared" si="7"/>
        <v>0</v>
      </c>
      <c r="AH172" s="31" t="e" cm="1">
        <f t="array" aca="1" ref="AH172" ca="1">IF((AD172) &lt; (INDEX(ResponseSLA[#All],(MATCH((G172),ResponseSLA[Priority],0))+1,3)),"YES","No")</f>
        <v>#N/A</v>
      </c>
      <c r="AI172" s="31" t="str">
        <f>_xlfn.IFNA(IF(AE172 &lt; (INDEX(SLATable[Minimum SLA],MATCH(G172,SLATable[Priority],0))),"YES","NO"),"")</f>
        <v/>
      </c>
      <c r="AJ172" t="str">
        <f>_xlfn.IFNA(IF(AE172 &lt; (INDEX(SLATable[Maximum SLA],MATCH(G172,SLATable[Priority],0))),"YES","NO"),"")</f>
        <v/>
      </c>
    </row>
    <row r="173" spans="26:36" ht="15" customHeight="1">
      <c r="Z173" s="76" t="e">
        <f t="shared" ca="1" si="16"/>
        <v>#N/A</v>
      </c>
      <c r="AA173" s="75" t="e">
        <f t="shared" ca="1" si="1"/>
        <v>#N/A</v>
      </c>
      <c r="AB173" s="76">
        <f t="shared" ca="1" si="17"/>
        <v>0</v>
      </c>
      <c r="AC173" s="75">
        <f t="shared" ca="1" si="3"/>
        <v>0</v>
      </c>
      <c r="AD173" s="76">
        <f t="shared" ca="1" si="18"/>
        <v>12388.425641203703</v>
      </c>
      <c r="AE173" s="76">
        <f t="shared" si="19"/>
        <v>0</v>
      </c>
      <c r="AF173" s="75">
        <f t="shared" si="6"/>
        <v>0</v>
      </c>
      <c r="AG173" s="75">
        <f t="shared" si="7"/>
        <v>0</v>
      </c>
      <c r="AH173" s="31" t="e" cm="1">
        <f t="array" aca="1" ref="AH173" ca="1">IF((AD173) &lt; (INDEX(ResponseSLA[#All],(MATCH((G173),ResponseSLA[Priority],0))+1,3)),"YES","No")</f>
        <v>#N/A</v>
      </c>
      <c r="AI173" s="31" t="str">
        <f>_xlfn.IFNA(IF(AE173 &lt; (INDEX(SLATable[Minimum SLA],MATCH(G173,SLATable[Priority],0))),"YES","NO"),"")</f>
        <v/>
      </c>
      <c r="AJ173" t="str">
        <f>_xlfn.IFNA(IF(AE173 &lt; (INDEX(SLATable[Maximum SLA],MATCH(G173,SLATable[Priority],0))),"YES","NO"),"")</f>
        <v/>
      </c>
    </row>
    <row r="174" spans="26:36" ht="15" customHeight="1">
      <c r="Z174" s="76" t="e">
        <f t="shared" ca="1" si="16"/>
        <v>#N/A</v>
      </c>
      <c r="AA174" s="75" t="e">
        <f t="shared" ca="1" si="1"/>
        <v>#N/A</v>
      </c>
      <c r="AB174" s="76">
        <f t="shared" ca="1" si="17"/>
        <v>0</v>
      </c>
      <c r="AC174" s="75">
        <f t="shared" ca="1" si="3"/>
        <v>0</v>
      </c>
      <c r="AD174" s="76">
        <f t="shared" ca="1" si="18"/>
        <v>12388.425641203703</v>
      </c>
      <c r="AE174" s="76">
        <f t="shared" si="19"/>
        <v>0</v>
      </c>
      <c r="AF174" s="75">
        <f t="shared" si="6"/>
        <v>0</v>
      </c>
      <c r="AG174" s="75">
        <f t="shared" si="7"/>
        <v>0</v>
      </c>
      <c r="AH174" s="31" t="e" cm="1">
        <f t="array" aca="1" ref="AH174" ca="1">IF((AD174) &lt; (INDEX(ResponseSLA[#All],(MATCH((G174),ResponseSLA[Priority],0))+1,3)),"YES","No")</f>
        <v>#N/A</v>
      </c>
      <c r="AI174" s="31" t="str">
        <f>_xlfn.IFNA(IF(AE174 &lt; (INDEX(SLATable[Minimum SLA],MATCH(G174,SLATable[Priority],0))),"YES","NO"),"")</f>
        <v/>
      </c>
      <c r="AJ174" t="str">
        <f>_xlfn.IFNA(IF(AE174 &lt; (INDEX(SLATable[Maximum SLA],MATCH(G174,SLATable[Priority],0))),"YES","NO"),"")</f>
        <v/>
      </c>
    </row>
    <row r="175" spans="26:36" ht="15" customHeight="1">
      <c r="Z175" s="76" t="e">
        <f t="shared" ca="1" si="16"/>
        <v>#N/A</v>
      </c>
      <c r="AA175" s="75" t="e">
        <f t="shared" ca="1" si="1"/>
        <v>#N/A</v>
      </c>
      <c r="AB175" s="76">
        <f t="shared" ca="1" si="17"/>
        <v>0</v>
      </c>
      <c r="AC175" s="75">
        <f t="shared" ca="1" si="3"/>
        <v>0</v>
      </c>
      <c r="AD175" s="76">
        <f t="shared" ca="1" si="18"/>
        <v>12388.425641435188</v>
      </c>
      <c r="AE175" s="76">
        <f t="shared" si="19"/>
        <v>0</v>
      </c>
      <c r="AF175" s="75">
        <f t="shared" si="6"/>
        <v>0</v>
      </c>
      <c r="AG175" s="75">
        <f t="shared" si="7"/>
        <v>0</v>
      </c>
      <c r="AH175" s="31" t="e" cm="1">
        <f t="array" aca="1" ref="AH175" ca="1">IF((AD175) &lt; (INDEX(ResponseSLA[#All],(MATCH((G175),ResponseSLA[Priority],0))+1,3)),"YES","No")</f>
        <v>#N/A</v>
      </c>
      <c r="AI175" s="31" t="str">
        <f>_xlfn.IFNA(IF(AE175 &lt; (INDEX(SLATable[Minimum SLA],MATCH(G175,SLATable[Priority],0))),"YES","NO"),"")</f>
        <v/>
      </c>
      <c r="AJ175" t="str">
        <f>_xlfn.IFNA(IF(AE175 &lt; (INDEX(SLATable[Maximum SLA],MATCH(G175,SLATable[Priority],0))),"YES","NO"),"")</f>
        <v/>
      </c>
    </row>
    <row r="176" spans="26:36" ht="15" customHeight="1">
      <c r="Z176" s="76" t="e">
        <f t="shared" ca="1" si="16"/>
        <v>#N/A</v>
      </c>
      <c r="AA176" s="75" t="e">
        <f t="shared" ca="1" si="1"/>
        <v>#N/A</v>
      </c>
      <c r="AB176" s="76">
        <f t="shared" ca="1" si="17"/>
        <v>0</v>
      </c>
      <c r="AC176" s="75">
        <f t="shared" ca="1" si="3"/>
        <v>0</v>
      </c>
      <c r="AD176" s="76">
        <f t="shared" ca="1" si="18"/>
        <v>12388.425641203703</v>
      </c>
      <c r="AE176" s="76">
        <f t="shared" si="19"/>
        <v>0</v>
      </c>
      <c r="AF176" s="75">
        <f t="shared" si="6"/>
        <v>0</v>
      </c>
      <c r="AG176" s="75">
        <f t="shared" si="7"/>
        <v>0</v>
      </c>
      <c r="AH176" s="31" t="e" cm="1">
        <f t="array" aca="1" ref="AH176" ca="1">IF((AD176) &lt; (INDEX(ResponseSLA[#All],(MATCH((G176),ResponseSLA[Priority],0))+1,3)),"YES","No")</f>
        <v>#N/A</v>
      </c>
      <c r="AI176" s="31" t="str">
        <f>_xlfn.IFNA(IF(AE176 &lt; (INDEX(SLATable[Minimum SLA],MATCH(G176,SLATable[Priority],0))),"YES","NO"),"")</f>
        <v/>
      </c>
      <c r="AJ176" t="str">
        <f>_xlfn.IFNA(IF(AE176 &lt; (INDEX(SLATable[Maximum SLA],MATCH(G176,SLATable[Priority],0))),"YES","NO"),"")</f>
        <v/>
      </c>
    </row>
    <row r="177" spans="26:36" ht="15" customHeight="1">
      <c r="Z177" s="76" t="e">
        <f t="shared" ca="1" si="16"/>
        <v>#N/A</v>
      </c>
      <c r="AA177" s="75" t="e">
        <f t="shared" ca="1" si="1"/>
        <v>#N/A</v>
      </c>
      <c r="AB177" s="76">
        <f t="shared" ca="1" si="17"/>
        <v>0</v>
      </c>
      <c r="AC177" s="75">
        <f t="shared" ca="1" si="3"/>
        <v>0</v>
      </c>
      <c r="AD177" s="76">
        <f t="shared" ca="1" si="18"/>
        <v>12388.425641203703</v>
      </c>
      <c r="AE177" s="76">
        <f t="shared" si="19"/>
        <v>0</v>
      </c>
      <c r="AF177" s="75">
        <f t="shared" si="6"/>
        <v>0</v>
      </c>
      <c r="AG177" s="75">
        <f t="shared" si="7"/>
        <v>0</v>
      </c>
      <c r="AH177" s="31" t="e" cm="1">
        <f t="array" aca="1" ref="AH177" ca="1">IF((AD177) &lt; (INDEX(ResponseSLA[#All],(MATCH((G177),ResponseSLA[Priority],0))+1,3)),"YES","No")</f>
        <v>#N/A</v>
      </c>
      <c r="AI177" s="31" t="str">
        <f>_xlfn.IFNA(IF(AE177 &lt; (INDEX(SLATable[Minimum SLA],MATCH(G177,SLATable[Priority],0))),"YES","NO"),"")</f>
        <v/>
      </c>
      <c r="AJ177" t="str">
        <f>_xlfn.IFNA(IF(AE177 &lt; (INDEX(SLATable[Maximum SLA],MATCH(G177,SLATable[Priority],0))),"YES","NO"),"")</f>
        <v/>
      </c>
    </row>
    <row r="178" spans="26:36" ht="15" customHeight="1">
      <c r="Z178" s="76" t="e">
        <f t="shared" ca="1" si="16"/>
        <v>#N/A</v>
      </c>
      <c r="AA178" s="75" t="e">
        <f t="shared" ca="1" si="1"/>
        <v>#N/A</v>
      </c>
      <c r="AB178" s="76">
        <f t="shared" ca="1" si="17"/>
        <v>0</v>
      </c>
      <c r="AC178" s="75">
        <f t="shared" ca="1" si="3"/>
        <v>0</v>
      </c>
      <c r="AD178" s="76">
        <f t="shared" ca="1" si="18"/>
        <v>12388.425641435188</v>
      </c>
      <c r="AE178" s="76">
        <f t="shared" si="19"/>
        <v>0</v>
      </c>
      <c r="AF178" s="75">
        <f t="shared" si="6"/>
        <v>0</v>
      </c>
      <c r="AG178" s="75">
        <f t="shared" si="7"/>
        <v>0</v>
      </c>
      <c r="AH178" s="31" t="e" cm="1">
        <f t="array" aca="1" ref="AH178" ca="1">IF((AD178) &lt; (INDEX(ResponseSLA[#All],(MATCH((G178),ResponseSLA[Priority],0))+1,3)),"YES","No")</f>
        <v>#N/A</v>
      </c>
      <c r="AI178" s="31" t="str">
        <f>_xlfn.IFNA(IF(AE178 &lt; (INDEX(SLATable[Minimum SLA],MATCH(G178,SLATable[Priority],0))),"YES","NO"),"")</f>
        <v/>
      </c>
      <c r="AJ178" t="str">
        <f>_xlfn.IFNA(IF(AE178 &lt; (INDEX(SLATable[Maximum SLA],MATCH(G178,SLATable[Priority],0))),"YES","NO"),"")</f>
        <v/>
      </c>
    </row>
    <row r="179" spans="26:36" ht="15" customHeight="1">
      <c r="Z179" s="76" t="e">
        <f t="shared" ca="1" si="16"/>
        <v>#N/A</v>
      </c>
      <c r="AA179" s="75" t="e">
        <f t="shared" ca="1" si="1"/>
        <v>#N/A</v>
      </c>
      <c r="AB179" s="76">
        <f t="shared" ca="1" si="17"/>
        <v>0</v>
      </c>
      <c r="AC179" s="75">
        <f t="shared" ca="1" si="3"/>
        <v>0</v>
      </c>
      <c r="AD179" s="76">
        <f t="shared" ca="1" si="18"/>
        <v>12388.425641203703</v>
      </c>
      <c r="AE179" s="76">
        <f t="shared" si="19"/>
        <v>0</v>
      </c>
      <c r="AF179" s="75">
        <f t="shared" si="6"/>
        <v>0</v>
      </c>
      <c r="AG179" s="75">
        <f t="shared" si="7"/>
        <v>0</v>
      </c>
      <c r="AH179" s="31" t="e" cm="1">
        <f t="array" aca="1" ref="AH179" ca="1">IF((AD179) &lt; (INDEX(ResponseSLA[#All],(MATCH((G179),ResponseSLA[Priority],0))+1,3)),"YES","No")</f>
        <v>#N/A</v>
      </c>
      <c r="AI179" s="31" t="str">
        <f>_xlfn.IFNA(IF(AE179 &lt; (INDEX(SLATable[Minimum SLA],MATCH(G179,SLATable[Priority],0))),"YES","NO"),"")</f>
        <v/>
      </c>
      <c r="AJ179" t="str">
        <f>_xlfn.IFNA(IF(AE179 &lt; (INDEX(SLATable[Maximum SLA],MATCH(G179,SLATable[Priority],0))),"YES","NO"),"")</f>
        <v/>
      </c>
    </row>
    <row r="180" spans="26:36" ht="15" customHeight="1">
      <c r="Z180" s="76" t="e">
        <f t="shared" ca="1" si="16"/>
        <v>#N/A</v>
      </c>
      <c r="AA180" s="75" t="e">
        <f t="shared" ca="1" si="1"/>
        <v>#N/A</v>
      </c>
      <c r="AB180" s="76">
        <f t="shared" ca="1" si="17"/>
        <v>0</v>
      </c>
      <c r="AC180" s="75">
        <f t="shared" ca="1" si="3"/>
        <v>0</v>
      </c>
      <c r="AD180" s="76">
        <f t="shared" ca="1" si="18"/>
        <v>12388.425641203703</v>
      </c>
      <c r="AE180" s="76">
        <f t="shared" si="19"/>
        <v>0</v>
      </c>
      <c r="AF180" s="75">
        <f t="shared" si="6"/>
        <v>0</v>
      </c>
      <c r="AG180" s="75">
        <f t="shared" si="7"/>
        <v>0</v>
      </c>
      <c r="AH180" s="31" t="e" cm="1">
        <f t="array" aca="1" ref="AH180" ca="1">IF((AD180) &lt; (INDEX(ResponseSLA[#All],(MATCH((G180),ResponseSLA[Priority],0))+1,3)),"YES","No")</f>
        <v>#N/A</v>
      </c>
      <c r="AI180" s="31" t="str">
        <f>_xlfn.IFNA(IF(AE180 &lt; (INDEX(SLATable[Minimum SLA],MATCH(G180,SLATable[Priority],0))),"YES","NO"),"")</f>
        <v/>
      </c>
      <c r="AJ180" t="str">
        <f>_xlfn.IFNA(IF(AE180 &lt; (INDEX(SLATable[Maximum SLA],MATCH(G180,SLATable[Priority],0))),"YES","NO"),"")</f>
        <v/>
      </c>
    </row>
    <row r="181" spans="26:36" ht="15" customHeight="1">
      <c r="Z181" s="76" t="e">
        <f t="shared" ca="1" si="16"/>
        <v>#N/A</v>
      </c>
      <c r="AA181" s="75" t="e">
        <f t="shared" ca="1" si="1"/>
        <v>#N/A</v>
      </c>
      <c r="AB181" s="76">
        <f t="shared" ca="1" si="17"/>
        <v>0</v>
      </c>
      <c r="AC181" s="75">
        <f t="shared" ca="1" si="3"/>
        <v>0</v>
      </c>
      <c r="AD181" s="76">
        <f t="shared" ca="1" si="18"/>
        <v>12388.425641435188</v>
      </c>
      <c r="AE181" s="76">
        <f t="shared" si="19"/>
        <v>0</v>
      </c>
      <c r="AF181" s="75">
        <f t="shared" si="6"/>
        <v>0</v>
      </c>
      <c r="AG181" s="75">
        <f t="shared" si="7"/>
        <v>0</v>
      </c>
      <c r="AH181" s="31" t="e" cm="1">
        <f t="array" aca="1" ref="AH181" ca="1">IF((AD181) &lt; (INDEX(ResponseSLA[#All],(MATCH((G181),ResponseSLA[Priority],0))+1,3)),"YES","No")</f>
        <v>#N/A</v>
      </c>
      <c r="AI181" s="31" t="str">
        <f>_xlfn.IFNA(IF(AE181 &lt; (INDEX(SLATable[Minimum SLA],MATCH(G181,SLATable[Priority],0))),"YES","NO"),"")</f>
        <v/>
      </c>
      <c r="AJ181" t="str">
        <f>_xlfn.IFNA(IF(AE181 &lt; (INDEX(SLATable[Maximum SLA],MATCH(G181,SLATable[Priority],0))),"YES","NO"),"")</f>
        <v/>
      </c>
    </row>
    <row r="182" spans="26:36" ht="15" customHeight="1">
      <c r="Z182" s="76" t="e">
        <f t="shared" ca="1" si="16"/>
        <v>#N/A</v>
      </c>
      <c r="AA182" s="75" t="e">
        <f t="shared" ca="1" si="1"/>
        <v>#N/A</v>
      </c>
      <c r="AB182" s="76">
        <f t="shared" ca="1" si="17"/>
        <v>0</v>
      </c>
      <c r="AC182" s="75">
        <f t="shared" ca="1" si="3"/>
        <v>0</v>
      </c>
      <c r="AD182" s="76">
        <f t="shared" ca="1" si="18"/>
        <v>12388.425641203703</v>
      </c>
      <c r="AE182" s="76">
        <f t="shared" si="19"/>
        <v>0</v>
      </c>
      <c r="AF182" s="75">
        <f t="shared" si="6"/>
        <v>0</v>
      </c>
      <c r="AG182" s="75">
        <f t="shared" si="7"/>
        <v>0</v>
      </c>
      <c r="AH182" s="31" t="e" cm="1">
        <f t="array" aca="1" ref="AH182" ca="1">IF((AD182) &lt; (INDEX(ResponseSLA[#All],(MATCH((G182),ResponseSLA[Priority],0))+1,3)),"YES","No")</f>
        <v>#N/A</v>
      </c>
      <c r="AI182" s="31" t="str">
        <f>_xlfn.IFNA(IF(AE182 &lt; (INDEX(SLATable[Minimum SLA],MATCH(G182,SLATable[Priority],0))),"YES","NO"),"")</f>
        <v/>
      </c>
      <c r="AJ182" t="str">
        <f>_xlfn.IFNA(IF(AE182 &lt; (INDEX(SLATable[Maximum SLA],MATCH(G182,SLATable[Priority],0))),"YES","NO"),"")</f>
        <v/>
      </c>
    </row>
    <row r="183" spans="26:36" ht="15" customHeight="1">
      <c r="Z183" s="76" t="e">
        <f t="shared" ca="1" si="16"/>
        <v>#N/A</v>
      </c>
      <c r="AA183" s="75" t="e">
        <f t="shared" ca="1" si="1"/>
        <v>#N/A</v>
      </c>
      <c r="AB183" s="76">
        <f t="shared" ca="1" si="17"/>
        <v>0</v>
      </c>
      <c r="AC183" s="75">
        <f t="shared" ca="1" si="3"/>
        <v>0</v>
      </c>
      <c r="AD183" s="76">
        <f t="shared" ca="1" si="18"/>
        <v>12388.425641203703</v>
      </c>
      <c r="AE183" s="76">
        <f t="shared" si="19"/>
        <v>0</v>
      </c>
      <c r="AF183" s="75">
        <f t="shared" si="6"/>
        <v>0</v>
      </c>
      <c r="AG183" s="75">
        <f t="shared" si="7"/>
        <v>0</v>
      </c>
      <c r="AH183" s="31" t="e" cm="1">
        <f t="array" aca="1" ref="AH183" ca="1">IF((AD183) &lt; (INDEX(ResponseSLA[#All],(MATCH((G183),ResponseSLA[Priority],0))+1,3)),"YES","No")</f>
        <v>#N/A</v>
      </c>
      <c r="AI183" s="31" t="str">
        <f>_xlfn.IFNA(IF(AE183 &lt; (INDEX(SLATable[Minimum SLA],MATCH(G183,SLATable[Priority],0))),"YES","NO"),"")</f>
        <v/>
      </c>
      <c r="AJ183" t="str">
        <f>_xlfn.IFNA(IF(AE183 &lt; (INDEX(SLATable[Maximum SLA],MATCH(G183,SLATable[Priority],0))),"YES","NO"),"")</f>
        <v/>
      </c>
    </row>
    <row r="184" spans="26:36" ht="15" customHeight="1">
      <c r="Z184" s="76" t="e">
        <f t="shared" ca="1" si="16"/>
        <v>#N/A</v>
      </c>
      <c r="AA184" s="75" t="e">
        <f t="shared" ca="1" si="1"/>
        <v>#N/A</v>
      </c>
      <c r="AB184" s="76">
        <f t="shared" ca="1" si="17"/>
        <v>0</v>
      </c>
      <c r="AC184" s="75">
        <f t="shared" ca="1" si="3"/>
        <v>0</v>
      </c>
      <c r="AD184" s="76">
        <f t="shared" ca="1" si="18"/>
        <v>12388.425641435188</v>
      </c>
      <c r="AE184" s="76">
        <f t="shared" si="19"/>
        <v>0</v>
      </c>
      <c r="AF184" s="75">
        <f t="shared" si="6"/>
        <v>0</v>
      </c>
      <c r="AG184" s="75">
        <f t="shared" si="7"/>
        <v>0</v>
      </c>
      <c r="AH184" s="31" t="e" cm="1">
        <f t="array" aca="1" ref="AH184" ca="1">IF((AD184) &lt; (INDEX(ResponseSLA[#All],(MATCH((G184),ResponseSLA[Priority],0))+1,3)),"YES","No")</f>
        <v>#N/A</v>
      </c>
      <c r="AI184" s="31" t="str">
        <f>_xlfn.IFNA(IF(AE184 &lt; (INDEX(SLATable[Minimum SLA],MATCH(G184,SLATable[Priority],0))),"YES","NO"),"")</f>
        <v/>
      </c>
      <c r="AJ184" t="str">
        <f>_xlfn.IFNA(IF(AE184 &lt; (INDEX(SLATable[Maximum SLA],MATCH(G184,SLATable[Priority],0))),"YES","NO"),"")</f>
        <v/>
      </c>
    </row>
    <row r="185" spans="26:36" ht="15" customHeight="1">
      <c r="Z185" s="76" t="e">
        <f t="shared" ca="1" si="16"/>
        <v>#N/A</v>
      </c>
      <c r="AA185" s="75" t="e">
        <f t="shared" ca="1" si="1"/>
        <v>#N/A</v>
      </c>
      <c r="AB185" s="76">
        <f t="shared" ca="1" si="17"/>
        <v>0</v>
      </c>
      <c r="AC185" s="75">
        <f t="shared" ca="1" si="3"/>
        <v>0</v>
      </c>
      <c r="AD185" s="76">
        <f t="shared" ca="1" si="18"/>
        <v>12388.425641203703</v>
      </c>
      <c r="AE185" s="76">
        <f t="shared" si="19"/>
        <v>0</v>
      </c>
      <c r="AF185" s="75">
        <f t="shared" si="6"/>
        <v>0</v>
      </c>
      <c r="AG185" s="75">
        <f t="shared" si="7"/>
        <v>0</v>
      </c>
      <c r="AH185" s="31" t="e" cm="1">
        <f t="array" aca="1" ref="AH185" ca="1">IF((AD185) &lt; (INDEX(ResponseSLA[#All],(MATCH((G185),ResponseSLA[Priority],0))+1,3)),"YES","No")</f>
        <v>#N/A</v>
      </c>
      <c r="AI185" s="31" t="str">
        <f>_xlfn.IFNA(IF(AE185 &lt; (INDEX(SLATable[Minimum SLA],MATCH(G185,SLATable[Priority],0))),"YES","NO"),"")</f>
        <v/>
      </c>
      <c r="AJ185" t="str">
        <f>_xlfn.IFNA(IF(AE185 &lt; (INDEX(SLATable[Maximum SLA],MATCH(G185,SLATable[Priority],0))),"YES","NO"),"")</f>
        <v/>
      </c>
    </row>
    <row r="186" spans="26:36" ht="15" customHeight="1">
      <c r="Z186" s="76" t="e">
        <f t="shared" ca="1" si="16"/>
        <v>#N/A</v>
      </c>
      <c r="AA186" s="75" t="e">
        <f t="shared" ca="1" si="1"/>
        <v>#N/A</v>
      </c>
      <c r="AB186" s="76">
        <f t="shared" ca="1" si="17"/>
        <v>0</v>
      </c>
      <c r="AC186" s="75">
        <f t="shared" ca="1" si="3"/>
        <v>0</v>
      </c>
      <c r="AD186" s="76">
        <f t="shared" ca="1" si="18"/>
        <v>12388.425641203703</v>
      </c>
      <c r="AE186" s="76">
        <f t="shared" si="19"/>
        <v>0</v>
      </c>
      <c r="AF186" s="75">
        <f t="shared" si="6"/>
        <v>0</v>
      </c>
      <c r="AG186" s="75">
        <f t="shared" si="7"/>
        <v>0</v>
      </c>
      <c r="AH186" s="31" t="e" cm="1">
        <f t="array" aca="1" ref="AH186" ca="1">IF((AD186) &lt; (INDEX(ResponseSLA[#All],(MATCH((G186),ResponseSLA[Priority],0))+1,3)),"YES","No")</f>
        <v>#N/A</v>
      </c>
      <c r="AI186" s="31" t="str">
        <f>_xlfn.IFNA(IF(AE186 &lt; (INDEX(SLATable[Minimum SLA],MATCH(G186,SLATable[Priority],0))),"YES","NO"),"")</f>
        <v/>
      </c>
      <c r="AJ186" t="str">
        <f>_xlfn.IFNA(IF(AE186 &lt; (INDEX(SLATable[Maximum SLA],MATCH(G186,SLATable[Priority],0))),"YES","NO"),"")</f>
        <v/>
      </c>
    </row>
    <row r="187" spans="26:36" ht="15" customHeight="1">
      <c r="Z187" s="76" t="e">
        <f t="shared" ca="1" si="16"/>
        <v>#N/A</v>
      </c>
      <c r="AA187" s="75" t="e">
        <f t="shared" ca="1" si="1"/>
        <v>#N/A</v>
      </c>
      <c r="AB187" s="76">
        <f t="shared" ca="1" si="17"/>
        <v>0</v>
      </c>
      <c r="AC187" s="75">
        <f t="shared" ca="1" si="3"/>
        <v>0</v>
      </c>
      <c r="AD187" s="76">
        <f t="shared" ca="1" si="18"/>
        <v>12388.425641435188</v>
      </c>
      <c r="AE187" s="76">
        <f t="shared" si="19"/>
        <v>0</v>
      </c>
      <c r="AF187" s="75">
        <f t="shared" si="6"/>
        <v>0</v>
      </c>
      <c r="AG187" s="75">
        <f t="shared" si="7"/>
        <v>0</v>
      </c>
      <c r="AH187" s="31" t="e" cm="1">
        <f t="array" aca="1" ref="AH187" ca="1">IF((AD187) &lt; (INDEX(ResponseSLA[#All],(MATCH((G187),ResponseSLA[Priority],0))+1,3)),"YES","No")</f>
        <v>#N/A</v>
      </c>
      <c r="AI187" s="31" t="str">
        <f>_xlfn.IFNA(IF(AE187 &lt; (INDEX(SLATable[Minimum SLA],MATCH(G187,SLATable[Priority],0))),"YES","NO"),"")</f>
        <v/>
      </c>
      <c r="AJ187" t="str">
        <f>_xlfn.IFNA(IF(AE187 &lt; (INDEX(SLATable[Maximum SLA],MATCH(G187,SLATable[Priority],0))),"YES","NO"),"")</f>
        <v/>
      </c>
    </row>
    <row r="188" spans="26:36" ht="15" customHeight="1">
      <c r="Z188" s="76" t="e">
        <f t="shared" ca="1" si="16"/>
        <v>#N/A</v>
      </c>
      <c r="AA188" s="75" t="e">
        <f t="shared" ca="1" si="1"/>
        <v>#N/A</v>
      </c>
      <c r="AB188" s="76">
        <f t="shared" ca="1" si="17"/>
        <v>0</v>
      </c>
      <c r="AC188" s="75">
        <f t="shared" ca="1" si="3"/>
        <v>0</v>
      </c>
      <c r="AD188" s="76">
        <f t="shared" ca="1" si="18"/>
        <v>12388.425641203703</v>
      </c>
      <c r="AE188" s="76">
        <f t="shared" si="19"/>
        <v>0</v>
      </c>
      <c r="AF188" s="75">
        <f t="shared" si="6"/>
        <v>0</v>
      </c>
      <c r="AG188" s="75">
        <f t="shared" si="7"/>
        <v>0</v>
      </c>
      <c r="AH188" s="31" t="e" cm="1">
        <f t="array" aca="1" ref="AH188" ca="1">IF((AD188) &lt; (INDEX(ResponseSLA[#All],(MATCH((G188),ResponseSLA[Priority],0))+1,3)),"YES","No")</f>
        <v>#N/A</v>
      </c>
      <c r="AI188" s="31" t="str">
        <f>_xlfn.IFNA(IF(AE188 &lt; (INDEX(SLATable[Minimum SLA],MATCH(G188,SLATable[Priority],0))),"YES","NO"),"")</f>
        <v/>
      </c>
      <c r="AJ188" t="str">
        <f>_xlfn.IFNA(IF(AE188 &lt; (INDEX(SLATable[Maximum SLA],MATCH(G188,SLATable[Priority],0))),"YES","NO"),"")</f>
        <v/>
      </c>
    </row>
    <row r="189" spans="26:36" ht="15" customHeight="1">
      <c r="Z189" s="76" t="e">
        <f t="shared" ca="1" si="16"/>
        <v>#N/A</v>
      </c>
      <c r="AA189" s="75" t="e">
        <f t="shared" ca="1" si="1"/>
        <v>#N/A</v>
      </c>
      <c r="AB189" s="76">
        <f t="shared" ca="1" si="17"/>
        <v>0</v>
      </c>
      <c r="AC189" s="75">
        <f t="shared" ca="1" si="3"/>
        <v>0</v>
      </c>
      <c r="AD189" s="76">
        <f t="shared" ca="1" si="18"/>
        <v>12388.425641203703</v>
      </c>
      <c r="AE189" s="76">
        <f t="shared" si="19"/>
        <v>0</v>
      </c>
      <c r="AF189" s="75">
        <f t="shared" si="6"/>
        <v>0</v>
      </c>
      <c r="AG189" s="75">
        <f t="shared" si="7"/>
        <v>0</v>
      </c>
      <c r="AH189" s="31" t="e" cm="1">
        <f t="array" aca="1" ref="AH189" ca="1">IF((AD189) &lt; (INDEX(ResponseSLA[#All],(MATCH((G189),ResponseSLA[Priority],0))+1,3)),"YES","No")</f>
        <v>#N/A</v>
      </c>
      <c r="AI189" s="31" t="str">
        <f>_xlfn.IFNA(IF(AE189 &lt; (INDEX(SLATable[Minimum SLA],MATCH(G189,SLATable[Priority],0))),"YES","NO"),"")</f>
        <v/>
      </c>
      <c r="AJ189" t="str">
        <f>_xlfn.IFNA(IF(AE189 &lt; (INDEX(SLATable[Maximum SLA],MATCH(G189,SLATable[Priority],0))),"YES","NO"),"")</f>
        <v/>
      </c>
    </row>
    <row r="190" spans="26:36" ht="15" customHeight="1">
      <c r="Z190" s="76" t="e">
        <f t="shared" ca="1" si="16"/>
        <v>#N/A</v>
      </c>
      <c r="AA190" s="75" t="e">
        <f t="shared" ca="1" si="1"/>
        <v>#N/A</v>
      </c>
      <c r="AB190" s="76">
        <f t="shared" ca="1" si="17"/>
        <v>0</v>
      </c>
      <c r="AC190" s="75">
        <f t="shared" ca="1" si="3"/>
        <v>0</v>
      </c>
      <c r="AD190" s="76">
        <f t="shared" ca="1" si="18"/>
        <v>12388.425641435188</v>
      </c>
      <c r="AE190" s="76">
        <f t="shared" si="19"/>
        <v>0</v>
      </c>
      <c r="AF190" s="75">
        <f t="shared" si="6"/>
        <v>0</v>
      </c>
      <c r="AG190" s="75">
        <f t="shared" si="7"/>
        <v>0</v>
      </c>
      <c r="AH190" s="31" t="e" cm="1">
        <f t="array" aca="1" ref="AH190" ca="1">IF((AD190) &lt; (INDEX(ResponseSLA[#All],(MATCH((G190),ResponseSLA[Priority],0))+1,3)),"YES","No")</f>
        <v>#N/A</v>
      </c>
      <c r="AI190" s="31" t="str">
        <f>_xlfn.IFNA(IF(AE190 &lt; (INDEX(SLATable[Minimum SLA],MATCH(G190,SLATable[Priority],0))),"YES","NO"),"")</f>
        <v/>
      </c>
      <c r="AJ190" t="str">
        <f>_xlfn.IFNA(IF(AE190 &lt; (INDEX(SLATable[Maximum SLA],MATCH(G190,SLATable[Priority],0))),"YES","NO"),"")</f>
        <v/>
      </c>
    </row>
    <row r="191" spans="26:36" ht="15" customHeight="1">
      <c r="Z191" s="76" t="e">
        <f t="shared" ca="1" si="16"/>
        <v>#N/A</v>
      </c>
      <c r="AA191" s="75" t="e">
        <f t="shared" ca="1" si="1"/>
        <v>#N/A</v>
      </c>
      <c r="AB191" s="76">
        <f t="shared" ca="1" si="17"/>
        <v>0</v>
      </c>
      <c r="AC191" s="75">
        <f t="shared" ca="1" si="3"/>
        <v>0</v>
      </c>
      <c r="AD191" s="76">
        <f t="shared" ca="1" si="18"/>
        <v>12388.425641203703</v>
      </c>
      <c r="AE191" s="76">
        <f t="shared" si="19"/>
        <v>0</v>
      </c>
      <c r="AF191" s="75">
        <f t="shared" si="6"/>
        <v>0</v>
      </c>
      <c r="AG191" s="75">
        <f t="shared" si="7"/>
        <v>0</v>
      </c>
      <c r="AH191" s="31" t="e" cm="1">
        <f t="array" aca="1" ref="AH191" ca="1">IF((AD191) &lt; (INDEX(ResponseSLA[#All],(MATCH((G191),ResponseSLA[Priority],0))+1,3)),"YES","No")</f>
        <v>#N/A</v>
      </c>
      <c r="AI191" s="31" t="str">
        <f>_xlfn.IFNA(IF(AE191 &lt; (INDEX(SLATable[Minimum SLA],MATCH(G191,SLATable[Priority],0))),"YES","NO"),"")</f>
        <v/>
      </c>
      <c r="AJ191" t="str">
        <f>_xlfn.IFNA(IF(AE191 &lt; (INDEX(SLATable[Maximum SLA],MATCH(G191,SLATable[Priority],0))),"YES","NO"),"")</f>
        <v/>
      </c>
    </row>
    <row r="192" spans="26:36" ht="15" customHeight="1">
      <c r="Z192" s="76" t="e">
        <f t="shared" ca="1" si="16"/>
        <v>#N/A</v>
      </c>
      <c r="AA192" s="75" t="e">
        <f t="shared" ca="1" si="1"/>
        <v>#N/A</v>
      </c>
      <c r="AB192" s="76">
        <f t="shared" ca="1" si="17"/>
        <v>0</v>
      </c>
      <c r="AC192" s="75">
        <f t="shared" ca="1" si="3"/>
        <v>0</v>
      </c>
      <c r="AD192" s="76">
        <f t="shared" ca="1" si="18"/>
        <v>12388.425641203703</v>
      </c>
      <c r="AE192" s="76">
        <f t="shared" si="19"/>
        <v>0</v>
      </c>
      <c r="AF192" s="75">
        <f t="shared" si="6"/>
        <v>0</v>
      </c>
      <c r="AG192" s="75">
        <f t="shared" si="7"/>
        <v>0</v>
      </c>
      <c r="AH192" s="31" t="e" cm="1">
        <f t="array" aca="1" ref="AH192" ca="1">IF((AD192) &lt; (INDEX(ResponseSLA[#All],(MATCH((G192),ResponseSLA[Priority],0))+1,3)),"YES","No")</f>
        <v>#N/A</v>
      </c>
      <c r="AI192" s="31" t="str">
        <f>_xlfn.IFNA(IF(AE192 &lt; (INDEX(SLATable[Minimum SLA],MATCH(G192,SLATable[Priority],0))),"YES","NO"),"")</f>
        <v/>
      </c>
      <c r="AJ192" t="str">
        <f>_xlfn.IFNA(IF(AE192 &lt; (INDEX(SLATable[Maximum SLA],MATCH(G192,SLATable[Priority],0))),"YES","NO"),"")</f>
        <v/>
      </c>
    </row>
    <row r="193" spans="26:36" ht="15" customHeight="1">
      <c r="Z193" s="76" t="e">
        <f t="shared" ca="1" si="16"/>
        <v>#N/A</v>
      </c>
      <c r="AA193" s="75" t="e">
        <f t="shared" ca="1" si="1"/>
        <v>#N/A</v>
      </c>
      <c r="AB193" s="76">
        <f t="shared" ca="1" si="17"/>
        <v>0</v>
      </c>
      <c r="AC193" s="75">
        <f t="shared" ca="1" si="3"/>
        <v>0</v>
      </c>
      <c r="AD193" s="76">
        <f t="shared" ca="1" si="18"/>
        <v>12388.425641435188</v>
      </c>
      <c r="AE193" s="76">
        <f t="shared" si="19"/>
        <v>0</v>
      </c>
      <c r="AF193" s="75">
        <f t="shared" si="6"/>
        <v>0</v>
      </c>
      <c r="AG193" s="75">
        <f t="shared" si="7"/>
        <v>0</v>
      </c>
      <c r="AH193" s="31" t="e" cm="1">
        <f t="array" aca="1" ref="AH193" ca="1">IF((AD193) &lt; (INDEX(ResponseSLA[#All],(MATCH((G193),ResponseSLA[Priority],0))+1,3)),"YES","No")</f>
        <v>#N/A</v>
      </c>
      <c r="AI193" s="31" t="str">
        <f>_xlfn.IFNA(IF(AE193 &lt; (INDEX(SLATable[Minimum SLA],MATCH(G193,SLATable[Priority],0))),"YES","NO"),"")</f>
        <v/>
      </c>
      <c r="AJ193" t="str">
        <f>_xlfn.IFNA(IF(AE193 &lt; (INDEX(SLATable[Maximum SLA],MATCH(G193,SLATable[Priority],0))),"YES","NO"),"")</f>
        <v/>
      </c>
    </row>
    <row r="194" spans="26:36" ht="15" customHeight="1">
      <c r="Z194" s="76" t="e">
        <f t="shared" ca="1" si="16"/>
        <v>#N/A</v>
      </c>
      <c r="AA194" s="75" t="e">
        <f t="shared" ca="1" si="1"/>
        <v>#N/A</v>
      </c>
      <c r="AB194" s="76">
        <f t="shared" ca="1" si="17"/>
        <v>0</v>
      </c>
      <c r="AC194" s="75">
        <f t="shared" ca="1" si="3"/>
        <v>0</v>
      </c>
      <c r="AD194" s="76">
        <f t="shared" ca="1" si="18"/>
        <v>12388.425641203703</v>
      </c>
      <c r="AE194" s="76">
        <f t="shared" si="19"/>
        <v>0</v>
      </c>
      <c r="AF194" s="75">
        <f t="shared" si="6"/>
        <v>0</v>
      </c>
      <c r="AG194" s="75">
        <f t="shared" si="7"/>
        <v>0</v>
      </c>
      <c r="AH194" s="31" t="e" cm="1">
        <f t="array" aca="1" ref="AH194" ca="1">IF((AD194) &lt; (INDEX(ResponseSLA[#All],(MATCH((G194),ResponseSLA[Priority],0))+1,3)),"YES","No")</f>
        <v>#N/A</v>
      </c>
      <c r="AI194" s="31" t="str">
        <f>_xlfn.IFNA(IF(AE194 &lt; (INDEX(SLATable[Minimum SLA],MATCH(G194,SLATable[Priority],0))),"YES","NO"),"")</f>
        <v/>
      </c>
      <c r="AJ194" t="str">
        <f>_xlfn.IFNA(IF(AE194 &lt; (INDEX(SLATable[Maximum SLA],MATCH(G194,SLATable[Priority],0))),"YES","NO"),"")</f>
        <v/>
      </c>
    </row>
    <row r="195" spans="26:36" ht="15" customHeight="1">
      <c r="Z195" s="76" t="e">
        <f t="shared" ref="Z195:Z258" ca="1" si="20">IF(NOT(OR(G195=1,G195=2)),MAX(0,_xlfn.IFS(AND(K195&lt;&gt;"",N195&lt;&gt;""),((MAX(NETWORKDAYS(K195,N195,UKBankHolidays)-1,0))*(TIME(17,0,0)-TIME(8,0,0))+IF(NETWORKDAYS(N195,N195,UKBankHolidays)&gt;0,MEDIAN(TIME(8,0,0),MOD(N195,1),TIME(17,0,0)),TIME(8,0,0))-IF(NETWORKDAYS(K195,K195,UKBankHolidays)&gt;0,MEDIAN(TIME(8,0,0),MOD(K195,1),TIME(17,0,0)),TIME(8,0,0)))-IF(AND(O195&lt;&gt;"",P195&lt;&gt;""),((MAX(NETWORKDAYS(O195,P195,UKBankHolidays)-1,0))*(TIME(17,0,0)-TIME(8,0,0))+IF(NETWORKDAYS(P195,P195,UKBankHolidays)&gt;0,MEDIAN(TIME(8,0,0),MOD(P195,1),TIME(17,0,0)),TIME(8,0,0))-IF(NETWORKDAYS(O195,O195,UKBankHolidays)&gt;0,MEDIAN(TIME(8,0,0),MOD(O195,1),TIME(17,0,0)),TIME(8,0,0))),0),AND(K195&lt;&gt;"",N195=""),((MAX(NETWORKDAYS(K195,NOW(),UKBankHolidays)-1,0))*(TIME(17,0,0)-TIME(8,0,0))+IF(NETWORKDAYS(NOW(),NOW(),UKBankHolidays)&gt;0,MEDIAN(TIME(8,0,0),MOD(NOW(),1),TIME(17,0,0)),TIME(8,0,0))-IF(NETWORKDAYS(K195,K195,UKBankHolidays)&gt;0,MEDIAN(TIME(8,0,0),MOD(K195,1),TIME(17,0,0)),TIME(8,0,0))))),IF(N195="",NOW()-K195,N195-K195))</f>
        <v>#N/A</v>
      </c>
      <c r="AA195" s="75" t="e">
        <f t="shared" ca="1" si="1"/>
        <v>#N/A</v>
      </c>
      <c r="AB195" s="76">
        <f t="shared" ref="AB195:AB258" ca="1" si="21">IF(NOT(OR(G195=1,G195=2)),MAX(0,_xlfn.IFS(AND(K195&lt;&gt;"",N195&lt;&gt;""),(((MAX(NETWORKDAYS(L195,N195,UKBankHolidays)-1,0))*(TIME(17,0,0)-TIME(8,0,0)))+IF(NETWORKDAYS(N195,N195,UKBankHolidays)&gt;0,MEDIAN(TIME(8,0,0),MOD(N195,1),TIME(17,0,0)),TIME(8,0,0))-IF(NETWORKDAYS(L195,L195,UKBankHolidays)&gt;0,MEDIAN(TIME(8,0,0),MOD(L195,1),TIME(17,0,0)),TIME(8,0,0)))-IF(AND(O195&lt;&gt;"",P195&lt;&gt;""),(((MAX(NETWORKDAYS(O195,P195,UKBankHolidays)-1,0))*(TIME(17,0,0)-TIME(8,0,0)))+IF(NETWORKDAYS(P195,P195,UKBankHolidays)&gt;0,MEDIAN(TIME(8,0,0),MOD(P195,1),TIME(17,0,0)),TIME(8,0,0))-IF(NETWORKDAYS(O195,O195,UKBankHolidays)&gt;0,MEDIAN(TIME(8,0,0),MOD(O195,1),TIME(17,0,0)),TIME(8,0,0))),0),AND(L195&lt;&gt;"",N195="",O195=""),(((MAX(NETWORKDAYS(L195,NOW(),UKBankHolidays)-1,0))*(TIME(17,0,0)-TIME(8,0,0)))+IF(NETWORKDAYS(NOW(),NOW(),UKBankHolidays)&gt;0,MEDIAN(TIME(8,0,0),MOD(NOW(),1),TIME(17,0,0)),TIME(8,0,0))-IF(NETWORKDAYS(L195,L195,UKBankHolidays)&gt;0,MEDIAN(TIME(8,0,0),MOD(L195,1),TIME(17,0,0)),TIME(8,0,0)))-IF(AND(O195&lt;&gt;"",P195&lt;&gt;""),(((MAX(NETWORKDAYS(O195,P195,UKBankHolidays)-1,0))*(TIME(17,0,0)-TIME(8,0,0)))+IF(NETWORKDAYS(P195,P195,UKBankHolidays)&gt;0,MEDIAN(TIME(8,0,0),MOD(P195,1),TIME(17,0,0)),TIME(8,0,0))-IF(NETWORKDAYS(O195,O195,UKBankHolidays)&gt;0,MEDIAN(TIME(8,0,0),MOD(O195,1),TIME(17,0,0)),TIME(8,0,0))),0),AND(L195&lt;&gt;"",N195="",P195="",O195&lt;&gt;""),(((MAX(NETWORKDAYS(L195,O195,UKBankHolidays)-1,0))*(TIME(17,0,0)-TIME(8,0,0)))+IF(NETWORKDAYS(O195,O195,UKBankHolidays)&gt;0,MEDIAN(TIME(8,0,0),MOD(O195,1),TIME(17,0,0)),TIME(8,0,0))-IF(NETWORKDAYS(L195,L195,UKBankHolidays)&gt;0,MEDIAN(TIME(8,0,0),MOD(L195,1),TIME(17,0,0)),TIME(8,0,0))),ISBLANK(K195),"0")),IF(ISBLANK(N195),NOW()-L195,N195-L195))</f>
        <v>0</v>
      </c>
      <c r="AC195" s="75">
        <f t="shared" ca="1" si="3"/>
        <v>0</v>
      </c>
      <c r="AD195" s="76">
        <f t="shared" ref="AD195:AD258" ca="1" si="22">MAX(0,IF(NOT(OR(G195=1,G195=2)),IF(M195&lt;&gt;"",((MAX(NETWORKDAYS(L195,M195,UKBankHolidays)-1,0))*(TIME(17,0,0)-TIME(8,0,0))+IF(NETWORKDAYS(M195,M195,UKBankHolidays)&gt;0,MEDIAN(TIME(8,0,0),MOD(M195,1),TIME(17,0,0)),TIME(8,0,0))-MEDIAN(TIME(8,0,0),MOD(L195,1),TIME(17,0,0))),((MAX(NETWORKDAYS(L195,NOW(),UKBankHolidays)-1,0))*(TIME(17,0,0)-TIME(8,0,0))+IF(NETWORKDAYS(NOW(),NOW(),UKBankHolidays)&gt;0,MEDIAN(TIME(8,0,0),MOD(NOW(),1),TIME(17,0,0)),TIME(8,0,0))-MEDIAN(TIME(8,0,0),MOD(L195,1),TIME(17,0,0)))),IF(M195&lt;&gt;"",M195-L195,NOW()-L195)))</f>
        <v>12388.425641203703</v>
      </c>
      <c r="AE195" s="76">
        <f t="shared" ref="AE195:AE258" si="23">SUMIFS(AB:AB,E:E,E195)</f>
        <v>0</v>
      </c>
      <c r="AF195" s="75">
        <f t="shared" si="6"/>
        <v>0</v>
      </c>
      <c r="AG195" s="75">
        <f t="shared" si="7"/>
        <v>0</v>
      </c>
      <c r="AH195" s="31" t="e" cm="1">
        <f t="array" aca="1" ref="AH195" ca="1">IF((AD195) &lt; (INDEX(ResponseSLA[#All],(MATCH((G195),ResponseSLA[Priority],0))+1,3)),"YES","No")</f>
        <v>#N/A</v>
      </c>
      <c r="AI195" s="31" t="str">
        <f>_xlfn.IFNA(IF(AE195 &lt; (INDEX(SLATable[Minimum SLA],MATCH(G195,SLATable[Priority],0))),"YES","NO"),"")</f>
        <v/>
      </c>
      <c r="AJ195" t="str">
        <f>_xlfn.IFNA(IF(AE195 &lt; (INDEX(SLATable[Maximum SLA],MATCH(G195,SLATable[Priority],0))),"YES","NO"),"")</f>
        <v/>
      </c>
    </row>
    <row r="196" spans="26:36" ht="15" customHeight="1">
      <c r="Z196" s="76" t="e">
        <f t="shared" ca="1" si="20"/>
        <v>#N/A</v>
      </c>
      <c r="AA196" s="75" t="e">
        <f t="shared" ca="1" si="1"/>
        <v>#N/A</v>
      </c>
      <c r="AB196" s="76">
        <f t="shared" ca="1" si="21"/>
        <v>0</v>
      </c>
      <c r="AC196" s="75">
        <f t="shared" ca="1" si="3"/>
        <v>0</v>
      </c>
      <c r="AD196" s="76">
        <f t="shared" ca="1" si="22"/>
        <v>12388.425641435188</v>
      </c>
      <c r="AE196" s="76">
        <f t="shared" si="23"/>
        <v>0</v>
      </c>
      <c r="AF196" s="75">
        <f t="shared" si="6"/>
        <v>0</v>
      </c>
      <c r="AG196" s="75">
        <f t="shared" si="7"/>
        <v>0</v>
      </c>
      <c r="AH196" s="31" t="e" cm="1">
        <f t="array" aca="1" ref="AH196" ca="1">IF((AD196) &lt; (INDEX(ResponseSLA[#All],(MATCH((G196),ResponseSLA[Priority],0))+1,3)),"YES","No")</f>
        <v>#N/A</v>
      </c>
      <c r="AI196" s="31" t="str">
        <f>_xlfn.IFNA(IF(AE196 &lt; (INDEX(SLATable[Minimum SLA],MATCH(G196,SLATable[Priority],0))),"YES","NO"),"")</f>
        <v/>
      </c>
      <c r="AJ196" t="str">
        <f>_xlfn.IFNA(IF(AE196 &lt; (INDEX(SLATable[Maximum SLA],MATCH(G196,SLATable[Priority],0))),"YES","NO"),"")</f>
        <v/>
      </c>
    </row>
    <row r="197" spans="26:36" ht="15" customHeight="1">
      <c r="Z197" s="76" t="e">
        <f t="shared" ca="1" si="20"/>
        <v>#N/A</v>
      </c>
      <c r="AA197" s="75" t="e">
        <f t="shared" ca="1" si="1"/>
        <v>#N/A</v>
      </c>
      <c r="AB197" s="76">
        <f t="shared" ca="1" si="21"/>
        <v>0</v>
      </c>
      <c r="AC197" s="75">
        <f t="shared" ca="1" si="3"/>
        <v>0</v>
      </c>
      <c r="AD197" s="76">
        <f t="shared" ca="1" si="22"/>
        <v>12388.425641203703</v>
      </c>
      <c r="AE197" s="76">
        <f t="shared" si="23"/>
        <v>0</v>
      </c>
      <c r="AF197" s="75">
        <f t="shared" si="6"/>
        <v>0</v>
      </c>
      <c r="AG197" s="75">
        <f t="shared" si="7"/>
        <v>0</v>
      </c>
      <c r="AH197" s="31" t="e" cm="1">
        <f t="array" aca="1" ref="AH197" ca="1">IF((AD197) &lt; (INDEX(ResponseSLA[#All],(MATCH((G197),ResponseSLA[Priority],0))+1,3)),"YES","No")</f>
        <v>#N/A</v>
      </c>
      <c r="AI197" s="31" t="str">
        <f>_xlfn.IFNA(IF(AE197 &lt; (INDEX(SLATable[Minimum SLA],MATCH(G197,SLATable[Priority],0))),"YES","NO"),"")</f>
        <v/>
      </c>
      <c r="AJ197" t="str">
        <f>_xlfn.IFNA(IF(AE197 &lt; (INDEX(SLATable[Maximum SLA],MATCH(G197,SLATable[Priority],0))),"YES","NO"),"")</f>
        <v/>
      </c>
    </row>
    <row r="198" spans="26:36" ht="15" customHeight="1">
      <c r="Z198" s="76" t="e">
        <f t="shared" ca="1" si="20"/>
        <v>#N/A</v>
      </c>
      <c r="AA198" s="75" t="e">
        <f t="shared" ca="1" si="1"/>
        <v>#N/A</v>
      </c>
      <c r="AB198" s="76">
        <f t="shared" ca="1" si="21"/>
        <v>0</v>
      </c>
      <c r="AC198" s="75">
        <f t="shared" ca="1" si="3"/>
        <v>0</v>
      </c>
      <c r="AD198" s="76">
        <f t="shared" ca="1" si="22"/>
        <v>12388.425641203703</v>
      </c>
      <c r="AE198" s="76">
        <f t="shared" si="23"/>
        <v>0</v>
      </c>
      <c r="AF198" s="75">
        <f t="shared" si="6"/>
        <v>0</v>
      </c>
      <c r="AG198" s="75">
        <f t="shared" si="7"/>
        <v>0</v>
      </c>
      <c r="AH198" s="31" t="e" cm="1">
        <f t="array" aca="1" ref="AH198" ca="1">IF((AD198) &lt; (INDEX(ResponseSLA[#All],(MATCH((G198),ResponseSLA[Priority],0))+1,3)),"YES","No")</f>
        <v>#N/A</v>
      </c>
      <c r="AI198" s="31" t="str">
        <f>_xlfn.IFNA(IF(AE198 &lt; (INDEX(SLATable[Minimum SLA],MATCH(G198,SLATable[Priority],0))),"YES","NO"),"")</f>
        <v/>
      </c>
      <c r="AJ198" t="str">
        <f>_xlfn.IFNA(IF(AE198 &lt; (INDEX(SLATable[Maximum SLA],MATCH(G198,SLATable[Priority],0))),"YES","NO"),"")</f>
        <v/>
      </c>
    </row>
    <row r="199" spans="26:36" ht="15" customHeight="1">
      <c r="Z199" s="76" t="e">
        <f t="shared" ca="1" si="20"/>
        <v>#N/A</v>
      </c>
      <c r="AA199" s="75" t="e">
        <f t="shared" ca="1" si="1"/>
        <v>#N/A</v>
      </c>
      <c r="AB199" s="76">
        <f t="shared" ca="1" si="21"/>
        <v>0</v>
      </c>
      <c r="AC199" s="75">
        <f t="shared" ca="1" si="3"/>
        <v>0</v>
      </c>
      <c r="AD199" s="76">
        <f t="shared" ca="1" si="22"/>
        <v>12388.425641435188</v>
      </c>
      <c r="AE199" s="76">
        <f t="shared" si="23"/>
        <v>0</v>
      </c>
      <c r="AF199" s="75">
        <f t="shared" si="6"/>
        <v>0</v>
      </c>
      <c r="AG199" s="75">
        <f t="shared" si="7"/>
        <v>0</v>
      </c>
      <c r="AH199" s="31" t="e" cm="1">
        <f t="array" aca="1" ref="AH199" ca="1">IF((AD199) &lt; (INDEX(ResponseSLA[#All],(MATCH((G199),ResponseSLA[Priority],0))+1,3)),"YES","No")</f>
        <v>#N/A</v>
      </c>
      <c r="AI199" s="31" t="str">
        <f>_xlfn.IFNA(IF(AE199 &lt; (INDEX(SLATable[Minimum SLA],MATCH(G199,SLATable[Priority],0))),"YES","NO"),"")</f>
        <v/>
      </c>
      <c r="AJ199" t="str">
        <f>_xlfn.IFNA(IF(AE199 &lt; (INDEX(SLATable[Maximum SLA],MATCH(G199,SLATable[Priority],0))),"YES","NO"),"")</f>
        <v/>
      </c>
    </row>
    <row r="200" spans="26:36" ht="15" customHeight="1">
      <c r="Z200" s="76" t="e">
        <f t="shared" ca="1" si="20"/>
        <v>#N/A</v>
      </c>
      <c r="AA200" s="75" t="e">
        <f t="shared" ca="1" si="1"/>
        <v>#N/A</v>
      </c>
      <c r="AB200" s="76">
        <f t="shared" ca="1" si="21"/>
        <v>0</v>
      </c>
      <c r="AC200" s="75">
        <f t="shared" ca="1" si="3"/>
        <v>0</v>
      </c>
      <c r="AD200" s="76">
        <f t="shared" ca="1" si="22"/>
        <v>12388.425641203703</v>
      </c>
      <c r="AE200" s="76">
        <f t="shared" si="23"/>
        <v>0</v>
      </c>
      <c r="AF200" s="75">
        <f t="shared" si="6"/>
        <v>0</v>
      </c>
      <c r="AG200" s="75">
        <f t="shared" si="7"/>
        <v>0</v>
      </c>
      <c r="AH200" s="31" t="e" cm="1">
        <f t="array" aca="1" ref="AH200" ca="1">IF((AD200) &lt; (INDEX(ResponseSLA[#All],(MATCH((G200),ResponseSLA[Priority],0))+1,3)),"YES","No")</f>
        <v>#N/A</v>
      </c>
      <c r="AI200" s="31" t="str">
        <f>_xlfn.IFNA(IF(AE200 &lt; (INDEX(SLATable[Minimum SLA],MATCH(G200,SLATable[Priority],0))),"YES","NO"),"")</f>
        <v/>
      </c>
      <c r="AJ200" t="str">
        <f>_xlfn.IFNA(IF(AE200 &lt; (INDEX(SLATable[Maximum SLA],MATCH(G200,SLATable[Priority],0))),"YES","NO"),"")</f>
        <v/>
      </c>
    </row>
    <row r="201" spans="26:36" ht="15" customHeight="1">
      <c r="Z201" s="76" t="e">
        <f t="shared" ca="1" si="20"/>
        <v>#N/A</v>
      </c>
      <c r="AA201" s="75" t="e">
        <f t="shared" ca="1" si="1"/>
        <v>#N/A</v>
      </c>
      <c r="AB201" s="76">
        <f t="shared" ca="1" si="21"/>
        <v>0</v>
      </c>
      <c r="AC201" s="75">
        <f t="shared" ca="1" si="3"/>
        <v>0</v>
      </c>
      <c r="AD201" s="76">
        <f t="shared" ca="1" si="22"/>
        <v>12388.425641203703</v>
      </c>
      <c r="AE201" s="76">
        <f t="shared" si="23"/>
        <v>0</v>
      </c>
      <c r="AF201" s="75">
        <f t="shared" si="6"/>
        <v>0</v>
      </c>
      <c r="AG201" s="75">
        <f t="shared" si="7"/>
        <v>0</v>
      </c>
      <c r="AH201" s="31" t="e" cm="1">
        <f t="array" aca="1" ref="AH201" ca="1">IF((AD201) &lt; (INDEX(ResponseSLA[#All],(MATCH((G201),ResponseSLA[Priority],0))+1,3)),"YES","No")</f>
        <v>#N/A</v>
      </c>
      <c r="AI201" s="31" t="str">
        <f>_xlfn.IFNA(IF(AE201 &lt; (INDEX(SLATable[Minimum SLA],MATCH(G201,SLATable[Priority],0))),"YES","NO"),"")</f>
        <v/>
      </c>
      <c r="AJ201" t="str">
        <f>_xlfn.IFNA(IF(AE201 &lt; (INDEX(SLATable[Maximum SLA],MATCH(G201,SLATable[Priority],0))),"YES","NO"),"")</f>
        <v/>
      </c>
    </row>
    <row r="202" spans="26:36" ht="15" customHeight="1">
      <c r="Z202" s="76" t="e">
        <f t="shared" ca="1" si="20"/>
        <v>#N/A</v>
      </c>
      <c r="AA202" s="75" t="e">
        <f t="shared" ca="1" si="1"/>
        <v>#N/A</v>
      </c>
      <c r="AB202" s="76">
        <f t="shared" ca="1" si="21"/>
        <v>0</v>
      </c>
      <c r="AC202" s="75">
        <f t="shared" ca="1" si="3"/>
        <v>0</v>
      </c>
      <c r="AD202" s="76">
        <f t="shared" ca="1" si="22"/>
        <v>12388.425641435188</v>
      </c>
      <c r="AE202" s="76">
        <f t="shared" si="23"/>
        <v>0</v>
      </c>
      <c r="AF202" s="75">
        <f t="shared" si="6"/>
        <v>0</v>
      </c>
      <c r="AG202" s="75">
        <f t="shared" si="7"/>
        <v>0</v>
      </c>
      <c r="AH202" s="31" t="e" cm="1">
        <f t="array" aca="1" ref="AH202" ca="1">IF((AD202) &lt; (INDEX(ResponseSLA[#All],(MATCH((G202),ResponseSLA[Priority],0))+1,3)),"YES","No")</f>
        <v>#N/A</v>
      </c>
      <c r="AI202" s="31" t="str">
        <f>_xlfn.IFNA(IF(AE202 &lt; (INDEX(SLATable[Minimum SLA],MATCH(G202,SLATable[Priority],0))),"YES","NO"),"")</f>
        <v/>
      </c>
      <c r="AJ202" t="str">
        <f>_xlfn.IFNA(IF(AE202 &lt; (INDEX(SLATable[Maximum SLA],MATCH(G202,SLATable[Priority],0))),"YES","NO"),"")</f>
        <v/>
      </c>
    </row>
    <row r="203" spans="26:36" ht="15" customHeight="1">
      <c r="Z203" s="76" t="e">
        <f t="shared" ca="1" si="20"/>
        <v>#N/A</v>
      </c>
      <c r="AA203" s="75" t="e">
        <f t="shared" ca="1" si="1"/>
        <v>#N/A</v>
      </c>
      <c r="AB203" s="76">
        <f t="shared" ca="1" si="21"/>
        <v>0</v>
      </c>
      <c r="AC203" s="75">
        <f t="shared" ca="1" si="3"/>
        <v>0</v>
      </c>
      <c r="AD203" s="76">
        <f t="shared" ca="1" si="22"/>
        <v>12388.425641203703</v>
      </c>
      <c r="AE203" s="76">
        <f t="shared" si="23"/>
        <v>0</v>
      </c>
      <c r="AF203" s="75">
        <f t="shared" si="6"/>
        <v>0</v>
      </c>
      <c r="AG203" s="75">
        <f t="shared" si="7"/>
        <v>0</v>
      </c>
      <c r="AH203" s="31" t="e" cm="1">
        <f t="array" aca="1" ref="AH203" ca="1">IF((AD203) &lt; (INDEX(ResponseSLA[#All],(MATCH((G203),ResponseSLA[Priority],0))+1,3)),"YES","No")</f>
        <v>#N/A</v>
      </c>
      <c r="AI203" s="31" t="str">
        <f>_xlfn.IFNA(IF(AE203 &lt; (INDEX(SLATable[Minimum SLA],MATCH(G203,SLATable[Priority],0))),"YES","NO"),"")</f>
        <v/>
      </c>
      <c r="AJ203" t="str">
        <f>_xlfn.IFNA(IF(AE203 &lt; (INDEX(SLATable[Maximum SLA],MATCH(G203,SLATable[Priority],0))),"YES","NO"),"")</f>
        <v/>
      </c>
    </row>
    <row r="204" spans="26:36" ht="15" customHeight="1">
      <c r="Z204" s="76" t="e">
        <f t="shared" ca="1" si="20"/>
        <v>#N/A</v>
      </c>
      <c r="AA204" s="75" t="e">
        <f t="shared" ca="1" si="1"/>
        <v>#N/A</v>
      </c>
      <c r="AB204" s="76">
        <f t="shared" ca="1" si="21"/>
        <v>0</v>
      </c>
      <c r="AC204" s="75">
        <f t="shared" ca="1" si="3"/>
        <v>0</v>
      </c>
      <c r="AD204" s="76">
        <f t="shared" ca="1" si="22"/>
        <v>12388.425641203703</v>
      </c>
      <c r="AE204" s="76">
        <f t="shared" si="23"/>
        <v>0</v>
      </c>
      <c r="AF204" s="75">
        <f t="shared" si="6"/>
        <v>0</v>
      </c>
      <c r="AG204" s="75">
        <f t="shared" si="7"/>
        <v>0</v>
      </c>
      <c r="AH204" s="31" t="e" cm="1">
        <f t="array" aca="1" ref="AH204" ca="1">IF((AD204) &lt; (INDEX(ResponseSLA[#All],(MATCH((G204),ResponseSLA[Priority],0))+1,3)),"YES","No")</f>
        <v>#N/A</v>
      </c>
      <c r="AI204" s="31" t="str">
        <f>_xlfn.IFNA(IF(AE204 &lt; (INDEX(SLATable[Minimum SLA],MATCH(G204,SLATable[Priority],0))),"YES","NO"),"")</f>
        <v/>
      </c>
      <c r="AJ204" t="str">
        <f>_xlfn.IFNA(IF(AE204 &lt; (INDEX(SLATable[Maximum SLA],MATCH(G204,SLATable[Priority],0))),"YES","NO"),"")</f>
        <v/>
      </c>
    </row>
    <row r="205" spans="26:36" ht="15" customHeight="1">
      <c r="Z205" s="76" t="e">
        <f t="shared" ca="1" si="20"/>
        <v>#N/A</v>
      </c>
      <c r="AA205" s="75" t="e">
        <f t="shared" ca="1" si="1"/>
        <v>#N/A</v>
      </c>
      <c r="AB205" s="76">
        <f t="shared" ca="1" si="21"/>
        <v>0</v>
      </c>
      <c r="AC205" s="75">
        <f t="shared" ca="1" si="3"/>
        <v>0</v>
      </c>
      <c r="AD205" s="76">
        <f t="shared" ca="1" si="22"/>
        <v>12388.425641435188</v>
      </c>
      <c r="AE205" s="76">
        <f t="shared" si="23"/>
        <v>0</v>
      </c>
      <c r="AF205" s="75">
        <f t="shared" si="6"/>
        <v>0</v>
      </c>
      <c r="AG205" s="75">
        <f t="shared" si="7"/>
        <v>0</v>
      </c>
      <c r="AH205" s="31" t="e" cm="1">
        <f t="array" aca="1" ref="AH205" ca="1">IF((AD205) &lt; (INDEX(ResponseSLA[#All],(MATCH((G205),ResponseSLA[Priority],0))+1,3)),"YES","No")</f>
        <v>#N/A</v>
      </c>
      <c r="AI205" s="31" t="str">
        <f>_xlfn.IFNA(IF(AE205 &lt; (INDEX(SLATable[Minimum SLA],MATCH(G205,SLATable[Priority],0))),"YES","NO"),"")</f>
        <v/>
      </c>
      <c r="AJ205" t="str">
        <f>_xlfn.IFNA(IF(AE205 &lt; (INDEX(SLATable[Maximum SLA],MATCH(G205,SLATable[Priority],0))),"YES","NO"),"")</f>
        <v/>
      </c>
    </row>
    <row r="206" spans="26:36" ht="15" customHeight="1">
      <c r="Z206" s="76" t="e">
        <f t="shared" ca="1" si="20"/>
        <v>#N/A</v>
      </c>
      <c r="AA206" s="75" t="e">
        <f t="shared" ca="1" si="1"/>
        <v>#N/A</v>
      </c>
      <c r="AB206" s="76">
        <f t="shared" ca="1" si="21"/>
        <v>0</v>
      </c>
      <c r="AC206" s="75">
        <f t="shared" ca="1" si="3"/>
        <v>0</v>
      </c>
      <c r="AD206" s="76">
        <f t="shared" ca="1" si="22"/>
        <v>12388.425641203703</v>
      </c>
      <c r="AE206" s="76">
        <f t="shared" si="23"/>
        <v>0</v>
      </c>
      <c r="AF206" s="75">
        <f t="shared" si="6"/>
        <v>0</v>
      </c>
      <c r="AG206" s="75">
        <f t="shared" si="7"/>
        <v>0</v>
      </c>
      <c r="AH206" s="31" t="e" cm="1">
        <f t="array" aca="1" ref="AH206" ca="1">IF((AD206) &lt; (INDEX(ResponseSLA[#All],(MATCH((G206),ResponseSLA[Priority],0))+1,3)),"YES","No")</f>
        <v>#N/A</v>
      </c>
      <c r="AI206" s="31" t="str">
        <f>_xlfn.IFNA(IF(AE206 &lt; (INDEX(SLATable[Minimum SLA],MATCH(G206,SLATable[Priority],0))),"YES","NO"),"")</f>
        <v/>
      </c>
      <c r="AJ206" t="str">
        <f>_xlfn.IFNA(IF(AE206 &lt; (INDEX(SLATable[Maximum SLA],MATCH(G206,SLATable[Priority],0))),"YES","NO"),"")</f>
        <v/>
      </c>
    </row>
    <row r="207" spans="26:36" ht="15" customHeight="1">
      <c r="Z207" s="76" t="e">
        <f t="shared" ca="1" si="20"/>
        <v>#N/A</v>
      </c>
      <c r="AA207" s="75" t="e">
        <f t="shared" ca="1" si="1"/>
        <v>#N/A</v>
      </c>
      <c r="AB207" s="76">
        <f t="shared" ca="1" si="21"/>
        <v>0</v>
      </c>
      <c r="AC207" s="75">
        <f t="shared" ca="1" si="3"/>
        <v>0</v>
      </c>
      <c r="AD207" s="76">
        <f t="shared" ca="1" si="22"/>
        <v>12388.425641203703</v>
      </c>
      <c r="AE207" s="76">
        <f t="shared" si="23"/>
        <v>0</v>
      </c>
      <c r="AF207" s="75">
        <f t="shared" si="6"/>
        <v>0</v>
      </c>
      <c r="AG207" s="75">
        <f t="shared" si="7"/>
        <v>0</v>
      </c>
      <c r="AH207" s="31" t="e" cm="1">
        <f t="array" aca="1" ref="AH207" ca="1">IF((AD207) &lt; (INDEX(ResponseSLA[#All],(MATCH((G207),ResponseSLA[Priority],0))+1,3)),"YES","No")</f>
        <v>#N/A</v>
      </c>
      <c r="AI207" s="31" t="str">
        <f>_xlfn.IFNA(IF(AE207 &lt; (INDEX(SLATable[Minimum SLA],MATCH(G207,SLATable[Priority],0))),"YES","NO"),"")</f>
        <v/>
      </c>
      <c r="AJ207" t="str">
        <f>_xlfn.IFNA(IF(AE207 &lt; (INDEX(SLATable[Maximum SLA],MATCH(G207,SLATable[Priority],0))),"YES","NO"),"")</f>
        <v/>
      </c>
    </row>
    <row r="208" spans="26:36" ht="15" customHeight="1">
      <c r="Z208" s="76" t="e">
        <f t="shared" ca="1" si="20"/>
        <v>#N/A</v>
      </c>
      <c r="AA208" s="75" t="e">
        <f t="shared" ca="1" si="1"/>
        <v>#N/A</v>
      </c>
      <c r="AB208" s="76">
        <f t="shared" ca="1" si="21"/>
        <v>0</v>
      </c>
      <c r="AC208" s="75">
        <f t="shared" ca="1" si="3"/>
        <v>0</v>
      </c>
      <c r="AD208" s="76">
        <f t="shared" ca="1" si="22"/>
        <v>12388.425641435188</v>
      </c>
      <c r="AE208" s="76">
        <f t="shared" si="23"/>
        <v>0</v>
      </c>
      <c r="AF208" s="75">
        <f t="shared" si="6"/>
        <v>0</v>
      </c>
      <c r="AG208" s="75">
        <f t="shared" si="7"/>
        <v>0</v>
      </c>
      <c r="AH208" s="31" t="e" cm="1">
        <f t="array" aca="1" ref="AH208" ca="1">IF((AD208) &lt; (INDEX(ResponseSLA[#All],(MATCH((G208),ResponseSLA[Priority],0))+1,3)),"YES","No")</f>
        <v>#N/A</v>
      </c>
      <c r="AI208" s="31" t="str">
        <f>_xlfn.IFNA(IF(AE208 &lt; (INDEX(SLATable[Minimum SLA],MATCH(G208,SLATable[Priority],0))),"YES","NO"),"")</f>
        <v/>
      </c>
      <c r="AJ208" t="str">
        <f>_xlfn.IFNA(IF(AE208 &lt; (INDEX(SLATable[Maximum SLA],MATCH(G208,SLATable[Priority],0))),"YES","NO"),"")</f>
        <v/>
      </c>
    </row>
    <row r="209" spans="26:36" ht="15" customHeight="1">
      <c r="Z209" s="76" t="e">
        <f t="shared" ca="1" si="20"/>
        <v>#N/A</v>
      </c>
      <c r="AA209" s="75" t="e">
        <f t="shared" ca="1" si="1"/>
        <v>#N/A</v>
      </c>
      <c r="AB209" s="76">
        <f t="shared" ca="1" si="21"/>
        <v>0</v>
      </c>
      <c r="AC209" s="75">
        <f t="shared" ca="1" si="3"/>
        <v>0</v>
      </c>
      <c r="AD209" s="76">
        <f t="shared" ca="1" si="22"/>
        <v>12388.425641203703</v>
      </c>
      <c r="AE209" s="76">
        <f t="shared" si="23"/>
        <v>0</v>
      </c>
      <c r="AF209" s="75">
        <f t="shared" si="6"/>
        <v>0</v>
      </c>
      <c r="AG209" s="75">
        <f t="shared" si="7"/>
        <v>0</v>
      </c>
      <c r="AH209" s="31" t="e" cm="1">
        <f t="array" aca="1" ref="AH209" ca="1">IF((AD209) &lt; (INDEX(ResponseSLA[#All],(MATCH((G209),ResponseSLA[Priority],0))+1,3)),"YES","No")</f>
        <v>#N/A</v>
      </c>
      <c r="AI209" s="31" t="str">
        <f>_xlfn.IFNA(IF(AE209 &lt; (INDEX(SLATable[Minimum SLA],MATCH(G209,SLATable[Priority],0))),"YES","NO"),"")</f>
        <v/>
      </c>
      <c r="AJ209" t="str">
        <f>_xlfn.IFNA(IF(AE209 &lt; (INDEX(SLATable[Maximum SLA],MATCH(G209,SLATable[Priority],0))),"YES","NO"),"")</f>
        <v/>
      </c>
    </row>
    <row r="210" spans="26:36" ht="15" customHeight="1">
      <c r="Z210" s="76" t="e">
        <f t="shared" ca="1" si="20"/>
        <v>#N/A</v>
      </c>
      <c r="AA210" s="75" t="e">
        <f t="shared" ca="1" si="1"/>
        <v>#N/A</v>
      </c>
      <c r="AB210" s="76">
        <f t="shared" ca="1" si="21"/>
        <v>0</v>
      </c>
      <c r="AC210" s="75">
        <f t="shared" ca="1" si="3"/>
        <v>0</v>
      </c>
      <c r="AD210" s="76">
        <f t="shared" ca="1" si="22"/>
        <v>12388.425641203703</v>
      </c>
      <c r="AE210" s="76">
        <f t="shared" si="23"/>
        <v>0</v>
      </c>
      <c r="AF210" s="75">
        <f t="shared" si="6"/>
        <v>0</v>
      </c>
      <c r="AG210" s="75">
        <f t="shared" si="7"/>
        <v>0</v>
      </c>
      <c r="AH210" s="31" t="e" cm="1">
        <f t="array" aca="1" ref="AH210" ca="1">IF((AD210) &lt; (INDEX(ResponseSLA[#All],(MATCH((G210),ResponseSLA[Priority],0))+1,3)),"YES","No")</f>
        <v>#N/A</v>
      </c>
      <c r="AI210" s="31" t="str">
        <f>_xlfn.IFNA(IF(AE210 &lt; (INDEX(SLATable[Minimum SLA],MATCH(G210,SLATable[Priority],0))),"YES","NO"),"")</f>
        <v/>
      </c>
      <c r="AJ210" t="str">
        <f>_xlfn.IFNA(IF(AE210 &lt; (INDEX(SLATable[Maximum SLA],MATCH(G210,SLATable[Priority],0))),"YES","NO"),"")</f>
        <v/>
      </c>
    </row>
    <row r="211" spans="26:36" ht="15" customHeight="1">
      <c r="Z211" s="76" t="e">
        <f t="shared" ca="1" si="20"/>
        <v>#N/A</v>
      </c>
      <c r="AA211" s="75" t="e">
        <f t="shared" ca="1" si="1"/>
        <v>#N/A</v>
      </c>
      <c r="AB211" s="76">
        <f t="shared" ca="1" si="21"/>
        <v>0</v>
      </c>
      <c r="AC211" s="75">
        <f t="shared" ca="1" si="3"/>
        <v>0</v>
      </c>
      <c r="AD211" s="76">
        <f t="shared" ca="1" si="22"/>
        <v>12388.425641435188</v>
      </c>
      <c r="AE211" s="76">
        <f t="shared" si="23"/>
        <v>0</v>
      </c>
      <c r="AF211" s="75">
        <f t="shared" si="6"/>
        <v>0</v>
      </c>
      <c r="AG211" s="75">
        <f t="shared" si="7"/>
        <v>0</v>
      </c>
      <c r="AH211" s="31" t="e" cm="1">
        <f t="array" aca="1" ref="AH211" ca="1">IF((AD211) &lt; (INDEX(ResponseSLA[#All],(MATCH((G211),ResponseSLA[Priority],0))+1,3)),"YES","No")</f>
        <v>#N/A</v>
      </c>
      <c r="AI211" s="31" t="str">
        <f>_xlfn.IFNA(IF(AE211 &lt; (INDEX(SLATable[Minimum SLA],MATCH(G211,SLATable[Priority],0))),"YES","NO"),"")</f>
        <v/>
      </c>
      <c r="AJ211" t="str">
        <f>_xlfn.IFNA(IF(AE211 &lt; (INDEX(SLATable[Maximum SLA],MATCH(G211,SLATable[Priority],0))),"YES","NO"),"")</f>
        <v/>
      </c>
    </row>
    <row r="212" spans="26:36" ht="15" customHeight="1">
      <c r="Z212" s="76" t="e">
        <f t="shared" ca="1" si="20"/>
        <v>#N/A</v>
      </c>
      <c r="AA212" s="75" t="e">
        <f t="shared" ca="1" si="1"/>
        <v>#N/A</v>
      </c>
      <c r="AB212" s="76">
        <f t="shared" ca="1" si="21"/>
        <v>0</v>
      </c>
      <c r="AC212" s="75">
        <f t="shared" ca="1" si="3"/>
        <v>0</v>
      </c>
      <c r="AD212" s="76">
        <f t="shared" ca="1" si="22"/>
        <v>12388.425641203703</v>
      </c>
      <c r="AE212" s="76">
        <f t="shared" si="23"/>
        <v>0</v>
      </c>
      <c r="AF212" s="75">
        <f t="shared" si="6"/>
        <v>0</v>
      </c>
      <c r="AG212" s="75">
        <f t="shared" si="7"/>
        <v>0</v>
      </c>
      <c r="AH212" s="31" t="e" cm="1">
        <f t="array" aca="1" ref="AH212" ca="1">IF((AD212) &lt; (INDEX(ResponseSLA[#All],(MATCH((G212),ResponseSLA[Priority],0))+1,3)),"YES","No")</f>
        <v>#N/A</v>
      </c>
      <c r="AI212" s="31" t="str">
        <f>_xlfn.IFNA(IF(AE212 &lt; (INDEX(SLATable[Minimum SLA],MATCH(G212,SLATable[Priority],0))),"YES","NO"),"")</f>
        <v/>
      </c>
      <c r="AJ212" t="str">
        <f>_xlfn.IFNA(IF(AE212 &lt; (INDEX(SLATable[Maximum SLA],MATCH(G212,SLATable[Priority],0))),"YES","NO"),"")</f>
        <v/>
      </c>
    </row>
    <row r="213" spans="26:36" ht="15" customHeight="1">
      <c r="Z213" s="76" t="e">
        <f t="shared" ca="1" si="20"/>
        <v>#N/A</v>
      </c>
      <c r="AA213" s="75" t="e">
        <f t="shared" ca="1" si="1"/>
        <v>#N/A</v>
      </c>
      <c r="AB213" s="76">
        <f t="shared" ca="1" si="21"/>
        <v>0</v>
      </c>
      <c r="AC213" s="75">
        <f t="shared" ca="1" si="3"/>
        <v>0</v>
      </c>
      <c r="AD213" s="76">
        <f t="shared" ca="1" si="22"/>
        <v>12388.425641203703</v>
      </c>
      <c r="AE213" s="76">
        <f t="shared" si="23"/>
        <v>0</v>
      </c>
      <c r="AF213" s="75">
        <f t="shared" si="6"/>
        <v>0</v>
      </c>
      <c r="AG213" s="75">
        <f t="shared" si="7"/>
        <v>0</v>
      </c>
      <c r="AH213" s="31" t="e" cm="1">
        <f t="array" aca="1" ref="AH213" ca="1">IF((AD213) &lt; (INDEX(ResponseSLA[#All],(MATCH((G213),ResponseSLA[Priority],0))+1,3)),"YES","No")</f>
        <v>#N/A</v>
      </c>
      <c r="AI213" s="31" t="str">
        <f>_xlfn.IFNA(IF(AE213 &lt; (INDEX(SLATable[Minimum SLA],MATCH(G213,SLATable[Priority],0))),"YES","NO"),"")</f>
        <v/>
      </c>
      <c r="AJ213" t="str">
        <f>_xlfn.IFNA(IF(AE213 &lt; (INDEX(SLATable[Maximum SLA],MATCH(G213,SLATable[Priority],0))),"YES","NO"),"")</f>
        <v/>
      </c>
    </row>
    <row r="214" spans="26:36" ht="15" customHeight="1">
      <c r="Z214" s="76" t="e">
        <f t="shared" ca="1" si="20"/>
        <v>#N/A</v>
      </c>
      <c r="AA214" s="75" t="e">
        <f t="shared" ca="1" si="1"/>
        <v>#N/A</v>
      </c>
      <c r="AB214" s="76">
        <f t="shared" ca="1" si="21"/>
        <v>0</v>
      </c>
      <c r="AC214" s="75">
        <f t="shared" ca="1" si="3"/>
        <v>0</v>
      </c>
      <c r="AD214" s="76">
        <f t="shared" ca="1" si="22"/>
        <v>12388.425641435188</v>
      </c>
      <c r="AE214" s="76">
        <f t="shared" si="23"/>
        <v>0</v>
      </c>
      <c r="AF214" s="75">
        <f t="shared" si="6"/>
        <v>0</v>
      </c>
      <c r="AG214" s="75">
        <f t="shared" si="7"/>
        <v>0</v>
      </c>
      <c r="AH214" s="31" t="e" cm="1">
        <f t="array" aca="1" ref="AH214" ca="1">IF((AD214) &lt; (INDEX(ResponseSLA[#All],(MATCH((G214),ResponseSLA[Priority],0))+1,3)),"YES","No")</f>
        <v>#N/A</v>
      </c>
      <c r="AI214" s="31" t="str">
        <f>_xlfn.IFNA(IF(AE214 &lt; (INDEX(SLATable[Minimum SLA],MATCH(G214,SLATable[Priority],0))),"YES","NO"),"")</f>
        <v/>
      </c>
      <c r="AJ214" t="str">
        <f>_xlfn.IFNA(IF(AE214 &lt; (INDEX(SLATable[Maximum SLA],MATCH(G214,SLATable[Priority],0))),"YES","NO"),"")</f>
        <v/>
      </c>
    </row>
    <row r="215" spans="26:36" ht="15" customHeight="1">
      <c r="Z215" s="76" t="e">
        <f t="shared" ca="1" si="20"/>
        <v>#N/A</v>
      </c>
      <c r="AA215" s="75" t="e">
        <f t="shared" ca="1" si="1"/>
        <v>#N/A</v>
      </c>
      <c r="AB215" s="76">
        <f t="shared" ca="1" si="21"/>
        <v>0</v>
      </c>
      <c r="AC215" s="75">
        <f t="shared" ca="1" si="3"/>
        <v>0</v>
      </c>
      <c r="AD215" s="76">
        <f t="shared" ca="1" si="22"/>
        <v>12388.425641203703</v>
      </c>
      <c r="AE215" s="76">
        <f t="shared" si="23"/>
        <v>0</v>
      </c>
      <c r="AF215" s="75">
        <f t="shared" si="6"/>
        <v>0</v>
      </c>
      <c r="AG215" s="75">
        <f t="shared" si="7"/>
        <v>0</v>
      </c>
      <c r="AH215" s="31" t="e" cm="1">
        <f t="array" aca="1" ref="AH215" ca="1">IF((AD215) &lt; (INDEX(ResponseSLA[#All],(MATCH((G215),ResponseSLA[Priority],0))+1,3)),"YES","No")</f>
        <v>#N/A</v>
      </c>
      <c r="AI215" s="31" t="str">
        <f>_xlfn.IFNA(IF(AE215 &lt; (INDEX(SLATable[Minimum SLA],MATCH(G215,SLATable[Priority],0))),"YES","NO"),"")</f>
        <v/>
      </c>
      <c r="AJ215" t="str">
        <f>_xlfn.IFNA(IF(AE215 &lt; (INDEX(SLATable[Maximum SLA],MATCH(G215,SLATable[Priority],0))),"YES","NO"),"")</f>
        <v/>
      </c>
    </row>
    <row r="216" spans="26:36" ht="15" customHeight="1">
      <c r="Z216" s="76" t="e">
        <f t="shared" ca="1" si="20"/>
        <v>#N/A</v>
      </c>
      <c r="AA216" s="75" t="e">
        <f t="shared" ca="1" si="1"/>
        <v>#N/A</v>
      </c>
      <c r="AB216" s="76">
        <f t="shared" ca="1" si="21"/>
        <v>0</v>
      </c>
      <c r="AC216" s="75">
        <f t="shared" ca="1" si="3"/>
        <v>0</v>
      </c>
      <c r="AD216" s="76">
        <f t="shared" ca="1" si="22"/>
        <v>12388.425641203703</v>
      </c>
      <c r="AE216" s="76">
        <f t="shared" si="23"/>
        <v>0</v>
      </c>
      <c r="AF216" s="75">
        <f t="shared" si="6"/>
        <v>0</v>
      </c>
      <c r="AG216" s="75">
        <f t="shared" si="7"/>
        <v>0</v>
      </c>
      <c r="AH216" s="31" t="e" cm="1">
        <f t="array" aca="1" ref="AH216" ca="1">IF((AD216) &lt; (INDEX(ResponseSLA[#All],(MATCH((G216),ResponseSLA[Priority],0))+1,3)),"YES","No")</f>
        <v>#N/A</v>
      </c>
      <c r="AI216" s="31" t="str">
        <f>_xlfn.IFNA(IF(AE216 &lt; (INDEX(SLATable[Minimum SLA],MATCH(G216,SLATable[Priority],0))),"YES","NO"),"")</f>
        <v/>
      </c>
      <c r="AJ216" t="str">
        <f>_xlfn.IFNA(IF(AE216 &lt; (INDEX(SLATable[Maximum SLA],MATCH(G216,SLATable[Priority],0))),"YES","NO"),"")</f>
        <v/>
      </c>
    </row>
    <row r="217" spans="26:36" ht="15" customHeight="1">
      <c r="Z217" s="76" t="e">
        <f t="shared" ca="1" si="20"/>
        <v>#N/A</v>
      </c>
      <c r="AA217" s="75" t="e">
        <f t="shared" ca="1" si="1"/>
        <v>#N/A</v>
      </c>
      <c r="AB217" s="76">
        <f t="shared" ca="1" si="21"/>
        <v>0</v>
      </c>
      <c r="AC217" s="75">
        <f t="shared" ca="1" si="3"/>
        <v>0</v>
      </c>
      <c r="AD217" s="76">
        <f t="shared" ca="1" si="22"/>
        <v>12388.425641435188</v>
      </c>
      <c r="AE217" s="76">
        <f t="shared" si="23"/>
        <v>0</v>
      </c>
      <c r="AF217" s="75">
        <f t="shared" si="6"/>
        <v>0</v>
      </c>
      <c r="AG217" s="75">
        <f t="shared" si="7"/>
        <v>0</v>
      </c>
      <c r="AH217" s="31" t="e" cm="1">
        <f t="array" aca="1" ref="AH217" ca="1">IF((AD217) &lt; (INDEX(ResponseSLA[#All],(MATCH((G217),ResponseSLA[Priority],0))+1,3)),"YES","No")</f>
        <v>#N/A</v>
      </c>
      <c r="AI217" s="31" t="str">
        <f>_xlfn.IFNA(IF(AE217 &lt; (INDEX(SLATable[Minimum SLA],MATCH(G217,SLATable[Priority],0))),"YES","NO"),"")</f>
        <v/>
      </c>
      <c r="AJ217" t="str">
        <f>_xlfn.IFNA(IF(AE217 &lt; (INDEX(SLATable[Maximum SLA],MATCH(G217,SLATable[Priority],0))),"YES","NO"),"")</f>
        <v/>
      </c>
    </row>
    <row r="218" spans="26:36" ht="15" customHeight="1">
      <c r="Z218" s="76" t="e">
        <f t="shared" ca="1" si="20"/>
        <v>#N/A</v>
      </c>
      <c r="AA218" s="75" t="e">
        <f t="shared" ca="1" si="1"/>
        <v>#N/A</v>
      </c>
      <c r="AB218" s="76">
        <f t="shared" ca="1" si="21"/>
        <v>0</v>
      </c>
      <c r="AC218" s="75">
        <f t="shared" ca="1" si="3"/>
        <v>0</v>
      </c>
      <c r="AD218" s="76">
        <f t="shared" ca="1" si="22"/>
        <v>12388.425641203703</v>
      </c>
      <c r="AE218" s="76">
        <f t="shared" si="23"/>
        <v>0</v>
      </c>
      <c r="AF218" s="75">
        <f t="shared" si="6"/>
        <v>0</v>
      </c>
      <c r="AG218" s="75">
        <f t="shared" si="7"/>
        <v>0</v>
      </c>
      <c r="AH218" s="31" t="e" cm="1">
        <f t="array" aca="1" ref="AH218" ca="1">IF((AD218) &lt; (INDEX(ResponseSLA[#All],(MATCH((G218),ResponseSLA[Priority],0))+1,3)),"YES","No")</f>
        <v>#N/A</v>
      </c>
      <c r="AI218" s="31" t="str">
        <f>_xlfn.IFNA(IF(AE218 &lt; (INDEX(SLATable[Minimum SLA],MATCH(G218,SLATable[Priority],0))),"YES","NO"),"")</f>
        <v/>
      </c>
      <c r="AJ218" t="str">
        <f>_xlfn.IFNA(IF(AE218 &lt; (INDEX(SLATable[Maximum SLA],MATCH(G218,SLATable[Priority],0))),"YES","NO"),"")</f>
        <v/>
      </c>
    </row>
    <row r="219" spans="26:36" ht="15" customHeight="1">
      <c r="Z219" s="76" t="e">
        <f t="shared" ca="1" si="20"/>
        <v>#N/A</v>
      </c>
      <c r="AA219" s="75" t="e">
        <f t="shared" ca="1" si="1"/>
        <v>#N/A</v>
      </c>
      <c r="AB219" s="76">
        <f t="shared" ca="1" si="21"/>
        <v>0</v>
      </c>
      <c r="AC219" s="75">
        <f t="shared" ca="1" si="3"/>
        <v>0</v>
      </c>
      <c r="AD219" s="76">
        <f t="shared" ca="1" si="22"/>
        <v>12388.425641203703</v>
      </c>
      <c r="AE219" s="76">
        <f t="shared" si="23"/>
        <v>0</v>
      </c>
      <c r="AF219" s="75">
        <f t="shared" si="6"/>
        <v>0</v>
      </c>
      <c r="AG219" s="75">
        <f t="shared" si="7"/>
        <v>0</v>
      </c>
      <c r="AH219" s="31" t="e" cm="1">
        <f t="array" aca="1" ref="AH219" ca="1">IF((AD219) &lt; (INDEX(ResponseSLA[#All],(MATCH((G219),ResponseSLA[Priority],0))+1,3)),"YES","No")</f>
        <v>#N/A</v>
      </c>
      <c r="AI219" s="31" t="str">
        <f>_xlfn.IFNA(IF(AE219 &lt; (INDEX(SLATable[Minimum SLA],MATCH(G219,SLATable[Priority],0))),"YES","NO"),"")</f>
        <v/>
      </c>
      <c r="AJ219" t="str">
        <f>_xlfn.IFNA(IF(AE219 &lt; (INDEX(SLATable[Maximum SLA],MATCH(G219,SLATable[Priority],0))),"YES","NO"),"")</f>
        <v/>
      </c>
    </row>
    <row r="220" spans="26:36" ht="15" customHeight="1">
      <c r="Z220" s="76" t="e">
        <f t="shared" ca="1" si="20"/>
        <v>#N/A</v>
      </c>
      <c r="AA220" s="75" t="e">
        <f t="shared" ca="1" si="1"/>
        <v>#N/A</v>
      </c>
      <c r="AB220" s="76">
        <f t="shared" ca="1" si="21"/>
        <v>0</v>
      </c>
      <c r="AC220" s="75">
        <f t="shared" ca="1" si="3"/>
        <v>0</v>
      </c>
      <c r="AD220" s="76">
        <f t="shared" ca="1" si="22"/>
        <v>12388.425641435188</v>
      </c>
      <c r="AE220" s="76">
        <f t="shared" si="23"/>
        <v>0</v>
      </c>
      <c r="AF220" s="75">
        <f t="shared" si="6"/>
        <v>0</v>
      </c>
      <c r="AG220" s="75">
        <f t="shared" si="7"/>
        <v>0</v>
      </c>
      <c r="AH220" s="31" t="e" cm="1">
        <f t="array" aca="1" ref="AH220" ca="1">IF((AD220) &lt; (INDEX(ResponseSLA[#All],(MATCH((G220),ResponseSLA[Priority],0))+1,3)),"YES","No")</f>
        <v>#N/A</v>
      </c>
      <c r="AI220" s="31" t="str">
        <f>_xlfn.IFNA(IF(AE220 &lt; (INDEX(SLATable[Minimum SLA],MATCH(G220,SLATable[Priority],0))),"YES","NO"),"")</f>
        <v/>
      </c>
      <c r="AJ220" t="str">
        <f>_xlfn.IFNA(IF(AE220 &lt; (INDEX(SLATable[Maximum SLA],MATCH(G220,SLATable[Priority],0))),"YES","NO"),"")</f>
        <v/>
      </c>
    </row>
    <row r="221" spans="26:36" ht="15" customHeight="1">
      <c r="Z221" s="76" t="e">
        <f t="shared" ca="1" si="20"/>
        <v>#N/A</v>
      </c>
      <c r="AA221" s="75" t="e">
        <f t="shared" ca="1" si="1"/>
        <v>#N/A</v>
      </c>
      <c r="AB221" s="76">
        <f t="shared" ca="1" si="21"/>
        <v>0</v>
      </c>
      <c r="AC221" s="75">
        <f t="shared" ca="1" si="3"/>
        <v>0</v>
      </c>
      <c r="AD221" s="76">
        <f t="shared" ca="1" si="22"/>
        <v>12388.425641203703</v>
      </c>
      <c r="AE221" s="76">
        <f t="shared" si="23"/>
        <v>0</v>
      </c>
      <c r="AF221" s="75">
        <f t="shared" si="6"/>
        <v>0</v>
      </c>
      <c r="AG221" s="75">
        <f t="shared" si="7"/>
        <v>0</v>
      </c>
      <c r="AH221" s="31" t="e" cm="1">
        <f t="array" aca="1" ref="AH221" ca="1">IF((AD221) &lt; (INDEX(ResponseSLA[#All],(MATCH((G221),ResponseSLA[Priority],0))+1,3)),"YES","No")</f>
        <v>#N/A</v>
      </c>
      <c r="AI221" s="31" t="str">
        <f>_xlfn.IFNA(IF(AE221 &lt; (INDEX(SLATable[Minimum SLA],MATCH(G221,SLATable[Priority],0))),"YES","NO"),"")</f>
        <v/>
      </c>
      <c r="AJ221" t="str">
        <f>_xlfn.IFNA(IF(AE221 &lt; (INDEX(SLATable[Maximum SLA],MATCH(G221,SLATable[Priority],0))),"YES","NO"),"")</f>
        <v/>
      </c>
    </row>
    <row r="222" spans="26:36" ht="15" customHeight="1">
      <c r="Z222" s="76" t="e">
        <f t="shared" ca="1" si="20"/>
        <v>#N/A</v>
      </c>
      <c r="AA222" s="75" t="e">
        <f t="shared" ca="1" si="1"/>
        <v>#N/A</v>
      </c>
      <c r="AB222" s="76">
        <f t="shared" ca="1" si="21"/>
        <v>0</v>
      </c>
      <c r="AC222" s="75">
        <f t="shared" ca="1" si="3"/>
        <v>0</v>
      </c>
      <c r="AD222" s="76">
        <f t="shared" ca="1" si="22"/>
        <v>12388.425641203703</v>
      </c>
      <c r="AE222" s="76">
        <f t="shared" si="23"/>
        <v>0</v>
      </c>
      <c r="AF222" s="75">
        <f t="shared" si="6"/>
        <v>0</v>
      </c>
      <c r="AG222" s="75">
        <f t="shared" si="7"/>
        <v>0</v>
      </c>
      <c r="AH222" s="31" t="e" cm="1">
        <f t="array" aca="1" ref="AH222" ca="1">IF((AD222) &lt; (INDEX(ResponseSLA[#All],(MATCH((G222),ResponseSLA[Priority],0))+1,3)),"YES","No")</f>
        <v>#N/A</v>
      </c>
      <c r="AI222" s="31" t="str">
        <f>_xlfn.IFNA(IF(AE222 &lt; (INDEX(SLATable[Minimum SLA],MATCH(G222,SLATable[Priority],0))),"YES","NO"),"")</f>
        <v/>
      </c>
      <c r="AJ222" t="str">
        <f>_xlfn.IFNA(IF(AE222 &lt; (INDEX(SLATable[Maximum SLA],MATCH(G222,SLATable[Priority],0))),"YES","NO"),"")</f>
        <v/>
      </c>
    </row>
    <row r="223" spans="26:36" ht="15" customHeight="1">
      <c r="Z223" s="76" t="e">
        <f t="shared" ca="1" si="20"/>
        <v>#N/A</v>
      </c>
      <c r="AA223" s="75" t="e">
        <f t="shared" ca="1" si="1"/>
        <v>#N/A</v>
      </c>
      <c r="AB223" s="76">
        <f t="shared" ca="1" si="21"/>
        <v>0</v>
      </c>
      <c r="AC223" s="75">
        <f t="shared" ca="1" si="3"/>
        <v>0</v>
      </c>
      <c r="AD223" s="76">
        <f t="shared" ca="1" si="22"/>
        <v>12388.425641435188</v>
      </c>
      <c r="AE223" s="76">
        <f t="shared" si="23"/>
        <v>0</v>
      </c>
      <c r="AF223" s="75">
        <f t="shared" si="6"/>
        <v>0</v>
      </c>
      <c r="AG223" s="75">
        <f t="shared" si="7"/>
        <v>0</v>
      </c>
      <c r="AH223" s="31" t="e" cm="1">
        <f t="array" aca="1" ref="AH223" ca="1">IF((AD223) &lt; (INDEX(ResponseSLA[#All],(MATCH((G223),ResponseSLA[Priority],0))+1,3)),"YES","No")</f>
        <v>#N/A</v>
      </c>
      <c r="AI223" s="31" t="str">
        <f>_xlfn.IFNA(IF(AE223 &lt; (INDEX(SLATable[Minimum SLA],MATCH(G223,SLATable[Priority],0))),"YES","NO"),"")</f>
        <v/>
      </c>
      <c r="AJ223" t="str">
        <f>_xlfn.IFNA(IF(AE223 &lt; (INDEX(SLATable[Maximum SLA],MATCH(G223,SLATable[Priority],0))),"YES","NO"),"")</f>
        <v/>
      </c>
    </row>
    <row r="224" spans="26:36" ht="15" customHeight="1">
      <c r="Z224" s="76" t="e">
        <f t="shared" ca="1" si="20"/>
        <v>#N/A</v>
      </c>
      <c r="AA224" s="75" t="e">
        <f t="shared" ca="1" si="1"/>
        <v>#N/A</v>
      </c>
      <c r="AB224" s="76">
        <f t="shared" ca="1" si="21"/>
        <v>0</v>
      </c>
      <c r="AC224" s="75">
        <f t="shared" ca="1" si="3"/>
        <v>0</v>
      </c>
      <c r="AD224" s="76">
        <f t="shared" ca="1" si="22"/>
        <v>12388.425641203703</v>
      </c>
      <c r="AE224" s="76">
        <f t="shared" si="23"/>
        <v>0</v>
      </c>
      <c r="AF224" s="75">
        <f t="shared" si="6"/>
        <v>0</v>
      </c>
      <c r="AG224" s="75">
        <f t="shared" si="7"/>
        <v>0</v>
      </c>
      <c r="AH224" s="31" t="e" cm="1">
        <f t="array" aca="1" ref="AH224" ca="1">IF((AD224) &lt; (INDEX(ResponseSLA[#All],(MATCH((G224),ResponseSLA[Priority],0))+1,3)),"YES","No")</f>
        <v>#N/A</v>
      </c>
      <c r="AI224" s="31" t="str">
        <f>_xlfn.IFNA(IF(AE224 &lt; (INDEX(SLATable[Minimum SLA],MATCH(G224,SLATable[Priority],0))),"YES","NO"),"")</f>
        <v/>
      </c>
      <c r="AJ224" t="str">
        <f>_xlfn.IFNA(IF(AE224 &lt; (INDEX(SLATable[Maximum SLA],MATCH(G224,SLATable[Priority],0))),"YES","NO"),"")</f>
        <v/>
      </c>
    </row>
    <row r="225" spans="26:36" ht="15" customHeight="1">
      <c r="Z225" s="76" t="e">
        <f t="shared" ca="1" si="20"/>
        <v>#N/A</v>
      </c>
      <c r="AA225" s="75" t="e">
        <f t="shared" ca="1" si="1"/>
        <v>#N/A</v>
      </c>
      <c r="AB225" s="76">
        <f t="shared" ca="1" si="21"/>
        <v>0</v>
      </c>
      <c r="AC225" s="75">
        <f t="shared" ca="1" si="3"/>
        <v>0</v>
      </c>
      <c r="AD225" s="76">
        <f t="shared" ca="1" si="22"/>
        <v>12388.425641203703</v>
      </c>
      <c r="AE225" s="76">
        <f t="shared" si="23"/>
        <v>0</v>
      </c>
      <c r="AF225" s="75">
        <f t="shared" si="6"/>
        <v>0</v>
      </c>
      <c r="AG225" s="75">
        <f t="shared" si="7"/>
        <v>0</v>
      </c>
      <c r="AH225" s="31" t="e" cm="1">
        <f t="array" aca="1" ref="AH225" ca="1">IF((AD225) &lt; (INDEX(ResponseSLA[#All],(MATCH((G225),ResponseSLA[Priority],0))+1,3)),"YES","No")</f>
        <v>#N/A</v>
      </c>
      <c r="AI225" s="31" t="str">
        <f>_xlfn.IFNA(IF(AE225 &lt; (INDEX(SLATable[Minimum SLA],MATCH(G225,SLATable[Priority],0))),"YES","NO"),"")</f>
        <v/>
      </c>
      <c r="AJ225" t="str">
        <f>_xlfn.IFNA(IF(AE225 &lt; (INDEX(SLATable[Maximum SLA],MATCH(G225,SLATable[Priority],0))),"YES","NO"),"")</f>
        <v/>
      </c>
    </row>
    <row r="226" spans="26:36" ht="15" customHeight="1">
      <c r="Z226" s="76" t="e">
        <f t="shared" ca="1" si="20"/>
        <v>#N/A</v>
      </c>
      <c r="AA226" s="75" t="e">
        <f t="shared" ca="1" si="1"/>
        <v>#N/A</v>
      </c>
      <c r="AB226" s="76">
        <f t="shared" ca="1" si="21"/>
        <v>0</v>
      </c>
      <c r="AC226" s="75">
        <f t="shared" ca="1" si="3"/>
        <v>0</v>
      </c>
      <c r="AD226" s="76">
        <f t="shared" ca="1" si="22"/>
        <v>12388.425641435188</v>
      </c>
      <c r="AE226" s="76">
        <f t="shared" si="23"/>
        <v>0</v>
      </c>
      <c r="AF226" s="75">
        <f t="shared" si="6"/>
        <v>0</v>
      </c>
      <c r="AG226" s="75">
        <f t="shared" si="7"/>
        <v>0</v>
      </c>
      <c r="AH226" s="31" t="e" cm="1">
        <f t="array" aca="1" ref="AH226" ca="1">IF((AD226) &lt; (INDEX(ResponseSLA[#All],(MATCH((G226),ResponseSLA[Priority],0))+1,3)),"YES","No")</f>
        <v>#N/A</v>
      </c>
      <c r="AI226" s="31" t="str">
        <f>_xlfn.IFNA(IF(AE226 &lt; (INDEX(SLATable[Minimum SLA],MATCH(G226,SLATable[Priority],0))),"YES","NO"),"")</f>
        <v/>
      </c>
      <c r="AJ226" t="str">
        <f>_xlfn.IFNA(IF(AE226 &lt; (INDEX(SLATable[Maximum SLA],MATCH(G226,SLATable[Priority],0))),"YES","NO"),"")</f>
        <v/>
      </c>
    </row>
    <row r="227" spans="26:36" ht="15" customHeight="1">
      <c r="Z227" s="76" t="e">
        <f t="shared" ca="1" si="20"/>
        <v>#N/A</v>
      </c>
      <c r="AA227" s="75" t="e">
        <f t="shared" ca="1" si="1"/>
        <v>#N/A</v>
      </c>
      <c r="AB227" s="76">
        <f t="shared" ca="1" si="21"/>
        <v>0</v>
      </c>
      <c r="AC227" s="75">
        <f t="shared" ca="1" si="3"/>
        <v>0</v>
      </c>
      <c r="AD227" s="76">
        <f t="shared" ca="1" si="22"/>
        <v>12388.425641203703</v>
      </c>
      <c r="AE227" s="76">
        <f t="shared" si="23"/>
        <v>0</v>
      </c>
      <c r="AF227" s="75">
        <f t="shared" si="6"/>
        <v>0</v>
      </c>
      <c r="AG227" s="75">
        <f t="shared" si="7"/>
        <v>0</v>
      </c>
      <c r="AH227" s="31" t="e" cm="1">
        <f t="array" aca="1" ref="AH227" ca="1">IF((AD227) &lt; (INDEX(ResponseSLA[#All],(MATCH((G227),ResponseSLA[Priority],0))+1,3)),"YES","No")</f>
        <v>#N/A</v>
      </c>
      <c r="AI227" s="31" t="str">
        <f>_xlfn.IFNA(IF(AE227 &lt; (INDEX(SLATable[Minimum SLA],MATCH(G227,SLATable[Priority],0))),"YES","NO"),"")</f>
        <v/>
      </c>
      <c r="AJ227" t="str">
        <f>_xlfn.IFNA(IF(AE227 &lt; (INDEX(SLATable[Maximum SLA],MATCH(G227,SLATable[Priority],0))),"YES","NO"),"")</f>
        <v/>
      </c>
    </row>
    <row r="228" spans="26:36" ht="15" customHeight="1">
      <c r="Z228" s="76" t="e">
        <f t="shared" ca="1" si="20"/>
        <v>#N/A</v>
      </c>
      <c r="AA228" s="75" t="e">
        <f t="shared" ca="1" si="1"/>
        <v>#N/A</v>
      </c>
      <c r="AB228" s="76">
        <f t="shared" ca="1" si="21"/>
        <v>0</v>
      </c>
      <c r="AC228" s="75">
        <f t="shared" ca="1" si="3"/>
        <v>0</v>
      </c>
      <c r="AD228" s="76">
        <f t="shared" ca="1" si="22"/>
        <v>12388.425641203703</v>
      </c>
      <c r="AE228" s="76">
        <f t="shared" si="23"/>
        <v>0</v>
      </c>
      <c r="AF228" s="75">
        <f t="shared" si="6"/>
        <v>0</v>
      </c>
      <c r="AG228" s="75">
        <f t="shared" si="7"/>
        <v>0</v>
      </c>
      <c r="AH228" s="31" t="e" cm="1">
        <f t="array" aca="1" ref="AH228" ca="1">IF((AD228) &lt; (INDEX(ResponseSLA[#All],(MATCH((G228),ResponseSLA[Priority],0))+1,3)),"YES","No")</f>
        <v>#N/A</v>
      </c>
      <c r="AI228" s="31" t="str">
        <f>_xlfn.IFNA(IF(AE228 &lt; (INDEX(SLATable[Minimum SLA],MATCH(G228,SLATable[Priority],0))),"YES","NO"),"")</f>
        <v/>
      </c>
      <c r="AJ228" t="str">
        <f>_xlfn.IFNA(IF(AE228 &lt; (INDEX(SLATable[Maximum SLA],MATCH(G228,SLATable[Priority],0))),"YES","NO"),"")</f>
        <v/>
      </c>
    </row>
    <row r="229" spans="26:36" ht="15" customHeight="1">
      <c r="Z229" s="76" t="e">
        <f t="shared" ca="1" si="20"/>
        <v>#N/A</v>
      </c>
      <c r="AA229" s="75" t="e">
        <f t="shared" ca="1" si="1"/>
        <v>#N/A</v>
      </c>
      <c r="AB229" s="76">
        <f t="shared" ca="1" si="21"/>
        <v>0</v>
      </c>
      <c r="AC229" s="75">
        <f t="shared" ca="1" si="3"/>
        <v>0</v>
      </c>
      <c r="AD229" s="76">
        <f t="shared" ca="1" si="22"/>
        <v>12388.425641435188</v>
      </c>
      <c r="AE229" s="76">
        <f t="shared" si="23"/>
        <v>0</v>
      </c>
      <c r="AF229" s="75">
        <f t="shared" si="6"/>
        <v>0</v>
      </c>
      <c r="AG229" s="75">
        <f t="shared" si="7"/>
        <v>0</v>
      </c>
      <c r="AH229" s="31" t="e" cm="1">
        <f t="array" aca="1" ref="AH229" ca="1">IF((AD229) &lt; (INDEX(ResponseSLA[#All],(MATCH((G229),ResponseSLA[Priority],0))+1,3)),"YES","No")</f>
        <v>#N/A</v>
      </c>
      <c r="AI229" s="31" t="str">
        <f>_xlfn.IFNA(IF(AE229 &lt; (INDEX(SLATable[Minimum SLA],MATCH(G229,SLATable[Priority],0))),"YES","NO"),"")</f>
        <v/>
      </c>
      <c r="AJ229" t="str">
        <f>_xlfn.IFNA(IF(AE229 &lt; (INDEX(SLATable[Maximum SLA],MATCH(G229,SLATable[Priority],0))),"YES","NO"),"")</f>
        <v/>
      </c>
    </row>
    <row r="230" spans="26:36" ht="15" customHeight="1">
      <c r="Z230" s="76" t="e">
        <f t="shared" ca="1" si="20"/>
        <v>#N/A</v>
      </c>
      <c r="AA230" s="75" t="e">
        <f t="shared" ca="1" si="1"/>
        <v>#N/A</v>
      </c>
      <c r="AB230" s="76">
        <f t="shared" ca="1" si="21"/>
        <v>0</v>
      </c>
      <c r="AC230" s="75">
        <f t="shared" ca="1" si="3"/>
        <v>0</v>
      </c>
      <c r="AD230" s="76">
        <f t="shared" ca="1" si="22"/>
        <v>12388.425641203703</v>
      </c>
      <c r="AE230" s="76">
        <f t="shared" si="23"/>
        <v>0</v>
      </c>
      <c r="AF230" s="75">
        <f t="shared" si="6"/>
        <v>0</v>
      </c>
      <c r="AG230" s="75">
        <f t="shared" si="7"/>
        <v>0</v>
      </c>
      <c r="AH230" s="31" t="e" cm="1">
        <f t="array" aca="1" ref="AH230" ca="1">IF((AD230) &lt; (INDEX(ResponseSLA[#All],(MATCH((G230),ResponseSLA[Priority],0))+1,3)),"YES","No")</f>
        <v>#N/A</v>
      </c>
      <c r="AI230" s="31" t="str">
        <f>_xlfn.IFNA(IF(AE230 &lt; (INDEX(SLATable[Minimum SLA],MATCH(G230,SLATable[Priority],0))),"YES","NO"),"")</f>
        <v/>
      </c>
      <c r="AJ230" t="str">
        <f>_xlfn.IFNA(IF(AE230 &lt; (INDEX(SLATable[Maximum SLA],MATCH(G230,SLATable[Priority],0))),"YES","NO"),"")</f>
        <v/>
      </c>
    </row>
    <row r="231" spans="26:36" ht="15" customHeight="1">
      <c r="Z231" s="76" t="e">
        <f t="shared" ca="1" si="20"/>
        <v>#N/A</v>
      </c>
      <c r="AA231" s="75" t="e">
        <f t="shared" ca="1" si="1"/>
        <v>#N/A</v>
      </c>
      <c r="AB231" s="76">
        <f t="shared" ca="1" si="21"/>
        <v>0</v>
      </c>
      <c r="AC231" s="75">
        <f t="shared" ca="1" si="3"/>
        <v>0</v>
      </c>
      <c r="AD231" s="76">
        <f t="shared" ca="1" si="22"/>
        <v>12388.425641203703</v>
      </c>
      <c r="AE231" s="76">
        <f t="shared" si="23"/>
        <v>0</v>
      </c>
      <c r="AF231" s="75">
        <f t="shared" si="6"/>
        <v>0</v>
      </c>
      <c r="AG231" s="75">
        <f t="shared" si="7"/>
        <v>0</v>
      </c>
      <c r="AH231" s="31" t="e" cm="1">
        <f t="array" aca="1" ref="AH231" ca="1">IF((AD231) &lt; (INDEX(ResponseSLA[#All],(MATCH((G231),ResponseSLA[Priority],0))+1,3)),"YES","No")</f>
        <v>#N/A</v>
      </c>
      <c r="AI231" s="31" t="str">
        <f>_xlfn.IFNA(IF(AE231 &lt; (INDEX(SLATable[Minimum SLA],MATCH(G231,SLATable[Priority],0))),"YES","NO"),"")</f>
        <v/>
      </c>
      <c r="AJ231" t="str">
        <f>_xlfn.IFNA(IF(AE231 &lt; (INDEX(SLATable[Maximum SLA],MATCH(G231,SLATable[Priority],0))),"YES","NO"),"")</f>
        <v/>
      </c>
    </row>
    <row r="232" spans="26:36" ht="15" customHeight="1">
      <c r="Z232" s="76" t="e">
        <f t="shared" ca="1" si="20"/>
        <v>#N/A</v>
      </c>
      <c r="AA232" s="75" t="e">
        <f t="shared" ca="1" si="1"/>
        <v>#N/A</v>
      </c>
      <c r="AB232" s="76">
        <f t="shared" ca="1" si="21"/>
        <v>0</v>
      </c>
      <c r="AC232" s="75">
        <f t="shared" ca="1" si="3"/>
        <v>0</v>
      </c>
      <c r="AD232" s="76">
        <f t="shared" ca="1" si="22"/>
        <v>12388.425641435188</v>
      </c>
      <c r="AE232" s="76">
        <f t="shared" si="23"/>
        <v>0</v>
      </c>
      <c r="AF232" s="75">
        <f t="shared" si="6"/>
        <v>0</v>
      </c>
      <c r="AG232" s="75">
        <f t="shared" si="7"/>
        <v>0</v>
      </c>
      <c r="AH232" s="31" t="e" cm="1">
        <f t="array" aca="1" ref="AH232" ca="1">IF((AD232) &lt; (INDEX(ResponseSLA[#All],(MATCH((G232),ResponseSLA[Priority],0))+1,3)),"YES","No")</f>
        <v>#N/A</v>
      </c>
      <c r="AI232" s="31" t="str">
        <f>_xlfn.IFNA(IF(AE232 &lt; (INDEX(SLATable[Minimum SLA],MATCH(G232,SLATable[Priority],0))),"YES","NO"),"")</f>
        <v/>
      </c>
      <c r="AJ232" t="str">
        <f>_xlfn.IFNA(IF(AE232 &lt; (INDEX(SLATable[Maximum SLA],MATCH(G232,SLATable[Priority],0))),"YES","NO"),"")</f>
        <v/>
      </c>
    </row>
    <row r="233" spans="26:36" ht="15" customHeight="1">
      <c r="Z233" s="76" t="e">
        <f t="shared" ca="1" si="20"/>
        <v>#N/A</v>
      </c>
      <c r="AA233" s="75" t="e">
        <f t="shared" ca="1" si="1"/>
        <v>#N/A</v>
      </c>
      <c r="AB233" s="76">
        <f t="shared" ca="1" si="21"/>
        <v>0</v>
      </c>
      <c r="AC233" s="75">
        <f t="shared" ca="1" si="3"/>
        <v>0</v>
      </c>
      <c r="AD233" s="76">
        <f t="shared" ca="1" si="22"/>
        <v>12388.425641203703</v>
      </c>
      <c r="AE233" s="76">
        <f t="shared" si="23"/>
        <v>0</v>
      </c>
      <c r="AF233" s="75">
        <f t="shared" si="6"/>
        <v>0</v>
      </c>
      <c r="AG233" s="75">
        <f t="shared" si="7"/>
        <v>0</v>
      </c>
      <c r="AH233" s="31" t="e" cm="1">
        <f t="array" aca="1" ref="AH233" ca="1">IF((AD233) &lt; (INDEX(ResponseSLA[#All],(MATCH((G233),ResponseSLA[Priority],0))+1,3)),"YES","No")</f>
        <v>#N/A</v>
      </c>
      <c r="AI233" s="31" t="str">
        <f>_xlfn.IFNA(IF(AE233 &lt; (INDEX(SLATable[Minimum SLA],MATCH(G233,SLATable[Priority],0))),"YES","NO"),"")</f>
        <v/>
      </c>
      <c r="AJ233" t="str">
        <f>_xlfn.IFNA(IF(AE233 &lt; (INDEX(SLATable[Maximum SLA],MATCH(G233,SLATable[Priority],0))),"YES","NO"),"")</f>
        <v/>
      </c>
    </row>
    <row r="234" spans="26:36" ht="15" customHeight="1">
      <c r="Z234" s="76" t="e">
        <f t="shared" ca="1" si="20"/>
        <v>#N/A</v>
      </c>
      <c r="AA234" s="75" t="e">
        <f t="shared" ca="1" si="1"/>
        <v>#N/A</v>
      </c>
      <c r="AB234" s="76">
        <f t="shared" ca="1" si="21"/>
        <v>0</v>
      </c>
      <c r="AC234" s="75">
        <f t="shared" ca="1" si="3"/>
        <v>0</v>
      </c>
      <c r="AD234" s="76">
        <f t="shared" ca="1" si="22"/>
        <v>12388.425641203703</v>
      </c>
      <c r="AE234" s="76">
        <f t="shared" si="23"/>
        <v>0</v>
      </c>
      <c r="AF234" s="75">
        <f t="shared" si="6"/>
        <v>0</v>
      </c>
      <c r="AG234" s="75">
        <f t="shared" si="7"/>
        <v>0</v>
      </c>
      <c r="AH234" s="31" t="e" cm="1">
        <f t="array" aca="1" ref="AH234" ca="1">IF((AD234) &lt; (INDEX(ResponseSLA[#All],(MATCH((G234),ResponseSLA[Priority],0))+1,3)),"YES","No")</f>
        <v>#N/A</v>
      </c>
      <c r="AI234" s="31" t="str">
        <f>_xlfn.IFNA(IF(AE234 &lt; (INDEX(SLATable[Minimum SLA],MATCH(G234,SLATable[Priority],0))),"YES","NO"),"")</f>
        <v/>
      </c>
      <c r="AJ234" t="str">
        <f>_xlfn.IFNA(IF(AE234 &lt; (INDEX(SLATable[Maximum SLA],MATCH(G234,SLATable[Priority],0))),"YES","NO"),"")</f>
        <v/>
      </c>
    </row>
    <row r="235" spans="26:36" ht="15" customHeight="1">
      <c r="Z235" s="76" t="e">
        <f t="shared" ca="1" si="20"/>
        <v>#N/A</v>
      </c>
      <c r="AA235" s="75" t="e">
        <f t="shared" ca="1" si="1"/>
        <v>#N/A</v>
      </c>
      <c r="AB235" s="76">
        <f t="shared" ca="1" si="21"/>
        <v>0</v>
      </c>
      <c r="AC235" s="75">
        <f t="shared" ca="1" si="3"/>
        <v>0</v>
      </c>
      <c r="AD235" s="76">
        <f t="shared" ca="1" si="22"/>
        <v>12388.425641435188</v>
      </c>
      <c r="AE235" s="76">
        <f t="shared" si="23"/>
        <v>0</v>
      </c>
      <c r="AF235" s="75">
        <f t="shared" si="6"/>
        <v>0</v>
      </c>
      <c r="AG235" s="75">
        <f t="shared" si="7"/>
        <v>0</v>
      </c>
      <c r="AH235" s="31" t="e" cm="1">
        <f t="array" aca="1" ref="AH235" ca="1">IF((AD235) &lt; (INDEX(ResponseSLA[#All],(MATCH((G235),ResponseSLA[Priority],0))+1,3)),"YES","No")</f>
        <v>#N/A</v>
      </c>
      <c r="AI235" s="31" t="str">
        <f>_xlfn.IFNA(IF(AE235 &lt; (INDEX(SLATable[Minimum SLA],MATCH(G235,SLATable[Priority],0))),"YES","NO"),"")</f>
        <v/>
      </c>
      <c r="AJ235" t="str">
        <f>_xlfn.IFNA(IF(AE235 &lt; (INDEX(SLATable[Maximum SLA],MATCH(G235,SLATable[Priority],0))),"YES","NO"),"")</f>
        <v/>
      </c>
    </row>
    <row r="236" spans="26:36" ht="15" customHeight="1">
      <c r="Z236" s="76" t="e">
        <f t="shared" ca="1" si="20"/>
        <v>#N/A</v>
      </c>
      <c r="AA236" s="75" t="e">
        <f t="shared" ca="1" si="1"/>
        <v>#N/A</v>
      </c>
      <c r="AB236" s="76">
        <f t="shared" ca="1" si="21"/>
        <v>0</v>
      </c>
      <c r="AC236" s="75">
        <f t="shared" ca="1" si="3"/>
        <v>0</v>
      </c>
      <c r="AD236" s="76">
        <f t="shared" ca="1" si="22"/>
        <v>12388.425641203703</v>
      </c>
      <c r="AE236" s="76">
        <f t="shared" si="23"/>
        <v>0</v>
      </c>
      <c r="AF236" s="75">
        <f t="shared" si="6"/>
        <v>0</v>
      </c>
      <c r="AG236" s="75">
        <f t="shared" si="7"/>
        <v>0</v>
      </c>
      <c r="AH236" s="31" t="e" cm="1">
        <f t="array" aca="1" ref="AH236" ca="1">IF((AD236) &lt; (INDEX(ResponseSLA[#All],(MATCH((G236),ResponseSLA[Priority],0))+1,3)),"YES","No")</f>
        <v>#N/A</v>
      </c>
      <c r="AI236" s="31" t="str">
        <f>_xlfn.IFNA(IF(AE236 &lt; (INDEX(SLATable[Minimum SLA],MATCH(G236,SLATable[Priority],0))),"YES","NO"),"")</f>
        <v/>
      </c>
      <c r="AJ236" t="str">
        <f>_xlfn.IFNA(IF(AE236 &lt; (INDEX(SLATable[Maximum SLA],MATCH(G236,SLATable[Priority],0))),"YES","NO"),"")</f>
        <v/>
      </c>
    </row>
    <row r="237" spans="26:36" ht="15" customHeight="1">
      <c r="Z237" s="76" t="e">
        <f t="shared" ca="1" si="20"/>
        <v>#N/A</v>
      </c>
      <c r="AA237" s="75" t="e">
        <f t="shared" ca="1" si="1"/>
        <v>#N/A</v>
      </c>
      <c r="AB237" s="76">
        <f t="shared" ca="1" si="21"/>
        <v>0</v>
      </c>
      <c r="AC237" s="75">
        <f t="shared" ca="1" si="3"/>
        <v>0</v>
      </c>
      <c r="AD237" s="76">
        <f t="shared" ca="1" si="22"/>
        <v>12388.425641203703</v>
      </c>
      <c r="AE237" s="76">
        <f t="shared" si="23"/>
        <v>0</v>
      </c>
      <c r="AF237" s="75">
        <f t="shared" si="6"/>
        <v>0</v>
      </c>
      <c r="AG237" s="75">
        <f t="shared" si="7"/>
        <v>0</v>
      </c>
      <c r="AH237" s="31" t="e" cm="1">
        <f t="array" aca="1" ref="AH237" ca="1">IF((AD237) &lt; (INDEX(ResponseSLA[#All],(MATCH((G237),ResponseSLA[Priority],0))+1,3)),"YES","No")</f>
        <v>#N/A</v>
      </c>
      <c r="AI237" s="31" t="str">
        <f>_xlfn.IFNA(IF(AE237 &lt; (INDEX(SLATable[Minimum SLA],MATCH(G237,SLATable[Priority],0))),"YES","NO"),"")</f>
        <v/>
      </c>
      <c r="AJ237" t="str">
        <f>_xlfn.IFNA(IF(AE237 &lt; (INDEX(SLATable[Maximum SLA],MATCH(G237,SLATable[Priority],0))),"YES","NO"),"")</f>
        <v/>
      </c>
    </row>
    <row r="238" spans="26:36" ht="15" customHeight="1">
      <c r="Z238" s="76" t="e">
        <f t="shared" ca="1" si="20"/>
        <v>#N/A</v>
      </c>
      <c r="AA238" s="75" t="e">
        <f t="shared" ca="1" si="1"/>
        <v>#N/A</v>
      </c>
      <c r="AB238" s="76">
        <f t="shared" ca="1" si="21"/>
        <v>0</v>
      </c>
      <c r="AC238" s="75">
        <f t="shared" ca="1" si="3"/>
        <v>0</v>
      </c>
      <c r="AD238" s="76">
        <f t="shared" ca="1" si="22"/>
        <v>12388.425641435188</v>
      </c>
      <c r="AE238" s="76">
        <f t="shared" si="23"/>
        <v>0</v>
      </c>
      <c r="AF238" s="75">
        <f t="shared" si="6"/>
        <v>0</v>
      </c>
      <c r="AG238" s="75">
        <f t="shared" si="7"/>
        <v>0</v>
      </c>
      <c r="AH238" s="31" t="e" cm="1">
        <f t="array" aca="1" ref="AH238" ca="1">IF((AD238) &lt; (INDEX(ResponseSLA[#All],(MATCH((G238),ResponseSLA[Priority],0))+1,3)),"YES","No")</f>
        <v>#N/A</v>
      </c>
      <c r="AI238" s="31" t="str">
        <f>_xlfn.IFNA(IF(AE238 &lt; (INDEX(SLATable[Minimum SLA],MATCH(G238,SLATable[Priority],0))),"YES","NO"),"")</f>
        <v/>
      </c>
      <c r="AJ238" t="str">
        <f>_xlfn.IFNA(IF(AE238 &lt; (INDEX(SLATable[Maximum SLA],MATCH(G238,SLATable[Priority],0))),"YES","NO"),"")</f>
        <v/>
      </c>
    </row>
    <row r="239" spans="26:36" ht="15" customHeight="1">
      <c r="Z239" s="76" t="e">
        <f t="shared" ca="1" si="20"/>
        <v>#N/A</v>
      </c>
      <c r="AA239" s="75" t="e">
        <f t="shared" ca="1" si="1"/>
        <v>#N/A</v>
      </c>
      <c r="AB239" s="76">
        <f t="shared" ca="1" si="21"/>
        <v>0</v>
      </c>
      <c r="AC239" s="75">
        <f t="shared" ca="1" si="3"/>
        <v>0</v>
      </c>
      <c r="AD239" s="76">
        <f t="shared" ca="1" si="22"/>
        <v>12388.425641203703</v>
      </c>
      <c r="AE239" s="76">
        <f t="shared" si="23"/>
        <v>0</v>
      </c>
      <c r="AF239" s="75">
        <f t="shared" si="6"/>
        <v>0</v>
      </c>
      <c r="AG239" s="75">
        <f t="shared" si="7"/>
        <v>0</v>
      </c>
      <c r="AH239" s="31" t="e" cm="1">
        <f t="array" aca="1" ref="AH239" ca="1">IF((AD239) &lt; (INDEX(ResponseSLA[#All],(MATCH((G239),ResponseSLA[Priority],0))+1,3)),"YES","No")</f>
        <v>#N/A</v>
      </c>
      <c r="AI239" s="31" t="str">
        <f>_xlfn.IFNA(IF(AE239 &lt; (INDEX(SLATable[Minimum SLA],MATCH(G239,SLATable[Priority],0))),"YES","NO"),"")</f>
        <v/>
      </c>
      <c r="AJ239" t="str">
        <f>_xlfn.IFNA(IF(AE239 &lt; (INDEX(SLATable[Maximum SLA],MATCH(G239,SLATable[Priority],0))),"YES","NO"),"")</f>
        <v/>
      </c>
    </row>
    <row r="240" spans="26:36" ht="15" customHeight="1">
      <c r="Z240" s="76" t="e">
        <f t="shared" ca="1" si="20"/>
        <v>#N/A</v>
      </c>
      <c r="AA240" s="75" t="e">
        <f t="shared" ca="1" si="1"/>
        <v>#N/A</v>
      </c>
      <c r="AB240" s="76">
        <f t="shared" ca="1" si="21"/>
        <v>0</v>
      </c>
      <c r="AC240" s="75">
        <f t="shared" ca="1" si="3"/>
        <v>0</v>
      </c>
      <c r="AD240" s="76">
        <f t="shared" ca="1" si="22"/>
        <v>12388.425641203703</v>
      </c>
      <c r="AE240" s="76">
        <f t="shared" si="23"/>
        <v>0</v>
      </c>
      <c r="AF240" s="75">
        <f t="shared" si="6"/>
        <v>0</v>
      </c>
      <c r="AG240" s="75">
        <f t="shared" si="7"/>
        <v>0</v>
      </c>
      <c r="AH240" s="31" t="e" cm="1">
        <f t="array" aca="1" ref="AH240" ca="1">IF((AD240) &lt; (INDEX(ResponseSLA[#All],(MATCH((G240),ResponseSLA[Priority],0))+1,3)),"YES","No")</f>
        <v>#N/A</v>
      </c>
      <c r="AI240" s="31" t="str">
        <f>_xlfn.IFNA(IF(AE240 &lt; (INDEX(SLATable[Minimum SLA],MATCH(G240,SLATable[Priority],0))),"YES","NO"),"")</f>
        <v/>
      </c>
      <c r="AJ240" t="str">
        <f>_xlfn.IFNA(IF(AE240 &lt; (INDEX(SLATable[Maximum SLA],MATCH(G240,SLATable[Priority],0))),"YES","NO"),"")</f>
        <v/>
      </c>
    </row>
    <row r="241" spans="26:36" ht="15" customHeight="1">
      <c r="Z241" s="76" t="e">
        <f t="shared" ca="1" si="20"/>
        <v>#N/A</v>
      </c>
      <c r="AA241" s="75" t="e">
        <f t="shared" ca="1" si="1"/>
        <v>#N/A</v>
      </c>
      <c r="AB241" s="76">
        <f t="shared" ca="1" si="21"/>
        <v>0</v>
      </c>
      <c r="AC241" s="75">
        <f t="shared" ca="1" si="3"/>
        <v>0</v>
      </c>
      <c r="AD241" s="76">
        <f t="shared" ca="1" si="22"/>
        <v>12388.425641435188</v>
      </c>
      <c r="AE241" s="76">
        <f t="shared" si="23"/>
        <v>0</v>
      </c>
      <c r="AF241" s="75">
        <f t="shared" si="6"/>
        <v>0</v>
      </c>
      <c r="AG241" s="75">
        <f t="shared" si="7"/>
        <v>0</v>
      </c>
      <c r="AH241" s="31" t="e" cm="1">
        <f t="array" aca="1" ref="AH241" ca="1">IF((AD241) &lt; (INDEX(ResponseSLA[#All],(MATCH((G241),ResponseSLA[Priority],0))+1,3)),"YES","No")</f>
        <v>#N/A</v>
      </c>
      <c r="AI241" s="31" t="str">
        <f>_xlfn.IFNA(IF(AE241 &lt; (INDEX(SLATable[Minimum SLA],MATCH(G241,SLATable[Priority],0))),"YES","NO"),"")</f>
        <v/>
      </c>
      <c r="AJ241" t="str">
        <f>_xlfn.IFNA(IF(AE241 &lt; (INDEX(SLATable[Maximum SLA],MATCH(G241,SLATable[Priority],0))),"YES","NO"),"")</f>
        <v/>
      </c>
    </row>
    <row r="242" spans="26:36" ht="15" customHeight="1">
      <c r="Z242" s="76" t="e">
        <f t="shared" ca="1" si="20"/>
        <v>#N/A</v>
      </c>
      <c r="AA242" s="75" t="e">
        <f t="shared" ca="1" si="1"/>
        <v>#N/A</v>
      </c>
      <c r="AB242" s="76">
        <f t="shared" ca="1" si="21"/>
        <v>0</v>
      </c>
      <c r="AC242" s="75">
        <f t="shared" ca="1" si="3"/>
        <v>0</v>
      </c>
      <c r="AD242" s="76">
        <f t="shared" ca="1" si="22"/>
        <v>12388.425641203703</v>
      </c>
      <c r="AE242" s="76">
        <f t="shared" si="23"/>
        <v>0</v>
      </c>
      <c r="AF242" s="75">
        <f t="shared" si="6"/>
        <v>0</v>
      </c>
      <c r="AG242" s="75">
        <f t="shared" si="7"/>
        <v>0</v>
      </c>
      <c r="AH242" s="31" t="e" cm="1">
        <f t="array" aca="1" ref="AH242" ca="1">IF((AD242) &lt; (INDEX(ResponseSLA[#All],(MATCH((G242),ResponseSLA[Priority],0))+1,3)),"YES","No")</f>
        <v>#N/A</v>
      </c>
      <c r="AI242" s="31" t="str">
        <f>_xlfn.IFNA(IF(AE242 &lt; (INDEX(SLATable[Minimum SLA],MATCH(G242,SLATable[Priority],0))),"YES","NO"),"")</f>
        <v/>
      </c>
      <c r="AJ242" t="str">
        <f>_xlfn.IFNA(IF(AE242 &lt; (INDEX(SLATable[Maximum SLA],MATCH(G242,SLATable[Priority],0))),"YES","NO"),"")</f>
        <v/>
      </c>
    </row>
    <row r="243" spans="26:36" ht="15" customHeight="1">
      <c r="Z243" s="76" t="e">
        <f t="shared" ca="1" si="20"/>
        <v>#N/A</v>
      </c>
      <c r="AA243" s="75" t="e">
        <f t="shared" ca="1" si="1"/>
        <v>#N/A</v>
      </c>
      <c r="AB243" s="76">
        <f t="shared" ca="1" si="21"/>
        <v>0</v>
      </c>
      <c r="AC243" s="75">
        <f t="shared" ca="1" si="3"/>
        <v>0</v>
      </c>
      <c r="AD243" s="76">
        <f t="shared" ca="1" si="22"/>
        <v>12388.425641203703</v>
      </c>
      <c r="AE243" s="76">
        <f t="shared" si="23"/>
        <v>0</v>
      </c>
      <c r="AF243" s="75">
        <f t="shared" si="6"/>
        <v>0</v>
      </c>
      <c r="AG243" s="75">
        <f t="shared" si="7"/>
        <v>0</v>
      </c>
      <c r="AH243" s="31" t="e" cm="1">
        <f t="array" aca="1" ref="AH243" ca="1">IF((AD243) &lt; (INDEX(ResponseSLA[#All],(MATCH((G243),ResponseSLA[Priority],0))+1,3)),"YES","No")</f>
        <v>#N/A</v>
      </c>
      <c r="AI243" s="31" t="str">
        <f>_xlfn.IFNA(IF(AE243 &lt; (INDEX(SLATable[Minimum SLA],MATCH(G243,SLATable[Priority],0))),"YES","NO"),"")</f>
        <v/>
      </c>
      <c r="AJ243" t="str">
        <f>_xlfn.IFNA(IF(AE243 &lt; (INDEX(SLATable[Maximum SLA],MATCH(G243,SLATable[Priority],0))),"YES","NO"),"")</f>
        <v/>
      </c>
    </row>
    <row r="244" spans="26:36" ht="15" customHeight="1">
      <c r="Z244" s="76" t="e">
        <f t="shared" ca="1" si="20"/>
        <v>#N/A</v>
      </c>
      <c r="AA244" s="75" t="e">
        <f t="shared" ca="1" si="1"/>
        <v>#N/A</v>
      </c>
      <c r="AB244" s="76">
        <f t="shared" ca="1" si="21"/>
        <v>0</v>
      </c>
      <c r="AC244" s="75">
        <f t="shared" ca="1" si="3"/>
        <v>0</v>
      </c>
      <c r="AD244" s="76">
        <f t="shared" ca="1" si="22"/>
        <v>12388.425641435188</v>
      </c>
      <c r="AE244" s="76">
        <f t="shared" si="23"/>
        <v>0</v>
      </c>
      <c r="AF244" s="75">
        <f t="shared" si="6"/>
        <v>0</v>
      </c>
      <c r="AG244" s="75">
        <f t="shared" si="7"/>
        <v>0</v>
      </c>
      <c r="AH244" s="31" t="e" cm="1">
        <f t="array" aca="1" ref="AH244" ca="1">IF((AD244) &lt; (INDEX(ResponseSLA[#All],(MATCH((G244),ResponseSLA[Priority],0))+1,3)),"YES","No")</f>
        <v>#N/A</v>
      </c>
      <c r="AI244" s="31" t="str">
        <f>_xlfn.IFNA(IF(AE244 &lt; (INDEX(SLATable[Minimum SLA],MATCH(G244,SLATable[Priority],0))),"YES","NO"),"")</f>
        <v/>
      </c>
      <c r="AJ244" t="str">
        <f>_xlfn.IFNA(IF(AE244 &lt; (INDEX(SLATable[Maximum SLA],MATCH(G244,SLATable[Priority],0))),"YES","NO"),"")</f>
        <v/>
      </c>
    </row>
    <row r="245" spans="26:36" ht="15" customHeight="1">
      <c r="Z245" s="76" t="e">
        <f t="shared" ca="1" si="20"/>
        <v>#N/A</v>
      </c>
      <c r="AA245" s="75" t="e">
        <f t="shared" ca="1" si="1"/>
        <v>#N/A</v>
      </c>
      <c r="AB245" s="76">
        <f t="shared" ca="1" si="21"/>
        <v>0</v>
      </c>
      <c r="AC245" s="75">
        <f t="shared" ca="1" si="3"/>
        <v>0</v>
      </c>
      <c r="AD245" s="76">
        <f t="shared" ca="1" si="22"/>
        <v>12388.425641203703</v>
      </c>
      <c r="AE245" s="76">
        <f t="shared" si="23"/>
        <v>0</v>
      </c>
      <c r="AF245" s="75">
        <f t="shared" si="6"/>
        <v>0</v>
      </c>
      <c r="AG245" s="75">
        <f t="shared" si="7"/>
        <v>0</v>
      </c>
      <c r="AH245" s="31" t="e" cm="1">
        <f t="array" aca="1" ref="AH245" ca="1">IF((AD245) &lt; (INDEX(ResponseSLA[#All],(MATCH((G245),ResponseSLA[Priority],0))+1,3)),"YES","No")</f>
        <v>#N/A</v>
      </c>
      <c r="AI245" s="31" t="str">
        <f>_xlfn.IFNA(IF(AE245 &lt; (INDEX(SLATable[Minimum SLA],MATCH(G245,SLATable[Priority],0))),"YES","NO"),"")</f>
        <v/>
      </c>
      <c r="AJ245" t="str">
        <f>_xlfn.IFNA(IF(AE245 &lt; (INDEX(SLATable[Maximum SLA],MATCH(G245,SLATable[Priority],0))),"YES","NO"),"")</f>
        <v/>
      </c>
    </row>
    <row r="246" spans="26:36" ht="15" customHeight="1">
      <c r="Z246" s="76" t="e">
        <f t="shared" ca="1" si="20"/>
        <v>#N/A</v>
      </c>
      <c r="AA246" s="75" t="e">
        <f t="shared" ca="1" si="1"/>
        <v>#N/A</v>
      </c>
      <c r="AB246" s="76">
        <f t="shared" ca="1" si="21"/>
        <v>0</v>
      </c>
      <c r="AC246" s="75">
        <f t="shared" ca="1" si="3"/>
        <v>0</v>
      </c>
      <c r="AD246" s="76">
        <f t="shared" ca="1" si="22"/>
        <v>12388.425641203703</v>
      </c>
      <c r="AE246" s="76">
        <f t="shared" si="23"/>
        <v>0</v>
      </c>
      <c r="AF246" s="75">
        <f t="shared" si="6"/>
        <v>0</v>
      </c>
      <c r="AG246" s="75">
        <f t="shared" si="7"/>
        <v>0</v>
      </c>
      <c r="AH246" s="31" t="e" cm="1">
        <f t="array" aca="1" ref="AH246" ca="1">IF((AD246) &lt; (INDEX(ResponseSLA[#All],(MATCH((G246),ResponseSLA[Priority],0))+1,3)),"YES","No")</f>
        <v>#N/A</v>
      </c>
      <c r="AI246" s="31" t="str">
        <f>_xlfn.IFNA(IF(AE246 &lt; (INDEX(SLATable[Minimum SLA],MATCH(G246,SLATable[Priority],0))),"YES","NO"),"")</f>
        <v/>
      </c>
      <c r="AJ246" t="str">
        <f>_xlfn.IFNA(IF(AE246 &lt; (INDEX(SLATable[Maximum SLA],MATCH(G246,SLATable[Priority],0))),"YES","NO"),"")</f>
        <v/>
      </c>
    </row>
    <row r="247" spans="26:36" ht="15" customHeight="1">
      <c r="Z247" s="76" t="e">
        <f t="shared" ca="1" si="20"/>
        <v>#N/A</v>
      </c>
      <c r="AA247" s="75" t="e">
        <f t="shared" ca="1" si="1"/>
        <v>#N/A</v>
      </c>
      <c r="AB247" s="76">
        <f t="shared" ca="1" si="21"/>
        <v>0</v>
      </c>
      <c r="AC247" s="75">
        <f t="shared" ca="1" si="3"/>
        <v>0</v>
      </c>
      <c r="AD247" s="76">
        <f t="shared" ca="1" si="22"/>
        <v>12388.425641435188</v>
      </c>
      <c r="AE247" s="76">
        <f t="shared" si="23"/>
        <v>0</v>
      </c>
      <c r="AF247" s="75">
        <f t="shared" si="6"/>
        <v>0</v>
      </c>
      <c r="AG247" s="75">
        <f t="shared" si="7"/>
        <v>0</v>
      </c>
      <c r="AH247" s="31" t="e" cm="1">
        <f t="array" aca="1" ref="AH247" ca="1">IF((AD247) &lt; (INDEX(ResponseSLA[#All],(MATCH((G247),ResponseSLA[Priority],0))+1,3)),"YES","No")</f>
        <v>#N/A</v>
      </c>
      <c r="AI247" s="31" t="str">
        <f>_xlfn.IFNA(IF(AE247 &lt; (INDEX(SLATable[Minimum SLA],MATCH(G247,SLATable[Priority],0))),"YES","NO"),"")</f>
        <v/>
      </c>
      <c r="AJ247" t="str">
        <f>_xlfn.IFNA(IF(AE247 &lt; (INDEX(SLATable[Maximum SLA],MATCH(G247,SLATable[Priority],0))),"YES","NO"),"")</f>
        <v/>
      </c>
    </row>
    <row r="248" spans="26:36" ht="15" customHeight="1">
      <c r="Z248" s="76" t="e">
        <f t="shared" ca="1" si="20"/>
        <v>#N/A</v>
      </c>
      <c r="AA248" s="75" t="e">
        <f t="shared" ca="1" si="1"/>
        <v>#N/A</v>
      </c>
      <c r="AB248" s="76">
        <f t="shared" ca="1" si="21"/>
        <v>0</v>
      </c>
      <c r="AC248" s="75">
        <f t="shared" ca="1" si="3"/>
        <v>0</v>
      </c>
      <c r="AD248" s="76">
        <f t="shared" ca="1" si="22"/>
        <v>12388.425641203703</v>
      </c>
      <c r="AE248" s="76">
        <f t="shared" si="23"/>
        <v>0</v>
      </c>
      <c r="AF248" s="75">
        <f t="shared" si="6"/>
        <v>0</v>
      </c>
      <c r="AG248" s="75">
        <f t="shared" si="7"/>
        <v>0</v>
      </c>
      <c r="AH248" s="31" t="e" cm="1">
        <f t="array" aca="1" ref="AH248" ca="1">IF((AD248) &lt; (INDEX(ResponseSLA[#All],(MATCH((G248),ResponseSLA[Priority],0))+1,3)),"YES","No")</f>
        <v>#N/A</v>
      </c>
      <c r="AI248" s="31" t="str">
        <f>_xlfn.IFNA(IF(AE248 &lt; (INDEX(SLATable[Minimum SLA],MATCH(G248,SLATable[Priority],0))),"YES","NO"),"")</f>
        <v/>
      </c>
      <c r="AJ248" t="str">
        <f>_xlfn.IFNA(IF(AE248 &lt; (INDEX(SLATable[Maximum SLA],MATCH(G248,SLATable[Priority],0))),"YES","NO"),"")</f>
        <v/>
      </c>
    </row>
    <row r="249" spans="26:36" ht="15" customHeight="1">
      <c r="Z249" s="76" t="e">
        <f t="shared" ca="1" si="20"/>
        <v>#N/A</v>
      </c>
      <c r="AA249" s="75" t="e">
        <f t="shared" ca="1" si="1"/>
        <v>#N/A</v>
      </c>
      <c r="AB249" s="76">
        <f t="shared" ca="1" si="21"/>
        <v>0</v>
      </c>
      <c r="AC249" s="75">
        <f t="shared" ca="1" si="3"/>
        <v>0</v>
      </c>
      <c r="AD249" s="76">
        <f t="shared" ca="1" si="22"/>
        <v>12388.425641203703</v>
      </c>
      <c r="AE249" s="76">
        <f t="shared" si="23"/>
        <v>0</v>
      </c>
      <c r="AF249" s="75">
        <f t="shared" si="6"/>
        <v>0</v>
      </c>
      <c r="AG249" s="75">
        <f t="shared" si="7"/>
        <v>0</v>
      </c>
      <c r="AH249" s="31" t="e" cm="1">
        <f t="array" aca="1" ref="AH249" ca="1">IF((AD249) &lt; (INDEX(ResponseSLA[#All],(MATCH((G249),ResponseSLA[Priority],0))+1,3)),"YES","No")</f>
        <v>#N/A</v>
      </c>
      <c r="AI249" s="31" t="str">
        <f>_xlfn.IFNA(IF(AE249 &lt; (INDEX(SLATable[Minimum SLA],MATCH(G249,SLATable[Priority],0))),"YES","NO"),"")</f>
        <v/>
      </c>
      <c r="AJ249" t="str">
        <f>_xlfn.IFNA(IF(AE249 &lt; (INDEX(SLATable[Maximum SLA],MATCH(G249,SLATable[Priority],0))),"YES","NO"),"")</f>
        <v/>
      </c>
    </row>
    <row r="250" spans="26:36" ht="15" customHeight="1">
      <c r="Z250" s="76" t="e">
        <f t="shared" ca="1" si="20"/>
        <v>#N/A</v>
      </c>
      <c r="AA250" s="75" t="e">
        <f t="shared" ca="1" si="1"/>
        <v>#N/A</v>
      </c>
      <c r="AB250" s="76">
        <f t="shared" ca="1" si="21"/>
        <v>0</v>
      </c>
      <c r="AC250" s="75">
        <f t="shared" ca="1" si="3"/>
        <v>0</v>
      </c>
      <c r="AD250" s="76">
        <f t="shared" ca="1" si="22"/>
        <v>12388.425641435188</v>
      </c>
      <c r="AE250" s="76">
        <f t="shared" si="23"/>
        <v>0</v>
      </c>
      <c r="AF250" s="75">
        <f t="shared" si="6"/>
        <v>0</v>
      </c>
      <c r="AG250" s="75">
        <f t="shared" si="7"/>
        <v>0</v>
      </c>
      <c r="AH250" s="31" t="e" cm="1">
        <f t="array" aca="1" ref="AH250" ca="1">IF((AD250) &lt; (INDEX(ResponseSLA[#All],(MATCH((G250),ResponseSLA[Priority],0))+1,3)),"YES","No")</f>
        <v>#N/A</v>
      </c>
      <c r="AI250" s="31" t="str">
        <f>_xlfn.IFNA(IF(AE250 &lt; (INDEX(SLATable[Minimum SLA],MATCH(G250,SLATable[Priority],0))),"YES","NO"),"")</f>
        <v/>
      </c>
      <c r="AJ250" t="str">
        <f>_xlfn.IFNA(IF(AE250 &lt; (INDEX(SLATable[Maximum SLA],MATCH(G250,SLATable[Priority],0))),"YES","NO"),"")</f>
        <v/>
      </c>
    </row>
    <row r="251" spans="26:36" ht="15" customHeight="1">
      <c r="Z251" s="76" t="e">
        <f t="shared" ca="1" si="20"/>
        <v>#N/A</v>
      </c>
      <c r="AA251" s="75" t="e">
        <f t="shared" ca="1" si="1"/>
        <v>#N/A</v>
      </c>
      <c r="AB251" s="76">
        <f t="shared" ca="1" si="21"/>
        <v>0</v>
      </c>
      <c r="AC251" s="75">
        <f t="shared" ca="1" si="3"/>
        <v>0</v>
      </c>
      <c r="AD251" s="76">
        <f t="shared" ca="1" si="22"/>
        <v>12388.425641203703</v>
      </c>
      <c r="AE251" s="76">
        <f t="shared" si="23"/>
        <v>0</v>
      </c>
      <c r="AF251" s="75">
        <f t="shared" si="6"/>
        <v>0</v>
      </c>
      <c r="AG251" s="75">
        <f t="shared" si="7"/>
        <v>0</v>
      </c>
      <c r="AH251" s="31" t="e" cm="1">
        <f t="array" aca="1" ref="AH251" ca="1">IF((AD251) &lt; (INDEX(ResponseSLA[#All],(MATCH((G251),ResponseSLA[Priority],0))+1,3)),"YES","No")</f>
        <v>#N/A</v>
      </c>
      <c r="AI251" s="31" t="str">
        <f>_xlfn.IFNA(IF(AE251 &lt; (INDEX(SLATable[Minimum SLA],MATCH(G251,SLATable[Priority],0))),"YES","NO"),"")</f>
        <v/>
      </c>
      <c r="AJ251" t="str">
        <f>_xlfn.IFNA(IF(AE251 &lt; (INDEX(SLATable[Maximum SLA],MATCH(G251,SLATable[Priority],0))),"YES","NO"),"")</f>
        <v/>
      </c>
    </row>
    <row r="252" spans="26:36" ht="15" customHeight="1">
      <c r="Z252" s="76" t="e">
        <f t="shared" ca="1" si="20"/>
        <v>#N/A</v>
      </c>
      <c r="AA252" s="75" t="e">
        <f t="shared" ca="1" si="1"/>
        <v>#N/A</v>
      </c>
      <c r="AB252" s="76">
        <f t="shared" ca="1" si="21"/>
        <v>0</v>
      </c>
      <c r="AC252" s="75">
        <f t="shared" ca="1" si="3"/>
        <v>0</v>
      </c>
      <c r="AD252" s="76">
        <f t="shared" ca="1" si="22"/>
        <v>12388.425641203703</v>
      </c>
      <c r="AE252" s="76">
        <f t="shared" si="23"/>
        <v>0</v>
      </c>
      <c r="AF252" s="75">
        <f t="shared" si="6"/>
        <v>0</v>
      </c>
      <c r="AG252" s="75">
        <f t="shared" si="7"/>
        <v>0</v>
      </c>
      <c r="AH252" s="31" t="e" cm="1">
        <f t="array" aca="1" ref="AH252" ca="1">IF((AD252) &lt; (INDEX(ResponseSLA[#All],(MATCH((G252),ResponseSLA[Priority],0))+1,3)),"YES","No")</f>
        <v>#N/A</v>
      </c>
      <c r="AI252" s="31" t="str">
        <f>_xlfn.IFNA(IF(AE252 &lt; (INDEX(SLATable[Minimum SLA],MATCH(G252,SLATable[Priority],0))),"YES","NO"),"")</f>
        <v/>
      </c>
      <c r="AJ252" t="str">
        <f>_xlfn.IFNA(IF(AE252 &lt; (INDEX(SLATable[Maximum SLA],MATCH(G252,SLATable[Priority],0))),"YES","NO"),"")</f>
        <v/>
      </c>
    </row>
    <row r="253" spans="26:36" ht="15" customHeight="1">
      <c r="Z253" s="76" t="e">
        <f t="shared" ca="1" si="20"/>
        <v>#N/A</v>
      </c>
      <c r="AA253" s="75" t="e">
        <f t="shared" ca="1" si="1"/>
        <v>#N/A</v>
      </c>
      <c r="AB253" s="76">
        <f t="shared" ca="1" si="21"/>
        <v>0</v>
      </c>
      <c r="AC253" s="75">
        <f t="shared" ca="1" si="3"/>
        <v>0</v>
      </c>
      <c r="AD253" s="76">
        <f t="shared" ca="1" si="22"/>
        <v>12388.425641435188</v>
      </c>
      <c r="AE253" s="76">
        <f t="shared" si="23"/>
        <v>0</v>
      </c>
      <c r="AF253" s="75">
        <f t="shared" si="6"/>
        <v>0</v>
      </c>
      <c r="AG253" s="75">
        <f t="shared" si="7"/>
        <v>0</v>
      </c>
      <c r="AH253" s="31" t="e" cm="1">
        <f t="array" aca="1" ref="AH253" ca="1">IF((AD253) &lt; (INDEX(ResponseSLA[#All],(MATCH((G253),ResponseSLA[Priority],0))+1,3)),"YES","No")</f>
        <v>#N/A</v>
      </c>
      <c r="AI253" s="31" t="str">
        <f>_xlfn.IFNA(IF(AE253 &lt; (INDEX(SLATable[Minimum SLA],MATCH(G253,SLATable[Priority],0))),"YES","NO"),"")</f>
        <v/>
      </c>
      <c r="AJ253" t="str">
        <f>_xlfn.IFNA(IF(AE253 &lt; (INDEX(SLATable[Maximum SLA],MATCH(G253,SLATable[Priority],0))),"YES","NO"),"")</f>
        <v/>
      </c>
    </row>
    <row r="254" spans="26:36" ht="15" customHeight="1">
      <c r="Z254" s="76" t="e">
        <f t="shared" ca="1" si="20"/>
        <v>#N/A</v>
      </c>
      <c r="AA254" s="75" t="e">
        <f t="shared" ca="1" si="1"/>
        <v>#N/A</v>
      </c>
      <c r="AB254" s="76">
        <f t="shared" ca="1" si="21"/>
        <v>0</v>
      </c>
      <c r="AC254" s="75">
        <f t="shared" ca="1" si="3"/>
        <v>0</v>
      </c>
      <c r="AD254" s="76">
        <f t="shared" ca="1" si="22"/>
        <v>12388.425641203703</v>
      </c>
      <c r="AE254" s="76">
        <f t="shared" si="23"/>
        <v>0</v>
      </c>
      <c r="AF254" s="75">
        <f t="shared" si="6"/>
        <v>0</v>
      </c>
      <c r="AG254" s="75">
        <f t="shared" si="7"/>
        <v>0</v>
      </c>
      <c r="AH254" s="31" t="e" cm="1">
        <f t="array" aca="1" ref="AH254" ca="1">IF((AD254) &lt; (INDEX(ResponseSLA[#All],(MATCH((G254),ResponseSLA[Priority],0))+1,3)),"YES","No")</f>
        <v>#N/A</v>
      </c>
      <c r="AI254" s="31" t="str">
        <f>_xlfn.IFNA(IF(AE254 &lt; (INDEX(SLATable[Minimum SLA],MATCH(G254,SLATable[Priority],0))),"YES","NO"),"")</f>
        <v/>
      </c>
      <c r="AJ254" t="str">
        <f>_xlfn.IFNA(IF(AE254 &lt; (INDEX(SLATable[Maximum SLA],MATCH(G254,SLATable[Priority],0))),"YES","NO"),"")</f>
        <v/>
      </c>
    </row>
    <row r="255" spans="26:36" ht="15" customHeight="1">
      <c r="Z255" s="76" t="e">
        <f t="shared" ca="1" si="20"/>
        <v>#N/A</v>
      </c>
      <c r="AA255" s="75" t="e">
        <f t="shared" ca="1" si="1"/>
        <v>#N/A</v>
      </c>
      <c r="AB255" s="76">
        <f t="shared" ca="1" si="21"/>
        <v>0</v>
      </c>
      <c r="AC255" s="75">
        <f t="shared" ca="1" si="3"/>
        <v>0</v>
      </c>
      <c r="AD255" s="76">
        <f t="shared" ca="1" si="22"/>
        <v>12388.425641203703</v>
      </c>
      <c r="AE255" s="76">
        <f t="shared" si="23"/>
        <v>0</v>
      </c>
      <c r="AF255" s="75">
        <f t="shared" si="6"/>
        <v>0</v>
      </c>
      <c r="AG255" s="75">
        <f t="shared" si="7"/>
        <v>0</v>
      </c>
      <c r="AH255" s="31" t="e" cm="1">
        <f t="array" aca="1" ref="AH255" ca="1">IF((AD255) &lt; (INDEX(ResponseSLA[#All],(MATCH((G255),ResponseSLA[Priority],0))+1,3)),"YES","No")</f>
        <v>#N/A</v>
      </c>
      <c r="AI255" s="31" t="str">
        <f>_xlfn.IFNA(IF(AE255 &lt; (INDEX(SLATable[Minimum SLA],MATCH(G255,SLATable[Priority],0))),"YES","NO"),"")</f>
        <v/>
      </c>
      <c r="AJ255" t="str">
        <f>_xlfn.IFNA(IF(AE255 &lt; (INDEX(SLATable[Maximum SLA],MATCH(G255,SLATable[Priority],0))),"YES","NO"),"")</f>
        <v/>
      </c>
    </row>
    <row r="256" spans="26:36" ht="15" customHeight="1">
      <c r="Z256" s="76" t="e">
        <f t="shared" ca="1" si="20"/>
        <v>#N/A</v>
      </c>
      <c r="AA256" s="75" t="e">
        <f t="shared" ca="1" si="1"/>
        <v>#N/A</v>
      </c>
      <c r="AB256" s="76">
        <f t="shared" ca="1" si="21"/>
        <v>0</v>
      </c>
      <c r="AC256" s="75">
        <f t="shared" ca="1" si="3"/>
        <v>0</v>
      </c>
      <c r="AD256" s="76">
        <f t="shared" ca="1" si="22"/>
        <v>12388.425641435188</v>
      </c>
      <c r="AE256" s="76">
        <f t="shared" si="23"/>
        <v>0</v>
      </c>
      <c r="AF256" s="75">
        <f t="shared" si="6"/>
        <v>0</v>
      </c>
      <c r="AG256" s="75">
        <f t="shared" si="7"/>
        <v>0</v>
      </c>
      <c r="AH256" s="31" t="e" cm="1">
        <f t="array" aca="1" ref="AH256" ca="1">IF((AD256) &lt; (INDEX(ResponseSLA[#All],(MATCH((G256),ResponseSLA[Priority],0))+1,3)),"YES","No")</f>
        <v>#N/A</v>
      </c>
      <c r="AI256" s="31" t="str">
        <f>_xlfn.IFNA(IF(AE256 &lt; (INDEX(SLATable[Minimum SLA],MATCH(G256,SLATable[Priority],0))),"YES","NO"),"")</f>
        <v/>
      </c>
      <c r="AJ256" t="str">
        <f>_xlfn.IFNA(IF(AE256 &lt; (INDEX(SLATable[Maximum SLA],MATCH(G256,SLATable[Priority],0))),"YES","NO"),"")</f>
        <v/>
      </c>
    </row>
    <row r="257" spans="26:36" ht="15" customHeight="1">
      <c r="Z257" s="76" t="e">
        <f t="shared" ca="1" si="20"/>
        <v>#N/A</v>
      </c>
      <c r="AA257" s="75" t="e">
        <f t="shared" ref="AA257:AA320" ca="1" si="24">(Z257*24)/9</f>
        <v>#N/A</v>
      </c>
      <c r="AB257" s="76">
        <f t="shared" ca="1" si="21"/>
        <v>0</v>
      </c>
      <c r="AC257" s="75">
        <f t="shared" ref="AC257:AC320" ca="1" si="25">(AB257*24)/9</f>
        <v>0</v>
      </c>
      <c r="AD257" s="76">
        <f t="shared" ca="1" si="22"/>
        <v>12388.425641203703</v>
      </c>
      <c r="AE257" s="76">
        <f t="shared" si="23"/>
        <v>0</v>
      </c>
      <c r="AF257" s="75">
        <f t="shared" ref="AF257:AF320" si="26">(AE257*24)/9</f>
        <v>0</v>
      </c>
      <c r="AG257" s="75">
        <f t="shared" ref="AG257:AG320" si="27">AF257</f>
        <v>0</v>
      </c>
      <c r="AH257" s="31" t="e" cm="1">
        <f t="array" aca="1" ref="AH257" ca="1">IF((AD257) &lt; (INDEX(ResponseSLA[#All],(MATCH((G257),ResponseSLA[Priority],0))+1,3)),"YES","No")</f>
        <v>#N/A</v>
      </c>
      <c r="AI257" s="31" t="str">
        <f>_xlfn.IFNA(IF(AE257 &lt; (INDEX(SLATable[Minimum SLA],MATCH(G257,SLATable[Priority],0))),"YES","NO"),"")</f>
        <v/>
      </c>
      <c r="AJ257" t="str">
        <f>_xlfn.IFNA(IF(AE257 &lt; (INDEX(SLATable[Maximum SLA],MATCH(G257,SLATable[Priority],0))),"YES","NO"),"")</f>
        <v/>
      </c>
    </row>
    <row r="258" spans="26:36" ht="15" customHeight="1">
      <c r="Z258" s="76" t="e">
        <f t="shared" ca="1" si="20"/>
        <v>#N/A</v>
      </c>
      <c r="AA258" s="75" t="e">
        <f t="shared" ca="1" si="24"/>
        <v>#N/A</v>
      </c>
      <c r="AB258" s="76">
        <f t="shared" ca="1" si="21"/>
        <v>0</v>
      </c>
      <c r="AC258" s="75">
        <f t="shared" ca="1" si="25"/>
        <v>0</v>
      </c>
      <c r="AD258" s="76">
        <f t="shared" ca="1" si="22"/>
        <v>12388.425641203703</v>
      </c>
      <c r="AE258" s="76">
        <f t="shared" si="23"/>
        <v>0</v>
      </c>
      <c r="AF258" s="75">
        <f t="shared" si="26"/>
        <v>0</v>
      </c>
      <c r="AG258" s="75">
        <f t="shared" si="27"/>
        <v>0</v>
      </c>
      <c r="AH258" s="31" t="e" cm="1">
        <f t="array" aca="1" ref="AH258" ca="1">IF((AD258) &lt; (INDEX(ResponseSLA[#All],(MATCH((G258),ResponseSLA[Priority],0))+1,3)),"YES","No")</f>
        <v>#N/A</v>
      </c>
      <c r="AI258" s="31" t="str">
        <f>_xlfn.IFNA(IF(AE258 &lt; (INDEX(SLATable[Minimum SLA],MATCH(G258,SLATable[Priority],0))),"YES","NO"),"")</f>
        <v/>
      </c>
      <c r="AJ258" t="str">
        <f>_xlfn.IFNA(IF(AE258 &lt; (INDEX(SLATable[Maximum SLA],MATCH(G258,SLATable[Priority],0))),"YES","NO"),"")</f>
        <v/>
      </c>
    </row>
    <row r="259" spans="26:36" ht="15" customHeight="1">
      <c r="Z259" s="76" t="e">
        <f t="shared" ref="Z259:Z322" ca="1" si="28">IF(NOT(OR(G259=1,G259=2)),MAX(0,_xlfn.IFS(AND(K259&lt;&gt;"",N259&lt;&gt;""),((MAX(NETWORKDAYS(K259,N259,UKBankHolidays)-1,0))*(TIME(17,0,0)-TIME(8,0,0))+IF(NETWORKDAYS(N259,N259,UKBankHolidays)&gt;0,MEDIAN(TIME(8,0,0),MOD(N259,1),TIME(17,0,0)),TIME(8,0,0))-IF(NETWORKDAYS(K259,K259,UKBankHolidays)&gt;0,MEDIAN(TIME(8,0,0),MOD(K259,1),TIME(17,0,0)),TIME(8,0,0)))-IF(AND(O259&lt;&gt;"",P259&lt;&gt;""),((MAX(NETWORKDAYS(O259,P259,UKBankHolidays)-1,0))*(TIME(17,0,0)-TIME(8,0,0))+IF(NETWORKDAYS(P259,P259,UKBankHolidays)&gt;0,MEDIAN(TIME(8,0,0),MOD(P259,1),TIME(17,0,0)),TIME(8,0,0))-IF(NETWORKDAYS(O259,O259,UKBankHolidays)&gt;0,MEDIAN(TIME(8,0,0),MOD(O259,1),TIME(17,0,0)),TIME(8,0,0))),0),AND(K259&lt;&gt;"",N259=""),((MAX(NETWORKDAYS(K259,NOW(),UKBankHolidays)-1,0))*(TIME(17,0,0)-TIME(8,0,0))+IF(NETWORKDAYS(NOW(),NOW(),UKBankHolidays)&gt;0,MEDIAN(TIME(8,0,0),MOD(NOW(),1),TIME(17,0,0)),TIME(8,0,0))-IF(NETWORKDAYS(K259,K259,UKBankHolidays)&gt;0,MEDIAN(TIME(8,0,0),MOD(K259,1),TIME(17,0,0)),TIME(8,0,0))))),IF(N259="",NOW()-K259,N259-K259))</f>
        <v>#N/A</v>
      </c>
      <c r="AA259" s="75" t="e">
        <f t="shared" ca="1" si="24"/>
        <v>#N/A</v>
      </c>
      <c r="AB259" s="76">
        <f t="shared" ref="AB259:AB322" ca="1" si="29">IF(NOT(OR(G259=1,G259=2)),MAX(0,_xlfn.IFS(AND(K259&lt;&gt;"",N259&lt;&gt;""),(((MAX(NETWORKDAYS(L259,N259,UKBankHolidays)-1,0))*(TIME(17,0,0)-TIME(8,0,0)))+IF(NETWORKDAYS(N259,N259,UKBankHolidays)&gt;0,MEDIAN(TIME(8,0,0),MOD(N259,1),TIME(17,0,0)),TIME(8,0,0))-IF(NETWORKDAYS(L259,L259,UKBankHolidays)&gt;0,MEDIAN(TIME(8,0,0),MOD(L259,1),TIME(17,0,0)),TIME(8,0,0)))-IF(AND(O259&lt;&gt;"",P259&lt;&gt;""),(((MAX(NETWORKDAYS(O259,P259,UKBankHolidays)-1,0))*(TIME(17,0,0)-TIME(8,0,0)))+IF(NETWORKDAYS(P259,P259,UKBankHolidays)&gt;0,MEDIAN(TIME(8,0,0),MOD(P259,1),TIME(17,0,0)),TIME(8,0,0))-IF(NETWORKDAYS(O259,O259,UKBankHolidays)&gt;0,MEDIAN(TIME(8,0,0),MOD(O259,1),TIME(17,0,0)),TIME(8,0,0))),0),AND(L259&lt;&gt;"",N259="",O259=""),(((MAX(NETWORKDAYS(L259,NOW(),UKBankHolidays)-1,0))*(TIME(17,0,0)-TIME(8,0,0)))+IF(NETWORKDAYS(NOW(),NOW(),UKBankHolidays)&gt;0,MEDIAN(TIME(8,0,0),MOD(NOW(),1),TIME(17,0,0)),TIME(8,0,0))-IF(NETWORKDAYS(L259,L259,UKBankHolidays)&gt;0,MEDIAN(TIME(8,0,0),MOD(L259,1),TIME(17,0,0)),TIME(8,0,0)))-IF(AND(O259&lt;&gt;"",P259&lt;&gt;""),(((MAX(NETWORKDAYS(O259,P259,UKBankHolidays)-1,0))*(TIME(17,0,0)-TIME(8,0,0)))+IF(NETWORKDAYS(P259,P259,UKBankHolidays)&gt;0,MEDIAN(TIME(8,0,0),MOD(P259,1),TIME(17,0,0)),TIME(8,0,0))-IF(NETWORKDAYS(O259,O259,UKBankHolidays)&gt;0,MEDIAN(TIME(8,0,0),MOD(O259,1),TIME(17,0,0)),TIME(8,0,0))),0),AND(L259&lt;&gt;"",N259="",P259="",O259&lt;&gt;""),(((MAX(NETWORKDAYS(L259,O259,UKBankHolidays)-1,0))*(TIME(17,0,0)-TIME(8,0,0)))+IF(NETWORKDAYS(O259,O259,UKBankHolidays)&gt;0,MEDIAN(TIME(8,0,0),MOD(O259,1),TIME(17,0,0)),TIME(8,0,0))-IF(NETWORKDAYS(L259,L259,UKBankHolidays)&gt;0,MEDIAN(TIME(8,0,0),MOD(L259,1),TIME(17,0,0)),TIME(8,0,0))),ISBLANK(K259),"0")),IF(ISBLANK(N259),NOW()-L259,N259-L259))</f>
        <v>0</v>
      </c>
      <c r="AC259" s="75">
        <f t="shared" ca="1" si="25"/>
        <v>0</v>
      </c>
      <c r="AD259" s="76">
        <f t="shared" ref="AD259:AD322" ca="1" si="30">MAX(0,IF(NOT(OR(G259=1,G259=2)),IF(M259&lt;&gt;"",((MAX(NETWORKDAYS(L259,M259,UKBankHolidays)-1,0))*(TIME(17,0,0)-TIME(8,0,0))+IF(NETWORKDAYS(M259,M259,UKBankHolidays)&gt;0,MEDIAN(TIME(8,0,0),MOD(M259,1),TIME(17,0,0)),TIME(8,0,0))-MEDIAN(TIME(8,0,0),MOD(L259,1),TIME(17,0,0))),((MAX(NETWORKDAYS(L259,NOW(),UKBankHolidays)-1,0))*(TIME(17,0,0)-TIME(8,0,0))+IF(NETWORKDAYS(NOW(),NOW(),UKBankHolidays)&gt;0,MEDIAN(TIME(8,0,0),MOD(NOW(),1),TIME(17,0,0)),TIME(8,0,0))-MEDIAN(TIME(8,0,0),MOD(L259,1),TIME(17,0,0)))),IF(M259&lt;&gt;"",M259-L259,NOW()-L259)))</f>
        <v>12388.425641435188</v>
      </c>
      <c r="AE259" s="76">
        <f t="shared" ref="AE259:AE322" si="31">SUMIFS(AB:AB,E:E,E259)</f>
        <v>0</v>
      </c>
      <c r="AF259" s="75">
        <f t="shared" si="26"/>
        <v>0</v>
      </c>
      <c r="AG259" s="75">
        <f t="shared" si="27"/>
        <v>0</v>
      </c>
      <c r="AH259" s="31" t="e" cm="1">
        <f t="array" aca="1" ref="AH259" ca="1">IF((AD259) &lt; (INDEX(ResponseSLA[#All],(MATCH((G259),ResponseSLA[Priority],0))+1,3)),"YES","No")</f>
        <v>#N/A</v>
      </c>
      <c r="AI259" s="31" t="str">
        <f>_xlfn.IFNA(IF(AE259 &lt; (INDEX(SLATable[Minimum SLA],MATCH(G259,SLATable[Priority],0))),"YES","NO"),"")</f>
        <v/>
      </c>
      <c r="AJ259" t="str">
        <f>_xlfn.IFNA(IF(AE259 &lt; (INDEX(SLATable[Maximum SLA],MATCH(G259,SLATable[Priority],0))),"YES","NO"),"")</f>
        <v/>
      </c>
    </row>
    <row r="260" spans="26:36" ht="15" customHeight="1">
      <c r="Z260" s="76" t="e">
        <f t="shared" ca="1" si="28"/>
        <v>#N/A</v>
      </c>
      <c r="AA260" s="75" t="e">
        <f t="shared" ca="1" si="24"/>
        <v>#N/A</v>
      </c>
      <c r="AB260" s="76">
        <f t="shared" ca="1" si="29"/>
        <v>0</v>
      </c>
      <c r="AC260" s="75">
        <f t="shared" ca="1" si="25"/>
        <v>0</v>
      </c>
      <c r="AD260" s="76">
        <f t="shared" ca="1" si="30"/>
        <v>12388.425641203703</v>
      </c>
      <c r="AE260" s="76">
        <f t="shared" si="31"/>
        <v>0</v>
      </c>
      <c r="AF260" s="75">
        <f t="shared" si="26"/>
        <v>0</v>
      </c>
      <c r="AG260" s="75">
        <f t="shared" si="27"/>
        <v>0</v>
      </c>
      <c r="AH260" s="31" t="e" cm="1">
        <f t="array" aca="1" ref="AH260" ca="1">IF((AD260) &lt; (INDEX(ResponseSLA[#All],(MATCH((G260),ResponseSLA[Priority],0))+1,3)),"YES","No")</f>
        <v>#N/A</v>
      </c>
      <c r="AI260" s="31" t="str">
        <f>_xlfn.IFNA(IF(AE260 &lt; (INDEX(SLATable[Minimum SLA],MATCH(G260,SLATable[Priority],0))),"YES","NO"),"")</f>
        <v/>
      </c>
      <c r="AJ260" t="str">
        <f>_xlfn.IFNA(IF(AE260 &lt; (INDEX(SLATable[Maximum SLA],MATCH(G260,SLATable[Priority],0))),"YES","NO"),"")</f>
        <v/>
      </c>
    </row>
    <row r="261" spans="26:36" ht="15" customHeight="1">
      <c r="Z261" s="76" t="e">
        <f t="shared" ca="1" si="28"/>
        <v>#N/A</v>
      </c>
      <c r="AA261" s="75" t="e">
        <f t="shared" ca="1" si="24"/>
        <v>#N/A</v>
      </c>
      <c r="AB261" s="76">
        <f t="shared" ca="1" si="29"/>
        <v>0</v>
      </c>
      <c r="AC261" s="75">
        <f t="shared" ca="1" si="25"/>
        <v>0</v>
      </c>
      <c r="AD261" s="76">
        <f t="shared" ca="1" si="30"/>
        <v>12388.425641203703</v>
      </c>
      <c r="AE261" s="76">
        <f t="shared" si="31"/>
        <v>0</v>
      </c>
      <c r="AF261" s="75">
        <f t="shared" si="26"/>
        <v>0</v>
      </c>
      <c r="AG261" s="75">
        <f t="shared" si="27"/>
        <v>0</v>
      </c>
      <c r="AH261" s="31" t="e" cm="1">
        <f t="array" aca="1" ref="AH261" ca="1">IF((AD261) &lt; (INDEX(ResponseSLA[#All],(MATCH((G261),ResponseSLA[Priority],0))+1,3)),"YES","No")</f>
        <v>#N/A</v>
      </c>
      <c r="AI261" s="31" t="str">
        <f>_xlfn.IFNA(IF(AE261 &lt; (INDEX(SLATable[Minimum SLA],MATCH(G261,SLATable[Priority],0))),"YES","NO"),"")</f>
        <v/>
      </c>
      <c r="AJ261" t="str">
        <f>_xlfn.IFNA(IF(AE261 &lt; (INDEX(SLATable[Maximum SLA],MATCH(G261,SLATable[Priority],0))),"YES","NO"),"")</f>
        <v/>
      </c>
    </row>
    <row r="262" spans="26:36" ht="15" customHeight="1">
      <c r="Z262" s="76" t="e">
        <f t="shared" ca="1" si="28"/>
        <v>#N/A</v>
      </c>
      <c r="AA262" s="75" t="e">
        <f t="shared" ca="1" si="24"/>
        <v>#N/A</v>
      </c>
      <c r="AB262" s="76">
        <f t="shared" ca="1" si="29"/>
        <v>0</v>
      </c>
      <c r="AC262" s="75">
        <f t="shared" ca="1" si="25"/>
        <v>0</v>
      </c>
      <c r="AD262" s="76">
        <f t="shared" ca="1" si="30"/>
        <v>12388.425641435188</v>
      </c>
      <c r="AE262" s="76">
        <f t="shared" si="31"/>
        <v>0</v>
      </c>
      <c r="AF262" s="75">
        <f t="shared" si="26"/>
        <v>0</v>
      </c>
      <c r="AG262" s="75">
        <f t="shared" si="27"/>
        <v>0</v>
      </c>
      <c r="AH262" s="31" t="e" cm="1">
        <f t="array" aca="1" ref="AH262" ca="1">IF((AD262) &lt; (INDEX(ResponseSLA[#All],(MATCH((G262),ResponseSLA[Priority],0))+1,3)),"YES","No")</f>
        <v>#N/A</v>
      </c>
      <c r="AI262" s="31" t="str">
        <f>_xlfn.IFNA(IF(AE262 &lt; (INDEX(SLATable[Minimum SLA],MATCH(G262,SLATable[Priority],0))),"YES","NO"),"")</f>
        <v/>
      </c>
      <c r="AJ262" t="str">
        <f>_xlfn.IFNA(IF(AE262 &lt; (INDEX(SLATable[Maximum SLA],MATCH(G262,SLATable[Priority],0))),"YES","NO"),"")</f>
        <v/>
      </c>
    </row>
    <row r="263" spans="26:36" ht="15" customHeight="1">
      <c r="Z263" s="76" t="e">
        <f t="shared" ca="1" si="28"/>
        <v>#N/A</v>
      </c>
      <c r="AA263" s="75" t="e">
        <f t="shared" ca="1" si="24"/>
        <v>#N/A</v>
      </c>
      <c r="AB263" s="76">
        <f t="shared" ca="1" si="29"/>
        <v>0</v>
      </c>
      <c r="AC263" s="75">
        <f t="shared" ca="1" si="25"/>
        <v>0</v>
      </c>
      <c r="AD263" s="76">
        <f t="shared" ca="1" si="30"/>
        <v>12388.425641203703</v>
      </c>
      <c r="AE263" s="76">
        <f t="shared" si="31"/>
        <v>0</v>
      </c>
      <c r="AF263" s="75">
        <f t="shared" si="26"/>
        <v>0</v>
      </c>
      <c r="AG263" s="75">
        <f t="shared" si="27"/>
        <v>0</v>
      </c>
      <c r="AH263" s="31" t="e" cm="1">
        <f t="array" aca="1" ref="AH263" ca="1">IF((AD263) &lt; (INDEX(ResponseSLA[#All],(MATCH((G263),ResponseSLA[Priority],0))+1,3)),"YES","No")</f>
        <v>#N/A</v>
      </c>
      <c r="AI263" s="31" t="str">
        <f>_xlfn.IFNA(IF(AE263 &lt; (INDEX(SLATable[Minimum SLA],MATCH(G263,SLATable[Priority],0))),"YES","NO"),"")</f>
        <v/>
      </c>
      <c r="AJ263" t="str">
        <f>_xlfn.IFNA(IF(AE263 &lt; (INDEX(SLATable[Maximum SLA],MATCH(G263,SLATable[Priority],0))),"YES","NO"),"")</f>
        <v/>
      </c>
    </row>
    <row r="264" spans="26:36" ht="15" customHeight="1">
      <c r="Z264" s="76" t="e">
        <f t="shared" ca="1" si="28"/>
        <v>#N/A</v>
      </c>
      <c r="AA264" s="75" t="e">
        <f t="shared" ca="1" si="24"/>
        <v>#N/A</v>
      </c>
      <c r="AB264" s="76">
        <f t="shared" ca="1" si="29"/>
        <v>0</v>
      </c>
      <c r="AC264" s="75">
        <f t="shared" ca="1" si="25"/>
        <v>0</v>
      </c>
      <c r="AD264" s="76">
        <f t="shared" ca="1" si="30"/>
        <v>12388.425641203703</v>
      </c>
      <c r="AE264" s="76">
        <f t="shared" si="31"/>
        <v>0</v>
      </c>
      <c r="AF264" s="75">
        <f t="shared" si="26"/>
        <v>0</v>
      </c>
      <c r="AG264" s="75">
        <f t="shared" si="27"/>
        <v>0</v>
      </c>
      <c r="AH264" s="31" t="e" cm="1">
        <f t="array" aca="1" ref="AH264" ca="1">IF((AD264) &lt; (INDEX(ResponseSLA[#All],(MATCH((G264),ResponseSLA[Priority],0))+1,3)),"YES","No")</f>
        <v>#N/A</v>
      </c>
      <c r="AI264" s="31" t="str">
        <f>_xlfn.IFNA(IF(AE264 &lt; (INDEX(SLATable[Minimum SLA],MATCH(G264,SLATable[Priority],0))),"YES","NO"),"")</f>
        <v/>
      </c>
      <c r="AJ264" t="str">
        <f>_xlfn.IFNA(IF(AE264 &lt; (INDEX(SLATable[Maximum SLA],MATCH(G264,SLATable[Priority],0))),"YES","NO"),"")</f>
        <v/>
      </c>
    </row>
    <row r="265" spans="26:36" ht="15" customHeight="1">
      <c r="Z265" s="76" t="e">
        <f t="shared" ca="1" si="28"/>
        <v>#N/A</v>
      </c>
      <c r="AA265" s="75" t="e">
        <f t="shared" ca="1" si="24"/>
        <v>#N/A</v>
      </c>
      <c r="AB265" s="76">
        <f t="shared" ca="1" si="29"/>
        <v>0</v>
      </c>
      <c r="AC265" s="75">
        <f t="shared" ca="1" si="25"/>
        <v>0</v>
      </c>
      <c r="AD265" s="76">
        <f t="shared" ca="1" si="30"/>
        <v>12388.425641435188</v>
      </c>
      <c r="AE265" s="76">
        <f t="shared" si="31"/>
        <v>0</v>
      </c>
      <c r="AF265" s="75">
        <f t="shared" si="26"/>
        <v>0</v>
      </c>
      <c r="AG265" s="75">
        <f t="shared" si="27"/>
        <v>0</v>
      </c>
      <c r="AH265" s="31" t="e" cm="1">
        <f t="array" aca="1" ref="AH265" ca="1">IF((AD265) &lt; (INDEX(ResponseSLA[#All],(MATCH((G265),ResponseSLA[Priority],0))+1,3)),"YES","No")</f>
        <v>#N/A</v>
      </c>
      <c r="AI265" s="31" t="str">
        <f>_xlfn.IFNA(IF(AE265 &lt; (INDEX(SLATable[Minimum SLA],MATCH(G265,SLATable[Priority],0))),"YES","NO"),"")</f>
        <v/>
      </c>
      <c r="AJ265" t="str">
        <f>_xlfn.IFNA(IF(AE265 &lt; (INDEX(SLATable[Maximum SLA],MATCH(G265,SLATable[Priority],0))),"YES","NO"),"")</f>
        <v/>
      </c>
    </row>
    <row r="266" spans="26:36" ht="15" customHeight="1">
      <c r="Z266" s="76" t="e">
        <f t="shared" ca="1" si="28"/>
        <v>#N/A</v>
      </c>
      <c r="AA266" s="75" t="e">
        <f t="shared" ca="1" si="24"/>
        <v>#N/A</v>
      </c>
      <c r="AB266" s="76">
        <f t="shared" ca="1" si="29"/>
        <v>0</v>
      </c>
      <c r="AC266" s="75">
        <f t="shared" ca="1" si="25"/>
        <v>0</v>
      </c>
      <c r="AD266" s="76">
        <f t="shared" ca="1" si="30"/>
        <v>12388.425641203703</v>
      </c>
      <c r="AE266" s="76">
        <f t="shared" si="31"/>
        <v>0</v>
      </c>
      <c r="AF266" s="75">
        <f t="shared" si="26"/>
        <v>0</v>
      </c>
      <c r="AG266" s="75">
        <f t="shared" si="27"/>
        <v>0</v>
      </c>
      <c r="AH266" s="31" t="e" cm="1">
        <f t="array" aca="1" ref="AH266" ca="1">IF((AD266) &lt; (INDEX(ResponseSLA[#All],(MATCH((G266),ResponseSLA[Priority],0))+1,3)),"YES","No")</f>
        <v>#N/A</v>
      </c>
      <c r="AI266" s="31" t="str">
        <f>_xlfn.IFNA(IF(AE266 &lt; (INDEX(SLATable[Minimum SLA],MATCH(G266,SLATable[Priority],0))),"YES","NO"),"")</f>
        <v/>
      </c>
      <c r="AJ266" t="str">
        <f>_xlfn.IFNA(IF(AE266 &lt; (INDEX(SLATable[Maximum SLA],MATCH(G266,SLATable[Priority],0))),"YES","NO"),"")</f>
        <v/>
      </c>
    </row>
    <row r="267" spans="26:36" ht="15" customHeight="1">
      <c r="Z267" s="76" t="e">
        <f t="shared" ca="1" si="28"/>
        <v>#N/A</v>
      </c>
      <c r="AA267" s="75" t="e">
        <f t="shared" ca="1" si="24"/>
        <v>#N/A</v>
      </c>
      <c r="AB267" s="76">
        <f t="shared" ca="1" si="29"/>
        <v>0</v>
      </c>
      <c r="AC267" s="75">
        <f t="shared" ca="1" si="25"/>
        <v>0</v>
      </c>
      <c r="AD267" s="76">
        <f t="shared" ca="1" si="30"/>
        <v>12388.425641203703</v>
      </c>
      <c r="AE267" s="76">
        <f t="shared" si="31"/>
        <v>0</v>
      </c>
      <c r="AF267" s="75">
        <f t="shared" si="26"/>
        <v>0</v>
      </c>
      <c r="AG267" s="75">
        <f t="shared" si="27"/>
        <v>0</v>
      </c>
      <c r="AH267" s="31" t="e" cm="1">
        <f t="array" aca="1" ref="AH267" ca="1">IF((AD267) &lt; (INDEX(ResponseSLA[#All],(MATCH((G267),ResponseSLA[Priority],0))+1,3)),"YES","No")</f>
        <v>#N/A</v>
      </c>
      <c r="AI267" s="31" t="str">
        <f>_xlfn.IFNA(IF(AE267 &lt; (INDEX(SLATable[Minimum SLA],MATCH(G267,SLATable[Priority],0))),"YES","NO"),"")</f>
        <v/>
      </c>
      <c r="AJ267" t="str">
        <f>_xlfn.IFNA(IF(AE267 &lt; (INDEX(SLATable[Maximum SLA],MATCH(G267,SLATable[Priority],0))),"YES","NO"),"")</f>
        <v/>
      </c>
    </row>
    <row r="268" spans="26:36" ht="15" customHeight="1">
      <c r="Z268" s="76" t="e">
        <f t="shared" ca="1" si="28"/>
        <v>#N/A</v>
      </c>
      <c r="AA268" s="75" t="e">
        <f t="shared" ca="1" si="24"/>
        <v>#N/A</v>
      </c>
      <c r="AB268" s="76">
        <f t="shared" ca="1" si="29"/>
        <v>0</v>
      </c>
      <c r="AC268" s="75">
        <f t="shared" ca="1" si="25"/>
        <v>0</v>
      </c>
      <c r="AD268" s="76">
        <f t="shared" ca="1" si="30"/>
        <v>12388.425641435188</v>
      </c>
      <c r="AE268" s="76">
        <f t="shared" si="31"/>
        <v>0</v>
      </c>
      <c r="AF268" s="75">
        <f t="shared" si="26"/>
        <v>0</v>
      </c>
      <c r="AG268" s="75">
        <f t="shared" si="27"/>
        <v>0</v>
      </c>
      <c r="AH268" s="31" t="e" cm="1">
        <f t="array" aca="1" ref="AH268" ca="1">IF((AD268) &lt; (INDEX(ResponseSLA[#All],(MATCH((G268),ResponseSLA[Priority],0))+1,3)),"YES","No")</f>
        <v>#N/A</v>
      </c>
      <c r="AI268" s="31" t="str">
        <f>_xlfn.IFNA(IF(AE268 &lt; (INDEX(SLATable[Minimum SLA],MATCH(G268,SLATable[Priority],0))),"YES","NO"),"")</f>
        <v/>
      </c>
      <c r="AJ268" t="str">
        <f>_xlfn.IFNA(IF(AE268 &lt; (INDEX(SLATable[Maximum SLA],MATCH(G268,SLATable[Priority],0))),"YES","NO"),"")</f>
        <v/>
      </c>
    </row>
    <row r="269" spans="26:36" ht="15" customHeight="1">
      <c r="Z269" s="76" t="e">
        <f t="shared" ca="1" si="28"/>
        <v>#N/A</v>
      </c>
      <c r="AA269" s="75" t="e">
        <f t="shared" ca="1" si="24"/>
        <v>#N/A</v>
      </c>
      <c r="AB269" s="76">
        <f t="shared" ca="1" si="29"/>
        <v>0</v>
      </c>
      <c r="AC269" s="75">
        <f t="shared" ca="1" si="25"/>
        <v>0</v>
      </c>
      <c r="AD269" s="76">
        <f t="shared" ca="1" si="30"/>
        <v>12388.425641203703</v>
      </c>
      <c r="AE269" s="76">
        <f t="shared" si="31"/>
        <v>0</v>
      </c>
      <c r="AF269" s="75">
        <f t="shared" si="26"/>
        <v>0</v>
      </c>
      <c r="AG269" s="75">
        <f t="shared" si="27"/>
        <v>0</v>
      </c>
      <c r="AH269" s="31" t="e" cm="1">
        <f t="array" aca="1" ref="AH269" ca="1">IF((AD269) &lt; (INDEX(ResponseSLA[#All],(MATCH((G269),ResponseSLA[Priority],0))+1,3)),"YES","No")</f>
        <v>#N/A</v>
      </c>
      <c r="AI269" s="31" t="str">
        <f>_xlfn.IFNA(IF(AE269 &lt; (INDEX(SLATable[Minimum SLA],MATCH(G269,SLATable[Priority],0))),"YES","NO"),"")</f>
        <v/>
      </c>
      <c r="AJ269" t="str">
        <f>_xlfn.IFNA(IF(AE269 &lt; (INDEX(SLATable[Maximum SLA],MATCH(G269,SLATable[Priority],0))),"YES","NO"),"")</f>
        <v/>
      </c>
    </row>
    <row r="270" spans="26:36" ht="15" customHeight="1">
      <c r="Z270" s="76" t="e">
        <f t="shared" ca="1" si="28"/>
        <v>#N/A</v>
      </c>
      <c r="AA270" s="75" t="e">
        <f t="shared" ca="1" si="24"/>
        <v>#N/A</v>
      </c>
      <c r="AB270" s="76">
        <f t="shared" ca="1" si="29"/>
        <v>0</v>
      </c>
      <c r="AC270" s="75">
        <f t="shared" ca="1" si="25"/>
        <v>0</v>
      </c>
      <c r="AD270" s="76">
        <f t="shared" ca="1" si="30"/>
        <v>12388.425641203703</v>
      </c>
      <c r="AE270" s="76">
        <f t="shared" si="31"/>
        <v>0</v>
      </c>
      <c r="AF270" s="75">
        <f t="shared" si="26"/>
        <v>0</v>
      </c>
      <c r="AG270" s="75">
        <f t="shared" si="27"/>
        <v>0</v>
      </c>
      <c r="AH270" s="31" t="e" cm="1">
        <f t="array" aca="1" ref="AH270" ca="1">IF((AD270) &lt; (INDEX(ResponseSLA[#All],(MATCH((G270),ResponseSLA[Priority],0))+1,3)),"YES","No")</f>
        <v>#N/A</v>
      </c>
      <c r="AI270" s="31" t="str">
        <f>_xlfn.IFNA(IF(AE270 &lt; (INDEX(SLATable[Minimum SLA],MATCH(G270,SLATable[Priority],0))),"YES","NO"),"")</f>
        <v/>
      </c>
      <c r="AJ270" t="str">
        <f>_xlfn.IFNA(IF(AE270 &lt; (INDEX(SLATable[Maximum SLA],MATCH(G270,SLATable[Priority],0))),"YES","NO"),"")</f>
        <v/>
      </c>
    </row>
    <row r="271" spans="26:36" ht="15" customHeight="1">
      <c r="Z271" s="76" t="e">
        <f t="shared" ca="1" si="28"/>
        <v>#N/A</v>
      </c>
      <c r="AA271" s="75" t="e">
        <f t="shared" ca="1" si="24"/>
        <v>#N/A</v>
      </c>
      <c r="AB271" s="76">
        <f t="shared" ca="1" si="29"/>
        <v>0</v>
      </c>
      <c r="AC271" s="75">
        <f t="shared" ca="1" si="25"/>
        <v>0</v>
      </c>
      <c r="AD271" s="76">
        <f t="shared" ca="1" si="30"/>
        <v>12388.425641435188</v>
      </c>
      <c r="AE271" s="76">
        <f t="shared" si="31"/>
        <v>0</v>
      </c>
      <c r="AF271" s="75">
        <f t="shared" si="26"/>
        <v>0</v>
      </c>
      <c r="AG271" s="75">
        <f t="shared" si="27"/>
        <v>0</v>
      </c>
      <c r="AH271" s="31" t="e" cm="1">
        <f t="array" aca="1" ref="AH271" ca="1">IF((AD271) &lt; (INDEX(ResponseSLA[#All],(MATCH((G271),ResponseSLA[Priority],0))+1,3)),"YES","No")</f>
        <v>#N/A</v>
      </c>
      <c r="AI271" s="31" t="str">
        <f>_xlfn.IFNA(IF(AE271 &lt; (INDEX(SLATable[Minimum SLA],MATCH(G271,SLATable[Priority],0))),"YES","NO"),"")</f>
        <v/>
      </c>
      <c r="AJ271" t="str">
        <f>_xlfn.IFNA(IF(AE271 &lt; (INDEX(SLATable[Maximum SLA],MATCH(G271,SLATable[Priority],0))),"YES","NO"),"")</f>
        <v/>
      </c>
    </row>
    <row r="272" spans="26:36" ht="15" customHeight="1">
      <c r="Z272" s="76" t="e">
        <f t="shared" ca="1" si="28"/>
        <v>#N/A</v>
      </c>
      <c r="AA272" s="75" t="e">
        <f t="shared" ca="1" si="24"/>
        <v>#N/A</v>
      </c>
      <c r="AB272" s="76">
        <f t="shared" ca="1" si="29"/>
        <v>0</v>
      </c>
      <c r="AC272" s="75">
        <f t="shared" ca="1" si="25"/>
        <v>0</v>
      </c>
      <c r="AD272" s="76">
        <f t="shared" ca="1" si="30"/>
        <v>12388.425641203703</v>
      </c>
      <c r="AE272" s="76">
        <f t="shared" si="31"/>
        <v>0</v>
      </c>
      <c r="AF272" s="75">
        <f t="shared" si="26"/>
        <v>0</v>
      </c>
      <c r="AG272" s="75">
        <f t="shared" si="27"/>
        <v>0</v>
      </c>
      <c r="AH272" s="31" t="e" cm="1">
        <f t="array" aca="1" ref="AH272" ca="1">IF((AD272) &lt; (INDEX(ResponseSLA[#All],(MATCH((G272),ResponseSLA[Priority],0))+1,3)),"YES","No")</f>
        <v>#N/A</v>
      </c>
      <c r="AI272" s="31" t="str">
        <f>_xlfn.IFNA(IF(AE272 &lt; (INDEX(SLATable[Minimum SLA],MATCH(G272,SLATable[Priority],0))),"YES","NO"),"")</f>
        <v/>
      </c>
      <c r="AJ272" t="str">
        <f>_xlfn.IFNA(IF(AE272 &lt; (INDEX(SLATable[Maximum SLA],MATCH(G272,SLATable[Priority],0))),"YES","NO"),"")</f>
        <v/>
      </c>
    </row>
    <row r="273" spans="26:36" ht="15" customHeight="1">
      <c r="Z273" s="76" t="e">
        <f t="shared" ca="1" si="28"/>
        <v>#N/A</v>
      </c>
      <c r="AA273" s="75" t="e">
        <f t="shared" ca="1" si="24"/>
        <v>#N/A</v>
      </c>
      <c r="AB273" s="76">
        <f t="shared" ca="1" si="29"/>
        <v>0</v>
      </c>
      <c r="AC273" s="75">
        <f t="shared" ca="1" si="25"/>
        <v>0</v>
      </c>
      <c r="AD273" s="76">
        <f t="shared" ca="1" si="30"/>
        <v>12388.425641203703</v>
      </c>
      <c r="AE273" s="76">
        <f t="shared" si="31"/>
        <v>0</v>
      </c>
      <c r="AF273" s="75">
        <f t="shared" si="26"/>
        <v>0</v>
      </c>
      <c r="AG273" s="75">
        <f t="shared" si="27"/>
        <v>0</v>
      </c>
      <c r="AH273" s="31" t="e" cm="1">
        <f t="array" aca="1" ref="AH273" ca="1">IF((AD273) &lt; (INDEX(ResponseSLA[#All],(MATCH((G273),ResponseSLA[Priority],0))+1,3)),"YES","No")</f>
        <v>#N/A</v>
      </c>
      <c r="AI273" s="31" t="str">
        <f>_xlfn.IFNA(IF(AE273 &lt; (INDEX(SLATable[Minimum SLA],MATCH(G273,SLATable[Priority],0))),"YES","NO"),"")</f>
        <v/>
      </c>
      <c r="AJ273" t="str">
        <f>_xlfn.IFNA(IF(AE273 &lt; (INDEX(SLATable[Maximum SLA],MATCH(G273,SLATable[Priority],0))),"YES","NO"),"")</f>
        <v/>
      </c>
    </row>
    <row r="274" spans="26:36" ht="15" customHeight="1">
      <c r="Z274" s="76" t="e">
        <f t="shared" ca="1" si="28"/>
        <v>#N/A</v>
      </c>
      <c r="AA274" s="75" t="e">
        <f t="shared" ca="1" si="24"/>
        <v>#N/A</v>
      </c>
      <c r="AB274" s="76">
        <f t="shared" ca="1" si="29"/>
        <v>0</v>
      </c>
      <c r="AC274" s="75">
        <f t="shared" ca="1" si="25"/>
        <v>0</v>
      </c>
      <c r="AD274" s="76">
        <f t="shared" ca="1" si="30"/>
        <v>12388.425641435188</v>
      </c>
      <c r="AE274" s="76">
        <f t="shared" si="31"/>
        <v>0</v>
      </c>
      <c r="AF274" s="75">
        <f t="shared" si="26"/>
        <v>0</v>
      </c>
      <c r="AG274" s="75">
        <f t="shared" si="27"/>
        <v>0</v>
      </c>
      <c r="AH274" s="31" t="e" cm="1">
        <f t="array" aca="1" ref="AH274" ca="1">IF((AD274) &lt; (INDEX(ResponseSLA[#All],(MATCH((G274),ResponseSLA[Priority],0))+1,3)),"YES","No")</f>
        <v>#N/A</v>
      </c>
      <c r="AI274" s="31" t="str">
        <f>_xlfn.IFNA(IF(AE274 &lt; (INDEX(SLATable[Minimum SLA],MATCH(G274,SLATable[Priority],0))),"YES","NO"),"")</f>
        <v/>
      </c>
      <c r="AJ274" t="str">
        <f>_xlfn.IFNA(IF(AE274 &lt; (INDEX(SLATable[Maximum SLA],MATCH(G274,SLATable[Priority],0))),"YES","NO"),"")</f>
        <v/>
      </c>
    </row>
    <row r="275" spans="26:36" ht="15" customHeight="1">
      <c r="Z275" s="76" t="e">
        <f t="shared" ca="1" si="28"/>
        <v>#N/A</v>
      </c>
      <c r="AA275" s="75" t="e">
        <f t="shared" ca="1" si="24"/>
        <v>#N/A</v>
      </c>
      <c r="AB275" s="76">
        <f t="shared" ca="1" si="29"/>
        <v>0</v>
      </c>
      <c r="AC275" s="75">
        <f t="shared" ca="1" si="25"/>
        <v>0</v>
      </c>
      <c r="AD275" s="76">
        <f t="shared" ca="1" si="30"/>
        <v>12388.425641203703</v>
      </c>
      <c r="AE275" s="76">
        <f t="shared" si="31"/>
        <v>0</v>
      </c>
      <c r="AF275" s="75">
        <f t="shared" si="26"/>
        <v>0</v>
      </c>
      <c r="AG275" s="75">
        <f t="shared" si="27"/>
        <v>0</v>
      </c>
      <c r="AH275" s="31" t="e" cm="1">
        <f t="array" aca="1" ref="AH275" ca="1">IF((AD275) &lt; (INDEX(ResponseSLA[#All],(MATCH((G275),ResponseSLA[Priority],0))+1,3)),"YES","No")</f>
        <v>#N/A</v>
      </c>
      <c r="AI275" s="31" t="str">
        <f>_xlfn.IFNA(IF(AE275 &lt; (INDEX(SLATable[Minimum SLA],MATCH(G275,SLATable[Priority],0))),"YES","NO"),"")</f>
        <v/>
      </c>
      <c r="AJ275" t="str">
        <f>_xlfn.IFNA(IF(AE275 &lt; (INDEX(SLATable[Maximum SLA],MATCH(G275,SLATable[Priority],0))),"YES","NO"),"")</f>
        <v/>
      </c>
    </row>
    <row r="276" spans="26:36" ht="15" customHeight="1">
      <c r="Z276" s="76" t="e">
        <f t="shared" ca="1" si="28"/>
        <v>#N/A</v>
      </c>
      <c r="AA276" s="75" t="e">
        <f t="shared" ca="1" si="24"/>
        <v>#N/A</v>
      </c>
      <c r="AB276" s="76">
        <f t="shared" ca="1" si="29"/>
        <v>0</v>
      </c>
      <c r="AC276" s="75">
        <f t="shared" ca="1" si="25"/>
        <v>0</v>
      </c>
      <c r="AD276" s="76">
        <f t="shared" ca="1" si="30"/>
        <v>12388.425641203703</v>
      </c>
      <c r="AE276" s="76">
        <f t="shared" si="31"/>
        <v>0</v>
      </c>
      <c r="AF276" s="75">
        <f t="shared" si="26"/>
        <v>0</v>
      </c>
      <c r="AG276" s="75">
        <f t="shared" si="27"/>
        <v>0</v>
      </c>
      <c r="AH276" s="31" t="e" cm="1">
        <f t="array" aca="1" ref="AH276" ca="1">IF((AD276) &lt; (INDEX(ResponseSLA[#All],(MATCH((G276),ResponseSLA[Priority],0))+1,3)),"YES","No")</f>
        <v>#N/A</v>
      </c>
      <c r="AI276" s="31" t="str">
        <f>_xlfn.IFNA(IF(AE276 &lt; (INDEX(SLATable[Minimum SLA],MATCH(G276,SLATable[Priority],0))),"YES","NO"),"")</f>
        <v/>
      </c>
      <c r="AJ276" t="str">
        <f>_xlfn.IFNA(IF(AE276 &lt; (INDEX(SLATable[Maximum SLA],MATCH(G276,SLATable[Priority],0))),"YES","NO"),"")</f>
        <v/>
      </c>
    </row>
    <row r="277" spans="26:36" ht="15" customHeight="1">
      <c r="Z277" s="76" t="e">
        <f t="shared" ca="1" si="28"/>
        <v>#N/A</v>
      </c>
      <c r="AA277" s="75" t="e">
        <f t="shared" ca="1" si="24"/>
        <v>#N/A</v>
      </c>
      <c r="AB277" s="76">
        <f t="shared" ca="1" si="29"/>
        <v>0</v>
      </c>
      <c r="AC277" s="75">
        <f t="shared" ca="1" si="25"/>
        <v>0</v>
      </c>
      <c r="AD277" s="76">
        <f t="shared" ca="1" si="30"/>
        <v>12388.425641435188</v>
      </c>
      <c r="AE277" s="76">
        <f t="shared" si="31"/>
        <v>0</v>
      </c>
      <c r="AF277" s="75">
        <f t="shared" si="26"/>
        <v>0</v>
      </c>
      <c r="AG277" s="75">
        <f t="shared" si="27"/>
        <v>0</v>
      </c>
      <c r="AH277" s="31" t="e" cm="1">
        <f t="array" aca="1" ref="AH277" ca="1">IF((AD277) &lt; (INDEX(ResponseSLA[#All],(MATCH((G277),ResponseSLA[Priority],0))+1,3)),"YES","No")</f>
        <v>#N/A</v>
      </c>
      <c r="AI277" s="31" t="str">
        <f>_xlfn.IFNA(IF(AE277 &lt; (INDEX(SLATable[Minimum SLA],MATCH(G277,SLATable[Priority],0))),"YES","NO"),"")</f>
        <v/>
      </c>
      <c r="AJ277" t="str">
        <f>_xlfn.IFNA(IF(AE277 &lt; (INDEX(SLATable[Maximum SLA],MATCH(G277,SLATable[Priority],0))),"YES","NO"),"")</f>
        <v/>
      </c>
    </row>
    <row r="278" spans="26:36" ht="15" customHeight="1">
      <c r="Z278" s="76" t="e">
        <f t="shared" ca="1" si="28"/>
        <v>#N/A</v>
      </c>
      <c r="AA278" s="75" t="e">
        <f t="shared" ca="1" si="24"/>
        <v>#N/A</v>
      </c>
      <c r="AB278" s="76">
        <f t="shared" ca="1" si="29"/>
        <v>0</v>
      </c>
      <c r="AC278" s="75">
        <f t="shared" ca="1" si="25"/>
        <v>0</v>
      </c>
      <c r="AD278" s="76">
        <f t="shared" ca="1" si="30"/>
        <v>12388.425641203703</v>
      </c>
      <c r="AE278" s="76">
        <f t="shared" si="31"/>
        <v>0</v>
      </c>
      <c r="AF278" s="75">
        <f t="shared" si="26"/>
        <v>0</v>
      </c>
      <c r="AG278" s="75">
        <f t="shared" si="27"/>
        <v>0</v>
      </c>
      <c r="AH278" s="31" t="e" cm="1">
        <f t="array" aca="1" ref="AH278" ca="1">IF((AD278) &lt; (INDEX(ResponseSLA[#All],(MATCH((G278),ResponseSLA[Priority],0))+1,3)),"YES","No")</f>
        <v>#N/A</v>
      </c>
      <c r="AI278" s="31" t="str">
        <f>_xlfn.IFNA(IF(AE278 &lt; (INDEX(SLATable[Minimum SLA],MATCH(G278,SLATable[Priority],0))),"YES","NO"),"")</f>
        <v/>
      </c>
      <c r="AJ278" t="str">
        <f>_xlfn.IFNA(IF(AE278 &lt; (INDEX(SLATable[Maximum SLA],MATCH(G278,SLATable[Priority],0))),"YES","NO"),"")</f>
        <v/>
      </c>
    </row>
    <row r="279" spans="26:36" ht="15" customHeight="1">
      <c r="Z279" s="76" t="e">
        <f t="shared" ca="1" si="28"/>
        <v>#N/A</v>
      </c>
      <c r="AA279" s="75" t="e">
        <f t="shared" ca="1" si="24"/>
        <v>#N/A</v>
      </c>
      <c r="AB279" s="76">
        <f t="shared" ca="1" si="29"/>
        <v>0</v>
      </c>
      <c r="AC279" s="75">
        <f t="shared" ca="1" si="25"/>
        <v>0</v>
      </c>
      <c r="AD279" s="76">
        <f t="shared" ca="1" si="30"/>
        <v>12388.425641203703</v>
      </c>
      <c r="AE279" s="76">
        <f t="shared" si="31"/>
        <v>0</v>
      </c>
      <c r="AF279" s="75">
        <f t="shared" si="26"/>
        <v>0</v>
      </c>
      <c r="AG279" s="75">
        <f t="shared" si="27"/>
        <v>0</v>
      </c>
      <c r="AH279" s="31" t="e" cm="1">
        <f t="array" aca="1" ref="AH279" ca="1">IF((AD279) &lt; (INDEX(ResponseSLA[#All],(MATCH((G279),ResponseSLA[Priority],0))+1,3)),"YES","No")</f>
        <v>#N/A</v>
      </c>
      <c r="AI279" s="31" t="str">
        <f>_xlfn.IFNA(IF(AE279 &lt; (INDEX(SLATable[Minimum SLA],MATCH(G279,SLATable[Priority],0))),"YES","NO"),"")</f>
        <v/>
      </c>
      <c r="AJ279" t="str">
        <f>_xlfn.IFNA(IF(AE279 &lt; (INDEX(SLATable[Maximum SLA],MATCH(G279,SLATable[Priority],0))),"YES","NO"),"")</f>
        <v/>
      </c>
    </row>
    <row r="280" spans="26:36" ht="15" customHeight="1">
      <c r="Z280" s="76" t="e">
        <f t="shared" ca="1" si="28"/>
        <v>#N/A</v>
      </c>
      <c r="AA280" s="75" t="e">
        <f t="shared" ca="1" si="24"/>
        <v>#N/A</v>
      </c>
      <c r="AB280" s="76">
        <f t="shared" ca="1" si="29"/>
        <v>0</v>
      </c>
      <c r="AC280" s="75">
        <f t="shared" ca="1" si="25"/>
        <v>0</v>
      </c>
      <c r="AD280" s="76">
        <f t="shared" ca="1" si="30"/>
        <v>12388.425641435188</v>
      </c>
      <c r="AE280" s="76">
        <f t="shared" si="31"/>
        <v>0</v>
      </c>
      <c r="AF280" s="75">
        <f t="shared" si="26"/>
        <v>0</v>
      </c>
      <c r="AG280" s="75">
        <f t="shared" si="27"/>
        <v>0</v>
      </c>
      <c r="AH280" s="31" t="e" cm="1">
        <f t="array" aca="1" ref="AH280" ca="1">IF((AD280) &lt; (INDEX(ResponseSLA[#All],(MATCH((G280),ResponseSLA[Priority],0))+1,3)),"YES","No")</f>
        <v>#N/A</v>
      </c>
      <c r="AI280" s="31" t="str">
        <f>_xlfn.IFNA(IF(AE280 &lt; (INDEX(SLATable[Minimum SLA],MATCH(G280,SLATable[Priority],0))),"YES","NO"),"")</f>
        <v/>
      </c>
      <c r="AJ280" t="str">
        <f>_xlfn.IFNA(IF(AE280 &lt; (INDEX(SLATable[Maximum SLA],MATCH(G280,SLATable[Priority],0))),"YES","NO"),"")</f>
        <v/>
      </c>
    </row>
    <row r="281" spans="26:36" ht="15" customHeight="1">
      <c r="Z281" s="76" t="e">
        <f t="shared" ca="1" si="28"/>
        <v>#N/A</v>
      </c>
      <c r="AA281" s="75" t="e">
        <f t="shared" ca="1" si="24"/>
        <v>#N/A</v>
      </c>
      <c r="AB281" s="76">
        <f t="shared" ca="1" si="29"/>
        <v>0</v>
      </c>
      <c r="AC281" s="75">
        <f t="shared" ca="1" si="25"/>
        <v>0</v>
      </c>
      <c r="AD281" s="76">
        <f t="shared" ca="1" si="30"/>
        <v>12388.425641203703</v>
      </c>
      <c r="AE281" s="76">
        <f t="shared" si="31"/>
        <v>0</v>
      </c>
      <c r="AF281" s="75">
        <f t="shared" si="26"/>
        <v>0</v>
      </c>
      <c r="AG281" s="75">
        <f t="shared" si="27"/>
        <v>0</v>
      </c>
      <c r="AH281" s="31" t="e" cm="1">
        <f t="array" aca="1" ref="AH281" ca="1">IF((AD281) &lt; (INDEX(ResponseSLA[#All],(MATCH((G281),ResponseSLA[Priority],0))+1,3)),"YES","No")</f>
        <v>#N/A</v>
      </c>
      <c r="AI281" s="31" t="str">
        <f>_xlfn.IFNA(IF(AE281 &lt; (INDEX(SLATable[Minimum SLA],MATCH(G281,SLATable[Priority],0))),"YES","NO"),"")</f>
        <v/>
      </c>
      <c r="AJ281" t="str">
        <f>_xlfn.IFNA(IF(AE281 &lt; (INDEX(SLATable[Maximum SLA],MATCH(G281,SLATable[Priority],0))),"YES","NO"),"")</f>
        <v/>
      </c>
    </row>
    <row r="282" spans="26:36" ht="15" customHeight="1">
      <c r="Z282" s="76" t="e">
        <f t="shared" ca="1" si="28"/>
        <v>#N/A</v>
      </c>
      <c r="AA282" s="75" t="e">
        <f t="shared" ca="1" si="24"/>
        <v>#N/A</v>
      </c>
      <c r="AB282" s="76">
        <f t="shared" ca="1" si="29"/>
        <v>0</v>
      </c>
      <c r="AC282" s="75">
        <f t="shared" ca="1" si="25"/>
        <v>0</v>
      </c>
      <c r="AD282" s="76">
        <f t="shared" ca="1" si="30"/>
        <v>12388.425641203703</v>
      </c>
      <c r="AE282" s="76">
        <f t="shared" si="31"/>
        <v>0</v>
      </c>
      <c r="AF282" s="75">
        <f t="shared" si="26"/>
        <v>0</v>
      </c>
      <c r="AG282" s="75">
        <f t="shared" si="27"/>
        <v>0</v>
      </c>
      <c r="AH282" s="31" t="e" cm="1">
        <f t="array" aca="1" ref="AH282" ca="1">IF((AD282) &lt; (INDEX(ResponseSLA[#All],(MATCH((G282),ResponseSLA[Priority],0))+1,3)),"YES","No")</f>
        <v>#N/A</v>
      </c>
      <c r="AI282" s="31" t="str">
        <f>_xlfn.IFNA(IF(AE282 &lt; (INDEX(SLATable[Minimum SLA],MATCH(G282,SLATable[Priority],0))),"YES","NO"),"")</f>
        <v/>
      </c>
      <c r="AJ282" t="str">
        <f>_xlfn.IFNA(IF(AE282 &lt; (INDEX(SLATable[Maximum SLA],MATCH(G282,SLATable[Priority],0))),"YES","NO"),"")</f>
        <v/>
      </c>
    </row>
    <row r="283" spans="26:36" ht="15" customHeight="1">
      <c r="Z283" s="76" t="e">
        <f t="shared" ca="1" si="28"/>
        <v>#N/A</v>
      </c>
      <c r="AA283" s="75" t="e">
        <f t="shared" ca="1" si="24"/>
        <v>#N/A</v>
      </c>
      <c r="AB283" s="76">
        <f t="shared" ca="1" si="29"/>
        <v>0</v>
      </c>
      <c r="AC283" s="75">
        <f t="shared" ca="1" si="25"/>
        <v>0</v>
      </c>
      <c r="AD283" s="76">
        <f t="shared" ca="1" si="30"/>
        <v>12388.425641435188</v>
      </c>
      <c r="AE283" s="76">
        <f t="shared" si="31"/>
        <v>0</v>
      </c>
      <c r="AF283" s="75">
        <f t="shared" si="26"/>
        <v>0</v>
      </c>
      <c r="AG283" s="75">
        <f t="shared" si="27"/>
        <v>0</v>
      </c>
      <c r="AH283" s="31" t="e" cm="1">
        <f t="array" aca="1" ref="AH283" ca="1">IF((AD283) &lt; (INDEX(ResponseSLA[#All],(MATCH((G283),ResponseSLA[Priority],0))+1,3)),"YES","No")</f>
        <v>#N/A</v>
      </c>
      <c r="AI283" s="31" t="str">
        <f>_xlfn.IFNA(IF(AE283 &lt; (INDEX(SLATable[Minimum SLA],MATCH(G283,SLATable[Priority],0))),"YES","NO"),"")</f>
        <v/>
      </c>
      <c r="AJ283" t="str">
        <f>_xlfn.IFNA(IF(AE283 &lt; (INDEX(SLATable[Maximum SLA],MATCH(G283,SLATable[Priority],0))),"YES","NO"),"")</f>
        <v/>
      </c>
    </row>
    <row r="284" spans="26:36" ht="15" customHeight="1">
      <c r="Z284" s="76" t="e">
        <f t="shared" ca="1" si="28"/>
        <v>#N/A</v>
      </c>
      <c r="AA284" s="75" t="e">
        <f t="shared" ca="1" si="24"/>
        <v>#N/A</v>
      </c>
      <c r="AB284" s="76">
        <f t="shared" ca="1" si="29"/>
        <v>0</v>
      </c>
      <c r="AC284" s="75">
        <f t="shared" ca="1" si="25"/>
        <v>0</v>
      </c>
      <c r="AD284" s="76">
        <f t="shared" ca="1" si="30"/>
        <v>12388.425641203703</v>
      </c>
      <c r="AE284" s="76">
        <f t="shared" si="31"/>
        <v>0</v>
      </c>
      <c r="AF284" s="75">
        <f t="shared" si="26"/>
        <v>0</v>
      </c>
      <c r="AG284" s="75">
        <f t="shared" si="27"/>
        <v>0</v>
      </c>
      <c r="AH284" s="31" t="e" cm="1">
        <f t="array" aca="1" ref="AH284" ca="1">IF((AD284) &lt; (INDEX(ResponseSLA[#All],(MATCH((G284),ResponseSLA[Priority],0))+1,3)),"YES","No")</f>
        <v>#N/A</v>
      </c>
      <c r="AI284" s="31" t="str">
        <f>_xlfn.IFNA(IF(AE284 &lt; (INDEX(SLATable[Minimum SLA],MATCH(G284,SLATable[Priority],0))),"YES","NO"),"")</f>
        <v/>
      </c>
      <c r="AJ284" t="str">
        <f>_xlfn.IFNA(IF(AE284 &lt; (INDEX(SLATable[Maximum SLA],MATCH(G284,SLATable[Priority],0))),"YES","NO"),"")</f>
        <v/>
      </c>
    </row>
    <row r="285" spans="26:36" ht="15" customHeight="1">
      <c r="Z285" s="76" t="e">
        <f t="shared" ca="1" si="28"/>
        <v>#N/A</v>
      </c>
      <c r="AA285" s="75" t="e">
        <f t="shared" ca="1" si="24"/>
        <v>#N/A</v>
      </c>
      <c r="AB285" s="76">
        <f t="shared" ca="1" si="29"/>
        <v>0</v>
      </c>
      <c r="AC285" s="75">
        <f t="shared" ca="1" si="25"/>
        <v>0</v>
      </c>
      <c r="AD285" s="76">
        <f t="shared" ca="1" si="30"/>
        <v>12388.425641203703</v>
      </c>
      <c r="AE285" s="76">
        <f t="shared" si="31"/>
        <v>0</v>
      </c>
      <c r="AF285" s="75">
        <f t="shared" si="26"/>
        <v>0</v>
      </c>
      <c r="AG285" s="75">
        <f t="shared" si="27"/>
        <v>0</v>
      </c>
      <c r="AH285" s="31" t="e" cm="1">
        <f t="array" aca="1" ref="AH285" ca="1">IF((AD285) &lt; (INDEX(ResponseSLA[#All],(MATCH((G285),ResponseSLA[Priority],0))+1,3)),"YES","No")</f>
        <v>#N/A</v>
      </c>
      <c r="AI285" s="31" t="str">
        <f>_xlfn.IFNA(IF(AE285 &lt; (INDEX(SLATable[Minimum SLA],MATCH(G285,SLATable[Priority],0))),"YES","NO"),"")</f>
        <v/>
      </c>
      <c r="AJ285" t="str">
        <f>_xlfn.IFNA(IF(AE285 &lt; (INDEX(SLATable[Maximum SLA],MATCH(G285,SLATable[Priority],0))),"YES","NO"),"")</f>
        <v/>
      </c>
    </row>
    <row r="286" spans="26:36" ht="15" customHeight="1">
      <c r="Z286" s="76" t="e">
        <f t="shared" ca="1" si="28"/>
        <v>#N/A</v>
      </c>
      <c r="AA286" s="75" t="e">
        <f t="shared" ca="1" si="24"/>
        <v>#N/A</v>
      </c>
      <c r="AB286" s="76">
        <f t="shared" ca="1" si="29"/>
        <v>0</v>
      </c>
      <c r="AC286" s="75">
        <f t="shared" ca="1" si="25"/>
        <v>0</v>
      </c>
      <c r="AD286" s="76">
        <f t="shared" ca="1" si="30"/>
        <v>12388.425641435188</v>
      </c>
      <c r="AE286" s="76">
        <f t="shared" si="31"/>
        <v>0</v>
      </c>
      <c r="AF286" s="75">
        <f t="shared" si="26"/>
        <v>0</v>
      </c>
      <c r="AG286" s="75">
        <f t="shared" si="27"/>
        <v>0</v>
      </c>
      <c r="AH286" s="31" t="e" cm="1">
        <f t="array" aca="1" ref="AH286" ca="1">IF((AD286) &lt; (INDEX(ResponseSLA[#All],(MATCH((G286),ResponseSLA[Priority],0))+1,3)),"YES","No")</f>
        <v>#N/A</v>
      </c>
      <c r="AI286" s="31" t="str">
        <f>_xlfn.IFNA(IF(AE286 &lt; (INDEX(SLATable[Minimum SLA],MATCH(G286,SLATable[Priority],0))),"YES","NO"),"")</f>
        <v/>
      </c>
      <c r="AJ286" t="str">
        <f>_xlfn.IFNA(IF(AE286 &lt; (INDEX(SLATable[Maximum SLA],MATCH(G286,SLATable[Priority],0))),"YES","NO"),"")</f>
        <v/>
      </c>
    </row>
    <row r="287" spans="26:36" ht="15" customHeight="1">
      <c r="Z287" s="76" t="e">
        <f t="shared" ca="1" si="28"/>
        <v>#N/A</v>
      </c>
      <c r="AA287" s="75" t="e">
        <f t="shared" ca="1" si="24"/>
        <v>#N/A</v>
      </c>
      <c r="AB287" s="76">
        <f t="shared" ca="1" si="29"/>
        <v>0</v>
      </c>
      <c r="AC287" s="75">
        <f t="shared" ca="1" si="25"/>
        <v>0</v>
      </c>
      <c r="AD287" s="76">
        <f t="shared" ca="1" si="30"/>
        <v>12388.425641203703</v>
      </c>
      <c r="AE287" s="76">
        <f t="shared" si="31"/>
        <v>0</v>
      </c>
      <c r="AF287" s="75">
        <f t="shared" si="26"/>
        <v>0</v>
      </c>
      <c r="AG287" s="75">
        <f t="shared" si="27"/>
        <v>0</v>
      </c>
      <c r="AH287" s="31" t="e" cm="1">
        <f t="array" aca="1" ref="AH287" ca="1">IF((AD287) &lt; (INDEX(ResponseSLA[#All],(MATCH((G287),ResponseSLA[Priority],0))+1,3)),"YES","No")</f>
        <v>#N/A</v>
      </c>
      <c r="AI287" s="31" t="str">
        <f>_xlfn.IFNA(IF(AE287 &lt; (INDEX(SLATable[Minimum SLA],MATCH(G287,SLATable[Priority],0))),"YES","NO"),"")</f>
        <v/>
      </c>
      <c r="AJ287" t="str">
        <f>_xlfn.IFNA(IF(AE287 &lt; (INDEX(SLATable[Maximum SLA],MATCH(G287,SLATable[Priority],0))),"YES","NO"),"")</f>
        <v/>
      </c>
    </row>
    <row r="288" spans="26:36" ht="15" customHeight="1">
      <c r="Z288" s="76" t="e">
        <f t="shared" ca="1" si="28"/>
        <v>#N/A</v>
      </c>
      <c r="AA288" s="75" t="e">
        <f t="shared" ca="1" si="24"/>
        <v>#N/A</v>
      </c>
      <c r="AB288" s="76">
        <f t="shared" ca="1" si="29"/>
        <v>0</v>
      </c>
      <c r="AC288" s="75">
        <f t="shared" ca="1" si="25"/>
        <v>0</v>
      </c>
      <c r="AD288" s="76">
        <f t="shared" ca="1" si="30"/>
        <v>12388.425641203703</v>
      </c>
      <c r="AE288" s="76">
        <f t="shared" si="31"/>
        <v>0</v>
      </c>
      <c r="AF288" s="75">
        <f t="shared" si="26"/>
        <v>0</v>
      </c>
      <c r="AG288" s="75">
        <f t="shared" si="27"/>
        <v>0</v>
      </c>
      <c r="AH288" s="31" t="e" cm="1">
        <f t="array" aca="1" ref="AH288" ca="1">IF((AD288) &lt; (INDEX(ResponseSLA[#All],(MATCH((G288),ResponseSLA[Priority],0))+1,3)),"YES","No")</f>
        <v>#N/A</v>
      </c>
      <c r="AI288" s="31" t="str">
        <f>_xlfn.IFNA(IF(AE288 &lt; (INDEX(SLATable[Minimum SLA],MATCH(G288,SLATable[Priority],0))),"YES","NO"),"")</f>
        <v/>
      </c>
      <c r="AJ288" t="str">
        <f>_xlfn.IFNA(IF(AE288 &lt; (INDEX(SLATable[Maximum SLA],MATCH(G288,SLATable[Priority],0))),"YES","NO"),"")</f>
        <v/>
      </c>
    </row>
    <row r="289" spans="26:36" ht="15" customHeight="1">
      <c r="Z289" s="76" t="e">
        <f t="shared" ca="1" si="28"/>
        <v>#N/A</v>
      </c>
      <c r="AA289" s="75" t="e">
        <f t="shared" ca="1" si="24"/>
        <v>#N/A</v>
      </c>
      <c r="AB289" s="76">
        <f t="shared" ca="1" si="29"/>
        <v>0</v>
      </c>
      <c r="AC289" s="75">
        <f t="shared" ca="1" si="25"/>
        <v>0</v>
      </c>
      <c r="AD289" s="76">
        <f t="shared" ca="1" si="30"/>
        <v>12388.425641435188</v>
      </c>
      <c r="AE289" s="76">
        <f t="shared" si="31"/>
        <v>0</v>
      </c>
      <c r="AF289" s="75">
        <f t="shared" si="26"/>
        <v>0</v>
      </c>
      <c r="AG289" s="75">
        <f t="shared" si="27"/>
        <v>0</v>
      </c>
      <c r="AH289" s="31" t="e" cm="1">
        <f t="array" aca="1" ref="AH289" ca="1">IF((AD289) &lt; (INDEX(ResponseSLA[#All],(MATCH((G289),ResponseSLA[Priority],0))+1,3)),"YES","No")</f>
        <v>#N/A</v>
      </c>
      <c r="AI289" s="31" t="str">
        <f>_xlfn.IFNA(IF(AE289 &lt; (INDEX(SLATable[Minimum SLA],MATCH(G289,SLATable[Priority],0))),"YES","NO"),"")</f>
        <v/>
      </c>
      <c r="AJ289" t="str">
        <f>_xlfn.IFNA(IF(AE289 &lt; (INDEX(SLATable[Maximum SLA],MATCH(G289,SLATable[Priority],0))),"YES","NO"),"")</f>
        <v/>
      </c>
    </row>
    <row r="290" spans="26:36" ht="15" customHeight="1">
      <c r="Z290" s="76" t="e">
        <f t="shared" ca="1" si="28"/>
        <v>#N/A</v>
      </c>
      <c r="AA290" s="75" t="e">
        <f t="shared" ca="1" si="24"/>
        <v>#N/A</v>
      </c>
      <c r="AB290" s="76">
        <f t="shared" ca="1" si="29"/>
        <v>0</v>
      </c>
      <c r="AC290" s="75">
        <f t="shared" ca="1" si="25"/>
        <v>0</v>
      </c>
      <c r="AD290" s="76">
        <f t="shared" ca="1" si="30"/>
        <v>12388.425641203703</v>
      </c>
      <c r="AE290" s="76">
        <f t="shared" si="31"/>
        <v>0</v>
      </c>
      <c r="AF290" s="75">
        <f t="shared" si="26"/>
        <v>0</v>
      </c>
      <c r="AG290" s="75">
        <f t="shared" si="27"/>
        <v>0</v>
      </c>
      <c r="AH290" s="31" t="e" cm="1">
        <f t="array" aca="1" ref="AH290" ca="1">IF((AD290) &lt; (INDEX(ResponseSLA[#All],(MATCH((G290),ResponseSLA[Priority],0))+1,3)),"YES","No")</f>
        <v>#N/A</v>
      </c>
      <c r="AI290" s="31" t="str">
        <f>_xlfn.IFNA(IF(AE290 &lt; (INDEX(SLATable[Minimum SLA],MATCH(G290,SLATable[Priority],0))),"YES","NO"),"")</f>
        <v/>
      </c>
      <c r="AJ290" t="str">
        <f>_xlfn.IFNA(IF(AE290 &lt; (INDEX(SLATable[Maximum SLA],MATCH(G290,SLATable[Priority],0))),"YES","NO"),"")</f>
        <v/>
      </c>
    </row>
    <row r="291" spans="26:36" ht="15" customHeight="1">
      <c r="Z291" s="76" t="e">
        <f t="shared" ca="1" si="28"/>
        <v>#N/A</v>
      </c>
      <c r="AA291" s="75" t="e">
        <f t="shared" ca="1" si="24"/>
        <v>#N/A</v>
      </c>
      <c r="AB291" s="76">
        <f t="shared" ca="1" si="29"/>
        <v>0</v>
      </c>
      <c r="AC291" s="75">
        <f t="shared" ca="1" si="25"/>
        <v>0</v>
      </c>
      <c r="AD291" s="76">
        <f t="shared" ca="1" si="30"/>
        <v>12388.425641203703</v>
      </c>
      <c r="AE291" s="76">
        <f t="shared" si="31"/>
        <v>0</v>
      </c>
      <c r="AF291" s="75">
        <f t="shared" si="26"/>
        <v>0</v>
      </c>
      <c r="AG291" s="75">
        <f t="shared" si="27"/>
        <v>0</v>
      </c>
      <c r="AH291" s="31" t="e" cm="1">
        <f t="array" aca="1" ref="AH291" ca="1">IF((AD291) &lt; (INDEX(ResponseSLA[#All],(MATCH((G291),ResponseSLA[Priority],0))+1,3)),"YES","No")</f>
        <v>#N/A</v>
      </c>
      <c r="AI291" s="31" t="str">
        <f>_xlfn.IFNA(IF(AE291 &lt; (INDEX(SLATable[Minimum SLA],MATCH(G291,SLATable[Priority],0))),"YES","NO"),"")</f>
        <v/>
      </c>
      <c r="AJ291" t="str">
        <f>_xlfn.IFNA(IF(AE291 &lt; (INDEX(SLATable[Maximum SLA],MATCH(G291,SLATable[Priority],0))),"YES","NO"),"")</f>
        <v/>
      </c>
    </row>
    <row r="292" spans="26:36" ht="15" customHeight="1">
      <c r="Z292" s="76" t="e">
        <f t="shared" ca="1" si="28"/>
        <v>#N/A</v>
      </c>
      <c r="AA292" s="75" t="e">
        <f t="shared" ca="1" si="24"/>
        <v>#N/A</v>
      </c>
      <c r="AB292" s="76">
        <f t="shared" ca="1" si="29"/>
        <v>0</v>
      </c>
      <c r="AC292" s="75">
        <f t="shared" ca="1" si="25"/>
        <v>0</v>
      </c>
      <c r="AD292" s="76">
        <f t="shared" ca="1" si="30"/>
        <v>12388.425641435188</v>
      </c>
      <c r="AE292" s="76">
        <f t="shared" si="31"/>
        <v>0</v>
      </c>
      <c r="AF292" s="75">
        <f t="shared" si="26"/>
        <v>0</v>
      </c>
      <c r="AG292" s="75">
        <f t="shared" si="27"/>
        <v>0</v>
      </c>
      <c r="AH292" s="31" t="e" cm="1">
        <f t="array" aca="1" ref="AH292" ca="1">IF((AD292) &lt; (INDEX(ResponseSLA[#All],(MATCH((G292),ResponseSLA[Priority],0))+1,3)),"YES","No")</f>
        <v>#N/A</v>
      </c>
      <c r="AI292" s="31" t="str">
        <f>_xlfn.IFNA(IF(AE292 &lt; (INDEX(SLATable[Minimum SLA],MATCH(G292,SLATable[Priority],0))),"YES","NO"),"")</f>
        <v/>
      </c>
      <c r="AJ292" t="str">
        <f>_xlfn.IFNA(IF(AE292 &lt; (INDEX(SLATable[Maximum SLA],MATCH(G292,SLATable[Priority],0))),"YES","NO"),"")</f>
        <v/>
      </c>
    </row>
    <row r="293" spans="26:36" ht="15" customHeight="1">
      <c r="Z293" s="76" t="e">
        <f t="shared" ca="1" si="28"/>
        <v>#N/A</v>
      </c>
      <c r="AA293" s="75" t="e">
        <f t="shared" ca="1" si="24"/>
        <v>#N/A</v>
      </c>
      <c r="AB293" s="76">
        <f t="shared" ca="1" si="29"/>
        <v>0</v>
      </c>
      <c r="AC293" s="75">
        <f t="shared" ca="1" si="25"/>
        <v>0</v>
      </c>
      <c r="AD293" s="76">
        <f t="shared" ca="1" si="30"/>
        <v>12388.425641203703</v>
      </c>
      <c r="AE293" s="76">
        <f t="shared" si="31"/>
        <v>0</v>
      </c>
      <c r="AF293" s="75">
        <f t="shared" si="26"/>
        <v>0</v>
      </c>
      <c r="AG293" s="75">
        <f t="shared" si="27"/>
        <v>0</v>
      </c>
      <c r="AH293" s="31" t="e" cm="1">
        <f t="array" aca="1" ref="AH293" ca="1">IF((AD293) &lt; (INDEX(ResponseSLA[#All],(MATCH((G293),ResponseSLA[Priority],0))+1,3)),"YES","No")</f>
        <v>#N/A</v>
      </c>
      <c r="AI293" s="31" t="str">
        <f>_xlfn.IFNA(IF(AE293 &lt; (INDEX(SLATable[Minimum SLA],MATCH(G293,SLATable[Priority],0))),"YES","NO"),"")</f>
        <v/>
      </c>
      <c r="AJ293" t="str">
        <f>_xlfn.IFNA(IF(AE293 &lt; (INDEX(SLATable[Maximum SLA],MATCH(G293,SLATable[Priority],0))),"YES","NO"),"")</f>
        <v/>
      </c>
    </row>
    <row r="294" spans="26:36" ht="15" customHeight="1">
      <c r="Z294" s="76" t="e">
        <f t="shared" ca="1" si="28"/>
        <v>#N/A</v>
      </c>
      <c r="AA294" s="75" t="e">
        <f t="shared" ca="1" si="24"/>
        <v>#N/A</v>
      </c>
      <c r="AB294" s="76">
        <f t="shared" ca="1" si="29"/>
        <v>0</v>
      </c>
      <c r="AC294" s="75">
        <f t="shared" ca="1" si="25"/>
        <v>0</v>
      </c>
      <c r="AD294" s="76">
        <f t="shared" ca="1" si="30"/>
        <v>12388.425641203703</v>
      </c>
      <c r="AE294" s="76">
        <f t="shared" si="31"/>
        <v>0</v>
      </c>
      <c r="AF294" s="75">
        <f t="shared" si="26"/>
        <v>0</v>
      </c>
      <c r="AG294" s="75">
        <f t="shared" si="27"/>
        <v>0</v>
      </c>
      <c r="AH294" s="31" t="e" cm="1">
        <f t="array" aca="1" ref="AH294" ca="1">IF((AD294) &lt; (INDEX(ResponseSLA[#All],(MATCH((G294),ResponseSLA[Priority],0))+1,3)),"YES","No")</f>
        <v>#N/A</v>
      </c>
      <c r="AI294" s="31" t="str">
        <f>_xlfn.IFNA(IF(AE294 &lt; (INDEX(SLATable[Minimum SLA],MATCH(G294,SLATable[Priority],0))),"YES","NO"),"")</f>
        <v/>
      </c>
      <c r="AJ294" t="str">
        <f>_xlfn.IFNA(IF(AE294 &lt; (INDEX(SLATable[Maximum SLA],MATCH(G294,SLATable[Priority],0))),"YES","NO"),"")</f>
        <v/>
      </c>
    </row>
    <row r="295" spans="26:36" ht="15" customHeight="1">
      <c r="Z295" s="76" t="e">
        <f t="shared" ca="1" si="28"/>
        <v>#N/A</v>
      </c>
      <c r="AA295" s="75" t="e">
        <f t="shared" ca="1" si="24"/>
        <v>#N/A</v>
      </c>
      <c r="AB295" s="76">
        <f t="shared" ca="1" si="29"/>
        <v>0</v>
      </c>
      <c r="AC295" s="75">
        <f t="shared" ca="1" si="25"/>
        <v>0</v>
      </c>
      <c r="AD295" s="76">
        <f t="shared" ca="1" si="30"/>
        <v>12388.425641435188</v>
      </c>
      <c r="AE295" s="76">
        <f t="shared" si="31"/>
        <v>0</v>
      </c>
      <c r="AF295" s="75">
        <f t="shared" si="26"/>
        <v>0</v>
      </c>
      <c r="AG295" s="75">
        <f t="shared" si="27"/>
        <v>0</v>
      </c>
      <c r="AH295" s="31" t="e" cm="1">
        <f t="array" aca="1" ref="AH295" ca="1">IF((AD295) &lt; (INDEX(ResponseSLA[#All],(MATCH((G295),ResponseSLA[Priority],0))+1,3)),"YES","No")</f>
        <v>#N/A</v>
      </c>
      <c r="AI295" s="31" t="str">
        <f>_xlfn.IFNA(IF(AE295 &lt; (INDEX(SLATable[Minimum SLA],MATCH(G295,SLATable[Priority],0))),"YES","NO"),"")</f>
        <v/>
      </c>
      <c r="AJ295" t="str">
        <f>_xlfn.IFNA(IF(AE295 &lt; (INDEX(SLATable[Maximum SLA],MATCH(G295,SLATable[Priority],0))),"YES","NO"),"")</f>
        <v/>
      </c>
    </row>
    <row r="296" spans="26:36" ht="15" customHeight="1">
      <c r="Z296" s="76" t="e">
        <f t="shared" ca="1" si="28"/>
        <v>#N/A</v>
      </c>
      <c r="AA296" s="75" t="e">
        <f t="shared" ca="1" si="24"/>
        <v>#N/A</v>
      </c>
      <c r="AB296" s="76">
        <f t="shared" ca="1" si="29"/>
        <v>0</v>
      </c>
      <c r="AC296" s="75">
        <f t="shared" ca="1" si="25"/>
        <v>0</v>
      </c>
      <c r="AD296" s="76">
        <f t="shared" ca="1" si="30"/>
        <v>12388.425641203703</v>
      </c>
      <c r="AE296" s="76">
        <f t="shared" si="31"/>
        <v>0</v>
      </c>
      <c r="AF296" s="75">
        <f t="shared" si="26"/>
        <v>0</v>
      </c>
      <c r="AG296" s="75">
        <f t="shared" si="27"/>
        <v>0</v>
      </c>
      <c r="AH296" s="31" t="e" cm="1">
        <f t="array" aca="1" ref="AH296" ca="1">IF((AD296) &lt; (INDEX(ResponseSLA[#All],(MATCH((G296),ResponseSLA[Priority],0))+1,3)),"YES","No")</f>
        <v>#N/A</v>
      </c>
      <c r="AI296" s="31" t="str">
        <f>_xlfn.IFNA(IF(AE296 &lt; (INDEX(SLATable[Minimum SLA],MATCH(G296,SLATable[Priority],0))),"YES","NO"),"")</f>
        <v/>
      </c>
      <c r="AJ296" t="str">
        <f>_xlfn.IFNA(IF(AE296 &lt; (INDEX(SLATable[Maximum SLA],MATCH(G296,SLATable[Priority],0))),"YES","NO"),"")</f>
        <v/>
      </c>
    </row>
    <row r="297" spans="26:36" ht="15" customHeight="1">
      <c r="Z297" s="76" t="e">
        <f t="shared" ca="1" si="28"/>
        <v>#N/A</v>
      </c>
      <c r="AA297" s="75" t="e">
        <f t="shared" ca="1" si="24"/>
        <v>#N/A</v>
      </c>
      <c r="AB297" s="76">
        <f t="shared" ca="1" si="29"/>
        <v>0</v>
      </c>
      <c r="AC297" s="75">
        <f t="shared" ca="1" si="25"/>
        <v>0</v>
      </c>
      <c r="AD297" s="76">
        <f t="shared" ca="1" si="30"/>
        <v>12388.425641203703</v>
      </c>
      <c r="AE297" s="76">
        <f t="shared" si="31"/>
        <v>0</v>
      </c>
      <c r="AF297" s="75">
        <f t="shared" si="26"/>
        <v>0</v>
      </c>
      <c r="AG297" s="75">
        <f t="shared" si="27"/>
        <v>0</v>
      </c>
      <c r="AH297" s="31" t="e" cm="1">
        <f t="array" aca="1" ref="AH297" ca="1">IF((AD297) &lt; (INDEX(ResponseSLA[#All],(MATCH((G297),ResponseSLA[Priority],0))+1,3)),"YES","No")</f>
        <v>#N/A</v>
      </c>
      <c r="AI297" s="31" t="str">
        <f>_xlfn.IFNA(IF(AE297 &lt; (INDEX(SLATable[Minimum SLA],MATCH(G297,SLATable[Priority],0))),"YES","NO"),"")</f>
        <v/>
      </c>
      <c r="AJ297" t="str">
        <f>_xlfn.IFNA(IF(AE297 &lt; (INDEX(SLATable[Maximum SLA],MATCH(G297,SLATable[Priority],0))),"YES","NO"),"")</f>
        <v/>
      </c>
    </row>
    <row r="298" spans="26:36" ht="15" customHeight="1">
      <c r="Z298" s="76" t="e">
        <f t="shared" ca="1" si="28"/>
        <v>#N/A</v>
      </c>
      <c r="AA298" s="75" t="e">
        <f t="shared" ca="1" si="24"/>
        <v>#N/A</v>
      </c>
      <c r="AB298" s="76">
        <f t="shared" ca="1" si="29"/>
        <v>0</v>
      </c>
      <c r="AC298" s="75">
        <f t="shared" ca="1" si="25"/>
        <v>0</v>
      </c>
      <c r="AD298" s="76">
        <f t="shared" ca="1" si="30"/>
        <v>12388.425641435188</v>
      </c>
      <c r="AE298" s="76">
        <f t="shared" si="31"/>
        <v>0</v>
      </c>
      <c r="AF298" s="75">
        <f t="shared" si="26"/>
        <v>0</v>
      </c>
      <c r="AG298" s="75">
        <f t="shared" si="27"/>
        <v>0</v>
      </c>
      <c r="AH298" s="31" t="e" cm="1">
        <f t="array" aca="1" ref="AH298" ca="1">IF((AD298) &lt; (INDEX(ResponseSLA[#All],(MATCH((G298),ResponseSLA[Priority],0))+1,3)),"YES","No")</f>
        <v>#N/A</v>
      </c>
      <c r="AI298" s="31" t="str">
        <f>_xlfn.IFNA(IF(AE298 &lt; (INDEX(SLATable[Minimum SLA],MATCH(G298,SLATable[Priority],0))),"YES","NO"),"")</f>
        <v/>
      </c>
      <c r="AJ298" t="str">
        <f>_xlfn.IFNA(IF(AE298 &lt; (INDEX(SLATable[Maximum SLA],MATCH(G298,SLATable[Priority],0))),"YES","NO"),"")</f>
        <v/>
      </c>
    </row>
    <row r="299" spans="26:36" ht="15" customHeight="1">
      <c r="Z299" s="76" t="e">
        <f t="shared" ca="1" si="28"/>
        <v>#N/A</v>
      </c>
      <c r="AA299" s="75" t="e">
        <f t="shared" ca="1" si="24"/>
        <v>#N/A</v>
      </c>
      <c r="AB299" s="76">
        <f t="shared" ca="1" si="29"/>
        <v>0</v>
      </c>
      <c r="AC299" s="75">
        <f t="shared" ca="1" si="25"/>
        <v>0</v>
      </c>
      <c r="AD299" s="76">
        <f t="shared" ca="1" si="30"/>
        <v>12388.425641203703</v>
      </c>
      <c r="AE299" s="76">
        <f t="shared" si="31"/>
        <v>0</v>
      </c>
      <c r="AF299" s="75">
        <f t="shared" si="26"/>
        <v>0</v>
      </c>
      <c r="AG299" s="75">
        <f t="shared" si="27"/>
        <v>0</v>
      </c>
      <c r="AH299" s="31" t="e" cm="1">
        <f t="array" aca="1" ref="AH299" ca="1">IF((AD299) &lt; (INDEX(ResponseSLA[#All],(MATCH((G299),ResponseSLA[Priority],0))+1,3)),"YES","No")</f>
        <v>#N/A</v>
      </c>
      <c r="AI299" s="31" t="str">
        <f>_xlfn.IFNA(IF(AE299 &lt; (INDEX(SLATable[Minimum SLA],MATCH(G299,SLATable[Priority],0))),"YES","NO"),"")</f>
        <v/>
      </c>
      <c r="AJ299" t="str">
        <f>_xlfn.IFNA(IF(AE299 &lt; (INDEX(SLATable[Maximum SLA],MATCH(G299,SLATable[Priority],0))),"YES","NO"),"")</f>
        <v/>
      </c>
    </row>
    <row r="300" spans="26:36" ht="15" customHeight="1">
      <c r="Z300" s="76" t="e">
        <f t="shared" ca="1" si="28"/>
        <v>#N/A</v>
      </c>
      <c r="AA300" s="75" t="e">
        <f t="shared" ca="1" si="24"/>
        <v>#N/A</v>
      </c>
      <c r="AB300" s="76">
        <f t="shared" ca="1" si="29"/>
        <v>0</v>
      </c>
      <c r="AC300" s="75">
        <f t="shared" ca="1" si="25"/>
        <v>0</v>
      </c>
      <c r="AD300" s="76">
        <f t="shared" ca="1" si="30"/>
        <v>12388.425641203703</v>
      </c>
      <c r="AE300" s="76">
        <f t="shared" si="31"/>
        <v>0</v>
      </c>
      <c r="AF300" s="75">
        <f t="shared" si="26"/>
        <v>0</v>
      </c>
      <c r="AG300" s="75">
        <f t="shared" si="27"/>
        <v>0</v>
      </c>
      <c r="AH300" s="31" t="e" cm="1">
        <f t="array" aca="1" ref="AH300" ca="1">IF((AD300) &lt; (INDEX(ResponseSLA[#All],(MATCH((G300),ResponseSLA[Priority],0))+1,3)),"YES","No")</f>
        <v>#N/A</v>
      </c>
      <c r="AI300" s="31" t="str">
        <f>_xlfn.IFNA(IF(AE300 &lt; (INDEX(SLATable[Minimum SLA],MATCH(G300,SLATable[Priority],0))),"YES","NO"),"")</f>
        <v/>
      </c>
      <c r="AJ300" t="str">
        <f>_xlfn.IFNA(IF(AE300 &lt; (INDEX(SLATable[Maximum SLA],MATCH(G300,SLATable[Priority],0))),"YES","NO"),"")</f>
        <v/>
      </c>
    </row>
    <row r="301" spans="26:36" ht="15" customHeight="1">
      <c r="Z301" s="76" t="e">
        <f t="shared" ca="1" si="28"/>
        <v>#N/A</v>
      </c>
      <c r="AA301" s="75" t="e">
        <f t="shared" ca="1" si="24"/>
        <v>#N/A</v>
      </c>
      <c r="AB301" s="76">
        <f t="shared" ca="1" si="29"/>
        <v>0</v>
      </c>
      <c r="AC301" s="75">
        <f t="shared" ca="1" si="25"/>
        <v>0</v>
      </c>
      <c r="AD301" s="76">
        <f t="shared" ca="1" si="30"/>
        <v>12388.425641435188</v>
      </c>
      <c r="AE301" s="76">
        <f t="shared" si="31"/>
        <v>0</v>
      </c>
      <c r="AF301" s="75">
        <f t="shared" si="26"/>
        <v>0</v>
      </c>
      <c r="AG301" s="75">
        <f t="shared" si="27"/>
        <v>0</v>
      </c>
      <c r="AH301" s="31" t="e" cm="1">
        <f t="array" aca="1" ref="AH301" ca="1">IF((AD301) &lt; (INDEX(ResponseSLA[#All],(MATCH((G301),ResponseSLA[Priority],0))+1,3)),"YES","No")</f>
        <v>#N/A</v>
      </c>
      <c r="AI301" s="31" t="str">
        <f>_xlfn.IFNA(IF(AE301 &lt; (INDEX(SLATable[Minimum SLA],MATCH(G301,SLATable[Priority],0))),"YES","NO"),"")</f>
        <v/>
      </c>
      <c r="AJ301" t="str">
        <f>_xlfn.IFNA(IF(AE301 &lt; (INDEX(SLATable[Maximum SLA],MATCH(G301,SLATable[Priority],0))),"YES","NO"),"")</f>
        <v/>
      </c>
    </row>
    <row r="302" spans="26:36" ht="15" customHeight="1">
      <c r="Z302" s="76" t="e">
        <f t="shared" ca="1" si="28"/>
        <v>#N/A</v>
      </c>
      <c r="AA302" s="75" t="e">
        <f t="shared" ca="1" si="24"/>
        <v>#N/A</v>
      </c>
      <c r="AB302" s="76">
        <f t="shared" ca="1" si="29"/>
        <v>0</v>
      </c>
      <c r="AC302" s="75">
        <f t="shared" ca="1" si="25"/>
        <v>0</v>
      </c>
      <c r="AD302" s="76">
        <f t="shared" ca="1" si="30"/>
        <v>12388.425641203703</v>
      </c>
      <c r="AE302" s="76">
        <f t="shared" si="31"/>
        <v>0</v>
      </c>
      <c r="AF302" s="75">
        <f t="shared" si="26"/>
        <v>0</v>
      </c>
      <c r="AG302" s="75">
        <f t="shared" si="27"/>
        <v>0</v>
      </c>
      <c r="AH302" s="31" t="e" cm="1">
        <f t="array" aca="1" ref="AH302" ca="1">IF((AD302) &lt; (INDEX(ResponseSLA[#All],(MATCH((G302),ResponseSLA[Priority],0))+1,3)),"YES","No")</f>
        <v>#N/A</v>
      </c>
      <c r="AI302" s="31" t="str">
        <f>_xlfn.IFNA(IF(AE302 &lt; (INDEX(SLATable[Minimum SLA],MATCH(G302,SLATable[Priority],0))),"YES","NO"),"")</f>
        <v/>
      </c>
      <c r="AJ302" t="str">
        <f>_xlfn.IFNA(IF(AE302 &lt; (INDEX(SLATable[Maximum SLA],MATCH(G302,SLATable[Priority],0))),"YES","NO"),"")</f>
        <v/>
      </c>
    </row>
    <row r="303" spans="26:36" ht="15" customHeight="1">
      <c r="Z303" s="76" t="e">
        <f t="shared" ca="1" si="28"/>
        <v>#N/A</v>
      </c>
      <c r="AA303" s="75" t="e">
        <f t="shared" ca="1" si="24"/>
        <v>#N/A</v>
      </c>
      <c r="AB303" s="76">
        <f t="shared" ca="1" si="29"/>
        <v>0</v>
      </c>
      <c r="AC303" s="75">
        <f t="shared" ca="1" si="25"/>
        <v>0</v>
      </c>
      <c r="AD303" s="76">
        <f t="shared" ca="1" si="30"/>
        <v>12388.425641203703</v>
      </c>
      <c r="AE303" s="76">
        <f t="shared" si="31"/>
        <v>0</v>
      </c>
      <c r="AF303" s="75">
        <f t="shared" si="26"/>
        <v>0</v>
      </c>
      <c r="AG303" s="75">
        <f t="shared" si="27"/>
        <v>0</v>
      </c>
      <c r="AH303" s="31" t="e" cm="1">
        <f t="array" aca="1" ref="AH303" ca="1">IF((AD303) &lt; (INDEX(ResponseSLA[#All],(MATCH((G303),ResponseSLA[Priority],0))+1,3)),"YES","No")</f>
        <v>#N/A</v>
      </c>
      <c r="AI303" s="31" t="str">
        <f>_xlfn.IFNA(IF(AE303 &lt; (INDEX(SLATable[Minimum SLA],MATCH(G303,SLATable[Priority],0))),"YES","NO"),"")</f>
        <v/>
      </c>
      <c r="AJ303" t="str">
        <f>_xlfn.IFNA(IF(AE303 &lt; (INDEX(SLATable[Maximum SLA],MATCH(G303,SLATable[Priority],0))),"YES","NO"),"")</f>
        <v/>
      </c>
    </row>
    <row r="304" spans="26:36" ht="15" customHeight="1">
      <c r="Z304" s="76" t="e">
        <f t="shared" ca="1" si="28"/>
        <v>#N/A</v>
      </c>
      <c r="AA304" s="75" t="e">
        <f t="shared" ca="1" si="24"/>
        <v>#N/A</v>
      </c>
      <c r="AB304" s="76">
        <f t="shared" ca="1" si="29"/>
        <v>0</v>
      </c>
      <c r="AC304" s="75">
        <f t="shared" ca="1" si="25"/>
        <v>0</v>
      </c>
      <c r="AD304" s="76">
        <f t="shared" ca="1" si="30"/>
        <v>12388.425641435188</v>
      </c>
      <c r="AE304" s="76">
        <f t="shared" si="31"/>
        <v>0</v>
      </c>
      <c r="AF304" s="75">
        <f t="shared" si="26"/>
        <v>0</v>
      </c>
      <c r="AG304" s="75">
        <f t="shared" si="27"/>
        <v>0</v>
      </c>
      <c r="AH304" s="31" t="e" cm="1">
        <f t="array" aca="1" ref="AH304" ca="1">IF((AD304) &lt; (INDEX(ResponseSLA[#All],(MATCH((G304),ResponseSLA[Priority],0))+1,3)),"YES","No")</f>
        <v>#N/A</v>
      </c>
      <c r="AI304" s="31" t="str">
        <f>_xlfn.IFNA(IF(AE304 &lt; (INDEX(SLATable[Minimum SLA],MATCH(G304,SLATable[Priority],0))),"YES","NO"),"")</f>
        <v/>
      </c>
      <c r="AJ304" t="str">
        <f>_xlfn.IFNA(IF(AE304 &lt; (INDEX(SLATable[Maximum SLA],MATCH(G304,SLATable[Priority],0))),"YES","NO"),"")</f>
        <v/>
      </c>
    </row>
    <row r="305" spans="26:36" ht="15" customHeight="1">
      <c r="Z305" s="76" t="e">
        <f t="shared" ca="1" si="28"/>
        <v>#N/A</v>
      </c>
      <c r="AA305" s="75" t="e">
        <f t="shared" ca="1" si="24"/>
        <v>#N/A</v>
      </c>
      <c r="AB305" s="76">
        <f t="shared" ca="1" si="29"/>
        <v>0</v>
      </c>
      <c r="AC305" s="75">
        <f t="shared" ca="1" si="25"/>
        <v>0</v>
      </c>
      <c r="AD305" s="76">
        <f t="shared" ca="1" si="30"/>
        <v>12388.425641203703</v>
      </c>
      <c r="AE305" s="76">
        <f t="shared" si="31"/>
        <v>0</v>
      </c>
      <c r="AF305" s="75">
        <f t="shared" si="26"/>
        <v>0</v>
      </c>
      <c r="AG305" s="75">
        <f t="shared" si="27"/>
        <v>0</v>
      </c>
      <c r="AH305" s="31" t="e" cm="1">
        <f t="array" aca="1" ref="AH305" ca="1">IF((AD305) &lt; (INDEX(ResponseSLA[#All],(MATCH((G305),ResponseSLA[Priority],0))+1,3)),"YES","No")</f>
        <v>#N/A</v>
      </c>
      <c r="AI305" s="31" t="str">
        <f>_xlfn.IFNA(IF(AE305 &lt; (INDEX(SLATable[Minimum SLA],MATCH(G305,SLATable[Priority],0))),"YES","NO"),"")</f>
        <v/>
      </c>
      <c r="AJ305" t="str">
        <f>_xlfn.IFNA(IF(AE305 &lt; (INDEX(SLATable[Maximum SLA],MATCH(G305,SLATable[Priority],0))),"YES","NO"),"")</f>
        <v/>
      </c>
    </row>
    <row r="306" spans="26:36" ht="15" customHeight="1">
      <c r="Z306" s="76" t="e">
        <f t="shared" ca="1" si="28"/>
        <v>#N/A</v>
      </c>
      <c r="AA306" s="75" t="e">
        <f t="shared" ca="1" si="24"/>
        <v>#N/A</v>
      </c>
      <c r="AB306" s="76">
        <f t="shared" ca="1" si="29"/>
        <v>0</v>
      </c>
      <c r="AC306" s="75">
        <f t="shared" ca="1" si="25"/>
        <v>0</v>
      </c>
      <c r="AD306" s="76">
        <f t="shared" ca="1" si="30"/>
        <v>12388.425641203703</v>
      </c>
      <c r="AE306" s="76">
        <f t="shared" si="31"/>
        <v>0</v>
      </c>
      <c r="AF306" s="75">
        <f t="shared" si="26"/>
        <v>0</v>
      </c>
      <c r="AG306" s="75">
        <f t="shared" si="27"/>
        <v>0</v>
      </c>
      <c r="AH306" s="31" t="e" cm="1">
        <f t="array" aca="1" ref="AH306" ca="1">IF((AD306) &lt; (INDEX(ResponseSLA[#All],(MATCH((G306),ResponseSLA[Priority],0))+1,3)),"YES","No")</f>
        <v>#N/A</v>
      </c>
      <c r="AI306" s="31" t="str">
        <f>_xlfn.IFNA(IF(AE306 &lt; (INDEX(SLATable[Minimum SLA],MATCH(G306,SLATable[Priority],0))),"YES","NO"),"")</f>
        <v/>
      </c>
      <c r="AJ306" t="str">
        <f>_xlfn.IFNA(IF(AE306 &lt; (INDEX(SLATable[Maximum SLA],MATCH(G306,SLATable[Priority],0))),"YES","NO"),"")</f>
        <v/>
      </c>
    </row>
    <row r="307" spans="26:36" ht="15" customHeight="1">
      <c r="Z307" s="76" t="e">
        <f t="shared" ca="1" si="28"/>
        <v>#N/A</v>
      </c>
      <c r="AA307" s="75" t="e">
        <f t="shared" ca="1" si="24"/>
        <v>#N/A</v>
      </c>
      <c r="AB307" s="76">
        <f t="shared" ca="1" si="29"/>
        <v>0</v>
      </c>
      <c r="AC307" s="75">
        <f t="shared" ca="1" si="25"/>
        <v>0</v>
      </c>
      <c r="AD307" s="76">
        <f t="shared" ca="1" si="30"/>
        <v>12388.425641435188</v>
      </c>
      <c r="AE307" s="76">
        <f t="shared" si="31"/>
        <v>0</v>
      </c>
      <c r="AF307" s="75">
        <f t="shared" si="26"/>
        <v>0</v>
      </c>
      <c r="AG307" s="75">
        <f t="shared" si="27"/>
        <v>0</v>
      </c>
      <c r="AH307" s="31" t="e" cm="1">
        <f t="array" aca="1" ref="AH307" ca="1">IF((AD307) &lt; (INDEX(ResponseSLA[#All],(MATCH((G307),ResponseSLA[Priority],0))+1,3)),"YES","No")</f>
        <v>#N/A</v>
      </c>
      <c r="AI307" s="31" t="str">
        <f>_xlfn.IFNA(IF(AE307 &lt; (INDEX(SLATable[Minimum SLA],MATCH(G307,SLATable[Priority],0))),"YES","NO"),"")</f>
        <v/>
      </c>
      <c r="AJ307" t="str">
        <f>_xlfn.IFNA(IF(AE307 &lt; (INDEX(SLATable[Maximum SLA],MATCH(G307,SLATable[Priority],0))),"YES","NO"),"")</f>
        <v/>
      </c>
    </row>
    <row r="308" spans="26:36" ht="15" customHeight="1">
      <c r="Z308" s="76" t="e">
        <f t="shared" ca="1" si="28"/>
        <v>#N/A</v>
      </c>
      <c r="AA308" s="75" t="e">
        <f t="shared" ca="1" si="24"/>
        <v>#N/A</v>
      </c>
      <c r="AB308" s="76">
        <f t="shared" ca="1" si="29"/>
        <v>0</v>
      </c>
      <c r="AC308" s="75">
        <f t="shared" ca="1" si="25"/>
        <v>0</v>
      </c>
      <c r="AD308" s="76">
        <f t="shared" ca="1" si="30"/>
        <v>12388.425641203703</v>
      </c>
      <c r="AE308" s="76">
        <f t="shared" si="31"/>
        <v>0</v>
      </c>
      <c r="AF308" s="75">
        <f t="shared" si="26"/>
        <v>0</v>
      </c>
      <c r="AG308" s="75">
        <f t="shared" si="27"/>
        <v>0</v>
      </c>
      <c r="AH308" s="31" t="e" cm="1">
        <f t="array" aca="1" ref="AH308" ca="1">IF((AD308) &lt; (INDEX(ResponseSLA[#All],(MATCH((G308),ResponseSLA[Priority],0))+1,3)),"YES","No")</f>
        <v>#N/A</v>
      </c>
      <c r="AI308" s="31" t="str">
        <f>_xlfn.IFNA(IF(AE308 &lt; (INDEX(SLATable[Minimum SLA],MATCH(G308,SLATable[Priority],0))),"YES","NO"),"")</f>
        <v/>
      </c>
      <c r="AJ308" t="str">
        <f>_xlfn.IFNA(IF(AE308 &lt; (INDEX(SLATable[Maximum SLA],MATCH(G308,SLATable[Priority],0))),"YES","NO"),"")</f>
        <v/>
      </c>
    </row>
    <row r="309" spans="26:36" ht="15" customHeight="1">
      <c r="Z309" s="76" t="e">
        <f t="shared" ca="1" si="28"/>
        <v>#N/A</v>
      </c>
      <c r="AA309" s="75" t="e">
        <f t="shared" ca="1" si="24"/>
        <v>#N/A</v>
      </c>
      <c r="AB309" s="76">
        <f t="shared" ca="1" si="29"/>
        <v>0</v>
      </c>
      <c r="AC309" s="75">
        <f t="shared" ca="1" si="25"/>
        <v>0</v>
      </c>
      <c r="AD309" s="76">
        <f t="shared" ca="1" si="30"/>
        <v>12388.425641203703</v>
      </c>
      <c r="AE309" s="76">
        <f t="shared" si="31"/>
        <v>0</v>
      </c>
      <c r="AF309" s="75">
        <f t="shared" si="26"/>
        <v>0</v>
      </c>
      <c r="AG309" s="75">
        <f t="shared" si="27"/>
        <v>0</v>
      </c>
      <c r="AH309" s="31" t="e" cm="1">
        <f t="array" aca="1" ref="AH309" ca="1">IF((AD309) &lt; (INDEX(ResponseSLA[#All],(MATCH((G309),ResponseSLA[Priority],0))+1,3)),"YES","No")</f>
        <v>#N/A</v>
      </c>
      <c r="AI309" s="31" t="str">
        <f>_xlfn.IFNA(IF(AE309 &lt; (INDEX(SLATable[Minimum SLA],MATCH(G309,SLATable[Priority],0))),"YES","NO"),"")</f>
        <v/>
      </c>
      <c r="AJ309" t="str">
        <f>_xlfn.IFNA(IF(AE309 &lt; (INDEX(SLATable[Maximum SLA],MATCH(G309,SLATable[Priority],0))),"YES","NO"),"")</f>
        <v/>
      </c>
    </row>
    <row r="310" spans="26:36" ht="15" customHeight="1">
      <c r="Z310" s="76" t="e">
        <f t="shared" ca="1" si="28"/>
        <v>#N/A</v>
      </c>
      <c r="AA310" s="75" t="e">
        <f t="shared" ca="1" si="24"/>
        <v>#N/A</v>
      </c>
      <c r="AB310" s="76">
        <f t="shared" ca="1" si="29"/>
        <v>0</v>
      </c>
      <c r="AC310" s="75">
        <f t="shared" ca="1" si="25"/>
        <v>0</v>
      </c>
      <c r="AD310" s="76">
        <f t="shared" ca="1" si="30"/>
        <v>12388.425641435188</v>
      </c>
      <c r="AE310" s="76">
        <f t="shared" si="31"/>
        <v>0</v>
      </c>
      <c r="AF310" s="75">
        <f t="shared" si="26"/>
        <v>0</v>
      </c>
      <c r="AG310" s="75">
        <f t="shared" si="27"/>
        <v>0</v>
      </c>
      <c r="AH310" s="31" t="e" cm="1">
        <f t="array" aca="1" ref="AH310" ca="1">IF((AD310) &lt; (INDEX(ResponseSLA[#All],(MATCH((G310),ResponseSLA[Priority],0))+1,3)),"YES","No")</f>
        <v>#N/A</v>
      </c>
      <c r="AI310" s="31" t="str">
        <f>_xlfn.IFNA(IF(AE310 &lt; (INDEX(SLATable[Minimum SLA],MATCH(G310,SLATable[Priority],0))),"YES","NO"),"")</f>
        <v/>
      </c>
      <c r="AJ310" t="str">
        <f>_xlfn.IFNA(IF(AE310 &lt; (INDEX(SLATable[Maximum SLA],MATCH(G310,SLATable[Priority],0))),"YES","NO"),"")</f>
        <v/>
      </c>
    </row>
    <row r="311" spans="26:36" ht="15" customHeight="1">
      <c r="Z311" s="76" t="e">
        <f t="shared" ca="1" si="28"/>
        <v>#N/A</v>
      </c>
      <c r="AA311" s="75" t="e">
        <f t="shared" ca="1" si="24"/>
        <v>#N/A</v>
      </c>
      <c r="AB311" s="76">
        <f t="shared" ca="1" si="29"/>
        <v>0</v>
      </c>
      <c r="AC311" s="75">
        <f t="shared" ca="1" si="25"/>
        <v>0</v>
      </c>
      <c r="AD311" s="76">
        <f t="shared" ca="1" si="30"/>
        <v>12388.425641203703</v>
      </c>
      <c r="AE311" s="76">
        <f t="shared" si="31"/>
        <v>0</v>
      </c>
      <c r="AF311" s="75">
        <f t="shared" si="26"/>
        <v>0</v>
      </c>
      <c r="AG311" s="75">
        <f t="shared" si="27"/>
        <v>0</v>
      </c>
      <c r="AH311" s="31" t="e" cm="1">
        <f t="array" aca="1" ref="AH311" ca="1">IF((AD311) &lt; (INDEX(ResponseSLA[#All],(MATCH((G311),ResponseSLA[Priority],0))+1,3)),"YES","No")</f>
        <v>#N/A</v>
      </c>
      <c r="AI311" s="31" t="str">
        <f>_xlfn.IFNA(IF(AE311 &lt; (INDEX(SLATable[Minimum SLA],MATCH(G311,SLATable[Priority],0))),"YES","NO"),"")</f>
        <v/>
      </c>
      <c r="AJ311" t="str">
        <f>_xlfn.IFNA(IF(AE311 &lt; (INDEX(SLATable[Maximum SLA],MATCH(G311,SLATable[Priority],0))),"YES","NO"),"")</f>
        <v/>
      </c>
    </row>
    <row r="312" spans="26:36" ht="15" customHeight="1">
      <c r="Z312" s="76" t="e">
        <f t="shared" ca="1" si="28"/>
        <v>#N/A</v>
      </c>
      <c r="AA312" s="75" t="e">
        <f t="shared" ca="1" si="24"/>
        <v>#N/A</v>
      </c>
      <c r="AB312" s="76">
        <f t="shared" ca="1" si="29"/>
        <v>0</v>
      </c>
      <c r="AC312" s="75">
        <f t="shared" ca="1" si="25"/>
        <v>0</v>
      </c>
      <c r="AD312" s="76">
        <f t="shared" ca="1" si="30"/>
        <v>12388.425641203703</v>
      </c>
      <c r="AE312" s="76">
        <f t="shared" si="31"/>
        <v>0</v>
      </c>
      <c r="AF312" s="75">
        <f t="shared" si="26"/>
        <v>0</v>
      </c>
      <c r="AG312" s="75">
        <f t="shared" si="27"/>
        <v>0</v>
      </c>
      <c r="AH312" s="31" t="e" cm="1">
        <f t="array" aca="1" ref="AH312" ca="1">IF((AD312) &lt; (INDEX(ResponseSLA[#All],(MATCH((G312),ResponseSLA[Priority],0))+1,3)),"YES","No")</f>
        <v>#N/A</v>
      </c>
      <c r="AI312" s="31" t="str">
        <f>_xlfn.IFNA(IF(AE312 &lt; (INDEX(SLATable[Minimum SLA],MATCH(G312,SLATable[Priority],0))),"YES","NO"),"")</f>
        <v/>
      </c>
      <c r="AJ312" t="str">
        <f>_xlfn.IFNA(IF(AE312 &lt; (INDEX(SLATable[Maximum SLA],MATCH(G312,SLATable[Priority],0))),"YES","NO"),"")</f>
        <v/>
      </c>
    </row>
    <row r="313" spans="26:36" ht="15" customHeight="1">
      <c r="Z313" s="76" t="e">
        <f t="shared" ca="1" si="28"/>
        <v>#N/A</v>
      </c>
      <c r="AA313" s="75" t="e">
        <f t="shared" ca="1" si="24"/>
        <v>#N/A</v>
      </c>
      <c r="AB313" s="76">
        <f t="shared" ca="1" si="29"/>
        <v>0</v>
      </c>
      <c r="AC313" s="75">
        <f t="shared" ca="1" si="25"/>
        <v>0</v>
      </c>
      <c r="AD313" s="76">
        <f t="shared" ca="1" si="30"/>
        <v>12388.425641435188</v>
      </c>
      <c r="AE313" s="76">
        <f t="shared" si="31"/>
        <v>0</v>
      </c>
      <c r="AF313" s="75">
        <f t="shared" si="26"/>
        <v>0</v>
      </c>
      <c r="AG313" s="75">
        <f t="shared" si="27"/>
        <v>0</v>
      </c>
      <c r="AH313" s="31" t="e" cm="1">
        <f t="array" aca="1" ref="AH313" ca="1">IF((AD313) &lt; (INDEX(ResponseSLA[#All],(MATCH((G313),ResponseSLA[Priority],0))+1,3)),"YES","No")</f>
        <v>#N/A</v>
      </c>
      <c r="AI313" s="31" t="str">
        <f>_xlfn.IFNA(IF(AE313 &lt; (INDEX(SLATable[Minimum SLA],MATCH(G313,SLATable[Priority],0))),"YES","NO"),"")</f>
        <v/>
      </c>
      <c r="AJ313" t="str">
        <f>_xlfn.IFNA(IF(AE313 &lt; (INDEX(SLATable[Maximum SLA],MATCH(G313,SLATable[Priority],0))),"YES","NO"),"")</f>
        <v/>
      </c>
    </row>
    <row r="314" spans="26:36" ht="15" customHeight="1">
      <c r="Z314" s="76" t="e">
        <f t="shared" ca="1" si="28"/>
        <v>#N/A</v>
      </c>
      <c r="AA314" s="75" t="e">
        <f t="shared" ca="1" si="24"/>
        <v>#N/A</v>
      </c>
      <c r="AB314" s="76">
        <f t="shared" ca="1" si="29"/>
        <v>0</v>
      </c>
      <c r="AC314" s="75">
        <f t="shared" ca="1" si="25"/>
        <v>0</v>
      </c>
      <c r="AD314" s="76">
        <f t="shared" ca="1" si="30"/>
        <v>12388.425641203703</v>
      </c>
      <c r="AE314" s="76">
        <f t="shared" si="31"/>
        <v>0</v>
      </c>
      <c r="AF314" s="75">
        <f t="shared" si="26"/>
        <v>0</v>
      </c>
      <c r="AG314" s="75">
        <f t="shared" si="27"/>
        <v>0</v>
      </c>
      <c r="AH314" s="31" t="e" cm="1">
        <f t="array" aca="1" ref="AH314" ca="1">IF((AD314) &lt; (INDEX(ResponseSLA[#All],(MATCH((G314),ResponseSLA[Priority],0))+1,3)),"YES","No")</f>
        <v>#N/A</v>
      </c>
      <c r="AI314" s="31" t="str">
        <f>_xlfn.IFNA(IF(AE314 &lt; (INDEX(SLATable[Minimum SLA],MATCH(G314,SLATable[Priority],0))),"YES","NO"),"")</f>
        <v/>
      </c>
      <c r="AJ314" t="str">
        <f>_xlfn.IFNA(IF(AE314 &lt; (INDEX(SLATable[Maximum SLA],MATCH(G314,SLATable[Priority],0))),"YES","NO"),"")</f>
        <v/>
      </c>
    </row>
    <row r="315" spans="26:36" ht="15" customHeight="1">
      <c r="Z315" s="76" t="e">
        <f t="shared" ca="1" si="28"/>
        <v>#N/A</v>
      </c>
      <c r="AA315" s="75" t="e">
        <f t="shared" ca="1" si="24"/>
        <v>#N/A</v>
      </c>
      <c r="AB315" s="76">
        <f t="shared" ca="1" si="29"/>
        <v>0</v>
      </c>
      <c r="AC315" s="75">
        <f t="shared" ca="1" si="25"/>
        <v>0</v>
      </c>
      <c r="AD315" s="76">
        <f t="shared" ca="1" si="30"/>
        <v>12388.425641203703</v>
      </c>
      <c r="AE315" s="76">
        <f t="shared" si="31"/>
        <v>0</v>
      </c>
      <c r="AF315" s="75">
        <f t="shared" si="26"/>
        <v>0</v>
      </c>
      <c r="AG315" s="75">
        <f t="shared" si="27"/>
        <v>0</v>
      </c>
      <c r="AH315" s="31" t="e" cm="1">
        <f t="array" aca="1" ref="AH315" ca="1">IF((AD315) &lt; (INDEX(ResponseSLA[#All],(MATCH((G315),ResponseSLA[Priority],0))+1,3)),"YES","No")</f>
        <v>#N/A</v>
      </c>
      <c r="AI315" s="31" t="str">
        <f>_xlfn.IFNA(IF(AE315 &lt; (INDEX(SLATable[Minimum SLA],MATCH(G315,SLATable[Priority],0))),"YES","NO"),"")</f>
        <v/>
      </c>
      <c r="AJ315" t="str">
        <f>_xlfn.IFNA(IF(AE315 &lt; (INDEX(SLATable[Maximum SLA],MATCH(G315,SLATable[Priority],0))),"YES","NO"),"")</f>
        <v/>
      </c>
    </row>
    <row r="316" spans="26:36" ht="15" customHeight="1">
      <c r="Z316" s="76" t="e">
        <f t="shared" ca="1" si="28"/>
        <v>#N/A</v>
      </c>
      <c r="AA316" s="75" t="e">
        <f t="shared" ca="1" si="24"/>
        <v>#N/A</v>
      </c>
      <c r="AB316" s="76">
        <f t="shared" ca="1" si="29"/>
        <v>0</v>
      </c>
      <c r="AC316" s="75">
        <f t="shared" ca="1" si="25"/>
        <v>0</v>
      </c>
      <c r="AD316" s="76">
        <f t="shared" ca="1" si="30"/>
        <v>12388.425641435188</v>
      </c>
      <c r="AE316" s="76">
        <f t="shared" si="31"/>
        <v>0</v>
      </c>
      <c r="AF316" s="75">
        <f t="shared" si="26"/>
        <v>0</v>
      </c>
      <c r="AG316" s="75">
        <f t="shared" si="27"/>
        <v>0</v>
      </c>
      <c r="AH316" s="31" t="e" cm="1">
        <f t="array" aca="1" ref="AH316" ca="1">IF((AD316) &lt; (INDEX(ResponseSLA[#All],(MATCH((G316),ResponseSLA[Priority],0))+1,3)),"YES","No")</f>
        <v>#N/A</v>
      </c>
      <c r="AI316" s="31" t="str">
        <f>_xlfn.IFNA(IF(AE316 &lt; (INDEX(SLATable[Minimum SLA],MATCH(G316,SLATable[Priority],0))),"YES","NO"),"")</f>
        <v/>
      </c>
      <c r="AJ316" t="str">
        <f>_xlfn.IFNA(IF(AE316 &lt; (INDEX(SLATable[Maximum SLA],MATCH(G316,SLATable[Priority],0))),"YES","NO"),"")</f>
        <v/>
      </c>
    </row>
    <row r="317" spans="26:36" ht="15" customHeight="1">
      <c r="Z317" s="76" t="e">
        <f t="shared" ca="1" si="28"/>
        <v>#N/A</v>
      </c>
      <c r="AA317" s="75" t="e">
        <f t="shared" ca="1" si="24"/>
        <v>#N/A</v>
      </c>
      <c r="AB317" s="76">
        <f t="shared" ca="1" si="29"/>
        <v>0</v>
      </c>
      <c r="AC317" s="75">
        <f t="shared" ca="1" si="25"/>
        <v>0</v>
      </c>
      <c r="AD317" s="76">
        <f t="shared" ca="1" si="30"/>
        <v>12388.425641203703</v>
      </c>
      <c r="AE317" s="76">
        <f t="shared" si="31"/>
        <v>0</v>
      </c>
      <c r="AF317" s="75">
        <f t="shared" si="26"/>
        <v>0</v>
      </c>
      <c r="AG317" s="75">
        <f t="shared" si="27"/>
        <v>0</v>
      </c>
      <c r="AH317" s="31" t="e" cm="1">
        <f t="array" aca="1" ref="AH317" ca="1">IF((AD317) &lt; (INDEX(ResponseSLA[#All],(MATCH((G317),ResponseSLA[Priority],0))+1,3)),"YES","No")</f>
        <v>#N/A</v>
      </c>
      <c r="AI317" s="31" t="str">
        <f>_xlfn.IFNA(IF(AE317 &lt; (INDEX(SLATable[Minimum SLA],MATCH(G317,SLATable[Priority],0))),"YES","NO"),"")</f>
        <v/>
      </c>
      <c r="AJ317" t="str">
        <f>_xlfn.IFNA(IF(AE317 &lt; (INDEX(SLATable[Maximum SLA],MATCH(G317,SLATable[Priority],0))),"YES","NO"),"")</f>
        <v/>
      </c>
    </row>
    <row r="318" spans="26:36" ht="15" customHeight="1">
      <c r="Z318" s="76" t="e">
        <f t="shared" ca="1" si="28"/>
        <v>#N/A</v>
      </c>
      <c r="AA318" s="75" t="e">
        <f t="shared" ca="1" si="24"/>
        <v>#N/A</v>
      </c>
      <c r="AB318" s="76">
        <f t="shared" ca="1" si="29"/>
        <v>0</v>
      </c>
      <c r="AC318" s="75">
        <f t="shared" ca="1" si="25"/>
        <v>0</v>
      </c>
      <c r="AD318" s="76">
        <f t="shared" ca="1" si="30"/>
        <v>12388.425641203703</v>
      </c>
      <c r="AE318" s="76">
        <f t="shared" si="31"/>
        <v>0</v>
      </c>
      <c r="AF318" s="75">
        <f t="shared" si="26"/>
        <v>0</v>
      </c>
      <c r="AG318" s="75">
        <f t="shared" si="27"/>
        <v>0</v>
      </c>
      <c r="AH318" s="31" t="e" cm="1">
        <f t="array" aca="1" ref="AH318" ca="1">IF((AD318) &lt; (INDEX(ResponseSLA[#All],(MATCH((G318),ResponseSLA[Priority],0))+1,3)),"YES","No")</f>
        <v>#N/A</v>
      </c>
      <c r="AI318" s="31" t="str">
        <f>_xlfn.IFNA(IF(AE318 &lt; (INDEX(SLATable[Minimum SLA],MATCH(G318,SLATable[Priority],0))),"YES","NO"),"")</f>
        <v/>
      </c>
      <c r="AJ318" t="str">
        <f>_xlfn.IFNA(IF(AE318 &lt; (INDEX(SLATable[Maximum SLA],MATCH(G318,SLATable[Priority],0))),"YES","NO"),"")</f>
        <v/>
      </c>
    </row>
    <row r="319" spans="26:36" ht="15" customHeight="1">
      <c r="Z319" s="76" t="e">
        <f t="shared" ca="1" si="28"/>
        <v>#N/A</v>
      </c>
      <c r="AA319" s="75" t="e">
        <f t="shared" ca="1" si="24"/>
        <v>#N/A</v>
      </c>
      <c r="AB319" s="76">
        <f t="shared" ca="1" si="29"/>
        <v>0</v>
      </c>
      <c r="AC319" s="75">
        <f t="shared" ca="1" si="25"/>
        <v>0</v>
      </c>
      <c r="AD319" s="76">
        <f t="shared" ca="1" si="30"/>
        <v>12388.425641435188</v>
      </c>
      <c r="AE319" s="76">
        <f t="shared" si="31"/>
        <v>0</v>
      </c>
      <c r="AF319" s="75">
        <f t="shared" si="26"/>
        <v>0</v>
      </c>
      <c r="AG319" s="75">
        <f t="shared" si="27"/>
        <v>0</v>
      </c>
      <c r="AH319" s="31" t="e" cm="1">
        <f t="array" aca="1" ref="AH319" ca="1">IF((AD319) &lt; (INDEX(ResponseSLA[#All],(MATCH((G319),ResponseSLA[Priority],0))+1,3)),"YES","No")</f>
        <v>#N/A</v>
      </c>
      <c r="AI319" s="31" t="str">
        <f>_xlfn.IFNA(IF(AE319 &lt; (INDEX(SLATable[Minimum SLA],MATCH(G319,SLATable[Priority],0))),"YES","NO"),"")</f>
        <v/>
      </c>
      <c r="AJ319" t="str">
        <f>_xlfn.IFNA(IF(AE319 &lt; (INDEX(SLATable[Maximum SLA],MATCH(G319,SLATable[Priority],0))),"YES","NO"),"")</f>
        <v/>
      </c>
    </row>
    <row r="320" spans="26:36" ht="15" customHeight="1">
      <c r="Z320" s="76" t="e">
        <f t="shared" ca="1" si="28"/>
        <v>#N/A</v>
      </c>
      <c r="AA320" s="75" t="e">
        <f t="shared" ca="1" si="24"/>
        <v>#N/A</v>
      </c>
      <c r="AB320" s="76">
        <f t="shared" ca="1" si="29"/>
        <v>0</v>
      </c>
      <c r="AC320" s="75">
        <f t="shared" ca="1" si="25"/>
        <v>0</v>
      </c>
      <c r="AD320" s="76">
        <f t="shared" ca="1" si="30"/>
        <v>12388.425641203703</v>
      </c>
      <c r="AE320" s="76">
        <f t="shared" si="31"/>
        <v>0</v>
      </c>
      <c r="AF320" s="75">
        <f t="shared" si="26"/>
        <v>0</v>
      </c>
      <c r="AG320" s="75">
        <f t="shared" si="27"/>
        <v>0</v>
      </c>
      <c r="AH320" s="31" t="e" cm="1">
        <f t="array" aca="1" ref="AH320" ca="1">IF((AD320) &lt; (INDEX(ResponseSLA[#All],(MATCH((G320),ResponseSLA[Priority],0))+1,3)),"YES","No")</f>
        <v>#N/A</v>
      </c>
      <c r="AI320" s="31" t="str">
        <f>_xlfn.IFNA(IF(AE320 &lt; (INDEX(SLATable[Minimum SLA],MATCH(G320,SLATable[Priority],0))),"YES","NO"),"")</f>
        <v/>
      </c>
      <c r="AJ320" t="str">
        <f>_xlfn.IFNA(IF(AE320 &lt; (INDEX(SLATable[Maximum SLA],MATCH(G320,SLATable[Priority],0))),"YES","NO"),"")</f>
        <v/>
      </c>
    </row>
    <row r="321" spans="26:36" ht="15" customHeight="1">
      <c r="Z321" s="76" t="e">
        <f t="shared" ca="1" si="28"/>
        <v>#N/A</v>
      </c>
      <c r="AA321" s="75" t="e">
        <f t="shared" ref="AA321:AA384" ca="1" si="32">(Z321*24)/9</f>
        <v>#N/A</v>
      </c>
      <c r="AB321" s="76">
        <f t="shared" ca="1" si="29"/>
        <v>0</v>
      </c>
      <c r="AC321" s="75">
        <f t="shared" ref="AC321:AC384" ca="1" si="33">(AB321*24)/9</f>
        <v>0</v>
      </c>
      <c r="AD321" s="76">
        <f t="shared" ca="1" si="30"/>
        <v>12388.425641203703</v>
      </c>
      <c r="AE321" s="76">
        <f t="shared" si="31"/>
        <v>0</v>
      </c>
      <c r="AF321" s="75">
        <f t="shared" ref="AF321:AF384" si="34">(AE321*24)/9</f>
        <v>0</v>
      </c>
      <c r="AG321" s="75">
        <f t="shared" ref="AG321:AG384" si="35">AF321</f>
        <v>0</v>
      </c>
      <c r="AH321" s="31" t="e" cm="1">
        <f t="array" aca="1" ref="AH321" ca="1">IF((AD321) &lt; (INDEX(ResponseSLA[#All],(MATCH((G321),ResponseSLA[Priority],0))+1,3)),"YES","No")</f>
        <v>#N/A</v>
      </c>
      <c r="AI321" s="31" t="str">
        <f>_xlfn.IFNA(IF(AE321 &lt; (INDEX(SLATable[Minimum SLA],MATCH(G321,SLATable[Priority],0))),"YES","NO"),"")</f>
        <v/>
      </c>
      <c r="AJ321" t="str">
        <f>_xlfn.IFNA(IF(AE321 &lt; (INDEX(SLATable[Maximum SLA],MATCH(G321,SLATable[Priority],0))),"YES","NO"),"")</f>
        <v/>
      </c>
    </row>
    <row r="322" spans="26:36" ht="15" customHeight="1">
      <c r="Z322" s="76" t="e">
        <f t="shared" ca="1" si="28"/>
        <v>#N/A</v>
      </c>
      <c r="AA322" s="75" t="e">
        <f t="shared" ca="1" si="32"/>
        <v>#N/A</v>
      </c>
      <c r="AB322" s="76">
        <f t="shared" ca="1" si="29"/>
        <v>0</v>
      </c>
      <c r="AC322" s="75">
        <f t="shared" ca="1" si="33"/>
        <v>0</v>
      </c>
      <c r="AD322" s="76">
        <f t="shared" ca="1" si="30"/>
        <v>12388.425641435188</v>
      </c>
      <c r="AE322" s="76">
        <f t="shared" si="31"/>
        <v>0</v>
      </c>
      <c r="AF322" s="75">
        <f t="shared" si="34"/>
        <v>0</v>
      </c>
      <c r="AG322" s="75">
        <f t="shared" si="35"/>
        <v>0</v>
      </c>
      <c r="AH322" s="31" t="e" cm="1">
        <f t="array" aca="1" ref="AH322" ca="1">IF((AD322) &lt; (INDEX(ResponseSLA[#All],(MATCH((G322),ResponseSLA[Priority],0))+1,3)),"YES","No")</f>
        <v>#N/A</v>
      </c>
      <c r="AI322" s="31" t="str">
        <f>_xlfn.IFNA(IF(AE322 &lt; (INDEX(SLATable[Minimum SLA],MATCH(G322,SLATable[Priority],0))),"YES","NO"),"")</f>
        <v/>
      </c>
      <c r="AJ322" t="str">
        <f>_xlfn.IFNA(IF(AE322 &lt; (INDEX(SLATable[Maximum SLA],MATCH(G322,SLATable[Priority],0))),"YES","NO"),"")</f>
        <v/>
      </c>
    </row>
    <row r="323" spans="26:36" ht="15" customHeight="1">
      <c r="Z323" s="76" t="e">
        <f t="shared" ref="Z323:Z386" ca="1" si="36">IF(NOT(OR(G323=1,G323=2)),MAX(0,_xlfn.IFS(AND(K323&lt;&gt;"",N323&lt;&gt;""),((MAX(NETWORKDAYS(K323,N323,UKBankHolidays)-1,0))*(TIME(17,0,0)-TIME(8,0,0))+IF(NETWORKDAYS(N323,N323,UKBankHolidays)&gt;0,MEDIAN(TIME(8,0,0),MOD(N323,1),TIME(17,0,0)),TIME(8,0,0))-IF(NETWORKDAYS(K323,K323,UKBankHolidays)&gt;0,MEDIAN(TIME(8,0,0),MOD(K323,1),TIME(17,0,0)),TIME(8,0,0)))-IF(AND(O323&lt;&gt;"",P323&lt;&gt;""),((MAX(NETWORKDAYS(O323,P323,UKBankHolidays)-1,0))*(TIME(17,0,0)-TIME(8,0,0))+IF(NETWORKDAYS(P323,P323,UKBankHolidays)&gt;0,MEDIAN(TIME(8,0,0),MOD(P323,1),TIME(17,0,0)),TIME(8,0,0))-IF(NETWORKDAYS(O323,O323,UKBankHolidays)&gt;0,MEDIAN(TIME(8,0,0),MOD(O323,1),TIME(17,0,0)),TIME(8,0,0))),0),AND(K323&lt;&gt;"",N323=""),((MAX(NETWORKDAYS(K323,NOW(),UKBankHolidays)-1,0))*(TIME(17,0,0)-TIME(8,0,0))+IF(NETWORKDAYS(NOW(),NOW(),UKBankHolidays)&gt;0,MEDIAN(TIME(8,0,0),MOD(NOW(),1),TIME(17,0,0)),TIME(8,0,0))-IF(NETWORKDAYS(K323,K323,UKBankHolidays)&gt;0,MEDIAN(TIME(8,0,0),MOD(K323,1),TIME(17,0,0)),TIME(8,0,0))))),IF(N323="",NOW()-K323,N323-K323))</f>
        <v>#N/A</v>
      </c>
      <c r="AA323" s="75" t="e">
        <f t="shared" ca="1" si="32"/>
        <v>#N/A</v>
      </c>
      <c r="AB323" s="76">
        <f t="shared" ref="AB323:AB386" ca="1" si="37">IF(NOT(OR(G323=1,G323=2)),MAX(0,_xlfn.IFS(AND(K323&lt;&gt;"",N323&lt;&gt;""),(((MAX(NETWORKDAYS(L323,N323,UKBankHolidays)-1,0))*(TIME(17,0,0)-TIME(8,0,0)))+IF(NETWORKDAYS(N323,N323,UKBankHolidays)&gt;0,MEDIAN(TIME(8,0,0),MOD(N323,1),TIME(17,0,0)),TIME(8,0,0))-IF(NETWORKDAYS(L323,L323,UKBankHolidays)&gt;0,MEDIAN(TIME(8,0,0),MOD(L323,1),TIME(17,0,0)),TIME(8,0,0)))-IF(AND(O323&lt;&gt;"",P323&lt;&gt;""),(((MAX(NETWORKDAYS(O323,P323,UKBankHolidays)-1,0))*(TIME(17,0,0)-TIME(8,0,0)))+IF(NETWORKDAYS(P323,P323,UKBankHolidays)&gt;0,MEDIAN(TIME(8,0,0),MOD(P323,1),TIME(17,0,0)),TIME(8,0,0))-IF(NETWORKDAYS(O323,O323,UKBankHolidays)&gt;0,MEDIAN(TIME(8,0,0),MOD(O323,1),TIME(17,0,0)),TIME(8,0,0))),0),AND(L323&lt;&gt;"",N323="",O323=""),(((MAX(NETWORKDAYS(L323,NOW(),UKBankHolidays)-1,0))*(TIME(17,0,0)-TIME(8,0,0)))+IF(NETWORKDAYS(NOW(),NOW(),UKBankHolidays)&gt;0,MEDIAN(TIME(8,0,0),MOD(NOW(),1),TIME(17,0,0)),TIME(8,0,0))-IF(NETWORKDAYS(L323,L323,UKBankHolidays)&gt;0,MEDIAN(TIME(8,0,0),MOD(L323,1),TIME(17,0,0)),TIME(8,0,0)))-IF(AND(O323&lt;&gt;"",P323&lt;&gt;""),(((MAX(NETWORKDAYS(O323,P323,UKBankHolidays)-1,0))*(TIME(17,0,0)-TIME(8,0,0)))+IF(NETWORKDAYS(P323,P323,UKBankHolidays)&gt;0,MEDIAN(TIME(8,0,0),MOD(P323,1),TIME(17,0,0)),TIME(8,0,0))-IF(NETWORKDAYS(O323,O323,UKBankHolidays)&gt;0,MEDIAN(TIME(8,0,0),MOD(O323,1),TIME(17,0,0)),TIME(8,0,0))),0),AND(L323&lt;&gt;"",N323="",P323="",O323&lt;&gt;""),(((MAX(NETWORKDAYS(L323,O323,UKBankHolidays)-1,0))*(TIME(17,0,0)-TIME(8,0,0)))+IF(NETWORKDAYS(O323,O323,UKBankHolidays)&gt;0,MEDIAN(TIME(8,0,0),MOD(O323,1),TIME(17,0,0)),TIME(8,0,0))-IF(NETWORKDAYS(L323,L323,UKBankHolidays)&gt;0,MEDIAN(TIME(8,0,0),MOD(L323,1),TIME(17,0,0)),TIME(8,0,0))),ISBLANK(K323),"0")),IF(ISBLANK(N323),NOW()-L323,N323-L323))</f>
        <v>0</v>
      </c>
      <c r="AC323" s="75">
        <f t="shared" ca="1" si="33"/>
        <v>0</v>
      </c>
      <c r="AD323" s="76">
        <f t="shared" ref="AD323:AD386" ca="1" si="38">MAX(0,IF(NOT(OR(G323=1,G323=2)),IF(M323&lt;&gt;"",((MAX(NETWORKDAYS(L323,M323,UKBankHolidays)-1,0))*(TIME(17,0,0)-TIME(8,0,0))+IF(NETWORKDAYS(M323,M323,UKBankHolidays)&gt;0,MEDIAN(TIME(8,0,0),MOD(M323,1),TIME(17,0,0)),TIME(8,0,0))-MEDIAN(TIME(8,0,0),MOD(L323,1),TIME(17,0,0))),((MAX(NETWORKDAYS(L323,NOW(),UKBankHolidays)-1,0))*(TIME(17,0,0)-TIME(8,0,0))+IF(NETWORKDAYS(NOW(),NOW(),UKBankHolidays)&gt;0,MEDIAN(TIME(8,0,0),MOD(NOW(),1),TIME(17,0,0)),TIME(8,0,0))-MEDIAN(TIME(8,0,0),MOD(L323,1),TIME(17,0,0)))),IF(M323&lt;&gt;"",M323-L323,NOW()-L323)))</f>
        <v>12388.425641203703</v>
      </c>
      <c r="AE323" s="76">
        <f t="shared" ref="AE323:AE386" si="39">SUMIFS(AB:AB,E:E,E323)</f>
        <v>0</v>
      </c>
      <c r="AF323" s="75">
        <f t="shared" si="34"/>
        <v>0</v>
      </c>
      <c r="AG323" s="75">
        <f t="shared" si="35"/>
        <v>0</v>
      </c>
      <c r="AH323" s="31" t="e" cm="1">
        <f t="array" aca="1" ref="AH323" ca="1">IF((AD323) &lt; (INDEX(ResponseSLA[#All],(MATCH((G323),ResponseSLA[Priority],0))+1,3)),"YES","No")</f>
        <v>#N/A</v>
      </c>
      <c r="AI323" s="31" t="str">
        <f>_xlfn.IFNA(IF(AE323 &lt; (INDEX(SLATable[Minimum SLA],MATCH(G323,SLATable[Priority],0))),"YES","NO"),"")</f>
        <v/>
      </c>
      <c r="AJ323" t="str">
        <f>_xlfn.IFNA(IF(AE323 &lt; (INDEX(SLATable[Maximum SLA],MATCH(G323,SLATable[Priority],0))),"YES","NO"),"")</f>
        <v/>
      </c>
    </row>
    <row r="324" spans="26:36" ht="15" customHeight="1">
      <c r="Z324" s="76" t="e">
        <f t="shared" ca="1" si="36"/>
        <v>#N/A</v>
      </c>
      <c r="AA324" s="75" t="e">
        <f t="shared" ca="1" si="32"/>
        <v>#N/A</v>
      </c>
      <c r="AB324" s="76">
        <f t="shared" ca="1" si="37"/>
        <v>0</v>
      </c>
      <c r="AC324" s="75">
        <f t="shared" ca="1" si="33"/>
        <v>0</v>
      </c>
      <c r="AD324" s="76">
        <f t="shared" ca="1" si="38"/>
        <v>12388.425641203703</v>
      </c>
      <c r="AE324" s="76">
        <f t="shared" si="39"/>
        <v>0</v>
      </c>
      <c r="AF324" s="75">
        <f t="shared" si="34"/>
        <v>0</v>
      </c>
      <c r="AG324" s="75">
        <f t="shared" si="35"/>
        <v>0</v>
      </c>
      <c r="AH324" s="31" t="e" cm="1">
        <f t="array" aca="1" ref="AH324" ca="1">IF((AD324) &lt; (INDEX(ResponseSLA[#All],(MATCH((G324),ResponseSLA[Priority],0))+1,3)),"YES","No")</f>
        <v>#N/A</v>
      </c>
      <c r="AI324" s="31" t="str">
        <f>_xlfn.IFNA(IF(AE324 &lt; (INDEX(SLATable[Minimum SLA],MATCH(G324,SLATable[Priority],0))),"YES","NO"),"")</f>
        <v/>
      </c>
      <c r="AJ324" t="str">
        <f>_xlfn.IFNA(IF(AE324 &lt; (INDEX(SLATable[Maximum SLA],MATCH(G324,SLATable[Priority],0))),"YES","NO"),"")</f>
        <v/>
      </c>
    </row>
    <row r="325" spans="26:36" ht="15" customHeight="1">
      <c r="Z325" s="76" t="e">
        <f t="shared" ca="1" si="36"/>
        <v>#N/A</v>
      </c>
      <c r="AA325" s="75" t="e">
        <f t="shared" ca="1" si="32"/>
        <v>#N/A</v>
      </c>
      <c r="AB325" s="76">
        <f t="shared" ca="1" si="37"/>
        <v>0</v>
      </c>
      <c r="AC325" s="75">
        <f t="shared" ca="1" si="33"/>
        <v>0</v>
      </c>
      <c r="AD325" s="76">
        <f t="shared" ca="1" si="38"/>
        <v>12388.425641435188</v>
      </c>
      <c r="AE325" s="76">
        <f t="shared" si="39"/>
        <v>0</v>
      </c>
      <c r="AF325" s="75">
        <f t="shared" si="34"/>
        <v>0</v>
      </c>
      <c r="AG325" s="75">
        <f t="shared" si="35"/>
        <v>0</v>
      </c>
      <c r="AH325" s="31" t="e" cm="1">
        <f t="array" aca="1" ref="AH325" ca="1">IF((AD325) &lt; (INDEX(ResponseSLA[#All],(MATCH((G325),ResponseSLA[Priority],0))+1,3)),"YES","No")</f>
        <v>#N/A</v>
      </c>
      <c r="AI325" s="31" t="str">
        <f>_xlfn.IFNA(IF(AE325 &lt; (INDEX(SLATable[Minimum SLA],MATCH(G325,SLATable[Priority],0))),"YES","NO"),"")</f>
        <v/>
      </c>
      <c r="AJ325" t="str">
        <f>_xlfn.IFNA(IF(AE325 &lt; (INDEX(SLATable[Maximum SLA],MATCH(G325,SLATable[Priority],0))),"YES","NO"),"")</f>
        <v/>
      </c>
    </row>
    <row r="326" spans="26:36" ht="15" customHeight="1">
      <c r="Z326" s="76" t="e">
        <f t="shared" ca="1" si="36"/>
        <v>#N/A</v>
      </c>
      <c r="AA326" s="75" t="e">
        <f t="shared" ca="1" si="32"/>
        <v>#N/A</v>
      </c>
      <c r="AB326" s="76">
        <f t="shared" ca="1" si="37"/>
        <v>0</v>
      </c>
      <c r="AC326" s="75">
        <f t="shared" ca="1" si="33"/>
        <v>0</v>
      </c>
      <c r="AD326" s="76">
        <f t="shared" ca="1" si="38"/>
        <v>12388.425641203703</v>
      </c>
      <c r="AE326" s="76">
        <f t="shared" si="39"/>
        <v>0</v>
      </c>
      <c r="AF326" s="75">
        <f t="shared" si="34"/>
        <v>0</v>
      </c>
      <c r="AG326" s="75">
        <f t="shared" si="35"/>
        <v>0</v>
      </c>
      <c r="AH326" s="31" t="e" cm="1">
        <f t="array" aca="1" ref="AH326" ca="1">IF((AD326) &lt; (INDEX(ResponseSLA[#All],(MATCH((G326),ResponseSLA[Priority],0))+1,3)),"YES","No")</f>
        <v>#N/A</v>
      </c>
      <c r="AI326" s="31" t="str">
        <f>_xlfn.IFNA(IF(AE326 &lt; (INDEX(SLATable[Minimum SLA],MATCH(G326,SLATable[Priority],0))),"YES","NO"),"")</f>
        <v/>
      </c>
      <c r="AJ326" t="str">
        <f>_xlfn.IFNA(IF(AE326 &lt; (INDEX(SLATable[Maximum SLA],MATCH(G326,SLATable[Priority],0))),"YES","NO"),"")</f>
        <v/>
      </c>
    </row>
    <row r="327" spans="26:36" ht="15" customHeight="1">
      <c r="Z327" s="76" t="e">
        <f t="shared" ca="1" si="36"/>
        <v>#N/A</v>
      </c>
      <c r="AA327" s="75" t="e">
        <f t="shared" ca="1" si="32"/>
        <v>#N/A</v>
      </c>
      <c r="AB327" s="76">
        <f t="shared" ca="1" si="37"/>
        <v>0</v>
      </c>
      <c r="AC327" s="75">
        <f t="shared" ca="1" si="33"/>
        <v>0</v>
      </c>
      <c r="AD327" s="76">
        <f t="shared" ca="1" si="38"/>
        <v>12388.425641203703</v>
      </c>
      <c r="AE327" s="76">
        <f t="shared" si="39"/>
        <v>0</v>
      </c>
      <c r="AF327" s="75">
        <f t="shared" si="34"/>
        <v>0</v>
      </c>
      <c r="AG327" s="75">
        <f t="shared" si="35"/>
        <v>0</v>
      </c>
      <c r="AH327" s="31" t="e" cm="1">
        <f t="array" aca="1" ref="AH327" ca="1">IF((AD327) &lt; (INDEX(ResponseSLA[#All],(MATCH((G327),ResponseSLA[Priority],0))+1,3)),"YES","No")</f>
        <v>#N/A</v>
      </c>
      <c r="AI327" s="31" t="str">
        <f>_xlfn.IFNA(IF(AE327 &lt; (INDEX(SLATable[Minimum SLA],MATCH(G327,SLATable[Priority],0))),"YES","NO"),"")</f>
        <v/>
      </c>
      <c r="AJ327" t="str">
        <f>_xlfn.IFNA(IF(AE327 &lt; (INDEX(SLATable[Maximum SLA],MATCH(G327,SLATable[Priority],0))),"YES","NO"),"")</f>
        <v/>
      </c>
    </row>
    <row r="328" spans="26:36" ht="15" customHeight="1">
      <c r="Z328" s="76" t="e">
        <f t="shared" ca="1" si="36"/>
        <v>#N/A</v>
      </c>
      <c r="AA328" s="75" t="e">
        <f t="shared" ca="1" si="32"/>
        <v>#N/A</v>
      </c>
      <c r="AB328" s="76">
        <f t="shared" ca="1" si="37"/>
        <v>0</v>
      </c>
      <c r="AC328" s="75">
        <f t="shared" ca="1" si="33"/>
        <v>0</v>
      </c>
      <c r="AD328" s="76">
        <f t="shared" ca="1" si="38"/>
        <v>12388.425641435188</v>
      </c>
      <c r="AE328" s="76">
        <f t="shared" si="39"/>
        <v>0</v>
      </c>
      <c r="AF328" s="75">
        <f t="shared" si="34"/>
        <v>0</v>
      </c>
      <c r="AG328" s="75">
        <f t="shared" si="35"/>
        <v>0</v>
      </c>
      <c r="AH328" s="31" t="e" cm="1">
        <f t="array" aca="1" ref="AH328" ca="1">IF((AD328) &lt; (INDEX(ResponseSLA[#All],(MATCH((G328),ResponseSLA[Priority],0))+1,3)),"YES","No")</f>
        <v>#N/A</v>
      </c>
      <c r="AI328" s="31" t="str">
        <f>_xlfn.IFNA(IF(AE328 &lt; (INDEX(SLATable[Minimum SLA],MATCH(G328,SLATable[Priority],0))),"YES","NO"),"")</f>
        <v/>
      </c>
      <c r="AJ328" t="str">
        <f>_xlfn.IFNA(IF(AE328 &lt; (INDEX(SLATable[Maximum SLA],MATCH(G328,SLATable[Priority],0))),"YES","NO"),"")</f>
        <v/>
      </c>
    </row>
    <row r="329" spans="26:36" ht="15" customHeight="1">
      <c r="Z329" s="76" t="e">
        <f t="shared" ca="1" si="36"/>
        <v>#N/A</v>
      </c>
      <c r="AA329" s="75" t="e">
        <f t="shared" ca="1" si="32"/>
        <v>#N/A</v>
      </c>
      <c r="AB329" s="76">
        <f t="shared" ca="1" si="37"/>
        <v>0</v>
      </c>
      <c r="AC329" s="75">
        <f t="shared" ca="1" si="33"/>
        <v>0</v>
      </c>
      <c r="AD329" s="76">
        <f t="shared" ca="1" si="38"/>
        <v>12388.425641203703</v>
      </c>
      <c r="AE329" s="76">
        <f t="shared" si="39"/>
        <v>0</v>
      </c>
      <c r="AF329" s="75">
        <f t="shared" si="34"/>
        <v>0</v>
      </c>
      <c r="AG329" s="75">
        <f t="shared" si="35"/>
        <v>0</v>
      </c>
      <c r="AH329" s="31" t="e" cm="1">
        <f t="array" aca="1" ref="AH329" ca="1">IF((AD329) &lt; (INDEX(ResponseSLA[#All],(MATCH((G329),ResponseSLA[Priority],0))+1,3)),"YES","No")</f>
        <v>#N/A</v>
      </c>
      <c r="AI329" s="31" t="str">
        <f>_xlfn.IFNA(IF(AE329 &lt; (INDEX(SLATable[Minimum SLA],MATCH(G329,SLATable[Priority],0))),"YES","NO"),"")</f>
        <v/>
      </c>
      <c r="AJ329" t="str">
        <f>_xlfn.IFNA(IF(AE329 &lt; (INDEX(SLATable[Maximum SLA],MATCH(G329,SLATable[Priority],0))),"YES","NO"),"")</f>
        <v/>
      </c>
    </row>
    <row r="330" spans="26:36" ht="15" customHeight="1">
      <c r="Z330" s="76" t="e">
        <f t="shared" ca="1" si="36"/>
        <v>#N/A</v>
      </c>
      <c r="AA330" s="75" t="e">
        <f t="shared" ca="1" si="32"/>
        <v>#N/A</v>
      </c>
      <c r="AB330" s="76">
        <f t="shared" ca="1" si="37"/>
        <v>0</v>
      </c>
      <c r="AC330" s="75">
        <f t="shared" ca="1" si="33"/>
        <v>0</v>
      </c>
      <c r="AD330" s="76">
        <f t="shared" ca="1" si="38"/>
        <v>12388.425641203703</v>
      </c>
      <c r="AE330" s="76">
        <f t="shared" si="39"/>
        <v>0</v>
      </c>
      <c r="AF330" s="75">
        <f t="shared" si="34"/>
        <v>0</v>
      </c>
      <c r="AG330" s="75">
        <f t="shared" si="35"/>
        <v>0</v>
      </c>
      <c r="AH330" s="31" t="e" cm="1">
        <f t="array" aca="1" ref="AH330" ca="1">IF((AD330) &lt; (INDEX(ResponseSLA[#All],(MATCH((G330),ResponseSLA[Priority],0))+1,3)),"YES","No")</f>
        <v>#N/A</v>
      </c>
      <c r="AI330" s="31" t="str">
        <f>_xlfn.IFNA(IF(AE330 &lt; (INDEX(SLATable[Minimum SLA],MATCH(G330,SLATable[Priority],0))),"YES","NO"),"")</f>
        <v/>
      </c>
      <c r="AJ330" t="str">
        <f>_xlfn.IFNA(IF(AE330 &lt; (INDEX(SLATable[Maximum SLA],MATCH(G330,SLATable[Priority],0))),"YES","NO"),"")</f>
        <v/>
      </c>
    </row>
    <row r="331" spans="26:36" ht="15" customHeight="1">
      <c r="Z331" s="76" t="e">
        <f t="shared" ca="1" si="36"/>
        <v>#N/A</v>
      </c>
      <c r="AA331" s="75" t="e">
        <f t="shared" ca="1" si="32"/>
        <v>#N/A</v>
      </c>
      <c r="AB331" s="76">
        <f t="shared" ca="1" si="37"/>
        <v>0</v>
      </c>
      <c r="AC331" s="75">
        <f t="shared" ca="1" si="33"/>
        <v>0</v>
      </c>
      <c r="AD331" s="76">
        <f t="shared" ca="1" si="38"/>
        <v>12388.425641435188</v>
      </c>
      <c r="AE331" s="76">
        <f t="shared" si="39"/>
        <v>0</v>
      </c>
      <c r="AF331" s="75">
        <f t="shared" si="34"/>
        <v>0</v>
      </c>
      <c r="AG331" s="75">
        <f t="shared" si="35"/>
        <v>0</v>
      </c>
      <c r="AH331" s="31" t="e" cm="1">
        <f t="array" aca="1" ref="AH331" ca="1">IF((AD331) &lt; (INDEX(ResponseSLA[#All],(MATCH((G331),ResponseSLA[Priority],0))+1,3)),"YES","No")</f>
        <v>#N/A</v>
      </c>
      <c r="AI331" s="31" t="str">
        <f>_xlfn.IFNA(IF(AE331 &lt; (INDEX(SLATable[Minimum SLA],MATCH(G331,SLATable[Priority],0))),"YES","NO"),"")</f>
        <v/>
      </c>
      <c r="AJ331" t="str">
        <f>_xlfn.IFNA(IF(AE331 &lt; (INDEX(SLATable[Maximum SLA],MATCH(G331,SLATable[Priority],0))),"YES","NO"),"")</f>
        <v/>
      </c>
    </row>
    <row r="332" spans="26:36" ht="15" customHeight="1">
      <c r="Z332" s="76" t="e">
        <f t="shared" ca="1" si="36"/>
        <v>#N/A</v>
      </c>
      <c r="AA332" s="75" t="e">
        <f t="shared" ca="1" si="32"/>
        <v>#N/A</v>
      </c>
      <c r="AB332" s="76">
        <f t="shared" ca="1" si="37"/>
        <v>0</v>
      </c>
      <c r="AC332" s="75">
        <f t="shared" ca="1" si="33"/>
        <v>0</v>
      </c>
      <c r="AD332" s="76">
        <f t="shared" ca="1" si="38"/>
        <v>12388.425641203703</v>
      </c>
      <c r="AE332" s="76">
        <f t="shared" si="39"/>
        <v>0</v>
      </c>
      <c r="AF332" s="75">
        <f t="shared" si="34"/>
        <v>0</v>
      </c>
      <c r="AG332" s="75">
        <f t="shared" si="35"/>
        <v>0</v>
      </c>
      <c r="AH332" s="31" t="e" cm="1">
        <f t="array" aca="1" ref="AH332" ca="1">IF((AD332) &lt; (INDEX(ResponseSLA[#All],(MATCH((G332),ResponseSLA[Priority],0))+1,3)),"YES","No")</f>
        <v>#N/A</v>
      </c>
      <c r="AI332" s="31" t="str">
        <f>_xlfn.IFNA(IF(AE332 &lt; (INDEX(SLATable[Minimum SLA],MATCH(G332,SLATable[Priority],0))),"YES","NO"),"")</f>
        <v/>
      </c>
      <c r="AJ332" t="str">
        <f>_xlfn.IFNA(IF(AE332 &lt; (INDEX(SLATable[Maximum SLA],MATCH(G332,SLATable[Priority],0))),"YES","NO"),"")</f>
        <v/>
      </c>
    </row>
    <row r="333" spans="26:36" ht="15" customHeight="1">
      <c r="Z333" s="76" t="e">
        <f t="shared" ca="1" si="36"/>
        <v>#N/A</v>
      </c>
      <c r="AA333" s="75" t="e">
        <f t="shared" ca="1" si="32"/>
        <v>#N/A</v>
      </c>
      <c r="AB333" s="76">
        <f t="shared" ca="1" si="37"/>
        <v>0</v>
      </c>
      <c r="AC333" s="75">
        <f t="shared" ca="1" si="33"/>
        <v>0</v>
      </c>
      <c r="AD333" s="76">
        <f t="shared" ca="1" si="38"/>
        <v>12388.425641203703</v>
      </c>
      <c r="AE333" s="76">
        <f t="shared" si="39"/>
        <v>0</v>
      </c>
      <c r="AF333" s="75">
        <f t="shared" si="34"/>
        <v>0</v>
      </c>
      <c r="AG333" s="75">
        <f t="shared" si="35"/>
        <v>0</v>
      </c>
      <c r="AH333" s="31" t="e" cm="1">
        <f t="array" aca="1" ref="AH333" ca="1">IF((AD333) &lt; (INDEX(ResponseSLA[#All],(MATCH((G333),ResponseSLA[Priority],0))+1,3)),"YES","No")</f>
        <v>#N/A</v>
      </c>
      <c r="AI333" s="31" t="str">
        <f>_xlfn.IFNA(IF(AE333 &lt; (INDEX(SLATable[Minimum SLA],MATCH(G333,SLATable[Priority],0))),"YES","NO"),"")</f>
        <v/>
      </c>
      <c r="AJ333" t="str">
        <f>_xlfn.IFNA(IF(AE333 &lt; (INDEX(SLATable[Maximum SLA],MATCH(G333,SLATable[Priority],0))),"YES","NO"),"")</f>
        <v/>
      </c>
    </row>
    <row r="334" spans="26:36" ht="15" customHeight="1">
      <c r="Z334" s="76" t="e">
        <f t="shared" ca="1" si="36"/>
        <v>#N/A</v>
      </c>
      <c r="AA334" s="75" t="e">
        <f t="shared" ca="1" si="32"/>
        <v>#N/A</v>
      </c>
      <c r="AB334" s="76">
        <f t="shared" ca="1" si="37"/>
        <v>0</v>
      </c>
      <c r="AC334" s="75">
        <f t="shared" ca="1" si="33"/>
        <v>0</v>
      </c>
      <c r="AD334" s="76">
        <f t="shared" ca="1" si="38"/>
        <v>12388.425641435188</v>
      </c>
      <c r="AE334" s="76">
        <f t="shared" si="39"/>
        <v>0</v>
      </c>
      <c r="AF334" s="75">
        <f t="shared" si="34"/>
        <v>0</v>
      </c>
      <c r="AG334" s="75">
        <f t="shared" si="35"/>
        <v>0</v>
      </c>
      <c r="AH334" s="31" t="e" cm="1">
        <f t="array" aca="1" ref="AH334" ca="1">IF((AD334) &lt; (INDEX(ResponseSLA[#All],(MATCH((G334),ResponseSLA[Priority],0))+1,3)),"YES","No")</f>
        <v>#N/A</v>
      </c>
      <c r="AI334" s="31" t="str">
        <f>_xlfn.IFNA(IF(AE334 &lt; (INDEX(SLATable[Minimum SLA],MATCH(G334,SLATable[Priority],0))),"YES","NO"),"")</f>
        <v/>
      </c>
      <c r="AJ334" t="str">
        <f>_xlfn.IFNA(IF(AE334 &lt; (INDEX(SLATable[Maximum SLA],MATCH(G334,SLATable[Priority],0))),"YES","NO"),"")</f>
        <v/>
      </c>
    </row>
    <row r="335" spans="26:36" ht="15" customHeight="1">
      <c r="Z335" s="76" t="e">
        <f t="shared" ca="1" si="36"/>
        <v>#N/A</v>
      </c>
      <c r="AA335" s="75" t="e">
        <f t="shared" ca="1" si="32"/>
        <v>#N/A</v>
      </c>
      <c r="AB335" s="76">
        <f t="shared" ca="1" si="37"/>
        <v>0</v>
      </c>
      <c r="AC335" s="75">
        <f t="shared" ca="1" si="33"/>
        <v>0</v>
      </c>
      <c r="AD335" s="76">
        <f t="shared" ca="1" si="38"/>
        <v>12388.425641203703</v>
      </c>
      <c r="AE335" s="76">
        <f t="shared" si="39"/>
        <v>0</v>
      </c>
      <c r="AF335" s="75">
        <f t="shared" si="34"/>
        <v>0</v>
      </c>
      <c r="AG335" s="75">
        <f t="shared" si="35"/>
        <v>0</v>
      </c>
      <c r="AH335" s="31" t="e" cm="1">
        <f t="array" aca="1" ref="AH335" ca="1">IF((AD335) &lt; (INDEX(ResponseSLA[#All],(MATCH((G335),ResponseSLA[Priority],0))+1,3)),"YES","No")</f>
        <v>#N/A</v>
      </c>
      <c r="AI335" s="31" t="str">
        <f>_xlfn.IFNA(IF(AE335 &lt; (INDEX(SLATable[Minimum SLA],MATCH(G335,SLATable[Priority],0))),"YES","NO"),"")</f>
        <v/>
      </c>
      <c r="AJ335" t="str">
        <f>_xlfn.IFNA(IF(AE335 &lt; (INDEX(SLATable[Maximum SLA],MATCH(G335,SLATable[Priority],0))),"YES","NO"),"")</f>
        <v/>
      </c>
    </row>
    <row r="336" spans="26:36" ht="15" customHeight="1">
      <c r="Z336" s="76" t="e">
        <f t="shared" ca="1" si="36"/>
        <v>#N/A</v>
      </c>
      <c r="AA336" s="75" t="e">
        <f t="shared" ca="1" si="32"/>
        <v>#N/A</v>
      </c>
      <c r="AB336" s="76">
        <f t="shared" ca="1" si="37"/>
        <v>0</v>
      </c>
      <c r="AC336" s="75">
        <f t="shared" ca="1" si="33"/>
        <v>0</v>
      </c>
      <c r="AD336" s="76">
        <f t="shared" ca="1" si="38"/>
        <v>12388.425641203703</v>
      </c>
      <c r="AE336" s="76">
        <f t="shared" si="39"/>
        <v>0</v>
      </c>
      <c r="AF336" s="75">
        <f t="shared" si="34"/>
        <v>0</v>
      </c>
      <c r="AG336" s="75">
        <f t="shared" si="35"/>
        <v>0</v>
      </c>
      <c r="AH336" s="31" t="e" cm="1">
        <f t="array" aca="1" ref="AH336" ca="1">IF((AD336) &lt; (INDEX(ResponseSLA[#All],(MATCH((G336),ResponseSLA[Priority],0))+1,3)),"YES","No")</f>
        <v>#N/A</v>
      </c>
      <c r="AI336" s="31" t="str">
        <f>_xlfn.IFNA(IF(AE336 &lt; (INDEX(SLATable[Minimum SLA],MATCH(G336,SLATable[Priority],0))),"YES","NO"),"")</f>
        <v/>
      </c>
      <c r="AJ336" t="str">
        <f>_xlfn.IFNA(IF(AE336 &lt; (INDEX(SLATable[Maximum SLA],MATCH(G336,SLATable[Priority],0))),"YES","NO"),"")</f>
        <v/>
      </c>
    </row>
    <row r="337" spans="26:36" ht="15" customHeight="1">
      <c r="Z337" s="76" t="e">
        <f t="shared" ca="1" si="36"/>
        <v>#N/A</v>
      </c>
      <c r="AA337" s="75" t="e">
        <f t="shared" ca="1" si="32"/>
        <v>#N/A</v>
      </c>
      <c r="AB337" s="76">
        <f t="shared" ca="1" si="37"/>
        <v>0</v>
      </c>
      <c r="AC337" s="75">
        <f t="shared" ca="1" si="33"/>
        <v>0</v>
      </c>
      <c r="AD337" s="76">
        <f t="shared" ca="1" si="38"/>
        <v>12388.425641435188</v>
      </c>
      <c r="AE337" s="76">
        <f t="shared" si="39"/>
        <v>0</v>
      </c>
      <c r="AF337" s="75">
        <f t="shared" si="34"/>
        <v>0</v>
      </c>
      <c r="AG337" s="75">
        <f t="shared" si="35"/>
        <v>0</v>
      </c>
      <c r="AH337" s="31" t="e" cm="1">
        <f t="array" aca="1" ref="AH337" ca="1">IF((AD337) &lt; (INDEX(ResponseSLA[#All],(MATCH((G337),ResponseSLA[Priority],0))+1,3)),"YES","No")</f>
        <v>#N/A</v>
      </c>
      <c r="AI337" s="31" t="str">
        <f>_xlfn.IFNA(IF(AE337 &lt; (INDEX(SLATable[Minimum SLA],MATCH(G337,SLATable[Priority],0))),"YES","NO"),"")</f>
        <v/>
      </c>
      <c r="AJ337" t="str">
        <f>_xlfn.IFNA(IF(AE337 &lt; (INDEX(SLATable[Maximum SLA],MATCH(G337,SLATable[Priority],0))),"YES","NO"),"")</f>
        <v/>
      </c>
    </row>
    <row r="338" spans="26:36" ht="15" customHeight="1">
      <c r="Z338" s="76" t="e">
        <f t="shared" ca="1" si="36"/>
        <v>#N/A</v>
      </c>
      <c r="AA338" s="75" t="e">
        <f t="shared" ca="1" si="32"/>
        <v>#N/A</v>
      </c>
      <c r="AB338" s="76">
        <f t="shared" ca="1" si="37"/>
        <v>0</v>
      </c>
      <c r="AC338" s="75">
        <f t="shared" ca="1" si="33"/>
        <v>0</v>
      </c>
      <c r="AD338" s="76">
        <f t="shared" ca="1" si="38"/>
        <v>12388.425641203703</v>
      </c>
      <c r="AE338" s="76">
        <f t="shared" si="39"/>
        <v>0</v>
      </c>
      <c r="AF338" s="75">
        <f t="shared" si="34"/>
        <v>0</v>
      </c>
      <c r="AG338" s="75">
        <f t="shared" si="35"/>
        <v>0</v>
      </c>
      <c r="AH338" s="31" t="e" cm="1">
        <f t="array" aca="1" ref="AH338" ca="1">IF((AD338) &lt; (INDEX(ResponseSLA[#All],(MATCH((G338),ResponseSLA[Priority],0))+1,3)),"YES","No")</f>
        <v>#N/A</v>
      </c>
      <c r="AI338" s="31" t="str">
        <f>_xlfn.IFNA(IF(AE338 &lt; (INDEX(SLATable[Minimum SLA],MATCH(G338,SLATable[Priority],0))),"YES","NO"),"")</f>
        <v/>
      </c>
      <c r="AJ338" t="str">
        <f>_xlfn.IFNA(IF(AE338 &lt; (INDEX(SLATable[Maximum SLA],MATCH(G338,SLATable[Priority],0))),"YES","NO"),"")</f>
        <v/>
      </c>
    </row>
    <row r="339" spans="26:36" ht="15" customHeight="1">
      <c r="Z339" s="76" t="e">
        <f t="shared" ca="1" si="36"/>
        <v>#N/A</v>
      </c>
      <c r="AA339" s="75" t="e">
        <f t="shared" ca="1" si="32"/>
        <v>#N/A</v>
      </c>
      <c r="AB339" s="76">
        <f t="shared" ca="1" si="37"/>
        <v>0</v>
      </c>
      <c r="AC339" s="75">
        <f t="shared" ca="1" si="33"/>
        <v>0</v>
      </c>
      <c r="AD339" s="76">
        <f t="shared" ca="1" si="38"/>
        <v>12388.425641203703</v>
      </c>
      <c r="AE339" s="76">
        <f t="shared" si="39"/>
        <v>0</v>
      </c>
      <c r="AF339" s="75">
        <f t="shared" si="34"/>
        <v>0</v>
      </c>
      <c r="AG339" s="75">
        <f t="shared" si="35"/>
        <v>0</v>
      </c>
      <c r="AH339" s="31" t="e" cm="1">
        <f t="array" aca="1" ref="AH339" ca="1">IF((AD339) &lt; (INDEX(ResponseSLA[#All],(MATCH((G339),ResponseSLA[Priority],0))+1,3)),"YES","No")</f>
        <v>#N/A</v>
      </c>
      <c r="AI339" s="31" t="str">
        <f>_xlfn.IFNA(IF(AE339 &lt; (INDEX(SLATable[Minimum SLA],MATCH(G339,SLATable[Priority],0))),"YES","NO"),"")</f>
        <v/>
      </c>
      <c r="AJ339" t="str">
        <f>_xlfn.IFNA(IF(AE339 &lt; (INDEX(SLATable[Maximum SLA],MATCH(G339,SLATable[Priority],0))),"YES","NO"),"")</f>
        <v/>
      </c>
    </row>
    <row r="340" spans="26:36" ht="15" customHeight="1">
      <c r="Z340" s="76" t="e">
        <f t="shared" ca="1" si="36"/>
        <v>#N/A</v>
      </c>
      <c r="AA340" s="75" t="e">
        <f t="shared" ca="1" si="32"/>
        <v>#N/A</v>
      </c>
      <c r="AB340" s="76">
        <f t="shared" ca="1" si="37"/>
        <v>0</v>
      </c>
      <c r="AC340" s="75">
        <f t="shared" ca="1" si="33"/>
        <v>0</v>
      </c>
      <c r="AD340" s="76">
        <f t="shared" ca="1" si="38"/>
        <v>12388.425641435188</v>
      </c>
      <c r="AE340" s="76">
        <f t="shared" si="39"/>
        <v>0</v>
      </c>
      <c r="AF340" s="75">
        <f t="shared" si="34"/>
        <v>0</v>
      </c>
      <c r="AG340" s="75">
        <f t="shared" si="35"/>
        <v>0</v>
      </c>
      <c r="AH340" s="31" t="e" cm="1">
        <f t="array" aca="1" ref="AH340" ca="1">IF((AD340) &lt; (INDEX(ResponseSLA[#All],(MATCH((G340),ResponseSLA[Priority],0))+1,3)),"YES","No")</f>
        <v>#N/A</v>
      </c>
      <c r="AI340" s="31" t="str">
        <f>_xlfn.IFNA(IF(AE340 &lt; (INDEX(SLATable[Minimum SLA],MATCH(G340,SLATable[Priority],0))),"YES","NO"),"")</f>
        <v/>
      </c>
      <c r="AJ340" t="str">
        <f>_xlfn.IFNA(IF(AE340 &lt; (INDEX(SLATable[Maximum SLA],MATCH(G340,SLATable[Priority],0))),"YES","NO"),"")</f>
        <v/>
      </c>
    </row>
    <row r="341" spans="26:36" ht="15" customHeight="1">
      <c r="Z341" s="76" t="e">
        <f t="shared" ca="1" si="36"/>
        <v>#N/A</v>
      </c>
      <c r="AA341" s="75" t="e">
        <f t="shared" ca="1" si="32"/>
        <v>#N/A</v>
      </c>
      <c r="AB341" s="76">
        <f t="shared" ca="1" si="37"/>
        <v>0</v>
      </c>
      <c r="AC341" s="75">
        <f t="shared" ca="1" si="33"/>
        <v>0</v>
      </c>
      <c r="AD341" s="76">
        <f t="shared" ca="1" si="38"/>
        <v>12388.425641203703</v>
      </c>
      <c r="AE341" s="76">
        <f t="shared" si="39"/>
        <v>0</v>
      </c>
      <c r="AF341" s="75">
        <f t="shared" si="34"/>
        <v>0</v>
      </c>
      <c r="AG341" s="75">
        <f t="shared" si="35"/>
        <v>0</v>
      </c>
      <c r="AH341" s="31" t="e" cm="1">
        <f t="array" aca="1" ref="AH341" ca="1">IF((AD341) &lt; (INDEX(ResponseSLA[#All],(MATCH((G341),ResponseSLA[Priority],0))+1,3)),"YES","No")</f>
        <v>#N/A</v>
      </c>
      <c r="AI341" s="31" t="str">
        <f>_xlfn.IFNA(IF(AE341 &lt; (INDEX(SLATable[Minimum SLA],MATCH(G341,SLATable[Priority],0))),"YES","NO"),"")</f>
        <v/>
      </c>
      <c r="AJ341" t="str">
        <f>_xlfn.IFNA(IF(AE341 &lt; (INDEX(SLATable[Maximum SLA],MATCH(G341,SLATable[Priority],0))),"YES","NO"),"")</f>
        <v/>
      </c>
    </row>
    <row r="342" spans="26:36" ht="15" customHeight="1">
      <c r="Z342" s="76" t="e">
        <f t="shared" ca="1" si="36"/>
        <v>#N/A</v>
      </c>
      <c r="AA342" s="75" t="e">
        <f t="shared" ca="1" si="32"/>
        <v>#N/A</v>
      </c>
      <c r="AB342" s="76">
        <f t="shared" ca="1" si="37"/>
        <v>0</v>
      </c>
      <c r="AC342" s="75">
        <f t="shared" ca="1" si="33"/>
        <v>0</v>
      </c>
      <c r="AD342" s="76">
        <f t="shared" ca="1" si="38"/>
        <v>12388.425641203703</v>
      </c>
      <c r="AE342" s="76">
        <f t="shared" si="39"/>
        <v>0</v>
      </c>
      <c r="AF342" s="75">
        <f t="shared" si="34"/>
        <v>0</v>
      </c>
      <c r="AG342" s="75">
        <f t="shared" si="35"/>
        <v>0</v>
      </c>
      <c r="AH342" s="31" t="e" cm="1">
        <f t="array" aca="1" ref="AH342" ca="1">IF((AD342) &lt; (INDEX(ResponseSLA[#All],(MATCH((G342),ResponseSLA[Priority],0))+1,3)),"YES","No")</f>
        <v>#N/A</v>
      </c>
      <c r="AI342" s="31" t="str">
        <f>_xlfn.IFNA(IF(AE342 &lt; (INDEX(SLATable[Minimum SLA],MATCH(G342,SLATable[Priority],0))),"YES","NO"),"")</f>
        <v/>
      </c>
      <c r="AJ342" t="str">
        <f>_xlfn.IFNA(IF(AE342 &lt; (INDEX(SLATable[Maximum SLA],MATCH(G342,SLATable[Priority],0))),"YES","NO"),"")</f>
        <v/>
      </c>
    </row>
    <row r="343" spans="26:36" ht="15" customHeight="1">
      <c r="Z343" s="76" t="e">
        <f t="shared" ca="1" si="36"/>
        <v>#N/A</v>
      </c>
      <c r="AA343" s="75" t="e">
        <f t="shared" ca="1" si="32"/>
        <v>#N/A</v>
      </c>
      <c r="AB343" s="76">
        <f t="shared" ca="1" si="37"/>
        <v>0</v>
      </c>
      <c r="AC343" s="75">
        <f t="shared" ca="1" si="33"/>
        <v>0</v>
      </c>
      <c r="AD343" s="76">
        <f t="shared" ca="1" si="38"/>
        <v>12388.425641435188</v>
      </c>
      <c r="AE343" s="76">
        <f t="shared" si="39"/>
        <v>0</v>
      </c>
      <c r="AF343" s="75">
        <f t="shared" si="34"/>
        <v>0</v>
      </c>
      <c r="AG343" s="75">
        <f t="shared" si="35"/>
        <v>0</v>
      </c>
      <c r="AH343" s="31" t="e" cm="1">
        <f t="array" aca="1" ref="AH343" ca="1">IF((AD343) &lt; (INDEX(ResponseSLA[#All],(MATCH((G343),ResponseSLA[Priority],0))+1,3)),"YES","No")</f>
        <v>#N/A</v>
      </c>
      <c r="AI343" s="31" t="str">
        <f>_xlfn.IFNA(IF(AE343 &lt; (INDEX(SLATable[Minimum SLA],MATCH(G343,SLATable[Priority],0))),"YES","NO"),"")</f>
        <v/>
      </c>
      <c r="AJ343" t="str">
        <f>_xlfn.IFNA(IF(AE343 &lt; (INDEX(SLATable[Maximum SLA],MATCH(G343,SLATable[Priority],0))),"YES","NO"),"")</f>
        <v/>
      </c>
    </row>
    <row r="344" spans="26:36" ht="15" customHeight="1">
      <c r="Z344" s="76" t="e">
        <f t="shared" ca="1" si="36"/>
        <v>#N/A</v>
      </c>
      <c r="AA344" s="75" t="e">
        <f t="shared" ca="1" si="32"/>
        <v>#N/A</v>
      </c>
      <c r="AB344" s="76">
        <f t="shared" ca="1" si="37"/>
        <v>0</v>
      </c>
      <c r="AC344" s="75">
        <f t="shared" ca="1" si="33"/>
        <v>0</v>
      </c>
      <c r="AD344" s="76">
        <f t="shared" ca="1" si="38"/>
        <v>12388.425641203703</v>
      </c>
      <c r="AE344" s="76">
        <f t="shared" si="39"/>
        <v>0</v>
      </c>
      <c r="AF344" s="75">
        <f t="shared" si="34"/>
        <v>0</v>
      </c>
      <c r="AG344" s="75">
        <f t="shared" si="35"/>
        <v>0</v>
      </c>
      <c r="AH344" s="31" t="e" cm="1">
        <f t="array" aca="1" ref="AH344" ca="1">IF((AD344) &lt; (INDEX(ResponseSLA[#All],(MATCH((G344),ResponseSLA[Priority],0))+1,3)),"YES","No")</f>
        <v>#N/A</v>
      </c>
      <c r="AI344" s="31" t="str">
        <f>_xlfn.IFNA(IF(AE344 &lt; (INDEX(SLATable[Minimum SLA],MATCH(G344,SLATable[Priority],0))),"YES","NO"),"")</f>
        <v/>
      </c>
      <c r="AJ344" t="str">
        <f>_xlfn.IFNA(IF(AE344 &lt; (INDEX(SLATable[Maximum SLA],MATCH(G344,SLATable[Priority],0))),"YES","NO"),"")</f>
        <v/>
      </c>
    </row>
    <row r="345" spans="26:36" ht="15" customHeight="1">
      <c r="Z345" s="76" t="e">
        <f t="shared" ca="1" si="36"/>
        <v>#N/A</v>
      </c>
      <c r="AA345" s="75" t="e">
        <f t="shared" ca="1" si="32"/>
        <v>#N/A</v>
      </c>
      <c r="AB345" s="76">
        <f t="shared" ca="1" si="37"/>
        <v>0</v>
      </c>
      <c r="AC345" s="75">
        <f t="shared" ca="1" si="33"/>
        <v>0</v>
      </c>
      <c r="AD345" s="76">
        <f t="shared" ca="1" si="38"/>
        <v>12388.425641203703</v>
      </c>
      <c r="AE345" s="76">
        <f t="shared" si="39"/>
        <v>0</v>
      </c>
      <c r="AF345" s="75">
        <f t="shared" si="34"/>
        <v>0</v>
      </c>
      <c r="AG345" s="75">
        <f t="shared" si="35"/>
        <v>0</v>
      </c>
      <c r="AH345" s="31" t="e" cm="1">
        <f t="array" aca="1" ref="AH345" ca="1">IF((AD345) &lt; (INDEX(ResponseSLA[#All],(MATCH((G345),ResponseSLA[Priority],0))+1,3)),"YES","No")</f>
        <v>#N/A</v>
      </c>
      <c r="AI345" s="31" t="str">
        <f>_xlfn.IFNA(IF(AE345 &lt; (INDEX(SLATable[Minimum SLA],MATCH(G345,SLATable[Priority],0))),"YES","NO"),"")</f>
        <v/>
      </c>
      <c r="AJ345" t="str">
        <f>_xlfn.IFNA(IF(AE345 &lt; (INDEX(SLATable[Maximum SLA],MATCH(G345,SLATable[Priority],0))),"YES","NO"),"")</f>
        <v/>
      </c>
    </row>
    <row r="346" spans="26:36" ht="15" customHeight="1">
      <c r="Z346" s="76" t="e">
        <f t="shared" ca="1" si="36"/>
        <v>#N/A</v>
      </c>
      <c r="AA346" s="75" t="e">
        <f t="shared" ca="1" si="32"/>
        <v>#N/A</v>
      </c>
      <c r="AB346" s="76">
        <f t="shared" ca="1" si="37"/>
        <v>0</v>
      </c>
      <c r="AC346" s="75">
        <f t="shared" ca="1" si="33"/>
        <v>0</v>
      </c>
      <c r="AD346" s="76">
        <f t="shared" ca="1" si="38"/>
        <v>12388.425641435188</v>
      </c>
      <c r="AE346" s="76">
        <f t="shared" si="39"/>
        <v>0</v>
      </c>
      <c r="AF346" s="75">
        <f t="shared" si="34"/>
        <v>0</v>
      </c>
      <c r="AG346" s="75">
        <f t="shared" si="35"/>
        <v>0</v>
      </c>
      <c r="AH346" s="31" t="e" cm="1">
        <f t="array" aca="1" ref="AH346" ca="1">IF((AD346) &lt; (INDEX(ResponseSLA[#All],(MATCH((G346),ResponseSLA[Priority],0))+1,3)),"YES","No")</f>
        <v>#N/A</v>
      </c>
      <c r="AI346" s="31" t="str">
        <f>_xlfn.IFNA(IF(AE346 &lt; (INDEX(SLATable[Minimum SLA],MATCH(G346,SLATable[Priority],0))),"YES","NO"),"")</f>
        <v/>
      </c>
      <c r="AJ346" t="str">
        <f>_xlfn.IFNA(IF(AE346 &lt; (INDEX(SLATable[Maximum SLA],MATCH(G346,SLATable[Priority],0))),"YES","NO"),"")</f>
        <v/>
      </c>
    </row>
    <row r="347" spans="26:36" ht="15" customHeight="1">
      <c r="Z347" s="76" t="e">
        <f t="shared" ca="1" si="36"/>
        <v>#N/A</v>
      </c>
      <c r="AA347" s="75" t="e">
        <f t="shared" ca="1" si="32"/>
        <v>#N/A</v>
      </c>
      <c r="AB347" s="76">
        <f t="shared" ca="1" si="37"/>
        <v>0</v>
      </c>
      <c r="AC347" s="75">
        <f t="shared" ca="1" si="33"/>
        <v>0</v>
      </c>
      <c r="AD347" s="76">
        <f t="shared" ca="1" si="38"/>
        <v>12388.425641203703</v>
      </c>
      <c r="AE347" s="76">
        <f t="shared" si="39"/>
        <v>0</v>
      </c>
      <c r="AF347" s="75">
        <f t="shared" si="34"/>
        <v>0</v>
      </c>
      <c r="AG347" s="75">
        <f t="shared" si="35"/>
        <v>0</v>
      </c>
      <c r="AH347" s="31" t="e" cm="1">
        <f t="array" aca="1" ref="AH347" ca="1">IF((AD347) &lt; (INDEX(ResponseSLA[#All],(MATCH((G347),ResponseSLA[Priority],0))+1,3)),"YES","No")</f>
        <v>#N/A</v>
      </c>
      <c r="AI347" s="31" t="str">
        <f>_xlfn.IFNA(IF(AE347 &lt; (INDEX(SLATable[Minimum SLA],MATCH(G347,SLATable[Priority],0))),"YES","NO"),"")</f>
        <v/>
      </c>
      <c r="AJ347" t="str">
        <f>_xlfn.IFNA(IF(AE347 &lt; (INDEX(SLATable[Maximum SLA],MATCH(G347,SLATable[Priority],0))),"YES","NO"),"")</f>
        <v/>
      </c>
    </row>
    <row r="348" spans="26:36" ht="15" customHeight="1">
      <c r="Z348" s="76" t="e">
        <f t="shared" ca="1" si="36"/>
        <v>#N/A</v>
      </c>
      <c r="AA348" s="75" t="e">
        <f t="shared" ca="1" si="32"/>
        <v>#N/A</v>
      </c>
      <c r="AB348" s="76">
        <f t="shared" ca="1" si="37"/>
        <v>0</v>
      </c>
      <c r="AC348" s="75">
        <f t="shared" ca="1" si="33"/>
        <v>0</v>
      </c>
      <c r="AD348" s="76">
        <f t="shared" ca="1" si="38"/>
        <v>12388.425641203703</v>
      </c>
      <c r="AE348" s="76">
        <f t="shared" si="39"/>
        <v>0</v>
      </c>
      <c r="AF348" s="75">
        <f t="shared" si="34"/>
        <v>0</v>
      </c>
      <c r="AG348" s="75">
        <f t="shared" si="35"/>
        <v>0</v>
      </c>
      <c r="AH348" s="31" t="e" cm="1">
        <f t="array" aca="1" ref="AH348" ca="1">IF((AD348) &lt; (INDEX(ResponseSLA[#All],(MATCH((G348),ResponseSLA[Priority],0))+1,3)),"YES","No")</f>
        <v>#N/A</v>
      </c>
      <c r="AI348" s="31" t="str">
        <f>_xlfn.IFNA(IF(AE348 &lt; (INDEX(SLATable[Minimum SLA],MATCH(G348,SLATable[Priority],0))),"YES","NO"),"")</f>
        <v/>
      </c>
      <c r="AJ348" t="str">
        <f>_xlfn.IFNA(IF(AE348 &lt; (INDEX(SLATable[Maximum SLA],MATCH(G348,SLATable[Priority],0))),"YES","NO"),"")</f>
        <v/>
      </c>
    </row>
    <row r="349" spans="26:36" ht="15" customHeight="1">
      <c r="Z349" s="76" t="e">
        <f t="shared" ca="1" si="36"/>
        <v>#N/A</v>
      </c>
      <c r="AA349" s="75" t="e">
        <f t="shared" ca="1" si="32"/>
        <v>#N/A</v>
      </c>
      <c r="AB349" s="76">
        <f t="shared" ca="1" si="37"/>
        <v>0</v>
      </c>
      <c r="AC349" s="75">
        <f t="shared" ca="1" si="33"/>
        <v>0</v>
      </c>
      <c r="AD349" s="76">
        <f t="shared" ca="1" si="38"/>
        <v>12388.425641435188</v>
      </c>
      <c r="AE349" s="76">
        <f t="shared" si="39"/>
        <v>0</v>
      </c>
      <c r="AF349" s="75">
        <f t="shared" si="34"/>
        <v>0</v>
      </c>
      <c r="AG349" s="75">
        <f t="shared" si="35"/>
        <v>0</v>
      </c>
      <c r="AH349" s="31" t="e" cm="1">
        <f t="array" aca="1" ref="AH349" ca="1">IF((AD349) &lt; (INDEX(ResponseSLA[#All],(MATCH((G349),ResponseSLA[Priority],0))+1,3)),"YES","No")</f>
        <v>#N/A</v>
      </c>
      <c r="AI349" s="31" t="str">
        <f>_xlfn.IFNA(IF(AE349 &lt; (INDEX(SLATable[Minimum SLA],MATCH(G349,SLATable[Priority],0))),"YES","NO"),"")</f>
        <v/>
      </c>
      <c r="AJ349" t="str">
        <f>_xlfn.IFNA(IF(AE349 &lt; (INDEX(SLATable[Maximum SLA],MATCH(G349,SLATable[Priority],0))),"YES","NO"),"")</f>
        <v/>
      </c>
    </row>
    <row r="350" spans="26:36" ht="15" customHeight="1">
      <c r="Z350" s="76" t="e">
        <f t="shared" ca="1" si="36"/>
        <v>#N/A</v>
      </c>
      <c r="AA350" s="75" t="e">
        <f t="shared" ca="1" si="32"/>
        <v>#N/A</v>
      </c>
      <c r="AB350" s="76">
        <f t="shared" ca="1" si="37"/>
        <v>0</v>
      </c>
      <c r="AC350" s="75">
        <f t="shared" ca="1" si="33"/>
        <v>0</v>
      </c>
      <c r="AD350" s="76">
        <f t="shared" ca="1" si="38"/>
        <v>12388.425641203703</v>
      </c>
      <c r="AE350" s="76">
        <f t="shared" si="39"/>
        <v>0</v>
      </c>
      <c r="AF350" s="75">
        <f t="shared" si="34"/>
        <v>0</v>
      </c>
      <c r="AG350" s="75">
        <f t="shared" si="35"/>
        <v>0</v>
      </c>
      <c r="AH350" s="31" t="e" cm="1">
        <f t="array" aca="1" ref="AH350" ca="1">IF((AD350) &lt; (INDEX(ResponseSLA[#All],(MATCH((G350),ResponseSLA[Priority],0))+1,3)),"YES","No")</f>
        <v>#N/A</v>
      </c>
      <c r="AI350" s="31" t="str">
        <f>_xlfn.IFNA(IF(AE350 &lt; (INDEX(SLATable[Minimum SLA],MATCH(G350,SLATable[Priority],0))),"YES","NO"),"")</f>
        <v/>
      </c>
      <c r="AJ350" t="str">
        <f>_xlfn.IFNA(IF(AE350 &lt; (INDEX(SLATable[Maximum SLA],MATCH(G350,SLATable[Priority],0))),"YES","NO"),"")</f>
        <v/>
      </c>
    </row>
    <row r="351" spans="26:36" ht="15" customHeight="1">
      <c r="Z351" s="76" t="e">
        <f t="shared" ca="1" si="36"/>
        <v>#N/A</v>
      </c>
      <c r="AA351" s="75" t="e">
        <f t="shared" ca="1" si="32"/>
        <v>#N/A</v>
      </c>
      <c r="AB351" s="76">
        <f t="shared" ca="1" si="37"/>
        <v>0</v>
      </c>
      <c r="AC351" s="75">
        <f t="shared" ca="1" si="33"/>
        <v>0</v>
      </c>
      <c r="AD351" s="76">
        <f t="shared" ca="1" si="38"/>
        <v>12388.425641203703</v>
      </c>
      <c r="AE351" s="76">
        <f t="shared" si="39"/>
        <v>0</v>
      </c>
      <c r="AF351" s="75">
        <f t="shared" si="34"/>
        <v>0</v>
      </c>
      <c r="AG351" s="75">
        <f t="shared" si="35"/>
        <v>0</v>
      </c>
      <c r="AH351" s="31" t="e" cm="1">
        <f t="array" aca="1" ref="AH351" ca="1">IF((AD351) &lt; (INDEX(ResponseSLA[#All],(MATCH((G351),ResponseSLA[Priority],0))+1,3)),"YES","No")</f>
        <v>#N/A</v>
      </c>
      <c r="AI351" s="31" t="str">
        <f>_xlfn.IFNA(IF(AE351 &lt; (INDEX(SLATable[Minimum SLA],MATCH(G351,SLATable[Priority],0))),"YES","NO"),"")</f>
        <v/>
      </c>
      <c r="AJ351" t="str">
        <f>_xlfn.IFNA(IF(AE351 &lt; (INDEX(SLATable[Maximum SLA],MATCH(G351,SLATable[Priority],0))),"YES","NO"),"")</f>
        <v/>
      </c>
    </row>
    <row r="352" spans="26:36" ht="15" customHeight="1">
      <c r="Z352" s="76" t="e">
        <f t="shared" ca="1" si="36"/>
        <v>#N/A</v>
      </c>
      <c r="AA352" s="75" t="e">
        <f t="shared" ca="1" si="32"/>
        <v>#N/A</v>
      </c>
      <c r="AB352" s="76">
        <f t="shared" ca="1" si="37"/>
        <v>0</v>
      </c>
      <c r="AC352" s="75">
        <f t="shared" ca="1" si="33"/>
        <v>0</v>
      </c>
      <c r="AD352" s="76">
        <f t="shared" ca="1" si="38"/>
        <v>12388.425641435188</v>
      </c>
      <c r="AE352" s="76">
        <f t="shared" si="39"/>
        <v>0</v>
      </c>
      <c r="AF352" s="75">
        <f t="shared" si="34"/>
        <v>0</v>
      </c>
      <c r="AG352" s="75">
        <f t="shared" si="35"/>
        <v>0</v>
      </c>
      <c r="AH352" s="31" t="e" cm="1">
        <f t="array" aca="1" ref="AH352" ca="1">IF((AD352) &lt; (INDEX(ResponseSLA[#All],(MATCH((G352),ResponseSLA[Priority],0))+1,3)),"YES","No")</f>
        <v>#N/A</v>
      </c>
      <c r="AI352" s="31" t="str">
        <f>_xlfn.IFNA(IF(AE352 &lt; (INDEX(SLATable[Minimum SLA],MATCH(G352,SLATable[Priority],0))),"YES","NO"),"")</f>
        <v/>
      </c>
      <c r="AJ352" t="str">
        <f>_xlfn.IFNA(IF(AE352 &lt; (INDEX(SLATable[Maximum SLA],MATCH(G352,SLATable[Priority],0))),"YES","NO"),"")</f>
        <v/>
      </c>
    </row>
    <row r="353" spans="26:36" ht="15" customHeight="1">
      <c r="Z353" s="76" t="e">
        <f t="shared" ca="1" si="36"/>
        <v>#N/A</v>
      </c>
      <c r="AA353" s="75" t="e">
        <f t="shared" ca="1" si="32"/>
        <v>#N/A</v>
      </c>
      <c r="AB353" s="76">
        <f t="shared" ca="1" si="37"/>
        <v>0</v>
      </c>
      <c r="AC353" s="75">
        <f t="shared" ca="1" si="33"/>
        <v>0</v>
      </c>
      <c r="AD353" s="76">
        <f t="shared" ca="1" si="38"/>
        <v>12388.425641203703</v>
      </c>
      <c r="AE353" s="76">
        <f t="shared" si="39"/>
        <v>0</v>
      </c>
      <c r="AF353" s="75">
        <f t="shared" si="34"/>
        <v>0</v>
      </c>
      <c r="AG353" s="75">
        <f t="shared" si="35"/>
        <v>0</v>
      </c>
      <c r="AH353" s="31" t="e" cm="1">
        <f t="array" aca="1" ref="AH353" ca="1">IF((AD353) &lt; (INDEX(ResponseSLA[#All],(MATCH((G353),ResponseSLA[Priority],0))+1,3)),"YES","No")</f>
        <v>#N/A</v>
      </c>
      <c r="AI353" s="31" t="str">
        <f>_xlfn.IFNA(IF(AE353 &lt; (INDEX(SLATable[Minimum SLA],MATCH(G353,SLATable[Priority],0))),"YES","NO"),"")</f>
        <v/>
      </c>
      <c r="AJ353" t="str">
        <f>_xlfn.IFNA(IF(AE353 &lt; (INDEX(SLATable[Maximum SLA],MATCH(G353,SLATable[Priority],0))),"YES","NO"),"")</f>
        <v/>
      </c>
    </row>
    <row r="354" spans="26:36" ht="15" customHeight="1">
      <c r="Z354" s="76" t="e">
        <f t="shared" ca="1" si="36"/>
        <v>#N/A</v>
      </c>
      <c r="AA354" s="75" t="e">
        <f t="shared" ca="1" si="32"/>
        <v>#N/A</v>
      </c>
      <c r="AB354" s="76">
        <f t="shared" ca="1" si="37"/>
        <v>0</v>
      </c>
      <c r="AC354" s="75">
        <f t="shared" ca="1" si="33"/>
        <v>0</v>
      </c>
      <c r="AD354" s="76">
        <f t="shared" ca="1" si="38"/>
        <v>12388.425641203703</v>
      </c>
      <c r="AE354" s="76">
        <f t="shared" si="39"/>
        <v>0</v>
      </c>
      <c r="AF354" s="75">
        <f t="shared" si="34"/>
        <v>0</v>
      </c>
      <c r="AG354" s="75">
        <f t="shared" si="35"/>
        <v>0</v>
      </c>
      <c r="AH354" s="31" t="e" cm="1">
        <f t="array" aca="1" ref="AH354" ca="1">IF((AD354) &lt; (INDEX(ResponseSLA[#All],(MATCH((G354),ResponseSLA[Priority],0))+1,3)),"YES","No")</f>
        <v>#N/A</v>
      </c>
      <c r="AI354" s="31" t="str">
        <f>_xlfn.IFNA(IF(AE354 &lt; (INDEX(SLATable[Minimum SLA],MATCH(G354,SLATable[Priority],0))),"YES","NO"),"")</f>
        <v/>
      </c>
      <c r="AJ354" t="str">
        <f>_xlfn.IFNA(IF(AE354 &lt; (INDEX(SLATable[Maximum SLA],MATCH(G354,SLATable[Priority],0))),"YES","NO"),"")</f>
        <v/>
      </c>
    </row>
    <row r="355" spans="26:36" ht="15" customHeight="1">
      <c r="Z355" s="76" t="e">
        <f t="shared" ca="1" si="36"/>
        <v>#N/A</v>
      </c>
      <c r="AA355" s="75" t="e">
        <f t="shared" ca="1" si="32"/>
        <v>#N/A</v>
      </c>
      <c r="AB355" s="76">
        <f t="shared" ca="1" si="37"/>
        <v>0</v>
      </c>
      <c r="AC355" s="75">
        <f t="shared" ca="1" si="33"/>
        <v>0</v>
      </c>
      <c r="AD355" s="76">
        <f t="shared" ca="1" si="38"/>
        <v>12388.425641435188</v>
      </c>
      <c r="AE355" s="76">
        <f t="shared" si="39"/>
        <v>0</v>
      </c>
      <c r="AF355" s="75">
        <f t="shared" si="34"/>
        <v>0</v>
      </c>
      <c r="AG355" s="75">
        <f t="shared" si="35"/>
        <v>0</v>
      </c>
      <c r="AH355" s="31" t="e" cm="1">
        <f t="array" aca="1" ref="AH355" ca="1">IF((AD355) &lt; (INDEX(ResponseSLA[#All],(MATCH((G355),ResponseSLA[Priority],0))+1,3)),"YES","No")</f>
        <v>#N/A</v>
      </c>
      <c r="AI355" s="31" t="str">
        <f>_xlfn.IFNA(IF(AE355 &lt; (INDEX(SLATable[Minimum SLA],MATCH(G355,SLATable[Priority],0))),"YES","NO"),"")</f>
        <v/>
      </c>
      <c r="AJ355" t="str">
        <f>_xlfn.IFNA(IF(AE355 &lt; (INDEX(SLATable[Maximum SLA],MATCH(G355,SLATable[Priority],0))),"YES","NO"),"")</f>
        <v/>
      </c>
    </row>
    <row r="356" spans="26:36" ht="15" customHeight="1">
      <c r="Z356" s="76" t="e">
        <f t="shared" ca="1" si="36"/>
        <v>#N/A</v>
      </c>
      <c r="AA356" s="75" t="e">
        <f t="shared" ca="1" si="32"/>
        <v>#N/A</v>
      </c>
      <c r="AB356" s="76">
        <f t="shared" ca="1" si="37"/>
        <v>0</v>
      </c>
      <c r="AC356" s="75">
        <f t="shared" ca="1" si="33"/>
        <v>0</v>
      </c>
      <c r="AD356" s="76">
        <f t="shared" ca="1" si="38"/>
        <v>12388.425641203703</v>
      </c>
      <c r="AE356" s="76">
        <f t="shared" si="39"/>
        <v>0</v>
      </c>
      <c r="AF356" s="75">
        <f t="shared" si="34"/>
        <v>0</v>
      </c>
      <c r="AG356" s="75">
        <f t="shared" si="35"/>
        <v>0</v>
      </c>
      <c r="AH356" s="31" t="e" cm="1">
        <f t="array" aca="1" ref="AH356" ca="1">IF((AD356) &lt; (INDEX(ResponseSLA[#All],(MATCH((G356),ResponseSLA[Priority],0))+1,3)),"YES","No")</f>
        <v>#N/A</v>
      </c>
      <c r="AI356" s="31" t="str">
        <f>_xlfn.IFNA(IF(AE356 &lt; (INDEX(SLATable[Minimum SLA],MATCH(G356,SLATable[Priority],0))),"YES","NO"),"")</f>
        <v/>
      </c>
      <c r="AJ356" t="str">
        <f>_xlfn.IFNA(IF(AE356 &lt; (INDEX(SLATable[Maximum SLA],MATCH(G356,SLATable[Priority],0))),"YES","NO"),"")</f>
        <v/>
      </c>
    </row>
    <row r="357" spans="26:36" ht="15" customHeight="1">
      <c r="Z357" s="76" t="e">
        <f t="shared" ca="1" si="36"/>
        <v>#N/A</v>
      </c>
      <c r="AA357" s="75" t="e">
        <f t="shared" ca="1" si="32"/>
        <v>#N/A</v>
      </c>
      <c r="AB357" s="76">
        <f t="shared" ca="1" si="37"/>
        <v>0</v>
      </c>
      <c r="AC357" s="75">
        <f t="shared" ca="1" si="33"/>
        <v>0</v>
      </c>
      <c r="AD357" s="76">
        <f t="shared" ca="1" si="38"/>
        <v>12388.425641203703</v>
      </c>
      <c r="AE357" s="76">
        <f t="shared" si="39"/>
        <v>0</v>
      </c>
      <c r="AF357" s="75">
        <f t="shared" si="34"/>
        <v>0</v>
      </c>
      <c r="AG357" s="75">
        <f t="shared" si="35"/>
        <v>0</v>
      </c>
      <c r="AH357" s="31" t="e" cm="1">
        <f t="array" aca="1" ref="AH357" ca="1">IF((AD357) &lt; (INDEX(ResponseSLA[#All],(MATCH((G357),ResponseSLA[Priority],0))+1,3)),"YES","No")</f>
        <v>#N/A</v>
      </c>
      <c r="AI357" s="31" t="str">
        <f>_xlfn.IFNA(IF(AE357 &lt; (INDEX(SLATable[Minimum SLA],MATCH(G357,SLATable[Priority],0))),"YES","NO"),"")</f>
        <v/>
      </c>
      <c r="AJ357" t="str">
        <f>_xlfn.IFNA(IF(AE357 &lt; (INDEX(SLATable[Maximum SLA],MATCH(G357,SLATable[Priority],0))),"YES","NO"),"")</f>
        <v/>
      </c>
    </row>
    <row r="358" spans="26:36" ht="15" customHeight="1">
      <c r="Z358" s="76" t="e">
        <f t="shared" ca="1" si="36"/>
        <v>#N/A</v>
      </c>
      <c r="AA358" s="75" t="e">
        <f t="shared" ca="1" si="32"/>
        <v>#N/A</v>
      </c>
      <c r="AB358" s="76">
        <f t="shared" ca="1" si="37"/>
        <v>0</v>
      </c>
      <c r="AC358" s="75">
        <f t="shared" ca="1" si="33"/>
        <v>0</v>
      </c>
      <c r="AD358" s="76">
        <f t="shared" ca="1" si="38"/>
        <v>12388.425641435188</v>
      </c>
      <c r="AE358" s="76">
        <f t="shared" si="39"/>
        <v>0</v>
      </c>
      <c r="AF358" s="75">
        <f t="shared" si="34"/>
        <v>0</v>
      </c>
      <c r="AG358" s="75">
        <f t="shared" si="35"/>
        <v>0</v>
      </c>
      <c r="AH358" s="31" t="e" cm="1">
        <f t="array" aca="1" ref="AH358" ca="1">IF((AD358) &lt; (INDEX(ResponseSLA[#All],(MATCH((G358),ResponseSLA[Priority],0))+1,3)),"YES","No")</f>
        <v>#N/A</v>
      </c>
      <c r="AI358" s="31" t="str">
        <f>_xlfn.IFNA(IF(AE358 &lt; (INDEX(SLATable[Minimum SLA],MATCH(G358,SLATable[Priority],0))),"YES","NO"),"")</f>
        <v/>
      </c>
      <c r="AJ358" t="str">
        <f>_xlfn.IFNA(IF(AE358 &lt; (INDEX(SLATable[Maximum SLA],MATCH(G358,SLATable[Priority],0))),"YES","NO"),"")</f>
        <v/>
      </c>
    </row>
    <row r="359" spans="26:36" ht="15" customHeight="1">
      <c r="Z359" s="76" t="e">
        <f t="shared" ca="1" si="36"/>
        <v>#N/A</v>
      </c>
      <c r="AA359" s="75" t="e">
        <f t="shared" ca="1" si="32"/>
        <v>#N/A</v>
      </c>
      <c r="AB359" s="76">
        <f t="shared" ca="1" si="37"/>
        <v>0</v>
      </c>
      <c r="AC359" s="75">
        <f t="shared" ca="1" si="33"/>
        <v>0</v>
      </c>
      <c r="AD359" s="76">
        <f t="shared" ca="1" si="38"/>
        <v>12388.425641203703</v>
      </c>
      <c r="AE359" s="76">
        <f t="shared" si="39"/>
        <v>0</v>
      </c>
      <c r="AF359" s="75">
        <f t="shared" si="34"/>
        <v>0</v>
      </c>
      <c r="AG359" s="75">
        <f t="shared" si="35"/>
        <v>0</v>
      </c>
      <c r="AH359" s="31" t="e" cm="1">
        <f t="array" aca="1" ref="AH359" ca="1">IF((AD359) &lt; (INDEX(ResponseSLA[#All],(MATCH((G359),ResponseSLA[Priority],0))+1,3)),"YES","No")</f>
        <v>#N/A</v>
      </c>
      <c r="AI359" s="31" t="str">
        <f>_xlfn.IFNA(IF(AE359 &lt; (INDEX(SLATable[Minimum SLA],MATCH(G359,SLATable[Priority],0))),"YES","NO"),"")</f>
        <v/>
      </c>
      <c r="AJ359" t="str">
        <f>_xlfn.IFNA(IF(AE359 &lt; (INDEX(SLATable[Maximum SLA],MATCH(G359,SLATable[Priority],0))),"YES","NO"),"")</f>
        <v/>
      </c>
    </row>
    <row r="360" spans="26:36" ht="15" customHeight="1">
      <c r="Z360" s="76" t="e">
        <f t="shared" ca="1" si="36"/>
        <v>#N/A</v>
      </c>
      <c r="AA360" s="75" t="e">
        <f t="shared" ca="1" si="32"/>
        <v>#N/A</v>
      </c>
      <c r="AB360" s="76">
        <f t="shared" ca="1" si="37"/>
        <v>0</v>
      </c>
      <c r="AC360" s="75">
        <f t="shared" ca="1" si="33"/>
        <v>0</v>
      </c>
      <c r="AD360" s="76">
        <f t="shared" ca="1" si="38"/>
        <v>12388.425641203703</v>
      </c>
      <c r="AE360" s="76">
        <f t="shared" si="39"/>
        <v>0</v>
      </c>
      <c r="AF360" s="75">
        <f t="shared" si="34"/>
        <v>0</v>
      </c>
      <c r="AG360" s="75">
        <f t="shared" si="35"/>
        <v>0</v>
      </c>
      <c r="AH360" s="31" t="e" cm="1">
        <f t="array" aca="1" ref="AH360" ca="1">IF((AD360) &lt; (INDEX(ResponseSLA[#All],(MATCH((G360),ResponseSLA[Priority],0))+1,3)),"YES","No")</f>
        <v>#N/A</v>
      </c>
      <c r="AI360" s="31" t="str">
        <f>_xlfn.IFNA(IF(AE360 &lt; (INDEX(SLATable[Minimum SLA],MATCH(G360,SLATable[Priority],0))),"YES","NO"),"")</f>
        <v/>
      </c>
      <c r="AJ360" t="str">
        <f>_xlfn.IFNA(IF(AE360 &lt; (INDEX(SLATable[Maximum SLA],MATCH(G360,SLATable[Priority],0))),"YES","NO"),"")</f>
        <v/>
      </c>
    </row>
    <row r="361" spans="26:36" ht="15" customHeight="1">
      <c r="Z361" s="76" t="e">
        <f t="shared" ca="1" si="36"/>
        <v>#N/A</v>
      </c>
      <c r="AA361" s="75" t="e">
        <f t="shared" ca="1" si="32"/>
        <v>#N/A</v>
      </c>
      <c r="AB361" s="76">
        <f t="shared" ca="1" si="37"/>
        <v>0</v>
      </c>
      <c r="AC361" s="75">
        <f t="shared" ca="1" si="33"/>
        <v>0</v>
      </c>
      <c r="AD361" s="76">
        <f t="shared" ca="1" si="38"/>
        <v>12388.425641435188</v>
      </c>
      <c r="AE361" s="76">
        <f t="shared" si="39"/>
        <v>0</v>
      </c>
      <c r="AF361" s="75">
        <f t="shared" si="34"/>
        <v>0</v>
      </c>
      <c r="AG361" s="75">
        <f t="shared" si="35"/>
        <v>0</v>
      </c>
      <c r="AH361" s="31" t="e" cm="1">
        <f t="array" aca="1" ref="AH361" ca="1">IF((AD361) &lt; (INDEX(ResponseSLA[#All],(MATCH((G361),ResponseSLA[Priority],0))+1,3)),"YES","No")</f>
        <v>#N/A</v>
      </c>
      <c r="AI361" s="31" t="str">
        <f>_xlfn.IFNA(IF(AE361 &lt; (INDEX(SLATable[Minimum SLA],MATCH(G361,SLATable[Priority],0))),"YES","NO"),"")</f>
        <v/>
      </c>
      <c r="AJ361" t="str">
        <f>_xlfn.IFNA(IF(AE361 &lt; (INDEX(SLATable[Maximum SLA],MATCH(G361,SLATable[Priority],0))),"YES","NO"),"")</f>
        <v/>
      </c>
    </row>
    <row r="362" spans="26:36" ht="15" customHeight="1">
      <c r="Z362" s="76" t="e">
        <f t="shared" ca="1" si="36"/>
        <v>#N/A</v>
      </c>
      <c r="AA362" s="75" t="e">
        <f t="shared" ca="1" si="32"/>
        <v>#N/A</v>
      </c>
      <c r="AB362" s="76">
        <f t="shared" ca="1" si="37"/>
        <v>0</v>
      </c>
      <c r="AC362" s="75">
        <f t="shared" ca="1" si="33"/>
        <v>0</v>
      </c>
      <c r="AD362" s="76">
        <f t="shared" ca="1" si="38"/>
        <v>12388.425641203703</v>
      </c>
      <c r="AE362" s="76">
        <f t="shared" si="39"/>
        <v>0</v>
      </c>
      <c r="AF362" s="75">
        <f t="shared" si="34"/>
        <v>0</v>
      </c>
      <c r="AG362" s="75">
        <f t="shared" si="35"/>
        <v>0</v>
      </c>
      <c r="AH362" s="31" t="e" cm="1">
        <f t="array" aca="1" ref="AH362" ca="1">IF((AD362) &lt; (INDEX(ResponseSLA[#All],(MATCH((G362),ResponseSLA[Priority],0))+1,3)),"YES","No")</f>
        <v>#N/A</v>
      </c>
      <c r="AI362" s="31" t="str">
        <f>_xlfn.IFNA(IF(AE362 &lt; (INDEX(SLATable[Minimum SLA],MATCH(G362,SLATable[Priority],0))),"YES","NO"),"")</f>
        <v/>
      </c>
      <c r="AJ362" t="str">
        <f>_xlfn.IFNA(IF(AE362 &lt; (INDEX(SLATable[Maximum SLA],MATCH(G362,SLATable[Priority],0))),"YES","NO"),"")</f>
        <v/>
      </c>
    </row>
    <row r="363" spans="26:36" ht="15" customHeight="1">
      <c r="Z363" s="76" t="e">
        <f t="shared" ca="1" si="36"/>
        <v>#N/A</v>
      </c>
      <c r="AA363" s="75" t="e">
        <f t="shared" ca="1" si="32"/>
        <v>#N/A</v>
      </c>
      <c r="AB363" s="76">
        <f t="shared" ca="1" si="37"/>
        <v>0</v>
      </c>
      <c r="AC363" s="75">
        <f t="shared" ca="1" si="33"/>
        <v>0</v>
      </c>
      <c r="AD363" s="76">
        <f t="shared" ca="1" si="38"/>
        <v>12388.425641203703</v>
      </c>
      <c r="AE363" s="76">
        <f t="shared" si="39"/>
        <v>0</v>
      </c>
      <c r="AF363" s="75">
        <f t="shared" si="34"/>
        <v>0</v>
      </c>
      <c r="AG363" s="75">
        <f t="shared" si="35"/>
        <v>0</v>
      </c>
      <c r="AH363" s="31" t="e" cm="1">
        <f t="array" aca="1" ref="AH363" ca="1">IF((AD363) &lt; (INDEX(ResponseSLA[#All],(MATCH((G363),ResponseSLA[Priority],0))+1,3)),"YES","No")</f>
        <v>#N/A</v>
      </c>
      <c r="AI363" s="31" t="str">
        <f>_xlfn.IFNA(IF(AE363 &lt; (INDEX(SLATable[Minimum SLA],MATCH(G363,SLATable[Priority],0))),"YES","NO"),"")</f>
        <v/>
      </c>
      <c r="AJ363" t="str">
        <f>_xlfn.IFNA(IF(AE363 &lt; (INDEX(SLATable[Maximum SLA],MATCH(G363,SLATable[Priority],0))),"YES","NO"),"")</f>
        <v/>
      </c>
    </row>
    <row r="364" spans="26:36" ht="15" customHeight="1">
      <c r="Z364" s="76" t="e">
        <f t="shared" ca="1" si="36"/>
        <v>#N/A</v>
      </c>
      <c r="AA364" s="75" t="e">
        <f t="shared" ca="1" si="32"/>
        <v>#N/A</v>
      </c>
      <c r="AB364" s="76">
        <f t="shared" ca="1" si="37"/>
        <v>0</v>
      </c>
      <c r="AC364" s="75">
        <f t="shared" ca="1" si="33"/>
        <v>0</v>
      </c>
      <c r="AD364" s="76">
        <f t="shared" ca="1" si="38"/>
        <v>12388.425641435188</v>
      </c>
      <c r="AE364" s="76">
        <f t="shared" si="39"/>
        <v>0</v>
      </c>
      <c r="AF364" s="75">
        <f t="shared" si="34"/>
        <v>0</v>
      </c>
      <c r="AG364" s="75">
        <f t="shared" si="35"/>
        <v>0</v>
      </c>
      <c r="AH364" s="31" t="e" cm="1">
        <f t="array" aca="1" ref="AH364" ca="1">IF((AD364) &lt; (INDEX(ResponseSLA[#All],(MATCH((G364),ResponseSLA[Priority],0))+1,3)),"YES","No")</f>
        <v>#N/A</v>
      </c>
      <c r="AI364" s="31" t="str">
        <f>_xlfn.IFNA(IF(AE364 &lt; (INDEX(SLATable[Minimum SLA],MATCH(G364,SLATable[Priority],0))),"YES","NO"),"")</f>
        <v/>
      </c>
      <c r="AJ364" t="str">
        <f>_xlfn.IFNA(IF(AE364 &lt; (INDEX(SLATable[Maximum SLA],MATCH(G364,SLATable[Priority],0))),"YES","NO"),"")</f>
        <v/>
      </c>
    </row>
    <row r="365" spans="26:36" ht="15" customHeight="1">
      <c r="Z365" s="76" t="e">
        <f t="shared" ca="1" si="36"/>
        <v>#N/A</v>
      </c>
      <c r="AA365" s="75" t="e">
        <f t="shared" ca="1" si="32"/>
        <v>#N/A</v>
      </c>
      <c r="AB365" s="76">
        <f t="shared" ca="1" si="37"/>
        <v>0</v>
      </c>
      <c r="AC365" s="75">
        <f t="shared" ca="1" si="33"/>
        <v>0</v>
      </c>
      <c r="AD365" s="76">
        <f t="shared" ca="1" si="38"/>
        <v>12388.425641203703</v>
      </c>
      <c r="AE365" s="76">
        <f t="shared" si="39"/>
        <v>0</v>
      </c>
      <c r="AF365" s="75">
        <f t="shared" si="34"/>
        <v>0</v>
      </c>
      <c r="AG365" s="75">
        <f t="shared" si="35"/>
        <v>0</v>
      </c>
      <c r="AH365" s="31" t="e" cm="1">
        <f t="array" aca="1" ref="AH365" ca="1">IF((AD365) &lt; (INDEX(ResponseSLA[#All],(MATCH((G365),ResponseSLA[Priority],0))+1,3)),"YES","No")</f>
        <v>#N/A</v>
      </c>
      <c r="AI365" s="31" t="str">
        <f>_xlfn.IFNA(IF(AE365 &lt; (INDEX(SLATable[Minimum SLA],MATCH(G365,SLATable[Priority],0))),"YES","NO"),"")</f>
        <v/>
      </c>
      <c r="AJ365" t="str">
        <f>_xlfn.IFNA(IF(AE365 &lt; (INDEX(SLATable[Maximum SLA],MATCH(G365,SLATable[Priority],0))),"YES","NO"),"")</f>
        <v/>
      </c>
    </row>
    <row r="366" spans="26:36" ht="15" customHeight="1">
      <c r="Z366" s="76" t="e">
        <f t="shared" ca="1" si="36"/>
        <v>#N/A</v>
      </c>
      <c r="AA366" s="75" t="e">
        <f t="shared" ca="1" si="32"/>
        <v>#N/A</v>
      </c>
      <c r="AB366" s="76">
        <f t="shared" ca="1" si="37"/>
        <v>0</v>
      </c>
      <c r="AC366" s="75">
        <f t="shared" ca="1" si="33"/>
        <v>0</v>
      </c>
      <c r="AD366" s="76">
        <f t="shared" ca="1" si="38"/>
        <v>12388.425641203703</v>
      </c>
      <c r="AE366" s="76">
        <f t="shared" si="39"/>
        <v>0</v>
      </c>
      <c r="AF366" s="75">
        <f t="shared" si="34"/>
        <v>0</v>
      </c>
      <c r="AG366" s="75">
        <f t="shared" si="35"/>
        <v>0</v>
      </c>
      <c r="AH366" s="31" t="e" cm="1">
        <f t="array" aca="1" ref="AH366" ca="1">IF((AD366) &lt; (INDEX(ResponseSLA[#All],(MATCH((G366),ResponseSLA[Priority],0))+1,3)),"YES","No")</f>
        <v>#N/A</v>
      </c>
      <c r="AI366" s="31" t="str">
        <f>_xlfn.IFNA(IF(AE366 &lt; (INDEX(SLATable[Minimum SLA],MATCH(G366,SLATable[Priority],0))),"YES","NO"),"")</f>
        <v/>
      </c>
      <c r="AJ366" t="str">
        <f>_xlfn.IFNA(IF(AE366 &lt; (INDEX(SLATable[Maximum SLA],MATCH(G366,SLATable[Priority],0))),"YES","NO"),"")</f>
        <v/>
      </c>
    </row>
    <row r="367" spans="26:36" ht="15" customHeight="1">
      <c r="Z367" s="76" t="e">
        <f t="shared" ca="1" si="36"/>
        <v>#N/A</v>
      </c>
      <c r="AA367" s="75" t="e">
        <f t="shared" ca="1" si="32"/>
        <v>#N/A</v>
      </c>
      <c r="AB367" s="76">
        <f t="shared" ca="1" si="37"/>
        <v>0</v>
      </c>
      <c r="AC367" s="75">
        <f t="shared" ca="1" si="33"/>
        <v>0</v>
      </c>
      <c r="AD367" s="76">
        <f t="shared" ca="1" si="38"/>
        <v>12388.425641435188</v>
      </c>
      <c r="AE367" s="76">
        <f t="shared" si="39"/>
        <v>0</v>
      </c>
      <c r="AF367" s="75">
        <f t="shared" si="34"/>
        <v>0</v>
      </c>
      <c r="AG367" s="75">
        <f t="shared" si="35"/>
        <v>0</v>
      </c>
      <c r="AH367" s="31" t="e" cm="1">
        <f t="array" aca="1" ref="AH367" ca="1">IF((AD367) &lt; (INDEX(ResponseSLA[#All],(MATCH((G367),ResponseSLA[Priority],0))+1,3)),"YES","No")</f>
        <v>#N/A</v>
      </c>
      <c r="AI367" s="31" t="str">
        <f>_xlfn.IFNA(IF(AE367 &lt; (INDEX(SLATable[Minimum SLA],MATCH(G367,SLATable[Priority],0))),"YES","NO"),"")</f>
        <v/>
      </c>
      <c r="AJ367" t="str">
        <f>_xlfn.IFNA(IF(AE367 &lt; (INDEX(SLATable[Maximum SLA],MATCH(G367,SLATable[Priority],0))),"YES","NO"),"")</f>
        <v/>
      </c>
    </row>
    <row r="368" spans="26:36" ht="15" customHeight="1">
      <c r="Z368" s="76" t="e">
        <f t="shared" ca="1" si="36"/>
        <v>#N/A</v>
      </c>
      <c r="AA368" s="75" t="e">
        <f t="shared" ca="1" si="32"/>
        <v>#N/A</v>
      </c>
      <c r="AB368" s="76">
        <f t="shared" ca="1" si="37"/>
        <v>0</v>
      </c>
      <c r="AC368" s="75">
        <f t="shared" ca="1" si="33"/>
        <v>0</v>
      </c>
      <c r="AD368" s="76">
        <f t="shared" ca="1" si="38"/>
        <v>12388.425641203703</v>
      </c>
      <c r="AE368" s="76">
        <f t="shared" si="39"/>
        <v>0</v>
      </c>
      <c r="AF368" s="75">
        <f t="shared" si="34"/>
        <v>0</v>
      </c>
      <c r="AG368" s="75">
        <f t="shared" si="35"/>
        <v>0</v>
      </c>
      <c r="AH368" s="31" t="e" cm="1">
        <f t="array" aca="1" ref="AH368" ca="1">IF((AD368) &lt; (INDEX(ResponseSLA[#All],(MATCH((G368),ResponseSLA[Priority],0))+1,3)),"YES","No")</f>
        <v>#N/A</v>
      </c>
      <c r="AI368" s="31" t="str">
        <f>_xlfn.IFNA(IF(AE368 &lt; (INDEX(SLATable[Minimum SLA],MATCH(G368,SLATable[Priority],0))),"YES","NO"),"")</f>
        <v/>
      </c>
      <c r="AJ368" t="str">
        <f>_xlfn.IFNA(IF(AE368 &lt; (INDEX(SLATable[Maximum SLA],MATCH(G368,SLATable[Priority],0))),"YES","NO"),"")</f>
        <v/>
      </c>
    </row>
    <row r="369" spans="26:36" ht="15" customHeight="1">
      <c r="Z369" s="76" t="e">
        <f t="shared" ca="1" si="36"/>
        <v>#N/A</v>
      </c>
      <c r="AA369" s="75" t="e">
        <f t="shared" ca="1" si="32"/>
        <v>#N/A</v>
      </c>
      <c r="AB369" s="76">
        <f t="shared" ca="1" si="37"/>
        <v>0</v>
      </c>
      <c r="AC369" s="75">
        <f t="shared" ca="1" si="33"/>
        <v>0</v>
      </c>
      <c r="AD369" s="76">
        <f t="shared" ca="1" si="38"/>
        <v>12388.425641203703</v>
      </c>
      <c r="AE369" s="76">
        <f t="shared" si="39"/>
        <v>0</v>
      </c>
      <c r="AF369" s="75">
        <f t="shared" si="34"/>
        <v>0</v>
      </c>
      <c r="AG369" s="75">
        <f t="shared" si="35"/>
        <v>0</v>
      </c>
      <c r="AH369" s="31" t="e" cm="1">
        <f t="array" aca="1" ref="AH369" ca="1">IF((AD369) &lt; (INDEX(ResponseSLA[#All],(MATCH((G369),ResponseSLA[Priority],0))+1,3)),"YES","No")</f>
        <v>#N/A</v>
      </c>
      <c r="AI369" s="31" t="str">
        <f>_xlfn.IFNA(IF(AE369 &lt; (INDEX(SLATable[Minimum SLA],MATCH(G369,SLATable[Priority],0))),"YES","NO"),"")</f>
        <v/>
      </c>
      <c r="AJ369" t="str">
        <f>_xlfn.IFNA(IF(AE369 &lt; (INDEX(SLATable[Maximum SLA],MATCH(G369,SLATable[Priority],0))),"YES","NO"),"")</f>
        <v/>
      </c>
    </row>
    <row r="370" spans="26:36" ht="15" customHeight="1">
      <c r="Z370" s="76" t="e">
        <f t="shared" ca="1" si="36"/>
        <v>#N/A</v>
      </c>
      <c r="AA370" s="75" t="e">
        <f t="shared" ca="1" si="32"/>
        <v>#N/A</v>
      </c>
      <c r="AB370" s="76">
        <f t="shared" ca="1" si="37"/>
        <v>0</v>
      </c>
      <c r="AC370" s="75">
        <f t="shared" ca="1" si="33"/>
        <v>0</v>
      </c>
      <c r="AD370" s="76">
        <f t="shared" ca="1" si="38"/>
        <v>12388.425641435188</v>
      </c>
      <c r="AE370" s="76">
        <f t="shared" si="39"/>
        <v>0</v>
      </c>
      <c r="AF370" s="75">
        <f t="shared" si="34"/>
        <v>0</v>
      </c>
      <c r="AG370" s="75">
        <f t="shared" si="35"/>
        <v>0</v>
      </c>
      <c r="AH370" s="31" t="e" cm="1">
        <f t="array" aca="1" ref="AH370" ca="1">IF((AD370) &lt; (INDEX(ResponseSLA[#All],(MATCH((G370),ResponseSLA[Priority],0))+1,3)),"YES","No")</f>
        <v>#N/A</v>
      </c>
      <c r="AI370" s="31" t="str">
        <f>_xlfn.IFNA(IF(AE370 &lt; (INDEX(SLATable[Minimum SLA],MATCH(G370,SLATable[Priority],0))),"YES","NO"),"")</f>
        <v/>
      </c>
      <c r="AJ370" t="str">
        <f>_xlfn.IFNA(IF(AE370 &lt; (INDEX(SLATable[Maximum SLA],MATCH(G370,SLATable[Priority],0))),"YES","NO"),"")</f>
        <v/>
      </c>
    </row>
    <row r="371" spans="26:36" ht="15" customHeight="1">
      <c r="Z371" s="76" t="e">
        <f t="shared" ca="1" si="36"/>
        <v>#N/A</v>
      </c>
      <c r="AA371" s="75" t="e">
        <f t="shared" ca="1" si="32"/>
        <v>#N/A</v>
      </c>
      <c r="AB371" s="76">
        <f t="shared" ca="1" si="37"/>
        <v>0</v>
      </c>
      <c r="AC371" s="75">
        <f t="shared" ca="1" si="33"/>
        <v>0</v>
      </c>
      <c r="AD371" s="76">
        <f t="shared" ca="1" si="38"/>
        <v>12388.425641203703</v>
      </c>
      <c r="AE371" s="76">
        <f t="shared" si="39"/>
        <v>0</v>
      </c>
      <c r="AF371" s="75">
        <f t="shared" si="34"/>
        <v>0</v>
      </c>
      <c r="AG371" s="75">
        <f t="shared" si="35"/>
        <v>0</v>
      </c>
      <c r="AH371" s="31" t="e" cm="1">
        <f t="array" aca="1" ref="AH371" ca="1">IF((AD371) &lt; (INDEX(ResponseSLA[#All],(MATCH((G371),ResponseSLA[Priority],0))+1,3)),"YES","No")</f>
        <v>#N/A</v>
      </c>
      <c r="AI371" s="31" t="str">
        <f>_xlfn.IFNA(IF(AE371 &lt; (INDEX(SLATable[Minimum SLA],MATCH(G371,SLATable[Priority],0))),"YES","NO"),"")</f>
        <v/>
      </c>
      <c r="AJ371" t="str">
        <f>_xlfn.IFNA(IF(AE371 &lt; (INDEX(SLATable[Maximum SLA],MATCH(G371,SLATable[Priority],0))),"YES","NO"),"")</f>
        <v/>
      </c>
    </row>
    <row r="372" spans="26:36" ht="15" customHeight="1">
      <c r="Z372" s="76" t="e">
        <f t="shared" ca="1" si="36"/>
        <v>#N/A</v>
      </c>
      <c r="AA372" s="75" t="e">
        <f t="shared" ca="1" si="32"/>
        <v>#N/A</v>
      </c>
      <c r="AB372" s="76">
        <f t="shared" ca="1" si="37"/>
        <v>0</v>
      </c>
      <c r="AC372" s="75">
        <f t="shared" ca="1" si="33"/>
        <v>0</v>
      </c>
      <c r="AD372" s="76">
        <f t="shared" ca="1" si="38"/>
        <v>12388.425641203703</v>
      </c>
      <c r="AE372" s="76">
        <f t="shared" si="39"/>
        <v>0</v>
      </c>
      <c r="AF372" s="75">
        <f t="shared" si="34"/>
        <v>0</v>
      </c>
      <c r="AG372" s="75">
        <f t="shared" si="35"/>
        <v>0</v>
      </c>
      <c r="AH372" s="31" t="e" cm="1">
        <f t="array" aca="1" ref="AH372" ca="1">IF((AD372) &lt; (INDEX(ResponseSLA[#All],(MATCH((G372),ResponseSLA[Priority],0))+1,3)),"YES","No")</f>
        <v>#N/A</v>
      </c>
      <c r="AI372" s="31" t="str">
        <f>_xlfn.IFNA(IF(AE372 &lt; (INDEX(SLATable[Minimum SLA],MATCH(G372,SLATable[Priority],0))),"YES","NO"),"")</f>
        <v/>
      </c>
      <c r="AJ372" t="str">
        <f>_xlfn.IFNA(IF(AE372 &lt; (INDEX(SLATable[Maximum SLA],MATCH(G372,SLATable[Priority],0))),"YES","NO"),"")</f>
        <v/>
      </c>
    </row>
    <row r="373" spans="26:36" ht="15" customHeight="1">
      <c r="Z373" s="76" t="e">
        <f t="shared" ca="1" si="36"/>
        <v>#N/A</v>
      </c>
      <c r="AA373" s="75" t="e">
        <f t="shared" ca="1" si="32"/>
        <v>#N/A</v>
      </c>
      <c r="AB373" s="76">
        <f t="shared" ca="1" si="37"/>
        <v>0</v>
      </c>
      <c r="AC373" s="75">
        <f t="shared" ca="1" si="33"/>
        <v>0</v>
      </c>
      <c r="AD373" s="76">
        <f t="shared" ca="1" si="38"/>
        <v>12388.425641435188</v>
      </c>
      <c r="AE373" s="76">
        <f t="shared" si="39"/>
        <v>0</v>
      </c>
      <c r="AF373" s="75">
        <f t="shared" si="34"/>
        <v>0</v>
      </c>
      <c r="AG373" s="75">
        <f t="shared" si="35"/>
        <v>0</v>
      </c>
      <c r="AH373" s="31" t="e" cm="1">
        <f t="array" aca="1" ref="AH373" ca="1">IF((AD373) &lt; (INDEX(ResponseSLA[#All],(MATCH((G373),ResponseSLA[Priority],0))+1,3)),"YES","No")</f>
        <v>#N/A</v>
      </c>
      <c r="AI373" s="31" t="str">
        <f>_xlfn.IFNA(IF(AE373 &lt; (INDEX(SLATable[Minimum SLA],MATCH(G373,SLATable[Priority],0))),"YES","NO"),"")</f>
        <v/>
      </c>
      <c r="AJ373" t="str">
        <f>_xlfn.IFNA(IF(AE373 &lt; (INDEX(SLATable[Maximum SLA],MATCH(G373,SLATable[Priority],0))),"YES","NO"),"")</f>
        <v/>
      </c>
    </row>
    <row r="374" spans="26:36" ht="15" customHeight="1">
      <c r="Z374" s="76" t="e">
        <f t="shared" ca="1" si="36"/>
        <v>#N/A</v>
      </c>
      <c r="AA374" s="75" t="e">
        <f t="shared" ca="1" si="32"/>
        <v>#N/A</v>
      </c>
      <c r="AB374" s="76">
        <f t="shared" ca="1" si="37"/>
        <v>0</v>
      </c>
      <c r="AC374" s="75">
        <f t="shared" ca="1" si="33"/>
        <v>0</v>
      </c>
      <c r="AD374" s="76">
        <f t="shared" ca="1" si="38"/>
        <v>12388.425641203703</v>
      </c>
      <c r="AE374" s="76">
        <f t="shared" si="39"/>
        <v>0</v>
      </c>
      <c r="AF374" s="75">
        <f t="shared" si="34"/>
        <v>0</v>
      </c>
      <c r="AG374" s="75">
        <f t="shared" si="35"/>
        <v>0</v>
      </c>
      <c r="AH374" s="31" t="e" cm="1">
        <f t="array" aca="1" ref="AH374" ca="1">IF((AD374) &lt; (INDEX(ResponseSLA[#All],(MATCH((G374),ResponseSLA[Priority],0))+1,3)),"YES","No")</f>
        <v>#N/A</v>
      </c>
      <c r="AI374" s="31" t="str">
        <f>_xlfn.IFNA(IF(AE374 &lt; (INDEX(SLATable[Minimum SLA],MATCH(G374,SLATable[Priority],0))),"YES","NO"),"")</f>
        <v/>
      </c>
      <c r="AJ374" t="str">
        <f>_xlfn.IFNA(IF(AE374 &lt; (INDEX(SLATable[Maximum SLA],MATCH(G374,SLATable[Priority],0))),"YES","NO"),"")</f>
        <v/>
      </c>
    </row>
    <row r="375" spans="26:36" ht="15" customHeight="1">
      <c r="Z375" s="76" t="e">
        <f t="shared" ca="1" si="36"/>
        <v>#N/A</v>
      </c>
      <c r="AA375" s="75" t="e">
        <f t="shared" ca="1" si="32"/>
        <v>#N/A</v>
      </c>
      <c r="AB375" s="76">
        <f t="shared" ca="1" si="37"/>
        <v>0</v>
      </c>
      <c r="AC375" s="75">
        <f t="shared" ca="1" si="33"/>
        <v>0</v>
      </c>
      <c r="AD375" s="76">
        <f t="shared" ca="1" si="38"/>
        <v>12388.425641203703</v>
      </c>
      <c r="AE375" s="76">
        <f t="shared" si="39"/>
        <v>0</v>
      </c>
      <c r="AF375" s="75">
        <f t="shared" si="34"/>
        <v>0</v>
      </c>
      <c r="AG375" s="75">
        <f t="shared" si="35"/>
        <v>0</v>
      </c>
      <c r="AH375" s="31" t="e" cm="1">
        <f t="array" aca="1" ref="AH375" ca="1">IF((AD375) &lt; (INDEX(ResponseSLA[#All],(MATCH((G375),ResponseSLA[Priority],0))+1,3)),"YES","No")</f>
        <v>#N/A</v>
      </c>
      <c r="AI375" s="31" t="str">
        <f>_xlfn.IFNA(IF(AE375 &lt; (INDEX(SLATable[Minimum SLA],MATCH(G375,SLATable[Priority],0))),"YES","NO"),"")</f>
        <v/>
      </c>
      <c r="AJ375" t="str">
        <f>_xlfn.IFNA(IF(AE375 &lt; (INDEX(SLATable[Maximum SLA],MATCH(G375,SLATable[Priority],0))),"YES","NO"),"")</f>
        <v/>
      </c>
    </row>
    <row r="376" spans="26:36" ht="15" customHeight="1">
      <c r="Z376" s="76" t="e">
        <f t="shared" ca="1" si="36"/>
        <v>#N/A</v>
      </c>
      <c r="AA376" s="75" t="e">
        <f t="shared" ca="1" si="32"/>
        <v>#N/A</v>
      </c>
      <c r="AB376" s="76">
        <f t="shared" ca="1" si="37"/>
        <v>0</v>
      </c>
      <c r="AC376" s="75">
        <f t="shared" ca="1" si="33"/>
        <v>0</v>
      </c>
      <c r="AD376" s="76">
        <f t="shared" ca="1" si="38"/>
        <v>12388.425641435188</v>
      </c>
      <c r="AE376" s="76">
        <f t="shared" si="39"/>
        <v>0</v>
      </c>
      <c r="AF376" s="75">
        <f t="shared" si="34"/>
        <v>0</v>
      </c>
      <c r="AG376" s="75">
        <f t="shared" si="35"/>
        <v>0</v>
      </c>
      <c r="AH376" s="31" t="e" cm="1">
        <f t="array" aca="1" ref="AH376" ca="1">IF((AD376) &lt; (INDEX(ResponseSLA[#All],(MATCH((G376),ResponseSLA[Priority],0))+1,3)),"YES","No")</f>
        <v>#N/A</v>
      </c>
      <c r="AI376" s="31" t="str">
        <f>_xlfn.IFNA(IF(AE376 &lt; (INDEX(SLATable[Minimum SLA],MATCH(G376,SLATable[Priority],0))),"YES","NO"),"")</f>
        <v/>
      </c>
      <c r="AJ376" t="str">
        <f>_xlfn.IFNA(IF(AE376 &lt; (INDEX(SLATable[Maximum SLA],MATCH(G376,SLATable[Priority],0))),"YES","NO"),"")</f>
        <v/>
      </c>
    </row>
    <row r="377" spans="26:36" ht="15" customHeight="1">
      <c r="Z377" s="76" t="e">
        <f t="shared" ca="1" si="36"/>
        <v>#N/A</v>
      </c>
      <c r="AA377" s="75" t="e">
        <f t="shared" ca="1" si="32"/>
        <v>#N/A</v>
      </c>
      <c r="AB377" s="76">
        <f t="shared" ca="1" si="37"/>
        <v>0</v>
      </c>
      <c r="AC377" s="75">
        <f t="shared" ca="1" si="33"/>
        <v>0</v>
      </c>
      <c r="AD377" s="76">
        <f t="shared" ca="1" si="38"/>
        <v>12388.425641203703</v>
      </c>
      <c r="AE377" s="76">
        <f t="shared" si="39"/>
        <v>0</v>
      </c>
      <c r="AF377" s="75">
        <f t="shared" si="34"/>
        <v>0</v>
      </c>
      <c r="AG377" s="75">
        <f t="shared" si="35"/>
        <v>0</v>
      </c>
      <c r="AH377" s="31" t="e" cm="1">
        <f t="array" aca="1" ref="AH377" ca="1">IF((AD377) &lt; (INDEX(ResponseSLA[#All],(MATCH((G377),ResponseSLA[Priority],0))+1,3)),"YES","No")</f>
        <v>#N/A</v>
      </c>
      <c r="AI377" s="31" t="str">
        <f>_xlfn.IFNA(IF(AE377 &lt; (INDEX(SLATable[Minimum SLA],MATCH(G377,SLATable[Priority],0))),"YES","NO"),"")</f>
        <v/>
      </c>
      <c r="AJ377" t="str">
        <f>_xlfn.IFNA(IF(AE377 &lt; (INDEX(SLATable[Maximum SLA],MATCH(G377,SLATable[Priority],0))),"YES","NO"),"")</f>
        <v/>
      </c>
    </row>
    <row r="378" spans="26:36" ht="15" customHeight="1">
      <c r="Z378" s="76" t="e">
        <f t="shared" ca="1" si="36"/>
        <v>#N/A</v>
      </c>
      <c r="AA378" s="75" t="e">
        <f t="shared" ca="1" si="32"/>
        <v>#N/A</v>
      </c>
      <c r="AB378" s="76">
        <f t="shared" ca="1" si="37"/>
        <v>0</v>
      </c>
      <c r="AC378" s="75">
        <f t="shared" ca="1" si="33"/>
        <v>0</v>
      </c>
      <c r="AD378" s="76">
        <f t="shared" ca="1" si="38"/>
        <v>12388.425641203703</v>
      </c>
      <c r="AE378" s="76">
        <f t="shared" si="39"/>
        <v>0</v>
      </c>
      <c r="AF378" s="75">
        <f t="shared" si="34"/>
        <v>0</v>
      </c>
      <c r="AG378" s="75">
        <f t="shared" si="35"/>
        <v>0</v>
      </c>
      <c r="AH378" s="31" t="e" cm="1">
        <f t="array" aca="1" ref="AH378" ca="1">IF((AD378) &lt; (INDEX(ResponseSLA[#All],(MATCH((G378),ResponseSLA[Priority],0))+1,3)),"YES","No")</f>
        <v>#N/A</v>
      </c>
      <c r="AI378" s="31" t="str">
        <f>_xlfn.IFNA(IF(AE378 &lt; (INDEX(SLATable[Minimum SLA],MATCH(G378,SLATable[Priority],0))),"YES","NO"),"")</f>
        <v/>
      </c>
      <c r="AJ378" t="str">
        <f>_xlfn.IFNA(IF(AE378 &lt; (INDEX(SLATable[Maximum SLA],MATCH(G378,SLATable[Priority],0))),"YES","NO"),"")</f>
        <v/>
      </c>
    </row>
    <row r="379" spans="26:36" ht="15" customHeight="1">
      <c r="Z379" s="76" t="e">
        <f t="shared" ca="1" si="36"/>
        <v>#N/A</v>
      </c>
      <c r="AA379" s="75" t="e">
        <f t="shared" ca="1" si="32"/>
        <v>#N/A</v>
      </c>
      <c r="AB379" s="76">
        <f t="shared" ca="1" si="37"/>
        <v>0</v>
      </c>
      <c r="AC379" s="75">
        <f t="shared" ca="1" si="33"/>
        <v>0</v>
      </c>
      <c r="AD379" s="76">
        <f t="shared" ca="1" si="38"/>
        <v>12388.425641435188</v>
      </c>
      <c r="AE379" s="76">
        <f t="shared" si="39"/>
        <v>0</v>
      </c>
      <c r="AF379" s="75">
        <f t="shared" si="34"/>
        <v>0</v>
      </c>
      <c r="AG379" s="75">
        <f t="shared" si="35"/>
        <v>0</v>
      </c>
      <c r="AH379" s="31" t="e" cm="1">
        <f t="array" aca="1" ref="AH379" ca="1">IF((AD379) &lt; (INDEX(ResponseSLA[#All],(MATCH((G379),ResponseSLA[Priority],0))+1,3)),"YES","No")</f>
        <v>#N/A</v>
      </c>
      <c r="AI379" s="31" t="str">
        <f>_xlfn.IFNA(IF(AE379 &lt; (INDEX(SLATable[Minimum SLA],MATCH(G379,SLATable[Priority],0))),"YES","NO"),"")</f>
        <v/>
      </c>
      <c r="AJ379" t="str">
        <f>_xlfn.IFNA(IF(AE379 &lt; (INDEX(SLATable[Maximum SLA],MATCH(G379,SLATable[Priority],0))),"YES","NO"),"")</f>
        <v/>
      </c>
    </row>
    <row r="380" spans="26:36" ht="15" customHeight="1">
      <c r="Z380" s="76" t="e">
        <f t="shared" ca="1" si="36"/>
        <v>#N/A</v>
      </c>
      <c r="AA380" s="75" t="e">
        <f t="shared" ca="1" si="32"/>
        <v>#N/A</v>
      </c>
      <c r="AB380" s="76">
        <f t="shared" ca="1" si="37"/>
        <v>0</v>
      </c>
      <c r="AC380" s="75">
        <f t="shared" ca="1" si="33"/>
        <v>0</v>
      </c>
      <c r="AD380" s="76">
        <f t="shared" ca="1" si="38"/>
        <v>12388.425641203703</v>
      </c>
      <c r="AE380" s="76">
        <f t="shared" si="39"/>
        <v>0</v>
      </c>
      <c r="AF380" s="75">
        <f t="shared" si="34"/>
        <v>0</v>
      </c>
      <c r="AG380" s="75">
        <f t="shared" si="35"/>
        <v>0</v>
      </c>
      <c r="AH380" s="31" t="e" cm="1">
        <f t="array" aca="1" ref="AH380" ca="1">IF((AD380) &lt; (INDEX(ResponseSLA[#All],(MATCH((G380),ResponseSLA[Priority],0))+1,3)),"YES","No")</f>
        <v>#N/A</v>
      </c>
      <c r="AI380" s="31" t="str">
        <f>_xlfn.IFNA(IF(AE380 &lt; (INDEX(SLATable[Minimum SLA],MATCH(G380,SLATable[Priority],0))),"YES","NO"),"")</f>
        <v/>
      </c>
      <c r="AJ380" t="str">
        <f>_xlfn.IFNA(IF(AE380 &lt; (INDEX(SLATable[Maximum SLA],MATCH(G380,SLATable[Priority],0))),"YES","NO"),"")</f>
        <v/>
      </c>
    </row>
    <row r="381" spans="26:36" ht="15" customHeight="1">
      <c r="Z381" s="76" t="e">
        <f t="shared" ca="1" si="36"/>
        <v>#N/A</v>
      </c>
      <c r="AA381" s="75" t="e">
        <f t="shared" ca="1" si="32"/>
        <v>#N/A</v>
      </c>
      <c r="AB381" s="76">
        <f t="shared" ca="1" si="37"/>
        <v>0</v>
      </c>
      <c r="AC381" s="75">
        <f t="shared" ca="1" si="33"/>
        <v>0</v>
      </c>
      <c r="AD381" s="76">
        <f t="shared" ca="1" si="38"/>
        <v>12388.425641203703</v>
      </c>
      <c r="AE381" s="76">
        <f t="shared" si="39"/>
        <v>0</v>
      </c>
      <c r="AF381" s="75">
        <f t="shared" si="34"/>
        <v>0</v>
      </c>
      <c r="AG381" s="75">
        <f t="shared" si="35"/>
        <v>0</v>
      </c>
      <c r="AH381" s="31" t="e" cm="1">
        <f t="array" aca="1" ref="AH381" ca="1">IF((AD381) &lt; (INDEX(ResponseSLA[#All],(MATCH((G381),ResponseSLA[Priority],0))+1,3)),"YES","No")</f>
        <v>#N/A</v>
      </c>
      <c r="AI381" s="31" t="str">
        <f>_xlfn.IFNA(IF(AE381 &lt; (INDEX(SLATable[Minimum SLA],MATCH(G381,SLATable[Priority],0))),"YES","NO"),"")</f>
        <v/>
      </c>
      <c r="AJ381" t="str">
        <f>_xlfn.IFNA(IF(AE381 &lt; (INDEX(SLATable[Maximum SLA],MATCH(G381,SLATable[Priority],0))),"YES","NO"),"")</f>
        <v/>
      </c>
    </row>
    <row r="382" spans="26:36" ht="15" customHeight="1">
      <c r="Z382" s="76" t="e">
        <f t="shared" ca="1" si="36"/>
        <v>#N/A</v>
      </c>
      <c r="AA382" s="75" t="e">
        <f t="shared" ca="1" si="32"/>
        <v>#N/A</v>
      </c>
      <c r="AB382" s="76">
        <f t="shared" ca="1" si="37"/>
        <v>0</v>
      </c>
      <c r="AC382" s="75">
        <f t="shared" ca="1" si="33"/>
        <v>0</v>
      </c>
      <c r="AD382" s="76">
        <f t="shared" ca="1" si="38"/>
        <v>12388.425641435188</v>
      </c>
      <c r="AE382" s="76">
        <f t="shared" si="39"/>
        <v>0</v>
      </c>
      <c r="AF382" s="75">
        <f t="shared" si="34"/>
        <v>0</v>
      </c>
      <c r="AG382" s="75">
        <f t="shared" si="35"/>
        <v>0</v>
      </c>
      <c r="AH382" s="31" t="e" cm="1">
        <f t="array" aca="1" ref="AH382" ca="1">IF((AD382) &lt; (INDEX(ResponseSLA[#All],(MATCH((G382),ResponseSLA[Priority],0))+1,3)),"YES","No")</f>
        <v>#N/A</v>
      </c>
      <c r="AI382" s="31" t="str">
        <f>_xlfn.IFNA(IF(AE382 &lt; (INDEX(SLATable[Minimum SLA],MATCH(G382,SLATable[Priority],0))),"YES","NO"),"")</f>
        <v/>
      </c>
      <c r="AJ382" t="str">
        <f>_xlfn.IFNA(IF(AE382 &lt; (INDEX(SLATable[Maximum SLA],MATCH(G382,SLATable[Priority],0))),"YES","NO"),"")</f>
        <v/>
      </c>
    </row>
    <row r="383" spans="26:36" ht="15" customHeight="1">
      <c r="Z383" s="76" t="e">
        <f t="shared" ca="1" si="36"/>
        <v>#N/A</v>
      </c>
      <c r="AA383" s="75" t="e">
        <f t="shared" ca="1" si="32"/>
        <v>#N/A</v>
      </c>
      <c r="AB383" s="76">
        <f t="shared" ca="1" si="37"/>
        <v>0</v>
      </c>
      <c r="AC383" s="75">
        <f t="shared" ca="1" si="33"/>
        <v>0</v>
      </c>
      <c r="AD383" s="76">
        <f t="shared" ca="1" si="38"/>
        <v>12388.425641203703</v>
      </c>
      <c r="AE383" s="76">
        <f t="shared" si="39"/>
        <v>0</v>
      </c>
      <c r="AF383" s="75">
        <f t="shared" si="34"/>
        <v>0</v>
      </c>
      <c r="AG383" s="75">
        <f t="shared" si="35"/>
        <v>0</v>
      </c>
      <c r="AH383" s="31" t="e" cm="1">
        <f t="array" aca="1" ref="AH383" ca="1">IF((AD383) &lt; (INDEX(ResponseSLA[#All],(MATCH((G383),ResponseSLA[Priority],0))+1,3)),"YES","No")</f>
        <v>#N/A</v>
      </c>
      <c r="AI383" s="31" t="str">
        <f>_xlfn.IFNA(IF(AE383 &lt; (INDEX(SLATable[Minimum SLA],MATCH(G383,SLATable[Priority],0))),"YES","NO"),"")</f>
        <v/>
      </c>
      <c r="AJ383" t="str">
        <f>_xlfn.IFNA(IF(AE383 &lt; (INDEX(SLATable[Maximum SLA],MATCH(G383,SLATable[Priority],0))),"YES","NO"),"")</f>
        <v/>
      </c>
    </row>
    <row r="384" spans="26:36" ht="15" customHeight="1">
      <c r="Z384" s="76" t="e">
        <f t="shared" ca="1" si="36"/>
        <v>#N/A</v>
      </c>
      <c r="AA384" s="75" t="e">
        <f t="shared" ca="1" si="32"/>
        <v>#N/A</v>
      </c>
      <c r="AB384" s="76">
        <f t="shared" ca="1" si="37"/>
        <v>0</v>
      </c>
      <c r="AC384" s="75">
        <f t="shared" ca="1" si="33"/>
        <v>0</v>
      </c>
      <c r="AD384" s="76">
        <f t="shared" ca="1" si="38"/>
        <v>12388.425641203703</v>
      </c>
      <c r="AE384" s="76">
        <f t="shared" si="39"/>
        <v>0</v>
      </c>
      <c r="AF384" s="75">
        <f t="shared" si="34"/>
        <v>0</v>
      </c>
      <c r="AG384" s="75">
        <f t="shared" si="35"/>
        <v>0</v>
      </c>
      <c r="AH384" s="31" t="e" cm="1">
        <f t="array" aca="1" ref="AH384" ca="1">IF((AD384) &lt; (INDEX(ResponseSLA[#All],(MATCH((G384),ResponseSLA[Priority],0))+1,3)),"YES","No")</f>
        <v>#N/A</v>
      </c>
      <c r="AI384" s="31" t="str">
        <f>_xlfn.IFNA(IF(AE384 &lt; (INDEX(SLATable[Minimum SLA],MATCH(G384,SLATable[Priority],0))),"YES","NO"),"")</f>
        <v/>
      </c>
      <c r="AJ384" t="str">
        <f>_xlfn.IFNA(IF(AE384 &lt; (INDEX(SLATable[Maximum SLA],MATCH(G384,SLATable[Priority],0))),"YES","NO"),"")</f>
        <v/>
      </c>
    </row>
    <row r="385" spans="26:36" ht="15" customHeight="1">
      <c r="Z385" s="76" t="e">
        <f t="shared" ca="1" si="36"/>
        <v>#N/A</v>
      </c>
      <c r="AA385" s="75" t="e">
        <f t="shared" ref="AA385:AA448" ca="1" si="40">(Z385*24)/9</f>
        <v>#N/A</v>
      </c>
      <c r="AB385" s="76">
        <f t="shared" ca="1" si="37"/>
        <v>0</v>
      </c>
      <c r="AC385" s="75">
        <f t="shared" ref="AC385:AC448" ca="1" si="41">(AB385*24)/9</f>
        <v>0</v>
      </c>
      <c r="AD385" s="76">
        <f t="shared" ca="1" si="38"/>
        <v>12388.425641435188</v>
      </c>
      <c r="AE385" s="76">
        <f t="shared" si="39"/>
        <v>0</v>
      </c>
      <c r="AF385" s="75">
        <f t="shared" ref="AF385:AF448" si="42">(AE385*24)/9</f>
        <v>0</v>
      </c>
      <c r="AG385" s="75">
        <f t="shared" ref="AG385:AG448" si="43">AF385</f>
        <v>0</v>
      </c>
      <c r="AH385" s="31" t="e" cm="1">
        <f t="array" aca="1" ref="AH385" ca="1">IF((AD385) &lt; (INDEX(ResponseSLA[#All],(MATCH((G385),ResponseSLA[Priority],0))+1,3)),"YES","No")</f>
        <v>#N/A</v>
      </c>
      <c r="AI385" s="31" t="str">
        <f>_xlfn.IFNA(IF(AE385 &lt; (INDEX(SLATable[Minimum SLA],MATCH(G385,SLATable[Priority],0))),"YES","NO"),"")</f>
        <v/>
      </c>
      <c r="AJ385" t="str">
        <f>_xlfn.IFNA(IF(AE385 &lt; (INDEX(SLATable[Maximum SLA],MATCH(G385,SLATable[Priority],0))),"YES","NO"),"")</f>
        <v/>
      </c>
    </row>
    <row r="386" spans="26:36" ht="15" customHeight="1">
      <c r="Z386" s="76" t="e">
        <f t="shared" ca="1" si="36"/>
        <v>#N/A</v>
      </c>
      <c r="AA386" s="75" t="e">
        <f t="shared" ca="1" si="40"/>
        <v>#N/A</v>
      </c>
      <c r="AB386" s="76">
        <f t="shared" ca="1" si="37"/>
        <v>0</v>
      </c>
      <c r="AC386" s="75">
        <f t="shared" ca="1" si="41"/>
        <v>0</v>
      </c>
      <c r="AD386" s="76">
        <f t="shared" ca="1" si="38"/>
        <v>12388.425641203703</v>
      </c>
      <c r="AE386" s="76">
        <f t="shared" si="39"/>
        <v>0</v>
      </c>
      <c r="AF386" s="75">
        <f t="shared" si="42"/>
        <v>0</v>
      </c>
      <c r="AG386" s="75">
        <f t="shared" si="43"/>
        <v>0</v>
      </c>
      <c r="AH386" s="31" t="e" cm="1">
        <f t="array" aca="1" ref="AH386" ca="1">IF((AD386) &lt; (INDEX(ResponseSLA[#All],(MATCH((G386),ResponseSLA[Priority],0))+1,3)),"YES","No")</f>
        <v>#N/A</v>
      </c>
      <c r="AI386" s="31" t="str">
        <f>_xlfn.IFNA(IF(AE386 &lt; (INDEX(SLATable[Minimum SLA],MATCH(G386,SLATable[Priority],0))),"YES","NO"),"")</f>
        <v/>
      </c>
      <c r="AJ386" t="str">
        <f>_xlfn.IFNA(IF(AE386 &lt; (INDEX(SLATable[Maximum SLA],MATCH(G386,SLATable[Priority],0))),"YES","NO"),"")</f>
        <v/>
      </c>
    </row>
    <row r="387" spans="26:36" ht="15" customHeight="1">
      <c r="Z387" s="76" t="e">
        <f t="shared" ref="Z387:Z450" ca="1" si="44">IF(NOT(OR(G387=1,G387=2)),MAX(0,_xlfn.IFS(AND(K387&lt;&gt;"",N387&lt;&gt;""),((MAX(NETWORKDAYS(K387,N387,UKBankHolidays)-1,0))*(TIME(17,0,0)-TIME(8,0,0))+IF(NETWORKDAYS(N387,N387,UKBankHolidays)&gt;0,MEDIAN(TIME(8,0,0),MOD(N387,1),TIME(17,0,0)),TIME(8,0,0))-IF(NETWORKDAYS(K387,K387,UKBankHolidays)&gt;0,MEDIAN(TIME(8,0,0),MOD(K387,1),TIME(17,0,0)),TIME(8,0,0)))-IF(AND(O387&lt;&gt;"",P387&lt;&gt;""),((MAX(NETWORKDAYS(O387,P387,UKBankHolidays)-1,0))*(TIME(17,0,0)-TIME(8,0,0))+IF(NETWORKDAYS(P387,P387,UKBankHolidays)&gt;0,MEDIAN(TIME(8,0,0),MOD(P387,1),TIME(17,0,0)),TIME(8,0,0))-IF(NETWORKDAYS(O387,O387,UKBankHolidays)&gt;0,MEDIAN(TIME(8,0,0),MOD(O387,1),TIME(17,0,0)),TIME(8,0,0))),0),AND(K387&lt;&gt;"",N387=""),((MAX(NETWORKDAYS(K387,NOW(),UKBankHolidays)-1,0))*(TIME(17,0,0)-TIME(8,0,0))+IF(NETWORKDAYS(NOW(),NOW(),UKBankHolidays)&gt;0,MEDIAN(TIME(8,0,0),MOD(NOW(),1),TIME(17,0,0)),TIME(8,0,0))-IF(NETWORKDAYS(K387,K387,UKBankHolidays)&gt;0,MEDIAN(TIME(8,0,0),MOD(K387,1),TIME(17,0,0)),TIME(8,0,0))))),IF(N387="",NOW()-K387,N387-K387))</f>
        <v>#N/A</v>
      </c>
      <c r="AA387" s="75" t="e">
        <f t="shared" ca="1" si="40"/>
        <v>#N/A</v>
      </c>
      <c r="AB387" s="76">
        <f t="shared" ref="AB387:AB450" ca="1" si="45">IF(NOT(OR(G387=1,G387=2)),MAX(0,_xlfn.IFS(AND(K387&lt;&gt;"",N387&lt;&gt;""),(((MAX(NETWORKDAYS(L387,N387,UKBankHolidays)-1,0))*(TIME(17,0,0)-TIME(8,0,0)))+IF(NETWORKDAYS(N387,N387,UKBankHolidays)&gt;0,MEDIAN(TIME(8,0,0),MOD(N387,1),TIME(17,0,0)),TIME(8,0,0))-IF(NETWORKDAYS(L387,L387,UKBankHolidays)&gt;0,MEDIAN(TIME(8,0,0),MOD(L387,1),TIME(17,0,0)),TIME(8,0,0)))-IF(AND(O387&lt;&gt;"",P387&lt;&gt;""),(((MAX(NETWORKDAYS(O387,P387,UKBankHolidays)-1,0))*(TIME(17,0,0)-TIME(8,0,0)))+IF(NETWORKDAYS(P387,P387,UKBankHolidays)&gt;0,MEDIAN(TIME(8,0,0),MOD(P387,1),TIME(17,0,0)),TIME(8,0,0))-IF(NETWORKDAYS(O387,O387,UKBankHolidays)&gt;0,MEDIAN(TIME(8,0,0),MOD(O387,1),TIME(17,0,0)),TIME(8,0,0))),0),AND(L387&lt;&gt;"",N387="",O387=""),(((MAX(NETWORKDAYS(L387,NOW(),UKBankHolidays)-1,0))*(TIME(17,0,0)-TIME(8,0,0)))+IF(NETWORKDAYS(NOW(),NOW(),UKBankHolidays)&gt;0,MEDIAN(TIME(8,0,0),MOD(NOW(),1),TIME(17,0,0)),TIME(8,0,0))-IF(NETWORKDAYS(L387,L387,UKBankHolidays)&gt;0,MEDIAN(TIME(8,0,0),MOD(L387,1),TIME(17,0,0)),TIME(8,0,0)))-IF(AND(O387&lt;&gt;"",P387&lt;&gt;""),(((MAX(NETWORKDAYS(O387,P387,UKBankHolidays)-1,0))*(TIME(17,0,0)-TIME(8,0,0)))+IF(NETWORKDAYS(P387,P387,UKBankHolidays)&gt;0,MEDIAN(TIME(8,0,0),MOD(P387,1),TIME(17,0,0)),TIME(8,0,0))-IF(NETWORKDAYS(O387,O387,UKBankHolidays)&gt;0,MEDIAN(TIME(8,0,0),MOD(O387,1),TIME(17,0,0)),TIME(8,0,0))),0),AND(L387&lt;&gt;"",N387="",P387="",O387&lt;&gt;""),(((MAX(NETWORKDAYS(L387,O387,UKBankHolidays)-1,0))*(TIME(17,0,0)-TIME(8,0,0)))+IF(NETWORKDAYS(O387,O387,UKBankHolidays)&gt;0,MEDIAN(TIME(8,0,0),MOD(O387,1),TIME(17,0,0)),TIME(8,0,0))-IF(NETWORKDAYS(L387,L387,UKBankHolidays)&gt;0,MEDIAN(TIME(8,0,0),MOD(L387,1),TIME(17,0,0)),TIME(8,0,0))),ISBLANK(K387),"0")),IF(ISBLANK(N387),NOW()-L387,N387-L387))</f>
        <v>0</v>
      </c>
      <c r="AC387" s="75">
        <f t="shared" ca="1" si="41"/>
        <v>0</v>
      </c>
      <c r="AD387" s="76">
        <f t="shared" ref="AD387:AD450" ca="1" si="46">MAX(0,IF(NOT(OR(G387=1,G387=2)),IF(M387&lt;&gt;"",((MAX(NETWORKDAYS(L387,M387,UKBankHolidays)-1,0))*(TIME(17,0,0)-TIME(8,0,0))+IF(NETWORKDAYS(M387,M387,UKBankHolidays)&gt;0,MEDIAN(TIME(8,0,0),MOD(M387,1),TIME(17,0,0)),TIME(8,0,0))-MEDIAN(TIME(8,0,0),MOD(L387,1),TIME(17,0,0))),((MAX(NETWORKDAYS(L387,NOW(),UKBankHolidays)-1,0))*(TIME(17,0,0)-TIME(8,0,0))+IF(NETWORKDAYS(NOW(),NOW(),UKBankHolidays)&gt;0,MEDIAN(TIME(8,0,0),MOD(NOW(),1),TIME(17,0,0)),TIME(8,0,0))-MEDIAN(TIME(8,0,0),MOD(L387,1),TIME(17,0,0)))),IF(M387&lt;&gt;"",M387-L387,NOW()-L387)))</f>
        <v>12388.425641203703</v>
      </c>
      <c r="AE387" s="76">
        <f t="shared" ref="AE387:AE450" si="47">SUMIFS(AB:AB,E:E,E387)</f>
        <v>0</v>
      </c>
      <c r="AF387" s="75">
        <f t="shared" si="42"/>
        <v>0</v>
      </c>
      <c r="AG387" s="75">
        <f t="shared" si="43"/>
        <v>0</v>
      </c>
      <c r="AH387" s="31" t="e" cm="1">
        <f t="array" aca="1" ref="AH387" ca="1">IF((AD387) &lt; (INDEX(ResponseSLA[#All],(MATCH((G387),ResponseSLA[Priority],0))+1,3)),"YES","No")</f>
        <v>#N/A</v>
      </c>
      <c r="AI387" s="31" t="str">
        <f>_xlfn.IFNA(IF(AE387 &lt; (INDEX(SLATable[Minimum SLA],MATCH(G387,SLATable[Priority],0))),"YES","NO"),"")</f>
        <v/>
      </c>
      <c r="AJ387" t="str">
        <f>_xlfn.IFNA(IF(AE387 &lt; (INDEX(SLATable[Maximum SLA],MATCH(G387,SLATable[Priority],0))),"YES","NO"),"")</f>
        <v/>
      </c>
    </row>
    <row r="388" spans="26:36" ht="15" customHeight="1">
      <c r="Z388" s="76" t="e">
        <f t="shared" ca="1" si="44"/>
        <v>#N/A</v>
      </c>
      <c r="AA388" s="75" t="e">
        <f t="shared" ca="1" si="40"/>
        <v>#N/A</v>
      </c>
      <c r="AB388" s="76">
        <f t="shared" ca="1" si="45"/>
        <v>0</v>
      </c>
      <c r="AC388" s="75">
        <f t="shared" ca="1" si="41"/>
        <v>0</v>
      </c>
      <c r="AD388" s="76">
        <f t="shared" ca="1" si="46"/>
        <v>12388.425641435188</v>
      </c>
      <c r="AE388" s="76">
        <f t="shared" si="47"/>
        <v>0</v>
      </c>
      <c r="AF388" s="75">
        <f t="shared" si="42"/>
        <v>0</v>
      </c>
      <c r="AG388" s="75">
        <f t="shared" si="43"/>
        <v>0</v>
      </c>
      <c r="AH388" s="31" t="e" cm="1">
        <f t="array" aca="1" ref="AH388" ca="1">IF((AD388) &lt; (INDEX(ResponseSLA[#All],(MATCH((G388),ResponseSLA[Priority],0))+1,3)),"YES","No")</f>
        <v>#N/A</v>
      </c>
      <c r="AI388" s="31" t="str">
        <f>_xlfn.IFNA(IF(AE388 &lt; (INDEX(SLATable[Minimum SLA],MATCH(G388,SLATable[Priority],0))),"YES","NO"),"")</f>
        <v/>
      </c>
      <c r="AJ388" t="str">
        <f>_xlfn.IFNA(IF(AE388 &lt; (INDEX(SLATable[Maximum SLA],MATCH(G388,SLATable[Priority],0))),"YES","NO"),"")</f>
        <v/>
      </c>
    </row>
    <row r="389" spans="26:36" ht="15" customHeight="1">
      <c r="Z389" s="76" t="e">
        <f t="shared" ca="1" si="44"/>
        <v>#N/A</v>
      </c>
      <c r="AA389" s="75" t="e">
        <f t="shared" ca="1" si="40"/>
        <v>#N/A</v>
      </c>
      <c r="AB389" s="76">
        <f t="shared" ca="1" si="45"/>
        <v>0</v>
      </c>
      <c r="AC389" s="75">
        <f t="shared" ca="1" si="41"/>
        <v>0</v>
      </c>
      <c r="AD389" s="76">
        <f t="shared" ca="1" si="46"/>
        <v>12388.425641203703</v>
      </c>
      <c r="AE389" s="76">
        <f t="shared" si="47"/>
        <v>0</v>
      </c>
      <c r="AF389" s="75">
        <f t="shared" si="42"/>
        <v>0</v>
      </c>
      <c r="AG389" s="75">
        <f t="shared" si="43"/>
        <v>0</v>
      </c>
      <c r="AH389" s="31" t="e" cm="1">
        <f t="array" aca="1" ref="AH389" ca="1">IF((AD389) &lt; (INDEX(ResponseSLA[#All],(MATCH((G389),ResponseSLA[Priority],0))+1,3)),"YES","No")</f>
        <v>#N/A</v>
      </c>
      <c r="AI389" s="31" t="str">
        <f>_xlfn.IFNA(IF(AE389 &lt; (INDEX(SLATable[Minimum SLA],MATCH(G389,SLATable[Priority],0))),"YES","NO"),"")</f>
        <v/>
      </c>
      <c r="AJ389" t="str">
        <f>_xlfn.IFNA(IF(AE389 &lt; (INDEX(SLATable[Maximum SLA],MATCH(G389,SLATable[Priority],0))),"YES","NO"),"")</f>
        <v/>
      </c>
    </row>
    <row r="390" spans="26:36" ht="15" customHeight="1">
      <c r="Z390" s="76" t="e">
        <f t="shared" ca="1" si="44"/>
        <v>#N/A</v>
      </c>
      <c r="AA390" s="75" t="e">
        <f t="shared" ca="1" si="40"/>
        <v>#N/A</v>
      </c>
      <c r="AB390" s="76">
        <f t="shared" ca="1" si="45"/>
        <v>0</v>
      </c>
      <c r="AC390" s="75">
        <f t="shared" ca="1" si="41"/>
        <v>0</v>
      </c>
      <c r="AD390" s="76">
        <f t="shared" ca="1" si="46"/>
        <v>12388.425641203703</v>
      </c>
      <c r="AE390" s="76">
        <f t="shared" si="47"/>
        <v>0</v>
      </c>
      <c r="AF390" s="75">
        <f t="shared" si="42"/>
        <v>0</v>
      </c>
      <c r="AG390" s="75">
        <f t="shared" si="43"/>
        <v>0</v>
      </c>
      <c r="AH390" s="31" t="e" cm="1">
        <f t="array" aca="1" ref="AH390" ca="1">IF((AD390) &lt; (INDEX(ResponseSLA[#All],(MATCH((G390),ResponseSLA[Priority],0))+1,3)),"YES","No")</f>
        <v>#N/A</v>
      </c>
      <c r="AI390" s="31" t="str">
        <f>_xlfn.IFNA(IF(AE390 &lt; (INDEX(SLATable[Minimum SLA],MATCH(G390,SLATable[Priority],0))),"YES","NO"),"")</f>
        <v/>
      </c>
      <c r="AJ390" t="str">
        <f>_xlfn.IFNA(IF(AE390 &lt; (INDEX(SLATable[Maximum SLA],MATCH(G390,SLATable[Priority],0))),"YES","NO"),"")</f>
        <v/>
      </c>
    </row>
    <row r="391" spans="26:36" ht="15" customHeight="1">
      <c r="Z391" s="76" t="e">
        <f t="shared" ca="1" si="44"/>
        <v>#N/A</v>
      </c>
      <c r="AA391" s="75" t="e">
        <f t="shared" ca="1" si="40"/>
        <v>#N/A</v>
      </c>
      <c r="AB391" s="76">
        <f t="shared" ca="1" si="45"/>
        <v>0</v>
      </c>
      <c r="AC391" s="75">
        <f t="shared" ca="1" si="41"/>
        <v>0</v>
      </c>
      <c r="AD391" s="76">
        <f t="shared" ca="1" si="46"/>
        <v>12388.425641435188</v>
      </c>
      <c r="AE391" s="76">
        <f t="shared" si="47"/>
        <v>0</v>
      </c>
      <c r="AF391" s="75">
        <f t="shared" si="42"/>
        <v>0</v>
      </c>
      <c r="AG391" s="75">
        <f t="shared" si="43"/>
        <v>0</v>
      </c>
      <c r="AH391" s="31" t="e" cm="1">
        <f t="array" aca="1" ref="AH391" ca="1">IF((AD391) &lt; (INDEX(ResponseSLA[#All],(MATCH((G391),ResponseSLA[Priority],0))+1,3)),"YES","No")</f>
        <v>#N/A</v>
      </c>
      <c r="AI391" s="31" t="str">
        <f>_xlfn.IFNA(IF(AE391 &lt; (INDEX(SLATable[Minimum SLA],MATCH(G391,SLATable[Priority],0))),"YES","NO"),"")</f>
        <v/>
      </c>
      <c r="AJ391" t="str">
        <f>_xlfn.IFNA(IF(AE391 &lt; (INDEX(SLATable[Maximum SLA],MATCH(G391,SLATable[Priority],0))),"YES","NO"),"")</f>
        <v/>
      </c>
    </row>
    <row r="392" spans="26:36" ht="15" customHeight="1">
      <c r="Z392" s="76" t="e">
        <f t="shared" ca="1" si="44"/>
        <v>#N/A</v>
      </c>
      <c r="AA392" s="75" t="e">
        <f t="shared" ca="1" si="40"/>
        <v>#N/A</v>
      </c>
      <c r="AB392" s="76">
        <f t="shared" ca="1" si="45"/>
        <v>0</v>
      </c>
      <c r="AC392" s="75">
        <f t="shared" ca="1" si="41"/>
        <v>0</v>
      </c>
      <c r="AD392" s="76">
        <f t="shared" ca="1" si="46"/>
        <v>12388.425641203703</v>
      </c>
      <c r="AE392" s="76">
        <f t="shared" si="47"/>
        <v>0</v>
      </c>
      <c r="AF392" s="75">
        <f t="shared" si="42"/>
        <v>0</v>
      </c>
      <c r="AG392" s="75">
        <f t="shared" si="43"/>
        <v>0</v>
      </c>
      <c r="AH392" s="31" t="e" cm="1">
        <f t="array" aca="1" ref="AH392" ca="1">IF((AD392) &lt; (INDEX(ResponseSLA[#All],(MATCH((G392),ResponseSLA[Priority],0))+1,3)),"YES","No")</f>
        <v>#N/A</v>
      </c>
      <c r="AI392" s="31" t="str">
        <f>_xlfn.IFNA(IF(AE392 &lt; (INDEX(SLATable[Minimum SLA],MATCH(G392,SLATable[Priority],0))),"YES","NO"),"")</f>
        <v/>
      </c>
      <c r="AJ392" t="str">
        <f>_xlfn.IFNA(IF(AE392 &lt; (INDEX(SLATable[Maximum SLA],MATCH(G392,SLATable[Priority],0))),"YES","NO"),"")</f>
        <v/>
      </c>
    </row>
    <row r="393" spans="26:36" ht="15" customHeight="1">
      <c r="Z393" s="76" t="e">
        <f t="shared" ca="1" si="44"/>
        <v>#N/A</v>
      </c>
      <c r="AA393" s="75" t="e">
        <f t="shared" ca="1" si="40"/>
        <v>#N/A</v>
      </c>
      <c r="AB393" s="76">
        <f t="shared" ca="1" si="45"/>
        <v>0</v>
      </c>
      <c r="AC393" s="75">
        <f t="shared" ca="1" si="41"/>
        <v>0</v>
      </c>
      <c r="AD393" s="76">
        <f t="shared" ca="1" si="46"/>
        <v>12388.425641203703</v>
      </c>
      <c r="AE393" s="76">
        <f t="shared" si="47"/>
        <v>0</v>
      </c>
      <c r="AF393" s="75">
        <f t="shared" si="42"/>
        <v>0</v>
      </c>
      <c r="AG393" s="75">
        <f t="shared" si="43"/>
        <v>0</v>
      </c>
      <c r="AH393" s="31" t="e" cm="1">
        <f t="array" aca="1" ref="AH393" ca="1">IF((AD393) &lt; (INDEX(ResponseSLA[#All],(MATCH((G393),ResponseSLA[Priority],0))+1,3)),"YES","No")</f>
        <v>#N/A</v>
      </c>
      <c r="AI393" s="31" t="str">
        <f>_xlfn.IFNA(IF(AE393 &lt; (INDEX(SLATable[Minimum SLA],MATCH(G393,SLATable[Priority],0))),"YES","NO"),"")</f>
        <v/>
      </c>
      <c r="AJ393" t="str">
        <f>_xlfn.IFNA(IF(AE393 &lt; (INDEX(SLATable[Maximum SLA],MATCH(G393,SLATable[Priority],0))),"YES","NO"),"")</f>
        <v/>
      </c>
    </row>
    <row r="394" spans="26:36" ht="15" customHeight="1">
      <c r="Z394" s="76" t="e">
        <f t="shared" ca="1" si="44"/>
        <v>#N/A</v>
      </c>
      <c r="AA394" s="75" t="e">
        <f t="shared" ca="1" si="40"/>
        <v>#N/A</v>
      </c>
      <c r="AB394" s="76">
        <f t="shared" ca="1" si="45"/>
        <v>0</v>
      </c>
      <c r="AC394" s="75">
        <f t="shared" ca="1" si="41"/>
        <v>0</v>
      </c>
      <c r="AD394" s="76">
        <f t="shared" ca="1" si="46"/>
        <v>12388.425641435188</v>
      </c>
      <c r="AE394" s="76">
        <f t="shared" si="47"/>
        <v>0</v>
      </c>
      <c r="AF394" s="75">
        <f t="shared" si="42"/>
        <v>0</v>
      </c>
      <c r="AG394" s="75">
        <f t="shared" si="43"/>
        <v>0</v>
      </c>
      <c r="AH394" s="31" t="e" cm="1">
        <f t="array" aca="1" ref="AH394" ca="1">IF((AD394) &lt; (INDEX(ResponseSLA[#All],(MATCH((G394),ResponseSLA[Priority],0))+1,3)),"YES","No")</f>
        <v>#N/A</v>
      </c>
      <c r="AI394" s="31" t="str">
        <f>_xlfn.IFNA(IF(AE394 &lt; (INDEX(SLATable[Minimum SLA],MATCH(G394,SLATable[Priority],0))),"YES","NO"),"")</f>
        <v/>
      </c>
      <c r="AJ394" t="str">
        <f>_xlfn.IFNA(IF(AE394 &lt; (INDEX(SLATable[Maximum SLA],MATCH(G394,SLATable[Priority],0))),"YES","NO"),"")</f>
        <v/>
      </c>
    </row>
    <row r="395" spans="26:36" ht="15" customHeight="1">
      <c r="Z395" s="76" t="e">
        <f t="shared" ca="1" si="44"/>
        <v>#N/A</v>
      </c>
      <c r="AA395" s="75" t="e">
        <f t="shared" ca="1" si="40"/>
        <v>#N/A</v>
      </c>
      <c r="AB395" s="76">
        <f t="shared" ca="1" si="45"/>
        <v>0</v>
      </c>
      <c r="AC395" s="75">
        <f t="shared" ca="1" si="41"/>
        <v>0</v>
      </c>
      <c r="AD395" s="76">
        <f t="shared" ca="1" si="46"/>
        <v>12388.425641203703</v>
      </c>
      <c r="AE395" s="76">
        <f t="shared" si="47"/>
        <v>0</v>
      </c>
      <c r="AF395" s="75">
        <f t="shared" si="42"/>
        <v>0</v>
      </c>
      <c r="AG395" s="75">
        <f t="shared" si="43"/>
        <v>0</v>
      </c>
      <c r="AH395" s="31" t="e" cm="1">
        <f t="array" aca="1" ref="AH395" ca="1">IF((AD395) &lt; (INDEX(ResponseSLA[#All],(MATCH((G395),ResponseSLA[Priority],0))+1,3)),"YES","No")</f>
        <v>#N/A</v>
      </c>
      <c r="AI395" s="31" t="str">
        <f>_xlfn.IFNA(IF(AE395 &lt; (INDEX(SLATable[Minimum SLA],MATCH(G395,SLATable[Priority],0))),"YES","NO"),"")</f>
        <v/>
      </c>
      <c r="AJ395" t="str">
        <f>_xlfn.IFNA(IF(AE395 &lt; (INDEX(SLATable[Maximum SLA],MATCH(G395,SLATable[Priority],0))),"YES","NO"),"")</f>
        <v/>
      </c>
    </row>
    <row r="396" spans="26:36" ht="15" customHeight="1">
      <c r="Z396" s="76" t="e">
        <f t="shared" ca="1" si="44"/>
        <v>#N/A</v>
      </c>
      <c r="AA396" s="75" t="e">
        <f t="shared" ca="1" si="40"/>
        <v>#N/A</v>
      </c>
      <c r="AB396" s="76">
        <f t="shared" ca="1" si="45"/>
        <v>0</v>
      </c>
      <c r="AC396" s="75">
        <f t="shared" ca="1" si="41"/>
        <v>0</v>
      </c>
      <c r="AD396" s="76">
        <f t="shared" ca="1" si="46"/>
        <v>12388.425641203703</v>
      </c>
      <c r="AE396" s="76">
        <f t="shared" si="47"/>
        <v>0</v>
      </c>
      <c r="AF396" s="75">
        <f t="shared" si="42"/>
        <v>0</v>
      </c>
      <c r="AG396" s="75">
        <f t="shared" si="43"/>
        <v>0</v>
      </c>
      <c r="AH396" s="31" t="e" cm="1">
        <f t="array" aca="1" ref="AH396" ca="1">IF((AD396) &lt; (INDEX(ResponseSLA[#All],(MATCH((G396),ResponseSLA[Priority],0))+1,3)),"YES","No")</f>
        <v>#N/A</v>
      </c>
      <c r="AI396" s="31" t="str">
        <f>_xlfn.IFNA(IF(AE396 &lt; (INDEX(SLATable[Minimum SLA],MATCH(G396,SLATable[Priority],0))),"YES","NO"),"")</f>
        <v/>
      </c>
      <c r="AJ396" t="str">
        <f>_xlfn.IFNA(IF(AE396 &lt; (INDEX(SLATable[Maximum SLA],MATCH(G396,SLATable[Priority],0))),"YES","NO"),"")</f>
        <v/>
      </c>
    </row>
    <row r="397" spans="26:36" ht="15" customHeight="1">
      <c r="Z397" s="76" t="e">
        <f t="shared" ca="1" si="44"/>
        <v>#N/A</v>
      </c>
      <c r="AA397" s="75" t="e">
        <f t="shared" ca="1" si="40"/>
        <v>#N/A</v>
      </c>
      <c r="AB397" s="76">
        <f t="shared" ca="1" si="45"/>
        <v>0</v>
      </c>
      <c r="AC397" s="75">
        <f t="shared" ca="1" si="41"/>
        <v>0</v>
      </c>
      <c r="AD397" s="76">
        <f t="shared" ca="1" si="46"/>
        <v>12388.425641435188</v>
      </c>
      <c r="AE397" s="76">
        <f t="shared" si="47"/>
        <v>0</v>
      </c>
      <c r="AF397" s="75">
        <f t="shared" si="42"/>
        <v>0</v>
      </c>
      <c r="AG397" s="75">
        <f t="shared" si="43"/>
        <v>0</v>
      </c>
      <c r="AH397" s="31" t="e" cm="1">
        <f t="array" aca="1" ref="AH397" ca="1">IF((AD397) &lt; (INDEX(ResponseSLA[#All],(MATCH((G397),ResponseSLA[Priority],0))+1,3)),"YES","No")</f>
        <v>#N/A</v>
      </c>
      <c r="AI397" s="31" t="str">
        <f>_xlfn.IFNA(IF(AE397 &lt; (INDEX(SLATable[Minimum SLA],MATCH(G397,SLATable[Priority],0))),"YES","NO"),"")</f>
        <v/>
      </c>
      <c r="AJ397" t="str">
        <f>_xlfn.IFNA(IF(AE397 &lt; (INDEX(SLATable[Maximum SLA],MATCH(G397,SLATable[Priority],0))),"YES","NO"),"")</f>
        <v/>
      </c>
    </row>
    <row r="398" spans="26:36" ht="15" customHeight="1">
      <c r="Z398" s="76" t="e">
        <f t="shared" ca="1" si="44"/>
        <v>#N/A</v>
      </c>
      <c r="AA398" s="75" t="e">
        <f t="shared" ca="1" si="40"/>
        <v>#N/A</v>
      </c>
      <c r="AB398" s="76">
        <f t="shared" ca="1" si="45"/>
        <v>0</v>
      </c>
      <c r="AC398" s="75">
        <f t="shared" ca="1" si="41"/>
        <v>0</v>
      </c>
      <c r="AD398" s="76">
        <f t="shared" ca="1" si="46"/>
        <v>12388.425641203703</v>
      </c>
      <c r="AE398" s="76">
        <f t="shared" si="47"/>
        <v>0</v>
      </c>
      <c r="AF398" s="75">
        <f t="shared" si="42"/>
        <v>0</v>
      </c>
      <c r="AG398" s="75">
        <f t="shared" si="43"/>
        <v>0</v>
      </c>
      <c r="AH398" s="31" t="e" cm="1">
        <f t="array" aca="1" ref="AH398" ca="1">IF((AD398) &lt; (INDEX(ResponseSLA[#All],(MATCH((G398),ResponseSLA[Priority],0))+1,3)),"YES","No")</f>
        <v>#N/A</v>
      </c>
      <c r="AI398" s="31" t="str">
        <f>_xlfn.IFNA(IF(AE398 &lt; (INDEX(SLATable[Minimum SLA],MATCH(G398,SLATable[Priority],0))),"YES","NO"),"")</f>
        <v/>
      </c>
      <c r="AJ398" t="str">
        <f>_xlfn.IFNA(IF(AE398 &lt; (INDEX(SLATable[Maximum SLA],MATCH(G398,SLATable[Priority],0))),"YES","NO"),"")</f>
        <v/>
      </c>
    </row>
    <row r="399" spans="26:36" ht="15" customHeight="1">
      <c r="Z399" s="76" t="e">
        <f t="shared" ca="1" si="44"/>
        <v>#N/A</v>
      </c>
      <c r="AA399" s="75" t="e">
        <f t="shared" ca="1" si="40"/>
        <v>#N/A</v>
      </c>
      <c r="AB399" s="76">
        <f t="shared" ca="1" si="45"/>
        <v>0</v>
      </c>
      <c r="AC399" s="75">
        <f t="shared" ca="1" si="41"/>
        <v>0</v>
      </c>
      <c r="AD399" s="76">
        <f t="shared" ca="1" si="46"/>
        <v>12388.425641203703</v>
      </c>
      <c r="AE399" s="76">
        <f t="shared" si="47"/>
        <v>0</v>
      </c>
      <c r="AF399" s="75">
        <f t="shared" si="42"/>
        <v>0</v>
      </c>
      <c r="AG399" s="75">
        <f t="shared" si="43"/>
        <v>0</v>
      </c>
      <c r="AH399" s="31" t="e" cm="1">
        <f t="array" aca="1" ref="AH399" ca="1">IF((AD399) &lt; (INDEX(ResponseSLA[#All],(MATCH((G399),ResponseSLA[Priority],0))+1,3)),"YES","No")</f>
        <v>#N/A</v>
      </c>
      <c r="AI399" s="31" t="str">
        <f>_xlfn.IFNA(IF(AE399 &lt; (INDEX(SLATable[Minimum SLA],MATCH(G399,SLATable[Priority],0))),"YES","NO"),"")</f>
        <v/>
      </c>
      <c r="AJ399" t="str">
        <f>_xlfn.IFNA(IF(AE399 &lt; (INDEX(SLATable[Maximum SLA],MATCH(G399,SLATable[Priority],0))),"YES","NO"),"")</f>
        <v/>
      </c>
    </row>
    <row r="400" spans="26:36" ht="15" customHeight="1">
      <c r="Z400" s="76" t="e">
        <f t="shared" ca="1" si="44"/>
        <v>#N/A</v>
      </c>
      <c r="AA400" s="75" t="e">
        <f t="shared" ca="1" si="40"/>
        <v>#N/A</v>
      </c>
      <c r="AB400" s="76">
        <f t="shared" ca="1" si="45"/>
        <v>0</v>
      </c>
      <c r="AC400" s="75">
        <f t="shared" ca="1" si="41"/>
        <v>0</v>
      </c>
      <c r="AD400" s="76">
        <f t="shared" ca="1" si="46"/>
        <v>12388.425641435188</v>
      </c>
      <c r="AE400" s="76">
        <f t="shared" si="47"/>
        <v>0</v>
      </c>
      <c r="AF400" s="75">
        <f t="shared" si="42"/>
        <v>0</v>
      </c>
      <c r="AG400" s="75">
        <f t="shared" si="43"/>
        <v>0</v>
      </c>
      <c r="AH400" s="31" t="e" cm="1">
        <f t="array" aca="1" ref="AH400" ca="1">IF((AD400) &lt; (INDEX(ResponseSLA[#All],(MATCH((G400),ResponseSLA[Priority],0))+1,3)),"YES","No")</f>
        <v>#N/A</v>
      </c>
      <c r="AI400" s="31" t="str">
        <f>_xlfn.IFNA(IF(AE400 &lt; (INDEX(SLATable[Minimum SLA],MATCH(G400,SLATable[Priority],0))),"YES","NO"),"")</f>
        <v/>
      </c>
      <c r="AJ400" t="str">
        <f>_xlfn.IFNA(IF(AE400 &lt; (INDEX(SLATable[Maximum SLA],MATCH(G400,SLATable[Priority],0))),"YES","NO"),"")</f>
        <v/>
      </c>
    </row>
    <row r="401" spans="26:36" ht="15" customHeight="1">
      <c r="Z401" s="76" t="e">
        <f t="shared" ca="1" si="44"/>
        <v>#N/A</v>
      </c>
      <c r="AA401" s="75" t="e">
        <f t="shared" ca="1" si="40"/>
        <v>#N/A</v>
      </c>
      <c r="AB401" s="76">
        <f t="shared" ca="1" si="45"/>
        <v>0</v>
      </c>
      <c r="AC401" s="75">
        <f t="shared" ca="1" si="41"/>
        <v>0</v>
      </c>
      <c r="AD401" s="76">
        <f t="shared" ca="1" si="46"/>
        <v>12388.425641203703</v>
      </c>
      <c r="AE401" s="76">
        <f t="shared" si="47"/>
        <v>0</v>
      </c>
      <c r="AF401" s="75">
        <f t="shared" si="42"/>
        <v>0</v>
      </c>
      <c r="AG401" s="75">
        <f t="shared" si="43"/>
        <v>0</v>
      </c>
      <c r="AH401" s="31" t="e" cm="1">
        <f t="array" aca="1" ref="AH401" ca="1">IF((AD401) &lt; (INDEX(ResponseSLA[#All],(MATCH((G401),ResponseSLA[Priority],0))+1,3)),"YES","No")</f>
        <v>#N/A</v>
      </c>
      <c r="AI401" s="31" t="str">
        <f>_xlfn.IFNA(IF(AE401 &lt; (INDEX(SLATable[Minimum SLA],MATCH(G401,SLATable[Priority],0))),"YES","NO"),"")</f>
        <v/>
      </c>
      <c r="AJ401" t="str">
        <f>_xlfn.IFNA(IF(AE401 &lt; (INDEX(SLATable[Maximum SLA],MATCH(G401,SLATable[Priority],0))),"YES","NO"),"")</f>
        <v/>
      </c>
    </row>
    <row r="402" spans="26:36" ht="15" customHeight="1">
      <c r="Z402" s="76" t="e">
        <f t="shared" ca="1" si="44"/>
        <v>#N/A</v>
      </c>
      <c r="AA402" s="75" t="e">
        <f t="shared" ca="1" si="40"/>
        <v>#N/A</v>
      </c>
      <c r="AB402" s="76">
        <f t="shared" ca="1" si="45"/>
        <v>0</v>
      </c>
      <c r="AC402" s="75">
        <f t="shared" ca="1" si="41"/>
        <v>0</v>
      </c>
      <c r="AD402" s="76">
        <f t="shared" ca="1" si="46"/>
        <v>12388.425641203703</v>
      </c>
      <c r="AE402" s="76">
        <f t="shared" si="47"/>
        <v>0</v>
      </c>
      <c r="AF402" s="75">
        <f t="shared" si="42"/>
        <v>0</v>
      </c>
      <c r="AG402" s="75">
        <f t="shared" si="43"/>
        <v>0</v>
      </c>
      <c r="AH402" s="31" t="e" cm="1">
        <f t="array" aca="1" ref="AH402" ca="1">IF((AD402) &lt; (INDEX(ResponseSLA[#All],(MATCH((G402),ResponseSLA[Priority],0))+1,3)),"YES","No")</f>
        <v>#N/A</v>
      </c>
      <c r="AI402" s="31" t="str">
        <f>_xlfn.IFNA(IF(AE402 &lt; (INDEX(SLATable[Minimum SLA],MATCH(G402,SLATable[Priority],0))),"YES","NO"),"")</f>
        <v/>
      </c>
      <c r="AJ402" t="str">
        <f>_xlfn.IFNA(IF(AE402 &lt; (INDEX(SLATable[Maximum SLA],MATCH(G402,SLATable[Priority],0))),"YES","NO"),"")</f>
        <v/>
      </c>
    </row>
    <row r="403" spans="26:36" ht="15" customHeight="1">
      <c r="Z403" s="76" t="e">
        <f t="shared" ca="1" si="44"/>
        <v>#N/A</v>
      </c>
      <c r="AA403" s="75" t="e">
        <f t="shared" ca="1" si="40"/>
        <v>#N/A</v>
      </c>
      <c r="AB403" s="76">
        <f t="shared" ca="1" si="45"/>
        <v>0</v>
      </c>
      <c r="AC403" s="75">
        <f t="shared" ca="1" si="41"/>
        <v>0</v>
      </c>
      <c r="AD403" s="76">
        <f t="shared" ca="1" si="46"/>
        <v>12388.425641435188</v>
      </c>
      <c r="AE403" s="76">
        <f t="shared" si="47"/>
        <v>0</v>
      </c>
      <c r="AF403" s="75">
        <f t="shared" si="42"/>
        <v>0</v>
      </c>
      <c r="AG403" s="75">
        <f t="shared" si="43"/>
        <v>0</v>
      </c>
      <c r="AH403" s="31" t="e" cm="1">
        <f t="array" aca="1" ref="AH403" ca="1">IF((AD403) &lt; (INDEX(ResponseSLA[#All],(MATCH((G403),ResponseSLA[Priority],0))+1,3)),"YES","No")</f>
        <v>#N/A</v>
      </c>
      <c r="AI403" s="31" t="str">
        <f>_xlfn.IFNA(IF(AE403 &lt; (INDEX(SLATable[Minimum SLA],MATCH(G403,SLATable[Priority],0))),"YES","NO"),"")</f>
        <v/>
      </c>
      <c r="AJ403" t="str">
        <f>_xlfn.IFNA(IF(AE403 &lt; (INDEX(SLATable[Maximum SLA],MATCH(G403,SLATable[Priority],0))),"YES","NO"),"")</f>
        <v/>
      </c>
    </row>
    <row r="404" spans="26:36" ht="15" customHeight="1">
      <c r="Z404" s="76" t="e">
        <f t="shared" ca="1" si="44"/>
        <v>#N/A</v>
      </c>
      <c r="AA404" s="75" t="e">
        <f t="shared" ca="1" si="40"/>
        <v>#N/A</v>
      </c>
      <c r="AB404" s="76">
        <f t="shared" ca="1" si="45"/>
        <v>0</v>
      </c>
      <c r="AC404" s="75">
        <f t="shared" ca="1" si="41"/>
        <v>0</v>
      </c>
      <c r="AD404" s="76">
        <f t="shared" ca="1" si="46"/>
        <v>12388.425641203703</v>
      </c>
      <c r="AE404" s="76">
        <f t="shared" si="47"/>
        <v>0</v>
      </c>
      <c r="AF404" s="75">
        <f t="shared" si="42"/>
        <v>0</v>
      </c>
      <c r="AG404" s="75">
        <f t="shared" si="43"/>
        <v>0</v>
      </c>
      <c r="AH404" s="31" t="e" cm="1">
        <f t="array" aca="1" ref="AH404" ca="1">IF((AD404) &lt; (INDEX(ResponseSLA[#All],(MATCH((G404),ResponseSLA[Priority],0))+1,3)),"YES","No")</f>
        <v>#N/A</v>
      </c>
      <c r="AI404" s="31" t="str">
        <f>_xlfn.IFNA(IF(AE404 &lt; (INDEX(SLATable[Minimum SLA],MATCH(G404,SLATable[Priority],0))),"YES","NO"),"")</f>
        <v/>
      </c>
      <c r="AJ404" t="str">
        <f>_xlfn.IFNA(IF(AE404 &lt; (INDEX(SLATable[Maximum SLA],MATCH(G404,SLATable[Priority],0))),"YES","NO"),"")</f>
        <v/>
      </c>
    </row>
    <row r="405" spans="26:36" ht="15" customHeight="1">
      <c r="Z405" s="76" t="e">
        <f t="shared" ca="1" si="44"/>
        <v>#N/A</v>
      </c>
      <c r="AA405" s="75" t="e">
        <f t="shared" ca="1" si="40"/>
        <v>#N/A</v>
      </c>
      <c r="AB405" s="76">
        <f t="shared" ca="1" si="45"/>
        <v>0</v>
      </c>
      <c r="AC405" s="75">
        <f t="shared" ca="1" si="41"/>
        <v>0</v>
      </c>
      <c r="AD405" s="76">
        <f t="shared" ca="1" si="46"/>
        <v>12388.425641203703</v>
      </c>
      <c r="AE405" s="76">
        <f t="shared" si="47"/>
        <v>0</v>
      </c>
      <c r="AF405" s="75">
        <f t="shared" si="42"/>
        <v>0</v>
      </c>
      <c r="AG405" s="75">
        <f t="shared" si="43"/>
        <v>0</v>
      </c>
      <c r="AH405" s="31" t="e" cm="1">
        <f t="array" aca="1" ref="AH405" ca="1">IF((AD405) &lt; (INDEX(ResponseSLA[#All],(MATCH((G405),ResponseSLA[Priority],0))+1,3)),"YES","No")</f>
        <v>#N/A</v>
      </c>
      <c r="AI405" s="31" t="str">
        <f>_xlfn.IFNA(IF(AE405 &lt; (INDEX(SLATable[Minimum SLA],MATCH(G405,SLATable[Priority],0))),"YES","NO"),"")</f>
        <v/>
      </c>
      <c r="AJ405" t="str">
        <f>_xlfn.IFNA(IF(AE405 &lt; (INDEX(SLATable[Maximum SLA],MATCH(G405,SLATable[Priority],0))),"YES","NO"),"")</f>
        <v/>
      </c>
    </row>
    <row r="406" spans="26:36" ht="15" customHeight="1">
      <c r="Z406" s="76" t="e">
        <f t="shared" ca="1" si="44"/>
        <v>#N/A</v>
      </c>
      <c r="AA406" s="75" t="e">
        <f t="shared" ca="1" si="40"/>
        <v>#N/A</v>
      </c>
      <c r="AB406" s="76">
        <f t="shared" ca="1" si="45"/>
        <v>0</v>
      </c>
      <c r="AC406" s="75">
        <f t="shared" ca="1" si="41"/>
        <v>0</v>
      </c>
      <c r="AD406" s="76">
        <f t="shared" ca="1" si="46"/>
        <v>12388.425641435188</v>
      </c>
      <c r="AE406" s="76">
        <f t="shared" si="47"/>
        <v>0</v>
      </c>
      <c r="AF406" s="75">
        <f t="shared" si="42"/>
        <v>0</v>
      </c>
      <c r="AG406" s="75">
        <f t="shared" si="43"/>
        <v>0</v>
      </c>
      <c r="AH406" s="31" t="e" cm="1">
        <f t="array" aca="1" ref="AH406" ca="1">IF((AD406) &lt; (INDEX(ResponseSLA[#All],(MATCH((G406),ResponseSLA[Priority],0))+1,3)),"YES","No")</f>
        <v>#N/A</v>
      </c>
      <c r="AI406" s="31" t="str">
        <f>_xlfn.IFNA(IF(AE406 &lt; (INDEX(SLATable[Minimum SLA],MATCH(G406,SLATable[Priority],0))),"YES","NO"),"")</f>
        <v/>
      </c>
      <c r="AJ406" t="str">
        <f>_xlfn.IFNA(IF(AE406 &lt; (INDEX(SLATable[Maximum SLA],MATCH(G406,SLATable[Priority],0))),"YES","NO"),"")</f>
        <v/>
      </c>
    </row>
    <row r="407" spans="26:36" ht="15" customHeight="1">
      <c r="Z407" s="76" t="e">
        <f t="shared" ca="1" si="44"/>
        <v>#N/A</v>
      </c>
      <c r="AA407" s="75" t="e">
        <f t="shared" ca="1" si="40"/>
        <v>#N/A</v>
      </c>
      <c r="AB407" s="76">
        <f t="shared" ca="1" si="45"/>
        <v>0</v>
      </c>
      <c r="AC407" s="75">
        <f t="shared" ca="1" si="41"/>
        <v>0</v>
      </c>
      <c r="AD407" s="76">
        <f t="shared" ca="1" si="46"/>
        <v>12388.425641203703</v>
      </c>
      <c r="AE407" s="76">
        <f t="shared" si="47"/>
        <v>0</v>
      </c>
      <c r="AF407" s="75">
        <f t="shared" si="42"/>
        <v>0</v>
      </c>
      <c r="AG407" s="75">
        <f t="shared" si="43"/>
        <v>0</v>
      </c>
      <c r="AH407" s="31" t="e" cm="1">
        <f t="array" aca="1" ref="AH407" ca="1">IF((AD407) &lt; (INDEX(ResponseSLA[#All],(MATCH((G407),ResponseSLA[Priority],0))+1,3)),"YES","No")</f>
        <v>#N/A</v>
      </c>
      <c r="AI407" s="31" t="str">
        <f>_xlfn.IFNA(IF(AE407 &lt; (INDEX(SLATable[Minimum SLA],MATCH(G407,SLATable[Priority],0))),"YES","NO"),"")</f>
        <v/>
      </c>
      <c r="AJ407" t="str">
        <f>_xlfn.IFNA(IF(AE407 &lt; (INDEX(SLATable[Maximum SLA],MATCH(G407,SLATable[Priority],0))),"YES","NO"),"")</f>
        <v/>
      </c>
    </row>
    <row r="408" spans="26:36" ht="15" customHeight="1">
      <c r="Z408" s="76" t="e">
        <f t="shared" ca="1" si="44"/>
        <v>#N/A</v>
      </c>
      <c r="AA408" s="75" t="e">
        <f t="shared" ca="1" si="40"/>
        <v>#N/A</v>
      </c>
      <c r="AB408" s="76">
        <f t="shared" ca="1" si="45"/>
        <v>0</v>
      </c>
      <c r="AC408" s="75">
        <f t="shared" ca="1" si="41"/>
        <v>0</v>
      </c>
      <c r="AD408" s="76">
        <f t="shared" ca="1" si="46"/>
        <v>12388.425641203703</v>
      </c>
      <c r="AE408" s="76">
        <f t="shared" si="47"/>
        <v>0</v>
      </c>
      <c r="AF408" s="75">
        <f t="shared" si="42"/>
        <v>0</v>
      </c>
      <c r="AG408" s="75">
        <f t="shared" si="43"/>
        <v>0</v>
      </c>
      <c r="AH408" s="31" t="e" cm="1">
        <f t="array" aca="1" ref="AH408" ca="1">IF((AD408) &lt; (INDEX(ResponseSLA[#All],(MATCH((G408),ResponseSLA[Priority],0))+1,3)),"YES","No")</f>
        <v>#N/A</v>
      </c>
      <c r="AI408" s="31" t="str">
        <f>_xlfn.IFNA(IF(AE408 &lt; (INDEX(SLATable[Minimum SLA],MATCH(G408,SLATable[Priority],0))),"YES","NO"),"")</f>
        <v/>
      </c>
      <c r="AJ408" t="str">
        <f>_xlfn.IFNA(IF(AE408 &lt; (INDEX(SLATable[Maximum SLA],MATCH(G408,SLATable[Priority],0))),"YES","NO"),"")</f>
        <v/>
      </c>
    </row>
    <row r="409" spans="26:36" ht="15" customHeight="1">
      <c r="Z409" s="76" t="e">
        <f t="shared" ca="1" si="44"/>
        <v>#N/A</v>
      </c>
      <c r="AA409" s="75" t="e">
        <f t="shared" ca="1" si="40"/>
        <v>#N/A</v>
      </c>
      <c r="AB409" s="76">
        <f t="shared" ca="1" si="45"/>
        <v>0</v>
      </c>
      <c r="AC409" s="75">
        <f t="shared" ca="1" si="41"/>
        <v>0</v>
      </c>
      <c r="AD409" s="76">
        <f t="shared" ca="1" si="46"/>
        <v>12388.425641435188</v>
      </c>
      <c r="AE409" s="76">
        <f t="shared" si="47"/>
        <v>0</v>
      </c>
      <c r="AF409" s="75">
        <f t="shared" si="42"/>
        <v>0</v>
      </c>
      <c r="AG409" s="75">
        <f t="shared" si="43"/>
        <v>0</v>
      </c>
      <c r="AH409" s="31" t="e" cm="1">
        <f t="array" aca="1" ref="AH409" ca="1">IF((AD409) &lt; (INDEX(ResponseSLA[#All],(MATCH((G409),ResponseSLA[Priority],0))+1,3)),"YES","No")</f>
        <v>#N/A</v>
      </c>
      <c r="AI409" s="31" t="str">
        <f>_xlfn.IFNA(IF(AE409 &lt; (INDEX(SLATable[Minimum SLA],MATCH(G409,SLATable[Priority],0))),"YES","NO"),"")</f>
        <v/>
      </c>
      <c r="AJ409" t="str">
        <f>_xlfn.IFNA(IF(AE409 &lt; (INDEX(SLATable[Maximum SLA],MATCH(G409,SLATable[Priority],0))),"YES","NO"),"")</f>
        <v/>
      </c>
    </row>
    <row r="410" spans="26:36" ht="15" customHeight="1">
      <c r="Z410" s="76" t="e">
        <f t="shared" ca="1" si="44"/>
        <v>#N/A</v>
      </c>
      <c r="AA410" s="75" t="e">
        <f t="shared" ca="1" si="40"/>
        <v>#N/A</v>
      </c>
      <c r="AB410" s="76">
        <f t="shared" ca="1" si="45"/>
        <v>0</v>
      </c>
      <c r="AC410" s="75">
        <f t="shared" ca="1" si="41"/>
        <v>0</v>
      </c>
      <c r="AD410" s="76">
        <f t="shared" ca="1" si="46"/>
        <v>12388.425641203703</v>
      </c>
      <c r="AE410" s="76">
        <f t="shared" si="47"/>
        <v>0</v>
      </c>
      <c r="AF410" s="75">
        <f t="shared" si="42"/>
        <v>0</v>
      </c>
      <c r="AG410" s="75">
        <f t="shared" si="43"/>
        <v>0</v>
      </c>
      <c r="AH410" s="31" t="e" cm="1">
        <f t="array" aca="1" ref="AH410" ca="1">IF((AD410) &lt; (INDEX(ResponseSLA[#All],(MATCH((G410),ResponseSLA[Priority],0))+1,3)),"YES","No")</f>
        <v>#N/A</v>
      </c>
      <c r="AI410" s="31" t="str">
        <f>_xlfn.IFNA(IF(AE410 &lt; (INDEX(SLATable[Minimum SLA],MATCH(G410,SLATable[Priority],0))),"YES","NO"),"")</f>
        <v/>
      </c>
      <c r="AJ410" t="str">
        <f>_xlfn.IFNA(IF(AE410 &lt; (INDEX(SLATable[Maximum SLA],MATCH(G410,SLATable[Priority],0))),"YES","NO"),"")</f>
        <v/>
      </c>
    </row>
    <row r="411" spans="26:36" ht="15" customHeight="1">
      <c r="Z411" s="76" t="e">
        <f t="shared" ca="1" si="44"/>
        <v>#N/A</v>
      </c>
      <c r="AA411" s="75" t="e">
        <f t="shared" ca="1" si="40"/>
        <v>#N/A</v>
      </c>
      <c r="AB411" s="76">
        <f t="shared" ca="1" si="45"/>
        <v>0</v>
      </c>
      <c r="AC411" s="75">
        <f t="shared" ca="1" si="41"/>
        <v>0</v>
      </c>
      <c r="AD411" s="76">
        <f t="shared" ca="1" si="46"/>
        <v>12388.425641203703</v>
      </c>
      <c r="AE411" s="76">
        <f t="shared" si="47"/>
        <v>0</v>
      </c>
      <c r="AF411" s="75">
        <f t="shared" si="42"/>
        <v>0</v>
      </c>
      <c r="AG411" s="75">
        <f t="shared" si="43"/>
        <v>0</v>
      </c>
      <c r="AH411" s="31" t="e" cm="1">
        <f t="array" aca="1" ref="AH411" ca="1">IF((AD411) &lt; (INDEX(ResponseSLA[#All],(MATCH((G411),ResponseSLA[Priority],0))+1,3)),"YES","No")</f>
        <v>#N/A</v>
      </c>
      <c r="AI411" s="31" t="str">
        <f>_xlfn.IFNA(IF(AE411 &lt; (INDEX(SLATable[Minimum SLA],MATCH(G411,SLATable[Priority],0))),"YES","NO"),"")</f>
        <v/>
      </c>
      <c r="AJ411" t="str">
        <f>_xlfn.IFNA(IF(AE411 &lt; (INDEX(SLATable[Maximum SLA],MATCH(G411,SLATable[Priority],0))),"YES","NO"),"")</f>
        <v/>
      </c>
    </row>
    <row r="412" spans="26:36" ht="15" customHeight="1">
      <c r="Z412" s="76" t="e">
        <f t="shared" ca="1" si="44"/>
        <v>#N/A</v>
      </c>
      <c r="AA412" s="75" t="e">
        <f t="shared" ca="1" si="40"/>
        <v>#N/A</v>
      </c>
      <c r="AB412" s="76">
        <f t="shared" ca="1" si="45"/>
        <v>0</v>
      </c>
      <c r="AC412" s="75">
        <f t="shared" ca="1" si="41"/>
        <v>0</v>
      </c>
      <c r="AD412" s="76">
        <f t="shared" ca="1" si="46"/>
        <v>12388.425641435188</v>
      </c>
      <c r="AE412" s="76">
        <f t="shared" si="47"/>
        <v>0</v>
      </c>
      <c r="AF412" s="75">
        <f t="shared" si="42"/>
        <v>0</v>
      </c>
      <c r="AG412" s="75">
        <f t="shared" si="43"/>
        <v>0</v>
      </c>
      <c r="AH412" s="31" t="e" cm="1">
        <f t="array" aca="1" ref="AH412" ca="1">IF((AD412) &lt; (INDEX(ResponseSLA[#All],(MATCH((G412),ResponseSLA[Priority],0))+1,3)),"YES","No")</f>
        <v>#N/A</v>
      </c>
      <c r="AI412" s="31" t="str">
        <f>_xlfn.IFNA(IF(AE412 &lt; (INDEX(SLATable[Minimum SLA],MATCH(G412,SLATable[Priority],0))),"YES","NO"),"")</f>
        <v/>
      </c>
      <c r="AJ412" t="str">
        <f>_xlfn.IFNA(IF(AE412 &lt; (INDEX(SLATable[Maximum SLA],MATCH(G412,SLATable[Priority],0))),"YES","NO"),"")</f>
        <v/>
      </c>
    </row>
    <row r="413" spans="26:36" ht="15" customHeight="1">
      <c r="Z413" s="76" t="e">
        <f t="shared" ca="1" si="44"/>
        <v>#N/A</v>
      </c>
      <c r="AA413" s="75" t="e">
        <f t="shared" ca="1" si="40"/>
        <v>#N/A</v>
      </c>
      <c r="AB413" s="76">
        <f t="shared" ca="1" si="45"/>
        <v>0</v>
      </c>
      <c r="AC413" s="75">
        <f t="shared" ca="1" si="41"/>
        <v>0</v>
      </c>
      <c r="AD413" s="76">
        <f t="shared" ca="1" si="46"/>
        <v>12388.425641203703</v>
      </c>
      <c r="AE413" s="76">
        <f t="shared" si="47"/>
        <v>0</v>
      </c>
      <c r="AF413" s="75">
        <f t="shared" si="42"/>
        <v>0</v>
      </c>
      <c r="AG413" s="75">
        <f t="shared" si="43"/>
        <v>0</v>
      </c>
      <c r="AH413" s="31" t="e" cm="1">
        <f t="array" aca="1" ref="AH413" ca="1">IF((AD413) &lt; (INDEX(ResponseSLA[#All],(MATCH((G413),ResponseSLA[Priority],0))+1,3)),"YES","No")</f>
        <v>#N/A</v>
      </c>
      <c r="AI413" s="31" t="str">
        <f>_xlfn.IFNA(IF(AE413 &lt; (INDEX(SLATable[Minimum SLA],MATCH(G413,SLATable[Priority],0))),"YES","NO"),"")</f>
        <v/>
      </c>
      <c r="AJ413" t="str">
        <f>_xlfn.IFNA(IF(AE413 &lt; (INDEX(SLATable[Maximum SLA],MATCH(G413,SLATable[Priority],0))),"YES","NO"),"")</f>
        <v/>
      </c>
    </row>
    <row r="414" spans="26:36" ht="15" customHeight="1">
      <c r="Z414" s="76" t="e">
        <f t="shared" ca="1" si="44"/>
        <v>#N/A</v>
      </c>
      <c r="AA414" s="75" t="e">
        <f t="shared" ca="1" si="40"/>
        <v>#N/A</v>
      </c>
      <c r="AB414" s="76">
        <f t="shared" ca="1" si="45"/>
        <v>0</v>
      </c>
      <c r="AC414" s="75">
        <f t="shared" ca="1" si="41"/>
        <v>0</v>
      </c>
      <c r="AD414" s="76">
        <f t="shared" ca="1" si="46"/>
        <v>12388.425641203703</v>
      </c>
      <c r="AE414" s="76">
        <f t="shared" si="47"/>
        <v>0</v>
      </c>
      <c r="AF414" s="75">
        <f t="shared" si="42"/>
        <v>0</v>
      </c>
      <c r="AG414" s="75">
        <f t="shared" si="43"/>
        <v>0</v>
      </c>
      <c r="AH414" s="31" t="e" cm="1">
        <f t="array" aca="1" ref="AH414" ca="1">IF((AD414) &lt; (INDEX(ResponseSLA[#All],(MATCH((G414),ResponseSLA[Priority],0))+1,3)),"YES","No")</f>
        <v>#N/A</v>
      </c>
      <c r="AI414" s="31" t="str">
        <f>_xlfn.IFNA(IF(AE414 &lt; (INDEX(SLATable[Minimum SLA],MATCH(G414,SLATable[Priority],0))),"YES","NO"),"")</f>
        <v/>
      </c>
      <c r="AJ414" t="str">
        <f>_xlfn.IFNA(IF(AE414 &lt; (INDEX(SLATable[Maximum SLA],MATCH(G414,SLATable[Priority],0))),"YES","NO"),"")</f>
        <v/>
      </c>
    </row>
    <row r="415" spans="26:36" ht="15" customHeight="1">
      <c r="Z415" s="76" t="e">
        <f t="shared" ca="1" si="44"/>
        <v>#N/A</v>
      </c>
      <c r="AA415" s="75" t="e">
        <f t="shared" ca="1" si="40"/>
        <v>#N/A</v>
      </c>
      <c r="AB415" s="76">
        <f t="shared" ca="1" si="45"/>
        <v>0</v>
      </c>
      <c r="AC415" s="75">
        <f t="shared" ca="1" si="41"/>
        <v>0</v>
      </c>
      <c r="AD415" s="76">
        <f t="shared" ca="1" si="46"/>
        <v>12388.425641435188</v>
      </c>
      <c r="AE415" s="76">
        <f t="shared" si="47"/>
        <v>0</v>
      </c>
      <c r="AF415" s="75">
        <f t="shared" si="42"/>
        <v>0</v>
      </c>
      <c r="AG415" s="75">
        <f t="shared" si="43"/>
        <v>0</v>
      </c>
      <c r="AH415" s="31" t="e" cm="1">
        <f t="array" aca="1" ref="AH415" ca="1">IF((AD415) &lt; (INDEX(ResponseSLA[#All],(MATCH((G415),ResponseSLA[Priority],0))+1,3)),"YES","No")</f>
        <v>#N/A</v>
      </c>
      <c r="AI415" s="31" t="str">
        <f>_xlfn.IFNA(IF(AE415 &lt; (INDEX(SLATable[Minimum SLA],MATCH(G415,SLATable[Priority],0))),"YES","NO"),"")</f>
        <v/>
      </c>
      <c r="AJ415" t="str">
        <f>_xlfn.IFNA(IF(AE415 &lt; (INDEX(SLATable[Maximum SLA],MATCH(G415,SLATable[Priority],0))),"YES","NO"),"")</f>
        <v/>
      </c>
    </row>
    <row r="416" spans="26:36" ht="15" customHeight="1">
      <c r="Z416" s="76" t="e">
        <f t="shared" ca="1" si="44"/>
        <v>#N/A</v>
      </c>
      <c r="AA416" s="75" t="e">
        <f t="shared" ca="1" si="40"/>
        <v>#N/A</v>
      </c>
      <c r="AB416" s="76">
        <f t="shared" ca="1" si="45"/>
        <v>0</v>
      </c>
      <c r="AC416" s="75">
        <f t="shared" ca="1" si="41"/>
        <v>0</v>
      </c>
      <c r="AD416" s="76">
        <f t="shared" ca="1" si="46"/>
        <v>12388.425641203703</v>
      </c>
      <c r="AE416" s="76">
        <f t="shared" si="47"/>
        <v>0</v>
      </c>
      <c r="AF416" s="75">
        <f t="shared" si="42"/>
        <v>0</v>
      </c>
      <c r="AG416" s="75">
        <f t="shared" si="43"/>
        <v>0</v>
      </c>
      <c r="AH416" s="31" t="e" cm="1">
        <f t="array" aca="1" ref="AH416" ca="1">IF((AD416) &lt; (INDEX(ResponseSLA[#All],(MATCH((G416),ResponseSLA[Priority],0))+1,3)),"YES","No")</f>
        <v>#N/A</v>
      </c>
      <c r="AI416" s="31" t="str">
        <f>_xlfn.IFNA(IF(AE416 &lt; (INDEX(SLATable[Minimum SLA],MATCH(G416,SLATable[Priority],0))),"YES","NO"),"")</f>
        <v/>
      </c>
      <c r="AJ416" t="str">
        <f>_xlfn.IFNA(IF(AE416 &lt; (INDEX(SLATable[Maximum SLA],MATCH(G416,SLATable[Priority],0))),"YES","NO"),"")</f>
        <v/>
      </c>
    </row>
    <row r="417" spans="26:36" ht="15" customHeight="1">
      <c r="Z417" s="76" t="e">
        <f t="shared" ca="1" si="44"/>
        <v>#N/A</v>
      </c>
      <c r="AA417" s="75" t="e">
        <f t="shared" ca="1" si="40"/>
        <v>#N/A</v>
      </c>
      <c r="AB417" s="76">
        <f t="shared" ca="1" si="45"/>
        <v>0</v>
      </c>
      <c r="AC417" s="75">
        <f t="shared" ca="1" si="41"/>
        <v>0</v>
      </c>
      <c r="AD417" s="76">
        <f t="shared" ca="1" si="46"/>
        <v>12388.425641203703</v>
      </c>
      <c r="AE417" s="76">
        <f t="shared" si="47"/>
        <v>0</v>
      </c>
      <c r="AF417" s="75">
        <f t="shared" si="42"/>
        <v>0</v>
      </c>
      <c r="AG417" s="75">
        <f t="shared" si="43"/>
        <v>0</v>
      </c>
      <c r="AH417" s="31" t="e" cm="1">
        <f t="array" aca="1" ref="AH417" ca="1">IF((AD417) &lt; (INDEX(ResponseSLA[#All],(MATCH((G417),ResponseSLA[Priority],0))+1,3)),"YES","No")</f>
        <v>#N/A</v>
      </c>
      <c r="AI417" s="31" t="str">
        <f>_xlfn.IFNA(IF(AE417 &lt; (INDEX(SLATable[Minimum SLA],MATCH(G417,SLATable[Priority],0))),"YES","NO"),"")</f>
        <v/>
      </c>
      <c r="AJ417" t="str">
        <f>_xlfn.IFNA(IF(AE417 &lt; (INDEX(SLATable[Maximum SLA],MATCH(G417,SLATable[Priority],0))),"YES","NO"),"")</f>
        <v/>
      </c>
    </row>
    <row r="418" spans="26:36" ht="15" customHeight="1">
      <c r="Z418" s="76" t="e">
        <f t="shared" ca="1" si="44"/>
        <v>#N/A</v>
      </c>
      <c r="AA418" s="75" t="e">
        <f t="shared" ca="1" si="40"/>
        <v>#N/A</v>
      </c>
      <c r="AB418" s="76">
        <f t="shared" ca="1" si="45"/>
        <v>0</v>
      </c>
      <c r="AC418" s="75">
        <f t="shared" ca="1" si="41"/>
        <v>0</v>
      </c>
      <c r="AD418" s="76">
        <f t="shared" ca="1" si="46"/>
        <v>12388.425641435188</v>
      </c>
      <c r="AE418" s="76">
        <f t="shared" si="47"/>
        <v>0</v>
      </c>
      <c r="AF418" s="75">
        <f t="shared" si="42"/>
        <v>0</v>
      </c>
      <c r="AG418" s="75">
        <f t="shared" si="43"/>
        <v>0</v>
      </c>
      <c r="AH418" s="31" t="e" cm="1">
        <f t="array" aca="1" ref="AH418" ca="1">IF((AD418) &lt; (INDEX(ResponseSLA[#All],(MATCH((G418),ResponseSLA[Priority],0))+1,3)),"YES","No")</f>
        <v>#N/A</v>
      </c>
      <c r="AI418" s="31" t="str">
        <f>_xlfn.IFNA(IF(AE418 &lt; (INDEX(SLATable[Minimum SLA],MATCH(G418,SLATable[Priority],0))),"YES","NO"),"")</f>
        <v/>
      </c>
      <c r="AJ418" t="str">
        <f>_xlfn.IFNA(IF(AE418 &lt; (INDEX(SLATable[Maximum SLA],MATCH(G418,SLATable[Priority],0))),"YES","NO"),"")</f>
        <v/>
      </c>
    </row>
    <row r="419" spans="26:36" ht="15" customHeight="1">
      <c r="Z419" s="76" t="e">
        <f t="shared" ca="1" si="44"/>
        <v>#N/A</v>
      </c>
      <c r="AA419" s="75" t="e">
        <f t="shared" ca="1" si="40"/>
        <v>#N/A</v>
      </c>
      <c r="AB419" s="76">
        <f t="shared" ca="1" si="45"/>
        <v>0</v>
      </c>
      <c r="AC419" s="75">
        <f t="shared" ca="1" si="41"/>
        <v>0</v>
      </c>
      <c r="AD419" s="76">
        <f t="shared" ca="1" si="46"/>
        <v>12388.425641203703</v>
      </c>
      <c r="AE419" s="76">
        <f t="shared" si="47"/>
        <v>0</v>
      </c>
      <c r="AF419" s="75">
        <f t="shared" si="42"/>
        <v>0</v>
      </c>
      <c r="AG419" s="75">
        <f t="shared" si="43"/>
        <v>0</v>
      </c>
      <c r="AH419" s="31" t="e" cm="1">
        <f t="array" aca="1" ref="AH419" ca="1">IF((AD419) &lt; (INDEX(ResponseSLA[#All],(MATCH((G419),ResponseSLA[Priority],0))+1,3)),"YES","No")</f>
        <v>#N/A</v>
      </c>
      <c r="AI419" s="31" t="str">
        <f>_xlfn.IFNA(IF(AE419 &lt; (INDEX(SLATable[Minimum SLA],MATCH(G419,SLATable[Priority],0))),"YES","NO"),"")</f>
        <v/>
      </c>
      <c r="AJ419" t="str">
        <f>_xlfn.IFNA(IF(AE419 &lt; (INDEX(SLATable[Maximum SLA],MATCH(G419,SLATable[Priority],0))),"YES","NO"),"")</f>
        <v/>
      </c>
    </row>
    <row r="420" spans="26:36" ht="15" customHeight="1">
      <c r="Z420" s="76" t="e">
        <f t="shared" ca="1" si="44"/>
        <v>#N/A</v>
      </c>
      <c r="AA420" s="75" t="e">
        <f t="shared" ca="1" si="40"/>
        <v>#N/A</v>
      </c>
      <c r="AB420" s="76">
        <f t="shared" ca="1" si="45"/>
        <v>0</v>
      </c>
      <c r="AC420" s="75">
        <f t="shared" ca="1" si="41"/>
        <v>0</v>
      </c>
      <c r="AD420" s="76">
        <f t="shared" ca="1" si="46"/>
        <v>12388.425641203703</v>
      </c>
      <c r="AE420" s="76">
        <f t="shared" si="47"/>
        <v>0</v>
      </c>
      <c r="AF420" s="75">
        <f t="shared" si="42"/>
        <v>0</v>
      </c>
      <c r="AG420" s="75">
        <f t="shared" si="43"/>
        <v>0</v>
      </c>
      <c r="AH420" s="31" t="e" cm="1">
        <f t="array" aca="1" ref="AH420" ca="1">IF((AD420) &lt; (INDEX(ResponseSLA[#All],(MATCH((G420),ResponseSLA[Priority],0))+1,3)),"YES","No")</f>
        <v>#N/A</v>
      </c>
      <c r="AI420" s="31" t="str">
        <f>_xlfn.IFNA(IF(AE420 &lt; (INDEX(SLATable[Minimum SLA],MATCH(G420,SLATable[Priority],0))),"YES","NO"),"")</f>
        <v/>
      </c>
      <c r="AJ420" t="str">
        <f>_xlfn.IFNA(IF(AE420 &lt; (INDEX(SLATable[Maximum SLA],MATCH(G420,SLATable[Priority],0))),"YES","NO"),"")</f>
        <v/>
      </c>
    </row>
    <row r="421" spans="26:36" ht="15" customHeight="1">
      <c r="Z421" s="76" t="e">
        <f t="shared" ca="1" si="44"/>
        <v>#N/A</v>
      </c>
      <c r="AA421" s="75" t="e">
        <f t="shared" ca="1" si="40"/>
        <v>#N/A</v>
      </c>
      <c r="AB421" s="76">
        <f t="shared" ca="1" si="45"/>
        <v>0</v>
      </c>
      <c r="AC421" s="75">
        <f t="shared" ca="1" si="41"/>
        <v>0</v>
      </c>
      <c r="AD421" s="76">
        <f t="shared" ca="1" si="46"/>
        <v>12388.425641435188</v>
      </c>
      <c r="AE421" s="76">
        <f t="shared" si="47"/>
        <v>0</v>
      </c>
      <c r="AF421" s="75">
        <f t="shared" si="42"/>
        <v>0</v>
      </c>
      <c r="AG421" s="75">
        <f t="shared" si="43"/>
        <v>0</v>
      </c>
      <c r="AH421" s="31" t="e" cm="1">
        <f t="array" aca="1" ref="AH421" ca="1">IF((AD421) &lt; (INDEX(ResponseSLA[#All],(MATCH((G421),ResponseSLA[Priority],0))+1,3)),"YES","No")</f>
        <v>#N/A</v>
      </c>
      <c r="AI421" s="31" t="str">
        <f>_xlfn.IFNA(IF(AE421 &lt; (INDEX(SLATable[Minimum SLA],MATCH(G421,SLATable[Priority],0))),"YES","NO"),"")</f>
        <v/>
      </c>
      <c r="AJ421" t="str">
        <f>_xlfn.IFNA(IF(AE421 &lt; (INDEX(SLATable[Maximum SLA],MATCH(G421,SLATable[Priority],0))),"YES","NO"),"")</f>
        <v/>
      </c>
    </row>
    <row r="422" spans="26:36" ht="15" customHeight="1">
      <c r="Z422" s="76" t="e">
        <f t="shared" ca="1" si="44"/>
        <v>#N/A</v>
      </c>
      <c r="AA422" s="75" t="e">
        <f t="shared" ca="1" si="40"/>
        <v>#N/A</v>
      </c>
      <c r="AB422" s="76">
        <f t="shared" ca="1" si="45"/>
        <v>0</v>
      </c>
      <c r="AC422" s="75">
        <f t="shared" ca="1" si="41"/>
        <v>0</v>
      </c>
      <c r="AD422" s="76">
        <f t="shared" ca="1" si="46"/>
        <v>12388.425641203703</v>
      </c>
      <c r="AE422" s="76">
        <f t="shared" si="47"/>
        <v>0</v>
      </c>
      <c r="AF422" s="75">
        <f t="shared" si="42"/>
        <v>0</v>
      </c>
      <c r="AG422" s="75">
        <f t="shared" si="43"/>
        <v>0</v>
      </c>
      <c r="AH422" s="31" t="e" cm="1">
        <f t="array" aca="1" ref="AH422" ca="1">IF((AD422) &lt; (INDEX(ResponseSLA[#All],(MATCH((G422),ResponseSLA[Priority],0))+1,3)),"YES","No")</f>
        <v>#N/A</v>
      </c>
      <c r="AI422" s="31" t="str">
        <f>_xlfn.IFNA(IF(AE422 &lt; (INDEX(SLATable[Minimum SLA],MATCH(G422,SLATable[Priority],0))),"YES","NO"),"")</f>
        <v/>
      </c>
      <c r="AJ422" t="str">
        <f>_xlfn.IFNA(IF(AE422 &lt; (INDEX(SLATable[Maximum SLA],MATCH(G422,SLATable[Priority],0))),"YES","NO"),"")</f>
        <v/>
      </c>
    </row>
    <row r="423" spans="26:36" ht="15" customHeight="1">
      <c r="Z423" s="76" t="e">
        <f t="shared" ca="1" si="44"/>
        <v>#N/A</v>
      </c>
      <c r="AA423" s="75" t="e">
        <f t="shared" ca="1" si="40"/>
        <v>#N/A</v>
      </c>
      <c r="AB423" s="76">
        <f t="shared" ca="1" si="45"/>
        <v>0</v>
      </c>
      <c r="AC423" s="75">
        <f t="shared" ca="1" si="41"/>
        <v>0</v>
      </c>
      <c r="AD423" s="76">
        <f t="shared" ca="1" si="46"/>
        <v>12388.425641203703</v>
      </c>
      <c r="AE423" s="76">
        <f t="shared" si="47"/>
        <v>0</v>
      </c>
      <c r="AF423" s="75">
        <f t="shared" si="42"/>
        <v>0</v>
      </c>
      <c r="AG423" s="75">
        <f t="shared" si="43"/>
        <v>0</v>
      </c>
      <c r="AH423" s="31" t="e" cm="1">
        <f t="array" aca="1" ref="AH423" ca="1">IF((AD423) &lt; (INDEX(ResponseSLA[#All],(MATCH((G423),ResponseSLA[Priority],0))+1,3)),"YES","No")</f>
        <v>#N/A</v>
      </c>
      <c r="AI423" s="31" t="str">
        <f>_xlfn.IFNA(IF(AE423 &lt; (INDEX(SLATable[Minimum SLA],MATCH(G423,SLATable[Priority],0))),"YES","NO"),"")</f>
        <v/>
      </c>
      <c r="AJ423" t="str">
        <f>_xlfn.IFNA(IF(AE423 &lt; (INDEX(SLATable[Maximum SLA],MATCH(G423,SLATable[Priority],0))),"YES","NO"),"")</f>
        <v/>
      </c>
    </row>
    <row r="424" spans="26:36" ht="15" customHeight="1">
      <c r="Z424" s="76" t="e">
        <f t="shared" ca="1" si="44"/>
        <v>#N/A</v>
      </c>
      <c r="AA424" s="75" t="e">
        <f t="shared" ca="1" si="40"/>
        <v>#N/A</v>
      </c>
      <c r="AB424" s="76">
        <f t="shared" ca="1" si="45"/>
        <v>0</v>
      </c>
      <c r="AC424" s="75">
        <f t="shared" ca="1" si="41"/>
        <v>0</v>
      </c>
      <c r="AD424" s="76">
        <f t="shared" ca="1" si="46"/>
        <v>12388.425641435188</v>
      </c>
      <c r="AE424" s="76">
        <f t="shared" si="47"/>
        <v>0</v>
      </c>
      <c r="AF424" s="75">
        <f t="shared" si="42"/>
        <v>0</v>
      </c>
      <c r="AG424" s="75">
        <f t="shared" si="43"/>
        <v>0</v>
      </c>
      <c r="AH424" s="31" t="e" cm="1">
        <f t="array" aca="1" ref="AH424" ca="1">IF((AD424) &lt; (INDEX(ResponseSLA[#All],(MATCH((G424),ResponseSLA[Priority],0))+1,3)),"YES","No")</f>
        <v>#N/A</v>
      </c>
      <c r="AI424" s="31" t="str">
        <f>_xlfn.IFNA(IF(AE424 &lt; (INDEX(SLATable[Minimum SLA],MATCH(G424,SLATable[Priority],0))),"YES","NO"),"")</f>
        <v/>
      </c>
      <c r="AJ424" t="str">
        <f>_xlfn.IFNA(IF(AE424 &lt; (INDEX(SLATable[Maximum SLA],MATCH(G424,SLATable[Priority],0))),"YES","NO"),"")</f>
        <v/>
      </c>
    </row>
    <row r="425" spans="26:36" ht="15" customHeight="1">
      <c r="Z425" s="76" t="e">
        <f t="shared" ca="1" si="44"/>
        <v>#N/A</v>
      </c>
      <c r="AA425" s="75" t="e">
        <f t="shared" ca="1" si="40"/>
        <v>#N/A</v>
      </c>
      <c r="AB425" s="76">
        <f t="shared" ca="1" si="45"/>
        <v>0</v>
      </c>
      <c r="AC425" s="75">
        <f t="shared" ca="1" si="41"/>
        <v>0</v>
      </c>
      <c r="AD425" s="76">
        <f t="shared" ca="1" si="46"/>
        <v>12388.425641203703</v>
      </c>
      <c r="AE425" s="76">
        <f t="shared" si="47"/>
        <v>0</v>
      </c>
      <c r="AF425" s="75">
        <f t="shared" si="42"/>
        <v>0</v>
      </c>
      <c r="AG425" s="75">
        <f t="shared" si="43"/>
        <v>0</v>
      </c>
      <c r="AH425" s="31" t="e" cm="1">
        <f t="array" aca="1" ref="AH425" ca="1">IF((AD425) &lt; (INDEX(ResponseSLA[#All],(MATCH((G425),ResponseSLA[Priority],0))+1,3)),"YES","No")</f>
        <v>#N/A</v>
      </c>
      <c r="AI425" s="31" t="str">
        <f>_xlfn.IFNA(IF(AE425 &lt; (INDEX(SLATable[Minimum SLA],MATCH(G425,SLATable[Priority],0))),"YES","NO"),"")</f>
        <v/>
      </c>
      <c r="AJ425" t="str">
        <f>_xlfn.IFNA(IF(AE425 &lt; (INDEX(SLATable[Maximum SLA],MATCH(G425,SLATable[Priority],0))),"YES","NO"),"")</f>
        <v/>
      </c>
    </row>
    <row r="426" spans="26:36" ht="15" customHeight="1">
      <c r="Z426" s="76" t="e">
        <f t="shared" ca="1" si="44"/>
        <v>#N/A</v>
      </c>
      <c r="AA426" s="75" t="e">
        <f t="shared" ca="1" si="40"/>
        <v>#N/A</v>
      </c>
      <c r="AB426" s="76">
        <f t="shared" ca="1" si="45"/>
        <v>0</v>
      </c>
      <c r="AC426" s="75">
        <f t="shared" ca="1" si="41"/>
        <v>0</v>
      </c>
      <c r="AD426" s="76">
        <f t="shared" ca="1" si="46"/>
        <v>12388.425641203703</v>
      </c>
      <c r="AE426" s="76">
        <f t="shared" si="47"/>
        <v>0</v>
      </c>
      <c r="AF426" s="75">
        <f t="shared" si="42"/>
        <v>0</v>
      </c>
      <c r="AG426" s="75">
        <f t="shared" si="43"/>
        <v>0</v>
      </c>
      <c r="AH426" s="31" t="e" cm="1">
        <f t="array" aca="1" ref="AH426" ca="1">IF((AD426) &lt; (INDEX(ResponseSLA[#All],(MATCH((G426),ResponseSLA[Priority],0))+1,3)),"YES","No")</f>
        <v>#N/A</v>
      </c>
      <c r="AI426" s="31" t="str">
        <f>_xlfn.IFNA(IF(AE426 &lt; (INDEX(SLATable[Minimum SLA],MATCH(G426,SLATable[Priority],0))),"YES","NO"),"")</f>
        <v/>
      </c>
      <c r="AJ426" t="str">
        <f>_xlfn.IFNA(IF(AE426 &lt; (INDEX(SLATable[Maximum SLA],MATCH(G426,SLATable[Priority],0))),"YES","NO"),"")</f>
        <v/>
      </c>
    </row>
    <row r="427" spans="26:36" ht="15" customHeight="1">
      <c r="Z427" s="76" t="e">
        <f t="shared" ca="1" si="44"/>
        <v>#N/A</v>
      </c>
      <c r="AA427" s="75" t="e">
        <f t="shared" ca="1" si="40"/>
        <v>#N/A</v>
      </c>
      <c r="AB427" s="76">
        <f t="shared" ca="1" si="45"/>
        <v>0</v>
      </c>
      <c r="AC427" s="75">
        <f t="shared" ca="1" si="41"/>
        <v>0</v>
      </c>
      <c r="AD427" s="76">
        <f t="shared" ca="1" si="46"/>
        <v>12388.425641435188</v>
      </c>
      <c r="AE427" s="76">
        <f t="shared" si="47"/>
        <v>0</v>
      </c>
      <c r="AF427" s="75">
        <f t="shared" si="42"/>
        <v>0</v>
      </c>
      <c r="AG427" s="75">
        <f t="shared" si="43"/>
        <v>0</v>
      </c>
      <c r="AH427" s="31" t="e" cm="1">
        <f t="array" aca="1" ref="AH427" ca="1">IF((AD427) &lt; (INDEX(ResponseSLA[#All],(MATCH((G427),ResponseSLA[Priority],0))+1,3)),"YES","No")</f>
        <v>#N/A</v>
      </c>
      <c r="AI427" s="31" t="str">
        <f>_xlfn.IFNA(IF(AE427 &lt; (INDEX(SLATable[Minimum SLA],MATCH(G427,SLATable[Priority],0))),"YES","NO"),"")</f>
        <v/>
      </c>
      <c r="AJ427" t="str">
        <f>_xlfn.IFNA(IF(AE427 &lt; (INDEX(SLATable[Maximum SLA],MATCH(G427,SLATable[Priority],0))),"YES","NO"),"")</f>
        <v/>
      </c>
    </row>
    <row r="428" spans="26:36" ht="15" customHeight="1">
      <c r="Z428" s="76" t="e">
        <f t="shared" ca="1" si="44"/>
        <v>#N/A</v>
      </c>
      <c r="AA428" s="75" t="e">
        <f t="shared" ca="1" si="40"/>
        <v>#N/A</v>
      </c>
      <c r="AB428" s="76">
        <f t="shared" ca="1" si="45"/>
        <v>0</v>
      </c>
      <c r="AC428" s="75">
        <f t="shared" ca="1" si="41"/>
        <v>0</v>
      </c>
      <c r="AD428" s="76">
        <f t="shared" ca="1" si="46"/>
        <v>12388.425641203703</v>
      </c>
      <c r="AE428" s="76">
        <f t="shared" si="47"/>
        <v>0</v>
      </c>
      <c r="AF428" s="75">
        <f t="shared" si="42"/>
        <v>0</v>
      </c>
      <c r="AG428" s="75">
        <f t="shared" si="43"/>
        <v>0</v>
      </c>
      <c r="AH428" s="31" t="e" cm="1">
        <f t="array" aca="1" ref="AH428" ca="1">IF((AD428) &lt; (INDEX(ResponseSLA[#All],(MATCH((G428),ResponseSLA[Priority],0))+1,3)),"YES","No")</f>
        <v>#N/A</v>
      </c>
      <c r="AI428" s="31" t="str">
        <f>_xlfn.IFNA(IF(AE428 &lt; (INDEX(SLATable[Minimum SLA],MATCH(G428,SLATable[Priority],0))),"YES","NO"),"")</f>
        <v/>
      </c>
      <c r="AJ428" t="str">
        <f>_xlfn.IFNA(IF(AE428 &lt; (INDEX(SLATable[Maximum SLA],MATCH(G428,SLATable[Priority],0))),"YES","NO"),"")</f>
        <v/>
      </c>
    </row>
    <row r="429" spans="26:36" ht="15" customHeight="1">
      <c r="Z429" s="76" t="e">
        <f t="shared" ca="1" si="44"/>
        <v>#N/A</v>
      </c>
      <c r="AA429" s="75" t="e">
        <f t="shared" ca="1" si="40"/>
        <v>#N/A</v>
      </c>
      <c r="AB429" s="76">
        <f t="shared" ca="1" si="45"/>
        <v>0</v>
      </c>
      <c r="AC429" s="75">
        <f t="shared" ca="1" si="41"/>
        <v>0</v>
      </c>
      <c r="AD429" s="76">
        <f t="shared" ca="1" si="46"/>
        <v>12388.425641203703</v>
      </c>
      <c r="AE429" s="76">
        <f t="shared" si="47"/>
        <v>0</v>
      </c>
      <c r="AF429" s="75">
        <f t="shared" si="42"/>
        <v>0</v>
      </c>
      <c r="AG429" s="75">
        <f t="shared" si="43"/>
        <v>0</v>
      </c>
      <c r="AH429" s="31" t="e" cm="1">
        <f t="array" aca="1" ref="AH429" ca="1">IF((AD429) &lt; (INDEX(ResponseSLA[#All],(MATCH((G429),ResponseSLA[Priority],0))+1,3)),"YES","No")</f>
        <v>#N/A</v>
      </c>
      <c r="AI429" s="31" t="str">
        <f>_xlfn.IFNA(IF(AE429 &lt; (INDEX(SLATable[Minimum SLA],MATCH(G429,SLATable[Priority],0))),"YES","NO"),"")</f>
        <v/>
      </c>
      <c r="AJ429" t="str">
        <f>_xlfn.IFNA(IF(AE429 &lt; (INDEX(SLATable[Maximum SLA],MATCH(G429,SLATable[Priority],0))),"YES","NO"),"")</f>
        <v/>
      </c>
    </row>
    <row r="430" spans="26:36" ht="15" customHeight="1">
      <c r="Z430" s="76" t="e">
        <f t="shared" ca="1" si="44"/>
        <v>#N/A</v>
      </c>
      <c r="AA430" s="75" t="e">
        <f t="shared" ca="1" si="40"/>
        <v>#N/A</v>
      </c>
      <c r="AB430" s="76">
        <f t="shared" ca="1" si="45"/>
        <v>0</v>
      </c>
      <c r="AC430" s="75">
        <f t="shared" ca="1" si="41"/>
        <v>0</v>
      </c>
      <c r="AD430" s="76">
        <f t="shared" ca="1" si="46"/>
        <v>12388.425641435188</v>
      </c>
      <c r="AE430" s="76">
        <f t="shared" si="47"/>
        <v>0</v>
      </c>
      <c r="AF430" s="75">
        <f t="shared" si="42"/>
        <v>0</v>
      </c>
      <c r="AG430" s="75">
        <f t="shared" si="43"/>
        <v>0</v>
      </c>
      <c r="AH430" s="31" t="e" cm="1">
        <f t="array" aca="1" ref="AH430" ca="1">IF((AD430) &lt; (INDEX(ResponseSLA[#All],(MATCH((G430),ResponseSLA[Priority],0))+1,3)),"YES","No")</f>
        <v>#N/A</v>
      </c>
      <c r="AI430" s="31" t="str">
        <f>_xlfn.IFNA(IF(AE430 &lt; (INDEX(SLATable[Minimum SLA],MATCH(G430,SLATable[Priority],0))),"YES","NO"),"")</f>
        <v/>
      </c>
      <c r="AJ430" t="str">
        <f>_xlfn.IFNA(IF(AE430 &lt; (INDEX(SLATable[Maximum SLA],MATCH(G430,SLATable[Priority],0))),"YES","NO"),"")</f>
        <v/>
      </c>
    </row>
    <row r="431" spans="26:36" ht="15" customHeight="1">
      <c r="Z431" s="76" t="e">
        <f t="shared" ca="1" si="44"/>
        <v>#N/A</v>
      </c>
      <c r="AA431" s="75" t="e">
        <f t="shared" ca="1" si="40"/>
        <v>#N/A</v>
      </c>
      <c r="AB431" s="76">
        <f t="shared" ca="1" si="45"/>
        <v>0</v>
      </c>
      <c r="AC431" s="75">
        <f t="shared" ca="1" si="41"/>
        <v>0</v>
      </c>
      <c r="AD431" s="76">
        <f t="shared" ca="1" si="46"/>
        <v>12388.425641203703</v>
      </c>
      <c r="AE431" s="76">
        <f t="shared" si="47"/>
        <v>0</v>
      </c>
      <c r="AF431" s="75">
        <f t="shared" si="42"/>
        <v>0</v>
      </c>
      <c r="AG431" s="75">
        <f t="shared" si="43"/>
        <v>0</v>
      </c>
      <c r="AH431" s="31" t="e" cm="1">
        <f t="array" aca="1" ref="AH431" ca="1">IF((AD431) &lt; (INDEX(ResponseSLA[#All],(MATCH((G431),ResponseSLA[Priority],0))+1,3)),"YES","No")</f>
        <v>#N/A</v>
      </c>
      <c r="AI431" s="31" t="str">
        <f>_xlfn.IFNA(IF(AE431 &lt; (INDEX(SLATable[Minimum SLA],MATCH(G431,SLATable[Priority],0))),"YES","NO"),"")</f>
        <v/>
      </c>
      <c r="AJ431" t="str">
        <f>_xlfn.IFNA(IF(AE431 &lt; (INDEX(SLATable[Maximum SLA],MATCH(G431,SLATable[Priority],0))),"YES","NO"),"")</f>
        <v/>
      </c>
    </row>
    <row r="432" spans="26:36" ht="15" customHeight="1">
      <c r="Z432" s="76" t="e">
        <f t="shared" ca="1" si="44"/>
        <v>#N/A</v>
      </c>
      <c r="AA432" s="75" t="e">
        <f t="shared" ca="1" si="40"/>
        <v>#N/A</v>
      </c>
      <c r="AB432" s="76">
        <f t="shared" ca="1" si="45"/>
        <v>0</v>
      </c>
      <c r="AC432" s="75">
        <f t="shared" ca="1" si="41"/>
        <v>0</v>
      </c>
      <c r="AD432" s="76">
        <f t="shared" ca="1" si="46"/>
        <v>12388.425641203703</v>
      </c>
      <c r="AE432" s="76">
        <f t="shared" si="47"/>
        <v>0</v>
      </c>
      <c r="AF432" s="75">
        <f t="shared" si="42"/>
        <v>0</v>
      </c>
      <c r="AG432" s="75">
        <f t="shared" si="43"/>
        <v>0</v>
      </c>
      <c r="AH432" s="31" t="e" cm="1">
        <f t="array" aca="1" ref="AH432" ca="1">IF((AD432) &lt; (INDEX(ResponseSLA[#All],(MATCH((G432),ResponseSLA[Priority],0))+1,3)),"YES","No")</f>
        <v>#N/A</v>
      </c>
      <c r="AI432" s="31" t="str">
        <f>_xlfn.IFNA(IF(AE432 &lt; (INDEX(SLATable[Minimum SLA],MATCH(G432,SLATable[Priority],0))),"YES","NO"),"")</f>
        <v/>
      </c>
      <c r="AJ432" t="str">
        <f>_xlfn.IFNA(IF(AE432 &lt; (INDEX(SLATable[Maximum SLA],MATCH(G432,SLATable[Priority],0))),"YES","NO"),"")</f>
        <v/>
      </c>
    </row>
    <row r="433" spans="26:36" ht="15" customHeight="1">
      <c r="Z433" s="76" t="e">
        <f t="shared" ca="1" si="44"/>
        <v>#N/A</v>
      </c>
      <c r="AA433" s="75" t="e">
        <f t="shared" ca="1" si="40"/>
        <v>#N/A</v>
      </c>
      <c r="AB433" s="76">
        <f t="shared" ca="1" si="45"/>
        <v>0</v>
      </c>
      <c r="AC433" s="75">
        <f t="shared" ca="1" si="41"/>
        <v>0</v>
      </c>
      <c r="AD433" s="76">
        <f t="shared" ca="1" si="46"/>
        <v>12388.425641435188</v>
      </c>
      <c r="AE433" s="76">
        <f t="shared" si="47"/>
        <v>0</v>
      </c>
      <c r="AF433" s="75">
        <f t="shared" si="42"/>
        <v>0</v>
      </c>
      <c r="AG433" s="75">
        <f t="shared" si="43"/>
        <v>0</v>
      </c>
      <c r="AH433" s="31" t="e" cm="1">
        <f t="array" aca="1" ref="AH433" ca="1">IF((AD433) &lt; (INDEX(ResponseSLA[#All],(MATCH((G433),ResponseSLA[Priority],0))+1,3)),"YES","No")</f>
        <v>#N/A</v>
      </c>
      <c r="AI433" s="31" t="str">
        <f>_xlfn.IFNA(IF(AE433 &lt; (INDEX(SLATable[Minimum SLA],MATCH(G433,SLATable[Priority],0))),"YES","NO"),"")</f>
        <v/>
      </c>
      <c r="AJ433" t="str">
        <f>_xlfn.IFNA(IF(AE433 &lt; (INDEX(SLATable[Maximum SLA],MATCH(G433,SLATable[Priority],0))),"YES","NO"),"")</f>
        <v/>
      </c>
    </row>
    <row r="434" spans="26:36" ht="15" customHeight="1">
      <c r="Z434" s="76" t="e">
        <f t="shared" ca="1" si="44"/>
        <v>#N/A</v>
      </c>
      <c r="AA434" s="75" t="e">
        <f t="shared" ca="1" si="40"/>
        <v>#N/A</v>
      </c>
      <c r="AB434" s="76">
        <f t="shared" ca="1" si="45"/>
        <v>0</v>
      </c>
      <c r="AC434" s="75">
        <f t="shared" ca="1" si="41"/>
        <v>0</v>
      </c>
      <c r="AD434" s="76">
        <f t="shared" ca="1" si="46"/>
        <v>12388.425641203703</v>
      </c>
      <c r="AE434" s="76">
        <f t="shared" si="47"/>
        <v>0</v>
      </c>
      <c r="AF434" s="75">
        <f t="shared" si="42"/>
        <v>0</v>
      </c>
      <c r="AG434" s="75">
        <f t="shared" si="43"/>
        <v>0</v>
      </c>
      <c r="AH434" s="31" t="e" cm="1">
        <f t="array" aca="1" ref="AH434" ca="1">IF((AD434) &lt; (INDEX(ResponseSLA[#All],(MATCH((G434),ResponseSLA[Priority],0))+1,3)),"YES","No")</f>
        <v>#N/A</v>
      </c>
      <c r="AI434" s="31" t="str">
        <f>_xlfn.IFNA(IF(AE434 &lt; (INDEX(SLATable[Minimum SLA],MATCH(G434,SLATable[Priority],0))),"YES","NO"),"")</f>
        <v/>
      </c>
      <c r="AJ434" t="str">
        <f>_xlfn.IFNA(IF(AE434 &lt; (INDEX(SLATable[Maximum SLA],MATCH(G434,SLATable[Priority],0))),"YES","NO"),"")</f>
        <v/>
      </c>
    </row>
    <row r="435" spans="26:36" ht="15" customHeight="1">
      <c r="Z435" s="76" t="e">
        <f t="shared" ca="1" si="44"/>
        <v>#N/A</v>
      </c>
      <c r="AA435" s="75" t="e">
        <f t="shared" ca="1" si="40"/>
        <v>#N/A</v>
      </c>
      <c r="AB435" s="76">
        <f t="shared" ca="1" si="45"/>
        <v>0</v>
      </c>
      <c r="AC435" s="75">
        <f t="shared" ca="1" si="41"/>
        <v>0</v>
      </c>
      <c r="AD435" s="76">
        <f t="shared" ca="1" si="46"/>
        <v>12388.425641203703</v>
      </c>
      <c r="AE435" s="76">
        <f t="shared" si="47"/>
        <v>0</v>
      </c>
      <c r="AF435" s="75">
        <f t="shared" si="42"/>
        <v>0</v>
      </c>
      <c r="AG435" s="75">
        <f t="shared" si="43"/>
        <v>0</v>
      </c>
      <c r="AH435" s="31" t="e" cm="1">
        <f t="array" aca="1" ref="AH435" ca="1">IF((AD435) &lt; (INDEX(ResponseSLA[#All],(MATCH((G435),ResponseSLA[Priority],0))+1,3)),"YES","No")</f>
        <v>#N/A</v>
      </c>
      <c r="AI435" s="31" t="str">
        <f>_xlfn.IFNA(IF(AE435 &lt; (INDEX(SLATable[Minimum SLA],MATCH(G435,SLATable[Priority],0))),"YES","NO"),"")</f>
        <v/>
      </c>
      <c r="AJ435" t="str">
        <f>_xlfn.IFNA(IF(AE435 &lt; (INDEX(SLATable[Maximum SLA],MATCH(G435,SLATable[Priority],0))),"YES","NO"),"")</f>
        <v/>
      </c>
    </row>
    <row r="436" spans="26:36" ht="15" customHeight="1">
      <c r="Z436" s="76" t="e">
        <f t="shared" ca="1" si="44"/>
        <v>#N/A</v>
      </c>
      <c r="AA436" s="75" t="e">
        <f t="shared" ca="1" si="40"/>
        <v>#N/A</v>
      </c>
      <c r="AB436" s="76">
        <f t="shared" ca="1" si="45"/>
        <v>0</v>
      </c>
      <c r="AC436" s="75">
        <f t="shared" ca="1" si="41"/>
        <v>0</v>
      </c>
      <c r="AD436" s="76">
        <f t="shared" ca="1" si="46"/>
        <v>12388.425641435188</v>
      </c>
      <c r="AE436" s="76">
        <f t="shared" si="47"/>
        <v>0</v>
      </c>
      <c r="AF436" s="75">
        <f t="shared" si="42"/>
        <v>0</v>
      </c>
      <c r="AG436" s="75">
        <f t="shared" si="43"/>
        <v>0</v>
      </c>
      <c r="AH436" s="31" t="e" cm="1">
        <f t="array" aca="1" ref="AH436" ca="1">IF((AD436) &lt; (INDEX(ResponseSLA[#All],(MATCH((G436),ResponseSLA[Priority],0))+1,3)),"YES","No")</f>
        <v>#N/A</v>
      </c>
      <c r="AI436" s="31" t="str">
        <f>_xlfn.IFNA(IF(AE436 &lt; (INDEX(SLATable[Minimum SLA],MATCH(G436,SLATable[Priority],0))),"YES","NO"),"")</f>
        <v/>
      </c>
      <c r="AJ436" t="str">
        <f>_xlfn.IFNA(IF(AE436 &lt; (INDEX(SLATable[Maximum SLA],MATCH(G436,SLATable[Priority],0))),"YES","NO"),"")</f>
        <v/>
      </c>
    </row>
    <row r="437" spans="26:36" ht="15" customHeight="1">
      <c r="Z437" s="76" t="e">
        <f t="shared" ca="1" si="44"/>
        <v>#N/A</v>
      </c>
      <c r="AA437" s="75" t="e">
        <f t="shared" ca="1" si="40"/>
        <v>#N/A</v>
      </c>
      <c r="AB437" s="76">
        <f t="shared" ca="1" si="45"/>
        <v>0</v>
      </c>
      <c r="AC437" s="75">
        <f t="shared" ca="1" si="41"/>
        <v>0</v>
      </c>
      <c r="AD437" s="76">
        <f t="shared" ca="1" si="46"/>
        <v>12388.425641203703</v>
      </c>
      <c r="AE437" s="76">
        <f t="shared" si="47"/>
        <v>0</v>
      </c>
      <c r="AF437" s="75">
        <f t="shared" si="42"/>
        <v>0</v>
      </c>
      <c r="AG437" s="75">
        <f t="shared" si="43"/>
        <v>0</v>
      </c>
      <c r="AH437" s="31" t="e" cm="1">
        <f t="array" aca="1" ref="AH437" ca="1">IF((AD437) &lt; (INDEX(ResponseSLA[#All],(MATCH((G437),ResponseSLA[Priority],0))+1,3)),"YES","No")</f>
        <v>#N/A</v>
      </c>
      <c r="AI437" s="31" t="str">
        <f>_xlfn.IFNA(IF(AE437 &lt; (INDEX(SLATable[Minimum SLA],MATCH(G437,SLATable[Priority],0))),"YES","NO"),"")</f>
        <v/>
      </c>
      <c r="AJ437" t="str">
        <f>_xlfn.IFNA(IF(AE437 &lt; (INDEX(SLATable[Maximum SLA],MATCH(G437,SLATable[Priority],0))),"YES","NO"),"")</f>
        <v/>
      </c>
    </row>
    <row r="438" spans="26:36" ht="15" customHeight="1">
      <c r="Z438" s="76" t="e">
        <f t="shared" ca="1" si="44"/>
        <v>#N/A</v>
      </c>
      <c r="AA438" s="75" t="e">
        <f t="shared" ca="1" si="40"/>
        <v>#N/A</v>
      </c>
      <c r="AB438" s="76">
        <f t="shared" ca="1" si="45"/>
        <v>0</v>
      </c>
      <c r="AC438" s="75">
        <f t="shared" ca="1" si="41"/>
        <v>0</v>
      </c>
      <c r="AD438" s="76">
        <f t="shared" ca="1" si="46"/>
        <v>12388.425641203703</v>
      </c>
      <c r="AE438" s="76">
        <f t="shared" si="47"/>
        <v>0</v>
      </c>
      <c r="AF438" s="75">
        <f t="shared" si="42"/>
        <v>0</v>
      </c>
      <c r="AG438" s="75">
        <f t="shared" si="43"/>
        <v>0</v>
      </c>
      <c r="AH438" s="31" t="e" cm="1">
        <f t="array" aca="1" ref="AH438" ca="1">IF((AD438) &lt; (INDEX(ResponseSLA[#All],(MATCH((G438),ResponseSLA[Priority],0))+1,3)),"YES","No")</f>
        <v>#N/A</v>
      </c>
      <c r="AI438" s="31" t="str">
        <f>_xlfn.IFNA(IF(AE438 &lt; (INDEX(SLATable[Minimum SLA],MATCH(G438,SLATable[Priority],0))),"YES","NO"),"")</f>
        <v/>
      </c>
      <c r="AJ438" t="str">
        <f>_xlfn.IFNA(IF(AE438 &lt; (INDEX(SLATable[Maximum SLA],MATCH(G438,SLATable[Priority],0))),"YES","NO"),"")</f>
        <v/>
      </c>
    </row>
    <row r="439" spans="26:36" ht="15" customHeight="1">
      <c r="Z439" s="76" t="e">
        <f t="shared" ca="1" si="44"/>
        <v>#N/A</v>
      </c>
      <c r="AA439" s="75" t="e">
        <f t="shared" ca="1" si="40"/>
        <v>#N/A</v>
      </c>
      <c r="AB439" s="76">
        <f t="shared" ca="1" si="45"/>
        <v>0</v>
      </c>
      <c r="AC439" s="75">
        <f t="shared" ca="1" si="41"/>
        <v>0</v>
      </c>
      <c r="AD439" s="76">
        <f t="shared" ca="1" si="46"/>
        <v>12388.425641435188</v>
      </c>
      <c r="AE439" s="76">
        <f t="shared" si="47"/>
        <v>0</v>
      </c>
      <c r="AF439" s="75">
        <f t="shared" si="42"/>
        <v>0</v>
      </c>
      <c r="AG439" s="75">
        <f t="shared" si="43"/>
        <v>0</v>
      </c>
      <c r="AH439" s="31" t="e" cm="1">
        <f t="array" aca="1" ref="AH439" ca="1">IF((AD439) &lt; (INDEX(ResponseSLA[#All],(MATCH((G439),ResponseSLA[Priority],0))+1,3)),"YES","No")</f>
        <v>#N/A</v>
      </c>
      <c r="AI439" s="31" t="str">
        <f>_xlfn.IFNA(IF(AE439 &lt; (INDEX(SLATable[Minimum SLA],MATCH(G439,SLATable[Priority],0))),"YES","NO"),"")</f>
        <v/>
      </c>
      <c r="AJ439" t="str">
        <f>_xlfn.IFNA(IF(AE439 &lt; (INDEX(SLATable[Maximum SLA],MATCH(G439,SLATable[Priority],0))),"YES","NO"),"")</f>
        <v/>
      </c>
    </row>
    <row r="440" spans="26:36" ht="15" customHeight="1">
      <c r="Z440" s="76" t="e">
        <f t="shared" ca="1" si="44"/>
        <v>#N/A</v>
      </c>
      <c r="AA440" s="75" t="e">
        <f t="shared" ca="1" si="40"/>
        <v>#N/A</v>
      </c>
      <c r="AB440" s="76">
        <f t="shared" ca="1" si="45"/>
        <v>0</v>
      </c>
      <c r="AC440" s="75">
        <f t="shared" ca="1" si="41"/>
        <v>0</v>
      </c>
      <c r="AD440" s="76">
        <f t="shared" ca="1" si="46"/>
        <v>12388.425641203703</v>
      </c>
      <c r="AE440" s="76">
        <f t="shared" si="47"/>
        <v>0</v>
      </c>
      <c r="AF440" s="75">
        <f t="shared" si="42"/>
        <v>0</v>
      </c>
      <c r="AG440" s="75">
        <f t="shared" si="43"/>
        <v>0</v>
      </c>
      <c r="AH440" s="31" t="e" cm="1">
        <f t="array" aca="1" ref="AH440" ca="1">IF((AD440) &lt; (INDEX(ResponseSLA[#All],(MATCH((G440),ResponseSLA[Priority],0))+1,3)),"YES","No")</f>
        <v>#N/A</v>
      </c>
      <c r="AI440" s="31" t="str">
        <f>_xlfn.IFNA(IF(AE440 &lt; (INDEX(SLATable[Minimum SLA],MATCH(G440,SLATable[Priority],0))),"YES","NO"),"")</f>
        <v/>
      </c>
      <c r="AJ440" t="str">
        <f>_xlfn.IFNA(IF(AE440 &lt; (INDEX(SLATable[Maximum SLA],MATCH(G440,SLATable[Priority],0))),"YES","NO"),"")</f>
        <v/>
      </c>
    </row>
    <row r="441" spans="26:36" ht="15" customHeight="1">
      <c r="Z441" s="76" t="e">
        <f t="shared" ca="1" si="44"/>
        <v>#N/A</v>
      </c>
      <c r="AA441" s="75" t="e">
        <f t="shared" ca="1" si="40"/>
        <v>#N/A</v>
      </c>
      <c r="AB441" s="76">
        <f t="shared" ca="1" si="45"/>
        <v>0</v>
      </c>
      <c r="AC441" s="75">
        <f t="shared" ca="1" si="41"/>
        <v>0</v>
      </c>
      <c r="AD441" s="76">
        <f t="shared" ca="1" si="46"/>
        <v>12388.425641203703</v>
      </c>
      <c r="AE441" s="76">
        <f t="shared" si="47"/>
        <v>0</v>
      </c>
      <c r="AF441" s="75">
        <f t="shared" si="42"/>
        <v>0</v>
      </c>
      <c r="AG441" s="75">
        <f t="shared" si="43"/>
        <v>0</v>
      </c>
      <c r="AH441" s="31" t="e" cm="1">
        <f t="array" aca="1" ref="AH441" ca="1">IF((AD441) &lt; (INDEX(ResponseSLA[#All],(MATCH((G441),ResponseSLA[Priority],0))+1,3)),"YES","No")</f>
        <v>#N/A</v>
      </c>
      <c r="AI441" s="31" t="str">
        <f>_xlfn.IFNA(IF(AE441 &lt; (INDEX(SLATable[Minimum SLA],MATCH(G441,SLATable[Priority],0))),"YES","NO"),"")</f>
        <v/>
      </c>
      <c r="AJ441" t="str">
        <f>_xlfn.IFNA(IF(AE441 &lt; (INDEX(SLATable[Maximum SLA],MATCH(G441,SLATable[Priority],0))),"YES","NO"),"")</f>
        <v/>
      </c>
    </row>
    <row r="442" spans="26:36" ht="15" customHeight="1">
      <c r="Z442" s="76" t="e">
        <f t="shared" ca="1" si="44"/>
        <v>#N/A</v>
      </c>
      <c r="AA442" s="75" t="e">
        <f t="shared" ca="1" si="40"/>
        <v>#N/A</v>
      </c>
      <c r="AB442" s="76">
        <f t="shared" ca="1" si="45"/>
        <v>0</v>
      </c>
      <c r="AC442" s="75">
        <f t="shared" ca="1" si="41"/>
        <v>0</v>
      </c>
      <c r="AD442" s="76">
        <f t="shared" ca="1" si="46"/>
        <v>12388.425641435188</v>
      </c>
      <c r="AE442" s="76">
        <f t="shared" si="47"/>
        <v>0</v>
      </c>
      <c r="AF442" s="75">
        <f t="shared" si="42"/>
        <v>0</v>
      </c>
      <c r="AG442" s="75">
        <f t="shared" si="43"/>
        <v>0</v>
      </c>
      <c r="AH442" s="31" t="e" cm="1">
        <f t="array" aca="1" ref="AH442" ca="1">IF((AD442) &lt; (INDEX(ResponseSLA[#All],(MATCH((G442),ResponseSLA[Priority],0))+1,3)),"YES","No")</f>
        <v>#N/A</v>
      </c>
      <c r="AI442" s="31" t="str">
        <f>_xlfn.IFNA(IF(AE442 &lt; (INDEX(SLATable[Minimum SLA],MATCH(G442,SLATable[Priority],0))),"YES","NO"),"")</f>
        <v/>
      </c>
      <c r="AJ442" t="str">
        <f>_xlfn.IFNA(IF(AE442 &lt; (INDEX(SLATable[Maximum SLA],MATCH(G442,SLATable[Priority],0))),"YES","NO"),"")</f>
        <v/>
      </c>
    </row>
    <row r="443" spans="26:36" ht="15" customHeight="1">
      <c r="Z443" s="76" t="e">
        <f t="shared" ca="1" si="44"/>
        <v>#N/A</v>
      </c>
      <c r="AA443" s="75" t="e">
        <f t="shared" ca="1" si="40"/>
        <v>#N/A</v>
      </c>
      <c r="AB443" s="76">
        <f t="shared" ca="1" si="45"/>
        <v>0</v>
      </c>
      <c r="AC443" s="75">
        <f t="shared" ca="1" si="41"/>
        <v>0</v>
      </c>
      <c r="AD443" s="76">
        <f t="shared" ca="1" si="46"/>
        <v>12388.425641203703</v>
      </c>
      <c r="AE443" s="76">
        <f t="shared" si="47"/>
        <v>0</v>
      </c>
      <c r="AF443" s="75">
        <f t="shared" si="42"/>
        <v>0</v>
      </c>
      <c r="AG443" s="75">
        <f t="shared" si="43"/>
        <v>0</v>
      </c>
      <c r="AH443" s="31" t="e" cm="1">
        <f t="array" aca="1" ref="AH443" ca="1">IF((AD443) &lt; (INDEX(ResponseSLA[#All],(MATCH((G443),ResponseSLA[Priority],0))+1,3)),"YES","No")</f>
        <v>#N/A</v>
      </c>
      <c r="AI443" s="31" t="str">
        <f>_xlfn.IFNA(IF(AE443 &lt; (INDEX(SLATable[Minimum SLA],MATCH(G443,SLATable[Priority],0))),"YES","NO"),"")</f>
        <v/>
      </c>
      <c r="AJ443" t="str">
        <f>_xlfn.IFNA(IF(AE443 &lt; (INDEX(SLATable[Maximum SLA],MATCH(G443,SLATable[Priority],0))),"YES","NO"),"")</f>
        <v/>
      </c>
    </row>
    <row r="444" spans="26:36" ht="15" customHeight="1">
      <c r="Z444" s="76" t="e">
        <f t="shared" ca="1" si="44"/>
        <v>#N/A</v>
      </c>
      <c r="AA444" s="75" t="e">
        <f t="shared" ca="1" si="40"/>
        <v>#N/A</v>
      </c>
      <c r="AB444" s="76">
        <f t="shared" ca="1" si="45"/>
        <v>0</v>
      </c>
      <c r="AC444" s="75">
        <f t="shared" ca="1" si="41"/>
        <v>0</v>
      </c>
      <c r="AD444" s="76">
        <f t="shared" ca="1" si="46"/>
        <v>12388.425641203703</v>
      </c>
      <c r="AE444" s="76">
        <f t="shared" si="47"/>
        <v>0</v>
      </c>
      <c r="AF444" s="75">
        <f t="shared" si="42"/>
        <v>0</v>
      </c>
      <c r="AG444" s="75">
        <f t="shared" si="43"/>
        <v>0</v>
      </c>
      <c r="AH444" s="31" t="e" cm="1">
        <f t="array" aca="1" ref="AH444" ca="1">IF((AD444) &lt; (INDEX(ResponseSLA[#All],(MATCH((G444),ResponseSLA[Priority],0))+1,3)),"YES","No")</f>
        <v>#N/A</v>
      </c>
      <c r="AI444" s="31" t="str">
        <f>_xlfn.IFNA(IF(AE444 &lt; (INDEX(SLATable[Minimum SLA],MATCH(G444,SLATable[Priority],0))),"YES","NO"),"")</f>
        <v/>
      </c>
      <c r="AJ444" t="str">
        <f>_xlfn.IFNA(IF(AE444 &lt; (INDEX(SLATable[Maximum SLA],MATCH(G444,SLATable[Priority],0))),"YES","NO"),"")</f>
        <v/>
      </c>
    </row>
    <row r="445" spans="26:36" ht="15" customHeight="1">
      <c r="Z445" s="76" t="e">
        <f t="shared" ca="1" si="44"/>
        <v>#N/A</v>
      </c>
      <c r="AA445" s="75" t="e">
        <f t="shared" ca="1" si="40"/>
        <v>#N/A</v>
      </c>
      <c r="AB445" s="76">
        <f t="shared" ca="1" si="45"/>
        <v>0</v>
      </c>
      <c r="AC445" s="75">
        <f t="shared" ca="1" si="41"/>
        <v>0</v>
      </c>
      <c r="AD445" s="76">
        <f t="shared" ca="1" si="46"/>
        <v>12388.425641435188</v>
      </c>
      <c r="AE445" s="76">
        <f t="shared" si="47"/>
        <v>0</v>
      </c>
      <c r="AF445" s="75">
        <f t="shared" si="42"/>
        <v>0</v>
      </c>
      <c r="AG445" s="75">
        <f t="shared" si="43"/>
        <v>0</v>
      </c>
      <c r="AH445" s="31" t="e" cm="1">
        <f t="array" aca="1" ref="AH445" ca="1">IF((AD445) &lt; (INDEX(ResponseSLA[#All],(MATCH((G445),ResponseSLA[Priority],0))+1,3)),"YES","No")</f>
        <v>#N/A</v>
      </c>
      <c r="AI445" s="31" t="str">
        <f>_xlfn.IFNA(IF(AE445 &lt; (INDEX(SLATable[Minimum SLA],MATCH(G445,SLATable[Priority],0))),"YES","NO"),"")</f>
        <v/>
      </c>
      <c r="AJ445" t="str">
        <f>_xlfn.IFNA(IF(AE445 &lt; (INDEX(SLATable[Maximum SLA],MATCH(G445,SLATable[Priority],0))),"YES","NO"),"")</f>
        <v/>
      </c>
    </row>
    <row r="446" spans="26:36" ht="15" customHeight="1">
      <c r="Z446" s="76" t="e">
        <f t="shared" ca="1" si="44"/>
        <v>#N/A</v>
      </c>
      <c r="AA446" s="75" t="e">
        <f t="shared" ca="1" si="40"/>
        <v>#N/A</v>
      </c>
      <c r="AB446" s="76">
        <f t="shared" ca="1" si="45"/>
        <v>0</v>
      </c>
      <c r="AC446" s="75">
        <f t="shared" ca="1" si="41"/>
        <v>0</v>
      </c>
      <c r="AD446" s="76">
        <f t="shared" ca="1" si="46"/>
        <v>12388.425641203703</v>
      </c>
      <c r="AE446" s="76">
        <f t="shared" si="47"/>
        <v>0</v>
      </c>
      <c r="AF446" s="75">
        <f t="shared" si="42"/>
        <v>0</v>
      </c>
      <c r="AG446" s="75">
        <f t="shared" si="43"/>
        <v>0</v>
      </c>
      <c r="AH446" s="31" t="e" cm="1">
        <f t="array" aca="1" ref="AH446" ca="1">IF((AD446) &lt; (INDEX(ResponseSLA[#All],(MATCH((G446),ResponseSLA[Priority],0))+1,3)),"YES","No")</f>
        <v>#N/A</v>
      </c>
      <c r="AI446" s="31" t="str">
        <f>_xlfn.IFNA(IF(AE446 &lt; (INDEX(SLATable[Minimum SLA],MATCH(G446,SLATable[Priority],0))),"YES","NO"),"")</f>
        <v/>
      </c>
      <c r="AJ446" t="str">
        <f>_xlfn.IFNA(IF(AE446 &lt; (INDEX(SLATable[Maximum SLA],MATCH(G446,SLATable[Priority],0))),"YES","NO"),"")</f>
        <v/>
      </c>
    </row>
    <row r="447" spans="26:36" ht="15" customHeight="1">
      <c r="Z447" s="76" t="e">
        <f t="shared" ca="1" si="44"/>
        <v>#N/A</v>
      </c>
      <c r="AA447" s="75" t="e">
        <f t="shared" ca="1" si="40"/>
        <v>#N/A</v>
      </c>
      <c r="AB447" s="76">
        <f t="shared" ca="1" si="45"/>
        <v>0</v>
      </c>
      <c r="AC447" s="75">
        <f t="shared" ca="1" si="41"/>
        <v>0</v>
      </c>
      <c r="AD447" s="76">
        <f t="shared" ca="1" si="46"/>
        <v>12388.425641203703</v>
      </c>
      <c r="AE447" s="76">
        <f t="shared" si="47"/>
        <v>0</v>
      </c>
      <c r="AF447" s="75">
        <f t="shared" si="42"/>
        <v>0</v>
      </c>
      <c r="AG447" s="75">
        <f t="shared" si="43"/>
        <v>0</v>
      </c>
      <c r="AH447" s="31" t="e" cm="1">
        <f t="array" aca="1" ref="AH447" ca="1">IF((AD447) &lt; (INDEX(ResponseSLA[#All],(MATCH((G447),ResponseSLA[Priority],0))+1,3)),"YES","No")</f>
        <v>#N/A</v>
      </c>
      <c r="AI447" s="31" t="str">
        <f>_xlfn.IFNA(IF(AE447 &lt; (INDEX(SLATable[Minimum SLA],MATCH(G447,SLATable[Priority],0))),"YES","NO"),"")</f>
        <v/>
      </c>
      <c r="AJ447" t="str">
        <f>_xlfn.IFNA(IF(AE447 &lt; (INDEX(SLATable[Maximum SLA],MATCH(G447,SLATable[Priority],0))),"YES","NO"),"")</f>
        <v/>
      </c>
    </row>
    <row r="448" spans="26:36" ht="15" customHeight="1">
      <c r="Z448" s="76" t="e">
        <f t="shared" ca="1" si="44"/>
        <v>#N/A</v>
      </c>
      <c r="AA448" s="75" t="e">
        <f t="shared" ca="1" si="40"/>
        <v>#N/A</v>
      </c>
      <c r="AB448" s="76">
        <f t="shared" ca="1" si="45"/>
        <v>0</v>
      </c>
      <c r="AC448" s="75">
        <f t="shared" ca="1" si="41"/>
        <v>0</v>
      </c>
      <c r="AD448" s="76">
        <f t="shared" ca="1" si="46"/>
        <v>12388.425641435188</v>
      </c>
      <c r="AE448" s="76">
        <f t="shared" si="47"/>
        <v>0</v>
      </c>
      <c r="AF448" s="75">
        <f t="shared" si="42"/>
        <v>0</v>
      </c>
      <c r="AG448" s="75">
        <f t="shared" si="43"/>
        <v>0</v>
      </c>
      <c r="AH448" s="31" t="e" cm="1">
        <f t="array" aca="1" ref="AH448" ca="1">IF((AD448) &lt; (INDEX(ResponseSLA[#All],(MATCH((G448),ResponseSLA[Priority],0))+1,3)),"YES","No")</f>
        <v>#N/A</v>
      </c>
      <c r="AI448" s="31" t="str">
        <f>_xlfn.IFNA(IF(AE448 &lt; (INDEX(SLATable[Minimum SLA],MATCH(G448,SLATable[Priority],0))),"YES","NO"),"")</f>
        <v/>
      </c>
      <c r="AJ448" t="str">
        <f>_xlfn.IFNA(IF(AE448 &lt; (INDEX(SLATable[Maximum SLA],MATCH(G448,SLATable[Priority],0))),"YES","NO"),"")</f>
        <v/>
      </c>
    </row>
    <row r="449" spans="26:36" ht="15" customHeight="1">
      <c r="Z449" s="76" t="e">
        <f t="shared" ca="1" si="44"/>
        <v>#N/A</v>
      </c>
      <c r="AA449" s="75" t="e">
        <f t="shared" ref="AA449:AA500" ca="1" si="48">(Z449*24)/9</f>
        <v>#N/A</v>
      </c>
      <c r="AB449" s="76">
        <f t="shared" ca="1" si="45"/>
        <v>0</v>
      </c>
      <c r="AC449" s="75">
        <f t="shared" ref="AC449:AC500" ca="1" si="49">(AB449*24)/9</f>
        <v>0</v>
      </c>
      <c r="AD449" s="76">
        <f t="shared" ca="1" si="46"/>
        <v>12388.425641203703</v>
      </c>
      <c r="AE449" s="76">
        <f t="shared" si="47"/>
        <v>0</v>
      </c>
      <c r="AF449" s="75">
        <f t="shared" ref="AF449:AF500" si="50">(AE449*24)/9</f>
        <v>0</v>
      </c>
      <c r="AG449" s="75">
        <f t="shared" ref="AG449:AG500" si="51">AF449</f>
        <v>0</v>
      </c>
      <c r="AH449" s="31" t="e" cm="1">
        <f t="array" aca="1" ref="AH449" ca="1">IF((AD449) &lt; (INDEX(ResponseSLA[#All],(MATCH((G449),ResponseSLA[Priority],0))+1,3)),"YES","No")</f>
        <v>#N/A</v>
      </c>
      <c r="AI449" s="31" t="str">
        <f>_xlfn.IFNA(IF(AE449 &lt; (INDEX(SLATable[Minimum SLA],MATCH(G449,SLATable[Priority],0))),"YES","NO"),"")</f>
        <v/>
      </c>
      <c r="AJ449" t="str">
        <f>_xlfn.IFNA(IF(AE449 &lt; (INDEX(SLATable[Maximum SLA],MATCH(G449,SLATable[Priority],0))),"YES","NO"),"")</f>
        <v/>
      </c>
    </row>
    <row r="450" spans="26:36" ht="15" customHeight="1">
      <c r="Z450" s="76" t="e">
        <f t="shared" ca="1" si="44"/>
        <v>#N/A</v>
      </c>
      <c r="AA450" s="75" t="e">
        <f t="shared" ca="1" si="48"/>
        <v>#N/A</v>
      </c>
      <c r="AB450" s="76">
        <f t="shared" ca="1" si="45"/>
        <v>0</v>
      </c>
      <c r="AC450" s="75">
        <f t="shared" ca="1" si="49"/>
        <v>0</v>
      </c>
      <c r="AD450" s="76">
        <f t="shared" ca="1" si="46"/>
        <v>12388.425641203703</v>
      </c>
      <c r="AE450" s="76">
        <f t="shared" si="47"/>
        <v>0</v>
      </c>
      <c r="AF450" s="75">
        <f t="shared" si="50"/>
        <v>0</v>
      </c>
      <c r="AG450" s="75">
        <f t="shared" si="51"/>
        <v>0</v>
      </c>
      <c r="AH450" s="31" t="e" cm="1">
        <f t="array" aca="1" ref="AH450" ca="1">IF((AD450) &lt; (INDEX(ResponseSLA[#All],(MATCH((G450),ResponseSLA[Priority],0))+1,3)),"YES","No")</f>
        <v>#N/A</v>
      </c>
      <c r="AI450" s="31" t="str">
        <f>_xlfn.IFNA(IF(AE450 &lt; (INDEX(SLATable[Minimum SLA],MATCH(G450,SLATable[Priority],0))),"YES","NO"),"")</f>
        <v/>
      </c>
      <c r="AJ450" t="str">
        <f>_xlfn.IFNA(IF(AE450 &lt; (INDEX(SLATable[Maximum SLA],MATCH(G450,SLATable[Priority],0))),"YES","NO"),"")</f>
        <v/>
      </c>
    </row>
    <row r="451" spans="26:36" ht="15" customHeight="1">
      <c r="Z451" s="76" t="e">
        <f t="shared" ref="Z451:Z500" ca="1" si="52">IF(NOT(OR(G451=1,G451=2)),MAX(0,_xlfn.IFS(AND(K451&lt;&gt;"",N451&lt;&gt;""),((MAX(NETWORKDAYS(K451,N451,UKBankHolidays)-1,0))*(TIME(17,0,0)-TIME(8,0,0))+IF(NETWORKDAYS(N451,N451,UKBankHolidays)&gt;0,MEDIAN(TIME(8,0,0),MOD(N451,1),TIME(17,0,0)),TIME(8,0,0))-IF(NETWORKDAYS(K451,K451,UKBankHolidays)&gt;0,MEDIAN(TIME(8,0,0),MOD(K451,1),TIME(17,0,0)),TIME(8,0,0)))-IF(AND(O451&lt;&gt;"",P451&lt;&gt;""),((MAX(NETWORKDAYS(O451,P451,UKBankHolidays)-1,0))*(TIME(17,0,0)-TIME(8,0,0))+IF(NETWORKDAYS(P451,P451,UKBankHolidays)&gt;0,MEDIAN(TIME(8,0,0),MOD(P451,1),TIME(17,0,0)),TIME(8,0,0))-IF(NETWORKDAYS(O451,O451,UKBankHolidays)&gt;0,MEDIAN(TIME(8,0,0),MOD(O451,1),TIME(17,0,0)),TIME(8,0,0))),0),AND(K451&lt;&gt;"",N451=""),((MAX(NETWORKDAYS(K451,NOW(),UKBankHolidays)-1,0))*(TIME(17,0,0)-TIME(8,0,0))+IF(NETWORKDAYS(NOW(),NOW(),UKBankHolidays)&gt;0,MEDIAN(TIME(8,0,0),MOD(NOW(),1),TIME(17,0,0)),TIME(8,0,0))-IF(NETWORKDAYS(K451,K451,UKBankHolidays)&gt;0,MEDIAN(TIME(8,0,0),MOD(K451,1),TIME(17,0,0)),TIME(8,0,0))))),IF(N451="",NOW()-K451,N451-K451))</f>
        <v>#N/A</v>
      </c>
      <c r="AA451" s="75" t="e">
        <f t="shared" ca="1" si="48"/>
        <v>#N/A</v>
      </c>
      <c r="AB451" s="76">
        <f t="shared" ref="AB451:AB500" ca="1" si="53">IF(NOT(OR(G451=1,G451=2)),MAX(0,_xlfn.IFS(AND(K451&lt;&gt;"",N451&lt;&gt;""),(((MAX(NETWORKDAYS(L451,N451,UKBankHolidays)-1,0))*(TIME(17,0,0)-TIME(8,0,0)))+IF(NETWORKDAYS(N451,N451,UKBankHolidays)&gt;0,MEDIAN(TIME(8,0,0),MOD(N451,1),TIME(17,0,0)),TIME(8,0,0))-IF(NETWORKDAYS(L451,L451,UKBankHolidays)&gt;0,MEDIAN(TIME(8,0,0),MOD(L451,1),TIME(17,0,0)),TIME(8,0,0)))-IF(AND(O451&lt;&gt;"",P451&lt;&gt;""),(((MAX(NETWORKDAYS(O451,P451,UKBankHolidays)-1,0))*(TIME(17,0,0)-TIME(8,0,0)))+IF(NETWORKDAYS(P451,P451,UKBankHolidays)&gt;0,MEDIAN(TIME(8,0,0),MOD(P451,1),TIME(17,0,0)),TIME(8,0,0))-IF(NETWORKDAYS(O451,O451,UKBankHolidays)&gt;0,MEDIAN(TIME(8,0,0),MOD(O451,1),TIME(17,0,0)),TIME(8,0,0))),0),AND(L451&lt;&gt;"",N451="",O451=""),(((MAX(NETWORKDAYS(L451,NOW(),UKBankHolidays)-1,0))*(TIME(17,0,0)-TIME(8,0,0)))+IF(NETWORKDAYS(NOW(),NOW(),UKBankHolidays)&gt;0,MEDIAN(TIME(8,0,0),MOD(NOW(),1),TIME(17,0,0)),TIME(8,0,0))-IF(NETWORKDAYS(L451,L451,UKBankHolidays)&gt;0,MEDIAN(TIME(8,0,0),MOD(L451,1),TIME(17,0,0)),TIME(8,0,0)))-IF(AND(O451&lt;&gt;"",P451&lt;&gt;""),(((MAX(NETWORKDAYS(O451,P451,UKBankHolidays)-1,0))*(TIME(17,0,0)-TIME(8,0,0)))+IF(NETWORKDAYS(P451,P451,UKBankHolidays)&gt;0,MEDIAN(TIME(8,0,0),MOD(P451,1),TIME(17,0,0)),TIME(8,0,0))-IF(NETWORKDAYS(O451,O451,UKBankHolidays)&gt;0,MEDIAN(TIME(8,0,0),MOD(O451,1),TIME(17,0,0)),TIME(8,0,0))),0),AND(L451&lt;&gt;"",N451="",P451="",O451&lt;&gt;""),(((MAX(NETWORKDAYS(L451,O451,UKBankHolidays)-1,0))*(TIME(17,0,0)-TIME(8,0,0)))+IF(NETWORKDAYS(O451,O451,UKBankHolidays)&gt;0,MEDIAN(TIME(8,0,0),MOD(O451,1),TIME(17,0,0)),TIME(8,0,0))-IF(NETWORKDAYS(L451,L451,UKBankHolidays)&gt;0,MEDIAN(TIME(8,0,0),MOD(L451,1),TIME(17,0,0)),TIME(8,0,0))),ISBLANK(K451),"0")),IF(ISBLANK(N451),NOW()-L451,N451-L451))</f>
        <v>0</v>
      </c>
      <c r="AC451" s="75">
        <f t="shared" ca="1" si="49"/>
        <v>0</v>
      </c>
      <c r="AD451" s="76">
        <f t="shared" ref="AD451:AD500" ca="1" si="54">MAX(0,IF(NOT(OR(G451=1,G451=2)),IF(M451&lt;&gt;"",((MAX(NETWORKDAYS(L451,M451,UKBankHolidays)-1,0))*(TIME(17,0,0)-TIME(8,0,0))+IF(NETWORKDAYS(M451,M451,UKBankHolidays)&gt;0,MEDIAN(TIME(8,0,0),MOD(M451,1),TIME(17,0,0)),TIME(8,0,0))-MEDIAN(TIME(8,0,0),MOD(L451,1),TIME(17,0,0))),((MAX(NETWORKDAYS(L451,NOW(),UKBankHolidays)-1,0))*(TIME(17,0,0)-TIME(8,0,0))+IF(NETWORKDAYS(NOW(),NOW(),UKBankHolidays)&gt;0,MEDIAN(TIME(8,0,0),MOD(NOW(),1),TIME(17,0,0)),TIME(8,0,0))-MEDIAN(TIME(8,0,0),MOD(L451,1),TIME(17,0,0)))),IF(M451&lt;&gt;"",M451-L451,NOW()-L451)))</f>
        <v>12388.425641435188</v>
      </c>
      <c r="AE451" s="76">
        <f t="shared" ref="AE451:AE500" si="55">SUMIFS(AB:AB,E:E,E451)</f>
        <v>0</v>
      </c>
      <c r="AF451" s="75">
        <f t="shared" si="50"/>
        <v>0</v>
      </c>
      <c r="AG451" s="75">
        <f t="shared" si="51"/>
        <v>0</v>
      </c>
      <c r="AH451" s="31" t="e" cm="1">
        <f t="array" aca="1" ref="AH451" ca="1">IF((AD451) &lt; (INDEX(ResponseSLA[#All],(MATCH((G451),ResponseSLA[Priority],0))+1,3)),"YES","No")</f>
        <v>#N/A</v>
      </c>
      <c r="AI451" s="31" t="str">
        <f>_xlfn.IFNA(IF(AE451 &lt; (INDEX(SLATable[Minimum SLA],MATCH(G451,SLATable[Priority],0))),"YES","NO"),"")</f>
        <v/>
      </c>
      <c r="AJ451" t="str">
        <f>_xlfn.IFNA(IF(AE451 &lt; (INDEX(SLATable[Maximum SLA],MATCH(G451,SLATable[Priority],0))),"YES","NO"),"")</f>
        <v/>
      </c>
    </row>
    <row r="452" spans="26:36" ht="15" customHeight="1">
      <c r="Z452" s="76" t="e">
        <f t="shared" ca="1" si="52"/>
        <v>#N/A</v>
      </c>
      <c r="AA452" s="75" t="e">
        <f t="shared" ca="1" si="48"/>
        <v>#N/A</v>
      </c>
      <c r="AB452" s="76">
        <f t="shared" ca="1" si="53"/>
        <v>0</v>
      </c>
      <c r="AC452" s="75">
        <f t="shared" ca="1" si="49"/>
        <v>0</v>
      </c>
      <c r="AD452" s="76">
        <f t="shared" ca="1" si="54"/>
        <v>12388.425641203703</v>
      </c>
      <c r="AE452" s="76">
        <f t="shared" si="55"/>
        <v>0</v>
      </c>
      <c r="AF452" s="75">
        <f t="shared" si="50"/>
        <v>0</v>
      </c>
      <c r="AG452" s="75">
        <f t="shared" si="51"/>
        <v>0</v>
      </c>
      <c r="AH452" s="31" t="e" cm="1">
        <f t="array" aca="1" ref="AH452" ca="1">IF((AD452) &lt; (INDEX(ResponseSLA[#All],(MATCH((G452),ResponseSLA[Priority],0))+1,3)),"YES","No")</f>
        <v>#N/A</v>
      </c>
      <c r="AI452" s="31" t="str">
        <f>_xlfn.IFNA(IF(AE452 &lt; (INDEX(SLATable[Minimum SLA],MATCH(G452,SLATable[Priority],0))),"YES","NO"),"")</f>
        <v/>
      </c>
      <c r="AJ452" t="str">
        <f>_xlfn.IFNA(IF(AE452 &lt; (INDEX(SLATable[Maximum SLA],MATCH(G452,SLATable[Priority],0))),"YES","NO"),"")</f>
        <v/>
      </c>
    </row>
    <row r="453" spans="26:36" ht="15" customHeight="1">
      <c r="Z453" s="76" t="e">
        <f t="shared" ca="1" si="52"/>
        <v>#N/A</v>
      </c>
      <c r="AA453" s="75" t="e">
        <f t="shared" ca="1" si="48"/>
        <v>#N/A</v>
      </c>
      <c r="AB453" s="76">
        <f t="shared" ca="1" si="53"/>
        <v>0</v>
      </c>
      <c r="AC453" s="75">
        <f t="shared" ca="1" si="49"/>
        <v>0</v>
      </c>
      <c r="AD453" s="76">
        <f t="shared" ca="1" si="54"/>
        <v>12388.425641203703</v>
      </c>
      <c r="AE453" s="76">
        <f t="shared" si="55"/>
        <v>0</v>
      </c>
      <c r="AF453" s="75">
        <f t="shared" si="50"/>
        <v>0</v>
      </c>
      <c r="AG453" s="75">
        <f t="shared" si="51"/>
        <v>0</v>
      </c>
      <c r="AH453" s="31" t="e" cm="1">
        <f t="array" aca="1" ref="AH453" ca="1">IF((AD453) &lt; (INDEX(ResponseSLA[#All],(MATCH((G453),ResponseSLA[Priority],0))+1,3)),"YES","No")</f>
        <v>#N/A</v>
      </c>
      <c r="AI453" s="31" t="str">
        <f>_xlfn.IFNA(IF(AE453 &lt; (INDEX(SLATable[Minimum SLA],MATCH(G453,SLATable[Priority],0))),"YES","NO"),"")</f>
        <v/>
      </c>
      <c r="AJ453" t="str">
        <f>_xlfn.IFNA(IF(AE453 &lt; (INDEX(SLATable[Maximum SLA],MATCH(G453,SLATable[Priority],0))),"YES","NO"),"")</f>
        <v/>
      </c>
    </row>
    <row r="454" spans="26:36" ht="15" customHeight="1">
      <c r="Z454" s="76" t="e">
        <f t="shared" ca="1" si="52"/>
        <v>#N/A</v>
      </c>
      <c r="AA454" s="75" t="e">
        <f t="shared" ca="1" si="48"/>
        <v>#N/A</v>
      </c>
      <c r="AB454" s="76">
        <f t="shared" ca="1" si="53"/>
        <v>0</v>
      </c>
      <c r="AC454" s="75">
        <f t="shared" ca="1" si="49"/>
        <v>0</v>
      </c>
      <c r="AD454" s="76">
        <f t="shared" ca="1" si="54"/>
        <v>12388.425641435188</v>
      </c>
      <c r="AE454" s="76">
        <f t="shared" si="55"/>
        <v>0</v>
      </c>
      <c r="AF454" s="75">
        <f t="shared" si="50"/>
        <v>0</v>
      </c>
      <c r="AG454" s="75">
        <f t="shared" si="51"/>
        <v>0</v>
      </c>
      <c r="AH454" s="31" t="e" cm="1">
        <f t="array" aca="1" ref="AH454" ca="1">IF((AD454) &lt; (INDEX(ResponseSLA[#All],(MATCH((G454),ResponseSLA[Priority],0))+1,3)),"YES","No")</f>
        <v>#N/A</v>
      </c>
      <c r="AI454" s="31" t="str">
        <f>_xlfn.IFNA(IF(AE454 &lt; (INDEX(SLATable[Minimum SLA],MATCH(G454,SLATable[Priority],0))),"YES","NO"),"")</f>
        <v/>
      </c>
      <c r="AJ454" t="str">
        <f>_xlfn.IFNA(IF(AE454 &lt; (INDEX(SLATable[Maximum SLA],MATCH(G454,SLATable[Priority],0))),"YES","NO"),"")</f>
        <v/>
      </c>
    </row>
    <row r="455" spans="26:36" ht="15" customHeight="1">
      <c r="Z455" s="76" t="e">
        <f t="shared" ca="1" si="52"/>
        <v>#N/A</v>
      </c>
      <c r="AA455" s="75" t="e">
        <f t="shared" ca="1" si="48"/>
        <v>#N/A</v>
      </c>
      <c r="AB455" s="76">
        <f t="shared" ca="1" si="53"/>
        <v>0</v>
      </c>
      <c r="AC455" s="75">
        <f t="shared" ca="1" si="49"/>
        <v>0</v>
      </c>
      <c r="AD455" s="76">
        <f t="shared" ca="1" si="54"/>
        <v>12388.425641203703</v>
      </c>
      <c r="AE455" s="76">
        <f t="shared" si="55"/>
        <v>0</v>
      </c>
      <c r="AF455" s="75">
        <f t="shared" si="50"/>
        <v>0</v>
      </c>
      <c r="AG455" s="75">
        <f t="shared" si="51"/>
        <v>0</v>
      </c>
      <c r="AH455" s="31" t="e" cm="1">
        <f t="array" aca="1" ref="AH455" ca="1">IF((AD455) &lt; (INDEX(ResponseSLA[#All],(MATCH((G455),ResponseSLA[Priority],0))+1,3)),"YES","No")</f>
        <v>#N/A</v>
      </c>
      <c r="AI455" s="31" t="str">
        <f>_xlfn.IFNA(IF(AE455 &lt; (INDEX(SLATable[Minimum SLA],MATCH(G455,SLATable[Priority],0))),"YES","NO"),"")</f>
        <v/>
      </c>
      <c r="AJ455" t="str">
        <f>_xlfn.IFNA(IF(AE455 &lt; (INDEX(SLATable[Maximum SLA],MATCH(G455,SLATable[Priority],0))),"YES","NO"),"")</f>
        <v/>
      </c>
    </row>
    <row r="456" spans="26:36" ht="15" customHeight="1">
      <c r="Z456" s="76" t="e">
        <f t="shared" ca="1" si="52"/>
        <v>#N/A</v>
      </c>
      <c r="AA456" s="75" t="e">
        <f t="shared" ca="1" si="48"/>
        <v>#N/A</v>
      </c>
      <c r="AB456" s="76">
        <f t="shared" ca="1" si="53"/>
        <v>0</v>
      </c>
      <c r="AC456" s="75">
        <f t="shared" ca="1" si="49"/>
        <v>0</v>
      </c>
      <c r="AD456" s="76">
        <f t="shared" ca="1" si="54"/>
        <v>12388.425641203703</v>
      </c>
      <c r="AE456" s="76">
        <f t="shared" si="55"/>
        <v>0</v>
      </c>
      <c r="AF456" s="75">
        <f t="shared" si="50"/>
        <v>0</v>
      </c>
      <c r="AG456" s="75">
        <f t="shared" si="51"/>
        <v>0</v>
      </c>
      <c r="AH456" s="31" t="e" cm="1">
        <f t="array" aca="1" ref="AH456" ca="1">IF((AD456) &lt; (INDEX(ResponseSLA[#All],(MATCH((G456),ResponseSLA[Priority],0))+1,3)),"YES","No")</f>
        <v>#N/A</v>
      </c>
      <c r="AI456" s="31" t="str">
        <f>_xlfn.IFNA(IF(AE456 &lt; (INDEX(SLATable[Minimum SLA],MATCH(G456,SLATable[Priority],0))),"YES","NO"),"")</f>
        <v/>
      </c>
      <c r="AJ456" t="str">
        <f>_xlfn.IFNA(IF(AE456 &lt; (INDEX(SLATable[Maximum SLA],MATCH(G456,SLATable[Priority],0))),"YES","NO"),"")</f>
        <v/>
      </c>
    </row>
    <row r="457" spans="26:36" ht="15" customHeight="1">
      <c r="Z457" s="76" t="e">
        <f t="shared" ca="1" si="52"/>
        <v>#N/A</v>
      </c>
      <c r="AA457" s="75" t="e">
        <f t="shared" ca="1" si="48"/>
        <v>#N/A</v>
      </c>
      <c r="AB457" s="76">
        <f t="shared" ca="1" si="53"/>
        <v>0</v>
      </c>
      <c r="AC457" s="75">
        <f t="shared" ca="1" si="49"/>
        <v>0</v>
      </c>
      <c r="AD457" s="76">
        <f t="shared" ca="1" si="54"/>
        <v>12388.425641435188</v>
      </c>
      <c r="AE457" s="76">
        <f t="shared" si="55"/>
        <v>0</v>
      </c>
      <c r="AF457" s="75">
        <f t="shared" si="50"/>
        <v>0</v>
      </c>
      <c r="AG457" s="75">
        <f t="shared" si="51"/>
        <v>0</v>
      </c>
      <c r="AH457" s="31" t="e" cm="1">
        <f t="array" aca="1" ref="AH457" ca="1">IF((AD457) &lt; (INDEX(ResponseSLA[#All],(MATCH((G457),ResponseSLA[Priority],0))+1,3)),"YES","No")</f>
        <v>#N/A</v>
      </c>
      <c r="AI457" s="31" t="str">
        <f>_xlfn.IFNA(IF(AE457 &lt; (INDEX(SLATable[Minimum SLA],MATCH(G457,SLATable[Priority],0))),"YES","NO"),"")</f>
        <v/>
      </c>
      <c r="AJ457" t="str">
        <f>_xlfn.IFNA(IF(AE457 &lt; (INDEX(SLATable[Maximum SLA],MATCH(G457,SLATable[Priority],0))),"YES","NO"),"")</f>
        <v/>
      </c>
    </row>
    <row r="458" spans="26:36" ht="15" customHeight="1">
      <c r="Z458" s="76" t="e">
        <f t="shared" ca="1" si="52"/>
        <v>#N/A</v>
      </c>
      <c r="AA458" s="75" t="e">
        <f t="shared" ca="1" si="48"/>
        <v>#N/A</v>
      </c>
      <c r="AB458" s="76">
        <f t="shared" ca="1" si="53"/>
        <v>0</v>
      </c>
      <c r="AC458" s="75">
        <f t="shared" ca="1" si="49"/>
        <v>0</v>
      </c>
      <c r="AD458" s="76">
        <f t="shared" ca="1" si="54"/>
        <v>12388.425641203703</v>
      </c>
      <c r="AE458" s="76">
        <f t="shared" si="55"/>
        <v>0</v>
      </c>
      <c r="AF458" s="75">
        <f t="shared" si="50"/>
        <v>0</v>
      </c>
      <c r="AG458" s="75">
        <f t="shared" si="51"/>
        <v>0</v>
      </c>
      <c r="AH458" s="31" t="e" cm="1">
        <f t="array" aca="1" ref="AH458" ca="1">IF((AD458) &lt; (INDEX(ResponseSLA[#All],(MATCH((G458),ResponseSLA[Priority],0))+1,3)),"YES","No")</f>
        <v>#N/A</v>
      </c>
      <c r="AI458" s="31" t="str">
        <f>_xlfn.IFNA(IF(AE458 &lt; (INDEX(SLATable[Minimum SLA],MATCH(G458,SLATable[Priority],0))),"YES","NO"),"")</f>
        <v/>
      </c>
      <c r="AJ458" t="str">
        <f>_xlfn.IFNA(IF(AE458 &lt; (INDEX(SLATable[Maximum SLA],MATCH(G458,SLATable[Priority],0))),"YES","NO"),"")</f>
        <v/>
      </c>
    </row>
    <row r="459" spans="26:36" ht="15" customHeight="1">
      <c r="Z459" s="76" t="e">
        <f t="shared" ca="1" si="52"/>
        <v>#N/A</v>
      </c>
      <c r="AA459" s="75" t="e">
        <f t="shared" ca="1" si="48"/>
        <v>#N/A</v>
      </c>
      <c r="AB459" s="76">
        <f t="shared" ca="1" si="53"/>
        <v>0</v>
      </c>
      <c r="AC459" s="75">
        <f t="shared" ca="1" si="49"/>
        <v>0</v>
      </c>
      <c r="AD459" s="76">
        <f t="shared" ca="1" si="54"/>
        <v>12388.425641203703</v>
      </c>
      <c r="AE459" s="76">
        <f t="shared" si="55"/>
        <v>0</v>
      </c>
      <c r="AF459" s="75">
        <f t="shared" si="50"/>
        <v>0</v>
      </c>
      <c r="AG459" s="75">
        <f t="shared" si="51"/>
        <v>0</v>
      </c>
      <c r="AH459" s="31" t="e" cm="1">
        <f t="array" aca="1" ref="AH459" ca="1">IF((AD459) &lt; (INDEX(ResponseSLA[#All],(MATCH((G459),ResponseSLA[Priority],0))+1,3)),"YES","No")</f>
        <v>#N/A</v>
      </c>
      <c r="AI459" s="31" t="str">
        <f>_xlfn.IFNA(IF(AE459 &lt; (INDEX(SLATable[Minimum SLA],MATCH(G459,SLATable[Priority],0))),"YES","NO"),"")</f>
        <v/>
      </c>
      <c r="AJ459" t="str">
        <f>_xlfn.IFNA(IF(AE459 &lt; (INDEX(SLATable[Maximum SLA],MATCH(G459,SLATable[Priority],0))),"YES","NO"),"")</f>
        <v/>
      </c>
    </row>
    <row r="460" spans="26:36" ht="15" customHeight="1">
      <c r="Z460" s="76" t="e">
        <f t="shared" ca="1" si="52"/>
        <v>#N/A</v>
      </c>
      <c r="AA460" s="75" t="e">
        <f t="shared" ca="1" si="48"/>
        <v>#N/A</v>
      </c>
      <c r="AB460" s="76">
        <f t="shared" ca="1" si="53"/>
        <v>0</v>
      </c>
      <c r="AC460" s="75">
        <f t="shared" ca="1" si="49"/>
        <v>0</v>
      </c>
      <c r="AD460" s="76">
        <f t="shared" ca="1" si="54"/>
        <v>12388.425641435188</v>
      </c>
      <c r="AE460" s="76">
        <f t="shared" si="55"/>
        <v>0</v>
      </c>
      <c r="AF460" s="75">
        <f t="shared" si="50"/>
        <v>0</v>
      </c>
      <c r="AG460" s="75">
        <f t="shared" si="51"/>
        <v>0</v>
      </c>
      <c r="AH460" s="31" t="e" cm="1">
        <f t="array" aca="1" ref="AH460" ca="1">IF((AD460) &lt; (INDEX(ResponseSLA[#All],(MATCH((G460),ResponseSLA[Priority],0))+1,3)),"YES","No")</f>
        <v>#N/A</v>
      </c>
      <c r="AI460" s="31" t="str">
        <f>_xlfn.IFNA(IF(AE460 &lt; (INDEX(SLATable[Minimum SLA],MATCH(G460,SLATable[Priority],0))),"YES","NO"),"")</f>
        <v/>
      </c>
      <c r="AJ460" t="str">
        <f>_xlfn.IFNA(IF(AE460 &lt; (INDEX(SLATable[Maximum SLA],MATCH(G460,SLATable[Priority],0))),"YES","NO"),"")</f>
        <v/>
      </c>
    </row>
    <row r="461" spans="26:36" ht="15" customHeight="1">
      <c r="Z461" s="76" t="e">
        <f t="shared" ca="1" si="52"/>
        <v>#N/A</v>
      </c>
      <c r="AA461" s="75" t="e">
        <f t="shared" ca="1" si="48"/>
        <v>#N/A</v>
      </c>
      <c r="AB461" s="76">
        <f t="shared" ca="1" si="53"/>
        <v>0</v>
      </c>
      <c r="AC461" s="75">
        <f t="shared" ca="1" si="49"/>
        <v>0</v>
      </c>
      <c r="AD461" s="76">
        <f t="shared" ca="1" si="54"/>
        <v>12388.425641203703</v>
      </c>
      <c r="AE461" s="76">
        <f t="shared" si="55"/>
        <v>0</v>
      </c>
      <c r="AF461" s="75">
        <f t="shared" si="50"/>
        <v>0</v>
      </c>
      <c r="AG461" s="75">
        <f t="shared" si="51"/>
        <v>0</v>
      </c>
      <c r="AH461" s="31" t="e" cm="1">
        <f t="array" aca="1" ref="AH461" ca="1">IF((AD461) &lt; (INDEX(ResponseSLA[#All],(MATCH((G461),ResponseSLA[Priority],0))+1,3)),"YES","No")</f>
        <v>#N/A</v>
      </c>
      <c r="AI461" s="31" t="str">
        <f>_xlfn.IFNA(IF(AE461 &lt; (INDEX(SLATable[Minimum SLA],MATCH(G461,SLATable[Priority],0))),"YES","NO"),"")</f>
        <v/>
      </c>
      <c r="AJ461" t="str">
        <f>_xlfn.IFNA(IF(AE461 &lt; (INDEX(SLATable[Maximum SLA],MATCH(G461,SLATable[Priority],0))),"YES","NO"),"")</f>
        <v/>
      </c>
    </row>
    <row r="462" spans="26:36" ht="15" customHeight="1">
      <c r="Z462" s="76" t="e">
        <f t="shared" ca="1" si="52"/>
        <v>#N/A</v>
      </c>
      <c r="AA462" s="75" t="e">
        <f t="shared" ca="1" si="48"/>
        <v>#N/A</v>
      </c>
      <c r="AB462" s="76">
        <f t="shared" ca="1" si="53"/>
        <v>0</v>
      </c>
      <c r="AC462" s="75">
        <f t="shared" ca="1" si="49"/>
        <v>0</v>
      </c>
      <c r="AD462" s="76">
        <f t="shared" ca="1" si="54"/>
        <v>12388.425641203703</v>
      </c>
      <c r="AE462" s="76">
        <f t="shared" si="55"/>
        <v>0</v>
      </c>
      <c r="AF462" s="75">
        <f t="shared" si="50"/>
        <v>0</v>
      </c>
      <c r="AG462" s="75">
        <f t="shared" si="51"/>
        <v>0</v>
      </c>
      <c r="AH462" s="31" t="e" cm="1">
        <f t="array" aca="1" ref="AH462" ca="1">IF((AD462) &lt; (INDEX(ResponseSLA[#All],(MATCH((G462),ResponseSLA[Priority],0))+1,3)),"YES","No")</f>
        <v>#N/A</v>
      </c>
      <c r="AI462" s="31" t="str">
        <f>_xlfn.IFNA(IF(AE462 &lt; (INDEX(SLATable[Minimum SLA],MATCH(G462,SLATable[Priority],0))),"YES","NO"),"")</f>
        <v/>
      </c>
      <c r="AJ462" t="str">
        <f>_xlfn.IFNA(IF(AE462 &lt; (INDEX(SLATable[Maximum SLA],MATCH(G462,SLATable[Priority],0))),"YES","NO"),"")</f>
        <v/>
      </c>
    </row>
    <row r="463" spans="26:36" ht="15" customHeight="1">
      <c r="Z463" s="76" t="e">
        <f t="shared" ca="1" si="52"/>
        <v>#N/A</v>
      </c>
      <c r="AA463" s="75" t="e">
        <f t="shared" ca="1" si="48"/>
        <v>#N/A</v>
      </c>
      <c r="AB463" s="76">
        <f t="shared" ca="1" si="53"/>
        <v>0</v>
      </c>
      <c r="AC463" s="75">
        <f t="shared" ca="1" si="49"/>
        <v>0</v>
      </c>
      <c r="AD463" s="76">
        <f t="shared" ca="1" si="54"/>
        <v>12388.425641435188</v>
      </c>
      <c r="AE463" s="76">
        <f t="shared" si="55"/>
        <v>0</v>
      </c>
      <c r="AF463" s="75">
        <f t="shared" si="50"/>
        <v>0</v>
      </c>
      <c r="AG463" s="75">
        <f t="shared" si="51"/>
        <v>0</v>
      </c>
      <c r="AH463" s="31" t="e" cm="1">
        <f t="array" aca="1" ref="AH463" ca="1">IF((AD463) &lt; (INDEX(ResponseSLA[#All],(MATCH((G463),ResponseSLA[Priority],0))+1,3)),"YES","No")</f>
        <v>#N/A</v>
      </c>
      <c r="AI463" s="31" t="str">
        <f>_xlfn.IFNA(IF(AE463 &lt; (INDEX(SLATable[Minimum SLA],MATCH(G463,SLATable[Priority],0))),"YES","NO"),"")</f>
        <v/>
      </c>
      <c r="AJ463" t="str">
        <f>_xlfn.IFNA(IF(AE463 &lt; (INDEX(SLATable[Maximum SLA],MATCH(G463,SLATable[Priority],0))),"YES","NO"),"")</f>
        <v/>
      </c>
    </row>
    <row r="464" spans="26:36" ht="15" customHeight="1">
      <c r="Z464" s="76" t="e">
        <f t="shared" ca="1" si="52"/>
        <v>#N/A</v>
      </c>
      <c r="AA464" s="75" t="e">
        <f t="shared" ca="1" si="48"/>
        <v>#N/A</v>
      </c>
      <c r="AB464" s="76">
        <f t="shared" ca="1" si="53"/>
        <v>0</v>
      </c>
      <c r="AC464" s="75">
        <f t="shared" ca="1" si="49"/>
        <v>0</v>
      </c>
      <c r="AD464" s="76">
        <f t="shared" ca="1" si="54"/>
        <v>12388.425641203703</v>
      </c>
      <c r="AE464" s="76">
        <f t="shared" si="55"/>
        <v>0</v>
      </c>
      <c r="AF464" s="75">
        <f t="shared" si="50"/>
        <v>0</v>
      </c>
      <c r="AG464" s="75">
        <f t="shared" si="51"/>
        <v>0</v>
      </c>
      <c r="AH464" s="31" t="e" cm="1">
        <f t="array" aca="1" ref="AH464" ca="1">IF((AD464) &lt; (INDEX(ResponseSLA[#All],(MATCH((G464),ResponseSLA[Priority],0))+1,3)),"YES","No")</f>
        <v>#N/A</v>
      </c>
      <c r="AI464" s="31" t="str">
        <f>_xlfn.IFNA(IF(AE464 &lt; (INDEX(SLATable[Minimum SLA],MATCH(G464,SLATable[Priority],0))),"YES","NO"),"")</f>
        <v/>
      </c>
      <c r="AJ464" t="str">
        <f>_xlfn.IFNA(IF(AE464 &lt; (INDEX(SLATable[Maximum SLA],MATCH(G464,SLATable[Priority],0))),"YES","NO"),"")</f>
        <v/>
      </c>
    </row>
    <row r="465" spans="26:36" ht="15" customHeight="1">
      <c r="Z465" s="76" t="e">
        <f t="shared" ca="1" si="52"/>
        <v>#N/A</v>
      </c>
      <c r="AA465" s="75" t="e">
        <f t="shared" ca="1" si="48"/>
        <v>#N/A</v>
      </c>
      <c r="AB465" s="76">
        <f t="shared" ca="1" si="53"/>
        <v>0</v>
      </c>
      <c r="AC465" s="75">
        <f t="shared" ca="1" si="49"/>
        <v>0</v>
      </c>
      <c r="AD465" s="76">
        <f t="shared" ca="1" si="54"/>
        <v>12388.425641435188</v>
      </c>
      <c r="AE465" s="76">
        <f t="shared" si="55"/>
        <v>0</v>
      </c>
      <c r="AF465" s="75">
        <f t="shared" si="50"/>
        <v>0</v>
      </c>
      <c r="AG465" s="75">
        <f t="shared" si="51"/>
        <v>0</v>
      </c>
      <c r="AH465" s="31" t="e" cm="1">
        <f t="array" aca="1" ref="AH465" ca="1">IF((AD465) &lt; (INDEX(ResponseSLA[#All],(MATCH((G465),ResponseSLA[Priority],0))+1,3)),"YES","No")</f>
        <v>#N/A</v>
      </c>
      <c r="AI465" s="31" t="str">
        <f>_xlfn.IFNA(IF(AE465 &lt; (INDEX(SLATable[Minimum SLA],MATCH(G465,SLATable[Priority],0))),"YES","NO"),"")</f>
        <v/>
      </c>
      <c r="AJ465" t="str">
        <f>_xlfn.IFNA(IF(AE465 &lt; (INDEX(SLATable[Maximum SLA],MATCH(G465,SLATable[Priority],0))),"YES","NO"),"")</f>
        <v/>
      </c>
    </row>
    <row r="466" spans="26:36" ht="15" customHeight="1">
      <c r="Z466" s="76" t="e">
        <f t="shared" ca="1" si="52"/>
        <v>#N/A</v>
      </c>
      <c r="AA466" s="75" t="e">
        <f t="shared" ca="1" si="48"/>
        <v>#N/A</v>
      </c>
      <c r="AB466" s="76">
        <f t="shared" ca="1" si="53"/>
        <v>0</v>
      </c>
      <c r="AC466" s="75">
        <f t="shared" ca="1" si="49"/>
        <v>0</v>
      </c>
      <c r="AD466" s="76">
        <f t="shared" ca="1" si="54"/>
        <v>12388.425641435188</v>
      </c>
      <c r="AE466" s="76">
        <f t="shared" si="55"/>
        <v>0</v>
      </c>
      <c r="AF466" s="75">
        <f t="shared" si="50"/>
        <v>0</v>
      </c>
      <c r="AG466" s="75">
        <f t="shared" si="51"/>
        <v>0</v>
      </c>
      <c r="AH466" s="31" t="e" cm="1">
        <f t="array" aca="1" ref="AH466" ca="1">IF((AD466) &lt; (INDEX(ResponseSLA[#All],(MATCH((G466),ResponseSLA[Priority],0))+1,3)),"YES","No")</f>
        <v>#N/A</v>
      </c>
      <c r="AI466" s="31" t="str">
        <f>_xlfn.IFNA(IF(AE466 &lt; (INDEX(SLATable[Minimum SLA],MATCH(G466,SLATable[Priority],0))),"YES","NO"),"")</f>
        <v/>
      </c>
      <c r="AJ466" t="str">
        <f>_xlfn.IFNA(IF(AE466 &lt; (INDEX(SLATable[Maximum SLA],MATCH(G466,SLATable[Priority],0))),"YES","NO"),"")</f>
        <v/>
      </c>
    </row>
    <row r="467" spans="26:36" ht="15" customHeight="1">
      <c r="Z467" s="76" t="e">
        <f t="shared" ca="1" si="52"/>
        <v>#N/A</v>
      </c>
      <c r="AA467" s="75" t="e">
        <f t="shared" ca="1" si="48"/>
        <v>#N/A</v>
      </c>
      <c r="AB467" s="76">
        <f t="shared" ca="1" si="53"/>
        <v>0</v>
      </c>
      <c r="AC467" s="75">
        <f t="shared" ca="1" si="49"/>
        <v>0</v>
      </c>
      <c r="AD467" s="76">
        <f t="shared" ca="1" si="54"/>
        <v>12388.425641203703</v>
      </c>
      <c r="AE467" s="76">
        <f t="shared" si="55"/>
        <v>0</v>
      </c>
      <c r="AF467" s="75">
        <f t="shared" si="50"/>
        <v>0</v>
      </c>
      <c r="AG467" s="75">
        <f t="shared" si="51"/>
        <v>0</v>
      </c>
      <c r="AH467" s="31" t="e" cm="1">
        <f t="array" aca="1" ref="AH467" ca="1">IF((AD467) &lt; (INDEX(ResponseSLA[#All],(MATCH((G467),ResponseSLA[Priority],0))+1,3)),"YES","No")</f>
        <v>#N/A</v>
      </c>
      <c r="AI467" s="31" t="str">
        <f>_xlfn.IFNA(IF(AE467 &lt; (INDEX(SLATable[Minimum SLA],MATCH(G467,SLATable[Priority],0))),"YES","NO"),"")</f>
        <v/>
      </c>
      <c r="AJ467" t="str">
        <f>_xlfn.IFNA(IF(AE467 &lt; (INDEX(SLATable[Maximum SLA],MATCH(G467,SLATable[Priority],0))),"YES","NO"),"")</f>
        <v/>
      </c>
    </row>
    <row r="468" spans="26:36" ht="15" customHeight="1">
      <c r="Z468" s="76" t="e">
        <f t="shared" ca="1" si="52"/>
        <v>#N/A</v>
      </c>
      <c r="AA468" s="75" t="e">
        <f t="shared" ca="1" si="48"/>
        <v>#N/A</v>
      </c>
      <c r="AB468" s="76">
        <f t="shared" ca="1" si="53"/>
        <v>0</v>
      </c>
      <c r="AC468" s="75">
        <f t="shared" ca="1" si="49"/>
        <v>0</v>
      </c>
      <c r="AD468" s="76">
        <f t="shared" ca="1" si="54"/>
        <v>12388.425641435188</v>
      </c>
      <c r="AE468" s="76">
        <f t="shared" si="55"/>
        <v>0</v>
      </c>
      <c r="AF468" s="75">
        <f t="shared" si="50"/>
        <v>0</v>
      </c>
      <c r="AG468" s="75">
        <f t="shared" si="51"/>
        <v>0</v>
      </c>
      <c r="AH468" s="31" t="e" cm="1">
        <f t="array" aca="1" ref="AH468" ca="1">IF((AD468) &lt; (INDEX(ResponseSLA[#All],(MATCH((G468),ResponseSLA[Priority],0))+1,3)),"YES","No")</f>
        <v>#N/A</v>
      </c>
      <c r="AI468" s="31" t="str">
        <f>_xlfn.IFNA(IF(AE468 &lt; (INDEX(SLATable[Minimum SLA],MATCH(G468,SLATable[Priority],0))),"YES","NO"),"")</f>
        <v/>
      </c>
      <c r="AJ468" t="str">
        <f>_xlfn.IFNA(IF(AE468 &lt; (INDEX(SLATable[Maximum SLA],MATCH(G468,SLATable[Priority],0))),"YES","NO"),"")</f>
        <v/>
      </c>
    </row>
    <row r="469" spans="26:36" ht="15" customHeight="1">
      <c r="Z469" s="76" t="e">
        <f t="shared" ca="1" si="52"/>
        <v>#N/A</v>
      </c>
      <c r="AA469" s="75" t="e">
        <f t="shared" ca="1" si="48"/>
        <v>#N/A</v>
      </c>
      <c r="AB469" s="76">
        <f t="shared" ca="1" si="53"/>
        <v>0</v>
      </c>
      <c r="AC469" s="75">
        <f t="shared" ca="1" si="49"/>
        <v>0</v>
      </c>
      <c r="AD469" s="76">
        <f t="shared" ca="1" si="54"/>
        <v>12388.425641435188</v>
      </c>
      <c r="AE469" s="76">
        <f t="shared" si="55"/>
        <v>0</v>
      </c>
      <c r="AF469" s="75">
        <f t="shared" si="50"/>
        <v>0</v>
      </c>
      <c r="AG469" s="75">
        <f t="shared" si="51"/>
        <v>0</v>
      </c>
      <c r="AH469" s="31" t="e" cm="1">
        <f t="array" aca="1" ref="AH469" ca="1">IF((AD469) &lt; (INDEX(ResponseSLA[#All],(MATCH((G469),ResponseSLA[Priority],0))+1,3)),"YES","No")</f>
        <v>#N/A</v>
      </c>
      <c r="AI469" s="31" t="str">
        <f>_xlfn.IFNA(IF(AE469 &lt; (INDEX(SLATable[Minimum SLA],MATCH(G469,SLATable[Priority],0))),"YES","NO"),"")</f>
        <v/>
      </c>
      <c r="AJ469" t="str">
        <f>_xlfn.IFNA(IF(AE469 &lt; (INDEX(SLATable[Maximum SLA],MATCH(G469,SLATable[Priority],0))),"YES","NO"),"")</f>
        <v/>
      </c>
    </row>
    <row r="470" spans="26:36" ht="15" customHeight="1">
      <c r="Z470" s="76" t="e">
        <f t="shared" ca="1" si="52"/>
        <v>#N/A</v>
      </c>
      <c r="AA470" s="75" t="e">
        <f t="shared" ca="1" si="48"/>
        <v>#N/A</v>
      </c>
      <c r="AB470" s="76">
        <f t="shared" ca="1" si="53"/>
        <v>0</v>
      </c>
      <c r="AC470" s="75">
        <f t="shared" ca="1" si="49"/>
        <v>0</v>
      </c>
      <c r="AD470" s="76">
        <f t="shared" ca="1" si="54"/>
        <v>12388.425641203703</v>
      </c>
      <c r="AE470" s="76">
        <f t="shared" si="55"/>
        <v>0</v>
      </c>
      <c r="AF470" s="75">
        <f t="shared" si="50"/>
        <v>0</v>
      </c>
      <c r="AG470" s="75">
        <f t="shared" si="51"/>
        <v>0</v>
      </c>
      <c r="AH470" s="31" t="e" cm="1">
        <f t="array" aca="1" ref="AH470" ca="1">IF((AD470) &lt; (INDEX(ResponseSLA[#All],(MATCH((G470),ResponseSLA[Priority],0))+1,3)),"YES","No")</f>
        <v>#N/A</v>
      </c>
      <c r="AI470" s="31" t="str">
        <f>_xlfn.IFNA(IF(AE470 &lt; (INDEX(SLATable[Minimum SLA],MATCH(G470,SLATable[Priority],0))),"YES","NO"),"")</f>
        <v/>
      </c>
      <c r="AJ470" t="str">
        <f>_xlfn.IFNA(IF(AE470 &lt; (INDEX(SLATable[Maximum SLA],MATCH(G470,SLATable[Priority],0))),"YES","NO"),"")</f>
        <v/>
      </c>
    </row>
    <row r="471" spans="26:36" ht="15" customHeight="1">
      <c r="Z471" s="76" t="e">
        <f t="shared" ca="1" si="52"/>
        <v>#N/A</v>
      </c>
      <c r="AA471" s="75" t="e">
        <f t="shared" ca="1" si="48"/>
        <v>#N/A</v>
      </c>
      <c r="AB471" s="76">
        <f t="shared" ca="1" si="53"/>
        <v>0</v>
      </c>
      <c r="AC471" s="75">
        <f t="shared" ca="1" si="49"/>
        <v>0</v>
      </c>
      <c r="AD471" s="76">
        <f t="shared" ca="1" si="54"/>
        <v>12388.425641435188</v>
      </c>
      <c r="AE471" s="76">
        <f t="shared" si="55"/>
        <v>0</v>
      </c>
      <c r="AF471" s="75">
        <f t="shared" si="50"/>
        <v>0</v>
      </c>
      <c r="AG471" s="75">
        <f t="shared" si="51"/>
        <v>0</v>
      </c>
      <c r="AH471" s="31" t="e" cm="1">
        <f t="array" aca="1" ref="AH471" ca="1">IF((AD471) &lt; (INDEX(ResponseSLA[#All],(MATCH((G471),ResponseSLA[Priority],0))+1,3)),"YES","No")</f>
        <v>#N/A</v>
      </c>
      <c r="AI471" s="31" t="str">
        <f>_xlfn.IFNA(IF(AE471 &lt; (INDEX(SLATable[Minimum SLA],MATCH(G471,SLATable[Priority],0))),"YES","NO"),"")</f>
        <v/>
      </c>
      <c r="AJ471" t="str">
        <f>_xlfn.IFNA(IF(AE471 &lt; (INDEX(SLATable[Maximum SLA],MATCH(G471,SLATable[Priority],0))),"YES","NO"),"")</f>
        <v/>
      </c>
    </row>
    <row r="472" spans="26:36" ht="15" customHeight="1">
      <c r="Z472" s="76" t="e">
        <f t="shared" ca="1" si="52"/>
        <v>#N/A</v>
      </c>
      <c r="AA472" s="75" t="e">
        <f t="shared" ca="1" si="48"/>
        <v>#N/A</v>
      </c>
      <c r="AB472" s="76">
        <f t="shared" ca="1" si="53"/>
        <v>0</v>
      </c>
      <c r="AC472" s="75">
        <f t="shared" ca="1" si="49"/>
        <v>0</v>
      </c>
      <c r="AD472" s="76">
        <f t="shared" ca="1" si="54"/>
        <v>12388.425641435188</v>
      </c>
      <c r="AE472" s="76">
        <f t="shared" si="55"/>
        <v>0</v>
      </c>
      <c r="AF472" s="75">
        <f t="shared" si="50"/>
        <v>0</v>
      </c>
      <c r="AG472" s="75">
        <f t="shared" si="51"/>
        <v>0</v>
      </c>
      <c r="AH472" s="31" t="e" cm="1">
        <f t="array" aca="1" ref="AH472" ca="1">IF((AD472) &lt; (INDEX(ResponseSLA[#All],(MATCH((G472),ResponseSLA[Priority],0))+1,3)),"YES","No")</f>
        <v>#N/A</v>
      </c>
      <c r="AI472" s="31" t="str">
        <f>_xlfn.IFNA(IF(AE472 &lt; (INDEX(SLATable[Minimum SLA],MATCH(G472,SLATable[Priority],0))),"YES","NO"),"")</f>
        <v/>
      </c>
      <c r="AJ472" t="str">
        <f>_xlfn.IFNA(IF(AE472 &lt; (INDEX(SLATable[Maximum SLA],MATCH(G472,SLATable[Priority],0))),"YES","NO"),"")</f>
        <v/>
      </c>
    </row>
    <row r="473" spans="26:36" ht="15" customHeight="1">
      <c r="Z473" s="76" t="e">
        <f t="shared" ca="1" si="52"/>
        <v>#N/A</v>
      </c>
      <c r="AA473" s="75" t="e">
        <f t="shared" ca="1" si="48"/>
        <v>#N/A</v>
      </c>
      <c r="AB473" s="76">
        <f t="shared" ca="1" si="53"/>
        <v>0</v>
      </c>
      <c r="AC473" s="75">
        <f t="shared" ca="1" si="49"/>
        <v>0</v>
      </c>
      <c r="AD473" s="76">
        <f t="shared" ca="1" si="54"/>
        <v>12388.425641203703</v>
      </c>
      <c r="AE473" s="76">
        <f t="shared" si="55"/>
        <v>0</v>
      </c>
      <c r="AF473" s="75">
        <f t="shared" si="50"/>
        <v>0</v>
      </c>
      <c r="AG473" s="75">
        <f t="shared" si="51"/>
        <v>0</v>
      </c>
      <c r="AH473" s="31" t="e" cm="1">
        <f t="array" aca="1" ref="AH473" ca="1">IF((AD473) &lt; (INDEX(ResponseSLA[#All],(MATCH((G473),ResponseSLA[Priority],0))+1,3)),"YES","No")</f>
        <v>#N/A</v>
      </c>
      <c r="AI473" s="31" t="str">
        <f>_xlfn.IFNA(IF(AE473 &lt; (INDEX(SLATable[Minimum SLA],MATCH(G473,SLATable[Priority],0))),"YES","NO"),"")</f>
        <v/>
      </c>
      <c r="AJ473" t="str">
        <f>_xlfn.IFNA(IF(AE473 &lt; (INDEX(SLATable[Maximum SLA],MATCH(G473,SLATable[Priority],0))),"YES","NO"),"")</f>
        <v/>
      </c>
    </row>
    <row r="474" spans="26:36" ht="15" customHeight="1">
      <c r="Z474" s="76" t="e">
        <f t="shared" ca="1" si="52"/>
        <v>#N/A</v>
      </c>
      <c r="AA474" s="75" t="e">
        <f t="shared" ca="1" si="48"/>
        <v>#N/A</v>
      </c>
      <c r="AB474" s="76">
        <f t="shared" ca="1" si="53"/>
        <v>0</v>
      </c>
      <c r="AC474" s="75">
        <f t="shared" ca="1" si="49"/>
        <v>0</v>
      </c>
      <c r="AD474" s="76">
        <f t="shared" ca="1" si="54"/>
        <v>12388.425641435188</v>
      </c>
      <c r="AE474" s="76">
        <f t="shared" si="55"/>
        <v>0</v>
      </c>
      <c r="AF474" s="75">
        <f t="shared" si="50"/>
        <v>0</v>
      </c>
      <c r="AG474" s="75">
        <f t="shared" si="51"/>
        <v>0</v>
      </c>
      <c r="AH474" s="31" t="e" cm="1">
        <f t="array" aca="1" ref="AH474" ca="1">IF((AD474) &lt; (INDEX(ResponseSLA[#All],(MATCH((G474),ResponseSLA[Priority],0))+1,3)),"YES","No")</f>
        <v>#N/A</v>
      </c>
      <c r="AI474" s="31" t="str">
        <f>_xlfn.IFNA(IF(AE474 &lt; (INDEX(SLATable[Minimum SLA],MATCH(G474,SLATable[Priority],0))),"YES","NO"),"")</f>
        <v/>
      </c>
      <c r="AJ474" t="str">
        <f>_xlfn.IFNA(IF(AE474 &lt; (INDEX(SLATable[Maximum SLA],MATCH(G474,SLATable[Priority],0))),"YES","NO"),"")</f>
        <v/>
      </c>
    </row>
    <row r="475" spans="26:36" ht="15" customHeight="1">
      <c r="Z475" s="76" t="e">
        <f t="shared" ca="1" si="52"/>
        <v>#N/A</v>
      </c>
      <c r="AA475" s="75" t="e">
        <f t="shared" ca="1" si="48"/>
        <v>#N/A</v>
      </c>
      <c r="AB475" s="76">
        <f t="shared" ca="1" si="53"/>
        <v>0</v>
      </c>
      <c r="AC475" s="75">
        <f t="shared" ca="1" si="49"/>
        <v>0</v>
      </c>
      <c r="AD475" s="76">
        <f t="shared" ca="1" si="54"/>
        <v>12388.425641435188</v>
      </c>
      <c r="AE475" s="76">
        <f t="shared" si="55"/>
        <v>0</v>
      </c>
      <c r="AF475" s="75">
        <f t="shared" si="50"/>
        <v>0</v>
      </c>
      <c r="AG475" s="75">
        <f t="shared" si="51"/>
        <v>0</v>
      </c>
      <c r="AH475" s="31" t="e" cm="1">
        <f t="array" aca="1" ref="AH475" ca="1">IF((AD475) &lt; (INDEX(ResponseSLA[#All],(MATCH((G475),ResponseSLA[Priority],0))+1,3)),"YES","No")</f>
        <v>#N/A</v>
      </c>
      <c r="AI475" s="31" t="str">
        <f>_xlfn.IFNA(IF(AE475 &lt; (INDEX(SLATable[Minimum SLA],MATCH(G475,SLATable[Priority],0))),"YES","NO"),"")</f>
        <v/>
      </c>
      <c r="AJ475" t="str">
        <f>_xlfn.IFNA(IF(AE475 &lt; (INDEX(SLATable[Maximum SLA],MATCH(G475,SLATable[Priority],0))),"YES","NO"),"")</f>
        <v/>
      </c>
    </row>
    <row r="476" spans="26:36" ht="15" customHeight="1">
      <c r="Z476" s="76" t="e">
        <f t="shared" ca="1" si="52"/>
        <v>#N/A</v>
      </c>
      <c r="AA476" s="75" t="e">
        <f t="shared" ca="1" si="48"/>
        <v>#N/A</v>
      </c>
      <c r="AB476" s="76">
        <f t="shared" ca="1" si="53"/>
        <v>0</v>
      </c>
      <c r="AC476" s="75">
        <f t="shared" ca="1" si="49"/>
        <v>0</v>
      </c>
      <c r="AD476" s="76">
        <f t="shared" ca="1" si="54"/>
        <v>12388.425641203703</v>
      </c>
      <c r="AE476" s="76">
        <f t="shared" si="55"/>
        <v>0</v>
      </c>
      <c r="AF476" s="75">
        <f t="shared" si="50"/>
        <v>0</v>
      </c>
      <c r="AG476" s="75">
        <f t="shared" si="51"/>
        <v>0</v>
      </c>
      <c r="AH476" s="31" t="e" cm="1">
        <f t="array" aca="1" ref="AH476" ca="1">IF((AD476) &lt; (INDEX(ResponseSLA[#All],(MATCH((G476),ResponseSLA[Priority],0))+1,3)),"YES","No")</f>
        <v>#N/A</v>
      </c>
      <c r="AI476" s="31" t="str">
        <f>_xlfn.IFNA(IF(AE476 &lt; (INDEX(SLATable[Minimum SLA],MATCH(G476,SLATable[Priority],0))),"YES","NO"),"")</f>
        <v/>
      </c>
      <c r="AJ476" t="str">
        <f>_xlfn.IFNA(IF(AE476 &lt; (INDEX(SLATable[Maximum SLA],MATCH(G476,SLATable[Priority],0))),"YES","NO"),"")</f>
        <v/>
      </c>
    </row>
    <row r="477" spans="26:36" ht="15" customHeight="1">
      <c r="Z477" s="76" t="e">
        <f t="shared" ca="1" si="52"/>
        <v>#N/A</v>
      </c>
      <c r="AA477" s="75" t="e">
        <f t="shared" ca="1" si="48"/>
        <v>#N/A</v>
      </c>
      <c r="AB477" s="76">
        <f t="shared" ca="1" si="53"/>
        <v>0</v>
      </c>
      <c r="AC477" s="75">
        <f t="shared" ca="1" si="49"/>
        <v>0</v>
      </c>
      <c r="AD477" s="76">
        <f t="shared" ca="1" si="54"/>
        <v>12388.425641435188</v>
      </c>
      <c r="AE477" s="76">
        <f t="shared" si="55"/>
        <v>0</v>
      </c>
      <c r="AF477" s="75">
        <f t="shared" si="50"/>
        <v>0</v>
      </c>
      <c r="AG477" s="75">
        <f t="shared" si="51"/>
        <v>0</v>
      </c>
      <c r="AH477" s="31" t="e" cm="1">
        <f t="array" aca="1" ref="AH477" ca="1">IF((AD477) &lt; (INDEX(ResponseSLA[#All],(MATCH((G477),ResponseSLA[Priority],0))+1,3)),"YES","No")</f>
        <v>#N/A</v>
      </c>
      <c r="AI477" s="31" t="str">
        <f>_xlfn.IFNA(IF(AE477 &lt; (INDEX(SLATable[Minimum SLA],MATCH(G477,SLATable[Priority],0))),"YES","NO"),"")</f>
        <v/>
      </c>
      <c r="AJ477" t="str">
        <f>_xlfn.IFNA(IF(AE477 &lt; (INDEX(SLATable[Maximum SLA],MATCH(G477,SLATable[Priority],0))),"YES","NO"),"")</f>
        <v/>
      </c>
    </row>
    <row r="478" spans="26:36" ht="15" customHeight="1">
      <c r="Z478" s="76" t="e">
        <f t="shared" ca="1" si="52"/>
        <v>#N/A</v>
      </c>
      <c r="AA478" s="75" t="e">
        <f t="shared" ca="1" si="48"/>
        <v>#N/A</v>
      </c>
      <c r="AB478" s="76">
        <f t="shared" ca="1" si="53"/>
        <v>0</v>
      </c>
      <c r="AC478" s="75">
        <f t="shared" ca="1" si="49"/>
        <v>0</v>
      </c>
      <c r="AD478" s="76">
        <f t="shared" ca="1" si="54"/>
        <v>12388.425641435188</v>
      </c>
      <c r="AE478" s="76">
        <f t="shared" si="55"/>
        <v>0</v>
      </c>
      <c r="AF478" s="75">
        <f t="shared" si="50"/>
        <v>0</v>
      </c>
      <c r="AG478" s="75">
        <f t="shared" si="51"/>
        <v>0</v>
      </c>
      <c r="AH478" s="31" t="e" cm="1">
        <f t="array" aca="1" ref="AH478" ca="1">IF((AD478) &lt; (INDEX(ResponseSLA[#All],(MATCH((G478),ResponseSLA[Priority],0))+1,3)),"YES","No")</f>
        <v>#N/A</v>
      </c>
      <c r="AI478" s="31" t="str">
        <f>_xlfn.IFNA(IF(AE478 &lt; (INDEX(SLATable[Minimum SLA],MATCH(G478,SLATable[Priority],0))),"YES","NO"),"")</f>
        <v/>
      </c>
      <c r="AJ478" t="str">
        <f>_xlfn.IFNA(IF(AE478 &lt; (INDEX(SLATable[Maximum SLA],MATCH(G478,SLATable[Priority],0))),"YES","NO"),"")</f>
        <v/>
      </c>
    </row>
    <row r="479" spans="26:36" ht="15" customHeight="1">
      <c r="Z479" s="76" t="e">
        <f t="shared" ca="1" si="52"/>
        <v>#N/A</v>
      </c>
      <c r="AA479" s="75" t="e">
        <f t="shared" ca="1" si="48"/>
        <v>#N/A</v>
      </c>
      <c r="AB479" s="76">
        <f t="shared" ca="1" si="53"/>
        <v>0</v>
      </c>
      <c r="AC479" s="75">
        <f t="shared" ca="1" si="49"/>
        <v>0</v>
      </c>
      <c r="AD479" s="76">
        <f t="shared" ca="1" si="54"/>
        <v>12388.425641203703</v>
      </c>
      <c r="AE479" s="76">
        <f t="shared" si="55"/>
        <v>0</v>
      </c>
      <c r="AF479" s="75">
        <f t="shared" si="50"/>
        <v>0</v>
      </c>
      <c r="AG479" s="75">
        <f t="shared" si="51"/>
        <v>0</v>
      </c>
      <c r="AH479" s="31" t="e" cm="1">
        <f t="array" aca="1" ref="AH479" ca="1">IF((AD479) &lt; (INDEX(ResponseSLA[#All],(MATCH((G479),ResponseSLA[Priority],0))+1,3)),"YES","No")</f>
        <v>#N/A</v>
      </c>
      <c r="AI479" s="31" t="str">
        <f>_xlfn.IFNA(IF(AE479 &lt; (INDEX(SLATable[Minimum SLA],MATCH(G479,SLATable[Priority],0))),"YES","NO"),"")</f>
        <v/>
      </c>
      <c r="AJ479" t="str">
        <f>_xlfn.IFNA(IF(AE479 &lt; (INDEX(SLATable[Maximum SLA],MATCH(G479,SLATable[Priority],0))),"YES","NO"),"")</f>
        <v/>
      </c>
    </row>
    <row r="480" spans="26:36" ht="15" customHeight="1">
      <c r="Z480" s="76" t="e">
        <f t="shared" ca="1" si="52"/>
        <v>#N/A</v>
      </c>
      <c r="AA480" s="75" t="e">
        <f t="shared" ca="1" si="48"/>
        <v>#N/A</v>
      </c>
      <c r="AB480" s="76">
        <f t="shared" ca="1" si="53"/>
        <v>0</v>
      </c>
      <c r="AC480" s="75">
        <f t="shared" ca="1" si="49"/>
        <v>0</v>
      </c>
      <c r="AD480" s="76">
        <f t="shared" ca="1" si="54"/>
        <v>12388.425641435188</v>
      </c>
      <c r="AE480" s="76">
        <f t="shared" si="55"/>
        <v>0</v>
      </c>
      <c r="AF480" s="75">
        <f t="shared" si="50"/>
        <v>0</v>
      </c>
      <c r="AG480" s="75">
        <f t="shared" si="51"/>
        <v>0</v>
      </c>
      <c r="AH480" s="31" t="e" cm="1">
        <f t="array" aca="1" ref="AH480" ca="1">IF((AD480) &lt; (INDEX(ResponseSLA[#All],(MATCH((G480),ResponseSLA[Priority],0))+1,3)),"YES","No")</f>
        <v>#N/A</v>
      </c>
      <c r="AI480" s="31" t="str">
        <f>_xlfn.IFNA(IF(AE480 &lt; (INDEX(SLATable[Minimum SLA],MATCH(G480,SLATable[Priority],0))),"YES","NO"),"")</f>
        <v/>
      </c>
      <c r="AJ480" t="str">
        <f>_xlfn.IFNA(IF(AE480 &lt; (INDEX(SLATable[Maximum SLA],MATCH(G480,SLATable[Priority],0))),"YES","NO"),"")</f>
        <v/>
      </c>
    </row>
    <row r="481" spans="26:36" ht="15" customHeight="1">
      <c r="Z481" s="76" t="e">
        <f t="shared" ca="1" si="52"/>
        <v>#N/A</v>
      </c>
      <c r="AA481" s="75" t="e">
        <f t="shared" ca="1" si="48"/>
        <v>#N/A</v>
      </c>
      <c r="AB481" s="76">
        <f t="shared" ca="1" si="53"/>
        <v>0</v>
      </c>
      <c r="AC481" s="75">
        <f t="shared" ca="1" si="49"/>
        <v>0</v>
      </c>
      <c r="AD481" s="76">
        <f t="shared" ca="1" si="54"/>
        <v>12388.425641435188</v>
      </c>
      <c r="AE481" s="76">
        <f t="shared" si="55"/>
        <v>0</v>
      </c>
      <c r="AF481" s="75">
        <f t="shared" si="50"/>
        <v>0</v>
      </c>
      <c r="AG481" s="75">
        <f t="shared" si="51"/>
        <v>0</v>
      </c>
      <c r="AH481" s="31" t="e" cm="1">
        <f t="array" aca="1" ref="AH481" ca="1">IF((AD481) &lt; (INDEX(ResponseSLA[#All],(MATCH((G481),ResponseSLA[Priority],0))+1,3)),"YES","No")</f>
        <v>#N/A</v>
      </c>
      <c r="AI481" s="31" t="str">
        <f>_xlfn.IFNA(IF(AE481 &lt; (INDEX(SLATable[Minimum SLA],MATCH(G481,SLATable[Priority],0))),"YES","NO"),"")</f>
        <v/>
      </c>
      <c r="AJ481" t="str">
        <f>_xlfn.IFNA(IF(AE481 &lt; (INDEX(SLATable[Maximum SLA],MATCH(G481,SLATable[Priority],0))),"YES","NO"),"")</f>
        <v/>
      </c>
    </row>
    <row r="482" spans="26:36" ht="15" customHeight="1">
      <c r="Z482" s="76" t="e">
        <f t="shared" ca="1" si="52"/>
        <v>#N/A</v>
      </c>
      <c r="AA482" s="75" t="e">
        <f t="shared" ca="1" si="48"/>
        <v>#N/A</v>
      </c>
      <c r="AB482" s="76">
        <f t="shared" ca="1" si="53"/>
        <v>0</v>
      </c>
      <c r="AC482" s="75">
        <f t="shared" ca="1" si="49"/>
        <v>0</v>
      </c>
      <c r="AD482" s="76">
        <f t="shared" ca="1" si="54"/>
        <v>12388.425641203703</v>
      </c>
      <c r="AE482" s="76">
        <f t="shared" si="55"/>
        <v>0</v>
      </c>
      <c r="AF482" s="75">
        <f t="shared" si="50"/>
        <v>0</v>
      </c>
      <c r="AG482" s="75">
        <f t="shared" si="51"/>
        <v>0</v>
      </c>
      <c r="AH482" s="31" t="e" cm="1">
        <f t="array" aca="1" ref="AH482" ca="1">IF((AD482) &lt; (INDEX(ResponseSLA[#All],(MATCH((G482),ResponseSLA[Priority],0))+1,3)),"YES","No")</f>
        <v>#N/A</v>
      </c>
      <c r="AI482" s="31" t="str">
        <f>_xlfn.IFNA(IF(AE482 &lt; (INDEX(SLATable[Minimum SLA],MATCH(G482,SLATable[Priority],0))),"YES","NO"),"")</f>
        <v/>
      </c>
      <c r="AJ482" t="str">
        <f>_xlfn.IFNA(IF(AE482 &lt; (INDEX(SLATable[Maximum SLA],MATCH(G482,SLATable[Priority],0))),"YES","NO"),"")</f>
        <v/>
      </c>
    </row>
    <row r="483" spans="26:36" ht="15" customHeight="1">
      <c r="Z483" s="76" t="e">
        <f t="shared" ca="1" si="52"/>
        <v>#N/A</v>
      </c>
      <c r="AA483" s="75" t="e">
        <f t="shared" ca="1" si="48"/>
        <v>#N/A</v>
      </c>
      <c r="AB483" s="76">
        <f t="shared" ca="1" si="53"/>
        <v>0</v>
      </c>
      <c r="AC483" s="75">
        <f t="shared" ca="1" si="49"/>
        <v>0</v>
      </c>
      <c r="AD483" s="76">
        <f t="shared" ca="1" si="54"/>
        <v>12388.425641435188</v>
      </c>
      <c r="AE483" s="76">
        <f t="shared" si="55"/>
        <v>0</v>
      </c>
      <c r="AF483" s="75">
        <f t="shared" si="50"/>
        <v>0</v>
      </c>
      <c r="AG483" s="75">
        <f t="shared" si="51"/>
        <v>0</v>
      </c>
      <c r="AH483" s="31" t="e" cm="1">
        <f t="array" aca="1" ref="AH483" ca="1">IF((AD483) &lt; (INDEX(ResponseSLA[#All],(MATCH((G483),ResponseSLA[Priority],0))+1,3)),"YES","No")</f>
        <v>#N/A</v>
      </c>
      <c r="AI483" s="31" t="str">
        <f>_xlfn.IFNA(IF(AE483 &lt; (INDEX(SLATable[Minimum SLA],MATCH(G483,SLATable[Priority],0))),"YES","NO"),"")</f>
        <v/>
      </c>
      <c r="AJ483" t="str">
        <f>_xlfn.IFNA(IF(AE483 &lt; (INDEX(SLATable[Maximum SLA],MATCH(G483,SLATable[Priority],0))),"YES","NO"),"")</f>
        <v/>
      </c>
    </row>
    <row r="484" spans="26:36" ht="15" customHeight="1">
      <c r="Z484" s="76" t="e">
        <f t="shared" ca="1" si="52"/>
        <v>#N/A</v>
      </c>
      <c r="AA484" s="75" t="e">
        <f t="shared" ca="1" si="48"/>
        <v>#N/A</v>
      </c>
      <c r="AB484" s="76">
        <f t="shared" ca="1" si="53"/>
        <v>0</v>
      </c>
      <c r="AC484" s="75">
        <f t="shared" ca="1" si="49"/>
        <v>0</v>
      </c>
      <c r="AD484" s="76">
        <f t="shared" ca="1" si="54"/>
        <v>12388.425641435188</v>
      </c>
      <c r="AE484" s="76">
        <f t="shared" si="55"/>
        <v>0</v>
      </c>
      <c r="AF484" s="75">
        <f t="shared" si="50"/>
        <v>0</v>
      </c>
      <c r="AG484" s="75">
        <f t="shared" si="51"/>
        <v>0</v>
      </c>
      <c r="AH484" s="31" t="e" cm="1">
        <f t="array" aca="1" ref="AH484" ca="1">IF((AD484) &lt; (INDEX(ResponseSLA[#All],(MATCH((G484),ResponseSLA[Priority],0))+1,3)),"YES","No")</f>
        <v>#N/A</v>
      </c>
      <c r="AI484" s="31" t="str">
        <f>_xlfn.IFNA(IF(AE484 &lt; (INDEX(SLATable[Minimum SLA],MATCH(G484,SLATable[Priority],0))),"YES","NO"),"")</f>
        <v/>
      </c>
      <c r="AJ484" t="str">
        <f>_xlfn.IFNA(IF(AE484 &lt; (INDEX(SLATable[Maximum SLA],MATCH(G484,SLATable[Priority],0))),"YES","NO"),"")</f>
        <v/>
      </c>
    </row>
    <row r="485" spans="26:36" ht="15" customHeight="1">
      <c r="Z485" s="76" t="e">
        <f t="shared" ca="1" si="52"/>
        <v>#N/A</v>
      </c>
      <c r="AA485" s="75" t="e">
        <f t="shared" ca="1" si="48"/>
        <v>#N/A</v>
      </c>
      <c r="AB485" s="76">
        <f t="shared" ca="1" si="53"/>
        <v>0</v>
      </c>
      <c r="AC485" s="75">
        <f t="shared" ca="1" si="49"/>
        <v>0</v>
      </c>
      <c r="AD485" s="76">
        <f t="shared" ca="1" si="54"/>
        <v>12388.425641203703</v>
      </c>
      <c r="AE485" s="76">
        <f t="shared" si="55"/>
        <v>0</v>
      </c>
      <c r="AF485" s="75">
        <f t="shared" si="50"/>
        <v>0</v>
      </c>
      <c r="AG485" s="75">
        <f t="shared" si="51"/>
        <v>0</v>
      </c>
      <c r="AH485" s="31" t="e" cm="1">
        <f t="array" aca="1" ref="AH485" ca="1">IF((AD485) &lt; (INDEX(ResponseSLA[#All],(MATCH((G485),ResponseSLA[Priority],0))+1,3)),"YES","No")</f>
        <v>#N/A</v>
      </c>
      <c r="AI485" s="31" t="str">
        <f>_xlfn.IFNA(IF(AE485 &lt; (INDEX(SLATable[Minimum SLA],MATCH(G485,SLATable[Priority],0))),"YES","NO"),"")</f>
        <v/>
      </c>
      <c r="AJ485" t="str">
        <f>_xlfn.IFNA(IF(AE485 &lt; (INDEX(SLATable[Maximum SLA],MATCH(G485,SLATable[Priority],0))),"YES","NO"),"")</f>
        <v/>
      </c>
    </row>
    <row r="486" spans="26:36" ht="15" customHeight="1">
      <c r="Z486" s="76" t="e">
        <f t="shared" ca="1" si="52"/>
        <v>#N/A</v>
      </c>
      <c r="AA486" s="75" t="e">
        <f t="shared" ca="1" si="48"/>
        <v>#N/A</v>
      </c>
      <c r="AB486" s="76">
        <f t="shared" ca="1" si="53"/>
        <v>0</v>
      </c>
      <c r="AC486" s="75">
        <f t="shared" ca="1" si="49"/>
        <v>0</v>
      </c>
      <c r="AD486" s="76">
        <f t="shared" ca="1" si="54"/>
        <v>12388.425641435188</v>
      </c>
      <c r="AE486" s="76">
        <f t="shared" si="55"/>
        <v>0</v>
      </c>
      <c r="AF486" s="75">
        <f t="shared" si="50"/>
        <v>0</v>
      </c>
      <c r="AG486" s="75">
        <f t="shared" si="51"/>
        <v>0</v>
      </c>
      <c r="AH486" s="31" t="e" cm="1">
        <f t="array" aca="1" ref="AH486" ca="1">IF((AD486) &lt; (INDEX(ResponseSLA[#All],(MATCH((G486),ResponseSLA[Priority],0))+1,3)),"YES","No")</f>
        <v>#N/A</v>
      </c>
      <c r="AI486" s="31" t="str">
        <f>_xlfn.IFNA(IF(AE486 &lt; (INDEX(SLATable[Minimum SLA],MATCH(G486,SLATable[Priority],0))),"YES","NO"),"")</f>
        <v/>
      </c>
      <c r="AJ486" t="str">
        <f>_xlfn.IFNA(IF(AE486 &lt; (INDEX(SLATable[Maximum SLA],MATCH(G486,SLATable[Priority],0))),"YES","NO"),"")</f>
        <v/>
      </c>
    </row>
    <row r="487" spans="26:36" ht="15" customHeight="1">
      <c r="Z487" s="76" t="e">
        <f t="shared" ca="1" si="52"/>
        <v>#N/A</v>
      </c>
      <c r="AA487" s="75" t="e">
        <f t="shared" ca="1" si="48"/>
        <v>#N/A</v>
      </c>
      <c r="AB487" s="76">
        <f t="shared" ca="1" si="53"/>
        <v>0</v>
      </c>
      <c r="AC487" s="75">
        <f t="shared" ca="1" si="49"/>
        <v>0</v>
      </c>
      <c r="AD487" s="76">
        <f t="shared" ca="1" si="54"/>
        <v>12388.425641435188</v>
      </c>
      <c r="AE487" s="76">
        <f t="shared" si="55"/>
        <v>0</v>
      </c>
      <c r="AF487" s="75">
        <f t="shared" si="50"/>
        <v>0</v>
      </c>
      <c r="AG487" s="75">
        <f t="shared" si="51"/>
        <v>0</v>
      </c>
      <c r="AH487" s="31" t="e" cm="1">
        <f t="array" aca="1" ref="AH487" ca="1">IF((AD487) &lt; (INDEX(ResponseSLA[#All],(MATCH((G487),ResponseSLA[Priority],0))+1,3)),"YES","No")</f>
        <v>#N/A</v>
      </c>
      <c r="AI487" s="31" t="str">
        <f>_xlfn.IFNA(IF(AE487 &lt; (INDEX(SLATable[Minimum SLA],MATCH(G487,SLATable[Priority],0))),"YES","NO"),"")</f>
        <v/>
      </c>
      <c r="AJ487" t="str">
        <f>_xlfn.IFNA(IF(AE487 &lt; (INDEX(SLATable[Maximum SLA],MATCH(G487,SLATable[Priority],0))),"YES","NO"),"")</f>
        <v/>
      </c>
    </row>
    <row r="488" spans="26:36" ht="15" customHeight="1">
      <c r="Z488" s="76" t="e">
        <f t="shared" ca="1" si="52"/>
        <v>#N/A</v>
      </c>
      <c r="AA488" s="75" t="e">
        <f t="shared" ca="1" si="48"/>
        <v>#N/A</v>
      </c>
      <c r="AB488" s="76">
        <f t="shared" ca="1" si="53"/>
        <v>0</v>
      </c>
      <c r="AC488" s="75">
        <f t="shared" ca="1" si="49"/>
        <v>0</v>
      </c>
      <c r="AD488" s="76">
        <f t="shared" ca="1" si="54"/>
        <v>12388.425641203703</v>
      </c>
      <c r="AE488" s="76">
        <f t="shared" si="55"/>
        <v>0</v>
      </c>
      <c r="AF488" s="75">
        <f t="shared" si="50"/>
        <v>0</v>
      </c>
      <c r="AG488" s="75">
        <f t="shared" si="51"/>
        <v>0</v>
      </c>
      <c r="AH488" s="31" t="e" cm="1">
        <f t="array" aca="1" ref="AH488" ca="1">IF((AD488) &lt; (INDEX(ResponseSLA[#All],(MATCH((G488),ResponseSLA[Priority],0))+1,3)),"YES","No")</f>
        <v>#N/A</v>
      </c>
      <c r="AI488" s="31" t="str">
        <f>_xlfn.IFNA(IF(AE488 &lt; (INDEX(SLATable[Minimum SLA],MATCH(G488,SLATable[Priority],0))),"YES","NO"),"")</f>
        <v/>
      </c>
      <c r="AJ488" t="str">
        <f>_xlfn.IFNA(IF(AE488 &lt; (INDEX(SLATable[Maximum SLA],MATCH(G488,SLATable[Priority],0))),"YES","NO"),"")</f>
        <v/>
      </c>
    </row>
    <row r="489" spans="26:36" ht="15" customHeight="1">
      <c r="Z489" s="76" t="e">
        <f t="shared" ca="1" si="52"/>
        <v>#N/A</v>
      </c>
      <c r="AA489" s="75" t="e">
        <f t="shared" ca="1" si="48"/>
        <v>#N/A</v>
      </c>
      <c r="AB489" s="76">
        <f t="shared" ca="1" si="53"/>
        <v>0</v>
      </c>
      <c r="AC489" s="75">
        <f t="shared" ca="1" si="49"/>
        <v>0</v>
      </c>
      <c r="AD489" s="76">
        <f t="shared" ca="1" si="54"/>
        <v>12388.425641435188</v>
      </c>
      <c r="AE489" s="76">
        <f t="shared" si="55"/>
        <v>0</v>
      </c>
      <c r="AF489" s="75">
        <f t="shared" si="50"/>
        <v>0</v>
      </c>
      <c r="AG489" s="75">
        <f t="shared" si="51"/>
        <v>0</v>
      </c>
      <c r="AH489" s="31" t="e" cm="1">
        <f t="array" aca="1" ref="AH489" ca="1">IF((AD489) &lt; (INDEX(ResponseSLA[#All],(MATCH((G489),ResponseSLA[Priority],0))+1,3)),"YES","No")</f>
        <v>#N/A</v>
      </c>
      <c r="AI489" s="31" t="str">
        <f>_xlfn.IFNA(IF(AE489 &lt; (INDEX(SLATable[Minimum SLA],MATCH(G489,SLATable[Priority],0))),"YES","NO"),"")</f>
        <v/>
      </c>
      <c r="AJ489" t="str">
        <f>_xlfn.IFNA(IF(AE489 &lt; (INDEX(SLATable[Maximum SLA],MATCH(G489,SLATable[Priority],0))),"YES","NO"),"")</f>
        <v/>
      </c>
    </row>
    <row r="490" spans="26:36" ht="15" customHeight="1">
      <c r="Z490" s="76" t="e">
        <f t="shared" ca="1" si="52"/>
        <v>#N/A</v>
      </c>
      <c r="AA490" s="75" t="e">
        <f t="shared" ca="1" si="48"/>
        <v>#N/A</v>
      </c>
      <c r="AB490" s="76">
        <f t="shared" ca="1" si="53"/>
        <v>0</v>
      </c>
      <c r="AC490" s="75">
        <f t="shared" ca="1" si="49"/>
        <v>0</v>
      </c>
      <c r="AD490" s="76">
        <f t="shared" ca="1" si="54"/>
        <v>12388.425641435188</v>
      </c>
      <c r="AE490" s="76">
        <f t="shared" si="55"/>
        <v>0</v>
      </c>
      <c r="AF490" s="75">
        <f t="shared" si="50"/>
        <v>0</v>
      </c>
      <c r="AG490" s="75">
        <f t="shared" si="51"/>
        <v>0</v>
      </c>
      <c r="AH490" s="31" t="e" cm="1">
        <f t="array" aca="1" ref="AH490" ca="1">IF((AD490) &lt; (INDEX(ResponseSLA[#All],(MATCH((G490),ResponseSLA[Priority],0))+1,3)),"YES","No")</f>
        <v>#N/A</v>
      </c>
      <c r="AI490" s="31" t="str">
        <f>_xlfn.IFNA(IF(AE490 &lt; (INDEX(SLATable[Minimum SLA],MATCH(G490,SLATable[Priority],0))),"YES","NO"),"")</f>
        <v/>
      </c>
      <c r="AJ490" t="str">
        <f>_xlfn.IFNA(IF(AE490 &lt; (INDEX(SLATable[Maximum SLA],MATCH(G490,SLATable[Priority],0))),"YES","NO"),"")</f>
        <v/>
      </c>
    </row>
    <row r="491" spans="26:36" ht="15" customHeight="1">
      <c r="Z491" s="76" t="e">
        <f t="shared" ca="1" si="52"/>
        <v>#N/A</v>
      </c>
      <c r="AA491" s="75" t="e">
        <f t="shared" ca="1" si="48"/>
        <v>#N/A</v>
      </c>
      <c r="AB491" s="76">
        <f t="shared" ca="1" si="53"/>
        <v>0</v>
      </c>
      <c r="AC491" s="75">
        <f t="shared" ca="1" si="49"/>
        <v>0</v>
      </c>
      <c r="AD491" s="76">
        <f t="shared" ca="1" si="54"/>
        <v>12388.425641203703</v>
      </c>
      <c r="AE491" s="76">
        <f t="shared" si="55"/>
        <v>0</v>
      </c>
      <c r="AF491" s="75">
        <f t="shared" si="50"/>
        <v>0</v>
      </c>
      <c r="AG491" s="75">
        <f t="shared" si="51"/>
        <v>0</v>
      </c>
      <c r="AH491" s="31" t="e" cm="1">
        <f t="array" aca="1" ref="AH491" ca="1">IF((AD491) &lt; (INDEX(ResponseSLA[#All],(MATCH((G491),ResponseSLA[Priority],0))+1,3)),"YES","No")</f>
        <v>#N/A</v>
      </c>
      <c r="AI491" s="31" t="str">
        <f>_xlfn.IFNA(IF(AE491 &lt; (INDEX(SLATable[Minimum SLA],MATCH(G491,SLATable[Priority],0))),"YES","NO"),"")</f>
        <v/>
      </c>
      <c r="AJ491" t="str">
        <f>_xlfn.IFNA(IF(AE491 &lt; (INDEX(SLATable[Maximum SLA],MATCH(G491,SLATable[Priority],0))),"YES","NO"),"")</f>
        <v/>
      </c>
    </row>
    <row r="492" spans="26:36" ht="15" customHeight="1">
      <c r="Z492" s="76" t="e">
        <f t="shared" ca="1" si="52"/>
        <v>#N/A</v>
      </c>
      <c r="AA492" s="75" t="e">
        <f t="shared" ca="1" si="48"/>
        <v>#N/A</v>
      </c>
      <c r="AB492" s="76">
        <f t="shared" ca="1" si="53"/>
        <v>0</v>
      </c>
      <c r="AC492" s="75">
        <f t="shared" ca="1" si="49"/>
        <v>0</v>
      </c>
      <c r="AD492" s="76">
        <f t="shared" ca="1" si="54"/>
        <v>12388.425641435188</v>
      </c>
      <c r="AE492" s="76">
        <f t="shared" si="55"/>
        <v>0</v>
      </c>
      <c r="AF492" s="75">
        <f t="shared" si="50"/>
        <v>0</v>
      </c>
      <c r="AG492" s="75">
        <f t="shared" si="51"/>
        <v>0</v>
      </c>
      <c r="AH492" s="31" t="e" cm="1">
        <f t="array" aca="1" ref="AH492" ca="1">IF((AD492) &lt; (INDEX(ResponseSLA[#All],(MATCH((G492),ResponseSLA[Priority],0))+1,3)),"YES","No")</f>
        <v>#N/A</v>
      </c>
      <c r="AI492" s="31" t="str">
        <f>_xlfn.IFNA(IF(AE492 &lt; (INDEX(SLATable[Minimum SLA],MATCH(G492,SLATable[Priority],0))),"YES","NO"),"")</f>
        <v/>
      </c>
      <c r="AJ492" t="str">
        <f>_xlfn.IFNA(IF(AE492 &lt; (INDEX(SLATable[Maximum SLA],MATCH(G492,SLATable[Priority],0))),"YES","NO"),"")</f>
        <v/>
      </c>
    </row>
    <row r="493" spans="26:36" ht="15" customHeight="1">
      <c r="Z493" s="76" t="e">
        <f t="shared" ca="1" si="52"/>
        <v>#N/A</v>
      </c>
      <c r="AA493" s="75" t="e">
        <f t="shared" ca="1" si="48"/>
        <v>#N/A</v>
      </c>
      <c r="AB493" s="76">
        <f t="shared" ca="1" si="53"/>
        <v>0</v>
      </c>
      <c r="AC493" s="75">
        <f t="shared" ca="1" si="49"/>
        <v>0</v>
      </c>
      <c r="AD493" s="76">
        <f t="shared" ca="1" si="54"/>
        <v>12388.425641435188</v>
      </c>
      <c r="AE493" s="76">
        <f t="shared" si="55"/>
        <v>0</v>
      </c>
      <c r="AF493" s="75">
        <f t="shared" si="50"/>
        <v>0</v>
      </c>
      <c r="AG493" s="75">
        <f t="shared" si="51"/>
        <v>0</v>
      </c>
      <c r="AH493" s="31" t="e" cm="1">
        <f t="array" aca="1" ref="AH493" ca="1">IF((AD493) &lt; (INDEX(ResponseSLA[#All],(MATCH((G493),ResponseSLA[Priority],0))+1,3)),"YES","No")</f>
        <v>#N/A</v>
      </c>
      <c r="AI493" s="31" t="str">
        <f>_xlfn.IFNA(IF(AE493 &lt; (INDEX(SLATable[Minimum SLA],MATCH(G493,SLATable[Priority],0))),"YES","NO"),"")</f>
        <v/>
      </c>
      <c r="AJ493" t="str">
        <f>_xlfn.IFNA(IF(AE493 &lt; (INDEX(SLATable[Maximum SLA],MATCH(G493,SLATable[Priority],0))),"YES","NO"),"")</f>
        <v/>
      </c>
    </row>
    <row r="494" spans="26:36" ht="15" customHeight="1">
      <c r="Z494" s="76" t="e">
        <f t="shared" ca="1" si="52"/>
        <v>#N/A</v>
      </c>
      <c r="AA494" s="75" t="e">
        <f t="shared" ca="1" si="48"/>
        <v>#N/A</v>
      </c>
      <c r="AB494" s="76">
        <f t="shared" ca="1" si="53"/>
        <v>0</v>
      </c>
      <c r="AC494" s="75">
        <f t="shared" ca="1" si="49"/>
        <v>0</v>
      </c>
      <c r="AD494" s="76">
        <f t="shared" ca="1" si="54"/>
        <v>12388.425641203703</v>
      </c>
      <c r="AE494" s="76">
        <f t="shared" si="55"/>
        <v>0</v>
      </c>
      <c r="AF494" s="75">
        <f t="shared" si="50"/>
        <v>0</v>
      </c>
      <c r="AG494" s="75">
        <f t="shared" si="51"/>
        <v>0</v>
      </c>
      <c r="AH494" s="31" t="e" cm="1">
        <f t="array" aca="1" ref="AH494" ca="1">IF((AD494) &lt; (INDEX(ResponseSLA[#All],(MATCH((G494),ResponseSLA[Priority],0))+1,3)),"YES","No")</f>
        <v>#N/A</v>
      </c>
      <c r="AI494" s="31" t="str">
        <f>_xlfn.IFNA(IF(AE494 &lt; (INDEX(SLATable[Minimum SLA],MATCH(G494,SLATable[Priority],0))),"YES","NO"),"")</f>
        <v/>
      </c>
      <c r="AJ494" t="str">
        <f>_xlfn.IFNA(IF(AE494 &lt; (INDEX(SLATable[Maximum SLA],MATCH(G494,SLATable[Priority],0))),"YES","NO"),"")</f>
        <v/>
      </c>
    </row>
    <row r="495" spans="26:36" ht="15" customHeight="1">
      <c r="Z495" s="76" t="e">
        <f t="shared" ca="1" si="52"/>
        <v>#N/A</v>
      </c>
      <c r="AA495" s="75" t="e">
        <f t="shared" ca="1" si="48"/>
        <v>#N/A</v>
      </c>
      <c r="AB495" s="76">
        <f t="shared" ca="1" si="53"/>
        <v>0</v>
      </c>
      <c r="AC495" s="75">
        <f t="shared" ca="1" si="49"/>
        <v>0</v>
      </c>
      <c r="AD495" s="76">
        <f t="shared" ca="1" si="54"/>
        <v>12388.425641435188</v>
      </c>
      <c r="AE495" s="76">
        <f t="shared" si="55"/>
        <v>0</v>
      </c>
      <c r="AF495" s="75">
        <f t="shared" si="50"/>
        <v>0</v>
      </c>
      <c r="AG495" s="75">
        <f t="shared" si="51"/>
        <v>0</v>
      </c>
      <c r="AH495" s="31" t="e" cm="1">
        <f t="array" aca="1" ref="AH495" ca="1">IF((AD495) &lt; (INDEX(ResponseSLA[#All],(MATCH((G495),ResponseSLA[Priority],0))+1,3)),"YES","No")</f>
        <v>#N/A</v>
      </c>
      <c r="AI495" s="31" t="str">
        <f>_xlfn.IFNA(IF(AE495 &lt; (INDEX(SLATable[Minimum SLA],MATCH(G495,SLATable[Priority],0))),"YES","NO"),"")</f>
        <v/>
      </c>
      <c r="AJ495" t="str">
        <f>_xlfn.IFNA(IF(AE495 &lt; (INDEX(SLATable[Maximum SLA],MATCH(G495,SLATable[Priority],0))),"YES","NO"),"")</f>
        <v/>
      </c>
    </row>
    <row r="496" spans="26:36" ht="15" customHeight="1">
      <c r="Z496" s="76" t="e">
        <f t="shared" ca="1" si="52"/>
        <v>#N/A</v>
      </c>
      <c r="AA496" s="75" t="e">
        <f t="shared" ca="1" si="48"/>
        <v>#N/A</v>
      </c>
      <c r="AB496" s="76">
        <f t="shared" ca="1" si="53"/>
        <v>0</v>
      </c>
      <c r="AC496" s="75">
        <f t="shared" ca="1" si="49"/>
        <v>0</v>
      </c>
      <c r="AD496" s="76">
        <f t="shared" ca="1" si="54"/>
        <v>12388.425641435188</v>
      </c>
      <c r="AE496" s="76">
        <f t="shared" si="55"/>
        <v>0</v>
      </c>
      <c r="AF496" s="75">
        <f t="shared" si="50"/>
        <v>0</v>
      </c>
      <c r="AG496" s="75">
        <f t="shared" si="51"/>
        <v>0</v>
      </c>
      <c r="AH496" s="31" t="e" cm="1">
        <f t="array" aca="1" ref="AH496" ca="1">IF((AD496) &lt; (INDEX(ResponseSLA[#All],(MATCH((G496),ResponseSLA[Priority],0))+1,3)),"YES","No")</f>
        <v>#N/A</v>
      </c>
      <c r="AI496" s="31" t="str">
        <f>_xlfn.IFNA(IF(AE496 &lt; (INDEX(SLATable[Minimum SLA],MATCH(G496,SLATable[Priority],0))),"YES","NO"),"")</f>
        <v/>
      </c>
      <c r="AJ496" t="str">
        <f>_xlfn.IFNA(IF(AE496 &lt; (INDEX(SLATable[Maximum SLA],MATCH(G496,SLATable[Priority],0))),"YES","NO"),"")</f>
        <v/>
      </c>
    </row>
    <row r="497" spans="26:36" ht="15" customHeight="1">
      <c r="Z497" s="76" t="e">
        <f t="shared" ca="1" si="52"/>
        <v>#N/A</v>
      </c>
      <c r="AA497" s="75" t="e">
        <f t="shared" ca="1" si="48"/>
        <v>#N/A</v>
      </c>
      <c r="AB497" s="76">
        <f t="shared" ca="1" si="53"/>
        <v>0</v>
      </c>
      <c r="AC497" s="75">
        <f t="shared" ca="1" si="49"/>
        <v>0</v>
      </c>
      <c r="AD497" s="76">
        <f t="shared" ca="1" si="54"/>
        <v>12388.425641203703</v>
      </c>
      <c r="AE497" s="76">
        <f t="shared" si="55"/>
        <v>0</v>
      </c>
      <c r="AF497" s="75">
        <f t="shared" si="50"/>
        <v>0</v>
      </c>
      <c r="AG497" s="75">
        <f t="shared" si="51"/>
        <v>0</v>
      </c>
      <c r="AH497" s="31" t="e" cm="1">
        <f t="array" aca="1" ref="AH497" ca="1">IF((AD497) &lt; (INDEX(ResponseSLA[#All],(MATCH((G497),ResponseSLA[Priority],0))+1,3)),"YES","No")</f>
        <v>#N/A</v>
      </c>
      <c r="AI497" s="31" t="str">
        <f>_xlfn.IFNA(IF(AE497 &lt; (INDEX(SLATable[Minimum SLA],MATCH(G497,SLATable[Priority],0))),"YES","NO"),"")</f>
        <v/>
      </c>
      <c r="AJ497" t="str">
        <f>_xlfn.IFNA(IF(AE497 &lt; (INDEX(SLATable[Maximum SLA],MATCH(G497,SLATable[Priority],0))),"YES","NO"),"")</f>
        <v/>
      </c>
    </row>
    <row r="498" spans="26:36" ht="15" customHeight="1">
      <c r="Z498" s="76" t="e">
        <f t="shared" ca="1" si="52"/>
        <v>#N/A</v>
      </c>
      <c r="AA498" s="75" t="e">
        <f t="shared" ca="1" si="48"/>
        <v>#N/A</v>
      </c>
      <c r="AB498" s="76">
        <f t="shared" ca="1" si="53"/>
        <v>0</v>
      </c>
      <c r="AC498" s="75">
        <f t="shared" ca="1" si="49"/>
        <v>0</v>
      </c>
      <c r="AD498" s="76">
        <f t="shared" ca="1" si="54"/>
        <v>12388.425641435188</v>
      </c>
      <c r="AE498" s="76">
        <f t="shared" si="55"/>
        <v>0</v>
      </c>
      <c r="AF498" s="75">
        <f t="shared" si="50"/>
        <v>0</v>
      </c>
      <c r="AG498" s="75">
        <f t="shared" si="51"/>
        <v>0</v>
      </c>
      <c r="AH498" s="31" t="e" cm="1">
        <f t="array" aca="1" ref="AH498" ca="1">IF((AD498) &lt; (INDEX(ResponseSLA[#All],(MATCH((G498),ResponseSLA[Priority],0))+1,3)),"YES","No")</f>
        <v>#N/A</v>
      </c>
      <c r="AI498" s="31" t="str">
        <f>_xlfn.IFNA(IF(AE498 &lt; (INDEX(SLATable[Minimum SLA],MATCH(G498,SLATable[Priority],0))),"YES","NO"),"")</f>
        <v/>
      </c>
      <c r="AJ498" t="str">
        <f>_xlfn.IFNA(IF(AE498 &lt; (INDEX(SLATable[Maximum SLA],MATCH(G498,SLATable[Priority],0))),"YES","NO"),"")</f>
        <v/>
      </c>
    </row>
    <row r="499" spans="26:36" ht="15" customHeight="1">
      <c r="Z499" s="76" t="e">
        <f t="shared" ca="1" si="52"/>
        <v>#N/A</v>
      </c>
      <c r="AA499" s="75" t="e">
        <f t="shared" ca="1" si="48"/>
        <v>#N/A</v>
      </c>
      <c r="AB499" s="76">
        <f t="shared" ca="1" si="53"/>
        <v>0</v>
      </c>
      <c r="AC499" s="75">
        <f t="shared" ca="1" si="49"/>
        <v>0</v>
      </c>
      <c r="AD499" s="76">
        <f t="shared" ca="1" si="54"/>
        <v>12388.425641435188</v>
      </c>
      <c r="AE499" s="76">
        <f t="shared" si="55"/>
        <v>0</v>
      </c>
      <c r="AF499" s="75">
        <f t="shared" si="50"/>
        <v>0</v>
      </c>
      <c r="AG499" s="75">
        <f t="shared" si="51"/>
        <v>0</v>
      </c>
      <c r="AH499" s="31" t="e" cm="1">
        <f t="array" aca="1" ref="AH499" ca="1">IF((AD499) &lt; (INDEX(ResponseSLA[#All],(MATCH((G499),ResponseSLA[Priority],0))+1,3)),"YES","No")</f>
        <v>#N/A</v>
      </c>
      <c r="AI499" s="31" t="str">
        <f>_xlfn.IFNA(IF(AE499 &lt; (INDEX(SLATable[Minimum SLA],MATCH(G499,SLATable[Priority],0))),"YES","NO"),"")</f>
        <v/>
      </c>
      <c r="AJ499" t="str">
        <f>_xlfn.IFNA(IF(AE499 &lt; (INDEX(SLATable[Maximum SLA],MATCH(G499,SLATable[Priority],0))),"YES","NO"),"")</f>
        <v/>
      </c>
    </row>
    <row r="500" spans="26:36" ht="15" customHeight="1">
      <c r="Z500" s="76" t="e">
        <f t="shared" ca="1" si="52"/>
        <v>#N/A</v>
      </c>
      <c r="AA500" s="75" t="e">
        <f t="shared" ca="1" si="48"/>
        <v>#N/A</v>
      </c>
      <c r="AB500" s="76">
        <f t="shared" ca="1" si="53"/>
        <v>0</v>
      </c>
      <c r="AC500" s="75">
        <f t="shared" ca="1" si="49"/>
        <v>0</v>
      </c>
      <c r="AD500" s="76">
        <f t="shared" ca="1" si="54"/>
        <v>12388.425641203703</v>
      </c>
      <c r="AE500" s="76">
        <f t="shared" si="55"/>
        <v>0</v>
      </c>
      <c r="AF500" s="75">
        <f t="shared" si="50"/>
        <v>0</v>
      </c>
      <c r="AG500" s="75">
        <f t="shared" si="51"/>
        <v>0</v>
      </c>
      <c r="AH500" s="31" t="e" cm="1">
        <f t="array" aca="1" ref="AH500" ca="1">IF((AD500) &lt; (INDEX(ResponseSLA[#All],(MATCH((G500),ResponseSLA[Priority],0))+1,3)),"YES","No")</f>
        <v>#N/A</v>
      </c>
      <c r="AI500" s="31" t="str">
        <f>_xlfn.IFNA(IF(AE500 &lt; (INDEX(SLATable[Minimum SLA],MATCH(G500,SLATable[Priority],0))),"YES","NO"),"")</f>
        <v/>
      </c>
      <c r="AJ500" t="str">
        <f>_xlfn.IFNA(IF(AE500 &lt; (INDEX(SLATable[Maximum SLA],MATCH(G500,SLATable[Priority],0))),"YES","NO"),"")</f>
        <v/>
      </c>
    </row>
  </sheetData>
  <sheetProtection algorithmName="SHA-512" hashValue="2hHxEZ3FxnNkCQmlpzXYFaF3QaEttyi7SU6ezbjzRSb3R/6BtBPAKHJCq1ImZa6R3/EgILndkUVk81LT/IohtQ==" saltValue="YymYhjkCyFbGcnG6nUEoiQ==" spinCount="100000" sheet="1" objects="1" scenarios="1" autoFilter="0"/>
  <protectedRanges>
    <protectedRange algorithmName="SHA-512" hashValue="99OQ+VOyYeTgkyp5V2h7IJuhOY+ByGUUH4Kc0xKuZgn2w66Z/zb6NCagB6+bjIBmhadenmL7/H2PSKzd599e6Q==" saltValue="s8mGfn7WVHJZXEYeB6j8Yw==" spinCount="100000" sqref="U1 AB1:AJ1" name="Formula Cells"/>
  </protectedRanges>
  <conditionalFormatting sqref="E1">
    <cfRule type="duplicateValues" dxfId="4" priority="2"/>
  </conditionalFormatting>
  <conditionalFormatting sqref="E1:E1048576">
    <cfRule type="duplicateValues" dxfId="3" priority="1"/>
  </conditionalFormatting>
  <dataValidations count="13">
    <dataValidation type="list" allowBlank="1" showInputMessage="1" showErrorMessage="1" sqref="I1:I1048576" xr:uid="{B9820CD3-4132-47C8-A70C-13E355191F7B}">
      <formula1>Status_List</formula1>
    </dataValidation>
    <dataValidation type="list" allowBlank="1" showInputMessage="1" showErrorMessage="1" sqref="B1:B1048576" xr:uid="{58806BB5-12A6-474E-B4EA-B66E89A22BF4}">
      <formula1>OpCo_List</formula1>
    </dataValidation>
    <dataValidation type="list" showInputMessage="1" showErrorMessage="1" errorTitle="Invalid Domain" error="Please select value only from dropdown" sqref="C1:C1048576" xr:uid="{AA9AE6C5-F98B-4495-8CE7-AB97ADB2D98E}">
      <formula1>Domain_List</formula1>
    </dataValidation>
    <dataValidation type="list" allowBlank="1" showInputMessage="1" showErrorMessage="1" sqref="D1:D1048576" xr:uid="{C99C3982-D576-44AB-9A1E-D5336D2FC045}">
      <formula1>Type_List</formula1>
    </dataValidation>
    <dataValidation type="list" allowBlank="1" showInputMessage="1" showErrorMessage="1" sqref="F1:F1048576" xr:uid="{4B265A48-900A-4BB7-9E27-0A814A1A2F12}">
      <formula1>Queue_List</formula1>
    </dataValidation>
    <dataValidation type="list" allowBlank="1" showInputMessage="1" showErrorMessage="1" sqref="R1:R1048576" xr:uid="{4F089D14-CBC5-4E96-A3F6-90EB5EBCD003}">
      <formula1>Resolution_List</formula1>
    </dataValidation>
    <dataValidation type="list" allowBlank="1" showInputMessage="1" showErrorMessage="1" sqref="U1:U1048576" xr:uid="{9568A79C-DB3C-407F-9A22-7392EEB1B0A5}">
      <formula1>"Yes,No"</formula1>
    </dataValidation>
    <dataValidation allowBlank="1" showInputMessage="1" showErrorMessage="1" errorTitle="Assigned to" error="dont type idiot" sqref="J1:J5" xr:uid="{F7920E08-C9DD-45E6-A01E-8C973449F9F2}"/>
    <dataValidation type="list" allowBlank="1" showInputMessage="1" showErrorMessage="1" sqref="S2:S1048576" xr:uid="{0232F444-5844-47C1-BA64-378C42153943}">
      <formula1>IF(D2="","",INDIRECT(D2))</formula1>
    </dataValidation>
    <dataValidation allowBlank="1" showInputMessage="1" showErrorMessage="1" sqref="S1" xr:uid="{30ED6407-E15E-488C-82EB-525D024870B2}"/>
    <dataValidation type="date" allowBlank="1" showInputMessage="1" showErrorMessage="1" sqref="O1:P5 N1 K1 L1:M2 L11:N494 L8:N8 L5:M6 K8:K494" xr:uid="{F3262342-F9FB-4D91-AF90-458E2D3E1094}">
      <formula1>36526</formula1>
      <formula2>73050</formula2>
    </dataValidation>
    <dataValidation type="list" allowBlank="1" showInputMessage="1" showErrorMessage="1" sqref="U1 T1:T1048576" xr:uid="{5D6E422C-9665-499F-9CF5-62E417E0DBEE}">
      <formula1>SubCategory</formula1>
    </dataValidation>
    <dataValidation type="list" showInputMessage="1" showErrorMessage="1" errorTitle="Invalid Entry" error="Please select a value in TYPE before entering Priority" sqref="G1:G1048576" xr:uid="{89B1BD1D-A61F-45FF-BB6E-CD408D7ABF99}">
      <formula1>IF(D1="","",INDIRECT(D1&amp;"_PR"))</formula1>
    </dataValidation>
  </dataValidations>
  <pageMargins left="0.7" right="0.7" top="0.75" bottom="0.75"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25178-4392-44B0-83B5-5DB4BFF6B520}">
  <sheetPr codeName="Sheet18"/>
  <dimension ref="A1:AJ500"/>
  <sheetViews>
    <sheetView topLeftCell="W1" zoomScale="70" zoomScaleNormal="70" workbookViewId="0">
      <pane ySplit="1" topLeftCell="A2" activePane="bottomLeft" state="frozen"/>
      <selection pane="bottomLeft" activeCell="Z2" sqref="Z2:AJ500"/>
    </sheetView>
  </sheetViews>
  <sheetFormatPr defaultColWidth="9.140625" defaultRowHeight="15" customHeight="1"/>
  <cols>
    <col min="1" max="1" width="6.42578125" style="45" customWidth="1"/>
    <col min="2" max="2" width="7.85546875" style="45" customWidth="1"/>
    <col min="3" max="3" width="10.42578125" style="45" customWidth="1"/>
    <col min="4" max="4" width="8.28515625" style="45" customWidth="1"/>
    <col min="5" max="5" width="12.140625" style="45" customWidth="1"/>
    <col min="6" max="6" width="13.7109375" style="45" customWidth="1"/>
    <col min="7" max="7" width="9" style="45" customWidth="1"/>
    <col min="8" max="8" width="16.85546875" style="45" customWidth="1"/>
    <col min="9" max="9" width="8.140625" style="45" customWidth="1"/>
    <col min="10" max="10" width="12.42578125" style="45" customWidth="1"/>
    <col min="11" max="11" width="20.140625" style="47" customWidth="1"/>
    <col min="12" max="12" width="16.42578125" style="47" customWidth="1"/>
    <col min="13" max="13" width="24.7109375" style="47" customWidth="1"/>
    <col min="14" max="14" width="23.42578125" style="47" customWidth="1"/>
    <col min="15" max="15" width="21.42578125" style="47" customWidth="1"/>
    <col min="16" max="16" width="18.42578125" style="47" customWidth="1"/>
    <col min="17" max="17" width="20.42578125" style="45" customWidth="1"/>
    <col min="18" max="18" width="16.140625" style="45" customWidth="1"/>
    <col min="19" max="19" width="19.42578125" style="45" customWidth="1"/>
    <col min="20" max="20" width="13.85546875" style="45" customWidth="1"/>
    <col min="21" max="21" width="18" style="45" customWidth="1"/>
    <col min="22" max="22" width="17.85546875" style="45" customWidth="1"/>
    <col min="23" max="23" width="15.42578125" style="45" customWidth="1"/>
    <col min="24" max="24" width="25" style="45" customWidth="1"/>
    <col min="25" max="25" width="10.42578125" style="45" customWidth="1"/>
    <col min="26" max="26" width="19.28515625" style="45" customWidth="1"/>
    <col min="27" max="27" width="16.42578125" style="45" customWidth="1"/>
    <col min="28" max="28" width="21.85546875" style="45" customWidth="1"/>
    <col min="29" max="29" width="19.85546875" style="45" customWidth="1"/>
    <col min="30" max="30" width="13.42578125" style="45" customWidth="1"/>
    <col min="31" max="31" width="14" style="45" customWidth="1"/>
    <col min="32" max="32" width="18.85546875" style="45" customWidth="1"/>
    <col min="33" max="33" width="21" style="45" customWidth="1"/>
    <col min="34" max="34" width="17.85546875" style="45" bestFit="1" customWidth="1"/>
    <col min="35" max="35" width="28.28515625" style="45" bestFit="1" customWidth="1"/>
    <col min="36" max="36" width="28.7109375" style="45" bestFit="1" customWidth="1"/>
    <col min="37" max="16384" width="9.140625" style="45"/>
  </cols>
  <sheetData>
    <row r="1" spans="1:36" s="44" customFormat="1">
      <c r="A1" s="43" t="s">
        <v>347</v>
      </c>
      <c r="B1" s="43" t="s">
        <v>2</v>
      </c>
      <c r="C1" s="43" t="s">
        <v>3</v>
      </c>
      <c r="D1" s="43" t="s">
        <v>253</v>
      </c>
      <c r="E1" s="43" t="s">
        <v>348</v>
      </c>
      <c r="F1" s="43" t="s">
        <v>1</v>
      </c>
      <c r="G1" s="43" t="s">
        <v>324</v>
      </c>
      <c r="H1" s="43" t="s">
        <v>349</v>
      </c>
      <c r="I1" s="43" t="s">
        <v>254</v>
      </c>
      <c r="J1" s="43" t="s">
        <v>350</v>
      </c>
      <c r="K1" s="43" t="s">
        <v>351</v>
      </c>
      <c r="L1" s="43" t="s">
        <v>352</v>
      </c>
      <c r="M1" s="43" t="s">
        <v>353</v>
      </c>
      <c r="N1" s="43" t="s">
        <v>354</v>
      </c>
      <c r="O1" s="43" t="s">
        <v>355</v>
      </c>
      <c r="P1" s="43" t="s">
        <v>356</v>
      </c>
      <c r="Q1" s="43" t="s">
        <v>357</v>
      </c>
      <c r="R1" s="43" t="s">
        <v>358</v>
      </c>
      <c r="S1" s="43" t="s">
        <v>359</v>
      </c>
      <c r="T1" s="43" t="s">
        <v>258</v>
      </c>
      <c r="U1" s="43" t="s">
        <v>360</v>
      </c>
      <c r="V1" s="43" t="s">
        <v>361</v>
      </c>
      <c r="W1" s="43" t="s">
        <v>362</v>
      </c>
      <c r="X1" s="43" t="s">
        <v>363</v>
      </c>
      <c r="Y1" s="43" t="s">
        <v>364</v>
      </c>
      <c r="Z1" s="32" t="s">
        <v>82</v>
      </c>
      <c r="AA1" s="32" t="s">
        <v>90</v>
      </c>
      <c r="AB1" s="32" t="s">
        <v>84</v>
      </c>
      <c r="AC1" s="32" t="s">
        <v>92</v>
      </c>
      <c r="AD1" s="32" t="s">
        <v>86</v>
      </c>
      <c r="AE1" s="32" t="s">
        <v>88</v>
      </c>
      <c r="AF1" s="32" t="s">
        <v>365</v>
      </c>
      <c r="AG1" s="32" t="s">
        <v>366</v>
      </c>
      <c r="AH1" s="32" t="s">
        <v>94</v>
      </c>
      <c r="AI1" s="32" t="s">
        <v>96</v>
      </c>
      <c r="AJ1" s="33" t="s">
        <v>98</v>
      </c>
    </row>
    <row r="2" spans="1:36" ht="15.95">
      <c r="E2" s="63"/>
      <c r="F2" s="53"/>
      <c r="H2" s="55"/>
      <c r="K2" s="71"/>
      <c r="N2" s="70"/>
      <c r="Z2" s="76" t="e">
        <f t="shared" ref="Z2" ca="1" si="0">IF(NOT(OR(G2=1,G2=2)),MAX(0,_xlfn.IFS(AND(K2&lt;&gt;"",N2&lt;&gt;""),((MAX(NETWORKDAYS(K2,N2,UKBankHolidays)-1,0))*(TIME(17,0,0)-TIME(8,0,0))+IF(NETWORKDAYS(N2,N2,UKBankHolidays)&gt;0,MEDIAN(TIME(8,0,0),MOD(N2,1),TIME(17,0,0)),TIME(8,0,0))-IF(NETWORKDAYS(K2,K2,UKBankHolidays)&gt;0,MEDIAN(TIME(8,0,0),MOD(K2,1),TIME(17,0,0)),TIME(8,0,0)))-IF(AND(O2&lt;&gt;"",P2&lt;&gt;""),((MAX(NETWORKDAYS(O2,P2,UKBankHolidays)-1,0))*(TIME(17,0,0)-TIME(8,0,0))+IF(NETWORKDAYS(P2,P2,UKBankHolidays)&gt;0,MEDIAN(TIME(8,0,0),MOD(P2,1),TIME(17,0,0)),TIME(8,0,0))-IF(NETWORKDAYS(O2,O2,UKBankHolidays)&gt;0,MEDIAN(TIME(8,0,0),MOD(O2,1),TIME(17,0,0)),TIME(8,0,0))),0),AND(K2&lt;&gt;"",N2=""),((MAX(NETWORKDAYS(K2,NOW(),UKBankHolidays)-1,0))*(TIME(17,0,0)-TIME(8,0,0))+IF(NETWORKDAYS(NOW(),NOW(),UKBankHolidays)&gt;0,MEDIAN(TIME(8,0,0),MOD(NOW(),1),TIME(17,0,0)),TIME(8,0,0))-IF(NETWORKDAYS(K2,K2,UKBankHolidays)&gt;0,MEDIAN(TIME(8,0,0),MOD(K2,1),TIME(17,0,0)),TIME(8,0,0))))),IF(N2="",NOW()-K2,N2-K2))</f>
        <v>#N/A</v>
      </c>
      <c r="AA2" s="75" t="e">
        <f t="shared" ref="AA2:AA256" ca="1" si="1">(Z2*24)/9</f>
        <v>#N/A</v>
      </c>
      <c r="AB2" s="76">
        <f t="shared" ref="AB2" ca="1" si="2">IF(NOT(OR(G2=1,G2=2)),MAX(0,_xlfn.IFS(AND(K2&lt;&gt;"",N2&lt;&gt;""),(((MAX(NETWORKDAYS(L2,N2,UKBankHolidays)-1,0))*(TIME(17,0,0)-TIME(8,0,0)))+IF(NETWORKDAYS(N2,N2,UKBankHolidays)&gt;0,MEDIAN(TIME(8,0,0),MOD(N2,1),TIME(17,0,0)),TIME(8,0,0))-IF(NETWORKDAYS(L2,L2,UKBankHolidays)&gt;0,MEDIAN(TIME(8,0,0),MOD(L2,1),TIME(17,0,0)),TIME(8,0,0)))-IF(AND(O2&lt;&gt;"",P2&lt;&gt;""),(((MAX(NETWORKDAYS(O2,P2,UKBankHolidays)-1,0))*(TIME(17,0,0)-TIME(8,0,0)))+IF(NETWORKDAYS(P2,P2,UKBankHolidays)&gt;0,MEDIAN(TIME(8,0,0),MOD(P2,1),TIME(17,0,0)),TIME(8,0,0))-IF(NETWORKDAYS(O2,O2,UKBankHolidays)&gt;0,MEDIAN(TIME(8,0,0),MOD(O2,1),TIME(17,0,0)),TIME(8,0,0))),0),AND(L2&lt;&gt;"",N2="",O2=""),(((MAX(NETWORKDAYS(L2,NOW(),UKBankHolidays)-1,0))*(TIME(17,0,0)-TIME(8,0,0)))+IF(NETWORKDAYS(NOW(),NOW(),UKBankHolidays)&gt;0,MEDIAN(TIME(8,0,0),MOD(NOW(),1),TIME(17,0,0)),TIME(8,0,0))-IF(NETWORKDAYS(L2,L2,UKBankHolidays)&gt;0,MEDIAN(TIME(8,0,0),MOD(L2,1),TIME(17,0,0)),TIME(8,0,0)))-IF(AND(O2&lt;&gt;"",P2&lt;&gt;""),(((MAX(NETWORKDAYS(O2,P2,UKBankHolidays)-1,0))*(TIME(17,0,0)-TIME(8,0,0)))+IF(NETWORKDAYS(P2,P2,UKBankHolidays)&gt;0,MEDIAN(TIME(8,0,0),MOD(P2,1),TIME(17,0,0)),TIME(8,0,0))-IF(NETWORKDAYS(O2,O2,UKBankHolidays)&gt;0,MEDIAN(TIME(8,0,0),MOD(O2,1),TIME(17,0,0)),TIME(8,0,0))),0),AND(L2&lt;&gt;"",N2="",P2="",O2&lt;&gt;""),(((MAX(NETWORKDAYS(L2,O2,UKBankHolidays)-1,0))*(TIME(17,0,0)-TIME(8,0,0)))+IF(NETWORKDAYS(O2,O2,UKBankHolidays)&gt;0,MEDIAN(TIME(8,0,0),MOD(O2,1),TIME(17,0,0)),TIME(8,0,0))-IF(NETWORKDAYS(L2,L2,UKBankHolidays)&gt;0,MEDIAN(TIME(8,0,0),MOD(L2,1),TIME(17,0,0)),TIME(8,0,0))),ISBLANK(K2),"0")),IF(ISBLANK(N2),NOW()-L2,N2-L2))</f>
        <v>0</v>
      </c>
      <c r="AC2" s="75">
        <f t="shared" ref="AC2:AC256" ca="1" si="3">(AB2*24)/9</f>
        <v>0</v>
      </c>
      <c r="AD2" s="76">
        <f t="shared" ref="AD2" ca="1" si="4">MAX(0,IF(NOT(OR(G2=1,G2=2)),IF(M2&lt;&gt;"",((MAX(NETWORKDAYS(L2,M2,UKBankHolidays)-1,0))*(TIME(17,0,0)-TIME(8,0,0))+IF(NETWORKDAYS(M2,M2,UKBankHolidays)&gt;0,MEDIAN(TIME(8,0,0),MOD(M2,1),TIME(17,0,0)),TIME(8,0,0))-MEDIAN(TIME(8,0,0),MOD(L2,1),TIME(17,0,0))),((MAX(NETWORKDAYS(L2,NOW(),UKBankHolidays)-1,0))*(TIME(17,0,0)-TIME(8,0,0))+IF(NETWORKDAYS(NOW(),NOW(),UKBankHolidays)&gt;0,MEDIAN(TIME(8,0,0),MOD(NOW(),1),TIME(17,0,0)),TIME(8,0,0))-MEDIAN(TIME(8,0,0),MOD(L2,1),TIME(17,0,0)))),IF(M2&lt;&gt;"",M2-L2,NOW()-L2)))</f>
        <v>12388.425641435188</v>
      </c>
      <c r="AE2" s="76">
        <f t="shared" ref="AE2" si="5">SUMIFS(AB:AB,E:E,E2)</f>
        <v>0</v>
      </c>
      <c r="AF2" s="75">
        <f t="shared" ref="AF2:AF256" si="6">(AE2*24)/9</f>
        <v>0</v>
      </c>
      <c r="AG2" s="75">
        <f t="shared" ref="AG2:AG256" si="7">AF2</f>
        <v>0</v>
      </c>
      <c r="AH2" s="31" t="e" cm="1">
        <f t="array" aca="1" ref="AH2" ca="1">IF((AD2) &lt; (INDEX(ResponseSLA[#All],(MATCH((G2),ResponseSLA[Priority],0))+1,3)),"YES","No")</f>
        <v>#N/A</v>
      </c>
      <c r="AI2" s="31" t="str">
        <f>_xlfn.IFNA(IF(AE2 &lt; (INDEX(SLATable[Minimum SLA],MATCH(G2,SLATable[Priority],0))),"YES","NO"),"")</f>
        <v/>
      </c>
      <c r="AJ2" t="str">
        <f>_xlfn.IFNA(IF(AE2 &lt; (INDEX(SLATable[Maximum SLA],MATCH(G2,SLATable[Priority],0))),"YES","NO"),"")</f>
        <v/>
      </c>
    </row>
    <row r="3" spans="1:36" ht="15.95">
      <c r="E3" s="69"/>
      <c r="H3" s="55"/>
      <c r="K3" s="70"/>
      <c r="N3" s="70"/>
      <c r="Z3" s="76" t="e">
        <f t="shared" ref="Z3:Z66" ca="1" si="8">IF(NOT(OR(G3=1,G3=2)),MAX(0,_xlfn.IFS(AND(K3&lt;&gt;"",N3&lt;&gt;""),((MAX(NETWORKDAYS(K3,N3,UKBankHolidays)-1,0))*(TIME(17,0,0)-TIME(8,0,0))+IF(NETWORKDAYS(N3,N3,UKBankHolidays)&gt;0,MEDIAN(TIME(8,0,0),MOD(N3,1),TIME(17,0,0)),TIME(8,0,0))-IF(NETWORKDAYS(K3,K3,UKBankHolidays)&gt;0,MEDIAN(TIME(8,0,0),MOD(K3,1),TIME(17,0,0)),TIME(8,0,0)))-IF(AND(O3&lt;&gt;"",P3&lt;&gt;""),((MAX(NETWORKDAYS(O3,P3,UKBankHolidays)-1,0))*(TIME(17,0,0)-TIME(8,0,0))+IF(NETWORKDAYS(P3,P3,UKBankHolidays)&gt;0,MEDIAN(TIME(8,0,0),MOD(P3,1),TIME(17,0,0)),TIME(8,0,0))-IF(NETWORKDAYS(O3,O3,UKBankHolidays)&gt;0,MEDIAN(TIME(8,0,0),MOD(O3,1),TIME(17,0,0)),TIME(8,0,0))),0),AND(K3&lt;&gt;"",N3=""),((MAX(NETWORKDAYS(K3,NOW(),UKBankHolidays)-1,0))*(TIME(17,0,0)-TIME(8,0,0))+IF(NETWORKDAYS(NOW(),NOW(),UKBankHolidays)&gt;0,MEDIAN(TIME(8,0,0),MOD(NOW(),1),TIME(17,0,0)),TIME(8,0,0))-IF(NETWORKDAYS(K3,K3,UKBankHolidays)&gt;0,MEDIAN(TIME(8,0,0),MOD(K3,1),TIME(17,0,0)),TIME(8,0,0))))),IF(N3="",NOW()-K3,N3-K3))</f>
        <v>#N/A</v>
      </c>
      <c r="AA3" s="75" t="e">
        <f t="shared" ca="1" si="1"/>
        <v>#N/A</v>
      </c>
      <c r="AB3" s="76">
        <f t="shared" ref="AB3:AB66" ca="1" si="9">IF(NOT(OR(G3=1,G3=2)),MAX(0,_xlfn.IFS(AND(K3&lt;&gt;"",N3&lt;&gt;""),(((MAX(NETWORKDAYS(L3,N3,UKBankHolidays)-1,0))*(TIME(17,0,0)-TIME(8,0,0)))+IF(NETWORKDAYS(N3,N3,UKBankHolidays)&gt;0,MEDIAN(TIME(8,0,0),MOD(N3,1),TIME(17,0,0)),TIME(8,0,0))-IF(NETWORKDAYS(L3,L3,UKBankHolidays)&gt;0,MEDIAN(TIME(8,0,0),MOD(L3,1),TIME(17,0,0)),TIME(8,0,0)))-IF(AND(O3&lt;&gt;"",P3&lt;&gt;""),(((MAX(NETWORKDAYS(O3,P3,UKBankHolidays)-1,0))*(TIME(17,0,0)-TIME(8,0,0)))+IF(NETWORKDAYS(P3,P3,UKBankHolidays)&gt;0,MEDIAN(TIME(8,0,0),MOD(P3,1),TIME(17,0,0)),TIME(8,0,0))-IF(NETWORKDAYS(O3,O3,UKBankHolidays)&gt;0,MEDIAN(TIME(8,0,0),MOD(O3,1),TIME(17,0,0)),TIME(8,0,0))),0),AND(L3&lt;&gt;"",N3="",O3=""),(((MAX(NETWORKDAYS(L3,NOW(),UKBankHolidays)-1,0))*(TIME(17,0,0)-TIME(8,0,0)))+IF(NETWORKDAYS(NOW(),NOW(),UKBankHolidays)&gt;0,MEDIAN(TIME(8,0,0),MOD(NOW(),1),TIME(17,0,0)),TIME(8,0,0))-IF(NETWORKDAYS(L3,L3,UKBankHolidays)&gt;0,MEDIAN(TIME(8,0,0),MOD(L3,1),TIME(17,0,0)),TIME(8,0,0)))-IF(AND(O3&lt;&gt;"",P3&lt;&gt;""),(((MAX(NETWORKDAYS(O3,P3,UKBankHolidays)-1,0))*(TIME(17,0,0)-TIME(8,0,0)))+IF(NETWORKDAYS(P3,P3,UKBankHolidays)&gt;0,MEDIAN(TIME(8,0,0),MOD(P3,1),TIME(17,0,0)),TIME(8,0,0))-IF(NETWORKDAYS(O3,O3,UKBankHolidays)&gt;0,MEDIAN(TIME(8,0,0),MOD(O3,1),TIME(17,0,0)),TIME(8,0,0))),0),AND(L3&lt;&gt;"",N3="",P3="",O3&lt;&gt;""),(((MAX(NETWORKDAYS(L3,O3,UKBankHolidays)-1,0))*(TIME(17,0,0)-TIME(8,0,0)))+IF(NETWORKDAYS(O3,O3,UKBankHolidays)&gt;0,MEDIAN(TIME(8,0,0),MOD(O3,1),TIME(17,0,0)),TIME(8,0,0))-IF(NETWORKDAYS(L3,L3,UKBankHolidays)&gt;0,MEDIAN(TIME(8,0,0),MOD(L3,1),TIME(17,0,0)),TIME(8,0,0))),ISBLANK(K3),"0")),IF(ISBLANK(N3),NOW()-L3,N3-L3))</f>
        <v>0</v>
      </c>
      <c r="AC3" s="75">
        <f t="shared" ca="1" si="3"/>
        <v>0</v>
      </c>
      <c r="AD3" s="76">
        <f t="shared" ref="AD3:AD66" ca="1" si="10">MAX(0,IF(NOT(OR(G3=1,G3=2)),IF(M3&lt;&gt;"",((MAX(NETWORKDAYS(L3,M3,UKBankHolidays)-1,0))*(TIME(17,0,0)-TIME(8,0,0))+IF(NETWORKDAYS(M3,M3,UKBankHolidays)&gt;0,MEDIAN(TIME(8,0,0),MOD(M3,1),TIME(17,0,0)),TIME(8,0,0))-MEDIAN(TIME(8,0,0),MOD(L3,1),TIME(17,0,0))),((MAX(NETWORKDAYS(L3,NOW(),UKBankHolidays)-1,0))*(TIME(17,0,0)-TIME(8,0,0))+IF(NETWORKDAYS(NOW(),NOW(),UKBankHolidays)&gt;0,MEDIAN(TIME(8,0,0),MOD(NOW(),1),TIME(17,0,0)),TIME(8,0,0))-MEDIAN(TIME(8,0,0),MOD(L3,1),TIME(17,0,0)))),IF(M3&lt;&gt;"",M3-L3,NOW()-L3)))</f>
        <v>12388.425641087964</v>
      </c>
      <c r="AE3" s="76">
        <f t="shared" ref="AE3:AE66" si="11">SUMIFS(AB:AB,E:E,E3)</f>
        <v>0</v>
      </c>
      <c r="AF3" s="75">
        <f t="shared" si="6"/>
        <v>0</v>
      </c>
      <c r="AG3" s="75">
        <f t="shared" si="7"/>
        <v>0</v>
      </c>
      <c r="AH3" s="31" t="e" cm="1">
        <f t="array" aca="1" ref="AH3" ca="1">IF((AD3) &lt; (INDEX(ResponseSLA[#All],(MATCH((G3),ResponseSLA[Priority],0))+1,3)),"YES","No")</f>
        <v>#N/A</v>
      </c>
      <c r="AI3" s="31" t="str">
        <f>_xlfn.IFNA(IF(AE3 &lt; (INDEX(SLATable[Minimum SLA],MATCH(G3,SLATable[Priority],0))),"YES","NO"),"")</f>
        <v/>
      </c>
      <c r="AJ3" t="str">
        <f>_xlfn.IFNA(IF(AE3 &lt; (INDEX(SLATable[Maximum SLA],MATCH(G3,SLATable[Priority],0))),"YES","NO"),"")</f>
        <v/>
      </c>
    </row>
    <row r="4" spans="1:36" ht="15.95">
      <c r="E4" s="69"/>
      <c r="H4" s="63"/>
      <c r="K4" s="71"/>
      <c r="L4" s="54"/>
      <c r="M4" s="54"/>
      <c r="N4" s="70"/>
      <c r="Z4" s="76" t="e">
        <f t="shared" ca="1" si="8"/>
        <v>#N/A</v>
      </c>
      <c r="AA4" s="75" t="e">
        <f t="shared" ca="1" si="1"/>
        <v>#N/A</v>
      </c>
      <c r="AB4" s="76">
        <f t="shared" ca="1" si="9"/>
        <v>0</v>
      </c>
      <c r="AC4" s="75">
        <f t="shared" ca="1" si="3"/>
        <v>0</v>
      </c>
      <c r="AD4" s="76">
        <f t="shared" ca="1" si="10"/>
        <v>12388.425641087964</v>
      </c>
      <c r="AE4" s="76">
        <f t="shared" si="11"/>
        <v>0</v>
      </c>
      <c r="AF4" s="75">
        <f t="shared" si="6"/>
        <v>0</v>
      </c>
      <c r="AG4" s="75">
        <f t="shared" si="7"/>
        <v>0</v>
      </c>
      <c r="AH4" s="31" t="e" cm="1">
        <f t="array" aca="1" ref="AH4" ca="1">IF((AD4) &lt; (INDEX(ResponseSLA[#All],(MATCH((G4),ResponseSLA[Priority],0))+1,3)),"YES","No")</f>
        <v>#N/A</v>
      </c>
      <c r="AI4" s="31" t="str">
        <f>_xlfn.IFNA(IF(AE4 &lt; (INDEX(SLATable[Minimum SLA],MATCH(G4,SLATable[Priority],0))),"YES","NO"),"")</f>
        <v/>
      </c>
      <c r="AJ4" t="str">
        <f>_xlfn.IFNA(IF(AE4 &lt; (INDEX(SLATable[Maximum SLA],MATCH(G4,SLATable[Priority],0))),"YES","NO"),"")</f>
        <v/>
      </c>
    </row>
    <row r="5" spans="1:36" ht="15.95">
      <c r="E5" s="69"/>
      <c r="H5" s="63"/>
      <c r="K5" s="70"/>
      <c r="N5" s="70"/>
      <c r="Z5" s="76" t="e">
        <f t="shared" ca="1" si="8"/>
        <v>#N/A</v>
      </c>
      <c r="AA5" s="75" t="e">
        <f t="shared" ca="1" si="1"/>
        <v>#N/A</v>
      </c>
      <c r="AB5" s="76">
        <f t="shared" ca="1" si="9"/>
        <v>0</v>
      </c>
      <c r="AC5" s="75">
        <f t="shared" ca="1" si="3"/>
        <v>0</v>
      </c>
      <c r="AD5" s="76">
        <f t="shared" ca="1" si="10"/>
        <v>12388.425641203703</v>
      </c>
      <c r="AE5" s="76">
        <f t="shared" si="11"/>
        <v>0</v>
      </c>
      <c r="AF5" s="75">
        <f t="shared" si="6"/>
        <v>0</v>
      </c>
      <c r="AG5" s="75">
        <f t="shared" si="7"/>
        <v>0</v>
      </c>
      <c r="AH5" s="31" t="e" cm="1">
        <f t="array" aca="1" ref="AH5" ca="1">IF((AD5) &lt; (INDEX(ResponseSLA[#All],(MATCH((G5),ResponseSLA[Priority],0))+1,3)),"YES","No")</f>
        <v>#N/A</v>
      </c>
      <c r="AI5" s="31" t="str">
        <f>_xlfn.IFNA(IF(AE5 &lt; (INDEX(SLATable[Minimum SLA],MATCH(G5,SLATable[Priority],0))),"YES","NO"),"")</f>
        <v/>
      </c>
      <c r="AJ5" t="str">
        <f>_xlfn.IFNA(IF(AE5 &lt; (INDEX(SLATable[Maximum SLA],MATCH(G5,SLATable[Priority],0))),"YES","NO"),"")</f>
        <v/>
      </c>
    </row>
    <row r="6" spans="1:36" ht="15" customHeight="1">
      <c r="E6" s="69"/>
      <c r="H6" s="63"/>
      <c r="K6" s="70"/>
      <c r="N6" s="70"/>
      <c r="Z6" s="76" t="e">
        <f t="shared" ca="1" si="8"/>
        <v>#N/A</v>
      </c>
      <c r="AA6" s="75" t="e">
        <f t="shared" ca="1" si="1"/>
        <v>#N/A</v>
      </c>
      <c r="AB6" s="76">
        <f t="shared" ca="1" si="9"/>
        <v>0</v>
      </c>
      <c r="AC6" s="75">
        <f t="shared" ca="1" si="3"/>
        <v>0</v>
      </c>
      <c r="AD6" s="76">
        <f t="shared" ca="1" si="10"/>
        <v>12388.425641087964</v>
      </c>
      <c r="AE6" s="76">
        <f t="shared" si="11"/>
        <v>0</v>
      </c>
      <c r="AF6" s="75">
        <f t="shared" si="6"/>
        <v>0</v>
      </c>
      <c r="AG6" s="75">
        <f t="shared" si="7"/>
        <v>0</v>
      </c>
      <c r="AH6" s="31" t="e" cm="1">
        <f t="array" aca="1" ref="AH6" ca="1">IF((AD6) &lt; (INDEX(ResponseSLA[#All],(MATCH((G6),ResponseSLA[Priority],0))+1,3)),"YES","No")</f>
        <v>#N/A</v>
      </c>
      <c r="AI6" s="31" t="str">
        <f>_xlfn.IFNA(IF(AE6 &lt; (INDEX(SLATable[Minimum SLA],MATCH(G6,SLATable[Priority],0))),"YES","NO"),"")</f>
        <v/>
      </c>
      <c r="AJ6" t="str">
        <f>_xlfn.IFNA(IF(AE6 &lt; (INDEX(SLATable[Maximum SLA],MATCH(G6,SLATable[Priority],0))),"YES","NO"),"")</f>
        <v/>
      </c>
    </row>
    <row r="7" spans="1:36" ht="15" customHeight="1">
      <c r="K7" s="71"/>
      <c r="L7" s="54"/>
      <c r="M7" s="54"/>
      <c r="N7" s="70"/>
      <c r="Z7" s="76" t="e">
        <f t="shared" ca="1" si="8"/>
        <v>#N/A</v>
      </c>
      <c r="AA7" s="75" t="e">
        <f t="shared" ca="1" si="1"/>
        <v>#N/A</v>
      </c>
      <c r="AB7" s="76">
        <f t="shared" ca="1" si="9"/>
        <v>0</v>
      </c>
      <c r="AC7" s="75">
        <f t="shared" ca="1" si="3"/>
        <v>0</v>
      </c>
      <c r="AD7" s="76">
        <f t="shared" ca="1" si="10"/>
        <v>12388.425641087964</v>
      </c>
      <c r="AE7" s="76">
        <f t="shared" si="11"/>
        <v>0</v>
      </c>
      <c r="AF7" s="75">
        <f t="shared" si="6"/>
        <v>0</v>
      </c>
      <c r="AG7" s="75">
        <f t="shared" si="7"/>
        <v>0</v>
      </c>
      <c r="AH7" s="31" t="e" cm="1">
        <f t="array" aca="1" ref="AH7" ca="1">IF((AD7) &lt; (INDEX(ResponseSLA[#All],(MATCH((G7),ResponseSLA[Priority],0))+1,3)),"YES","No")</f>
        <v>#N/A</v>
      </c>
      <c r="AI7" s="31" t="str">
        <f>_xlfn.IFNA(IF(AE7 &lt; (INDEX(SLATable[Minimum SLA],MATCH(G7,SLATable[Priority],0))),"YES","NO"),"")</f>
        <v/>
      </c>
      <c r="AJ7" t="str">
        <f>_xlfn.IFNA(IF(AE7 &lt; (INDEX(SLATable[Maximum SLA],MATCH(G7,SLATable[Priority],0))),"YES","NO"),"")</f>
        <v/>
      </c>
    </row>
    <row r="8" spans="1:36" ht="15" customHeight="1">
      <c r="Z8" s="76" t="e">
        <f t="shared" ca="1" si="8"/>
        <v>#N/A</v>
      </c>
      <c r="AA8" s="75" t="e">
        <f t="shared" ca="1" si="1"/>
        <v>#N/A</v>
      </c>
      <c r="AB8" s="76">
        <f t="shared" ca="1" si="9"/>
        <v>0</v>
      </c>
      <c r="AC8" s="75">
        <f t="shared" ca="1" si="3"/>
        <v>0</v>
      </c>
      <c r="AD8" s="76">
        <f t="shared" ca="1" si="10"/>
        <v>12388.425641203703</v>
      </c>
      <c r="AE8" s="76">
        <f t="shared" si="11"/>
        <v>0</v>
      </c>
      <c r="AF8" s="75">
        <f t="shared" si="6"/>
        <v>0</v>
      </c>
      <c r="AG8" s="75">
        <f t="shared" si="7"/>
        <v>0</v>
      </c>
      <c r="AH8" s="31" t="e" cm="1">
        <f t="array" aca="1" ref="AH8" ca="1">IF((AD8) &lt; (INDEX(ResponseSLA[#All],(MATCH((G8),ResponseSLA[Priority],0))+1,3)),"YES","No")</f>
        <v>#N/A</v>
      </c>
      <c r="AI8" s="31" t="str">
        <f>_xlfn.IFNA(IF(AE8 &lt; (INDEX(SLATable[Minimum SLA],MATCH(G8,SLATable[Priority],0))),"YES","NO"),"")</f>
        <v/>
      </c>
      <c r="AJ8" t="str">
        <f>_xlfn.IFNA(IF(AE8 &lt; (INDEX(SLATable[Maximum SLA],MATCH(G8,SLATable[Priority],0))),"YES","NO"),"")</f>
        <v/>
      </c>
    </row>
    <row r="9" spans="1:36" ht="15" customHeight="1">
      <c r="L9" s="52"/>
      <c r="M9" s="52"/>
      <c r="N9" s="52"/>
      <c r="Z9" s="76" t="e">
        <f t="shared" ca="1" si="8"/>
        <v>#N/A</v>
      </c>
      <c r="AA9" s="75" t="e">
        <f t="shared" ca="1" si="1"/>
        <v>#N/A</v>
      </c>
      <c r="AB9" s="76">
        <f t="shared" ca="1" si="9"/>
        <v>0</v>
      </c>
      <c r="AC9" s="75">
        <f t="shared" ca="1" si="3"/>
        <v>0</v>
      </c>
      <c r="AD9" s="76">
        <f t="shared" ca="1" si="10"/>
        <v>12388.425641087964</v>
      </c>
      <c r="AE9" s="76">
        <f t="shared" si="11"/>
        <v>0</v>
      </c>
      <c r="AF9" s="75">
        <f t="shared" si="6"/>
        <v>0</v>
      </c>
      <c r="AG9" s="75">
        <f t="shared" si="7"/>
        <v>0</v>
      </c>
      <c r="AH9" s="31" t="e" cm="1">
        <f t="array" aca="1" ref="AH9" ca="1">IF((AD9) &lt; (INDEX(ResponseSLA[#All],(MATCH((G9),ResponseSLA[Priority],0))+1,3)),"YES","No")</f>
        <v>#N/A</v>
      </c>
      <c r="AI9" s="31" t="str">
        <f>_xlfn.IFNA(IF(AE9 &lt; (INDEX(SLATable[Minimum SLA],MATCH(G9,SLATable[Priority],0))),"YES","NO"),"")</f>
        <v/>
      </c>
      <c r="AJ9" t="str">
        <f>_xlfn.IFNA(IF(AE9 &lt; (INDEX(SLATable[Maximum SLA],MATCH(G9,SLATable[Priority],0))),"YES","NO"),"")</f>
        <v/>
      </c>
    </row>
    <row r="10" spans="1:36" ht="15" customHeight="1">
      <c r="L10" s="52"/>
      <c r="M10" s="52"/>
      <c r="N10" s="52"/>
      <c r="Z10" s="76" t="e">
        <f t="shared" ca="1" si="8"/>
        <v>#N/A</v>
      </c>
      <c r="AA10" s="75" t="e">
        <f t="shared" ca="1" si="1"/>
        <v>#N/A</v>
      </c>
      <c r="AB10" s="76">
        <f t="shared" ca="1" si="9"/>
        <v>0</v>
      </c>
      <c r="AC10" s="75">
        <f t="shared" ca="1" si="3"/>
        <v>0</v>
      </c>
      <c r="AD10" s="76">
        <f t="shared" ca="1" si="10"/>
        <v>12388.425641087964</v>
      </c>
      <c r="AE10" s="76">
        <f t="shared" si="11"/>
        <v>0</v>
      </c>
      <c r="AF10" s="75">
        <f t="shared" si="6"/>
        <v>0</v>
      </c>
      <c r="AG10" s="75">
        <f t="shared" si="7"/>
        <v>0</v>
      </c>
      <c r="AH10" s="31" t="e" cm="1">
        <f t="array" aca="1" ref="AH10" ca="1">IF((AD10) &lt; (INDEX(ResponseSLA[#All],(MATCH((G10),ResponseSLA[Priority],0))+1,3)),"YES","No")</f>
        <v>#N/A</v>
      </c>
      <c r="AI10" s="31" t="str">
        <f>_xlfn.IFNA(IF(AE10 &lt; (INDEX(SLATable[Minimum SLA],MATCH(G10,SLATable[Priority],0))),"YES","NO"),"")</f>
        <v/>
      </c>
      <c r="AJ10" t="str">
        <f>_xlfn.IFNA(IF(AE10 &lt; (INDEX(SLATable[Maximum SLA],MATCH(G10,SLATable[Priority],0))),"YES","NO"),"")</f>
        <v/>
      </c>
    </row>
    <row r="11" spans="1:36" ht="15" customHeight="1">
      <c r="Z11" s="76" t="e">
        <f t="shared" ca="1" si="8"/>
        <v>#N/A</v>
      </c>
      <c r="AA11" s="75" t="e">
        <f t="shared" ca="1" si="1"/>
        <v>#N/A</v>
      </c>
      <c r="AB11" s="76">
        <f t="shared" ca="1" si="9"/>
        <v>0</v>
      </c>
      <c r="AC11" s="75">
        <f t="shared" ca="1" si="3"/>
        <v>0</v>
      </c>
      <c r="AD11" s="76">
        <f t="shared" ca="1" si="10"/>
        <v>12388.425641203703</v>
      </c>
      <c r="AE11" s="76">
        <f t="shared" si="11"/>
        <v>0</v>
      </c>
      <c r="AF11" s="75">
        <f t="shared" si="6"/>
        <v>0</v>
      </c>
      <c r="AG11" s="75">
        <f t="shared" si="7"/>
        <v>0</v>
      </c>
      <c r="AH11" s="31" t="e" cm="1">
        <f t="array" aca="1" ref="AH11" ca="1">IF((AD11) &lt; (INDEX(ResponseSLA[#All],(MATCH((G11),ResponseSLA[Priority],0))+1,3)),"YES","No")</f>
        <v>#N/A</v>
      </c>
      <c r="AI11" s="31" t="str">
        <f>_xlfn.IFNA(IF(AE11 &lt; (INDEX(SLATable[Minimum SLA],MATCH(G11,SLATable[Priority],0))),"YES","NO"),"")</f>
        <v/>
      </c>
      <c r="AJ11" t="str">
        <f>_xlfn.IFNA(IF(AE11 &lt; (INDEX(SLATable[Maximum SLA],MATCH(G11,SLATable[Priority],0))),"YES","NO"),"")</f>
        <v/>
      </c>
    </row>
    <row r="12" spans="1:36" ht="15" customHeight="1">
      <c r="Z12" s="76" t="e">
        <f t="shared" ca="1" si="8"/>
        <v>#N/A</v>
      </c>
      <c r="AA12" s="75" t="e">
        <f t="shared" ca="1" si="1"/>
        <v>#N/A</v>
      </c>
      <c r="AB12" s="76">
        <f t="shared" ca="1" si="9"/>
        <v>0</v>
      </c>
      <c r="AC12" s="75">
        <f t="shared" ca="1" si="3"/>
        <v>0</v>
      </c>
      <c r="AD12" s="76">
        <f t="shared" ca="1" si="10"/>
        <v>12388.425641087964</v>
      </c>
      <c r="AE12" s="76">
        <f t="shared" si="11"/>
        <v>0</v>
      </c>
      <c r="AF12" s="75">
        <f t="shared" si="6"/>
        <v>0</v>
      </c>
      <c r="AG12" s="75">
        <f t="shared" si="7"/>
        <v>0</v>
      </c>
      <c r="AH12" s="31" t="e" cm="1">
        <f t="array" aca="1" ref="AH12" ca="1">IF((AD12) &lt; (INDEX(ResponseSLA[#All],(MATCH((G12),ResponseSLA[Priority],0))+1,3)),"YES","No")</f>
        <v>#N/A</v>
      </c>
      <c r="AI12" s="31" t="str">
        <f>_xlfn.IFNA(IF(AE12 &lt; (INDEX(SLATable[Minimum SLA],MATCH(G12,SLATable[Priority],0))),"YES","NO"),"")</f>
        <v/>
      </c>
      <c r="AJ12" t="str">
        <f>_xlfn.IFNA(IF(AE12 &lt; (INDEX(SLATable[Maximum SLA],MATCH(G12,SLATable[Priority],0))),"YES","NO"),"")</f>
        <v/>
      </c>
    </row>
    <row r="13" spans="1:36" ht="15" customHeight="1">
      <c r="Z13" s="76" t="e">
        <f t="shared" ca="1" si="8"/>
        <v>#N/A</v>
      </c>
      <c r="AA13" s="75" t="e">
        <f t="shared" ca="1" si="1"/>
        <v>#N/A</v>
      </c>
      <c r="AB13" s="76">
        <f t="shared" ca="1" si="9"/>
        <v>0</v>
      </c>
      <c r="AC13" s="75">
        <f t="shared" ca="1" si="3"/>
        <v>0</v>
      </c>
      <c r="AD13" s="76">
        <f t="shared" ca="1" si="10"/>
        <v>12388.425641087964</v>
      </c>
      <c r="AE13" s="76">
        <f t="shared" si="11"/>
        <v>0</v>
      </c>
      <c r="AF13" s="75">
        <f t="shared" si="6"/>
        <v>0</v>
      </c>
      <c r="AG13" s="75">
        <f t="shared" si="7"/>
        <v>0</v>
      </c>
      <c r="AH13" s="31" t="e" cm="1">
        <f t="array" aca="1" ref="AH13" ca="1">IF((AD13) &lt; (INDEX(ResponseSLA[#All],(MATCH((G13),ResponseSLA[Priority],0))+1,3)),"YES","No")</f>
        <v>#N/A</v>
      </c>
      <c r="AI13" s="31" t="str">
        <f>_xlfn.IFNA(IF(AE13 &lt; (INDEX(SLATable[Minimum SLA],MATCH(G13,SLATable[Priority],0))),"YES","NO"),"")</f>
        <v/>
      </c>
      <c r="AJ13" t="str">
        <f>_xlfn.IFNA(IF(AE13 &lt; (INDEX(SLATable[Maximum SLA],MATCH(G13,SLATable[Priority],0))),"YES","NO"),"")</f>
        <v/>
      </c>
    </row>
    <row r="14" spans="1:36" ht="15" customHeight="1">
      <c r="Z14" s="76" t="e">
        <f t="shared" ca="1" si="8"/>
        <v>#N/A</v>
      </c>
      <c r="AA14" s="75" t="e">
        <f t="shared" ca="1" si="1"/>
        <v>#N/A</v>
      </c>
      <c r="AB14" s="76">
        <f t="shared" ca="1" si="9"/>
        <v>0</v>
      </c>
      <c r="AC14" s="75">
        <f t="shared" ca="1" si="3"/>
        <v>0</v>
      </c>
      <c r="AD14" s="76">
        <f t="shared" ca="1" si="10"/>
        <v>12388.425641203703</v>
      </c>
      <c r="AE14" s="76">
        <f t="shared" si="11"/>
        <v>0</v>
      </c>
      <c r="AF14" s="75">
        <f t="shared" si="6"/>
        <v>0</v>
      </c>
      <c r="AG14" s="75">
        <f t="shared" si="7"/>
        <v>0</v>
      </c>
      <c r="AH14" s="31" t="e" cm="1">
        <f t="array" aca="1" ref="AH14" ca="1">IF((AD14) &lt; (INDEX(ResponseSLA[#All],(MATCH((G14),ResponseSLA[Priority],0))+1,3)),"YES","No")</f>
        <v>#N/A</v>
      </c>
      <c r="AI14" s="31" t="str">
        <f>_xlfn.IFNA(IF(AE14 &lt; (INDEX(SLATable[Minimum SLA],MATCH(G14,SLATable[Priority],0))),"YES","NO"),"")</f>
        <v/>
      </c>
      <c r="AJ14" t="str">
        <f>_xlfn.IFNA(IF(AE14 &lt; (INDEX(SLATable[Maximum SLA],MATCH(G14,SLATable[Priority],0))),"YES","NO"),"")</f>
        <v/>
      </c>
    </row>
    <row r="15" spans="1:36" ht="15" customHeight="1">
      <c r="Z15" s="76" t="e">
        <f t="shared" ca="1" si="8"/>
        <v>#N/A</v>
      </c>
      <c r="AA15" s="75" t="e">
        <f t="shared" ca="1" si="1"/>
        <v>#N/A</v>
      </c>
      <c r="AB15" s="76">
        <f t="shared" ca="1" si="9"/>
        <v>0</v>
      </c>
      <c r="AC15" s="75">
        <f t="shared" ca="1" si="3"/>
        <v>0</v>
      </c>
      <c r="AD15" s="76">
        <f t="shared" ca="1" si="10"/>
        <v>12388.425641087964</v>
      </c>
      <c r="AE15" s="76">
        <f t="shared" si="11"/>
        <v>0</v>
      </c>
      <c r="AF15" s="75">
        <f t="shared" si="6"/>
        <v>0</v>
      </c>
      <c r="AG15" s="75">
        <f t="shared" si="7"/>
        <v>0</v>
      </c>
      <c r="AH15" s="31" t="e" cm="1">
        <f t="array" aca="1" ref="AH15" ca="1">IF((AD15) &lt; (INDEX(ResponseSLA[#All],(MATCH((G15),ResponseSLA[Priority],0))+1,3)),"YES","No")</f>
        <v>#N/A</v>
      </c>
      <c r="AI15" s="31" t="str">
        <f>_xlfn.IFNA(IF(AE15 &lt; (INDEX(SLATable[Minimum SLA],MATCH(G15,SLATable[Priority],0))),"YES","NO"),"")</f>
        <v/>
      </c>
      <c r="AJ15" t="str">
        <f>_xlfn.IFNA(IF(AE15 &lt; (INDEX(SLATable[Maximum SLA],MATCH(G15,SLATable[Priority],0))),"YES","NO"),"")</f>
        <v/>
      </c>
    </row>
    <row r="16" spans="1:36" ht="15" customHeight="1">
      <c r="H16" s="46"/>
      <c r="Z16" s="76" t="e">
        <f t="shared" ca="1" si="8"/>
        <v>#N/A</v>
      </c>
      <c r="AA16" s="75" t="e">
        <f t="shared" ca="1" si="1"/>
        <v>#N/A</v>
      </c>
      <c r="AB16" s="76">
        <f t="shared" ca="1" si="9"/>
        <v>0</v>
      </c>
      <c r="AC16" s="75">
        <f t="shared" ca="1" si="3"/>
        <v>0</v>
      </c>
      <c r="AD16" s="76">
        <f t="shared" ca="1" si="10"/>
        <v>12388.425641087964</v>
      </c>
      <c r="AE16" s="76">
        <f t="shared" si="11"/>
        <v>0</v>
      </c>
      <c r="AF16" s="75">
        <f t="shared" si="6"/>
        <v>0</v>
      </c>
      <c r="AG16" s="75">
        <f t="shared" si="7"/>
        <v>0</v>
      </c>
      <c r="AH16" s="31" t="e" cm="1">
        <f t="array" aca="1" ref="AH16" ca="1">IF((AD16) &lt; (INDEX(ResponseSLA[#All],(MATCH((G16),ResponseSLA[Priority],0))+1,3)),"YES","No")</f>
        <v>#N/A</v>
      </c>
      <c r="AI16" s="31" t="str">
        <f>_xlfn.IFNA(IF(AE16 &lt; (INDEX(SLATable[Minimum SLA],MATCH(G16,SLATable[Priority],0))),"YES","NO"),"")</f>
        <v/>
      </c>
      <c r="AJ16" t="str">
        <f>_xlfn.IFNA(IF(AE16 &lt; (INDEX(SLATable[Maximum SLA],MATCH(G16,SLATable[Priority],0))),"YES","NO"),"")</f>
        <v/>
      </c>
    </row>
    <row r="17" spans="26:36" ht="15" customHeight="1">
      <c r="Z17" s="76" t="e">
        <f t="shared" ca="1" si="8"/>
        <v>#N/A</v>
      </c>
      <c r="AA17" s="75" t="e">
        <f t="shared" ca="1" si="1"/>
        <v>#N/A</v>
      </c>
      <c r="AB17" s="76">
        <f t="shared" ca="1" si="9"/>
        <v>0</v>
      </c>
      <c r="AC17" s="75">
        <f t="shared" ca="1" si="3"/>
        <v>0</v>
      </c>
      <c r="AD17" s="76">
        <f t="shared" ca="1" si="10"/>
        <v>12388.425641203703</v>
      </c>
      <c r="AE17" s="76">
        <f t="shared" si="11"/>
        <v>0</v>
      </c>
      <c r="AF17" s="75">
        <f t="shared" si="6"/>
        <v>0</v>
      </c>
      <c r="AG17" s="75">
        <f t="shared" si="7"/>
        <v>0</v>
      </c>
      <c r="AH17" s="31" t="e" cm="1">
        <f t="array" aca="1" ref="AH17" ca="1">IF((AD17) &lt; (INDEX(ResponseSLA[#All],(MATCH((G17),ResponseSLA[Priority],0))+1,3)),"YES","No")</f>
        <v>#N/A</v>
      </c>
      <c r="AI17" s="31" t="str">
        <f>_xlfn.IFNA(IF(AE17 &lt; (INDEX(SLATable[Minimum SLA],MATCH(G17,SLATable[Priority],0))),"YES","NO"),"")</f>
        <v/>
      </c>
      <c r="AJ17" t="str">
        <f>_xlfn.IFNA(IF(AE17 &lt; (INDEX(SLATable[Maximum SLA],MATCH(G17,SLATable[Priority],0))),"YES","NO"),"")</f>
        <v/>
      </c>
    </row>
    <row r="18" spans="26:36" ht="15" customHeight="1">
      <c r="Z18" s="76" t="e">
        <f t="shared" ca="1" si="8"/>
        <v>#N/A</v>
      </c>
      <c r="AA18" s="75" t="e">
        <f t="shared" ca="1" si="1"/>
        <v>#N/A</v>
      </c>
      <c r="AB18" s="76">
        <f t="shared" ca="1" si="9"/>
        <v>0</v>
      </c>
      <c r="AC18" s="75">
        <f t="shared" ca="1" si="3"/>
        <v>0</v>
      </c>
      <c r="AD18" s="76">
        <f t="shared" ca="1" si="10"/>
        <v>12388.425641087964</v>
      </c>
      <c r="AE18" s="76">
        <f t="shared" si="11"/>
        <v>0</v>
      </c>
      <c r="AF18" s="75">
        <f t="shared" si="6"/>
        <v>0</v>
      </c>
      <c r="AG18" s="75">
        <f t="shared" si="7"/>
        <v>0</v>
      </c>
      <c r="AH18" s="31" t="e" cm="1">
        <f t="array" aca="1" ref="AH18" ca="1">IF((AD18) &lt; (INDEX(ResponseSLA[#All],(MATCH((G18),ResponseSLA[Priority],0))+1,3)),"YES","No")</f>
        <v>#N/A</v>
      </c>
      <c r="AI18" s="31" t="str">
        <f>_xlfn.IFNA(IF(AE18 &lt; (INDEX(SLATable[Minimum SLA],MATCH(G18,SLATable[Priority],0))),"YES","NO"),"")</f>
        <v/>
      </c>
      <c r="AJ18" t="str">
        <f>_xlfn.IFNA(IF(AE18 &lt; (INDEX(SLATable[Maximum SLA],MATCH(G18,SLATable[Priority],0))),"YES","NO"),"")</f>
        <v/>
      </c>
    </row>
    <row r="19" spans="26:36" ht="15" customHeight="1">
      <c r="Z19" s="76" t="e">
        <f t="shared" ca="1" si="8"/>
        <v>#N/A</v>
      </c>
      <c r="AA19" s="75" t="e">
        <f t="shared" ca="1" si="1"/>
        <v>#N/A</v>
      </c>
      <c r="AB19" s="76">
        <f t="shared" ca="1" si="9"/>
        <v>0</v>
      </c>
      <c r="AC19" s="75">
        <f t="shared" ca="1" si="3"/>
        <v>0</v>
      </c>
      <c r="AD19" s="76">
        <f t="shared" ca="1" si="10"/>
        <v>12388.425641087964</v>
      </c>
      <c r="AE19" s="76">
        <f t="shared" si="11"/>
        <v>0</v>
      </c>
      <c r="AF19" s="75">
        <f t="shared" si="6"/>
        <v>0</v>
      </c>
      <c r="AG19" s="75">
        <f t="shared" si="7"/>
        <v>0</v>
      </c>
      <c r="AH19" s="31" t="e" cm="1">
        <f t="array" aca="1" ref="AH19" ca="1">IF((AD19) &lt; (INDEX(ResponseSLA[#All],(MATCH((G19),ResponseSLA[Priority],0))+1,3)),"YES","No")</f>
        <v>#N/A</v>
      </c>
      <c r="AI19" s="31" t="str">
        <f>_xlfn.IFNA(IF(AE19 &lt; (INDEX(SLATable[Minimum SLA],MATCH(G19,SLATable[Priority],0))),"YES","NO"),"")</f>
        <v/>
      </c>
      <c r="AJ19" t="str">
        <f>_xlfn.IFNA(IF(AE19 &lt; (INDEX(SLATable[Maximum SLA],MATCH(G19,SLATable[Priority],0))),"YES","NO"),"")</f>
        <v/>
      </c>
    </row>
    <row r="20" spans="26:36" ht="15" customHeight="1">
      <c r="Z20" s="76" t="e">
        <f t="shared" ca="1" si="8"/>
        <v>#N/A</v>
      </c>
      <c r="AA20" s="75" t="e">
        <f t="shared" ca="1" si="1"/>
        <v>#N/A</v>
      </c>
      <c r="AB20" s="76">
        <f t="shared" ca="1" si="9"/>
        <v>0</v>
      </c>
      <c r="AC20" s="75">
        <f t="shared" ca="1" si="3"/>
        <v>0</v>
      </c>
      <c r="AD20" s="76">
        <f t="shared" ca="1" si="10"/>
        <v>12388.425641203703</v>
      </c>
      <c r="AE20" s="76">
        <f t="shared" si="11"/>
        <v>0</v>
      </c>
      <c r="AF20" s="75">
        <f t="shared" si="6"/>
        <v>0</v>
      </c>
      <c r="AG20" s="75">
        <f t="shared" si="7"/>
        <v>0</v>
      </c>
      <c r="AH20" s="31" t="e" cm="1">
        <f t="array" aca="1" ref="AH20" ca="1">IF((AD20) &lt; (INDEX(ResponseSLA[#All],(MATCH((G20),ResponseSLA[Priority],0))+1,3)),"YES","No")</f>
        <v>#N/A</v>
      </c>
      <c r="AI20" s="31" t="str">
        <f>_xlfn.IFNA(IF(AE20 &lt; (INDEX(SLATable[Minimum SLA],MATCH(G20,SLATable[Priority],0))),"YES","NO"),"")</f>
        <v/>
      </c>
      <c r="AJ20" t="str">
        <f>_xlfn.IFNA(IF(AE20 &lt; (INDEX(SLATable[Maximum SLA],MATCH(G20,SLATable[Priority],0))),"YES","NO"),"")</f>
        <v/>
      </c>
    </row>
    <row r="21" spans="26:36" ht="15" customHeight="1">
      <c r="Z21" s="76" t="e">
        <f t="shared" ca="1" si="8"/>
        <v>#N/A</v>
      </c>
      <c r="AA21" s="75" t="e">
        <f t="shared" ca="1" si="1"/>
        <v>#N/A</v>
      </c>
      <c r="AB21" s="76">
        <f t="shared" ca="1" si="9"/>
        <v>0</v>
      </c>
      <c r="AC21" s="75">
        <f t="shared" ca="1" si="3"/>
        <v>0</v>
      </c>
      <c r="AD21" s="76">
        <f t="shared" ca="1" si="10"/>
        <v>12388.425641087964</v>
      </c>
      <c r="AE21" s="76">
        <f t="shared" si="11"/>
        <v>0</v>
      </c>
      <c r="AF21" s="75">
        <f t="shared" si="6"/>
        <v>0</v>
      </c>
      <c r="AG21" s="75">
        <f t="shared" si="7"/>
        <v>0</v>
      </c>
      <c r="AH21" s="31" t="e" cm="1">
        <f t="array" aca="1" ref="AH21" ca="1">IF((AD21) &lt; (INDEX(ResponseSLA[#All],(MATCH((G21),ResponseSLA[Priority],0))+1,3)),"YES","No")</f>
        <v>#N/A</v>
      </c>
      <c r="AI21" s="31" t="str">
        <f>_xlfn.IFNA(IF(AE21 &lt; (INDEX(SLATable[Minimum SLA],MATCH(G21,SLATable[Priority],0))),"YES","NO"),"")</f>
        <v/>
      </c>
      <c r="AJ21" t="str">
        <f>_xlfn.IFNA(IF(AE21 &lt; (INDEX(SLATable[Maximum SLA],MATCH(G21,SLATable[Priority],0))),"YES","NO"),"")</f>
        <v/>
      </c>
    </row>
    <row r="22" spans="26:36" ht="15" customHeight="1">
      <c r="Z22" s="76" t="e">
        <f t="shared" ca="1" si="8"/>
        <v>#N/A</v>
      </c>
      <c r="AA22" s="75" t="e">
        <f t="shared" ca="1" si="1"/>
        <v>#N/A</v>
      </c>
      <c r="AB22" s="76">
        <f t="shared" ca="1" si="9"/>
        <v>0</v>
      </c>
      <c r="AC22" s="75">
        <f t="shared" ca="1" si="3"/>
        <v>0</v>
      </c>
      <c r="AD22" s="76">
        <f t="shared" ca="1" si="10"/>
        <v>12388.425641087964</v>
      </c>
      <c r="AE22" s="76">
        <f t="shared" si="11"/>
        <v>0</v>
      </c>
      <c r="AF22" s="75">
        <f t="shared" si="6"/>
        <v>0</v>
      </c>
      <c r="AG22" s="75">
        <f t="shared" si="7"/>
        <v>0</v>
      </c>
      <c r="AH22" s="31" t="e" cm="1">
        <f t="array" aca="1" ref="AH22" ca="1">IF((AD22) &lt; (INDEX(ResponseSLA[#All],(MATCH((G22),ResponseSLA[Priority],0))+1,3)),"YES","No")</f>
        <v>#N/A</v>
      </c>
      <c r="AI22" s="31" t="str">
        <f>_xlfn.IFNA(IF(AE22 &lt; (INDEX(SLATable[Minimum SLA],MATCH(G22,SLATable[Priority],0))),"YES","NO"),"")</f>
        <v/>
      </c>
      <c r="AJ22" t="str">
        <f>_xlfn.IFNA(IF(AE22 &lt; (INDEX(SLATable[Maximum SLA],MATCH(G22,SLATable[Priority],0))),"YES","NO"),"")</f>
        <v/>
      </c>
    </row>
    <row r="23" spans="26:36" ht="15" customHeight="1">
      <c r="Z23" s="76" t="e">
        <f t="shared" ca="1" si="8"/>
        <v>#N/A</v>
      </c>
      <c r="AA23" s="75" t="e">
        <f t="shared" ca="1" si="1"/>
        <v>#N/A</v>
      </c>
      <c r="AB23" s="76">
        <f t="shared" ca="1" si="9"/>
        <v>0</v>
      </c>
      <c r="AC23" s="75">
        <f t="shared" ca="1" si="3"/>
        <v>0</v>
      </c>
      <c r="AD23" s="76">
        <f t="shared" ca="1" si="10"/>
        <v>12388.425641203703</v>
      </c>
      <c r="AE23" s="76">
        <f t="shared" si="11"/>
        <v>0</v>
      </c>
      <c r="AF23" s="75">
        <f t="shared" si="6"/>
        <v>0</v>
      </c>
      <c r="AG23" s="75">
        <f t="shared" si="7"/>
        <v>0</v>
      </c>
      <c r="AH23" s="31" t="e" cm="1">
        <f t="array" aca="1" ref="AH23" ca="1">IF((AD23) &lt; (INDEX(ResponseSLA[#All],(MATCH((G23),ResponseSLA[Priority],0))+1,3)),"YES","No")</f>
        <v>#N/A</v>
      </c>
      <c r="AI23" s="31" t="str">
        <f>_xlfn.IFNA(IF(AE23 &lt; (INDEX(SLATable[Minimum SLA],MATCH(G23,SLATable[Priority],0))),"YES","NO"),"")</f>
        <v/>
      </c>
      <c r="AJ23" t="str">
        <f>_xlfn.IFNA(IF(AE23 &lt; (INDEX(SLATable[Maximum SLA],MATCH(G23,SLATable[Priority],0))),"YES","NO"),"")</f>
        <v/>
      </c>
    </row>
    <row r="24" spans="26:36" ht="15" customHeight="1">
      <c r="Z24" s="76" t="e">
        <f t="shared" ca="1" si="8"/>
        <v>#N/A</v>
      </c>
      <c r="AA24" s="75" t="e">
        <f t="shared" ca="1" si="1"/>
        <v>#N/A</v>
      </c>
      <c r="AB24" s="76">
        <f t="shared" ca="1" si="9"/>
        <v>0</v>
      </c>
      <c r="AC24" s="75">
        <f t="shared" ca="1" si="3"/>
        <v>0</v>
      </c>
      <c r="AD24" s="76">
        <f t="shared" ca="1" si="10"/>
        <v>12388.425641087964</v>
      </c>
      <c r="AE24" s="76">
        <f t="shared" si="11"/>
        <v>0</v>
      </c>
      <c r="AF24" s="75">
        <f t="shared" si="6"/>
        <v>0</v>
      </c>
      <c r="AG24" s="75">
        <f t="shared" si="7"/>
        <v>0</v>
      </c>
      <c r="AH24" s="31" t="e" cm="1">
        <f t="array" aca="1" ref="AH24" ca="1">IF((AD24) &lt; (INDEX(ResponseSLA[#All],(MATCH((G24),ResponseSLA[Priority],0))+1,3)),"YES","No")</f>
        <v>#N/A</v>
      </c>
      <c r="AI24" s="31" t="str">
        <f>_xlfn.IFNA(IF(AE24 &lt; (INDEX(SLATable[Minimum SLA],MATCH(G24,SLATable[Priority],0))),"YES","NO"),"")</f>
        <v/>
      </c>
      <c r="AJ24" t="str">
        <f>_xlfn.IFNA(IF(AE24 &lt; (INDEX(SLATable[Maximum SLA],MATCH(G24,SLATable[Priority],0))),"YES","NO"),"")</f>
        <v/>
      </c>
    </row>
    <row r="25" spans="26:36" ht="15" customHeight="1">
      <c r="Z25" s="76" t="e">
        <f t="shared" ca="1" si="8"/>
        <v>#N/A</v>
      </c>
      <c r="AA25" s="75" t="e">
        <f t="shared" ca="1" si="1"/>
        <v>#N/A</v>
      </c>
      <c r="AB25" s="76">
        <f t="shared" ca="1" si="9"/>
        <v>0</v>
      </c>
      <c r="AC25" s="75">
        <f t="shared" ca="1" si="3"/>
        <v>0</v>
      </c>
      <c r="AD25" s="76">
        <f t="shared" ca="1" si="10"/>
        <v>12388.425641087964</v>
      </c>
      <c r="AE25" s="76">
        <f t="shared" si="11"/>
        <v>0</v>
      </c>
      <c r="AF25" s="75">
        <f t="shared" si="6"/>
        <v>0</v>
      </c>
      <c r="AG25" s="75">
        <f t="shared" si="7"/>
        <v>0</v>
      </c>
      <c r="AH25" s="31" t="e" cm="1">
        <f t="array" aca="1" ref="AH25" ca="1">IF((AD25) &lt; (INDEX(ResponseSLA[#All],(MATCH((G25),ResponseSLA[Priority],0))+1,3)),"YES","No")</f>
        <v>#N/A</v>
      </c>
      <c r="AI25" s="31" t="str">
        <f>_xlfn.IFNA(IF(AE25 &lt; (INDEX(SLATable[Minimum SLA],MATCH(G25,SLATable[Priority],0))),"YES","NO"),"")</f>
        <v/>
      </c>
      <c r="AJ25" t="str">
        <f>_xlfn.IFNA(IF(AE25 &lt; (INDEX(SLATable[Maximum SLA],MATCH(G25,SLATable[Priority],0))),"YES","NO"),"")</f>
        <v/>
      </c>
    </row>
    <row r="26" spans="26:36" ht="15" customHeight="1">
      <c r="Z26" s="76" t="e">
        <f t="shared" ca="1" si="8"/>
        <v>#N/A</v>
      </c>
      <c r="AA26" s="75" t="e">
        <f t="shared" ca="1" si="1"/>
        <v>#N/A</v>
      </c>
      <c r="AB26" s="76">
        <f t="shared" ca="1" si="9"/>
        <v>0</v>
      </c>
      <c r="AC26" s="75">
        <f t="shared" ca="1" si="3"/>
        <v>0</v>
      </c>
      <c r="AD26" s="76">
        <f t="shared" ca="1" si="10"/>
        <v>12388.425641203703</v>
      </c>
      <c r="AE26" s="76">
        <f t="shared" si="11"/>
        <v>0</v>
      </c>
      <c r="AF26" s="75">
        <f t="shared" si="6"/>
        <v>0</v>
      </c>
      <c r="AG26" s="75">
        <f t="shared" si="7"/>
        <v>0</v>
      </c>
      <c r="AH26" s="31" t="e" cm="1">
        <f t="array" aca="1" ref="AH26" ca="1">IF((AD26) &lt; (INDEX(ResponseSLA[#All],(MATCH((G26),ResponseSLA[Priority],0))+1,3)),"YES","No")</f>
        <v>#N/A</v>
      </c>
      <c r="AI26" s="31" t="str">
        <f>_xlfn.IFNA(IF(AE26 &lt; (INDEX(SLATable[Minimum SLA],MATCH(G26,SLATable[Priority],0))),"YES","NO"),"")</f>
        <v/>
      </c>
      <c r="AJ26" t="str">
        <f>_xlfn.IFNA(IF(AE26 &lt; (INDEX(SLATable[Maximum SLA],MATCH(G26,SLATable[Priority],0))),"YES","NO"),"")</f>
        <v/>
      </c>
    </row>
    <row r="27" spans="26:36" ht="15" customHeight="1">
      <c r="Z27" s="76" t="e">
        <f t="shared" ca="1" si="8"/>
        <v>#N/A</v>
      </c>
      <c r="AA27" s="75" t="e">
        <f t="shared" ca="1" si="1"/>
        <v>#N/A</v>
      </c>
      <c r="AB27" s="76">
        <f t="shared" ca="1" si="9"/>
        <v>0</v>
      </c>
      <c r="AC27" s="75">
        <f t="shared" ca="1" si="3"/>
        <v>0</v>
      </c>
      <c r="AD27" s="76">
        <f t="shared" ca="1" si="10"/>
        <v>12388.425641087964</v>
      </c>
      <c r="AE27" s="76">
        <f t="shared" si="11"/>
        <v>0</v>
      </c>
      <c r="AF27" s="75">
        <f t="shared" si="6"/>
        <v>0</v>
      </c>
      <c r="AG27" s="75">
        <f t="shared" si="7"/>
        <v>0</v>
      </c>
      <c r="AH27" s="31" t="e" cm="1">
        <f t="array" aca="1" ref="AH27" ca="1">IF((AD27) &lt; (INDEX(ResponseSLA[#All],(MATCH((G27),ResponseSLA[Priority],0))+1,3)),"YES","No")</f>
        <v>#N/A</v>
      </c>
      <c r="AI27" s="31" t="str">
        <f>_xlfn.IFNA(IF(AE27 &lt; (INDEX(SLATable[Minimum SLA],MATCH(G27,SLATable[Priority],0))),"YES","NO"),"")</f>
        <v/>
      </c>
      <c r="AJ27" t="str">
        <f>_xlfn.IFNA(IF(AE27 &lt; (INDEX(SLATable[Maximum SLA],MATCH(G27,SLATable[Priority],0))),"YES","NO"),"")</f>
        <v/>
      </c>
    </row>
    <row r="28" spans="26:36" ht="15" customHeight="1">
      <c r="Z28" s="76" t="e">
        <f t="shared" ca="1" si="8"/>
        <v>#N/A</v>
      </c>
      <c r="AA28" s="75" t="e">
        <f t="shared" ca="1" si="1"/>
        <v>#N/A</v>
      </c>
      <c r="AB28" s="76">
        <f t="shared" ca="1" si="9"/>
        <v>0</v>
      </c>
      <c r="AC28" s="75">
        <f t="shared" ca="1" si="3"/>
        <v>0</v>
      </c>
      <c r="AD28" s="76">
        <f t="shared" ca="1" si="10"/>
        <v>12388.425641087964</v>
      </c>
      <c r="AE28" s="76">
        <f t="shared" si="11"/>
        <v>0</v>
      </c>
      <c r="AF28" s="75">
        <f t="shared" si="6"/>
        <v>0</v>
      </c>
      <c r="AG28" s="75">
        <f t="shared" si="7"/>
        <v>0</v>
      </c>
      <c r="AH28" s="31" t="e" cm="1">
        <f t="array" aca="1" ref="AH28" ca="1">IF((AD28) &lt; (INDEX(ResponseSLA[#All],(MATCH((G28),ResponseSLA[Priority],0))+1,3)),"YES","No")</f>
        <v>#N/A</v>
      </c>
      <c r="AI28" s="31" t="str">
        <f>_xlfn.IFNA(IF(AE28 &lt; (INDEX(SLATable[Minimum SLA],MATCH(G28,SLATable[Priority],0))),"YES","NO"),"")</f>
        <v/>
      </c>
      <c r="AJ28" t="str">
        <f>_xlfn.IFNA(IF(AE28 &lt; (INDEX(SLATable[Maximum SLA],MATCH(G28,SLATable[Priority],0))),"YES","NO"),"")</f>
        <v/>
      </c>
    </row>
    <row r="29" spans="26:36" ht="15" customHeight="1">
      <c r="Z29" s="76" t="e">
        <f t="shared" ca="1" si="8"/>
        <v>#N/A</v>
      </c>
      <c r="AA29" s="75" t="e">
        <f t="shared" ca="1" si="1"/>
        <v>#N/A</v>
      </c>
      <c r="AB29" s="76">
        <f t="shared" ca="1" si="9"/>
        <v>0</v>
      </c>
      <c r="AC29" s="75">
        <f t="shared" ca="1" si="3"/>
        <v>0</v>
      </c>
      <c r="AD29" s="76">
        <f t="shared" ca="1" si="10"/>
        <v>12388.425641203703</v>
      </c>
      <c r="AE29" s="76">
        <f t="shared" si="11"/>
        <v>0</v>
      </c>
      <c r="AF29" s="75">
        <f t="shared" si="6"/>
        <v>0</v>
      </c>
      <c r="AG29" s="75">
        <f t="shared" si="7"/>
        <v>0</v>
      </c>
      <c r="AH29" s="31" t="e" cm="1">
        <f t="array" aca="1" ref="AH29" ca="1">IF((AD29) &lt; (INDEX(ResponseSLA[#All],(MATCH((G29),ResponseSLA[Priority],0))+1,3)),"YES","No")</f>
        <v>#N/A</v>
      </c>
      <c r="AI29" s="31" t="str">
        <f>_xlfn.IFNA(IF(AE29 &lt; (INDEX(SLATable[Minimum SLA],MATCH(G29,SLATable[Priority],0))),"YES","NO"),"")</f>
        <v/>
      </c>
      <c r="AJ29" t="str">
        <f>_xlfn.IFNA(IF(AE29 &lt; (INDEX(SLATable[Maximum SLA],MATCH(G29,SLATable[Priority],0))),"YES","NO"),"")</f>
        <v/>
      </c>
    </row>
    <row r="30" spans="26:36" ht="15" customHeight="1">
      <c r="Z30" s="76" t="e">
        <f t="shared" ca="1" si="8"/>
        <v>#N/A</v>
      </c>
      <c r="AA30" s="75" t="e">
        <f t="shared" ca="1" si="1"/>
        <v>#N/A</v>
      </c>
      <c r="AB30" s="76">
        <f t="shared" ca="1" si="9"/>
        <v>0</v>
      </c>
      <c r="AC30" s="75">
        <f t="shared" ca="1" si="3"/>
        <v>0</v>
      </c>
      <c r="AD30" s="76">
        <f t="shared" ca="1" si="10"/>
        <v>12388.425641087964</v>
      </c>
      <c r="AE30" s="76">
        <f t="shared" si="11"/>
        <v>0</v>
      </c>
      <c r="AF30" s="75">
        <f t="shared" si="6"/>
        <v>0</v>
      </c>
      <c r="AG30" s="75">
        <f t="shared" si="7"/>
        <v>0</v>
      </c>
      <c r="AH30" s="31" t="e" cm="1">
        <f t="array" aca="1" ref="AH30" ca="1">IF((AD30) &lt; (INDEX(ResponseSLA[#All],(MATCH((G30),ResponseSLA[Priority],0))+1,3)),"YES","No")</f>
        <v>#N/A</v>
      </c>
      <c r="AI30" s="31" t="str">
        <f>_xlfn.IFNA(IF(AE30 &lt; (INDEX(SLATable[Minimum SLA],MATCH(G30,SLATable[Priority],0))),"YES","NO"),"")</f>
        <v/>
      </c>
      <c r="AJ30" t="str">
        <f>_xlfn.IFNA(IF(AE30 &lt; (INDEX(SLATable[Maximum SLA],MATCH(G30,SLATable[Priority],0))),"YES","NO"),"")</f>
        <v/>
      </c>
    </row>
    <row r="31" spans="26:36" ht="15" customHeight="1">
      <c r="Z31" s="76" t="e">
        <f t="shared" ca="1" si="8"/>
        <v>#N/A</v>
      </c>
      <c r="AA31" s="75" t="e">
        <f t="shared" ca="1" si="1"/>
        <v>#N/A</v>
      </c>
      <c r="AB31" s="76">
        <f t="shared" ca="1" si="9"/>
        <v>0</v>
      </c>
      <c r="AC31" s="75">
        <f t="shared" ca="1" si="3"/>
        <v>0</v>
      </c>
      <c r="AD31" s="76">
        <f t="shared" ca="1" si="10"/>
        <v>12388.425641087964</v>
      </c>
      <c r="AE31" s="76">
        <f t="shared" si="11"/>
        <v>0</v>
      </c>
      <c r="AF31" s="75">
        <f t="shared" si="6"/>
        <v>0</v>
      </c>
      <c r="AG31" s="75">
        <f t="shared" si="7"/>
        <v>0</v>
      </c>
      <c r="AH31" s="31" t="e" cm="1">
        <f t="array" aca="1" ref="AH31" ca="1">IF((AD31) &lt; (INDEX(ResponseSLA[#All],(MATCH((G31),ResponseSLA[Priority],0))+1,3)),"YES","No")</f>
        <v>#N/A</v>
      </c>
      <c r="AI31" s="31" t="str">
        <f>_xlfn.IFNA(IF(AE31 &lt; (INDEX(SLATable[Minimum SLA],MATCH(G31,SLATable[Priority],0))),"YES","NO"),"")</f>
        <v/>
      </c>
      <c r="AJ31" t="str">
        <f>_xlfn.IFNA(IF(AE31 &lt; (INDEX(SLATable[Maximum SLA],MATCH(G31,SLATable[Priority],0))),"YES","NO"),"")</f>
        <v/>
      </c>
    </row>
    <row r="32" spans="26:36" ht="15" customHeight="1">
      <c r="Z32" s="76" t="e">
        <f t="shared" ca="1" si="8"/>
        <v>#N/A</v>
      </c>
      <c r="AA32" s="75" t="e">
        <f t="shared" ca="1" si="1"/>
        <v>#N/A</v>
      </c>
      <c r="AB32" s="76">
        <f t="shared" ca="1" si="9"/>
        <v>0</v>
      </c>
      <c r="AC32" s="75">
        <f t="shared" ca="1" si="3"/>
        <v>0</v>
      </c>
      <c r="AD32" s="76">
        <f t="shared" ca="1" si="10"/>
        <v>12388.425641203703</v>
      </c>
      <c r="AE32" s="76">
        <f t="shared" si="11"/>
        <v>0</v>
      </c>
      <c r="AF32" s="75">
        <f t="shared" si="6"/>
        <v>0</v>
      </c>
      <c r="AG32" s="75">
        <f t="shared" si="7"/>
        <v>0</v>
      </c>
      <c r="AH32" s="31" t="e" cm="1">
        <f t="array" aca="1" ref="AH32" ca="1">IF((AD32) &lt; (INDEX(ResponseSLA[#All],(MATCH((G32),ResponseSLA[Priority],0))+1,3)),"YES","No")</f>
        <v>#N/A</v>
      </c>
      <c r="AI32" s="31" t="str">
        <f>_xlfn.IFNA(IF(AE32 &lt; (INDEX(SLATable[Minimum SLA],MATCH(G32,SLATable[Priority],0))),"YES","NO"),"")</f>
        <v/>
      </c>
      <c r="AJ32" t="str">
        <f>_xlfn.IFNA(IF(AE32 &lt; (INDEX(SLATable[Maximum SLA],MATCH(G32,SLATable[Priority],0))),"YES","NO"),"")</f>
        <v/>
      </c>
    </row>
    <row r="33" spans="26:36" ht="15" customHeight="1">
      <c r="Z33" s="76" t="e">
        <f t="shared" ca="1" si="8"/>
        <v>#N/A</v>
      </c>
      <c r="AA33" s="75" t="e">
        <f t="shared" ca="1" si="1"/>
        <v>#N/A</v>
      </c>
      <c r="AB33" s="76">
        <f t="shared" ca="1" si="9"/>
        <v>0</v>
      </c>
      <c r="AC33" s="75">
        <f t="shared" ca="1" si="3"/>
        <v>0</v>
      </c>
      <c r="AD33" s="76">
        <f t="shared" ca="1" si="10"/>
        <v>12388.425641087964</v>
      </c>
      <c r="AE33" s="76">
        <f t="shared" si="11"/>
        <v>0</v>
      </c>
      <c r="AF33" s="75">
        <f t="shared" si="6"/>
        <v>0</v>
      </c>
      <c r="AG33" s="75">
        <f t="shared" si="7"/>
        <v>0</v>
      </c>
      <c r="AH33" s="31" t="e" cm="1">
        <f t="array" aca="1" ref="AH33" ca="1">IF((AD33) &lt; (INDEX(ResponseSLA[#All],(MATCH((G33),ResponseSLA[Priority],0))+1,3)),"YES","No")</f>
        <v>#N/A</v>
      </c>
      <c r="AI33" s="31" t="str">
        <f>_xlfn.IFNA(IF(AE33 &lt; (INDEX(SLATable[Minimum SLA],MATCH(G33,SLATable[Priority],0))),"YES","NO"),"")</f>
        <v/>
      </c>
      <c r="AJ33" t="str">
        <f>_xlfn.IFNA(IF(AE33 &lt; (INDEX(SLATable[Maximum SLA],MATCH(G33,SLATable[Priority],0))),"YES","NO"),"")</f>
        <v/>
      </c>
    </row>
    <row r="34" spans="26:36" ht="15" customHeight="1">
      <c r="Z34" s="76" t="e">
        <f t="shared" ca="1" si="8"/>
        <v>#N/A</v>
      </c>
      <c r="AA34" s="75" t="e">
        <f t="shared" ca="1" si="1"/>
        <v>#N/A</v>
      </c>
      <c r="AB34" s="76">
        <f t="shared" ca="1" si="9"/>
        <v>0</v>
      </c>
      <c r="AC34" s="75">
        <f t="shared" ca="1" si="3"/>
        <v>0</v>
      </c>
      <c r="AD34" s="76">
        <f t="shared" ca="1" si="10"/>
        <v>12388.425641087964</v>
      </c>
      <c r="AE34" s="76">
        <f t="shared" si="11"/>
        <v>0</v>
      </c>
      <c r="AF34" s="75">
        <f t="shared" si="6"/>
        <v>0</v>
      </c>
      <c r="AG34" s="75">
        <f t="shared" si="7"/>
        <v>0</v>
      </c>
      <c r="AH34" s="31" t="e" cm="1">
        <f t="array" aca="1" ref="AH34" ca="1">IF((AD34) &lt; (INDEX(ResponseSLA[#All],(MATCH((G34),ResponseSLA[Priority],0))+1,3)),"YES","No")</f>
        <v>#N/A</v>
      </c>
      <c r="AI34" s="31" t="str">
        <f>_xlfn.IFNA(IF(AE34 &lt; (INDEX(SLATable[Minimum SLA],MATCH(G34,SLATable[Priority],0))),"YES","NO"),"")</f>
        <v/>
      </c>
      <c r="AJ34" t="str">
        <f>_xlfn.IFNA(IF(AE34 &lt; (INDEX(SLATable[Maximum SLA],MATCH(G34,SLATable[Priority],0))),"YES","NO"),"")</f>
        <v/>
      </c>
    </row>
    <row r="35" spans="26:36" ht="15" customHeight="1">
      <c r="Z35" s="76" t="e">
        <f t="shared" ca="1" si="8"/>
        <v>#N/A</v>
      </c>
      <c r="AA35" s="75" t="e">
        <f t="shared" ca="1" si="1"/>
        <v>#N/A</v>
      </c>
      <c r="AB35" s="76">
        <f t="shared" ca="1" si="9"/>
        <v>0</v>
      </c>
      <c r="AC35" s="75">
        <f t="shared" ca="1" si="3"/>
        <v>0</v>
      </c>
      <c r="AD35" s="76">
        <f t="shared" ca="1" si="10"/>
        <v>12388.425641203703</v>
      </c>
      <c r="AE35" s="76">
        <f t="shared" si="11"/>
        <v>0</v>
      </c>
      <c r="AF35" s="75">
        <f t="shared" si="6"/>
        <v>0</v>
      </c>
      <c r="AG35" s="75">
        <f t="shared" si="7"/>
        <v>0</v>
      </c>
      <c r="AH35" s="31" t="e" cm="1">
        <f t="array" aca="1" ref="AH35" ca="1">IF((AD35) &lt; (INDEX(ResponseSLA[#All],(MATCH((G35),ResponseSLA[Priority],0))+1,3)),"YES","No")</f>
        <v>#N/A</v>
      </c>
      <c r="AI35" s="31" t="str">
        <f>_xlfn.IFNA(IF(AE35 &lt; (INDEX(SLATable[Minimum SLA],MATCH(G35,SLATable[Priority],0))),"YES","NO"),"")</f>
        <v/>
      </c>
      <c r="AJ35" t="str">
        <f>_xlfn.IFNA(IF(AE35 &lt; (INDEX(SLATable[Maximum SLA],MATCH(G35,SLATable[Priority],0))),"YES","NO"),"")</f>
        <v/>
      </c>
    </row>
    <row r="36" spans="26:36" ht="15" customHeight="1">
      <c r="Z36" s="76" t="e">
        <f t="shared" ca="1" si="8"/>
        <v>#N/A</v>
      </c>
      <c r="AA36" s="75" t="e">
        <f t="shared" ca="1" si="1"/>
        <v>#N/A</v>
      </c>
      <c r="AB36" s="76">
        <f t="shared" ca="1" si="9"/>
        <v>0</v>
      </c>
      <c r="AC36" s="75">
        <f t="shared" ca="1" si="3"/>
        <v>0</v>
      </c>
      <c r="AD36" s="76">
        <f t="shared" ca="1" si="10"/>
        <v>12388.425641087964</v>
      </c>
      <c r="AE36" s="76">
        <f t="shared" si="11"/>
        <v>0</v>
      </c>
      <c r="AF36" s="75">
        <f t="shared" si="6"/>
        <v>0</v>
      </c>
      <c r="AG36" s="75">
        <f t="shared" si="7"/>
        <v>0</v>
      </c>
      <c r="AH36" s="31" t="e" cm="1">
        <f t="array" aca="1" ref="AH36" ca="1">IF((AD36) &lt; (INDEX(ResponseSLA[#All],(MATCH((G36),ResponseSLA[Priority],0))+1,3)),"YES","No")</f>
        <v>#N/A</v>
      </c>
      <c r="AI36" s="31" t="str">
        <f>_xlfn.IFNA(IF(AE36 &lt; (INDEX(SLATable[Minimum SLA],MATCH(G36,SLATable[Priority],0))),"YES","NO"),"")</f>
        <v/>
      </c>
      <c r="AJ36" t="str">
        <f>_xlfn.IFNA(IF(AE36 &lt; (INDEX(SLATable[Maximum SLA],MATCH(G36,SLATable[Priority],0))),"YES","NO"),"")</f>
        <v/>
      </c>
    </row>
    <row r="37" spans="26:36" ht="15" customHeight="1">
      <c r="Z37" s="76" t="e">
        <f t="shared" ca="1" si="8"/>
        <v>#N/A</v>
      </c>
      <c r="AA37" s="75" t="e">
        <f t="shared" ca="1" si="1"/>
        <v>#N/A</v>
      </c>
      <c r="AB37" s="76">
        <f t="shared" ca="1" si="9"/>
        <v>0</v>
      </c>
      <c r="AC37" s="75">
        <f t="shared" ca="1" si="3"/>
        <v>0</v>
      </c>
      <c r="AD37" s="76">
        <f t="shared" ca="1" si="10"/>
        <v>12388.425641087964</v>
      </c>
      <c r="AE37" s="76">
        <f t="shared" si="11"/>
        <v>0</v>
      </c>
      <c r="AF37" s="75">
        <f t="shared" si="6"/>
        <v>0</v>
      </c>
      <c r="AG37" s="75">
        <f t="shared" si="7"/>
        <v>0</v>
      </c>
      <c r="AH37" s="31" t="e" cm="1">
        <f t="array" aca="1" ref="AH37" ca="1">IF((AD37) &lt; (INDEX(ResponseSLA[#All],(MATCH((G37),ResponseSLA[Priority],0))+1,3)),"YES","No")</f>
        <v>#N/A</v>
      </c>
      <c r="AI37" s="31" t="str">
        <f>_xlfn.IFNA(IF(AE37 &lt; (INDEX(SLATable[Minimum SLA],MATCH(G37,SLATable[Priority],0))),"YES","NO"),"")</f>
        <v/>
      </c>
      <c r="AJ37" t="str">
        <f>_xlfn.IFNA(IF(AE37 &lt; (INDEX(SLATable[Maximum SLA],MATCH(G37,SLATable[Priority],0))),"YES","NO"),"")</f>
        <v/>
      </c>
    </row>
    <row r="38" spans="26:36" ht="15" customHeight="1">
      <c r="Z38" s="76" t="e">
        <f t="shared" ca="1" si="8"/>
        <v>#N/A</v>
      </c>
      <c r="AA38" s="75" t="e">
        <f t="shared" ca="1" si="1"/>
        <v>#N/A</v>
      </c>
      <c r="AB38" s="76">
        <f t="shared" ca="1" si="9"/>
        <v>0</v>
      </c>
      <c r="AC38" s="75">
        <f t="shared" ca="1" si="3"/>
        <v>0</v>
      </c>
      <c r="AD38" s="76">
        <f t="shared" ca="1" si="10"/>
        <v>12388.425641203703</v>
      </c>
      <c r="AE38" s="76">
        <f t="shared" si="11"/>
        <v>0</v>
      </c>
      <c r="AF38" s="75">
        <f t="shared" si="6"/>
        <v>0</v>
      </c>
      <c r="AG38" s="75">
        <f t="shared" si="7"/>
        <v>0</v>
      </c>
      <c r="AH38" s="31" t="e" cm="1">
        <f t="array" aca="1" ref="AH38" ca="1">IF((AD38) &lt; (INDEX(ResponseSLA[#All],(MATCH((G38),ResponseSLA[Priority],0))+1,3)),"YES","No")</f>
        <v>#N/A</v>
      </c>
      <c r="AI38" s="31" t="str">
        <f>_xlfn.IFNA(IF(AE38 &lt; (INDEX(SLATable[Minimum SLA],MATCH(G38,SLATable[Priority],0))),"YES","NO"),"")</f>
        <v/>
      </c>
      <c r="AJ38" t="str">
        <f>_xlfn.IFNA(IF(AE38 &lt; (INDEX(SLATable[Maximum SLA],MATCH(G38,SLATable[Priority],0))),"YES","NO"),"")</f>
        <v/>
      </c>
    </row>
    <row r="39" spans="26:36" ht="15" customHeight="1">
      <c r="Z39" s="76" t="e">
        <f t="shared" ca="1" si="8"/>
        <v>#N/A</v>
      </c>
      <c r="AA39" s="75" t="e">
        <f t="shared" ca="1" si="1"/>
        <v>#N/A</v>
      </c>
      <c r="AB39" s="76">
        <f t="shared" ca="1" si="9"/>
        <v>0</v>
      </c>
      <c r="AC39" s="75">
        <f t="shared" ca="1" si="3"/>
        <v>0</v>
      </c>
      <c r="AD39" s="76">
        <f t="shared" ca="1" si="10"/>
        <v>12388.425641087964</v>
      </c>
      <c r="AE39" s="76">
        <f t="shared" si="11"/>
        <v>0</v>
      </c>
      <c r="AF39" s="75">
        <f t="shared" si="6"/>
        <v>0</v>
      </c>
      <c r="AG39" s="75">
        <f t="shared" si="7"/>
        <v>0</v>
      </c>
      <c r="AH39" s="31" t="e" cm="1">
        <f t="array" aca="1" ref="AH39" ca="1">IF((AD39) &lt; (INDEX(ResponseSLA[#All],(MATCH((G39),ResponseSLA[Priority],0))+1,3)),"YES","No")</f>
        <v>#N/A</v>
      </c>
      <c r="AI39" s="31" t="str">
        <f>_xlfn.IFNA(IF(AE39 &lt; (INDEX(SLATable[Minimum SLA],MATCH(G39,SLATable[Priority],0))),"YES","NO"),"")</f>
        <v/>
      </c>
      <c r="AJ39" t="str">
        <f>_xlfn.IFNA(IF(AE39 &lt; (INDEX(SLATable[Maximum SLA],MATCH(G39,SLATable[Priority],0))),"YES","NO"),"")</f>
        <v/>
      </c>
    </row>
    <row r="40" spans="26:36" ht="15" customHeight="1">
      <c r="Z40" s="76" t="e">
        <f t="shared" ca="1" si="8"/>
        <v>#N/A</v>
      </c>
      <c r="AA40" s="75" t="e">
        <f t="shared" ca="1" si="1"/>
        <v>#N/A</v>
      </c>
      <c r="AB40" s="76">
        <f t="shared" ca="1" si="9"/>
        <v>0</v>
      </c>
      <c r="AC40" s="75">
        <f t="shared" ca="1" si="3"/>
        <v>0</v>
      </c>
      <c r="AD40" s="76">
        <f t="shared" ca="1" si="10"/>
        <v>12388.425641087964</v>
      </c>
      <c r="AE40" s="76">
        <f t="shared" si="11"/>
        <v>0</v>
      </c>
      <c r="AF40" s="75">
        <f t="shared" si="6"/>
        <v>0</v>
      </c>
      <c r="AG40" s="75">
        <f t="shared" si="7"/>
        <v>0</v>
      </c>
      <c r="AH40" s="31" t="e" cm="1">
        <f t="array" aca="1" ref="AH40" ca="1">IF((AD40) &lt; (INDEX(ResponseSLA[#All],(MATCH((G40),ResponseSLA[Priority],0))+1,3)),"YES","No")</f>
        <v>#N/A</v>
      </c>
      <c r="AI40" s="31" t="str">
        <f>_xlfn.IFNA(IF(AE40 &lt; (INDEX(SLATable[Minimum SLA],MATCH(G40,SLATable[Priority],0))),"YES","NO"),"")</f>
        <v/>
      </c>
      <c r="AJ40" t="str">
        <f>_xlfn.IFNA(IF(AE40 &lt; (INDEX(SLATable[Maximum SLA],MATCH(G40,SLATable[Priority],0))),"YES","NO"),"")</f>
        <v/>
      </c>
    </row>
    <row r="41" spans="26:36" ht="15" customHeight="1">
      <c r="Z41" s="76" t="e">
        <f t="shared" ca="1" si="8"/>
        <v>#N/A</v>
      </c>
      <c r="AA41" s="75" t="e">
        <f t="shared" ca="1" si="1"/>
        <v>#N/A</v>
      </c>
      <c r="AB41" s="76">
        <f t="shared" ca="1" si="9"/>
        <v>0</v>
      </c>
      <c r="AC41" s="75">
        <f t="shared" ca="1" si="3"/>
        <v>0</v>
      </c>
      <c r="AD41" s="76">
        <f t="shared" ca="1" si="10"/>
        <v>12388.425641203703</v>
      </c>
      <c r="AE41" s="76">
        <f t="shared" si="11"/>
        <v>0</v>
      </c>
      <c r="AF41" s="75">
        <f t="shared" si="6"/>
        <v>0</v>
      </c>
      <c r="AG41" s="75">
        <f t="shared" si="7"/>
        <v>0</v>
      </c>
      <c r="AH41" s="31" t="e" cm="1">
        <f t="array" aca="1" ref="AH41" ca="1">IF((AD41) &lt; (INDEX(ResponseSLA[#All],(MATCH((G41),ResponseSLA[Priority],0))+1,3)),"YES","No")</f>
        <v>#N/A</v>
      </c>
      <c r="AI41" s="31" t="str">
        <f>_xlfn.IFNA(IF(AE41 &lt; (INDEX(SLATable[Minimum SLA],MATCH(G41,SLATable[Priority],0))),"YES","NO"),"")</f>
        <v/>
      </c>
      <c r="AJ41" t="str">
        <f>_xlfn.IFNA(IF(AE41 &lt; (INDEX(SLATable[Maximum SLA],MATCH(G41,SLATable[Priority],0))),"YES","NO"),"")</f>
        <v/>
      </c>
    </row>
    <row r="42" spans="26:36" ht="15" customHeight="1">
      <c r="Z42" s="76" t="e">
        <f t="shared" ca="1" si="8"/>
        <v>#N/A</v>
      </c>
      <c r="AA42" s="75" t="e">
        <f t="shared" ca="1" si="1"/>
        <v>#N/A</v>
      </c>
      <c r="AB42" s="76">
        <f t="shared" ca="1" si="9"/>
        <v>0</v>
      </c>
      <c r="AC42" s="75">
        <f t="shared" ca="1" si="3"/>
        <v>0</v>
      </c>
      <c r="AD42" s="76">
        <f t="shared" ca="1" si="10"/>
        <v>12388.425641087964</v>
      </c>
      <c r="AE42" s="76">
        <f t="shared" si="11"/>
        <v>0</v>
      </c>
      <c r="AF42" s="75">
        <f t="shared" si="6"/>
        <v>0</v>
      </c>
      <c r="AG42" s="75">
        <f t="shared" si="7"/>
        <v>0</v>
      </c>
      <c r="AH42" s="31" t="e" cm="1">
        <f t="array" aca="1" ref="AH42" ca="1">IF((AD42) &lt; (INDEX(ResponseSLA[#All],(MATCH((G42),ResponseSLA[Priority],0))+1,3)),"YES","No")</f>
        <v>#N/A</v>
      </c>
      <c r="AI42" s="31" t="str">
        <f>_xlfn.IFNA(IF(AE42 &lt; (INDEX(SLATable[Minimum SLA],MATCH(G42,SLATable[Priority],0))),"YES","NO"),"")</f>
        <v/>
      </c>
      <c r="AJ42" t="str">
        <f>_xlfn.IFNA(IF(AE42 &lt; (INDEX(SLATable[Maximum SLA],MATCH(G42,SLATable[Priority],0))),"YES","NO"),"")</f>
        <v/>
      </c>
    </row>
    <row r="43" spans="26:36" ht="15" customHeight="1">
      <c r="Z43" s="76" t="e">
        <f t="shared" ca="1" si="8"/>
        <v>#N/A</v>
      </c>
      <c r="AA43" s="75" t="e">
        <f t="shared" ca="1" si="1"/>
        <v>#N/A</v>
      </c>
      <c r="AB43" s="76">
        <f t="shared" ca="1" si="9"/>
        <v>0</v>
      </c>
      <c r="AC43" s="75">
        <f t="shared" ca="1" si="3"/>
        <v>0</v>
      </c>
      <c r="AD43" s="76">
        <f t="shared" ca="1" si="10"/>
        <v>12388.425641087964</v>
      </c>
      <c r="AE43" s="76">
        <f t="shared" si="11"/>
        <v>0</v>
      </c>
      <c r="AF43" s="75">
        <f t="shared" si="6"/>
        <v>0</v>
      </c>
      <c r="AG43" s="75">
        <f t="shared" si="7"/>
        <v>0</v>
      </c>
      <c r="AH43" s="31" t="e" cm="1">
        <f t="array" aca="1" ref="AH43" ca="1">IF((AD43) &lt; (INDEX(ResponseSLA[#All],(MATCH((G43),ResponseSLA[Priority],0))+1,3)),"YES","No")</f>
        <v>#N/A</v>
      </c>
      <c r="AI43" s="31" t="str">
        <f>_xlfn.IFNA(IF(AE43 &lt; (INDEX(SLATable[Minimum SLA],MATCH(G43,SLATable[Priority],0))),"YES","NO"),"")</f>
        <v/>
      </c>
      <c r="AJ43" t="str">
        <f>_xlfn.IFNA(IF(AE43 &lt; (INDEX(SLATable[Maximum SLA],MATCH(G43,SLATable[Priority],0))),"YES","NO"),"")</f>
        <v/>
      </c>
    </row>
    <row r="44" spans="26:36" ht="15" customHeight="1">
      <c r="Z44" s="76" t="e">
        <f t="shared" ca="1" si="8"/>
        <v>#N/A</v>
      </c>
      <c r="AA44" s="75" t="e">
        <f t="shared" ca="1" si="1"/>
        <v>#N/A</v>
      </c>
      <c r="AB44" s="76">
        <f t="shared" ca="1" si="9"/>
        <v>0</v>
      </c>
      <c r="AC44" s="75">
        <f t="shared" ca="1" si="3"/>
        <v>0</v>
      </c>
      <c r="AD44" s="76">
        <f t="shared" ca="1" si="10"/>
        <v>12388.425641203703</v>
      </c>
      <c r="AE44" s="76">
        <f t="shared" si="11"/>
        <v>0</v>
      </c>
      <c r="AF44" s="75">
        <f t="shared" si="6"/>
        <v>0</v>
      </c>
      <c r="AG44" s="75">
        <f t="shared" si="7"/>
        <v>0</v>
      </c>
      <c r="AH44" s="31" t="e" cm="1">
        <f t="array" aca="1" ref="AH44" ca="1">IF((AD44) &lt; (INDEX(ResponseSLA[#All],(MATCH((G44),ResponseSLA[Priority],0))+1,3)),"YES","No")</f>
        <v>#N/A</v>
      </c>
      <c r="AI44" s="31" t="str">
        <f>_xlfn.IFNA(IF(AE44 &lt; (INDEX(SLATable[Minimum SLA],MATCH(G44,SLATable[Priority],0))),"YES","NO"),"")</f>
        <v/>
      </c>
      <c r="AJ44" t="str">
        <f>_xlfn.IFNA(IF(AE44 &lt; (INDEX(SLATable[Maximum SLA],MATCH(G44,SLATable[Priority],0))),"YES","NO"),"")</f>
        <v/>
      </c>
    </row>
    <row r="45" spans="26:36" ht="15" customHeight="1">
      <c r="Z45" s="76" t="e">
        <f t="shared" ca="1" si="8"/>
        <v>#N/A</v>
      </c>
      <c r="AA45" s="75" t="e">
        <f t="shared" ca="1" si="1"/>
        <v>#N/A</v>
      </c>
      <c r="AB45" s="76">
        <f t="shared" ca="1" si="9"/>
        <v>0</v>
      </c>
      <c r="AC45" s="75">
        <f t="shared" ca="1" si="3"/>
        <v>0</v>
      </c>
      <c r="AD45" s="76">
        <f t="shared" ca="1" si="10"/>
        <v>12388.425641087964</v>
      </c>
      <c r="AE45" s="76">
        <f t="shared" si="11"/>
        <v>0</v>
      </c>
      <c r="AF45" s="75">
        <f t="shared" si="6"/>
        <v>0</v>
      </c>
      <c r="AG45" s="75">
        <f t="shared" si="7"/>
        <v>0</v>
      </c>
      <c r="AH45" s="31" t="e" cm="1">
        <f t="array" aca="1" ref="AH45" ca="1">IF((AD45) &lt; (INDEX(ResponseSLA[#All],(MATCH((G45),ResponseSLA[Priority],0))+1,3)),"YES","No")</f>
        <v>#N/A</v>
      </c>
      <c r="AI45" s="31" t="str">
        <f>_xlfn.IFNA(IF(AE45 &lt; (INDEX(SLATable[Minimum SLA],MATCH(G45,SLATable[Priority],0))),"YES","NO"),"")</f>
        <v/>
      </c>
      <c r="AJ45" t="str">
        <f>_xlfn.IFNA(IF(AE45 &lt; (INDEX(SLATable[Maximum SLA],MATCH(G45,SLATable[Priority],0))),"YES","NO"),"")</f>
        <v/>
      </c>
    </row>
    <row r="46" spans="26:36" ht="15" customHeight="1">
      <c r="Z46" s="76" t="e">
        <f t="shared" ca="1" si="8"/>
        <v>#N/A</v>
      </c>
      <c r="AA46" s="75" t="e">
        <f t="shared" ca="1" si="1"/>
        <v>#N/A</v>
      </c>
      <c r="AB46" s="76">
        <f t="shared" ca="1" si="9"/>
        <v>0</v>
      </c>
      <c r="AC46" s="75">
        <f t="shared" ca="1" si="3"/>
        <v>0</v>
      </c>
      <c r="AD46" s="76">
        <f t="shared" ca="1" si="10"/>
        <v>12388.425641087964</v>
      </c>
      <c r="AE46" s="76">
        <f t="shared" si="11"/>
        <v>0</v>
      </c>
      <c r="AF46" s="75">
        <f t="shared" si="6"/>
        <v>0</v>
      </c>
      <c r="AG46" s="75">
        <f t="shared" si="7"/>
        <v>0</v>
      </c>
      <c r="AH46" s="31" t="e" cm="1">
        <f t="array" aca="1" ref="AH46" ca="1">IF((AD46) &lt; (INDEX(ResponseSLA[#All],(MATCH((G46),ResponseSLA[Priority],0))+1,3)),"YES","No")</f>
        <v>#N/A</v>
      </c>
      <c r="AI46" s="31" t="str">
        <f>_xlfn.IFNA(IF(AE46 &lt; (INDEX(SLATable[Minimum SLA],MATCH(G46,SLATable[Priority],0))),"YES","NO"),"")</f>
        <v/>
      </c>
      <c r="AJ46" t="str">
        <f>_xlfn.IFNA(IF(AE46 &lt; (INDEX(SLATable[Maximum SLA],MATCH(G46,SLATable[Priority],0))),"YES","NO"),"")</f>
        <v/>
      </c>
    </row>
    <row r="47" spans="26:36" ht="15" customHeight="1">
      <c r="Z47" s="76" t="e">
        <f t="shared" ca="1" si="8"/>
        <v>#N/A</v>
      </c>
      <c r="AA47" s="75" t="e">
        <f t="shared" ca="1" si="1"/>
        <v>#N/A</v>
      </c>
      <c r="AB47" s="76">
        <f t="shared" ca="1" si="9"/>
        <v>0</v>
      </c>
      <c r="AC47" s="75">
        <f t="shared" ca="1" si="3"/>
        <v>0</v>
      </c>
      <c r="AD47" s="76">
        <f t="shared" ca="1" si="10"/>
        <v>12388.425641203703</v>
      </c>
      <c r="AE47" s="76">
        <f t="shared" si="11"/>
        <v>0</v>
      </c>
      <c r="AF47" s="75">
        <f t="shared" si="6"/>
        <v>0</v>
      </c>
      <c r="AG47" s="75">
        <f t="shared" si="7"/>
        <v>0</v>
      </c>
      <c r="AH47" s="31" t="e" cm="1">
        <f t="array" aca="1" ref="AH47" ca="1">IF((AD47) &lt; (INDEX(ResponseSLA[#All],(MATCH((G47),ResponseSLA[Priority],0))+1,3)),"YES","No")</f>
        <v>#N/A</v>
      </c>
      <c r="AI47" s="31" t="str">
        <f>_xlfn.IFNA(IF(AE47 &lt; (INDEX(SLATable[Minimum SLA],MATCH(G47,SLATable[Priority],0))),"YES","NO"),"")</f>
        <v/>
      </c>
      <c r="AJ47" t="str">
        <f>_xlfn.IFNA(IF(AE47 &lt; (INDEX(SLATable[Maximum SLA],MATCH(G47,SLATable[Priority],0))),"YES","NO"),"")</f>
        <v/>
      </c>
    </row>
    <row r="48" spans="26:36" ht="15" customHeight="1">
      <c r="Z48" s="76" t="e">
        <f t="shared" ca="1" si="8"/>
        <v>#N/A</v>
      </c>
      <c r="AA48" s="75" t="e">
        <f t="shared" ca="1" si="1"/>
        <v>#N/A</v>
      </c>
      <c r="AB48" s="76">
        <f t="shared" ca="1" si="9"/>
        <v>0</v>
      </c>
      <c r="AC48" s="75">
        <f t="shared" ca="1" si="3"/>
        <v>0</v>
      </c>
      <c r="AD48" s="76">
        <f t="shared" ca="1" si="10"/>
        <v>12388.425641087964</v>
      </c>
      <c r="AE48" s="76">
        <f t="shared" si="11"/>
        <v>0</v>
      </c>
      <c r="AF48" s="75">
        <f t="shared" si="6"/>
        <v>0</v>
      </c>
      <c r="AG48" s="75">
        <f t="shared" si="7"/>
        <v>0</v>
      </c>
      <c r="AH48" s="31" t="e" cm="1">
        <f t="array" aca="1" ref="AH48" ca="1">IF((AD48) &lt; (INDEX(ResponseSLA[#All],(MATCH((G48),ResponseSLA[Priority],0))+1,3)),"YES","No")</f>
        <v>#N/A</v>
      </c>
      <c r="AI48" s="31" t="str">
        <f>_xlfn.IFNA(IF(AE48 &lt; (INDEX(SLATable[Minimum SLA],MATCH(G48,SLATable[Priority],0))),"YES","NO"),"")</f>
        <v/>
      </c>
      <c r="AJ48" t="str">
        <f>_xlfn.IFNA(IF(AE48 &lt; (INDEX(SLATable[Maximum SLA],MATCH(G48,SLATable[Priority],0))),"YES","NO"),"")</f>
        <v/>
      </c>
    </row>
    <row r="49" spans="26:36" ht="15" customHeight="1">
      <c r="Z49" s="76" t="e">
        <f t="shared" ca="1" si="8"/>
        <v>#N/A</v>
      </c>
      <c r="AA49" s="75" t="e">
        <f t="shared" ca="1" si="1"/>
        <v>#N/A</v>
      </c>
      <c r="AB49" s="76">
        <f t="shared" ca="1" si="9"/>
        <v>0</v>
      </c>
      <c r="AC49" s="75">
        <f t="shared" ca="1" si="3"/>
        <v>0</v>
      </c>
      <c r="AD49" s="76">
        <f t="shared" ca="1" si="10"/>
        <v>12388.425641087964</v>
      </c>
      <c r="AE49" s="76">
        <f t="shared" si="11"/>
        <v>0</v>
      </c>
      <c r="AF49" s="75">
        <f t="shared" si="6"/>
        <v>0</v>
      </c>
      <c r="AG49" s="75">
        <f t="shared" si="7"/>
        <v>0</v>
      </c>
      <c r="AH49" s="31" t="e" cm="1">
        <f t="array" aca="1" ref="AH49" ca="1">IF((AD49) &lt; (INDEX(ResponseSLA[#All],(MATCH((G49),ResponseSLA[Priority],0))+1,3)),"YES","No")</f>
        <v>#N/A</v>
      </c>
      <c r="AI49" s="31" t="str">
        <f>_xlfn.IFNA(IF(AE49 &lt; (INDEX(SLATable[Minimum SLA],MATCH(G49,SLATable[Priority],0))),"YES","NO"),"")</f>
        <v/>
      </c>
      <c r="AJ49" t="str">
        <f>_xlfn.IFNA(IF(AE49 &lt; (INDEX(SLATable[Maximum SLA],MATCH(G49,SLATable[Priority],0))),"YES","NO"),"")</f>
        <v/>
      </c>
    </row>
    <row r="50" spans="26:36" ht="15" customHeight="1">
      <c r="Z50" s="76" t="e">
        <f t="shared" ca="1" si="8"/>
        <v>#N/A</v>
      </c>
      <c r="AA50" s="75" t="e">
        <f t="shared" ca="1" si="1"/>
        <v>#N/A</v>
      </c>
      <c r="AB50" s="76">
        <f t="shared" ca="1" si="9"/>
        <v>0</v>
      </c>
      <c r="AC50" s="75">
        <f t="shared" ca="1" si="3"/>
        <v>0</v>
      </c>
      <c r="AD50" s="76">
        <f t="shared" ca="1" si="10"/>
        <v>12388.425641203703</v>
      </c>
      <c r="AE50" s="76">
        <f t="shared" si="11"/>
        <v>0</v>
      </c>
      <c r="AF50" s="75">
        <f t="shared" si="6"/>
        <v>0</v>
      </c>
      <c r="AG50" s="75">
        <f t="shared" si="7"/>
        <v>0</v>
      </c>
      <c r="AH50" s="31" t="e" cm="1">
        <f t="array" aca="1" ref="AH50" ca="1">IF((AD50) &lt; (INDEX(ResponseSLA[#All],(MATCH((G50),ResponseSLA[Priority],0))+1,3)),"YES","No")</f>
        <v>#N/A</v>
      </c>
      <c r="AI50" s="31" t="str">
        <f>_xlfn.IFNA(IF(AE50 &lt; (INDEX(SLATable[Minimum SLA],MATCH(G50,SLATable[Priority],0))),"YES","NO"),"")</f>
        <v/>
      </c>
      <c r="AJ50" t="str">
        <f>_xlfn.IFNA(IF(AE50 &lt; (INDEX(SLATable[Maximum SLA],MATCH(G50,SLATable[Priority],0))),"YES","NO"),"")</f>
        <v/>
      </c>
    </row>
    <row r="51" spans="26:36" ht="15" customHeight="1">
      <c r="Z51" s="76" t="e">
        <f t="shared" ca="1" si="8"/>
        <v>#N/A</v>
      </c>
      <c r="AA51" s="75" t="e">
        <f t="shared" ca="1" si="1"/>
        <v>#N/A</v>
      </c>
      <c r="AB51" s="76">
        <f t="shared" ca="1" si="9"/>
        <v>0</v>
      </c>
      <c r="AC51" s="75">
        <f t="shared" ca="1" si="3"/>
        <v>0</v>
      </c>
      <c r="AD51" s="76">
        <f t="shared" ca="1" si="10"/>
        <v>12388.425641087964</v>
      </c>
      <c r="AE51" s="76">
        <f t="shared" si="11"/>
        <v>0</v>
      </c>
      <c r="AF51" s="75">
        <f t="shared" si="6"/>
        <v>0</v>
      </c>
      <c r="AG51" s="75">
        <f t="shared" si="7"/>
        <v>0</v>
      </c>
      <c r="AH51" s="31" t="e" cm="1">
        <f t="array" aca="1" ref="AH51" ca="1">IF((AD51) &lt; (INDEX(ResponseSLA[#All],(MATCH((G51),ResponseSLA[Priority],0))+1,3)),"YES","No")</f>
        <v>#N/A</v>
      </c>
      <c r="AI51" s="31" t="str">
        <f>_xlfn.IFNA(IF(AE51 &lt; (INDEX(SLATable[Minimum SLA],MATCH(G51,SLATable[Priority],0))),"YES","NO"),"")</f>
        <v/>
      </c>
      <c r="AJ51" t="str">
        <f>_xlfn.IFNA(IF(AE51 &lt; (INDEX(SLATable[Maximum SLA],MATCH(G51,SLATable[Priority],0))),"YES","NO"),"")</f>
        <v/>
      </c>
    </row>
    <row r="52" spans="26:36" ht="15" customHeight="1">
      <c r="Z52" s="76" t="e">
        <f t="shared" ca="1" si="8"/>
        <v>#N/A</v>
      </c>
      <c r="AA52" s="75" t="e">
        <f t="shared" ca="1" si="1"/>
        <v>#N/A</v>
      </c>
      <c r="AB52" s="76">
        <f t="shared" ca="1" si="9"/>
        <v>0</v>
      </c>
      <c r="AC52" s="75">
        <f t="shared" ca="1" si="3"/>
        <v>0</v>
      </c>
      <c r="AD52" s="76">
        <f t="shared" ca="1" si="10"/>
        <v>12388.425641087964</v>
      </c>
      <c r="AE52" s="76">
        <f t="shared" si="11"/>
        <v>0</v>
      </c>
      <c r="AF52" s="75">
        <f t="shared" si="6"/>
        <v>0</v>
      </c>
      <c r="AG52" s="75">
        <f t="shared" si="7"/>
        <v>0</v>
      </c>
      <c r="AH52" s="31" t="e" cm="1">
        <f t="array" aca="1" ref="AH52" ca="1">IF((AD52) &lt; (INDEX(ResponseSLA[#All],(MATCH((G52),ResponseSLA[Priority],0))+1,3)),"YES","No")</f>
        <v>#N/A</v>
      </c>
      <c r="AI52" s="31" t="str">
        <f>_xlfn.IFNA(IF(AE52 &lt; (INDEX(SLATable[Minimum SLA],MATCH(G52,SLATable[Priority],0))),"YES","NO"),"")</f>
        <v/>
      </c>
      <c r="AJ52" t="str">
        <f>_xlfn.IFNA(IF(AE52 &lt; (INDEX(SLATable[Maximum SLA],MATCH(G52,SLATable[Priority],0))),"YES","NO"),"")</f>
        <v/>
      </c>
    </row>
    <row r="53" spans="26:36" ht="15" customHeight="1">
      <c r="Z53" s="76" t="e">
        <f t="shared" ca="1" si="8"/>
        <v>#N/A</v>
      </c>
      <c r="AA53" s="75" t="e">
        <f t="shared" ca="1" si="1"/>
        <v>#N/A</v>
      </c>
      <c r="AB53" s="76">
        <f t="shared" ca="1" si="9"/>
        <v>0</v>
      </c>
      <c r="AC53" s="75">
        <f t="shared" ca="1" si="3"/>
        <v>0</v>
      </c>
      <c r="AD53" s="76">
        <f t="shared" ca="1" si="10"/>
        <v>12388.425641203703</v>
      </c>
      <c r="AE53" s="76">
        <f t="shared" si="11"/>
        <v>0</v>
      </c>
      <c r="AF53" s="75">
        <f t="shared" si="6"/>
        <v>0</v>
      </c>
      <c r="AG53" s="75">
        <f t="shared" si="7"/>
        <v>0</v>
      </c>
      <c r="AH53" s="31" t="e" cm="1">
        <f t="array" aca="1" ref="AH53" ca="1">IF((AD53) &lt; (INDEX(ResponseSLA[#All],(MATCH((G53),ResponseSLA[Priority],0))+1,3)),"YES","No")</f>
        <v>#N/A</v>
      </c>
      <c r="AI53" s="31" t="str">
        <f>_xlfn.IFNA(IF(AE53 &lt; (INDEX(SLATable[Minimum SLA],MATCH(G53,SLATable[Priority],0))),"YES","NO"),"")</f>
        <v/>
      </c>
      <c r="AJ53" t="str">
        <f>_xlfn.IFNA(IF(AE53 &lt; (INDEX(SLATable[Maximum SLA],MATCH(G53,SLATable[Priority],0))),"YES","NO"),"")</f>
        <v/>
      </c>
    </row>
    <row r="54" spans="26:36" ht="15" customHeight="1">
      <c r="Z54" s="76" t="e">
        <f t="shared" ca="1" si="8"/>
        <v>#N/A</v>
      </c>
      <c r="AA54" s="75" t="e">
        <f t="shared" ca="1" si="1"/>
        <v>#N/A</v>
      </c>
      <c r="AB54" s="76">
        <f t="shared" ca="1" si="9"/>
        <v>0</v>
      </c>
      <c r="AC54" s="75">
        <f t="shared" ca="1" si="3"/>
        <v>0</v>
      </c>
      <c r="AD54" s="76">
        <f t="shared" ca="1" si="10"/>
        <v>12388.425641087964</v>
      </c>
      <c r="AE54" s="76">
        <f t="shared" si="11"/>
        <v>0</v>
      </c>
      <c r="AF54" s="75">
        <f t="shared" si="6"/>
        <v>0</v>
      </c>
      <c r="AG54" s="75">
        <f t="shared" si="7"/>
        <v>0</v>
      </c>
      <c r="AH54" s="31" t="e" cm="1">
        <f t="array" aca="1" ref="AH54" ca="1">IF((AD54) &lt; (INDEX(ResponseSLA[#All],(MATCH((G54),ResponseSLA[Priority],0))+1,3)),"YES","No")</f>
        <v>#N/A</v>
      </c>
      <c r="AI54" s="31" t="str">
        <f>_xlfn.IFNA(IF(AE54 &lt; (INDEX(SLATable[Minimum SLA],MATCH(G54,SLATable[Priority],0))),"YES","NO"),"")</f>
        <v/>
      </c>
      <c r="AJ54" t="str">
        <f>_xlfn.IFNA(IF(AE54 &lt; (INDEX(SLATable[Maximum SLA],MATCH(G54,SLATable[Priority],0))),"YES","NO"),"")</f>
        <v/>
      </c>
    </row>
    <row r="55" spans="26:36" ht="15" customHeight="1">
      <c r="Z55" s="76" t="e">
        <f t="shared" ca="1" si="8"/>
        <v>#N/A</v>
      </c>
      <c r="AA55" s="75" t="e">
        <f t="shared" ca="1" si="1"/>
        <v>#N/A</v>
      </c>
      <c r="AB55" s="76">
        <f t="shared" ca="1" si="9"/>
        <v>0</v>
      </c>
      <c r="AC55" s="75">
        <f t="shared" ca="1" si="3"/>
        <v>0</v>
      </c>
      <c r="AD55" s="76">
        <f t="shared" ca="1" si="10"/>
        <v>12388.425641087964</v>
      </c>
      <c r="AE55" s="76">
        <f t="shared" si="11"/>
        <v>0</v>
      </c>
      <c r="AF55" s="75">
        <f t="shared" si="6"/>
        <v>0</v>
      </c>
      <c r="AG55" s="75">
        <f t="shared" si="7"/>
        <v>0</v>
      </c>
      <c r="AH55" s="31" t="e" cm="1">
        <f t="array" aca="1" ref="AH55" ca="1">IF((AD55) &lt; (INDEX(ResponseSLA[#All],(MATCH((G55),ResponseSLA[Priority],0))+1,3)),"YES","No")</f>
        <v>#N/A</v>
      </c>
      <c r="AI55" s="31" t="str">
        <f>_xlfn.IFNA(IF(AE55 &lt; (INDEX(SLATable[Minimum SLA],MATCH(G55,SLATable[Priority],0))),"YES","NO"),"")</f>
        <v/>
      </c>
      <c r="AJ55" t="str">
        <f>_xlfn.IFNA(IF(AE55 &lt; (INDEX(SLATable[Maximum SLA],MATCH(G55,SLATable[Priority],0))),"YES","NO"),"")</f>
        <v/>
      </c>
    </row>
    <row r="56" spans="26:36" ht="15" customHeight="1">
      <c r="Z56" s="76" t="e">
        <f t="shared" ca="1" si="8"/>
        <v>#N/A</v>
      </c>
      <c r="AA56" s="75" t="e">
        <f t="shared" ca="1" si="1"/>
        <v>#N/A</v>
      </c>
      <c r="AB56" s="76">
        <f t="shared" ca="1" si="9"/>
        <v>0</v>
      </c>
      <c r="AC56" s="75">
        <f t="shared" ca="1" si="3"/>
        <v>0</v>
      </c>
      <c r="AD56" s="76">
        <f t="shared" ca="1" si="10"/>
        <v>12388.425641203703</v>
      </c>
      <c r="AE56" s="76">
        <f t="shared" si="11"/>
        <v>0</v>
      </c>
      <c r="AF56" s="75">
        <f t="shared" si="6"/>
        <v>0</v>
      </c>
      <c r="AG56" s="75">
        <f t="shared" si="7"/>
        <v>0</v>
      </c>
      <c r="AH56" s="31" t="e" cm="1">
        <f t="array" aca="1" ref="AH56" ca="1">IF((AD56) &lt; (INDEX(ResponseSLA[#All],(MATCH((G56),ResponseSLA[Priority],0))+1,3)),"YES","No")</f>
        <v>#N/A</v>
      </c>
      <c r="AI56" s="31" t="str">
        <f>_xlfn.IFNA(IF(AE56 &lt; (INDEX(SLATable[Minimum SLA],MATCH(G56,SLATable[Priority],0))),"YES","NO"),"")</f>
        <v/>
      </c>
      <c r="AJ56" t="str">
        <f>_xlfn.IFNA(IF(AE56 &lt; (INDEX(SLATable[Maximum SLA],MATCH(G56,SLATable[Priority],0))),"YES","NO"),"")</f>
        <v/>
      </c>
    </row>
    <row r="57" spans="26:36" ht="15" customHeight="1">
      <c r="Z57" s="76" t="e">
        <f t="shared" ca="1" si="8"/>
        <v>#N/A</v>
      </c>
      <c r="AA57" s="75" t="e">
        <f t="shared" ca="1" si="1"/>
        <v>#N/A</v>
      </c>
      <c r="AB57" s="76">
        <f t="shared" ca="1" si="9"/>
        <v>0</v>
      </c>
      <c r="AC57" s="75">
        <f t="shared" ca="1" si="3"/>
        <v>0</v>
      </c>
      <c r="AD57" s="76">
        <f t="shared" ca="1" si="10"/>
        <v>12388.425641087964</v>
      </c>
      <c r="AE57" s="76">
        <f t="shared" si="11"/>
        <v>0</v>
      </c>
      <c r="AF57" s="75">
        <f t="shared" si="6"/>
        <v>0</v>
      </c>
      <c r="AG57" s="75">
        <f t="shared" si="7"/>
        <v>0</v>
      </c>
      <c r="AH57" s="31" t="e" cm="1">
        <f t="array" aca="1" ref="AH57" ca="1">IF((AD57) &lt; (INDEX(ResponseSLA[#All],(MATCH((G57),ResponseSLA[Priority],0))+1,3)),"YES","No")</f>
        <v>#N/A</v>
      </c>
      <c r="AI57" s="31" t="str">
        <f>_xlfn.IFNA(IF(AE57 &lt; (INDEX(SLATable[Minimum SLA],MATCH(G57,SLATable[Priority],0))),"YES","NO"),"")</f>
        <v/>
      </c>
      <c r="AJ57" t="str">
        <f>_xlfn.IFNA(IF(AE57 &lt; (INDEX(SLATable[Maximum SLA],MATCH(G57,SLATable[Priority],0))),"YES","NO"),"")</f>
        <v/>
      </c>
    </row>
    <row r="58" spans="26:36" ht="15" customHeight="1">
      <c r="Z58" s="76" t="e">
        <f t="shared" ca="1" si="8"/>
        <v>#N/A</v>
      </c>
      <c r="AA58" s="75" t="e">
        <f t="shared" ca="1" si="1"/>
        <v>#N/A</v>
      </c>
      <c r="AB58" s="76">
        <f t="shared" ca="1" si="9"/>
        <v>0</v>
      </c>
      <c r="AC58" s="75">
        <f t="shared" ca="1" si="3"/>
        <v>0</v>
      </c>
      <c r="AD58" s="76">
        <f t="shared" ca="1" si="10"/>
        <v>12388.425641087964</v>
      </c>
      <c r="AE58" s="76">
        <f t="shared" si="11"/>
        <v>0</v>
      </c>
      <c r="AF58" s="75">
        <f t="shared" si="6"/>
        <v>0</v>
      </c>
      <c r="AG58" s="75">
        <f t="shared" si="7"/>
        <v>0</v>
      </c>
      <c r="AH58" s="31" t="e" cm="1">
        <f t="array" aca="1" ref="AH58" ca="1">IF((AD58) &lt; (INDEX(ResponseSLA[#All],(MATCH((G58),ResponseSLA[Priority],0))+1,3)),"YES","No")</f>
        <v>#N/A</v>
      </c>
      <c r="AI58" s="31" t="str">
        <f>_xlfn.IFNA(IF(AE58 &lt; (INDEX(SLATable[Minimum SLA],MATCH(G58,SLATable[Priority],0))),"YES","NO"),"")</f>
        <v/>
      </c>
      <c r="AJ58" t="str">
        <f>_xlfn.IFNA(IF(AE58 &lt; (INDEX(SLATable[Maximum SLA],MATCH(G58,SLATable[Priority],0))),"YES","NO"),"")</f>
        <v/>
      </c>
    </row>
    <row r="59" spans="26:36" ht="15" customHeight="1">
      <c r="Z59" s="76" t="e">
        <f t="shared" ca="1" si="8"/>
        <v>#N/A</v>
      </c>
      <c r="AA59" s="75" t="e">
        <f t="shared" ca="1" si="1"/>
        <v>#N/A</v>
      </c>
      <c r="AB59" s="76">
        <f t="shared" ca="1" si="9"/>
        <v>0</v>
      </c>
      <c r="AC59" s="75">
        <f t="shared" ca="1" si="3"/>
        <v>0</v>
      </c>
      <c r="AD59" s="76">
        <f t="shared" ca="1" si="10"/>
        <v>12388.425641203703</v>
      </c>
      <c r="AE59" s="76">
        <f t="shared" si="11"/>
        <v>0</v>
      </c>
      <c r="AF59" s="75">
        <f t="shared" si="6"/>
        <v>0</v>
      </c>
      <c r="AG59" s="75">
        <f t="shared" si="7"/>
        <v>0</v>
      </c>
      <c r="AH59" s="31" t="e" cm="1">
        <f t="array" aca="1" ref="AH59" ca="1">IF((AD59) &lt; (INDEX(ResponseSLA[#All],(MATCH((G59),ResponseSLA[Priority],0))+1,3)),"YES","No")</f>
        <v>#N/A</v>
      </c>
      <c r="AI59" s="31" t="str">
        <f>_xlfn.IFNA(IF(AE59 &lt; (INDEX(SLATable[Minimum SLA],MATCH(G59,SLATable[Priority],0))),"YES","NO"),"")</f>
        <v/>
      </c>
      <c r="AJ59" t="str">
        <f>_xlfn.IFNA(IF(AE59 &lt; (INDEX(SLATable[Maximum SLA],MATCH(G59,SLATable[Priority],0))),"YES","NO"),"")</f>
        <v/>
      </c>
    </row>
    <row r="60" spans="26:36" ht="15" customHeight="1">
      <c r="Z60" s="76" t="e">
        <f t="shared" ca="1" si="8"/>
        <v>#N/A</v>
      </c>
      <c r="AA60" s="75" t="e">
        <f t="shared" ca="1" si="1"/>
        <v>#N/A</v>
      </c>
      <c r="AB60" s="76">
        <f t="shared" ca="1" si="9"/>
        <v>0</v>
      </c>
      <c r="AC60" s="75">
        <f t="shared" ca="1" si="3"/>
        <v>0</v>
      </c>
      <c r="AD60" s="76">
        <f t="shared" ca="1" si="10"/>
        <v>12388.425641087964</v>
      </c>
      <c r="AE60" s="76">
        <f t="shared" si="11"/>
        <v>0</v>
      </c>
      <c r="AF60" s="75">
        <f t="shared" si="6"/>
        <v>0</v>
      </c>
      <c r="AG60" s="75">
        <f t="shared" si="7"/>
        <v>0</v>
      </c>
      <c r="AH60" s="31" t="e" cm="1">
        <f t="array" aca="1" ref="AH60" ca="1">IF((AD60) &lt; (INDEX(ResponseSLA[#All],(MATCH((G60),ResponseSLA[Priority],0))+1,3)),"YES","No")</f>
        <v>#N/A</v>
      </c>
      <c r="AI60" s="31" t="str">
        <f>_xlfn.IFNA(IF(AE60 &lt; (INDEX(SLATable[Minimum SLA],MATCH(G60,SLATable[Priority],0))),"YES","NO"),"")</f>
        <v/>
      </c>
      <c r="AJ60" t="str">
        <f>_xlfn.IFNA(IF(AE60 &lt; (INDEX(SLATable[Maximum SLA],MATCH(G60,SLATable[Priority],0))),"YES","NO"),"")</f>
        <v/>
      </c>
    </row>
    <row r="61" spans="26:36" ht="15" customHeight="1">
      <c r="Z61" s="76" t="e">
        <f t="shared" ca="1" si="8"/>
        <v>#N/A</v>
      </c>
      <c r="AA61" s="75" t="e">
        <f t="shared" ca="1" si="1"/>
        <v>#N/A</v>
      </c>
      <c r="AB61" s="76">
        <f t="shared" ca="1" si="9"/>
        <v>0</v>
      </c>
      <c r="AC61" s="75">
        <f t="shared" ca="1" si="3"/>
        <v>0</v>
      </c>
      <c r="AD61" s="76">
        <f t="shared" ca="1" si="10"/>
        <v>12388.425641087964</v>
      </c>
      <c r="AE61" s="76">
        <f t="shared" si="11"/>
        <v>0</v>
      </c>
      <c r="AF61" s="75">
        <f t="shared" si="6"/>
        <v>0</v>
      </c>
      <c r="AG61" s="75">
        <f t="shared" si="7"/>
        <v>0</v>
      </c>
      <c r="AH61" s="31" t="e" cm="1">
        <f t="array" aca="1" ref="AH61" ca="1">IF((AD61) &lt; (INDEX(ResponseSLA[#All],(MATCH((G61),ResponseSLA[Priority],0))+1,3)),"YES","No")</f>
        <v>#N/A</v>
      </c>
      <c r="AI61" s="31" t="str">
        <f>_xlfn.IFNA(IF(AE61 &lt; (INDEX(SLATable[Minimum SLA],MATCH(G61,SLATable[Priority],0))),"YES","NO"),"")</f>
        <v/>
      </c>
      <c r="AJ61" t="str">
        <f>_xlfn.IFNA(IF(AE61 &lt; (INDEX(SLATable[Maximum SLA],MATCH(G61,SLATable[Priority],0))),"YES","NO"),"")</f>
        <v/>
      </c>
    </row>
    <row r="62" spans="26:36" ht="15" customHeight="1">
      <c r="Z62" s="76" t="e">
        <f t="shared" ca="1" si="8"/>
        <v>#N/A</v>
      </c>
      <c r="AA62" s="75" t="e">
        <f t="shared" ca="1" si="1"/>
        <v>#N/A</v>
      </c>
      <c r="AB62" s="76">
        <f t="shared" ca="1" si="9"/>
        <v>0</v>
      </c>
      <c r="AC62" s="75">
        <f t="shared" ca="1" si="3"/>
        <v>0</v>
      </c>
      <c r="AD62" s="76">
        <f t="shared" ca="1" si="10"/>
        <v>12388.425641203703</v>
      </c>
      <c r="AE62" s="76">
        <f t="shared" si="11"/>
        <v>0</v>
      </c>
      <c r="AF62" s="75">
        <f t="shared" si="6"/>
        <v>0</v>
      </c>
      <c r="AG62" s="75">
        <f t="shared" si="7"/>
        <v>0</v>
      </c>
      <c r="AH62" s="31" t="e" cm="1">
        <f t="array" aca="1" ref="AH62" ca="1">IF((AD62) &lt; (INDEX(ResponseSLA[#All],(MATCH((G62),ResponseSLA[Priority],0))+1,3)),"YES","No")</f>
        <v>#N/A</v>
      </c>
      <c r="AI62" s="31" t="str">
        <f>_xlfn.IFNA(IF(AE62 &lt; (INDEX(SLATable[Minimum SLA],MATCH(G62,SLATable[Priority],0))),"YES","NO"),"")</f>
        <v/>
      </c>
      <c r="AJ62" t="str">
        <f>_xlfn.IFNA(IF(AE62 &lt; (INDEX(SLATable[Maximum SLA],MATCH(G62,SLATable[Priority],0))),"YES","NO"),"")</f>
        <v/>
      </c>
    </row>
    <row r="63" spans="26:36" ht="15" customHeight="1">
      <c r="Z63" s="76" t="e">
        <f t="shared" ca="1" si="8"/>
        <v>#N/A</v>
      </c>
      <c r="AA63" s="75" t="e">
        <f t="shared" ca="1" si="1"/>
        <v>#N/A</v>
      </c>
      <c r="AB63" s="76">
        <f t="shared" ca="1" si="9"/>
        <v>0</v>
      </c>
      <c r="AC63" s="75">
        <f t="shared" ca="1" si="3"/>
        <v>0</v>
      </c>
      <c r="AD63" s="76">
        <f t="shared" ca="1" si="10"/>
        <v>12388.425641087964</v>
      </c>
      <c r="AE63" s="76">
        <f t="shared" si="11"/>
        <v>0</v>
      </c>
      <c r="AF63" s="75">
        <f t="shared" si="6"/>
        <v>0</v>
      </c>
      <c r="AG63" s="75">
        <f t="shared" si="7"/>
        <v>0</v>
      </c>
      <c r="AH63" s="31" t="e" cm="1">
        <f t="array" aca="1" ref="AH63" ca="1">IF((AD63) &lt; (INDEX(ResponseSLA[#All],(MATCH((G63),ResponseSLA[Priority],0))+1,3)),"YES","No")</f>
        <v>#N/A</v>
      </c>
      <c r="AI63" s="31" t="str">
        <f>_xlfn.IFNA(IF(AE63 &lt; (INDEX(SLATable[Minimum SLA],MATCH(G63,SLATable[Priority],0))),"YES","NO"),"")</f>
        <v/>
      </c>
      <c r="AJ63" t="str">
        <f>_xlfn.IFNA(IF(AE63 &lt; (INDEX(SLATable[Maximum SLA],MATCH(G63,SLATable[Priority],0))),"YES","NO"),"")</f>
        <v/>
      </c>
    </row>
    <row r="64" spans="26:36" ht="15" customHeight="1">
      <c r="Z64" s="76" t="e">
        <f t="shared" ca="1" si="8"/>
        <v>#N/A</v>
      </c>
      <c r="AA64" s="75" t="e">
        <f t="shared" ca="1" si="1"/>
        <v>#N/A</v>
      </c>
      <c r="AB64" s="76">
        <f t="shared" ca="1" si="9"/>
        <v>0</v>
      </c>
      <c r="AC64" s="75">
        <f t="shared" ca="1" si="3"/>
        <v>0</v>
      </c>
      <c r="AD64" s="76">
        <f t="shared" ca="1" si="10"/>
        <v>12388.425641087964</v>
      </c>
      <c r="AE64" s="76">
        <f t="shared" si="11"/>
        <v>0</v>
      </c>
      <c r="AF64" s="75">
        <f t="shared" si="6"/>
        <v>0</v>
      </c>
      <c r="AG64" s="75">
        <f t="shared" si="7"/>
        <v>0</v>
      </c>
      <c r="AH64" s="31" t="e" cm="1">
        <f t="array" aca="1" ref="AH64" ca="1">IF((AD64) &lt; (INDEX(ResponseSLA[#All],(MATCH((G64),ResponseSLA[Priority],0))+1,3)),"YES","No")</f>
        <v>#N/A</v>
      </c>
      <c r="AI64" s="31" t="str">
        <f>_xlfn.IFNA(IF(AE64 &lt; (INDEX(SLATable[Minimum SLA],MATCH(G64,SLATable[Priority],0))),"YES","NO"),"")</f>
        <v/>
      </c>
      <c r="AJ64" t="str">
        <f>_xlfn.IFNA(IF(AE64 &lt; (INDEX(SLATable[Maximum SLA],MATCH(G64,SLATable[Priority],0))),"YES","NO"),"")</f>
        <v/>
      </c>
    </row>
    <row r="65" spans="26:36" ht="15" customHeight="1">
      <c r="Z65" s="76" t="e">
        <f t="shared" ca="1" si="8"/>
        <v>#N/A</v>
      </c>
      <c r="AA65" s="75" t="e">
        <f t="shared" ca="1" si="1"/>
        <v>#N/A</v>
      </c>
      <c r="AB65" s="76">
        <f t="shared" ca="1" si="9"/>
        <v>0</v>
      </c>
      <c r="AC65" s="75">
        <f t="shared" ca="1" si="3"/>
        <v>0</v>
      </c>
      <c r="AD65" s="76">
        <f t="shared" ca="1" si="10"/>
        <v>12388.425641203703</v>
      </c>
      <c r="AE65" s="76">
        <f t="shared" si="11"/>
        <v>0</v>
      </c>
      <c r="AF65" s="75">
        <f t="shared" si="6"/>
        <v>0</v>
      </c>
      <c r="AG65" s="75">
        <f t="shared" si="7"/>
        <v>0</v>
      </c>
      <c r="AH65" s="31" t="e" cm="1">
        <f t="array" aca="1" ref="AH65" ca="1">IF((AD65) &lt; (INDEX(ResponseSLA[#All],(MATCH((G65),ResponseSLA[Priority],0))+1,3)),"YES","No")</f>
        <v>#N/A</v>
      </c>
      <c r="AI65" s="31" t="str">
        <f>_xlfn.IFNA(IF(AE65 &lt; (INDEX(SLATable[Minimum SLA],MATCH(G65,SLATable[Priority],0))),"YES","NO"),"")</f>
        <v/>
      </c>
      <c r="AJ65" t="str">
        <f>_xlfn.IFNA(IF(AE65 &lt; (INDEX(SLATable[Maximum SLA],MATCH(G65,SLATable[Priority],0))),"YES","NO"),"")</f>
        <v/>
      </c>
    </row>
    <row r="66" spans="26:36" ht="15" customHeight="1">
      <c r="Z66" s="76" t="e">
        <f t="shared" ca="1" si="8"/>
        <v>#N/A</v>
      </c>
      <c r="AA66" s="75" t="e">
        <f t="shared" ca="1" si="1"/>
        <v>#N/A</v>
      </c>
      <c r="AB66" s="76">
        <f t="shared" ca="1" si="9"/>
        <v>0</v>
      </c>
      <c r="AC66" s="75">
        <f t="shared" ca="1" si="3"/>
        <v>0</v>
      </c>
      <c r="AD66" s="76">
        <f t="shared" ca="1" si="10"/>
        <v>12388.425641087964</v>
      </c>
      <c r="AE66" s="76">
        <f t="shared" si="11"/>
        <v>0</v>
      </c>
      <c r="AF66" s="75">
        <f t="shared" si="6"/>
        <v>0</v>
      </c>
      <c r="AG66" s="75">
        <f t="shared" si="7"/>
        <v>0</v>
      </c>
      <c r="AH66" s="31" t="e" cm="1">
        <f t="array" aca="1" ref="AH66" ca="1">IF((AD66) &lt; (INDEX(ResponseSLA[#All],(MATCH((G66),ResponseSLA[Priority],0))+1,3)),"YES","No")</f>
        <v>#N/A</v>
      </c>
      <c r="AI66" s="31" t="str">
        <f>_xlfn.IFNA(IF(AE66 &lt; (INDEX(SLATable[Minimum SLA],MATCH(G66,SLATable[Priority],0))),"YES","NO"),"")</f>
        <v/>
      </c>
      <c r="AJ66" t="str">
        <f>_xlfn.IFNA(IF(AE66 &lt; (INDEX(SLATable[Maximum SLA],MATCH(G66,SLATable[Priority],0))),"YES","NO"),"")</f>
        <v/>
      </c>
    </row>
    <row r="67" spans="26:36" ht="15" customHeight="1">
      <c r="Z67" s="76" t="e">
        <f t="shared" ref="Z67:Z130" ca="1" si="12">IF(NOT(OR(G67=1,G67=2)),MAX(0,_xlfn.IFS(AND(K67&lt;&gt;"",N67&lt;&gt;""),((MAX(NETWORKDAYS(K67,N67,UKBankHolidays)-1,0))*(TIME(17,0,0)-TIME(8,0,0))+IF(NETWORKDAYS(N67,N67,UKBankHolidays)&gt;0,MEDIAN(TIME(8,0,0),MOD(N67,1),TIME(17,0,0)),TIME(8,0,0))-IF(NETWORKDAYS(K67,K67,UKBankHolidays)&gt;0,MEDIAN(TIME(8,0,0),MOD(K67,1),TIME(17,0,0)),TIME(8,0,0)))-IF(AND(O67&lt;&gt;"",P67&lt;&gt;""),((MAX(NETWORKDAYS(O67,P67,UKBankHolidays)-1,0))*(TIME(17,0,0)-TIME(8,0,0))+IF(NETWORKDAYS(P67,P67,UKBankHolidays)&gt;0,MEDIAN(TIME(8,0,0),MOD(P67,1),TIME(17,0,0)),TIME(8,0,0))-IF(NETWORKDAYS(O67,O67,UKBankHolidays)&gt;0,MEDIAN(TIME(8,0,0),MOD(O67,1),TIME(17,0,0)),TIME(8,0,0))),0),AND(K67&lt;&gt;"",N67=""),((MAX(NETWORKDAYS(K67,NOW(),UKBankHolidays)-1,0))*(TIME(17,0,0)-TIME(8,0,0))+IF(NETWORKDAYS(NOW(),NOW(),UKBankHolidays)&gt;0,MEDIAN(TIME(8,0,0),MOD(NOW(),1),TIME(17,0,0)),TIME(8,0,0))-IF(NETWORKDAYS(K67,K67,UKBankHolidays)&gt;0,MEDIAN(TIME(8,0,0),MOD(K67,1),TIME(17,0,0)),TIME(8,0,0))))),IF(N67="",NOW()-K67,N67-K67))</f>
        <v>#N/A</v>
      </c>
      <c r="AA67" s="75" t="e">
        <f t="shared" ca="1" si="1"/>
        <v>#N/A</v>
      </c>
      <c r="AB67" s="76">
        <f t="shared" ref="AB67:AB130" ca="1" si="13">IF(NOT(OR(G67=1,G67=2)),MAX(0,_xlfn.IFS(AND(K67&lt;&gt;"",N67&lt;&gt;""),(((MAX(NETWORKDAYS(L67,N67,UKBankHolidays)-1,0))*(TIME(17,0,0)-TIME(8,0,0)))+IF(NETWORKDAYS(N67,N67,UKBankHolidays)&gt;0,MEDIAN(TIME(8,0,0),MOD(N67,1),TIME(17,0,0)),TIME(8,0,0))-IF(NETWORKDAYS(L67,L67,UKBankHolidays)&gt;0,MEDIAN(TIME(8,0,0),MOD(L67,1),TIME(17,0,0)),TIME(8,0,0)))-IF(AND(O67&lt;&gt;"",P67&lt;&gt;""),(((MAX(NETWORKDAYS(O67,P67,UKBankHolidays)-1,0))*(TIME(17,0,0)-TIME(8,0,0)))+IF(NETWORKDAYS(P67,P67,UKBankHolidays)&gt;0,MEDIAN(TIME(8,0,0),MOD(P67,1),TIME(17,0,0)),TIME(8,0,0))-IF(NETWORKDAYS(O67,O67,UKBankHolidays)&gt;0,MEDIAN(TIME(8,0,0),MOD(O67,1),TIME(17,0,0)),TIME(8,0,0))),0),AND(L67&lt;&gt;"",N67="",O67=""),(((MAX(NETWORKDAYS(L67,NOW(),UKBankHolidays)-1,0))*(TIME(17,0,0)-TIME(8,0,0)))+IF(NETWORKDAYS(NOW(),NOW(),UKBankHolidays)&gt;0,MEDIAN(TIME(8,0,0),MOD(NOW(),1),TIME(17,0,0)),TIME(8,0,0))-IF(NETWORKDAYS(L67,L67,UKBankHolidays)&gt;0,MEDIAN(TIME(8,0,0),MOD(L67,1),TIME(17,0,0)),TIME(8,0,0)))-IF(AND(O67&lt;&gt;"",P67&lt;&gt;""),(((MAX(NETWORKDAYS(O67,P67,UKBankHolidays)-1,0))*(TIME(17,0,0)-TIME(8,0,0)))+IF(NETWORKDAYS(P67,P67,UKBankHolidays)&gt;0,MEDIAN(TIME(8,0,0),MOD(P67,1),TIME(17,0,0)),TIME(8,0,0))-IF(NETWORKDAYS(O67,O67,UKBankHolidays)&gt;0,MEDIAN(TIME(8,0,0),MOD(O67,1),TIME(17,0,0)),TIME(8,0,0))),0),AND(L67&lt;&gt;"",N67="",P67="",O67&lt;&gt;""),(((MAX(NETWORKDAYS(L67,O67,UKBankHolidays)-1,0))*(TIME(17,0,0)-TIME(8,0,0)))+IF(NETWORKDAYS(O67,O67,UKBankHolidays)&gt;0,MEDIAN(TIME(8,0,0),MOD(O67,1),TIME(17,0,0)),TIME(8,0,0))-IF(NETWORKDAYS(L67,L67,UKBankHolidays)&gt;0,MEDIAN(TIME(8,0,0),MOD(L67,1),TIME(17,0,0)),TIME(8,0,0))),ISBLANK(K67),"0")),IF(ISBLANK(N67),NOW()-L67,N67-L67))</f>
        <v>0</v>
      </c>
      <c r="AC67" s="75">
        <f t="shared" ca="1" si="3"/>
        <v>0</v>
      </c>
      <c r="AD67" s="76">
        <f t="shared" ref="AD67:AD130" ca="1" si="14">MAX(0,IF(NOT(OR(G67=1,G67=2)),IF(M67&lt;&gt;"",((MAX(NETWORKDAYS(L67,M67,UKBankHolidays)-1,0))*(TIME(17,0,0)-TIME(8,0,0))+IF(NETWORKDAYS(M67,M67,UKBankHolidays)&gt;0,MEDIAN(TIME(8,0,0),MOD(M67,1),TIME(17,0,0)),TIME(8,0,0))-MEDIAN(TIME(8,0,0),MOD(L67,1),TIME(17,0,0))),((MAX(NETWORKDAYS(L67,NOW(),UKBankHolidays)-1,0))*(TIME(17,0,0)-TIME(8,0,0))+IF(NETWORKDAYS(NOW(),NOW(),UKBankHolidays)&gt;0,MEDIAN(TIME(8,0,0),MOD(NOW(),1),TIME(17,0,0)),TIME(8,0,0))-MEDIAN(TIME(8,0,0),MOD(L67,1),TIME(17,0,0)))),IF(M67&lt;&gt;"",M67-L67,NOW()-L67)))</f>
        <v>12388.425641087964</v>
      </c>
      <c r="AE67" s="76">
        <f t="shared" ref="AE67:AE130" si="15">SUMIFS(AB:AB,E:E,E67)</f>
        <v>0</v>
      </c>
      <c r="AF67" s="75">
        <f t="shared" si="6"/>
        <v>0</v>
      </c>
      <c r="AG67" s="75">
        <f t="shared" si="7"/>
        <v>0</v>
      </c>
      <c r="AH67" s="31" t="e" cm="1">
        <f t="array" aca="1" ref="AH67" ca="1">IF((AD67) &lt; (INDEX(ResponseSLA[#All],(MATCH((G67),ResponseSLA[Priority],0))+1,3)),"YES","No")</f>
        <v>#N/A</v>
      </c>
      <c r="AI67" s="31" t="str">
        <f>_xlfn.IFNA(IF(AE67 &lt; (INDEX(SLATable[Minimum SLA],MATCH(G67,SLATable[Priority],0))),"YES","NO"),"")</f>
        <v/>
      </c>
      <c r="AJ67" t="str">
        <f>_xlfn.IFNA(IF(AE67 &lt; (INDEX(SLATable[Maximum SLA],MATCH(G67,SLATable[Priority],0))),"YES","NO"),"")</f>
        <v/>
      </c>
    </row>
    <row r="68" spans="26:36" ht="15" customHeight="1">
      <c r="Z68" s="76" t="e">
        <f t="shared" ca="1" si="12"/>
        <v>#N/A</v>
      </c>
      <c r="AA68" s="75" t="e">
        <f t="shared" ca="1" si="1"/>
        <v>#N/A</v>
      </c>
      <c r="AB68" s="76">
        <f t="shared" ca="1" si="13"/>
        <v>0</v>
      </c>
      <c r="AC68" s="75">
        <f t="shared" ca="1" si="3"/>
        <v>0</v>
      </c>
      <c r="AD68" s="76">
        <f t="shared" ca="1" si="14"/>
        <v>12388.425641203703</v>
      </c>
      <c r="AE68" s="76">
        <f t="shared" si="15"/>
        <v>0</v>
      </c>
      <c r="AF68" s="75">
        <f t="shared" si="6"/>
        <v>0</v>
      </c>
      <c r="AG68" s="75">
        <f t="shared" si="7"/>
        <v>0</v>
      </c>
      <c r="AH68" s="31" t="e" cm="1">
        <f t="array" aca="1" ref="AH68" ca="1">IF((AD68) &lt; (INDEX(ResponseSLA[#All],(MATCH((G68),ResponseSLA[Priority],0))+1,3)),"YES","No")</f>
        <v>#N/A</v>
      </c>
      <c r="AI68" s="31" t="str">
        <f>_xlfn.IFNA(IF(AE68 &lt; (INDEX(SLATable[Minimum SLA],MATCH(G68,SLATable[Priority],0))),"YES","NO"),"")</f>
        <v/>
      </c>
      <c r="AJ68" t="str">
        <f>_xlfn.IFNA(IF(AE68 &lt; (INDEX(SLATable[Maximum SLA],MATCH(G68,SLATable[Priority],0))),"YES","NO"),"")</f>
        <v/>
      </c>
    </row>
    <row r="69" spans="26:36" ht="15" customHeight="1">
      <c r="Z69" s="76" t="e">
        <f t="shared" ca="1" si="12"/>
        <v>#N/A</v>
      </c>
      <c r="AA69" s="75" t="e">
        <f t="shared" ca="1" si="1"/>
        <v>#N/A</v>
      </c>
      <c r="AB69" s="76">
        <f t="shared" ca="1" si="13"/>
        <v>0</v>
      </c>
      <c r="AC69" s="75">
        <f t="shared" ca="1" si="3"/>
        <v>0</v>
      </c>
      <c r="AD69" s="76">
        <f t="shared" ca="1" si="14"/>
        <v>12388.425641087964</v>
      </c>
      <c r="AE69" s="76">
        <f t="shared" si="15"/>
        <v>0</v>
      </c>
      <c r="AF69" s="75">
        <f t="shared" si="6"/>
        <v>0</v>
      </c>
      <c r="AG69" s="75">
        <f t="shared" si="7"/>
        <v>0</v>
      </c>
      <c r="AH69" s="31" t="e" cm="1">
        <f t="array" aca="1" ref="AH69" ca="1">IF((AD69) &lt; (INDEX(ResponseSLA[#All],(MATCH((G69),ResponseSLA[Priority],0))+1,3)),"YES","No")</f>
        <v>#N/A</v>
      </c>
      <c r="AI69" s="31" t="str">
        <f>_xlfn.IFNA(IF(AE69 &lt; (INDEX(SLATable[Minimum SLA],MATCH(G69,SLATable[Priority],0))),"YES","NO"),"")</f>
        <v/>
      </c>
      <c r="AJ69" t="str">
        <f>_xlfn.IFNA(IF(AE69 &lt; (INDEX(SLATable[Maximum SLA],MATCH(G69,SLATable[Priority],0))),"YES","NO"),"")</f>
        <v/>
      </c>
    </row>
    <row r="70" spans="26:36" ht="15" customHeight="1">
      <c r="Z70" s="76" t="e">
        <f t="shared" ca="1" si="12"/>
        <v>#N/A</v>
      </c>
      <c r="AA70" s="75" t="e">
        <f t="shared" ca="1" si="1"/>
        <v>#N/A</v>
      </c>
      <c r="AB70" s="76">
        <f t="shared" ca="1" si="13"/>
        <v>0</v>
      </c>
      <c r="AC70" s="75">
        <f t="shared" ca="1" si="3"/>
        <v>0</v>
      </c>
      <c r="AD70" s="76">
        <f t="shared" ca="1" si="14"/>
        <v>12388.425641087964</v>
      </c>
      <c r="AE70" s="76">
        <f t="shared" si="15"/>
        <v>0</v>
      </c>
      <c r="AF70" s="75">
        <f t="shared" si="6"/>
        <v>0</v>
      </c>
      <c r="AG70" s="75">
        <f t="shared" si="7"/>
        <v>0</v>
      </c>
      <c r="AH70" s="31" t="e" cm="1">
        <f t="array" aca="1" ref="AH70" ca="1">IF((AD70) &lt; (INDEX(ResponseSLA[#All],(MATCH((G70),ResponseSLA[Priority],0))+1,3)),"YES","No")</f>
        <v>#N/A</v>
      </c>
      <c r="AI70" s="31" t="str">
        <f>_xlfn.IFNA(IF(AE70 &lt; (INDEX(SLATable[Minimum SLA],MATCH(G70,SLATable[Priority],0))),"YES","NO"),"")</f>
        <v/>
      </c>
      <c r="AJ70" t="str">
        <f>_xlfn.IFNA(IF(AE70 &lt; (INDEX(SLATable[Maximum SLA],MATCH(G70,SLATable[Priority],0))),"YES","NO"),"")</f>
        <v/>
      </c>
    </row>
    <row r="71" spans="26:36" ht="15" customHeight="1">
      <c r="Z71" s="76" t="e">
        <f t="shared" ca="1" si="12"/>
        <v>#N/A</v>
      </c>
      <c r="AA71" s="75" t="e">
        <f t="shared" ca="1" si="1"/>
        <v>#N/A</v>
      </c>
      <c r="AB71" s="76">
        <f t="shared" ca="1" si="13"/>
        <v>0</v>
      </c>
      <c r="AC71" s="75">
        <f t="shared" ca="1" si="3"/>
        <v>0</v>
      </c>
      <c r="AD71" s="76">
        <f t="shared" ca="1" si="14"/>
        <v>12388.425641203703</v>
      </c>
      <c r="AE71" s="76">
        <f t="shared" si="15"/>
        <v>0</v>
      </c>
      <c r="AF71" s="75">
        <f t="shared" si="6"/>
        <v>0</v>
      </c>
      <c r="AG71" s="75">
        <f t="shared" si="7"/>
        <v>0</v>
      </c>
      <c r="AH71" s="31" t="e" cm="1">
        <f t="array" aca="1" ref="AH71" ca="1">IF((AD71) &lt; (INDEX(ResponseSLA[#All],(MATCH((G71),ResponseSLA[Priority],0))+1,3)),"YES","No")</f>
        <v>#N/A</v>
      </c>
      <c r="AI71" s="31" t="str">
        <f>_xlfn.IFNA(IF(AE71 &lt; (INDEX(SLATable[Minimum SLA],MATCH(G71,SLATable[Priority],0))),"YES","NO"),"")</f>
        <v/>
      </c>
      <c r="AJ71" t="str">
        <f>_xlfn.IFNA(IF(AE71 &lt; (INDEX(SLATable[Maximum SLA],MATCH(G71,SLATable[Priority],0))),"YES","NO"),"")</f>
        <v/>
      </c>
    </row>
    <row r="72" spans="26:36" ht="15" customHeight="1">
      <c r="Z72" s="76" t="e">
        <f t="shared" ca="1" si="12"/>
        <v>#N/A</v>
      </c>
      <c r="AA72" s="75" t="e">
        <f t="shared" ca="1" si="1"/>
        <v>#N/A</v>
      </c>
      <c r="AB72" s="76">
        <f t="shared" ca="1" si="13"/>
        <v>0</v>
      </c>
      <c r="AC72" s="75">
        <f t="shared" ca="1" si="3"/>
        <v>0</v>
      </c>
      <c r="AD72" s="76">
        <f t="shared" ca="1" si="14"/>
        <v>12388.425641087964</v>
      </c>
      <c r="AE72" s="76">
        <f t="shared" si="15"/>
        <v>0</v>
      </c>
      <c r="AF72" s="75">
        <f t="shared" si="6"/>
        <v>0</v>
      </c>
      <c r="AG72" s="75">
        <f t="shared" si="7"/>
        <v>0</v>
      </c>
      <c r="AH72" s="31" t="e" cm="1">
        <f t="array" aca="1" ref="AH72" ca="1">IF((AD72) &lt; (INDEX(ResponseSLA[#All],(MATCH((G72),ResponseSLA[Priority],0))+1,3)),"YES","No")</f>
        <v>#N/A</v>
      </c>
      <c r="AI72" s="31" t="str">
        <f>_xlfn.IFNA(IF(AE72 &lt; (INDEX(SLATable[Minimum SLA],MATCH(G72,SLATable[Priority],0))),"YES","NO"),"")</f>
        <v/>
      </c>
      <c r="AJ72" t="str">
        <f>_xlfn.IFNA(IF(AE72 &lt; (INDEX(SLATable[Maximum SLA],MATCH(G72,SLATable[Priority],0))),"YES","NO"),"")</f>
        <v/>
      </c>
    </row>
    <row r="73" spans="26:36" ht="15" customHeight="1">
      <c r="Z73" s="76" t="e">
        <f t="shared" ca="1" si="12"/>
        <v>#N/A</v>
      </c>
      <c r="AA73" s="75" t="e">
        <f t="shared" ca="1" si="1"/>
        <v>#N/A</v>
      </c>
      <c r="AB73" s="76">
        <f t="shared" ca="1" si="13"/>
        <v>0</v>
      </c>
      <c r="AC73" s="75">
        <f t="shared" ca="1" si="3"/>
        <v>0</v>
      </c>
      <c r="AD73" s="76">
        <f t="shared" ca="1" si="14"/>
        <v>12388.425641087964</v>
      </c>
      <c r="AE73" s="76">
        <f t="shared" si="15"/>
        <v>0</v>
      </c>
      <c r="AF73" s="75">
        <f t="shared" si="6"/>
        <v>0</v>
      </c>
      <c r="AG73" s="75">
        <f t="shared" si="7"/>
        <v>0</v>
      </c>
      <c r="AH73" s="31" t="e" cm="1">
        <f t="array" aca="1" ref="AH73" ca="1">IF((AD73) &lt; (INDEX(ResponseSLA[#All],(MATCH((G73),ResponseSLA[Priority],0))+1,3)),"YES","No")</f>
        <v>#N/A</v>
      </c>
      <c r="AI73" s="31" t="str">
        <f>_xlfn.IFNA(IF(AE73 &lt; (INDEX(SLATable[Minimum SLA],MATCH(G73,SLATable[Priority],0))),"YES","NO"),"")</f>
        <v/>
      </c>
      <c r="AJ73" t="str">
        <f>_xlfn.IFNA(IF(AE73 &lt; (INDEX(SLATable[Maximum SLA],MATCH(G73,SLATable[Priority],0))),"YES","NO"),"")</f>
        <v/>
      </c>
    </row>
    <row r="74" spans="26:36" ht="15" customHeight="1">
      <c r="Z74" s="76" t="e">
        <f t="shared" ca="1" si="12"/>
        <v>#N/A</v>
      </c>
      <c r="AA74" s="75" t="e">
        <f t="shared" ca="1" si="1"/>
        <v>#N/A</v>
      </c>
      <c r="AB74" s="76">
        <f t="shared" ca="1" si="13"/>
        <v>0</v>
      </c>
      <c r="AC74" s="75">
        <f t="shared" ca="1" si="3"/>
        <v>0</v>
      </c>
      <c r="AD74" s="76">
        <f t="shared" ca="1" si="14"/>
        <v>12388.425641203703</v>
      </c>
      <c r="AE74" s="76">
        <f t="shared" si="15"/>
        <v>0</v>
      </c>
      <c r="AF74" s="75">
        <f t="shared" si="6"/>
        <v>0</v>
      </c>
      <c r="AG74" s="75">
        <f t="shared" si="7"/>
        <v>0</v>
      </c>
      <c r="AH74" s="31" t="e" cm="1">
        <f t="array" aca="1" ref="AH74" ca="1">IF((AD74) &lt; (INDEX(ResponseSLA[#All],(MATCH((G74),ResponseSLA[Priority],0))+1,3)),"YES","No")</f>
        <v>#N/A</v>
      </c>
      <c r="AI74" s="31" t="str">
        <f>_xlfn.IFNA(IF(AE74 &lt; (INDEX(SLATable[Minimum SLA],MATCH(G74,SLATable[Priority],0))),"YES","NO"),"")</f>
        <v/>
      </c>
      <c r="AJ74" t="str">
        <f>_xlfn.IFNA(IF(AE74 &lt; (INDEX(SLATable[Maximum SLA],MATCH(G74,SLATable[Priority],0))),"YES","NO"),"")</f>
        <v/>
      </c>
    </row>
    <row r="75" spans="26:36" ht="15" customHeight="1">
      <c r="Z75" s="76" t="e">
        <f t="shared" ca="1" si="12"/>
        <v>#N/A</v>
      </c>
      <c r="AA75" s="75" t="e">
        <f t="shared" ca="1" si="1"/>
        <v>#N/A</v>
      </c>
      <c r="AB75" s="76">
        <f t="shared" ca="1" si="13"/>
        <v>0</v>
      </c>
      <c r="AC75" s="75">
        <f t="shared" ca="1" si="3"/>
        <v>0</v>
      </c>
      <c r="AD75" s="76">
        <f t="shared" ca="1" si="14"/>
        <v>12388.425641087964</v>
      </c>
      <c r="AE75" s="76">
        <f t="shared" si="15"/>
        <v>0</v>
      </c>
      <c r="AF75" s="75">
        <f t="shared" si="6"/>
        <v>0</v>
      </c>
      <c r="AG75" s="75">
        <f t="shared" si="7"/>
        <v>0</v>
      </c>
      <c r="AH75" s="31" t="e" cm="1">
        <f t="array" aca="1" ref="AH75" ca="1">IF((AD75) &lt; (INDEX(ResponseSLA[#All],(MATCH((G75),ResponseSLA[Priority],0))+1,3)),"YES","No")</f>
        <v>#N/A</v>
      </c>
      <c r="AI75" s="31" t="str">
        <f>_xlfn.IFNA(IF(AE75 &lt; (INDEX(SLATable[Minimum SLA],MATCH(G75,SLATable[Priority],0))),"YES","NO"),"")</f>
        <v/>
      </c>
      <c r="AJ75" t="str">
        <f>_xlfn.IFNA(IF(AE75 &lt; (INDEX(SLATable[Maximum SLA],MATCH(G75,SLATable[Priority],0))),"YES","NO"),"")</f>
        <v/>
      </c>
    </row>
    <row r="76" spans="26:36" ht="15" customHeight="1">
      <c r="Z76" s="76" t="e">
        <f t="shared" ca="1" si="12"/>
        <v>#N/A</v>
      </c>
      <c r="AA76" s="75" t="e">
        <f t="shared" ca="1" si="1"/>
        <v>#N/A</v>
      </c>
      <c r="AB76" s="76">
        <f t="shared" ca="1" si="13"/>
        <v>0</v>
      </c>
      <c r="AC76" s="75">
        <f t="shared" ca="1" si="3"/>
        <v>0</v>
      </c>
      <c r="AD76" s="76">
        <f t="shared" ca="1" si="14"/>
        <v>12388.425641087964</v>
      </c>
      <c r="AE76" s="76">
        <f t="shared" si="15"/>
        <v>0</v>
      </c>
      <c r="AF76" s="75">
        <f t="shared" si="6"/>
        <v>0</v>
      </c>
      <c r="AG76" s="75">
        <f t="shared" si="7"/>
        <v>0</v>
      </c>
      <c r="AH76" s="31" t="e" cm="1">
        <f t="array" aca="1" ref="AH76" ca="1">IF((AD76) &lt; (INDEX(ResponseSLA[#All],(MATCH((G76),ResponseSLA[Priority],0))+1,3)),"YES","No")</f>
        <v>#N/A</v>
      </c>
      <c r="AI76" s="31" t="str">
        <f>_xlfn.IFNA(IF(AE76 &lt; (INDEX(SLATable[Minimum SLA],MATCH(G76,SLATable[Priority],0))),"YES","NO"),"")</f>
        <v/>
      </c>
      <c r="AJ76" t="str">
        <f>_xlfn.IFNA(IF(AE76 &lt; (INDEX(SLATable[Maximum SLA],MATCH(G76,SLATable[Priority],0))),"YES","NO"),"")</f>
        <v/>
      </c>
    </row>
    <row r="77" spans="26:36" ht="15" customHeight="1">
      <c r="Z77" s="76" t="e">
        <f t="shared" ca="1" si="12"/>
        <v>#N/A</v>
      </c>
      <c r="AA77" s="75" t="e">
        <f t="shared" ca="1" si="1"/>
        <v>#N/A</v>
      </c>
      <c r="AB77" s="76">
        <f t="shared" ca="1" si="13"/>
        <v>0</v>
      </c>
      <c r="AC77" s="75">
        <f t="shared" ca="1" si="3"/>
        <v>0</v>
      </c>
      <c r="AD77" s="76">
        <f t="shared" ca="1" si="14"/>
        <v>12388.425641203703</v>
      </c>
      <c r="AE77" s="76">
        <f t="shared" si="15"/>
        <v>0</v>
      </c>
      <c r="AF77" s="75">
        <f t="shared" si="6"/>
        <v>0</v>
      </c>
      <c r="AG77" s="75">
        <f t="shared" si="7"/>
        <v>0</v>
      </c>
      <c r="AH77" s="31" t="e" cm="1">
        <f t="array" aca="1" ref="AH77" ca="1">IF((AD77) &lt; (INDEX(ResponseSLA[#All],(MATCH((G77),ResponseSLA[Priority],0))+1,3)),"YES","No")</f>
        <v>#N/A</v>
      </c>
      <c r="AI77" s="31" t="str">
        <f>_xlfn.IFNA(IF(AE77 &lt; (INDEX(SLATable[Minimum SLA],MATCH(G77,SLATable[Priority],0))),"YES","NO"),"")</f>
        <v/>
      </c>
      <c r="AJ77" t="str">
        <f>_xlfn.IFNA(IF(AE77 &lt; (INDEX(SLATable[Maximum SLA],MATCH(G77,SLATable[Priority],0))),"YES","NO"),"")</f>
        <v/>
      </c>
    </row>
    <row r="78" spans="26:36" ht="15" customHeight="1">
      <c r="Z78" s="76" t="e">
        <f t="shared" ca="1" si="12"/>
        <v>#N/A</v>
      </c>
      <c r="AA78" s="75" t="e">
        <f t="shared" ca="1" si="1"/>
        <v>#N/A</v>
      </c>
      <c r="AB78" s="76">
        <f t="shared" ca="1" si="13"/>
        <v>0</v>
      </c>
      <c r="AC78" s="75">
        <f t="shared" ca="1" si="3"/>
        <v>0</v>
      </c>
      <c r="AD78" s="76">
        <f t="shared" ca="1" si="14"/>
        <v>12388.425641087964</v>
      </c>
      <c r="AE78" s="76">
        <f t="shared" si="15"/>
        <v>0</v>
      </c>
      <c r="AF78" s="75">
        <f t="shared" si="6"/>
        <v>0</v>
      </c>
      <c r="AG78" s="75">
        <f t="shared" si="7"/>
        <v>0</v>
      </c>
      <c r="AH78" s="31" t="e" cm="1">
        <f t="array" aca="1" ref="AH78" ca="1">IF((AD78) &lt; (INDEX(ResponseSLA[#All],(MATCH((G78),ResponseSLA[Priority],0))+1,3)),"YES","No")</f>
        <v>#N/A</v>
      </c>
      <c r="AI78" s="31" t="str">
        <f>_xlfn.IFNA(IF(AE78 &lt; (INDEX(SLATable[Minimum SLA],MATCH(G78,SLATable[Priority],0))),"YES","NO"),"")</f>
        <v/>
      </c>
      <c r="AJ78" t="str">
        <f>_xlfn.IFNA(IF(AE78 &lt; (INDEX(SLATable[Maximum SLA],MATCH(G78,SLATable[Priority],0))),"YES","NO"),"")</f>
        <v/>
      </c>
    </row>
    <row r="79" spans="26:36" ht="15" customHeight="1">
      <c r="Z79" s="76" t="e">
        <f t="shared" ca="1" si="12"/>
        <v>#N/A</v>
      </c>
      <c r="AA79" s="75" t="e">
        <f t="shared" ca="1" si="1"/>
        <v>#N/A</v>
      </c>
      <c r="AB79" s="76">
        <f t="shared" ca="1" si="13"/>
        <v>0</v>
      </c>
      <c r="AC79" s="75">
        <f t="shared" ca="1" si="3"/>
        <v>0</v>
      </c>
      <c r="AD79" s="76">
        <f t="shared" ca="1" si="14"/>
        <v>12388.425641087964</v>
      </c>
      <c r="AE79" s="76">
        <f t="shared" si="15"/>
        <v>0</v>
      </c>
      <c r="AF79" s="75">
        <f t="shared" si="6"/>
        <v>0</v>
      </c>
      <c r="AG79" s="75">
        <f t="shared" si="7"/>
        <v>0</v>
      </c>
      <c r="AH79" s="31" t="e" cm="1">
        <f t="array" aca="1" ref="AH79" ca="1">IF((AD79) &lt; (INDEX(ResponseSLA[#All],(MATCH((G79),ResponseSLA[Priority],0))+1,3)),"YES","No")</f>
        <v>#N/A</v>
      </c>
      <c r="AI79" s="31" t="str">
        <f>_xlfn.IFNA(IF(AE79 &lt; (INDEX(SLATable[Minimum SLA],MATCH(G79,SLATable[Priority],0))),"YES","NO"),"")</f>
        <v/>
      </c>
      <c r="AJ79" t="str">
        <f>_xlfn.IFNA(IF(AE79 &lt; (INDEX(SLATable[Maximum SLA],MATCH(G79,SLATable[Priority],0))),"YES","NO"),"")</f>
        <v/>
      </c>
    </row>
    <row r="80" spans="26:36" ht="15" customHeight="1">
      <c r="Z80" s="76" t="e">
        <f t="shared" ca="1" si="12"/>
        <v>#N/A</v>
      </c>
      <c r="AA80" s="75" t="e">
        <f t="shared" ca="1" si="1"/>
        <v>#N/A</v>
      </c>
      <c r="AB80" s="76">
        <f t="shared" ca="1" si="13"/>
        <v>0</v>
      </c>
      <c r="AC80" s="75">
        <f t="shared" ca="1" si="3"/>
        <v>0</v>
      </c>
      <c r="AD80" s="76">
        <f t="shared" ca="1" si="14"/>
        <v>12388.425641203703</v>
      </c>
      <c r="AE80" s="76">
        <f t="shared" si="15"/>
        <v>0</v>
      </c>
      <c r="AF80" s="75">
        <f t="shared" si="6"/>
        <v>0</v>
      </c>
      <c r="AG80" s="75">
        <f t="shared" si="7"/>
        <v>0</v>
      </c>
      <c r="AH80" s="31" t="e" cm="1">
        <f t="array" aca="1" ref="AH80" ca="1">IF((AD80) &lt; (INDEX(ResponseSLA[#All],(MATCH((G80),ResponseSLA[Priority],0))+1,3)),"YES","No")</f>
        <v>#N/A</v>
      </c>
      <c r="AI80" s="31" t="str">
        <f>_xlfn.IFNA(IF(AE80 &lt; (INDEX(SLATable[Minimum SLA],MATCH(G80,SLATable[Priority],0))),"YES","NO"),"")</f>
        <v/>
      </c>
      <c r="AJ80" t="str">
        <f>_xlfn.IFNA(IF(AE80 &lt; (INDEX(SLATable[Maximum SLA],MATCH(G80,SLATable[Priority],0))),"YES","NO"),"")</f>
        <v/>
      </c>
    </row>
    <row r="81" spans="26:36" ht="15" customHeight="1">
      <c r="Z81" s="76" t="e">
        <f t="shared" ca="1" si="12"/>
        <v>#N/A</v>
      </c>
      <c r="AA81" s="75" t="e">
        <f t="shared" ca="1" si="1"/>
        <v>#N/A</v>
      </c>
      <c r="AB81" s="76">
        <f t="shared" ca="1" si="13"/>
        <v>0</v>
      </c>
      <c r="AC81" s="75">
        <f t="shared" ca="1" si="3"/>
        <v>0</v>
      </c>
      <c r="AD81" s="76">
        <f t="shared" ca="1" si="14"/>
        <v>12388.425641087964</v>
      </c>
      <c r="AE81" s="76">
        <f t="shared" si="15"/>
        <v>0</v>
      </c>
      <c r="AF81" s="75">
        <f t="shared" si="6"/>
        <v>0</v>
      </c>
      <c r="AG81" s="75">
        <f t="shared" si="7"/>
        <v>0</v>
      </c>
      <c r="AH81" s="31" t="e" cm="1">
        <f t="array" aca="1" ref="AH81" ca="1">IF((AD81) &lt; (INDEX(ResponseSLA[#All],(MATCH((G81),ResponseSLA[Priority],0))+1,3)),"YES","No")</f>
        <v>#N/A</v>
      </c>
      <c r="AI81" s="31" t="str">
        <f>_xlfn.IFNA(IF(AE81 &lt; (INDEX(SLATable[Minimum SLA],MATCH(G81,SLATable[Priority],0))),"YES","NO"),"")</f>
        <v/>
      </c>
      <c r="AJ81" t="str">
        <f>_xlfn.IFNA(IF(AE81 &lt; (INDEX(SLATable[Maximum SLA],MATCH(G81,SLATable[Priority],0))),"YES","NO"),"")</f>
        <v/>
      </c>
    </row>
    <row r="82" spans="26:36" ht="15" customHeight="1">
      <c r="Z82" s="76" t="e">
        <f t="shared" ca="1" si="12"/>
        <v>#N/A</v>
      </c>
      <c r="AA82" s="75" t="e">
        <f t="shared" ca="1" si="1"/>
        <v>#N/A</v>
      </c>
      <c r="AB82" s="76">
        <f t="shared" ca="1" si="13"/>
        <v>0</v>
      </c>
      <c r="AC82" s="75">
        <f t="shared" ca="1" si="3"/>
        <v>0</v>
      </c>
      <c r="AD82" s="76">
        <f t="shared" ca="1" si="14"/>
        <v>12388.425641087964</v>
      </c>
      <c r="AE82" s="76">
        <f t="shared" si="15"/>
        <v>0</v>
      </c>
      <c r="AF82" s="75">
        <f t="shared" si="6"/>
        <v>0</v>
      </c>
      <c r="AG82" s="75">
        <f t="shared" si="7"/>
        <v>0</v>
      </c>
      <c r="AH82" s="31" t="e" cm="1">
        <f t="array" aca="1" ref="AH82" ca="1">IF((AD82) &lt; (INDEX(ResponseSLA[#All],(MATCH((G82),ResponseSLA[Priority],0))+1,3)),"YES","No")</f>
        <v>#N/A</v>
      </c>
      <c r="AI82" s="31" t="str">
        <f>_xlfn.IFNA(IF(AE82 &lt; (INDEX(SLATable[Minimum SLA],MATCH(G82,SLATable[Priority],0))),"YES","NO"),"")</f>
        <v/>
      </c>
      <c r="AJ82" t="str">
        <f>_xlfn.IFNA(IF(AE82 &lt; (INDEX(SLATable[Maximum SLA],MATCH(G82,SLATable[Priority],0))),"YES","NO"),"")</f>
        <v/>
      </c>
    </row>
    <row r="83" spans="26:36" ht="15" customHeight="1">
      <c r="Z83" s="76" t="e">
        <f t="shared" ca="1" si="12"/>
        <v>#N/A</v>
      </c>
      <c r="AA83" s="75" t="e">
        <f t="shared" ca="1" si="1"/>
        <v>#N/A</v>
      </c>
      <c r="AB83" s="76">
        <f t="shared" ca="1" si="13"/>
        <v>0</v>
      </c>
      <c r="AC83" s="75">
        <f t="shared" ca="1" si="3"/>
        <v>0</v>
      </c>
      <c r="AD83" s="76">
        <f t="shared" ca="1" si="14"/>
        <v>12388.425641203703</v>
      </c>
      <c r="AE83" s="76">
        <f t="shared" si="15"/>
        <v>0</v>
      </c>
      <c r="AF83" s="75">
        <f t="shared" si="6"/>
        <v>0</v>
      </c>
      <c r="AG83" s="75">
        <f t="shared" si="7"/>
        <v>0</v>
      </c>
      <c r="AH83" s="31" t="e" cm="1">
        <f t="array" aca="1" ref="AH83" ca="1">IF((AD83) &lt; (INDEX(ResponseSLA[#All],(MATCH((G83),ResponseSLA[Priority],0))+1,3)),"YES","No")</f>
        <v>#N/A</v>
      </c>
      <c r="AI83" s="31" t="str">
        <f>_xlfn.IFNA(IF(AE83 &lt; (INDEX(SLATable[Minimum SLA],MATCH(G83,SLATable[Priority],0))),"YES","NO"),"")</f>
        <v/>
      </c>
      <c r="AJ83" t="str">
        <f>_xlfn.IFNA(IF(AE83 &lt; (INDEX(SLATable[Maximum SLA],MATCH(G83,SLATable[Priority],0))),"YES","NO"),"")</f>
        <v/>
      </c>
    </row>
    <row r="84" spans="26:36" ht="15" customHeight="1">
      <c r="Z84" s="76" t="e">
        <f t="shared" ca="1" si="12"/>
        <v>#N/A</v>
      </c>
      <c r="AA84" s="75" t="e">
        <f t="shared" ca="1" si="1"/>
        <v>#N/A</v>
      </c>
      <c r="AB84" s="76">
        <f t="shared" ca="1" si="13"/>
        <v>0</v>
      </c>
      <c r="AC84" s="75">
        <f t="shared" ca="1" si="3"/>
        <v>0</v>
      </c>
      <c r="AD84" s="76">
        <f t="shared" ca="1" si="14"/>
        <v>12388.425641087964</v>
      </c>
      <c r="AE84" s="76">
        <f t="shared" si="15"/>
        <v>0</v>
      </c>
      <c r="AF84" s="75">
        <f t="shared" si="6"/>
        <v>0</v>
      </c>
      <c r="AG84" s="75">
        <f t="shared" si="7"/>
        <v>0</v>
      </c>
      <c r="AH84" s="31" t="e" cm="1">
        <f t="array" aca="1" ref="AH84" ca="1">IF((AD84) &lt; (INDEX(ResponseSLA[#All],(MATCH((G84),ResponseSLA[Priority],0))+1,3)),"YES","No")</f>
        <v>#N/A</v>
      </c>
      <c r="AI84" s="31" t="str">
        <f>_xlfn.IFNA(IF(AE84 &lt; (INDEX(SLATable[Minimum SLA],MATCH(G84,SLATable[Priority],0))),"YES","NO"),"")</f>
        <v/>
      </c>
      <c r="AJ84" t="str">
        <f>_xlfn.IFNA(IF(AE84 &lt; (INDEX(SLATable[Maximum SLA],MATCH(G84,SLATable[Priority],0))),"YES","NO"),"")</f>
        <v/>
      </c>
    </row>
    <row r="85" spans="26:36" ht="15" customHeight="1">
      <c r="Z85" s="76" t="e">
        <f t="shared" ca="1" si="12"/>
        <v>#N/A</v>
      </c>
      <c r="AA85" s="75" t="e">
        <f t="shared" ca="1" si="1"/>
        <v>#N/A</v>
      </c>
      <c r="AB85" s="76">
        <f t="shared" ca="1" si="13"/>
        <v>0</v>
      </c>
      <c r="AC85" s="75">
        <f t="shared" ca="1" si="3"/>
        <v>0</v>
      </c>
      <c r="AD85" s="76">
        <f t="shared" ca="1" si="14"/>
        <v>12388.425641087964</v>
      </c>
      <c r="AE85" s="76">
        <f t="shared" si="15"/>
        <v>0</v>
      </c>
      <c r="AF85" s="75">
        <f t="shared" si="6"/>
        <v>0</v>
      </c>
      <c r="AG85" s="75">
        <f t="shared" si="7"/>
        <v>0</v>
      </c>
      <c r="AH85" s="31" t="e" cm="1">
        <f t="array" aca="1" ref="AH85" ca="1">IF((AD85) &lt; (INDEX(ResponseSLA[#All],(MATCH((G85),ResponseSLA[Priority],0))+1,3)),"YES","No")</f>
        <v>#N/A</v>
      </c>
      <c r="AI85" s="31" t="str">
        <f>_xlfn.IFNA(IF(AE85 &lt; (INDEX(SLATable[Minimum SLA],MATCH(G85,SLATable[Priority],0))),"YES","NO"),"")</f>
        <v/>
      </c>
      <c r="AJ85" t="str">
        <f>_xlfn.IFNA(IF(AE85 &lt; (INDEX(SLATable[Maximum SLA],MATCH(G85,SLATable[Priority],0))),"YES","NO"),"")</f>
        <v/>
      </c>
    </row>
    <row r="86" spans="26:36" ht="15" customHeight="1">
      <c r="Z86" s="76" t="e">
        <f t="shared" ca="1" si="12"/>
        <v>#N/A</v>
      </c>
      <c r="AA86" s="75" t="e">
        <f t="shared" ca="1" si="1"/>
        <v>#N/A</v>
      </c>
      <c r="AB86" s="76">
        <f t="shared" ca="1" si="13"/>
        <v>0</v>
      </c>
      <c r="AC86" s="75">
        <f t="shared" ca="1" si="3"/>
        <v>0</v>
      </c>
      <c r="AD86" s="76">
        <f t="shared" ca="1" si="14"/>
        <v>12388.425641203703</v>
      </c>
      <c r="AE86" s="76">
        <f t="shared" si="15"/>
        <v>0</v>
      </c>
      <c r="AF86" s="75">
        <f t="shared" si="6"/>
        <v>0</v>
      </c>
      <c r="AG86" s="75">
        <f t="shared" si="7"/>
        <v>0</v>
      </c>
      <c r="AH86" s="31" t="e" cm="1">
        <f t="array" aca="1" ref="AH86" ca="1">IF((AD86) &lt; (INDEX(ResponseSLA[#All],(MATCH((G86),ResponseSLA[Priority],0))+1,3)),"YES","No")</f>
        <v>#N/A</v>
      </c>
      <c r="AI86" s="31" t="str">
        <f>_xlfn.IFNA(IF(AE86 &lt; (INDEX(SLATable[Minimum SLA],MATCH(G86,SLATable[Priority],0))),"YES","NO"),"")</f>
        <v/>
      </c>
      <c r="AJ86" t="str">
        <f>_xlfn.IFNA(IF(AE86 &lt; (INDEX(SLATable[Maximum SLA],MATCH(G86,SLATable[Priority],0))),"YES","NO"),"")</f>
        <v/>
      </c>
    </row>
    <row r="87" spans="26:36" ht="15" customHeight="1">
      <c r="Z87" s="76" t="e">
        <f t="shared" ca="1" si="12"/>
        <v>#N/A</v>
      </c>
      <c r="AA87" s="75" t="e">
        <f t="shared" ca="1" si="1"/>
        <v>#N/A</v>
      </c>
      <c r="AB87" s="76">
        <f t="shared" ca="1" si="13"/>
        <v>0</v>
      </c>
      <c r="AC87" s="75">
        <f t="shared" ca="1" si="3"/>
        <v>0</v>
      </c>
      <c r="AD87" s="76">
        <f t="shared" ca="1" si="14"/>
        <v>12388.425641087964</v>
      </c>
      <c r="AE87" s="76">
        <f t="shared" si="15"/>
        <v>0</v>
      </c>
      <c r="AF87" s="75">
        <f t="shared" si="6"/>
        <v>0</v>
      </c>
      <c r="AG87" s="75">
        <f t="shared" si="7"/>
        <v>0</v>
      </c>
      <c r="AH87" s="31" t="e" cm="1">
        <f t="array" aca="1" ref="AH87" ca="1">IF((AD87) &lt; (INDEX(ResponseSLA[#All],(MATCH((G87),ResponseSLA[Priority],0))+1,3)),"YES","No")</f>
        <v>#N/A</v>
      </c>
      <c r="AI87" s="31" t="str">
        <f>_xlfn.IFNA(IF(AE87 &lt; (INDEX(SLATable[Minimum SLA],MATCH(G87,SLATable[Priority],0))),"YES","NO"),"")</f>
        <v/>
      </c>
      <c r="AJ87" t="str">
        <f>_xlfn.IFNA(IF(AE87 &lt; (INDEX(SLATable[Maximum SLA],MATCH(G87,SLATable[Priority],0))),"YES","NO"),"")</f>
        <v/>
      </c>
    </row>
    <row r="88" spans="26:36" ht="15" customHeight="1">
      <c r="Z88" s="76" t="e">
        <f t="shared" ca="1" si="12"/>
        <v>#N/A</v>
      </c>
      <c r="AA88" s="75" t="e">
        <f t="shared" ca="1" si="1"/>
        <v>#N/A</v>
      </c>
      <c r="AB88" s="76">
        <f t="shared" ca="1" si="13"/>
        <v>0</v>
      </c>
      <c r="AC88" s="75">
        <f t="shared" ca="1" si="3"/>
        <v>0</v>
      </c>
      <c r="AD88" s="76">
        <f t="shared" ca="1" si="14"/>
        <v>12388.425641087964</v>
      </c>
      <c r="AE88" s="76">
        <f t="shared" si="15"/>
        <v>0</v>
      </c>
      <c r="AF88" s="75">
        <f t="shared" si="6"/>
        <v>0</v>
      </c>
      <c r="AG88" s="75">
        <f t="shared" si="7"/>
        <v>0</v>
      </c>
      <c r="AH88" s="31" t="e" cm="1">
        <f t="array" aca="1" ref="AH88" ca="1">IF((AD88) &lt; (INDEX(ResponseSLA[#All],(MATCH((G88),ResponseSLA[Priority],0))+1,3)),"YES","No")</f>
        <v>#N/A</v>
      </c>
      <c r="AI88" s="31" t="str">
        <f>_xlfn.IFNA(IF(AE88 &lt; (INDEX(SLATable[Minimum SLA],MATCH(G88,SLATable[Priority],0))),"YES","NO"),"")</f>
        <v/>
      </c>
      <c r="AJ88" t="str">
        <f>_xlfn.IFNA(IF(AE88 &lt; (INDEX(SLATable[Maximum SLA],MATCH(G88,SLATable[Priority],0))),"YES","NO"),"")</f>
        <v/>
      </c>
    </row>
    <row r="89" spans="26:36" ht="15" customHeight="1">
      <c r="Z89" s="76" t="e">
        <f t="shared" ca="1" si="12"/>
        <v>#N/A</v>
      </c>
      <c r="AA89" s="75" t="e">
        <f t="shared" ca="1" si="1"/>
        <v>#N/A</v>
      </c>
      <c r="AB89" s="76">
        <f t="shared" ca="1" si="13"/>
        <v>0</v>
      </c>
      <c r="AC89" s="75">
        <f t="shared" ca="1" si="3"/>
        <v>0</v>
      </c>
      <c r="AD89" s="76">
        <f t="shared" ca="1" si="14"/>
        <v>12388.425641203703</v>
      </c>
      <c r="AE89" s="76">
        <f t="shared" si="15"/>
        <v>0</v>
      </c>
      <c r="AF89" s="75">
        <f t="shared" si="6"/>
        <v>0</v>
      </c>
      <c r="AG89" s="75">
        <f t="shared" si="7"/>
        <v>0</v>
      </c>
      <c r="AH89" s="31" t="e" cm="1">
        <f t="array" aca="1" ref="AH89" ca="1">IF((AD89) &lt; (INDEX(ResponseSLA[#All],(MATCH((G89),ResponseSLA[Priority],0))+1,3)),"YES","No")</f>
        <v>#N/A</v>
      </c>
      <c r="AI89" s="31" t="str">
        <f>_xlfn.IFNA(IF(AE89 &lt; (INDEX(SLATable[Minimum SLA],MATCH(G89,SLATable[Priority],0))),"YES","NO"),"")</f>
        <v/>
      </c>
      <c r="AJ89" t="str">
        <f>_xlfn.IFNA(IF(AE89 &lt; (INDEX(SLATable[Maximum SLA],MATCH(G89,SLATable[Priority],0))),"YES","NO"),"")</f>
        <v/>
      </c>
    </row>
    <row r="90" spans="26:36" ht="15" customHeight="1">
      <c r="Z90" s="76" t="e">
        <f t="shared" ca="1" si="12"/>
        <v>#N/A</v>
      </c>
      <c r="AA90" s="75" t="e">
        <f t="shared" ca="1" si="1"/>
        <v>#N/A</v>
      </c>
      <c r="AB90" s="76">
        <f t="shared" ca="1" si="13"/>
        <v>0</v>
      </c>
      <c r="AC90" s="75">
        <f t="shared" ca="1" si="3"/>
        <v>0</v>
      </c>
      <c r="AD90" s="76">
        <f t="shared" ca="1" si="14"/>
        <v>12388.425641087964</v>
      </c>
      <c r="AE90" s="76">
        <f t="shared" si="15"/>
        <v>0</v>
      </c>
      <c r="AF90" s="75">
        <f t="shared" si="6"/>
        <v>0</v>
      </c>
      <c r="AG90" s="75">
        <f t="shared" si="7"/>
        <v>0</v>
      </c>
      <c r="AH90" s="31" t="e" cm="1">
        <f t="array" aca="1" ref="AH90" ca="1">IF((AD90) &lt; (INDEX(ResponseSLA[#All],(MATCH((G90),ResponseSLA[Priority],0))+1,3)),"YES","No")</f>
        <v>#N/A</v>
      </c>
      <c r="AI90" s="31" t="str">
        <f>_xlfn.IFNA(IF(AE90 &lt; (INDEX(SLATable[Minimum SLA],MATCH(G90,SLATable[Priority],0))),"YES","NO"),"")</f>
        <v/>
      </c>
      <c r="AJ90" t="str">
        <f>_xlfn.IFNA(IF(AE90 &lt; (INDEX(SLATable[Maximum SLA],MATCH(G90,SLATable[Priority],0))),"YES","NO"),"")</f>
        <v/>
      </c>
    </row>
    <row r="91" spans="26:36" ht="15" customHeight="1">
      <c r="Z91" s="76" t="e">
        <f t="shared" ca="1" si="12"/>
        <v>#N/A</v>
      </c>
      <c r="AA91" s="75" t="e">
        <f t="shared" ca="1" si="1"/>
        <v>#N/A</v>
      </c>
      <c r="AB91" s="76">
        <f t="shared" ca="1" si="13"/>
        <v>0</v>
      </c>
      <c r="AC91" s="75">
        <f t="shared" ca="1" si="3"/>
        <v>0</v>
      </c>
      <c r="AD91" s="76">
        <f t="shared" ca="1" si="14"/>
        <v>12388.425641087964</v>
      </c>
      <c r="AE91" s="76">
        <f t="shared" si="15"/>
        <v>0</v>
      </c>
      <c r="AF91" s="75">
        <f t="shared" si="6"/>
        <v>0</v>
      </c>
      <c r="AG91" s="75">
        <f t="shared" si="7"/>
        <v>0</v>
      </c>
      <c r="AH91" s="31" t="e" cm="1">
        <f t="array" aca="1" ref="AH91" ca="1">IF((AD91) &lt; (INDEX(ResponseSLA[#All],(MATCH((G91),ResponseSLA[Priority],0))+1,3)),"YES","No")</f>
        <v>#N/A</v>
      </c>
      <c r="AI91" s="31" t="str">
        <f>_xlfn.IFNA(IF(AE91 &lt; (INDEX(SLATable[Minimum SLA],MATCH(G91,SLATable[Priority],0))),"YES","NO"),"")</f>
        <v/>
      </c>
      <c r="AJ91" t="str">
        <f>_xlfn.IFNA(IF(AE91 &lt; (INDEX(SLATable[Maximum SLA],MATCH(G91,SLATable[Priority],0))),"YES","NO"),"")</f>
        <v/>
      </c>
    </row>
    <row r="92" spans="26:36" ht="15" customHeight="1">
      <c r="Z92" s="76" t="e">
        <f t="shared" ca="1" si="12"/>
        <v>#N/A</v>
      </c>
      <c r="AA92" s="75" t="e">
        <f t="shared" ca="1" si="1"/>
        <v>#N/A</v>
      </c>
      <c r="AB92" s="76">
        <f t="shared" ca="1" si="13"/>
        <v>0</v>
      </c>
      <c r="AC92" s="75">
        <f t="shared" ca="1" si="3"/>
        <v>0</v>
      </c>
      <c r="AD92" s="76">
        <f t="shared" ca="1" si="14"/>
        <v>12388.425641203703</v>
      </c>
      <c r="AE92" s="76">
        <f t="shared" si="15"/>
        <v>0</v>
      </c>
      <c r="AF92" s="75">
        <f t="shared" si="6"/>
        <v>0</v>
      </c>
      <c r="AG92" s="75">
        <f t="shared" si="7"/>
        <v>0</v>
      </c>
      <c r="AH92" s="31" t="e" cm="1">
        <f t="array" aca="1" ref="AH92" ca="1">IF((AD92) &lt; (INDEX(ResponseSLA[#All],(MATCH((G92),ResponseSLA[Priority],0))+1,3)),"YES","No")</f>
        <v>#N/A</v>
      </c>
      <c r="AI92" s="31" t="str">
        <f>_xlfn.IFNA(IF(AE92 &lt; (INDEX(SLATable[Minimum SLA],MATCH(G92,SLATable[Priority],0))),"YES","NO"),"")</f>
        <v/>
      </c>
      <c r="AJ92" t="str">
        <f>_xlfn.IFNA(IF(AE92 &lt; (INDEX(SLATable[Maximum SLA],MATCH(G92,SLATable[Priority],0))),"YES","NO"),"")</f>
        <v/>
      </c>
    </row>
    <row r="93" spans="26:36" ht="15" customHeight="1">
      <c r="Z93" s="76" t="e">
        <f t="shared" ca="1" si="12"/>
        <v>#N/A</v>
      </c>
      <c r="AA93" s="75" t="e">
        <f t="shared" ca="1" si="1"/>
        <v>#N/A</v>
      </c>
      <c r="AB93" s="76">
        <f t="shared" ca="1" si="13"/>
        <v>0</v>
      </c>
      <c r="AC93" s="75">
        <f t="shared" ca="1" si="3"/>
        <v>0</v>
      </c>
      <c r="AD93" s="76">
        <f t="shared" ca="1" si="14"/>
        <v>12388.425641087964</v>
      </c>
      <c r="AE93" s="76">
        <f t="shared" si="15"/>
        <v>0</v>
      </c>
      <c r="AF93" s="75">
        <f t="shared" si="6"/>
        <v>0</v>
      </c>
      <c r="AG93" s="75">
        <f t="shared" si="7"/>
        <v>0</v>
      </c>
      <c r="AH93" s="31" t="e" cm="1">
        <f t="array" aca="1" ref="AH93" ca="1">IF((AD93) &lt; (INDEX(ResponseSLA[#All],(MATCH((G93),ResponseSLA[Priority],0))+1,3)),"YES","No")</f>
        <v>#N/A</v>
      </c>
      <c r="AI93" s="31" t="str">
        <f>_xlfn.IFNA(IF(AE93 &lt; (INDEX(SLATable[Minimum SLA],MATCH(G93,SLATable[Priority],0))),"YES","NO"),"")</f>
        <v/>
      </c>
      <c r="AJ93" t="str">
        <f>_xlfn.IFNA(IF(AE93 &lt; (INDEX(SLATable[Maximum SLA],MATCH(G93,SLATable[Priority],0))),"YES","NO"),"")</f>
        <v/>
      </c>
    </row>
    <row r="94" spans="26:36" ht="15" customHeight="1">
      <c r="Z94" s="76" t="e">
        <f t="shared" ca="1" si="12"/>
        <v>#N/A</v>
      </c>
      <c r="AA94" s="75" t="e">
        <f t="shared" ca="1" si="1"/>
        <v>#N/A</v>
      </c>
      <c r="AB94" s="76">
        <f t="shared" ca="1" si="13"/>
        <v>0</v>
      </c>
      <c r="AC94" s="75">
        <f t="shared" ca="1" si="3"/>
        <v>0</v>
      </c>
      <c r="AD94" s="76">
        <f t="shared" ca="1" si="14"/>
        <v>12388.425641087964</v>
      </c>
      <c r="AE94" s="76">
        <f t="shared" si="15"/>
        <v>0</v>
      </c>
      <c r="AF94" s="75">
        <f t="shared" si="6"/>
        <v>0</v>
      </c>
      <c r="AG94" s="75">
        <f t="shared" si="7"/>
        <v>0</v>
      </c>
      <c r="AH94" s="31" t="e" cm="1">
        <f t="array" aca="1" ref="AH94" ca="1">IF((AD94) &lt; (INDEX(ResponseSLA[#All],(MATCH((G94),ResponseSLA[Priority],0))+1,3)),"YES","No")</f>
        <v>#N/A</v>
      </c>
      <c r="AI94" s="31" t="str">
        <f>_xlfn.IFNA(IF(AE94 &lt; (INDEX(SLATable[Minimum SLA],MATCH(G94,SLATable[Priority],0))),"YES","NO"),"")</f>
        <v/>
      </c>
      <c r="AJ94" t="str">
        <f>_xlfn.IFNA(IF(AE94 &lt; (INDEX(SLATable[Maximum SLA],MATCH(G94,SLATable[Priority],0))),"YES","NO"),"")</f>
        <v/>
      </c>
    </row>
    <row r="95" spans="26:36" ht="15" customHeight="1">
      <c r="Z95" s="76" t="e">
        <f t="shared" ca="1" si="12"/>
        <v>#N/A</v>
      </c>
      <c r="AA95" s="75" t="e">
        <f t="shared" ca="1" si="1"/>
        <v>#N/A</v>
      </c>
      <c r="AB95" s="76">
        <f t="shared" ca="1" si="13"/>
        <v>0</v>
      </c>
      <c r="AC95" s="75">
        <f t="shared" ca="1" si="3"/>
        <v>0</v>
      </c>
      <c r="AD95" s="76">
        <f t="shared" ca="1" si="14"/>
        <v>12388.425641203703</v>
      </c>
      <c r="AE95" s="76">
        <f t="shared" si="15"/>
        <v>0</v>
      </c>
      <c r="AF95" s="75">
        <f t="shared" si="6"/>
        <v>0</v>
      </c>
      <c r="AG95" s="75">
        <f t="shared" si="7"/>
        <v>0</v>
      </c>
      <c r="AH95" s="31" t="e" cm="1">
        <f t="array" aca="1" ref="AH95" ca="1">IF((AD95) &lt; (INDEX(ResponseSLA[#All],(MATCH((G95),ResponseSLA[Priority],0))+1,3)),"YES","No")</f>
        <v>#N/A</v>
      </c>
      <c r="AI95" s="31" t="str">
        <f>_xlfn.IFNA(IF(AE95 &lt; (INDEX(SLATable[Minimum SLA],MATCH(G95,SLATable[Priority],0))),"YES","NO"),"")</f>
        <v/>
      </c>
      <c r="AJ95" t="str">
        <f>_xlfn.IFNA(IF(AE95 &lt; (INDEX(SLATable[Maximum SLA],MATCH(G95,SLATable[Priority],0))),"YES","NO"),"")</f>
        <v/>
      </c>
    </row>
    <row r="96" spans="26:36" ht="15" customHeight="1">
      <c r="Z96" s="76" t="e">
        <f t="shared" ca="1" si="12"/>
        <v>#N/A</v>
      </c>
      <c r="AA96" s="75" t="e">
        <f t="shared" ca="1" si="1"/>
        <v>#N/A</v>
      </c>
      <c r="AB96" s="76">
        <f t="shared" ca="1" si="13"/>
        <v>0</v>
      </c>
      <c r="AC96" s="75">
        <f t="shared" ca="1" si="3"/>
        <v>0</v>
      </c>
      <c r="AD96" s="76">
        <f t="shared" ca="1" si="14"/>
        <v>12388.425641087964</v>
      </c>
      <c r="AE96" s="76">
        <f t="shared" si="15"/>
        <v>0</v>
      </c>
      <c r="AF96" s="75">
        <f t="shared" si="6"/>
        <v>0</v>
      </c>
      <c r="AG96" s="75">
        <f t="shared" si="7"/>
        <v>0</v>
      </c>
      <c r="AH96" s="31" t="e" cm="1">
        <f t="array" aca="1" ref="AH96" ca="1">IF((AD96) &lt; (INDEX(ResponseSLA[#All],(MATCH((G96),ResponseSLA[Priority],0))+1,3)),"YES","No")</f>
        <v>#N/A</v>
      </c>
      <c r="AI96" s="31" t="str">
        <f>_xlfn.IFNA(IF(AE96 &lt; (INDEX(SLATable[Minimum SLA],MATCH(G96,SLATable[Priority],0))),"YES","NO"),"")</f>
        <v/>
      </c>
      <c r="AJ96" t="str">
        <f>_xlfn.IFNA(IF(AE96 &lt; (INDEX(SLATable[Maximum SLA],MATCH(G96,SLATable[Priority],0))),"YES","NO"),"")</f>
        <v/>
      </c>
    </row>
    <row r="97" spans="26:36" ht="15" customHeight="1">
      <c r="Z97" s="76" t="e">
        <f t="shared" ca="1" si="12"/>
        <v>#N/A</v>
      </c>
      <c r="AA97" s="75" t="e">
        <f t="shared" ca="1" si="1"/>
        <v>#N/A</v>
      </c>
      <c r="AB97" s="76">
        <f t="shared" ca="1" si="13"/>
        <v>0</v>
      </c>
      <c r="AC97" s="75">
        <f t="shared" ca="1" si="3"/>
        <v>0</v>
      </c>
      <c r="AD97" s="76">
        <f t="shared" ca="1" si="14"/>
        <v>12388.425641087964</v>
      </c>
      <c r="AE97" s="76">
        <f t="shared" si="15"/>
        <v>0</v>
      </c>
      <c r="AF97" s="75">
        <f t="shared" si="6"/>
        <v>0</v>
      </c>
      <c r="AG97" s="75">
        <f t="shared" si="7"/>
        <v>0</v>
      </c>
      <c r="AH97" s="31" t="e" cm="1">
        <f t="array" aca="1" ref="AH97" ca="1">IF((AD97) &lt; (INDEX(ResponseSLA[#All],(MATCH((G97),ResponseSLA[Priority],0))+1,3)),"YES","No")</f>
        <v>#N/A</v>
      </c>
      <c r="AI97" s="31" t="str">
        <f>_xlfn.IFNA(IF(AE97 &lt; (INDEX(SLATable[Minimum SLA],MATCH(G97,SLATable[Priority],0))),"YES","NO"),"")</f>
        <v/>
      </c>
      <c r="AJ97" t="str">
        <f>_xlfn.IFNA(IF(AE97 &lt; (INDEX(SLATable[Maximum SLA],MATCH(G97,SLATable[Priority],0))),"YES","NO"),"")</f>
        <v/>
      </c>
    </row>
    <row r="98" spans="26:36" ht="15" customHeight="1">
      <c r="Z98" s="76" t="e">
        <f t="shared" ca="1" si="12"/>
        <v>#N/A</v>
      </c>
      <c r="AA98" s="75" t="e">
        <f t="shared" ca="1" si="1"/>
        <v>#N/A</v>
      </c>
      <c r="AB98" s="76">
        <f t="shared" ca="1" si="13"/>
        <v>0</v>
      </c>
      <c r="AC98" s="75">
        <f t="shared" ca="1" si="3"/>
        <v>0</v>
      </c>
      <c r="AD98" s="76">
        <f t="shared" ca="1" si="14"/>
        <v>12388.425641203703</v>
      </c>
      <c r="AE98" s="76">
        <f t="shared" si="15"/>
        <v>0</v>
      </c>
      <c r="AF98" s="75">
        <f t="shared" si="6"/>
        <v>0</v>
      </c>
      <c r="AG98" s="75">
        <f t="shared" si="7"/>
        <v>0</v>
      </c>
      <c r="AH98" s="31" t="e" cm="1">
        <f t="array" aca="1" ref="AH98" ca="1">IF((AD98) &lt; (INDEX(ResponseSLA[#All],(MATCH((G98),ResponseSLA[Priority],0))+1,3)),"YES","No")</f>
        <v>#N/A</v>
      </c>
      <c r="AI98" s="31" t="str">
        <f>_xlfn.IFNA(IF(AE98 &lt; (INDEX(SLATable[Minimum SLA],MATCH(G98,SLATable[Priority],0))),"YES","NO"),"")</f>
        <v/>
      </c>
      <c r="AJ98" t="str">
        <f>_xlfn.IFNA(IF(AE98 &lt; (INDEX(SLATable[Maximum SLA],MATCH(G98,SLATable[Priority],0))),"YES","NO"),"")</f>
        <v/>
      </c>
    </row>
    <row r="99" spans="26:36" ht="15" customHeight="1">
      <c r="Z99" s="76" t="e">
        <f t="shared" ca="1" si="12"/>
        <v>#N/A</v>
      </c>
      <c r="AA99" s="75" t="e">
        <f t="shared" ca="1" si="1"/>
        <v>#N/A</v>
      </c>
      <c r="AB99" s="76">
        <f t="shared" ca="1" si="13"/>
        <v>0</v>
      </c>
      <c r="AC99" s="75">
        <f t="shared" ca="1" si="3"/>
        <v>0</v>
      </c>
      <c r="AD99" s="76">
        <f t="shared" ca="1" si="14"/>
        <v>12388.425641087964</v>
      </c>
      <c r="AE99" s="76">
        <f t="shared" si="15"/>
        <v>0</v>
      </c>
      <c r="AF99" s="75">
        <f t="shared" si="6"/>
        <v>0</v>
      </c>
      <c r="AG99" s="75">
        <f t="shared" si="7"/>
        <v>0</v>
      </c>
      <c r="AH99" s="31" t="e" cm="1">
        <f t="array" aca="1" ref="AH99" ca="1">IF((AD99) &lt; (INDEX(ResponseSLA[#All],(MATCH((G99),ResponseSLA[Priority],0))+1,3)),"YES","No")</f>
        <v>#N/A</v>
      </c>
      <c r="AI99" s="31" t="str">
        <f>_xlfn.IFNA(IF(AE99 &lt; (INDEX(SLATable[Minimum SLA],MATCH(G99,SLATable[Priority],0))),"YES","NO"),"")</f>
        <v/>
      </c>
      <c r="AJ99" t="str">
        <f>_xlfn.IFNA(IF(AE99 &lt; (INDEX(SLATable[Maximum SLA],MATCH(G99,SLATable[Priority],0))),"YES","NO"),"")</f>
        <v/>
      </c>
    </row>
    <row r="100" spans="26:36" ht="15" customHeight="1">
      <c r="Z100" s="76" t="e">
        <f t="shared" ca="1" si="12"/>
        <v>#N/A</v>
      </c>
      <c r="AA100" s="75" t="e">
        <f t="shared" ca="1" si="1"/>
        <v>#N/A</v>
      </c>
      <c r="AB100" s="76">
        <f t="shared" ca="1" si="13"/>
        <v>0</v>
      </c>
      <c r="AC100" s="75">
        <f t="shared" ca="1" si="3"/>
        <v>0</v>
      </c>
      <c r="AD100" s="76">
        <f t="shared" ca="1" si="14"/>
        <v>12388.425641087964</v>
      </c>
      <c r="AE100" s="76">
        <f t="shared" si="15"/>
        <v>0</v>
      </c>
      <c r="AF100" s="75">
        <f t="shared" si="6"/>
        <v>0</v>
      </c>
      <c r="AG100" s="75">
        <f t="shared" si="7"/>
        <v>0</v>
      </c>
      <c r="AH100" s="31" t="e" cm="1">
        <f t="array" aca="1" ref="AH100" ca="1">IF((AD100) &lt; (INDEX(ResponseSLA[#All],(MATCH((G100),ResponseSLA[Priority],0))+1,3)),"YES","No")</f>
        <v>#N/A</v>
      </c>
      <c r="AI100" s="31" t="str">
        <f>_xlfn.IFNA(IF(AE100 &lt; (INDEX(SLATable[Minimum SLA],MATCH(G100,SLATable[Priority],0))),"YES","NO"),"")</f>
        <v/>
      </c>
      <c r="AJ100" t="str">
        <f>_xlfn.IFNA(IF(AE100 &lt; (INDEX(SLATable[Maximum SLA],MATCH(G100,SLATable[Priority],0))),"YES","NO"),"")</f>
        <v/>
      </c>
    </row>
    <row r="101" spans="26:36" ht="15" customHeight="1">
      <c r="Z101" s="76" t="e">
        <f t="shared" ca="1" si="12"/>
        <v>#N/A</v>
      </c>
      <c r="AA101" s="75" t="e">
        <f t="shared" ca="1" si="1"/>
        <v>#N/A</v>
      </c>
      <c r="AB101" s="76">
        <f t="shared" ca="1" si="13"/>
        <v>0</v>
      </c>
      <c r="AC101" s="75">
        <f t="shared" ca="1" si="3"/>
        <v>0</v>
      </c>
      <c r="AD101" s="76">
        <f t="shared" ca="1" si="14"/>
        <v>12388.425641203703</v>
      </c>
      <c r="AE101" s="76">
        <f t="shared" si="15"/>
        <v>0</v>
      </c>
      <c r="AF101" s="75">
        <f t="shared" si="6"/>
        <v>0</v>
      </c>
      <c r="AG101" s="75">
        <f t="shared" si="7"/>
        <v>0</v>
      </c>
      <c r="AH101" s="31" t="e" cm="1">
        <f t="array" aca="1" ref="AH101" ca="1">IF((AD101) &lt; (INDEX(ResponseSLA[#All],(MATCH((G101),ResponseSLA[Priority],0))+1,3)),"YES","No")</f>
        <v>#N/A</v>
      </c>
      <c r="AI101" s="31" t="str">
        <f>_xlfn.IFNA(IF(AE101 &lt; (INDEX(SLATable[Minimum SLA],MATCH(G101,SLATable[Priority],0))),"YES","NO"),"")</f>
        <v/>
      </c>
      <c r="AJ101" t="str">
        <f>_xlfn.IFNA(IF(AE101 &lt; (INDEX(SLATable[Maximum SLA],MATCH(G101,SLATable[Priority],0))),"YES","NO"),"")</f>
        <v/>
      </c>
    </row>
    <row r="102" spans="26:36" ht="15" customHeight="1">
      <c r="Z102" s="76" t="e">
        <f t="shared" ca="1" si="12"/>
        <v>#N/A</v>
      </c>
      <c r="AA102" s="75" t="e">
        <f t="shared" ca="1" si="1"/>
        <v>#N/A</v>
      </c>
      <c r="AB102" s="76">
        <f t="shared" ca="1" si="13"/>
        <v>0</v>
      </c>
      <c r="AC102" s="75">
        <f t="shared" ca="1" si="3"/>
        <v>0</v>
      </c>
      <c r="AD102" s="76">
        <f t="shared" ca="1" si="14"/>
        <v>12388.425641087964</v>
      </c>
      <c r="AE102" s="76">
        <f t="shared" si="15"/>
        <v>0</v>
      </c>
      <c r="AF102" s="75">
        <f t="shared" si="6"/>
        <v>0</v>
      </c>
      <c r="AG102" s="75">
        <f t="shared" si="7"/>
        <v>0</v>
      </c>
      <c r="AH102" s="31" t="e" cm="1">
        <f t="array" aca="1" ref="AH102" ca="1">IF((AD102) &lt; (INDEX(ResponseSLA[#All],(MATCH((G102),ResponseSLA[Priority],0))+1,3)),"YES","No")</f>
        <v>#N/A</v>
      </c>
      <c r="AI102" s="31" t="str">
        <f>_xlfn.IFNA(IF(AE102 &lt; (INDEX(SLATable[Minimum SLA],MATCH(G102,SLATable[Priority],0))),"YES","NO"),"")</f>
        <v/>
      </c>
      <c r="AJ102" t="str">
        <f>_xlfn.IFNA(IF(AE102 &lt; (INDEX(SLATable[Maximum SLA],MATCH(G102,SLATable[Priority],0))),"YES","NO"),"")</f>
        <v/>
      </c>
    </row>
    <row r="103" spans="26:36" ht="15" customHeight="1">
      <c r="Z103" s="76" t="e">
        <f t="shared" ca="1" si="12"/>
        <v>#N/A</v>
      </c>
      <c r="AA103" s="75" t="e">
        <f t="shared" ca="1" si="1"/>
        <v>#N/A</v>
      </c>
      <c r="AB103" s="76">
        <f t="shared" ca="1" si="13"/>
        <v>0</v>
      </c>
      <c r="AC103" s="75">
        <f t="shared" ca="1" si="3"/>
        <v>0</v>
      </c>
      <c r="AD103" s="76">
        <f t="shared" ca="1" si="14"/>
        <v>12388.425641087964</v>
      </c>
      <c r="AE103" s="76">
        <f t="shared" si="15"/>
        <v>0</v>
      </c>
      <c r="AF103" s="75">
        <f t="shared" si="6"/>
        <v>0</v>
      </c>
      <c r="AG103" s="75">
        <f t="shared" si="7"/>
        <v>0</v>
      </c>
      <c r="AH103" s="31" t="e" cm="1">
        <f t="array" aca="1" ref="AH103" ca="1">IF((AD103) &lt; (INDEX(ResponseSLA[#All],(MATCH((G103),ResponseSLA[Priority],0))+1,3)),"YES","No")</f>
        <v>#N/A</v>
      </c>
      <c r="AI103" s="31" t="str">
        <f>_xlfn.IFNA(IF(AE103 &lt; (INDEX(SLATable[Minimum SLA],MATCH(G103,SLATable[Priority],0))),"YES","NO"),"")</f>
        <v/>
      </c>
      <c r="AJ103" t="str">
        <f>_xlfn.IFNA(IF(AE103 &lt; (INDEX(SLATable[Maximum SLA],MATCH(G103,SLATable[Priority],0))),"YES","NO"),"")</f>
        <v/>
      </c>
    </row>
    <row r="104" spans="26:36" ht="15" customHeight="1">
      <c r="Z104" s="76" t="e">
        <f t="shared" ca="1" si="12"/>
        <v>#N/A</v>
      </c>
      <c r="AA104" s="75" t="e">
        <f t="shared" ca="1" si="1"/>
        <v>#N/A</v>
      </c>
      <c r="AB104" s="76">
        <f t="shared" ca="1" si="13"/>
        <v>0</v>
      </c>
      <c r="AC104" s="75">
        <f t="shared" ca="1" si="3"/>
        <v>0</v>
      </c>
      <c r="AD104" s="76">
        <f t="shared" ca="1" si="14"/>
        <v>12388.425641203703</v>
      </c>
      <c r="AE104" s="76">
        <f t="shared" si="15"/>
        <v>0</v>
      </c>
      <c r="AF104" s="75">
        <f t="shared" si="6"/>
        <v>0</v>
      </c>
      <c r="AG104" s="75">
        <f t="shared" si="7"/>
        <v>0</v>
      </c>
      <c r="AH104" s="31" t="e" cm="1">
        <f t="array" aca="1" ref="AH104" ca="1">IF((AD104) &lt; (INDEX(ResponseSLA[#All],(MATCH((G104),ResponseSLA[Priority],0))+1,3)),"YES","No")</f>
        <v>#N/A</v>
      </c>
      <c r="AI104" s="31" t="str">
        <f>_xlfn.IFNA(IF(AE104 &lt; (INDEX(SLATable[Minimum SLA],MATCH(G104,SLATable[Priority],0))),"YES","NO"),"")</f>
        <v/>
      </c>
      <c r="AJ104" t="str">
        <f>_xlfn.IFNA(IF(AE104 &lt; (INDEX(SLATable[Maximum SLA],MATCH(G104,SLATable[Priority],0))),"YES","NO"),"")</f>
        <v/>
      </c>
    </row>
    <row r="105" spans="26:36" ht="15" customHeight="1">
      <c r="Z105" s="76" t="e">
        <f t="shared" ca="1" si="12"/>
        <v>#N/A</v>
      </c>
      <c r="AA105" s="75" t="e">
        <f t="shared" ca="1" si="1"/>
        <v>#N/A</v>
      </c>
      <c r="AB105" s="76">
        <f t="shared" ca="1" si="13"/>
        <v>0</v>
      </c>
      <c r="AC105" s="75">
        <f t="shared" ca="1" si="3"/>
        <v>0</v>
      </c>
      <c r="AD105" s="76">
        <f t="shared" ca="1" si="14"/>
        <v>12388.425641087964</v>
      </c>
      <c r="AE105" s="76">
        <f t="shared" si="15"/>
        <v>0</v>
      </c>
      <c r="AF105" s="75">
        <f t="shared" si="6"/>
        <v>0</v>
      </c>
      <c r="AG105" s="75">
        <f t="shared" si="7"/>
        <v>0</v>
      </c>
      <c r="AH105" s="31" t="e" cm="1">
        <f t="array" aca="1" ref="AH105" ca="1">IF((AD105) &lt; (INDEX(ResponseSLA[#All],(MATCH((G105),ResponseSLA[Priority],0))+1,3)),"YES","No")</f>
        <v>#N/A</v>
      </c>
      <c r="AI105" s="31" t="str">
        <f>_xlfn.IFNA(IF(AE105 &lt; (INDEX(SLATable[Minimum SLA],MATCH(G105,SLATable[Priority],0))),"YES","NO"),"")</f>
        <v/>
      </c>
      <c r="AJ105" t="str">
        <f>_xlfn.IFNA(IF(AE105 &lt; (INDEX(SLATable[Maximum SLA],MATCH(G105,SLATable[Priority],0))),"YES","NO"),"")</f>
        <v/>
      </c>
    </row>
    <row r="106" spans="26:36" ht="15" customHeight="1">
      <c r="Z106" s="76" t="e">
        <f t="shared" ca="1" si="12"/>
        <v>#N/A</v>
      </c>
      <c r="AA106" s="75" t="e">
        <f t="shared" ca="1" si="1"/>
        <v>#N/A</v>
      </c>
      <c r="AB106" s="76">
        <f t="shared" ca="1" si="13"/>
        <v>0</v>
      </c>
      <c r="AC106" s="75">
        <f t="shared" ca="1" si="3"/>
        <v>0</v>
      </c>
      <c r="AD106" s="76">
        <f t="shared" ca="1" si="14"/>
        <v>12388.425641087964</v>
      </c>
      <c r="AE106" s="76">
        <f t="shared" si="15"/>
        <v>0</v>
      </c>
      <c r="AF106" s="75">
        <f t="shared" si="6"/>
        <v>0</v>
      </c>
      <c r="AG106" s="75">
        <f t="shared" si="7"/>
        <v>0</v>
      </c>
      <c r="AH106" s="31" t="e" cm="1">
        <f t="array" aca="1" ref="AH106" ca="1">IF((AD106) &lt; (INDEX(ResponseSLA[#All],(MATCH((G106),ResponseSLA[Priority],0))+1,3)),"YES","No")</f>
        <v>#N/A</v>
      </c>
      <c r="AI106" s="31" t="str">
        <f>_xlfn.IFNA(IF(AE106 &lt; (INDEX(SLATable[Minimum SLA],MATCH(G106,SLATable[Priority],0))),"YES","NO"),"")</f>
        <v/>
      </c>
      <c r="AJ106" t="str">
        <f>_xlfn.IFNA(IF(AE106 &lt; (INDEX(SLATable[Maximum SLA],MATCH(G106,SLATable[Priority],0))),"YES","NO"),"")</f>
        <v/>
      </c>
    </row>
    <row r="107" spans="26:36" ht="15" customHeight="1">
      <c r="Z107" s="76" t="e">
        <f t="shared" ca="1" si="12"/>
        <v>#N/A</v>
      </c>
      <c r="AA107" s="75" t="e">
        <f t="shared" ca="1" si="1"/>
        <v>#N/A</v>
      </c>
      <c r="AB107" s="76">
        <f t="shared" ca="1" si="13"/>
        <v>0</v>
      </c>
      <c r="AC107" s="75">
        <f t="shared" ca="1" si="3"/>
        <v>0</v>
      </c>
      <c r="AD107" s="76">
        <f t="shared" ca="1" si="14"/>
        <v>12388.425641203703</v>
      </c>
      <c r="AE107" s="76">
        <f t="shared" si="15"/>
        <v>0</v>
      </c>
      <c r="AF107" s="75">
        <f t="shared" si="6"/>
        <v>0</v>
      </c>
      <c r="AG107" s="75">
        <f t="shared" si="7"/>
        <v>0</v>
      </c>
      <c r="AH107" s="31" t="e" cm="1">
        <f t="array" aca="1" ref="AH107" ca="1">IF((AD107) &lt; (INDEX(ResponseSLA[#All],(MATCH((G107),ResponseSLA[Priority],0))+1,3)),"YES","No")</f>
        <v>#N/A</v>
      </c>
      <c r="AI107" s="31" t="str">
        <f>_xlfn.IFNA(IF(AE107 &lt; (INDEX(SLATable[Minimum SLA],MATCH(G107,SLATable[Priority],0))),"YES","NO"),"")</f>
        <v/>
      </c>
      <c r="AJ107" t="str">
        <f>_xlfn.IFNA(IF(AE107 &lt; (INDEX(SLATable[Maximum SLA],MATCH(G107,SLATable[Priority],0))),"YES","NO"),"")</f>
        <v/>
      </c>
    </row>
    <row r="108" spans="26:36" ht="15" customHeight="1">
      <c r="Z108" s="76" t="e">
        <f t="shared" ca="1" si="12"/>
        <v>#N/A</v>
      </c>
      <c r="AA108" s="75" t="e">
        <f t="shared" ca="1" si="1"/>
        <v>#N/A</v>
      </c>
      <c r="AB108" s="76">
        <f t="shared" ca="1" si="13"/>
        <v>0</v>
      </c>
      <c r="AC108" s="75">
        <f t="shared" ca="1" si="3"/>
        <v>0</v>
      </c>
      <c r="AD108" s="76">
        <f t="shared" ca="1" si="14"/>
        <v>12388.425641087964</v>
      </c>
      <c r="AE108" s="76">
        <f t="shared" si="15"/>
        <v>0</v>
      </c>
      <c r="AF108" s="75">
        <f t="shared" si="6"/>
        <v>0</v>
      </c>
      <c r="AG108" s="75">
        <f t="shared" si="7"/>
        <v>0</v>
      </c>
      <c r="AH108" s="31" t="e" cm="1">
        <f t="array" aca="1" ref="AH108" ca="1">IF((AD108) &lt; (INDEX(ResponseSLA[#All],(MATCH((G108),ResponseSLA[Priority],0))+1,3)),"YES","No")</f>
        <v>#N/A</v>
      </c>
      <c r="AI108" s="31" t="str">
        <f>_xlfn.IFNA(IF(AE108 &lt; (INDEX(SLATable[Minimum SLA],MATCH(G108,SLATable[Priority],0))),"YES","NO"),"")</f>
        <v/>
      </c>
      <c r="AJ108" t="str">
        <f>_xlfn.IFNA(IF(AE108 &lt; (INDEX(SLATable[Maximum SLA],MATCH(G108,SLATable[Priority],0))),"YES","NO"),"")</f>
        <v/>
      </c>
    </row>
    <row r="109" spans="26:36" ht="15" customHeight="1">
      <c r="Z109" s="76" t="e">
        <f t="shared" ca="1" si="12"/>
        <v>#N/A</v>
      </c>
      <c r="AA109" s="75" t="e">
        <f t="shared" ca="1" si="1"/>
        <v>#N/A</v>
      </c>
      <c r="AB109" s="76">
        <f t="shared" ca="1" si="13"/>
        <v>0</v>
      </c>
      <c r="AC109" s="75">
        <f t="shared" ca="1" si="3"/>
        <v>0</v>
      </c>
      <c r="AD109" s="76">
        <f t="shared" ca="1" si="14"/>
        <v>12388.425641087964</v>
      </c>
      <c r="AE109" s="76">
        <f t="shared" si="15"/>
        <v>0</v>
      </c>
      <c r="AF109" s="75">
        <f t="shared" si="6"/>
        <v>0</v>
      </c>
      <c r="AG109" s="75">
        <f t="shared" si="7"/>
        <v>0</v>
      </c>
      <c r="AH109" s="31" t="e" cm="1">
        <f t="array" aca="1" ref="AH109" ca="1">IF((AD109) &lt; (INDEX(ResponseSLA[#All],(MATCH((G109),ResponseSLA[Priority],0))+1,3)),"YES","No")</f>
        <v>#N/A</v>
      </c>
      <c r="AI109" s="31" t="str">
        <f>_xlfn.IFNA(IF(AE109 &lt; (INDEX(SLATable[Minimum SLA],MATCH(G109,SLATable[Priority],0))),"YES","NO"),"")</f>
        <v/>
      </c>
      <c r="AJ109" t="str">
        <f>_xlfn.IFNA(IF(AE109 &lt; (INDEX(SLATable[Maximum SLA],MATCH(G109,SLATable[Priority],0))),"YES","NO"),"")</f>
        <v/>
      </c>
    </row>
    <row r="110" spans="26:36" ht="15" customHeight="1">
      <c r="Z110" s="76" t="e">
        <f t="shared" ca="1" si="12"/>
        <v>#N/A</v>
      </c>
      <c r="AA110" s="75" t="e">
        <f t="shared" ca="1" si="1"/>
        <v>#N/A</v>
      </c>
      <c r="AB110" s="76">
        <f t="shared" ca="1" si="13"/>
        <v>0</v>
      </c>
      <c r="AC110" s="75">
        <f t="shared" ca="1" si="3"/>
        <v>0</v>
      </c>
      <c r="AD110" s="76">
        <f t="shared" ca="1" si="14"/>
        <v>12388.425641203703</v>
      </c>
      <c r="AE110" s="76">
        <f t="shared" si="15"/>
        <v>0</v>
      </c>
      <c r="AF110" s="75">
        <f t="shared" si="6"/>
        <v>0</v>
      </c>
      <c r="AG110" s="75">
        <f t="shared" si="7"/>
        <v>0</v>
      </c>
      <c r="AH110" s="31" t="e" cm="1">
        <f t="array" aca="1" ref="AH110" ca="1">IF((AD110) &lt; (INDEX(ResponseSLA[#All],(MATCH((G110),ResponseSLA[Priority],0))+1,3)),"YES","No")</f>
        <v>#N/A</v>
      </c>
      <c r="AI110" s="31" t="str">
        <f>_xlfn.IFNA(IF(AE110 &lt; (INDEX(SLATable[Minimum SLA],MATCH(G110,SLATable[Priority],0))),"YES","NO"),"")</f>
        <v/>
      </c>
      <c r="AJ110" t="str">
        <f>_xlfn.IFNA(IF(AE110 &lt; (INDEX(SLATable[Maximum SLA],MATCH(G110,SLATable[Priority],0))),"YES","NO"),"")</f>
        <v/>
      </c>
    </row>
    <row r="111" spans="26:36" ht="15" customHeight="1">
      <c r="Z111" s="76" t="e">
        <f t="shared" ca="1" si="12"/>
        <v>#N/A</v>
      </c>
      <c r="AA111" s="75" t="e">
        <f t="shared" ca="1" si="1"/>
        <v>#N/A</v>
      </c>
      <c r="AB111" s="76">
        <f t="shared" ca="1" si="13"/>
        <v>0</v>
      </c>
      <c r="AC111" s="75">
        <f t="shared" ca="1" si="3"/>
        <v>0</v>
      </c>
      <c r="AD111" s="76">
        <f t="shared" ca="1" si="14"/>
        <v>12388.425641087964</v>
      </c>
      <c r="AE111" s="76">
        <f t="shared" si="15"/>
        <v>0</v>
      </c>
      <c r="AF111" s="75">
        <f t="shared" si="6"/>
        <v>0</v>
      </c>
      <c r="AG111" s="75">
        <f t="shared" si="7"/>
        <v>0</v>
      </c>
      <c r="AH111" s="31" t="e" cm="1">
        <f t="array" aca="1" ref="AH111" ca="1">IF((AD111) &lt; (INDEX(ResponseSLA[#All],(MATCH((G111),ResponseSLA[Priority],0))+1,3)),"YES","No")</f>
        <v>#N/A</v>
      </c>
      <c r="AI111" s="31" t="str">
        <f>_xlfn.IFNA(IF(AE111 &lt; (INDEX(SLATable[Minimum SLA],MATCH(G111,SLATable[Priority],0))),"YES","NO"),"")</f>
        <v/>
      </c>
      <c r="AJ111" t="str">
        <f>_xlfn.IFNA(IF(AE111 &lt; (INDEX(SLATable[Maximum SLA],MATCH(G111,SLATable[Priority],0))),"YES","NO"),"")</f>
        <v/>
      </c>
    </row>
    <row r="112" spans="26:36" ht="15" customHeight="1">
      <c r="Z112" s="76" t="e">
        <f t="shared" ca="1" si="12"/>
        <v>#N/A</v>
      </c>
      <c r="AA112" s="75" t="e">
        <f t="shared" ca="1" si="1"/>
        <v>#N/A</v>
      </c>
      <c r="AB112" s="76">
        <f t="shared" ca="1" si="13"/>
        <v>0</v>
      </c>
      <c r="AC112" s="75">
        <f t="shared" ca="1" si="3"/>
        <v>0</v>
      </c>
      <c r="AD112" s="76">
        <f t="shared" ca="1" si="14"/>
        <v>12388.425641087964</v>
      </c>
      <c r="AE112" s="76">
        <f t="shared" si="15"/>
        <v>0</v>
      </c>
      <c r="AF112" s="75">
        <f t="shared" si="6"/>
        <v>0</v>
      </c>
      <c r="AG112" s="75">
        <f t="shared" si="7"/>
        <v>0</v>
      </c>
      <c r="AH112" s="31" t="e" cm="1">
        <f t="array" aca="1" ref="AH112" ca="1">IF((AD112) &lt; (INDEX(ResponseSLA[#All],(MATCH((G112),ResponseSLA[Priority],0))+1,3)),"YES","No")</f>
        <v>#N/A</v>
      </c>
      <c r="AI112" s="31" t="str">
        <f>_xlfn.IFNA(IF(AE112 &lt; (INDEX(SLATable[Minimum SLA],MATCH(G112,SLATable[Priority],0))),"YES","NO"),"")</f>
        <v/>
      </c>
      <c r="AJ112" t="str">
        <f>_xlfn.IFNA(IF(AE112 &lt; (INDEX(SLATable[Maximum SLA],MATCH(G112,SLATable[Priority],0))),"YES","NO"),"")</f>
        <v/>
      </c>
    </row>
    <row r="113" spans="26:36" ht="15" customHeight="1">
      <c r="Z113" s="76" t="e">
        <f t="shared" ca="1" si="12"/>
        <v>#N/A</v>
      </c>
      <c r="AA113" s="75" t="e">
        <f t="shared" ca="1" si="1"/>
        <v>#N/A</v>
      </c>
      <c r="AB113" s="76">
        <f t="shared" ca="1" si="13"/>
        <v>0</v>
      </c>
      <c r="AC113" s="75">
        <f t="shared" ca="1" si="3"/>
        <v>0</v>
      </c>
      <c r="AD113" s="76">
        <f t="shared" ca="1" si="14"/>
        <v>12388.425641203703</v>
      </c>
      <c r="AE113" s="76">
        <f t="shared" si="15"/>
        <v>0</v>
      </c>
      <c r="AF113" s="75">
        <f t="shared" si="6"/>
        <v>0</v>
      </c>
      <c r="AG113" s="75">
        <f t="shared" si="7"/>
        <v>0</v>
      </c>
      <c r="AH113" s="31" t="e" cm="1">
        <f t="array" aca="1" ref="AH113" ca="1">IF((AD113) &lt; (INDEX(ResponseSLA[#All],(MATCH((G113),ResponseSLA[Priority],0))+1,3)),"YES","No")</f>
        <v>#N/A</v>
      </c>
      <c r="AI113" s="31" t="str">
        <f>_xlfn.IFNA(IF(AE113 &lt; (INDEX(SLATable[Minimum SLA],MATCH(G113,SLATable[Priority],0))),"YES","NO"),"")</f>
        <v/>
      </c>
      <c r="AJ113" t="str">
        <f>_xlfn.IFNA(IF(AE113 &lt; (INDEX(SLATable[Maximum SLA],MATCH(G113,SLATable[Priority],0))),"YES","NO"),"")</f>
        <v/>
      </c>
    </row>
    <row r="114" spans="26:36" ht="15" customHeight="1">
      <c r="Z114" s="76" t="e">
        <f t="shared" ca="1" si="12"/>
        <v>#N/A</v>
      </c>
      <c r="AA114" s="75" t="e">
        <f t="shared" ca="1" si="1"/>
        <v>#N/A</v>
      </c>
      <c r="AB114" s="76">
        <f t="shared" ca="1" si="13"/>
        <v>0</v>
      </c>
      <c r="AC114" s="75">
        <f t="shared" ca="1" si="3"/>
        <v>0</v>
      </c>
      <c r="AD114" s="76">
        <f t="shared" ca="1" si="14"/>
        <v>12388.425641087964</v>
      </c>
      <c r="AE114" s="76">
        <f t="shared" si="15"/>
        <v>0</v>
      </c>
      <c r="AF114" s="75">
        <f t="shared" si="6"/>
        <v>0</v>
      </c>
      <c r="AG114" s="75">
        <f t="shared" si="7"/>
        <v>0</v>
      </c>
      <c r="AH114" s="31" t="e" cm="1">
        <f t="array" aca="1" ref="AH114" ca="1">IF((AD114) &lt; (INDEX(ResponseSLA[#All],(MATCH((G114),ResponseSLA[Priority],0))+1,3)),"YES","No")</f>
        <v>#N/A</v>
      </c>
      <c r="AI114" s="31" t="str">
        <f>_xlfn.IFNA(IF(AE114 &lt; (INDEX(SLATable[Minimum SLA],MATCH(G114,SLATable[Priority],0))),"YES","NO"),"")</f>
        <v/>
      </c>
      <c r="AJ114" t="str">
        <f>_xlfn.IFNA(IF(AE114 &lt; (INDEX(SLATable[Maximum SLA],MATCH(G114,SLATable[Priority],0))),"YES","NO"),"")</f>
        <v/>
      </c>
    </row>
    <row r="115" spans="26:36" ht="15" customHeight="1">
      <c r="Z115" s="76" t="e">
        <f t="shared" ca="1" si="12"/>
        <v>#N/A</v>
      </c>
      <c r="AA115" s="75" t="e">
        <f t="shared" ca="1" si="1"/>
        <v>#N/A</v>
      </c>
      <c r="AB115" s="76">
        <f t="shared" ca="1" si="13"/>
        <v>0</v>
      </c>
      <c r="AC115" s="75">
        <f t="shared" ca="1" si="3"/>
        <v>0</v>
      </c>
      <c r="AD115" s="76">
        <f t="shared" ca="1" si="14"/>
        <v>12388.425641087964</v>
      </c>
      <c r="AE115" s="76">
        <f t="shared" si="15"/>
        <v>0</v>
      </c>
      <c r="AF115" s="75">
        <f t="shared" si="6"/>
        <v>0</v>
      </c>
      <c r="AG115" s="75">
        <f t="shared" si="7"/>
        <v>0</v>
      </c>
      <c r="AH115" s="31" t="e" cm="1">
        <f t="array" aca="1" ref="AH115" ca="1">IF((AD115) &lt; (INDEX(ResponseSLA[#All],(MATCH((G115),ResponseSLA[Priority],0))+1,3)),"YES","No")</f>
        <v>#N/A</v>
      </c>
      <c r="AI115" s="31" t="str">
        <f>_xlfn.IFNA(IF(AE115 &lt; (INDEX(SLATable[Minimum SLA],MATCH(G115,SLATable[Priority],0))),"YES","NO"),"")</f>
        <v/>
      </c>
      <c r="AJ115" t="str">
        <f>_xlfn.IFNA(IF(AE115 &lt; (INDEX(SLATable[Maximum SLA],MATCH(G115,SLATable[Priority],0))),"YES","NO"),"")</f>
        <v/>
      </c>
    </row>
    <row r="116" spans="26:36" ht="15" customHeight="1">
      <c r="Z116" s="76" t="e">
        <f t="shared" ca="1" si="12"/>
        <v>#N/A</v>
      </c>
      <c r="AA116" s="75" t="e">
        <f t="shared" ca="1" si="1"/>
        <v>#N/A</v>
      </c>
      <c r="AB116" s="76">
        <f t="shared" ca="1" si="13"/>
        <v>0</v>
      </c>
      <c r="AC116" s="75">
        <f t="shared" ca="1" si="3"/>
        <v>0</v>
      </c>
      <c r="AD116" s="76">
        <f t="shared" ca="1" si="14"/>
        <v>12388.425641203703</v>
      </c>
      <c r="AE116" s="76">
        <f t="shared" si="15"/>
        <v>0</v>
      </c>
      <c r="AF116" s="75">
        <f t="shared" si="6"/>
        <v>0</v>
      </c>
      <c r="AG116" s="75">
        <f t="shared" si="7"/>
        <v>0</v>
      </c>
      <c r="AH116" s="31" t="e" cm="1">
        <f t="array" aca="1" ref="AH116" ca="1">IF((AD116) &lt; (INDEX(ResponseSLA[#All],(MATCH((G116),ResponseSLA[Priority],0))+1,3)),"YES","No")</f>
        <v>#N/A</v>
      </c>
      <c r="AI116" s="31" t="str">
        <f>_xlfn.IFNA(IF(AE116 &lt; (INDEX(SLATable[Minimum SLA],MATCH(G116,SLATable[Priority],0))),"YES","NO"),"")</f>
        <v/>
      </c>
      <c r="AJ116" t="str">
        <f>_xlfn.IFNA(IF(AE116 &lt; (INDEX(SLATable[Maximum SLA],MATCH(G116,SLATable[Priority],0))),"YES","NO"),"")</f>
        <v/>
      </c>
    </row>
    <row r="117" spans="26:36" ht="15" customHeight="1">
      <c r="Z117" s="76" t="e">
        <f t="shared" ca="1" si="12"/>
        <v>#N/A</v>
      </c>
      <c r="AA117" s="75" t="e">
        <f t="shared" ca="1" si="1"/>
        <v>#N/A</v>
      </c>
      <c r="AB117" s="76">
        <f t="shared" ca="1" si="13"/>
        <v>0</v>
      </c>
      <c r="AC117" s="75">
        <f t="shared" ca="1" si="3"/>
        <v>0</v>
      </c>
      <c r="AD117" s="76">
        <f t="shared" ca="1" si="14"/>
        <v>12388.425641087964</v>
      </c>
      <c r="AE117" s="76">
        <f t="shared" si="15"/>
        <v>0</v>
      </c>
      <c r="AF117" s="75">
        <f t="shared" si="6"/>
        <v>0</v>
      </c>
      <c r="AG117" s="75">
        <f t="shared" si="7"/>
        <v>0</v>
      </c>
      <c r="AH117" s="31" t="e" cm="1">
        <f t="array" aca="1" ref="AH117" ca="1">IF((AD117) &lt; (INDEX(ResponseSLA[#All],(MATCH((G117),ResponseSLA[Priority],0))+1,3)),"YES","No")</f>
        <v>#N/A</v>
      </c>
      <c r="AI117" s="31" t="str">
        <f>_xlfn.IFNA(IF(AE117 &lt; (INDEX(SLATable[Minimum SLA],MATCH(G117,SLATable[Priority],0))),"YES","NO"),"")</f>
        <v/>
      </c>
      <c r="AJ117" t="str">
        <f>_xlfn.IFNA(IF(AE117 &lt; (INDEX(SLATable[Maximum SLA],MATCH(G117,SLATable[Priority],0))),"YES","NO"),"")</f>
        <v/>
      </c>
    </row>
    <row r="118" spans="26:36" ht="15" customHeight="1">
      <c r="Z118" s="76" t="e">
        <f t="shared" ca="1" si="12"/>
        <v>#N/A</v>
      </c>
      <c r="AA118" s="75" t="e">
        <f t="shared" ca="1" si="1"/>
        <v>#N/A</v>
      </c>
      <c r="AB118" s="76">
        <f t="shared" ca="1" si="13"/>
        <v>0</v>
      </c>
      <c r="AC118" s="75">
        <f t="shared" ca="1" si="3"/>
        <v>0</v>
      </c>
      <c r="AD118" s="76">
        <f t="shared" ca="1" si="14"/>
        <v>12388.425641087964</v>
      </c>
      <c r="AE118" s="76">
        <f t="shared" si="15"/>
        <v>0</v>
      </c>
      <c r="AF118" s="75">
        <f t="shared" si="6"/>
        <v>0</v>
      </c>
      <c r="AG118" s="75">
        <f t="shared" si="7"/>
        <v>0</v>
      </c>
      <c r="AH118" s="31" t="e" cm="1">
        <f t="array" aca="1" ref="AH118" ca="1">IF((AD118) &lt; (INDEX(ResponseSLA[#All],(MATCH((G118),ResponseSLA[Priority],0))+1,3)),"YES","No")</f>
        <v>#N/A</v>
      </c>
      <c r="AI118" s="31" t="str">
        <f>_xlfn.IFNA(IF(AE118 &lt; (INDEX(SLATable[Minimum SLA],MATCH(G118,SLATable[Priority],0))),"YES","NO"),"")</f>
        <v/>
      </c>
      <c r="AJ118" t="str">
        <f>_xlfn.IFNA(IF(AE118 &lt; (INDEX(SLATable[Maximum SLA],MATCH(G118,SLATable[Priority],0))),"YES","NO"),"")</f>
        <v/>
      </c>
    </row>
    <row r="119" spans="26:36" ht="15" customHeight="1">
      <c r="Z119" s="76" t="e">
        <f t="shared" ca="1" si="12"/>
        <v>#N/A</v>
      </c>
      <c r="AA119" s="75" t="e">
        <f t="shared" ca="1" si="1"/>
        <v>#N/A</v>
      </c>
      <c r="AB119" s="76">
        <f t="shared" ca="1" si="13"/>
        <v>0</v>
      </c>
      <c r="AC119" s="75">
        <f t="shared" ca="1" si="3"/>
        <v>0</v>
      </c>
      <c r="AD119" s="76">
        <f t="shared" ca="1" si="14"/>
        <v>12388.425641203703</v>
      </c>
      <c r="AE119" s="76">
        <f t="shared" si="15"/>
        <v>0</v>
      </c>
      <c r="AF119" s="75">
        <f t="shared" si="6"/>
        <v>0</v>
      </c>
      <c r="AG119" s="75">
        <f t="shared" si="7"/>
        <v>0</v>
      </c>
      <c r="AH119" s="31" t="e" cm="1">
        <f t="array" aca="1" ref="AH119" ca="1">IF((AD119) &lt; (INDEX(ResponseSLA[#All],(MATCH((G119),ResponseSLA[Priority],0))+1,3)),"YES","No")</f>
        <v>#N/A</v>
      </c>
      <c r="AI119" s="31" t="str">
        <f>_xlfn.IFNA(IF(AE119 &lt; (INDEX(SLATable[Minimum SLA],MATCH(G119,SLATable[Priority],0))),"YES","NO"),"")</f>
        <v/>
      </c>
      <c r="AJ119" t="str">
        <f>_xlfn.IFNA(IF(AE119 &lt; (INDEX(SLATable[Maximum SLA],MATCH(G119,SLATable[Priority],0))),"YES","NO"),"")</f>
        <v/>
      </c>
    </row>
    <row r="120" spans="26:36" ht="15" customHeight="1">
      <c r="Z120" s="76" t="e">
        <f t="shared" ca="1" si="12"/>
        <v>#N/A</v>
      </c>
      <c r="AA120" s="75" t="e">
        <f t="shared" ca="1" si="1"/>
        <v>#N/A</v>
      </c>
      <c r="AB120" s="76">
        <f t="shared" ca="1" si="13"/>
        <v>0</v>
      </c>
      <c r="AC120" s="75">
        <f t="shared" ca="1" si="3"/>
        <v>0</v>
      </c>
      <c r="AD120" s="76">
        <f t="shared" ca="1" si="14"/>
        <v>12388.425641087964</v>
      </c>
      <c r="AE120" s="76">
        <f t="shared" si="15"/>
        <v>0</v>
      </c>
      <c r="AF120" s="75">
        <f t="shared" si="6"/>
        <v>0</v>
      </c>
      <c r="AG120" s="75">
        <f t="shared" si="7"/>
        <v>0</v>
      </c>
      <c r="AH120" s="31" t="e" cm="1">
        <f t="array" aca="1" ref="AH120" ca="1">IF((AD120) &lt; (INDEX(ResponseSLA[#All],(MATCH((G120),ResponseSLA[Priority],0))+1,3)),"YES","No")</f>
        <v>#N/A</v>
      </c>
      <c r="AI120" s="31" t="str">
        <f>_xlfn.IFNA(IF(AE120 &lt; (INDEX(SLATable[Minimum SLA],MATCH(G120,SLATable[Priority],0))),"YES","NO"),"")</f>
        <v/>
      </c>
      <c r="AJ120" t="str">
        <f>_xlfn.IFNA(IF(AE120 &lt; (INDEX(SLATable[Maximum SLA],MATCH(G120,SLATable[Priority],0))),"YES","NO"),"")</f>
        <v/>
      </c>
    </row>
    <row r="121" spans="26:36" ht="15" customHeight="1">
      <c r="Z121" s="76" t="e">
        <f t="shared" ca="1" si="12"/>
        <v>#N/A</v>
      </c>
      <c r="AA121" s="75" t="e">
        <f t="shared" ca="1" si="1"/>
        <v>#N/A</v>
      </c>
      <c r="AB121" s="76">
        <f t="shared" ca="1" si="13"/>
        <v>0</v>
      </c>
      <c r="AC121" s="75">
        <f t="shared" ca="1" si="3"/>
        <v>0</v>
      </c>
      <c r="AD121" s="76">
        <f t="shared" ca="1" si="14"/>
        <v>12388.425641087964</v>
      </c>
      <c r="AE121" s="76">
        <f t="shared" si="15"/>
        <v>0</v>
      </c>
      <c r="AF121" s="75">
        <f t="shared" si="6"/>
        <v>0</v>
      </c>
      <c r="AG121" s="75">
        <f t="shared" si="7"/>
        <v>0</v>
      </c>
      <c r="AH121" s="31" t="e" cm="1">
        <f t="array" aca="1" ref="AH121" ca="1">IF((AD121) &lt; (INDEX(ResponseSLA[#All],(MATCH((G121),ResponseSLA[Priority],0))+1,3)),"YES","No")</f>
        <v>#N/A</v>
      </c>
      <c r="AI121" s="31" t="str">
        <f>_xlfn.IFNA(IF(AE121 &lt; (INDEX(SLATable[Minimum SLA],MATCH(G121,SLATable[Priority],0))),"YES","NO"),"")</f>
        <v/>
      </c>
      <c r="AJ121" t="str">
        <f>_xlfn.IFNA(IF(AE121 &lt; (INDEX(SLATable[Maximum SLA],MATCH(G121,SLATable[Priority],0))),"YES","NO"),"")</f>
        <v/>
      </c>
    </row>
    <row r="122" spans="26:36" ht="15" customHeight="1">
      <c r="Z122" s="76" t="e">
        <f t="shared" ca="1" si="12"/>
        <v>#N/A</v>
      </c>
      <c r="AA122" s="75" t="e">
        <f t="shared" ca="1" si="1"/>
        <v>#N/A</v>
      </c>
      <c r="AB122" s="76">
        <f t="shared" ca="1" si="13"/>
        <v>0</v>
      </c>
      <c r="AC122" s="75">
        <f t="shared" ca="1" si="3"/>
        <v>0</v>
      </c>
      <c r="AD122" s="76">
        <f t="shared" ca="1" si="14"/>
        <v>12388.425641203703</v>
      </c>
      <c r="AE122" s="76">
        <f t="shared" si="15"/>
        <v>0</v>
      </c>
      <c r="AF122" s="75">
        <f t="shared" si="6"/>
        <v>0</v>
      </c>
      <c r="AG122" s="75">
        <f t="shared" si="7"/>
        <v>0</v>
      </c>
      <c r="AH122" s="31" t="e" cm="1">
        <f t="array" aca="1" ref="AH122" ca="1">IF((AD122) &lt; (INDEX(ResponseSLA[#All],(MATCH((G122),ResponseSLA[Priority],0))+1,3)),"YES","No")</f>
        <v>#N/A</v>
      </c>
      <c r="AI122" s="31" t="str">
        <f>_xlfn.IFNA(IF(AE122 &lt; (INDEX(SLATable[Minimum SLA],MATCH(G122,SLATable[Priority],0))),"YES","NO"),"")</f>
        <v/>
      </c>
      <c r="AJ122" t="str">
        <f>_xlfn.IFNA(IF(AE122 &lt; (INDEX(SLATable[Maximum SLA],MATCH(G122,SLATable[Priority],0))),"YES","NO"),"")</f>
        <v/>
      </c>
    </row>
    <row r="123" spans="26:36" ht="15" customHeight="1">
      <c r="Z123" s="76" t="e">
        <f t="shared" ca="1" si="12"/>
        <v>#N/A</v>
      </c>
      <c r="AA123" s="75" t="e">
        <f t="shared" ca="1" si="1"/>
        <v>#N/A</v>
      </c>
      <c r="AB123" s="76">
        <f t="shared" ca="1" si="13"/>
        <v>0</v>
      </c>
      <c r="AC123" s="75">
        <f t="shared" ca="1" si="3"/>
        <v>0</v>
      </c>
      <c r="AD123" s="76">
        <f t="shared" ca="1" si="14"/>
        <v>12388.425641087964</v>
      </c>
      <c r="AE123" s="76">
        <f t="shared" si="15"/>
        <v>0</v>
      </c>
      <c r="AF123" s="75">
        <f t="shared" si="6"/>
        <v>0</v>
      </c>
      <c r="AG123" s="75">
        <f t="shared" si="7"/>
        <v>0</v>
      </c>
      <c r="AH123" s="31" t="e" cm="1">
        <f t="array" aca="1" ref="AH123" ca="1">IF((AD123) &lt; (INDEX(ResponseSLA[#All],(MATCH((G123),ResponseSLA[Priority],0))+1,3)),"YES","No")</f>
        <v>#N/A</v>
      </c>
      <c r="AI123" s="31" t="str">
        <f>_xlfn.IFNA(IF(AE123 &lt; (INDEX(SLATable[Minimum SLA],MATCH(G123,SLATable[Priority],0))),"YES","NO"),"")</f>
        <v/>
      </c>
      <c r="AJ123" t="str">
        <f>_xlfn.IFNA(IF(AE123 &lt; (INDEX(SLATable[Maximum SLA],MATCH(G123,SLATable[Priority],0))),"YES","NO"),"")</f>
        <v/>
      </c>
    </row>
    <row r="124" spans="26:36" ht="15" customHeight="1">
      <c r="Z124" s="76" t="e">
        <f t="shared" ca="1" si="12"/>
        <v>#N/A</v>
      </c>
      <c r="AA124" s="75" t="e">
        <f t="shared" ca="1" si="1"/>
        <v>#N/A</v>
      </c>
      <c r="AB124" s="76">
        <f t="shared" ca="1" si="13"/>
        <v>0</v>
      </c>
      <c r="AC124" s="75">
        <f t="shared" ca="1" si="3"/>
        <v>0</v>
      </c>
      <c r="AD124" s="76">
        <f t="shared" ca="1" si="14"/>
        <v>12388.425641087964</v>
      </c>
      <c r="AE124" s="76">
        <f t="shared" si="15"/>
        <v>0</v>
      </c>
      <c r="AF124" s="75">
        <f t="shared" si="6"/>
        <v>0</v>
      </c>
      <c r="AG124" s="75">
        <f t="shared" si="7"/>
        <v>0</v>
      </c>
      <c r="AH124" s="31" t="e" cm="1">
        <f t="array" aca="1" ref="AH124" ca="1">IF((AD124) &lt; (INDEX(ResponseSLA[#All],(MATCH((G124),ResponseSLA[Priority],0))+1,3)),"YES","No")</f>
        <v>#N/A</v>
      </c>
      <c r="AI124" s="31" t="str">
        <f>_xlfn.IFNA(IF(AE124 &lt; (INDEX(SLATable[Minimum SLA],MATCH(G124,SLATable[Priority],0))),"YES","NO"),"")</f>
        <v/>
      </c>
      <c r="AJ124" t="str">
        <f>_xlfn.IFNA(IF(AE124 &lt; (INDEX(SLATable[Maximum SLA],MATCH(G124,SLATable[Priority],0))),"YES","NO"),"")</f>
        <v/>
      </c>
    </row>
    <row r="125" spans="26:36" ht="15" customHeight="1">
      <c r="Z125" s="76" t="e">
        <f t="shared" ca="1" si="12"/>
        <v>#N/A</v>
      </c>
      <c r="AA125" s="75" t="e">
        <f t="shared" ca="1" si="1"/>
        <v>#N/A</v>
      </c>
      <c r="AB125" s="76">
        <f t="shared" ca="1" si="13"/>
        <v>0</v>
      </c>
      <c r="AC125" s="75">
        <f t="shared" ca="1" si="3"/>
        <v>0</v>
      </c>
      <c r="AD125" s="76">
        <f t="shared" ca="1" si="14"/>
        <v>12388.425641203703</v>
      </c>
      <c r="AE125" s="76">
        <f t="shared" si="15"/>
        <v>0</v>
      </c>
      <c r="AF125" s="75">
        <f t="shared" si="6"/>
        <v>0</v>
      </c>
      <c r="AG125" s="75">
        <f t="shared" si="7"/>
        <v>0</v>
      </c>
      <c r="AH125" s="31" t="e" cm="1">
        <f t="array" aca="1" ref="AH125" ca="1">IF((AD125) &lt; (INDEX(ResponseSLA[#All],(MATCH((G125),ResponseSLA[Priority],0))+1,3)),"YES","No")</f>
        <v>#N/A</v>
      </c>
      <c r="AI125" s="31" t="str">
        <f>_xlfn.IFNA(IF(AE125 &lt; (INDEX(SLATable[Minimum SLA],MATCH(G125,SLATable[Priority],0))),"YES","NO"),"")</f>
        <v/>
      </c>
      <c r="AJ125" t="str">
        <f>_xlfn.IFNA(IF(AE125 &lt; (INDEX(SLATable[Maximum SLA],MATCH(G125,SLATable[Priority],0))),"YES","NO"),"")</f>
        <v/>
      </c>
    </row>
    <row r="126" spans="26:36" ht="15" customHeight="1">
      <c r="Z126" s="76" t="e">
        <f t="shared" ca="1" si="12"/>
        <v>#N/A</v>
      </c>
      <c r="AA126" s="75" t="e">
        <f t="shared" ca="1" si="1"/>
        <v>#N/A</v>
      </c>
      <c r="AB126" s="76">
        <f t="shared" ca="1" si="13"/>
        <v>0</v>
      </c>
      <c r="AC126" s="75">
        <f t="shared" ca="1" si="3"/>
        <v>0</v>
      </c>
      <c r="AD126" s="76">
        <f t="shared" ca="1" si="14"/>
        <v>12388.425641087964</v>
      </c>
      <c r="AE126" s="76">
        <f t="shared" si="15"/>
        <v>0</v>
      </c>
      <c r="AF126" s="75">
        <f t="shared" si="6"/>
        <v>0</v>
      </c>
      <c r="AG126" s="75">
        <f t="shared" si="7"/>
        <v>0</v>
      </c>
      <c r="AH126" s="31" t="e" cm="1">
        <f t="array" aca="1" ref="AH126" ca="1">IF((AD126) &lt; (INDEX(ResponseSLA[#All],(MATCH((G126),ResponseSLA[Priority],0))+1,3)),"YES","No")</f>
        <v>#N/A</v>
      </c>
      <c r="AI126" s="31" t="str">
        <f>_xlfn.IFNA(IF(AE126 &lt; (INDEX(SLATable[Minimum SLA],MATCH(G126,SLATable[Priority],0))),"YES","NO"),"")</f>
        <v/>
      </c>
      <c r="AJ126" t="str">
        <f>_xlfn.IFNA(IF(AE126 &lt; (INDEX(SLATable[Maximum SLA],MATCH(G126,SLATable[Priority],0))),"YES","NO"),"")</f>
        <v/>
      </c>
    </row>
    <row r="127" spans="26:36" ht="15" customHeight="1">
      <c r="Z127" s="76" t="e">
        <f t="shared" ca="1" si="12"/>
        <v>#N/A</v>
      </c>
      <c r="AA127" s="75" t="e">
        <f t="shared" ca="1" si="1"/>
        <v>#N/A</v>
      </c>
      <c r="AB127" s="76">
        <f t="shared" ca="1" si="13"/>
        <v>0</v>
      </c>
      <c r="AC127" s="75">
        <f t="shared" ca="1" si="3"/>
        <v>0</v>
      </c>
      <c r="AD127" s="76">
        <f t="shared" ca="1" si="14"/>
        <v>12388.425641087964</v>
      </c>
      <c r="AE127" s="76">
        <f t="shared" si="15"/>
        <v>0</v>
      </c>
      <c r="AF127" s="75">
        <f t="shared" si="6"/>
        <v>0</v>
      </c>
      <c r="AG127" s="75">
        <f t="shared" si="7"/>
        <v>0</v>
      </c>
      <c r="AH127" s="31" t="e" cm="1">
        <f t="array" aca="1" ref="AH127" ca="1">IF((AD127) &lt; (INDEX(ResponseSLA[#All],(MATCH((G127),ResponseSLA[Priority],0))+1,3)),"YES","No")</f>
        <v>#N/A</v>
      </c>
      <c r="AI127" s="31" t="str">
        <f>_xlfn.IFNA(IF(AE127 &lt; (INDEX(SLATable[Minimum SLA],MATCH(G127,SLATable[Priority],0))),"YES","NO"),"")</f>
        <v/>
      </c>
      <c r="AJ127" t="str">
        <f>_xlfn.IFNA(IF(AE127 &lt; (INDEX(SLATable[Maximum SLA],MATCH(G127,SLATable[Priority],0))),"YES","NO"),"")</f>
        <v/>
      </c>
    </row>
    <row r="128" spans="26:36" ht="15" customHeight="1">
      <c r="Z128" s="76" t="e">
        <f t="shared" ca="1" si="12"/>
        <v>#N/A</v>
      </c>
      <c r="AA128" s="75" t="e">
        <f t="shared" ca="1" si="1"/>
        <v>#N/A</v>
      </c>
      <c r="AB128" s="76">
        <f t="shared" ca="1" si="13"/>
        <v>0</v>
      </c>
      <c r="AC128" s="75">
        <f t="shared" ca="1" si="3"/>
        <v>0</v>
      </c>
      <c r="AD128" s="76">
        <f t="shared" ca="1" si="14"/>
        <v>12388.425641203703</v>
      </c>
      <c r="AE128" s="76">
        <f t="shared" si="15"/>
        <v>0</v>
      </c>
      <c r="AF128" s="75">
        <f t="shared" si="6"/>
        <v>0</v>
      </c>
      <c r="AG128" s="75">
        <f t="shared" si="7"/>
        <v>0</v>
      </c>
      <c r="AH128" s="31" t="e" cm="1">
        <f t="array" aca="1" ref="AH128" ca="1">IF((AD128) &lt; (INDEX(ResponseSLA[#All],(MATCH((G128),ResponseSLA[Priority],0))+1,3)),"YES","No")</f>
        <v>#N/A</v>
      </c>
      <c r="AI128" s="31" t="str">
        <f>_xlfn.IFNA(IF(AE128 &lt; (INDEX(SLATable[Minimum SLA],MATCH(G128,SLATable[Priority],0))),"YES","NO"),"")</f>
        <v/>
      </c>
      <c r="AJ128" t="str">
        <f>_xlfn.IFNA(IF(AE128 &lt; (INDEX(SLATable[Maximum SLA],MATCH(G128,SLATable[Priority],0))),"YES","NO"),"")</f>
        <v/>
      </c>
    </row>
    <row r="129" spans="26:36" ht="15" customHeight="1">
      <c r="Z129" s="76" t="e">
        <f t="shared" ca="1" si="12"/>
        <v>#N/A</v>
      </c>
      <c r="AA129" s="75" t="e">
        <f t="shared" ca="1" si="1"/>
        <v>#N/A</v>
      </c>
      <c r="AB129" s="76">
        <f t="shared" ca="1" si="13"/>
        <v>0</v>
      </c>
      <c r="AC129" s="75">
        <f t="shared" ca="1" si="3"/>
        <v>0</v>
      </c>
      <c r="AD129" s="76">
        <f t="shared" ca="1" si="14"/>
        <v>12388.425641087964</v>
      </c>
      <c r="AE129" s="76">
        <f t="shared" si="15"/>
        <v>0</v>
      </c>
      <c r="AF129" s="75">
        <f t="shared" si="6"/>
        <v>0</v>
      </c>
      <c r="AG129" s="75">
        <f t="shared" si="7"/>
        <v>0</v>
      </c>
      <c r="AH129" s="31" t="e" cm="1">
        <f t="array" aca="1" ref="AH129" ca="1">IF((AD129) &lt; (INDEX(ResponseSLA[#All],(MATCH((G129),ResponseSLA[Priority],0))+1,3)),"YES","No")</f>
        <v>#N/A</v>
      </c>
      <c r="AI129" s="31" t="str">
        <f>_xlfn.IFNA(IF(AE129 &lt; (INDEX(SLATable[Minimum SLA],MATCH(G129,SLATable[Priority],0))),"YES","NO"),"")</f>
        <v/>
      </c>
      <c r="AJ129" t="str">
        <f>_xlfn.IFNA(IF(AE129 &lt; (INDEX(SLATable[Maximum SLA],MATCH(G129,SLATable[Priority],0))),"YES","NO"),"")</f>
        <v/>
      </c>
    </row>
    <row r="130" spans="26:36" ht="15" customHeight="1">
      <c r="Z130" s="76" t="e">
        <f t="shared" ca="1" si="12"/>
        <v>#N/A</v>
      </c>
      <c r="AA130" s="75" t="e">
        <f t="shared" ca="1" si="1"/>
        <v>#N/A</v>
      </c>
      <c r="AB130" s="76">
        <f t="shared" ca="1" si="13"/>
        <v>0</v>
      </c>
      <c r="AC130" s="75">
        <f t="shared" ca="1" si="3"/>
        <v>0</v>
      </c>
      <c r="AD130" s="76">
        <f t="shared" ca="1" si="14"/>
        <v>12388.425641087964</v>
      </c>
      <c r="AE130" s="76">
        <f t="shared" si="15"/>
        <v>0</v>
      </c>
      <c r="AF130" s="75">
        <f t="shared" si="6"/>
        <v>0</v>
      </c>
      <c r="AG130" s="75">
        <f t="shared" si="7"/>
        <v>0</v>
      </c>
      <c r="AH130" s="31" t="e" cm="1">
        <f t="array" aca="1" ref="AH130" ca="1">IF((AD130) &lt; (INDEX(ResponseSLA[#All],(MATCH((G130),ResponseSLA[Priority],0))+1,3)),"YES","No")</f>
        <v>#N/A</v>
      </c>
      <c r="AI130" s="31" t="str">
        <f>_xlfn.IFNA(IF(AE130 &lt; (INDEX(SLATable[Minimum SLA],MATCH(G130,SLATable[Priority],0))),"YES","NO"),"")</f>
        <v/>
      </c>
      <c r="AJ130" t="str">
        <f>_xlfn.IFNA(IF(AE130 &lt; (INDEX(SLATable[Maximum SLA],MATCH(G130,SLATable[Priority],0))),"YES","NO"),"")</f>
        <v/>
      </c>
    </row>
    <row r="131" spans="26:36" ht="15" customHeight="1">
      <c r="Z131" s="76" t="e">
        <f t="shared" ref="Z131:Z194" ca="1" si="16">IF(NOT(OR(G131=1,G131=2)),MAX(0,_xlfn.IFS(AND(K131&lt;&gt;"",N131&lt;&gt;""),((MAX(NETWORKDAYS(K131,N131,UKBankHolidays)-1,0))*(TIME(17,0,0)-TIME(8,0,0))+IF(NETWORKDAYS(N131,N131,UKBankHolidays)&gt;0,MEDIAN(TIME(8,0,0),MOD(N131,1),TIME(17,0,0)),TIME(8,0,0))-IF(NETWORKDAYS(K131,K131,UKBankHolidays)&gt;0,MEDIAN(TIME(8,0,0),MOD(K131,1),TIME(17,0,0)),TIME(8,0,0)))-IF(AND(O131&lt;&gt;"",P131&lt;&gt;""),((MAX(NETWORKDAYS(O131,P131,UKBankHolidays)-1,0))*(TIME(17,0,0)-TIME(8,0,0))+IF(NETWORKDAYS(P131,P131,UKBankHolidays)&gt;0,MEDIAN(TIME(8,0,0),MOD(P131,1),TIME(17,0,0)),TIME(8,0,0))-IF(NETWORKDAYS(O131,O131,UKBankHolidays)&gt;0,MEDIAN(TIME(8,0,0),MOD(O131,1),TIME(17,0,0)),TIME(8,0,0))),0),AND(K131&lt;&gt;"",N131=""),((MAX(NETWORKDAYS(K131,NOW(),UKBankHolidays)-1,0))*(TIME(17,0,0)-TIME(8,0,0))+IF(NETWORKDAYS(NOW(),NOW(),UKBankHolidays)&gt;0,MEDIAN(TIME(8,0,0),MOD(NOW(),1),TIME(17,0,0)),TIME(8,0,0))-IF(NETWORKDAYS(K131,K131,UKBankHolidays)&gt;0,MEDIAN(TIME(8,0,0),MOD(K131,1),TIME(17,0,0)),TIME(8,0,0))))),IF(N131="",NOW()-K131,N131-K131))</f>
        <v>#N/A</v>
      </c>
      <c r="AA131" s="75" t="e">
        <f t="shared" ca="1" si="1"/>
        <v>#N/A</v>
      </c>
      <c r="AB131" s="76">
        <f t="shared" ref="AB131:AB194" ca="1" si="17">IF(NOT(OR(G131=1,G131=2)),MAX(0,_xlfn.IFS(AND(K131&lt;&gt;"",N131&lt;&gt;""),(((MAX(NETWORKDAYS(L131,N131,UKBankHolidays)-1,0))*(TIME(17,0,0)-TIME(8,0,0)))+IF(NETWORKDAYS(N131,N131,UKBankHolidays)&gt;0,MEDIAN(TIME(8,0,0),MOD(N131,1),TIME(17,0,0)),TIME(8,0,0))-IF(NETWORKDAYS(L131,L131,UKBankHolidays)&gt;0,MEDIAN(TIME(8,0,0),MOD(L131,1),TIME(17,0,0)),TIME(8,0,0)))-IF(AND(O131&lt;&gt;"",P131&lt;&gt;""),(((MAX(NETWORKDAYS(O131,P131,UKBankHolidays)-1,0))*(TIME(17,0,0)-TIME(8,0,0)))+IF(NETWORKDAYS(P131,P131,UKBankHolidays)&gt;0,MEDIAN(TIME(8,0,0),MOD(P131,1),TIME(17,0,0)),TIME(8,0,0))-IF(NETWORKDAYS(O131,O131,UKBankHolidays)&gt;0,MEDIAN(TIME(8,0,0),MOD(O131,1),TIME(17,0,0)),TIME(8,0,0))),0),AND(L131&lt;&gt;"",N131="",O131=""),(((MAX(NETWORKDAYS(L131,NOW(),UKBankHolidays)-1,0))*(TIME(17,0,0)-TIME(8,0,0)))+IF(NETWORKDAYS(NOW(),NOW(),UKBankHolidays)&gt;0,MEDIAN(TIME(8,0,0),MOD(NOW(),1),TIME(17,0,0)),TIME(8,0,0))-IF(NETWORKDAYS(L131,L131,UKBankHolidays)&gt;0,MEDIAN(TIME(8,0,0),MOD(L131,1),TIME(17,0,0)),TIME(8,0,0)))-IF(AND(O131&lt;&gt;"",P131&lt;&gt;""),(((MAX(NETWORKDAYS(O131,P131,UKBankHolidays)-1,0))*(TIME(17,0,0)-TIME(8,0,0)))+IF(NETWORKDAYS(P131,P131,UKBankHolidays)&gt;0,MEDIAN(TIME(8,0,0),MOD(P131,1),TIME(17,0,0)),TIME(8,0,0))-IF(NETWORKDAYS(O131,O131,UKBankHolidays)&gt;0,MEDIAN(TIME(8,0,0),MOD(O131,1),TIME(17,0,0)),TIME(8,0,0))),0),AND(L131&lt;&gt;"",N131="",P131="",O131&lt;&gt;""),(((MAX(NETWORKDAYS(L131,O131,UKBankHolidays)-1,0))*(TIME(17,0,0)-TIME(8,0,0)))+IF(NETWORKDAYS(O131,O131,UKBankHolidays)&gt;0,MEDIAN(TIME(8,0,0),MOD(O131,1),TIME(17,0,0)),TIME(8,0,0))-IF(NETWORKDAYS(L131,L131,UKBankHolidays)&gt;0,MEDIAN(TIME(8,0,0),MOD(L131,1),TIME(17,0,0)),TIME(8,0,0))),ISBLANK(K131),"0")),IF(ISBLANK(N131),NOW()-L131,N131-L131))</f>
        <v>0</v>
      </c>
      <c r="AC131" s="75">
        <f t="shared" ca="1" si="3"/>
        <v>0</v>
      </c>
      <c r="AD131" s="76">
        <f t="shared" ref="AD131:AD194" ca="1" si="18">MAX(0,IF(NOT(OR(G131=1,G131=2)),IF(M131&lt;&gt;"",((MAX(NETWORKDAYS(L131,M131,UKBankHolidays)-1,0))*(TIME(17,0,0)-TIME(8,0,0))+IF(NETWORKDAYS(M131,M131,UKBankHolidays)&gt;0,MEDIAN(TIME(8,0,0),MOD(M131,1),TIME(17,0,0)),TIME(8,0,0))-MEDIAN(TIME(8,0,0),MOD(L131,1),TIME(17,0,0))),((MAX(NETWORKDAYS(L131,NOW(),UKBankHolidays)-1,0))*(TIME(17,0,0)-TIME(8,0,0))+IF(NETWORKDAYS(NOW(),NOW(),UKBankHolidays)&gt;0,MEDIAN(TIME(8,0,0),MOD(NOW(),1),TIME(17,0,0)),TIME(8,0,0))-MEDIAN(TIME(8,0,0),MOD(L131,1),TIME(17,0,0)))),IF(M131&lt;&gt;"",M131-L131,NOW()-L131)))</f>
        <v>12388.425641203703</v>
      </c>
      <c r="AE131" s="76">
        <f t="shared" ref="AE131:AE194" si="19">SUMIFS(AB:AB,E:E,E131)</f>
        <v>0</v>
      </c>
      <c r="AF131" s="75">
        <f t="shared" si="6"/>
        <v>0</v>
      </c>
      <c r="AG131" s="75">
        <f t="shared" si="7"/>
        <v>0</v>
      </c>
      <c r="AH131" s="31" t="e" cm="1">
        <f t="array" aca="1" ref="AH131" ca="1">IF((AD131) &lt; (INDEX(ResponseSLA[#All],(MATCH((G131),ResponseSLA[Priority],0))+1,3)),"YES","No")</f>
        <v>#N/A</v>
      </c>
      <c r="AI131" s="31" t="str">
        <f>_xlfn.IFNA(IF(AE131 &lt; (INDEX(SLATable[Minimum SLA],MATCH(G131,SLATable[Priority],0))),"YES","NO"),"")</f>
        <v/>
      </c>
      <c r="AJ131" t="str">
        <f>_xlfn.IFNA(IF(AE131 &lt; (INDEX(SLATable[Maximum SLA],MATCH(G131,SLATable[Priority],0))),"YES","NO"),"")</f>
        <v/>
      </c>
    </row>
    <row r="132" spans="26:36" ht="15" customHeight="1">
      <c r="Z132" s="76" t="e">
        <f t="shared" ca="1" si="16"/>
        <v>#N/A</v>
      </c>
      <c r="AA132" s="75" t="e">
        <f t="shared" ca="1" si="1"/>
        <v>#N/A</v>
      </c>
      <c r="AB132" s="76">
        <f t="shared" ca="1" si="17"/>
        <v>0</v>
      </c>
      <c r="AC132" s="75">
        <f t="shared" ca="1" si="3"/>
        <v>0</v>
      </c>
      <c r="AD132" s="76">
        <f t="shared" ca="1" si="18"/>
        <v>12388.425641087964</v>
      </c>
      <c r="AE132" s="76">
        <f t="shared" si="19"/>
        <v>0</v>
      </c>
      <c r="AF132" s="75">
        <f t="shared" si="6"/>
        <v>0</v>
      </c>
      <c r="AG132" s="75">
        <f t="shared" si="7"/>
        <v>0</v>
      </c>
      <c r="AH132" s="31" t="e" cm="1">
        <f t="array" aca="1" ref="AH132" ca="1">IF((AD132) &lt; (INDEX(ResponseSLA[#All],(MATCH((G132),ResponseSLA[Priority],0))+1,3)),"YES","No")</f>
        <v>#N/A</v>
      </c>
      <c r="AI132" s="31" t="str">
        <f>_xlfn.IFNA(IF(AE132 &lt; (INDEX(SLATable[Minimum SLA],MATCH(G132,SLATable[Priority],0))),"YES","NO"),"")</f>
        <v/>
      </c>
      <c r="AJ132" t="str">
        <f>_xlfn.IFNA(IF(AE132 &lt; (INDEX(SLATable[Maximum SLA],MATCH(G132,SLATable[Priority],0))),"YES","NO"),"")</f>
        <v/>
      </c>
    </row>
    <row r="133" spans="26:36" ht="15" customHeight="1">
      <c r="Z133" s="76" t="e">
        <f t="shared" ca="1" si="16"/>
        <v>#N/A</v>
      </c>
      <c r="AA133" s="75" t="e">
        <f t="shared" ca="1" si="1"/>
        <v>#N/A</v>
      </c>
      <c r="AB133" s="76">
        <f t="shared" ca="1" si="17"/>
        <v>0</v>
      </c>
      <c r="AC133" s="75">
        <f t="shared" ca="1" si="3"/>
        <v>0</v>
      </c>
      <c r="AD133" s="76">
        <f t="shared" ca="1" si="18"/>
        <v>12388.425641087964</v>
      </c>
      <c r="AE133" s="76">
        <f t="shared" si="19"/>
        <v>0</v>
      </c>
      <c r="AF133" s="75">
        <f t="shared" si="6"/>
        <v>0</v>
      </c>
      <c r="AG133" s="75">
        <f t="shared" si="7"/>
        <v>0</v>
      </c>
      <c r="AH133" s="31" t="e" cm="1">
        <f t="array" aca="1" ref="AH133" ca="1">IF((AD133) &lt; (INDEX(ResponseSLA[#All],(MATCH((G133),ResponseSLA[Priority],0))+1,3)),"YES","No")</f>
        <v>#N/A</v>
      </c>
      <c r="AI133" s="31" t="str">
        <f>_xlfn.IFNA(IF(AE133 &lt; (INDEX(SLATable[Minimum SLA],MATCH(G133,SLATable[Priority],0))),"YES","NO"),"")</f>
        <v/>
      </c>
      <c r="AJ133" t="str">
        <f>_xlfn.IFNA(IF(AE133 &lt; (INDEX(SLATable[Maximum SLA],MATCH(G133,SLATable[Priority],0))),"YES","NO"),"")</f>
        <v/>
      </c>
    </row>
    <row r="134" spans="26:36" ht="15" customHeight="1">
      <c r="Z134" s="76" t="e">
        <f t="shared" ca="1" si="16"/>
        <v>#N/A</v>
      </c>
      <c r="AA134" s="75" t="e">
        <f t="shared" ca="1" si="1"/>
        <v>#N/A</v>
      </c>
      <c r="AB134" s="76">
        <f t="shared" ca="1" si="17"/>
        <v>0</v>
      </c>
      <c r="AC134" s="75">
        <f t="shared" ca="1" si="3"/>
        <v>0</v>
      </c>
      <c r="AD134" s="76">
        <f t="shared" ca="1" si="18"/>
        <v>12388.425641203703</v>
      </c>
      <c r="AE134" s="76">
        <f t="shared" si="19"/>
        <v>0</v>
      </c>
      <c r="AF134" s="75">
        <f t="shared" si="6"/>
        <v>0</v>
      </c>
      <c r="AG134" s="75">
        <f t="shared" si="7"/>
        <v>0</v>
      </c>
      <c r="AH134" s="31" t="e" cm="1">
        <f t="array" aca="1" ref="AH134" ca="1">IF((AD134) &lt; (INDEX(ResponseSLA[#All],(MATCH((G134),ResponseSLA[Priority],0))+1,3)),"YES","No")</f>
        <v>#N/A</v>
      </c>
      <c r="AI134" s="31" t="str">
        <f>_xlfn.IFNA(IF(AE134 &lt; (INDEX(SLATable[Minimum SLA],MATCH(G134,SLATable[Priority],0))),"YES","NO"),"")</f>
        <v/>
      </c>
      <c r="AJ134" t="str">
        <f>_xlfn.IFNA(IF(AE134 &lt; (INDEX(SLATable[Maximum SLA],MATCH(G134,SLATable[Priority],0))),"YES","NO"),"")</f>
        <v/>
      </c>
    </row>
    <row r="135" spans="26:36" ht="15" customHeight="1">
      <c r="Z135" s="76" t="e">
        <f t="shared" ca="1" si="16"/>
        <v>#N/A</v>
      </c>
      <c r="AA135" s="75" t="e">
        <f t="shared" ca="1" si="1"/>
        <v>#N/A</v>
      </c>
      <c r="AB135" s="76">
        <f t="shared" ca="1" si="17"/>
        <v>0</v>
      </c>
      <c r="AC135" s="75">
        <f t="shared" ca="1" si="3"/>
        <v>0</v>
      </c>
      <c r="AD135" s="76">
        <f t="shared" ca="1" si="18"/>
        <v>12388.425641087964</v>
      </c>
      <c r="AE135" s="76">
        <f t="shared" si="19"/>
        <v>0</v>
      </c>
      <c r="AF135" s="75">
        <f t="shared" si="6"/>
        <v>0</v>
      </c>
      <c r="AG135" s="75">
        <f t="shared" si="7"/>
        <v>0</v>
      </c>
      <c r="AH135" s="31" t="e" cm="1">
        <f t="array" aca="1" ref="AH135" ca="1">IF((AD135) &lt; (INDEX(ResponseSLA[#All],(MATCH((G135),ResponseSLA[Priority],0))+1,3)),"YES","No")</f>
        <v>#N/A</v>
      </c>
      <c r="AI135" s="31" t="str">
        <f>_xlfn.IFNA(IF(AE135 &lt; (INDEX(SLATable[Minimum SLA],MATCH(G135,SLATable[Priority],0))),"YES","NO"),"")</f>
        <v/>
      </c>
      <c r="AJ135" t="str">
        <f>_xlfn.IFNA(IF(AE135 &lt; (INDEX(SLATable[Maximum SLA],MATCH(G135,SLATable[Priority],0))),"YES","NO"),"")</f>
        <v/>
      </c>
    </row>
    <row r="136" spans="26:36" ht="15" customHeight="1">
      <c r="Z136" s="76" t="e">
        <f t="shared" ca="1" si="16"/>
        <v>#N/A</v>
      </c>
      <c r="AA136" s="75" t="e">
        <f t="shared" ca="1" si="1"/>
        <v>#N/A</v>
      </c>
      <c r="AB136" s="76">
        <f t="shared" ca="1" si="17"/>
        <v>0</v>
      </c>
      <c r="AC136" s="75">
        <f t="shared" ca="1" si="3"/>
        <v>0</v>
      </c>
      <c r="AD136" s="76">
        <f t="shared" ca="1" si="18"/>
        <v>12388.425641087964</v>
      </c>
      <c r="AE136" s="76">
        <f t="shared" si="19"/>
        <v>0</v>
      </c>
      <c r="AF136" s="75">
        <f t="shared" si="6"/>
        <v>0</v>
      </c>
      <c r="AG136" s="75">
        <f t="shared" si="7"/>
        <v>0</v>
      </c>
      <c r="AH136" s="31" t="e" cm="1">
        <f t="array" aca="1" ref="AH136" ca="1">IF((AD136) &lt; (INDEX(ResponseSLA[#All],(MATCH((G136),ResponseSLA[Priority],0))+1,3)),"YES","No")</f>
        <v>#N/A</v>
      </c>
      <c r="AI136" s="31" t="str">
        <f>_xlfn.IFNA(IF(AE136 &lt; (INDEX(SLATable[Minimum SLA],MATCH(G136,SLATable[Priority],0))),"YES","NO"),"")</f>
        <v/>
      </c>
      <c r="AJ136" t="str">
        <f>_xlfn.IFNA(IF(AE136 &lt; (INDEX(SLATable[Maximum SLA],MATCH(G136,SLATable[Priority],0))),"YES","NO"),"")</f>
        <v/>
      </c>
    </row>
    <row r="137" spans="26:36" ht="15" customHeight="1">
      <c r="Z137" s="76" t="e">
        <f t="shared" ca="1" si="16"/>
        <v>#N/A</v>
      </c>
      <c r="AA137" s="75" t="e">
        <f t="shared" ca="1" si="1"/>
        <v>#N/A</v>
      </c>
      <c r="AB137" s="76">
        <f t="shared" ca="1" si="17"/>
        <v>0</v>
      </c>
      <c r="AC137" s="75">
        <f t="shared" ca="1" si="3"/>
        <v>0</v>
      </c>
      <c r="AD137" s="76">
        <f t="shared" ca="1" si="18"/>
        <v>12388.425641203703</v>
      </c>
      <c r="AE137" s="76">
        <f t="shared" si="19"/>
        <v>0</v>
      </c>
      <c r="AF137" s="75">
        <f t="shared" si="6"/>
        <v>0</v>
      </c>
      <c r="AG137" s="75">
        <f t="shared" si="7"/>
        <v>0</v>
      </c>
      <c r="AH137" s="31" t="e" cm="1">
        <f t="array" aca="1" ref="AH137" ca="1">IF((AD137) &lt; (INDEX(ResponseSLA[#All],(MATCH((G137),ResponseSLA[Priority],0))+1,3)),"YES","No")</f>
        <v>#N/A</v>
      </c>
      <c r="AI137" s="31" t="str">
        <f>_xlfn.IFNA(IF(AE137 &lt; (INDEX(SLATable[Minimum SLA],MATCH(G137,SLATable[Priority],0))),"YES","NO"),"")</f>
        <v/>
      </c>
      <c r="AJ137" t="str">
        <f>_xlfn.IFNA(IF(AE137 &lt; (INDEX(SLATable[Maximum SLA],MATCH(G137,SLATable[Priority],0))),"YES","NO"),"")</f>
        <v/>
      </c>
    </row>
    <row r="138" spans="26:36" ht="15" customHeight="1">
      <c r="Z138" s="76" t="e">
        <f t="shared" ca="1" si="16"/>
        <v>#N/A</v>
      </c>
      <c r="AA138" s="75" t="e">
        <f t="shared" ca="1" si="1"/>
        <v>#N/A</v>
      </c>
      <c r="AB138" s="76">
        <f t="shared" ca="1" si="17"/>
        <v>0</v>
      </c>
      <c r="AC138" s="75">
        <f t="shared" ca="1" si="3"/>
        <v>0</v>
      </c>
      <c r="AD138" s="76">
        <f t="shared" ca="1" si="18"/>
        <v>12388.425641087964</v>
      </c>
      <c r="AE138" s="76">
        <f t="shared" si="19"/>
        <v>0</v>
      </c>
      <c r="AF138" s="75">
        <f t="shared" si="6"/>
        <v>0</v>
      </c>
      <c r="AG138" s="75">
        <f t="shared" si="7"/>
        <v>0</v>
      </c>
      <c r="AH138" s="31" t="e" cm="1">
        <f t="array" aca="1" ref="AH138" ca="1">IF((AD138) &lt; (INDEX(ResponseSLA[#All],(MATCH((G138),ResponseSLA[Priority],0))+1,3)),"YES","No")</f>
        <v>#N/A</v>
      </c>
      <c r="AI138" s="31" t="str">
        <f>_xlfn.IFNA(IF(AE138 &lt; (INDEX(SLATable[Minimum SLA],MATCH(G138,SLATable[Priority],0))),"YES","NO"),"")</f>
        <v/>
      </c>
      <c r="AJ138" t="str">
        <f>_xlfn.IFNA(IF(AE138 &lt; (INDEX(SLATable[Maximum SLA],MATCH(G138,SLATable[Priority],0))),"YES","NO"),"")</f>
        <v/>
      </c>
    </row>
    <row r="139" spans="26:36" ht="15" customHeight="1">
      <c r="Z139" s="76" t="e">
        <f t="shared" ca="1" si="16"/>
        <v>#N/A</v>
      </c>
      <c r="AA139" s="75" t="e">
        <f t="shared" ca="1" si="1"/>
        <v>#N/A</v>
      </c>
      <c r="AB139" s="76">
        <f t="shared" ca="1" si="17"/>
        <v>0</v>
      </c>
      <c r="AC139" s="75">
        <f t="shared" ca="1" si="3"/>
        <v>0</v>
      </c>
      <c r="AD139" s="76">
        <f t="shared" ca="1" si="18"/>
        <v>12388.425641087964</v>
      </c>
      <c r="AE139" s="76">
        <f t="shared" si="19"/>
        <v>0</v>
      </c>
      <c r="AF139" s="75">
        <f t="shared" si="6"/>
        <v>0</v>
      </c>
      <c r="AG139" s="75">
        <f t="shared" si="7"/>
        <v>0</v>
      </c>
      <c r="AH139" s="31" t="e" cm="1">
        <f t="array" aca="1" ref="AH139" ca="1">IF((AD139) &lt; (INDEX(ResponseSLA[#All],(MATCH((G139),ResponseSLA[Priority],0))+1,3)),"YES","No")</f>
        <v>#N/A</v>
      </c>
      <c r="AI139" s="31" t="str">
        <f>_xlfn.IFNA(IF(AE139 &lt; (INDEX(SLATable[Minimum SLA],MATCH(G139,SLATable[Priority],0))),"YES","NO"),"")</f>
        <v/>
      </c>
      <c r="AJ139" t="str">
        <f>_xlfn.IFNA(IF(AE139 &lt; (INDEX(SLATable[Maximum SLA],MATCH(G139,SLATable[Priority],0))),"YES","NO"),"")</f>
        <v/>
      </c>
    </row>
    <row r="140" spans="26:36" ht="15" customHeight="1">
      <c r="Z140" s="76" t="e">
        <f t="shared" ca="1" si="16"/>
        <v>#N/A</v>
      </c>
      <c r="AA140" s="75" t="e">
        <f t="shared" ca="1" si="1"/>
        <v>#N/A</v>
      </c>
      <c r="AB140" s="76">
        <f t="shared" ca="1" si="17"/>
        <v>0</v>
      </c>
      <c r="AC140" s="75">
        <f t="shared" ca="1" si="3"/>
        <v>0</v>
      </c>
      <c r="AD140" s="76">
        <f t="shared" ca="1" si="18"/>
        <v>12388.425641203703</v>
      </c>
      <c r="AE140" s="76">
        <f t="shared" si="19"/>
        <v>0</v>
      </c>
      <c r="AF140" s="75">
        <f t="shared" si="6"/>
        <v>0</v>
      </c>
      <c r="AG140" s="75">
        <f t="shared" si="7"/>
        <v>0</v>
      </c>
      <c r="AH140" s="31" t="e" cm="1">
        <f t="array" aca="1" ref="AH140" ca="1">IF((AD140) &lt; (INDEX(ResponseSLA[#All],(MATCH((G140),ResponseSLA[Priority],0))+1,3)),"YES","No")</f>
        <v>#N/A</v>
      </c>
      <c r="AI140" s="31" t="str">
        <f>_xlfn.IFNA(IF(AE140 &lt; (INDEX(SLATable[Minimum SLA],MATCH(G140,SLATable[Priority],0))),"YES","NO"),"")</f>
        <v/>
      </c>
      <c r="AJ140" t="str">
        <f>_xlfn.IFNA(IF(AE140 &lt; (INDEX(SLATable[Maximum SLA],MATCH(G140,SLATable[Priority],0))),"YES","NO"),"")</f>
        <v/>
      </c>
    </row>
    <row r="141" spans="26:36" ht="15" customHeight="1">
      <c r="Z141" s="76" t="e">
        <f t="shared" ca="1" si="16"/>
        <v>#N/A</v>
      </c>
      <c r="AA141" s="75" t="e">
        <f t="shared" ca="1" si="1"/>
        <v>#N/A</v>
      </c>
      <c r="AB141" s="76">
        <f t="shared" ca="1" si="17"/>
        <v>0</v>
      </c>
      <c r="AC141" s="75">
        <f t="shared" ca="1" si="3"/>
        <v>0</v>
      </c>
      <c r="AD141" s="76">
        <f t="shared" ca="1" si="18"/>
        <v>12388.425641087964</v>
      </c>
      <c r="AE141" s="76">
        <f t="shared" si="19"/>
        <v>0</v>
      </c>
      <c r="AF141" s="75">
        <f t="shared" si="6"/>
        <v>0</v>
      </c>
      <c r="AG141" s="75">
        <f t="shared" si="7"/>
        <v>0</v>
      </c>
      <c r="AH141" s="31" t="e" cm="1">
        <f t="array" aca="1" ref="AH141" ca="1">IF((AD141) &lt; (INDEX(ResponseSLA[#All],(MATCH((G141),ResponseSLA[Priority],0))+1,3)),"YES","No")</f>
        <v>#N/A</v>
      </c>
      <c r="AI141" s="31" t="str">
        <f>_xlfn.IFNA(IF(AE141 &lt; (INDEX(SLATable[Minimum SLA],MATCH(G141,SLATable[Priority],0))),"YES","NO"),"")</f>
        <v/>
      </c>
      <c r="AJ141" t="str">
        <f>_xlfn.IFNA(IF(AE141 &lt; (INDEX(SLATable[Maximum SLA],MATCH(G141,SLATable[Priority],0))),"YES","NO"),"")</f>
        <v/>
      </c>
    </row>
    <row r="142" spans="26:36" ht="15" customHeight="1">
      <c r="Z142" s="76" t="e">
        <f t="shared" ca="1" si="16"/>
        <v>#N/A</v>
      </c>
      <c r="AA142" s="75" t="e">
        <f t="shared" ca="1" si="1"/>
        <v>#N/A</v>
      </c>
      <c r="AB142" s="76">
        <f t="shared" ca="1" si="17"/>
        <v>0</v>
      </c>
      <c r="AC142" s="75">
        <f t="shared" ca="1" si="3"/>
        <v>0</v>
      </c>
      <c r="AD142" s="76">
        <f t="shared" ca="1" si="18"/>
        <v>12388.425641087964</v>
      </c>
      <c r="AE142" s="76">
        <f t="shared" si="19"/>
        <v>0</v>
      </c>
      <c r="AF142" s="75">
        <f t="shared" si="6"/>
        <v>0</v>
      </c>
      <c r="AG142" s="75">
        <f t="shared" si="7"/>
        <v>0</v>
      </c>
      <c r="AH142" s="31" t="e" cm="1">
        <f t="array" aca="1" ref="AH142" ca="1">IF((AD142) &lt; (INDEX(ResponseSLA[#All],(MATCH((G142),ResponseSLA[Priority],0))+1,3)),"YES","No")</f>
        <v>#N/A</v>
      </c>
      <c r="AI142" s="31" t="str">
        <f>_xlfn.IFNA(IF(AE142 &lt; (INDEX(SLATable[Minimum SLA],MATCH(G142,SLATable[Priority],0))),"YES","NO"),"")</f>
        <v/>
      </c>
      <c r="AJ142" t="str">
        <f>_xlfn.IFNA(IF(AE142 &lt; (INDEX(SLATable[Maximum SLA],MATCH(G142,SLATable[Priority],0))),"YES","NO"),"")</f>
        <v/>
      </c>
    </row>
    <row r="143" spans="26:36" ht="15" customHeight="1">
      <c r="Z143" s="76" t="e">
        <f t="shared" ca="1" si="16"/>
        <v>#N/A</v>
      </c>
      <c r="AA143" s="75" t="e">
        <f t="shared" ca="1" si="1"/>
        <v>#N/A</v>
      </c>
      <c r="AB143" s="76">
        <f t="shared" ca="1" si="17"/>
        <v>0</v>
      </c>
      <c r="AC143" s="75">
        <f t="shared" ca="1" si="3"/>
        <v>0</v>
      </c>
      <c r="AD143" s="76">
        <f t="shared" ca="1" si="18"/>
        <v>12388.425641203703</v>
      </c>
      <c r="AE143" s="76">
        <f t="shared" si="19"/>
        <v>0</v>
      </c>
      <c r="AF143" s="75">
        <f t="shared" si="6"/>
        <v>0</v>
      </c>
      <c r="AG143" s="75">
        <f t="shared" si="7"/>
        <v>0</v>
      </c>
      <c r="AH143" s="31" t="e" cm="1">
        <f t="array" aca="1" ref="AH143" ca="1">IF((AD143) &lt; (INDEX(ResponseSLA[#All],(MATCH((G143),ResponseSLA[Priority],0))+1,3)),"YES","No")</f>
        <v>#N/A</v>
      </c>
      <c r="AI143" s="31" t="str">
        <f>_xlfn.IFNA(IF(AE143 &lt; (INDEX(SLATable[Minimum SLA],MATCH(G143,SLATable[Priority],0))),"YES","NO"),"")</f>
        <v/>
      </c>
      <c r="AJ143" t="str">
        <f>_xlfn.IFNA(IF(AE143 &lt; (INDEX(SLATable[Maximum SLA],MATCH(G143,SLATable[Priority],0))),"YES","NO"),"")</f>
        <v/>
      </c>
    </row>
    <row r="144" spans="26:36" ht="15" customHeight="1">
      <c r="Z144" s="76" t="e">
        <f t="shared" ca="1" si="16"/>
        <v>#N/A</v>
      </c>
      <c r="AA144" s="75" t="e">
        <f t="shared" ca="1" si="1"/>
        <v>#N/A</v>
      </c>
      <c r="AB144" s="76">
        <f t="shared" ca="1" si="17"/>
        <v>0</v>
      </c>
      <c r="AC144" s="75">
        <f t="shared" ca="1" si="3"/>
        <v>0</v>
      </c>
      <c r="AD144" s="76">
        <f t="shared" ca="1" si="18"/>
        <v>12388.425641087964</v>
      </c>
      <c r="AE144" s="76">
        <f t="shared" si="19"/>
        <v>0</v>
      </c>
      <c r="AF144" s="75">
        <f t="shared" si="6"/>
        <v>0</v>
      </c>
      <c r="AG144" s="75">
        <f t="shared" si="7"/>
        <v>0</v>
      </c>
      <c r="AH144" s="31" t="e" cm="1">
        <f t="array" aca="1" ref="AH144" ca="1">IF((AD144) &lt; (INDEX(ResponseSLA[#All],(MATCH((G144),ResponseSLA[Priority],0))+1,3)),"YES","No")</f>
        <v>#N/A</v>
      </c>
      <c r="AI144" s="31" t="str">
        <f>_xlfn.IFNA(IF(AE144 &lt; (INDEX(SLATable[Minimum SLA],MATCH(G144,SLATable[Priority],0))),"YES","NO"),"")</f>
        <v/>
      </c>
      <c r="AJ144" t="str">
        <f>_xlfn.IFNA(IF(AE144 &lt; (INDEX(SLATable[Maximum SLA],MATCH(G144,SLATable[Priority],0))),"YES","NO"),"")</f>
        <v/>
      </c>
    </row>
    <row r="145" spans="26:36" ht="15" customHeight="1">
      <c r="Z145" s="76" t="e">
        <f t="shared" ca="1" si="16"/>
        <v>#N/A</v>
      </c>
      <c r="AA145" s="75" t="e">
        <f t="shared" ca="1" si="1"/>
        <v>#N/A</v>
      </c>
      <c r="AB145" s="76">
        <f t="shared" ca="1" si="17"/>
        <v>0</v>
      </c>
      <c r="AC145" s="75">
        <f t="shared" ca="1" si="3"/>
        <v>0</v>
      </c>
      <c r="AD145" s="76">
        <f t="shared" ca="1" si="18"/>
        <v>12388.425641087964</v>
      </c>
      <c r="AE145" s="76">
        <f t="shared" si="19"/>
        <v>0</v>
      </c>
      <c r="AF145" s="75">
        <f t="shared" si="6"/>
        <v>0</v>
      </c>
      <c r="AG145" s="75">
        <f t="shared" si="7"/>
        <v>0</v>
      </c>
      <c r="AH145" s="31" t="e" cm="1">
        <f t="array" aca="1" ref="AH145" ca="1">IF((AD145) &lt; (INDEX(ResponseSLA[#All],(MATCH((G145),ResponseSLA[Priority],0))+1,3)),"YES","No")</f>
        <v>#N/A</v>
      </c>
      <c r="AI145" s="31" t="str">
        <f>_xlfn.IFNA(IF(AE145 &lt; (INDEX(SLATable[Minimum SLA],MATCH(G145,SLATable[Priority],0))),"YES","NO"),"")</f>
        <v/>
      </c>
      <c r="AJ145" t="str">
        <f>_xlfn.IFNA(IF(AE145 &lt; (INDEX(SLATable[Maximum SLA],MATCH(G145,SLATable[Priority],0))),"YES","NO"),"")</f>
        <v/>
      </c>
    </row>
    <row r="146" spans="26:36" ht="15" customHeight="1">
      <c r="Z146" s="76" t="e">
        <f t="shared" ca="1" si="16"/>
        <v>#N/A</v>
      </c>
      <c r="AA146" s="75" t="e">
        <f t="shared" ca="1" si="1"/>
        <v>#N/A</v>
      </c>
      <c r="AB146" s="76">
        <f t="shared" ca="1" si="17"/>
        <v>0</v>
      </c>
      <c r="AC146" s="75">
        <f t="shared" ca="1" si="3"/>
        <v>0</v>
      </c>
      <c r="AD146" s="76">
        <f t="shared" ca="1" si="18"/>
        <v>12388.425641203703</v>
      </c>
      <c r="AE146" s="76">
        <f t="shared" si="19"/>
        <v>0</v>
      </c>
      <c r="AF146" s="75">
        <f t="shared" si="6"/>
        <v>0</v>
      </c>
      <c r="AG146" s="75">
        <f t="shared" si="7"/>
        <v>0</v>
      </c>
      <c r="AH146" s="31" t="e" cm="1">
        <f t="array" aca="1" ref="AH146" ca="1">IF((AD146) &lt; (INDEX(ResponseSLA[#All],(MATCH((G146),ResponseSLA[Priority],0))+1,3)),"YES","No")</f>
        <v>#N/A</v>
      </c>
      <c r="AI146" s="31" t="str">
        <f>_xlfn.IFNA(IF(AE146 &lt; (INDEX(SLATable[Minimum SLA],MATCH(G146,SLATable[Priority],0))),"YES","NO"),"")</f>
        <v/>
      </c>
      <c r="AJ146" t="str">
        <f>_xlfn.IFNA(IF(AE146 &lt; (INDEX(SLATable[Maximum SLA],MATCH(G146,SLATable[Priority],0))),"YES","NO"),"")</f>
        <v/>
      </c>
    </row>
    <row r="147" spans="26:36" ht="15" customHeight="1">
      <c r="Z147" s="76" t="e">
        <f t="shared" ca="1" si="16"/>
        <v>#N/A</v>
      </c>
      <c r="AA147" s="75" t="e">
        <f t="shared" ca="1" si="1"/>
        <v>#N/A</v>
      </c>
      <c r="AB147" s="76">
        <f t="shared" ca="1" si="17"/>
        <v>0</v>
      </c>
      <c r="AC147" s="75">
        <f t="shared" ca="1" si="3"/>
        <v>0</v>
      </c>
      <c r="AD147" s="76">
        <f t="shared" ca="1" si="18"/>
        <v>12388.425641087964</v>
      </c>
      <c r="AE147" s="76">
        <f t="shared" si="19"/>
        <v>0</v>
      </c>
      <c r="AF147" s="75">
        <f t="shared" si="6"/>
        <v>0</v>
      </c>
      <c r="AG147" s="75">
        <f t="shared" si="7"/>
        <v>0</v>
      </c>
      <c r="AH147" s="31" t="e" cm="1">
        <f t="array" aca="1" ref="AH147" ca="1">IF((AD147) &lt; (INDEX(ResponseSLA[#All],(MATCH((G147),ResponseSLA[Priority],0))+1,3)),"YES","No")</f>
        <v>#N/A</v>
      </c>
      <c r="AI147" s="31" t="str">
        <f>_xlfn.IFNA(IF(AE147 &lt; (INDEX(SLATable[Minimum SLA],MATCH(G147,SLATable[Priority],0))),"YES","NO"),"")</f>
        <v/>
      </c>
      <c r="AJ147" t="str">
        <f>_xlfn.IFNA(IF(AE147 &lt; (INDEX(SLATable[Maximum SLA],MATCH(G147,SLATable[Priority],0))),"YES","NO"),"")</f>
        <v/>
      </c>
    </row>
    <row r="148" spans="26:36" ht="15" customHeight="1">
      <c r="Z148" s="76" t="e">
        <f t="shared" ca="1" si="16"/>
        <v>#N/A</v>
      </c>
      <c r="AA148" s="75" t="e">
        <f t="shared" ca="1" si="1"/>
        <v>#N/A</v>
      </c>
      <c r="AB148" s="76">
        <f t="shared" ca="1" si="17"/>
        <v>0</v>
      </c>
      <c r="AC148" s="75">
        <f t="shared" ca="1" si="3"/>
        <v>0</v>
      </c>
      <c r="AD148" s="76">
        <f t="shared" ca="1" si="18"/>
        <v>12388.425641087964</v>
      </c>
      <c r="AE148" s="76">
        <f t="shared" si="19"/>
        <v>0</v>
      </c>
      <c r="AF148" s="75">
        <f t="shared" si="6"/>
        <v>0</v>
      </c>
      <c r="AG148" s="75">
        <f t="shared" si="7"/>
        <v>0</v>
      </c>
      <c r="AH148" s="31" t="e" cm="1">
        <f t="array" aca="1" ref="AH148" ca="1">IF((AD148) &lt; (INDEX(ResponseSLA[#All],(MATCH((G148),ResponseSLA[Priority],0))+1,3)),"YES","No")</f>
        <v>#N/A</v>
      </c>
      <c r="AI148" s="31" t="str">
        <f>_xlfn.IFNA(IF(AE148 &lt; (INDEX(SLATable[Minimum SLA],MATCH(G148,SLATable[Priority],0))),"YES","NO"),"")</f>
        <v/>
      </c>
      <c r="AJ148" t="str">
        <f>_xlfn.IFNA(IF(AE148 &lt; (INDEX(SLATable[Maximum SLA],MATCH(G148,SLATable[Priority],0))),"YES","NO"),"")</f>
        <v/>
      </c>
    </row>
    <row r="149" spans="26:36" ht="15" customHeight="1">
      <c r="Z149" s="76" t="e">
        <f t="shared" ca="1" si="16"/>
        <v>#N/A</v>
      </c>
      <c r="AA149" s="75" t="e">
        <f t="shared" ca="1" si="1"/>
        <v>#N/A</v>
      </c>
      <c r="AB149" s="76">
        <f t="shared" ca="1" si="17"/>
        <v>0</v>
      </c>
      <c r="AC149" s="75">
        <f t="shared" ca="1" si="3"/>
        <v>0</v>
      </c>
      <c r="AD149" s="76">
        <f t="shared" ca="1" si="18"/>
        <v>12388.425641203703</v>
      </c>
      <c r="AE149" s="76">
        <f t="shared" si="19"/>
        <v>0</v>
      </c>
      <c r="AF149" s="75">
        <f t="shared" si="6"/>
        <v>0</v>
      </c>
      <c r="AG149" s="75">
        <f t="shared" si="7"/>
        <v>0</v>
      </c>
      <c r="AH149" s="31" t="e" cm="1">
        <f t="array" aca="1" ref="AH149" ca="1">IF((AD149) &lt; (INDEX(ResponseSLA[#All],(MATCH((G149),ResponseSLA[Priority],0))+1,3)),"YES","No")</f>
        <v>#N/A</v>
      </c>
      <c r="AI149" s="31" t="str">
        <f>_xlfn.IFNA(IF(AE149 &lt; (INDEX(SLATable[Minimum SLA],MATCH(G149,SLATable[Priority],0))),"YES","NO"),"")</f>
        <v/>
      </c>
      <c r="AJ149" t="str">
        <f>_xlfn.IFNA(IF(AE149 &lt; (INDEX(SLATable[Maximum SLA],MATCH(G149,SLATable[Priority],0))),"YES","NO"),"")</f>
        <v/>
      </c>
    </row>
    <row r="150" spans="26:36" ht="15" customHeight="1">
      <c r="Z150" s="76" t="e">
        <f t="shared" ca="1" si="16"/>
        <v>#N/A</v>
      </c>
      <c r="AA150" s="75" t="e">
        <f t="shared" ca="1" si="1"/>
        <v>#N/A</v>
      </c>
      <c r="AB150" s="76">
        <f t="shared" ca="1" si="17"/>
        <v>0</v>
      </c>
      <c r="AC150" s="75">
        <f t="shared" ca="1" si="3"/>
        <v>0</v>
      </c>
      <c r="AD150" s="76">
        <f t="shared" ca="1" si="18"/>
        <v>12388.425641087964</v>
      </c>
      <c r="AE150" s="76">
        <f t="shared" si="19"/>
        <v>0</v>
      </c>
      <c r="AF150" s="75">
        <f t="shared" si="6"/>
        <v>0</v>
      </c>
      <c r="AG150" s="75">
        <f t="shared" si="7"/>
        <v>0</v>
      </c>
      <c r="AH150" s="31" t="e" cm="1">
        <f t="array" aca="1" ref="AH150" ca="1">IF((AD150) &lt; (INDEX(ResponseSLA[#All],(MATCH((G150),ResponseSLA[Priority],0))+1,3)),"YES","No")</f>
        <v>#N/A</v>
      </c>
      <c r="AI150" s="31" t="str">
        <f>_xlfn.IFNA(IF(AE150 &lt; (INDEX(SLATable[Minimum SLA],MATCH(G150,SLATable[Priority],0))),"YES","NO"),"")</f>
        <v/>
      </c>
      <c r="AJ150" t="str">
        <f>_xlfn.IFNA(IF(AE150 &lt; (INDEX(SLATable[Maximum SLA],MATCH(G150,SLATable[Priority],0))),"YES","NO"),"")</f>
        <v/>
      </c>
    </row>
    <row r="151" spans="26:36" ht="15" customHeight="1">
      <c r="Z151" s="76" t="e">
        <f t="shared" ca="1" si="16"/>
        <v>#N/A</v>
      </c>
      <c r="AA151" s="75" t="e">
        <f t="shared" ca="1" si="1"/>
        <v>#N/A</v>
      </c>
      <c r="AB151" s="76">
        <f t="shared" ca="1" si="17"/>
        <v>0</v>
      </c>
      <c r="AC151" s="75">
        <f t="shared" ca="1" si="3"/>
        <v>0</v>
      </c>
      <c r="AD151" s="76">
        <f t="shared" ca="1" si="18"/>
        <v>12388.425641087964</v>
      </c>
      <c r="AE151" s="76">
        <f t="shared" si="19"/>
        <v>0</v>
      </c>
      <c r="AF151" s="75">
        <f t="shared" si="6"/>
        <v>0</v>
      </c>
      <c r="AG151" s="75">
        <f t="shared" si="7"/>
        <v>0</v>
      </c>
      <c r="AH151" s="31" t="e" cm="1">
        <f t="array" aca="1" ref="AH151" ca="1">IF((AD151) &lt; (INDEX(ResponseSLA[#All],(MATCH((G151),ResponseSLA[Priority],0))+1,3)),"YES","No")</f>
        <v>#N/A</v>
      </c>
      <c r="AI151" s="31" t="str">
        <f>_xlfn.IFNA(IF(AE151 &lt; (INDEX(SLATable[Minimum SLA],MATCH(G151,SLATable[Priority],0))),"YES","NO"),"")</f>
        <v/>
      </c>
      <c r="AJ151" t="str">
        <f>_xlfn.IFNA(IF(AE151 &lt; (INDEX(SLATable[Maximum SLA],MATCH(G151,SLATable[Priority],0))),"YES","NO"),"")</f>
        <v/>
      </c>
    </row>
    <row r="152" spans="26:36" ht="15" customHeight="1">
      <c r="Z152" s="76" t="e">
        <f t="shared" ca="1" si="16"/>
        <v>#N/A</v>
      </c>
      <c r="AA152" s="75" t="e">
        <f t="shared" ca="1" si="1"/>
        <v>#N/A</v>
      </c>
      <c r="AB152" s="76">
        <f t="shared" ca="1" si="17"/>
        <v>0</v>
      </c>
      <c r="AC152" s="75">
        <f t="shared" ca="1" si="3"/>
        <v>0</v>
      </c>
      <c r="AD152" s="76">
        <f t="shared" ca="1" si="18"/>
        <v>12388.425641203703</v>
      </c>
      <c r="AE152" s="76">
        <f t="shared" si="19"/>
        <v>0</v>
      </c>
      <c r="AF152" s="75">
        <f t="shared" si="6"/>
        <v>0</v>
      </c>
      <c r="AG152" s="75">
        <f t="shared" si="7"/>
        <v>0</v>
      </c>
      <c r="AH152" s="31" t="e" cm="1">
        <f t="array" aca="1" ref="AH152" ca="1">IF((AD152) &lt; (INDEX(ResponseSLA[#All],(MATCH((G152),ResponseSLA[Priority],0))+1,3)),"YES","No")</f>
        <v>#N/A</v>
      </c>
      <c r="AI152" s="31" t="str">
        <f>_xlfn.IFNA(IF(AE152 &lt; (INDEX(SLATable[Minimum SLA],MATCH(G152,SLATable[Priority],0))),"YES","NO"),"")</f>
        <v/>
      </c>
      <c r="AJ152" t="str">
        <f>_xlfn.IFNA(IF(AE152 &lt; (INDEX(SLATable[Maximum SLA],MATCH(G152,SLATable[Priority],0))),"YES","NO"),"")</f>
        <v/>
      </c>
    </row>
    <row r="153" spans="26:36" ht="15" customHeight="1">
      <c r="Z153" s="76" t="e">
        <f t="shared" ca="1" si="16"/>
        <v>#N/A</v>
      </c>
      <c r="AA153" s="75" t="e">
        <f t="shared" ca="1" si="1"/>
        <v>#N/A</v>
      </c>
      <c r="AB153" s="76">
        <f t="shared" ca="1" si="17"/>
        <v>0</v>
      </c>
      <c r="AC153" s="75">
        <f t="shared" ca="1" si="3"/>
        <v>0</v>
      </c>
      <c r="AD153" s="76">
        <f t="shared" ca="1" si="18"/>
        <v>12388.425641087964</v>
      </c>
      <c r="AE153" s="76">
        <f t="shared" si="19"/>
        <v>0</v>
      </c>
      <c r="AF153" s="75">
        <f t="shared" si="6"/>
        <v>0</v>
      </c>
      <c r="AG153" s="75">
        <f t="shared" si="7"/>
        <v>0</v>
      </c>
      <c r="AH153" s="31" t="e" cm="1">
        <f t="array" aca="1" ref="AH153" ca="1">IF((AD153) &lt; (INDEX(ResponseSLA[#All],(MATCH((G153),ResponseSLA[Priority],0))+1,3)),"YES","No")</f>
        <v>#N/A</v>
      </c>
      <c r="AI153" s="31" t="str">
        <f>_xlfn.IFNA(IF(AE153 &lt; (INDEX(SLATable[Minimum SLA],MATCH(G153,SLATable[Priority],0))),"YES","NO"),"")</f>
        <v/>
      </c>
      <c r="AJ153" t="str">
        <f>_xlfn.IFNA(IF(AE153 &lt; (INDEX(SLATable[Maximum SLA],MATCH(G153,SLATable[Priority],0))),"YES","NO"),"")</f>
        <v/>
      </c>
    </row>
    <row r="154" spans="26:36" ht="15" customHeight="1">
      <c r="Z154" s="76" t="e">
        <f t="shared" ca="1" si="16"/>
        <v>#N/A</v>
      </c>
      <c r="AA154" s="75" t="e">
        <f t="shared" ca="1" si="1"/>
        <v>#N/A</v>
      </c>
      <c r="AB154" s="76">
        <f t="shared" ca="1" si="17"/>
        <v>0</v>
      </c>
      <c r="AC154" s="75">
        <f t="shared" ca="1" si="3"/>
        <v>0</v>
      </c>
      <c r="AD154" s="76">
        <f t="shared" ca="1" si="18"/>
        <v>12388.425641087964</v>
      </c>
      <c r="AE154" s="76">
        <f t="shared" si="19"/>
        <v>0</v>
      </c>
      <c r="AF154" s="75">
        <f t="shared" si="6"/>
        <v>0</v>
      </c>
      <c r="AG154" s="75">
        <f t="shared" si="7"/>
        <v>0</v>
      </c>
      <c r="AH154" s="31" t="e" cm="1">
        <f t="array" aca="1" ref="AH154" ca="1">IF((AD154) &lt; (INDEX(ResponseSLA[#All],(MATCH((G154),ResponseSLA[Priority],0))+1,3)),"YES","No")</f>
        <v>#N/A</v>
      </c>
      <c r="AI154" s="31" t="str">
        <f>_xlfn.IFNA(IF(AE154 &lt; (INDEX(SLATable[Minimum SLA],MATCH(G154,SLATable[Priority],0))),"YES","NO"),"")</f>
        <v/>
      </c>
      <c r="AJ154" t="str">
        <f>_xlfn.IFNA(IF(AE154 &lt; (INDEX(SLATable[Maximum SLA],MATCH(G154,SLATable[Priority],0))),"YES","NO"),"")</f>
        <v/>
      </c>
    </row>
    <row r="155" spans="26:36" ht="15" customHeight="1">
      <c r="Z155" s="76" t="e">
        <f t="shared" ca="1" si="16"/>
        <v>#N/A</v>
      </c>
      <c r="AA155" s="75" t="e">
        <f t="shared" ca="1" si="1"/>
        <v>#N/A</v>
      </c>
      <c r="AB155" s="76">
        <f t="shared" ca="1" si="17"/>
        <v>0</v>
      </c>
      <c r="AC155" s="75">
        <f t="shared" ca="1" si="3"/>
        <v>0</v>
      </c>
      <c r="AD155" s="76">
        <f t="shared" ca="1" si="18"/>
        <v>12388.425641203703</v>
      </c>
      <c r="AE155" s="76">
        <f t="shared" si="19"/>
        <v>0</v>
      </c>
      <c r="AF155" s="75">
        <f t="shared" si="6"/>
        <v>0</v>
      </c>
      <c r="AG155" s="75">
        <f t="shared" si="7"/>
        <v>0</v>
      </c>
      <c r="AH155" s="31" t="e" cm="1">
        <f t="array" aca="1" ref="AH155" ca="1">IF((AD155) &lt; (INDEX(ResponseSLA[#All],(MATCH((G155),ResponseSLA[Priority],0))+1,3)),"YES","No")</f>
        <v>#N/A</v>
      </c>
      <c r="AI155" s="31" t="str">
        <f>_xlfn.IFNA(IF(AE155 &lt; (INDEX(SLATable[Minimum SLA],MATCH(G155,SLATable[Priority],0))),"YES","NO"),"")</f>
        <v/>
      </c>
      <c r="AJ155" t="str">
        <f>_xlfn.IFNA(IF(AE155 &lt; (INDEX(SLATable[Maximum SLA],MATCH(G155,SLATable[Priority],0))),"YES","NO"),"")</f>
        <v/>
      </c>
    </row>
    <row r="156" spans="26:36" ht="15" customHeight="1">
      <c r="Z156" s="76" t="e">
        <f t="shared" ca="1" si="16"/>
        <v>#N/A</v>
      </c>
      <c r="AA156" s="75" t="e">
        <f t="shared" ca="1" si="1"/>
        <v>#N/A</v>
      </c>
      <c r="AB156" s="76">
        <f t="shared" ca="1" si="17"/>
        <v>0</v>
      </c>
      <c r="AC156" s="75">
        <f t="shared" ca="1" si="3"/>
        <v>0</v>
      </c>
      <c r="AD156" s="76">
        <f t="shared" ca="1" si="18"/>
        <v>12388.425641087964</v>
      </c>
      <c r="AE156" s="76">
        <f t="shared" si="19"/>
        <v>0</v>
      </c>
      <c r="AF156" s="75">
        <f t="shared" si="6"/>
        <v>0</v>
      </c>
      <c r="AG156" s="75">
        <f t="shared" si="7"/>
        <v>0</v>
      </c>
      <c r="AH156" s="31" t="e" cm="1">
        <f t="array" aca="1" ref="AH156" ca="1">IF((AD156) &lt; (INDEX(ResponseSLA[#All],(MATCH((G156),ResponseSLA[Priority],0))+1,3)),"YES","No")</f>
        <v>#N/A</v>
      </c>
      <c r="AI156" s="31" t="str">
        <f>_xlfn.IFNA(IF(AE156 &lt; (INDEX(SLATable[Minimum SLA],MATCH(G156,SLATable[Priority],0))),"YES","NO"),"")</f>
        <v/>
      </c>
      <c r="AJ156" t="str">
        <f>_xlfn.IFNA(IF(AE156 &lt; (INDEX(SLATable[Maximum SLA],MATCH(G156,SLATable[Priority],0))),"YES","NO"),"")</f>
        <v/>
      </c>
    </row>
    <row r="157" spans="26:36" ht="15" customHeight="1">
      <c r="Z157" s="76" t="e">
        <f t="shared" ca="1" si="16"/>
        <v>#N/A</v>
      </c>
      <c r="AA157" s="75" t="e">
        <f t="shared" ca="1" si="1"/>
        <v>#N/A</v>
      </c>
      <c r="AB157" s="76">
        <f t="shared" ca="1" si="17"/>
        <v>0</v>
      </c>
      <c r="AC157" s="75">
        <f t="shared" ca="1" si="3"/>
        <v>0</v>
      </c>
      <c r="AD157" s="76">
        <f t="shared" ca="1" si="18"/>
        <v>12388.425641087964</v>
      </c>
      <c r="AE157" s="76">
        <f t="shared" si="19"/>
        <v>0</v>
      </c>
      <c r="AF157" s="75">
        <f t="shared" si="6"/>
        <v>0</v>
      </c>
      <c r="AG157" s="75">
        <f t="shared" si="7"/>
        <v>0</v>
      </c>
      <c r="AH157" s="31" t="e" cm="1">
        <f t="array" aca="1" ref="AH157" ca="1">IF((AD157) &lt; (INDEX(ResponseSLA[#All],(MATCH((G157),ResponseSLA[Priority],0))+1,3)),"YES","No")</f>
        <v>#N/A</v>
      </c>
      <c r="AI157" s="31" t="str">
        <f>_xlfn.IFNA(IF(AE157 &lt; (INDEX(SLATable[Minimum SLA],MATCH(G157,SLATable[Priority],0))),"YES","NO"),"")</f>
        <v/>
      </c>
      <c r="AJ157" t="str">
        <f>_xlfn.IFNA(IF(AE157 &lt; (INDEX(SLATable[Maximum SLA],MATCH(G157,SLATable[Priority],0))),"YES","NO"),"")</f>
        <v/>
      </c>
    </row>
    <row r="158" spans="26:36" ht="15" customHeight="1">
      <c r="Z158" s="76" t="e">
        <f t="shared" ca="1" si="16"/>
        <v>#N/A</v>
      </c>
      <c r="AA158" s="75" t="e">
        <f t="shared" ca="1" si="1"/>
        <v>#N/A</v>
      </c>
      <c r="AB158" s="76">
        <f t="shared" ca="1" si="17"/>
        <v>0</v>
      </c>
      <c r="AC158" s="75">
        <f t="shared" ca="1" si="3"/>
        <v>0</v>
      </c>
      <c r="AD158" s="76">
        <f t="shared" ca="1" si="18"/>
        <v>12388.425641203703</v>
      </c>
      <c r="AE158" s="76">
        <f t="shared" si="19"/>
        <v>0</v>
      </c>
      <c r="AF158" s="75">
        <f t="shared" si="6"/>
        <v>0</v>
      </c>
      <c r="AG158" s="75">
        <f t="shared" si="7"/>
        <v>0</v>
      </c>
      <c r="AH158" s="31" t="e" cm="1">
        <f t="array" aca="1" ref="AH158" ca="1">IF((AD158) &lt; (INDEX(ResponseSLA[#All],(MATCH((G158),ResponseSLA[Priority],0))+1,3)),"YES","No")</f>
        <v>#N/A</v>
      </c>
      <c r="AI158" s="31" t="str">
        <f>_xlfn.IFNA(IF(AE158 &lt; (INDEX(SLATable[Minimum SLA],MATCH(G158,SLATable[Priority],0))),"YES","NO"),"")</f>
        <v/>
      </c>
      <c r="AJ158" t="str">
        <f>_xlfn.IFNA(IF(AE158 &lt; (INDEX(SLATable[Maximum SLA],MATCH(G158,SLATable[Priority],0))),"YES","NO"),"")</f>
        <v/>
      </c>
    </row>
    <row r="159" spans="26:36" ht="15" customHeight="1">
      <c r="Z159" s="76" t="e">
        <f t="shared" ca="1" si="16"/>
        <v>#N/A</v>
      </c>
      <c r="AA159" s="75" t="e">
        <f t="shared" ca="1" si="1"/>
        <v>#N/A</v>
      </c>
      <c r="AB159" s="76">
        <f t="shared" ca="1" si="17"/>
        <v>0</v>
      </c>
      <c r="AC159" s="75">
        <f t="shared" ca="1" si="3"/>
        <v>0</v>
      </c>
      <c r="AD159" s="76">
        <f t="shared" ca="1" si="18"/>
        <v>12388.425641087964</v>
      </c>
      <c r="AE159" s="76">
        <f t="shared" si="19"/>
        <v>0</v>
      </c>
      <c r="AF159" s="75">
        <f t="shared" si="6"/>
        <v>0</v>
      </c>
      <c r="AG159" s="75">
        <f t="shared" si="7"/>
        <v>0</v>
      </c>
      <c r="AH159" s="31" t="e" cm="1">
        <f t="array" aca="1" ref="AH159" ca="1">IF((AD159) &lt; (INDEX(ResponseSLA[#All],(MATCH((G159),ResponseSLA[Priority],0))+1,3)),"YES","No")</f>
        <v>#N/A</v>
      </c>
      <c r="AI159" s="31" t="str">
        <f>_xlfn.IFNA(IF(AE159 &lt; (INDEX(SLATable[Minimum SLA],MATCH(G159,SLATable[Priority],0))),"YES","NO"),"")</f>
        <v/>
      </c>
      <c r="AJ159" t="str">
        <f>_xlfn.IFNA(IF(AE159 &lt; (INDEX(SLATable[Maximum SLA],MATCH(G159,SLATable[Priority],0))),"YES","NO"),"")</f>
        <v/>
      </c>
    </row>
    <row r="160" spans="26:36" ht="15" customHeight="1">
      <c r="Z160" s="76" t="e">
        <f t="shared" ca="1" si="16"/>
        <v>#N/A</v>
      </c>
      <c r="AA160" s="75" t="e">
        <f t="shared" ca="1" si="1"/>
        <v>#N/A</v>
      </c>
      <c r="AB160" s="76">
        <f t="shared" ca="1" si="17"/>
        <v>0</v>
      </c>
      <c r="AC160" s="75">
        <f t="shared" ca="1" si="3"/>
        <v>0</v>
      </c>
      <c r="AD160" s="76">
        <f t="shared" ca="1" si="18"/>
        <v>12388.425641087964</v>
      </c>
      <c r="AE160" s="76">
        <f t="shared" si="19"/>
        <v>0</v>
      </c>
      <c r="AF160" s="75">
        <f t="shared" si="6"/>
        <v>0</v>
      </c>
      <c r="AG160" s="75">
        <f t="shared" si="7"/>
        <v>0</v>
      </c>
      <c r="AH160" s="31" t="e" cm="1">
        <f t="array" aca="1" ref="AH160" ca="1">IF((AD160) &lt; (INDEX(ResponseSLA[#All],(MATCH((G160),ResponseSLA[Priority],0))+1,3)),"YES","No")</f>
        <v>#N/A</v>
      </c>
      <c r="AI160" s="31" t="str">
        <f>_xlfn.IFNA(IF(AE160 &lt; (INDEX(SLATable[Minimum SLA],MATCH(G160,SLATable[Priority],0))),"YES","NO"),"")</f>
        <v/>
      </c>
      <c r="AJ160" t="str">
        <f>_xlfn.IFNA(IF(AE160 &lt; (INDEX(SLATable[Maximum SLA],MATCH(G160,SLATable[Priority],0))),"YES","NO"),"")</f>
        <v/>
      </c>
    </row>
    <row r="161" spans="26:36" ht="15" customHeight="1">
      <c r="Z161" s="76" t="e">
        <f t="shared" ca="1" si="16"/>
        <v>#N/A</v>
      </c>
      <c r="AA161" s="75" t="e">
        <f t="shared" ca="1" si="1"/>
        <v>#N/A</v>
      </c>
      <c r="AB161" s="76">
        <f t="shared" ca="1" si="17"/>
        <v>0</v>
      </c>
      <c r="AC161" s="75">
        <f t="shared" ca="1" si="3"/>
        <v>0</v>
      </c>
      <c r="AD161" s="76">
        <f t="shared" ca="1" si="18"/>
        <v>12388.425641203703</v>
      </c>
      <c r="AE161" s="76">
        <f t="shared" si="19"/>
        <v>0</v>
      </c>
      <c r="AF161" s="75">
        <f t="shared" si="6"/>
        <v>0</v>
      </c>
      <c r="AG161" s="75">
        <f t="shared" si="7"/>
        <v>0</v>
      </c>
      <c r="AH161" s="31" t="e" cm="1">
        <f t="array" aca="1" ref="AH161" ca="1">IF((AD161) &lt; (INDEX(ResponseSLA[#All],(MATCH((G161),ResponseSLA[Priority],0))+1,3)),"YES","No")</f>
        <v>#N/A</v>
      </c>
      <c r="AI161" s="31" t="str">
        <f>_xlfn.IFNA(IF(AE161 &lt; (INDEX(SLATable[Minimum SLA],MATCH(G161,SLATable[Priority],0))),"YES","NO"),"")</f>
        <v/>
      </c>
      <c r="AJ161" t="str">
        <f>_xlfn.IFNA(IF(AE161 &lt; (INDEX(SLATable[Maximum SLA],MATCH(G161,SLATable[Priority],0))),"YES","NO"),"")</f>
        <v/>
      </c>
    </row>
    <row r="162" spans="26:36" ht="15" customHeight="1">
      <c r="Z162" s="76" t="e">
        <f t="shared" ca="1" si="16"/>
        <v>#N/A</v>
      </c>
      <c r="AA162" s="75" t="e">
        <f t="shared" ca="1" si="1"/>
        <v>#N/A</v>
      </c>
      <c r="AB162" s="76">
        <f t="shared" ca="1" si="17"/>
        <v>0</v>
      </c>
      <c r="AC162" s="75">
        <f t="shared" ca="1" si="3"/>
        <v>0</v>
      </c>
      <c r="AD162" s="76">
        <f t="shared" ca="1" si="18"/>
        <v>12388.425641087964</v>
      </c>
      <c r="AE162" s="76">
        <f t="shared" si="19"/>
        <v>0</v>
      </c>
      <c r="AF162" s="75">
        <f t="shared" si="6"/>
        <v>0</v>
      </c>
      <c r="AG162" s="75">
        <f t="shared" si="7"/>
        <v>0</v>
      </c>
      <c r="AH162" s="31" t="e" cm="1">
        <f t="array" aca="1" ref="AH162" ca="1">IF((AD162) &lt; (INDEX(ResponseSLA[#All],(MATCH((G162),ResponseSLA[Priority],0))+1,3)),"YES","No")</f>
        <v>#N/A</v>
      </c>
      <c r="AI162" s="31" t="str">
        <f>_xlfn.IFNA(IF(AE162 &lt; (INDEX(SLATable[Minimum SLA],MATCH(G162,SLATable[Priority],0))),"YES","NO"),"")</f>
        <v/>
      </c>
      <c r="AJ162" t="str">
        <f>_xlfn.IFNA(IF(AE162 &lt; (INDEX(SLATable[Maximum SLA],MATCH(G162,SLATable[Priority],0))),"YES","NO"),"")</f>
        <v/>
      </c>
    </row>
    <row r="163" spans="26:36" ht="15" customHeight="1">
      <c r="Z163" s="76" t="e">
        <f t="shared" ca="1" si="16"/>
        <v>#N/A</v>
      </c>
      <c r="AA163" s="75" t="e">
        <f t="shared" ca="1" si="1"/>
        <v>#N/A</v>
      </c>
      <c r="AB163" s="76">
        <f t="shared" ca="1" si="17"/>
        <v>0</v>
      </c>
      <c r="AC163" s="75">
        <f t="shared" ca="1" si="3"/>
        <v>0</v>
      </c>
      <c r="AD163" s="76">
        <f t="shared" ca="1" si="18"/>
        <v>12388.425641087964</v>
      </c>
      <c r="AE163" s="76">
        <f t="shared" si="19"/>
        <v>0</v>
      </c>
      <c r="AF163" s="75">
        <f t="shared" si="6"/>
        <v>0</v>
      </c>
      <c r="AG163" s="75">
        <f t="shared" si="7"/>
        <v>0</v>
      </c>
      <c r="AH163" s="31" t="e" cm="1">
        <f t="array" aca="1" ref="AH163" ca="1">IF((AD163) &lt; (INDEX(ResponseSLA[#All],(MATCH((G163),ResponseSLA[Priority],0))+1,3)),"YES","No")</f>
        <v>#N/A</v>
      </c>
      <c r="AI163" s="31" t="str">
        <f>_xlfn.IFNA(IF(AE163 &lt; (INDEX(SLATable[Minimum SLA],MATCH(G163,SLATable[Priority],0))),"YES","NO"),"")</f>
        <v/>
      </c>
      <c r="AJ163" t="str">
        <f>_xlfn.IFNA(IF(AE163 &lt; (INDEX(SLATable[Maximum SLA],MATCH(G163,SLATable[Priority],0))),"YES","NO"),"")</f>
        <v/>
      </c>
    </row>
    <row r="164" spans="26:36" ht="15" customHeight="1">
      <c r="Z164" s="76" t="e">
        <f t="shared" ca="1" si="16"/>
        <v>#N/A</v>
      </c>
      <c r="AA164" s="75" t="e">
        <f t="shared" ca="1" si="1"/>
        <v>#N/A</v>
      </c>
      <c r="AB164" s="76">
        <f t="shared" ca="1" si="17"/>
        <v>0</v>
      </c>
      <c r="AC164" s="75">
        <f t="shared" ca="1" si="3"/>
        <v>0</v>
      </c>
      <c r="AD164" s="76">
        <f t="shared" ca="1" si="18"/>
        <v>12388.425641203703</v>
      </c>
      <c r="AE164" s="76">
        <f t="shared" si="19"/>
        <v>0</v>
      </c>
      <c r="AF164" s="75">
        <f t="shared" si="6"/>
        <v>0</v>
      </c>
      <c r="AG164" s="75">
        <f t="shared" si="7"/>
        <v>0</v>
      </c>
      <c r="AH164" s="31" t="e" cm="1">
        <f t="array" aca="1" ref="AH164" ca="1">IF((AD164) &lt; (INDEX(ResponseSLA[#All],(MATCH((G164),ResponseSLA[Priority],0))+1,3)),"YES","No")</f>
        <v>#N/A</v>
      </c>
      <c r="AI164" s="31" t="str">
        <f>_xlfn.IFNA(IF(AE164 &lt; (INDEX(SLATable[Minimum SLA],MATCH(G164,SLATable[Priority],0))),"YES","NO"),"")</f>
        <v/>
      </c>
      <c r="AJ164" t="str">
        <f>_xlfn.IFNA(IF(AE164 &lt; (INDEX(SLATable[Maximum SLA],MATCH(G164,SLATable[Priority],0))),"YES","NO"),"")</f>
        <v/>
      </c>
    </row>
    <row r="165" spans="26:36" ht="15" customHeight="1">
      <c r="Z165" s="76" t="e">
        <f t="shared" ca="1" si="16"/>
        <v>#N/A</v>
      </c>
      <c r="AA165" s="75" t="e">
        <f t="shared" ca="1" si="1"/>
        <v>#N/A</v>
      </c>
      <c r="AB165" s="76">
        <f t="shared" ca="1" si="17"/>
        <v>0</v>
      </c>
      <c r="AC165" s="75">
        <f t="shared" ca="1" si="3"/>
        <v>0</v>
      </c>
      <c r="AD165" s="76">
        <f t="shared" ca="1" si="18"/>
        <v>12388.425641087964</v>
      </c>
      <c r="AE165" s="76">
        <f t="shared" si="19"/>
        <v>0</v>
      </c>
      <c r="AF165" s="75">
        <f t="shared" si="6"/>
        <v>0</v>
      </c>
      <c r="AG165" s="75">
        <f t="shared" si="7"/>
        <v>0</v>
      </c>
      <c r="AH165" s="31" t="e" cm="1">
        <f t="array" aca="1" ref="AH165" ca="1">IF((AD165) &lt; (INDEX(ResponseSLA[#All],(MATCH((G165),ResponseSLA[Priority],0))+1,3)),"YES","No")</f>
        <v>#N/A</v>
      </c>
      <c r="AI165" s="31" t="str">
        <f>_xlfn.IFNA(IF(AE165 &lt; (INDEX(SLATable[Minimum SLA],MATCH(G165,SLATable[Priority],0))),"YES","NO"),"")</f>
        <v/>
      </c>
      <c r="AJ165" t="str">
        <f>_xlfn.IFNA(IF(AE165 &lt; (INDEX(SLATable[Maximum SLA],MATCH(G165,SLATable[Priority],0))),"YES","NO"),"")</f>
        <v/>
      </c>
    </row>
    <row r="166" spans="26:36" ht="15" customHeight="1">
      <c r="Z166" s="76" t="e">
        <f t="shared" ca="1" si="16"/>
        <v>#N/A</v>
      </c>
      <c r="AA166" s="75" t="e">
        <f t="shared" ca="1" si="1"/>
        <v>#N/A</v>
      </c>
      <c r="AB166" s="76">
        <f t="shared" ca="1" si="17"/>
        <v>0</v>
      </c>
      <c r="AC166" s="75">
        <f t="shared" ca="1" si="3"/>
        <v>0</v>
      </c>
      <c r="AD166" s="76">
        <f t="shared" ca="1" si="18"/>
        <v>12388.425641087964</v>
      </c>
      <c r="AE166" s="76">
        <f t="shared" si="19"/>
        <v>0</v>
      </c>
      <c r="AF166" s="75">
        <f t="shared" si="6"/>
        <v>0</v>
      </c>
      <c r="AG166" s="75">
        <f t="shared" si="7"/>
        <v>0</v>
      </c>
      <c r="AH166" s="31" t="e" cm="1">
        <f t="array" aca="1" ref="AH166" ca="1">IF((AD166) &lt; (INDEX(ResponseSLA[#All],(MATCH((G166),ResponseSLA[Priority],0))+1,3)),"YES","No")</f>
        <v>#N/A</v>
      </c>
      <c r="AI166" s="31" t="str">
        <f>_xlfn.IFNA(IF(AE166 &lt; (INDEX(SLATable[Minimum SLA],MATCH(G166,SLATable[Priority],0))),"YES","NO"),"")</f>
        <v/>
      </c>
      <c r="AJ166" t="str">
        <f>_xlfn.IFNA(IF(AE166 &lt; (INDEX(SLATable[Maximum SLA],MATCH(G166,SLATable[Priority],0))),"YES","NO"),"")</f>
        <v/>
      </c>
    </row>
    <row r="167" spans="26:36" ht="15" customHeight="1">
      <c r="Z167" s="76" t="e">
        <f t="shared" ca="1" si="16"/>
        <v>#N/A</v>
      </c>
      <c r="AA167" s="75" t="e">
        <f t="shared" ca="1" si="1"/>
        <v>#N/A</v>
      </c>
      <c r="AB167" s="76">
        <f t="shared" ca="1" si="17"/>
        <v>0</v>
      </c>
      <c r="AC167" s="75">
        <f t="shared" ca="1" si="3"/>
        <v>0</v>
      </c>
      <c r="AD167" s="76">
        <f t="shared" ca="1" si="18"/>
        <v>12388.425641203703</v>
      </c>
      <c r="AE167" s="76">
        <f t="shared" si="19"/>
        <v>0</v>
      </c>
      <c r="AF167" s="75">
        <f t="shared" si="6"/>
        <v>0</v>
      </c>
      <c r="AG167" s="75">
        <f t="shared" si="7"/>
        <v>0</v>
      </c>
      <c r="AH167" s="31" t="e" cm="1">
        <f t="array" aca="1" ref="AH167" ca="1">IF((AD167) &lt; (INDEX(ResponseSLA[#All],(MATCH((G167),ResponseSLA[Priority],0))+1,3)),"YES","No")</f>
        <v>#N/A</v>
      </c>
      <c r="AI167" s="31" t="str">
        <f>_xlfn.IFNA(IF(AE167 &lt; (INDEX(SLATable[Minimum SLA],MATCH(G167,SLATable[Priority],0))),"YES","NO"),"")</f>
        <v/>
      </c>
      <c r="AJ167" t="str">
        <f>_xlfn.IFNA(IF(AE167 &lt; (INDEX(SLATable[Maximum SLA],MATCH(G167,SLATable[Priority],0))),"YES","NO"),"")</f>
        <v/>
      </c>
    </row>
    <row r="168" spans="26:36" ht="15" customHeight="1">
      <c r="Z168" s="76" t="e">
        <f t="shared" ca="1" si="16"/>
        <v>#N/A</v>
      </c>
      <c r="AA168" s="75" t="e">
        <f t="shared" ca="1" si="1"/>
        <v>#N/A</v>
      </c>
      <c r="AB168" s="76">
        <f t="shared" ca="1" si="17"/>
        <v>0</v>
      </c>
      <c r="AC168" s="75">
        <f t="shared" ca="1" si="3"/>
        <v>0</v>
      </c>
      <c r="AD168" s="76">
        <f t="shared" ca="1" si="18"/>
        <v>12388.425641087964</v>
      </c>
      <c r="AE168" s="76">
        <f t="shared" si="19"/>
        <v>0</v>
      </c>
      <c r="AF168" s="75">
        <f t="shared" si="6"/>
        <v>0</v>
      </c>
      <c r="AG168" s="75">
        <f t="shared" si="7"/>
        <v>0</v>
      </c>
      <c r="AH168" s="31" t="e" cm="1">
        <f t="array" aca="1" ref="AH168" ca="1">IF((AD168) &lt; (INDEX(ResponseSLA[#All],(MATCH((G168),ResponseSLA[Priority],0))+1,3)),"YES","No")</f>
        <v>#N/A</v>
      </c>
      <c r="AI168" s="31" t="str">
        <f>_xlfn.IFNA(IF(AE168 &lt; (INDEX(SLATable[Minimum SLA],MATCH(G168,SLATable[Priority],0))),"YES","NO"),"")</f>
        <v/>
      </c>
      <c r="AJ168" t="str">
        <f>_xlfn.IFNA(IF(AE168 &lt; (INDEX(SLATable[Maximum SLA],MATCH(G168,SLATable[Priority],0))),"YES","NO"),"")</f>
        <v/>
      </c>
    </row>
    <row r="169" spans="26:36" ht="15" customHeight="1">
      <c r="Z169" s="76" t="e">
        <f t="shared" ca="1" si="16"/>
        <v>#N/A</v>
      </c>
      <c r="AA169" s="75" t="e">
        <f t="shared" ca="1" si="1"/>
        <v>#N/A</v>
      </c>
      <c r="AB169" s="76">
        <f t="shared" ca="1" si="17"/>
        <v>0</v>
      </c>
      <c r="AC169" s="75">
        <f t="shared" ca="1" si="3"/>
        <v>0</v>
      </c>
      <c r="AD169" s="76">
        <f t="shared" ca="1" si="18"/>
        <v>12388.425641087964</v>
      </c>
      <c r="AE169" s="76">
        <f t="shared" si="19"/>
        <v>0</v>
      </c>
      <c r="AF169" s="75">
        <f t="shared" si="6"/>
        <v>0</v>
      </c>
      <c r="AG169" s="75">
        <f t="shared" si="7"/>
        <v>0</v>
      </c>
      <c r="AH169" s="31" t="e" cm="1">
        <f t="array" aca="1" ref="AH169" ca="1">IF((AD169) &lt; (INDEX(ResponseSLA[#All],(MATCH((G169),ResponseSLA[Priority],0))+1,3)),"YES","No")</f>
        <v>#N/A</v>
      </c>
      <c r="AI169" s="31" t="str">
        <f>_xlfn.IFNA(IF(AE169 &lt; (INDEX(SLATable[Minimum SLA],MATCH(G169,SLATable[Priority],0))),"YES","NO"),"")</f>
        <v/>
      </c>
      <c r="AJ169" t="str">
        <f>_xlfn.IFNA(IF(AE169 &lt; (INDEX(SLATable[Maximum SLA],MATCH(G169,SLATable[Priority],0))),"YES","NO"),"")</f>
        <v/>
      </c>
    </row>
    <row r="170" spans="26:36" ht="15" customHeight="1">
      <c r="Z170" s="76" t="e">
        <f t="shared" ca="1" si="16"/>
        <v>#N/A</v>
      </c>
      <c r="AA170" s="75" t="e">
        <f t="shared" ca="1" si="1"/>
        <v>#N/A</v>
      </c>
      <c r="AB170" s="76">
        <f t="shared" ca="1" si="17"/>
        <v>0</v>
      </c>
      <c r="AC170" s="75">
        <f t="shared" ca="1" si="3"/>
        <v>0</v>
      </c>
      <c r="AD170" s="76">
        <f t="shared" ca="1" si="18"/>
        <v>12388.425641203703</v>
      </c>
      <c r="AE170" s="76">
        <f t="shared" si="19"/>
        <v>0</v>
      </c>
      <c r="AF170" s="75">
        <f t="shared" si="6"/>
        <v>0</v>
      </c>
      <c r="AG170" s="75">
        <f t="shared" si="7"/>
        <v>0</v>
      </c>
      <c r="AH170" s="31" t="e" cm="1">
        <f t="array" aca="1" ref="AH170" ca="1">IF((AD170) &lt; (INDEX(ResponseSLA[#All],(MATCH((G170),ResponseSLA[Priority],0))+1,3)),"YES","No")</f>
        <v>#N/A</v>
      </c>
      <c r="AI170" s="31" t="str">
        <f>_xlfn.IFNA(IF(AE170 &lt; (INDEX(SLATable[Minimum SLA],MATCH(G170,SLATable[Priority],0))),"YES","NO"),"")</f>
        <v/>
      </c>
      <c r="AJ170" t="str">
        <f>_xlfn.IFNA(IF(AE170 &lt; (INDEX(SLATable[Maximum SLA],MATCH(G170,SLATable[Priority],0))),"YES","NO"),"")</f>
        <v/>
      </c>
    </row>
    <row r="171" spans="26:36" ht="15" customHeight="1">
      <c r="Z171" s="76" t="e">
        <f t="shared" ca="1" si="16"/>
        <v>#N/A</v>
      </c>
      <c r="AA171" s="75" t="e">
        <f t="shared" ca="1" si="1"/>
        <v>#N/A</v>
      </c>
      <c r="AB171" s="76">
        <f t="shared" ca="1" si="17"/>
        <v>0</v>
      </c>
      <c r="AC171" s="75">
        <f t="shared" ca="1" si="3"/>
        <v>0</v>
      </c>
      <c r="AD171" s="76">
        <f t="shared" ca="1" si="18"/>
        <v>12388.425641087964</v>
      </c>
      <c r="AE171" s="76">
        <f t="shared" si="19"/>
        <v>0</v>
      </c>
      <c r="AF171" s="75">
        <f t="shared" si="6"/>
        <v>0</v>
      </c>
      <c r="AG171" s="75">
        <f t="shared" si="7"/>
        <v>0</v>
      </c>
      <c r="AH171" s="31" t="e" cm="1">
        <f t="array" aca="1" ref="AH171" ca="1">IF((AD171) &lt; (INDEX(ResponseSLA[#All],(MATCH((G171),ResponseSLA[Priority],0))+1,3)),"YES","No")</f>
        <v>#N/A</v>
      </c>
      <c r="AI171" s="31" t="str">
        <f>_xlfn.IFNA(IF(AE171 &lt; (INDEX(SLATable[Minimum SLA],MATCH(G171,SLATable[Priority],0))),"YES","NO"),"")</f>
        <v/>
      </c>
      <c r="AJ171" t="str">
        <f>_xlfn.IFNA(IF(AE171 &lt; (INDEX(SLATable[Maximum SLA],MATCH(G171,SLATable[Priority],0))),"YES","NO"),"")</f>
        <v/>
      </c>
    </row>
    <row r="172" spans="26:36" ht="15" customHeight="1">
      <c r="Z172" s="76" t="e">
        <f t="shared" ca="1" si="16"/>
        <v>#N/A</v>
      </c>
      <c r="AA172" s="75" t="e">
        <f t="shared" ca="1" si="1"/>
        <v>#N/A</v>
      </c>
      <c r="AB172" s="76">
        <f t="shared" ca="1" si="17"/>
        <v>0</v>
      </c>
      <c r="AC172" s="75">
        <f t="shared" ca="1" si="3"/>
        <v>0</v>
      </c>
      <c r="AD172" s="76">
        <f t="shared" ca="1" si="18"/>
        <v>12388.425641087964</v>
      </c>
      <c r="AE172" s="76">
        <f t="shared" si="19"/>
        <v>0</v>
      </c>
      <c r="AF172" s="75">
        <f t="shared" si="6"/>
        <v>0</v>
      </c>
      <c r="AG172" s="75">
        <f t="shared" si="7"/>
        <v>0</v>
      </c>
      <c r="AH172" s="31" t="e" cm="1">
        <f t="array" aca="1" ref="AH172" ca="1">IF((AD172) &lt; (INDEX(ResponseSLA[#All],(MATCH((G172),ResponseSLA[Priority],0))+1,3)),"YES","No")</f>
        <v>#N/A</v>
      </c>
      <c r="AI172" s="31" t="str">
        <f>_xlfn.IFNA(IF(AE172 &lt; (INDEX(SLATable[Minimum SLA],MATCH(G172,SLATable[Priority],0))),"YES","NO"),"")</f>
        <v/>
      </c>
      <c r="AJ172" t="str">
        <f>_xlfn.IFNA(IF(AE172 &lt; (INDEX(SLATable[Maximum SLA],MATCH(G172,SLATable[Priority],0))),"YES","NO"),"")</f>
        <v/>
      </c>
    </row>
    <row r="173" spans="26:36" ht="15" customHeight="1">
      <c r="Z173" s="76" t="e">
        <f t="shared" ca="1" si="16"/>
        <v>#N/A</v>
      </c>
      <c r="AA173" s="75" t="e">
        <f t="shared" ca="1" si="1"/>
        <v>#N/A</v>
      </c>
      <c r="AB173" s="76">
        <f t="shared" ca="1" si="17"/>
        <v>0</v>
      </c>
      <c r="AC173" s="75">
        <f t="shared" ca="1" si="3"/>
        <v>0</v>
      </c>
      <c r="AD173" s="76">
        <f t="shared" ca="1" si="18"/>
        <v>12388.425641203703</v>
      </c>
      <c r="AE173" s="76">
        <f t="shared" si="19"/>
        <v>0</v>
      </c>
      <c r="AF173" s="75">
        <f t="shared" si="6"/>
        <v>0</v>
      </c>
      <c r="AG173" s="75">
        <f t="shared" si="7"/>
        <v>0</v>
      </c>
      <c r="AH173" s="31" t="e" cm="1">
        <f t="array" aca="1" ref="AH173" ca="1">IF((AD173) &lt; (INDEX(ResponseSLA[#All],(MATCH((G173),ResponseSLA[Priority],0))+1,3)),"YES","No")</f>
        <v>#N/A</v>
      </c>
      <c r="AI173" s="31" t="str">
        <f>_xlfn.IFNA(IF(AE173 &lt; (INDEX(SLATable[Minimum SLA],MATCH(G173,SLATable[Priority],0))),"YES","NO"),"")</f>
        <v/>
      </c>
      <c r="AJ173" t="str">
        <f>_xlfn.IFNA(IF(AE173 &lt; (INDEX(SLATable[Maximum SLA],MATCH(G173,SLATable[Priority],0))),"YES","NO"),"")</f>
        <v/>
      </c>
    </row>
    <row r="174" spans="26:36" ht="15" customHeight="1">
      <c r="Z174" s="76" t="e">
        <f t="shared" ca="1" si="16"/>
        <v>#N/A</v>
      </c>
      <c r="AA174" s="75" t="e">
        <f t="shared" ca="1" si="1"/>
        <v>#N/A</v>
      </c>
      <c r="AB174" s="76">
        <f t="shared" ca="1" si="17"/>
        <v>0</v>
      </c>
      <c r="AC174" s="75">
        <f t="shared" ca="1" si="3"/>
        <v>0</v>
      </c>
      <c r="AD174" s="76">
        <f t="shared" ca="1" si="18"/>
        <v>12388.425641087964</v>
      </c>
      <c r="AE174" s="76">
        <f t="shared" si="19"/>
        <v>0</v>
      </c>
      <c r="AF174" s="75">
        <f t="shared" si="6"/>
        <v>0</v>
      </c>
      <c r="AG174" s="75">
        <f t="shared" si="7"/>
        <v>0</v>
      </c>
      <c r="AH174" s="31" t="e" cm="1">
        <f t="array" aca="1" ref="AH174" ca="1">IF((AD174) &lt; (INDEX(ResponseSLA[#All],(MATCH((G174),ResponseSLA[Priority],0))+1,3)),"YES","No")</f>
        <v>#N/A</v>
      </c>
      <c r="AI174" s="31" t="str">
        <f>_xlfn.IFNA(IF(AE174 &lt; (INDEX(SLATable[Minimum SLA],MATCH(G174,SLATable[Priority],0))),"YES","NO"),"")</f>
        <v/>
      </c>
      <c r="AJ174" t="str">
        <f>_xlfn.IFNA(IF(AE174 &lt; (INDEX(SLATable[Maximum SLA],MATCH(G174,SLATable[Priority],0))),"YES","NO"),"")</f>
        <v/>
      </c>
    </row>
    <row r="175" spans="26:36" ht="15" customHeight="1">
      <c r="Z175" s="76" t="e">
        <f t="shared" ca="1" si="16"/>
        <v>#N/A</v>
      </c>
      <c r="AA175" s="75" t="e">
        <f t="shared" ca="1" si="1"/>
        <v>#N/A</v>
      </c>
      <c r="AB175" s="76">
        <f t="shared" ca="1" si="17"/>
        <v>0</v>
      </c>
      <c r="AC175" s="75">
        <f t="shared" ca="1" si="3"/>
        <v>0</v>
      </c>
      <c r="AD175" s="76">
        <f t="shared" ca="1" si="18"/>
        <v>12388.425641087964</v>
      </c>
      <c r="AE175" s="76">
        <f t="shared" si="19"/>
        <v>0</v>
      </c>
      <c r="AF175" s="75">
        <f t="shared" si="6"/>
        <v>0</v>
      </c>
      <c r="AG175" s="75">
        <f t="shared" si="7"/>
        <v>0</v>
      </c>
      <c r="AH175" s="31" t="e" cm="1">
        <f t="array" aca="1" ref="AH175" ca="1">IF((AD175) &lt; (INDEX(ResponseSLA[#All],(MATCH((G175),ResponseSLA[Priority],0))+1,3)),"YES","No")</f>
        <v>#N/A</v>
      </c>
      <c r="AI175" s="31" t="str">
        <f>_xlfn.IFNA(IF(AE175 &lt; (INDEX(SLATable[Minimum SLA],MATCH(G175,SLATable[Priority],0))),"YES","NO"),"")</f>
        <v/>
      </c>
      <c r="AJ175" t="str">
        <f>_xlfn.IFNA(IF(AE175 &lt; (INDEX(SLATable[Maximum SLA],MATCH(G175,SLATable[Priority],0))),"YES","NO"),"")</f>
        <v/>
      </c>
    </row>
    <row r="176" spans="26:36" ht="15" customHeight="1">
      <c r="Z176" s="76" t="e">
        <f t="shared" ca="1" si="16"/>
        <v>#N/A</v>
      </c>
      <c r="AA176" s="75" t="e">
        <f t="shared" ca="1" si="1"/>
        <v>#N/A</v>
      </c>
      <c r="AB176" s="76">
        <f t="shared" ca="1" si="17"/>
        <v>0</v>
      </c>
      <c r="AC176" s="75">
        <f t="shared" ca="1" si="3"/>
        <v>0</v>
      </c>
      <c r="AD176" s="76">
        <f t="shared" ca="1" si="18"/>
        <v>12388.425641203703</v>
      </c>
      <c r="AE176" s="76">
        <f t="shared" si="19"/>
        <v>0</v>
      </c>
      <c r="AF176" s="75">
        <f t="shared" si="6"/>
        <v>0</v>
      </c>
      <c r="AG176" s="75">
        <f t="shared" si="7"/>
        <v>0</v>
      </c>
      <c r="AH176" s="31" t="e" cm="1">
        <f t="array" aca="1" ref="AH176" ca="1">IF((AD176) &lt; (INDEX(ResponseSLA[#All],(MATCH((G176),ResponseSLA[Priority],0))+1,3)),"YES","No")</f>
        <v>#N/A</v>
      </c>
      <c r="AI176" s="31" t="str">
        <f>_xlfn.IFNA(IF(AE176 &lt; (INDEX(SLATable[Minimum SLA],MATCH(G176,SLATable[Priority],0))),"YES","NO"),"")</f>
        <v/>
      </c>
      <c r="AJ176" t="str">
        <f>_xlfn.IFNA(IF(AE176 &lt; (INDEX(SLATable[Maximum SLA],MATCH(G176,SLATable[Priority],0))),"YES","NO"),"")</f>
        <v/>
      </c>
    </row>
    <row r="177" spans="26:36" ht="15" customHeight="1">
      <c r="Z177" s="76" t="e">
        <f t="shared" ca="1" si="16"/>
        <v>#N/A</v>
      </c>
      <c r="AA177" s="75" t="e">
        <f t="shared" ca="1" si="1"/>
        <v>#N/A</v>
      </c>
      <c r="AB177" s="76">
        <f t="shared" ca="1" si="17"/>
        <v>0</v>
      </c>
      <c r="AC177" s="75">
        <f t="shared" ca="1" si="3"/>
        <v>0</v>
      </c>
      <c r="AD177" s="76">
        <f t="shared" ca="1" si="18"/>
        <v>12388.425641087964</v>
      </c>
      <c r="AE177" s="76">
        <f t="shared" si="19"/>
        <v>0</v>
      </c>
      <c r="AF177" s="75">
        <f t="shared" si="6"/>
        <v>0</v>
      </c>
      <c r="AG177" s="75">
        <f t="shared" si="7"/>
        <v>0</v>
      </c>
      <c r="AH177" s="31" t="e" cm="1">
        <f t="array" aca="1" ref="AH177" ca="1">IF((AD177) &lt; (INDEX(ResponseSLA[#All],(MATCH((G177),ResponseSLA[Priority],0))+1,3)),"YES","No")</f>
        <v>#N/A</v>
      </c>
      <c r="AI177" s="31" t="str">
        <f>_xlfn.IFNA(IF(AE177 &lt; (INDEX(SLATable[Minimum SLA],MATCH(G177,SLATable[Priority],0))),"YES","NO"),"")</f>
        <v/>
      </c>
      <c r="AJ177" t="str">
        <f>_xlfn.IFNA(IF(AE177 &lt; (INDEX(SLATable[Maximum SLA],MATCH(G177,SLATable[Priority],0))),"YES","NO"),"")</f>
        <v/>
      </c>
    </row>
    <row r="178" spans="26:36" ht="15" customHeight="1">
      <c r="Z178" s="76" t="e">
        <f t="shared" ca="1" si="16"/>
        <v>#N/A</v>
      </c>
      <c r="AA178" s="75" t="e">
        <f t="shared" ca="1" si="1"/>
        <v>#N/A</v>
      </c>
      <c r="AB178" s="76">
        <f t="shared" ca="1" si="17"/>
        <v>0</v>
      </c>
      <c r="AC178" s="75">
        <f t="shared" ca="1" si="3"/>
        <v>0</v>
      </c>
      <c r="AD178" s="76">
        <f t="shared" ca="1" si="18"/>
        <v>12388.425641087964</v>
      </c>
      <c r="AE178" s="76">
        <f t="shared" si="19"/>
        <v>0</v>
      </c>
      <c r="AF178" s="75">
        <f t="shared" si="6"/>
        <v>0</v>
      </c>
      <c r="AG178" s="75">
        <f t="shared" si="7"/>
        <v>0</v>
      </c>
      <c r="AH178" s="31" t="e" cm="1">
        <f t="array" aca="1" ref="AH178" ca="1">IF((AD178) &lt; (INDEX(ResponseSLA[#All],(MATCH((G178),ResponseSLA[Priority],0))+1,3)),"YES","No")</f>
        <v>#N/A</v>
      </c>
      <c r="AI178" s="31" t="str">
        <f>_xlfn.IFNA(IF(AE178 &lt; (INDEX(SLATable[Minimum SLA],MATCH(G178,SLATable[Priority],0))),"YES","NO"),"")</f>
        <v/>
      </c>
      <c r="AJ178" t="str">
        <f>_xlfn.IFNA(IF(AE178 &lt; (INDEX(SLATable[Maximum SLA],MATCH(G178,SLATable[Priority],0))),"YES","NO"),"")</f>
        <v/>
      </c>
    </row>
    <row r="179" spans="26:36" ht="15" customHeight="1">
      <c r="Z179" s="76" t="e">
        <f t="shared" ca="1" si="16"/>
        <v>#N/A</v>
      </c>
      <c r="AA179" s="75" t="e">
        <f t="shared" ca="1" si="1"/>
        <v>#N/A</v>
      </c>
      <c r="AB179" s="76">
        <f t="shared" ca="1" si="17"/>
        <v>0</v>
      </c>
      <c r="AC179" s="75">
        <f t="shared" ca="1" si="3"/>
        <v>0</v>
      </c>
      <c r="AD179" s="76">
        <f t="shared" ca="1" si="18"/>
        <v>12388.425641203703</v>
      </c>
      <c r="AE179" s="76">
        <f t="shared" si="19"/>
        <v>0</v>
      </c>
      <c r="AF179" s="75">
        <f t="shared" si="6"/>
        <v>0</v>
      </c>
      <c r="AG179" s="75">
        <f t="shared" si="7"/>
        <v>0</v>
      </c>
      <c r="AH179" s="31" t="e" cm="1">
        <f t="array" aca="1" ref="AH179" ca="1">IF((AD179) &lt; (INDEX(ResponseSLA[#All],(MATCH((G179),ResponseSLA[Priority],0))+1,3)),"YES","No")</f>
        <v>#N/A</v>
      </c>
      <c r="AI179" s="31" t="str">
        <f>_xlfn.IFNA(IF(AE179 &lt; (INDEX(SLATable[Minimum SLA],MATCH(G179,SLATable[Priority],0))),"YES","NO"),"")</f>
        <v/>
      </c>
      <c r="AJ179" t="str">
        <f>_xlfn.IFNA(IF(AE179 &lt; (INDEX(SLATable[Maximum SLA],MATCH(G179,SLATable[Priority],0))),"YES","NO"),"")</f>
        <v/>
      </c>
    </row>
    <row r="180" spans="26:36" ht="15" customHeight="1">
      <c r="Z180" s="76" t="e">
        <f t="shared" ca="1" si="16"/>
        <v>#N/A</v>
      </c>
      <c r="AA180" s="75" t="e">
        <f t="shared" ca="1" si="1"/>
        <v>#N/A</v>
      </c>
      <c r="AB180" s="76">
        <f t="shared" ca="1" si="17"/>
        <v>0</v>
      </c>
      <c r="AC180" s="75">
        <f t="shared" ca="1" si="3"/>
        <v>0</v>
      </c>
      <c r="AD180" s="76">
        <f t="shared" ca="1" si="18"/>
        <v>12388.425641087964</v>
      </c>
      <c r="AE180" s="76">
        <f t="shared" si="19"/>
        <v>0</v>
      </c>
      <c r="AF180" s="75">
        <f t="shared" si="6"/>
        <v>0</v>
      </c>
      <c r="AG180" s="75">
        <f t="shared" si="7"/>
        <v>0</v>
      </c>
      <c r="AH180" s="31" t="e" cm="1">
        <f t="array" aca="1" ref="AH180" ca="1">IF((AD180) &lt; (INDEX(ResponseSLA[#All],(MATCH((G180),ResponseSLA[Priority],0))+1,3)),"YES","No")</f>
        <v>#N/A</v>
      </c>
      <c r="AI180" s="31" t="str">
        <f>_xlfn.IFNA(IF(AE180 &lt; (INDEX(SLATable[Minimum SLA],MATCH(G180,SLATable[Priority],0))),"YES","NO"),"")</f>
        <v/>
      </c>
      <c r="AJ180" t="str">
        <f>_xlfn.IFNA(IF(AE180 &lt; (INDEX(SLATable[Maximum SLA],MATCH(G180,SLATable[Priority],0))),"YES","NO"),"")</f>
        <v/>
      </c>
    </row>
    <row r="181" spans="26:36" ht="15" customHeight="1">
      <c r="Z181" s="76" t="e">
        <f t="shared" ca="1" si="16"/>
        <v>#N/A</v>
      </c>
      <c r="AA181" s="75" t="e">
        <f t="shared" ca="1" si="1"/>
        <v>#N/A</v>
      </c>
      <c r="AB181" s="76">
        <f t="shared" ca="1" si="17"/>
        <v>0</v>
      </c>
      <c r="AC181" s="75">
        <f t="shared" ca="1" si="3"/>
        <v>0</v>
      </c>
      <c r="AD181" s="76">
        <f t="shared" ca="1" si="18"/>
        <v>12388.425641087964</v>
      </c>
      <c r="AE181" s="76">
        <f t="shared" si="19"/>
        <v>0</v>
      </c>
      <c r="AF181" s="75">
        <f t="shared" si="6"/>
        <v>0</v>
      </c>
      <c r="AG181" s="75">
        <f t="shared" si="7"/>
        <v>0</v>
      </c>
      <c r="AH181" s="31" t="e" cm="1">
        <f t="array" aca="1" ref="AH181" ca="1">IF((AD181) &lt; (INDEX(ResponseSLA[#All],(MATCH((G181),ResponseSLA[Priority],0))+1,3)),"YES","No")</f>
        <v>#N/A</v>
      </c>
      <c r="AI181" s="31" t="str">
        <f>_xlfn.IFNA(IF(AE181 &lt; (INDEX(SLATable[Minimum SLA],MATCH(G181,SLATable[Priority],0))),"YES","NO"),"")</f>
        <v/>
      </c>
      <c r="AJ181" t="str">
        <f>_xlfn.IFNA(IF(AE181 &lt; (INDEX(SLATable[Maximum SLA],MATCH(G181,SLATable[Priority],0))),"YES","NO"),"")</f>
        <v/>
      </c>
    </row>
    <row r="182" spans="26:36" ht="15" customHeight="1">
      <c r="Z182" s="76" t="e">
        <f t="shared" ca="1" si="16"/>
        <v>#N/A</v>
      </c>
      <c r="AA182" s="75" t="e">
        <f t="shared" ca="1" si="1"/>
        <v>#N/A</v>
      </c>
      <c r="AB182" s="76">
        <f t="shared" ca="1" si="17"/>
        <v>0</v>
      </c>
      <c r="AC182" s="75">
        <f t="shared" ca="1" si="3"/>
        <v>0</v>
      </c>
      <c r="AD182" s="76">
        <f t="shared" ca="1" si="18"/>
        <v>12388.425641203703</v>
      </c>
      <c r="AE182" s="76">
        <f t="shared" si="19"/>
        <v>0</v>
      </c>
      <c r="AF182" s="75">
        <f t="shared" si="6"/>
        <v>0</v>
      </c>
      <c r="AG182" s="75">
        <f t="shared" si="7"/>
        <v>0</v>
      </c>
      <c r="AH182" s="31" t="e" cm="1">
        <f t="array" aca="1" ref="AH182" ca="1">IF((AD182) &lt; (INDEX(ResponseSLA[#All],(MATCH((G182),ResponseSLA[Priority],0))+1,3)),"YES","No")</f>
        <v>#N/A</v>
      </c>
      <c r="AI182" s="31" t="str">
        <f>_xlfn.IFNA(IF(AE182 &lt; (INDEX(SLATable[Minimum SLA],MATCH(G182,SLATable[Priority],0))),"YES","NO"),"")</f>
        <v/>
      </c>
      <c r="AJ182" t="str">
        <f>_xlfn.IFNA(IF(AE182 &lt; (INDEX(SLATable[Maximum SLA],MATCH(G182,SLATable[Priority],0))),"YES","NO"),"")</f>
        <v/>
      </c>
    </row>
    <row r="183" spans="26:36" ht="15" customHeight="1">
      <c r="Z183" s="76" t="e">
        <f t="shared" ca="1" si="16"/>
        <v>#N/A</v>
      </c>
      <c r="AA183" s="75" t="e">
        <f t="shared" ca="1" si="1"/>
        <v>#N/A</v>
      </c>
      <c r="AB183" s="76">
        <f t="shared" ca="1" si="17"/>
        <v>0</v>
      </c>
      <c r="AC183" s="75">
        <f t="shared" ca="1" si="3"/>
        <v>0</v>
      </c>
      <c r="AD183" s="76">
        <f t="shared" ca="1" si="18"/>
        <v>12388.425641087964</v>
      </c>
      <c r="AE183" s="76">
        <f t="shared" si="19"/>
        <v>0</v>
      </c>
      <c r="AF183" s="75">
        <f t="shared" si="6"/>
        <v>0</v>
      </c>
      <c r="AG183" s="75">
        <f t="shared" si="7"/>
        <v>0</v>
      </c>
      <c r="AH183" s="31" t="e" cm="1">
        <f t="array" aca="1" ref="AH183" ca="1">IF((AD183) &lt; (INDEX(ResponseSLA[#All],(MATCH((G183),ResponseSLA[Priority],0))+1,3)),"YES","No")</f>
        <v>#N/A</v>
      </c>
      <c r="AI183" s="31" t="str">
        <f>_xlfn.IFNA(IF(AE183 &lt; (INDEX(SLATable[Minimum SLA],MATCH(G183,SLATable[Priority],0))),"YES","NO"),"")</f>
        <v/>
      </c>
      <c r="AJ183" t="str">
        <f>_xlfn.IFNA(IF(AE183 &lt; (INDEX(SLATable[Maximum SLA],MATCH(G183,SLATable[Priority],0))),"YES","NO"),"")</f>
        <v/>
      </c>
    </row>
    <row r="184" spans="26:36" ht="15" customHeight="1">
      <c r="Z184" s="76" t="e">
        <f t="shared" ca="1" si="16"/>
        <v>#N/A</v>
      </c>
      <c r="AA184" s="75" t="e">
        <f t="shared" ca="1" si="1"/>
        <v>#N/A</v>
      </c>
      <c r="AB184" s="76">
        <f t="shared" ca="1" si="17"/>
        <v>0</v>
      </c>
      <c r="AC184" s="75">
        <f t="shared" ca="1" si="3"/>
        <v>0</v>
      </c>
      <c r="AD184" s="76">
        <f t="shared" ca="1" si="18"/>
        <v>12388.425641087964</v>
      </c>
      <c r="AE184" s="76">
        <f t="shared" si="19"/>
        <v>0</v>
      </c>
      <c r="AF184" s="75">
        <f t="shared" si="6"/>
        <v>0</v>
      </c>
      <c r="AG184" s="75">
        <f t="shared" si="7"/>
        <v>0</v>
      </c>
      <c r="AH184" s="31" t="e" cm="1">
        <f t="array" aca="1" ref="AH184" ca="1">IF((AD184) &lt; (INDEX(ResponseSLA[#All],(MATCH((G184),ResponseSLA[Priority],0))+1,3)),"YES","No")</f>
        <v>#N/A</v>
      </c>
      <c r="AI184" s="31" t="str">
        <f>_xlfn.IFNA(IF(AE184 &lt; (INDEX(SLATable[Minimum SLA],MATCH(G184,SLATable[Priority],0))),"YES","NO"),"")</f>
        <v/>
      </c>
      <c r="AJ184" t="str">
        <f>_xlfn.IFNA(IF(AE184 &lt; (INDEX(SLATable[Maximum SLA],MATCH(G184,SLATable[Priority],0))),"YES","NO"),"")</f>
        <v/>
      </c>
    </row>
    <row r="185" spans="26:36" ht="15" customHeight="1">
      <c r="Z185" s="76" t="e">
        <f t="shared" ca="1" si="16"/>
        <v>#N/A</v>
      </c>
      <c r="AA185" s="75" t="e">
        <f t="shared" ca="1" si="1"/>
        <v>#N/A</v>
      </c>
      <c r="AB185" s="76">
        <f t="shared" ca="1" si="17"/>
        <v>0</v>
      </c>
      <c r="AC185" s="75">
        <f t="shared" ca="1" si="3"/>
        <v>0</v>
      </c>
      <c r="AD185" s="76">
        <f t="shared" ca="1" si="18"/>
        <v>12388.425641203703</v>
      </c>
      <c r="AE185" s="76">
        <f t="shared" si="19"/>
        <v>0</v>
      </c>
      <c r="AF185" s="75">
        <f t="shared" si="6"/>
        <v>0</v>
      </c>
      <c r="AG185" s="75">
        <f t="shared" si="7"/>
        <v>0</v>
      </c>
      <c r="AH185" s="31" t="e" cm="1">
        <f t="array" aca="1" ref="AH185" ca="1">IF((AD185) &lt; (INDEX(ResponseSLA[#All],(MATCH((G185),ResponseSLA[Priority],0))+1,3)),"YES","No")</f>
        <v>#N/A</v>
      </c>
      <c r="AI185" s="31" t="str">
        <f>_xlfn.IFNA(IF(AE185 &lt; (INDEX(SLATable[Minimum SLA],MATCH(G185,SLATable[Priority],0))),"YES","NO"),"")</f>
        <v/>
      </c>
      <c r="AJ185" t="str">
        <f>_xlfn.IFNA(IF(AE185 &lt; (INDEX(SLATable[Maximum SLA],MATCH(G185,SLATable[Priority],0))),"YES","NO"),"")</f>
        <v/>
      </c>
    </row>
    <row r="186" spans="26:36" ht="15" customHeight="1">
      <c r="Z186" s="76" t="e">
        <f t="shared" ca="1" si="16"/>
        <v>#N/A</v>
      </c>
      <c r="AA186" s="75" t="e">
        <f t="shared" ca="1" si="1"/>
        <v>#N/A</v>
      </c>
      <c r="AB186" s="76">
        <f t="shared" ca="1" si="17"/>
        <v>0</v>
      </c>
      <c r="AC186" s="75">
        <f t="shared" ca="1" si="3"/>
        <v>0</v>
      </c>
      <c r="AD186" s="76">
        <f t="shared" ca="1" si="18"/>
        <v>12388.425641087964</v>
      </c>
      <c r="AE186" s="76">
        <f t="shared" si="19"/>
        <v>0</v>
      </c>
      <c r="AF186" s="75">
        <f t="shared" si="6"/>
        <v>0</v>
      </c>
      <c r="AG186" s="75">
        <f t="shared" si="7"/>
        <v>0</v>
      </c>
      <c r="AH186" s="31" t="e" cm="1">
        <f t="array" aca="1" ref="AH186" ca="1">IF((AD186) &lt; (INDEX(ResponseSLA[#All],(MATCH((G186),ResponseSLA[Priority],0))+1,3)),"YES","No")</f>
        <v>#N/A</v>
      </c>
      <c r="AI186" s="31" t="str">
        <f>_xlfn.IFNA(IF(AE186 &lt; (INDEX(SLATable[Minimum SLA],MATCH(G186,SLATable[Priority],0))),"YES","NO"),"")</f>
        <v/>
      </c>
      <c r="AJ186" t="str">
        <f>_xlfn.IFNA(IF(AE186 &lt; (INDEX(SLATable[Maximum SLA],MATCH(G186,SLATable[Priority],0))),"YES","NO"),"")</f>
        <v/>
      </c>
    </row>
    <row r="187" spans="26:36" ht="15" customHeight="1">
      <c r="Z187" s="76" t="e">
        <f t="shared" ca="1" si="16"/>
        <v>#N/A</v>
      </c>
      <c r="AA187" s="75" t="e">
        <f t="shared" ca="1" si="1"/>
        <v>#N/A</v>
      </c>
      <c r="AB187" s="76">
        <f t="shared" ca="1" si="17"/>
        <v>0</v>
      </c>
      <c r="AC187" s="75">
        <f t="shared" ca="1" si="3"/>
        <v>0</v>
      </c>
      <c r="AD187" s="76">
        <f t="shared" ca="1" si="18"/>
        <v>12388.425641087964</v>
      </c>
      <c r="AE187" s="76">
        <f t="shared" si="19"/>
        <v>0</v>
      </c>
      <c r="AF187" s="75">
        <f t="shared" si="6"/>
        <v>0</v>
      </c>
      <c r="AG187" s="75">
        <f t="shared" si="7"/>
        <v>0</v>
      </c>
      <c r="AH187" s="31" t="e" cm="1">
        <f t="array" aca="1" ref="AH187" ca="1">IF((AD187) &lt; (INDEX(ResponseSLA[#All],(MATCH((G187),ResponseSLA[Priority],0))+1,3)),"YES","No")</f>
        <v>#N/A</v>
      </c>
      <c r="AI187" s="31" t="str">
        <f>_xlfn.IFNA(IF(AE187 &lt; (INDEX(SLATable[Minimum SLA],MATCH(G187,SLATable[Priority],0))),"YES","NO"),"")</f>
        <v/>
      </c>
      <c r="AJ187" t="str">
        <f>_xlfn.IFNA(IF(AE187 &lt; (INDEX(SLATable[Maximum SLA],MATCH(G187,SLATable[Priority],0))),"YES","NO"),"")</f>
        <v/>
      </c>
    </row>
    <row r="188" spans="26:36" ht="15" customHeight="1">
      <c r="Z188" s="76" t="e">
        <f t="shared" ca="1" si="16"/>
        <v>#N/A</v>
      </c>
      <c r="AA188" s="75" t="e">
        <f t="shared" ca="1" si="1"/>
        <v>#N/A</v>
      </c>
      <c r="AB188" s="76">
        <f t="shared" ca="1" si="17"/>
        <v>0</v>
      </c>
      <c r="AC188" s="75">
        <f t="shared" ca="1" si="3"/>
        <v>0</v>
      </c>
      <c r="AD188" s="76">
        <f t="shared" ca="1" si="18"/>
        <v>12388.425641203703</v>
      </c>
      <c r="AE188" s="76">
        <f t="shared" si="19"/>
        <v>0</v>
      </c>
      <c r="AF188" s="75">
        <f t="shared" si="6"/>
        <v>0</v>
      </c>
      <c r="AG188" s="75">
        <f t="shared" si="7"/>
        <v>0</v>
      </c>
      <c r="AH188" s="31" t="e" cm="1">
        <f t="array" aca="1" ref="AH188" ca="1">IF((AD188) &lt; (INDEX(ResponseSLA[#All],(MATCH((G188),ResponseSLA[Priority],0))+1,3)),"YES","No")</f>
        <v>#N/A</v>
      </c>
      <c r="AI188" s="31" t="str">
        <f>_xlfn.IFNA(IF(AE188 &lt; (INDEX(SLATable[Minimum SLA],MATCH(G188,SLATable[Priority],0))),"YES","NO"),"")</f>
        <v/>
      </c>
      <c r="AJ188" t="str">
        <f>_xlfn.IFNA(IF(AE188 &lt; (INDEX(SLATable[Maximum SLA],MATCH(G188,SLATable[Priority],0))),"YES","NO"),"")</f>
        <v/>
      </c>
    </row>
    <row r="189" spans="26:36" ht="15" customHeight="1">
      <c r="Z189" s="76" t="e">
        <f t="shared" ca="1" si="16"/>
        <v>#N/A</v>
      </c>
      <c r="AA189" s="75" t="e">
        <f t="shared" ca="1" si="1"/>
        <v>#N/A</v>
      </c>
      <c r="AB189" s="76">
        <f t="shared" ca="1" si="17"/>
        <v>0</v>
      </c>
      <c r="AC189" s="75">
        <f t="shared" ca="1" si="3"/>
        <v>0</v>
      </c>
      <c r="AD189" s="76">
        <f t="shared" ca="1" si="18"/>
        <v>12388.425641087964</v>
      </c>
      <c r="AE189" s="76">
        <f t="shared" si="19"/>
        <v>0</v>
      </c>
      <c r="AF189" s="75">
        <f t="shared" si="6"/>
        <v>0</v>
      </c>
      <c r="AG189" s="75">
        <f t="shared" si="7"/>
        <v>0</v>
      </c>
      <c r="AH189" s="31" t="e" cm="1">
        <f t="array" aca="1" ref="AH189" ca="1">IF((AD189) &lt; (INDEX(ResponseSLA[#All],(MATCH((G189),ResponseSLA[Priority],0))+1,3)),"YES","No")</f>
        <v>#N/A</v>
      </c>
      <c r="AI189" s="31" t="str">
        <f>_xlfn.IFNA(IF(AE189 &lt; (INDEX(SLATable[Minimum SLA],MATCH(G189,SLATable[Priority],0))),"YES","NO"),"")</f>
        <v/>
      </c>
      <c r="AJ189" t="str">
        <f>_xlfn.IFNA(IF(AE189 &lt; (INDEX(SLATable[Maximum SLA],MATCH(G189,SLATable[Priority],0))),"YES","NO"),"")</f>
        <v/>
      </c>
    </row>
    <row r="190" spans="26:36" ht="15" customHeight="1">
      <c r="Z190" s="76" t="e">
        <f t="shared" ca="1" si="16"/>
        <v>#N/A</v>
      </c>
      <c r="AA190" s="75" t="e">
        <f t="shared" ca="1" si="1"/>
        <v>#N/A</v>
      </c>
      <c r="AB190" s="76">
        <f t="shared" ca="1" si="17"/>
        <v>0</v>
      </c>
      <c r="AC190" s="75">
        <f t="shared" ca="1" si="3"/>
        <v>0</v>
      </c>
      <c r="AD190" s="76">
        <f t="shared" ca="1" si="18"/>
        <v>12388.425641087964</v>
      </c>
      <c r="AE190" s="76">
        <f t="shared" si="19"/>
        <v>0</v>
      </c>
      <c r="AF190" s="75">
        <f t="shared" si="6"/>
        <v>0</v>
      </c>
      <c r="AG190" s="75">
        <f t="shared" si="7"/>
        <v>0</v>
      </c>
      <c r="AH190" s="31" t="e" cm="1">
        <f t="array" aca="1" ref="AH190" ca="1">IF((AD190) &lt; (INDEX(ResponseSLA[#All],(MATCH((G190),ResponseSLA[Priority],0))+1,3)),"YES","No")</f>
        <v>#N/A</v>
      </c>
      <c r="AI190" s="31" t="str">
        <f>_xlfn.IFNA(IF(AE190 &lt; (INDEX(SLATable[Minimum SLA],MATCH(G190,SLATable[Priority],0))),"YES","NO"),"")</f>
        <v/>
      </c>
      <c r="AJ190" t="str">
        <f>_xlfn.IFNA(IF(AE190 &lt; (INDEX(SLATable[Maximum SLA],MATCH(G190,SLATable[Priority],0))),"YES","NO"),"")</f>
        <v/>
      </c>
    </row>
    <row r="191" spans="26:36" ht="15" customHeight="1">
      <c r="Z191" s="76" t="e">
        <f t="shared" ca="1" si="16"/>
        <v>#N/A</v>
      </c>
      <c r="AA191" s="75" t="e">
        <f t="shared" ca="1" si="1"/>
        <v>#N/A</v>
      </c>
      <c r="AB191" s="76">
        <f t="shared" ca="1" si="17"/>
        <v>0</v>
      </c>
      <c r="AC191" s="75">
        <f t="shared" ca="1" si="3"/>
        <v>0</v>
      </c>
      <c r="AD191" s="76">
        <f t="shared" ca="1" si="18"/>
        <v>12388.425641203703</v>
      </c>
      <c r="AE191" s="76">
        <f t="shared" si="19"/>
        <v>0</v>
      </c>
      <c r="AF191" s="75">
        <f t="shared" si="6"/>
        <v>0</v>
      </c>
      <c r="AG191" s="75">
        <f t="shared" si="7"/>
        <v>0</v>
      </c>
      <c r="AH191" s="31" t="e" cm="1">
        <f t="array" aca="1" ref="AH191" ca="1">IF((AD191) &lt; (INDEX(ResponseSLA[#All],(MATCH((G191),ResponseSLA[Priority],0))+1,3)),"YES","No")</f>
        <v>#N/A</v>
      </c>
      <c r="AI191" s="31" t="str">
        <f>_xlfn.IFNA(IF(AE191 &lt; (INDEX(SLATable[Minimum SLA],MATCH(G191,SLATable[Priority],0))),"YES","NO"),"")</f>
        <v/>
      </c>
      <c r="AJ191" t="str">
        <f>_xlfn.IFNA(IF(AE191 &lt; (INDEX(SLATable[Maximum SLA],MATCH(G191,SLATable[Priority],0))),"YES","NO"),"")</f>
        <v/>
      </c>
    </row>
    <row r="192" spans="26:36" ht="15" customHeight="1">
      <c r="Z192" s="76" t="e">
        <f t="shared" ca="1" si="16"/>
        <v>#N/A</v>
      </c>
      <c r="AA192" s="75" t="e">
        <f t="shared" ca="1" si="1"/>
        <v>#N/A</v>
      </c>
      <c r="AB192" s="76">
        <f t="shared" ca="1" si="17"/>
        <v>0</v>
      </c>
      <c r="AC192" s="75">
        <f t="shared" ca="1" si="3"/>
        <v>0</v>
      </c>
      <c r="AD192" s="76">
        <f t="shared" ca="1" si="18"/>
        <v>12388.425641087964</v>
      </c>
      <c r="AE192" s="76">
        <f t="shared" si="19"/>
        <v>0</v>
      </c>
      <c r="AF192" s="75">
        <f t="shared" si="6"/>
        <v>0</v>
      </c>
      <c r="AG192" s="75">
        <f t="shared" si="7"/>
        <v>0</v>
      </c>
      <c r="AH192" s="31" t="e" cm="1">
        <f t="array" aca="1" ref="AH192" ca="1">IF((AD192) &lt; (INDEX(ResponseSLA[#All],(MATCH((G192),ResponseSLA[Priority],0))+1,3)),"YES","No")</f>
        <v>#N/A</v>
      </c>
      <c r="AI192" s="31" t="str">
        <f>_xlfn.IFNA(IF(AE192 &lt; (INDEX(SLATable[Minimum SLA],MATCH(G192,SLATable[Priority],0))),"YES","NO"),"")</f>
        <v/>
      </c>
      <c r="AJ192" t="str">
        <f>_xlfn.IFNA(IF(AE192 &lt; (INDEX(SLATable[Maximum SLA],MATCH(G192,SLATable[Priority],0))),"YES","NO"),"")</f>
        <v/>
      </c>
    </row>
    <row r="193" spans="26:36" ht="15" customHeight="1">
      <c r="Z193" s="76" t="e">
        <f t="shared" ca="1" si="16"/>
        <v>#N/A</v>
      </c>
      <c r="AA193" s="75" t="e">
        <f t="shared" ca="1" si="1"/>
        <v>#N/A</v>
      </c>
      <c r="AB193" s="76">
        <f t="shared" ca="1" si="17"/>
        <v>0</v>
      </c>
      <c r="AC193" s="75">
        <f t="shared" ca="1" si="3"/>
        <v>0</v>
      </c>
      <c r="AD193" s="76">
        <f t="shared" ca="1" si="18"/>
        <v>12388.425641087964</v>
      </c>
      <c r="AE193" s="76">
        <f t="shared" si="19"/>
        <v>0</v>
      </c>
      <c r="AF193" s="75">
        <f t="shared" si="6"/>
        <v>0</v>
      </c>
      <c r="AG193" s="75">
        <f t="shared" si="7"/>
        <v>0</v>
      </c>
      <c r="AH193" s="31" t="e" cm="1">
        <f t="array" aca="1" ref="AH193" ca="1">IF((AD193) &lt; (INDEX(ResponseSLA[#All],(MATCH((G193),ResponseSLA[Priority],0))+1,3)),"YES","No")</f>
        <v>#N/A</v>
      </c>
      <c r="AI193" s="31" t="str">
        <f>_xlfn.IFNA(IF(AE193 &lt; (INDEX(SLATable[Minimum SLA],MATCH(G193,SLATable[Priority],0))),"YES","NO"),"")</f>
        <v/>
      </c>
      <c r="AJ193" t="str">
        <f>_xlfn.IFNA(IF(AE193 &lt; (INDEX(SLATable[Maximum SLA],MATCH(G193,SLATable[Priority],0))),"YES","NO"),"")</f>
        <v/>
      </c>
    </row>
    <row r="194" spans="26:36" ht="15" customHeight="1">
      <c r="Z194" s="76" t="e">
        <f t="shared" ca="1" si="16"/>
        <v>#N/A</v>
      </c>
      <c r="AA194" s="75" t="e">
        <f t="shared" ca="1" si="1"/>
        <v>#N/A</v>
      </c>
      <c r="AB194" s="76">
        <f t="shared" ca="1" si="17"/>
        <v>0</v>
      </c>
      <c r="AC194" s="75">
        <f t="shared" ca="1" si="3"/>
        <v>0</v>
      </c>
      <c r="AD194" s="76">
        <f t="shared" ca="1" si="18"/>
        <v>12388.425641203703</v>
      </c>
      <c r="AE194" s="76">
        <f t="shared" si="19"/>
        <v>0</v>
      </c>
      <c r="AF194" s="75">
        <f t="shared" si="6"/>
        <v>0</v>
      </c>
      <c r="AG194" s="75">
        <f t="shared" si="7"/>
        <v>0</v>
      </c>
      <c r="AH194" s="31" t="e" cm="1">
        <f t="array" aca="1" ref="AH194" ca="1">IF((AD194) &lt; (INDEX(ResponseSLA[#All],(MATCH((G194),ResponseSLA[Priority],0))+1,3)),"YES","No")</f>
        <v>#N/A</v>
      </c>
      <c r="AI194" s="31" t="str">
        <f>_xlfn.IFNA(IF(AE194 &lt; (INDEX(SLATable[Minimum SLA],MATCH(G194,SLATable[Priority],0))),"YES","NO"),"")</f>
        <v/>
      </c>
      <c r="AJ194" t="str">
        <f>_xlfn.IFNA(IF(AE194 &lt; (INDEX(SLATable[Maximum SLA],MATCH(G194,SLATable[Priority],0))),"YES","NO"),"")</f>
        <v/>
      </c>
    </row>
    <row r="195" spans="26:36" ht="15" customHeight="1">
      <c r="Z195" s="76" t="e">
        <f t="shared" ref="Z195:Z258" ca="1" si="20">IF(NOT(OR(G195=1,G195=2)),MAX(0,_xlfn.IFS(AND(K195&lt;&gt;"",N195&lt;&gt;""),((MAX(NETWORKDAYS(K195,N195,UKBankHolidays)-1,0))*(TIME(17,0,0)-TIME(8,0,0))+IF(NETWORKDAYS(N195,N195,UKBankHolidays)&gt;0,MEDIAN(TIME(8,0,0),MOD(N195,1),TIME(17,0,0)),TIME(8,0,0))-IF(NETWORKDAYS(K195,K195,UKBankHolidays)&gt;0,MEDIAN(TIME(8,0,0),MOD(K195,1),TIME(17,0,0)),TIME(8,0,0)))-IF(AND(O195&lt;&gt;"",P195&lt;&gt;""),((MAX(NETWORKDAYS(O195,P195,UKBankHolidays)-1,0))*(TIME(17,0,0)-TIME(8,0,0))+IF(NETWORKDAYS(P195,P195,UKBankHolidays)&gt;0,MEDIAN(TIME(8,0,0),MOD(P195,1),TIME(17,0,0)),TIME(8,0,0))-IF(NETWORKDAYS(O195,O195,UKBankHolidays)&gt;0,MEDIAN(TIME(8,0,0),MOD(O195,1),TIME(17,0,0)),TIME(8,0,0))),0),AND(K195&lt;&gt;"",N195=""),((MAX(NETWORKDAYS(K195,NOW(),UKBankHolidays)-1,0))*(TIME(17,0,0)-TIME(8,0,0))+IF(NETWORKDAYS(NOW(),NOW(),UKBankHolidays)&gt;0,MEDIAN(TIME(8,0,0),MOD(NOW(),1),TIME(17,0,0)),TIME(8,0,0))-IF(NETWORKDAYS(K195,K195,UKBankHolidays)&gt;0,MEDIAN(TIME(8,0,0),MOD(K195,1),TIME(17,0,0)),TIME(8,0,0))))),IF(N195="",NOW()-K195,N195-K195))</f>
        <v>#N/A</v>
      </c>
      <c r="AA195" s="75" t="e">
        <f t="shared" ca="1" si="1"/>
        <v>#N/A</v>
      </c>
      <c r="AB195" s="76">
        <f t="shared" ref="AB195:AB258" ca="1" si="21">IF(NOT(OR(G195=1,G195=2)),MAX(0,_xlfn.IFS(AND(K195&lt;&gt;"",N195&lt;&gt;""),(((MAX(NETWORKDAYS(L195,N195,UKBankHolidays)-1,0))*(TIME(17,0,0)-TIME(8,0,0)))+IF(NETWORKDAYS(N195,N195,UKBankHolidays)&gt;0,MEDIAN(TIME(8,0,0),MOD(N195,1),TIME(17,0,0)),TIME(8,0,0))-IF(NETWORKDAYS(L195,L195,UKBankHolidays)&gt;0,MEDIAN(TIME(8,0,0),MOD(L195,1),TIME(17,0,0)),TIME(8,0,0)))-IF(AND(O195&lt;&gt;"",P195&lt;&gt;""),(((MAX(NETWORKDAYS(O195,P195,UKBankHolidays)-1,0))*(TIME(17,0,0)-TIME(8,0,0)))+IF(NETWORKDAYS(P195,P195,UKBankHolidays)&gt;0,MEDIAN(TIME(8,0,0),MOD(P195,1),TIME(17,0,0)),TIME(8,0,0))-IF(NETWORKDAYS(O195,O195,UKBankHolidays)&gt;0,MEDIAN(TIME(8,0,0),MOD(O195,1),TIME(17,0,0)),TIME(8,0,0))),0),AND(L195&lt;&gt;"",N195="",O195=""),(((MAX(NETWORKDAYS(L195,NOW(),UKBankHolidays)-1,0))*(TIME(17,0,0)-TIME(8,0,0)))+IF(NETWORKDAYS(NOW(),NOW(),UKBankHolidays)&gt;0,MEDIAN(TIME(8,0,0),MOD(NOW(),1),TIME(17,0,0)),TIME(8,0,0))-IF(NETWORKDAYS(L195,L195,UKBankHolidays)&gt;0,MEDIAN(TIME(8,0,0),MOD(L195,1),TIME(17,0,0)),TIME(8,0,0)))-IF(AND(O195&lt;&gt;"",P195&lt;&gt;""),(((MAX(NETWORKDAYS(O195,P195,UKBankHolidays)-1,0))*(TIME(17,0,0)-TIME(8,0,0)))+IF(NETWORKDAYS(P195,P195,UKBankHolidays)&gt;0,MEDIAN(TIME(8,0,0),MOD(P195,1),TIME(17,0,0)),TIME(8,0,0))-IF(NETWORKDAYS(O195,O195,UKBankHolidays)&gt;0,MEDIAN(TIME(8,0,0),MOD(O195,1),TIME(17,0,0)),TIME(8,0,0))),0),AND(L195&lt;&gt;"",N195="",P195="",O195&lt;&gt;""),(((MAX(NETWORKDAYS(L195,O195,UKBankHolidays)-1,0))*(TIME(17,0,0)-TIME(8,0,0)))+IF(NETWORKDAYS(O195,O195,UKBankHolidays)&gt;0,MEDIAN(TIME(8,0,0),MOD(O195,1),TIME(17,0,0)),TIME(8,0,0))-IF(NETWORKDAYS(L195,L195,UKBankHolidays)&gt;0,MEDIAN(TIME(8,0,0),MOD(L195,1),TIME(17,0,0)),TIME(8,0,0))),ISBLANK(K195),"0")),IF(ISBLANK(N195),NOW()-L195,N195-L195))</f>
        <v>0</v>
      </c>
      <c r="AC195" s="75">
        <f t="shared" ca="1" si="3"/>
        <v>0</v>
      </c>
      <c r="AD195" s="76">
        <f t="shared" ref="AD195:AD258" ca="1" si="22">MAX(0,IF(NOT(OR(G195=1,G195=2)),IF(M195&lt;&gt;"",((MAX(NETWORKDAYS(L195,M195,UKBankHolidays)-1,0))*(TIME(17,0,0)-TIME(8,0,0))+IF(NETWORKDAYS(M195,M195,UKBankHolidays)&gt;0,MEDIAN(TIME(8,0,0),MOD(M195,1),TIME(17,0,0)),TIME(8,0,0))-MEDIAN(TIME(8,0,0),MOD(L195,1),TIME(17,0,0))),((MAX(NETWORKDAYS(L195,NOW(),UKBankHolidays)-1,0))*(TIME(17,0,0)-TIME(8,0,0))+IF(NETWORKDAYS(NOW(),NOW(),UKBankHolidays)&gt;0,MEDIAN(TIME(8,0,0),MOD(NOW(),1),TIME(17,0,0)),TIME(8,0,0))-MEDIAN(TIME(8,0,0),MOD(L195,1),TIME(17,0,0)))),IF(M195&lt;&gt;"",M195-L195,NOW()-L195)))</f>
        <v>12388.425641087964</v>
      </c>
      <c r="AE195" s="76">
        <f t="shared" ref="AE195:AE258" si="23">SUMIFS(AB:AB,E:E,E195)</f>
        <v>0</v>
      </c>
      <c r="AF195" s="75">
        <f t="shared" si="6"/>
        <v>0</v>
      </c>
      <c r="AG195" s="75">
        <f t="shared" si="7"/>
        <v>0</v>
      </c>
      <c r="AH195" s="31" t="e" cm="1">
        <f t="array" aca="1" ref="AH195" ca="1">IF((AD195) &lt; (INDEX(ResponseSLA[#All],(MATCH((G195),ResponseSLA[Priority],0))+1,3)),"YES","No")</f>
        <v>#N/A</v>
      </c>
      <c r="AI195" s="31" t="str">
        <f>_xlfn.IFNA(IF(AE195 &lt; (INDEX(SLATable[Minimum SLA],MATCH(G195,SLATable[Priority],0))),"YES","NO"),"")</f>
        <v/>
      </c>
      <c r="AJ195" t="str">
        <f>_xlfn.IFNA(IF(AE195 &lt; (INDEX(SLATable[Maximum SLA],MATCH(G195,SLATable[Priority],0))),"YES","NO"),"")</f>
        <v/>
      </c>
    </row>
    <row r="196" spans="26:36" ht="15" customHeight="1">
      <c r="Z196" s="76" t="e">
        <f t="shared" ca="1" si="20"/>
        <v>#N/A</v>
      </c>
      <c r="AA196" s="75" t="e">
        <f t="shared" ca="1" si="1"/>
        <v>#N/A</v>
      </c>
      <c r="AB196" s="76">
        <f t="shared" ca="1" si="21"/>
        <v>0</v>
      </c>
      <c r="AC196" s="75">
        <f t="shared" ca="1" si="3"/>
        <v>0</v>
      </c>
      <c r="AD196" s="76">
        <f t="shared" ca="1" si="22"/>
        <v>12388.425641087964</v>
      </c>
      <c r="AE196" s="76">
        <f t="shared" si="23"/>
        <v>0</v>
      </c>
      <c r="AF196" s="75">
        <f t="shared" si="6"/>
        <v>0</v>
      </c>
      <c r="AG196" s="75">
        <f t="shared" si="7"/>
        <v>0</v>
      </c>
      <c r="AH196" s="31" t="e" cm="1">
        <f t="array" aca="1" ref="AH196" ca="1">IF((AD196) &lt; (INDEX(ResponseSLA[#All],(MATCH((G196),ResponseSLA[Priority],0))+1,3)),"YES","No")</f>
        <v>#N/A</v>
      </c>
      <c r="AI196" s="31" t="str">
        <f>_xlfn.IFNA(IF(AE196 &lt; (INDEX(SLATable[Minimum SLA],MATCH(G196,SLATable[Priority],0))),"YES","NO"),"")</f>
        <v/>
      </c>
      <c r="AJ196" t="str">
        <f>_xlfn.IFNA(IF(AE196 &lt; (INDEX(SLATable[Maximum SLA],MATCH(G196,SLATable[Priority],0))),"YES","NO"),"")</f>
        <v/>
      </c>
    </row>
    <row r="197" spans="26:36" ht="15" customHeight="1">
      <c r="Z197" s="76" t="e">
        <f t="shared" ca="1" si="20"/>
        <v>#N/A</v>
      </c>
      <c r="AA197" s="75" t="e">
        <f t="shared" ca="1" si="1"/>
        <v>#N/A</v>
      </c>
      <c r="AB197" s="76">
        <f t="shared" ca="1" si="21"/>
        <v>0</v>
      </c>
      <c r="AC197" s="75">
        <f t="shared" ca="1" si="3"/>
        <v>0</v>
      </c>
      <c r="AD197" s="76">
        <f t="shared" ca="1" si="22"/>
        <v>12388.425641203703</v>
      </c>
      <c r="AE197" s="76">
        <f t="shared" si="23"/>
        <v>0</v>
      </c>
      <c r="AF197" s="75">
        <f t="shared" si="6"/>
        <v>0</v>
      </c>
      <c r="AG197" s="75">
        <f t="shared" si="7"/>
        <v>0</v>
      </c>
      <c r="AH197" s="31" t="e" cm="1">
        <f t="array" aca="1" ref="AH197" ca="1">IF((AD197) &lt; (INDEX(ResponseSLA[#All],(MATCH((G197),ResponseSLA[Priority],0))+1,3)),"YES","No")</f>
        <v>#N/A</v>
      </c>
      <c r="AI197" s="31" t="str">
        <f>_xlfn.IFNA(IF(AE197 &lt; (INDEX(SLATable[Minimum SLA],MATCH(G197,SLATable[Priority],0))),"YES","NO"),"")</f>
        <v/>
      </c>
      <c r="AJ197" t="str">
        <f>_xlfn.IFNA(IF(AE197 &lt; (INDEX(SLATable[Maximum SLA],MATCH(G197,SLATable[Priority],0))),"YES","NO"),"")</f>
        <v/>
      </c>
    </row>
    <row r="198" spans="26:36" ht="15" customHeight="1">
      <c r="Z198" s="76" t="e">
        <f t="shared" ca="1" si="20"/>
        <v>#N/A</v>
      </c>
      <c r="AA198" s="75" t="e">
        <f t="shared" ca="1" si="1"/>
        <v>#N/A</v>
      </c>
      <c r="AB198" s="76">
        <f t="shared" ca="1" si="21"/>
        <v>0</v>
      </c>
      <c r="AC198" s="75">
        <f t="shared" ca="1" si="3"/>
        <v>0</v>
      </c>
      <c r="AD198" s="76">
        <f t="shared" ca="1" si="22"/>
        <v>12388.425641087964</v>
      </c>
      <c r="AE198" s="76">
        <f t="shared" si="23"/>
        <v>0</v>
      </c>
      <c r="AF198" s="75">
        <f t="shared" si="6"/>
        <v>0</v>
      </c>
      <c r="AG198" s="75">
        <f t="shared" si="7"/>
        <v>0</v>
      </c>
      <c r="AH198" s="31" t="e" cm="1">
        <f t="array" aca="1" ref="AH198" ca="1">IF((AD198) &lt; (INDEX(ResponseSLA[#All],(MATCH((G198),ResponseSLA[Priority],0))+1,3)),"YES","No")</f>
        <v>#N/A</v>
      </c>
      <c r="AI198" s="31" t="str">
        <f>_xlfn.IFNA(IF(AE198 &lt; (INDEX(SLATable[Minimum SLA],MATCH(G198,SLATable[Priority],0))),"YES","NO"),"")</f>
        <v/>
      </c>
      <c r="AJ198" t="str">
        <f>_xlfn.IFNA(IF(AE198 &lt; (INDEX(SLATable[Maximum SLA],MATCH(G198,SLATable[Priority],0))),"YES","NO"),"")</f>
        <v/>
      </c>
    </row>
    <row r="199" spans="26:36" ht="15" customHeight="1">
      <c r="Z199" s="76" t="e">
        <f t="shared" ca="1" si="20"/>
        <v>#N/A</v>
      </c>
      <c r="AA199" s="75" t="e">
        <f t="shared" ca="1" si="1"/>
        <v>#N/A</v>
      </c>
      <c r="AB199" s="76">
        <f t="shared" ca="1" si="21"/>
        <v>0</v>
      </c>
      <c r="AC199" s="75">
        <f t="shared" ca="1" si="3"/>
        <v>0</v>
      </c>
      <c r="AD199" s="76">
        <f t="shared" ca="1" si="22"/>
        <v>12388.425641087964</v>
      </c>
      <c r="AE199" s="76">
        <f t="shared" si="23"/>
        <v>0</v>
      </c>
      <c r="AF199" s="75">
        <f t="shared" si="6"/>
        <v>0</v>
      </c>
      <c r="AG199" s="75">
        <f t="shared" si="7"/>
        <v>0</v>
      </c>
      <c r="AH199" s="31" t="e" cm="1">
        <f t="array" aca="1" ref="AH199" ca="1">IF((AD199) &lt; (INDEX(ResponseSLA[#All],(MATCH((G199),ResponseSLA[Priority],0))+1,3)),"YES","No")</f>
        <v>#N/A</v>
      </c>
      <c r="AI199" s="31" t="str">
        <f>_xlfn.IFNA(IF(AE199 &lt; (INDEX(SLATable[Minimum SLA],MATCH(G199,SLATable[Priority],0))),"YES","NO"),"")</f>
        <v/>
      </c>
      <c r="AJ199" t="str">
        <f>_xlfn.IFNA(IF(AE199 &lt; (INDEX(SLATable[Maximum SLA],MATCH(G199,SLATable[Priority],0))),"YES","NO"),"")</f>
        <v/>
      </c>
    </row>
    <row r="200" spans="26:36" ht="15" customHeight="1">
      <c r="Z200" s="76" t="e">
        <f t="shared" ca="1" si="20"/>
        <v>#N/A</v>
      </c>
      <c r="AA200" s="75" t="e">
        <f t="shared" ca="1" si="1"/>
        <v>#N/A</v>
      </c>
      <c r="AB200" s="76">
        <f t="shared" ca="1" si="21"/>
        <v>0</v>
      </c>
      <c r="AC200" s="75">
        <f t="shared" ca="1" si="3"/>
        <v>0</v>
      </c>
      <c r="AD200" s="76">
        <f t="shared" ca="1" si="22"/>
        <v>12388.425641203703</v>
      </c>
      <c r="AE200" s="76">
        <f t="shared" si="23"/>
        <v>0</v>
      </c>
      <c r="AF200" s="75">
        <f t="shared" si="6"/>
        <v>0</v>
      </c>
      <c r="AG200" s="75">
        <f t="shared" si="7"/>
        <v>0</v>
      </c>
      <c r="AH200" s="31" t="e" cm="1">
        <f t="array" aca="1" ref="AH200" ca="1">IF((AD200) &lt; (INDEX(ResponseSLA[#All],(MATCH((G200),ResponseSLA[Priority],0))+1,3)),"YES","No")</f>
        <v>#N/A</v>
      </c>
      <c r="AI200" s="31" t="str">
        <f>_xlfn.IFNA(IF(AE200 &lt; (INDEX(SLATable[Minimum SLA],MATCH(G200,SLATable[Priority],0))),"YES","NO"),"")</f>
        <v/>
      </c>
      <c r="AJ200" t="str">
        <f>_xlfn.IFNA(IF(AE200 &lt; (INDEX(SLATable[Maximum SLA],MATCH(G200,SLATable[Priority],0))),"YES","NO"),"")</f>
        <v/>
      </c>
    </row>
    <row r="201" spans="26:36" ht="15" customHeight="1">
      <c r="Z201" s="76" t="e">
        <f t="shared" ca="1" si="20"/>
        <v>#N/A</v>
      </c>
      <c r="AA201" s="75" t="e">
        <f t="shared" ca="1" si="1"/>
        <v>#N/A</v>
      </c>
      <c r="AB201" s="76">
        <f t="shared" ca="1" si="21"/>
        <v>0</v>
      </c>
      <c r="AC201" s="75">
        <f t="shared" ca="1" si="3"/>
        <v>0</v>
      </c>
      <c r="AD201" s="76">
        <f t="shared" ca="1" si="22"/>
        <v>12388.425641087964</v>
      </c>
      <c r="AE201" s="76">
        <f t="shared" si="23"/>
        <v>0</v>
      </c>
      <c r="AF201" s="75">
        <f t="shared" si="6"/>
        <v>0</v>
      </c>
      <c r="AG201" s="75">
        <f t="shared" si="7"/>
        <v>0</v>
      </c>
      <c r="AH201" s="31" t="e" cm="1">
        <f t="array" aca="1" ref="AH201" ca="1">IF((AD201) &lt; (INDEX(ResponseSLA[#All],(MATCH((G201),ResponseSLA[Priority],0))+1,3)),"YES","No")</f>
        <v>#N/A</v>
      </c>
      <c r="AI201" s="31" t="str">
        <f>_xlfn.IFNA(IF(AE201 &lt; (INDEX(SLATable[Minimum SLA],MATCH(G201,SLATable[Priority],0))),"YES","NO"),"")</f>
        <v/>
      </c>
      <c r="AJ201" t="str">
        <f>_xlfn.IFNA(IF(AE201 &lt; (INDEX(SLATable[Maximum SLA],MATCH(G201,SLATable[Priority],0))),"YES","NO"),"")</f>
        <v/>
      </c>
    </row>
    <row r="202" spans="26:36" ht="15" customHeight="1">
      <c r="Z202" s="76" t="e">
        <f t="shared" ca="1" si="20"/>
        <v>#N/A</v>
      </c>
      <c r="AA202" s="75" t="e">
        <f t="shared" ca="1" si="1"/>
        <v>#N/A</v>
      </c>
      <c r="AB202" s="76">
        <f t="shared" ca="1" si="21"/>
        <v>0</v>
      </c>
      <c r="AC202" s="75">
        <f t="shared" ca="1" si="3"/>
        <v>0</v>
      </c>
      <c r="AD202" s="76">
        <f t="shared" ca="1" si="22"/>
        <v>12388.425641087964</v>
      </c>
      <c r="AE202" s="76">
        <f t="shared" si="23"/>
        <v>0</v>
      </c>
      <c r="AF202" s="75">
        <f t="shared" si="6"/>
        <v>0</v>
      </c>
      <c r="AG202" s="75">
        <f t="shared" si="7"/>
        <v>0</v>
      </c>
      <c r="AH202" s="31" t="e" cm="1">
        <f t="array" aca="1" ref="AH202" ca="1">IF((AD202) &lt; (INDEX(ResponseSLA[#All],(MATCH((G202),ResponseSLA[Priority],0))+1,3)),"YES","No")</f>
        <v>#N/A</v>
      </c>
      <c r="AI202" s="31" t="str">
        <f>_xlfn.IFNA(IF(AE202 &lt; (INDEX(SLATable[Minimum SLA],MATCH(G202,SLATable[Priority],0))),"YES","NO"),"")</f>
        <v/>
      </c>
      <c r="AJ202" t="str">
        <f>_xlfn.IFNA(IF(AE202 &lt; (INDEX(SLATable[Maximum SLA],MATCH(G202,SLATable[Priority],0))),"YES","NO"),"")</f>
        <v/>
      </c>
    </row>
    <row r="203" spans="26:36" ht="15" customHeight="1">
      <c r="Z203" s="76" t="e">
        <f t="shared" ca="1" si="20"/>
        <v>#N/A</v>
      </c>
      <c r="AA203" s="75" t="e">
        <f t="shared" ca="1" si="1"/>
        <v>#N/A</v>
      </c>
      <c r="AB203" s="76">
        <f t="shared" ca="1" si="21"/>
        <v>0</v>
      </c>
      <c r="AC203" s="75">
        <f t="shared" ca="1" si="3"/>
        <v>0</v>
      </c>
      <c r="AD203" s="76">
        <f t="shared" ca="1" si="22"/>
        <v>12388.425641203703</v>
      </c>
      <c r="AE203" s="76">
        <f t="shared" si="23"/>
        <v>0</v>
      </c>
      <c r="AF203" s="75">
        <f t="shared" si="6"/>
        <v>0</v>
      </c>
      <c r="AG203" s="75">
        <f t="shared" si="7"/>
        <v>0</v>
      </c>
      <c r="AH203" s="31" t="e" cm="1">
        <f t="array" aca="1" ref="AH203" ca="1">IF((AD203) &lt; (INDEX(ResponseSLA[#All],(MATCH((G203),ResponseSLA[Priority],0))+1,3)),"YES","No")</f>
        <v>#N/A</v>
      </c>
      <c r="AI203" s="31" t="str">
        <f>_xlfn.IFNA(IF(AE203 &lt; (INDEX(SLATable[Minimum SLA],MATCH(G203,SLATable[Priority],0))),"YES","NO"),"")</f>
        <v/>
      </c>
      <c r="AJ203" t="str">
        <f>_xlfn.IFNA(IF(AE203 &lt; (INDEX(SLATable[Maximum SLA],MATCH(G203,SLATable[Priority],0))),"YES","NO"),"")</f>
        <v/>
      </c>
    </row>
    <row r="204" spans="26:36" ht="15" customHeight="1">
      <c r="Z204" s="76" t="e">
        <f t="shared" ca="1" si="20"/>
        <v>#N/A</v>
      </c>
      <c r="AA204" s="75" t="e">
        <f t="shared" ca="1" si="1"/>
        <v>#N/A</v>
      </c>
      <c r="AB204" s="76">
        <f t="shared" ca="1" si="21"/>
        <v>0</v>
      </c>
      <c r="AC204" s="75">
        <f t="shared" ca="1" si="3"/>
        <v>0</v>
      </c>
      <c r="AD204" s="76">
        <f t="shared" ca="1" si="22"/>
        <v>12388.425641087964</v>
      </c>
      <c r="AE204" s="76">
        <f t="shared" si="23"/>
        <v>0</v>
      </c>
      <c r="AF204" s="75">
        <f t="shared" si="6"/>
        <v>0</v>
      </c>
      <c r="AG204" s="75">
        <f t="shared" si="7"/>
        <v>0</v>
      </c>
      <c r="AH204" s="31" t="e" cm="1">
        <f t="array" aca="1" ref="AH204" ca="1">IF((AD204) &lt; (INDEX(ResponseSLA[#All],(MATCH((G204),ResponseSLA[Priority],0))+1,3)),"YES","No")</f>
        <v>#N/A</v>
      </c>
      <c r="AI204" s="31" t="str">
        <f>_xlfn.IFNA(IF(AE204 &lt; (INDEX(SLATable[Minimum SLA],MATCH(G204,SLATable[Priority],0))),"YES","NO"),"")</f>
        <v/>
      </c>
      <c r="AJ204" t="str">
        <f>_xlfn.IFNA(IF(AE204 &lt; (INDEX(SLATable[Maximum SLA],MATCH(G204,SLATable[Priority],0))),"YES","NO"),"")</f>
        <v/>
      </c>
    </row>
    <row r="205" spans="26:36" ht="15" customHeight="1">
      <c r="Z205" s="76" t="e">
        <f t="shared" ca="1" si="20"/>
        <v>#N/A</v>
      </c>
      <c r="AA205" s="75" t="e">
        <f t="shared" ca="1" si="1"/>
        <v>#N/A</v>
      </c>
      <c r="AB205" s="76">
        <f t="shared" ca="1" si="21"/>
        <v>0</v>
      </c>
      <c r="AC205" s="75">
        <f t="shared" ca="1" si="3"/>
        <v>0</v>
      </c>
      <c r="AD205" s="76">
        <f t="shared" ca="1" si="22"/>
        <v>12388.425641087964</v>
      </c>
      <c r="AE205" s="76">
        <f t="shared" si="23"/>
        <v>0</v>
      </c>
      <c r="AF205" s="75">
        <f t="shared" si="6"/>
        <v>0</v>
      </c>
      <c r="AG205" s="75">
        <f t="shared" si="7"/>
        <v>0</v>
      </c>
      <c r="AH205" s="31" t="e" cm="1">
        <f t="array" aca="1" ref="AH205" ca="1">IF((AD205) &lt; (INDEX(ResponseSLA[#All],(MATCH((G205),ResponseSLA[Priority],0))+1,3)),"YES","No")</f>
        <v>#N/A</v>
      </c>
      <c r="AI205" s="31" t="str">
        <f>_xlfn.IFNA(IF(AE205 &lt; (INDEX(SLATable[Minimum SLA],MATCH(G205,SLATable[Priority],0))),"YES","NO"),"")</f>
        <v/>
      </c>
      <c r="AJ205" t="str">
        <f>_xlfn.IFNA(IF(AE205 &lt; (INDEX(SLATable[Maximum SLA],MATCH(G205,SLATable[Priority],0))),"YES","NO"),"")</f>
        <v/>
      </c>
    </row>
    <row r="206" spans="26:36" ht="15" customHeight="1">
      <c r="Z206" s="76" t="e">
        <f t="shared" ca="1" si="20"/>
        <v>#N/A</v>
      </c>
      <c r="AA206" s="75" t="e">
        <f t="shared" ca="1" si="1"/>
        <v>#N/A</v>
      </c>
      <c r="AB206" s="76">
        <f t="shared" ca="1" si="21"/>
        <v>0</v>
      </c>
      <c r="AC206" s="75">
        <f t="shared" ca="1" si="3"/>
        <v>0</v>
      </c>
      <c r="AD206" s="76">
        <f t="shared" ca="1" si="22"/>
        <v>12388.425641203703</v>
      </c>
      <c r="AE206" s="76">
        <f t="shared" si="23"/>
        <v>0</v>
      </c>
      <c r="AF206" s="75">
        <f t="shared" si="6"/>
        <v>0</v>
      </c>
      <c r="AG206" s="75">
        <f t="shared" si="7"/>
        <v>0</v>
      </c>
      <c r="AH206" s="31" t="e" cm="1">
        <f t="array" aca="1" ref="AH206" ca="1">IF((AD206) &lt; (INDEX(ResponseSLA[#All],(MATCH((G206),ResponseSLA[Priority],0))+1,3)),"YES","No")</f>
        <v>#N/A</v>
      </c>
      <c r="AI206" s="31" t="str">
        <f>_xlfn.IFNA(IF(AE206 &lt; (INDEX(SLATable[Minimum SLA],MATCH(G206,SLATable[Priority],0))),"YES","NO"),"")</f>
        <v/>
      </c>
      <c r="AJ206" t="str">
        <f>_xlfn.IFNA(IF(AE206 &lt; (INDEX(SLATable[Maximum SLA],MATCH(G206,SLATable[Priority],0))),"YES","NO"),"")</f>
        <v/>
      </c>
    </row>
    <row r="207" spans="26:36" ht="15" customHeight="1">
      <c r="Z207" s="76" t="e">
        <f t="shared" ca="1" si="20"/>
        <v>#N/A</v>
      </c>
      <c r="AA207" s="75" t="e">
        <f t="shared" ca="1" si="1"/>
        <v>#N/A</v>
      </c>
      <c r="AB207" s="76">
        <f t="shared" ca="1" si="21"/>
        <v>0</v>
      </c>
      <c r="AC207" s="75">
        <f t="shared" ca="1" si="3"/>
        <v>0</v>
      </c>
      <c r="AD207" s="76">
        <f t="shared" ca="1" si="22"/>
        <v>12388.425641087964</v>
      </c>
      <c r="AE207" s="76">
        <f t="shared" si="23"/>
        <v>0</v>
      </c>
      <c r="AF207" s="75">
        <f t="shared" si="6"/>
        <v>0</v>
      </c>
      <c r="AG207" s="75">
        <f t="shared" si="7"/>
        <v>0</v>
      </c>
      <c r="AH207" s="31" t="e" cm="1">
        <f t="array" aca="1" ref="AH207" ca="1">IF((AD207) &lt; (INDEX(ResponseSLA[#All],(MATCH((G207),ResponseSLA[Priority],0))+1,3)),"YES","No")</f>
        <v>#N/A</v>
      </c>
      <c r="AI207" s="31" t="str">
        <f>_xlfn.IFNA(IF(AE207 &lt; (INDEX(SLATable[Minimum SLA],MATCH(G207,SLATable[Priority],0))),"YES","NO"),"")</f>
        <v/>
      </c>
      <c r="AJ207" t="str">
        <f>_xlfn.IFNA(IF(AE207 &lt; (INDEX(SLATable[Maximum SLA],MATCH(G207,SLATable[Priority],0))),"YES","NO"),"")</f>
        <v/>
      </c>
    </row>
    <row r="208" spans="26:36" ht="15" customHeight="1">
      <c r="Z208" s="76" t="e">
        <f t="shared" ca="1" si="20"/>
        <v>#N/A</v>
      </c>
      <c r="AA208" s="75" t="e">
        <f t="shared" ca="1" si="1"/>
        <v>#N/A</v>
      </c>
      <c r="AB208" s="76">
        <f t="shared" ca="1" si="21"/>
        <v>0</v>
      </c>
      <c r="AC208" s="75">
        <f t="shared" ca="1" si="3"/>
        <v>0</v>
      </c>
      <c r="AD208" s="76">
        <f t="shared" ca="1" si="22"/>
        <v>12388.425641087964</v>
      </c>
      <c r="AE208" s="76">
        <f t="shared" si="23"/>
        <v>0</v>
      </c>
      <c r="AF208" s="75">
        <f t="shared" si="6"/>
        <v>0</v>
      </c>
      <c r="AG208" s="75">
        <f t="shared" si="7"/>
        <v>0</v>
      </c>
      <c r="AH208" s="31" t="e" cm="1">
        <f t="array" aca="1" ref="AH208" ca="1">IF((AD208) &lt; (INDEX(ResponseSLA[#All],(MATCH((G208),ResponseSLA[Priority],0))+1,3)),"YES","No")</f>
        <v>#N/A</v>
      </c>
      <c r="AI208" s="31" t="str">
        <f>_xlfn.IFNA(IF(AE208 &lt; (INDEX(SLATable[Minimum SLA],MATCH(G208,SLATable[Priority],0))),"YES","NO"),"")</f>
        <v/>
      </c>
      <c r="AJ208" t="str">
        <f>_xlfn.IFNA(IF(AE208 &lt; (INDEX(SLATable[Maximum SLA],MATCH(G208,SLATable[Priority],0))),"YES","NO"),"")</f>
        <v/>
      </c>
    </row>
    <row r="209" spans="26:36" ht="15" customHeight="1">
      <c r="Z209" s="76" t="e">
        <f t="shared" ca="1" si="20"/>
        <v>#N/A</v>
      </c>
      <c r="AA209" s="75" t="e">
        <f t="shared" ca="1" si="1"/>
        <v>#N/A</v>
      </c>
      <c r="AB209" s="76">
        <f t="shared" ca="1" si="21"/>
        <v>0</v>
      </c>
      <c r="AC209" s="75">
        <f t="shared" ca="1" si="3"/>
        <v>0</v>
      </c>
      <c r="AD209" s="76">
        <f t="shared" ca="1" si="22"/>
        <v>12388.425641203703</v>
      </c>
      <c r="AE209" s="76">
        <f t="shared" si="23"/>
        <v>0</v>
      </c>
      <c r="AF209" s="75">
        <f t="shared" si="6"/>
        <v>0</v>
      </c>
      <c r="AG209" s="75">
        <f t="shared" si="7"/>
        <v>0</v>
      </c>
      <c r="AH209" s="31" t="e" cm="1">
        <f t="array" aca="1" ref="AH209" ca="1">IF((AD209) &lt; (INDEX(ResponseSLA[#All],(MATCH((G209),ResponseSLA[Priority],0))+1,3)),"YES","No")</f>
        <v>#N/A</v>
      </c>
      <c r="AI209" s="31" t="str">
        <f>_xlfn.IFNA(IF(AE209 &lt; (INDEX(SLATable[Minimum SLA],MATCH(G209,SLATable[Priority],0))),"YES","NO"),"")</f>
        <v/>
      </c>
      <c r="AJ209" t="str">
        <f>_xlfn.IFNA(IF(AE209 &lt; (INDEX(SLATable[Maximum SLA],MATCH(G209,SLATable[Priority],0))),"YES","NO"),"")</f>
        <v/>
      </c>
    </row>
    <row r="210" spans="26:36" ht="15" customHeight="1">
      <c r="Z210" s="76" t="e">
        <f t="shared" ca="1" si="20"/>
        <v>#N/A</v>
      </c>
      <c r="AA210" s="75" t="e">
        <f t="shared" ca="1" si="1"/>
        <v>#N/A</v>
      </c>
      <c r="AB210" s="76">
        <f t="shared" ca="1" si="21"/>
        <v>0</v>
      </c>
      <c r="AC210" s="75">
        <f t="shared" ca="1" si="3"/>
        <v>0</v>
      </c>
      <c r="AD210" s="76">
        <f t="shared" ca="1" si="22"/>
        <v>12388.425641087964</v>
      </c>
      <c r="AE210" s="76">
        <f t="shared" si="23"/>
        <v>0</v>
      </c>
      <c r="AF210" s="75">
        <f t="shared" si="6"/>
        <v>0</v>
      </c>
      <c r="AG210" s="75">
        <f t="shared" si="7"/>
        <v>0</v>
      </c>
      <c r="AH210" s="31" t="e" cm="1">
        <f t="array" aca="1" ref="AH210" ca="1">IF((AD210) &lt; (INDEX(ResponseSLA[#All],(MATCH((G210),ResponseSLA[Priority],0))+1,3)),"YES","No")</f>
        <v>#N/A</v>
      </c>
      <c r="AI210" s="31" t="str">
        <f>_xlfn.IFNA(IF(AE210 &lt; (INDEX(SLATable[Minimum SLA],MATCH(G210,SLATable[Priority],0))),"YES","NO"),"")</f>
        <v/>
      </c>
      <c r="AJ210" t="str">
        <f>_xlfn.IFNA(IF(AE210 &lt; (INDEX(SLATable[Maximum SLA],MATCH(G210,SLATable[Priority],0))),"YES","NO"),"")</f>
        <v/>
      </c>
    </row>
    <row r="211" spans="26:36" ht="15" customHeight="1">
      <c r="Z211" s="76" t="e">
        <f t="shared" ca="1" si="20"/>
        <v>#N/A</v>
      </c>
      <c r="AA211" s="75" t="e">
        <f t="shared" ca="1" si="1"/>
        <v>#N/A</v>
      </c>
      <c r="AB211" s="76">
        <f t="shared" ca="1" si="21"/>
        <v>0</v>
      </c>
      <c r="AC211" s="75">
        <f t="shared" ca="1" si="3"/>
        <v>0</v>
      </c>
      <c r="AD211" s="76">
        <f t="shared" ca="1" si="22"/>
        <v>12388.425641087964</v>
      </c>
      <c r="AE211" s="76">
        <f t="shared" si="23"/>
        <v>0</v>
      </c>
      <c r="AF211" s="75">
        <f t="shared" si="6"/>
        <v>0</v>
      </c>
      <c r="AG211" s="75">
        <f t="shared" si="7"/>
        <v>0</v>
      </c>
      <c r="AH211" s="31" t="e" cm="1">
        <f t="array" aca="1" ref="AH211" ca="1">IF((AD211) &lt; (INDEX(ResponseSLA[#All],(MATCH((G211),ResponseSLA[Priority],0))+1,3)),"YES","No")</f>
        <v>#N/A</v>
      </c>
      <c r="AI211" s="31" t="str">
        <f>_xlfn.IFNA(IF(AE211 &lt; (INDEX(SLATable[Minimum SLA],MATCH(G211,SLATable[Priority],0))),"YES","NO"),"")</f>
        <v/>
      </c>
      <c r="AJ211" t="str">
        <f>_xlfn.IFNA(IF(AE211 &lt; (INDEX(SLATable[Maximum SLA],MATCH(G211,SLATable[Priority],0))),"YES","NO"),"")</f>
        <v/>
      </c>
    </row>
    <row r="212" spans="26:36" ht="15" customHeight="1">
      <c r="Z212" s="76" t="e">
        <f t="shared" ca="1" si="20"/>
        <v>#N/A</v>
      </c>
      <c r="AA212" s="75" t="e">
        <f t="shared" ca="1" si="1"/>
        <v>#N/A</v>
      </c>
      <c r="AB212" s="76">
        <f t="shared" ca="1" si="21"/>
        <v>0</v>
      </c>
      <c r="AC212" s="75">
        <f t="shared" ca="1" si="3"/>
        <v>0</v>
      </c>
      <c r="AD212" s="76">
        <f t="shared" ca="1" si="22"/>
        <v>12388.425641203703</v>
      </c>
      <c r="AE212" s="76">
        <f t="shared" si="23"/>
        <v>0</v>
      </c>
      <c r="AF212" s="75">
        <f t="shared" si="6"/>
        <v>0</v>
      </c>
      <c r="AG212" s="75">
        <f t="shared" si="7"/>
        <v>0</v>
      </c>
      <c r="AH212" s="31" t="e" cm="1">
        <f t="array" aca="1" ref="AH212" ca="1">IF((AD212) &lt; (INDEX(ResponseSLA[#All],(MATCH((G212),ResponseSLA[Priority],0))+1,3)),"YES","No")</f>
        <v>#N/A</v>
      </c>
      <c r="AI212" s="31" t="str">
        <f>_xlfn.IFNA(IF(AE212 &lt; (INDEX(SLATable[Minimum SLA],MATCH(G212,SLATable[Priority],0))),"YES","NO"),"")</f>
        <v/>
      </c>
      <c r="AJ212" t="str">
        <f>_xlfn.IFNA(IF(AE212 &lt; (INDEX(SLATable[Maximum SLA],MATCH(G212,SLATable[Priority],0))),"YES","NO"),"")</f>
        <v/>
      </c>
    </row>
    <row r="213" spans="26:36" ht="15" customHeight="1">
      <c r="Z213" s="76" t="e">
        <f t="shared" ca="1" si="20"/>
        <v>#N/A</v>
      </c>
      <c r="AA213" s="75" t="e">
        <f t="shared" ca="1" si="1"/>
        <v>#N/A</v>
      </c>
      <c r="AB213" s="76">
        <f t="shared" ca="1" si="21"/>
        <v>0</v>
      </c>
      <c r="AC213" s="75">
        <f t="shared" ca="1" si="3"/>
        <v>0</v>
      </c>
      <c r="AD213" s="76">
        <f t="shared" ca="1" si="22"/>
        <v>12388.425641087964</v>
      </c>
      <c r="AE213" s="76">
        <f t="shared" si="23"/>
        <v>0</v>
      </c>
      <c r="AF213" s="75">
        <f t="shared" si="6"/>
        <v>0</v>
      </c>
      <c r="AG213" s="75">
        <f t="shared" si="7"/>
        <v>0</v>
      </c>
      <c r="AH213" s="31" t="e" cm="1">
        <f t="array" aca="1" ref="AH213" ca="1">IF((AD213) &lt; (INDEX(ResponseSLA[#All],(MATCH((G213),ResponseSLA[Priority],0))+1,3)),"YES","No")</f>
        <v>#N/A</v>
      </c>
      <c r="AI213" s="31" t="str">
        <f>_xlfn.IFNA(IF(AE213 &lt; (INDEX(SLATable[Minimum SLA],MATCH(G213,SLATable[Priority],0))),"YES","NO"),"")</f>
        <v/>
      </c>
      <c r="AJ213" t="str">
        <f>_xlfn.IFNA(IF(AE213 &lt; (INDEX(SLATable[Maximum SLA],MATCH(G213,SLATable[Priority],0))),"YES","NO"),"")</f>
        <v/>
      </c>
    </row>
    <row r="214" spans="26:36" ht="15" customHeight="1">
      <c r="Z214" s="76" t="e">
        <f t="shared" ca="1" si="20"/>
        <v>#N/A</v>
      </c>
      <c r="AA214" s="75" t="e">
        <f t="shared" ca="1" si="1"/>
        <v>#N/A</v>
      </c>
      <c r="AB214" s="76">
        <f t="shared" ca="1" si="21"/>
        <v>0</v>
      </c>
      <c r="AC214" s="75">
        <f t="shared" ca="1" si="3"/>
        <v>0</v>
      </c>
      <c r="AD214" s="76">
        <f t="shared" ca="1" si="22"/>
        <v>12388.425641087964</v>
      </c>
      <c r="AE214" s="76">
        <f t="shared" si="23"/>
        <v>0</v>
      </c>
      <c r="AF214" s="75">
        <f t="shared" si="6"/>
        <v>0</v>
      </c>
      <c r="AG214" s="75">
        <f t="shared" si="7"/>
        <v>0</v>
      </c>
      <c r="AH214" s="31" t="e" cm="1">
        <f t="array" aca="1" ref="AH214" ca="1">IF((AD214) &lt; (INDEX(ResponseSLA[#All],(MATCH((G214),ResponseSLA[Priority],0))+1,3)),"YES","No")</f>
        <v>#N/A</v>
      </c>
      <c r="AI214" s="31" t="str">
        <f>_xlfn.IFNA(IF(AE214 &lt; (INDEX(SLATable[Minimum SLA],MATCH(G214,SLATable[Priority],0))),"YES","NO"),"")</f>
        <v/>
      </c>
      <c r="AJ214" t="str">
        <f>_xlfn.IFNA(IF(AE214 &lt; (INDEX(SLATable[Maximum SLA],MATCH(G214,SLATable[Priority],0))),"YES","NO"),"")</f>
        <v/>
      </c>
    </row>
    <row r="215" spans="26:36" ht="15" customHeight="1">
      <c r="Z215" s="76" t="e">
        <f t="shared" ca="1" si="20"/>
        <v>#N/A</v>
      </c>
      <c r="AA215" s="75" t="e">
        <f t="shared" ca="1" si="1"/>
        <v>#N/A</v>
      </c>
      <c r="AB215" s="76">
        <f t="shared" ca="1" si="21"/>
        <v>0</v>
      </c>
      <c r="AC215" s="75">
        <f t="shared" ca="1" si="3"/>
        <v>0</v>
      </c>
      <c r="AD215" s="76">
        <f t="shared" ca="1" si="22"/>
        <v>12388.425641203703</v>
      </c>
      <c r="AE215" s="76">
        <f t="shared" si="23"/>
        <v>0</v>
      </c>
      <c r="AF215" s="75">
        <f t="shared" si="6"/>
        <v>0</v>
      </c>
      <c r="AG215" s="75">
        <f t="shared" si="7"/>
        <v>0</v>
      </c>
      <c r="AH215" s="31" t="e" cm="1">
        <f t="array" aca="1" ref="AH215" ca="1">IF((AD215) &lt; (INDEX(ResponseSLA[#All],(MATCH((G215),ResponseSLA[Priority],0))+1,3)),"YES","No")</f>
        <v>#N/A</v>
      </c>
      <c r="AI215" s="31" t="str">
        <f>_xlfn.IFNA(IF(AE215 &lt; (INDEX(SLATable[Minimum SLA],MATCH(G215,SLATable[Priority],0))),"YES","NO"),"")</f>
        <v/>
      </c>
      <c r="AJ215" t="str">
        <f>_xlfn.IFNA(IF(AE215 &lt; (INDEX(SLATable[Maximum SLA],MATCH(G215,SLATable[Priority],0))),"YES","NO"),"")</f>
        <v/>
      </c>
    </row>
    <row r="216" spans="26:36" ht="15" customHeight="1">
      <c r="Z216" s="76" t="e">
        <f t="shared" ca="1" si="20"/>
        <v>#N/A</v>
      </c>
      <c r="AA216" s="75" t="e">
        <f t="shared" ca="1" si="1"/>
        <v>#N/A</v>
      </c>
      <c r="AB216" s="76">
        <f t="shared" ca="1" si="21"/>
        <v>0</v>
      </c>
      <c r="AC216" s="75">
        <f t="shared" ca="1" si="3"/>
        <v>0</v>
      </c>
      <c r="AD216" s="76">
        <f t="shared" ca="1" si="22"/>
        <v>12388.425641087964</v>
      </c>
      <c r="AE216" s="76">
        <f t="shared" si="23"/>
        <v>0</v>
      </c>
      <c r="AF216" s="75">
        <f t="shared" si="6"/>
        <v>0</v>
      </c>
      <c r="AG216" s="75">
        <f t="shared" si="7"/>
        <v>0</v>
      </c>
      <c r="AH216" s="31" t="e" cm="1">
        <f t="array" aca="1" ref="AH216" ca="1">IF((AD216) &lt; (INDEX(ResponseSLA[#All],(MATCH((G216),ResponseSLA[Priority],0))+1,3)),"YES","No")</f>
        <v>#N/A</v>
      </c>
      <c r="AI216" s="31" t="str">
        <f>_xlfn.IFNA(IF(AE216 &lt; (INDEX(SLATable[Minimum SLA],MATCH(G216,SLATable[Priority],0))),"YES","NO"),"")</f>
        <v/>
      </c>
      <c r="AJ216" t="str">
        <f>_xlfn.IFNA(IF(AE216 &lt; (INDEX(SLATable[Maximum SLA],MATCH(G216,SLATable[Priority],0))),"YES","NO"),"")</f>
        <v/>
      </c>
    </row>
    <row r="217" spans="26:36" ht="15" customHeight="1">
      <c r="Z217" s="76" t="e">
        <f t="shared" ca="1" si="20"/>
        <v>#N/A</v>
      </c>
      <c r="AA217" s="75" t="e">
        <f t="shared" ca="1" si="1"/>
        <v>#N/A</v>
      </c>
      <c r="AB217" s="76">
        <f t="shared" ca="1" si="21"/>
        <v>0</v>
      </c>
      <c r="AC217" s="75">
        <f t="shared" ca="1" si="3"/>
        <v>0</v>
      </c>
      <c r="AD217" s="76">
        <f t="shared" ca="1" si="22"/>
        <v>12388.425641087964</v>
      </c>
      <c r="AE217" s="76">
        <f t="shared" si="23"/>
        <v>0</v>
      </c>
      <c r="AF217" s="75">
        <f t="shared" si="6"/>
        <v>0</v>
      </c>
      <c r="AG217" s="75">
        <f t="shared" si="7"/>
        <v>0</v>
      </c>
      <c r="AH217" s="31" t="e" cm="1">
        <f t="array" aca="1" ref="AH217" ca="1">IF((AD217) &lt; (INDEX(ResponseSLA[#All],(MATCH((G217),ResponseSLA[Priority],0))+1,3)),"YES","No")</f>
        <v>#N/A</v>
      </c>
      <c r="AI217" s="31" t="str">
        <f>_xlfn.IFNA(IF(AE217 &lt; (INDEX(SLATable[Minimum SLA],MATCH(G217,SLATable[Priority],0))),"YES","NO"),"")</f>
        <v/>
      </c>
      <c r="AJ217" t="str">
        <f>_xlfn.IFNA(IF(AE217 &lt; (INDEX(SLATable[Maximum SLA],MATCH(G217,SLATable[Priority],0))),"YES","NO"),"")</f>
        <v/>
      </c>
    </row>
    <row r="218" spans="26:36" ht="15" customHeight="1">
      <c r="Z218" s="76" t="e">
        <f t="shared" ca="1" si="20"/>
        <v>#N/A</v>
      </c>
      <c r="AA218" s="75" t="e">
        <f t="shared" ca="1" si="1"/>
        <v>#N/A</v>
      </c>
      <c r="AB218" s="76">
        <f t="shared" ca="1" si="21"/>
        <v>0</v>
      </c>
      <c r="AC218" s="75">
        <f t="shared" ca="1" si="3"/>
        <v>0</v>
      </c>
      <c r="AD218" s="76">
        <f t="shared" ca="1" si="22"/>
        <v>12388.425641203703</v>
      </c>
      <c r="AE218" s="76">
        <f t="shared" si="23"/>
        <v>0</v>
      </c>
      <c r="AF218" s="75">
        <f t="shared" si="6"/>
        <v>0</v>
      </c>
      <c r="AG218" s="75">
        <f t="shared" si="7"/>
        <v>0</v>
      </c>
      <c r="AH218" s="31" t="e" cm="1">
        <f t="array" aca="1" ref="AH218" ca="1">IF((AD218) &lt; (INDEX(ResponseSLA[#All],(MATCH((G218),ResponseSLA[Priority],0))+1,3)),"YES","No")</f>
        <v>#N/A</v>
      </c>
      <c r="AI218" s="31" t="str">
        <f>_xlfn.IFNA(IF(AE218 &lt; (INDEX(SLATable[Minimum SLA],MATCH(G218,SLATable[Priority],0))),"YES","NO"),"")</f>
        <v/>
      </c>
      <c r="AJ218" t="str">
        <f>_xlfn.IFNA(IF(AE218 &lt; (INDEX(SLATable[Maximum SLA],MATCH(G218,SLATable[Priority],0))),"YES","NO"),"")</f>
        <v/>
      </c>
    </row>
    <row r="219" spans="26:36" ht="15" customHeight="1">
      <c r="Z219" s="76" t="e">
        <f t="shared" ca="1" si="20"/>
        <v>#N/A</v>
      </c>
      <c r="AA219" s="75" t="e">
        <f t="shared" ca="1" si="1"/>
        <v>#N/A</v>
      </c>
      <c r="AB219" s="76">
        <f t="shared" ca="1" si="21"/>
        <v>0</v>
      </c>
      <c r="AC219" s="75">
        <f t="shared" ca="1" si="3"/>
        <v>0</v>
      </c>
      <c r="AD219" s="76">
        <f t="shared" ca="1" si="22"/>
        <v>12388.425641087964</v>
      </c>
      <c r="AE219" s="76">
        <f t="shared" si="23"/>
        <v>0</v>
      </c>
      <c r="AF219" s="75">
        <f t="shared" si="6"/>
        <v>0</v>
      </c>
      <c r="AG219" s="75">
        <f t="shared" si="7"/>
        <v>0</v>
      </c>
      <c r="AH219" s="31" t="e" cm="1">
        <f t="array" aca="1" ref="AH219" ca="1">IF((AD219) &lt; (INDEX(ResponseSLA[#All],(MATCH((G219),ResponseSLA[Priority],0))+1,3)),"YES","No")</f>
        <v>#N/A</v>
      </c>
      <c r="AI219" s="31" t="str">
        <f>_xlfn.IFNA(IF(AE219 &lt; (INDEX(SLATable[Minimum SLA],MATCH(G219,SLATable[Priority],0))),"YES","NO"),"")</f>
        <v/>
      </c>
      <c r="AJ219" t="str">
        <f>_xlfn.IFNA(IF(AE219 &lt; (INDEX(SLATable[Maximum SLA],MATCH(G219,SLATable[Priority],0))),"YES","NO"),"")</f>
        <v/>
      </c>
    </row>
    <row r="220" spans="26:36" ht="15" customHeight="1">
      <c r="Z220" s="76" t="e">
        <f t="shared" ca="1" si="20"/>
        <v>#N/A</v>
      </c>
      <c r="AA220" s="75" t="e">
        <f t="shared" ca="1" si="1"/>
        <v>#N/A</v>
      </c>
      <c r="AB220" s="76">
        <f t="shared" ca="1" si="21"/>
        <v>0</v>
      </c>
      <c r="AC220" s="75">
        <f t="shared" ca="1" si="3"/>
        <v>0</v>
      </c>
      <c r="AD220" s="76">
        <f t="shared" ca="1" si="22"/>
        <v>12388.425641087964</v>
      </c>
      <c r="AE220" s="76">
        <f t="shared" si="23"/>
        <v>0</v>
      </c>
      <c r="AF220" s="75">
        <f t="shared" si="6"/>
        <v>0</v>
      </c>
      <c r="AG220" s="75">
        <f t="shared" si="7"/>
        <v>0</v>
      </c>
      <c r="AH220" s="31" t="e" cm="1">
        <f t="array" aca="1" ref="AH220" ca="1">IF((AD220) &lt; (INDEX(ResponseSLA[#All],(MATCH((G220),ResponseSLA[Priority],0))+1,3)),"YES","No")</f>
        <v>#N/A</v>
      </c>
      <c r="AI220" s="31" t="str">
        <f>_xlfn.IFNA(IF(AE220 &lt; (INDEX(SLATable[Minimum SLA],MATCH(G220,SLATable[Priority],0))),"YES","NO"),"")</f>
        <v/>
      </c>
      <c r="AJ220" t="str">
        <f>_xlfn.IFNA(IF(AE220 &lt; (INDEX(SLATable[Maximum SLA],MATCH(G220,SLATable[Priority],0))),"YES","NO"),"")</f>
        <v/>
      </c>
    </row>
    <row r="221" spans="26:36" ht="15" customHeight="1">
      <c r="Z221" s="76" t="e">
        <f t="shared" ca="1" si="20"/>
        <v>#N/A</v>
      </c>
      <c r="AA221" s="75" t="e">
        <f t="shared" ca="1" si="1"/>
        <v>#N/A</v>
      </c>
      <c r="AB221" s="76">
        <f t="shared" ca="1" si="21"/>
        <v>0</v>
      </c>
      <c r="AC221" s="75">
        <f t="shared" ca="1" si="3"/>
        <v>0</v>
      </c>
      <c r="AD221" s="76">
        <f t="shared" ca="1" si="22"/>
        <v>12388.425641203703</v>
      </c>
      <c r="AE221" s="76">
        <f t="shared" si="23"/>
        <v>0</v>
      </c>
      <c r="AF221" s="75">
        <f t="shared" si="6"/>
        <v>0</v>
      </c>
      <c r="AG221" s="75">
        <f t="shared" si="7"/>
        <v>0</v>
      </c>
      <c r="AH221" s="31" t="e" cm="1">
        <f t="array" aca="1" ref="AH221" ca="1">IF((AD221) &lt; (INDEX(ResponseSLA[#All],(MATCH((G221),ResponseSLA[Priority],0))+1,3)),"YES","No")</f>
        <v>#N/A</v>
      </c>
      <c r="AI221" s="31" t="str">
        <f>_xlfn.IFNA(IF(AE221 &lt; (INDEX(SLATable[Minimum SLA],MATCH(G221,SLATable[Priority],0))),"YES","NO"),"")</f>
        <v/>
      </c>
      <c r="AJ221" t="str">
        <f>_xlfn.IFNA(IF(AE221 &lt; (INDEX(SLATable[Maximum SLA],MATCH(G221,SLATable[Priority],0))),"YES","NO"),"")</f>
        <v/>
      </c>
    </row>
    <row r="222" spans="26:36" ht="15" customHeight="1">
      <c r="Z222" s="76" t="e">
        <f t="shared" ca="1" si="20"/>
        <v>#N/A</v>
      </c>
      <c r="AA222" s="75" t="e">
        <f t="shared" ca="1" si="1"/>
        <v>#N/A</v>
      </c>
      <c r="AB222" s="76">
        <f t="shared" ca="1" si="21"/>
        <v>0</v>
      </c>
      <c r="AC222" s="75">
        <f t="shared" ca="1" si="3"/>
        <v>0</v>
      </c>
      <c r="AD222" s="76">
        <f t="shared" ca="1" si="22"/>
        <v>12388.425641087964</v>
      </c>
      <c r="AE222" s="76">
        <f t="shared" si="23"/>
        <v>0</v>
      </c>
      <c r="AF222" s="75">
        <f t="shared" si="6"/>
        <v>0</v>
      </c>
      <c r="AG222" s="75">
        <f t="shared" si="7"/>
        <v>0</v>
      </c>
      <c r="AH222" s="31" t="e" cm="1">
        <f t="array" aca="1" ref="AH222" ca="1">IF((AD222) &lt; (INDEX(ResponseSLA[#All],(MATCH((G222),ResponseSLA[Priority],0))+1,3)),"YES","No")</f>
        <v>#N/A</v>
      </c>
      <c r="AI222" s="31" t="str">
        <f>_xlfn.IFNA(IF(AE222 &lt; (INDEX(SLATable[Minimum SLA],MATCH(G222,SLATable[Priority],0))),"YES","NO"),"")</f>
        <v/>
      </c>
      <c r="AJ222" t="str">
        <f>_xlfn.IFNA(IF(AE222 &lt; (INDEX(SLATable[Maximum SLA],MATCH(G222,SLATable[Priority],0))),"YES","NO"),"")</f>
        <v/>
      </c>
    </row>
    <row r="223" spans="26:36" ht="15" customHeight="1">
      <c r="Z223" s="76" t="e">
        <f t="shared" ca="1" si="20"/>
        <v>#N/A</v>
      </c>
      <c r="AA223" s="75" t="e">
        <f t="shared" ca="1" si="1"/>
        <v>#N/A</v>
      </c>
      <c r="AB223" s="76">
        <f t="shared" ca="1" si="21"/>
        <v>0</v>
      </c>
      <c r="AC223" s="75">
        <f t="shared" ca="1" si="3"/>
        <v>0</v>
      </c>
      <c r="AD223" s="76">
        <f t="shared" ca="1" si="22"/>
        <v>12388.425641087964</v>
      </c>
      <c r="AE223" s="76">
        <f t="shared" si="23"/>
        <v>0</v>
      </c>
      <c r="AF223" s="75">
        <f t="shared" si="6"/>
        <v>0</v>
      </c>
      <c r="AG223" s="75">
        <f t="shared" si="7"/>
        <v>0</v>
      </c>
      <c r="AH223" s="31" t="e" cm="1">
        <f t="array" aca="1" ref="AH223" ca="1">IF((AD223) &lt; (INDEX(ResponseSLA[#All],(MATCH((G223),ResponseSLA[Priority],0))+1,3)),"YES","No")</f>
        <v>#N/A</v>
      </c>
      <c r="AI223" s="31" t="str">
        <f>_xlfn.IFNA(IF(AE223 &lt; (INDEX(SLATable[Minimum SLA],MATCH(G223,SLATable[Priority],0))),"YES","NO"),"")</f>
        <v/>
      </c>
      <c r="AJ223" t="str">
        <f>_xlfn.IFNA(IF(AE223 &lt; (INDEX(SLATable[Maximum SLA],MATCH(G223,SLATable[Priority],0))),"YES","NO"),"")</f>
        <v/>
      </c>
    </row>
    <row r="224" spans="26:36" ht="15" customHeight="1">
      <c r="Z224" s="76" t="e">
        <f t="shared" ca="1" si="20"/>
        <v>#N/A</v>
      </c>
      <c r="AA224" s="75" t="e">
        <f t="shared" ca="1" si="1"/>
        <v>#N/A</v>
      </c>
      <c r="AB224" s="76">
        <f t="shared" ca="1" si="21"/>
        <v>0</v>
      </c>
      <c r="AC224" s="75">
        <f t="shared" ca="1" si="3"/>
        <v>0</v>
      </c>
      <c r="AD224" s="76">
        <f t="shared" ca="1" si="22"/>
        <v>12388.425641203703</v>
      </c>
      <c r="AE224" s="76">
        <f t="shared" si="23"/>
        <v>0</v>
      </c>
      <c r="AF224" s="75">
        <f t="shared" si="6"/>
        <v>0</v>
      </c>
      <c r="AG224" s="75">
        <f t="shared" si="7"/>
        <v>0</v>
      </c>
      <c r="AH224" s="31" t="e" cm="1">
        <f t="array" aca="1" ref="AH224" ca="1">IF((AD224) &lt; (INDEX(ResponseSLA[#All],(MATCH((G224),ResponseSLA[Priority],0))+1,3)),"YES","No")</f>
        <v>#N/A</v>
      </c>
      <c r="AI224" s="31" t="str">
        <f>_xlfn.IFNA(IF(AE224 &lt; (INDEX(SLATable[Minimum SLA],MATCH(G224,SLATable[Priority],0))),"YES","NO"),"")</f>
        <v/>
      </c>
      <c r="AJ224" t="str">
        <f>_xlfn.IFNA(IF(AE224 &lt; (INDEX(SLATable[Maximum SLA],MATCH(G224,SLATable[Priority],0))),"YES","NO"),"")</f>
        <v/>
      </c>
    </row>
    <row r="225" spans="26:36" ht="15" customHeight="1">
      <c r="Z225" s="76" t="e">
        <f t="shared" ca="1" si="20"/>
        <v>#N/A</v>
      </c>
      <c r="AA225" s="75" t="e">
        <f t="shared" ca="1" si="1"/>
        <v>#N/A</v>
      </c>
      <c r="AB225" s="76">
        <f t="shared" ca="1" si="21"/>
        <v>0</v>
      </c>
      <c r="AC225" s="75">
        <f t="shared" ca="1" si="3"/>
        <v>0</v>
      </c>
      <c r="AD225" s="76">
        <f t="shared" ca="1" si="22"/>
        <v>12388.425641087964</v>
      </c>
      <c r="AE225" s="76">
        <f t="shared" si="23"/>
        <v>0</v>
      </c>
      <c r="AF225" s="75">
        <f t="shared" si="6"/>
        <v>0</v>
      </c>
      <c r="AG225" s="75">
        <f t="shared" si="7"/>
        <v>0</v>
      </c>
      <c r="AH225" s="31" t="e" cm="1">
        <f t="array" aca="1" ref="AH225" ca="1">IF((AD225) &lt; (INDEX(ResponseSLA[#All],(MATCH((G225),ResponseSLA[Priority],0))+1,3)),"YES","No")</f>
        <v>#N/A</v>
      </c>
      <c r="AI225" s="31" t="str">
        <f>_xlfn.IFNA(IF(AE225 &lt; (INDEX(SLATable[Minimum SLA],MATCH(G225,SLATable[Priority],0))),"YES","NO"),"")</f>
        <v/>
      </c>
      <c r="AJ225" t="str">
        <f>_xlfn.IFNA(IF(AE225 &lt; (INDEX(SLATable[Maximum SLA],MATCH(G225,SLATable[Priority],0))),"YES","NO"),"")</f>
        <v/>
      </c>
    </row>
    <row r="226" spans="26:36" ht="15" customHeight="1">
      <c r="Z226" s="76" t="e">
        <f t="shared" ca="1" si="20"/>
        <v>#N/A</v>
      </c>
      <c r="AA226" s="75" t="e">
        <f t="shared" ca="1" si="1"/>
        <v>#N/A</v>
      </c>
      <c r="AB226" s="76">
        <f t="shared" ca="1" si="21"/>
        <v>0</v>
      </c>
      <c r="AC226" s="75">
        <f t="shared" ca="1" si="3"/>
        <v>0</v>
      </c>
      <c r="AD226" s="76">
        <f t="shared" ca="1" si="22"/>
        <v>12388.425641087964</v>
      </c>
      <c r="AE226" s="76">
        <f t="shared" si="23"/>
        <v>0</v>
      </c>
      <c r="AF226" s="75">
        <f t="shared" si="6"/>
        <v>0</v>
      </c>
      <c r="AG226" s="75">
        <f t="shared" si="7"/>
        <v>0</v>
      </c>
      <c r="AH226" s="31" t="e" cm="1">
        <f t="array" aca="1" ref="AH226" ca="1">IF((AD226) &lt; (INDEX(ResponseSLA[#All],(MATCH((G226),ResponseSLA[Priority],0))+1,3)),"YES","No")</f>
        <v>#N/A</v>
      </c>
      <c r="AI226" s="31" t="str">
        <f>_xlfn.IFNA(IF(AE226 &lt; (INDEX(SLATable[Minimum SLA],MATCH(G226,SLATable[Priority],0))),"YES","NO"),"")</f>
        <v/>
      </c>
      <c r="AJ226" t="str">
        <f>_xlfn.IFNA(IF(AE226 &lt; (INDEX(SLATable[Maximum SLA],MATCH(G226,SLATable[Priority],0))),"YES","NO"),"")</f>
        <v/>
      </c>
    </row>
    <row r="227" spans="26:36" ht="15" customHeight="1">
      <c r="Z227" s="76" t="e">
        <f t="shared" ca="1" si="20"/>
        <v>#N/A</v>
      </c>
      <c r="AA227" s="75" t="e">
        <f t="shared" ca="1" si="1"/>
        <v>#N/A</v>
      </c>
      <c r="AB227" s="76">
        <f t="shared" ca="1" si="21"/>
        <v>0</v>
      </c>
      <c r="AC227" s="75">
        <f t="shared" ca="1" si="3"/>
        <v>0</v>
      </c>
      <c r="AD227" s="76">
        <f t="shared" ca="1" si="22"/>
        <v>12388.425641203703</v>
      </c>
      <c r="AE227" s="76">
        <f t="shared" si="23"/>
        <v>0</v>
      </c>
      <c r="AF227" s="75">
        <f t="shared" si="6"/>
        <v>0</v>
      </c>
      <c r="AG227" s="75">
        <f t="shared" si="7"/>
        <v>0</v>
      </c>
      <c r="AH227" s="31" t="e" cm="1">
        <f t="array" aca="1" ref="AH227" ca="1">IF((AD227) &lt; (INDEX(ResponseSLA[#All],(MATCH((G227),ResponseSLA[Priority],0))+1,3)),"YES","No")</f>
        <v>#N/A</v>
      </c>
      <c r="AI227" s="31" t="str">
        <f>_xlfn.IFNA(IF(AE227 &lt; (INDEX(SLATable[Minimum SLA],MATCH(G227,SLATable[Priority],0))),"YES","NO"),"")</f>
        <v/>
      </c>
      <c r="AJ227" t="str">
        <f>_xlfn.IFNA(IF(AE227 &lt; (INDEX(SLATable[Maximum SLA],MATCH(G227,SLATable[Priority],0))),"YES","NO"),"")</f>
        <v/>
      </c>
    </row>
    <row r="228" spans="26:36" ht="15" customHeight="1">
      <c r="Z228" s="76" t="e">
        <f t="shared" ca="1" si="20"/>
        <v>#N/A</v>
      </c>
      <c r="AA228" s="75" t="e">
        <f t="shared" ca="1" si="1"/>
        <v>#N/A</v>
      </c>
      <c r="AB228" s="76">
        <f t="shared" ca="1" si="21"/>
        <v>0</v>
      </c>
      <c r="AC228" s="75">
        <f t="shared" ca="1" si="3"/>
        <v>0</v>
      </c>
      <c r="AD228" s="76">
        <f t="shared" ca="1" si="22"/>
        <v>12388.425641087964</v>
      </c>
      <c r="AE228" s="76">
        <f t="shared" si="23"/>
        <v>0</v>
      </c>
      <c r="AF228" s="75">
        <f t="shared" si="6"/>
        <v>0</v>
      </c>
      <c r="AG228" s="75">
        <f t="shared" si="7"/>
        <v>0</v>
      </c>
      <c r="AH228" s="31" t="e" cm="1">
        <f t="array" aca="1" ref="AH228" ca="1">IF((AD228) &lt; (INDEX(ResponseSLA[#All],(MATCH((G228),ResponseSLA[Priority],0))+1,3)),"YES","No")</f>
        <v>#N/A</v>
      </c>
      <c r="AI228" s="31" t="str">
        <f>_xlfn.IFNA(IF(AE228 &lt; (INDEX(SLATable[Minimum SLA],MATCH(G228,SLATable[Priority],0))),"YES","NO"),"")</f>
        <v/>
      </c>
      <c r="AJ228" t="str">
        <f>_xlfn.IFNA(IF(AE228 &lt; (INDEX(SLATable[Maximum SLA],MATCH(G228,SLATable[Priority],0))),"YES","NO"),"")</f>
        <v/>
      </c>
    </row>
    <row r="229" spans="26:36" ht="15" customHeight="1">
      <c r="Z229" s="76" t="e">
        <f t="shared" ca="1" si="20"/>
        <v>#N/A</v>
      </c>
      <c r="AA229" s="75" t="e">
        <f t="shared" ca="1" si="1"/>
        <v>#N/A</v>
      </c>
      <c r="AB229" s="76">
        <f t="shared" ca="1" si="21"/>
        <v>0</v>
      </c>
      <c r="AC229" s="75">
        <f t="shared" ca="1" si="3"/>
        <v>0</v>
      </c>
      <c r="AD229" s="76">
        <f t="shared" ca="1" si="22"/>
        <v>12388.425641087964</v>
      </c>
      <c r="AE229" s="76">
        <f t="shared" si="23"/>
        <v>0</v>
      </c>
      <c r="AF229" s="75">
        <f t="shared" si="6"/>
        <v>0</v>
      </c>
      <c r="AG229" s="75">
        <f t="shared" si="7"/>
        <v>0</v>
      </c>
      <c r="AH229" s="31" t="e" cm="1">
        <f t="array" aca="1" ref="AH229" ca="1">IF((AD229) &lt; (INDEX(ResponseSLA[#All],(MATCH((G229),ResponseSLA[Priority],0))+1,3)),"YES","No")</f>
        <v>#N/A</v>
      </c>
      <c r="AI229" s="31" t="str">
        <f>_xlfn.IFNA(IF(AE229 &lt; (INDEX(SLATable[Minimum SLA],MATCH(G229,SLATable[Priority],0))),"YES","NO"),"")</f>
        <v/>
      </c>
      <c r="AJ229" t="str">
        <f>_xlfn.IFNA(IF(AE229 &lt; (INDEX(SLATable[Maximum SLA],MATCH(G229,SLATable[Priority],0))),"YES","NO"),"")</f>
        <v/>
      </c>
    </row>
    <row r="230" spans="26:36" ht="15" customHeight="1">
      <c r="Z230" s="76" t="e">
        <f t="shared" ca="1" si="20"/>
        <v>#N/A</v>
      </c>
      <c r="AA230" s="75" t="e">
        <f t="shared" ca="1" si="1"/>
        <v>#N/A</v>
      </c>
      <c r="AB230" s="76">
        <f t="shared" ca="1" si="21"/>
        <v>0</v>
      </c>
      <c r="AC230" s="75">
        <f t="shared" ca="1" si="3"/>
        <v>0</v>
      </c>
      <c r="AD230" s="76">
        <f t="shared" ca="1" si="22"/>
        <v>12388.425641203703</v>
      </c>
      <c r="AE230" s="76">
        <f t="shared" si="23"/>
        <v>0</v>
      </c>
      <c r="AF230" s="75">
        <f t="shared" si="6"/>
        <v>0</v>
      </c>
      <c r="AG230" s="75">
        <f t="shared" si="7"/>
        <v>0</v>
      </c>
      <c r="AH230" s="31" t="e" cm="1">
        <f t="array" aca="1" ref="AH230" ca="1">IF((AD230) &lt; (INDEX(ResponseSLA[#All],(MATCH((G230),ResponseSLA[Priority],0))+1,3)),"YES","No")</f>
        <v>#N/A</v>
      </c>
      <c r="AI230" s="31" t="str">
        <f>_xlfn.IFNA(IF(AE230 &lt; (INDEX(SLATable[Minimum SLA],MATCH(G230,SLATable[Priority],0))),"YES","NO"),"")</f>
        <v/>
      </c>
      <c r="AJ230" t="str">
        <f>_xlfn.IFNA(IF(AE230 &lt; (INDEX(SLATable[Maximum SLA],MATCH(G230,SLATable[Priority],0))),"YES","NO"),"")</f>
        <v/>
      </c>
    </row>
    <row r="231" spans="26:36" ht="15" customHeight="1">
      <c r="Z231" s="76" t="e">
        <f t="shared" ca="1" si="20"/>
        <v>#N/A</v>
      </c>
      <c r="AA231" s="75" t="e">
        <f t="shared" ca="1" si="1"/>
        <v>#N/A</v>
      </c>
      <c r="AB231" s="76">
        <f t="shared" ca="1" si="21"/>
        <v>0</v>
      </c>
      <c r="AC231" s="75">
        <f t="shared" ca="1" si="3"/>
        <v>0</v>
      </c>
      <c r="AD231" s="76">
        <f t="shared" ca="1" si="22"/>
        <v>12388.425641087964</v>
      </c>
      <c r="AE231" s="76">
        <f t="shared" si="23"/>
        <v>0</v>
      </c>
      <c r="AF231" s="75">
        <f t="shared" si="6"/>
        <v>0</v>
      </c>
      <c r="AG231" s="75">
        <f t="shared" si="7"/>
        <v>0</v>
      </c>
      <c r="AH231" s="31" t="e" cm="1">
        <f t="array" aca="1" ref="AH231" ca="1">IF((AD231) &lt; (INDEX(ResponseSLA[#All],(MATCH((G231),ResponseSLA[Priority],0))+1,3)),"YES","No")</f>
        <v>#N/A</v>
      </c>
      <c r="AI231" s="31" t="str">
        <f>_xlfn.IFNA(IF(AE231 &lt; (INDEX(SLATable[Minimum SLA],MATCH(G231,SLATable[Priority],0))),"YES","NO"),"")</f>
        <v/>
      </c>
      <c r="AJ231" t="str">
        <f>_xlfn.IFNA(IF(AE231 &lt; (INDEX(SLATable[Maximum SLA],MATCH(G231,SLATable[Priority],0))),"YES","NO"),"")</f>
        <v/>
      </c>
    </row>
    <row r="232" spans="26:36" ht="15" customHeight="1">
      <c r="Z232" s="76" t="e">
        <f t="shared" ca="1" si="20"/>
        <v>#N/A</v>
      </c>
      <c r="AA232" s="75" t="e">
        <f t="shared" ca="1" si="1"/>
        <v>#N/A</v>
      </c>
      <c r="AB232" s="76">
        <f t="shared" ca="1" si="21"/>
        <v>0</v>
      </c>
      <c r="AC232" s="75">
        <f t="shared" ca="1" si="3"/>
        <v>0</v>
      </c>
      <c r="AD232" s="76">
        <f t="shared" ca="1" si="22"/>
        <v>12388.425641087964</v>
      </c>
      <c r="AE232" s="76">
        <f t="shared" si="23"/>
        <v>0</v>
      </c>
      <c r="AF232" s="75">
        <f t="shared" si="6"/>
        <v>0</v>
      </c>
      <c r="AG232" s="75">
        <f t="shared" si="7"/>
        <v>0</v>
      </c>
      <c r="AH232" s="31" t="e" cm="1">
        <f t="array" aca="1" ref="AH232" ca="1">IF((AD232) &lt; (INDEX(ResponseSLA[#All],(MATCH((G232),ResponseSLA[Priority],0))+1,3)),"YES","No")</f>
        <v>#N/A</v>
      </c>
      <c r="AI232" s="31" t="str">
        <f>_xlfn.IFNA(IF(AE232 &lt; (INDEX(SLATable[Minimum SLA],MATCH(G232,SLATable[Priority],0))),"YES","NO"),"")</f>
        <v/>
      </c>
      <c r="AJ232" t="str">
        <f>_xlfn.IFNA(IF(AE232 &lt; (INDEX(SLATable[Maximum SLA],MATCH(G232,SLATable[Priority],0))),"YES","NO"),"")</f>
        <v/>
      </c>
    </row>
    <row r="233" spans="26:36" ht="15" customHeight="1">
      <c r="Z233" s="76" t="e">
        <f t="shared" ca="1" si="20"/>
        <v>#N/A</v>
      </c>
      <c r="AA233" s="75" t="e">
        <f t="shared" ca="1" si="1"/>
        <v>#N/A</v>
      </c>
      <c r="AB233" s="76">
        <f t="shared" ca="1" si="21"/>
        <v>0</v>
      </c>
      <c r="AC233" s="75">
        <f t="shared" ca="1" si="3"/>
        <v>0</v>
      </c>
      <c r="AD233" s="76">
        <f t="shared" ca="1" si="22"/>
        <v>12388.425641203703</v>
      </c>
      <c r="AE233" s="76">
        <f t="shared" si="23"/>
        <v>0</v>
      </c>
      <c r="AF233" s="75">
        <f t="shared" si="6"/>
        <v>0</v>
      </c>
      <c r="AG233" s="75">
        <f t="shared" si="7"/>
        <v>0</v>
      </c>
      <c r="AH233" s="31" t="e" cm="1">
        <f t="array" aca="1" ref="AH233" ca="1">IF((AD233) &lt; (INDEX(ResponseSLA[#All],(MATCH((G233),ResponseSLA[Priority],0))+1,3)),"YES","No")</f>
        <v>#N/A</v>
      </c>
      <c r="AI233" s="31" t="str">
        <f>_xlfn.IFNA(IF(AE233 &lt; (INDEX(SLATable[Minimum SLA],MATCH(G233,SLATable[Priority],0))),"YES","NO"),"")</f>
        <v/>
      </c>
      <c r="AJ233" t="str">
        <f>_xlfn.IFNA(IF(AE233 &lt; (INDEX(SLATable[Maximum SLA],MATCH(G233,SLATable[Priority],0))),"YES","NO"),"")</f>
        <v/>
      </c>
    </row>
    <row r="234" spans="26:36" ht="15" customHeight="1">
      <c r="Z234" s="76" t="e">
        <f t="shared" ca="1" si="20"/>
        <v>#N/A</v>
      </c>
      <c r="AA234" s="75" t="e">
        <f t="shared" ca="1" si="1"/>
        <v>#N/A</v>
      </c>
      <c r="AB234" s="76">
        <f t="shared" ca="1" si="21"/>
        <v>0</v>
      </c>
      <c r="AC234" s="75">
        <f t="shared" ca="1" si="3"/>
        <v>0</v>
      </c>
      <c r="AD234" s="76">
        <f t="shared" ca="1" si="22"/>
        <v>12388.425641087964</v>
      </c>
      <c r="AE234" s="76">
        <f t="shared" si="23"/>
        <v>0</v>
      </c>
      <c r="AF234" s="75">
        <f t="shared" si="6"/>
        <v>0</v>
      </c>
      <c r="AG234" s="75">
        <f t="shared" si="7"/>
        <v>0</v>
      </c>
      <c r="AH234" s="31" t="e" cm="1">
        <f t="array" aca="1" ref="AH234" ca="1">IF((AD234) &lt; (INDEX(ResponseSLA[#All],(MATCH((G234),ResponseSLA[Priority],0))+1,3)),"YES","No")</f>
        <v>#N/A</v>
      </c>
      <c r="AI234" s="31" t="str">
        <f>_xlfn.IFNA(IF(AE234 &lt; (INDEX(SLATable[Minimum SLA],MATCH(G234,SLATable[Priority],0))),"YES","NO"),"")</f>
        <v/>
      </c>
      <c r="AJ234" t="str">
        <f>_xlfn.IFNA(IF(AE234 &lt; (INDEX(SLATable[Maximum SLA],MATCH(G234,SLATable[Priority],0))),"YES","NO"),"")</f>
        <v/>
      </c>
    </row>
    <row r="235" spans="26:36" ht="15" customHeight="1">
      <c r="Z235" s="76" t="e">
        <f t="shared" ca="1" si="20"/>
        <v>#N/A</v>
      </c>
      <c r="AA235" s="75" t="e">
        <f t="shared" ca="1" si="1"/>
        <v>#N/A</v>
      </c>
      <c r="AB235" s="76">
        <f t="shared" ca="1" si="21"/>
        <v>0</v>
      </c>
      <c r="AC235" s="75">
        <f t="shared" ca="1" si="3"/>
        <v>0</v>
      </c>
      <c r="AD235" s="76">
        <f t="shared" ca="1" si="22"/>
        <v>12388.425641087964</v>
      </c>
      <c r="AE235" s="76">
        <f t="shared" si="23"/>
        <v>0</v>
      </c>
      <c r="AF235" s="75">
        <f t="shared" si="6"/>
        <v>0</v>
      </c>
      <c r="AG235" s="75">
        <f t="shared" si="7"/>
        <v>0</v>
      </c>
      <c r="AH235" s="31" t="e" cm="1">
        <f t="array" aca="1" ref="AH235" ca="1">IF((AD235) &lt; (INDEX(ResponseSLA[#All],(MATCH((G235),ResponseSLA[Priority],0))+1,3)),"YES","No")</f>
        <v>#N/A</v>
      </c>
      <c r="AI235" s="31" t="str">
        <f>_xlfn.IFNA(IF(AE235 &lt; (INDEX(SLATable[Minimum SLA],MATCH(G235,SLATable[Priority],0))),"YES","NO"),"")</f>
        <v/>
      </c>
      <c r="AJ235" t="str">
        <f>_xlfn.IFNA(IF(AE235 &lt; (INDEX(SLATable[Maximum SLA],MATCH(G235,SLATable[Priority],0))),"YES","NO"),"")</f>
        <v/>
      </c>
    </row>
    <row r="236" spans="26:36" ht="15" customHeight="1">
      <c r="Z236" s="76" t="e">
        <f t="shared" ca="1" si="20"/>
        <v>#N/A</v>
      </c>
      <c r="AA236" s="75" t="e">
        <f t="shared" ca="1" si="1"/>
        <v>#N/A</v>
      </c>
      <c r="AB236" s="76">
        <f t="shared" ca="1" si="21"/>
        <v>0</v>
      </c>
      <c r="AC236" s="75">
        <f t="shared" ca="1" si="3"/>
        <v>0</v>
      </c>
      <c r="AD236" s="76">
        <f t="shared" ca="1" si="22"/>
        <v>12388.425641203703</v>
      </c>
      <c r="AE236" s="76">
        <f t="shared" si="23"/>
        <v>0</v>
      </c>
      <c r="AF236" s="75">
        <f t="shared" si="6"/>
        <v>0</v>
      </c>
      <c r="AG236" s="75">
        <f t="shared" si="7"/>
        <v>0</v>
      </c>
      <c r="AH236" s="31" t="e" cm="1">
        <f t="array" aca="1" ref="AH236" ca="1">IF((AD236) &lt; (INDEX(ResponseSLA[#All],(MATCH((G236),ResponseSLA[Priority],0))+1,3)),"YES","No")</f>
        <v>#N/A</v>
      </c>
      <c r="AI236" s="31" t="str">
        <f>_xlfn.IFNA(IF(AE236 &lt; (INDEX(SLATable[Minimum SLA],MATCH(G236,SLATable[Priority],0))),"YES","NO"),"")</f>
        <v/>
      </c>
      <c r="AJ236" t="str">
        <f>_xlfn.IFNA(IF(AE236 &lt; (INDEX(SLATable[Maximum SLA],MATCH(G236,SLATable[Priority],0))),"YES","NO"),"")</f>
        <v/>
      </c>
    </row>
    <row r="237" spans="26:36" ht="15" customHeight="1">
      <c r="Z237" s="76" t="e">
        <f t="shared" ca="1" si="20"/>
        <v>#N/A</v>
      </c>
      <c r="AA237" s="75" t="e">
        <f t="shared" ca="1" si="1"/>
        <v>#N/A</v>
      </c>
      <c r="AB237" s="76">
        <f t="shared" ca="1" si="21"/>
        <v>0</v>
      </c>
      <c r="AC237" s="75">
        <f t="shared" ca="1" si="3"/>
        <v>0</v>
      </c>
      <c r="AD237" s="76">
        <f t="shared" ca="1" si="22"/>
        <v>12388.425641087964</v>
      </c>
      <c r="AE237" s="76">
        <f t="shared" si="23"/>
        <v>0</v>
      </c>
      <c r="AF237" s="75">
        <f t="shared" si="6"/>
        <v>0</v>
      </c>
      <c r="AG237" s="75">
        <f t="shared" si="7"/>
        <v>0</v>
      </c>
      <c r="AH237" s="31" t="e" cm="1">
        <f t="array" aca="1" ref="AH237" ca="1">IF((AD237) &lt; (INDEX(ResponseSLA[#All],(MATCH((G237),ResponseSLA[Priority],0))+1,3)),"YES","No")</f>
        <v>#N/A</v>
      </c>
      <c r="AI237" s="31" t="str">
        <f>_xlfn.IFNA(IF(AE237 &lt; (INDEX(SLATable[Minimum SLA],MATCH(G237,SLATable[Priority],0))),"YES","NO"),"")</f>
        <v/>
      </c>
      <c r="AJ237" t="str">
        <f>_xlfn.IFNA(IF(AE237 &lt; (INDEX(SLATable[Maximum SLA],MATCH(G237,SLATable[Priority],0))),"YES","NO"),"")</f>
        <v/>
      </c>
    </row>
    <row r="238" spans="26:36" ht="15" customHeight="1">
      <c r="Z238" s="76" t="e">
        <f t="shared" ca="1" si="20"/>
        <v>#N/A</v>
      </c>
      <c r="AA238" s="75" t="e">
        <f t="shared" ca="1" si="1"/>
        <v>#N/A</v>
      </c>
      <c r="AB238" s="76">
        <f t="shared" ca="1" si="21"/>
        <v>0</v>
      </c>
      <c r="AC238" s="75">
        <f t="shared" ca="1" si="3"/>
        <v>0</v>
      </c>
      <c r="AD238" s="76">
        <f t="shared" ca="1" si="22"/>
        <v>12388.425641087964</v>
      </c>
      <c r="AE238" s="76">
        <f t="shared" si="23"/>
        <v>0</v>
      </c>
      <c r="AF238" s="75">
        <f t="shared" si="6"/>
        <v>0</v>
      </c>
      <c r="AG238" s="75">
        <f t="shared" si="7"/>
        <v>0</v>
      </c>
      <c r="AH238" s="31" t="e" cm="1">
        <f t="array" aca="1" ref="AH238" ca="1">IF((AD238) &lt; (INDEX(ResponseSLA[#All],(MATCH((G238),ResponseSLA[Priority],0))+1,3)),"YES","No")</f>
        <v>#N/A</v>
      </c>
      <c r="AI238" s="31" t="str">
        <f>_xlfn.IFNA(IF(AE238 &lt; (INDEX(SLATable[Minimum SLA],MATCH(G238,SLATable[Priority],0))),"YES","NO"),"")</f>
        <v/>
      </c>
      <c r="AJ238" t="str">
        <f>_xlfn.IFNA(IF(AE238 &lt; (INDEX(SLATable[Maximum SLA],MATCH(G238,SLATable[Priority],0))),"YES","NO"),"")</f>
        <v/>
      </c>
    </row>
    <row r="239" spans="26:36" ht="15" customHeight="1">
      <c r="Z239" s="76" t="e">
        <f t="shared" ca="1" si="20"/>
        <v>#N/A</v>
      </c>
      <c r="AA239" s="75" t="e">
        <f t="shared" ca="1" si="1"/>
        <v>#N/A</v>
      </c>
      <c r="AB239" s="76">
        <f t="shared" ca="1" si="21"/>
        <v>0</v>
      </c>
      <c r="AC239" s="75">
        <f t="shared" ca="1" si="3"/>
        <v>0</v>
      </c>
      <c r="AD239" s="76">
        <f t="shared" ca="1" si="22"/>
        <v>12388.425641203703</v>
      </c>
      <c r="AE239" s="76">
        <f t="shared" si="23"/>
        <v>0</v>
      </c>
      <c r="AF239" s="75">
        <f t="shared" si="6"/>
        <v>0</v>
      </c>
      <c r="AG239" s="75">
        <f t="shared" si="7"/>
        <v>0</v>
      </c>
      <c r="AH239" s="31" t="e" cm="1">
        <f t="array" aca="1" ref="AH239" ca="1">IF((AD239) &lt; (INDEX(ResponseSLA[#All],(MATCH((G239),ResponseSLA[Priority],0))+1,3)),"YES","No")</f>
        <v>#N/A</v>
      </c>
      <c r="AI239" s="31" t="str">
        <f>_xlfn.IFNA(IF(AE239 &lt; (INDEX(SLATable[Minimum SLA],MATCH(G239,SLATable[Priority],0))),"YES","NO"),"")</f>
        <v/>
      </c>
      <c r="AJ239" t="str">
        <f>_xlfn.IFNA(IF(AE239 &lt; (INDEX(SLATable[Maximum SLA],MATCH(G239,SLATable[Priority],0))),"YES","NO"),"")</f>
        <v/>
      </c>
    </row>
    <row r="240" spans="26:36" ht="15" customHeight="1">
      <c r="Z240" s="76" t="e">
        <f t="shared" ca="1" si="20"/>
        <v>#N/A</v>
      </c>
      <c r="AA240" s="75" t="e">
        <f t="shared" ca="1" si="1"/>
        <v>#N/A</v>
      </c>
      <c r="AB240" s="76">
        <f t="shared" ca="1" si="21"/>
        <v>0</v>
      </c>
      <c r="AC240" s="75">
        <f t="shared" ca="1" si="3"/>
        <v>0</v>
      </c>
      <c r="AD240" s="76">
        <f t="shared" ca="1" si="22"/>
        <v>12388.425641087964</v>
      </c>
      <c r="AE240" s="76">
        <f t="shared" si="23"/>
        <v>0</v>
      </c>
      <c r="AF240" s="75">
        <f t="shared" si="6"/>
        <v>0</v>
      </c>
      <c r="AG240" s="75">
        <f t="shared" si="7"/>
        <v>0</v>
      </c>
      <c r="AH240" s="31" t="e" cm="1">
        <f t="array" aca="1" ref="AH240" ca="1">IF((AD240) &lt; (INDEX(ResponseSLA[#All],(MATCH((G240),ResponseSLA[Priority],0))+1,3)),"YES","No")</f>
        <v>#N/A</v>
      </c>
      <c r="AI240" s="31" t="str">
        <f>_xlfn.IFNA(IF(AE240 &lt; (INDEX(SLATable[Minimum SLA],MATCH(G240,SLATable[Priority],0))),"YES","NO"),"")</f>
        <v/>
      </c>
      <c r="AJ240" t="str">
        <f>_xlfn.IFNA(IF(AE240 &lt; (INDEX(SLATable[Maximum SLA],MATCH(G240,SLATable[Priority],0))),"YES","NO"),"")</f>
        <v/>
      </c>
    </row>
    <row r="241" spans="26:36" ht="15" customHeight="1">
      <c r="Z241" s="76" t="e">
        <f t="shared" ca="1" si="20"/>
        <v>#N/A</v>
      </c>
      <c r="AA241" s="75" t="e">
        <f t="shared" ca="1" si="1"/>
        <v>#N/A</v>
      </c>
      <c r="AB241" s="76">
        <f t="shared" ca="1" si="21"/>
        <v>0</v>
      </c>
      <c r="AC241" s="75">
        <f t="shared" ca="1" si="3"/>
        <v>0</v>
      </c>
      <c r="AD241" s="76">
        <f t="shared" ca="1" si="22"/>
        <v>12388.425641087964</v>
      </c>
      <c r="AE241" s="76">
        <f t="shared" si="23"/>
        <v>0</v>
      </c>
      <c r="AF241" s="75">
        <f t="shared" si="6"/>
        <v>0</v>
      </c>
      <c r="AG241" s="75">
        <f t="shared" si="7"/>
        <v>0</v>
      </c>
      <c r="AH241" s="31" t="e" cm="1">
        <f t="array" aca="1" ref="AH241" ca="1">IF((AD241) &lt; (INDEX(ResponseSLA[#All],(MATCH((G241),ResponseSLA[Priority],0))+1,3)),"YES","No")</f>
        <v>#N/A</v>
      </c>
      <c r="AI241" s="31" t="str">
        <f>_xlfn.IFNA(IF(AE241 &lt; (INDEX(SLATable[Minimum SLA],MATCH(G241,SLATable[Priority],0))),"YES","NO"),"")</f>
        <v/>
      </c>
      <c r="AJ241" t="str">
        <f>_xlfn.IFNA(IF(AE241 &lt; (INDEX(SLATable[Maximum SLA],MATCH(G241,SLATable[Priority],0))),"YES","NO"),"")</f>
        <v/>
      </c>
    </row>
    <row r="242" spans="26:36" ht="15" customHeight="1">
      <c r="Z242" s="76" t="e">
        <f t="shared" ca="1" si="20"/>
        <v>#N/A</v>
      </c>
      <c r="AA242" s="75" t="e">
        <f t="shared" ca="1" si="1"/>
        <v>#N/A</v>
      </c>
      <c r="AB242" s="76">
        <f t="shared" ca="1" si="21"/>
        <v>0</v>
      </c>
      <c r="AC242" s="75">
        <f t="shared" ca="1" si="3"/>
        <v>0</v>
      </c>
      <c r="AD242" s="76">
        <f t="shared" ca="1" si="22"/>
        <v>12388.425641203703</v>
      </c>
      <c r="AE242" s="76">
        <f t="shared" si="23"/>
        <v>0</v>
      </c>
      <c r="AF242" s="75">
        <f t="shared" si="6"/>
        <v>0</v>
      </c>
      <c r="AG242" s="75">
        <f t="shared" si="7"/>
        <v>0</v>
      </c>
      <c r="AH242" s="31" t="e" cm="1">
        <f t="array" aca="1" ref="AH242" ca="1">IF((AD242) &lt; (INDEX(ResponseSLA[#All],(MATCH((G242),ResponseSLA[Priority],0))+1,3)),"YES","No")</f>
        <v>#N/A</v>
      </c>
      <c r="AI242" s="31" t="str">
        <f>_xlfn.IFNA(IF(AE242 &lt; (INDEX(SLATable[Minimum SLA],MATCH(G242,SLATable[Priority],0))),"YES","NO"),"")</f>
        <v/>
      </c>
      <c r="AJ242" t="str">
        <f>_xlfn.IFNA(IF(AE242 &lt; (INDEX(SLATable[Maximum SLA],MATCH(G242,SLATable[Priority],0))),"YES","NO"),"")</f>
        <v/>
      </c>
    </row>
    <row r="243" spans="26:36" ht="15" customHeight="1">
      <c r="Z243" s="76" t="e">
        <f t="shared" ca="1" si="20"/>
        <v>#N/A</v>
      </c>
      <c r="AA243" s="75" t="e">
        <f t="shared" ca="1" si="1"/>
        <v>#N/A</v>
      </c>
      <c r="AB243" s="76">
        <f t="shared" ca="1" si="21"/>
        <v>0</v>
      </c>
      <c r="AC243" s="75">
        <f t="shared" ca="1" si="3"/>
        <v>0</v>
      </c>
      <c r="AD243" s="76">
        <f t="shared" ca="1" si="22"/>
        <v>12388.425641087964</v>
      </c>
      <c r="AE243" s="76">
        <f t="shared" si="23"/>
        <v>0</v>
      </c>
      <c r="AF243" s="75">
        <f t="shared" si="6"/>
        <v>0</v>
      </c>
      <c r="AG243" s="75">
        <f t="shared" si="7"/>
        <v>0</v>
      </c>
      <c r="AH243" s="31" t="e" cm="1">
        <f t="array" aca="1" ref="AH243" ca="1">IF((AD243) &lt; (INDEX(ResponseSLA[#All],(MATCH((G243),ResponseSLA[Priority],0))+1,3)),"YES","No")</f>
        <v>#N/A</v>
      </c>
      <c r="AI243" s="31" t="str">
        <f>_xlfn.IFNA(IF(AE243 &lt; (INDEX(SLATable[Minimum SLA],MATCH(G243,SLATable[Priority],0))),"YES","NO"),"")</f>
        <v/>
      </c>
      <c r="AJ243" t="str">
        <f>_xlfn.IFNA(IF(AE243 &lt; (INDEX(SLATable[Maximum SLA],MATCH(G243,SLATable[Priority],0))),"YES","NO"),"")</f>
        <v/>
      </c>
    </row>
    <row r="244" spans="26:36" ht="15" customHeight="1">
      <c r="Z244" s="76" t="e">
        <f t="shared" ca="1" si="20"/>
        <v>#N/A</v>
      </c>
      <c r="AA244" s="75" t="e">
        <f t="shared" ca="1" si="1"/>
        <v>#N/A</v>
      </c>
      <c r="AB244" s="76">
        <f t="shared" ca="1" si="21"/>
        <v>0</v>
      </c>
      <c r="AC244" s="75">
        <f t="shared" ca="1" si="3"/>
        <v>0</v>
      </c>
      <c r="AD244" s="76">
        <f t="shared" ca="1" si="22"/>
        <v>12388.425641087964</v>
      </c>
      <c r="AE244" s="76">
        <f t="shared" si="23"/>
        <v>0</v>
      </c>
      <c r="AF244" s="75">
        <f t="shared" si="6"/>
        <v>0</v>
      </c>
      <c r="AG244" s="75">
        <f t="shared" si="7"/>
        <v>0</v>
      </c>
      <c r="AH244" s="31" t="e" cm="1">
        <f t="array" aca="1" ref="AH244" ca="1">IF((AD244) &lt; (INDEX(ResponseSLA[#All],(MATCH((G244),ResponseSLA[Priority],0))+1,3)),"YES","No")</f>
        <v>#N/A</v>
      </c>
      <c r="AI244" s="31" t="str">
        <f>_xlfn.IFNA(IF(AE244 &lt; (INDEX(SLATable[Minimum SLA],MATCH(G244,SLATable[Priority],0))),"YES","NO"),"")</f>
        <v/>
      </c>
      <c r="AJ244" t="str">
        <f>_xlfn.IFNA(IF(AE244 &lt; (INDEX(SLATable[Maximum SLA],MATCH(G244,SLATable[Priority],0))),"YES","NO"),"")</f>
        <v/>
      </c>
    </row>
    <row r="245" spans="26:36" ht="15" customHeight="1">
      <c r="Z245" s="76" t="e">
        <f t="shared" ca="1" si="20"/>
        <v>#N/A</v>
      </c>
      <c r="AA245" s="75" t="e">
        <f t="shared" ca="1" si="1"/>
        <v>#N/A</v>
      </c>
      <c r="AB245" s="76">
        <f t="shared" ca="1" si="21"/>
        <v>0</v>
      </c>
      <c r="AC245" s="75">
        <f t="shared" ca="1" si="3"/>
        <v>0</v>
      </c>
      <c r="AD245" s="76">
        <f t="shared" ca="1" si="22"/>
        <v>12388.425641203703</v>
      </c>
      <c r="AE245" s="76">
        <f t="shared" si="23"/>
        <v>0</v>
      </c>
      <c r="AF245" s="75">
        <f t="shared" si="6"/>
        <v>0</v>
      </c>
      <c r="AG245" s="75">
        <f t="shared" si="7"/>
        <v>0</v>
      </c>
      <c r="AH245" s="31" t="e" cm="1">
        <f t="array" aca="1" ref="AH245" ca="1">IF((AD245) &lt; (INDEX(ResponseSLA[#All],(MATCH((G245),ResponseSLA[Priority],0))+1,3)),"YES","No")</f>
        <v>#N/A</v>
      </c>
      <c r="AI245" s="31" t="str">
        <f>_xlfn.IFNA(IF(AE245 &lt; (INDEX(SLATable[Minimum SLA],MATCH(G245,SLATable[Priority],0))),"YES","NO"),"")</f>
        <v/>
      </c>
      <c r="AJ245" t="str">
        <f>_xlfn.IFNA(IF(AE245 &lt; (INDEX(SLATable[Maximum SLA],MATCH(G245,SLATable[Priority],0))),"YES","NO"),"")</f>
        <v/>
      </c>
    </row>
    <row r="246" spans="26:36" ht="15" customHeight="1">
      <c r="Z246" s="76" t="e">
        <f t="shared" ca="1" si="20"/>
        <v>#N/A</v>
      </c>
      <c r="AA246" s="75" t="e">
        <f t="shared" ca="1" si="1"/>
        <v>#N/A</v>
      </c>
      <c r="AB246" s="76">
        <f t="shared" ca="1" si="21"/>
        <v>0</v>
      </c>
      <c r="AC246" s="75">
        <f t="shared" ca="1" si="3"/>
        <v>0</v>
      </c>
      <c r="AD246" s="76">
        <f t="shared" ca="1" si="22"/>
        <v>12388.425641087964</v>
      </c>
      <c r="AE246" s="76">
        <f t="shared" si="23"/>
        <v>0</v>
      </c>
      <c r="AF246" s="75">
        <f t="shared" si="6"/>
        <v>0</v>
      </c>
      <c r="AG246" s="75">
        <f t="shared" si="7"/>
        <v>0</v>
      </c>
      <c r="AH246" s="31" t="e" cm="1">
        <f t="array" aca="1" ref="AH246" ca="1">IF((AD246) &lt; (INDEX(ResponseSLA[#All],(MATCH((G246),ResponseSLA[Priority],0))+1,3)),"YES","No")</f>
        <v>#N/A</v>
      </c>
      <c r="AI246" s="31" t="str">
        <f>_xlfn.IFNA(IF(AE246 &lt; (INDEX(SLATable[Minimum SLA],MATCH(G246,SLATable[Priority],0))),"YES","NO"),"")</f>
        <v/>
      </c>
      <c r="AJ246" t="str">
        <f>_xlfn.IFNA(IF(AE246 &lt; (INDEX(SLATable[Maximum SLA],MATCH(G246,SLATable[Priority],0))),"YES","NO"),"")</f>
        <v/>
      </c>
    </row>
    <row r="247" spans="26:36" ht="15" customHeight="1">
      <c r="Z247" s="76" t="e">
        <f t="shared" ca="1" si="20"/>
        <v>#N/A</v>
      </c>
      <c r="AA247" s="75" t="e">
        <f t="shared" ca="1" si="1"/>
        <v>#N/A</v>
      </c>
      <c r="AB247" s="76">
        <f t="shared" ca="1" si="21"/>
        <v>0</v>
      </c>
      <c r="AC247" s="75">
        <f t="shared" ca="1" si="3"/>
        <v>0</v>
      </c>
      <c r="AD247" s="76">
        <f t="shared" ca="1" si="22"/>
        <v>12388.425641087964</v>
      </c>
      <c r="AE247" s="76">
        <f t="shared" si="23"/>
        <v>0</v>
      </c>
      <c r="AF247" s="75">
        <f t="shared" si="6"/>
        <v>0</v>
      </c>
      <c r="AG247" s="75">
        <f t="shared" si="7"/>
        <v>0</v>
      </c>
      <c r="AH247" s="31" t="e" cm="1">
        <f t="array" aca="1" ref="AH247" ca="1">IF((AD247) &lt; (INDEX(ResponseSLA[#All],(MATCH((G247),ResponseSLA[Priority],0))+1,3)),"YES","No")</f>
        <v>#N/A</v>
      </c>
      <c r="AI247" s="31" t="str">
        <f>_xlfn.IFNA(IF(AE247 &lt; (INDEX(SLATable[Minimum SLA],MATCH(G247,SLATable[Priority],0))),"YES","NO"),"")</f>
        <v/>
      </c>
      <c r="AJ247" t="str">
        <f>_xlfn.IFNA(IF(AE247 &lt; (INDEX(SLATable[Maximum SLA],MATCH(G247,SLATable[Priority],0))),"YES","NO"),"")</f>
        <v/>
      </c>
    </row>
    <row r="248" spans="26:36" ht="15" customHeight="1">
      <c r="Z248" s="76" t="e">
        <f t="shared" ca="1" si="20"/>
        <v>#N/A</v>
      </c>
      <c r="AA248" s="75" t="e">
        <f t="shared" ca="1" si="1"/>
        <v>#N/A</v>
      </c>
      <c r="AB248" s="76">
        <f t="shared" ca="1" si="21"/>
        <v>0</v>
      </c>
      <c r="AC248" s="75">
        <f t="shared" ca="1" si="3"/>
        <v>0</v>
      </c>
      <c r="AD248" s="76">
        <f t="shared" ca="1" si="22"/>
        <v>12388.425641203703</v>
      </c>
      <c r="AE248" s="76">
        <f t="shared" si="23"/>
        <v>0</v>
      </c>
      <c r="AF248" s="75">
        <f t="shared" si="6"/>
        <v>0</v>
      </c>
      <c r="AG248" s="75">
        <f t="shared" si="7"/>
        <v>0</v>
      </c>
      <c r="AH248" s="31" t="e" cm="1">
        <f t="array" aca="1" ref="AH248" ca="1">IF((AD248) &lt; (INDEX(ResponseSLA[#All],(MATCH((G248),ResponseSLA[Priority],0))+1,3)),"YES","No")</f>
        <v>#N/A</v>
      </c>
      <c r="AI248" s="31" t="str">
        <f>_xlfn.IFNA(IF(AE248 &lt; (INDEX(SLATable[Minimum SLA],MATCH(G248,SLATable[Priority],0))),"YES","NO"),"")</f>
        <v/>
      </c>
      <c r="AJ248" t="str">
        <f>_xlfn.IFNA(IF(AE248 &lt; (INDEX(SLATable[Maximum SLA],MATCH(G248,SLATable[Priority],0))),"YES","NO"),"")</f>
        <v/>
      </c>
    </row>
    <row r="249" spans="26:36" ht="15" customHeight="1">
      <c r="Z249" s="76" t="e">
        <f t="shared" ca="1" si="20"/>
        <v>#N/A</v>
      </c>
      <c r="AA249" s="75" t="e">
        <f t="shared" ca="1" si="1"/>
        <v>#N/A</v>
      </c>
      <c r="AB249" s="76">
        <f t="shared" ca="1" si="21"/>
        <v>0</v>
      </c>
      <c r="AC249" s="75">
        <f t="shared" ca="1" si="3"/>
        <v>0</v>
      </c>
      <c r="AD249" s="76">
        <f t="shared" ca="1" si="22"/>
        <v>12388.425641087964</v>
      </c>
      <c r="AE249" s="76">
        <f t="shared" si="23"/>
        <v>0</v>
      </c>
      <c r="AF249" s="75">
        <f t="shared" si="6"/>
        <v>0</v>
      </c>
      <c r="AG249" s="75">
        <f t="shared" si="7"/>
        <v>0</v>
      </c>
      <c r="AH249" s="31" t="e" cm="1">
        <f t="array" aca="1" ref="AH249" ca="1">IF((AD249) &lt; (INDEX(ResponseSLA[#All],(MATCH((G249),ResponseSLA[Priority],0))+1,3)),"YES","No")</f>
        <v>#N/A</v>
      </c>
      <c r="AI249" s="31" t="str">
        <f>_xlfn.IFNA(IF(AE249 &lt; (INDEX(SLATable[Minimum SLA],MATCH(G249,SLATable[Priority],0))),"YES","NO"),"")</f>
        <v/>
      </c>
      <c r="AJ249" t="str">
        <f>_xlfn.IFNA(IF(AE249 &lt; (INDEX(SLATable[Maximum SLA],MATCH(G249,SLATable[Priority],0))),"YES","NO"),"")</f>
        <v/>
      </c>
    </row>
    <row r="250" spans="26:36" ht="15" customHeight="1">
      <c r="Z250" s="76" t="e">
        <f t="shared" ca="1" si="20"/>
        <v>#N/A</v>
      </c>
      <c r="AA250" s="75" t="e">
        <f t="shared" ca="1" si="1"/>
        <v>#N/A</v>
      </c>
      <c r="AB250" s="76">
        <f t="shared" ca="1" si="21"/>
        <v>0</v>
      </c>
      <c r="AC250" s="75">
        <f t="shared" ca="1" si="3"/>
        <v>0</v>
      </c>
      <c r="AD250" s="76">
        <f t="shared" ca="1" si="22"/>
        <v>12388.425641087964</v>
      </c>
      <c r="AE250" s="76">
        <f t="shared" si="23"/>
        <v>0</v>
      </c>
      <c r="AF250" s="75">
        <f t="shared" si="6"/>
        <v>0</v>
      </c>
      <c r="AG250" s="75">
        <f t="shared" si="7"/>
        <v>0</v>
      </c>
      <c r="AH250" s="31" t="e" cm="1">
        <f t="array" aca="1" ref="AH250" ca="1">IF((AD250) &lt; (INDEX(ResponseSLA[#All],(MATCH((G250),ResponseSLA[Priority],0))+1,3)),"YES","No")</f>
        <v>#N/A</v>
      </c>
      <c r="AI250" s="31" t="str">
        <f>_xlfn.IFNA(IF(AE250 &lt; (INDEX(SLATable[Minimum SLA],MATCH(G250,SLATable[Priority],0))),"YES","NO"),"")</f>
        <v/>
      </c>
      <c r="AJ250" t="str">
        <f>_xlfn.IFNA(IF(AE250 &lt; (INDEX(SLATable[Maximum SLA],MATCH(G250,SLATable[Priority],0))),"YES","NO"),"")</f>
        <v/>
      </c>
    </row>
    <row r="251" spans="26:36" ht="15" customHeight="1">
      <c r="Z251" s="76" t="e">
        <f t="shared" ca="1" si="20"/>
        <v>#N/A</v>
      </c>
      <c r="AA251" s="75" t="e">
        <f t="shared" ca="1" si="1"/>
        <v>#N/A</v>
      </c>
      <c r="AB251" s="76">
        <f t="shared" ca="1" si="21"/>
        <v>0</v>
      </c>
      <c r="AC251" s="75">
        <f t="shared" ca="1" si="3"/>
        <v>0</v>
      </c>
      <c r="AD251" s="76">
        <f t="shared" ca="1" si="22"/>
        <v>12388.425641203703</v>
      </c>
      <c r="AE251" s="76">
        <f t="shared" si="23"/>
        <v>0</v>
      </c>
      <c r="AF251" s="75">
        <f t="shared" si="6"/>
        <v>0</v>
      </c>
      <c r="AG251" s="75">
        <f t="shared" si="7"/>
        <v>0</v>
      </c>
      <c r="AH251" s="31" t="e" cm="1">
        <f t="array" aca="1" ref="AH251" ca="1">IF((AD251) &lt; (INDEX(ResponseSLA[#All],(MATCH((G251),ResponseSLA[Priority],0))+1,3)),"YES","No")</f>
        <v>#N/A</v>
      </c>
      <c r="AI251" s="31" t="str">
        <f>_xlfn.IFNA(IF(AE251 &lt; (INDEX(SLATable[Minimum SLA],MATCH(G251,SLATable[Priority],0))),"YES","NO"),"")</f>
        <v/>
      </c>
      <c r="AJ251" t="str">
        <f>_xlfn.IFNA(IF(AE251 &lt; (INDEX(SLATable[Maximum SLA],MATCH(G251,SLATable[Priority],0))),"YES","NO"),"")</f>
        <v/>
      </c>
    </row>
    <row r="252" spans="26:36" ht="15" customHeight="1">
      <c r="Z252" s="76" t="e">
        <f t="shared" ca="1" si="20"/>
        <v>#N/A</v>
      </c>
      <c r="AA252" s="75" t="e">
        <f t="shared" ca="1" si="1"/>
        <v>#N/A</v>
      </c>
      <c r="AB252" s="76">
        <f t="shared" ca="1" si="21"/>
        <v>0</v>
      </c>
      <c r="AC252" s="75">
        <f t="shared" ca="1" si="3"/>
        <v>0</v>
      </c>
      <c r="AD252" s="76">
        <f t="shared" ca="1" si="22"/>
        <v>12388.425641087964</v>
      </c>
      <c r="AE252" s="76">
        <f t="shared" si="23"/>
        <v>0</v>
      </c>
      <c r="AF252" s="75">
        <f t="shared" si="6"/>
        <v>0</v>
      </c>
      <c r="AG252" s="75">
        <f t="shared" si="7"/>
        <v>0</v>
      </c>
      <c r="AH252" s="31" t="e" cm="1">
        <f t="array" aca="1" ref="AH252" ca="1">IF((AD252) &lt; (INDEX(ResponseSLA[#All],(MATCH((G252),ResponseSLA[Priority],0))+1,3)),"YES","No")</f>
        <v>#N/A</v>
      </c>
      <c r="AI252" s="31" t="str">
        <f>_xlfn.IFNA(IF(AE252 &lt; (INDEX(SLATable[Minimum SLA],MATCH(G252,SLATable[Priority],0))),"YES","NO"),"")</f>
        <v/>
      </c>
      <c r="AJ252" t="str">
        <f>_xlfn.IFNA(IF(AE252 &lt; (INDEX(SLATable[Maximum SLA],MATCH(G252,SLATable[Priority],0))),"YES","NO"),"")</f>
        <v/>
      </c>
    </row>
    <row r="253" spans="26:36" ht="15" customHeight="1">
      <c r="Z253" s="76" t="e">
        <f t="shared" ca="1" si="20"/>
        <v>#N/A</v>
      </c>
      <c r="AA253" s="75" t="e">
        <f t="shared" ca="1" si="1"/>
        <v>#N/A</v>
      </c>
      <c r="AB253" s="76">
        <f t="shared" ca="1" si="21"/>
        <v>0</v>
      </c>
      <c r="AC253" s="75">
        <f t="shared" ca="1" si="3"/>
        <v>0</v>
      </c>
      <c r="AD253" s="76">
        <f t="shared" ca="1" si="22"/>
        <v>12388.425641087964</v>
      </c>
      <c r="AE253" s="76">
        <f t="shared" si="23"/>
        <v>0</v>
      </c>
      <c r="AF253" s="75">
        <f t="shared" si="6"/>
        <v>0</v>
      </c>
      <c r="AG253" s="75">
        <f t="shared" si="7"/>
        <v>0</v>
      </c>
      <c r="AH253" s="31" t="e" cm="1">
        <f t="array" aca="1" ref="AH253" ca="1">IF((AD253) &lt; (INDEX(ResponseSLA[#All],(MATCH((G253),ResponseSLA[Priority],0))+1,3)),"YES","No")</f>
        <v>#N/A</v>
      </c>
      <c r="AI253" s="31" t="str">
        <f>_xlfn.IFNA(IF(AE253 &lt; (INDEX(SLATable[Minimum SLA],MATCH(G253,SLATable[Priority],0))),"YES","NO"),"")</f>
        <v/>
      </c>
      <c r="AJ253" t="str">
        <f>_xlfn.IFNA(IF(AE253 &lt; (INDEX(SLATable[Maximum SLA],MATCH(G253,SLATable[Priority],0))),"YES","NO"),"")</f>
        <v/>
      </c>
    </row>
    <row r="254" spans="26:36" ht="15" customHeight="1">
      <c r="Z254" s="76" t="e">
        <f t="shared" ca="1" si="20"/>
        <v>#N/A</v>
      </c>
      <c r="AA254" s="75" t="e">
        <f t="shared" ca="1" si="1"/>
        <v>#N/A</v>
      </c>
      <c r="AB254" s="76">
        <f t="shared" ca="1" si="21"/>
        <v>0</v>
      </c>
      <c r="AC254" s="75">
        <f t="shared" ca="1" si="3"/>
        <v>0</v>
      </c>
      <c r="AD254" s="76">
        <f t="shared" ca="1" si="22"/>
        <v>12388.425641203703</v>
      </c>
      <c r="AE254" s="76">
        <f t="shared" si="23"/>
        <v>0</v>
      </c>
      <c r="AF254" s="75">
        <f t="shared" si="6"/>
        <v>0</v>
      </c>
      <c r="AG254" s="75">
        <f t="shared" si="7"/>
        <v>0</v>
      </c>
      <c r="AH254" s="31" t="e" cm="1">
        <f t="array" aca="1" ref="AH254" ca="1">IF((AD254) &lt; (INDEX(ResponseSLA[#All],(MATCH((G254),ResponseSLA[Priority],0))+1,3)),"YES","No")</f>
        <v>#N/A</v>
      </c>
      <c r="AI254" s="31" t="str">
        <f>_xlfn.IFNA(IF(AE254 &lt; (INDEX(SLATable[Minimum SLA],MATCH(G254,SLATable[Priority],0))),"YES","NO"),"")</f>
        <v/>
      </c>
      <c r="AJ254" t="str">
        <f>_xlfn.IFNA(IF(AE254 &lt; (INDEX(SLATable[Maximum SLA],MATCH(G254,SLATable[Priority],0))),"YES","NO"),"")</f>
        <v/>
      </c>
    </row>
    <row r="255" spans="26:36" ht="15" customHeight="1">
      <c r="Z255" s="76" t="e">
        <f t="shared" ca="1" si="20"/>
        <v>#N/A</v>
      </c>
      <c r="AA255" s="75" t="e">
        <f t="shared" ca="1" si="1"/>
        <v>#N/A</v>
      </c>
      <c r="AB255" s="76">
        <f t="shared" ca="1" si="21"/>
        <v>0</v>
      </c>
      <c r="AC255" s="75">
        <f t="shared" ca="1" si="3"/>
        <v>0</v>
      </c>
      <c r="AD255" s="76">
        <f t="shared" ca="1" si="22"/>
        <v>12388.425641087964</v>
      </c>
      <c r="AE255" s="76">
        <f t="shared" si="23"/>
        <v>0</v>
      </c>
      <c r="AF255" s="75">
        <f t="shared" si="6"/>
        <v>0</v>
      </c>
      <c r="AG255" s="75">
        <f t="shared" si="7"/>
        <v>0</v>
      </c>
      <c r="AH255" s="31" t="e" cm="1">
        <f t="array" aca="1" ref="AH255" ca="1">IF((AD255) &lt; (INDEX(ResponseSLA[#All],(MATCH((G255),ResponseSLA[Priority],0))+1,3)),"YES","No")</f>
        <v>#N/A</v>
      </c>
      <c r="AI255" s="31" t="str">
        <f>_xlfn.IFNA(IF(AE255 &lt; (INDEX(SLATable[Minimum SLA],MATCH(G255,SLATable[Priority],0))),"YES","NO"),"")</f>
        <v/>
      </c>
      <c r="AJ255" t="str">
        <f>_xlfn.IFNA(IF(AE255 &lt; (INDEX(SLATable[Maximum SLA],MATCH(G255,SLATable[Priority],0))),"YES","NO"),"")</f>
        <v/>
      </c>
    </row>
    <row r="256" spans="26:36" ht="15" customHeight="1">
      <c r="Z256" s="76" t="e">
        <f t="shared" ca="1" si="20"/>
        <v>#N/A</v>
      </c>
      <c r="AA256" s="75" t="e">
        <f t="shared" ca="1" si="1"/>
        <v>#N/A</v>
      </c>
      <c r="AB256" s="76">
        <f t="shared" ca="1" si="21"/>
        <v>0</v>
      </c>
      <c r="AC256" s="75">
        <f t="shared" ca="1" si="3"/>
        <v>0</v>
      </c>
      <c r="AD256" s="76">
        <f t="shared" ca="1" si="22"/>
        <v>12388.425641087964</v>
      </c>
      <c r="AE256" s="76">
        <f t="shared" si="23"/>
        <v>0</v>
      </c>
      <c r="AF256" s="75">
        <f t="shared" si="6"/>
        <v>0</v>
      </c>
      <c r="AG256" s="75">
        <f t="shared" si="7"/>
        <v>0</v>
      </c>
      <c r="AH256" s="31" t="e" cm="1">
        <f t="array" aca="1" ref="AH256" ca="1">IF((AD256) &lt; (INDEX(ResponseSLA[#All],(MATCH((G256),ResponseSLA[Priority],0))+1,3)),"YES","No")</f>
        <v>#N/A</v>
      </c>
      <c r="AI256" s="31" t="str">
        <f>_xlfn.IFNA(IF(AE256 &lt; (INDEX(SLATable[Minimum SLA],MATCH(G256,SLATable[Priority],0))),"YES","NO"),"")</f>
        <v/>
      </c>
      <c r="AJ256" t="str">
        <f>_xlfn.IFNA(IF(AE256 &lt; (INDEX(SLATable[Maximum SLA],MATCH(G256,SLATable[Priority],0))),"YES","NO"),"")</f>
        <v/>
      </c>
    </row>
    <row r="257" spans="26:36" ht="15" customHeight="1">
      <c r="Z257" s="76" t="e">
        <f t="shared" ca="1" si="20"/>
        <v>#N/A</v>
      </c>
      <c r="AA257" s="75" t="e">
        <f t="shared" ref="AA257:AA320" ca="1" si="24">(Z257*24)/9</f>
        <v>#N/A</v>
      </c>
      <c r="AB257" s="76">
        <f t="shared" ca="1" si="21"/>
        <v>0</v>
      </c>
      <c r="AC257" s="75">
        <f t="shared" ref="AC257:AC320" ca="1" si="25">(AB257*24)/9</f>
        <v>0</v>
      </c>
      <c r="AD257" s="76">
        <f t="shared" ca="1" si="22"/>
        <v>12388.425641203703</v>
      </c>
      <c r="AE257" s="76">
        <f t="shared" si="23"/>
        <v>0</v>
      </c>
      <c r="AF257" s="75">
        <f t="shared" ref="AF257:AF320" si="26">(AE257*24)/9</f>
        <v>0</v>
      </c>
      <c r="AG257" s="75">
        <f t="shared" ref="AG257:AG320" si="27">AF257</f>
        <v>0</v>
      </c>
      <c r="AH257" s="31" t="e" cm="1">
        <f t="array" aca="1" ref="AH257" ca="1">IF((AD257) &lt; (INDEX(ResponseSLA[#All],(MATCH((G257),ResponseSLA[Priority],0))+1,3)),"YES","No")</f>
        <v>#N/A</v>
      </c>
      <c r="AI257" s="31" t="str">
        <f>_xlfn.IFNA(IF(AE257 &lt; (INDEX(SLATable[Minimum SLA],MATCH(G257,SLATable[Priority],0))),"YES","NO"),"")</f>
        <v/>
      </c>
      <c r="AJ257" t="str">
        <f>_xlfn.IFNA(IF(AE257 &lt; (INDEX(SLATable[Maximum SLA],MATCH(G257,SLATable[Priority],0))),"YES","NO"),"")</f>
        <v/>
      </c>
    </row>
    <row r="258" spans="26:36" ht="15" customHeight="1">
      <c r="Z258" s="76" t="e">
        <f t="shared" ca="1" si="20"/>
        <v>#N/A</v>
      </c>
      <c r="AA258" s="75" t="e">
        <f t="shared" ca="1" si="24"/>
        <v>#N/A</v>
      </c>
      <c r="AB258" s="76">
        <f t="shared" ca="1" si="21"/>
        <v>0</v>
      </c>
      <c r="AC258" s="75">
        <f t="shared" ca="1" si="25"/>
        <v>0</v>
      </c>
      <c r="AD258" s="76">
        <f t="shared" ca="1" si="22"/>
        <v>12388.425641087964</v>
      </c>
      <c r="AE258" s="76">
        <f t="shared" si="23"/>
        <v>0</v>
      </c>
      <c r="AF258" s="75">
        <f t="shared" si="26"/>
        <v>0</v>
      </c>
      <c r="AG258" s="75">
        <f t="shared" si="27"/>
        <v>0</v>
      </c>
      <c r="AH258" s="31" t="e" cm="1">
        <f t="array" aca="1" ref="AH258" ca="1">IF((AD258) &lt; (INDEX(ResponseSLA[#All],(MATCH((G258),ResponseSLA[Priority],0))+1,3)),"YES","No")</f>
        <v>#N/A</v>
      </c>
      <c r="AI258" s="31" t="str">
        <f>_xlfn.IFNA(IF(AE258 &lt; (INDEX(SLATable[Minimum SLA],MATCH(G258,SLATable[Priority],0))),"YES","NO"),"")</f>
        <v/>
      </c>
      <c r="AJ258" t="str">
        <f>_xlfn.IFNA(IF(AE258 &lt; (INDEX(SLATable[Maximum SLA],MATCH(G258,SLATable[Priority],0))),"YES","NO"),"")</f>
        <v/>
      </c>
    </row>
    <row r="259" spans="26:36" ht="15" customHeight="1">
      <c r="Z259" s="76" t="e">
        <f t="shared" ref="Z259:Z322" ca="1" si="28">IF(NOT(OR(G259=1,G259=2)),MAX(0,_xlfn.IFS(AND(K259&lt;&gt;"",N259&lt;&gt;""),((MAX(NETWORKDAYS(K259,N259,UKBankHolidays)-1,0))*(TIME(17,0,0)-TIME(8,0,0))+IF(NETWORKDAYS(N259,N259,UKBankHolidays)&gt;0,MEDIAN(TIME(8,0,0),MOD(N259,1),TIME(17,0,0)),TIME(8,0,0))-IF(NETWORKDAYS(K259,K259,UKBankHolidays)&gt;0,MEDIAN(TIME(8,0,0),MOD(K259,1),TIME(17,0,0)),TIME(8,0,0)))-IF(AND(O259&lt;&gt;"",P259&lt;&gt;""),((MAX(NETWORKDAYS(O259,P259,UKBankHolidays)-1,0))*(TIME(17,0,0)-TIME(8,0,0))+IF(NETWORKDAYS(P259,P259,UKBankHolidays)&gt;0,MEDIAN(TIME(8,0,0),MOD(P259,1),TIME(17,0,0)),TIME(8,0,0))-IF(NETWORKDAYS(O259,O259,UKBankHolidays)&gt;0,MEDIAN(TIME(8,0,0),MOD(O259,1),TIME(17,0,0)),TIME(8,0,0))),0),AND(K259&lt;&gt;"",N259=""),((MAX(NETWORKDAYS(K259,NOW(),UKBankHolidays)-1,0))*(TIME(17,0,0)-TIME(8,0,0))+IF(NETWORKDAYS(NOW(),NOW(),UKBankHolidays)&gt;0,MEDIAN(TIME(8,0,0),MOD(NOW(),1),TIME(17,0,0)),TIME(8,0,0))-IF(NETWORKDAYS(K259,K259,UKBankHolidays)&gt;0,MEDIAN(TIME(8,0,0),MOD(K259,1),TIME(17,0,0)),TIME(8,0,0))))),IF(N259="",NOW()-K259,N259-K259))</f>
        <v>#N/A</v>
      </c>
      <c r="AA259" s="75" t="e">
        <f t="shared" ca="1" si="24"/>
        <v>#N/A</v>
      </c>
      <c r="AB259" s="76">
        <f t="shared" ref="AB259:AB322" ca="1" si="29">IF(NOT(OR(G259=1,G259=2)),MAX(0,_xlfn.IFS(AND(K259&lt;&gt;"",N259&lt;&gt;""),(((MAX(NETWORKDAYS(L259,N259,UKBankHolidays)-1,0))*(TIME(17,0,0)-TIME(8,0,0)))+IF(NETWORKDAYS(N259,N259,UKBankHolidays)&gt;0,MEDIAN(TIME(8,0,0),MOD(N259,1),TIME(17,0,0)),TIME(8,0,0))-IF(NETWORKDAYS(L259,L259,UKBankHolidays)&gt;0,MEDIAN(TIME(8,0,0),MOD(L259,1),TIME(17,0,0)),TIME(8,0,0)))-IF(AND(O259&lt;&gt;"",P259&lt;&gt;""),(((MAX(NETWORKDAYS(O259,P259,UKBankHolidays)-1,0))*(TIME(17,0,0)-TIME(8,0,0)))+IF(NETWORKDAYS(P259,P259,UKBankHolidays)&gt;0,MEDIAN(TIME(8,0,0),MOD(P259,1),TIME(17,0,0)),TIME(8,0,0))-IF(NETWORKDAYS(O259,O259,UKBankHolidays)&gt;0,MEDIAN(TIME(8,0,0),MOD(O259,1),TIME(17,0,0)),TIME(8,0,0))),0),AND(L259&lt;&gt;"",N259="",O259=""),(((MAX(NETWORKDAYS(L259,NOW(),UKBankHolidays)-1,0))*(TIME(17,0,0)-TIME(8,0,0)))+IF(NETWORKDAYS(NOW(),NOW(),UKBankHolidays)&gt;0,MEDIAN(TIME(8,0,0),MOD(NOW(),1),TIME(17,0,0)),TIME(8,0,0))-IF(NETWORKDAYS(L259,L259,UKBankHolidays)&gt;0,MEDIAN(TIME(8,0,0),MOD(L259,1),TIME(17,0,0)),TIME(8,0,0)))-IF(AND(O259&lt;&gt;"",P259&lt;&gt;""),(((MAX(NETWORKDAYS(O259,P259,UKBankHolidays)-1,0))*(TIME(17,0,0)-TIME(8,0,0)))+IF(NETWORKDAYS(P259,P259,UKBankHolidays)&gt;0,MEDIAN(TIME(8,0,0),MOD(P259,1),TIME(17,0,0)),TIME(8,0,0))-IF(NETWORKDAYS(O259,O259,UKBankHolidays)&gt;0,MEDIAN(TIME(8,0,0),MOD(O259,1),TIME(17,0,0)),TIME(8,0,0))),0),AND(L259&lt;&gt;"",N259="",P259="",O259&lt;&gt;""),(((MAX(NETWORKDAYS(L259,O259,UKBankHolidays)-1,0))*(TIME(17,0,0)-TIME(8,0,0)))+IF(NETWORKDAYS(O259,O259,UKBankHolidays)&gt;0,MEDIAN(TIME(8,0,0),MOD(O259,1),TIME(17,0,0)),TIME(8,0,0))-IF(NETWORKDAYS(L259,L259,UKBankHolidays)&gt;0,MEDIAN(TIME(8,0,0),MOD(L259,1),TIME(17,0,0)),TIME(8,0,0))),ISBLANK(K259),"0")),IF(ISBLANK(N259),NOW()-L259,N259-L259))</f>
        <v>0</v>
      </c>
      <c r="AC259" s="75">
        <f t="shared" ca="1" si="25"/>
        <v>0</v>
      </c>
      <c r="AD259" s="76">
        <f t="shared" ref="AD259:AD322" ca="1" si="30">MAX(0,IF(NOT(OR(G259=1,G259=2)),IF(M259&lt;&gt;"",((MAX(NETWORKDAYS(L259,M259,UKBankHolidays)-1,0))*(TIME(17,0,0)-TIME(8,0,0))+IF(NETWORKDAYS(M259,M259,UKBankHolidays)&gt;0,MEDIAN(TIME(8,0,0),MOD(M259,1),TIME(17,0,0)),TIME(8,0,0))-MEDIAN(TIME(8,0,0),MOD(L259,1),TIME(17,0,0))),((MAX(NETWORKDAYS(L259,NOW(),UKBankHolidays)-1,0))*(TIME(17,0,0)-TIME(8,0,0))+IF(NETWORKDAYS(NOW(),NOW(),UKBankHolidays)&gt;0,MEDIAN(TIME(8,0,0),MOD(NOW(),1),TIME(17,0,0)),TIME(8,0,0))-MEDIAN(TIME(8,0,0),MOD(L259,1),TIME(17,0,0)))),IF(M259&lt;&gt;"",M259-L259,NOW()-L259)))</f>
        <v>12388.425641087964</v>
      </c>
      <c r="AE259" s="76">
        <f t="shared" ref="AE259:AE322" si="31">SUMIFS(AB:AB,E:E,E259)</f>
        <v>0</v>
      </c>
      <c r="AF259" s="75">
        <f t="shared" si="26"/>
        <v>0</v>
      </c>
      <c r="AG259" s="75">
        <f t="shared" si="27"/>
        <v>0</v>
      </c>
      <c r="AH259" s="31" t="e" cm="1">
        <f t="array" aca="1" ref="AH259" ca="1">IF((AD259) &lt; (INDEX(ResponseSLA[#All],(MATCH((G259),ResponseSLA[Priority],0))+1,3)),"YES","No")</f>
        <v>#N/A</v>
      </c>
      <c r="AI259" s="31" t="str">
        <f>_xlfn.IFNA(IF(AE259 &lt; (INDEX(SLATable[Minimum SLA],MATCH(G259,SLATable[Priority],0))),"YES","NO"),"")</f>
        <v/>
      </c>
      <c r="AJ259" t="str">
        <f>_xlfn.IFNA(IF(AE259 &lt; (INDEX(SLATable[Maximum SLA],MATCH(G259,SLATable[Priority],0))),"YES","NO"),"")</f>
        <v/>
      </c>
    </row>
    <row r="260" spans="26:36" ht="15" customHeight="1">
      <c r="Z260" s="76" t="e">
        <f t="shared" ca="1" si="28"/>
        <v>#N/A</v>
      </c>
      <c r="AA260" s="75" t="e">
        <f t="shared" ca="1" si="24"/>
        <v>#N/A</v>
      </c>
      <c r="AB260" s="76">
        <f t="shared" ca="1" si="29"/>
        <v>0</v>
      </c>
      <c r="AC260" s="75">
        <f t="shared" ca="1" si="25"/>
        <v>0</v>
      </c>
      <c r="AD260" s="76">
        <f t="shared" ca="1" si="30"/>
        <v>12388.425641203703</v>
      </c>
      <c r="AE260" s="76">
        <f t="shared" si="31"/>
        <v>0</v>
      </c>
      <c r="AF260" s="75">
        <f t="shared" si="26"/>
        <v>0</v>
      </c>
      <c r="AG260" s="75">
        <f t="shared" si="27"/>
        <v>0</v>
      </c>
      <c r="AH260" s="31" t="e" cm="1">
        <f t="array" aca="1" ref="AH260" ca="1">IF((AD260) &lt; (INDEX(ResponseSLA[#All],(MATCH((G260),ResponseSLA[Priority],0))+1,3)),"YES","No")</f>
        <v>#N/A</v>
      </c>
      <c r="AI260" s="31" t="str">
        <f>_xlfn.IFNA(IF(AE260 &lt; (INDEX(SLATable[Minimum SLA],MATCH(G260,SLATable[Priority],0))),"YES","NO"),"")</f>
        <v/>
      </c>
      <c r="AJ260" t="str">
        <f>_xlfn.IFNA(IF(AE260 &lt; (INDEX(SLATable[Maximum SLA],MATCH(G260,SLATable[Priority],0))),"YES","NO"),"")</f>
        <v/>
      </c>
    </row>
    <row r="261" spans="26:36" ht="15" customHeight="1">
      <c r="Z261" s="76" t="e">
        <f t="shared" ca="1" si="28"/>
        <v>#N/A</v>
      </c>
      <c r="AA261" s="75" t="e">
        <f t="shared" ca="1" si="24"/>
        <v>#N/A</v>
      </c>
      <c r="AB261" s="76">
        <f t="shared" ca="1" si="29"/>
        <v>0</v>
      </c>
      <c r="AC261" s="75">
        <f t="shared" ca="1" si="25"/>
        <v>0</v>
      </c>
      <c r="AD261" s="76">
        <f t="shared" ca="1" si="30"/>
        <v>12388.425641087964</v>
      </c>
      <c r="AE261" s="76">
        <f t="shared" si="31"/>
        <v>0</v>
      </c>
      <c r="AF261" s="75">
        <f t="shared" si="26"/>
        <v>0</v>
      </c>
      <c r="AG261" s="75">
        <f t="shared" si="27"/>
        <v>0</v>
      </c>
      <c r="AH261" s="31" t="e" cm="1">
        <f t="array" aca="1" ref="AH261" ca="1">IF((AD261) &lt; (INDEX(ResponseSLA[#All],(MATCH((G261),ResponseSLA[Priority],0))+1,3)),"YES","No")</f>
        <v>#N/A</v>
      </c>
      <c r="AI261" s="31" t="str">
        <f>_xlfn.IFNA(IF(AE261 &lt; (INDEX(SLATable[Minimum SLA],MATCH(G261,SLATable[Priority],0))),"YES","NO"),"")</f>
        <v/>
      </c>
      <c r="AJ261" t="str">
        <f>_xlfn.IFNA(IF(AE261 &lt; (INDEX(SLATable[Maximum SLA],MATCH(G261,SLATable[Priority],0))),"YES","NO"),"")</f>
        <v/>
      </c>
    </row>
    <row r="262" spans="26:36" ht="15" customHeight="1">
      <c r="Z262" s="76" t="e">
        <f t="shared" ca="1" si="28"/>
        <v>#N/A</v>
      </c>
      <c r="AA262" s="75" t="e">
        <f t="shared" ca="1" si="24"/>
        <v>#N/A</v>
      </c>
      <c r="AB262" s="76">
        <f t="shared" ca="1" si="29"/>
        <v>0</v>
      </c>
      <c r="AC262" s="75">
        <f t="shared" ca="1" si="25"/>
        <v>0</v>
      </c>
      <c r="AD262" s="76">
        <f t="shared" ca="1" si="30"/>
        <v>12388.425641087964</v>
      </c>
      <c r="AE262" s="76">
        <f t="shared" si="31"/>
        <v>0</v>
      </c>
      <c r="AF262" s="75">
        <f t="shared" si="26"/>
        <v>0</v>
      </c>
      <c r="AG262" s="75">
        <f t="shared" si="27"/>
        <v>0</v>
      </c>
      <c r="AH262" s="31" t="e" cm="1">
        <f t="array" aca="1" ref="AH262" ca="1">IF((AD262) &lt; (INDEX(ResponseSLA[#All],(MATCH((G262),ResponseSLA[Priority],0))+1,3)),"YES","No")</f>
        <v>#N/A</v>
      </c>
      <c r="AI262" s="31" t="str">
        <f>_xlfn.IFNA(IF(AE262 &lt; (INDEX(SLATable[Minimum SLA],MATCH(G262,SLATable[Priority],0))),"YES","NO"),"")</f>
        <v/>
      </c>
      <c r="AJ262" t="str">
        <f>_xlfn.IFNA(IF(AE262 &lt; (INDEX(SLATable[Maximum SLA],MATCH(G262,SLATable[Priority],0))),"YES","NO"),"")</f>
        <v/>
      </c>
    </row>
    <row r="263" spans="26:36" ht="15" customHeight="1">
      <c r="Z263" s="76" t="e">
        <f t="shared" ca="1" si="28"/>
        <v>#N/A</v>
      </c>
      <c r="AA263" s="75" t="e">
        <f t="shared" ca="1" si="24"/>
        <v>#N/A</v>
      </c>
      <c r="AB263" s="76">
        <f t="shared" ca="1" si="29"/>
        <v>0</v>
      </c>
      <c r="AC263" s="75">
        <f t="shared" ca="1" si="25"/>
        <v>0</v>
      </c>
      <c r="AD263" s="76">
        <f t="shared" ca="1" si="30"/>
        <v>12388.425641203703</v>
      </c>
      <c r="AE263" s="76">
        <f t="shared" si="31"/>
        <v>0</v>
      </c>
      <c r="AF263" s="75">
        <f t="shared" si="26"/>
        <v>0</v>
      </c>
      <c r="AG263" s="75">
        <f t="shared" si="27"/>
        <v>0</v>
      </c>
      <c r="AH263" s="31" t="e" cm="1">
        <f t="array" aca="1" ref="AH263" ca="1">IF((AD263) &lt; (INDEX(ResponseSLA[#All],(MATCH((G263),ResponseSLA[Priority],0))+1,3)),"YES","No")</f>
        <v>#N/A</v>
      </c>
      <c r="AI263" s="31" t="str">
        <f>_xlfn.IFNA(IF(AE263 &lt; (INDEX(SLATable[Minimum SLA],MATCH(G263,SLATable[Priority],0))),"YES","NO"),"")</f>
        <v/>
      </c>
      <c r="AJ263" t="str">
        <f>_xlfn.IFNA(IF(AE263 &lt; (INDEX(SLATable[Maximum SLA],MATCH(G263,SLATable[Priority],0))),"YES","NO"),"")</f>
        <v/>
      </c>
    </row>
    <row r="264" spans="26:36" ht="15" customHeight="1">
      <c r="Z264" s="76" t="e">
        <f t="shared" ca="1" si="28"/>
        <v>#N/A</v>
      </c>
      <c r="AA264" s="75" t="e">
        <f t="shared" ca="1" si="24"/>
        <v>#N/A</v>
      </c>
      <c r="AB264" s="76">
        <f t="shared" ca="1" si="29"/>
        <v>0</v>
      </c>
      <c r="AC264" s="75">
        <f t="shared" ca="1" si="25"/>
        <v>0</v>
      </c>
      <c r="AD264" s="76">
        <f t="shared" ca="1" si="30"/>
        <v>12388.425641087964</v>
      </c>
      <c r="AE264" s="76">
        <f t="shared" si="31"/>
        <v>0</v>
      </c>
      <c r="AF264" s="75">
        <f t="shared" si="26"/>
        <v>0</v>
      </c>
      <c r="AG264" s="75">
        <f t="shared" si="27"/>
        <v>0</v>
      </c>
      <c r="AH264" s="31" t="e" cm="1">
        <f t="array" aca="1" ref="AH264" ca="1">IF((AD264) &lt; (INDEX(ResponseSLA[#All],(MATCH((G264),ResponseSLA[Priority],0))+1,3)),"YES","No")</f>
        <v>#N/A</v>
      </c>
      <c r="AI264" s="31" t="str">
        <f>_xlfn.IFNA(IF(AE264 &lt; (INDEX(SLATable[Minimum SLA],MATCH(G264,SLATable[Priority],0))),"YES","NO"),"")</f>
        <v/>
      </c>
      <c r="AJ264" t="str">
        <f>_xlfn.IFNA(IF(AE264 &lt; (INDEX(SLATable[Maximum SLA],MATCH(G264,SLATable[Priority],0))),"YES","NO"),"")</f>
        <v/>
      </c>
    </row>
    <row r="265" spans="26:36" ht="15" customHeight="1">
      <c r="Z265" s="76" t="e">
        <f t="shared" ca="1" si="28"/>
        <v>#N/A</v>
      </c>
      <c r="AA265" s="75" t="e">
        <f t="shared" ca="1" si="24"/>
        <v>#N/A</v>
      </c>
      <c r="AB265" s="76">
        <f t="shared" ca="1" si="29"/>
        <v>0</v>
      </c>
      <c r="AC265" s="75">
        <f t="shared" ca="1" si="25"/>
        <v>0</v>
      </c>
      <c r="AD265" s="76">
        <f t="shared" ca="1" si="30"/>
        <v>12388.425641087964</v>
      </c>
      <c r="AE265" s="76">
        <f t="shared" si="31"/>
        <v>0</v>
      </c>
      <c r="AF265" s="75">
        <f t="shared" si="26"/>
        <v>0</v>
      </c>
      <c r="AG265" s="75">
        <f t="shared" si="27"/>
        <v>0</v>
      </c>
      <c r="AH265" s="31" t="e" cm="1">
        <f t="array" aca="1" ref="AH265" ca="1">IF((AD265) &lt; (INDEX(ResponseSLA[#All],(MATCH((G265),ResponseSLA[Priority],0))+1,3)),"YES","No")</f>
        <v>#N/A</v>
      </c>
      <c r="AI265" s="31" t="str">
        <f>_xlfn.IFNA(IF(AE265 &lt; (INDEX(SLATable[Minimum SLA],MATCH(G265,SLATable[Priority],0))),"YES","NO"),"")</f>
        <v/>
      </c>
      <c r="AJ265" t="str">
        <f>_xlfn.IFNA(IF(AE265 &lt; (INDEX(SLATable[Maximum SLA],MATCH(G265,SLATable[Priority],0))),"YES","NO"),"")</f>
        <v/>
      </c>
    </row>
    <row r="266" spans="26:36" ht="15" customHeight="1">
      <c r="Z266" s="76" t="e">
        <f t="shared" ca="1" si="28"/>
        <v>#N/A</v>
      </c>
      <c r="AA266" s="75" t="e">
        <f t="shared" ca="1" si="24"/>
        <v>#N/A</v>
      </c>
      <c r="AB266" s="76">
        <f t="shared" ca="1" si="29"/>
        <v>0</v>
      </c>
      <c r="AC266" s="75">
        <f t="shared" ca="1" si="25"/>
        <v>0</v>
      </c>
      <c r="AD266" s="76">
        <f t="shared" ca="1" si="30"/>
        <v>12388.425641203703</v>
      </c>
      <c r="AE266" s="76">
        <f t="shared" si="31"/>
        <v>0</v>
      </c>
      <c r="AF266" s="75">
        <f t="shared" si="26"/>
        <v>0</v>
      </c>
      <c r="AG266" s="75">
        <f t="shared" si="27"/>
        <v>0</v>
      </c>
      <c r="AH266" s="31" t="e" cm="1">
        <f t="array" aca="1" ref="AH266" ca="1">IF((AD266) &lt; (INDEX(ResponseSLA[#All],(MATCH((G266),ResponseSLA[Priority],0))+1,3)),"YES","No")</f>
        <v>#N/A</v>
      </c>
      <c r="AI266" s="31" t="str">
        <f>_xlfn.IFNA(IF(AE266 &lt; (INDEX(SLATable[Minimum SLA],MATCH(G266,SLATable[Priority],0))),"YES","NO"),"")</f>
        <v/>
      </c>
      <c r="AJ266" t="str">
        <f>_xlfn.IFNA(IF(AE266 &lt; (INDEX(SLATable[Maximum SLA],MATCH(G266,SLATable[Priority],0))),"YES","NO"),"")</f>
        <v/>
      </c>
    </row>
    <row r="267" spans="26:36" ht="15" customHeight="1">
      <c r="Z267" s="76" t="e">
        <f t="shared" ca="1" si="28"/>
        <v>#N/A</v>
      </c>
      <c r="AA267" s="75" t="e">
        <f t="shared" ca="1" si="24"/>
        <v>#N/A</v>
      </c>
      <c r="AB267" s="76">
        <f t="shared" ca="1" si="29"/>
        <v>0</v>
      </c>
      <c r="AC267" s="75">
        <f t="shared" ca="1" si="25"/>
        <v>0</v>
      </c>
      <c r="AD267" s="76">
        <f t="shared" ca="1" si="30"/>
        <v>12388.425641087964</v>
      </c>
      <c r="AE267" s="76">
        <f t="shared" si="31"/>
        <v>0</v>
      </c>
      <c r="AF267" s="75">
        <f t="shared" si="26"/>
        <v>0</v>
      </c>
      <c r="AG267" s="75">
        <f t="shared" si="27"/>
        <v>0</v>
      </c>
      <c r="AH267" s="31" t="e" cm="1">
        <f t="array" aca="1" ref="AH267" ca="1">IF((AD267) &lt; (INDEX(ResponseSLA[#All],(MATCH((G267),ResponseSLA[Priority],0))+1,3)),"YES","No")</f>
        <v>#N/A</v>
      </c>
      <c r="AI267" s="31" t="str">
        <f>_xlfn.IFNA(IF(AE267 &lt; (INDEX(SLATable[Minimum SLA],MATCH(G267,SLATable[Priority],0))),"YES","NO"),"")</f>
        <v/>
      </c>
      <c r="AJ267" t="str">
        <f>_xlfn.IFNA(IF(AE267 &lt; (INDEX(SLATable[Maximum SLA],MATCH(G267,SLATable[Priority],0))),"YES","NO"),"")</f>
        <v/>
      </c>
    </row>
    <row r="268" spans="26:36" ht="15" customHeight="1">
      <c r="Z268" s="76" t="e">
        <f t="shared" ca="1" si="28"/>
        <v>#N/A</v>
      </c>
      <c r="AA268" s="75" t="e">
        <f t="shared" ca="1" si="24"/>
        <v>#N/A</v>
      </c>
      <c r="AB268" s="76">
        <f t="shared" ca="1" si="29"/>
        <v>0</v>
      </c>
      <c r="AC268" s="75">
        <f t="shared" ca="1" si="25"/>
        <v>0</v>
      </c>
      <c r="AD268" s="76">
        <f t="shared" ca="1" si="30"/>
        <v>12388.425641087964</v>
      </c>
      <c r="AE268" s="76">
        <f t="shared" si="31"/>
        <v>0</v>
      </c>
      <c r="AF268" s="75">
        <f t="shared" si="26"/>
        <v>0</v>
      </c>
      <c r="AG268" s="75">
        <f t="shared" si="27"/>
        <v>0</v>
      </c>
      <c r="AH268" s="31" t="e" cm="1">
        <f t="array" aca="1" ref="AH268" ca="1">IF((AD268) &lt; (INDEX(ResponseSLA[#All],(MATCH((G268),ResponseSLA[Priority],0))+1,3)),"YES","No")</f>
        <v>#N/A</v>
      </c>
      <c r="AI268" s="31" t="str">
        <f>_xlfn.IFNA(IF(AE268 &lt; (INDEX(SLATable[Minimum SLA],MATCH(G268,SLATable[Priority],0))),"YES","NO"),"")</f>
        <v/>
      </c>
      <c r="AJ268" t="str">
        <f>_xlfn.IFNA(IF(AE268 &lt; (INDEX(SLATable[Maximum SLA],MATCH(G268,SLATable[Priority],0))),"YES","NO"),"")</f>
        <v/>
      </c>
    </row>
    <row r="269" spans="26:36" ht="15" customHeight="1">
      <c r="Z269" s="76" t="e">
        <f t="shared" ca="1" si="28"/>
        <v>#N/A</v>
      </c>
      <c r="AA269" s="75" t="e">
        <f t="shared" ca="1" si="24"/>
        <v>#N/A</v>
      </c>
      <c r="AB269" s="76">
        <f t="shared" ca="1" si="29"/>
        <v>0</v>
      </c>
      <c r="AC269" s="75">
        <f t="shared" ca="1" si="25"/>
        <v>0</v>
      </c>
      <c r="AD269" s="76">
        <f t="shared" ca="1" si="30"/>
        <v>12388.425641203703</v>
      </c>
      <c r="AE269" s="76">
        <f t="shared" si="31"/>
        <v>0</v>
      </c>
      <c r="AF269" s="75">
        <f t="shared" si="26"/>
        <v>0</v>
      </c>
      <c r="AG269" s="75">
        <f t="shared" si="27"/>
        <v>0</v>
      </c>
      <c r="AH269" s="31" t="e" cm="1">
        <f t="array" aca="1" ref="AH269" ca="1">IF((AD269) &lt; (INDEX(ResponseSLA[#All],(MATCH((G269),ResponseSLA[Priority],0))+1,3)),"YES","No")</f>
        <v>#N/A</v>
      </c>
      <c r="AI269" s="31" t="str">
        <f>_xlfn.IFNA(IF(AE269 &lt; (INDEX(SLATable[Minimum SLA],MATCH(G269,SLATable[Priority],0))),"YES","NO"),"")</f>
        <v/>
      </c>
      <c r="AJ269" t="str">
        <f>_xlfn.IFNA(IF(AE269 &lt; (INDEX(SLATable[Maximum SLA],MATCH(G269,SLATable[Priority],0))),"YES","NO"),"")</f>
        <v/>
      </c>
    </row>
    <row r="270" spans="26:36" ht="15" customHeight="1">
      <c r="Z270" s="76" t="e">
        <f t="shared" ca="1" si="28"/>
        <v>#N/A</v>
      </c>
      <c r="AA270" s="75" t="e">
        <f t="shared" ca="1" si="24"/>
        <v>#N/A</v>
      </c>
      <c r="AB270" s="76">
        <f t="shared" ca="1" si="29"/>
        <v>0</v>
      </c>
      <c r="AC270" s="75">
        <f t="shared" ca="1" si="25"/>
        <v>0</v>
      </c>
      <c r="AD270" s="76">
        <f t="shared" ca="1" si="30"/>
        <v>12388.425641087964</v>
      </c>
      <c r="AE270" s="76">
        <f t="shared" si="31"/>
        <v>0</v>
      </c>
      <c r="AF270" s="75">
        <f t="shared" si="26"/>
        <v>0</v>
      </c>
      <c r="AG270" s="75">
        <f t="shared" si="27"/>
        <v>0</v>
      </c>
      <c r="AH270" s="31" t="e" cm="1">
        <f t="array" aca="1" ref="AH270" ca="1">IF((AD270) &lt; (INDEX(ResponseSLA[#All],(MATCH((G270),ResponseSLA[Priority],0))+1,3)),"YES","No")</f>
        <v>#N/A</v>
      </c>
      <c r="AI270" s="31" t="str">
        <f>_xlfn.IFNA(IF(AE270 &lt; (INDEX(SLATable[Minimum SLA],MATCH(G270,SLATable[Priority],0))),"YES","NO"),"")</f>
        <v/>
      </c>
      <c r="AJ270" t="str">
        <f>_xlfn.IFNA(IF(AE270 &lt; (INDEX(SLATable[Maximum SLA],MATCH(G270,SLATable[Priority],0))),"YES","NO"),"")</f>
        <v/>
      </c>
    </row>
    <row r="271" spans="26:36" ht="15" customHeight="1">
      <c r="Z271" s="76" t="e">
        <f t="shared" ca="1" si="28"/>
        <v>#N/A</v>
      </c>
      <c r="AA271" s="75" t="e">
        <f t="shared" ca="1" si="24"/>
        <v>#N/A</v>
      </c>
      <c r="AB271" s="76">
        <f t="shared" ca="1" si="29"/>
        <v>0</v>
      </c>
      <c r="AC271" s="75">
        <f t="shared" ca="1" si="25"/>
        <v>0</v>
      </c>
      <c r="AD271" s="76">
        <f t="shared" ca="1" si="30"/>
        <v>12388.425641087964</v>
      </c>
      <c r="AE271" s="76">
        <f t="shared" si="31"/>
        <v>0</v>
      </c>
      <c r="AF271" s="75">
        <f t="shared" si="26"/>
        <v>0</v>
      </c>
      <c r="AG271" s="75">
        <f t="shared" si="27"/>
        <v>0</v>
      </c>
      <c r="AH271" s="31" t="e" cm="1">
        <f t="array" aca="1" ref="AH271" ca="1">IF((AD271) &lt; (INDEX(ResponseSLA[#All],(MATCH((G271),ResponseSLA[Priority],0))+1,3)),"YES","No")</f>
        <v>#N/A</v>
      </c>
      <c r="AI271" s="31" t="str">
        <f>_xlfn.IFNA(IF(AE271 &lt; (INDEX(SLATable[Minimum SLA],MATCH(G271,SLATable[Priority],0))),"YES","NO"),"")</f>
        <v/>
      </c>
      <c r="AJ271" t="str">
        <f>_xlfn.IFNA(IF(AE271 &lt; (INDEX(SLATable[Maximum SLA],MATCH(G271,SLATable[Priority],0))),"YES","NO"),"")</f>
        <v/>
      </c>
    </row>
    <row r="272" spans="26:36" ht="15" customHeight="1">
      <c r="Z272" s="76" t="e">
        <f t="shared" ca="1" si="28"/>
        <v>#N/A</v>
      </c>
      <c r="AA272" s="75" t="e">
        <f t="shared" ca="1" si="24"/>
        <v>#N/A</v>
      </c>
      <c r="AB272" s="76">
        <f t="shared" ca="1" si="29"/>
        <v>0</v>
      </c>
      <c r="AC272" s="75">
        <f t="shared" ca="1" si="25"/>
        <v>0</v>
      </c>
      <c r="AD272" s="76">
        <f t="shared" ca="1" si="30"/>
        <v>12388.425641203703</v>
      </c>
      <c r="AE272" s="76">
        <f t="shared" si="31"/>
        <v>0</v>
      </c>
      <c r="AF272" s="75">
        <f t="shared" si="26"/>
        <v>0</v>
      </c>
      <c r="AG272" s="75">
        <f t="shared" si="27"/>
        <v>0</v>
      </c>
      <c r="AH272" s="31" t="e" cm="1">
        <f t="array" aca="1" ref="AH272" ca="1">IF((AD272) &lt; (INDEX(ResponseSLA[#All],(MATCH((G272),ResponseSLA[Priority],0))+1,3)),"YES","No")</f>
        <v>#N/A</v>
      </c>
      <c r="AI272" s="31" t="str">
        <f>_xlfn.IFNA(IF(AE272 &lt; (INDEX(SLATable[Minimum SLA],MATCH(G272,SLATable[Priority],0))),"YES","NO"),"")</f>
        <v/>
      </c>
      <c r="AJ272" t="str">
        <f>_xlfn.IFNA(IF(AE272 &lt; (INDEX(SLATable[Maximum SLA],MATCH(G272,SLATable[Priority],0))),"YES","NO"),"")</f>
        <v/>
      </c>
    </row>
    <row r="273" spans="26:36" ht="15" customHeight="1">
      <c r="Z273" s="76" t="e">
        <f t="shared" ca="1" si="28"/>
        <v>#N/A</v>
      </c>
      <c r="AA273" s="75" t="e">
        <f t="shared" ca="1" si="24"/>
        <v>#N/A</v>
      </c>
      <c r="AB273" s="76">
        <f t="shared" ca="1" si="29"/>
        <v>0</v>
      </c>
      <c r="AC273" s="75">
        <f t="shared" ca="1" si="25"/>
        <v>0</v>
      </c>
      <c r="AD273" s="76">
        <f t="shared" ca="1" si="30"/>
        <v>12388.425641087964</v>
      </c>
      <c r="AE273" s="76">
        <f t="shared" si="31"/>
        <v>0</v>
      </c>
      <c r="AF273" s="75">
        <f t="shared" si="26"/>
        <v>0</v>
      </c>
      <c r="AG273" s="75">
        <f t="shared" si="27"/>
        <v>0</v>
      </c>
      <c r="AH273" s="31" t="e" cm="1">
        <f t="array" aca="1" ref="AH273" ca="1">IF((AD273) &lt; (INDEX(ResponseSLA[#All],(MATCH((G273),ResponseSLA[Priority],0))+1,3)),"YES","No")</f>
        <v>#N/A</v>
      </c>
      <c r="AI273" s="31" t="str">
        <f>_xlfn.IFNA(IF(AE273 &lt; (INDEX(SLATable[Minimum SLA],MATCH(G273,SLATable[Priority],0))),"YES","NO"),"")</f>
        <v/>
      </c>
      <c r="AJ273" t="str">
        <f>_xlfn.IFNA(IF(AE273 &lt; (INDEX(SLATable[Maximum SLA],MATCH(G273,SLATable[Priority],0))),"YES","NO"),"")</f>
        <v/>
      </c>
    </row>
    <row r="274" spans="26:36" ht="15" customHeight="1">
      <c r="Z274" s="76" t="e">
        <f t="shared" ca="1" si="28"/>
        <v>#N/A</v>
      </c>
      <c r="AA274" s="75" t="e">
        <f t="shared" ca="1" si="24"/>
        <v>#N/A</v>
      </c>
      <c r="AB274" s="76">
        <f t="shared" ca="1" si="29"/>
        <v>0</v>
      </c>
      <c r="AC274" s="75">
        <f t="shared" ca="1" si="25"/>
        <v>0</v>
      </c>
      <c r="AD274" s="76">
        <f t="shared" ca="1" si="30"/>
        <v>12388.425641087964</v>
      </c>
      <c r="AE274" s="76">
        <f t="shared" si="31"/>
        <v>0</v>
      </c>
      <c r="AF274" s="75">
        <f t="shared" si="26"/>
        <v>0</v>
      </c>
      <c r="AG274" s="75">
        <f t="shared" si="27"/>
        <v>0</v>
      </c>
      <c r="AH274" s="31" t="e" cm="1">
        <f t="array" aca="1" ref="AH274" ca="1">IF((AD274) &lt; (INDEX(ResponseSLA[#All],(MATCH((G274),ResponseSLA[Priority],0))+1,3)),"YES","No")</f>
        <v>#N/A</v>
      </c>
      <c r="AI274" s="31" t="str">
        <f>_xlfn.IFNA(IF(AE274 &lt; (INDEX(SLATable[Minimum SLA],MATCH(G274,SLATable[Priority],0))),"YES","NO"),"")</f>
        <v/>
      </c>
      <c r="AJ274" t="str">
        <f>_xlfn.IFNA(IF(AE274 &lt; (INDEX(SLATable[Maximum SLA],MATCH(G274,SLATable[Priority],0))),"YES","NO"),"")</f>
        <v/>
      </c>
    </row>
    <row r="275" spans="26:36" ht="15" customHeight="1">
      <c r="Z275" s="76" t="e">
        <f t="shared" ca="1" si="28"/>
        <v>#N/A</v>
      </c>
      <c r="AA275" s="75" t="e">
        <f t="shared" ca="1" si="24"/>
        <v>#N/A</v>
      </c>
      <c r="AB275" s="76">
        <f t="shared" ca="1" si="29"/>
        <v>0</v>
      </c>
      <c r="AC275" s="75">
        <f t="shared" ca="1" si="25"/>
        <v>0</v>
      </c>
      <c r="AD275" s="76">
        <f t="shared" ca="1" si="30"/>
        <v>12388.425641203703</v>
      </c>
      <c r="AE275" s="76">
        <f t="shared" si="31"/>
        <v>0</v>
      </c>
      <c r="AF275" s="75">
        <f t="shared" si="26"/>
        <v>0</v>
      </c>
      <c r="AG275" s="75">
        <f t="shared" si="27"/>
        <v>0</v>
      </c>
      <c r="AH275" s="31" t="e" cm="1">
        <f t="array" aca="1" ref="AH275" ca="1">IF((AD275) &lt; (INDEX(ResponseSLA[#All],(MATCH((G275),ResponseSLA[Priority],0))+1,3)),"YES","No")</f>
        <v>#N/A</v>
      </c>
      <c r="AI275" s="31" t="str">
        <f>_xlfn.IFNA(IF(AE275 &lt; (INDEX(SLATable[Minimum SLA],MATCH(G275,SLATable[Priority],0))),"YES","NO"),"")</f>
        <v/>
      </c>
      <c r="AJ275" t="str">
        <f>_xlfn.IFNA(IF(AE275 &lt; (INDEX(SLATable[Maximum SLA],MATCH(G275,SLATable[Priority],0))),"YES","NO"),"")</f>
        <v/>
      </c>
    </row>
    <row r="276" spans="26:36" ht="15" customHeight="1">
      <c r="Z276" s="76" t="e">
        <f t="shared" ca="1" si="28"/>
        <v>#N/A</v>
      </c>
      <c r="AA276" s="75" t="e">
        <f t="shared" ca="1" si="24"/>
        <v>#N/A</v>
      </c>
      <c r="AB276" s="76">
        <f t="shared" ca="1" si="29"/>
        <v>0</v>
      </c>
      <c r="AC276" s="75">
        <f t="shared" ca="1" si="25"/>
        <v>0</v>
      </c>
      <c r="AD276" s="76">
        <f t="shared" ca="1" si="30"/>
        <v>12388.425641087964</v>
      </c>
      <c r="AE276" s="76">
        <f t="shared" si="31"/>
        <v>0</v>
      </c>
      <c r="AF276" s="75">
        <f t="shared" si="26"/>
        <v>0</v>
      </c>
      <c r="AG276" s="75">
        <f t="shared" si="27"/>
        <v>0</v>
      </c>
      <c r="AH276" s="31" t="e" cm="1">
        <f t="array" aca="1" ref="AH276" ca="1">IF((AD276) &lt; (INDEX(ResponseSLA[#All],(MATCH((G276),ResponseSLA[Priority],0))+1,3)),"YES","No")</f>
        <v>#N/A</v>
      </c>
      <c r="AI276" s="31" t="str">
        <f>_xlfn.IFNA(IF(AE276 &lt; (INDEX(SLATable[Minimum SLA],MATCH(G276,SLATable[Priority],0))),"YES","NO"),"")</f>
        <v/>
      </c>
      <c r="AJ276" t="str">
        <f>_xlfn.IFNA(IF(AE276 &lt; (INDEX(SLATable[Maximum SLA],MATCH(G276,SLATable[Priority],0))),"YES","NO"),"")</f>
        <v/>
      </c>
    </row>
    <row r="277" spans="26:36" ht="15" customHeight="1">
      <c r="Z277" s="76" t="e">
        <f t="shared" ca="1" si="28"/>
        <v>#N/A</v>
      </c>
      <c r="AA277" s="75" t="e">
        <f t="shared" ca="1" si="24"/>
        <v>#N/A</v>
      </c>
      <c r="AB277" s="76">
        <f t="shared" ca="1" si="29"/>
        <v>0</v>
      </c>
      <c r="AC277" s="75">
        <f t="shared" ca="1" si="25"/>
        <v>0</v>
      </c>
      <c r="AD277" s="76">
        <f t="shared" ca="1" si="30"/>
        <v>12388.425641087964</v>
      </c>
      <c r="AE277" s="76">
        <f t="shared" si="31"/>
        <v>0</v>
      </c>
      <c r="AF277" s="75">
        <f t="shared" si="26"/>
        <v>0</v>
      </c>
      <c r="AG277" s="75">
        <f t="shared" si="27"/>
        <v>0</v>
      </c>
      <c r="AH277" s="31" t="e" cm="1">
        <f t="array" aca="1" ref="AH277" ca="1">IF((AD277) &lt; (INDEX(ResponseSLA[#All],(MATCH((G277),ResponseSLA[Priority],0))+1,3)),"YES","No")</f>
        <v>#N/A</v>
      </c>
      <c r="AI277" s="31" t="str">
        <f>_xlfn.IFNA(IF(AE277 &lt; (INDEX(SLATable[Minimum SLA],MATCH(G277,SLATable[Priority],0))),"YES","NO"),"")</f>
        <v/>
      </c>
      <c r="AJ277" t="str">
        <f>_xlfn.IFNA(IF(AE277 &lt; (INDEX(SLATable[Maximum SLA],MATCH(G277,SLATable[Priority],0))),"YES","NO"),"")</f>
        <v/>
      </c>
    </row>
    <row r="278" spans="26:36" ht="15" customHeight="1">
      <c r="Z278" s="76" t="e">
        <f t="shared" ca="1" si="28"/>
        <v>#N/A</v>
      </c>
      <c r="AA278" s="75" t="e">
        <f t="shared" ca="1" si="24"/>
        <v>#N/A</v>
      </c>
      <c r="AB278" s="76">
        <f t="shared" ca="1" si="29"/>
        <v>0</v>
      </c>
      <c r="AC278" s="75">
        <f t="shared" ca="1" si="25"/>
        <v>0</v>
      </c>
      <c r="AD278" s="76">
        <f t="shared" ca="1" si="30"/>
        <v>12388.425641203703</v>
      </c>
      <c r="AE278" s="76">
        <f t="shared" si="31"/>
        <v>0</v>
      </c>
      <c r="AF278" s="75">
        <f t="shared" si="26"/>
        <v>0</v>
      </c>
      <c r="AG278" s="75">
        <f t="shared" si="27"/>
        <v>0</v>
      </c>
      <c r="AH278" s="31" t="e" cm="1">
        <f t="array" aca="1" ref="AH278" ca="1">IF((AD278) &lt; (INDEX(ResponseSLA[#All],(MATCH((G278),ResponseSLA[Priority],0))+1,3)),"YES","No")</f>
        <v>#N/A</v>
      </c>
      <c r="AI278" s="31" t="str">
        <f>_xlfn.IFNA(IF(AE278 &lt; (INDEX(SLATable[Minimum SLA],MATCH(G278,SLATable[Priority],0))),"YES","NO"),"")</f>
        <v/>
      </c>
      <c r="AJ278" t="str">
        <f>_xlfn.IFNA(IF(AE278 &lt; (INDEX(SLATable[Maximum SLA],MATCH(G278,SLATable[Priority],0))),"YES","NO"),"")</f>
        <v/>
      </c>
    </row>
    <row r="279" spans="26:36" ht="15" customHeight="1">
      <c r="Z279" s="76" t="e">
        <f t="shared" ca="1" si="28"/>
        <v>#N/A</v>
      </c>
      <c r="AA279" s="75" t="e">
        <f t="shared" ca="1" si="24"/>
        <v>#N/A</v>
      </c>
      <c r="AB279" s="76">
        <f t="shared" ca="1" si="29"/>
        <v>0</v>
      </c>
      <c r="AC279" s="75">
        <f t="shared" ca="1" si="25"/>
        <v>0</v>
      </c>
      <c r="AD279" s="76">
        <f t="shared" ca="1" si="30"/>
        <v>12388.425641087964</v>
      </c>
      <c r="AE279" s="76">
        <f t="shared" si="31"/>
        <v>0</v>
      </c>
      <c r="AF279" s="75">
        <f t="shared" si="26"/>
        <v>0</v>
      </c>
      <c r="AG279" s="75">
        <f t="shared" si="27"/>
        <v>0</v>
      </c>
      <c r="AH279" s="31" t="e" cm="1">
        <f t="array" aca="1" ref="AH279" ca="1">IF((AD279) &lt; (INDEX(ResponseSLA[#All],(MATCH((G279),ResponseSLA[Priority],0))+1,3)),"YES","No")</f>
        <v>#N/A</v>
      </c>
      <c r="AI279" s="31" t="str">
        <f>_xlfn.IFNA(IF(AE279 &lt; (INDEX(SLATable[Minimum SLA],MATCH(G279,SLATable[Priority],0))),"YES","NO"),"")</f>
        <v/>
      </c>
      <c r="AJ279" t="str">
        <f>_xlfn.IFNA(IF(AE279 &lt; (INDEX(SLATable[Maximum SLA],MATCH(G279,SLATable[Priority],0))),"YES","NO"),"")</f>
        <v/>
      </c>
    </row>
    <row r="280" spans="26:36" ht="15" customHeight="1">
      <c r="Z280" s="76" t="e">
        <f t="shared" ca="1" si="28"/>
        <v>#N/A</v>
      </c>
      <c r="AA280" s="75" t="e">
        <f t="shared" ca="1" si="24"/>
        <v>#N/A</v>
      </c>
      <c r="AB280" s="76">
        <f t="shared" ca="1" si="29"/>
        <v>0</v>
      </c>
      <c r="AC280" s="75">
        <f t="shared" ca="1" si="25"/>
        <v>0</v>
      </c>
      <c r="AD280" s="76">
        <f t="shared" ca="1" si="30"/>
        <v>12388.425641087964</v>
      </c>
      <c r="AE280" s="76">
        <f t="shared" si="31"/>
        <v>0</v>
      </c>
      <c r="AF280" s="75">
        <f t="shared" si="26"/>
        <v>0</v>
      </c>
      <c r="AG280" s="75">
        <f t="shared" si="27"/>
        <v>0</v>
      </c>
      <c r="AH280" s="31" t="e" cm="1">
        <f t="array" aca="1" ref="AH280" ca="1">IF((AD280) &lt; (INDEX(ResponseSLA[#All],(MATCH((G280),ResponseSLA[Priority],0))+1,3)),"YES","No")</f>
        <v>#N/A</v>
      </c>
      <c r="AI280" s="31" t="str">
        <f>_xlfn.IFNA(IF(AE280 &lt; (INDEX(SLATable[Minimum SLA],MATCH(G280,SLATable[Priority],0))),"YES","NO"),"")</f>
        <v/>
      </c>
      <c r="AJ280" t="str">
        <f>_xlfn.IFNA(IF(AE280 &lt; (INDEX(SLATable[Maximum SLA],MATCH(G280,SLATable[Priority],0))),"YES","NO"),"")</f>
        <v/>
      </c>
    </row>
    <row r="281" spans="26:36" ht="15" customHeight="1">
      <c r="Z281" s="76" t="e">
        <f t="shared" ca="1" si="28"/>
        <v>#N/A</v>
      </c>
      <c r="AA281" s="75" t="e">
        <f t="shared" ca="1" si="24"/>
        <v>#N/A</v>
      </c>
      <c r="AB281" s="76">
        <f t="shared" ca="1" si="29"/>
        <v>0</v>
      </c>
      <c r="AC281" s="75">
        <f t="shared" ca="1" si="25"/>
        <v>0</v>
      </c>
      <c r="AD281" s="76">
        <f t="shared" ca="1" si="30"/>
        <v>12388.425641203703</v>
      </c>
      <c r="AE281" s="76">
        <f t="shared" si="31"/>
        <v>0</v>
      </c>
      <c r="AF281" s="75">
        <f t="shared" si="26"/>
        <v>0</v>
      </c>
      <c r="AG281" s="75">
        <f t="shared" si="27"/>
        <v>0</v>
      </c>
      <c r="AH281" s="31" t="e" cm="1">
        <f t="array" aca="1" ref="AH281" ca="1">IF((AD281) &lt; (INDEX(ResponseSLA[#All],(MATCH((G281),ResponseSLA[Priority],0))+1,3)),"YES","No")</f>
        <v>#N/A</v>
      </c>
      <c r="AI281" s="31" t="str">
        <f>_xlfn.IFNA(IF(AE281 &lt; (INDEX(SLATable[Minimum SLA],MATCH(G281,SLATable[Priority],0))),"YES","NO"),"")</f>
        <v/>
      </c>
      <c r="AJ281" t="str">
        <f>_xlfn.IFNA(IF(AE281 &lt; (INDEX(SLATable[Maximum SLA],MATCH(G281,SLATable[Priority],0))),"YES","NO"),"")</f>
        <v/>
      </c>
    </row>
    <row r="282" spans="26:36" ht="15" customHeight="1">
      <c r="Z282" s="76" t="e">
        <f t="shared" ca="1" si="28"/>
        <v>#N/A</v>
      </c>
      <c r="AA282" s="75" t="e">
        <f t="shared" ca="1" si="24"/>
        <v>#N/A</v>
      </c>
      <c r="AB282" s="76">
        <f t="shared" ca="1" si="29"/>
        <v>0</v>
      </c>
      <c r="AC282" s="75">
        <f t="shared" ca="1" si="25"/>
        <v>0</v>
      </c>
      <c r="AD282" s="76">
        <f t="shared" ca="1" si="30"/>
        <v>12388.425641087964</v>
      </c>
      <c r="AE282" s="76">
        <f t="shared" si="31"/>
        <v>0</v>
      </c>
      <c r="AF282" s="75">
        <f t="shared" si="26"/>
        <v>0</v>
      </c>
      <c r="AG282" s="75">
        <f t="shared" si="27"/>
        <v>0</v>
      </c>
      <c r="AH282" s="31" t="e" cm="1">
        <f t="array" aca="1" ref="AH282" ca="1">IF((AD282) &lt; (INDEX(ResponseSLA[#All],(MATCH((G282),ResponseSLA[Priority],0))+1,3)),"YES","No")</f>
        <v>#N/A</v>
      </c>
      <c r="AI282" s="31" t="str">
        <f>_xlfn.IFNA(IF(AE282 &lt; (INDEX(SLATable[Minimum SLA],MATCH(G282,SLATable[Priority],0))),"YES","NO"),"")</f>
        <v/>
      </c>
      <c r="AJ282" t="str">
        <f>_xlfn.IFNA(IF(AE282 &lt; (INDEX(SLATable[Maximum SLA],MATCH(G282,SLATable[Priority],0))),"YES","NO"),"")</f>
        <v/>
      </c>
    </row>
    <row r="283" spans="26:36" ht="15" customHeight="1">
      <c r="Z283" s="76" t="e">
        <f t="shared" ca="1" si="28"/>
        <v>#N/A</v>
      </c>
      <c r="AA283" s="75" t="e">
        <f t="shared" ca="1" si="24"/>
        <v>#N/A</v>
      </c>
      <c r="AB283" s="76">
        <f t="shared" ca="1" si="29"/>
        <v>0</v>
      </c>
      <c r="AC283" s="75">
        <f t="shared" ca="1" si="25"/>
        <v>0</v>
      </c>
      <c r="AD283" s="76">
        <f t="shared" ca="1" si="30"/>
        <v>12388.425641087964</v>
      </c>
      <c r="AE283" s="76">
        <f t="shared" si="31"/>
        <v>0</v>
      </c>
      <c r="AF283" s="75">
        <f t="shared" si="26"/>
        <v>0</v>
      </c>
      <c r="AG283" s="75">
        <f t="shared" si="27"/>
        <v>0</v>
      </c>
      <c r="AH283" s="31" t="e" cm="1">
        <f t="array" aca="1" ref="AH283" ca="1">IF((AD283) &lt; (INDEX(ResponseSLA[#All],(MATCH((G283),ResponseSLA[Priority],0))+1,3)),"YES","No")</f>
        <v>#N/A</v>
      </c>
      <c r="AI283" s="31" t="str">
        <f>_xlfn.IFNA(IF(AE283 &lt; (INDEX(SLATable[Minimum SLA],MATCH(G283,SLATable[Priority],0))),"YES","NO"),"")</f>
        <v/>
      </c>
      <c r="AJ283" t="str">
        <f>_xlfn.IFNA(IF(AE283 &lt; (INDEX(SLATable[Maximum SLA],MATCH(G283,SLATable[Priority],0))),"YES","NO"),"")</f>
        <v/>
      </c>
    </row>
    <row r="284" spans="26:36" ht="15" customHeight="1">
      <c r="Z284" s="76" t="e">
        <f t="shared" ca="1" si="28"/>
        <v>#N/A</v>
      </c>
      <c r="AA284" s="75" t="e">
        <f t="shared" ca="1" si="24"/>
        <v>#N/A</v>
      </c>
      <c r="AB284" s="76">
        <f t="shared" ca="1" si="29"/>
        <v>0</v>
      </c>
      <c r="AC284" s="75">
        <f t="shared" ca="1" si="25"/>
        <v>0</v>
      </c>
      <c r="AD284" s="76">
        <f t="shared" ca="1" si="30"/>
        <v>12388.425641203703</v>
      </c>
      <c r="AE284" s="76">
        <f t="shared" si="31"/>
        <v>0</v>
      </c>
      <c r="AF284" s="75">
        <f t="shared" si="26"/>
        <v>0</v>
      </c>
      <c r="AG284" s="75">
        <f t="shared" si="27"/>
        <v>0</v>
      </c>
      <c r="AH284" s="31" t="e" cm="1">
        <f t="array" aca="1" ref="AH284" ca="1">IF((AD284) &lt; (INDEX(ResponseSLA[#All],(MATCH((G284),ResponseSLA[Priority],0))+1,3)),"YES","No")</f>
        <v>#N/A</v>
      </c>
      <c r="AI284" s="31" t="str">
        <f>_xlfn.IFNA(IF(AE284 &lt; (INDEX(SLATable[Minimum SLA],MATCH(G284,SLATable[Priority],0))),"YES","NO"),"")</f>
        <v/>
      </c>
      <c r="AJ284" t="str">
        <f>_xlfn.IFNA(IF(AE284 &lt; (INDEX(SLATable[Maximum SLA],MATCH(G284,SLATable[Priority],0))),"YES","NO"),"")</f>
        <v/>
      </c>
    </row>
    <row r="285" spans="26:36" ht="15" customHeight="1">
      <c r="Z285" s="76" t="e">
        <f t="shared" ca="1" si="28"/>
        <v>#N/A</v>
      </c>
      <c r="AA285" s="75" t="e">
        <f t="shared" ca="1" si="24"/>
        <v>#N/A</v>
      </c>
      <c r="AB285" s="76">
        <f t="shared" ca="1" si="29"/>
        <v>0</v>
      </c>
      <c r="AC285" s="75">
        <f t="shared" ca="1" si="25"/>
        <v>0</v>
      </c>
      <c r="AD285" s="76">
        <f t="shared" ca="1" si="30"/>
        <v>12388.425641087964</v>
      </c>
      <c r="AE285" s="76">
        <f t="shared" si="31"/>
        <v>0</v>
      </c>
      <c r="AF285" s="75">
        <f t="shared" si="26"/>
        <v>0</v>
      </c>
      <c r="AG285" s="75">
        <f t="shared" si="27"/>
        <v>0</v>
      </c>
      <c r="AH285" s="31" t="e" cm="1">
        <f t="array" aca="1" ref="AH285" ca="1">IF((AD285) &lt; (INDEX(ResponseSLA[#All],(MATCH((G285),ResponseSLA[Priority],0))+1,3)),"YES","No")</f>
        <v>#N/A</v>
      </c>
      <c r="AI285" s="31" t="str">
        <f>_xlfn.IFNA(IF(AE285 &lt; (INDEX(SLATable[Minimum SLA],MATCH(G285,SLATable[Priority],0))),"YES","NO"),"")</f>
        <v/>
      </c>
      <c r="AJ285" t="str">
        <f>_xlfn.IFNA(IF(AE285 &lt; (INDEX(SLATable[Maximum SLA],MATCH(G285,SLATable[Priority],0))),"YES","NO"),"")</f>
        <v/>
      </c>
    </row>
    <row r="286" spans="26:36" ht="15" customHeight="1">
      <c r="Z286" s="76" t="e">
        <f t="shared" ca="1" si="28"/>
        <v>#N/A</v>
      </c>
      <c r="AA286" s="75" t="e">
        <f t="shared" ca="1" si="24"/>
        <v>#N/A</v>
      </c>
      <c r="AB286" s="76">
        <f t="shared" ca="1" si="29"/>
        <v>0</v>
      </c>
      <c r="AC286" s="75">
        <f t="shared" ca="1" si="25"/>
        <v>0</v>
      </c>
      <c r="AD286" s="76">
        <f t="shared" ca="1" si="30"/>
        <v>12388.425641087964</v>
      </c>
      <c r="AE286" s="76">
        <f t="shared" si="31"/>
        <v>0</v>
      </c>
      <c r="AF286" s="75">
        <f t="shared" si="26"/>
        <v>0</v>
      </c>
      <c r="AG286" s="75">
        <f t="shared" si="27"/>
        <v>0</v>
      </c>
      <c r="AH286" s="31" t="e" cm="1">
        <f t="array" aca="1" ref="AH286" ca="1">IF((AD286) &lt; (INDEX(ResponseSLA[#All],(MATCH((G286),ResponseSLA[Priority],0))+1,3)),"YES","No")</f>
        <v>#N/A</v>
      </c>
      <c r="AI286" s="31" t="str">
        <f>_xlfn.IFNA(IF(AE286 &lt; (INDEX(SLATable[Minimum SLA],MATCH(G286,SLATable[Priority],0))),"YES","NO"),"")</f>
        <v/>
      </c>
      <c r="AJ286" t="str">
        <f>_xlfn.IFNA(IF(AE286 &lt; (INDEX(SLATable[Maximum SLA],MATCH(G286,SLATable[Priority],0))),"YES","NO"),"")</f>
        <v/>
      </c>
    </row>
    <row r="287" spans="26:36" ht="15" customHeight="1">
      <c r="Z287" s="76" t="e">
        <f t="shared" ca="1" si="28"/>
        <v>#N/A</v>
      </c>
      <c r="AA287" s="75" t="e">
        <f t="shared" ca="1" si="24"/>
        <v>#N/A</v>
      </c>
      <c r="AB287" s="76">
        <f t="shared" ca="1" si="29"/>
        <v>0</v>
      </c>
      <c r="AC287" s="75">
        <f t="shared" ca="1" si="25"/>
        <v>0</v>
      </c>
      <c r="AD287" s="76">
        <f t="shared" ca="1" si="30"/>
        <v>12388.425641203703</v>
      </c>
      <c r="AE287" s="76">
        <f t="shared" si="31"/>
        <v>0</v>
      </c>
      <c r="AF287" s="75">
        <f t="shared" si="26"/>
        <v>0</v>
      </c>
      <c r="AG287" s="75">
        <f t="shared" si="27"/>
        <v>0</v>
      </c>
      <c r="AH287" s="31" t="e" cm="1">
        <f t="array" aca="1" ref="AH287" ca="1">IF((AD287) &lt; (INDEX(ResponseSLA[#All],(MATCH((G287),ResponseSLA[Priority],0))+1,3)),"YES","No")</f>
        <v>#N/A</v>
      </c>
      <c r="AI287" s="31" t="str">
        <f>_xlfn.IFNA(IF(AE287 &lt; (INDEX(SLATable[Minimum SLA],MATCH(G287,SLATable[Priority],0))),"YES","NO"),"")</f>
        <v/>
      </c>
      <c r="AJ287" t="str">
        <f>_xlfn.IFNA(IF(AE287 &lt; (INDEX(SLATable[Maximum SLA],MATCH(G287,SLATable[Priority],0))),"YES","NO"),"")</f>
        <v/>
      </c>
    </row>
    <row r="288" spans="26:36" ht="15" customHeight="1">
      <c r="Z288" s="76" t="e">
        <f t="shared" ca="1" si="28"/>
        <v>#N/A</v>
      </c>
      <c r="AA288" s="75" t="e">
        <f t="shared" ca="1" si="24"/>
        <v>#N/A</v>
      </c>
      <c r="AB288" s="76">
        <f t="shared" ca="1" si="29"/>
        <v>0</v>
      </c>
      <c r="AC288" s="75">
        <f t="shared" ca="1" si="25"/>
        <v>0</v>
      </c>
      <c r="AD288" s="76">
        <f t="shared" ca="1" si="30"/>
        <v>12388.425641087964</v>
      </c>
      <c r="AE288" s="76">
        <f t="shared" si="31"/>
        <v>0</v>
      </c>
      <c r="AF288" s="75">
        <f t="shared" si="26"/>
        <v>0</v>
      </c>
      <c r="AG288" s="75">
        <f t="shared" si="27"/>
        <v>0</v>
      </c>
      <c r="AH288" s="31" t="e" cm="1">
        <f t="array" aca="1" ref="AH288" ca="1">IF((AD288) &lt; (INDEX(ResponseSLA[#All],(MATCH((G288),ResponseSLA[Priority],0))+1,3)),"YES","No")</f>
        <v>#N/A</v>
      </c>
      <c r="AI288" s="31" t="str">
        <f>_xlfn.IFNA(IF(AE288 &lt; (INDEX(SLATable[Minimum SLA],MATCH(G288,SLATable[Priority],0))),"YES","NO"),"")</f>
        <v/>
      </c>
      <c r="AJ288" t="str">
        <f>_xlfn.IFNA(IF(AE288 &lt; (INDEX(SLATable[Maximum SLA],MATCH(G288,SLATable[Priority],0))),"YES","NO"),"")</f>
        <v/>
      </c>
    </row>
    <row r="289" spans="26:36" ht="15" customHeight="1">
      <c r="Z289" s="76" t="e">
        <f t="shared" ca="1" si="28"/>
        <v>#N/A</v>
      </c>
      <c r="AA289" s="75" t="e">
        <f t="shared" ca="1" si="24"/>
        <v>#N/A</v>
      </c>
      <c r="AB289" s="76">
        <f t="shared" ca="1" si="29"/>
        <v>0</v>
      </c>
      <c r="AC289" s="75">
        <f t="shared" ca="1" si="25"/>
        <v>0</v>
      </c>
      <c r="AD289" s="76">
        <f t="shared" ca="1" si="30"/>
        <v>12388.425641087964</v>
      </c>
      <c r="AE289" s="76">
        <f t="shared" si="31"/>
        <v>0</v>
      </c>
      <c r="AF289" s="75">
        <f t="shared" si="26"/>
        <v>0</v>
      </c>
      <c r="AG289" s="75">
        <f t="shared" si="27"/>
        <v>0</v>
      </c>
      <c r="AH289" s="31" t="e" cm="1">
        <f t="array" aca="1" ref="AH289" ca="1">IF((AD289) &lt; (INDEX(ResponseSLA[#All],(MATCH((G289),ResponseSLA[Priority],0))+1,3)),"YES","No")</f>
        <v>#N/A</v>
      </c>
      <c r="AI289" s="31" t="str">
        <f>_xlfn.IFNA(IF(AE289 &lt; (INDEX(SLATable[Minimum SLA],MATCH(G289,SLATable[Priority],0))),"YES","NO"),"")</f>
        <v/>
      </c>
      <c r="AJ289" t="str">
        <f>_xlfn.IFNA(IF(AE289 &lt; (INDEX(SLATable[Maximum SLA],MATCH(G289,SLATable[Priority],0))),"YES","NO"),"")</f>
        <v/>
      </c>
    </row>
    <row r="290" spans="26:36" ht="15" customHeight="1">
      <c r="Z290" s="76" t="e">
        <f t="shared" ca="1" si="28"/>
        <v>#N/A</v>
      </c>
      <c r="AA290" s="75" t="e">
        <f t="shared" ca="1" si="24"/>
        <v>#N/A</v>
      </c>
      <c r="AB290" s="76">
        <f t="shared" ca="1" si="29"/>
        <v>0</v>
      </c>
      <c r="AC290" s="75">
        <f t="shared" ca="1" si="25"/>
        <v>0</v>
      </c>
      <c r="AD290" s="76">
        <f t="shared" ca="1" si="30"/>
        <v>12388.425641203703</v>
      </c>
      <c r="AE290" s="76">
        <f t="shared" si="31"/>
        <v>0</v>
      </c>
      <c r="AF290" s="75">
        <f t="shared" si="26"/>
        <v>0</v>
      </c>
      <c r="AG290" s="75">
        <f t="shared" si="27"/>
        <v>0</v>
      </c>
      <c r="AH290" s="31" t="e" cm="1">
        <f t="array" aca="1" ref="AH290" ca="1">IF((AD290) &lt; (INDEX(ResponseSLA[#All],(MATCH((G290),ResponseSLA[Priority],0))+1,3)),"YES","No")</f>
        <v>#N/A</v>
      </c>
      <c r="AI290" s="31" t="str">
        <f>_xlfn.IFNA(IF(AE290 &lt; (INDEX(SLATable[Minimum SLA],MATCH(G290,SLATable[Priority],0))),"YES","NO"),"")</f>
        <v/>
      </c>
      <c r="AJ290" t="str">
        <f>_xlfn.IFNA(IF(AE290 &lt; (INDEX(SLATable[Maximum SLA],MATCH(G290,SLATable[Priority],0))),"YES","NO"),"")</f>
        <v/>
      </c>
    </row>
    <row r="291" spans="26:36" ht="15" customHeight="1">
      <c r="Z291" s="76" t="e">
        <f t="shared" ca="1" si="28"/>
        <v>#N/A</v>
      </c>
      <c r="AA291" s="75" t="e">
        <f t="shared" ca="1" si="24"/>
        <v>#N/A</v>
      </c>
      <c r="AB291" s="76">
        <f t="shared" ca="1" si="29"/>
        <v>0</v>
      </c>
      <c r="AC291" s="75">
        <f t="shared" ca="1" si="25"/>
        <v>0</v>
      </c>
      <c r="AD291" s="76">
        <f t="shared" ca="1" si="30"/>
        <v>12388.425641087964</v>
      </c>
      <c r="AE291" s="76">
        <f t="shared" si="31"/>
        <v>0</v>
      </c>
      <c r="AF291" s="75">
        <f t="shared" si="26"/>
        <v>0</v>
      </c>
      <c r="AG291" s="75">
        <f t="shared" si="27"/>
        <v>0</v>
      </c>
      <c r="AH291" s="31" t="e" cm="1">
        <f t="array" aca="1" ref="AH291" ca="1">IF((AD291) &lt; (INDEX(ResponseSLA[#All],(MATCH((G291),ResponseSLA[Priority],0))+1,3)),"YES","No")</f>
        <v>#N/A</v>
      </c>
      <c r="AI291" s="31" t="str">
        <f>_xlfn.IFNA(IF(AE291 &lt; (INDEX(SLATable[Minimum SLA],MATCH(G291,SLATable[Priority],0))),"YES","NO"),"")</f>
        <v/>
      </c>
      <c r="AJ291" t="str">
        <f>_xlfn.IFNA(IF(AE291 &lt; (INDEX(SLATable[Maximum SLA],MATCH(G291,SLATable[Priority],0))),"YES","NO"),"")</f>
        <v/>
      </c>
    </row>
    <row r="292" spans="26:36" ht="15" customHeight="1">
      <c r="Z292" s="76" t="e">
        <f t="shared" ca="1" si="28"/>
        <v>#N/A</v>
      </c>
      <c r="AA292" s="75" t="e">
        <f t="shared" ca="1" si="24"/>
        <v>#N/A</v>
      </c>
      <c r="AB292" s="76">
        <f t="shared" ca="1" si="29"/>
        <v>0</v>
      </c>
      <c r="AC292" s="75">
        <f t="shared" ca="1" si="25"/>
        <v>0</v>
      </c>
      <c r="AD292" s="76">
        <f t="shared" ca="1" si="30"/>
        <v>12388.425641087964</v>
      </c>
      <c r="AE292" s="76">
        <f t="shared" si="31"/>
        <v>0</v>
      </c>
      <c r="AF292" s="75">
        <f t="shared" si="26"/>
        <v>0</v>
      </c>
      <c r="AG292" s="75">
        <f t="shared" si="27"/>
        <v>0</v>
      </c>
      <c r="AH292" s="31" t="e" cm="1">
        <f t="array" aca="1" ref="AH292" ca="1">IF((AD292) &lt; (INDEX(ResponseSLA[#All],(MATCH((G292),ResponseSLA[Priority],0))+1,3)),"YES","No")</f>
        <v>#N/A</v>
      </c>
      <c r="AI292" s="31" t="str">
        <f>_xlfn.IFNA(IF(AE292 &lt; (INDEX(SLATable[Minimum SLA],MATCH(G292,SLATable[Priority],0))),"YES","NO"),"")</f>
        <v/>
      </c>
      <c r="AJ292" t="str">
        <f>_xlfn.IFNA(IF(AE292 &lt; (INDEX(SLATable[Maximum SLA],MATCH(G292,SLATable[Priority],0))),"YES","NO"),"")</f>
        <v/>
      </c>
    </row>
    <row r="293" spans="26:36" ht="15" customHeight="1">
      <c r="Z293" s="76" t="e">
        <f t="shared" ca="1" si="28"/>
        <v>#N/A</v>
      </c>
      <c r="AA293" s="75" t="e">
        <f t="shared" ca="1" si="24"/>
        <v>#N/A</v>
      </c>
      <c r="AB293" s="76">
        <f t="shared" ca="1" si="29"/>
        <v>0</v>
      </c>
      <c r="AC293" s="75">
        <f t="shared" ca="1" si="25"/>
        <v>0</v>
      </c>
      <c r="AD293" s="76">
        <f t="shared" ca="1" si="30"/>
        <v>12388.425641203703</v>
      </c>
      <c r="AE293" s="76">
        <f t="shared" si="31"/>
        <v>0</v>
      </c>
      <c r="AF293" s="75">
        <f t="shared" si="26"/>
        <v>0</v>
      </c>
      <c r="AG293" s="75">
        <f t="shared" si="27"/>
        <v>0</v>
      </c>
      <c r="AH293" s="31" t="e" cm="1">
        <f t="array" aca="1" ref="AH293" ca="1">IF((AD293) &lt; (INDEX(ResponseSLA[#All],(MATCH((G293),ResponseSLA[Priority],0))+1,3)),"YES","No")</f>
        <v>#N/A</v>
      </c>
      <c r="AI293" s="31" t="str">
        <f>_xlfn.IFNA(IF(AE293 &lt; (INDEX(SLATable[Minimum SLA],MATCH(G293,SLATable[Priority],0))),"YES","NO"),"")</f>
        <v/>
      </c>
      <c r="AJ293" t="str">
        <f>_xlfn.IFNA(IF(AE293 &lt; (INDEX(SLATable[Maximum SLA],MATCH(G293,SLATable[Priority],0))),"YES","NO"),"")</f>
        <v/>
      </c>
    </row>
    <row r="294" spans="26:36" ht="15" customHeight="1">
      <c r="Z294" s="76" t="e">
        <f t="shared" ca="1" si="28"/>
        <v>#N/A</v>
      </c>
      <c r="AA294" s="75" t="e">
        <f t="shared" ca="1" si="24"/>
        <v>#N/A</v>
      </c>
      <c r="AB294" s="76">
        <f t="shared" ca="1" si="29"/>
        <v>0</v>
      </c>
      <c r="AC294" s="75">
        <f t="shared" ca="1" si="25"/>
        <v>0</v>
      </c>
      <c r="AD294" s="76">
        <f t="shared" ca="1" si="30"/>
        <v>12388.425641087964</v>
      </c>
      <c r="AE294" s="76">
        <f t="shared" si="31"/>
        <v>0</v>
      </c>
      <c r="AF294" s="75">
        <f t="shared" si="26"/>
        <v>0</v>
      </c>
      <c r="AG294" s="75">
        <f t="shared" si="27"/>
        <v>0</v>
      </c>
      <c r="AH294" s="31" t="e" cm="1">
        <f t="array" aca="1" ref="AH294" ca="1">IF((AD294) &lt; (INDEX(ResponseSLA[#All],(MATCH((G294),ResponseSLA[Priority],0))+1,3)),"YES","No")</f>
        <v>#N/A</v>
      </c>
      <c r="AI294" s="31" t="str">
        <f>_xlfn.IFNA(IF(AE294 &lt; (INDEX(SLATable[Minimum SLA],MATCH(G294,SLATable[Priority],0))),"YES","NO"),"")</f>
        <v/>
      </c>
      <c r="AJ294" t="str">
        <f>_xlfn.IFNA(IF(AE294 &lt; (INDEX(SLATable[Maximum SLA],MATCH(G294,SLATable[Priority],0))),"YES","NO"),"")</f>
        <v/>
      </c>
    </row>
    <row r="295" spans="26:36" ht="15" customHeight="1">
      <c r="Z295" s="76" t="e">
        <f t="shared" ca="1" si="28"/>
        <v>#N/A</v>
      </c>
      <c r="AA295" s="75" t="e">
        <f t="shared" ca="1" si="24"/>
        <v>#N/A</v>
      </c>
      <c r="AB295" s="76">
        <f t="shared" ca="1" si="29"/>
        <v>0</v>
      </c>
      <c r="AC295" s="75">
        <f t="shared" ca="1" si="25"/>
        <v>0</v>
      </c>
      <c r="AD295" s="76">
        <f t="shared" ca="1" si="30"/>
        <v>12388.425641087964</v>
      </c>
      <c r="AE295" s="76">
        <f t="shared" si="31"/>
        <v>0</v>
      </c>
      <c r="AF295" s="75">
        <f t="shared" si="26"/>
        <v>0</v>
      </c>
      <c r="AG295" s="75">
        <f t="shared" si="27"/>
        <v>0</v>
      </c>
      <c r="AH295" s="31" t="e" cm="1">
        <f t="array" aca="1" ref="AH295" ca="1">IF((AD295) &lt; (INDEX(ResponseSLA[#All],(MATCH((G295),ResponseSLA[Priority],0))+1,3)),"YES","No")</f>
        <v>#N/A</v>
      </c>
      <c r="AI295" s="31" t="str">
        <f>_xlfn.IFNA(IF(AE295 &lt; (INDEX(SLATable[Minimum SLA],MATCH(G295,SLATable[Priority],0))),"YES","NO"),"")</f>
        <v/>
      </c>
      <c r="AJ295" t="str">
        <f>_xlfn.IFNA(IF(AE295 &lt; (INDEX(SLATable[Maximum SLA],MATCH(G295,SLATable[Priority],0))),"YES","NO"),"")</f>
        <v/>
      </c>
    </row>
    <row r="296" spans="26:36" ht="15" customHeight="1">
      <c r="Z296" s="76" t="e">
        <f t="shared" ca="1" si="28"/>
        <v>#N/A</v>
      </c>
      <c r="AA296" s="75" t="e">
        <f t="shared" ca="1" si="24"/>
        <v>#N/A</v>
      </c>
      <c r="AB296" s="76">
        <f t="shared" ca="1" si="29"/>
        <v>0</v>
      </c>
      <c r="AC296" s="75">
        <f t="shared" ca="1" si="25"/>
        <v>0</v>
      </c>
      <c r="AD296" s="76">
        <f t="shared" ca="1" si="30"/>
        <v>12388.425641203703</v>
      </c>
      <c r="AE296" s="76">
        <f t="shared" si="31"/>
        <v>0</v>
      </c>
      <c r="AF296" s="75">
        <f t="shared" si="26"/>
        <v>0</v>
      </c>
      <c r="AG296" s="75">
        <f t="shared" si="27"/>
        <v>0</v>
      </c>
      <c r="AH296" s="31" t="e" cm="1">
        <f t="array" aca="1" ref="AH296" ca="1">IF((AD296) &lt; (INDEX(ResponseSLA[#All],(MATCH((G296),ResponseSLA[Priority],0))+1,3)),"YES","No")</f>
        <v>#N/A</v>
      </c>
      <c r="AI296" s="31" t="str">
        <f>_xlfn.IFNA(IF(AE296 &lt; (INDEX(SLATable[Minimum SLA],MATCH(G296,SLATable[Priority],0))),"YES","NO"),"")</f>
        <v/>
      </c>
      <c r="AJ296" t="str">
        <f>_xlfn.IFNA(IF(AE296 &lt; (INDEX(SLATable[Maximum SLA],MATCH(G296,SLATable[Priority],0))),"YES","NO"),"")</f>
        <v/>
      </c>
    </row>
    <row r="297" spans="26:36" ht="15" customHeight="1">
      <c r="Z297" s="76" t="e">
        <f t="shared" ca="1" si="28"/>
        <v>#N/A</v>
      </c>
      <c r="AA297" s="75" t="e">
        <f t="shared" ca="1" si="24"/>
        <v>#N/A</v>
      </c>
      <c r="AB297" s="76">
        <f t="shared" ca="1" si="29"/>
        <v>0</v>
      </c>
      <c r="AC297" s="75">
        <f t="shared" ca="1" si="25"/>
        <v>0</v>
      </c>
      <c r="AD297" s="76">
        <f t="shared" ca="1" si="30"/>
        <v>12388.425641087964</v>
      </c>
      <c r="AE297" s="76">
        <f t="shared" si="31"/>
        <v>0</v>
      </c>
      <c r="AF297" s="75">
        <f t="shared" si="26"/>
        <v>0</v>
      </c>
      <c r="AG297" s="75">
        <f t="shared" si="27"/>
        <v>0</v>
      </c>
      <c r="AH297" s="31" t="e" cm="1">
        <f t="array" aca="1" ref="AH297" ca="1">IF((AD297) &lt; (INDEX(ResponseSLA[#All],(MATCH((G297),ResponseSLA[Priority],0))+1,3)),"YES","No")</f>
        <v>#N/A</v>
      </c>
      <c r="AI297" s="31" t="str">
        <f>_xlfn.IFNA(IF(AE297 &lt; (INDEX(SLATable[Minimum SLA],MATCH(G297,SLATable[Priority],0))),"YES","NO"),"")</f>
        <v/>
      </c>
      <c r="AJ297" t="str">
        <f>_xlfn.IFNA(IF(AE297 &lt; (INDEX(SLATable[Maximum SLA],MATCH(G297,SLATable[Priority],0))),"YES","NO"),"")</f>
        <v/>
      </c>
    </row>
    <row r="298" spans="26:36" ht="15" customHeight="1">
      <c r="Z298" s="76" t="e">
        <f t="shared" ca="1" si="28"/>
        <v>#N/A</v>
      </c>
      <c r="AA298" s="75" t="e">
        <f t="shared" ca="1" si="24"/>
        <v>#N/A</v>
      </c>
      <c r="AB298" s="76">
        <f t="shared" ca="1" si="29"/>
        <v>0</v>
      </c>
      <c r="AC298" s="75">
        <f t="shared" ca="1" si="25"/>
        <v>0</v>
      </c>
      <c r="AD298" s="76">
        <f t="shared" ca="1" si="30"/>
        <v>12388.425641087964</v>
      </c>
      <c r="AE298" s="76">
        <f t="shared" si="31"/>
        <v>0</v>
      </c>
      <c r="AF298" s="75">
        <f t="shared" si="26"/>
        <v>0</v>
      </c>
      <c r="AG298" s="75">
        <f t="shared" si="27"/>
        <v>0</v>
      </c>
      <c r="AH298" s="31" t="e" cm="1">
        <f t="array" aca="1" ref="AH298" ca="1">IF((AD298) &lt; (INDEX(ResponseSLA[#All],(MATCH((G298),ResponseSLA[Priority],0))+1,3)),"YES","No")</f>
        <v>#N/A</v>
      </c>
      <c r="AI298" s="31" t="str">
        <f>_xlfn.IFNA(IF(AE298 &lt; (INDEX(SLATable[Minimum SLA],MATCH(G298,SLATable[Priority],0))),"YES","NO"),"")</f>
        <v/>
      </c>
      <c r="AJ298" t="str">
        <f>_xlfn.IFNA(IF(AE298 &lt; (INDEX(SLATable[Maximum SLA],MATCH(G298,SLATable[Priority],0))),"YES","NO"),"")</f>
        <v/>
      </c>
    </row>
    <row r="299" spans="26:36" ht="15" customHeight="1">
      <c r="Z299" s="76" t="e">
        <f t="shared" ca="1" si="28"/>
        <v>#N/A</v>
      </c>
      <c r="AA299" s="75" t="e">
        <f t="shared" ca="1" si="24"/>
        <v>#N/A</v>
      </c>
      <c r="AB299" s="76">
        <f t="shared" ca="1" si="29"/>
        <v>0</v>
      </c>
      <c r="AC299" s="75">
        <f t="shared" ca="1" si="25"/>
        <v>0</v>
      </c>
      <c r="AD299" s="76">
        <f t="shared" ca="1" si="30"/>
        <v>12388.425641203703</v>
      </c>
      <c r="AE299" s="76">
        <f t="shared" si="31"/>
        <v>0</v>
      </c>
      <c r="AF299" s="75">
        <f t="shared" si="26"/>
        <v>0</v>
      </c>
      <c r="AG299" s="75">
        <f t="shared" si="27"/>
        <v>0</v>
      </c>
      <c r="AH299" s="31" t="e" cm="1">
        <f t="array" aca="1" ref="AH299" ca="1">IF((AD299) &lt; (INDEX(ResponseSLA[#All],(MATCH((G299),ResponseSLA[Priority],0))+1,3)),"YES","No")</f>
        <v>#N/A</v>
      </c>
      <c r="AI299" s="31" t="str">
        <f>_xlfn.IFNA(IF(AE299 &lt; (INDEX(SLATable[Minimum SLA],MATCH(G299,SLATable[Priority],0))),"YES","NO"),"")</f>
        <v/>
      </c>
      <c r="AJ299" t="str">
        <f>_xlfn.IFNA(IF(AE299 &lt; (INDEX(SLATable[Maximum SLA],MATCH(G299,SLATable[Priority],0))),"YES","NO"),"")</f>
        <v/>
      </c>
    </row>
    <row r="300" spans="26:36" ht="15" customHeight="1">
      <c r="Z300" s="76" t="e">
        <f t="shared" ca="1" si="28"/>
        <v>#N/A</v>
      </c>
      <c r="AA300" s="75" t="e">
        <f t="shared" ca="1" si="24"/>
        <v>#N/A</v>
      </c>
      <c r="AB300" s="76">
        <f t="shared" ca="1" si="29"/>
        <v>0</v>
      </c>
      <c r="AC300" s="75">
        <f t="shared" ca="1" si="25"/>
        <v>0</v>
      </c>
      <c r="AD300" s="76">
        <f t="shared" ca="1" si="30"/>
        <v>12388.425641087964</v>
      </c>
      <c r="AE300" s="76">
        <f t="shared" si="31"/>
        <v>0</v>
      </c>
      <c r="AF300" s="75">
        <f t="shared" si="26"/>
        <v>0</v>
      </c>
      <c r="AG300" s="75">
        <f t="shared" si="27"/>
        <v>0</v>
      </c>
      <c r="AH300" s="31" t="e" cm="1">
        <f t="array" aca="1" ref="AH300" ca="1">IF((AD300) &lt; (INDEX(ResponseSLA[#All],(MATCH((G300),ResponseSLA[Priority],0))+1,3)),"YES","No")</f>
        <v>#N/A</v>
      </c>
      <c r="AI300" s="31" t="str">
        <f>_xlfn.IFNA(IF(AE300 &lt; (INDEX(SLATable[Minimum SLA],MATCH(G300,SLATable[Priority],0))),"YES","NO"),"")</f>
        <v/>
      </c>
      <c r="AJ300" t="str">
        <f>_xlfn.IFNA(IF(AE300 &lt; (INDEX(SLATable[Maximum SLA],MATCH(G300,SLATable[Priority],0))),"YES","NO"),"")</f>
        <v/>
      </c>
    </row>
    <row r="301" spans="26:36" ht="15" customHeight="1">
      <c r="Z301" s="76" t="e">
        <f t="shared" ca="1" si="28"/>
        <v>#N/A</v>
      </c>
      <c r="AA301" s="75" t="e">
        <f t="shared" ca="1" si="24"/>
        <v>#N/A</v>
      </c>
      <c r="AB301" s="76">
        <f t="shared" ca="1" si="29"/>
        <v>0</v>
      </c>
      <c r="AC301" s="75">
        <f t="shared" ca="1" si="25"/>
        <v>0</v>
      </c>
      <c r="AD301" s="76">
        <f t="shared" ca="1" si="30"/>
        <v>12388.425641087964</v>
      </c>
      <c r="AE301" s="76">
        <f t="shared" si="31"/>
        <v>0</v>
      </c>
      <c r="AF301" s="75">
        <f t="shared" si="26"/>
        <v>0</v>
      </c>
      <c r="AG301" s="75">
        <f t="shared" si="27"/>
        <v>0</v>
      </c>
      <c r="AH301" s="31" t="e" cm="1">
        <f t="array" aca="1" ref="AH301" ca="1">IF((AD301) &lt; (INDEX(ResponseSLA[#All],(MATCH((G301),ResponseSLA[Priority],0))+1,3)),"YES","No")</f>
        <v>#N/A</v>
      </c>
      <c r="AI301" s="31" t="str">
        <f>_xlfn.IFNA(IF(AE301 &lt; (INDEX(SLATable[Minimum SLA],MATCH(G301,SLATable[Priority],0))),"YES","NO"),"")</f>
        <v/>
      </c>
      <c r="AJ301" t="str">
        <f>_xlfn.IFNA(IF(AE301 &lt; (INDEX(SLATable[Maximum SLA],MATCH(G301,SLATable[Priority],0))),"YES","NO"),"")</f>
        <v/>
      </c>
    </row>
    <row r="302" spans="26:36" ht="15" customHeight="1">
      <c r="Z302" s="76" t="e">
        <f t="shared" ca="1" si="28"/>
        <v>#N/A</v>
      </c>
      <c r="AA302" s="75" t="e">
        <f t="shared" ca="1" si="24"/>
        <v>#N/A</v>
      </c>
      <c r="AB302" s="76">
        <f t="shared" ca="1" si="29"/>
        <v>0</v>
      </c>
      <c r="AC302" s="75">
        <f t="shared" ca="1" si="25"/>
        <v>0</v>
      </c>
      <c r="AD302" s="76">
        <f t="shared" ca="1" si="30"/>
        <v>12388.425641203703</v>
      </c>
      <c r="AE302" s="76">
        <f t="shared" si="31"/>
        <v>0</v>
      </c>
      <c r="AF302" s="75">
        <f t="shared" si="26"/>
        <v>0</v>
      </c>
      <c r="AG302" s="75">
        <f t="shared" si="27"/>
        <v>0</v>
      </c>
      <c r="AH302" s="31" t="e" cm="1">
        <f t="array" aca="1" ref="AH302" ca="1">IF((AD302) &lt; (INDEX(ResponseSLA[#All],(MATCH((G302),ResponseSLA[Priority],0))+1,3)),"YES","No")</f>
        <v>#N/A</v>
      </c>
      <c r="AI302" s="31" t="str">
        <f>_xlfn.IFNA(IF(AE302 &lt; (INDEX(SLATable[Minimum SLA],MATCH(G302,SLATable[Priority],0))),"YES","NO"),"")</f>
        <v/>
      </c>
      <c r="AJ302" t="str">
        <f>_xlfn.IFNA(IF(AE302 &lt; (INDEX(SLATable[Maximum SLA],MATCH(G302,SLATable[Priority],0))),"YES","NO"),"")</f>
        <v/>
      </c>
    </row>
    <row r="303" spans="26:36" ht="15" customHeight="1">
      <c r="Z303" s="76" t="e">
        <f t="shared" ca="1" si="28"/>
        <v>#N/A</v>
      </c>
      <c r="AA303" s="75" t="e">
        <f t="shared" ca="1" si="24"/>
        <v>#N/A</v>
      </c>
      <c r="AB303" s="76">
        <f t="shared" ca="1" si="29"/>
        <v>0</v>
      </c>
      <c r="AC303" s="75">
        <f t="shared" ca="1" si="25"/>
        <v>0</v>
      </c>
      <c r="AD303" s="76">
        <f t="shared" ca="1" si="30"/>
        <v>12388.425641087964</v>
      </c>
      <c r="AE303" s="76">
        <f t="shared" si="31"/>
        <v>0</v>
      </c>
      <c r="AF303" s="75">
        <f t="shared" si="26"/>
        <v>0</v>
      </c>
      <c r="AG303" s="75">
        <f t="shared" si="27"/>
        <v>0</v>
      </c>
      <c r="AH303" s="31" t="e" cm="1">
        <f t="array" aca="1" ref="AH303" ca="1">IF((AD303) &lt; (INDEX(ResponseSLA[#All],(MATCH((G303),ResponseSLA[Priority],0))+1,3)),"YES","No")</f>
        <v>#N/A</v>
      </c>
      <c r="AI303" s="31" t="str">
        <f>_xlfn.IFNA(IF(AE303 &lt; (INDEX(SLATable[Minimum SLA],MATCH(G303,SLATable[Priority],0))),"YES","NO"),"")</f>
        <v/>
      </c>
      <c r="AJ303" t="str">
        <f>_xlfn.IFNA(IF(AE303 &lt; (INDEX(SLATable[Maximum SLA],MATCH(G303,SLATable[Priority],0))),"YES","NO"),"")</f>
        <v/>
      </c>
    </row>
    <row r="304" spans="26:36" ht="15" customHeight="1">
      <c r="Z304" s="76" t="e">
        <f t="shared" ca="1" si="28"/>
        <v>#N/A</v>
      </c>
      <c r="AA304" s="75" t="e">
        <f t="shared" ca="1" si="24"/>
        <v>#N/A</v>
      </c>
      <c r="AB304" s="76">
        <f t="shared" ca="1" si="29"/>
        <v>0</v>
      </c>
      <c r="AC304" s="75">
        <f t="shared" ca="1" si="25"/>
        <v>0</v>
      </c>
      <c r="AD304" s="76">
        <f t="shared" ca="1" si="30"/>
        <v>12388.425641087964</v>
      </c>
      <c r="AE304" s="76">
        <f t="shared" si="31"/>
        <v>0</v>
      </c>
      <c r="AF304" s="75">
        <f t="shared" si="26"/>
        <v>0</v>
      </c>
      <c r="AG304" s="75">
        <f t="shared" si="27"/>
        <v>0</v>
      </c>
      <c r="AH304" s="31" t="e" cm="1">
        <f t="array" aca="1" ref="AH304" ca="1">IF((AD304) &lt; (INDEX(ResponseSLA[#All],(MATCH((G304),ResponseSLA[Priority],0))+1,3)),"YES","No")</f>
        <v>#N/A</v>
      </c>
      <c r="AI304" s="31" t="str">
        <f>_xlfn.IFNA(IF(AE304 &lt; (INDEX(SLATable[Minimum SLA],MATCH(G304,SLATable[Priority],0))),"YES","NO"),"")</f>
        <v/>
      </c>
      <c r="AJ304" t="str">
        <f>_xlfn.IFNA(IF(AE304 &lt; (INDEX(SLATable[Maximum SLA],MATCH(G304,SLATable[Priority],0))),"YES","NO"),"")</f>
        <v/>
      </c>
    </row>
    <row r="305" spans="26:36" ht="15" customHeight="1">
      <c r="Z305" s="76" t="e">
        <f t="shared" ca="1" si="28"/>
        <v>#N/A</v>
      </c>
      <c r="AA305" s="75" t="e">
        <f t="shared" ca="1" si="24"/>
        <v>#N/A</v>
      </c>
      <c r="AB305" s="76">
        <f t="shared" ca="1" si="29"/>
        <v>0</v>
      </c>
      <c r="AC305" s="75">
        <f t="shared" ca="1" si="25"/>
        <v>0</v>
      </c>
      <c r="AD305" s="76">
        <f t="shared" ca="1" si="30"/>
        <v>12388.425641203703</v>
      </c>
      <c r="AE305" s="76">
        <f t="shared" si="31"/>
        <v>0</v>
      </c>
      <c r="AF305" s="75">
        <f t="shared" si="26"/>
        <v>0</v>
      </c>
      <c r="AG305" s="75">
        <f t="shared" si="27"/>
        <v>0</v>
      </c>
      <c r="AH305" s="31" t="e" cm="1">
        <f t="array" aca="1" ref="AH305" ca="1">IF((AD305) &lt; (INDEX(ResponseSLA[#All],(MATCH((G305),ResponseSLA[Priority],0))+1,3)),"YES","No")</f>
        <v>#N/A</v>
      </c>
      <c r="AI305" s="31" t="str">
        <f>_xlfn.IFNA(IF(AE305 &lt; (INDEX(SLATable[Minimum SLA],MATCH(G305,SLATable[Priority],0))),"YES","NO"),"")</f>
        <v/>
      </c>
      <c r="AJ305" t="str">
        <f>_xlfn.IFNA(IF(AE305 &lt; (INDEX(SLATable[Maximum SLA],MATCH(G305,SLATable[Priority],0))),"YES","NO"),"")</f>
        <v/>
      </c>
    </row>
    <row r="306" spans="26:36" ht="15" customHeight="1">
      <c r="Z306" s="76" t="e">
        <f t="shared" ca="1" si="28"/>
        <v>#N/A</v>
      </c>
      <c r="AA306" s="75" t="e">
        <f t="shared" ca="1" si="24"/>
        <v>#N/A</v>
      </c>
      <c r="AB306" s="76">
        <f t="shared" ca="1" si="29"/>
        <v>0</v>
      </c>
      <c r="AC306" s="75">
        <f t="shared" ca="1" si="25"/>
        <v>0</v>
      </c>
      <c r="AD306" s="76">
        <f t="shared" ca="1" si="30"/>
        <v>12388.425641087964</v>
      </c>
      <c r="AE306" s="76">
        <f t="shared" si="31"/>
        <v>0</v>
      </c>
      <c r="AF306" s="75">
        <f t="shared" si="26"/>
        <v>0</v>
      </c>
      <c r="AG306" s="75">
        <f t="shared" si="27"/>
        <v>0</v>
      </c>
      <c r="AH306" s="31" t="e" cm="1">
        <f t="array" aca="1" ref="AH306" ca="1">IF((AD306) &lt; (INDEX(ResponseSLA[#All],(MATCH((G306),ResponseSLA[Priority],0))+1,3)),"YES","No")</f>
        <v>#N/A</v>
      </c>
      <c r="AI306" s="31" t="str">
        <f>_xlfn.IFNA(IF(AE306 &lt; (INDEX(SLATable[Minimum SLA],MATCH(G306,SLATable[Priority],0))),"YES","NO"),"")</f>
        <v/>
      </c>
      <c r="AJ306" t="str">
        <f>_xlfn.IFNA(IF(AE306 &lt; (INDEX(SLATable[Maximum SLA],MATCH(G306,SLATable[Priority],0))),"YES","NO"),"")</f>
        <v/>
      </c>
    </row>
    <row r="307" spans="26:36" ht="15" customHeight="1">
      <c r="Z307" s="76" t="e">
        <f t="shared" ca="1" si="28"/>
        <v>#N/A</v>
      </c>
      <c r="AA307" s="75" t="e">
        <f t="shared" ca="1" si="24"/>
        <v>#N/A</v>
      </c>
      <c r="AB307" s="76">
        <f t="shared" ca="1" si="29"/>
        <v>0</v>
      </c>
      <c r="AC307" s="75">
        <f t="shared" ca="1" si="25"/>
        <v>0</v>
      </c>
      <c r="AD307" s="76">
        <f t="shared" ca="1" si="30"/>
        <v>12388.425641087964</v>
      </c>
      <c r="AE307" s="76">
        <f t="shared" si="31"/>
        <v>0</v>
      </c>
      <c r="AF307" s="75">
        <f t="shared" si="26"/>
        <v>0</v>
      </c>
      <c r="AG307" s="75">
        <f t="shared" si="27"/>
        <v>0</v>
      </c>
      <c r="AH307" s="31" t="e" cm="1">
        <f t="array" aca="1" ref="AH307" ca="1">IF((AD307) &lt; (INDEX(ResponseSLA[#All],(MATCH((G307),ResponseSLA[Priority],0))+1,3)),"YES","No")</f>
        <v>#N/A</v>
      </c>
      <c r="AI307" s="31" t="str">
        <f>_xlfn.IFNA(IF(AE307 &lt; (INDEX(SLATable[Minimum SLA],MATCH(G307,SLATable[Priority],0))),"YES","NO"),"")</f>
        <v/>
      </c>
      <c r="AJ307" t="str">
        <f>_xlfn.IFNA(IF(AE307 &lt; (INDEX(SLATable[Maximum SLA],MATCH(G307,SLATable[Priority],0))),"YES","NO"),"")</f>
        <v/>
      </c>
    </row>
    <row r="308" spans="26:36" ht="15" customHeight="1">
      <c r="Z308" s="76" t="e">
        <f t="shared" ca="1" si="28"/>
        <v>#N/A</v>
      </c>
      <c r="AA308" s="75" t="e">
        <f t="shared" ca="1" si="24"/>
        <v>#N/A</v>
      </c>
      <c r="AB308" s="76">
        <f t="shared" ca="1" si="29"/>
        <v>0</v>
      </c>
      <c r="AC308" s="75">
        <f t="shared" ca="1" si="25"/>
        <v>0</v>
      </c>
      <c r="AD308" s="76">
        <f t="shared" ca="1" si="30"/>
        <v>12388.425641203703</v>
      </c>
      <c r="AE308" s="76">
        <f t="shared" si="31"/>
        <v>0</v>
      </c>
      <c r="AF308" s="75">
        <f t="shared" si="26"/>
        <v>0</v>
      </c>
      <c r="AG308" s="75">
        <f t="shared" si="27"/>
        <v>0</v>
      </c>
      <c r="AH308" s="31" t="e" cm="1">
        <f t="array" aca="1" ref="AH308" ca="1">IF((AD308) &lt; (INDEX(ResponseSLA[#All],(MATCH((G308),ResponseSLA[Priority],0))+1,3)),"YES","No")</f>
        <v>#N/A</v>
      </c>
      <c r="AI308" s="31" t="str">
        <f>_xlfn.IFNA(IF(AE308 &lt; (INDEX(SLATable[Minimum SLA],MATCH(G308,SLATable[Priority],0))),"YES","NO"),"")</f>
        <v/>
      </c>
      <c r="AJ308" t="str">
        <f>_xlfn.IFNA(IF(AE308 &lt; (INDEX(SLATable[Maximum SLA],MATCH(G308,SLATable[Priority],0))),"YES","NO"),"")</f>
        <v/>
      </c>
    </row>
    <row r="309" spans="26:36" ht="15" customHeight="1">
      <c r="Z309" s="76" t="e">
        <f t="shared" ca="1" si="28"/>
        <v>#N/A</v>
      </c>
      <c r="AA309" s="75" t="e">
        <f t="shared" ca="1" si="24"/>
        <v>#N/A</v>
      </c>
      <c r="AB309" s="76">
        <f t="shared" ca="1" si="29"/>
        <v>0</v>
      </c>
      <c r="AC309" s="75">
        <f t="shared" ca="1" si="25"/>
        <v>0</v>
      </c>
      <c r="AD309" s="76">
        <f t="shared" ca="1" si="30"/>
        <v>12388.425641087964</v>
      </c>
      <c r="AE309" s="76">
        <f t="shared" si="31"/>
        <v>0</v>
      </c>
      <c r="AF309" s="75">
        <f t="shared" si="26"/>
        <v>0</v>
      </c>
      <c r="AG309" s="75">
        <f t="shared" si="27"/>
        <v>0</v>
      </c>
      <c r="AH309" s="31" t="e" cm="1">
        <f t="array" aca="1" ref="AH309" ca="1">IF((AD309) &lt; (INDEX(ResponseSLA[#All],(MATCH((G309),ResponseSLA[Priority],0))+1,3)),"YES","No")</f>
        <v>#N/A</v>
      </c>
      <c r="AI309" s="31" t="str">
        <f>_xlfn.IFNA(IF(AE309 &lt; (INDEX(SLATable[Minimum SLA],MATCH(G309,SLATable[Priority],0))),"YES","NO"),"")</f>
        <v/>
      </c>
      <c r="AJ309" t="str">
        <f>_xlfn.IFNA(IF(AE309 &lt; (INDEX(SLATable[Maximum SLA],MATCH(G309,SLATable[Priority],0))),"YES","NO"),"")</f>
        <v/>
      </c>
    </row>
    <row r="310" spans="26:36" ht="15" customHeight="1">
      <c r="Z310" s="76" t="e">
        <f t="shared" ca="1" si="28"/>
        <v>#N/A</v>
      </c>
      <c r="AA310" s="75" t="e">
        <f t="shared" ca="1" si="24"/>
        <v>#N/A</v>
      </c>
      <c r="AB310" s="76">
        <f t="shared" ca="1" si="29"/>
        <v>0</v>
      </c>
      <c r="AC310" s="75">
        <f t="shared" ca="1" si="25"/>
        <v>0</v>
      </c>
      <c r="AD310" s="76">
        <f t="shared" ca="1" si="30"/>
        <v>12388.425641087964</v>
      </c>
      <c r="AE310" s="76">
        <f t="shared" si="31"/>
        <v>0</v>
      </c>
      <c r="AF310" s="75">
        <f t="shared" si="26"/>
        <v>0</v>
      </c>
      <c r="AG310" s="75">
        <f t="shared" si="27"/>
        <v>0</v>
      </c>
      <c r="AH310" s="31" t="e" cm="1">
        <f t="array" aca="1" ref="AH310" ca="1">IF((AD310) &lt; (INDEX(ResponseSLA[#All],(MATCH((G310),ResponseSLA[Priority],0))+1,3)),"YES","No")</f>
        <v>#N/A</v>
      </c>
      <c r="AI310" s="31" t="str">
        <f>_xlfn.IFNA(IF(AE310 &lt; (INDEX(SLATable[Minimum SLA],MATCH(G310,SLATable[Priority],0))),"YES","NO"),"")</f>
        <v/>
      </c>
      <c r="AJ310" t="str">
        <f>_xlfn.IFNA(IF(AE310 &lt; (INDEX(SLATable[Maximum SLA],MATCH(G310,SLATable[Priority],0))),"YES","NO"),"")</f>
        <v/>
      </c>
    </row>
    <row r="311" spans="26:36" ht="15" customHeight="1">
      <c r="Z311" s="76" t="e">
        <f t="shared" ca="1" si="28"/>
        <v>#N/A</v>
      </c>
      <c r="AA311" s="75" t="e">
        <f t="shared" ca="1" si="24"/>
        <v>#N/A</v>
      </c>
      <c r="AB311" s="76">
        <f t="shared" ca="1" si="29"/>
        <v>0</v>
      </c>
      <c r="AC311" s="75">
        <f t="shared" ca="1" si="25"/>
        <v>0</v>
      </c>
      <c r="AD311" s="76">
        <f t="shared" ca="1" si="30"/>
        <v>12388.425641203703</v>
      </c>
      <c r="AE311" s="76">
        <f t="shared" si="31"/>
        <v>0</v>
      </c>
      <c r="AF311" s="75">
        <f t="shared" si="26"/>
        <v>0</v>
      </c>
      <c r="AG311" s="75">
        <f t="shared" si="27"/>
        <v>0</v>
      </c>
      <c r="AH311" s="31" t="e" cm="1">
        <f t="array" aca="1" ref="AH311" ca="1">IF((AD311) &lt; (INDEX(ResponseSLA[#All],(MATCH((G311),ResponseSLA[Priority],0))+1,3)),"YES","No")</f>
        <v>#N/A</v>
      </c>
      <c r="AI311" s="31" t="str">
        <f>_xlfn.IFNA(IF(AE311 &lt; (INDEX(SLATable[Minimum SLA],MATCH(G311,SLATable[Priority],0))),"YES","NO"),"")</f>
        <v/>
      </c>
      <c r="AJ311" t="str">
        <f>_xlfn.IFNA(IF(AE311 &lt; (INDEX(SLATable[Maximum SLA],MATCH(G311,SLATable[Priority],0))),"YES","NO"),"")</f>
        <v/>
      </c>
    </row>
    <row r="312" spans="26:36" ht="15" customHeight="1">
      <c r="Z312" s="76" t="e">
        <f t="shared" ca="1" si="28"/>
        <v>#N/A</v>
      </c>
      <c r="AA312" s="75" t="e">
        <f t="shared" ca="1" si="24"/>
        <v>#N/A</v>
      </c>
      <c r="AB312" s="76">
        <f t="shared" ca="1" si="29"/>
        <v>0</v>
      </c>
      <c r="AC312" s="75">
        <f t="shared" ca="1" si="25"/>
        <v>0</v>
      </c>
      <c r="AD312" s="76">
        <f t="shared" ca="1" si="30"/>
        <v>12388.425641087964</v>
      </c>
      <c r="AE312" s="76">
        <f t="shared" si="31"/>
        <v>0</v>
      </c>
      <c r="AF312" s="75">
        <f t="shared" si="26"/>
        <v>0</v>
      </c>
      <c r="AG312" s="75">
        <f t="shared" si="27"/>
        <v>0</v>
      </c>
      <c r="AH312" s="31" t="e" cm="1">
        <f t="array" aca="1" ref="AH312" ca="1">IF((AD312) &lt; (INDEX(ResponseSLA[#All],(MATCH((G312),ResponseSLA[Priority],0))+1,3)),"YES","No")</f>
        <v>#N/A</v>
      </c>
      <c r="AI312" s="31" t="str">
        <f>_xlfn.IFNA(IF(AE312 &lt; (INDEX(SLATable[Minimum SLA],MATCH(G312,SLATable[Priority],0))),"YES","NO"),"")</f>
        <v/>
      </c>
      <c r="AJ312" t="str">
        <f>_xlfn.IFNA(IF(AE312 &lt; (INDEX(SLATable[Maximum SLA],MATCH(G312,SLATable[Priority],0))),"YES","NO"),"")</f>
        <v/>
      </c>
    </row>
    <row r="313" spans="26:36" ht="15" customHeight="1">
      <c r="Z313" s="76" t="e">
        <f t="shared" ca="1" si="28"/>
        <v>#N/A</v>
      </c>
      <c r="AA313" s="75" t="e">
        <f t="shared" ca="1" si="24"/>
        <v>#N/A</v>
      </c>
      <c r="AB313" s="76">
        <f t="shared" ca="1" si="29"/>
        <v>0</v>
      </c>
      <c r="AC313" s="75">
        <f t="shared" ca="1" si="25"/>
        <v>0</v>
      </c>
      <c r="AD313" s="76">
        <f t="shared" ca="1" si="30"/>
        <v>12388.425641087964</v>
      </c>
      <c r="AE313" s="76">
        <f t="shared" si="31"/>
        <v>0</v>
      </c>
      <c r="AF313" s="75">
        <f t="shared" si="26"/>
        <v>0</v>
      </c>
      <c r="AG313" s="75">
        <f t="shared" si="27"/>
        <v>0</v>
      </c>
      <c r="AH313" s="31" t="e" cm="1">
        <f t="array" aca="1" ref="AH313" ca="1">IF((AD313) &lt; (INDEX(ResponseSLA[#All],(MATCH((G313),ResponseSLA[Priority],0))+1,3)),"YES","No")</f>
        <v>#N/A</v>
      </c>
      <c r="AI313" s="31" t="str">
        <f>_xlfn.IFNA(IF(AE313 &lt; (INDEX(SLATable[Minimum SLA],MATCH(G313,SLATable[Priority],0))),"YES","NO"),"")</f>
        <v/>
      </c>
      <c r="AJ313" t="str">
        <f>_xlfn.IFNA(IF(AE313 &lt; (INDEX(SLATable[Maximum SLA],MATCH(G313,SLATable[Priority],0))),"YES","NO"),"")</f>
        <v/>
      </c>
    </row>
    <row r="314" spans="26:36" ht="15" customHeight="1">
      <c r="Z314" s="76" t="e">
        <f t="shared" ca="1" si="28"/>
        <v>#N/A</v>
      </c>
      <c r="AA314" s="75" t="e">
        <f t="shared" ca="1" si="24"/>
        <v>#N/A</v>
      </c>
      <c r="AB314" s="76">
        <f t="shared" ca="1" si="29"/>
        <v>0</v>
      </c>
      <c r="AC314" s="75">
        <f t="shared" ca="1" si="25"/>
        <v>0</v>
      </c>
      <c r="AD314" s="76">
        <f t="shared" ca="1" si="30"/>
        <v>12388.425641203703</v>
      </c>
      <c r="AE314" s="76">
        <f t="shared" si="31"/>
        <v>0</v>
      </c>
      <c r="AF314" s="75">
        <f t="shared" si="26"/>
        <v>0</v>
      </c>
      <c r="AG314" s="75">
        <f t="shared" si="27"/>
        <v>0</v>
      </c>
      <c r="AH314" s="31" t="e" cm="1">
        <f t="array" aca="1" ref="AH314" ca="1">IF((AD314) &lt; (INDEX(ResponseSLA[#All],(MATCH((G314),ResponseSLA[Priority],0))+1,3)),"YES","No")</f>
        <v>#N/A</v>
      </c>
      <c r="AI314" s="31" t="str">
        <f>_xlfn.IFNA(IF(AE314 &lt; (INDEX(SLATable[Minimum SLA],MATCH(G314,SLATable[Priority],0))),"YES","NO"),"")</f>
        <v/>
      </c>
      <c r="AJ314" t="str">
        <f>_xlfn.IFNA(IF(AE314 &lt; (INDEX(SLATable[Maximum SLA],MATCH(G314,SLATable[Priority],0))),"YES","NO"),"")</f>
        <v/>
      </c>
    </row>
    <row r="315" spans="26:36" ht="15" customHeight="1">
      <c r="Z315" s="76" t="e">
        <f t="shared" ca="1" si="28"/>
        <v>#N/A</v>
      </c>
      <c r="AA315" s="75" t="e">
        <f t="shared" ca="1" si="24"/>
        <v>#N/A</v>
      </c>
      <c r="AB315" s="76">
        <f t="shared" ca="1" si="29"/>
        <v>0</v>
      </c>
      <c r="AC315" s="75">
        <f t="shared" ca="1" si="25"/>
        <v>0</v>
      </c>
      <c r="AD315" s="76">
        <f t="shared" ca="1" si="30"/>
        <v>12388.425641087964</v>
      </c>
      <c r="AE315" s="76">
        <f t="shared" si="31"/>
        <v>0</v>
      </c>
      <c r="AF315" s="75">
        <f t="shared" si="26"/>
        <v>0</v>
      </c>
      <c r="AG315" s="75">
        <f t="shared" si="27"/>
        <v>0</v>
      </c>
      <c r="AH315" s="31" t="e" cm="1">
        <f t="array" aca="1" ref="AH315" ca="1">IF((AD315) &lt; (INDEX(ResponseSLA[#All],(MATCH((G315),ResponseSLA[Priority],0))+1,3)),"YES","No")</f>
        <v>#N/A</v>
      </c>
      <c r="AI315" s="31" t="str">
        <f>_xlfn.IFNA(IF(AE315 &lt; (INDEX(SLATable[Minimum SLA],MATCH(G315,SLATable[Priority],0))),"YES","NO"),"")</f>
        <v/>
      </c>
      <c r="AJ315" t="str">
        <f>_xlfn.IFNA(IF(AE315 &lt; (INDEX(SLATable[Maximum SLA],MATCH(G315,SLATable[Priority],0))),"YES","NO"),"")</f>
        <v/>
      </c>
    </row>
    <row r="316" spans="26:36" ht="15" customHeight="1">
      <c r="Z316" s="76" t="e">
        <f t="shared" ca="1" si="28"/>
        <v>#N/A</v>
      </c>
      <c r="AA316" s="75" t="e">
        <f t="shared" ca="1" si="24"/>
        <v>#N/A</v>
      </c>
      <c r="AB316" s="76">
        <f t="shared" ca="1" si="29"/>
        <v>0</v>
      </c>
      <c r="AC316" s="75">
        <f t="shared" ca="1" si="25"/>
        <v>0</v>
      </c>
      <c r="AD316" s="76">
        <f t="shared" ca="1" si="30"/>
        <v>12388.425641087964</v>
      </c>
      <c r="AE316" s="76">
        <f t="shared" si="31"/>
        <v>0</v>
      </c>
      <c r="AF316" s="75">
        <f t="shared" si="26"/>
        <v>0</v>
      </c>
      <c r="AG316" s="75">
        <f t="shared" si="27"/>
        <v>0</v>
      </c>
      <c r="AH316" s="31" t="e" cm="1">
        <f t="array" aca="1" ref="AH316" ca="1">IF((AD316) &lt; (INDEX(ResponseSLA[#All],(MATCH((G316),ResponseSLA[Priority],0))+1,3)),"YES","No")</f>
        <v>#N/A</v>
      </c>
      <c r="AI316" s="31" t="str">
        <f>_xlfn.IFNA(IF(AE316 &lt; (INDEX(SLATable[Minimum SLA],MATCH(G316,SLATable[Priority],0))),"YES","NO"),"")</f>
        <v/>
      </c>
      <c r="AJ316" t="str">
        <f>_xlfn.IFNA(IF(AE316 &lt; (INDEX(SLATable[Maximum SLA],MATCH(G316,SLATable[Priority],0))),"YES","NO"),"")</f>
        <v/>
      </c>
    </row>
    <row r="317" spans="26:36" ht="15" customHeight="1">
      <c r="Z317" s="76" t="e">
        <f t="shared" ca="1" si="28"/>
        <v>#N/A</v>
      </c>
      <c r="AA317" s="75" t="e">
        <f t="shared" ca="1" si="24"/>
        <v>#N/A</v>
      </c>
      <c r="AB317" s="76">
        <f t="shared" ca="1" si="29"/>
        <v>0</v>
      </c>
      <c r="AC317" s="75">
        <f t="shared" ca="1" si="25"/>
        <v>0</v>
      </c>
      <c r="AD317" s="76">
        <f t="shared" ca="1" si="30"/>
        <v>12388.425641203703</v>
      </c>
      <c r="AE317" s="76">
        <f t="shared" si="31"/>
        <v>0</v>
      </c>
      <c r="AF317" s="75">
        <f t="shared" si="26"/>
        <v>0</v>
      </c>
      <c r="AG317" s="75">
        <f t="shared" si="27"/>
        <v>0</v>
      </c>
      <c r="AH317" s="31" t="e" cm="1">
        <f t="array" aca="1" ref="AH317" ca="1">IF((AD317) &lt; (INDEX(ResponseSLA[#All],(MATCH((G317),ResponseSLA[Priority],0))+1,3)),"YES","No")</f>
        <v>#N/A</v>
      </c>
      <c r="AI317" s="31" t="str">
        <f>_xlfn.IFNA(IF(AE317 &lt; (INDEX(SLATable[Minimum SLA],MATCH(G317,SLATable[Priority],0))),"YES","NO"),"")</f>
        <v/>
      </c>
      <c r="AJ317" t="str">
        <f>_xlfn.IFNA(IF(AE317 &lt; (INDEX(SLATable[Maximum SLA],MATCH(G317,SLATable[Priority],0))),"YES","NO"),"")</f>
        <v/>
      </c>
    </row>
    <row r="318" spans="26:36" ht="15" customHeight="1">
      <c r="Z318" s="76" t="e">
        <f t="shared" ca="1" si="28"/>
        <v>#N/A</v>
      </c>
      <c r="AA318" s="75" t="e">
        <f t="shared" ca="1" si="24"/>
        <v>#N/A</v>
      </c>
      <c r="AB318" s="76">
        <f t="shared" ca="1" si="29"/>
        <v>0</v>
      </c>
      <c r="AC318" s="75">
        <f t="shared" ca="1" si="25"/>
        <v>0</v>
      </c>
      <c r="AD318" s="76">
        <f t="shared" ca="1" si="30"/>
        <v>12388.425641087964</v>
      </c>
      <c r="AE318" s="76">
        <f t="shared" si="31"/>
        <v>0</v>
      </c>
      <c r="AF318" s="75">
        <f t="shared" si="26"/>
        <v>0</v>
      </c>
      <c r="AG318" s="75">
        <f t="shared" si="27"/>
        <v>0</v>
      </c>
      <c r="AH318" s="31" t="e" cm="1">
        <f t="array" aca="1" ref="AH318" ca="1">IF((AD318) &lt; (INDEX(ResponseSLA[#All],(MATCH((G318),ResponseSLA[Priority],0))+1,3)),"YES","No")</f>
        <v>#N/A</v>
      </c>
      <c r="AI318" s="31" t="str">
        <f>_xlfn.IFNA(IF(AE318 &lt; (INDEX(SLATable[Minimum SLA],MATCH(G318,SLATable[Priority],0))),"YES","NO"),"")</f>
        <v/>
      </c>
      <c r="AJ318" t="str">
        <f>_xlfn.IFNA(IF(AE318 &lt; (INDEX(SLATable[Maximum SLA],MATCH(G318,SLATable[Priority],0))),"YES","NO"),"")</f>
        <v/>
      </c>
    </row>
    <row r="319" spans="26:36" ht="15" customHeight="1">
      <c r="Z319" s="76" t="e">
        <f t="shared" ca="1" si="28"/>
        <v>#N/A</v>
      </c>
      <c r="AA319" s="75" t="e">
        <f t="shared" ca="1" si="24"/>
        <v>#N/A</v>
      </c>
      <c r="AB319" s="76">
        <f t="shared" ca="1" si="29"/>
        <v>0</v>
      </c>
      <c r="AC319" s="75">
        <f t="shared" ca="1" si="25"/>
        <v>0</v>
      </c>
      <c r="AD319" s="76">
        <f t="shared" ca="1" si="30"/>
        <v>12388.425641087964</v>
      </c>
      <c r="AE319" s="76">
        <f t="shared" si="31"/>
        <v>0</v>
      </c>
      <c r="AF319" s="75">
        <f t="shared" si="26"/>
        <v>0</v>
      </c>
      <c r="AG319" s="75">
        <f t="shared" si="27"/>
        <v>0</v>
      </c>
      <c r="AH319" s="31" t="e" cm="1">
        <f t="array" aca="1" ref="AH319" ca="1">IF((AD319) &lt; (INDEX(ResponseSLA[#All],(MATCH((G319),ResponseSLA[Priority],0))+1,3)),"YES","No")</f>
        <v>#N/A</v>
      </c>
      <c r="AI319" s="31" t="str">
        <f>_xlfn.IFNA(IF(AE319 &lt; (INDEX(SLATable[Minimum SLA],MATCH(G319,SLATable[Priority],0))),"YES","NO"),"")</f>
        <v/>
      </c>
      <c r="AJ319" t="str">
        <f>_xlfn.IFNA(IF(AE319 &lt; (INDEX(SLATable[Maximum SLA],MATCH(G319,SLATable[Priority],0))),"YES","NO"),"")</f>
        <v/>
      </c>
    </row>
    <row r="320" spans="26:36" ht="15" customHeight="1">
      <c r="Z320" s="76" t="e">
        <f t="shared" ca="1" si="28"/>
        <v>#N/A</v>
      </c>
      <c r="AA320" s="75" t="e">
        <f t="shared" ca="1" si="24"/>
        <v>#N/A</v>
      </c>
      <c r="AB320" s="76">
        <f t="shared" ca="1" si="29"/>
        <v>0</v>
      </c>
      <c r="AC320" s="75">
        <f t="shared" ca="1" si="25"/>
        <v>0</v>
      </c>
      <c r="AD320" s="76">
        <f t="shared" ca="1" si="30"/>
        <v>12388.425641203703</v>
      </c>
      <c r="AE320" s="76">
        <f t="shared" si="31"/>
        <v>0</v>
      </c>
      <c r="AF320" s="75">
        <f t="shared" si="26"/>
        <v>0</v>
      </c>
      <c r="AG320" s="75">
        <f t="shared" si="27"/>
        <v>0</v>
      </c>
      <c r="AH320" s="31" t="e" cm="1">
        <f t="array" aca="1" ref="AH320" ca="1">IF((AD320) &lt; (INDEX(ResponseSLA[#All],(MATCH((G320),ResponseSLA[Priority],0))+1,3)),"YES","No")</f>
        <v>#N/A</v>
      </c>
      <c r="AI320" s="31" t="str">
        <f>_xlfn.IFNA(IF(AE320 &lt; (INDEX(SLATable[Minimum SLA],MATCH(G320,SLATable[Priority],0))),"YES","NO"),"")</f>
        <v/>
      </c>
      <c r="AJ320" t="str">
        <f>_xlfn.IFNA(IF(AE320 &lt; (INDEX(SLATable[Maximum SLA],MATCH(G320,SLATable[Priority],0))),"YES","NO"),"")</f>
        <v/>
      </c>
    </row>
    <row r="321" spans="26:36" ht="15" customHeight="1">
      <c r="Z321" s="76" t="e">
        <f t="shared" ca="1" si="28"/>
        <v>#N/A</v>
      </c>
      <c r="AA321" s="75" t="e">
        <f t="shared" ref="AA321:AA384" ca="1" si="32">(Z321*24)/9</f>
        <v>#N/A</v>
      </c>
      <c r="AB321" s="76">
        <f t="shared" ca="1" si="29"/>
        <v>0</v>
      </c>
      <c r="AC321" s="75">
        <f t="shared" ref="AC321:AC384" ca="1" si="33">(AB321*24)/9</f>
        <v>0</v>
      </c>
      <c r="AD321" s="76">
        <f t="shared" ca="1" si="30"/>
        <v>12388.425641087964</v>
      </c>
      <c r="AE321" s="76">
        <f t="shared" si="31"/>
        <v>0</v>
      </c>
      <c r="AF321" s="75">
        <f t="shared" ref="AF321:AF384" si="34">(AE321*24)/9</f>
        <v>0</v>
      </c>
      <c r="AG321" s="75">
        <f t="shared" ref="AG321:AG384" si="35">AF321</f>
        <v>0</v>
      </c>
      <c r="AH321" s="31" t="e" cm="1">
        <f t="array" aca="1" ref="AH321" ca="1">IF((AD321) &lt; (INDEX(ResponseSLA[#All],(MATCH((G321),ResponseSLA[Priority],0))+1,3)),"YES","No")</f>
        <v>#N/A</v>
      </c>
      <c r="AI321" s="31" t="str">
        <f>_xlfn.IFNA(IF(AE321 &lt; (INDEX(SLATable[Minimum SLA],MATCH(G321,SLATable[Priority],0))),"YES","NO"),"")</f>
        <v/>
      </c>
      <c r="AJ321" t="str">
        <f>_xlfn.IFNA(IF(AE321 &lt; (INDEX(SLATable[Maximum SLA],MATCH(G321,SLATable[Priority],0))),"YES","NO"),"")</f>
        <v/>
      </c>
    </row>
    <row r="322" spans="26:36" ht="15" customHeight="1">
      <c r="Z322" s="76" t="e">
        <f t="shared" ca="1" si="28"/>
        <v>#N/A</v>
      </c>
      <c r="AA322" s="75" t="e">
        <f t="shared" ca="1" si="32"/>
        <v>#N/A</v>
      </c>
      <c r="AB322" s="76">
        <f t="shared" ca="1" si="29"/>
        <v>0</v>
      </c>
      <c r="AC322" s="75">
        <f t="shared" ca="1" si="33"/>
        <v>0</v>
      </c>
      <c r="AD322" s="76">
        <f t="shared" ca="1" si="30"/>
        <v>12388.425641087964</v>
      </c>
      <c r="AE322" s="76">
        <f t="shared" si="31"/>
        <v>0</v>
      </c>
      <c r="AF322" s="75">
        <f t="shared" si="34"/>
        <v>0</v>
      </c>
      <c r="AG322" s="75">
        <f t="shared" si="35"/>
        <v>0</v>
      </c>
      <c r="AH322" s="31" t="e" cm="1">
        <f t="array" aca="1" ref="AH322" ca="1">IF((AD322) &lt; (INDEX(ResponseSLA[#All],(MATCH((G322),ResponseSLA[Priority],0))+1,3)),"YES","No")</f>
        <v>#N/A</v>
      </c>
      <c r="AI322" s="31" t="str">
        <f>_xlfn.IFNA(IF(AE322 &lt; (INDEX(SLATable[Minimum SLA],MATCH(G322,SLATable[Priority],0))),"YES","NO"),"")</f>
        <v/>
      </c>
      <c r="AJ322" t="str">
        <f>_xlfn.IFNA(IF(AE322 &lt; (INDEX(SLATable[Maximum SLA],MATCH(G322,SLATable[Priority],0))),"YES","NO"),"")</f>
        <v/>
      </c>
    </row>
    <row r="323" spans="26:36" ht="15" customHeight="1">
      <c r="Z323" s="76" t="e">
        <f t="shared" ref="Z323:Z386" ca="1" si="36">IF(NOT(OR(G323=1,G323=2)),MAX(0,_xlfn.IFS(AND(K323&lt;&gt;"",N323&lt;&gt;""),((MAX(NETWORKDAYS(K323,N323,UKBankHolidays)-1,0))*(TIME(17,0,0)-TIME(8,0,0))+IF(NETWORKDAYS(N323,N323,UKBankHolidays)&gt;0,MEDIAN(TIME(8,0,0),MOD(N323,1),TIME(17,0,0)),TIME(8,0,0))-IF(NETWORKDAYS(K323,K323,UKBankHolidays)&gt;0,MEDIAN(TIME(8,0,0),MOD(K323,1),TIME(17,0,0)),TIME(8,0,0)))-IF(AND(O323&lt;&gt;"",P323&lt;&gt;""),((MAX(NETWORKDAYS(O323,P323,UKBankHolidays)-1,0))*(TIME(17,0,0)-TIME(8,0,0))+IF(NETWORKDAYS(P323,P323,UKBankHolidays)&gt;0,MEDIAN(TIME(8,0,0),MOD(P323,1),TIME(17,0,0)),TIME(8,0,0))-IF(NETWORKDAYS(O323,O323,UKBankHolidays)&gt;0,MEDIAN(TIME(8,0,0),MOD(O323,1),TIME(17,0,0)),TIME(8,0,0))),0),AND(K323&lt;&gt;"",N323=""),((MAX(NETWORKDAYS(K323,NOW(),UKBankHolidays)-1,0))*(TIME(17,0,0)-TIME(8,0,0))+IF(NETWORKDAYS(NOW(),NOW(),UKBankHolidays)&gt;0,MEDIAN(TIME(8,0,0),MOD(NOW(),1),TIME(17,0,0)),TIME(8,0,0))-IF(NETWORKDAYS(K323,K323,UKBankHolidays)&gt;0,MEDIAN(TIME(8,0,0),MOD(K323,1),TIME(17,0,0)),TIME(8,0,0))))),IF(N323="",NOW()-K323,N323-K323))</f>
        <v>#N/A</v>
      </c>
      <c r="AA323" s="75" t="e">
        <f t="shared" ca="1" si="32"/>
        <v>#N/A</v>
      </c>
      <c r="AB323" s="76">
        <f t="shared" ref="AB323:AB386" ca="1" si="37">IF(NOT(OR(G323=1,G323=2)),MAX(0,_xlfn.IFS(AND(K323&lt;&gt;"",N323&lt;&gt;""),(((MAX(NETWORKDAYS(L323,N323,UKBankHolidays)-1,0))*(TIME(17,0,0)-TIME(8,0,0)))+IF(NETWORKDAYS(N323,N323,UKBankHolidays)&gt;0,MEDIAN(TIME(8,0,0),MOD(N323,1),TIME(17,0,0)),TIME(8,0,0))-IF(NETWORKDAYS(L323,L323,UKBankHolidays)&gt;0,MEDIAN(TIME(8,0,0),MOD(L323,1),TIME(17,0,0)),TIME(8,0,0)))-IF(AND(O323&lt;&gt;"",P323&lt;&gt;""),(((MAX(NETWORKDAYS(O323,P323,UKBankHolidays)-1,0))*(TIME(17,0,0)-TIME(8,0,0)))+IF(NETWORKDAYS(P323,P323,UKBankHolidays)&gt;0,MEDIAN(TIME(8,0,0),MOD(P323,1),TIME(17,0,0)),TIME(8,0,0))-IF(NETWORKDAYS(O323,O323,UKBankHolidays)&gt;0,MEDIAN(TIME(8,0,0),MOD(O323,1),TIME(17,0,0)),TIME(8,0,0))),0),AND(L323&lt;&gt;"",N323="",O323=""),(((MAX(NETWORKDAYS(L323,NOW(),UKBankHolidays)-1,0))*(TIME(17,0,0)-TIME(8,0,0)))+IF(NETWORKDAYS(NOW(),NOW(),UKBankHolidays)&gt;0,MEDIAN(TIME(8,0,0),MOD(NOW(),1),TIME(17,0,0)),TIME(8,0,0))-IF(NETWORKDAYS(L323,L323,UKBankHolidays)&gt;0,MEDIAN(TIME(8,0,0),MOD(L323,1),TIME(17,0,0)),TIME(8,0,0)))-IF(AND(O323&lt;&gt;"",P323&lt;&gt;""),(((MAX(NETWORKDAYS(O323,P323,UKBankHolidays)-1,0))*(TIME(17,0,0)-TIME(8,0,0)))+IF(NETWORKDAYS(P323,P323,UKBankHolidays)&gt;0,MEDIAN(TIME(8,0,0),MOD(P323,1),TIME(17,0,0)),TIME(8,0,0))-IF(NETWORKDAYS(O323,O323,UKBankHolidays)&gt;0,MEDIAN(TIME(8,0,0),MOD(O323,1),TIME(17,0,0)),TIME(8,0,0))),0),AND(L323&lt;&gt;"",N323="",P323="",O323&lt;&gt;""),(((MAX(NETWORKDAYS(L323,O323,UKBankHolidays)-1,0))*(TIME(17,0,0)-TIME(8,0,0)))+IF(NETWORKDAYS(O323,O323,UKBankHolidays)&gt;0,MEDIAN(TIME(8,0,0),MOD(O323,1),TIME(17,0,0)),TIME(8,0,0))-IF(NETWORKDAYS(L323,L323,UKBankHolidays)&gt;0,MEDIAN(TIME(8,0,0),MOD(L323,1),TIME(17,0,0)),TIME(8,0,0))),ISBLANK(K323),"0")),IF(ISBLANK(N323),NOW()-L323,N323-L323))</f>
        <v>0</v>
      </c>
      <c r="AC323" s="75">
        <f t="shared" ca="1" si="33"/>
        <v>0</v>
      </c>
      <c r="AD323" s="76">
        <f t="shared" ref="AD323:AD386" ca="1" si="38">MAX(0,IF(NOT(OR(G323=1,G323=2)),IF(M323&lt;&gt;"",((MAX(NETWORKDAYS(L323,M323,UKBankHolidays)-1,0))*(TIME(17,0,0)-TIME(8,0,0))+IF(NETWORKDAYS(M323,M323,UKBankHolidays)&gt;0,MEDIAN(TIME(8,0,0),MOD(M323,1),TIME(17,0,0)),TIME(8,0,0))-MEDIAN(TIME(8,0,0),MOD(L323,1),TIME(17,0,0))),((MAX(NETWORKDAYS(L323,NOW(),UKBankHolidays)-1,0))*(TIME(17,0,0)-TIME(8,0,0))+IF(NETWORKDAYS(NOW(),NOW(),UKBankHolidays)&gt;0,MEDIAN(TIME(8,0,0),MOD(NOW(),1),TIME(17,0,0)),TIME(8,0,0))-MEDIAN(TIME(8,0,0),MOD(L323,1),TIME(17,0,0)))),IF(M323&lt;&gt;"",M323-L323,NOW()-L323)))</f>
        <v>12388.425641203703</v>
      </c>
      <c r="AE323" s="76">
        <f t="shared" ref="AE323:AE386" si="39">SUMIFS(AB:AB,E:E,E323)</f>
        <v>0</v>
      </c>
      <c r="AF323" s="75">
        <f t="shared" si="34"/>
        <v>0</v>
      </c>
      <c r="AG323" s="75">
        <f t="shared" si="35"/>
        <v>0</v>
      </c>
      <c r="AH323" s="31" t="e" cm="1">
        <f t="array" aca="1" ref="AH323" ca="1">IF((AD323) &lt; (INDEX(ResponseSLA[#All],(MATCH((G323),ResponseSLA[Priority],0))+1,3)),"YES","No")</f>
        <v>#N/A</v>
      </c>
      <c r="AI323" s="31" t="str">
        <f>_xlfn.IFNA(IF(AE323 &lt; (INDEX(SLATable[Minimum SLA],MATCH(G323,SLATable[Priority],0))),"YES","NO"),"")</f>
        <v/>
      </c>
      <c r="AJ323" t="str">
        <f>_xlfn.IFNA(IF(AE323 &lt; (INDEX(SLATable[Maximum SLA],MATCH(G323,SLATable[Priority],0))),"YES","NO"),"")</f>
        <v/>
      </c>
    </row>
    <row r="324" spans="26:36" ht="15" customHeight="1">
      <c r="Z324" s="76" t="e">
        <f t="shared" ca="1" si="36"/>
        <v>#N/A</v>
      </c>
      <c r="AA324" s="75" t="e">
        <f t="shared" ca="1" si="32"/>
        <v>#N/A</v>
      </c>
      <c r="AB324" s="76">
        <f t="shared" ca="1" si="37"/>
        <v>0</v>
      </c>
      <c r="AC324" s="75">
        <f t="shared" ca="1" si="33"/>
        <v>0</v>
      </c>
      <c r="AD324" s="76">
        <f t="shared" ca="1" si="38"/>
        <v>12388.425641087964</v>
      </c>
      <c r="AE324" s="76">
        <f t="shared" si="39"/>
        <v>0</v>
      </c>
      <c r="AF324" s="75">
        <f t="shared" si="34"/>
        <v>0</v>
      </c>
      <c r="AG324" s="75">
        <f t="shared" si="35"/>
        <v>0</v>
      </c>
      <c r="AH324" s="31" t="e" cm="1">
        <f t="array" aca="1" ref="AH324" ca="1">IF((AD324) &lt; (INDEX(ResponseSLA[#All],(MATCH((G324),ResponseSLA[Priority],0))+1,3)),"YES","No")</f>
        <v>#N/A</v>
      </c>
      <c r="AI324" s="31" t="str">
        <f>_xlfn.IFNA(IF(AE324 &lt; (INDEX(SLATable[Minimum SLA],MATCH(G324,SLATable[Priority],0))),"YES","NO"),"")</f>
        <v/>
      </c>
      <c r="AJ324" t="str">
        <f>_xlfn.IFNA(IF(AE324 &lt; (INDEX(SLATable[Maximum SLA],MATCH(G324,SLATable[Priority],0))),"YES","NO"),"")</f>
        <v/>
      </c>
    </row>
    <row r="325" spans="26:36" ht="15" customHeight="1">
      <c r="Z325" s="76" t="e">
        <f t="shared" ca="1" si="36"/>
        <v>#N/A</v>
      </c>
      <c r="AA325" s="75" t="e">
        <f t="shared" ca="1" si="32"/>
        <v>#N/A</v>
      </c>
      <c r="AB325" s="76">
        <f t="shared" ca="1" si="37"/>
        <v>0</v>
      </c>
      <c r="AC325" s="75">
        <f t="shared" ca="1" si="33"/>
        <v>0</v>
      </c>
      <c r="AD325" s="76">
        <f t="shared" ca="1" si="38"/>
        <v>12388.425641087964</v>
      </c>
      <c r="AE325" s="76">
        <f t="shared" si="39"/>
        <v>0</v>
      </c>
      <c r="AF325" s="75">
        <f t="shared" si="34"/>
        <v>0</v>
      </c>
      <c r="AG325" s="75">
        <f t="shared" si="35"/>
        <v>0</v>
      </c>
      <c r="AH325" s="31" t="e" cm="1">
        <f t="array" aca="1" ref="AH325" ca="1">IF((AD325) &lt; (INDEX(ResponseSLA[#All],(MATCH((G325),ResponseSLA[Priority],0))+1,3)),"YES","No")</f>
        <v>#N/A</v>
      </c>
      <c r="AI325" s="31" t="str">
        <f>_xlfn.IFNA(IF(AE325 &lt; (INDEX(SLATable[Minimum SLA],MATCH(G325,SLATable[Priority],0))),"YES","NO"),"")</f>
        <v/>
      </c>
      <c r="AJ325" t="str">
        <f>_xlfn.IFNA(IF(AE325 &lt; (INDEX(SLATable[Maximum SLA],MATCH(G325,SLATable[Priority],0))),"YES","NO"),"")</f>
        <v/>
      </c>
    </row>
    <row r="326" spans="26:36" ht="15" customHeight="1">
      <c r="Z326" s="76" t="e">
        <f t="shared" ca="1" si="36"/>
        <v>#N/A</v>
      </c>
      <c r="AA326" s="75" t="e">
        <f t="shared" ca="1" si="32"/>
        <v>#N/A</v>
      </c>
      <c r="AB326" s="76">
        <f t="shared" ca="1" si="37"/>
        <v>0</v>
      </c>
      <c r="AC326" s="75">
        <f t="shared" ca="1" si="33"/>
        <v>0</v>
      </c>
      <c r="AD326" s="76">
        <f t="shared" ca="1" si="38"/>
        <v>12388.425641203703</v>
      </c>
      <c r="AE326" s="76">
        <f t="shared" si="39"/>
        <v>0</v>
      </c>
      <c r="AF326" s="75">
        <f t="shared" si="34"/>
        <v>0</v>
      </c>
      <c r="AG326" s="75">
        <f t="shared" si="35"/>
        <v>0</v>
      </c>
      <c r="AH326" s="31" t="e" cm="1">
        <f t="array" aca="1" ref="AH326" ca="1">IF((AD326) &lt; (INDEX(ResponseSLA[#All],(MATCH((G326),ResponseSLA[Priority],0))+1,3)),"YES","No")</f>
        <v>#N/A</v>
      </c>
      <c r="AI326" s="31" t="str">
        <f>_xlfn.IFNA(IF(AE326 &lt; (INDEX(SLATable[Minimum SLA],MATCH(G326,SLATable[Priority],0))),"YES","NO"),"")</f>
        <v/>
      </c>
      <c r="AJ326" t="str">
        <f>_xlfn.IFNA(IF(AE326 &lt; (INDEX(SLATable[Maximum SLA],MATCH(G326,SLATable[Priority],0))),"YES","NO"),"")</f>
        <v/>
      </c>
    </row>
    <row r="327" spans="26:36" ht="15" customHeight="1">
      <c r="Z327" s="76" t="e">
        <f t="shared" ca="1" si="36"/>
        <v>#N/A</v>
      </c>
      <c r="AA327" s="75" t="e">
        <f t="shared" ca="1" si="32"/>
        <v>#N/A</v>
      </c>
      <c r="AB327" s="76">
        <f t="shared" ca="1" si="37"/>
        <v>0</v>
      </c>
      <c r="AC327" s="75">
        <f t="shared" ca="1" si="33"/>
        <v>0</v>
      </c>
      <c r="AD327" s="76">
        <f t="shared" ca="1" si="38"/>
        <v>12388.425641087964</v>
      </c>
      <c r="AE327" s="76">
        <f t="shared" si="39"/>
        <v>0</v>
      </c>
      <c r="AF327" s="75">
        <f t="shared" si="34"/>
        <v>0</v>
      </c>
      <c r="AG327" s="75">
        <f t="shared" si="35"/>
        <v>0</v>
      </c>
      <c r="AH327" s="31" t="e" cm="1">
        <f t="array" aca="1" ref="AH327" ca="1">IF((AD327) &lt; (INDEX(ResponseSLA[#All],(MATCH((G327),ResponseSLA[Priority],0))+1,3)),"YES","No")</f>
        <v>#N/A</v>
      </c>
      <c r="AI327" s="31" t="str">
        <f>_xlfn.IFNA(IF(AE327 &lt; (INDEX(SLATable[Minimum SLA],MATCH(G327,SLATable[Priority],0))),"YES","NO"),"")</f>
        <v/>
      </c>
      <c r="AJ327" t="str">
        <f>_xlfn.IFNA(IF(AE327 &lt; (INDEX(SLATable[Maximum SLA],MATCH(G327,SLATable[Priority],0))),"YES","NO"),"")</f>
        <v/>
      </c>
    </row>
    <row r="328" spans="26:36" ht="15" customHeight="1">
      <c r="Z328" s="76" t="e">
        <f t="shared" ca="1" si="36"/>
        <v>#N/A</v>
      </c>
      <c r="AA328" s="75" t="e">
        <f t="shared" ca="1" si="32"/>
        <v>#N/A</v>
      </c>
      <c r="AB328" s="76">
        <f t="shared" ca="1" si="37"/>
        <v>0</v>
      </c>
      <c r="AC328" s="75">
        <f t="shared" ca="1" si="33"/>
        <v>0</v>
      </c>
      <c r="AD328" s="76">
        <f t="shared" ca="1" si="38"/>
        <v>12388.425641087964</v>
      </c>
      <c r="AE328" s="76">
        <f t="shared" si="39"/>
        <v>0</v>
      </c>
      <c r="AF328" s="75">
        <f t="shared" si="34"/>
        <v>0</v>
      </c>
      <c r="AG328" s="75">
        <f t="shared" si="35"/>
        <v>0</v>
      </c>
      <c r="AH328" s="31" t="e" cm="1">
        <f t="array" aca="1" ref="AH328" ca="1">IF((AD328) &lt; (INDEX(ResponseSLA[#All],(MATCH((G328),ResponseSLA[Priority],0))+1,3)),"YES","No")</f>
        <v>#N/A</v>
      </c>
      <c r="AI328" s="31" t="str">
        <f>_xlfn.IFNA(IF(AE328 &lt; (INDEX(SLATable[Minimum SLA],MATCH(G328,SLATable[Priority],0))),"YES","NO"),"")</f>
        <v/>
      </c>
      <c r="AJ328" t="str">
        <f>_xlfn.IFNA(IF(AE328 &lt; (INDEX(SLATable[Maximum SLA],MATCH(G328,SLATable[Priority],0))),"YES","NO"),"")</f>
        <v/>
      </c>
    </row>
    <row r="329" spans="26:36" ht="15" customHeight="1">
      <c r="Z329" s="76" t="e">
        <f t="shared" ca="1" si="36"/>
        <v>#N/A</v>
      </c>
      <c r="AA329" s="75" t="e">
        <f t="shared" ca="1" si="32"/>
        <v>#N/A</v>
      </c>
      <c r="AB329" s="76">
        <f t="shared" ca="1" si="37"/>
        <v>0</v>
      </c>
      <c r="AC329" s="75">
        <f t="shared" ca="1" si="33"/>
        <v>0</v>
      </c>
      <c r="AD329" s="76">
        <f t="shared" ca="1" si="38"/>
        <v>12388.425641203703</v>
      </c>
      <c r="AE329" s="76">
        <f t="shared" si="39"/>
        <v>0</v>
      </c>
      <c r="AF329" s="75">
        <f t="shared" si="34"/>
        <v>0</v>
      </c>
      <c r="AG329" s="75">
        <f t="shared" si="35"/>
        <v>0</v>
      </c>
      <c r="AH329" s="31" t="e" cm="1">
        <f t="array" aca="1" ref="AH329" ca="1">IF((AD329) &lt; (INDEX(ResponseSLA[#All],(MATCH((G329),ResponseSLA[Priority],0))+1,3)),"YES","No")</f>
        <v>#N/A</v>
      </c>
      <c r="AI329" s="31" t="str">
        <f>_xlfn.IFNA(IF(AE329 &lt; (INDEX(SLATable[Minimum SLA],MATCH(G329,SLATable[Priority],0))),"YES","NO"),"")</f>
        <v/>
      </c>
      <c r="AJ329" t="str">
        <f>_xlfn.IFNA(IF(AE329 &lt; (INDEX(SLATable[Maximum SLA],MATCH(G329,SLATable[Priority],0))),"YES","NO"),"")</f>
        <v/>
      </c>
    </row>
    <row r="330" spans="26:36" ht="15" customHeight="1">
      <c r="Z330" s="76" t="e">
        <f t="shared" ca="1" si="36"/>
        <v>#N/A</v>
      </c>
      <c r="AA330" s="75" t="e">
        <f t="shared" ca="1" si="32"/>
        <v>#N/A</v>
      </c>
      <c r="AB330" s="76">
        <f t="shared" ca="1" si="37"/>
        <v>0</v>
      </c>
      <c r="AC330" s="75">
        <f t="shared" ca="1" si="33"/>
        <v>0</v>
      </c>
      <c r="AD330" s="76">
        <f t="shared" ca="1" si="38"/>
        <v>12388.425641087964</v>
      </c>
      <c r="AE330" s="76">
        <f t="shared" si="39"/>
        <v>0</v>
      </c>
      <c r="AF330" s="75">
        <f t="shared" si="34"/>
        <v>0</v>
      </c>
      <c r="AG330" s="75">
        <f t="shared" si="35"/>
        <v>0</v>
      </c>
      <c r="AH330" s="31" t="e" cm="1">
        <f t="array" aca="1" ref="AH330" ca="1">IF((AD330) &lt; (INDEX(ResponseSLA[#All],(MATCH((G330),ResponseSLA[Priority],0))+1,3)),"YES","No")</f>
        <v>#N/A</v>
      </c>
      <c r="AI330" s="31" t="str">
        <f>_xlfn.IFNA(IF(AE330 &lt; (INDEX(SLATable[Minimum SLA],MATCH(G330,SLATable[Priority],0))),"YES","NO"),"")</f>
        <v/>
      </c>
      <c r="AJ330" t="str">
        <f>_xlfn.IFNA(IF(AE330 &lt; (INDEX(SLATable[Maximum SLA],MATCH(G330,SLATable[Priority],0))),"YES","NO"),"")</f>
        <v/>
      </c>
    </row>
    <row r="331" spans="26:36" ht="15" customHeight="1">
      <c r="Z331" s="76" t="e">
        <f t="shared" ca="1" si="36"/>
        <v>#N/A</v>
      </c>
      <c r="AA331" s="75" t="e">
        <f t="shared" ca="1" si="32"/>
        <v>#N/A</v>
      </c>
      <c r="AB331" s="76">
        <f t="shared" ca="1" si="37"/>
        <v>0</v>
      </c>
      <c r="AC331" s="75">
        <f t="shared" ca="1" si="33"/>
        <v>0</v>
      </c>
      <c r="AD331" s="76">
        <f t="shared" ca="1" si="38"/>
        <v>12388.425641087964</v>
      </c>
      <c r="AE331" s="76">
        <f t="shared" si="39"/>
        <v>0</v>
      </c>
      <c r="AF331" s="75">
        <f t="shared" si="34"/>
        <v>0</v>
      </c>
      <c r="AG331" s="75">
        <f t="shared" si="35"/>
        <v>0</v>
      </c>
      <c r="AH331" s="31" t="e" cm="1">
        <f t="array" aca="1" ref="AH331" ca="1">IF((AD331) &lt; (INDEX(ResponseSLA[#All],(MATCH((G331),ResponseSLA[Priority],0))+1,3)),"YES","No")</f>
        <v>#N/A</v>
      </c>
      <c r="AI331" s="31" t="str">
        <f>_xlfn.IFNA(IF(AE331 &lt; (INDEX(SLATable[Minimum SLA],MATCH(G331,SLATable[Priority],0))),"YES","NO"),"")</f>
        <v/>
      </c>
      <c r="AJ331" t="str">
        <f>_xlfn.IFNA(IF(AE331 &lt; (INDEX(SLATable[Maximum SLA],MATCH(G331,SLATable[Priority],0))),"YES","NO"),"")</f>
        <v/>
      </c>
    </row>
    <row r="332" spans="26:36" ht="15" customHeight="1">
      <c r="Z332" s="76" t="e">
        <f t="shared" ca="1" si="36"/>
        <v>#N/A</v>
      </c>
      <c r="AA332" s="75" t="e">
        <f t="shared" ca="1" si="32"/>
        <v>#N/A</v>
      </c>
      <c r="AB332" s="76">
        <f t="shared" ca="1" si="37"/>
        <v>0</v>
      </c>
      <c r="AC332" s="75">
        <f t="shared" ca="1" si="33"/>
        <v>0</v>
      </c>
      <c r="AD332" s="76">
        <f t="shared" ca="1" si="38"/>
        <v>12388.425641203703</v>
      </c>
      <c r="AE332" s="76">
        <f t="shared" si="39"/>
        <v>0</v>
      </c>
      <c r="AF332" s="75">
        <f t="shared" si="34"/>
        <v>0</v>
      </c>
      <c r="AG332" s="75">
        <f t="shared" si="35"/>
        <v>0</v>
      </c>
      <c r="AH332" s="31" t="e" cm="1">
        <f t="array" aca="1" ref="AH332" ca="1">IF((AD332) &lt; (INDEX(ResponseSLA[#All],(MATCH((G332),ResponseSLA[Priority],0))+1,3)),"YES","No")</f>
        <v>#N/A</v>
      </c>
      <c r="AI332" s="31" t="str">
        <f>_xlfn.IFNA(IF(AE332 &lt; (INDEX(SLATable[Minimum SLA],MATCH(G332,SLATable[Priority],0))),"YES","NO"),"")</f>
        <v/>
      </c>
      <c r="AJ332" t="str">
        <f>_xlfn.IFNA(IF(AE332 &lt; (INDEX(SLATable[Maximum SLA],MATCH(G332,SLATable[Priority],0))),"YES","NO"),"")</f>
        <v/>
      </c>
    </row>
    <row r="333" spans="26:36" ht="15" customHeight="1">
      <c r="Z333" s="76" t="e">
        <f t="shared" ca="1" si="36"/>
        <v>#N/A</v>
      </c>
      <c r="AA333" s="75" t="e">
        <f t="shared" ca="1" si="32"/>
        <v>#N/A</v>
      </c>
      <c r="AB333" s="76">
        <f t="shared" ca="1" si="37"/>
        <v>0</v>
      </c>
      <c r="AC333" s="75">
        <f t="shared" ca="1" si="33"/>
        <v>0</v>
      </c>
      <c r="AD333" s="76">
        <f t="shared" ca="1" si="38"/>
        <v>12388.425641087964</v>
      </c>
      <c r="AE333" s="76">
        <f t="shared" si="39"/>
        <v>0</v>
      </c>
      <c r="AF333" s="75">
        <f t="shared" si="34"/>
        <v>0</v>
      </c>
      <c r="AG333" s="75">
        <f t="shared" si="35"/>
        <v>0</v>
      </c>
      <c r="AH333" s="31" t="e" cm="1">
        <f t="array" aca="1" ref="AH333" ca="1">IF((AD333) &lt; (INDEX(ResponseSLA[#All],(MATCH((G333),ResponseSLA[Priority],0))+1,3)),"YES","No")</f>
        <v>#N/A</v>
      </c>
      <c r="AI333" s="31" t="str">
        <f>_xlfn.IFNA(IF(AE333 &lt; (INDEX(SLATable[Minimum SLA],MATCH(G333,SLATable[Priority],0))),"YES","NO"),"")</f>
        <v/>
      </c>
      <c r="AJ333" t="str">
        <f>_xlfn.IFNA(IF(AE333 &lt; (INDEX(SLATable[Maximum SLA],MATCH(G333,SLATable[Priority],0))),"YES","NO"),"")</f>
        <v/>
      </c>
    </row>
    <row r="334" spans="26:36" ht="15" customHeight="1">
      <c r="Z334" s="76" t="e">
        <f t="shared" ca="1" si="36"/>
        <v>#N/A</v>
      </c>
      <c r="AA334" s="75" t="e">
        <f t="shared" ca="1" si="32"/>
        <v>#N/A</v>
      </c>
      <c r="AB334" s="76">
        <f t="shared" ca="1" si="37"/>
        <v>0</v>
      </c>
      <c r="AC334" s="75">
        <f t="shared" ca="1" si="33"/>
        <v>0</v>
      </c>
      <c r="AD334" s="76">
        <f t="shared" ca="1" si="38"/>
        <v>12388.425641087964</v>
      </c>
      <c r="AE334" s="76">
        <f t="shared" si="39"/>
        <v>0</v>
      </c>
      <c r="AF334" s="75">
        <f t="shared" si="34"/>
        <v>0</v>
      </c>
      <c r="AG334" s="75">
        <f t="shared" si="35"/>
        <v>0</v>
      </c>
      <c r="AH334" s="31" t="e" cm="1">
        <f t="array" aca="1" ref="AH334" ca="1">IF((AD334) &lt; (INDEX(ResponseSLA[#All],(MATCH((G334),ResponseSLA[Priority],0))+1,3)),"YES","No")</f>
        <v>#N/A</v>
      </c>
      <c r="AI334" s="31" t="str">
        <f>_xlfn.IFNA(IF(AE334 &lt; (INDEX(SLATable[Minimum SLA],MATCH(G334,SLATable[Priority],0))),"YES","NO"),"")</f>
        <v/>
      </c>
      <c r="AJ334" t="str">
        <f>_xlfn.IFNA(IF(AE334 &lt; (INDEX(SLATable[Maximum SLA],MATCH(G334,SLATable[Priority],0))),"YES","NO"),"")</f>
        <v/>
      </c>
    </row>
    <row r="335" spans="26:36" ht="15" customHeight="1">
      <c r="Z335" s="76" t="e">
        <f t="shared" ca="1" si="36"/>
        <v>#N/A</v>
      </c>
      <c r="AA335" s="75" t="e">
        <f t="shared" ca="1" si="32"/>
        <v>#N/A</v>
      </c>
      <c r="AB335" s="76">
        <f t="shared" ca="1" si="37"/>
        <v>0</v>
      </c>
      <c r="AC335" s="75">
        <f t="shared" ca="1" si="33"/>
        <v>0</v>
      </c>
      <c r="AD335" s="76">
        <f t="shared" ca="1" si="38"/>
        <v>12388.425641203703</v>
      </c>
      <c r="AE335" s="76">
        <f t="shared" si="39"/>
        <v>0</v>
      </c>
      <c r="AF335" s="75">
        <f t="shared" si="34"/>
        <v>0</v>
      </c>
      <c r="AG335" s="75">
        <f t="shared" si="35"/>
        <v>0</v>
      </c>
      <c r="AH335" s="31" t="e" cm="1">
        <f t="array" aca="1" ref="AH335" ca="1">IF((AD335) &lt; (INDEX(ResponseSLA[#All],(MATCH((G335),ResponseSLA[Priority],0))+1,3)),"YES","No")</f>
        <v>#N/A</v>
      </c>
      <c r="AI335" s="31" t="str">
        <f>_xlfn.IFNA(IF(AE335 &lt; (INDEX(SLATable[Minimum SLA],MATCH(G335,SLATable[Priority],0))),"YES","NO"),"")</f>
        <v/>
      </c>
      <c r="AJ335" t="str">
        <f>_xlfn.IFNA(IF(AE335 &lt; (INDEX(SLATable[Maximum SLA],MATCH(G335,SLATable[Priority],0))),"YES","NO"),"")</f>
        <v/>
      </c>
    </row>
    <row r="336" spans="26:36" ht="15" customHeight="1">
      <c r="Z336" s="76" t="e">
        <f t="shared" ca="1" si="36"/>
        <v>#N/A</v>
      </c>
      <c r="AA336" s="75" t="e">
        <f t="shared" ca="1" si="32"/>
        <v>#N/A</v>
      </c>
      <c r="AB336" s="76">
        <f t="shared" ca="1" si="37"/>
        <v>0</v>
      </c>
      <c r="AC336" s="75">
        <f t="shared" ca="1" si="33"/>
        <v>0</v>
      </c>
      <c r="AD336" s="76">
        <f t="shared" ca="1" si="38"/>
        <v>12388.425641087964</v>
      </c>
      <c r="AE336" s="76">
        <f t="shared" si="39"/>
        <v>0</v>
      </c>
      <c r="AF336" s="75">
        <f t="shared" si="34"/>
        <v>0</v>
      </c>
      <c r="AG336" s="75">
        <f t="shared" si="35"/>
        <v>0</v>
      </c>
      <c r="AH336" s="31" t="e" cm="1">
        <f t="array" aca="1" ref="AH336" ca="1">IF((AD336) &lt; (INDEX(ResponseSLA[#All],(MATCH((G336),ResponseSLA[Priority],0))+1,3)),"YES","No")</f>
        <v>#N/A</v>
      </c>
      <c r="AI336" s="31" t="str">
        <f>_xlfn.IFNA(IF(AE336 &lt; (INDEX(SLATable[Minimum SLA],MATCH(G336,SLATable[Priority],0))),"YES","NO"),"")</f>
        <v/>
      </c>
      <c r="AJ336" t="str">
        <f>_xlfn.IFNA(IF(AE336 &lt; (INDEX(SLATable[Maximum SLA],MATCH(G336,SLATable[Priority],0))),"YES","NO"),"")</f>
        <v/>
      </c>
    </row>
    <row r="337" spans="26:36" ht="15" customHeight="1">
      <c r="Z337" s="76" t="e">
        <f t="shared" ca="1" si="36"/>
        <v>#N/A</v>
      </c>
      <c r="AA337" s="75" t="e">
        <f t="shared" ca="1" si="32"/>
        <v>#N/A</v>
      </c>
      <c r="AB337" s="76">
        <f t="shared" ca="1" si="37"/>
        <v>0</v>
      </c>
      <c r="AC337" s="75">
        <f t="shared" ca="1" si="33"/>
        <v>0</v>
      </c>
      <c r="AD337" s="76">
        <f t="shared" ca="1" si="38"/>
        <v>12388.425641203703</v>
      </c>
      <c r="AE337" s="76">
        <f t="shared" si="39"/>
        <v>0</v>
      </c>
      <c r="AF337" s="75">
        <f t="shared" si="34"/>
        <v>0</v>
      </c>
      <c r="AG337" s="75">
        <f t="shared" si="35"/>
        <v>0</v>
      </c>
      <c r="AH337" s="31" t="e" cm="1">
        <f t="array" aca="1" ref="AH337" ca="1">IF((AD337) &lt; (INDEX(ResponseSLA[#All],(MATCH((G337),ResponseSLA[Priority],0))+1,3)),"YES","No")</f>
        <v>#N/A</v>
      </c>
      <c r="AI337" s="31" t="str">
        <f>_xlfn.IFNA(IF(AE337 &lt; (INDEX(SLATable[Minimum SLA],MATCH(G337,SLATable[Priority],0))),"YES","NO"),"")</f>
        <v/>
      </c>
      <c r="AJ337" t="str">
        <f>_xlfn.IFNA(IF(AE337 &lt; (INDEX(SLATable[Maximum SLA],MATCH(G337,SLATable[Priority],0))),"YES","NO"),"")</f>
        <v/>
      </c>
    </row>
    <row r="338" spans="26:36" ht="15" customHeight="1">
      <c r="Z338" s="76" t="e">
        <f t="shared" ca="1" si="36"/>
        <v>#N/A</v>
      </c>
      <c r="AA338" s="75" t="e">
        <f t="shared" ca="1" si="32"/>
        <v>#N/A</v>
      </c>
      <c r="AB338" s="76">
        <f t="shared" ca="1" si="37"/>
        <v>0</v>
      </c>
      <c r="AC338" s="75">
        <f t="shared" ca="1" si="33"/>
        <v>0</v>
      </c>
      <c r="AD338" s="76">
        <f t="shared" ca="1" si="38"/>
        <v>12388.425641203703</v>
      </c>
      <c r="AE338" s="76">
        <f t="shared" si="39"/>
        <v>0</v>
      </c>
      <c r="AF338" s="75">
        <f t="shared" si="34"/>
        <v>0</v>
      </c>
      <c r="AG338" s="75">
        <f t="shared" si="35"/>
        <v>0</v>
      </c>
      <c r="AH338" s="31" t="e" cm="1">
        <f t="array" aca="1" ref="AH338" ca="1">IF((AD338) &lt; (INDEX(ResponseSLA[#All],(MATCH((G338),ResponseSLA[Priority],0))+1,3)),"YES","No")</f>
        <v>#N/A</v>
      </c>
      <c r="AI338" s="31" t="str">
        <f>_xlfn.IFNA(IF(AE338 &lt; (INDEX(SLATable[Minimum SLA],MATCH(G338,SLATable[Priority],0))),"YES","NO"),"")</f>
        <v/>
      </c>
      <c r="AJ338" t="str">
        <f>_xlfn.IFNA(IF(AE338 &lt; (INDEX(SLATable[Maximum SLA],MATCH(G338,SLATable[Priority],0))),"YES","NO"),"")</f>
        <v/>
      </c>
    </row>
    <row r="339" spans="26:36" ht="15" customHeight="1">
      <c r="Z339" s="76" t="e">
        <f t="shared" ca="1" si="36"/>
        <v>#N/A</v>
      </c>
      <c r="AA339" s="75" t="e">
        <f t="shared" ca="1" si="32"/>
        <v>#N/A</v>
      </c>
      <c r="AB339" s="76">
        <f t="shared" ca="1" si="37"/>
        <v>0</v>
      </c>
      <c r="AC339" s="75">
        <f t="shared" ca="1" si="33"/>
        <v>0</v>
      </c>
      <c r="AD339" s="76">
        <f t="shared" ca="1" si="38"/>
        <v>12388.425641087964</v>
      </c>
      <c r="AE339" s="76">
        <f t="shared" si="39"/>
        <v>0</v>
      </c>
      <c r="AF339" s="75">
        <f t="shared" si="34"/>
        <v>0</v>
      </c>
      <c r="AG339" s="75">
        <f t="shared" si="35"/>
        <v>0</v>
      </c>
      <c r="AH339" s="31" t="e" cm="1">
        <f t="array" aca="1" ref="AH339" ca="1">IF((AD339) &lt; (INDEX(ResponseSLA[#All],(MATCH((G339),ResponseSLA[Priority],0))+1,3)),"YES","No")</f>
        <v>#N/A</v>
      </c>
      <c r="AI339" s="31" t="str">
        <f>_xlfn.IFNA(IF(AE339 &lt; (INDEX(SLATable[Minimum SLA],MATCH(G339,SLATable[Priority],0))),"YES","NO"),"")</f>
        <v/>
      </c>
      <c r="AJ339" t="str">
        <f>_xlfn.IFNA(IF(AE339 &lt; (INDEX(SLATable[Maximum SLA],MATCH(G339,SLATable[Priority],0))),"YES","NO"),"")</f>
        <v/>
      </c>
    </row>
    <row r="340" spans="26:36" ht="15" customHeight="1">
      <c r="Z340" s="76" t="e">
        <f t="shared" ca="1" si="36"/>
        <v>#N/A</v>
      </c>
      <c r="AA340" s="75" t="e">
        <f t="shared" ca="1" si="32"/>
        <v>#N/A</v>
      </c>
      <c r="AB340" s="76">
        <f t="shared" ca="1" si="37"/>
        <v>0</v>
      </c>
      <c r="AC340" s="75">
        <f t="shared" ca="1" si="33"/>
        <v>0</v>
      </c>
      <c r="AD340" s="76">
        <f t="shared" ca="1" si="38"/>
        <v>12388.425641203703</v>
      </c>
      <c r="AE340" s="76">
        <f t="shared" si="39"/>
        <v>0</v>
      </c>
      <c r="AF340" s="75">
        <f t="shared" si="34"/>
        <v>0</v>
      </c>
      <c r="AG340" s="75">
        <f t="shared" si="35"/>
        <v>0</v>
      </c>
      <c r="AH340" s="31" t="e" cm="1">
        <f t="array" aca="1" ref="AH340" ca="1">IF((AD340) &lt; (INDEX(ResponseSLA[#All],(MATCH((G340),ResponseSLA[Priority],0))+1,3)),"YES","No")</f>
        <v>#N/A</v>
      </c>
      <c r="AI340" s="31" t="str">
        <f>_xlfn.IFNA(IF(AE340 &lt; (INDEX(SLATable[Minimum SLA],MATCH(G340,SLATable[Priority],0))),"YES","NO"),"")</f>
        <v/>
      </c>
      <c r="AJ340" t="str">
        <f>_xlfn.IFNA(IF(AE340 &lt; (INDEX(SLATable[Maximum SLA],MATCH(G340,SLATable[Priority],0))),"YES","NO"),"")</f>
        <v/>
      </c>
    </row>
    <row r="341" spans="26:36" ht="15" customHeight="1">
      <c r="Z341" s="76" t="e">
        <f t="shared" ca="1" si="36"/>
        <v>#N/A</v>
      </c>
      <c r="AA341" s="75" t="e">
        <f t="shared" ca="1" si="32"/>
        <v>#N/A</v>
      </c>
      <c r="AB341" s="76">
        <f t="shared" ca="1" si="37"/>
        <v>0</v>
      </c>
      <c r="AC341" s="75">
        <f t="shared" ca="1" si="33"/>
        <v>0</v>
      </c>
      <c r="AD341" s="76">
        <f t="shared" ca="1" si="38"/>
        <v>12388.425641203703</v>
      </c>
      <c r="AE341" s="76">
        <f t="shared" si="39"/>
        <v>0</v>
      </c>
      <c r="AF341" s="75">
        <f t="shared" si="34"/>
        <v>0</v>
      </c>
      <c r="AG341" s="75">
        <f t="shared" si="35"/>
        <v>0</v>
      </c>
      <c r="AH341" s="31" t="e" cm="1">
        <f t="array" aca="1" ref="AH341" ca="1">IF((AD341) &lt; (INDEX(ResponseSLA[#All],(MATCH((G341),ResponseSLA[Priority],0))+1,3)),"YES","No")</f>
        <v>#N/A</v>
      </c>
      <c r="AI341" s="31" t="str">
        <f>_xlfn.IFNA(IF(AE341 &lt; (INDEX(SLATable[Minimum SLA],MATCH(G341,SLATable[Priority],0))),"YES","NO"),"")</f>
        <v/>
      </c>
      <c r="AJ341" t="str">
        <f>_xlfn.IFNA(IF(AE341 &lt; (INDEX(SLATable[Maximum SLA],MATCH(G341,SLATable[Priority],0))),"YES","NO"),"")</f>
        <v/>
      </c>
    </row>
    <row r="342" spans="26:36" ht="15" customHeight="1">
      <c r="Z342" s="76" t="e">
        <f t="shared" ca="1" si="36"/>
        <v>#N/A</v>
      </c>
      <c r="AA342" s="75" t="e">
        <f t="shared" ca="1" si="32"/>
        <v>#N/A</v>
      </c>
      <c r="AB342" s="76">
        <f t="shared" ca="1" si="37"/>
        <v>0</v>
      </c>
      <c r="AC342" s="75">
        <f t="shared" ca="1" si="33"/>
        <v>0</v>
      </c>
      <c r="AD342" s="76">
        <f t="shared" ca="1" si="38"/>
        <v>12388.425641087964</v>
      </c>
      <c r="AE342" s="76">
        <f t="shared" si="39"/>
        <v>0</v>
      </c>
      <c r="AF342" s="75">
        <f t="shared" si="34"/>
        <v>0</v>
      </c>
      <c r="AG342" s="75">
        <f t="shared" si="35"/>
        <v>0</v>
      </c>
      <c r="AH342" s="31" t="e" cm="1">
        <f t="array" aca="1" ref="AH342" ca="1">IF((AD342) &lt; (INDEX(ResponseSLA[#All],(MATCH((G342),ResponseSLA[Priority],0))+1,3)),"YES","No")</f>
        <v>#N/A</v>
      </c>
      <c r="AI342" s="31" t="str">
        <f>_xlfn.IFNA(IF(AE342 &lt; (INDEX(SLATable[Minimum SLA],MATCH(G342,SLATable[Priority],0))),"YES","NO"),"")</f>
        <v/>
      </c>
      <c r="AJ342" t="str">
        <f>_xlfn.IFNA(IF(AE342 &lt; (INDEX(SLATable[Maximum SLA],MATCH(G342,SLATable[Priority],0))),"YES","NO"),"")</f>
        <v/>
      </c>
    </row>
    <row r="343" spans="26:36" ht="15" customHeight="1">
      <c r="Z343" s="76" t="e">
        <f t="shared" ca="1" si="36"/>
        <v>#N/A</v>
      </c>
      <c r="AA343" s="75" t="e">
        <f t="shared" ca="1" si="32"/>
        <v>#N/A</v>
      </c>
      <c r="AB343" s="76">
        <f t="shared" ca="1" si="37"/>
        <v>0</v>
      </c>
      <c r="AC343" s="75">
        <f t="shared" ca="1" si="33"/>
        <v>0</v>
      </c>
      <c r="AD343" s="76">
        <f t="shared" ca="1" si="38"/>
        <v>12388.425641203703</v>
      </c>
      <c r="AE343" s="76">
        <f t="shared" si="39"/>
        <v>0</v>
      </c>
      <c r="AF343" s="75">
        <f t="shared" si="34"/>
        <v>0</v>
      </c>
      <c r="AG343" s="75">
        <f t="shared" si="35"/>
        <v>0</v>
      </c>
      <c r="AH343" s="31" t="e" cm="1">
        <f t="array" aca="1" ref="AH343" ca="1">IF((AD343) &lt; (INDEX(ResponseSLA[#All],(MATCH((G343),ResponseSLA[Priority],0))+1,3)),"YES","No")</f>
        <v>#N/A</v>
      </c>
      <c r="AI343" s="31" t="str">
        <f>_xlfn.IFNA(IF(AE343 &lt; (INDEX(SLATable[Minimum SLA],MATCH(G343,SLATable[Priority],0))),"YES","NO"),"")</f>
        <v/>
      </c>
      <c r="AJ343" t="str">
        <f>_xlfn.IFNA(IF(AE343 &lt; (INDEX(SLATable[Maximum SLA],MATCH(G343,SLATable[Priority],0))),"YES","NO"),"")</f>
        <v/>
      </c>
    </row>
    <row r="344" spans="26:36" ht="15" customHeight="1">
      <c r="Z344" s="76" t="e">
        <f t="shared" ca="1" si="36"/>
        <v>#N/A</v>
      </c>
      <c r="AA344" s="75" t="e">
        <f t="shared" ca="1" si="32"/>
        <v>#N/A</v>
      </c>
      <c r="AB344" s="76">
        <f t="shared" ca="1" si="37"/>
        <v>0</v>
      </c>
      <c r="AC344" s="75">
        <f t="shared" ca="1" si="33"/>
        <v>0</v>
      </c>
      <c r="AD344" s="76">
        <f t="shared" ca="1" si="38"/>
        <v>12388.425641203703</v>
      </c>
      <c r="AE344" s="76">
        <f t="shared" si="39"/>
        <v>0</v>
      </c>
      <c r="AF344" s="75">
        <f t="shared" si="34"/>
        <v>0</v>
      </c>
      <c r="AG344" s="75">
        <f t="shared" si="35"/>
        <v>0</v>
      </c>
      <c r="AH344" s="31" t="e" cm="1">
        <f t="array" aca="1" ref="AH344" ca="1">IF((AD344) &lt; (INDEX(ResponseSLA[#All],(MATCH((G344),ResponseSLA[Priority],0))+1,3)),"YES","No")</f>
        <v>#N/A</v>
      </c>
      <c r="AI344" s="31" t="str">
        <f>_xlfn.IFNA(IF(AE344 &lt; (INDEX(SLATable[Minimum SLA],MATCH(G344,SLATable[Priority],0))),"YES","NO"),"")</f>
        <v/>
      </c>
      <c r="AJ344" t="str">
        <f>_xlfn.IFNA(IF(AE344 &lt; (INDEX(SLATable[Maximum SLA],MATCH(G344,SLATable[Priority],0))),"YES","NO"),"")</f>
        <v/>
      </c>
    </row>
    <row r="345" spans="26:36" ht="15" customHeight="1">
      <c r="Z345" s="76" t="e">
        <f t="shared" ca="1" si="36"/>
        <v>#N/A</v>
      </c>
      <c r="AA345" s="75" t="e">
        <f t="shared" ca="1" si="32"/>
        <v>#N/A</v>
      </c>
      <c r="AB345" s="76">
        <f t="shared" ca="1" si="37"/>
        <v>0</v>
      </c>
      <c r="AC345" s="75">
        <f t="shared" ca="1" si="33"/>
        <v>0</v>
      </c>
      <c r="AD345" s="76">
        <f t="shared" ca="1" si="38"/>
        <v>12388.425641087964</v>
      </c>
      <c r="AE345" s="76">
        <f t="shared" si="39"/>
        <v>0</v>
      </c>
      <c r="AF345" s="75">
        <f t="shared" si="34"/>
        <v>0</v>
      </c>
      <c r="AG345" s="75">
        <f t="shared" si="35"/>
        <v>0</v>
      </c>
      <c r="AH345" s="31" t="e" cm="1">
        <f t="array" aca="1" ref="AH345" ca="1">IF((AD345) &lt; (INDEX(ResponseSLA[#All],(MATCH((G345),ResponseSLA[Priority],0))+1,3)),"YES","No")</f>
        <v>#N/A</v>
      </c>
      <c r="AI345" s="31" t="str">
        <f>_xlfn.IFNA(IF(AE345 &lt; (INDEX(SLATable[Minimum SLA],MATCH(G345,SLATable[Priority],0))),"YES","NO"),"")</f>
        <v/>
      </c>
      <c r="AJ345" t="str">
        <f>_xlfn.IFNA(IF(AE345 &lt; (INDEX(SLATable[Maximum SLA],MATCH(G345,SLATable[Priority],0))),"YES","NO"),"")</f>
        <v/>
      </c>
    </row>
    <row r="346" spans="26:36" ht="15" customHeight="1">
      <c r="Z346" s="76" t="e">
        <f t="shared" ca="1" si="36"/>
        <v>#N/A</v>
      </c>
      <c r="AA346" s="75" t="e">
        <f t="shared" ca="1" si="32"/>
        <v>#N/A</v>
      </c>
      <c r="AB346" s="76">
        <f t="shared" ca="1" si="37"/>
        <v>0</v>
      </c>
      <c r="AC346" s="75">
        <f t="shared" ca="1" si="33"/>
        <v>0</v>
      </c>
      <c r="AD346" s="76">
        <f t="shared" ca="1" si="38"/>
        <v>12388.425641203703</v>
      </c>
      <c r="AE346" s="76">
        <f t="shared" si="39"/>
        <v>0</v>
      </c>
      <c r="AF346" s="75">
        <f t="shared" si="34"/>
        <v>0</v>
      </c>
      <c r="AG346" s="75">
        <f t="shared" si="35"/>
        <v>0</v>
      </c>
      <c r="AH346" s="31" t="e" cm="1">
        <f t="array" aca="1" ref="AH346" ca="1">IF((AD346) &lt; (INDEX(ResponseSLA[#All],(MATCH((G346),ResponseSLA[Priority],0))+1,3)),"YES","No")</f>
        <v>#N/A</v>
      </c>
      <c r="AI346" s="31" t="str">
        <f>_xlfn.IFNA(IF(AE346 &lt; (INDEX(SLATable[Minimum SLA],MATCH(G346,SLATable[Priority],0))),"YES","NO"),"")</f>
        <v/>
      </c>
      <c r="AJ346" t="str">
        <f>_xlfn.IFNA(IF(AE346 &lt; (INDEX(SLATable[Maximum SLA],MATCH(G346,SLATable[Priority],0))),"YES","NO"),"")</f>
        <v/>
      </c>
    </row>
    <row r="347" spans="26:36" ht="15" customHeight="1">
      <c r="Z347" s="76" t="e">
        <f t="shared" ca="1" si="36"/>
        <v>#N/A</v>
      </c>
      <c r="AA347" s="75" t="e">
        <f t="shared" ca="1" si="32"/>
        <v>#N/A</v>
      </c>
      <c r="AB347" s="76">
        <f t="shared" ca="1" si="37"/>
        <v>0</v>
      </c>
      <c r="AC347" s="75">
        <f t="shared" ca="1" si="33"/>
        <v>0</v>
      </c>
      <c r="AD347" s="76">
        <f t="shared" ca="1" si="38"/>
        <v>12388.425641203703</v>
      </c>
      <c r="AE347" s="76">
        <f t="shared" si="39"/>
        <v>0</v>
      </c>
      <c r="AF347" s="75">
        <f t="shared" si="34"/>
        <v>0</v>
      </c>
      <c r="AG347" s="75">
        <f t="shared" si="35"/>
        <v>0</v>
      </c>
      <c r="AH347" s="31" t="e" cm="1">
        <f t="array" aca="1" ref="AH347" ca="1">IF((AD347) &lt; (INDEX(ResponseSLA[#All],(MATCH((G347),ResponseSLA[Priority],0))+1,3)),"YES","No")</f>
        <v>#N/A</v>
      </c>
      <c r="AI347" s="31" t="str">
        <f>_xlfn.IFNA(IF(AE347 &lt; (INDEX(SLATable[Minimum SLA],MATCH(G347,SLATable[Priority],0))),"YES","NO"),"")</f>
        <v/>
      </c>
      <c r="AJ347" t="str">
        <f>_xlfn.IFNA(IF(AE347 &lt; (INDEX(SLATable[Maximum SLA],MATCH(G347,SLATable[Priority],0))),"YES","NO"),"")</f>
        <v/>
      </c>
    </row>
    <row r="348" spans="26:36" ht="15" customHeight="1">
      <c r="Z348" s="76" t="e">
        <f t="shared" ca="1" si="36"/>
        <v>#N/A</v>
      </c>
      <c r="AA348" s="75" t="e">
        <f t="shared" ca="1" si="32"/>
        <v>#N/A</v>
      </c>
      <c r="AB348" s="76">
        <f t="shared" ca="1" si="37"/>
        <v>0</v>
      </c>
      <c r="AC348" s="75">
        <f t="shared" ca="1" si="33"/>
        <v>0</v>
      </c>
      <c r="AD348" s="76">
        <f t="shared" ca="1" si="38"/>
        <v>12388.425641087964</v>
      </c>
      <c r="AE348" s="76">
        <f t="shared" si="39"/>
        <v>0</v>
      </c>
      <c r="AF348" s="75">
        <f t="shared" si="34"/>
        <v>0</v>
      </c>
      <c r="AG348" s="75">
        <f t="shared" si="35"/>
        <v>0</v>
      </c>
      <c r="AH348" s="31" t="e" cm="1">
        <f t="array" aca="1" ref="AH348" ca="1">IF((AD348) &lt; (INDEX(ResponseSLA[#All],(MATCH((G348),ResponseSLA[Priority],0))+1,3)),"YES","No")</f>
        <v>#N/A</v>
      </c>
      <c r="AI348" s="31" t="str">
        <f>_xlfn.IFNA(IF(AE348 &lt; (INDEX(SLATable[Minimum SLA],MATCH(G348,SLATable[Priority],0))),"YES","NO"),"")</f>
        <v/>
      </c>
      <c r="AJ348" t="str">
        <f>_xlfn.IFNA(IF(AE348 &lt; (INDEX(SLATable[Maximum SLA],MATCH(G348,SLATable[Priority],0))),"YES","NO"),"")</f>
        <v/>
      </c>
    </row>
    <row r="349" spans="26:36" ht="15" customHeight="1">
      <c r="Z349" s="76" t="e">
        <f t="shared" ca="1" si="36"/>
        <v>#N/A</v>
      </c>
      <c r="AA349" s="75" t="e">
        <f t="shared" ca="1" si="32"/>
        <v>#N/A</v>
      </c>
      <c r="AB349" s="76">
        <f t="shared" ca="1" si="37"/>
        <v>0</v>
      </c>
      <c r="AC349" s="75">
        <f t="shared" ca="1" si="33"/>
        <v>0</v>
      </c>
      <c r="AD349" s="76">
        <f t="shared" ca="1" si="38"/>
        <v>12388.425641203703</v>
      </c>
      <c r="AE349" s="76">
        <f t="shared" si="39"/>
        <v>0</v>
      </c>
      <c r="AF349" s="75">
        <f t="shared" si="34"/>
        <v>0</v>
      </c>
      <c r="AG349" s="75">
        <f t="shared" si="35"/>
        <v>0</v>
      </c>
      <c r="AH349" s="31" t="e" cm="1">
        <f t="array" aca="1" ref="AH349" ca="1">IF((AD349) &lt; (INDEX(ResponseSLA[#All],(MATCH((G349),ResponseSLA[Priority],0))+1,3)),"YES","No")</f>
        <v>#N/A</v>
      </c>
      <c r="AI349" s="31" t="str">
        <f>_xlfn.IFNA(IF(AE349 &lt; (INDEX(SLATable[Minimum SLA],MATCH(G349,SLATable[Priority],0))),"YES","NO"),"")</f>
        <v/>
      </c>
      <c r="AJ349" t="str">
        <f>_xlfn.IFNA(IF(AE349 &lt; (INDEX(SLATable[Maximum SLA],MATCH(G349,SLATable[Priority],0))),"YES","NO"),"")</f>
        <v/>
      </c>
    </row>
    <row r="350" spans="26:36" ht="15" customHeight="1">
      <c r="Z350" s="76" t="e">
        <f t="shared" ca="1" si="36"/>
        <v>#N/A</v>
      </c>
      <c r="AA350" s="75" t="e">
        <f t="shared" ca="1" si="32"/>
        <v>#N/A</v>
      </c>
      <c r="AB350" s="76">
        <f t="shared" ca="1" si="37"/>
        <v>0</v>
      </c>
      <c r="AC350" s="75">
        <f t="shared" ca="1" si="33"/>
        <v>0</v>
      </c>
      <c r="AD350" s="76">
        <f t="shared" ca="1" si="38"/>
        <v>12388.425641203703</v>
      </c>
      <c r="AE350" s="76">
        <f t="shared" si="39"/>
        <v>0</v>
      </c>
      <c r="AF350" s="75">
        <f t="shared" si="34"/>
        <v>0</v>
      </c>
      <c r="AG350" s="75">
        <f t="shared" si="35"/>
        <v>0</v>
      </c>
      <c r="AH350" s="31" t="e" cm="1">
        <f t="array" aca="1" ref="AH350" ca="1">IF((AD350) &lt; (INDEX(ResponseSLA[#All],(MATCH((G350),ResponseSLA[Priority],0))+1,3)),"YES","No")</f>
        <v>#N/A</v>
      </c>
      <c r="AI350" s="31" t="str">
        <f>_xlfn.IFNA(IF(AE350 &lt; (INDEX(SLATable[Minimum SLA],MATCH(G350,SLATable[Priority],0))),"YES","NO"),"")</f>
        <v/>
      </c>
      <c r="AJ350" t="str">
        <f>_xlfn.IFNA(IF(AE350 &lt; (INDEX(SLATable[Maximum SLA],MATCH(G350,SLATable[Priority],0))),"YES","NO"),"")</f>
        <v/>
      </c>
    </row>
    <row r="351" spans="26:36" ht="15" customHeight="1">
      <c r="Z351" s="76" t="e">
        <f t="shared" ca="1" si="36"/>
        <v>#N/A</v>
      </c>
      <c r="AA351" s="75" t="e">
        <f t="shared" ca="1" si="32"/>
        <v>#N/A</v>
      </c>
      <c r="AB351" s="76">
        <f t="shared" ca="1" si="37"/>
        <v>0</v>
      </c>
      <c r="AC351" s="75">
        <f t="shared" ca="1" si="33"/>
        <v>0</v>
      </c>
      <c r="AD351" s="76">
        <f t="shared" ca="1" si="38"/>
        <v>12388.425641087964</v>
      </c>
      <c r="AE351" s="76">
        <f t="shared" si="39"/>
        <v>0</v>
      </c>
      <c r="AF351" s="75">
        <f t="shared" si="34"/>
        <v>0</v>
      </c>
      <c r="AG351" s="75">
        <f t="shared" si="35"/>
        <v>0</v>
      </c>
      <c r="AH351" s="31" t="e" cm="1">
        <f t="array" aca="1" ref="AH351" ca="1">IF((AD351) &lt; (INDEX(ResponseSLA[#All],(MATCH((G351),ResponseSLA[Priority],0))+1,3)),"YES","No")</f>
        <v>#N/A</v>
      </c>
      <c r="AI351" s="31" t="str">
        <f>_xlfn.IFNA(IF(AE351 &lt; (INDEX(SLATable[Minimum SLA],MATCH(G351,SLATable[Priority],0))),"YES","NO"),"")</f>
        <v/>
      </c>
      <c r="AJ351" t="str">
        <f>_xlfn.IFNA(IF(AE351 &lt; (INDEX(SLATable[Maximum SLA],MATCH(G351,SLATable[Priority],0))),"YES","NO"),"")</f>
        <v/>
      </c>
    </row>
    <row r="352" spans="26:36" ht="15" customHeight="1">
      <c r="Z352" s="76" t="e">
        <f t="shared" ca="1" si="36"/>
        <v>#N/A</v>
      </c>
      <c r="AA352" s="75" t="e">
        <f t="shared" ca="1" si="32"/>
        <v>#N/A</v>
      </c>
      <c r="AB352" s="76">
        <f t="shared" ca="1" si="37"/>
        <v>0</v>
      </c>
      <c r="AC352" s="75">
        <f t="shared" ca="1" si="33"/>
        <v>0</v>
      </c>
      <c r="AD352" s="76">
        <f t="shared" ca="1" si="38"/>
        <v>12388.425641203703</v>
      </c>
      <c r="AE352" s="76">
        <f t="shared" si="39"/>
        <v>0</v>
      </c>
      <c r="AF352" s="75">
        <f t="shared" si="34"/>
        <v>0</v>
      </c>
      <c r="AG352" s="75">
        <f t="shared" si="35"/>
        <v>0</v>
      </c>
      <c r="AH352" s="31" t="e" cm="1">
        <f t="array" aca="1" ref="AH352" ca="1">IF((AD352) &lt; (INDEX(ResponseSLA[#All],(MATCH((G352),ResponseSLA[Priority],0))+1,3)),"YES","No")</f>
        <v>#N/A</v>
      </c>
      <c r="AI352" s="31" t="str">
        <f>_xlfn.IFNA(IF(AE352 &lt; (INDEX(SLATable[Minimum SLA],MATCH(G352,SLATable[Priority],0))),"YES","NO"),"")</f>
        <v/>
      </c>
      <c r="AJ352" t="str">
        <f>_xlfn.IFNA(IF(AE352 &lt; (INDEX(SLATable[Maximum SLA],MATCH(G352,SLATable[Priority],0))),"YES","NO"),"")</f>
        <v/>
      </c>
    </row>
    <row r="353" spans="26:36" ht="15" customHeight="1">
      <c r="Z353" s="76" t="e">
        <f t="shared" ca="1" si="36"/>
        <v>#N/A</v>
      </c>
      <c r="AA353" s="75" t="e">
        <f t="shared" ca="1" si="32"/>
        <v>#N/A</v>
      </c>
      <c r="AB353" s="76">
        <f t="shared" ca="1" si="37"/>
        <v>0</v>
      </c>
      <c r="AC353" s="75">
        <f t="shared" ca="1" si="33"/>
        <v>0</v>
      </c>
      <c r="AD353" s="76">
        <f t="shared" ca="1" si="38"/>
        <v>12388.425641203703</v>
      </c>
      <c r="AE353" s="76">
        <f t="shared" si="39"/>
        <v>0</v>
      </c>
      <c r="AF353" s="75">
        <f t="shared" si="34"/>
        <v>0</v>
      </c>
      <c r="AG353" s="75">
        <f t="shared" si="35"/>
        <v>0</v>
      </c>
      <c r="AH353" s="31" t="e" cm="1">
        <f t="array" aca="1" ref="AH353" ca="1">IF((AD353) &lt; (INDEX(ResponseSLA[#All],(MATCH((G353),ResponseSLA[Priority],0))+1,3)),"YES","No")</f>
        <v>#N/A</v>
      </c>
      <c r="AI353" s="31" t="str">
        <f>_xlfn.IFNA(IF(AE353 &lt; (INDEX(SLATable[Minimum SLA],MATCH(G353,SLATable[Priority],0))),"YES","NO"),"")</f>
        <v/>
      </c>
      <c r="AJ353" t="str">
        <f>_xlfn.IFNA(IF(AE353 &lt; (INDEX(SLATable[Maximum SLA],MATCH(G353,SLATable[Priority],0))),"YES","NO"),"")</f>
        <v/>
      </c>
    </row>
    <row r="354" spans="26:36" ht="15" customHeight="1">
      <c r="Z354" s="76" t="e">
        <f t="shared" ca="1" si="36"/>
        <v>#N/A</v>
      </c>
      <c r="AA354" s="75" t="e">
        <f t="shared" ca="1" si="32"/>
        <v>#N/A</v>
      </c>
      <c r="AB354" s="76">
        <f t="shared" ca="1" si="37"/>
        <v>0</v>
      </c>
      <c r="AC354" s="75">
        <f t="shared" ca="1" si="33"/>
        <v>0</v>
      </c>
      <c r="AD354" s="76">
        <f t="shared" ca="1" si="38"/>
        <v>12388.425641087964</v>
      </c>
      <c r="AE354" s="76">
        <f t="shared" si="39"/>
        <v>0</v>
      </c>
      <c r="AF354" s="75">
        <f t="shared" si="34"/>
        <v>0</v>
      </c>
      <c r="AG354" s="75">
        <f t="shared" si="35"/>
        <v>0</v>
      </c>
      <c r="AH354" s="31" t="e" cm="1">
        <f t="array" aca="1" ref="AH354" ca="1">IF((AD354) &lt; (INDEX(ResponseSLA[#All],(MATCH((G354),ResponseSLA[Priority],0))+1,3)),"YES","No")</f>
        <v>#N/A</v>
      </c>
      <c r="AI354" s="31" t="str">
        <f>_xlfn.IFNA(IF(AE354 &lt; (INDEX(SLATable[Minimum SLA],MATCH(G354,SLATable[Priority],0))),"YES","NO"),"")</f>
        <v/>
      </c>
      <c r="AJ354" t="str">
        <f>_xlfn.IFNA(IF(AE354 &lt; (INDEX(SLATable[Maximum SLA],MATCH(G354,SLATable[Priority],0))),"YES","NO"),"")</f>
        <v/>
      </c>
    </row>
    <row r="355" spans="26:36" ht="15" customHeight="1">
      <c r="Z355" s="76" t="e">
        <f t="shared" ca="1" si="36"/>
        <v>#N/A</v>
      </c>
      <c r="AA355" s="75" t="e">
        <f t="shared" ca="1" si="32"/>
        <v>#N/A</v>
      </c>
      <c r="AB355" s="76">
        <f t="shared" ca="1" si="37"/>
        <v>0</v>
      </c>
      <c r="AC355" s="75">
        <f t="shared" ca="1" si="33"/>
        <v>0</v>
      </c>
      <c r="AD355" s="76">
        <f t="shared" ca="1" si="38"/>
        <v>12388.425641203703</v>
      </c>
      <c r="AE355" s="76">
        <f t="shared" si="39"/>
        <v>0</v>
      </c>
      <c r="AF355" s="75">
        <f t="shared" si="34"/>
        <v>0</v>
      </c>
      <c r="AG355" s="75">
        <f t="shared" si="35"/>
        <v>0</v>
      </c>
      <c r="AH355" s="31" t="e" cm="1">
        <f t="array" aca="1" ref="AH355" ca="1">IF((AD355) &lt; (INDEX(ResponseSLA[#All],(MATCH((G355),ResponseSLA[Priority],0))+1,3)),"YES","No")</f>
        <v>#N/A</v>
      </c>
      <c r="AI355" s="31" t="str">
        <f>_xlfn.IFNA(IF(AE355 &lt; (INDEX(SLATable[Minimum SLA],MATCH(G355,SLATable[Priority],0))),"YES","NO"),"")</f>
        <v/>
      </c>
      <c r="AJ355" t="str">
        <f>_xlfn.IFNA(IF(AE355 &lt; (INDEX(SLATable[Maximum SLA],MATCH(G355,SLATable[Priority],0))),"YES","NO"),"")</f>
        <v/>
      </c>
    </row>
    <row r="356" spans="26:36" ht="15" customHeight="1">
      <c r="Z356" s="76" t="e">
        <f t="shared" ca="1" si="36"/>
        <v>#N/A</v>
      </c>
      <c r="AA356" s="75" t="e">
        <f t="shared" ca="1" si="32"/>
        <v>#N/A</v>
      </c>
      <c r="AB356" s="76">
        <f t="shared" ca="1" si="37"/>
        <v>0</v>
      </c>
      <c r="AC356" s="75">
        <f t="shared" ca="1" si="33"/>
        <v>0</v>
      </c>
      <c r="AD356" s="76">
        <f t="shared" ca="1" si="38"/>
        <v>12388.425641203703</v>
      </c>
      <c r="AE356" s="76">
        <f t="shared" si="39"/>
        <v>0</v>
      </c>
      <c r="AF356" s="75">
        <f t="shared" si="34"/>
        <v>0</v>
      </c>
      <c r="AG356" s="75">
        <f t="shared" si="35"/>
        <v>0</v>
      </c>
      <c r="AH356" s="31" t="e" cm="1">
        <f t="array" aca="1" ref="AH356" ca="1">IF((AD356) &lt; (INDEX(ResponseSLA[#All],(MATCH((G356),ResponseSLA[Priority],0))+1,3)),"YES","No")</f>
        <v>#N/A</v>
      </c>
      <c r="AI356" s="31" t="str">
        <f>_xlfn.IFNA(IF(AE356 &lt; (INDEX(SLATable[Minimum SLA],MATCH(G356,SLATable[Priority],0))),"YES","NO"),"")</f>
        <v/>
      </c>
      <c r="AJ356" t="str">
        <f>_xlfn.IFNA(IF(AE356 &lt; (INDEX(SLATable[Maximum SLA],MATCH(G356,SLATable[Priority],0))),"YES","NO"),"")</f>
        <v/>
      </c>
    </row>
    <row r="357" spans="26:36" ht="15" customHeight="1">
      <c r="Z357" s="76" t="e">
        <f t="shared" ca="1" si="36"/>
        <v>#N/A</v>
      </c>
      <c r="AA357" s="75" t="e">
        <f t="shared" ca="1" si="32"/>
        <v>#N/A</v>
      </c>
      <c r="AB357" s="76">
        <f t="shared" ca="1" si="37"/>
        <v>0</v>
      </c>
      <c r="AC357" s="75">
        <f t="shared" ca="1" si="33"/>
        <v>0</v>
      </c>
      <c r="AD357" s="76">
        <f t="shared" ca="1" si="38"/>
        <v>12388.425641087964</v>
      </c>
      <c r="AE357" s="76">
        <f t="shared" si="39"/>
        <v>0</v>
      </c>
      <c r="AF357" s="75">
        <f t="shared" si="34"/>
        <v>0</v>
      </c>
      <c r="AG357" s="75">
        <f t="shared" si="35"/>
        <v>0</v>
      </c>
      <c r="AH357" s="31" t="e" cm="1">
        <f t="array" aca="1" ref="AH357" ca="1">IF((AD357) &lt; (INDEX(ResponseSLA[#All],(MATCH((G357),ResponseSLA[Priority],0))+1,3)),"YES","No")</f>
        <v>#N/A</v>
      </c>
      <c r="AI357" s="31" t="str">
        <f>_xlfn.IFNA(IF(AE357 &lt; (INDEX(SLATable[Minimum SLA],MATCH(G357,SLATable[Priority],0))),"YES","NO"),"")</f>
        <v/>
      </c>
      <c r="AJ357" t="str">
        <f>_xlfn.IFNA(IF(AE357 &lt; (INDEX(SLATable[Maximum SLA],MATCH(G357,SLATable[Priority],0))),"YES","NO"),"")</f>
        <v/>
      </c>
    </row>
    <row r="358" spans="26:36" ht="15" customHeight="1">
      <c r="Z358" s="76" t="e">
        <f t="shared" ca="1" si="36"/>
        <v>#N/A</v>
      </c>
      <c r="AA358" s="75" t="e">
        <f t="shared" ca="1" si="32"/>
        <v>#N/A</v>
      </c>
      <c r="AB358" s="76">
        <f t="shared" ca="1" si="37"/>
        <v>0</v>
      </c>
      <c r="AC358" s="75">
        <f t="shared" ca="1" si="33"/>
        <v>0</v>
      </c>
      <c r="AD358" s="76">
        <f t="shared" ca="1" si="38"/>
        <v>12388.425641203703</v>
      </c>
      <c r="AE358" s="76">
        <f t="shared" si="39"/>
        <v>0</v>
      </c>
      <c r="AF358" s="75">
        <f t="shared" si="34"/>
        <v>0</v>
      </c>
      <c r="AG358" s="75">
        <f t="shared" si="35"/>
        <v>0</v>
      </c>
      <c r="AH358" s="31" t="e" cm="1">
        <f t="array" aca="1" ref="AH358" ca="1">IF((AD358) &lt; (INDEX(ResponseSLA[#All],(MATCH((G358),ResponseSLA[Priority],0))+1,3)),"YES","No")</f>
        <v>#N/A</v>
      </c>
      <c r="AI358" s="31" t="str">
        <f>_xlfn.IFNA(IF(AE358 &lt; (INDEX(SLATable[Minimum SLA],MATCH(G358,SLATable[Priority],0))),"YES","NO"),"")</f>
        <v/>
      </c>
      <c r="AJ358" t="str">
        <f>_xlfn.IFNA(IF(AE358 &lt; (INDEX(SLATable[Maximum SLA],MATCH(G358,SLATable[Priority],0))),"YES","NO"),"")</f>
        <v/>
      </c>
    </row>
    <row r="359" spans="26:36" ht="15" customHeight="1">
      <c r="Z359" s="76" t="e">
        <f t="shared" ca="1" si="36"/>
        <v>#N/A</v>
      </c>
      <c r="AA359" s="75" t="e">
        <f t="shared" ca="1" si="32"/>
        <v>#N/A</v>
      </c>
      <c r="AB359" s="76">
        <f t="shared" ca="1" si="37"/>
        <v>0</v>
      </c>
      <c r="AC359" s="75">
        <f t="shared" ca="1" si="33"/>
        <v>0</v>
      </c>
      <c r="AD359" s="76">
        <f t="shared" ca="1" si="38"/>
        <v>12388.425641203703</v>
      </c>
      <c r="AE359" s="76">
        <f t="shared" si="39"/>
        <v>0</v>
      </c>
      <c r="AF359" s="75">
        <f t="shared" si="34"/>
        <v>0</v>
      </c>
      <c r="AG359" s="75">
        <f t="shared" si="35"/>
        <v>0</v>
      </c>
      <c r="AH359" s="31" t="e" cm="1">
        <f t="array" aca="1" ref="AH359" ca="1">IF((AD359) &lt; (INDEX(ResponseSLA[#All],(MATCH((G359),ResponseSLA[Priority],0))+1,3)),"YES","No")</f>
        <v>#N/A</v>
      </c>
      <c r="AI359" s="31" t="str">
        <f>_xlfn.IFNA(IF(AE359 &lt; (INDEX(SLATable[Minimum SLA],MATCH(G359,SLATable[Priority],0))),"YES","NO"),"")</f>
        <v/>
      </c>
      <c r="AJ359" t="str">
        <f>_xlfn.IFNA(IF(AE359 &lt; (INDEX(SLATable[Maximum SLA],MATCH(G359,SLATable[Priority],0))),"YES","NO"),"")</f>
        <v/>
      </c>
    </row>
    <row r="360" spans="26:36" ht="15" customHeight="1">
      <c r="Z360" s="76" t="e">
        <f t="shared" ca="1" si="36"/>
        <v>#N/A</v>
      </c>
      <c r="AA360" s="75" t="e">
        <f t="shared" ca="1" si="32"/>
        <v>#N/A</v>
      </c>
      <c r="AB360" s="76">
        <f t="shared" ca="1" si="37"/>
        <v>0</v>
      </c>
      <c r="AC360" s="75">
        <f t="shared" ca="1" si="33"/>
        <v>0</v>
      </c>
      <c r="AD360" s="76">
        <f t="shared" ca="1" si="38"/>
        <v>12388.425641087964</v>
      </c>
      <c r="AE360" s="76">
        <f t="shared" si="39"/>
        <v>0</v>
      </c>
      <c r="AF360" s="75">
        <f t="shared" si="34"/>
        <v>0</v>
      </c>
      <c r="AG360" s="75">
        <f t="shared" si="35"/>
        <v>0</v>
      </c>
      <c r="AH360" s="31" t="e" cm="1">
        <f t="array" aca="1" ref="AH360" ca="1">IF((AD360) &lt; (INDEX(ResponseSLA[#All],(MATCH((G360),ResponseSLA[Priority],0))+1,3)),"YES","No")</f>
        <v>#N/A</v>
      </c>
      <c r="AI360" s="31" t="str">
        <f>_xlfn.IFNA(IF(AE360 &lt; (INDEX(SLATable[Minimum SLA],MATCH(G360,SLATable[Priority],0))),"YES","NO"),"")</f>
        <v/>
      </c>
      <c r="AJ360" t="str">
        <f>_xlfn.IFNA(IF(AE360 &lt; (INDEX(SLATable[Maximum SLA],MATCH(G360,SLATable[Priority],0))),"YES","NO"),"")</f>
        <v/>
      </c>
    </row>
    <row r="361" spans="26:36" ht="15" customHeight="1">
      <c r="Z361" s="76" t="e">
        <f t="shared" ca="1" si="36"/>
        <v>#N/A</v>
      </c>
      <c r="AA361" s="75" t="e">
        <f t="shared" ca="1" si="32"/>
        <v>#N/A</v>
      </c>
      <c r="AB361" s="76">
        <f t="shared" ca="1" si="37"/>
        <v>0</v>
      </c>
      <c r="AC361" s="75">
        <f t="shared" ca="1" si="33"/>
        <v>0</v>
      </c>
      <c r="AD361" s="76">
        <f t="shared" ca="1" si="38"/>
        <v>12388.425641203703</v>
      </c>
      <c r="AE361" s="76">
        <f t="shared" si="39"/>
        <v>0</v>
      </c>
      <c r="AF361" s="75">
        <f t="shared" si="34"/>
        <v>0</v>
      </c>
      <c r="AG361" s="75">
        <f t="shared" si="35"/>
        <v>0</v>
      </c>
      <c r="AH361" s="31" t="e" cm="1">
        <f t="array" aca="1" ref="AH361" ca="1">IF((AD361) &lt; (INDEX(ResponseSLA[#All],(MATCH((G361),ResponseSLA[Priority],0))+1,3)),"YES","No")</f>
        <v>#N/A</v>
      </c>
      <c r="AI361" s="31" t="str">
        <f>_xlfn.IFNA(IF(AE361 &lt; (INDEX(SLATable[Minimum SLA],MATCH(G361,SLATable[Priority],0))),"YES","NO"),"")</f>
        <v/>
      </c>
      <c r="AJ361" t="str">
        <f>_xlfn.IFNA(IF(AE361 &lt; (INDEX(SLATable[Maximum SLA],MATCH(G361,SLATable[Priority],0))),"YES","NO"),"")</f>
        <v/>
      </c>
    </row>
    <row r="362" spans="26:36" ht="15" customHeight="1">
      <c r="Z362" s="76" t="e">
        <f t="shared" ca="1" si="36"/>
        <v>#N/A</v>
      </c>
      <c r="AA362" s="75" t="e">
        <f t="shared" ca="1" si="32"/>
        <v>#N/A</v>
      </c>
      <c r="AB362" s="76">
        <f t="shared" ca="1" si="37"/>
        <v>0</v>
      </c>
      <c r="AC362" s="75">
        <f t="shared" ca="1" si="33"/>
        <v>0</v>
      </c>
      <c r="AD362" s="76">
        <f t="shared" ca="1" si="38"/>
        <v>12388.425641203703</v>
      </c>
      <c r="AE362" s="76">
        <f t="shared" si="39"/>
        <v>0</v>
      </c>
      <c r="AF362" s="75">
        <f t="shared" si="34"/>
        <v>0</v>
      </c>
      <c r="AG362" s="75">
        <f t="shared" si="35"/>
        <v>0</v>
      </c>
      <c r="AH362" s="31" t="e" cm="1">
        <f t="array" aca="1" ref="AH362" ca="1">IF((AD362) &lt; (INDEX(ResponseSLA[#All],(MATCH((G362),ResponseSLA[Priority],0))+1,3)),"YES","No")</f>
        <v>#N/A</v>
      </c>
      <c r="AI362" s="31" t="str">
        <f>_xlfn.IFNA(IF(AE362 &lt; (INDEX(SLATable[Minimum SLA],MATCH(G362,SLATable[Priority],0))),"YES","NO"),"")</f>
        <v/>
      </c>
      <c r="AJ362" t="str">
        <f>_xlfn.IFNA(IF(AE362 &lt; (INDEX(SLATable[Maximum SLA],MATCH(G362,SLATable[Priority],0))),"YES","NO"),"")</f>
        <v/>
      </c>
    </row>
    <row r="363" spans="26:36" ht="15" customHeight="1">
      <c r="Z363" s="76" t="e">
        <f t="shared" ca="1" si="36"/>
        <v>#N/A</v>
      </c>
      <c r="AA363" s="75" t="e">
        <f t="shared" ca="1" si="32"/>
        <v>#N/A</v>
      </c>
      <c r="AB363" s="76">
        <f t="shared" ca="1" si="37"/>
        <v>0</v>
      </c>
      <c r="AC363" s="75">
        <f t="shared" ca="1" si="33"/>
        <v>0</v>
      </c>
      <c r="AD363" s="76">
        <f t="shared" ca="1" si="38"/>
        <v>12388.425641087964</v>
      </c>
      <c r="AE363" s="76">
        <f t="shared" si="39"/>
        <v>0</v>
      </c>
      <c r="AF363" s="75">
        <f t="shared" si="34"/>
        <v>0</v>
      </c>
      <c r="AG363" s="75">
        <f t="shared" si="35"/>
        <v>0</v>
      </c>
      <c r="AH363" s="31" t="e" cm="1">
        <f t="array" aca="1" ref="AH363" ca="1">IF((AD363) &lt; (INDEX(ResponseSLA[#All],(MATCH((G363),ResponseSLA[Priority],0))+1,3)),"YES","No")</f>
        <v>#N/A</v>
      </c>
      <c r="AI363" s="31" t="str">
        <f>_xlfn.IFNA(IF(AE363 &lt; (INDEX(SLATable[Minimum SLA],MATCH(G363,SLATable[Priority],0))),"YES","NO"),"")</f>
        <v/>
      </c>
      <c r="AJ363" t="str">
        <f>_xlfn.IFNA(IF(AE363 &lt; (INDEX(SLATable[Maximum SLA],MATCH(G363,SLATable[Priority],0))),"YES","NO"),"")</f>
        <v/>
      </c>
    </row>
    <row r="364" spans="26:36" ht="15" customHeight="1">
      <c r="Z364" s="76" t="e">
        <f t="shared" ca="1" si="36"/>
        <v>#N/A</v>
      </c>
      <c r="AA364" s="75" t="e">
        <f t="shared" ca="1" si="32"/>
        <v>#N/A</v>
      </c>
      <c r="AB364" s="76">
        <f t="shared" ca="1" si="37"/>
        <v>0</v>
      </c>
      <c r="AC364" s="75">
        <f t="shared" ca="1" si="33"/>
        <v>0</v>
      </c>
      <c r="AD364" s="76">
        <f t="shared" ca="1" si="38"/>
        <v>12388.425641203703</v>
      </c>
      <c r="AE364" s="76">
        <f t="shared" si="39"/>
        <v>0</v>
      </c>
      <c r="AF364" s="75">
        <f t="shared" si="34"/>
        <v>0</v>
      </c>
      <c r="AG364" s="75">
        <f t="shared" si="35"/>
        <v>0</v>
      </c>
      <c r="AH364" s="31" t="e" cm="1">
        <f t="array" aca="1" ref="AH364" ca="1">IF((AD364) &lt; (INDEX(ResponseSLA[#All],(MATCH((G364),ResponseSLA[Priority],0))+1,3)),"YES","No")</f>
        <v>#N/A</v>
      </c>
      <c r="AI364" s="31" t="str">
        <f>_xlfn.IFNA(IF(AE364 &lt; (INDEX(SLATable[Minimum SLA],MATCH(G364,SLATable[Priority],0))),"YES","NO"),"")</f>
        <v/>
      </c>
      <c r="AJ364" t="str">
        <f>_xlfn.IFNA(IF(AE364 &lt; (INDEX(SLATable[Maximum SLA],MATCH(G364,SLATable[Priority],0))),"YES","NO"),"")</f>
        <v/>
      </c>
    </row>
    <row r="365" spans="26:36" ht="15" customHeight="1">
      <c r="Z365" s="76" t="e">
        <f t="shared" ca="1" si="36"/>
        <v>#N/A</v>
      </c>
      <c r="AA365" s="75" t="e">
        <f t="shared" ca="1" si="32"/>
        <v>#N/A</v>
      </c>
      <c r="AB365" s="76">
        <f t="shared" ca="1" si="37"/>
        <v>0</v>
      </c>
      <c r="AC365" s="75">
        <f t="shared" ca="1" si="33"/>
        <v>0</v>
      </c>
      <c r="AD365" s="76">
        <f t="shared" ca="1" si="38"/>
        <v>12388.425641203703</v>
      </c>
      <c r="AE365" s="76">
        <f t="shared" si="39"/>
        <v>0</v>
      </c>
      <c r="AF365" s="75">
        <f t="shared" si="34"/>
        <v>0</v>
      </c>
      <c r="AG365" s="75">
        <f t="shared" si="35"/>
        <v>0</v>
      </c>
      <c r="AH365" s="31" t="e" cm="1">
        <f t="array" aca="1" ref="AH365" ca="1">IF((AD365) &lt; (INDEX(ResponseSLA[#All],(MATCH((G365),ResponseSLA[Priority],0))+1,3)),"YES","No")</f>
        <v>#N/A</v>
      </c>
      <c r="AI365" s="31" t="str">
        <f>_xlfn.IFNA(IF(AE365 &lt; (INDEX(SLATable[Minimum SLA],MATCH(G365,SLATable[Priority],0))),"YES","NO"),"")</f>
        <v/>
      </c>
      <c r="AJ365" t="str">
        <f>_xlfn.IFNA(IF(AE365 &lt; (INDEX(SLATable[Maximum SLA],MATCH(G365,SLATable[Priority],0))),"YES","NO"),"")</f>
        <v/>
      </c>
    </row>
    <row r="366" spans="26:36" ht="15" customHeight="1">
      <c r="Z366" s="76" t="e">
        <f t="shared" ca="1" si="36"/>
        <v>#N/A</v>
      </c>
      <c r="AA366" s="75" t="e">
        <f t="shared" ca="1" si="32"/>
        <v>#N/A</v>
      </c>
      <c r="AB366" s="76">
        <f t="shared" ca="1" si="37"/>
        <v>0</v>
      </c>
      <c r="AC366" s="75">
        <f t="shared" ca="1" si="33"/>
        <v>0</v>
      </c>
      <c r="AD366" s="76">
        <f t="shared" ca="1" si="38"/>
        <v>12388.425641087964</v>
      </c>
      <c r="AE366" s="76">
        <f t="shared" si="39"/>
        <v>0</v>
      </c>
      <c r="AF366" s="75">
        <f t="shared" si="34"/>
        <v>0</v>
      </c>
      <c r="AG366" s="75">
        <f t="shared" si="35"/>
        <v>0</v>
      </c>
      <c r="AH366" s="31" t="e" cm="1">
        <f t="array" aca="1" ref="AH366" ca="1">IF((AD366) &lt; (INDEX(ResponseSLA[#All],(MATCH((G366),ResponseSLA[Priority],0))+1,3)),"YES","No")</f>
        <v>#N/A</v>
      </c>
      <c r="AI366" s="31" t="str">
        <f>_xlfn.IFNA(IF(AE366 &lt; (INDEX(SLATable[Minimum SLA],MATCH(G366,SLATable[Priority],0))),"YES","NO"),"")</f>
        <v/>
      </c>
      <c r="AJ366" t="str">
        <f>_xlfn.IFNA(IF(AE366 &lt; (INDEX(SLATable[Maximum SLA],MATCH(G366,SLATable[Priority],0))),"YES","NO"),"")</f>
        <v/>
      </c>
    </row>
    <row r="367" spans="26:36" ht="15" customHeight="1">
      <c r="Z367" s="76" t="e">
        <f t="shared" ca="1" si="36"/>
        <v>#N/A</v>
      </c>
      <c r="AA367" s="75" t="e">
        <f t="shared" ca="1" si="32"/>
        <v>#N/A</v>
      </c>
      <c r="AB367" s="76">
        <f t="shared" ca="1" si="37"/>
        <v>0</v>
      </c>
      <c r="AC367" s="75">
        <f t="shared" ca="1" si="33"/>
        <v>0</v>
      </c>
      <c r="AD367" s="76">
        <f t="shared" ca="1" si="38"/>
        <v>12388.425641203703</v>
      </c>
      <c r="AE367" s="76">
        <f t="shared" si="39"/>
        <v>0</v>
      </c>
      <c r="AF367" s="75">
        <f t="shared" si="34"/>
        <v>0</v>
      </c>
      <c r="AG367" s="75">
        <f t="shared" si="35"/>
        <v>0</v>
      </c>
      <c r="AH367" s="31" t="e" cm="1">
        <f t="array" aca="1" ref="AH367" ca="1">IF((AD367) &lt; (INDEX(ResponseSLA[#All],(MATCH((G367),ResponseSLA[Priority],0))+1,3)),"YES","No")</f>
        <v>#N/A</v>
      </c>
      <c r="AI367" s="31" t="str">
        <f>_xlfn.IFNA(IF(AE367 &lt; (INDEX(SLATable[Minimum SLA],MATCH(G367,SLATable[Priority],0))),"YES","NO"),"")</f>
        <v/>
      </c>
      <c r="AJ367" t="str">
        <f>_xlfn.IFNA(IF(AE367 &lt; (INDEX(SLATable[Maximum SLA],MATCH(G367,SLATable[Priority],0))),"YES","NO"),"")</f>
        <v/>
      </c>
    </row>
    <row r="368" spans="26:36" ht="15" customHeight="1">
      <c r="Z368" s="76" t="e">
        <f t="shared" ca="1" si="36"/>
        <v>#N/A</v>
      </c>
      <c r="AA368" s="75" t="e">
        <f t="shared" ca="1" si="32"/>
        <v>#N/A</v>
      </c>
      <c r="AB368" s="76">
        <f t="shared" ca="1" si="37"/>
        <v>0</v>
      </c>
      <c r="AC368" s="75">
        <f t="shared" ca="1" si="33"/>
        <v>0</v>
      </c>
      <c r="AD368" s="76">
        <f t="shared" ca="1" si="38"/>
        <v>12388.425641203703</v>
      </c>
      <c r="AE368" s="76">
        <f t="shared" si="39"/>
        <v>0</v>
      </c>
      <c r="AF368" s="75">
        <f t="shared" si="34"/>
        <v>0</v>
      </c>
      <c r="AG368" s="75">
        <f t="shared" si="35"/>
        <v>0</v>
      </c>
      <c r="AH368" s="31" t="e" cm="1">
        <f t="array" aca="1" ref="AH368" ca="1">IF((AD368) &lt; (INDEX(ResponseSLA[#All],(MATCH((G368),ResponseSLA[Priority],0))+1,3)),"YES","No")</f>
        <v>#N/A</v>
      </c>
      <c r="AI368" s="31" t="str">
        <f>_xlfn.IFNA(IF(AE368 &lt; (INDEX(SLATable[Minimum SLA],MATCH(G368,SLATable[Priority],0))),"YES","NO"),"")</f>
        <v/>
      </c>
      <c r="AJ368" t="str">
        <f>_xlfn.IFNA(IF(AE368 &lt; (INDEX(SLATable[Maximum SLA],MATCH(G368,SLATable[Priority],0))),"YES","NO"),"")</f>
        <v/>
      </c>
    </row>
    <row r="369" spans="26:36" ht="15" customHeight="1">
      <c r="Z369" s="76" t="e">
        <f t="shared" ca="1" si="36"/>
        <v>#N/A</v>
      </c>
      <c r="AA369" s="75" t="e">
        <f t="shared" ca="1" si="32"/>
        <v>#N/A</v>
      </c>
      <c r="AB369" s="76">
        <f t="shared" ca="1" si="37"/>
        <v>0</v>
      </c>
      <c r="AC369" s="75">
        <f t="shared" ca="1" si="33"/>
        <v>0</v>
      </c>
      <c r="AD369" s="76">
        <f t="shared" ca="1" si="38"/>
        <v>12388.425641087964</v>
      </c>
      <c r="AE369" s="76">
        <f t="shared" si="39"/>
        <v>0</v>
      </c>
      <c r="AF369" s="75">
        <f t="shared" si="34"/>
        <v>0</v>
      </c>
      <c r="AG369" s="75">
        <f t="shared" si="35"/>
        <v>0</v>
      </c>
      <c r="AH369" s="31" t="e" cm="1">
        <f t="array" aca="1" ref="AH369" ca="1">IF((AD369) &lt; (INDEX(ResponseSLA[#All],(MATCH((G369),ResponseSLA[Priority],0))+1,3)),"YES","No")</f>
        <v>#N/A</v>
      </c>
      <c r="AI369" s="31" t="str">
        <f>_xlfn.IFNA(IF(AE369 &lt; (INDEX(SLATable[Minimum SLA],MATCH(G369,SLATable[Priority],0))),"YES","NO"),"")</f>
        <v/>
      </c>
      <c r="AJ369" t="str">
        <f>_xlfn.IFNA(IF(AE369 &lt; (INDEX(SLATable[Maximum SLA],MATCH(G369,SLATable[Priority],0))),"YES","NO"),"")</f>
        <v/>
      </c>
    </row>
    <row r="370" spans="26:36" ht="15" customHeight="1">
      <c r="Z370" s="76" t="e">
        <f t="shared" ca="1" si="36"/>
        <v>#N/A</v>
      </c>
      <c r="AA370" s="75" t="e">
        <f t="shared" ca="1" si="32"/>
        <v>#N/A</v>
      </c>
      <c r="AB370" s="76">
        <f t="shared" ca="1" si="37"/>
        <v>0</v>
      </c>
      <c r="AC370" s="75">
        <f t="shared" ca="1" si="33"/>
        <v>0</v>
      </c>
      <c r="AD370" s="76">
        <f t="shared" ca="1" si="38"/>
        <v>12388.425641203703</v>
      </c>
      <c r="AE370" s="76">
        <f t="shared" si="39"/>
        <v>0</v>
      </c>
      <c r="AF370" s="75">
        <f t="shared" si="34"/>
        <v>0</v>
      </c>
      <c r="AG370" s="75">
        <f t="shared" si="35"/>
        <v>0</v>
      </c>
      <c r="AH370" s="31" t="e" cm="1">
        <f t="array" aca="1" ref="AH370" ca="1">IF((AD370) &lt; (INDEX(ResponseSLA[#All],(MATCH((G370),ResponseSLA[Priority],0))+1,3)),"YES","No")</f>
        <v>#N/A</v>
      </c>
      <c r="AI370" s="31" t="str">
        <f>_xlfn.IFNA(IF(AE370 &lt; (INDEX(SLATable[Minimum SLA],MATCH(G370,SLATable[Priority],0))),"YES","NO"),"")</f>
        <v/>
      </c>
      <c r="AJ370" t="str">
        <f>_xlfn.IFNA(IF(AE370 &lt; (INDEX(SLATable[Maximum SLA],MATCH(G370,SLATable[Priority],0))),"YES","NO"),"")</f>
        <v/>
      </c>
    </row>
    <row r="371" spans="26:36" ht="15" customHeight="1">
      <c r="Z371" s="76" t="e">
        <f t="shared" ca="1" si="36"/>
        <v>#N/A</v>
      </c>
      <c r="AA371" s="75" t="e">
        <f t="shared" ca="1" si="32"/>
        <v>#N/A</v>
      </c>
      <c r="AB371" s="76">
        <f t="shared" ca="1" si="37"/>
        <v>0</v>
      </c>
      <c r="AC371" s="75">
        <f t="shared" ca="1" si="33"/>
        <v>0</v>
      </c>
      <c r="AD371" s="76">
        <f t="shared" ca="1" si="38"/>
        <v>12388.425641203703</v>
      </c>
      <c r="AE371" s="76">
        <f t="shared" si="39"/>
        <v>0</v>
      </c>
      <c r="AF371" s="75">
        <f t="shared" si="34"/>
        <v>0</v>
      </c>
      <c r="AG371" s="75">
        <f t="shared" si="35"/>
        <v>0</v>
      </c>
      <c r="AH371" s="31" t="e" cm="1">
        <f t="array" aca="1" ref="AH371" ca="1">IF((AD371) &lt; (INDEX(ResponseSLA[#All],(MATCH((G371),ResponseSLA[Priority],0))+1,3)),"YES","No")</f>
        <v>#N/A</v>
      </c>
      <c r="AI371" s="31" t="str">
        <f>_xlfn.IFNA(IF(AE371 &lt; (INDEX(SLATable[Minimum SLA],MATCH(G371,SLATable[Priority],0))),"YES","NO"),"")</f>
        <v/>
      </c>
      <c r="AJ371" t="str">
        <f>_xlfn.IFNA(IF(AE371 &lt; (INDEX(SLATable[Maximum SLA],MATCH(G371,SLATable[Priority],0))),"YES","NO"),"")</f>
        <v/>
      </c>
    </row>
    <row r="372" spans="26:36" ht="15" customHeight="1">
      <c r="Z372" s="76" t="e">
        <f t="shared" ca="1" si="36"/>
        <v>#N/A</v>
      </c>
      <c r="AA372" s="75" t="e">
        <f t="shared" ca="1" si="32"/>
        <v>#N/A</v>
      </c>
      <c r="AB372" s="76">
        <f t="shared" ca="1" si="37"/>
        <v>0</v>
      </c>
      <c r="AC372" s="75">
        <f t="shared" ca="1" si="33"/>
        <v>0</v>
      </c>
      <c r="AD372" s="76">
        <f t="shared" ca="1" si="38"/>
        <v>12388.425641087964</v>
      </c>
      <c r="AE372" s="76">
        <f t="shared" si="39"/>
        <v>0</v>
      </c>
      <c r="AF372" s="75">
        <f t="shared" si="34"/>
        <v>0</v>
      </c>
      <c r="AG372" s="75">
        <f t="shared" si="35"/>
        <v>0</v>
      </c>
      <c r="AH372" s="31" t="e" cm="1">
        <f t="array" aca="1" ref="AH372" ca="1">IF((AD372) &lt; (INDEX(ResponseSLA[#All],(MATCH((G372),ResponseSLA[Priority],0))+1,3)),"YES","No")</f>
        <v>#N/A</v>
      </c>
      <c r="AI372" s="31" t="str">
        <f>_xlfn.IFNA(IF(AE372 &lt; (INDEX(SLATable[Minimum SLA],MATCH(G372,SLATable[Priority],0))),"YES","NO"),"")</f>
        <v/>
      </c>
      <c r="AJ372" t="str">
        <f>_xlfn.IFNA(IF(AE372 &lt; (INDEX(SLATable[Maximum SLA],MATCH(G372,SLATable[Priority],0))),"YES","NO"),"")</f>
        <v/>
      </c>
    </row>
    <row r="373" spans="26:36" ht="15" customHeight="1">
      <c r="Z373" s="76" t="e">
        <f t="shared" ca="1" si="36"/>
        <v>#N/A</v>
      </c>
      <c r="AA373" s="75" t="e">
        <f t="shared" ca="1" si="32"/>
        <v>#N/A</v>
      </c>
      <c r="AB373" s="76">
        <f t="shared" ca="1" si="37"/>
        <v>0</v>
      </c>
      <c r="AC373" s="75">
        <f t="shared" ca="1" si="33"/>
        <v>0</v>
      </c>
      <c r="AD373" s="76">
        <f t="shared" ca="1" si="38"/>
        <v>12388.425641203703</v>
      </c>
      <c r="AE373" s="76">
        <f t="shared" si="39"/>
        <v>0</v>
      </c>
      <c r="AF373" s="75">
        <f t="shared" si="34"/>
        <v>0</v>
      </c>
      <c r="AG373" s="75">
        <f t="shared" si="35"/>
        <v>0</v>
      </c>
      <c r="AH373" s="31" t="e" cm="1">
        <f t="array" aca="1" ref="AH373" ca="1">IF((AD373) &lt; (INDEX(ResponseSLA[#All],(MATCH((G373),ResponseSLA[Priority],0))+1,3)),"YES","No")</f>
        <v>#N/A</v>
      </c>
      <c r="AI373" s="31" t="str">
        <f>_xlfn.IFNA(IF(AE373 &lt; (INDEX(SLATable[Minimum SLA],MATCH(G373,SLATable[Priority],0))),"YES","NO"),"")</f>
        <v/>
      </c>
      <c r="AJ373" t="str">
        <f>_xlfn.IFNA(IF(AE373 &lt; (INDEX(SLATable[Maximum SLA],MATCH(G373,SLATable[Priority],0))),"YES","NO"),"")</f>
        <v/>
      </c>
    </row>
    <row r="374" spans="26:36" ht="15" customHeight="1">
      <c r="Z374" s="76" t="e">
        <f t="shared" ca="1" si="36"/>
        <v>#N/A</v>
      </c>
      <c r="AA374" s="75" t="e">
        <f t="shared" ca="1" si="32"/>
        <v>#N/A</v>
      </c>
      <c r="AB374" s="76">
        <f t="shared" ca="1" si="37"/>
        <v>0</v>
      </c>
      <c r="AC374" s="75">
        <f t="shared" ca="1" si="33"/>
        <v>0</v>
      </c>
      <c r="AD374" s="76">
        <f t="shared" ca="1" si="38"/>
        <v>12388.425641203703</v>
      </c>
      <c r="AE374" s="76">
        <f t="shared" si="39"/>
        <v>0</v>
      </c>
      <c r="AF374" s="75">
        <f t="shared" si="34"/>
        <v>0</v>
      </c>
      <c r="AG374" s="75">
        <f t="shared" si="35"/>
        <v>0</v>
      </c>
      <c r="AH374" s="31" t="e" cm="1">
        <f t="array" aca="1" ref="AH374" ca="1">IF((AD374) &lt; (INDEX(ResponseSLA[#All],(MATCH((G374),ResponseSLA[Priority],0))+1,3)),"YES","No")</f>
        <v>#N/A</v>
      </c>
      <c r="AI374" s="31" t="str">
        <f>_xlfn.IFNA(IF(AE374 &lt; (INDEX(SLATable[Minimum SLA],MATCH(G374,SLATable[Priority],0))),"YES","NO"),"")</f>
        <v/>
      </c>
      <c r="AJ374" t="str">
        <f>_xlfn.IFNA(IF(AE374 &lt; (INDEX(SLATable[Maximum SLA],MATCH(G374,SLATable[Priority],0))),"YES","NO"),"")</f>
        <v/>
      </c>
    </row>
    <row r="375" spans="26:36" ht="15" customHeight="1">
      <c r="Z375" s="76" t="e">
        <f t="shared" ca="1" si="36"/>
        <v>#N/A</v>
      </c>
      <c r="AA375" s="75" t="e">
        <f t="shared" ca="1" si="32"/>
        <v>#N/A</v>
      </c>
      <c r="AB375" s="76">
        <f t="shared" ca="1" si="37"/>
        <v>0</v>
      </c>
      <c r="AC375" s="75">
        <f t="shared" ca="1" si="33"/>
        <v>0</v>
      </c>
      <c r="AD375" s="76">
        <f t="shared" ca="1" si="38"/>
        <v>12388.425641087964</v>
      </c>
      <c r="AE375" s="76">
        <f t="shared" si="39"/>
        <v>0</v>
      </c>
      <c r="AF375" s="75">
        <f t="shared" si="34"/>
        <v>0</v>
      </c>
      <c r="AG375" s="75">
        <f t="shared" si="35"/>
        <v>0</v>
      </c>
      <c r="AH375" s="31" t="e" cm="1">
        <f t="array" aca="1" ref="AH375" ca="1">IF((AD375) &lt; (INDEX(ResponseSLA[#All],(MATCH((G375),ResponseSLA[Priority],0))+1,3)),"YES","No")</f>
        <v>#N/A</v>
      </c>
      <c r="AI375" s="31" t="str">
        <f>_xlfn.IFNA(IF(AE375 &lt; (INDEX(SLATable[Minimum SLA],MATCH(G375,SLATable[Priority],0))),"YES","NO"),"")</f>
        <v/>
      </c>
      <c r="AJ375" t="str">
        <f>_xlfn.IFNA(IF(AE375 &lt; (INDEX(SLATable[Maximum SLA],MATCH(G375,SLATable[Priority],0))),"YES","NO"),"")</f>
        <v/>
      </c>
    </row>
    <row r="376" spans="26:36" ht="15" customHeight="1">
      <c r="Z376" s="76" t="e">
        <f t="shared" ca="1" si="36"/>
        <v>#N/A</v>
      </c>
      <c r="AA376" s="75" t="e">
        <f t="shared" ca="1" si="32"/>
        <v>#N/A</v>
      </c>
      <c r="AB376" s="76">
        <f t="shared" ca="1" si="37"/>
        <v>0</v>
      </c>
      <c r="AC376" s="75">
        <f t="shared" ca="1" si="33"/>
        <v>0</v>
      </c>
      <c r="AD376" s="76">
        <f t="shared" ca="1" si="38"/>
        <v>12388.425641203703</v>
      </c>
      <c r="AE376" s="76">
        <f t="shared" si="39"/>
        <v>0</v>
      </c>
      <c r="AF376" s="75">
        <f t="shared" si="34"/>
        <v>0</v>
      </c>
      <c r="AG376" s="75">
        <f t="shared" si="35"/>
        <v>0</v>
      </c>
      <c r="AH376" s="31" t="e" cm="1">
        <f t="array" aca="1" ref="AH376" ca="1">IF((AD376) &lt; (INDEX(ResponseSLA[#All],(MATCH((G376),ResponseSLA[Priority],0))+1,3)),"YES","No")</f>
        <v>#N/A</v>
      </c>
      <c r="AI376" s="31" t="str">
        <f>_xlfn.IFNA(IF(AE376 &lt; (INDEX(SLATable[Minimum SLA],MATCH(G376,SLATable[Priority],0))),"YES","NO"),"")</f>
        <v/>
      </c>
      <c r="AJ376" t="str">
        <f>_xlfn.IFNA(IF(AE376 &lt; (INDEX(SLATable[Maximum SLA],MATCH(G376,SLATable[Priority],0))),"YES","NO"),"")</f>
        <v/>
      </c>
    </row>
    <row r="377" spans="26:36" ht="15" customHeight="1">
      <c r="Z377" s="76" t="e">
        <f t="shared" ca="1" si="36"/>
        <v>#N/A</v>
      </c>
      <c r="AA377" s="75" t="e">
        <f t="shared" ca="1" si="32"/>
        <v>#N/A</v>
      </c>
      <c r="AB377" s="76">
        <f t="shared" ca="1" si="37"/>
        <v>0</v>
      </c>
      <c r="AC377" s="75">
        <f t="shared" ca="1" si="33"/>
        <v>0</v>
      </c>
      <c r="AD377" s="76">
        <f t="shared" ca="1" si="38"/>
        <v>12388.425641203703</v>
      </c>
      <c r="AE377" s="76">
        <f t="shared" si="39"/>
        <v>0</v>
      </c>
      <c r="AF377" s="75">
        <f t="shared" si="34"/>
        <v>0</v>
      </c>
      <c r="AG377" s="75">
        <f t="shared" si="35"/>
        <v>0</v>
      </c>
      <c r="AH377" s="31" t="e" cm="1">
        <f t="array" aca="1" ref="AH377" ca="1">IF((AD377) &lt; (INDEX(ResponseSLA[#All],(MATCH((G377),ResponseSLA[Priority],0))+1,3)),"YES","No")</f>
        <v>#N/A</v>
      </c>
      <c r="AI377" s="31" t="str">
        <f>_xlfn.IFNA(IF(AE377 &lt; (INDEX(SLATable[Minimum SLA],MATCH(G377,SLATable[Priority],0))),"YES","NO"),"")</f>
        <v/>
      </c>
      <c r="AJ377" t="str">
        <f>_xlfn.IFNA(IF(AE377 &lt; (INDEX(SLATable[Maximum SLA],MATCH(G377,SLATable[Priority],0))),"YES","NO"),"")</f>
        <v/>
      </c>
    </row>
    <row r="378" spans="26:36" ht="15" customHeight="1">
      <c r="Z378" s="76" t="e">
        <f t="shared" ca="1" si="36"/>
        <v>#N/A</v>
      </c>
      <c r="AA378" s="75" t="e">
        <f t="shared" ca="1" si="32"/>
        <v>#N/A</v>
      </c>
      <c r="AB378" s="76">
        <f t="shared" ca="1" si="37"/>
        <v>0</v>
      </c>
      <c r="AC378" s="75">
        <f t="shared" ca="1" si="33"/>
        <v>0</v>
      </c>
      <c r="AD378" s="76">
        <f t="shared" ca="1" si="38"/>
        <v>12388.425641087964</v>
      </c>
      <c r="AE378" s="76">
        <f t="shared" si="39"/>
        <v>0</v>
      </c>
      <c r="AF378" s="75">
        <f t="shared" si="34"/>
        <v>0</v>
      </c>
      <c r="AG378" s="75">
        <f t="shared" si="35"/>
        <v>0</v>
      </c>
      <c r="AH378" s="31" t="e" cm="1">
        <f t="array" aca="1" ref="AH378" ca="1">IF((AD378) &lt; (INDEX(ResponseSLA[#All],(MATCH((G378),ResponseSLA[Priority],0))+1,3)),"YES","No")</f>
        <v>#N/A</v>
      </c>
      <c r="AI378" s="31" t="str">
        <f>_xlfn.IFNA(IF(AE378 &lt; (INDEX(SLATable[Minimum SLA],MATCH(G378,SLATable[Priority],0))),"YES","NO"),"")</f>
        <v/>
      </c>
      <c r="AJ378" t="str">
        <f>_xlfn.IFNA(IF(AE378 &lt; (INDEX(SLATable[Maximum SLA],MATCH(G378,SLATable[Priority],0))),"YES","NO"),"")</f>
        <v/>
      </c>
    </row>
    <row r="379" spans="26:36" ht="15" customHeight="1">
      <c r="Z379" s="76" t="e">
        <f t="shared" ca="1" si="36"/>
        <v>#N/A</v>
      </c>
      <c r="AA379" s="75" t="e">
        <f t="shared" ca="1" si="32"/>
        <v>#N/A</v>
      </c>
      <c r="AB379" s="76">
        <f t="shared" ca="1" si="37"/>
        <v>0</v>
      </c>
      <c r="AC379" s="75">
        <f t="shared" ca="1" si="33"/>
        <v>0</v>
      </c>
      <c r="AD379" s="76">
        <f t="shared" ca="1" si="38"/>
        <v>12388.425641203703</v>
      </c>
      <c r="AE379" s="76">
        <f t="shared" si="39"/>
        <v>0</v>
      </c>
      <c r="AF379" s="75">
        <f t="shared" si="34"/>
        <v>0</v>
      </c>
      <c r="AG379" s="75">
        <f t="shared" si="35"/>
        <v>0</v>
      </c>
      <c r="AH379" s="31" t="e" cm="1">
        <f t="array" aca="1" ref="AH379" ca="1">IF((AD379) &lt; (INDEX(ResponseSLA[#All],(MATCH((G379),ResponseSLA[Priority],0))+1,3)),"YES","No")</f>
        <v>#N/A</v>
      </c>
      <c r="AI379" s="31" t="str">
        <f>_xlfn.IFNA(IF(AE379 &lt; (INDEX(SLATable[Minimum SLA],MATCH(G379,SLATable[Priority],0))),"YES","NO"),"")</f>
        <v/>
      </c>
      <c r="AJ379" t="str">
        <f>_xlfn.IFNA(IF(AE379 &lt; (INDEX(SLATable[Maximum SLA],MATCH(G379,SLATable[Priority],0))),"YES","NO"),"")</f>
        <v/>
      </c>
    </row>
    <row r="380" spans="26:36" ht="15" customHeight="1">
      <c r="Z380" s="76" t="e">
        <f t="shared" ca="1" si="36"/>
        <v>#N/A</v>
      </c>
      <c r="AA380" s="75" t="e">
        <f t="shared" ca="1" si="32"/>
        <v>#N/A</v>
      </c>
      <c r="AB380" s="76">
        <f t="shared" ca="1" si="37"/>
        <v>0</v>
      </c>
      <c r="AC380" s="75">
        <f t="shared" ca="1" si="33"/>
        <v>0</v>
      </c>
      <c r="AD380" s="76">
        <f t="shared" ca="1" si="38"/>
        <v>12388.425641203703</v>
      </c>
      <c r="AE380" s="76">
        <f t="shared" si="39"/>
        <v>0</v>
      </c>
      <c r="AF380" s="75">
        <f t="shared" si="34"/>
        <v>0</v>
      </c>
      <c r="AG380" s="75">
        <f t="shared" si="35"/>
        <v>0</v>
      </c>
      <c r="AH380" s="31" t="e" cm="1">
        <f t="array" aca="1" ref="AH380" ca="1">IF((AD380) &lt; (INDEX(ResponseSLA[#All],(MATCH((G380),ResponseSLA[Priority],0))+1,3)),"YES","No")</f>
        <v>#N/A</v>
      </c>
      <c r="AI380" s="31" t="str">
        <f>_xlfn.IFNA(IF(AE380 &lt; (INDEX(SLATable[Minimum SLA],MATCH(G380,SLATable[Priority],0))),"YES","NO"),"")</f>
        <v/>
      </c>
      <c r="AJ380" t="str">
        <f>_xlfn.IFNA(IF(AE380 &lt; (INDEX(SLATable[Maximum SLA],MATCH(G380,SLATable[Priority],0))),"YES","NO"),"")</f>
        <v/>
      </c>
    </row>
    <row r="381" spans="26:36" ht="15" customHeight="1">
      <c r="Z381" s="76" t="e">
        <f t="shared" ca="1" si="36"/>
        <v>#N/A</v>
      </c>
      <c r="AA381" s="75" t="e">
        <f t="shared" ca="1" si="32"/>
        <v>#N/A</v>
      </c>
      <c r="AB381" s="76">
        <f t="shared" ca="1" si="37"/>
        <v>0</v>
      </c>
      <c r="AC381" s="75">
        <f t="shared" ca="1" si="33"/>
        <v>0</v>
      </c>
      <c r="AD381" s="76">
        <f t="shared" ca="1" si="38"/>
        <v>12388.425641087964</v>
      </c>
      <c r="AE381" s="76">
        <f t="shared" si="39"/>
        <v>0</v>
      </c>
      <c r="AF381" s="75">
        <f t="shared" si="34"/>
        <v>0</v>
      </c>
      <c r="AG381" s="75">
        <f t="shared" si="35"/>
        <v>0</v>
      </c>
      <c r="AH381" s="31" t="e" cm="1">
        <f t="array" aca="1" ref="AH381" ca="1">IF((AD381) &lt; (INDEX(ResponseSLA[#All],(MATCH((G381),ResponseSLA[Priority],0))+1,3)),"YES","No")</f>
        <v>#N/A</v>
      </c>
      <c r="AI381" s="31" t="str">
        <f>_xlfn.IFNA(IF(AE381 &lt; (INDEX(SLATable[Minimum SLA],MATCH(G381,SLATable[Priority],0))),"YES","NO"),"")</f>
        <v/>
      </c>
      <c r="AJ381" t="str">
        <f>_xlfn.IFNA(IF(AE381 &lt; (INDEX(SLATable[Maximum SLA],MATCH(G381,SLATable[Priority],0))),"YES","NO"),"")</f>
        <v/>
      </c>
    </row>
    <row r="382" spans="26:36" ht="15" customHeight="1">
      <c r="Z382" s="76" t="e">
        <f t="shared" ca="1" si="36"/>
        <v>#N/A</v>
      </c>
      <c r="AA382" s="75" t="e">
        <f t="shared" ca="1" si="32"/>
        <v>#N/A</v>
      </c>
      <c r="AB382" s="76">
        <f t="shared" ca="1" si="37"/>
        <v>0</v>
      </c>
      <c r="AC382" s="75">
        <f t="shared" ca="1" si="33"/>
        <v>0</v>
      </c>
      <c r="AD382" s="76">
        <f t="shared" ca="1" si="38"/>
        <v>12388.425641203703</v>
      </c>
      <c r="AE382" s="76">
        <f t="shared" si="39"/>
        <v>0</v>
      </c>
      <c r="AF382" s="75">
        <f t="shared" si="34"/>
        <v>0</v>
      </c>
      <c r="AG382" s="75">
        <f t="shared" si="35"/>
        <v>0</v>
      </c>
      <c r="AH382" s="31" t="e" cm="1">
        <f t="array" aca="1" ref="AH382" ca="1">IF((AD382) &lt; (INDEX(ResponseSLA[#All],(MATCH((G382),ResponseSLA[Priority],0))+1,3)),"YES","No")</f>
        <v>#N/A</v>
      </c>
      <c r="AI382" s="31" t="str">
        <f>_xlfn.IFNA(IF(AE382 &lt; (INDEX(SLATable[Minimum SLA],MATCH(G382,SLATable[Priority],0))),"YES","NO"),"")</f>
        <v/>
      </c>
      <c r="AJ382" t="str">
        <f>_xlfn.IFNA(IF(AE382 &lt; (INDEX(SLATable[Maximum SLA],MATCH(G382,SLATable[Priority],0))),"YES","NO"),"")</f>
        <v/>
      </c>
    </row>
    <row r="383" spans="26:36" ht="15" customHeight="1">
      <c r="Z383" s="76" t="e">
        <f t="shared" ca="1" si="36"/>
        <v>#N/A</v>
      </c>
      <c r="AA383" s="75" t="e">
        <f t="shared" ca="1" si="32"/>
        <v>#N/A</v>
      </c>
      <c r="AB383" s="76">
        <f t="shared" ca="1" si="37"/>
        <v>0</v>
      </c>
      <c r="AC383" s="75">
        <f t="shared" ca="1" si="33"/>
        <v>0</v>
      </c>
      <c r="AD383" s="76">
        <f t="shared" ca="1" si="38"/>
        <v>12388.425641203703</v>
      </c>
      <c r="AE383" s="76">
        <f t="shared" si="39"/>
        <v>0</v>
      </c>
      <c r="AF383" s="75">
        <f t="shared" si="34"/>
        <v>0</v>
      </c>
      <c r="AG383" s="75">
        <f t="shared" si="35"/>
        <v>0</v>
      </c>
      <c r="AH383" s="31" t="e" cm="1">
        <f t="array" aca="1" ref="AH383" ca="1">IF((AD383) &lt; (INDEX(ResponseSLA[#All],(MATCH((G383),ResponseSLA[Priority],0))+1,3)),"YES","No")</f>
        <v>#N/A</v>
      </c>
      <c r="AI383" s="31" t="str">
        <f>_xlfn.IFNA(IF(AE383 &lt; (INDEX(SLATable[Minimum SLA],MATCH(G383,SLATable[Priority],0))),"YES","NO"),"")</f>
        <v/>
      </c>
      <c r="AJ383" t="str">
        <f>_xlfn.IFNA(IF(AE383 &lt; (INDEX(SLATable[Maximum SLA],MATCH(G383,SLATable[Priority],0))),"YES","NO"),"")</f>
        <v/>
      </c>
    </row>
    <row r="384" spans="26:36" ht="15" customHeight="1">
      <c r="Z384" s="76" t="e">
        <f t="shared" ca="1" si="36"/>
        <v>#N/A</v>
      </c>
      <c r="AA384" s="75" t="e">
        <f t="shared" ca="1" si="32"/>
        <v>#N/A</v>
      </c>
      <c r="AB384" s="76">
        <f t="shared" ca="1" si="37"/>
        <v>0</v>
      </c>
      <c r="AC384" s="75">
        <f t="shared" ca="1" si="33"/>
        <v>0</v>
      </c>
      <c r="AD384" s="76">
        <f t="shared" ca="1" si="38"/>
        <v>12388.425641087964</v>
      </c>
      <c r="AE384" s="76">
        <f t="shared" si="39"/>
        <v>0</v>
      </c>
      <c r="AF384" s="75">
        <f t="shared" si="34"/>
        <v>0</v>
      </c>
      <c r="AG384" s="75">
        <f t="shared" si="35"/>
        <v>0</v>
      </c>
      <c r="AH384" s="31" t="e" cm="1">
        <f t="array" aca="1" ref="AH384" ca="1">IF((AD384) &lt; (INDEX(ResponseSLA[#All],(MATCH((G384),ResponseSLA[Priority],0))+1,3)),"YES","No")</f>
        <v>#N/A</v>
      </c>
      <c r="AI384" s="31" t="str">
        <f>_xlfn.IFNA(IF(AE384 &lt; (INDEX(SLATable[Minimum SLA],MATCH(G384,SLATable[Priority],0))),"YES","NO"),"")</f>
        <v/>
      </c>
      <c r="AJ384" t="str">
        <f>_xlfn.IFNA(IF(AE384 &lt; (INDEX(SLATable[Maximum SLA],MATCH(G384,SLATable[Priority],0))),"YES","NO"),"")</f>
        <v/>
      </c>
    </row>
    <row r="385" spans="26:36" ht="15" customHeight="1">
      <c r="Z385" s="76" t="e">
        <f t="shared" ca="1" si="36"/>
        <v>#N/A</v>
      </c>
      <c r="AA385" s="75" t="e">
        <f t="shared" ref="AA385:AA448" ca="1" si="40">(Z385*24)/9</f>
        <v>#N/A</v>
      </c>
      <c r="AB385" s="76">
        <f t="shared" ca="1" si="37"/>
        <v>0</v>
      </c>
      <c r="AC385" s="75">
        <f t="shared" ref="AC385:AC448" ca="1" si="41">(AB385*24)/9</f>
        <v>0</v>
      </c>
      <c r="AD385" s="76">
        <f t="shared" ca="1" si="38"/>
        <v>12388.425641203703</v>
      </c>
      <c r="AE385" s="76">
        <f t="shared" si="39"/>
        <v>0</v>
      </c>
      <c r="AF385" s="75">
        <f t="shared" ref="AF385:AF448" si="42">(AE385*24)/9</f>
        <v>0</v>
      </c>
      <c r="AG385" s="75">
        <f t="shared" ref="AG385:AG448" si="43">AF385</f>
        <v>0</v>
      </c>
      <c r="AH385" s="31" t="e" cm="1">
        <f t="array" aca="1" ref="AH385" ca="1">IF((AD385) &lt; (INDEX(ResponseSLA[#All],(MATCH((G385),ResponseSLA[Priority],0))+1,3)),"YES","No")</f>
        <v>#N/A</v>
      </c>
      <c r="AI385" s="31" t="str">
        <f>_xlfn.IFNA(IF(AE385 &lt; (INDEX(SLATable[Minimum SLA],MATCH(G385,SLATable[Priority],0))),"YES","NO"),"")</f>
        <v/>
      </c>
      <c r="AJ385" t="str">
        <f>_xlfn.IFNA(IF(AE385 &lt; (INDEX(SLATable[Maximum SLA],MATCH(G385,SLATable[Priority],0))),"YES","NO"),"")</f>
        <v/>
      </c>
    </row>
    <row r="386" spans="26:36" ht="15" customHeight="1">
      <c r="Z386" s="76" t="e">
        <f t="shared" ca="1" si="36"/>
        <v>#N/A</v>
      </c>
      <c r="AA386" s="75" t="e">
        <f t="shared" ca="1" si="40"/>
        <v>#N/A</v>
      </c>
      <c r="AB386" s="76">
        <f t="shared" ca="1" si="37"/>
        <v>0</v>
      </c>
      <c r="AC386" s="75">
        <f t="shared" ca="1" si="41"/>
        <v>0</v>
      </c>
      <c r="AD386" s="76">
        <f t="shared" ca="1" si="38"/>
        <v>12388.425641203703</v>
      </c>
      <c r="AE386" s="76">
        <f t="shared" si="39"/>
        <v>0</v>
      </c>
      <c r="AF386" s="75">
        <f t="shared" si="42"/>
        <v>0</v>
      </c>
      <c r="AG386" s="75">
        <f t="shared" si="43"/>
        <v>0</v>
      </c>
      <c r="AH386" s="31" t="e" cm="1">
        <f t="array" aca="1" ref="AH386" ca="1">IF((AD386) &lt; (INDEX(ResponseSLA[#All],(MATCH((G386),ResponseSLA[Priority],0))+1,3)),"YES","No")</f>
        <v>#N/A</v>
      </c>
      <c r="AI386" s="31" t="str">
        <f>_xlfn.IFNA(IF(AE386 &lt; (INDEX(SLATable[Minimum SLA],MATCH(G386,SLATable[Priority],0))),"YES","NO"),"")</f>
        <v/>
      </c>
      <c r="AJ386" t="str">
        <f>_xlfn.IFNA(IF(AE386 &lt; (INDEX(SLATable[Maximum SLA],MATCH(G386,SLATable[Priority],0))),"YES","NO"),"")</f>
        <v/>
      </c>
    </row>
    <row r="387" spans="26:36" ht="15" customHeight="1">
      <c r="Z387" s="76" t="e">
        <f t="shared" ref="Z387:Z450" ca="1" si="44">IF(NOT(OR(G387=1,G387=2)),MAX(0,_xlfn.IFS(AND(K387&lt;&gt;"",N387&lt;&gt;""),((MAX(NETWORKDAYS(K387,N387,UKBankHolidays)-1,0))*(TIME(17,0,0)-TIME(8,0,0))+IF(NETWORKDAYS(N387,N387,UKBankHolidays)&gt;0,MEDIAN(TIME(8,0,0),MOD(N387,1),TIME(17,0,0)),TIME(8,0,0))-IF(NETWORKDAYS(K387,K387,UKBankHolidays)&gt;0,MEDIAN(TIME(8,0,0),MOD(K387,1),TIME(17,0,0)),TIME(8,0,0)))-IF(AND(O387&lt;&gt;"",P387&lt;&gt;""),((MAX(NETWORKDAYS(O387,P387,UKBankHolidays)-1,0))*(TIME(17,0,0)-TIME(8,0,0))+IF(NETWORKDAYS(P387,P387,UKBankHolidays)&gt;0,MEDIAN(TIME(8,0,0),MOD(P387,1),TIME(17,0,0)),TIME(8,0,0))-IF(NETWORKDAYS(O387,O387,UKBankHolidays)&gt;0,MEDIAN(TIME(8,0,0),MOD(O387,1),TIME(17,0,0)),TIME(8,0,0))),0),AND(K387&lt;&gt;"",N387=""),((MAX(NETWORKDAYS(K387,NOW(),UKBankHolidays)-1,0))*(TIME(17,0,0)-TIME(8,0,0))+IF(NETWORKDAYS(NOW(),NOW(),UKBankHolidays)&gt;0,MEDIAN(TIME(8,0,0),MOD(NOW(),1),TIME(17,0,0)),TIME(8,0,0))-IF(NETWORKDAYS(K387,K387,UKBankHolidays)&gt;0,MEDIAN(TIME(8,0,0),MOD(K387,1),TIME(17,0,0)),TIME(8,0,0))))),IF(N387="",NOW()-K387,N387-K387))</f>
        <v>#N/A</v>
      </c>
      <c r="AA387" s="75" t="e">
        <f t="shared" ca="1" si="40"/>
        <v>#N/A</v>
      </c>
      <c r="AB387" s="76">
        <f t="shared" ref="AB387:AB450" ca="1" si="45">IF(NOT(OR(G387=1,G387=2)),MAX(0,_xlfn.IFS(AND(K387&lt;&gt;"",N387&lt;&gt;""),(((MAX(NETWORKDAYS(L387,N387,UKBankHolidays)-1,0))*(TIME(17,0,0)-TIME(8,0,0)))+IF(NETWORKDAYS(N387,N387,UKBankHolidays)&gt;0,MEDIAN(TIME(8,0,0),MOD(N387,1),TIME(17,0,0)),TIME(8,0,0))-IF(NETWORKDAYS(L387,L387,UKBankHolidays)&gt;0,MEDIAN(TIME(8,0,0),MOD(L387,1),TIME(17,0,0)),TIME(8,0,0)))-IF(AND(O387&lt;&gt;"",P387&lt;&gt;""),(((MAX(NETWORKDAYS(O387,P387,UKBankHolidays)-1,0))*(TIME(17,0,0)-TIME(8,0,0)))+IF(NETWORKDAYS(P387,P387,UKBankHolidays)&gt;0,MEDIAN(TIME(8,0,0),MOD(P387,1),TIME(17,0,0)),TIME(8,0,0))-IF(NETWORKDAYS(O387,O387,UKBankHolidays)&gt;0,MEDIAN(TIME(8,0,0),MOD(O387,1),TIME(17,0,0)),TIME(8,0,0))),0),AND(L387&lt;&gt;"",N387="",O387=""),(((MAX(NETWORKDAYS(L387,NOW(),UKBankHolidays)-1,0))*(TIME(17,0,0)-TIME(8,0,0)))+IF(NETWORKDAYS(NOW(),NOW(),UKBankHolidays)&gt;0,MEDIAN(TIME(8,0,0),MOD(NOW(),1),TIME(17,0,0)),TIME(8,0,0))-IF(NETWORKDAYS(L387,L387,UKBankHolidays)&gt;0,MEDIAN(TIME(8,0,0),MOD(L387,1),TIME(17,0,0)),TIME(8,0,0)))-IF(AND(O387&lt;&gt;"",P387&lt;&gt;""),(((MAX(NETWORKDAYS(O387,P387,UKBankHolidays)-1,0))*(TIME(17,0,0)-TIME(8,0,0)))+IF(NETWORKDAYS(P387,P387,UKBankHolidays)&gt;0,MEDIAN(TIME(8,0,0),MOD(P387,1),TIME(17,0,0)),TIME(8,0,0))-IF(NETWORKDAYS(O387,O387,UKBankHolidays)&gt;0,MEDIAN(TIME(8,0,0),MOD(O387,1),TIME(17,0,0)),TIME(8,0,0))),0),AND(L387&lt;&gt;"",N387="",P387="",O387&lt;&gt;""),(((MAX(NETWORKDAYS(L387,O387,UKBankHolidays)-1,0))*(TIME(17,0,0)-TIME(8,0,0)))+IF(NETWORKDAYS(O387,O387,UKBankHolidays)&gt;0,MEDIAN(TIME(8,0,0),MOD(O387,1),TIME(17,0,0)),TIME(8,0,0))-IF(NETWORKDAYS(L387,L387,UKBankHolidays)&gt;0,MEDIAN(TIME(8,0,0),MOD(L387,1),TIME(17,0,0)),TIME(8,0,0))),ISBLANK(K387),"0")),IF(ISBLANK(N387),NOW()-L387,N387-L387))</f>
        <v>0</v>
      </c>
      <c r="AC387" s="75">
        <f t="shared" ca="1" si="41"/>
        <v>0</v>
      </c>
      <c r="AD387" s="76">
        <f t="shared" ref="AD387:AD450" ca="1" si="46">MAX(0,IF(NOT(OR(G387=1,G387=2)),IF(M387&lt;&gt;"",((MAX(NETWORKDAYS(L387,M387,UKBankHolidays)-1,0))*(TIME(17,0,0)-TIME(8,0,0))+IF(NETWORKDAYS(M387,M387,UKBankHolidays)&gt;0,MEDIAN(TIME(8,0,0),MOD(M387,1),TIME(17,0,0)),TIME(8,0,0))-MEDIAN(TIME(8,0,0),MOD(L387,1),TIME(17,0,0))),((MAX(NETWORKDAYS(L387,NOW(),UKBankHolidays)-1,0))*(TIME(17,0,0)-TIME(8,0,0))+IF(NETWORKDAYS(NOW(),NOW(),UKBankHolidays)&gt;0,MEDIAN(TIME(8,0,0),MOD(NOW(),1),TIME(17,0,0)),TIME(8,0,0))-MEDIAN(TIME(8,0,0),MOD(L387,1),TIME(17,0,0)))),IF(M387&lt;&gt;"",M387-L387,NOW()-L387)))</f>
        <v>12388.425641087964</v>
      </c>
      <c r="AE387" s="76">
        <f t="shared" ref="AE387:AE450" si="47">SUMIFS(AB:AB,E:E,E387)</f>
        <v>0</v>
      </c>
      <c r="AF387" s="75">
        <f t="shared" si="42"/>
        <v>0</v>
      </c>
      <c r="AG387" s="75">
        <f t="shared" si="43"/>
        <v>0</v>
      </c>
      <c r="AH387" s="31" t="e" cm="1">
        <f t="array" aca="1" ref="AH387" ca="1">IF((AD387) &lt; (INDEX(ResponseSLA[#All],(MATCH((G387),ResponseSLA[Priority],0))+1,3)),"YES","No")</f>
        <v>#N/A</v>
      </c>
      <c r="AI387" s="31" t="str">
        <f>_xlfn.IFNA(IF(AE387 &lt; (INDEX(SLATable[Minimum SLA],MATCH(G387,SLATable[Priority],0))),"YES","NO"),"")</f>
        <v/>
      </c>
      <c r="AJ387" t="str">
        <f>_xlfn.IFNA(IF(AE387 &lt; (INDEX(SLATable[Maximum SLA],MATCH(G387,SLATable[Priority],0))),"YES","NO"),"")</f>
        <v/>
      </c>
    </row>
    <row r="388" spans="26:36" ht="15" customHeight="1">
      <c r="Z388" s="76" t="e">
        <f t="shared" ca="1" si="44"/>
        <v>#N/A</v>
      </c>
      <c r="AA388" s="75" t="e">
        <f t="shared" ca="1" si="40"/>
        <v>#N/A</v>
      </c>
      <c r="AB388" s="76">
        <f t="shared" ca="1" si="45"/>
        <v>0</v>
      </c>
      <c r="AC388" s="75">
        <f t="shared" ca="1" si="41"/>
        <v>0</v>
      </c>
      <c r="AD388" s="76">
        <f t="shared" ca="1" si="46"/>
        <v>12388.425641203703</v>
      </c>
      <c r="AE388" s="76">
        <f t="shared" si="47"/>
        <v>0</v>
      </c>
      <c r="AF388" s="75">
        <f t="shared" si="42"/>
        <v>0</v>
      </c>
      <c r="AG388" s="75">
        <f t="shared" si="43"/>
        <v>0</v>
      </c>
      <c r="AH388" s="31" t="e" cm="1">
        <f t="array" aca="1" ref="AH388" ca="1">IF((AD388) &lt; (INDEX(ResponseSLA[#All],(MATCH((G388),ResponseSLA[Priority],0))+1,3)),"YES","No")</f>
        <v>#N/A</v>
      </c>
      <c r="AI388" s="31" t="str">
        <f>_xlfn.IFNA(IF(AE388 &lt; (INDEX(SLATable[Minimum SLA],MATCH(G388,SLATable[Priority],0))),"YES","NO"),"")</f>
        <v/>
      </c>
      <c r="AJ388" t="str">
        <f>_xlfn.IFNA(IF(AE388 &lt; (INDEX(SLATable[Maximum SLA],MATCH(G388,SLATable[Priority],0))),"YES","NO"),"")</f>
        <v/>
      </c>
    </row>
    <row r="389" spans="26:36" ht="15" customHeight="1">
      <c r="Z389" s="76" t="e">
        <f t="shared" ca="1" si="44"/>
        <v>#N/A</v>
      </c>
      <c r="AA389" s="75" t="e">
        <f t="shared" ca="1" si="40"/>
        <v>#N/A</v>
      </c>
      <c r="AB389" s="76">
        <f t="shared" ca="1" si="45"/>
        <v>0</v>
      </c>
      <c r="AC389" s="75">
        <f t="shared" ca="1" si="41"/>
        <v>0</v>
      </c>
      <c r="AD389" s="76">
        <f t="shared" ca="1" si="46"/>
        <v>12388.425641203703</v>
      </c>
      <c r="AE389" s="76">
        <f t="shared" si="47"/>
        <v>0</v>
      </c>
      <c r="AF389" s="75">
        <f t="shared" si="42"/>
        <v>0</v>
      </c>
      <c r="AG389" s="75">
        <f t="shared" si="43"/>
        <v>0</v>
      </c>
      <c r="AH389" s="31" t="e" cm="1">
        <f t="array" aca="1" ref="AH389" ca="1">IF((AD389) &lt; (INDEX(ResponseSLA[#All],(MATCH((G389),ResponseSLA[Priority],0))+1,3)),"YES","No")</f>
        <v>#N/A</v>
      </c>
      <c r="AI389" s="31" t="str">
        <f>_xlfn.IFNA(IF(AE389 &lt; (INDEX(SLATable[Minimum SLA],MATCH(G389,SLATable[Priority],0))),"YES","NO"),"")</f>
        <v/>
      </c>
      <c r="AJ389" t="str">
        <f>_xlfn.IFNA(IF(AE389 &lt; (INDEX(SLATable[Maximum SLA],MATCH(G389,SLATable[Priority],0))),"YES","NO"),"")</f>
        <v/>
      </c>
    </row>
    <row r="390" spans="26:36" ht="15" customHeight="1">
      <c r="Z390" s="76" t="e">
        <f t="shared" ca="1" si="44"/>
        <v>#N/A</v>
      </c>
      <c r="AA390" s="75" t="e">
        <f t="shared" ca="1" si="40"/>
        <v>#N/A</v>
      </c>
      <c r="AB390" s="76">
        <f t="shared" ca="1" si="45"/>
        <v>0</v>
      </c>
      <c r="AC390" s="75">
        <f t="shared" ca="1" si="41"/>
        <v>0</v>
      </c>
      <c r="AD390" s="76">
        <f t="shared" ca="1" si="46"/>
        <v>12388.425641087964</v>
      </c>
      <c r="AE390" s="76">
        <f t="shared" si="47"/>
        <v>0</v>
      </c>
      <c r="AF390" s="75">
        <f t="shared" si="42"/>
        <v>0</v>
      </c>
      <c r="AG390" s="75">
        <f t="shared" si="43"/>
        <v>0</v>
      </c>
      <c r="AH390" s="31" t="e" cm="1">
        <f t="array" aca="1" ref="AH390" ca="1">IF((AD390) &lt; (INDEX(ResponseSLA[#All],(MATCH((G390),ResponseSLA[Priority],0))+1,3)),"YES","No")</f>
        <v>#N/A</v>
      </c>
      <c r="AI390" s="31" t="str">
        <f>_xlfn.IFNA(IF(AE390 &lt; (INDEX(SLATable[Minimum SLA],MATCH(G390,SLATable[Priority],0))),"YES","NO"),"")</f>
        <v/>
      </c>
      <c r="AJ390" t="str">
        <f>_xlfn.IFNA(IF(AE390 &lt; (INDEX(SLATable[Maximum SLA],MATCH(G390,SLATable[Priority],0))),"YES","NO"),"")</f>
        <v/>
      </c>
    </row>
    <row r="391" spans="26:36" ht="15" customHeight="1">
      <c r="Z391" s="76" t="e">
        <f t="shared" ca="1" si="44"/>
        <v>#N/A</v>
      </c>
      <c r="AA391" s="75" t="e">
        <f t="shared" ca="1" si="40"/>
        <v>#N/A</v>
      </c>
      <c r="AB391" s="76">
        <f t="shared" ca="1" si="45"/>
        <v>0</v>
      </c>
      <c r="AC391" s="75">
        <f t="shared" ca="1" si="41"/>
        <v>0</v>
      </c>
      <c r="AD391" s="76">
        <f t="shared" ca="1" si="46"/>
        <v>12388.425641203703</v>
      </c>
      <c r="AE391" s="76">
        <f t="shared" si="47"/>
        <v>0</v>
      </c>
      <c r="AF391" s="75">
        <f t="shared" si="42"/>
        <v>0</v>
      </c>
      <c r="AG391" s="75">
        <f t="shared" si="43"/>
        <v>0</v>
      </c>
      <c r="AH391" s="31" t="e" cm="1">
        <f t="array" aca="1" ref="AH391" ca="1">IF((AD391) &lt; (INDEX(ResponseSLA[#All],(MATCH((G391),ResponseSLA[Priority],0))+1,3)),"YES","No")</f>
        <v>#N/A</v>
      </c>
      <c r="AI391" s="31" t="str">
        <f>_xlfn.IFNA(IF(AE391 &lt; (INDEX(SLATable[Minimum SLA],MATCH(G391,SLATable[Priority],0))),"YES","NO"),"")</f>
        <v/>
      </c>
      <c r="AJ391" t="str">
        <f>_xlfn.IFNA(IF(AE391 &lt; (INDEX(SLATable[Maximum SLA],MATCH(G391,SLATable[Priority],0))),"YES","NO"),"")</f>
        <v/>
      </c>
    </row>
    <row r="392" spans="26:36" ht="15" customHeight="1">
      <c r="Z392" s="76" t="e">
        <f t="shared" ca="1" si="44"/>
        <v>#N/A</v>
      </c>
      <c r="AA392" s="75" t="e">
        <f t="shared" ca="1" si="40"/>
        <v>#N/A</v>
      </c>
      <c r="AB392" s="76">
        <f t="shared" ca="1" si="45"/>
        <v>0</v>
      </c>
      <c r="AC392" s="75">
        <f t="shared" ca="1" si="41"/>
        <v>0</v>
      </c>
      <c r="AD392" s="76">
        <f t="shared" ca="1" si="46"/>
        <v>12388.425641203703</v>
      </c>
      <c r="AE392" s="76">
        <f t="shared" si="47"/>
        <v>0</v>
      </c>
      <c r="AF392" s="75">
        <f t="shared" si="42"/>
        <v>0</v>
      </c>
      <c r="AG392" s="75">
        <f t="shared" si="43"/>
        <v>0</v>
      </c>
      <c r="AH392" s="31" t="e" cm="1">
        <f t="array" aca="1" ref="AH392" ca="1">IF((AD392) &lt; (INDEX(ResponseSLA[#All],(MATCH((G392),ResponseSLA[Priority],0))+1,3)),"YES","No")</f>
        <v>#N/A</v>
      </c>
      <c r="AI392" s="31" t="str">
        <f>_xlfn.IFNA(IF(AE392 &lt; (INDEX(SLATable[Minimum SLA],MATCH(G392,SLATable[Priority],0))),"YES","NO"),"")</f>
        <v/>
      </c>
      <c r="AJ392" t="str">
        <f>_xlfn.IFNA(IF(AE392 &lt; (INDEX(SLATable[Maximum SLA],MATCH(G392,SLATable[Priority],0))),"YES","NO"),"")</f>
        <v/>
      </c>
    </row>
    <row r="393" spans="26:36" ht="15" customHeight="1">
      <c r="Z393" s="76" t="e">
        <f t="shared" ca="1" si="44"/>
        <v>#N/A</v>
      </c>
      <c r="AA393" s="75" t="e">
        <f t="shared" ca="1" si="40"/>
        <v>#N/A</v>
      </c>
      <c r="AB393" s="76">
        <f t="shared" ca="1" si="45"/>
        <v>0</v>
      </c>
      <c r="AC393" s="75">
        <f t="shared" ca="1" si="41"/>
        <v>0</v>
      </c>
      <c r="AD393" s="76">
        <f t="shared" ca="1" si="46"/>
        <v>12388.425641087964</v>
      </c>
      <c r="AE393" s="76">
        <f t="shared" si="47"/>
        <v>0</v>
      </c>
      <c r="AF393" s="75">
        <f t="shared" si="42"/>
        <v>0</v>
      </c>
      <c r="AG393" s="75">
        <f t="shared" si="43"/>
        <v>0</v>
      </c>
      <c r="AH393" s="31" t="e" cm="1">
        <f t="array" aca="1" ref="AH393" ca="1">IF((AD393) &lt; (INDEX(ResponseSLA[#All],(MATCH((G393),ResponseSLA[Priority],0))+1,3)),"YES","No")</f>
        <v>#N/A</v>
      </c>
      <c r="AI393" s="31" t="str">
        <f>_xlfn.IFNA(IF(AE393 &lt; (INDEX(SLATable[Minimum SLA],MATCH(G393,SLATable[Priority],0))),"YES","NO"),"")</f>
        <v/>
      </c>
      <c r="AJ393" t="str">
        <f>_xlfn.IFNA(IF(AE393 &lt; (INDEX(SLATable[Maximum SLA],MATCH(G393,SLATable[Priority],0))),"YES","NO"),"")</f>
        <v/>
      </c>
    </row>
    <row r="394" spans="26:36" ht="15" customHeight="1">
      <c r="Z394" s="76" t="e">
        <f t="shared" ca="1" si="44"/>
        <v>#N/A</v>
      </c>
      <c r="AA394" s="75" t="e">
        <f t="shared" ca="1" si="40"/>
        <v>#N/A</v>
      </c>
      <c r="AB394" s="76">
        <f t="shared" ca="1" si="45"/>
        <v>0</v>
      </c>
      <c r="AC394" s="75">
        <f t="shared" ca="1" si="41"/>
        <v>0</v>
      </c>
      <c r="AD394" s="76">
        <f t="shared" ca="1" si="46"/>
        <v>12388.425641203703</v>
      </c>
      <c r="AE394" s="76">
        <f t="shared" si="47"/>
        <v>0</v>
      </c>
      <c r="AF394" s="75">
        <f t="shared" si="42"/>
        <v>0</v>
      </c>
      <c r="AG394" s="75">
        <f t="shared" si="43"/>
        <v>0</v>
      </c>
      <c r="AH394" s="31" t="e" cm="1">
        <f t="array" aca="1" ref="AH394" ca="1">IF((AD394) &lt; (INDEX(ResponseSLA[#All],(MATCH((G394),ResponseSLA[Priority],0))+1,3)),"YES","No")</f>
        <v>#N/A</v>
      </c>
      <c r="AI394" s="31" t="str">
        <f>_xlfn.IFNA(IF(AE394 &lt; (INDEX(SLATable[Minimum SLA],MATCH(G394,SLATable[Priority],0))),"YES","NO"),"")</f>
        <v/>
      </c>
      <c r="AJ394" t="str">
        <f>_xlfn.IFNA(IF(AE394 &lt; (INDEX(SLATable[Maximum SLA],MATCH(G394,SLATable[Priority],0))),"YES","NO"),"")</f>
        <v/>
      </c>
    </row>
    <row r="395" spans="26:36" ht="15" customHeight="1">
      <c r="Z395" s="76" t="e">
        <f t="shared" ca="1" si="44"/>
        <v>#N/A</v>
      </c>
      <c r="AA395" s="75" t="e">
        <f t="shared" ca="1" si="40"/>
        <v>#N/A</v>
      </c>
      <c r="AB395" s="76">
        <f t="shared" ca="1" si="45"/>
        <v>0</v>
      </c>
      <c r="AC395" s="75">
        <f t="shared" ca="1" si="41"/>
        <v>0</v>
      </c>
      <c r="AD395" s="76">
        <f t="shared" ca="1" si="46"/>
        <v>12388.425641203703</v>
      </c>
      <c r="AE395" s="76">
        <f t="shared" si="47"/>
        <v>0</v>
      </c>
      <c r="AF395" s="75">
        <f t="shared" si="42"/>
        <v>0</v>
      </c>
      <c r="AG395" s="75">
        <f t="shared" si="43"/>
        <v>0</v>
      </c>
      <c r="AH395" s="31" t="e" cm="1">
        <f t="array" aca="1" ref="AH395" ca="1">IF((AD395) &lt; (INDEX(ResponseSLA[#All],(MATCH((G395),ResponseSLA[Priority],0))+1,3)),"YES","No")</f>
        <v>#N/A</v>
      </c>
      <c r="AI395" s="31" t="str">
        <f>_xlfn.IFNA(IF(AE395 &lt; (INDEX(SLATable[Minimum SLA],MATCH(G395,SLATable[Priority],0))),"YES","NO"),"")</f>
        <v/>
      </c>
      <c r="AJ395" t="str">
        <f>_xlfn.IFNA(IF(AE395 &lt; (INDEX(SLATable[Maximum SLA],MATCH(G395,SLATable[Priority],0))),"YES","NO"),"")</f>
        <v/>
      </c>
    </row>
    <row r="396" spans="26:36" ht="15" customHeight="1">
      <c r="Z396" s="76" t="e">
        <f t="shared" ca="1" si="44"/>
        <v>#N/A</v>
      </c>
      <c r="AA396" s="75" t="e">
        <f t="shared" ca="1" si="40"/>
        <v>#N/A</v>
      </c>
      <c r="AB396" s="76">
        <f t="shared" ca="1" si="45"/>
        <v>0</v>
      </c>
      <c r="AC396" s="75">
        <f t="shared" ca="1" si="41"/>
        <v>0</v>
      </c>
      <c r="AD396" s="76">
        <f t="shared" ca="1" si="46"/>
        <v>12388.425641087964</v>
      </c>
      <c r="AE396" s="76">
        <f t="shared" si="47"/>
        <v>0</v>
      </c>
      <c r="AF396" s="75">
        <f t="shared" si="42"/>
        <v>0</v>
      </c>
      <c r="AG396" s="75">
        <f t="shared" si="43"/>
        <v>0</v>
      </c>
      <c r="AH396" s="31" t="e" cm="1">
        <f t="array" aca="1" ref="AH396" ca="1">IF((AD396) &lt; (INDEX(ResponseSLA[#All],(MATCH((G396),ResponseSLA[Priority],0))+1,3)),"YES","No")</f>
        <v>#N/A</v>
      </c>
      <c r="AI396" s="31" t="str">
        <f>_xlfn.IFNA(IF(AE396 &lt; (INDEX(SLATable[Minimum SLA],MATCH(G396,SLATable[Priority],0))),"YES","NO"),"")</f>
        <v/>
      </c>
      <c r="AJ396" t="str">
        <f>_xlfn.IFNA(IF(AE396 &lt; (INDEX(SLATable[Maximum SLA],MATCH(G396,SLATable[Priority],0))),"YES","NO"),"")</f>
        <v/>
      </c>
    </row>
    <row r="397" spans="26:36" ht="15" customHeight="1">
      <c r="Z397" s="76" t="e">
        <f t="shared" ca="1" si="44"/>
        <v>#N/A</v>
      </c>
      <c r="AA397" s="75" t="e">
        <f t="shared" ca="1" si="40"/>
        <v>#N/A</v>
      </c>
      <c r="AB397" s="76">
        <f t="shared" ca="1" si="45"/>
        <v>0</v>
      </c>
      <c r="AC397" s="75">
        <f t="shared" ca="1" si="41"/>
        <v>0</v>
      </c>
      <c r="AD397" s="76">
        <f t="shared" ca="1" si="46"/>
        <v>12388.425641203703</v>
      </c>
      <c r="AE397" s="76">
        <f t="shared" si="47"/>
        <v>0</v>
      </c>
      <c r="AF397" s="75">
        <f t="shared" si="42"/>
        <v>0</v>
      </c>
      <c r="AG397" s="75">
        <f t="shared" si="43"/>
        <v>0</v>
      </c>
      <c r="AH397" s="31" t="e" cm="1">
        <f t="array" aca="1" ref="AH397" ca="1">IF((AD397) &lt; (INDEX(ResponseSLA[#All],(MATCH((G397),ResponseSLA[Priority],0))+1,3)),"YES","No")</f>
        <v>#N/A</v>
      </c>
      <c r="AI397" s="31" t="str">
        <f>_xlfn.IFNA(IF(AE397 &lt; (INDEX(SLATable[Minimum SLA],MATCH(G397,SLATable[Priority],0))),"YES","NO"),"")</f>
        <v/>
      </c>
      <c r="AJ397" t="str">
        <f>_xlfn.IFNA(IF(AE397 &lt; (INDEX(SLATable[Maximum SLA],MATCH(G397,SLATable[Priority],0))),"YES","NO"),"")</f>
        <v/>
      </c>
    </row>
    <row r="398" spans="26:36" ht="15" customHeight="1">
      <c r="Z398" s="76" t="e">
        <f t="shared" ca="1" si="44"/>
        <v>#N/A</v>
      </c>
      <c r="AA398" s="75" t="e">
        <f t="shared" ca="1" si="40"/>
        <v>#N/A</v>
      </c>
      <c r="AB398" s="76">
        <f t="shared" ca="1" si="45"/>
        <v>0</v>
      </c>
      <c r="AC398" s="75">
        <f t="shared" ca="1" si="41"/>
        <v>0</v>
      </c>
      <c r="AD398" s="76">
        <f t="shared" ca="1" si="46"/>
        <v>12388.425641203703</v>
      </c>
      <c r="AE398" s="76">
        <f t="shared" si="47"/>
        <v>0</v>
      </c>
      <c r="AF398" s="75">
        <f t="shared" si="42"/>
        <v>0</v>
      </c>
      <c r="AG398" s="75">
        <f t="shared" si="43"/>
        <v>0</v>
      </c>
      <c r="AH398" s="31" t="e" cm="1">
        <f t="array" aca="1" ref="AH398" ca="1">IF((AD398) &lt; (INDEX(ResponseSLA[#All],(MATCH((G398),ResponseSLA[Priority],0))+1,3)),"YES","No")</f>
        <v>#N/A</v>
      </c>
      <c r="AI398" s="31" t="str">
        <f>_xlfn.IFNA(IF(AE398 &lt; (INDEX(SLATable[Minimum SLA],MATCH(G398,SLATable[Priority],0))),"YES","NO"),"")</f>
        <v/>
      </c>
      <c r="AJ398" t="str">
        <f>_xlfn.IFNA(IF(AE398 &lt; (INDEX(SLATable[Maximum SLA],MATCH(G398,SLATable[Priority],0))),"YES","NO"),"")</f>
        <v/>
      </c>
    </row>
    <row r="399" spans="26:36" ht="15" customHeight="1">
      <c r="Z399" s="76" t="e">
        <f t="shared" ca="1" si="44"/>
        <v>#N/A</v>
      </c>
      <c r="AA399" s="75" t="e">
        <f t="shared" ca="1" si="40"/>
        <v>#N/A</v>
      </c>
      <c r="AB399" s="76">
        <f t="shared" ca="1" si="45"/>
        <v>0</v>
      </c>
      <c r="AC399" s="75">
        <f t="shared" ca="1" si="41"/>
        <v>0</v>
      </c>
      <c r="AD399" s="76">
        <f t="shared" ca="1" si="46"/>
        <v>12388.425641087964</v>
      </c>
      <c r="AE399" s="76">
        <f t="shared" si="47"/>
        <v>0</v>
      </c>
      <c r="AF399" s="75">
        <f t="shared" si="42"/>
        <v>0</v>
      </c>
      <c r="AG399" s="75">
        <f t="shared" si="43"/>
        <v>0</v>
      </c>
      <c r="AH399" s="31" t="e" cm="1">
        <f t="array" aca="1" ref="AH399" ca="1">IF((AD399) &lt; (INDEX(ResponseSLA[#All],(MATCH((G399),ResponseSLA[Priority],0))+1,3)),"YES","No")</f>
        <v>#N/A</v>
      </c>
      <c r="AI399" s="31" t="str">
        <f>_xlfn.IFNA(IF(AE399 &lt; (INDEX(SLATable[Minimum SLA],MATCH(G399,SLATable[Priority],0))),"YES","NO"),"")</f>
        <v/>
      </c>
      <c r="AJ399" t="str">
        <f>_xlfn.IFNA(IF(AE399 &lt; (INDEX(SLATable[Maximum SLA],MATCH(G399,SLATable[Priority],0))),"YES","NO"),"")</f>
        <v/>
      </c>
    </row>
    <row r="400" spans="26:36" ht="15" customHeight="1">
      <c r="Z400" s="76" t="e">
        <f t="shared" ca="1" si="44"/>
        <v>#N/A</v>
      </c>
      <c r="AA400" s="75" t="e">
        <f t="shared" ca="1" si="40"/>
        <v>#N/A</v>
      </c>
      <c r="AB400" s="76">
        <f t="shared" ca="1" si="45"/>
        <v>0</v>
      </c>
      <c r="AC400" s="75">
        <f t="shared" ca="1" si="41"/>
        <v>0</v>
      </c>
      <c r="AD400" s="76">
        <f t="shared" ca="1" si="46"/>
        <v>12388.425641203703</v>
      </c>
      <c r="AE400" s="76">
        <f t="shared" si="47"/>
        <v>0</v>
      </c>
      <c r="AF400" s="75">
        <f t="shared" si="42"/>
        <v>0</v>
      </c>
      <c r="AG400" s="75">
        <f t="shared" si="43"/>
        <v>0</v>
      </c>
      <c r="AH400" s="31" t="e" cm="1">
        <f t="array" aca="1" ref="AH400" ca="1">IF((AD400) &lt; (INDEX(ResponseSLA[#All],(MATCH((G400),ResponseSLA[Priority],0))+1,3)),"YES","No")</f>
        <v>#N/A</v>
      </c>
      <c r="AI400" s="31" t="str">
        <f>_xlfn.IFNA(IF(AE400 &lt; (INDEX(SLATable[Minimum SLA],MATCH(G400,SLATable[Priority],0))),"YES","NO"),"")</f>
        <v/>
      </c>
      <c r="AJ400" t="str">
        <f>_xlfn.IFNA(IF(AE400 &lt; (INDEX(SLATable[Maximum SLA],MATCH(G400,SLATable[Priority],0))),"YES","NO"),"")</f>
        <v/>
      </c>
    </row>
    <row r="401" spans="26:36" ht="15" customHeight="1">
      <c r="Z401" s="76" t="e">
        <f t="shared" ca="1" si="44"/>
        <v>#N/A</v>
      </c>
      <c r="AA401" s="75" t="e">
        <f t="shared" ca="1" si="40"/>
        <v>#N/A</v>
      </c>
      <c r="AB401" s="76">
        <f t="shared" ca="1" si="45"/>
        <v>0</v>
      </c>
      <c r="AC401" s="75">
        <f t="shared" ca="1" si="41"/>
        <v>0</v>
      </c>
      <c r="AD401" s="76">
        <f t="shared" ca="1" si="46"/>
        <v>12388.425641203703</v>
      </c>
      <c r="AE401" s="76">
        <f t="shared" si="47"/>
        <v>0</v>
      </c>
      <c r="AF401" s="75">
        <f t="shared" si="42"/>
        <v>0</v>
      </c>
      <c r="AG401" s="75">
        <f t="shared" si="43"/>
        <v>0</v>
      </c>
      <c r="AH401" s="31" t="e" cm="1">
        <f t="array" aca="1" ref="AH401" ca="1">IF((AD401) &lt; (INDEX(ResponseSLA[#All],(MATCH((G401),ResponseSLA[Priority],0))+1,3)),"YES","No")</f>
        <v>#N/A</v>
      </c>
      <c r="AI401" s="31" t="str">
        <f>_xlfn.IFNA(IF(AE401 &lt; (INDEX(SLATable[Minimum SLA],MATCH(G401,SLATable[Priority],0))),"YES","NO"),"")</f>
        <v/>
      </c>
      <c r="AJ401" t="str">
        <f>_xlfn.IFNA(IF(AE401 &lt; (INDEX(SLATable[Maximum SLA],MATCH(G401,SLATable[Priority],0))),"YES","NO"),"")</f>
        <v/>
      </c>
    </row>
    <row r="402" spans="26:36" ht="15" customHeight="1">
      <c r="Z402" s="76" t="e">
        <f t="shared" ca="1" si="44"/>
        <v>#N/A</v>
      </c>
      <c r="AA402" s="75" t="e">
        <f t="shared" ca="1" si="40"/>
        <v>#N/A</v>
      </c>
      <c r="AB402" s="76">
        <f t="shared" ca="1" si="45"/>
        <v>0</v>
      </c>
      <c r="AC402" s="75">
        <f t="shared" ca="1" si="41"/>
        <v>0</v>
      </c>
      <c r="AD402" s="76">
        <f t="shared" ca="1" si="46"/>
        <v>12388.425641087964</v>
      </c>
      <c r="AE402" s="76">
        <f t="shared" si="47"/>
        <v>0</v>
      </c>
      <c r="AF402" s="75">
        <f t="shared" si="42"/>
        <v>0</v>
      </c>
      <c r="AG402" s="75">
        <f t="shared" si="43"/>
        <v>0</v>
      </c>
      <c r="AH402" s="31" t="e" cm="1">
        <f t="array" aca="1" ref="AH402" ca="1">IF((AD402) &lt; (INDEX(ResponseSLA[#All],(MATCH((G402),ResponseSLA[Priority],0))+1,3)),"YES","No")</f>
        <v>#N/A</v>
      </c>
      <c r="AI402" s="31" t="str">
        <f>_xlfn.IFNA(IF(AE402 &lt; (INDEX(SLATable[Minimum SLA],MATCH(G402,SLATable[Priority],0))),"YES","NO"),"")</f>
        <v/>
      </c>
      <c r="AJ402" t="str">
        <f>_xlfn.IFNA(IF(AE402 &lt; (INDEX(SLATable[Maximum SLA],MATCH(G402,SLATable[Priority],0))),"YES","NO"),"")</f>
        <v/>
      </c>
    </row>
    <row r="403" spans="26:36" ht="15" customHeight="1">
      <c r="Z403" s="76" t="e">
        <f t="shared" ca="1" si="44"/>
        <v>#N/A</v>
      </c>
      <c r="AA403" s="75" t="e">
        <f t="shared" ca="1" si="40"/>
        <v>#N/A</v>
      </c>
      <c r="AB403" s="76">
        <f t="shared" ca="1" si="45"/>
        <v>0</v>
      </c>
      <c r="AC403" s="75">
        <f t="shared" ca="1" si="41"/>
        <v>0</v>
      </c>
      <c r="AD403" s="76">
        <f t="shared" ca="1" si="46"/>
        <v>12388.425641203703</v>
      </c>
      <c r="AE403" s="76">
        <f t="shared" si="47"/>
        <v>0</v>
      </c>
      <c r="AF403" s="75">
        <f t="shared" si="42"/>
        <v>0</v>
      </c>
      <c r="AG403" s="75">
        <f t="shared" si="43"/>
        <v>0</v>
      </c>
      <c r="AH403" s="31" t="e" cm="1">
        <f t="array" aca="1" ref="AH403" ca="1">IF((AD403) &lt; (INDEX(ResponseSLA[#All],(MATCH((G403),ResponseSLA[Priority],0))+1,3)),"YES","No")</f>
        <v>#N/A</v>
      </c>
      <c r="AI403" s="31" t="str">
        <f>_xlfn.IFNA(IF(AE403 &lt; (INDEX(SLATable[Minimum SLA],MATCH(G403,SLATable[Priority],0))),"YES","NO"),"")</f>
        <v/>
      </c>
      <c r="AJ403" t="str">
        <f>_xlfn.IFNA(IF(AE403 &lt; (INDEX(SLATable[Maximum SLA],MATCH(G403,SLATable[Priority],0))),"YES","NO"),"")</f>
        <v/>
      </c>
    </row>
    <row r="404" spans="26:36" ht="15" customHeight="1">
      <c r="Z404" s="76" t="e">
        <f t="shared" ca="1" si="44"/>
        <v>#N/A</v>
      </c>
      <c r="AA404" s="75" t="e">
        <f t="shared" ca="1" si="40"/>
        <v>#N/A</v>
      </c>
      <c r="AB404" s="76">
        <f t="shared" ca="1" si="45"/>
        <v>0</v>
      </c>
      <c r="AC404" s="75">
        <f t="shared" ca="1" si="41"/>
        <v>0</v>
      </c>
      <c r="AD404" s="76">
        <f t="shared" ca="1" si="46"/>
        <v>12388.425641203703</v>
      </c>
      <c r="AE404" s="76">
        <f t="shared" si="47"/>
        <v>0</v>
      </c>
      <c r="AF404" s="75">
        <f t="shared" si="42"/>
        <v>0</v>
      </c>
      <c r="AG404" s="75">
        <f t="shared" si="43"/>
        <v>0</v>
      </c>
      <c r="AH404" s="31" t="e" cm="1">
        <f t="array" aca="1" ref="AH404" ca="1">IF((AD404) &lt; (INDEX(ResponseSLA[#All],(MATCH((G404),ResponseSLA[Priority],0))+1,3)),"YES","No")</f>
        <v>#N/A</v>
      </c>
      <c r="AI404" s="31" t="str">
        <f>_xlfn.IFNA(IF(AE404 &lt; (INDEX(SLATable[Minimum SLA],MATCH(G404,SLATable[Priority],0))),"YES","NO"),"")</f>
        <v/>
      </c>
      <c r="AJ404" t="str">
        <f>_xlfn.IFNA(IF(AE404 &lt; (INDEX(SLATable[Maximum SLA],MATCH(G404,SLATable[Priority],0))),"YES","NO"),"")</f>
        <v/>
      </c>
    </row>
    <row r="405" spans="26:36" ht="15" customHeight="1">
      <c r="Z405" s="76" t="e">
        <f t="shared" ca="1" si="44"/>
        <v>#N/A</v>
      </c>
      <c r="AA405" s="75" t="e">
        <f t="shared" ca="1" si="40"/>
        <v>#N/A</v>
      </c>
      <c r="AB405" s="76">
        <f t="shared" ca="1" si="45"/>
        <v>0</v>
      </c>
      <c r="AC405" s="75">
        <f t="shared" ca="1" si="41"/>
        <v>0</v>
      </c>
      <c r="AD405" s="76">
        <f t="shared" ca="1" si="46"/>
        <v>12388.425641087964</v>
      </c>
      <c r="AE405" s="76">
        <f t="shared" si="47"/>
        <v>0</v>
      </c>
      <c r="AF405" s="75">
        <f t="shared" si="42"/>
        <v>0</v>
      </c>
      <c r="AG405" s="75">
        <f t="shared" si="43"/>
        <v>0</v>
      </c>
      <c r="AH405" s="31" t="e" cm="1">
        <f t="array" aca="1" ref="AH405" ca="1">IF((AD405) &lt; (INDEX(ResponseSLA[#All],(MATCH((G405),ResponseSLA[Priority],0))+1,3)),"YES","No")</f>
        <v>#N/A</v>
      </c>
      <c r="AI405" s="31" t="str">
        <f>_xlfn.IFNA(IF(AE405 &lt; (INDEX(SLATable[Minimum SLA],MATCH(G405,SLATable[Priority],0))),"YES","NO"),"")</f>
        <v/>
      </c>
      <c r="AJ405" t="str">
        <f>_xlfn.IFNA(IF(AE405 &lt; (INDEX(SLATable[Maximum SLA],MATCH(G405,SLATable[Priority],0))),"YES","NO"),"")</f>
        <v/>
      </c>
    </row>
    <row r="406" spans="26:36" ht="15" customHeight="1">
      <c r="Z406" s="76" t="e">
        <f t="shared" ca="1" si="44"/>
        <v>#N/A</v>
      </c>
      <c r="AA406" s="75" t="e">
        <f t="shared" ca="1" si="40"/>
        <v>#N/A</v>
      </c>
      <c r="AB406" s="76">
        <f t="shared" ca="1" si="45"/>
        <v>0</v>
      </c>
      <c r="AC406" s="75">
        <f t="shared" ca="1" si="41"/>
        <v>0</v>
      </c>
      <c r="AD406" s="76">
        <f t="shared" ca="1" si="46"/>
        <v>12388.425641203703</v>
      </c>
      <c r="AE406" s="76">
        <f t="shared" si="47"/>
        <v>0</v>
      </c>
      <c r="AF406" s="75">
        <f t="shared" si="42"/>
        <v>0</v>
      </c>
      <c r="AG406" s="75">
        <f t="shared" si="43"/>
        <v>0</v>
      </c>
      <c r="AH406" s="31" t="e" cm="1">
        <f t="array" aca="1" ref="AH406" ca="1">IF((AD406) &lt; (INDEX(ResponseSLA[#All],(MATCH((G406),ResponseSLA[Priority],0))+1,3)),"YES","No")</f>
        <v>#N/A</v>
      </c>
      <c r="AI406" s="31" t="str">
        <f>_xlfn.IFNA(IF(AE406 &lt; (INDEX(SLATable[Minimum SLA],MATCH(G406,SLATable[Priority],0))),"YES","NO"),"")</f>
        <v/>
      </c>
      <c r="AJ406" t="str">
        <f>_xlfn.IFNA(IF(AE406 &lt; (INDEX(SLATable[Maximum SLA],MATCH(G406,SLATable[Priority],0))),"YES","NO"),"")</f>
        <v/>
      </c>
    </row>
    <row r="407" spans="26:36" ht="15" customHeight="1">
      <c r="Z407" s="76" t="e">
        <f t="shared" ca="1" si="44"/>
        <v>#N/A</v>
      </c>
      <c r="AA407" s="75" t="e">
        <f t="shared" ca="1" si="40"/>
        <v>#N/A</v>
      </c>
      <c r="AB407" s="76">
        <f t="shared" ca="1" si="45"/>
        <v>0</v>
      </c>
      <c r="AC407" s="75">
        <f t="shared" ca="1" si="41"/>
        <v>0</v>
      </c>
      <c r="AD407" s="76">
        <f t="shared" ca="1" si="46"/>
        <v>12388.425641203703</v>
      </c>
      <c r="AE407" s="76">
        <f t="shared" si="47"/>
        <v>0</v>
      </c>
      <c r="AF407" s="75">
        <f t="shared" si="42"/>
        <v>0</v>
      </c>
      <c r="AG407" s="75">
        <f t="shared" si="43"/>
        <v>0</v>
      </c>
      <c r="AH407" s="31" t="e" cm="1">
        <f t="array" aca="1" ref="AH407" ca="1">IF((AD407) &lt; (INDEX(ResponseSLA[#All],(MATCH((G407),ResponseSLA[Priority],0))+1,3)),"YES","No")</f>
        <v>#N/A</v>
      </c>
      <c r="AI407" s="31" t="str">
        <f>_xlfn.IFNA(IF(AE407 &lt; (INDEX(SLATable[Minimum SLA],MATCH(G407,SLATable[Priority],0))),"YES","NO"),"")</f>
        <v/>
      </c>
      <c r="AJ407" t="str">
        <f>_xlfn.IFNA(IF(AE407 &lt; (INDEX(SLATable[Maximum SLA],MATCH(G407,SLATable[Priority],0))),"YES","NO"),"")</f>
        <v/>
      </c>
    </row>
    <row r="408" spans="26:36" ht="15" customHeight="1">
      <c r="Z408" s="76" t="e">
        <f t="shared" ca="1" si="44"/>
        <v>#N/A</v>
      </c>
      <c r="AA408" s="75" t="e">
        <f t="shared" ca="1" si="40"/>
        <v>#N/A</v>
      </c>
      <c r="AB408" s="76">
        <f t="shared" ca="1" si="45"/>
        <v>0</v>
      </c>
      <c r="AC408" s="75">
        <f t="shared" ca="1" si="41"/>
        <v>0</v>
      </c>
      <c r="AD408" s="76">
        <f t="shared" ca="1" si="46"/>
        <v>12388.425641087964</v>
      </c>
      <c r="AE408" s="76">
        <f t="shared" si="47"/>
        <v>0</v>
      </c>
      <c r="AF408" s="75">
        <f t="shared" si="42"/>
        <v>0</v>
      </c>
      <c r="AG408" s="75">
        <f t="shared" si="43"/>
        <v>0</v>
      </c>
      <c r="AH408" s="31" t="e" cm="1">
        <f t="array" aca="1" ref="AH408" ca="1">IF((AD408) &lt; (INDEX(ResponseSLA[#All],(MATCH((G408),ResponseSLA[Priority],0))+1,3)),"YES","No")</f>
        <v>#N/A</v>
      </c>
      <c r="AI408" s="31" t="str">
        <f>_xlfn.IFNA(IF(AE408 &lt; (INDEX(SLATable[Minimum SLA],MATCH(G408,SLATable[Priority],0))),"YES","NO"),"")</f>
        <v/>
      </c>
      <c r="AJ408" t="str">
        <f>_xlfn.IFNA(IF(AE408 &lt; (INDEX(SLATable[Maximum SLA],MATCH(G408,SLATable[Priority],0))),"YES","NO"),"")</f>
        <v/>
      </c>
    </row>
    <row r="409" spans="26:36" ht="15" customHeight="1">
      <c r="Z409" s="76" t="e">
        <f t="shared" ca="1" si="44"/>
        <v>#N/A</v>
      </c>
      <c r="AA409" s="75" t="e">
        <f t="shared" ca="1" si="40"/>
        <v>#N/A</v>
      </c>
      <c r="AB409" s="76">
        <f t="shared" ca="1" si="45"/>
        <v>0</v>
      </c>
      <c r="AC409" s="75">
        <f t="shared" ca="1" si="41"/>
        <v>0</v>
      </c>
      <c r="AD409" s="76">
        <f t="shared" ca="1" si="46"/>
        <v>12388.425641203703</v>
      </c>
      <c r="AE409" s="76">
        <f t="shared" si="47"/>
        <v>0</v>
      </c>
      <c r="AF409" s="75">
        <f t="shared" si="42"/>
        <v>0</v>
      </c>
      <c r="AG409" s="75">
        <f t="shared" si="43"/>
        <v>0</v>
      </c>
      <c r="AH409" s="31" t="e" cm="1">
        <f t="array" aca="1" ref="AH409" ca="1">IF((AD409) &lt; (INDEX(ResponseSLA[#All],(MATCH((G409),ResponseSLA[Priority],0))+1,3)),"YES","No")</f>
        <v>#N/A</v>
      </c>
      <c r="AI409" s="31" t="str">
        <f>_xlfn.IFNA(IF(AE409 &lt; (INDEX(SLATable[Minimum SLA],MATCH(G409,SLATable[Priority],0))),"YES","NO"),"")</f>
        <v/>
      </c>
      <c r="AJ409" t="str">
        <f>_xlfn.IFNA(IF(AE409 &lt; (INDEX(SLATable[Maximum SLA],MATCH(G409,SLATable[Priority],0))),"YES","NO"),"")</f>
        <v/>
      </c>
    </row>
    <row r="410" spans="26:36" ht="15" customHeight="1">
      <c r="Z410" s="76" t="e">
        <f t="shared" ca="1" si="44"/>
        <v>#N/A</v>
      </c>
      <c r="AA410" s="75" t="e">
        <f t="shared" ca="1" si="40"/>
        <v>#N/A</v>
      </c>
      <c r="AB410" s="76">
        <f t="shared" ca="1" si="45"/>
        <v>0</v>
      </c>
      <c r="AC410" s="75">
        <f t="shared" ca="1" si="41"/>
        <v>0</v>
      </c>
      <c r="AD410" s="76">
        <f t="shared" ca="1" si="46"/>
        <v>12388.425641203703</v>
      </c>
      <c r="AE410" s="76">
        <f t="shared" si="47"/>
        <v>0</v>
      </c>
      <c r="AF410" s="75">
        <f t="shared" si="42"/>
        <v>0</v>
      </c>
      <c r="AG410" s="75">
        <f t="shared" si="43"/>
        <v>0</v>
      </c>
      <c r="AH410" s="31" t="e" cm="1">
        <f t="array" aca="1" ref="AH410" ca="1">IF((AD410) &lt; (INDEX(ResponseSLA[#All],(MATCH((G410),ResponseSLA[Priority],0))+1,3)),"YES","No")</f>
        <v>#N/A</v>
      </c>
      <c r="AI410" s="31" t="str">
        <f>_xlfn.IFNA(IF(AE410 &lt; (INDEX(SLATable[Minimum SLA],MATCH(G410,SLATable[Priority],0))),"YES","NO"),"")</f>
        <v/>
      </c>
      <c r="AJ410" t="str">
        <f>_xlfn.IFNA(IF(AE410 &lt; (INDEX(SLATable[Maximum SLA],MATCH(G410,SLATable[Priority],0))),"YES","NO"),"")</f>
        <v/>
      </c>
    </row>
    <row r="411" spans="26:36" ht="15" customHeight="1">
      <c r="Z411" s="76" t="e">
        <f t="shared" ca="1" si="44"/>
        <v>#N/A</v>
      </c>
      <c r="AA411" s="75" t="e">
        <f t="shared" ca="1" si="40"/>
        <v>#N/A</v>
      </c>
      <c r="AB411" s="76">
        <f t="shared" ca="1" si="45"/>
        <v>0</v>
      </c>
      <c r="AC411" s="75">
        <f t="shared" ca="1" si="41"/>
        <v>0</v>
      </c>
      <c r="AD411" s="76">
        <f t="shared" ca="1" si="46"/>
        <v>12388.425641087964</v>
      </c>
      <c r="AE411" s="76">
        <f t="shared" si="47"/>
        <v>0</v>
      </c>
      <c r="AF411" s="75">
        <f t="shared" si="42"/>
        <v>0</v>
      </c>
      <c r="AG411" s="75">
        <f t="shared" si="43"/>
        <v>0</v>
      </c>
      <c r="AH411" s="31" t="e" cm="1">
        <f t="array" aca="1" ref="AH411" ca="1">IF((AD411) &lt; (INDEX(ResponseSLA[#All],(MATCH((G411),ResponseSLA[Priority],0))+1,3)),"YES","No")</f>
        <v>#N/A</v>
      </c>
      <c r="AI411" s="31" t="str">
        <f>_xlfn.IFNA(IF(AE411 &lt; (INDEX(SLATable[Minimum SLA],MATCH(G411,SLATable[Priority],0))),"YES","NO"),"")</f>
        <v/>
      </c>
      <c r="AJ411" t="str">
        <f>_xlfn.IFNA(IF(AE411 &lt; (INDEX(SLATable[Maximum SLA],MATCH(G411,SLATable[Priority],0))),"YES","NO"),"")</f>
        <v/>
      </c>
    </row>
    <row r="412" spans="26:36" ht="15" customHeight="1">
      <c r="Z412" s="76" t="e">
        <f t="shared" ca="1" si="44"/>
        <v>#N/A</v>
      </c>
      <c r="AA412" s="75" t="e">
        <f t="shared" ca="1" si="40"/>
        <v>#N/A</v>
      </c>
      <c r="AB412" s="76">
        <f t="shared" ca="1" si="45"/>
        <v>0</v>
      </c>
      <c r="AC412" s="75">
        <f t="shared" ca="1" si="41"/>
        <v>0</v>
      </c>
      <c r="AD412" s="76">
        <f t="shared" ca="1" si="46"/>
        <v>12388.425641203703</v>
      </c>
      <c r="AE412" s="76">
        <f t="shared" si="47"/>
        <v>0</v>
      </c>
      <c r="AF412" s="75">
        <f t="shared" si="42"/>
        <v>0</v>
      </c>
      <c r="AG412" s="75">
        <f t="shared" si="43"/>
        <v>0</v>
      </c>
      <c r="AH412" s="31" t="e" cm="1">
        <f t="array" aca="1" ref="AH412" ca="1">IF((AD412) &lt; (INDEX(ResponseSLA[#All],(MATCH((G412),ResponseSLA[Priority],0))+1,3)),"YES","No")</f>
        <v>#N/A</v>
      </c>
      <c r="AI412" s="31" t="str">
        <f>_xlfn.IFNA(IF(AE412 &lt; (INDEX(SLATable[Minimum SLA],MATCH(G412,SLATable[Priority],0))),"YES","NO"),"")</f>
        <v/>
      </c>
      <c r="AJ412" t="str">
        <f>_xlfn.IFNA(IF(AE412 &lt; (INDEX(SLATable[Maximum SLA],MATCH(G412,SLATable[Priority],0))),"YES","NO"),"")</f>
        <v/>
      </c>
    </row>
    <row r="413" spans="26:36" ht="15" customHeight="1">
      <c r="Z413" s="76" t="e">
        <f t="shared" ca="1" si="44"/>
        <v>#N/A</v>
      </c>
      <c r="AA413" s="75" t="e">
        <f t="shared" ca="1" si="40"/>
        <v>#N/A</v>
      </c>
      <c r="AB413" s="76">
        <f t="shared" ca="1" si="45"/>
        <v>0</v>
      </c>
      <c r="AC413" s="75">
        <f t="shared" ca="1" si="41"/>
        <v>0</v>
      </c>
      <c r="AD413" s="76">
        <f t="shared" ca="1" si="46"/>
        <v>12388.425641203703</v>
      </c>
      <c r="AE413" s="76">
        <f t="shared" si="47"/>
        <v>0</v>
      </c>
      <c r="AF413" s="75">
        <f t="shared" si="42"/>
        <v>0</v>
      </c>
      <c r="AG413" s="75">
        <f t="shared" si="43"/>
        <v>0</v>
      </c>
      <c r="AH413" s="31" t="e" cm="1">
        <f t="array" aca="1" ref="AH413" ca="1">IF((AD413) &lt; (INDEX(ResponseSLA[#All],(MATCH((G413),ResponseSLA[Priority],0))+1,3)),"YES","No")</f>
        <v>#N/A</v>
      </c>
      <c r="AI413" s="31" t="str">
        <f>_xlfn.IFNA(IF(AE413 &lt; (INDEX(SLATable[Minimum SLA],MATCH(G413,SLATable[Priority],0))),"YES","NO"),"")</f>
        <v/>
      </c>
      <c r="AJ413" t="str">
        <f>_xlfn.IFNA(IF(AE413 &lt; (INDEX(SLATable[Maximum SLA],MATCH(G413,SLATable[Priority],0))),"YES","NO"),"")</f>
        <v/>
      </c>
    </row>
    <row r="414" spans="26:36" ht="15" customHeight="1">
      <c r="Z414" s="76" t="e">
        <f t="shared" ca="1" si="44"/>
        <v>#N/A</v>
      </c>
      <c r="AA414" s="75" t="e">
        <f t="shared" ca="1" si="40"/>
        <v>#N/A</v>
      </c>
      <c r="AB414" s="76">
        <f t="shared" ca="1" si="45"/>
        <v>0</v>
      </c>
      <c r="AC414" s="75">
        <f t="shared" ca="1" si="41"/>
        <v>0</v>
      </c>
      <c r="AD414" s="76">
        <f t="shared" ca="1" si="46"/>
        <v>12388.425641087964</v>
      </c>
      <c r="AE414" s="76">
        <f t="shared" si="47"/>
        <v>0</v>
      </c>
      <c r="AF414" s="75">
        <f t="shared" si="42"/>
        <v>0</v>
      </c>
      <c r="AG414" s="75">
        <f t="shared" si="43"/>
        <v>0</v>
      </c>
      <c r="AH414" s="31" t="e" cm="1">
        <f t="array" aca="1" ref="AH414" ca="1">IF((AD414) &lt; (INDEX(ResponseSLA[#All],(MATCH((G414),ResponseSLA[Priority],0))+1,3)),"YES","No")</f>
        <v>#N/A</v>
      </c>
      <c r="AI414" s="31" t="str">
        <f>_xlfn.IFNA(IF(AE414 &lt; (INDEX(SLATable[Minimum SLA],MATCH(G414,SLATable[Priority],0))),"YES","NO"),"")</f>
        <v/>
      </c>
      <c r="AJ414" t="str">
        <f>_xlfn.IFNA(IF(AE414 &lt; (INDEX(SLATable[Maximum SLA],MATCH(G414,SLATable[Priority],0))),"YES","NO"),"")</f>
        <v/>
      </c>
    </row>
    <row r="415" spans="26:36" ht="15" customHeight="1">
      <c r="Z415" s="76" t="e">
        <f t="shared" ca="1" si="44"/>
        <v>#N/A</v>
      </c>
      <c r="AA415" s="75" t="e">
        <f t="shared" ca="1" si="40"/>
        <v>#N/A</v>
      </c>
      <c r="AB415" s="76">
        <f t="shared" ca="1" si="45"/>
        <v>0</v>
      </c>
      <c r="AC415" s="75">
        <f t="shared" ca="1" si="41"/>
        <v>0</v>
      </c>
      <c r="AD415" s="76">
        <f t="shared" ca="1" si="46"/>
        <v>12388.425641203703</v>
      </c>
      <c r="AE415" s="76">
        <f t="shared" si="47"/>
        <v>0</v>
      </c>
      <c r="AF415" s="75">
        <f t="shared" si="42"/>
        <v>0</v>
      </c>
      <c r="AG415" s="75">
        <f t="shared" si="43"/>
        <v>0</v>
      </c>
      <c r="AH415" s="31" t="e" cm="1">
        <f t="array" aca="1" ref="AH415" ca="1">IF((AD415) &lt; (INDEX(ResponseSLA[#All],(MATCH((G415),ResponseSLA[Priority],0))+1,3)),"YES","No")</f>
        <v>#N/A</v>
      </c>
      <c r="AI415" s="31" t="str">
        <f>_xlfn.IFNA(IF(AE415 &lt; (INDEX(SLATable[Minimum SLA],MATCH(G415,SLATable[Priority],0))),"YES","NO"),"")</f>
        <v/>
      </c>
      <c r="AJ415" t="str">
        <f>_xlfn.IFNA(IF(AE415 &lt; (INDEX(SLATable[Maximum SLA],MATCH(G415,SLATable[Priority],0))),"YES","NO"),"")</f>
        <v/>
      </c>
    </row>
    <row r="416" spans="26:36" ht="15" customHeight="1">
      <c r="Z416" s="76" t="e">
        <f t="shared" ca="1" si="44"/>
        <v>#N/A</v>
      </c>
      <c r="AA416" s="75" t="e">
        <f t="shared" ca="1" si="40"/>
        <v>#N/A</v>
      </c>
      <c r="AB416" s="76">
        <f t="shared" ca="1" si="45"/>
        <v>0</v>
      </c>
      <c r="AC416" s="75">
        <f t="shared" ca="1" si="41"/>
        <v>0</v>
      </c>
      <c r="AD416" s="76">
        <f t="shared" ca="1" si="46"/>
        <v>12388.425641203703</v>
      </c>
      <c r="AE416" s="76">
        <f t="shared" si="47"/>
        <v>0</v>
      </c>
      <c r="AF416" s="75">
        <f t="shared" si="42"/>
        <v>0</v>
      </c>
      <c r="AG416" s="75">
        <f t="shared" si="43"/>
        <v>0</v>
      </c>
      <c r="AH416" s="31" t="e" cm="1">
        <f t="array" aca="1" ref="AH416" ca="1">IF((AD416) &lt; (INDEX(ResponseSLA[#All],(MATCH((G416),ResponseSLA[Priority],0))+1,3)),"YES","No")</f>
        <v>#N/A</v>
      </c>
      <c r="AI416" s="31" t="str">
        <f>_xlfn.IFNA(IF(AE416 &lt; (INDEX(SLATable[Minimum SLA],MATCH(G416,SLATable[Priority],0))),"YES","NO"),"")</f>
        <v/>
      </c>
      <c r="AJ416" t="str">
        <f>_xlfn.IFNA(IF(AE416 &lt; (INDEX(SLATable[Maximum SLA],MATCH(G416,SLATable[Priority],0))),"YES","NO"),"")</f>
        <v/>
      </c>
    </row>
    <row r="417" spans="26:36" ht="15" customHeight="1">
      <c r="Z417" s="76" t="e">
        <f t="shared" ca="1" si="44"/>
        <v>#N/A</v>
      </c>
      <c r="AA417" s="75" t="e">
        <f t="shared" ca="1" si="40"/>
        <v>#N/A</v>
      </c>
      <c r="AB417" s="76">
        <f t="shared" ca="1" si="45"/>
        <v>0</v>
      </c>
      <c r="AC417" s="75">
        <f t="shared" ca="1" si="41"/>
        <v>0</v>
      </c>
      <c r="AD417" s="76">
        <f t="shared" ca="1" si="46"/>
        <v>12388.425641087964</v>
      </c>
      <c r="AE417" s="76">
        <f t="shared" si="47"/>
        <v>0</v>
      </c>
      <c r="AF417" s="75">
        <f t="shared" si="42"/>
        <v>0</v>
      </c>
      <c r="AG417" s="75">
        <f t="shared" si="43"/>
        <v>0</v>
      </c>
      <c r="AH417" s="31" t="e" cm="1">
        <f t="array" aca="1" ref="AH417" ca="1">IF((AD417) &lt; (INDEX(ResponseSLA[#All],(MATCH((G417),ResponseSLA[Priority],0))+1,3)),"YES","No")</f>
        <v>#N/A</v>
      </c>
      <c r="AI417" s="31" t="str">
        <f>_xlfn.IFNA(IF(AE417 &lt; (INDEX(SLATable[Minimum SLA],MATCH(G417,SLATable[Priority],0))),"YES","NO"),"")</f>
        <v/>
      </c>
      <c r="AJ417" t="str">
        <f>_xlfn.IFNA(IF(AE417 &lt; (INDEX(SLATable[Maximum SLA],MATCH(G417,SLATable[Priority],0))),"YES","NO"),"")</f>
        <v/>
      </c>
    </row>
    <row r="418" spans="26:36" ht="15" customHeight="1">
      <c r="Z418" s="76" t="e">
        <f t="shared" ca="1" si="44"/>
        <v>#N/A</v>
      </c>
      <c r="AA418" s="75" t="e">
        <f t="shared" ca="1" si="40"/>
        <v>#N/A</v>
      </c>
      <c r="AB418" s="76">
        <f t="shared" ca="1" si="45"/>
        <v>0</v>
      </c>
      <c r="AC418" s="75">
        <f t="shared" ca="1" si="41"/>
        <v>0</v>
      </c>
      <c r="AD418" s="76">
        <f t="shared" ca="1" si="46"/>
        <v>12388.425641203703</v>
      </c>
      <c r="AE418" s="76">
        <f t="shared" si="47"/>
        <v>0</v>
      </c>
      <c r="AF418" s="75">
        <f t="shared" si="42"/>
        <v>0</v>
      </c>
      <c r="AG418" s="75">
        <f t="shared" si="43"/>
        <v>0</v>
      </c>
      <c r="AH418" s="31" t="e" cm="1">
        <f t="array" aca="1" ref="AH418" ca="1">IF((AD418) &lt; (INDEX(ResponseSLA[#All],(MATCH((G418),ResponseSLA[Priority],0))+1,3)),"YES","No")</f>
        <v>#N/A</v>
      </c>
      <c r="AI418" s="31" t="str">
        <f>_xlfn.IFNA(IF(AE418 &lt; (INDEX(SLATable[Minimum SLA],MATCH(G418,SLATable[Priority],0))),"YES","NO"),"")</f>
        <v/>
      </c>
      <c r="AJ418" t="str">
        <f>_xlfn.IFNA(IF(AE418 &lt; (INDEX(SLATable[Maximum SLA],MATCH(G418,SLATable[Priority],0))),"YES","NO"),"")</f>
        <v/>
      </c>
    </row>
    <row r="419" spans="26:36" ht="15" customHeight="1">
      <c r="Z419" s="76" t="e">
        <f t="shared" ca="1" si="44"/>
        <v>#N/A</v>
      </c>
      <c r="AA419" s="75" t="e">
        <f t="shared" ca="1" si="40"/>
        <v>#N/A</v>
      </c>
      <c r="AB419" s="76">
        <f t="shared" ca="1" si="45"/>
        <v>0</v>
      </c>
      <c r="AC419" s="75">
        <f t="shared" ca="1" si="41"/>
        <v>0</v>
      </c>
      <c r="AD419" s="76">
        <f t="shared" ca="1" si="46"/>
        <v>12388.425641203703</v>
      </c>
      <c r="AE419" s="76">
        <f t="shared" si="47"/>
        <v>0</v>
      </c>
      <c r="AF419" s="75">
        <f t="shared" si="42"/>
        <v>0</v>
      </c>
      <c r="AG419" s="75">
        <f t="shared" si="43"/>
        <v>0</v>
      </c>
      <c r="AH419" s="31" t="e" cm="1">
        <f t="array" aca="1" ref="AH419" ca="1">IF((AD419) &lt; (INDEX(ResponseSLA[#All],(MATCH((G419),ResponseSLA[Priority],0))+1,3)),"YES","No")</f>
        <v>#N/A</v>
      </c>
      <c r="AI419" s="31" t="str">
        <f>_xlfn.IFNA(IF(AE419 &lt; (INDEX(SLATable[Minimum SLA],MATCH(G419,SLATable[Priority],0))),"YES","NO"),"")</f>
        <v/>
      </c>
      <c r="AJ419" t="str">
        <f>_xlfn.IFNA(IF(AE419 &lt; (INDEX(SLATable[Maximum SLA],MATCH(G419,SLATable[Priority],0))),"YES","NO"),"")</f>
        <v/>
      </c>
    </row>
    <row r="420" spans="26:36" ht="15" customHeight="1">
      <c r="Z420" s="76" t="e">
        <f t="shared" ca="1" si="44"/>
        <v>#N/A</v>
      </c>
      <c r="AA420" s="75" t="e">
        <f t="shared" ca="1" si="40"/>
        <v>#N/A</v>
      </c>
      <c r="AB420" s="76">
        <f t="shared" ca="1" si="45"/>
        <v>0</v>
      </c>
      <c r="AC420" s="75">
        <f t="shared" ca="1" si="41"/>
        <v>0</v>
      </c>
      <c r="AD420" s="76">
        <f t="shared" ca="1" si="46"/>
        <v>12388.425641087964</v>
      </c>
      <c r="AE420" s="76">
        <f t="shared" si="47"/>
        <v>0</v>
      </c>
      <c r="AF420" s="75">
        <f t="shared" si="42"/>
        <v>0</v>
      </c>
      <c r="AG420" s="75">
        <f t="shared" si="43"/>
        <v>0</v>
      </c>
      <c r="AH420" s="31" t="e" cm="1">
        <f t="array" aca="1" ref="AH420" ca="1">IF((AD420) &lt; (INDEX(ResponseSLA[#All],(MATCH((G420),ResponseSLA[Priority],0))+1,3)),"YES","No")</f>
        <v>#N/A</v>
      </c>
      <c r="AI420" s="31" t="str">
        <f>_xlfn.IFNA(IF(AE420 &lt; (INDEX(SLATable[Minimum SLA],MATCH(G420,SLATable[Priority],0))),"YES","NO"),"")</f>
        <v/>
      </c>
      <c r="AJ420" t="str">
        <f>_xlfn.IFNA(IF(AE420 &lt; (INDEX(SLATable[Maximum SLA],MATCH(G420,SLATable[Priority],0))),"YES","NO"),"")</f>
        <v/>
      </c>
    </row>
    <row r="421" spans="26:36" ht="15" customHeight="1">
      <c r="Z421" s="76" t="e">
        <f t="shared" ca="1" si="44"/>
        <v>#N/A</v>
      </c>
      <c r="AA421" s="75" t="e">
        <f t="shared" ca="1" si="40"/>
        <v>#N/A</v>
      </c>
      <c r="AB421" s="76">
        <f t="shared" ca="1" si="45"/>
        <v>0</v>
      </c>
      <c r="AC421" s="75">
        <f t="shared" ca="1" si="41"/>
        <v>0</v>
      </c>
      <c r="AD421" s="76">
        <f t="shared" ca="1" si="46"/>
        <v>12388.425641203703</v>
      </c>
      <c r="AE421" s="76">
        <f t="shared" si="47"/>
        <v>0</v>
      </c>
      <c r="AF421" s="75">
        <f t="shared" si="42"/>
        <v>0</v>
      </c>
      <c r="AG421" s="75">
        <f t="shared" si="43"/>
        <v>0</v>
      </c>
      <c r="AH421" s="31" t="e" cm="1">
        <f t="array" aca="1" ref="AH421" ca="1">IF((AD421) &lt; (INDEX(ResponseSLA[#All],(MATCH((G421),ResponseSLA[Priority],0))+1,3)),"YES","No")</f>
        <v>#N/A</v>
      </c>
      <c r="AI421" s="31" t="str">
        <f>_xlfn.IFNA(IF(AE421 &lt; (INDEX(SLATable[Minimum SLA],MATCH(G421,SLATable[Priority],0))),"YES","NO"),"")</f>
        <v/>
      </c>
      <c r="AJ421" t="str">
        <f>_xlfn.IFNA(IF(AE421 &lt; (INDEX(SLATable[Maximum SLA],MATCH(G421,SLATable[Priority],0))),"YES","NO"),"")</f>
        <v/>
      </c>
    </row>
    <row r="422" spans="26:36" ht="15" customHeight="1">
      <c r="Z422" s="76" t="e">
        <f t="shared" ca="1" si="44"/>
        <v>#N/A</v>
      </c>
      <c r="AA422" s="75" t="e">
        <f t="shared" ca="1" si="40"/>
        <v>#N/A</v>
      </c>
      <c r="AB422" s="76">
        <f t="shared" ca="1" si="45"/>
        <v>0</v>
      </c>
      <c r="AC422" s="75">
        <f t="shared" ca="1" si="41"/>
        <v>0</v>
      </c>
      <c r="AD422" s="76">
        <f t="shared" ca="1" si="46"/>
        <v>12388.425641203703</v>
      </c>
      <c r="AE422" s="76">
        <f t="shared" si="47"/>
        <v>0</v>
      </c>
      <c r="AF422" s="75">
        <f t="shared" si="42"/>
        <v>0</v>
      </c>
      <c r="AG422" s="75">
        <f t="shared" si="43"/>
        <v>0</v>
      </c>
      <c r="AH422" s="31" t="e" cm="1">
        <f t="array" aca="1" ref="AH422" ca="1">IF((AD422) &lt; (INDEX(ResponseSLA[#All],(MATCH((G422),ResponseSLA[Priority],0))+1,3)),"YES","No")</f>
        <v>#N/A</v>
      </c>
      <c r="AI422" s="31" t="str">
        <f>_xlfn.IFNA(IF(AE422 &lt; (INDEX(SLATable[Minimum SLA],MATCH(G422,SLATable[Priority],0))),"YES","NO"),"")</f>
        <v/>
      </c>
      <c r="AJ422" t="str">
        <f>_xlfn.IFNA(IF(AE422 &lt; (INDEX(SLATable[Maximum SLA],MATCH(G422,SLATable[Priority],0))),"YES","NO"),"")</f>
        <v/>
      </c>
    </row>
    <row r="423" spans="26:36" ht="15" customHeight="1">
      <c r="Z423" s="76" t="e">
        <f t="shared" ca="1" si="44"/>
        <v>#N/A</v>
      </c>
      <c r="AA423" s="75" t="e">
        <f t="shared" ca="1" si="40"/>
        <v>#N/A</v>
      </c>
      <c r="AB423" s="76">
        <f t="shared" ca="1" si="45"/>
        <v>0</v>
      </c>
      <c r="AC423" s="75">
        <f t="shared" ca="1" si="41"/>
        <v>0</v>
      </c>
      <c r="AD423" s="76">
        <f t="shared" ca="1" si="46"/>
        <v>12388.425641087964</v>
      </c>
      <c r="AE423" s="76">
        <f t="shared" si="47"/>
        <v>0</v>
      </c>
      <c r="AF423" s="75">
        <f t="shared" si="42"/>
        <v>0</v>
      </c>
      <c r="AG423" s="75">
        <f t="shared" si="43"/>
        <v>0</v>
      </c>
      <c r="AH423" s="31" t="e" cm="1">
        <f t="array" aca="1" ref="AH423" ca="1">IF((AD423) &lt; (INDEX(ResponseSLA[#All],(MATCH((G423),ResponseSLA[Priority],0))+1,3)),"YES","No")</f>
        <v>#N/A</v>
      </c>
      <c r="AI423" s="31" t="str">
        <f>_xlfn.IFNA(IF(AE423 &lt; (INDEX(SLATable[Minimum SLA],MATCH(G423,SLATable[Priority],0))),"YES","NO"),"")</f>
        <v/>
      </c>
      <c r="AJ423" t="str">
        <f>_xlfn.IFNA(IF(AE423 &lt; (INDEX(SLATable[Maximum SLA],MATCH(G423,SLATable[Priority],0))),"YES","NO"),"")</f>
        <v/>
      </c>
    </row>
    <row r="424" spans="26:36" ht="15" customHeight="1">
      <c r="Z424" s="76" t="e">
        <f t="shared" ca="1" si="44"/>
        <v>#N/A</v>
      </c>
      <c r="AA424" s="75" t="e">
        <f t="shared" ca="1" si="40"/>
        <v>#N/A</v>
      </c>
      <c r="AB424" s="76">
        <f t="shared" ca="1" si="45"/>
        <v>0</v>
      </c>
      <c r="AC424" s="75">
        <f t="shared" ca="1" si="41"/>
        <v>0</v>
      </c>
      <c r="AD424" s="76">
        <f t="shared" ca="1" si="46"/>
        <v>12388.425641203703</v>
      </c>
      <c r="AE424" s="76">
        <f t="shared" si="47"/>
        <v>0</v>
      </c>
      <c r="AF424" s="75">
        <f t="shared" si="42"/>
        <v>0</v>
      </c>
      <c r="AG424" s="75">
        <f t="shared" si="43"/>
        <v>0</v>
      </c>
      <c r="AH424" s="31" t="e" cm="1">
        <f t="array" aca="1" ref="AH424" ca="1">IF((AD424) &lt; (INDEX(ResponseSLA[#All],(MATCH((G424),ResponseSLA[Priority],0))+1,3)),"YES","No")</f>
        <v>#N/A</v>
      </c>
      <c r="AI424" s="31" t="str">
        <f>_xlfn.IFNA(IF(AE424 &lt; (INDEX(SLATable[Minimum SLA],MATCH(G424,SLATable[Priority],0))),"YES","NO"),"")</f>
        <v/>
      </c>
      <c r="AJ424" t="str">
        <f>_xlfn.IFNA(IF(AE424 &lt; (INDEX(SLATable[Maximum SLA],MATCH(G424,SLATable[Priority],0))),"YES","NO"),"")</f>
        <v/>
      </c>
    </row>
    <row r="425" spans="26:36" ht="15" customHeight="1">
      <c r="Z425" s="76" t="e">
        <f t="shared" ca="1" si="44"/>
        <v>#N/A</v>
      </c>
      <c r="AA425" s="75" t="e">
        <f t="shared" ca="1" si="40"/>
        <v>#N/A</v>
      </c>
      <c r="AB425" s="76">
        <f t="shared" ca="1" si="45"/>
        <v>0</v>
      </c>
      <c r="AC425" s="75">
        <f t="shared" ca="1" si="41"/>
        <v>0</v>
      </c>
      <c r="AD425" s="76">
        <f t="shared" ca="1" si="46"/>
        <v>12388.425641203703</v>
      </c>
      <c r="AE425" s="76">
        <f t="shared" si="47"/>
        <v>0</v>
      </c>
      <c r="AF425" s="75">
        <f t="shared" si="42"/>
        <v>0</v>
      </c>
      <c r="AG425" s="75">
        <f t="shared" si="43"/>
        <v>0</v>
      </c>
      <c r="AH425" s="31" t="e" cm="1">
        <f t="array" aca="1" ref="AH425" ca="1">IF((AD425) &lt; (INDEX(ResponseSLA[#All],(MATCH((G425),ResponseSLA[Priority],0))+1,3)),"YES","No")</f>
        <v>#N/A</v>
      </c>
      <c r="AI425" s="31" t="str">
        <f>_xlfn.IFNA(IF(AE425 &lt; (INDEX(SLATable[Minimum SLA],MATCH(G425,SLATable[Priority],0))),"YES","NO"),"")</f>
        <v/>
      </c>
      <c r="AJ425" t="str">
        <f>_xlfn.IFNA(IF(AE425 &lt; (INDEX(SLATable[Maximum SLA],MATCH(G425,SLATable[Priority],0))),"YES","NO"),"")</f>
        <v/>
      </c>
    </row>
    <row r="426" spans="26:36" ht="15" customHeight="1">
      <c r="Z426" s="76" t="e">
        <f t="shared" ca="1" si="44"/>
        <v>#N/A</v>
      </c>
      <c r="AA426" s="75" t="e">
        <f t="shared" ca="1" si="40"/>
        <v>#N/A</v>
      </c>
      <c r="AB426" s="76">
        <f t="shared" ca="1" si="45"/>
        <v>0</v>
      </c>
      <c r="AC426" s="75">
        <f t="shared" ca="1" si="41"/>
        <v>0</v>
      </c>
      <c r="AD426" s="76">
        <f t="shared" ca="1" si="46"/>
        <v>12388.425641087964</v>
      </c>
      <c r="AE426" s="76">
        <f t="shared" si="47"/>
        <v>0</v>
      </c>
      <c r="AF426" s="75">
        <f t="shared" si="42"/>
        <v>0</v>
      </c>
      <c r="AG426" s="75">
        <f t="shared" si="43"/>
        <v>0</v>
      </c>
      <c r="AH426" s="31" t="e" cm="1">
        <f t="array" aca="1" ref="AH426" ca="1">IF((AD426) &lt; (INDEX(ResponseSLA[#All],(MATCH((G426),ResponseSLA[Priority],0))+1,3)),"YES","No")</f>
        <v>#N/A</v>
      </c>
      <c r="AI426" s="31" t="str">
        <f>_xlfn.IFNA(IF(AE426 &lt; (INDEX(SLATable[Minimum SLA],MATCH(G426,SLATable[Priority],0))),"YES","NO"),"")</f>
        <v/>
      </c>
      <c r="AJ426" t="str">
        <f>_xlfn.IFNA(IF(AE426 &lt; (INDEX(SLATable[Maximum SLA],MATCH(G426,SLATable[Priority],0))),"YES","NO"),"")</f>
        <v/>
      </c>
    </row>
    <row r="427" spans="26:36" ht="15" customHeight="1">
      <c r="Z427" s="76" t="e">
        <f t="shared" ca="1" si="44"/>
        <v>#N/A</v>
      </c>
      <c r="AA427" s="75" t="e">
        <f t="shared" ca="1" si="40"/>
        <v>#N/A</v>
      </c>
      <c r="AB427" s="76">
        <f t="shared" ca="1" si="45"/>
        <v>0</v>
      </c>
      <c r="AC427" s="75">
        <f t="shared" ca="1" si="41"/>
        <v>0</v>
      </c>
      <c r="AD427" s="76">
        <f t="shared" ca="1" si="46"/>
        <v>12388.425641203703</v>
      </c>
      <c r="AE427" s="76">
        <f t="shared" si="47"/>
        <v>0</v>
      </c>
      <c r="AF427" s="75">
        <f t="shared" si="42"/>
        <v>0</v>
      </c>
      <c r="AG427" s="75">
        <f t="shared" si="43"/>
        <v>0</v>
      </c>
      <c r="AH427" s="31" t="e" cm="1">
        <f t="array" aca="1" ref="AH427" ca="1">IF((AD427) &lt; (INDEX(ResponseSLA[#All],(MATCH((G427),ResponseSLA[Priority],0))+1,3)),"YES","No")</f>
        <v>#N/A</v>
      </c>
      <c r="AI427" s="31" t="str">
        <f>_xlfn.IFNA(IF(AE427 &lt; (INDEX(SLATable[Minimum SLA],MATCH(G427,SLATable[Priority],0))),"YES","NO"),"")</f>
        <v/>
      </c>
      <c r="AJ427" t="str">
        <f>_xlfn.IFNA(IF(AE427 &lt; (INDEX(SLATable[Maximum SLA],MATCH(G427,SLATable[Priority],0))),"YES","NO"),"")</f>
        <v/>
      </c>
    </row>
    <row r="428" spans="26:36" ht="15" customHeight="1">
      <c r="Z428" s="76" t="e">
        <f t="shared" ca="1" si="44"/>
        <v>#N/A</v>
      </c>
      <c r="AA428" s="75" t="e">
        <f t="shared" ca="1" si="40"/>
        <v>#N/A</v>
      </c>
      <c r="AB428" s="76">
        <f t="shared" ca="1" si="45"/>
        <v>0</v>
      </c>
      <c r="AC428" s="75">
        <f t="shared" ca="1" si="41"/>
        <v>0</v>
      </c>
      <c r="AD428" s="76">
        <f t="shared" ca="1" si="46"/>
        <v>12388.425641203703</v>
      </c>
      <c r="AE428" s="76">
        <f t="shared" si="47"/>
        <v>0</v>
      </c>
      <c r="AF428" s="75">
        <f t="shared" si="42"/>
        <v>0</v>
      </c>
      <c r="AG428" s="75">
        <f t="shared" si="43"/>
        <v>0</v>
      </c>
      <c r="AH428" s="31" t="e" cm="1">
        <f t="array" aca="1" ref="AH428" ca="1">IF((AD428) &lt; (INDEX(ResponseSLA[#All],(MATCH((G428),ResponseSLA[Priority],0))+1,3)),"YES","No")</f>
        <v>#N/A</v>
      </c>
      <c r="AI428" s="31" t="str">
        <f>_xlfn.IFNA(IF(AE428 &lt; (INDEX(SLATable[Minimum SLA],MATCH(G428,SLATable[Priority],0))),"YES","NO"),"")</f>
        <v/>
      </c>
      <c r="AJ428" t="str">
        <f>_xlfn.IFNA(IF(AE428 &lt; (INDEX(SLATable[Maximum SLA],MATCH(G428,SLATable[Priority],0))),"YES","NO"),"")</f>
        <v/>
      </c>
    </row>
    <row r="429" spans="26:36" ht="15" customHeight="1">
      <c r="Z429" s="76" t="e">
        <f t="shared" ca="1" si="44"/>
        <v>#N/A</v>
      </c>
      <c r="AA429" s="75" t="e">
        <f t="shared" ca="1" si="40"/>
        <v>#N/A</v>
      </c>
      <c r="AB429" s="76">
        <f t="shared" ca="1" si="45"/>
        <v>0</v>
      </c>
      <c r="AC429" s="75">
        <f t="shared" ca="1" si="41"/>
        <v>0</v>
      </c>
      <c r="AD429" s="76">
        <f t="shared" ca="1" si="46"/>
        <v>12388.425641087964</v>
      </c>
      <c r="AE429" s="76">
        <f t="shared" si="47"/>
        <v>0</v>
      </c>
      <c r="AF429" s="75">
        <f t="shared" si="42"/>
        <v>0</v>
      </c>
      <c r="AG429" s="75">
        <f t="shared" si="43"/>
        <v>0</v>
      </c>
      <c r="AH429" s="31" t="e" cm="1">
        <f t="array" aca="1" ref="AH429" ca="1">IF((AD429) &lt; (INDEX(ResponseSLA[#All],(MATCH((G429),ResponseSLA[Priority],0))+1,3)),"YES","No")</f>
        <v>#N/A</v>
      </c>
      <c r="AI429" s="31" t="str">
        <f>_xlfn.IFNA(IF(AE429 &lt; (INDEX(SLATable[Minimum SLA],MATCH(G429,SLATable[Priority],0))),"YES","NO"),"")</f>
        <v/>
      </c>
      <c r="AJ429" t="str">
        <f>_xlfn.IFNA(IF(AE429 &lt; (INDEX(SLATable[Maximum SLA],MATCH(G429,SLATable[Priority],0))),"YES","NO"),"")</f>
        <v/>
      </c>
    </row>
    <row r="430" spans="26:36" ht="15" customHeight="1">
      <c r="Z430" s="76" t="e">
        <f t="shared" ca="1" si="44"/>
        <v>#N/A</v>
      </c>
      <c r="AA430" s="75" t="e">
        <f t="shared" ca="1" si="40"/>
        <v>#N/A</v>
      </c>
      <c r="AB430" s="76">
        <f t="shared" ca="1" si="45"/>
        <v>0</v>
      </c>
      <c r="AC430" s="75">
        <f t="shared" ca="1" si="41"/>
        <v>0</v>
      </c>
      <c r="AD430" s="76">
        <f t="shared" ca="1" si="46"/>
        <v>12388.425641203703</v>
      </c>
      <c r="AE430" s="76">
        <f t="shared" si="47"/>
        <v>0</v>
      </c>
      <c r="AF430" s="75">
        <f t="shared" si="42"/>
        <v>0</v>
      </c>
      <c r="AG430" s="75">
        <f t="shared" si="43"/>
        <v>0</v>
      </c>
      <c r="AH430" s="31" t="e" cm="1">
        <f t="array" aca="1" ref="AH430" ca="1">IF((AD430) &lt; (INDEX(ResponseSLA[#All],(MATCH((G430),ResponseSLA[Priority],0))+1,3)),"YES","No")</f>
        <v>#N/A</v>
      </c>
      <c r="AI430" s="31" t="str">
        <f>_xlfn.IFNA(IF(AE430 &lt; (INDEX(SLATable[Minimum SLA],MATCH(G430,SLATable[Priority],0))),"YES","NO"),"")</f>
        <v/>
      </c>
      <c r="AJ430" t="str">
        <f>_xlfn.IFNA(IF(AE430 &lt; (INDEX(SLATable[Maximum SLA],MATCH(G430,SLATable[Priority],0))),"YES","NO"),"")</f>
        <v/>
      </c>
    </row>
    <row r="431" spans="26:36" ht="15" customHeight="1">
      <c r="Z431" s="76" t="e">
        <f t="shared" ca="1" si="44"/>
        <v>#N/A</v>
      </c>
      <c r="AA431" s="75" t="e">
        <f t="shared" ca="1" si="40"/>
        <v>#N/A</v>
      </c>
      <c r="AB431" s="76">
        <f t="shared" ca="1" si="45"/>
        <v>0</v>
      </c>
      <c r="AC431" s="75">
        <f t="shared" ca="1" si="41"/>
        <v>0</v>
      </c>
      <c r="AD431" s="76">
        <f t="shared" ca="1" si="46"/>
        <v>12388.425641203703</v>
      </c>
      <c r="AE431" s="76">
        <f t="shared" si="47"/>
        <v>0</v>
      </c>
      <c r="AF431" s="75">
        <f t="shared" si="42"/>
        <v>0</v>
      </c>
      <c r="AG431" s="75">
        <f t="shared" si="43"/>
        <v>0</v>
      </c>
      <c r="AH431" s="31" t="e" cm="1">
        <f t="array" aca="1" ref="AH431" ca="1">IF((AD431) &lt; (INDEX(ResponseSLA[#All],(MATCH((G431),ResponseSLA[Priority],0))+1,3)),"YES","No")</f>
        <v>#N/A</v>
      </c>
      <c r="AI431" s="31" t="str">
        <f>_xlfn.IFNA(IF(AE431 &lt; (INDEX(SLATable[Minimum SLA],MATCH(G431,SLATable[Priority],0))),"YES","NO"),"")</f>
        <v/>
      </c>
      <c r="AJ431" t="str">
        <f>_xlfn.IFNA(IF(AE431 &lt; (INDEX(SLATable[Maximum SLA],MATCH(G431,SLATable[Priority],0))),"YES","NO"),"")</f>
        <v/>
      </c>
    </row>
    <row r="432" spans="26:36" ht="15" customHeight="1">
      <c r="Z432" s="76" t="e">
        <f t="shared" ca="1" si="44"/>
        <v>#N/A</v>
      </c>
      <c r="AA432" s="75" t="e">
        <f t="shared" ca="1" si="40"/>
        <v>#N/A</v>
      </c>
      <c r="AB432" s="76">
        <f t="shared" ca="1" si="45"/>
        <v>0</v>
      </c>
      <c r="AC432" s="75">
        <f t="shared" ca="1" si="41"/>
        <v>0</v>
      </c>
      <c r="AD432" s="76">
        <f t="shared" ca="1" si="46"/>
        <v>12388.425641087964</v>
      </c>
      <c r="AE432" s="76">
        <f t="shared" si="47"/>
        <v>0</v>
      </c>
      <c r="AF432" s="75">
        <f t="shared" si="42"/>
        <v>0</v>
      </c>
      <c r="AG432" s="75">
        <f t="shared" si="43"/>
        <v>0</v>
      </c>
      <c r="AH432" s="31" t="e" cm="1">
        <f t="array" aca="1" ref="AH432" ca="1">IF((AD432) &lt; (INDEX(ResponseSLA[#All],(MATCH((G432),ResponseSLA[Priority],0))+1,3)),"YES","No")</f>
        <v>#N/A</v>
      </c>
      <c r="AI432" s="31" t="str">
        <f>_xlfn.IFNA(IF(AE432 &lt; (INDEX(SLATable[Minimum SLA],MATCH(G432,SLATable[Priority],0))),"YES","NO"),"")</f>
        <v/>
      </c>
      <c r="AJ432" t="str">
        <f>_xlfn.IFNA(IF(AE432 &lt; (INDEX(SLATable[Maximum SLA],MATCH(G432,SLATable[Priority],0))),"YES","NO"),"")</f>
        <v/>
      </c>
    </row>
    <row r="433" spans="26:36" ht="15" customHeight="1">
      <c r="Z433" s="76" t="e">
        <f t="shared" ca="1" si="44"/>
        <v>#N/A</v>
      </c>
      <c r="AA433" s="75" t="e">
        <f t="shared" ca="1" si="40"/>
        <v>#N/A</v>
      </c>
      <c r="AB433" s="76">
        <f t="shared" ca="1" si="45"/>
        <v>0</v>
      </c>
      <c r="AC433" s="75">
        <f t="shared" ca="1" si="41"/>
        <v>0</v>
      </c>
      <c r="AD433" s="76">
        <f t="shared" ca="1" si="46"/>
        <v>12388.425641203703</v>
      </c>
      <c r="AE433" s="76">
        <f t="shared" si="47"/>
        <v>0</v>
      </c>
      <c r="AF433" s="75">
        <f t="shared" si="42"/>
        <v>0</v>
      </c>
      <c r="AG433" s="75">
        <f t="shared" si="43"/>
        <v>0</v>
      </c>
      <c r="AH433" s="31" t="e" cm="1">
        <f t="array" aca="1" ref="AH433" ca="1">IF((AD433) &lt; (INDEX(ResponseSLA[#All],(MATCH((G433),ResponseSLA[Priority],0))+1,3)),"YES","No")</f>
        <v>#N/A</v>
      </c>
      <c r="AI433" s="31" t="str">
        <f>_xlfn.IFNA(IF(AE433 &lt; (INDEX(SLATable[Minimum SLA],MATCH(G433,SLATable[Priority],0))),"YES","NO"),"")</f>
        <v/>
      </c>
      <c r="AJ433" t="str">
        <f>_xlfn.IFNA(IF(AE433 &lt; (INDEX(SLATable[Maximum SLA],MATCH(G433,SLATable[Priority],0))),"YES","NO"),"")</f>
        <v/>
      </c>
    </row>
    <row r="434" spans="26:36" ht="15" customHeight="1">
      <c r="Z434" s="76" t="e">
        <f t="shared" ca="1" si="44"/>
        <v>#N/A</v>
      </c>
      <c r="AA434" s="75" t="e">
        <f t="shared" ca="1" si="40"/>
        <v>#N/A</v>
      </c>
      <c r="AB434" s="76">
        <f t="shared" ca="1" si="45"/>
        <v>0</v>
      </c>
      <c r="AC434" s="75">
        <f t="shared" ca="1" si="41"/>
        <v>0</v>
      </c>
      <c r="AD434" s="76">
        <f t="shared" ca="1" si="46"/>
        <v>12388.425641203703</v>
      </c>
      <c r="AE434" s="76">
        <f t="shared" si="47"/>
        <v>0</v>
      </c>
      <c r="AF434" s="75">
        <f t="shared" si="42"/>
        <v>0</v>
      </c>
      <c r="AG434" s="75">
        <f t="shared" si="43"/>
        <v>0</v>
      </c>
      <c r="AH434" s="31" t="e" cm="1">
        <f t="array" aca="1" ref="AH434" ca="1">IF((AD434) &lt; (INDEX(ResponseSLA[#All],(MATCH((G434),ResponseSLA[Priority],0))+1,3)),"YES","No")</f>
        <v>#N/A</v>
      </c>
      <c r="AI434" s="31" t="str">
        <f>_xlfn.IFNA(IF(AE434 &lt; (INDEX(SLATable[Minimum SLA],MATCH(G434,SLATable[Priority],0))),"YES","NO"),"")</f>
        <v/>
      </c>
      <c r="AJ434" t="str">
        <f>_xlfn.IFNA(IF(AE434 &lt; (INDEX(SLATable[Maximum SLA],MATCH(G434,SLATable[Priority],0))),"YES","NO"),"")</f>
        <v/>
      </c>
    </row>
    <row r="435" spans="26:36" ht="15" customHeight="1">
      <c r="Z435" s="76" t="e">
        <f t="shared" ca="1" si="44"/>
        <v>#N/A</v>
      </c>
      <c r="AA435" s="75" t="e">
        <f t="shared" ca="1" si="40"/>
        <v>#N/A</v>
      </c>
      <c r="AB435" s="76">
        <f t="shared" ca="1" si="45"/>
        <v>0</v>
      </c>
      <c r="AC435" s="75">
        <f t="shared" ca="1" si="41"/>
        <v>0</v>
      </c>
      <c r="AD435" s="76">
        <f t="shared" ca="1" si="46"/>
        <v>12388.425641087964</v>
      </c>
      <c r="AE435" s="76">
        <f t="shared" si="47"/>
        <v>0</v>
      </c>
      <c r="AF435" s="75">
        <f t="shared" si="42"/>
        <v>0</v>
      </c>
      <c r="AG435" s="75">
        <f t="shared" si="43"/>
        <v>0</v>
      </c>
      <c r="AH435" s="31" t="e" cm="1">
        <f t="array" aca="1" ref="AH435" ca="1">IF((AD435) &lt; (INDEX(ResponseSLA[#All],(MATCH((G435),ResponseSLA[Priority],0))+1,3)),"YES","No")</f>
        <v>#N/A</v>
      </c>
      <c r="AI435" s="31" t="str">
        <f>_xlfn.IFNA(IF(AE435 &lt; (INDEX(SLATable[Minimum SLA],MATCH(G435,SLATable[Priority],0))),"YES","NO"),"")</f>
        <v/>
      </c>
      <c r="AJ435" t="str">
        <f>_xlfn.IFNA(IF(AE435 &lt; (INDEX(SLATable[Maximum SLA],MATCH(G435,SLATable[Priority],0))),"YES","NO"),"")</f>
        <v/>
      </c>
    </row>
    <row r="436" spans="26:36" ht="15" customHeight="1">
      <c r="Z436" s="76" t="e">
        <f t="shared" ca="1" si="44"/>
        <v>#N/A</v>
      </c>
      <c r="AA436" s="75" t="e">
        <f t="shared" ca="1" si="40"/>
        <v>#N/A</v>
      </c>
      <c r="AB436" s="76">
        <f t="shared" ca="1" si="45"/>
        <v>0</v>
      </c>
      <c r="AC436" s="75">
        <f t="shared" ca="1" si="41"/>
        <v>0</v>
      </c>
      <c r="AD436" s="76">
        <f t="shared" ca="1" si="46"/>
        <v>12388.425641203703</v>
      </c>
      <c r="AE436" s="76">
        <f t="shared" si="47"/>
        <v>0</v>
      </c>
      <c r="AF436" s="75">
        <f t="shared" si="42"/>
        <v>0</v>
      </c>
      <c r="AG436" s="75">
        <f t="shared" si="43"/>
        <v>0</v>
      </c>
      <c r="AH436" s="31" t="e" cm="1">
        <f t="array" aca="1" ref="AH436" ca="1">IF((AD436) &lt; (INDEX(ResponseSLA[#All],(MATCH((G436),ResponseSLA[Priority],0))+1,3)),"YES","No")</f>
        <v>#N/A</v>
      </c>
      <c r="AI436" s="31" t="str">
        <f>_xlfn.IFNA(IF(AE436 &lt; (INDEX(SLATable[Minimum SLA],MATCH(G436,SLATable[Priority],0))),"YES","NO"),"")</f>
        <v/>
      </c>
      <c r="AJ436" t="str">
        <f>_xlfn.IFNA(IF(AE436 &lt; (INDEX(SLATable[Maximum SLA],MATCH(G436,SLATable[Priority],0))),"YES","NO"),"")</f>
        <v/>
      </c>
    </row>
    <row r="437" spans="26:36" ht="15" customHeight="1">
      <c r="Z437" s="76" t="e">
        <f t="shared" ca="1" si="44"/>
        <v>#N/A</v>
      </c>
      <c r="AA437" s="75" t="e">
        <f t="shared" ca="1" si="40"/>
        <v>#N/A</v>
      </c>
      <c r="AB437" s="76">
        <f t="shared" ca="1" si="45"/>
        <v>0</v>
      </c>
      <c r="AC437" s="75">
        <f t="shared" ca="1" si="41"/>
        <v>0</v>
      </c>
      <c r="AD437" s="76">
        <f t="shared" ca="1" si="46"/>
        <v>12388.425641203703</v>
      </c>
      <c r="AE437" s="76">
        <f t="shared" si="47"/>
        <v>0</v>
      </c>
      <c r="AF437" s="75">
        <f t="shared" si="42"/>
        <v>0</v>
      </c>
      <c r="AG437" s="75">
        <f t="shared" si="43"/>
        <v>0</v>
      </c>
      <c r="AH437" s="31" t="e" cm="1">
        <f t="array" aca="1" ref="AH437" ca="1">IF((AD437) &lt; (INDEX(ResponseSLA[#All],(MATCH((G437),ResponseSLA[Priority],0))+1,3)),"YES","No")</f>
        <v>#N/A</v>
      </c>
      <c r="AI437" s="31" t="str">
        <f>_xlfn.IFNA(IF(AE437 &lt; (INDEX(SLATable[Minimum SLA],MATCH(G437,SLATable[Priority],0))),"YES","NO"),"")</f>
        <v/>
      </c>
      <c r="AJ437" t="str">
        <f>_xlfn.IFNA(IF(AE437 &lt; (INDEX(SLATable[Maximum SLA],MATCH(G437,SLATable[Priority],0))),"YES","NO"),"")</f>
        <v/>
      </c>
    </row>
    <row r="438" spans="26:36" ht="15" customHeight="1">
      <c r="Z438" s="76" t="e">
        <f t="shared" ca="1" si="44"/>
        <v>#N/A</v>
      </c>
      <c r="AA438" s="75" t="e">
        <f t="shared" ca="1" si="40"/>
        <v>#N/A</v>
      </c>
      <c r="AB438" s="76">
        <f t="shared" ca="1" si="45"/>
        <v>0</v>
      </c>
      <c r="AC438" s="75">
        <f t="shared" ca="1" si="41"/>
        <v>0</v>
      </c>
      <c r="AD438" s="76">
        <f t="shared" ca="1" si="46"/>
        <v>12388.425641087964</v>
      </c>
      <c r="AE438" s="76">
        <f t="shared" si="47"/>
        <v>0</v>
      </c>
      <c r="AF438" s="75">
        <f t="shared" si="42"/>
        <v>0</v>
      </c>
      <c r="AG438" s="75">
        <f t="shared" si="43"/>
        <v>0</v>
      </c>
      <c r="AH438" s="31" t="e" cm="1">
        <f t="array" aca="1" ref="AH438" ca="1">IF((AD438) &lt; (INDEX(ResponseSLA[#All],(MATCH((G438),ResponseSLA[Priority],0))+1,3)),"YES","No")</f>
        <v>#N/A</v>
      </c>
      <c r="AI438" s="31" t="str">
        <f>_xlfn.IFNA(IF(AE438 &lt; (INDEX(SLATable[Minimum SLA],MATCH(G438,SLATable[Priority],0))),"YES","NO"),"")</f>
        <v/>
      </c>
      <c r="AJ438" t="str">
        <f>_xlfn.IFNA(IF(AE438 &lt; (INDEX(SLATable[Maximum SLA],MATCH(G438,SLATable[Priority],0))),"YES","NO"),"")</f>
        <v/>
      </c>
    </row>
    <row r="439" spans="26:36" ht="15" customHeight="1">
      <c r="Z439" s="76" t="e">
        <f t="shared" ca="1" si="44"/>
        <v>#N/A</v>
      </c>
      <c r="AA439" s="75" t="e">
        <f t="shared" ca="1" si="40"/>
        <v>#N/A</v>
      </c>
      <c r="AB439" s="76">
        <f t="shared" ca="1" si="45"/>
        <v>0</v>
      </c>
      <c r="AC439" s="75">
        <f t="shared" ca="1" si="41"/>
        <v>0</v>
      </c>
      <c r="AD439" s="76">
        <f t="shared" ca="1" si="46"/>
        <v>12388.425641203703</v>
      </c>
      <c r="AE439" s="76">
        <f t="shared" si="47"/>
        <v>0</v>
      </c>
      <c r="AF439" s="75">
        <f t="shared" si="42"/>
        <v>0</v>
      </c>
      <c r="AG439" s="75">
        <f t="shared" si="43"/>
        <v>0</v>
      </c>
      <c r="AH439" s="31" t="e" cm="1">
        <f t="array" aca="1" ref="AH439" ca="1">IF((AD439) &lt; (INDEX(ResponseSLA[#All],(MATCH((G439),ResponseSLA[Priority],0))+1,3)),"YES","No")</f>
        <v>#N/A</v>
      </c>
      <c r="AI439" s="31" t="str">
        <f>_xlfn.IFNA(IF(AE439 &lt; (INDEX(SLATable[Minimum SLA],MATCH(G439,SLATable[Priority],0))),"YES","NO"),"")</f>
        <v/>
      </c>
      <c r="AJ439" t="str">
        <f>_xlfn.IFNA(IF(AE439 &lt; (INDEX(SLATable[Maximum SLA],MATCH(G439,SLATable[Priority],0))),"YES","NO"),"")</f>
        <v/>
      </c>
    </row>
    <row r="440" spans="26:36" ht="15" customHeight="1">
      <c r="Z440" s="76" t="e">
        <f t="shared" ca="1" si="44"/>
        <v>#N/A</v>
      </c>
      <c r="AA440" s="75" t="e">
        <f t="shared" ca="1" si="40"/>
        <v>#N/A</v>
      </c>
      <c r="AB440" s="76">
        <f t="shared" ca="1" si="45"/>
        <v>0</v>
      </c>
      <c r="AC440" s="75">
        <f t="shared" ca="1" si="41"/>
        <v>0</v>
      </c>
      <c r="AD440" s="76">
        <f t="shared" ca="1" si="46"/>
        <v>12388.425641203703</v>
      </c>
      <c r="AE440" s="76">
        <f t="shared" si="47"/>
        <v>0</v>
      </c>
      <c r="AF440" s="75">
        <f t="shared" si="42"/>
        <v>0</v>
      </c>
      <c r="AG440" s="75">
        <f t="shared" si="43"/>
        <v>0</v>
      </c>
      <c r="AH440" s="31" t="e" cm="1">
        <f t="array" aca="1" ref="AH440" ca="1">IF((AD440) &lt; (INDEX(ResponseSLA[#All],(MATCH((G440),ResponseSLA[Priority],0))+1,3)),"YES","No")</f>
        <v>#N/A</v>
      </c>
      <c r="AI440" s="31" t="str">
        <f>_xlfn.IFNA(IF(AE440 &lt; (INDEX(SLATable[Minimum SLA],MATCH(G440,SLATable[Priority],0))),"YES","NO"),"")</f>
        <v/>
      </c>
      <c r="AJ440" t="str">
        <f>_xlfn.IFNA(IF(AE440 &lt; (INDEX(SLATable[Maximum SLA],MATCH(G440,SLATable[Priority],0))),"YES","NO"),"")</f>
        <v/>
      </c>
    </row>
    <row r="441" spans="26:36" ht="15" customHeight="1">
      <c r="Z441" s="76" t="e">
        <f t="shared" ca="1" si="44"/>
        <v>#N/A</v>
      </c>
      <c r="AA441" s="75" t="e">
        <f t="shared" ca="1" si="40"/>
        <v>#N/A</v>
      </c>
      <c r="AB441" s="76">
        <f t="shared" ca="1" si="45"/>
        <v>0</v>
      </c>
      <c r="AC441" s="75">
        <f t="shared" ca="1" si="41"/>
        <v>0</v>
      </c>
      <c r="AD441" s="76">
        <f t="shared" ca="1" si="46"/>
        <v>12388.425641087964</v>
      </c>
      <c r="AE441" s="76">
        <f t="shared" si="47"/>
        <v>0</v>
      </c>
      <c r="AF441" s="75">
        <f t="shared" si="42"/>
        <v>0</v>
      </c>
      <c r="AG441" s="75">
        <f t="shared" si="43"/>
        <v>0</v>
      </c>
      <c r="AH441" s="31" t="e" cm="1">
        <f t="array" aca="1" ref="AH441" ca="1">IF((AD441) &lt; (INDEX(ResponseSLA[#All],(MATCH((G441),ResponseSLA[Priority],0))+1,3)),"YES","No")</f>
        <v>#N/A</v>
      </c>
      <c r="AI441" s="31" t="str">
        <f>_xlfn.IFNA(IF(AE441 &lt; (INDEX(SLATable[Minimum SLA],MATCH(G441,SLATable[Priority],0))),"YES","NO"),"")</f>
        <v/>
      </c>
      <c r="AJ441" t="str">
        <f>_xlfn.IFNA(IF(AE441 &lt; (INDEX(SLATable[Maximum SLA],MATCH(G441,SLATable[Priority],0))),"YES","NO"),"")</f>
        <v/>
      </c>
    </row>
    <row r="442" spans="26:36" ht="15" customHeight="1">
      <c r="Z442" s="76" t="e">
        <f t="shared" ca="1" si="44"/>
        <v>#N/A</v>
      </c>
      <c r="AA442" s="75" t="e">
        <f t="shared" ca="1" si="40"/>
        <v>#N/A</v>
      </c>
      <c r="AB442" s="76">
        <f t="shared" ca="1" si="45"/>
        <v>0</v>
      </c>
      <c r="AC442" s="75">
        <f t="shared" ca="1" si="41"/>
        <v>0</v>
      </c>
      <c r="AD442" s="76">
        <f t="shared" ca="1" si="46"/>
        <v>12388.425641203703</v>
      </c>
      <c r="AE442" s="76">
        <f t="shared" si="47"/>
        <v>0</v>
      </c>
      <c r="AF442" s="75">
        <f t="shared" si="42"/>
        <v>0</v>
      </c>
      <c r="AG442" s="75">
        <f t="shared" si="43"/>
        <v>0</v>
      </c>
      <c r="AH442" s="31" t="e" cm="1">
        <f t="array" aca="1" ref="AH442" ca="1">IF((AD442) &lt; (INDEX(ResponseSLA[#All],(MATCH((G442),ResponseSLA[Priority],0))+1,3)),"YES","No")</f>
        <v>#N/A</v>
      </c>
      <c r="AI442" s="31" t="str">
        <f>_xlfn.IFNA(IF(AE442 &lt; (INDEX(SLATable[Minimum SLA],MATCH(G442,SLATable[Priority],0))),"YES","NO"),"")</f>
        <v/>
      </c>
      <c r="AJ442" t="str">
        <f>_xlfn.IFNA(IF(AE442 &lt; (INDEX(SLATable[Maximum SLA],MATCH(G442,SLATable[Priority],0))),"YES","NO"),"")</f>
        <v/>
      </c>
    </row>
    <row r="443" spans="26:36" ht="15" customHeight="1">
      <c r="Z443" s="76" t="e">
        <f t="shared" ca="1" si="44"/>
        <v>#N/A</v>
      </c>
      <c r="AA443" s="75" t="e">
        <f t="shared" ca="1" si="40"/>
        <v>#N/A</v>
      </c>
      <c r="AB443" s="76">
        <f t="shared" ca="1" si="45"/>
        <v>0</v>
      </c>
      <c r="AC443" s="75">
        <f t="shared" ca="1" si="41"/>
        <v>0</v>
      </c>
      <c r="AD443" s="76">
        <f t="shared" ca="1" si="46"/>
        <v>12388.425641203703</v>
      </c>
      <c r="AE443" s="76">
        <f t="shared" si="47"/>
        <v>0</v>
      </c>
      <c r="AF443" s="75">
        <f t="shared" si="42"/>
        <v>0</v>
      </c>
      <c r="AG443" s="75">
        <f t="shared" si="43"/>
        <v>0</v>
      </c>
      <c r="AH443" s="31" t="e" cm="1">
        <f t="array" aca="1" ref="AH443" ca="1">IF((AD443) &lt; (INDEX(ResponseSLA[#All],(MATCH((G443),ResponseSLA[Priority],0))+1,3)),"YES","No")</f>
        <v>#N/A</v>
      </c>
      <c r="AI443" s="31" t="str">
        <f>_xlfn.IFNA(IF(AE443 &lt; (INDEX(SLATable[Minimum SLA],MATCH(G443,SLATable[Priority],0))),"YES","NO"),"")</f>
        <v/>
      </c>
      <c r="AJ443" t="str">
        <f>_xlfn.IFNA(IF(AE443 &lt; (INDEX(SLATable[Maximum SLA],MATCH(G443,SLATable[Priority],0))),"YES","NO"),"")</f>
        <v/>
      </c>
    </row>
    <row r="444" spans="26:36" ht="15" customHeight="1">
      <c r="Z444" s="76" t="e">
        <f t="shared" ca="1" si="44"/>
        <v>#N/A</v>
      </c>
      <c r="AA444" s="75" t="e">
        <f t="shared" ca="1" si="40"/>
        <v>#N/A</v>
      </c>
      <c r="AB444" s="76">
        <f t="shared" ca="1" si="45"/>
        <v>0</v>
      </c>
      <c r="AC444" s="75">
        <f t="shared" ca="1" si="41"/>
        <v>0</v>
      </c>
      <c r="AD444" s="76">
        <f t="shared" ca="1" si="46"/>
        <v>12388.425641087964</v>
      </c>
      <c r="AE444" s="76">
        <f t="shared" si="47"/>
        <v>0</v>
      </c>
      <c r="AF444" s="75">
        <f t="shared" si="42"/>
        <v>0</v>
      </c>
      <c r="AG444" s="75">
        <f t="shared" si="43"/>
        <v>0</v>
      </c>
      <c r="AH444" s="31" t="e" cm="1">
        <f t="array" aca="1" ref="AH444" ca="1">IF((AD444) &lt; (INDEX(ResponseSLA[#All],(MATCH((G444),ResponseSLA[Priority],0))+1,3)),"YES","No")</f>
        <v>#N/A</v>
      </c>
      <c r="AI444" s="31" t="str">
        <f>_xlfn.IFNA(IF(AE444 &lt; (INDEX(SLATable[Minimum SLA],MATCH(G444,SLATable[Priority],0))),"YES","NO"),"")</f>
        <v/>
      </c>
      <c r="AJ444" t="str">
        <f>_xlfn.IFNA(IF(AE444 &lt; (INDEX(SLATable[Maximum SLA],MATCH(G444,SLATable[Priority],0))),"YES","NO"),"")</f>
        <v/>
      </c>
    </row>
    <row r="445" spans="26:36" ht="15" customHeight="1">
      <c r="Z445" s="76" t="e">
        <f t="shared" ca="1" si="44"/>
        <v>#N/A</v>
      </c>
      <c r="AA445" s="75" t="e">
        <f t="shared" ca="1" si="40"/>
        <v>#N/A</v>
      </c>
      <c r="AB445" s="76">
        <f t="shared" ca="1" si="45"/>
        <v>0</v>
      </c>
      <c r="AC445" s="75">
        <f t="shared" ca="1" si="41"/>
        <v>0</v>
      </c>
      <c r="AD445" s="76">
        <f t="shared" ca="1" si="46"/>
        <v>12388.425641203703</v>
      </c>
      <c r="AE445" s="76">
        <f t="shared" si="47"/>
        <v>0</v>
      </c>
      <c r="AF445" s="75">
        <f t="shared" si="42"/>
        <v>0</v>
      </c>
      <c r="AG445" s="75">
        <f t="shared" si="43"/>
        <v>0</v>
      </c>
      <c r="AH445" s="31" t="e" cm="1">
        <f t="array" aca="1" ref="AH445" ca="1">IF((AD445) &lt; (INDEX(ResponseSLA[#All],(MATCH((G445),ResponseSLA[Priority],0))+1,3)),"YES","No")</f>
        <v>#N/A</v>
      </c>
      <c r="AI445" s="31" t="str">
        <f>_xlfn.IFNA(IF(AE445 &lt; (INDEX(SLATable[Minimum SLA],MATCH(G445,SLATable[Priority],0))),"YES","NO"),"")</f>
        <v/>
      </c>
      <c r="AJ445" t="str">
        <f>_xlfn.IFNA(IF(AE445 &lt; (INDEX(SLATable[Maximum SLA],MATCH(G445,SLATable[Priority],0))),"YES","NO"),"")</f>
        <v/>
      </c>
    </row>
    <row r="446" spans="26:36" ht="15" customHeight="1">
      <c r="Z446" s="76" t="e">
        <f t="shared" ca="1" si="44"/>
        <v>#N/A</v>
      </c>
      <c r="AA446" s="75" t="e">
        <f t="shared" ca="1" si="40"/>
        <v>#N/A</v>
      </c>
      <c r="AB446" s="76">
        <f t="shared" ca="1" si="45"/>
        <v>0</v>
      </c>
      <c r="AC446" s="75">
        <f t="shared" ca="1" si="41"/>
        <v>0</v>
      </c>
      <c r="AD446" s="76">
        <f t="shared" ca="1" si="46"/>
        <v>12388.425641203703</v>
      </c>
      <c r="AE446" s="76">
        <f t="shared" si="47"/>
        <v>0</v>
      </c>
      <c r="AF446" s="75">
        <f t="shared" si="42"/>
        <v>0</v>
      </c>
      <c r="AG446" s="75">
        <f t="shared" si="43"/>
        <v>0</v>
      </c>
      <c r="AH446" s="31" t="e" cm="1">
        <f t="array" aca="1" ref="AH446" ca="1">IF((AD446) &lt; (INDEX(ResponseSLA[#All],(MATCH((G446),ResponseSLA[Priority],0))+1,3)),"YES","No")</f>
        <v>#N/A</v>
      </c>
      <c r="AI446" s="31" t="str">
        <f>_xlfn.IFNA(IF(AE446 &lt; (INDEX(SLATable[Minimum SLA],MATCH(G446,SLATable[Priority],0))),"YES","NO"),"")</f>
        <v/>
      </c>
      <c r="AJ446" t="str">
        <f>_xlfn.IFNA(IF(AE446 &lt; (INDEX(SLATable[Maximum SLA],MATCH(G446,SLATable[Priority],0))),"YES","NO"),"")</f>
        <v/>
      </c>
    </row>
    <row r="447" spans="26:36" ht="15" customHeight="1">
      <c r="Z447" s="76" t="e">
        <f t="shared" ca="1" si="44"/>
        <v>#N/A</v>
      </c>
      <c r="AA447" s="75" t="e">
        <f t="shared" ca="1" si="40"/>
        <v>#N/A</v>
      </c>
      <c r="AB447" s="76">
        <f t="shared" ca="1" si="45"/>
        <v>0</v>
      </c>
      <c r="AC447" s="75">
        <f t="shared" ca="1" si="41"/>
        <v>0</v>
      </c>
      <c r="AD447" s="76">
        <f t="shared" ca="1" si="46"/>
        <v>12388.425641087964</v>
      </c>
      <c r="AE447" s="76">
        <f t="shared" si="47"/>
        <v>0</v>
      </c>
      <c r="AF447" s="75">
        <f t="shared" si="42"/>
        <v>0</v>
      </c>
      <c r="AG447" s="75">
        <f t="shared" si="43"/>
        <v>0</v>
      </c>
      <c r="AH447" s="31" t="e" cm="1">
        <f t="array" aca="1" ref="AH447" ca="1">IF((AD447) &lt; (INDEX(ResponseSLA[#All],(MATCH((G447),ResponseSLA[Priority],0))+1,3)),"YES","No")</f>
        <v>#N/A</v>
      </c>
      <c r="AI447" s="31" t="str">
        <f>_xlfn.IFNA(IF(AE447 &lt; (INDEX(SLATable[Minimum SLA],MATCH(G447,SLATable[Priority],0))),"YES","NO"),"")</f>
        <v/>
      </c>
      <c r="AJ447" t="str">
        <f>_xlfn.IFNA(IF(AE447 &lt; (INDEX(SLATable[Maximum SLA],MATCH(G447,SLATable[Priority],0))),"YES","NO"),"")</f>
        <v/>
      </c>
    </row>
    <row r="448" spans="26:36" ht="15" customHeight="1">
      <c r="Z448" s="76" t="e">
        <f t="shared" ca="1" si="44"/>
        <v>#N/A</v>
      </c>
      <c r="AA448" s="75" t="e">
        <f t="shared" ca="1" si="40"/>
        <v>#N/A</v>
      </c>
      <c r="AB448" s="76">
        <f t="shared" ca="1" si="45"/>
        <v>0</v>
      </c>
      <c r="AC448" s="75">
        <f t="shared" ca="1" si="41"/>
        <v>0</v>
      </c>
      <c r="AD448" s="76">
        <f t="shared" ca="1" si="46"/>
        <v>12388.425641203703</v>
      </c>
      <c r="AE448" s="76">
        <f t="shared" si="47"/>
        <v>0</v>
      </c>
      <c r="AF448" s="75">
        <f t="shared" si="42"/>
        <v>0</v>
      </c>
      <c r="AG448" s="75">
        <f t="shared" si="43"/>
        <v>0</v>
      </c>
      <c r="AH448" s="31" t="e" cm="1">
        <f t="array" aca="1" ref="AH448" ca="1">IF((AD448) &lt; (INDEX(ResponseSLA[#All],(MATCH((G448),ResponseSLA[Priority],0))+1,3)),"YES","No")</f>
        <v>#N/A</v>
      </c>
      <c r="AI448" s="31" t="str">
        <f>_xlfn.IFNA(IF(AE448 &lt; (INDEX(SLATable[Minimum SLA],MATCH(G448,SLATable[Priority],0))),"YES","NO"),"")</f>
        <v/>
      </c>
      <c r="AJ448" t="str">
        <f>_xlfn.IFNA(IF(AE448 &lt; (INDEX(SLATable[Maximum SLA],MATCH(G448,SLATable[Priority],0))),"YES","NO"),"")</f>
        <v/>
      </c>
    </row>
    <row r="449" spans="26:36" ht="15" customHeight="1">
      <c r="Z449" s="76" t="e">
        <f t="shared" ca="1" si="44"/>
        <v>#N/A</v>
      </c>
      <c r="AA449" s="75" t="e">
        <f t="shared" ref="AA449:AA500" ca="1" si="48">(Z449*24)/9</f>
        <v>#N/A</v>
      </c>
      <c r="AB449" s="76">
        <f t="shared" ca="1" si="45"/>
        <v>0</v>
      </c>
      <c r="AC449" s="75">
        <f t="shared" ref="AC449:AC500" ca="1" si="49">(AB449*24)/9</f>
        <v>0</v>
      </c>
      <c r="AD449" s="76">
        <f t="shared" ca="1" si="46"/>
        <v>12388.425641435188</v>
      </c>
      <c r="AE449" s="76">
        <f t="shared" si="47"/>
        <v>0</v>
      </c>
      <c r="AF449" s="75">
        <f t="shared" ref="AF449:AF500" si="50">(AE449*24)/9</f>
        <v>0</v>
      </c>
      <c r="AG449" s="75">
        <f t="shared" ref="AG449:AG500" si="51">AF449</f>
        <v>0</v>
      </c>
      <c r="AH449" s="31" t="e" cm="1">
        <f t="array" aca="1" ref="AH449" ca="1">IF((AD449) &lt; (INDEX(ResponseSLA[#All],(MATCH((G449),ResponseSLA[Priority],0))+1,3)),"YES","No")</f>
        <v>#N/A</v>
      </c>
      <c r="AI449" s="31" t="str">
        <f>_xlfn.IFNA(IF(AE449 &lt; (INDEX(SLATable[Minimum SLA],MATCH(G449,SLATable[Priority],0))),"YES","NO"),"")</f>
        <v/>
      </c>
      <c r="AJ449" t="str">
        <f>_xlfn.IFNA(IF(AE449 &lt; (INDEX(SLATable[Maximum SLA],MATCH(G449,SLATable[Priority],0))),"YES","NO"),"")</f>
        <v/>
      </c>
    </row>
    <row r="450" spans="26:36" ht="15" customHeight="1">
      <c r="Z450" s="76" t="e">
        <f t="shared" ca="1" si="44"/>
        <v>#N/A</v>
      </c>
      <c r="AA450" s="75" t="e">
        <f t="shared" ca="1" si="48"/>
        <v>#N/A</v>
      </c>
      <c r="AB450" s="76">
        <f t="shared" ca="1" si="45"/>
        <v>0</v>
      </c>
      <c r="AC450" s="75">
        <f t="shared" ca="1" si="49"/>
        <v>0</v>
      </c>
      <c r="AD450" s="76">
        <f t="shared" ca="1" si="46"/>
        <v>12388.425641087964</v>
      </c>
      <c r="AE450" s="76">
        <f t="shared" si="47"/>
        <v>0</v>
      </c>
      <c r="AF450" s="75">
        <f t="shared" si="50"/>
        <v>0</v>
      </c>
      <c r="AG450" s="75">
        <f t="shared" si="51"/>
        <v>0</v>
      </c>
      <c r="AH450" s="31" t="e" cm="1">
        <f t="array" aca="1" ref="AH450" ca="1">IF((AD450) &lt; (INDEX(ResponseSLA[#All],(MATCH((G450),ResponseSLA[Priority],0))+1,3)),"YES","No")</f>
        <v>#N/A</v>
      </c>
      <c r="AI450" s="31" t="str">
        <f>_xlfn.IFNA(IF(AE450 &lt; (INDEX(SLATable[Minimum SLA],MATCH(G450,SLATable[Priority],0))),"YES","NO"),"")</f>
        <v/>
      </c>
      <c r="AJ450" t="str">
        <f>_xlfn.IFNA(IF(AE450 &lt; (INDEX(SLATable[Maximum SLA],MATCH(G450,SLATable[Priority],0))),"YES","NO"),"")</f>
        <v/>
      </c>
    </row>
    <row r="451" spans="26:36" ht="15" customHeight="1">
      <c r="Z451" s="76" t="e">
        <f t="shared" ref="Z451:Z500" ca="1" si="52">IF(NOT(OR(G451=1,G451=2)),MAX(0,_xlfn.IFS(AND(K451&lt;&gt;"",N451&lt;&gt;""),((MAX(NETWORKDAYS(K451,N451,UKBankHolidays)-1,0))*(TIME(17,0,0)-TIME(8,0,0))+IF(NETWORKDAYS(N451,N451,UKBankHolidays)&gt;0,MEDIAN(TIME(8,0,0),MOD(N451,1),TIME(17,0,0)),TIME(8,0,0))-IF(NETWORKDAYS(K451,K451,UKBankHolidays)&gt;0,MEDIAN(TIME(8,0,0),MOD(K451,1),TIME(17,0,0)),TIME(8,0,0)))-IF(AND(O451&lt;&gt;"",P451&lt;&gt;""),((MAX(NETWORKDAYS(O451,P451,UKBankHolidays)-1,0))*(TIME(17,0,0)-TIME(8,0,0))+IF(NETWORKDAYS(P451,P451,UKBankHolidays)&gt;0,MEDIAN(TIME(8,0,0),MOD(P451,1),TIME(17,0,0)),TIME(8,0,0))-IF(NETWORKDAYS(O451,O451,UKBankHolidays)&gt;0,MEDIAN(TIME(8,0,0),MOD(O451,1),TIME(17,0,0)),TIME(8,0,0))),0),AND(K451&lt;&gt;"",N451=""),((MAX(NETWORKDAYS(K451,NOW(),UKBankHolidays)-1,0))*(TIME(17,0,0)-TIME(8,0,0))+IF(NETWORKDAYS(NOW(),NOW(),UKBankHolidays)&gt;0,MEDIAN(TIME(8,0,0),MOD(NOW(),1),TIME(17,0,0)),TIME(8,0,0))-IF(NETWORKDAYS(K451,K451,UKBankHolidays)&gt;0,MEDIAN(TIME(8,0,0),MOD(K451,1),TIME(17,0,0)),TIME(8,0,0))))),IF(N451="",NOW()-K451,N451-K451))</f>
        <v>#N/A</v>
      </c>
      <c r="AA451" s="75" t="e">
        <f t="shared" ca="1" si="48"/>
        <v>#N/A</v>
      </c>
      <c r="AB451" s="76">
        <f t="shared" ref="AB451:AB500" ca="1" si="53">IF(NOT(OR(G451=1,G451=2)),MAX(0,_xlfn.IFS(AND(K451&lt;&gt;"",N451&lt;&gt;""),(((MAX(NETWORKDAYS(L451,N451,UKBankHolidays)-1,0))*(TIME(17,0,0)-TIME(8,0,0)))+IF(NETWORKDAYS(N451,N451,UKBankHolidays)&gt;0,MEDIAN(TIME(8,0,0),MOD(N451,1),TIME(17,0,0)),TIME(8,0,0))-IF(NETWORKDAYS(L451,L451,UKBankHolidays)&gt;0,MEDIAN(TIME(8,0,0),MOD(L451,1),TIME(17,0,0)),TIME(8,0,0)))-IF(AND(O451&lt;&gt;"",P451&lt;&gt;""),(((MAX(NETWORKDAYS(O451,P451,UKBankHolidays)-1,0))*(TIME(17,0,0)-TIME(8,0,0)))+IF(NETWORKDAYS(P451,P451,UKBankHolidays)&gt;0,MEDIAN(TIME(8,0,0),MOD(P451,1),TIME(17,0,0)),TIME(8,0,0))-IF(NETWORKDAYS(O451,O451,UKBankHolidays)&gt;0,MEDIAN(TIME(8,0,0),MOD(O451,1),TIME(17,0,0)),TIME(8,0,0))),0),AND(L451&lt;&gt;"",N451="",O451=""),(((MAX(NETWORKDAYS(L451,NOW(),UKBankHolidays)-1,0))*(TIME(17,0,0)-TIME(8,0,0)))+IF(NETWORKDAYS(NOW(),NOW(),UKBankHolidays)&gt;0,MEDIAN(TIME(8,0,0),MOD(NOW(),1),TIME(17,0,0)),TIME(8,0,0))-IF(NETWORKDAYS(L451,L451,UKBankHolidays)&gt;0,MEDIAN(TIME(8,0,0),MOD(L451,1),TIME(17,0,0)),TIME(8,0,0)))-IF(AND(O451&lt;&gt;"",P451&lt;&gt;""),(((MAX(NETWORKDAYS(O451,P451,UKBankHolidays)-1,0))*(TIME(17,0,0)-TIME(8,0,0)))+IF(NETWORKDAYS(P451,P451,UKBankHolidays)&gt;0,MEDIAN(TIME(8,0,0),MOD(P451,1),TIME(17,0,0)),TIME(8,0,0))-IF(NETWORKDAYS(O451,O451,UKBankHolidays)&gt;0,MEDIAN(TIME(8,0,0),MOD(O451,1),TIME(17,0,0)),TIME(8,0,0))),0),AND(L451&lt;&gt;"",N451="",P451="",O451&lt;&gt;""),(((MAX(NETWORKDAYS(L451,O451,UKBankHolidays)-1,0))*(TIME(17,0,0)-TIME(8,0,0)))+IF(NETWORKDAYS(O451,O451,UKBankHolidays)&gt;0,MEDIAN(TIME(8,0,0),MOD(O451,1),TIME(17,0,0)),TIME(8,0,0))-IF(NETWORKDAYS(L451,L451,UKBankHolidays)&gt;0,MEDIAN(TIME(8,0,0),MOD(L451,1),TIME(17,0,0)),TIME(8,0,0))),ISBLANK(K451),"0")),IF(ISBLANK(N451),NOW()-L451,N451-L451))</f>
        <v>0</v>
      </c>
      <c r="AC451" s="75">
        <f t="shared" ca="1" si="49"/>
        <v>0</v>
      </c>
      <c r="AD451" s="76">
        <f t="shared" ref="AD451:AD500" ca="1" si="54">MAX(0,IF(NOT(OR(G451=1,G451=2)),IF(M451&lt;&gt;"",((MAX(NETWORKDAYS(L451,M451,UKBankHolidays)-1,0))*(TIME(17,0,0)-TIME(8,0,0))+IF(NETWORKDAYS(M451,M451,UKBankHolidays)&gt;0,MEDIAN(TIME(8,0,0),MOD(M451,1),TIME(17,0,0)),TIME(8,0,0))-MEDIAN(TIME(8,0,0),MOD(L451,1),TIME(17,0,0))),((MAX(NETWORKDAYS(L451,NOW(),UKBankHolidays)-1,0))*(TIME(17,0,0)-TIME(8,0,0))+IF(NETWORKDAYS(NOW(),NOW(),UKBankHolidays)&gt;0,MEDIAN(TIME(8,0,0),MOD(NOW(),1),TIME(17,0,0)),TIME(8,0,0))-MEDIAN(TIME(8,0,0),MOD(L451,1),TIME(17,0,0)))),IF(M451&lt;&gt;"",M451-L451,NOW()-L451)))</f>
        <v>12388.425641203703</v>
      </c>
      <c r="AE451" s="76">
        <f t="shared" ref="AE451:AE500" si="55">SUMIFS(AB:AB,E:E,E451)</f>
        <v>0</v>
      </c>
      <c r="AF451" s="75">
        <f t="shared" si="50"/>
        <v>0</v>
      </c>
      <c r="AG451" s="75">
        <f t="shared" si="51"/>
        <v>0</v>
      </c>
      <c r="AH451" s="31" t="e" cm="1">
        <f t="array" aca="1" ref="AH451" ca="1">IF((AD451) &lt; (INDEX(ResponseSLA[#All],(MATCH((G451),ResponseSLA[Priority],0))+1,3)),"YES","No")</f>
        <v>#N/A</v>
      </c>
      <c r="AI451" s="31" t="str">
        <f>_xlfn.IFNA(IF(AE451 &lt; (INDEX(SLATable[Minimum SLA],MATCH(G451,SLATable[Priority],0))),"YES","NO"),"")</f>
        <v/>
      </c>
      <c r="AJ451" t="str">
        <f>_xlfn.IFNA(IF(AE451 &lt; (INDEX(SLATable[Maximum SLA],MATCH(G451,SLATable[Priority],0))),"YES","NO"),"")</f>
        <v/>
      </c>
    </row>
    <row r="452" spans="26:36" ht="15" customHeight="1">
      <c r="Z452" s="76" t="e">
        <f t="shared" ca="1" si="52"/>
        <v>#N/A</v>
      </c>
      <c r="AA452" s="75" t="e">
        <f t="shared" ca="1" si="48"/>
        <v>#N/A</v>
      </c>
      <c r="AB452" s="76">
        <f t="shared" ca="1" si="53"/>
        <v>0</v>
      </c>
      <c r="AC452" s="75">
        <f t="shared" ca="1" si="49"/>
        <v>0</v>
      </c>
      <c r="AD452" s="76">
        <f t="shared" ca="1" si="54"/>
        <v>12388.425641435188</v>
      </c>
      <c r="AE452" s="76">
        <f t="shared" si="55"/>
        <v>0</v>
      </c>
      <c r="AF452" s="75">
        <f t="shared" si="50"/>
        <v>0</v>
      </c>
      <c r="AG452" s="75">
        <f t="shared" si="51"/>
        <v>0</v>
      </c>
      <c r="AH452" s="31" t="e" cm="1">
        <f t="array" aca="1" ref="AH452" ca="1">IF((AD452) &lt; (INDEX(ResponseSLA[#All],(MATCH((G452),ResponseSLA[Priority],0))+1,3)),"YES","No")</f>
        <v>#N/A</v>
      </c>
      <c r="AI452" s="31" t="str">
        <f>_xlfn.IFNA(IF(AE452 &lt; (INDEX(SLATable[Minimum SLA],MATCH(G452,SLATable[Priority],0))),"YES","NO"),"")</f>
        <v/>
      </c>
      <c r="AJ452" t="str">
        <f>_xlfn.IFNA(IF(AE452 &lt; (INDEX(SLATable[Maximum SLA],MATCH(G452,SLATable[Priority],0))),"YES","NO"),"")</f>
        <v/>
      </c>
    </row>
    <row r="453" spans="26:36" ht="15" customHeight="1">
      <c r="Z453" s="76" t="e">
        <f t="shared" ca="1" si="52"/>
        <v>#N/A</v>
      </c>
      <c r="AA453" s="75" t="e">
        <f t="shared" ca="1" si="48"/>
        <v>#N/A</v>
      </c>
      <c r="AB453" s="76">
        <f t="shared" ca="1" si="53"/>
        <v>0</v>
      </c>
      <c r="AC453" s="75">
        <f t="shared" ca="1" si="49"/>
        <v>0</v>
      </c>
      <c r="AD453" s="76">
        <f t="shared" ca="1" si="54"/>
        <v>12388.425641087964</v>
      </c>
      <c r="AE453" s="76">
        <f t="shared" si="55"/>
        <v>0</v>
      </c>
      <c r="AF453" s="75">
        <f t="shared" si="50"/>
        <v>0</v>
      </c>
      <c r="AG453" s="75">
        <f t="shared" si="51"/>
        <v>0</v>
      </c>
      <c r="AH453" s="31" t="e" cm="1">
        <f t="array" aca="1" ref="AH453" ca="1">IF((AD453) &lt; (INDEX(ResponseSLA[#All],(MATCH((G453),ResponseSLA[Priority],0))+1,3)),"YES","No")</f>
        <v>#N/A</v>
      </c>
      <c r="AI453" s="31" t="str">
        <f>_xlfn.IFNA(IF(AE453 &lt; (INDEX(SLATable[Minimum SLA],MATCH(G453,SLATable[Priority],0))),"YES","NO"),"")</f>
        <v/>
      </c>
      <c r="AJ453" t="str">
        <f>_xlfn.IFNA(IF(AE453 &lt; (INDEX(SLATable[Maximum SLA],MATCH(G453,SLATable[Priority],0))),"YES","NO"),"")</f>
        <v/>
      </c>
    </row>
    <row r="454" spans="26:36" ht="15" customHeight="1">
      <c r="Z454" s="76" t="e">
        <f t="shared" ca="1" si="52"/>
        <v>#N/A</v>
      </c>
      <c r="AA454" s="75" t="e">
        <f t="shared" ca="1" si="48"/>
        <v>#N/A</v>
      </c>
      <c r="AB454" s="76">
        <f t="shared" ca="1" si="53"/>
        <v>0</v>
      </c>
      <c r="AC454" s="75">
        <f t="shared" ca="1" si="49"/>
        <v>0</v>
      </c>
      <c r="AD454" s="76">
        <f t="shared" ca="1" si="54"/>
        <v>12388.425641203703</v>
      </c>
      <c r="AE454" s="76">
        <f t="shared" si="55"/>
        <v>0</v>
      </c>
      <c r="AF454" s="75">
        <f t="shared" si="50"/>
        <v>0</v>
      </c>
      <c r="AG454" s="75">
        <f t="shared" si="51"/>
        <v>0</v>
      </c>
      <c r="AH454" s="31" t="e" cm="1">
        <f t="array" aca="1" ref="AH454" ca="1">IF((AD454) &lt; (INDEX(ResponseSLA[#All],(MATCH((G454),ResponseSLA[Priority],0))+1,3)),"YES","No")</f>
        <v>#N/A</v>
      </c>
      <c r="AI454" s="31" t="str">
        <f>_xlfn.IFNA(IF(AE454 &lt; (INDEX(SLATable[Minimum SLA],MATCH(G454,SLATable[Priority],0))),"YES","NO"),"")</f>
        <v/>
      </c>
      <c r="AJ454" t="str">
        <f>_xlfn.IFNA(IF(AE454 &lt; (INDEX(SLATable[Maximum SLA],MATCH(G454,SLATable[Priority],0))),"YES","NO"),"")</f>
        <v/>
      </c>
    </row>
    <row r="455" spans="26:36" ht="15" customHeight="1">
      <c r="Z455" s="76" t="e">
        <f t="shared" ca="1" si="52"/>
        <v>#N/A</v>
      </c>
      <c r="AA455" s="75" t="e">
        <f t="shared" ca="1" si="48"/>
        <v>#N/A</v>
      </c>
      <c r="AB455" s="76">
        <f t="shared" ca="1" si="53"/>
        <v>0</v>
      </c>
      <c r="AC455" s="75">
        <f t="shared" ca="1" si="49"/>
        <v>0</v>
      </c>
      <c r="AD455" s="76">
        <f t="shared" ca="1" si="54"/>
        <v>12388.425641435188</v>
      </c>
      <c r="AE455" s="76">
        <f t="shared" si="55"/>
        <v>0</v>
      </c>
      <c r="AF455" s="75">
        <f t="shared" si="50"/>
        <v>0</v>
      </c>
      <c r="AG455" s="75">
        <f t="shared" si="51"/>
        <v>0</v>
      </c>
      <c r="AH455" s="31" t="e" cm="1">
        <f t="array" aca="1" ref="AH455" ca="1">IF((AD455) &lt; (INDEX(ResponseSLA[#All],(MATCH((G455),ResponseSLA[Priority],0))+1,3)),"YES","No")</f>
        <v>#N/A</v>
      </c>
      <c r="AI455" s="31" t="str">
        <f>_xlfn.IFNA(IF(AE455 &lt; (INDEX(SLATable[Minimum SLA],MATCH(G455,SLATable[Priority],0))),"YES","NO"),"")</f>
        <v/>
      </c>
      <c r="AJ455" t="str">
        <f>_xlfn.IFNA(IF(AE455 &lt; (INDEX(SLATable[Maximum SLA],MATCH(G455,SLATable[Priority],0))),"YES","NO"),"")</f>
        <v/>
      </c>
    </row>
    <row r="456" spans="26:36" ht="15" customHeight="1">
      <c r="Z456" s="76" t="e">
        <f t="shared" ca="1" si="52"/>
        <v>#N/A</v>
      </c>
      <c r="AA456" s="75" t="e">
        <f t="shared" ca="1" si="48"/>
        <v>#N/A</v>
      </c>
      <c r="AB456" s="76">
        <f t="shared" ca="1" si="53"/>
        <v>0</v>
      </c>
      <c r="AC456" s="75">
        <f t="shared" ca="1" si="49"/>
        <v>0</v>
      </c>
      <c r="AD456" s="76">
        <f t="shared" ca="1" si="54"/>
        <v>12388.425641087964</v>
      </c>
      <c r="AE456" s="76">
        <f t="shared" si="55"/>
        <v>0</v>
      </c>
      <c r="AF456" s="75">
        <f t="shared" si="50"/>
        <v>0</v>
      </c>
      <c r="AG456" s="75">
        <f t="shared" si="51"/>
        <v>0</v>
      </c>
      <c r="AH456" s="31" t="e" cm="1">
        <f t="array" aca="1" ref="AH456" ca="1">IF((AD456) &lt; (INDEX(ResponseSLA[#All],(MATCH((G456),ResponseSLA[Priority],0))+1,3)),"YES","No")</f>
        <v>#N/A</v>
      </c>
      <c r="AI456" s="31" t="str">
        <f>_xlfn.IFNA(IF(AE456 &lt; (INDEX(SLATable[Minimum SLA],MATCH(G456,SLATable[Priority],0))),"YES","NO"),"")</f>
        <v/>
      </c>
      <c r="AJ456" t="str">
        <f>_xlfn.IFNA(IF(AE456 &lt; (INDEX(SLATable[Maximum SLA],MATCH(G456,SLATable[Priority],0))),"YES","NO"),"")</f>
        <v/>
      </c>
    </row>
    <row r="457" spans="26:36" ht="15" customHeight="1">
      <c r="Z457" s="76" t="e">
        <f t="shared" ca="1" si="52"/>
        <v>#N/A</v>
      </c>
      <c r="AA457" s="75" t="e">
        <f t="shared" ca="1" si="48"/>
        <v>#N/A</v>
      </c>
      <c r="AB457" s="76">
        <f t="shared" ca="1" si="53"/>
        <v>0</v>
      </c>
      <c r="AC457" s="75">
        <f t="shared" ca="1" si="49"/>
        <v>0</v>
      </c>
      <c r="AD457" s="76">
        <f t="shared" ca="1" si="54"/>
        <v>12388.425641203703</v>
      </c>
      <c r="AE457" s="76">
        <f t="shared" si="55"/>
        <v>0</v>
      </c>
      <c r="AF457" s="75">
        <f t="shared" si="50"/>
        <v>0</v>
      </c>
      <c r="AG457" s="75">
        <f t="shared" si="51"/>
        <v>0</v>
      </c>
      <c r="AH457" s="31" t="e" cm="1">
        <f t="array" aca="1" ref="AH457" ca="1">IF((AD457) &lt; (INDEX(ResponseSLA[#All],(MATCH((G457),ResponseSLA[Priority],0))+1,3)),"YES","No")</f>
        <v>#N/A</v>
      </c>
      <c r="AI457" s="31" t="str">
        <f>_xlfn.IFNA(IF(AE457 &lt; (INDEX(SLATable[Minimum SLA],MATCH(G457,SLATable[Priority],0))),"YES","NO"),"")</f>
        <v/>
      </c>
      <c r="AJ457" t="str">
        <f>_xlfn.IFNA(IF(AE457 &lt; (INDEX(SLATable[Maximum SLA],MATCH(G457,SLATable[Priority],0))),"YES","NO"),"")</f>
        <v/>
      </c>
    </row>
    <row r="458" spans="26:36" ht="15" customHeight="1">
      <c r="Z458" s="76" t="e">
        <f t="shared" ca="1" si="52"/>
        <v>#N/A</v>
      </c>
      <c r="AA458" s="75" t="e">
        <f t="shared" ca="1" si="48"/>
        <v>#N/A</v>
      </c>
      <c r="AB458" s="76">
        <f t="shared" ca="1" si="53"/>
        <v>0</v>
      </c>
      <c r="AC458" s="75">
        <f t="shared" ca="1" si="49"/>
        <v>0</v>
      </c>
      <c r="AD458" s="76">
        <f t="shared" ca="1" si="54"/>
        <v>12388.425641435188</v>
      </c>
      <c r="AE458" s="76">
        <f t="shared" si="55"/>
        <v>0</v>
      </c>
      <c r="AF458" s="75">
        <f t="shared" si="50"/>
        <v>0</v>
      </c>
      <c r="AG458" s="75">
        <f t="shared" si="51"/>
        <v>0</v>
      </c>
      <c r="AH458" s="31" t="e" cm="1">
        <f t="array" aca="1" ref="AH458" ca="1">IF((AD458) &lt; (INDEX(ResponseSLA[#All],(MATCH((G458),ResponseSLA[Priority],0))+1,3)),"YES","No")</f>
        <v>#N/A</v>
      </c>
      <c r="AI458" s="31" t="str">
        <f>_xlfn.IFNA(IF(AE458 &lt; (INDEX(SLATable[Minimum SLA],MATCH(G458,SLATable[Priority],0))),"YES","NO"),"")</f>
        <v/>
      </c>
      <c r="AJ458" t="str">
        <f>_xlfn.IFNA(IF(AE458 &lt; (INDEX(SLATable[Maximum SLA],MATCH(G458,SLATable[Priority],0))),"YES","NO"),"")</f>
        <v/>
      </c>
    </row>
    <row r="459" spans="26:36" ht="15" customHeight="1">
      <c r="Z459" s="76" t="e">
        <f t="shared" ca="1" si="52"/>
        <v>#N/A</v>
      </c>
      <c r="AA459" s="75" t="e">
        <f t="shared" ca="1" si="48"/>
        <v>#N/A</v>
      </c>
      <c r="AB459" s="76">
        <f t="shared" ca="1" si="53"/>
        <v>0</v>
      </c>
      <c r="AC459" s="75">
        <f t="shared" ca="1" si="49"/>
        <v>0</v>
      </c>
      <c r="AD459" s="76">
        <f t="shared" ca="1" si="54"/>
        <v>12388.425641087964</v>
      </c>
      <c r="AE459" s="76">
        <f t="shared" si="55"/>
        <v>0</v>
      </c>
      <c r="AF459" s="75">
        <f t="shared" si="50"/>
        <v>0</v>
      </c>
      <c r="AG459" s="75">
        <f t="shared" si="51"/>
        <v>0</v>
      </c>
      <c r="AH459" s="31" t="e" cm="1">
        <f t="array" aca="1" ref="AH459" ca="1">IF((AD459) &lt; (INDEX(ResponseSLA[#All],(MATCH((G459),ResponseSLA[Priority],0))+1,3)),"YES","No")</f>
        <v>#N/A</v>
      </c>
      <c r="AI459" s="31" t="str">
        <f>_xlfn.IFNA(IF(AE459 &lt; (INDEX(SLATable[Minimum SLA],MATCH(G459,SLATable[Priority],0))),"YES","NO"),"")</f>
        <v/>
      </c>
      <c r="AJ459" t="str">
        <f>_xlfn.IFNA(IF(AE459 &lt; (INDEX(SLATable[Maximum SLA],MATCH(G459,SLATable[Priority],0))),"YES","NO"),"")</f>
        <v/>
      </c>
    </row>
    <row r="460" spans="26:36" ht="15" customHeight="1">
      <c r="Z460" s="76" t="e">
        <f t="shared" ca="1" si="52"/>
        <v>#N/A</v>
      </c>
      <c r="AA460" s="75" t="e">
        <f t="shared" ca="1" si="48"/>
        <v>#N/A</v>
      </c>
      <c r="AB460" s="76">
        <f t="shared" ca="1" si="53"/>
        <v>0</v>
      </c>
      <c r="AC460" s="75">
        <f t="shared" ca="1" si="49"/>
        <v>0</v>
      </c>
      <c r="AD460" s="76">
        <f t="shared" ca="1" si="54"/>
        <v>12388.425641203703</v>
      </c>
      <c r="AE460" s="76">
        <f t="shared" si="55"/>
        <v>0</v>
      </c>
      <c r="AF460" s="75">
        <f t="shared" si="50"/>
        <v>0</v>
      </c>
      <c r="AG460" s="75">
        <f t="shared" si="51"/>
        <v>0</v>
      </c>
      <c r="AH460" s="31" t="e" cm="1">
        <f t="array" aca="1" ref="AH460" ca="1">IF((AD460) &lt; (INDEX(ResponseSLA[#All],(MATCH((G460),ResponseSLA[Priority],0))+1,3)),"YES","No")</f>
        <v>#N/A</v>
      </c>
      <c r="AI460" s="31" t="str">
        <f>_xlfn.IFNA(IF(AE460 &lt; (INDEX(SLATable[Minimum SLA],MATCH(G460,SLATable[Priority],0))),"YES","NO"),"")</f>
        <v/>
      </c>
      <c r="AJ460" t="str">
        <f>_xlfn.IFNA(IF(AE460 &lt; (INDEX(SLATable[Maximum SLA],MATCH(G460,SLATable[Priority],0))),"YES","NO"),"")</f>
        <v/>
      </c>
    </row>
    <row r="461" spans="26:36" ht="15" customHeight="1">
      <c r="Z461" s="76" t="e">
        <f t="shared" ca="1" si="52"/>
        <v>#N/A</v>
      </c>
      <c r="AA461" s="75" t="e">
        <f t="shared" ca="1" si="48"/>
        <v>#N/A</v>
      </c>
      <c r="AB461" s="76">
        <f t="shared" ca="1" si="53"/>
        <v>0</v>
      </c>
      <c r="AC461" s="75">
        <f t="shared" ca="1" si="49"/>
        <v>0</v>
      </c>
      <c r="AD461" s="76">
        <f t="shared" ca="1" si="54"/>
        <v>12388.425641435188</v>
      </c>
      <c r="AE461" s="76">
        <f t="shared" si="55"/>
        <v>0</v>
      </c>
      <c r="AF461" s="75">
        <f t="shared" si="50"/>
        <v>0</v>
      </c>
      <c r="AG461" s="75">
        <f t="shared" si="51"/>
        <v>0</v>
      </c>
      <c r="AH461" s="31" t="e" cm="1">
        <f t="array" aca="1" ref="AH461" ca="1">IF((AD461) &lt; (INDEX(ResponseSLA[#All],(MATCH((G461),ResponseSLA[Priority],0))+1,3)),"YES","No")</f>
        <v>#N/A</v>
      </c>
      <c r="AI461" s="31" t="str">
        <f>_xlfn.IFNA(IF(AE461 &lt; (INDEX(SLATable[Minimum SLA],MATCH(G461,SLATable[Priority],0))),"YES","NO"),"")</f>
        <v/>
      </c>
      <c r="AJ461" t="str">
        <f>_xlfn.IFNA(IF(AE461 &lt; (INDEX(SLATable[Maximum SLA],MATCH(G461,SLATable[Priority],0))),"YES","NO"),"")</f>
        <v/>
      </c>
    </row>
    <row r="462" spans="26:36" ht="15" customHeight="1">
      <c r="Z462" s="76" t="e">
        <f t="shared" ca="1" si="52"/>
        <v>#N/A</v>
      </c>
      <c r="AA462" s="75" t="e">
        <f t="shared" ca="1" si="48"/>
        <v>#N/A</v>
      </c>
      <c r="AB462" s="76">
        <f t="shared" ca="1" si="53"/>
        <v>0</v>
      </c>
      <c r="AC462" s="75">
        <f t="shared" ca="1" si="49"/>
        <v>0</v>
      </c>
      <c r="AD462" s="76">
        <f t="shared" ca="1" si="54"/>
        <v>12388.425641203703</v>
      </c>
      <c r="AE462" s="76">
        <f t="shared" si="55"/>
        <v>0</v>
      </c>
      <c r="AF462" s="75">
        <f t="shared" si="50"/>
        <v>0</v>
      </c>
      <c r="AG462" s="75">
        <f t="shared" si="51"/>
        <v>0</v>
      </c>
      <c r="AH462" s="31" t="e" cm="1">
        <f t="array" aca="1" ref="AH462" ca="1">IF((AD462) &lt; (INDEX(ResponseSLA[#All],(MATCH((G462),ResponseSLA[Priority],0))+1,3)),"YES","No")</f>
        <v>#N/A</v>
      </c>
      <c r="AI462" s="31" t="str">
        <f>_xlfn.IFNA(IF(AE462 &lt; (INDEX(SLATable[Minimum SLA],MATCH(G462,SLATable[Priority],0))),"YES","NO"),"")</f>
        <v/>
      </c>
      <c r="AJ462" t="str">
        <f>_xlfn.IFNA(IF(AE462 &lt; (INDEX(SLATable[Maximum SLA],MATCH(G462,SLATable[Priority],0))),"YES","NO"),"")</f>
        <v/>
      </c>
    </row>
    <row r="463" spans="26:36" ht="15" customHeight="1">
      <c r="Z463" s="76" t="e">
        <f t="shared" ca="1" si="52"/>
        <v>#N/A</v>
      </c>
      <c r="AA463" s="75" t="e">
        <f t="shared" ca="1" si="48"/>
        <v>#N/A</v>
      </c>
      <c r="AB463" s="76">
        <f t="shared" ca="1" si="53"/>
        <v>0</v>
      </c>
      <c r="AC463" s="75">
        <f t="shared" ca="1" si="49"/>
        <v>0</v>
      </c>
      <c r="AD463" s="76">
        <f t="shared" ca="1" si="54"/>
        <v>12388.425641203703</v>
      </c>
      <c r="AE463" s="76">
        <f t="shared" si="55"/>
        <v>0</v>
      </c>
      <c r="AF463" s="75">
        <f t="shared" si="50"/>
        <v>0</v>
      </c>
      <c r="AG463" s="75">
        <f t="shared" si="51"/>
        <v>0</v>
      </c>
      <c r="AH463" s="31" t="e" cm="1">
        <f t="array" aca="1" ref="AH463" ca="1">IF((AD463) &lt; (INDEX(ResponseSLA[#All],(MATCH((G463),ResponseSLA[Priority],0))+1,3)),"YES","No")</f>
        <v>#N/A</v>
      </c>
      <c r="AI463" s="31" t="str">
        <f>_xlfn.IFNA(IF(AE463 &lt; (INDEX(SLATable[Minimum SLA],MATCH(G463,SLATable[Priority],0))),"YES","NO"),"")</f>
        <v/>
      </c>
      <c r="AJ463" t="str">
        <f>_xlfn.IFNA(IF(AE463 &lt; (INDEX(SLATable[Maximum SLA],MATCH(G463,SLATable[Priority],0))),"YES","NO"),"")</f>
        <v/>
      </c>
    </row>
    <row r="464" spans="26:36" ht="15" customHeight="1">
      <c r="Z464" s="76" t="e">
        <f t="shared" ca="1" si="52"/>
        <v>#N/A</v>
      </c>
      <c r="AA464" s="75" t="e">
        <f t="shared" ca="1" si="48"/>
        <v>#N/A</v>
      </c>
      <c r="AB464" s="76">
        <f t="shared" ca="1" si="53"/>
        <v>0</v>
      </c>
      <c r="AC464" s="75">
        <f t="shared" ca="1" si="49"/>
        <v>0</v>
      </c>
      <c r="AD464" s="76">
        <f t="shared" ca="1" si="54"/>
        <v>12388.425641435188</v>
      </c>
      <c r="AE464" s="76">
        <f t="shared" si="55"/>
        <v>0</v>
      </c>
      <c r="AF464" s="75">
        <f t="shared" si="50"/>
        <v>0</v>
      </c>
      <c r="AG464" s="75">
        <f t="shared" si="51"/>
        <v>0</v>
      </c>
      <c r="AH464" s="31" t="e" cm="1">
        <f t="array" aca="1" ref="AH464" ca="1">IF((AD464) &lt; (INDEX(ResponseSLA[#All],(MATCH((G464),ResponseSLA[Priority],0))+1,3)),"YES","No")</f>
        <v>#N/A</v>
      </c>
      <c r="AI464" s="31" t="str">
        <f>_xlfn.IFNA(IF(AE464 &lt; (INDEX(SLATable[Minimum SLA],MATCH(G464,SLATable[Priority],0))),"YES","NO"),"")</f>
        <v/>
      </c>
      <c r="AJ464" t="str">
        <f>_xlfn.IFNA(IF(AE464 &lt; (INDEX(SLATable[Maximum SLA],MATCH(G464,SLATable[Priority],0))),"YES","NO"),"")</f>
        <v/>
      </c>
    </row>
    <row r="465" spans="26:36" ht="15" customHeight="1">
      <c r="Z465" s="76" t="e">
        <f t="shared" ca="1" si="52"/>
        <v>#N/A</v>
      </c>
      <c r="AA465" s="75" t="e">
        <f t="shared" ca="1" si="48"/>
        <v>#N/A</v>
      </c>
      <c r="AB465" s="76">
        <f t="shared" ca="1" si="53"/>
        <v>0</v>
      </c>
      <c r="AC465" s="75">
        <f t="shared" ca="1" si="49"/>
        <v>0</v>
      </c>
      <c r="AD465" s="76">
        <f t="shared" ca="1" si="54"/>
        <v>12388.425641203703</v>
      </c>
      <c r="AE465" s="76">
        <f t="shared" si="55"/>
        <v>0</v>
      </c>
      <c r="AF465" s="75">
        <f t="shared" si="50"/>
        <v>0</v>
      </c>
      <c r="AG465" s="75">
        <f t="shared" si="51"/>
        <v>0</v>
      </c>
      <c r="AH465" s="31" t="e" cm="1">
        <f t="array" aca="1" ref="AH465" ca="1">IF((AD465) &lt; (INDEX(ResponseSLA[#All],(MATCH((G465),ResponseSLA[Priority],0))+1,3)),"YES","No")</f>
        <v>#N/A</v>
      </c>
      <c r="AI465" s="31" t="str">
        <f>_xlfn.IFNA(IF(AE465 &lt; (INDEX(SLATable[Minimum SLA],MATCH(G465,SLATable[Priority],0))),"YES","NO"),"")</f>
        <v/>
      </c>
      <c r="AJ465" t="str">
        <f>_xlfn.IFNA(IF(AE465 &lt; (INDEX(SLATable[Maximum SLA],MATCH(G465,SLATable[Priority],0))),"YES","NO"),"")</f>
        <v/>
      </c>
    </row>
    <row r="466" spans="26:36" ht="15" customHeight="1">
      <c r="Z466" s="76" t="e">
        <f t="shared" ca="1" si="52"/>
        <v>#N/A</v>
      </c>
      <c r="AA466" s="75" t="e">
        <f t="shared" ca="1" si="48"/>
        <v>#N/A</v>
      </c>
      <c r="AB466" s="76">
        <f t="shared" ca="1" si="53"/>
        <v>0</v>
      </c>
      <c r="AC466" s="75">
        <f t="shared" ca="1" si="49"/>
        <v>0</v>
      </c>
      <c r="AD466" s="76">
        <f t="shared" ca="1" si="54"/>
        <v>12388.425641203703</v>
      </c>
      <c r="AE466" s="76">
        <f t="shared" si="55"/>
        <v>0</v>
      </c>
      <c r="AF466" s="75">
        <f t="shared" si="50"/>
        <v>0</v>
      </c>
      <c r="AG466" s="75">
        <f t="shared" si="51"/>
        <v>0</v>
      </c>
      <c r="AH466" s="31" t="e" cm="1">
        <f t="array" aca="1" ref="AH466" ca="1">IF((AD466) &lt; (INDEX(ResponseSLA[#All],(MATCH((G466),ResponseSLA[Priority],0))+1,3)),"YES","No")</f>
        <v>#N/A</v>
      </c>
      <c r="AI466" s="31" t="str">
        <f>_xlfn.IFNA(IF(AE466 &lt; (INDEX(SLATable[Minimum SLA],MATCH(G466,SLATable[Priority],0))),"YES","NO"),"")</f>
        <v/>
      </c>
      <c r="AJ466" t="str">
        <f>_xlfn.IFNA(IF(AE466 &lt; (INDEX(SLATable[Maximum SLA],MATCH(G466,SLATable[Priority],0))),"YES","NO"),"")</f>
        <v/>
      </c>
    </row>
    <row r="467" spans="26:36" ht="15" customHeight="1">
      <c r="Z467" s="76" t="e">
        <f t="shared" ca="1" si="52"/>
        <v>#N/A</v>
      </c>
      <c r="AA467" s="75" t="e">
        <f t="shared" ca="1" si="48"/>
        <v>#N/A</v>
      </c>
      <c r="AB467" s="76">
        <f t="shared" ca="1" si="53"/>
        <v>0</v>
      </c>
      <c r="AC467" s="75">
        <f t="shared" ca="1" si="49"/>
        <v>0</v>
      </c>
      <c r="AD467" s="76">
        <f t="shared" ca="1" si="54"/>
        <v>12388.425641435188</v>
      </c>
      <c r="AE467" s="76">
        <f t="shared" si="55"/>
        <v>0</v>
      </c>
      <c r="AF467" s="75">
        <f t="shared" si="50"/>
        <v>0</v>
      </c>
      <c r="AG467" s="75">
        <f t="shared" si="51"/>
        <v>0</v>
      </c>
      <c r="AH467" s="31" t="e" cm="1">
        <f t="array" aca="1" ref="AH467" ca="1">IF((AD467) &lt; (INDEX(ResponseSLA[#All],(MATCH((G467),ResponseSLA[Priority],0))+1,3)),"YES","No")</f>
        <v>#N/A</v>
      </c>
      <c r="AI467" s="31" t="str">
        <f>_xlfn.IFNA(IF(AE467 &lt; (INDEX(SLATable[Minimum SLA],MATCH(G467,SLATable[Priority],0))),"YES","NO"),"")</f>
        <v/>
      </c>
      <c r="AJ467" t="str">
        <f>_xlfn.IFNA(IF(AE467 &lt; (INDEX(SLATable[Maximum SLA],MATCH(G467,SLATable[Priority],0))),"YES","NO"),"")</f>
        <v/>
      </c>
    </row>
    <row r="468" spans="26:36" ht="15" customHeight="1">
      <c r="Z468" s="76" t="e">
        <f t="shared" ca="1" si="52"/>
        <v>#N/A</v>
      </c>
      <c r="AA468" s="75" t="e">
        <f t="shared" ca="1" si="48"/>
        <v>#N/A</v>
      </c>
      <c r="AB468" s="76">
        <f t="shared" ca="1" si="53"/>
        <v>0</v>
      </c>
      <c r="AC468" s="75">
        <f t="shared" ca="1" si="49"/>
        <v>0</v>
      </c>
      <c r="AD468" s="76">
        <f t="shared" ca="1" si="54"/>
        <v>12388.425641203703</v>
      </c>
      <c r="AE468" s="76">
        <f t="shared" si="55"/>
        <v>0</v>
      </c>
      <c r="AF468" s="75">
        <f t="shared" si="50"/>
        <v>0</v>
      </c>
      <c r="AG468" s="75">
        <f t="shared" si="51"/>
        <v>0</v>
      </c>
      <c r="AH468" s="31" t="e" cm="1">
        <f t="array" aca="1" ref="AH468" ca="1">IF((AD468) &lt; (INDEX(ResponseSLA[#All],(MATCH((G468),ResponseSLA[Priority],0))+1,3)),"YES","No")</f>
        <v>#N/A</v>
      </c>
      <c r="AI468" s="31" t="str">
        <f>_xlfn.IFNA(IF(AE468 &lt; (INDEX(SLATable[Minimum SLA],MATCH(G468,SLATable[Priority],0))),"YES","NO"),"")</f>
        <v/>
      </c>
      <c r="AJ468" t="str">
        <f>_xlfn.IFNA(IF(AE468 &lt; (INDEX(SLATable[Maximum SLA],MATCH(G468,SLATable[Priority],0))),"YES","NO"),"")</f>
        <v/>
      </c>
    </row>
    <row r="469" spans="26:36" ht="15" customHeight="1">
      <c r="Z469" s="76" t="e">
        <f t="shared" ca="1" si="52"/>
        <v>#N/A</v>
      </c>
      <c r="AA469" s="75" t="e">
        <f t="shared" ca="1" si="48"/>
        <v>#N/A</v>
      </c>
      <c r="AB469" s="76">
        <f t="shared" ca="1" si="53"/>
        <v>0</v>
      </c>
      <c r="AC469" s="75">
        <f t="shared" ca="1" si="49"/>
        <v>0</v>
      </c>
      <c r="AD469" s="76">
        <f t="shared" ca="1" si="54"/>
        <v>12388.425641203703</v>
      </c>
      <c r="AE469" s="76">
        <f t="shared" si="55"/>
        <v>0</v>
      </c>
      <c r="AF469" s="75">
        <f t="shared" si="50"/>
        <v>0</v>
      </c>
      <c r="AG469" s="75">
        <f t="shared" si="51"/>
        <v>0</v>
      </c>
      <c r="AH469" s="31" t="e" cm="1">
        <f t="array" aca="1" ref="AH469" ca="1">IF((AD469) &lt; (INDEX(ResponseSLA[#All],(MATCH((G469),ResponseSLA[Priority],0))+1,3)),"YES","No")</f>
        <v>#N/A</v>
      </c>
      <c r="AI469" s="31" t="str">
        <f>_xlfn.IFNA(IF(AE469 &lt; (INDEX(SLATable[Minimum SLA],MATCH(G469,SLATable[Priority],0))),"YES","NO"),"")</f>
        <v/>
      </c>
      <c r="AJ469" t="str">
        <f>_xlfn.IFNA(IF(AE469 &lt; (INDEX(SLATable[Maximum SLA],MATCH(G469,SLATable[Priority],0))),"YES","NO"),"")</f>
        <v/>
      </c>
    </row>
    <row r="470" spans="26:36" ht="15" customHeight="1">
      <c r="Z470" s="76" t="e">
        <f t="shared" ca="1" si="52"/>
        <v>#N/A</v>
      </c>
      <c r="AA470" s="75" t="e">
        <f t="shared" ca="1" si="48"/>
        <v>#N/A</v>
      </c>
      <c r="AB470" s="76">
        <f t="shared" ca="1" si="53"/>
        <v>0</v>
      </c>
      <c r="AC470" s="75">
        <f t="shared" ca="1" si="49"/>
        <v>0</v>
      </c>
      <c r="AD470" s="76">
        <f t="shared" ca="1" si="54"/>
        <v>12388.425641435188</v>
      </c>
      <c r="AE470" s="76">
        <f t="shared" si="55"/>
        <v>0</v>
      </c>
      <c r="AF470" s="75">
        <f t="shared" si="50"/>
        <v>0</v>
      </c>
      <c r="AG470" s="75">
        <f t="shared" si="51"/>
        <v>0</v>
      </c>
      <c r="AH470" s="31" t="e" cm="1">
        <f t="array" aca="1" ref="AH470" ca="1">IF((AD470) &lt; (INDEX(ResponseSLA[#All],(MATCH((G470),ResponseSLA[Priority],0))+1,3)),"YES","No")</f>
        <v>#N/A</v>
      </c>
      <c r="AI470" s="31" t="str">
        <f>_xlfn.IFNA(IF(AE470 &lt; (INDEX(SLATable[Minimum SLA],MATCH(G470,SLATable[Priority],0))),"YES","NO"),"")</f>
        <v/>
      </c>
      <c r="AJ470" t="str">
        <f>_xlfn.IFNA(IF(AE470 &lt; (INDEX(SLATable[Maximum SLA],MATCH(G470,SLATable[Priority],0))),"YES","NO"),"")</f>
        <v/>
      </c>
    </row>
    <row r="471" spans="26:36" ht="15" customHeight="1">
      <c r="Z471" s="76" t="e">
        <f t="shared" ca="1" si="52"/>
        <v>#N/A</v>
      </c>
      <c r="AA471" s="75" t="e">
        <f t="shared" ca="1" si="48"/>
        <v>#N/A</v>
      </c>
      <c r="AB471" s="76">
        <f t="shared" ca="1" si="53"/>
        <v>0</v>
      </c>
      <c r="AC471" s="75">
        <f t="shared" ca="1" si="49"/>
        <v>0</v>
      </c>
      <c r="AD471" s="76">
        <f t="shared" ca="1" si="54"/>
        <v>12388.425641203703</v>
      </c>
      <c r="AE471" s="76">
        <f t="shared" si="55"/>
        <v>0</v>
      </c>
      <c r="AF471" s="75">
        <f t="shared" si="50"/>
        <v>0</v>
      </c>
      <c r="AG471" s="75">
        <f t="shared" si="51"/>
        <v>0</v>
      </c>
      <c r="AH471" s="31" t="e" cm="1">
        <f t="array" aca="1" ref="AH471" ca="1">IF((AD471) &lt; (INDEX(ResponseSLA[#All],(MATCH((G471),ResponseSLA[Priority],0))+1,3)),"YES","No")</f>
        <v>#N/A</v>
      </c>
      <c r="AI471" s="31" t="str">
        <f>_xlfn.IFNA(IF(AE471 &lt; (INDEX(SLATable[Minimum SLA],MATCH(G471,SLATable[Priority],0))),"YES","NO"),"")</f>
        <v/>
      </c>
      <c r="AJ471" t="str">
        <f>_xlfn.IFNA(IF(AE471 &lt; (INDEX(SLATable[Maximum SLA],MATCH(G471,SLATable[Priority],0))),"YES","NO"),"")</f>
        <v/>
      </c>
    </row>
    <row r="472" spans="26:36" ht="15" customHeight="1">
      <c r="Z472" s="76" t="e">
        <f t="shared" ca="1" si="52"/>
        <v>#N/A</v>
      </c>
      <c r="AA472" s="75" t="e">
        <f t="shared" ca="1" si="48"/>
        <v>#N/A</v>
      </c>
      <c r="AB472" s="76">
        <f t="shared" ca="1" si="53"/>
        <v>0</v>
      </c>
      <c r="AC472" s="75">
        <f t="shared" ca="1" si="49"/>
        <v>0</v>
      </c>
      <c r="AD472" s="76">
        <f t="shared" ca="1" si="54"/>
        <v>12388.425641203703</v>
      </c>
      <c r="AE472" s="76">
        <f t="shared" si="55"/>
        <v>0</v>
      </c>
      <c r="AF472" s="75">
        <f t="shared" si="50"/>
        <v>0</v>
      </c>
      <c r="AG472" s="75">
        <f t="shared" si="51"/>
        <v>0</v>
      </c>
      <c r="AH472" s="31" t="e" cm="1">
        <f t="array" aca="1" ref="AH472" ca="1">IF((AD472) &lt; (INDEX(ResponseSLA[#All],(MATCH((G472),ResponseSLA[Priority],0))+1,3)),"YES","No")</f>
        <v>#N/A</v>
      </c>
      <c r="AI472" s="31" t="str">
        <f>_xlfn.IFNA(IF(AE472 &lt; (INDEX(SLATable[Minimum SLA],MATCH(G472,SLATable[Priority],0))),"YES","NO"),"")</f>
        <v/>
      </c>
      <c r="AJ472" t="str">
        <f>_xlfn.IFNA(IF(AE472 &lt; (INDEX(SLATable[Maximum SLA],MATCH(G472,SLATable[Priority],0))),"YES","NO"),"")</f>
        <v/>
      </c>
    </row>
    <row r="473" spans="26:36" ht="15" customHeight="1">
      <c r="Z473" s="76" t="e">
        <f t="shared" ca="1" si="52"/>
        <v>#N/A</v>
      </c>
      <c r="AA473" s="75" t="e">
        <f t="shared" ca="1" si="48"/>
        <v>#N/A</v>
      </c>
      <c r="AB473" s="76">
        <f t="shared" ca="1" si="53"/>
        <v>0</v>
      </c>
      <c r="AC473" s="75">
        <f t="shared" ca="1" si="49"/>
        <v>0</v>
      </c>
      <c r="AD473" s="76">
        <f t="shared" ca="1" si="54"/>
        <v>12388.425641435188</v>
      </c>
      <c r="AE473" s="76">
        <f t="shared" si="55"/>
        <v>0</v>
      </c>
      <c r="AF473" s="75">
        <f t="shared" si="50"/>
        <v>0</v>
      </c>
      <c r="AG473" s="75">
        <f t="shared" si="51"/>
        <v>0</v>
      </c>
      <c r="AH473" s="31" t="e" cm="1">
        <f t="array" aca="1" ref="AH473" ca="1">IF((AD473) &lt; (INDEX(ResponseSLA[#All],(MATCH((G473),ResponseSLA[Priority],0))+1,3)),"YES","No")</f>
        <v>#N/A</v>
      </c>
      <c r="AI473" s="31" t="str">
        <f>_xlfn.IFNA(IF(AE473 &lt; (INDEX(SLATable[Minimum SLA],MATCH(G473,SLATable[Priority],0))),"YES","NO"),"")</f>
        <v/>
      </c>
      <c r="AJ473" t="str">
        <f>_xlfn.IFNA(IF(AE473 &lt; (INDEX(SLATable[Maximum SLA],MATCH(G473,SLATable[Priority],0))),"YES","NO"),"")</f>
        <v/>
      </c>
    </row>
    <row r="474" spans="26:36" ht="15" customHeight="1">
      <c r="Z474" s="76" t="e">
        <f t="shared" ca="1" si="52"/>
        <v>#N/A</v>
      </c>
      <c r="AA474" s="75" t="e">
        <f t="shared" ca="1" si="48"/>
        <v>#N/A</v>
      </c>
      <c r="AB474" s="76">
        <f t="shared" ca="1" si="53"/>
        <v>0</v>
      </c>
      <c r="AC474" s="75">
        <f t="shared" ca="1" si="49"/>
        <v>0</v>
      </c>
      <c r="AD474" s="76">
        <f t="shared" ca="1" si="54"/>
        <v>12388.425641203703</v>
      </c>
      <c r="AE474" s="76">
        <f t="shared" si="55"/>
        <v>0</v>
      </c>
      <c r="AF474" s="75">
        <f t="shared" si="50"/>
        <v>0</v>
      </c>
      <c r="AG474" s="75">
        <f t="shared" si="51"/>
        <v>0</v>
      </c>
      <c r="AH474" s="31" t="e" cm="1">
        <f t="array" aca="1" ref="AH474" ca="1">IF((AD474) &lt; (INDEX(ResponseSLA[#All],(MATCH((G474),ResponseSLA[Priority],0))+1,3)),"YES","No")</f>
        <v>#N/A</v>
      </c>
      <c r="AI474" s="31" t="str">
        <f>_xlfn.IFNA(IF(AE474 &lt; (INDEX(SLATable[Minimum SLA],MATCH(G474,SLATable[Priority],0))),"YES","NO"),"")</f>
        <v/>
      </c>
      <c r="AJ474" t="str">
        <f>_xlfn.IFNA(IF(AE474 &lt; (INDEX(SLATable[Maximum SLA],MATCH(G474,SLATable[Priority],0))),"YES","NO"),"")</f>
        <v/>
      </c>
    </row>
    <row r="475" spans="26:36" ht="15" customHeight="1">
      <c r="Z475" s="76" t="e">
        <f t="shared" ca="1" si="52"/>
        <v>#N/A</v>
      </c>
      <c r="AA475" s="75" t="e">
        <f t="shared" ca="1" si="48"/>
        <v>#N/A</v>
      </c>
      <c r="AB475" s="76">
        <f t="shared" ca="1" si="53"/>
        <v>0</v>
      </c>
      <c r="AC475" s="75">
        <f t="shared" ca="1" si="49"/>
        <v>0</v>
      </c>
      <c r="AD475" s="76">
        <f t="shared" ca="1" si="54"/>
        <v>12388.425641203703</v>
      </c>
      <c r="AE475" s="76">
        <f t="shared" si="55"/>
        <v>0</v>
      </c>
      <c r="AF475" s="75">
        <f t="shared" si="50"/>
        <v>0</v>
      </c>
      <c r="AG475" s="75">
        <f t="shared" si="51"/>
        <v>0</v>
      </c>
      <c r="AH475" s="31" t="e" cm="1">
        <f t="array" aca="1" ref="AH475" ca="1">IF((AD475) &lt; (INDEX(ResponseSLA[#All],(MATCH((G475),ResponseSLA[Priority],0))+1,3)),"YES","No")</f>
        <v>#N/A</v>
      </c>
      <c r="AI475" s="31" t="str">
        <f>_xlfn.IFNA(IF(AE475 &lt; (INDEX(SLATable[Minimum SLA],MATCH(G475,SLATable[Priority],0))),"YES","NO"),"")</f>
        <v/>
      </c>
      <c r="AJ475" t="str">
        <f>_xlfn.IFNA(IF(AE475 &lt; (INDEX(SLATable[Maximum SLA],MATCH(G475,SLATable[Priority],0))),"YES","NO"),"")</f>
        <v/>
      </c>
    </row>
    <row r="476" spans="26:36" ht="15" customHeight="1">
      <c r="Z476" s="76" t="e">
        <f t="shared" ca="1" si="52"/>
        <v>#N/A</v>
      </c>
      <c r="AA476" s="75" t="e">
        <f t="shared" ca="1" si="48"/>
        <v>#N/A</v>
      </c>
      <c r="AB476" s="76">
        <f t="shared" ca="1" si="53"/>
        <v>0</v>
      </c>
      <c r="AC476" s="75">
        <f t="shared" ca="1" si="49"/>
        <v>0</v>
      </c>
      <c r="AD476" s="76">
        <f t="shared" ca="1" si="54"/>
        <v>12388.425641435188</v>
      </c>
      <c r="AE476" s="76">
        <f t="shared" si="55"/>
        <v>0</v>
      </c>
      <c r="AF476" s="75">
        <f t="shared" si="50"/>
        <v>0</v>
      </c>
      <c r="AG476" s="75">
        <f t="shared" si="51"/>
        <v>0</v>
      </c>
      <c r="AH476" s="31" t="e" cm="1">
        <f t="array" aca="1" ref="AH476" ca="1">IF((AD476) &lt; (INDEX(ResponseSLA[#All],(MATCH((G476),ResponseSLA[Priority],0))+1,3)),"YES","No")</f>
        <v>#N/A</v>
      </c>
      <c r="AI476" s="31" t="str">
        <f>_xlfn.IFNA(IF(AE476 &lt; (INDEX(SLATable[Minimum SLA],MATCH(G476,SLATable[Priority],0))),"YES","NO"),"")</f>
        <v/>
      </c>
      <c r="AJ476" t="str">
        <f>_xlfn.IFNA(IF(AE476 &lt; (INDEX(SLATable[Maximum SLA],MATCH(G476,SLATable[Priority],0))),"YES","NO"),"")</f>
        <v/>
      </c>
    </row>
    <row r="477" spans="26:36" ht="15" customHeight="1">
      <c r="Z477" s="76" t="e">
        <f t="shared" ca="1" si="52"/>
        <v>#N/A</v>
      </c>
      <c r="AA477" s="75" t="e">
        <f t="shared" ca="1" si="48"/>
        <v>#N/A</v>
      </c>
      <c r="AB477" s="76">
        <f t="shared" ca="1" si="53"/>
        <v>0</v>
      </c>
      <c r="AC477" s="75">
        <f t="shared" ca="1" si="49"/>
        <v>0</v>
      </c>
      <c r="AD477" s="76">
        <f t="shared" ca="1" si="54"/>
        <v>12388.425641203703</v>
      </c>
      <c r="AE477" s="76">
        <f t="shared" si="55"/>
        <v>0</v>
      </c>
      <c r="AF477" s="75">
        <f t="shared" si="50"/>
        <v>0</v>
      </c>
      <c r="AG477" s="75">
        <f t="shared" si="51"/>
        <v>0</v>
      </c>
      <c r="AH477" s="31" t="e" cm="1">
        <f t="array" aca="1" ref="AH477" ca="1">IF((AD477) &lt; (INDEX(ResponseSLA[#All],(MATCH((G477),ResponseSLA[Priority],0))+1,3)),"YES","No")</f>
        <v>#N/A</v>
      </c>
      <c r="AI477" s="31" t="str">
        <f>_xlfn.IFNA(IF(AE477 &lt; (INDEX(SLATable[Minimum SLA],MATCH(G477,SLATable[Priority],0))),"YES","NO"),"")</f>
        <v/>
      </c>
      <c r="AJ477" t="str">
        <f>_xlfn.IFNA(IF(AE477 &lt; (INDEX(SLATable[Maximum SLA],MATCH(G477,SLATable[Priority],0))),"YES","NO"),"")</f>
        <v/>
      </c>
    </row>
    <row r="478" spans="26:36" ht="15" customHeight="1">
      <c r="Z478" s="76" t="e">
        <f t="shared" ca="1" si="52"/>
        <v>#N/A</v>
      </c>
      <c r="AA478" s="75" t="e">
        <f t="shared" ca="1" si="48"/>
        <v>#N/A</v>
      </c>
      <c r="AB478" s="76">
        <f t="shared" ca="1" si="53"/>
        <v>0</v>
      </c>
      <c r="AC478" s="75">
        <f t="shared" ca="1" si="49"/>
        <v>0</v>
      </c>
      <c r="AD478" s="76">
        <f t="shared" ca="1" si="54"/>
        <v>12388.425641203703</v>
      </c>
      <c r="AE478" s="76">
        <f t="shared" si="55"/>
        <v>0</v>
      </c>
      <c r="AF478" s="75">
        <f t="shared" si="50"/>
        <v>0</v>
      </c>
      <c r="AG478" s="75">
        <f t="shared" si="51"/>
        <v>0</v>
      </c>
      <c r="AH478" s="31" t="e" cm="1">
        <f t="array" aca="1" ref="AH478" ca="1">IF((AD478) &lt; (INDEX(ResponseSLA[#All],(MATCH((G478),ResponseSLA[Priority],0))+1,3)),"YES","No")</f>
        <v>#N/A</v>
      </c>
      <c r="AI478" s="31" t="str">
        <f>_xlfn.IFNA(IF(AE478 &lt; (INDEX(SLATable[Minimum SLA],MATCH(G478,SLATable[Priority],0))),"YES","NO"),"")</f>
        <v/>
      </c>
      <c r="AJ478" t="str">
        <f>_xlfn.IFNA(IF(AE478 &lt; (INDEX(SLATable[Maximum SLA],MATCH(G478,SLATable[Priority],0))),"YES","NO"),"")</f>
        <v/>
      </c>
    </row>
    <row r="479" spans="26:36" ht="15" customHeight="1">
      <c r="Z479" s="76" t="e">
        <f t="shared" ca="1" si="52"/>
        <v>#N/A</v>
      </c>
      <c r="AA479" s="75" t="e">
        <f t="shared" ca="1" si="48"/>
        <v>#N/A</v>
      </c>
      <c r="AB479" s="76">
        <f t="shared" ca="1" si="53"/>
        <v>0</v>
      </c>
      <c r="AC479" s="75">
        <f t="shared" ca="1" si="49"/>
        <v>0</v>
      </c>
      <c r="AD479" s="76">
        <f t="shared" ca="1" si="54"/>
        <v>12388.425641435188</v>
      </c>
      <c r="AE479" s="76">
        <f t="shared" si="55"/>
        <v>0</v>
      </c>
      <c r="AF479" s="75">
        <f t="shared" si="50"/>
        <v>0</v>
      </c>
      <c r="AG479" s="75">
        <f t="shared" si="51"/>
        <v>0</v>
      </c>
      <c r="AH479" s="31" t="e" cm="1">
        <f t="array" aca="1" ref="AH479" ca="1">IF((AD479) &lt; (INDEX(ResponseSLA[#All],(MATCH((G479),ResponseSLA[Priority],0))+1,3)),"YES","No")</f>
        <v>#N/A</v>
      </c>
      <c r="AI479" s="31" t="str">
        <f>_xlfn.IFNA(IF(AE479 &lt; (INDEX(SLATable[Minimum SLA],MATCH(G479,SLATable[Priority],0))),"YES","NO"),"")</f>
        <v/>
      </c>
      <c r="AJ479" t="str">
        <f>_xlfn.IFNA(IF(AE479 &lt; (INDEX(SLATable[Maximum SLA],MATCH(G479,SLATable[Priority],0))),"YES","NO"),"")</f>
        <v/>
      </c>
    </row>
    <row r="480" spans="26:36" ht="15" customHeight="1">
      <c r="Z480" s="76" t="e">
        <f t="shared" ca="1" si="52"/>
        <v>#N/A</v>
      </c>
      <c r="AA480" s="75" t="e">
        <f t="shared" ca="1" si="48"/>
        <v>#N/A</v>
      </c>
      <c r="AB480" s="76">
        <f t="shared" ca="1" si="53"/>
        <v>0</v>
      </c>
      <c r="AC480" s="75">
        <f t="shared" ca="1" si="49"/>
        <v>0</v>
      </c>
      <c r="AD480" s="76">
        <f t="shared" ca="1" si="54"/>
        <v>12388.425641203703</v>
      </c>
      <c r="AE480" s="76">
        <f t="shared" si="55"/>
        <v>0</v>
      </c>
      <c r="AF480" s="75">
        <f t="shared" si="50"/>
        <v>0</v>
      </c>
      <c r="AG480" s="75">
        <f t="shared" si="51"/>
        <v>0</v>
      </c>
      <c r="AH480" s="31" t="e" cm="1">
        <f t="array" aca="1" ref="AH480" ca="1">IF((AD480) &lt; (INDEX(ResponseSLA[#All],(MATCH((G480),ResponseSLA[Priority],0))+1,3)),"YES","No")</f>
        <v>#N/A</v>
      </c>
      <c r="AI480" s="31" t="str">
        <f>_xlfn.IFNA(IF(AE480 &lt; (INDEX(SLATable[Minimum SLA],MATCH(G480,SLATable[Priority],0))),"YES","NO"),"")</f>
        <v/>
      </c>
      <c r="AJ480" t="str">
        <f>_xlfn.IFNA(IF(AE480 &lt; (INDEX(SLATable[Maximum SLA],MATCH(G480,SLATable[Priority],0))),"YES","NO"),"")</f>
        <v/>
      </c>
    </row>
    <row r="481" spans="26:36" ht="15" customHeight="1">
      <c r="Z481" s="76" t="e">
        <f t="shared" ca="1" si="52"/>
        <v>#N/A</v>
      </c>
      <c r="AA481" s="75" t="e">
        <f t="shared" ca="1" si="48"/>
        <v>#N/A</v>
      </c>
      <c r="AB481" s="76">
        <f t="shared" ca="1" si="53"/>
        <v>0</v>
      </c>
      <c r="AC481" s="75">
        <f t="shared" ca="1" si="49"/>
        <v>0</v>
      </c>
      <c r="AD481" s="76">
        <f t="shared" ca="1" si="54"/>
        <v>12388.425641203703</v>
      </c>
      <c r="AE481" s="76">
        <f t="shared" si="55"/>
        <v>0</v>
      </c>
      <c r="AF481" s="75">
        <f t="shared" si="50"/>
        <v>0</v>
      </c>
      <c r="AG481" s="75">
        <f t="shared" si="51"/>
        <v>0</v>
      </c>
      <c r="AH481" s="31" t="e" cm="1">
        <f t="array" aca="1" ref="AH481" ca="1">IF((AD481) &lt; (INDEX(ResponseSLA[#All],(MATCH((G481),ResponseSLA[Priority],0))+1,3)),"YES","No")</f>
        <v>#N/A</v>
      </c>
      <c r="AI481" s="31" t="str">
        <f>_xlfn.IFNA(IF(AE481 &lt; (INDEX(SLATable[Minimum SLA],MATCH(G481,SLATable[Priority],0))),"YES","NO"),"")</f>
        <v/>
      </c>
      <c r="AJ481" t="str">
        <f>_xlfn.IFNA(IF(AE481 &lt; (INDEX(SLATable[Maximum SLA],MATCH(G481,SLATable[Priority],0))),"YES","NO"),"")</f>
        <v/>
      </c>
    </row>
    <row r="482" spans="26:36" ht="15" customHeight="1">
      <c r="Z482" s="76" t="e">
        <f t="shared" ca="1" si="52"/>
        <v>#N/A</v>
      </c>
      <c r="AA482" s="75" t="e">
        <f t="shared" ca="1" si="48"/>
        <v>#N/A</v>
      </c>
      <c r="AB482" s="76">
        <f t="shared" ca="1" si="53"/>
        <v>0</v>
      </c>
      <c r="AC482" s="75">
        <f t="shared" ca="1" si="49"/>
        <v>0</v>
      </c>
      <c r="AD482" s="76">
        <f t="shared" ca="1" si="54"/>
        <v>12388.425641435188</v>
      </c>
      <c r="AE482" s="76">
        <f t="shared" si="55"/>
        <v>0</v>
      </c>
      <c r="AF482" s="75">
        <f t="shared" si="50"/>
        <v>0</v>
      </c>
      <c r="AG482" s="75">
        <f t="shared" si="51"/>
        <v>0</v>
      </c>
      <c r="AH482" s="31" t="e" cm="1">
        <f t="array" aca="1" ref="AH482" ca="1">IF((AD482) &lt; (INDEX(ResponseSLA[#All],(MATCH((G482),ResponseSLA[Priority],0))+1,3)),"YES","No")</f>
        <v>#N/A</v>
      </c>
      <c r="AI482" s="31" t="str">
        <f>_xlfn.IFNA(IF(AE482 &lt; (INDEX(SLATable[Minimum SLA],MATCH(G482,SLATable[Priority],0))),"YES","NO"),"")</f>
        <v/>
      </c>
      <c r="AJ482" t="str">
        <f>_xlfn.IFNA(IF(AE482 &lt; (INDEX(SLATable[Maximum SLA],MATCH(G482,SLATable[Priority],0))),"YES","NO"),"")</f>
        <v/>
      </c>
    </row>
    <row r="483" spans="26:36" ht="15" customHeight="1">
      <c r="Z483" s="76" t="e">
        <f t="shared" ca="1" si="52"/>
        <v>#N/A</v>
      </c>
      <c r="AA483" s="75" t="e">
        <f t="shared" ca="1" si="48"/>
        <v>#N/A</v>
      </c>
      <c r="AB483" s="76">
        <f t="shared" ca="1" si="53"/>
        <v>0</v>
      </c>
      <c r="AC483" s="75">
        <f t="shared" ca="1" si="49"/>
        <v>0</v>
      </c>
      <c r="AD483" s="76">
        <f t="shared" ca="1" si="54"/>
        <v>12388.425641203703</v>
      </c>
      <c r="AE483" s="76">
        <f t="shared" si="55"/>
        <v>0</v>
      </c>
      <c r="AF483" s="75">
        <f t="shared" si="50"/>
        <v>0</v>
      </c>
      <c r="AG483" s="75">
        <f t="shared" si="51"/>
        <v>0</v>
      </c>
      <c r="AH483" s="31" t="e" cm="1">
        <f t="array" aca="1" ref="AH483" ca="1">IF((AD483) &lt; (INDEX(ResponseSLA[#All],(MATCH((G483),ResponseSLA[Priority],0))+1,3)),"YES","No")</f>
        <v>#N/A</v>
      </c>
      <c r="AI483" s="31" t="str">
        <f>_xlfn.IFNA(IF(AE483 &lt; (INDEX(SLATable[Minimum SLA],MATCH(G483,SLATable[Priority],0))),"YES","NO"),"")</f>
        <v/>
      </c>
      <c r="AJ483" t="str">
        <f>_xlfn.IFNA(IF(AE483 &lt; (INDEX(SLATable[Maximum SLA],MATCH(G483,SLATable[Priority],0))),"YES","NO"),"")</f>
        <v/>
      </c>
    </row>
    <row r="484" spans="26:36" ht="15" customHeight="1">
      <c r="Z484" s="76" t="e">
        <f t="shared" ca="1" si="52"/>
        <v>#N/A</v>
      </c>
      <c r="AA484" s="75" t="e">
        <f t="shared" ca="1" si="48"/>
        <v>#N/A</v>
      </c>
      <c r="AB484" s="76">
        <f t="shared" ca="1" si="53"/>
        <v>0</v>
      </c>
      <c r="AC484" s="75">
        <f t="shared" ca="1" si="49"/>
        <v>0</v>
      </c>
      <c r="AD484" s="76">
        <f t="shared" ca="1" si="54"/>
        <v>12388.425641203703</v>
      </c>
      <c r="AE484" s="76">
        <f t="shared" si="55"/>
        <v>0</v>
      </c>
      <c r="AF484" s="75">
        <f t="shared" si="50"/>
        <v>0</v>
      </c>
      <c r="AG484" s="75">
        <f t="shared" si="51"/>
        <v>0</v>
      </c>
      <c r="AH484" s="31" t="e" cm="1">
        <f t="array" aca="1" ref="AH484" ca="1">IF((AD484) &lt; (INDEX(ResponseSLA[#All],(MATCH((G484),ResponseSLA[Priority],0))+1,3)),"YES","No")</f>
        <v>#N/A</v>
      </c>
      <c r="AI484" s="31" t="str">
        <f>_xlfn.IFNA(IF(AE484 &lt; (INDEX(SLATable[Minimum SLA],MATCH(G484,SLATable[Priority],0))),"YES","NO"),"")</f>
        <v/>
      </c>
      <c r="AJ484" t="str">
        <f>_xlfn.IFNA(IF(AE484 &lt; (INDEX(SLATable[Maximum SLA],MATCH(G484,SLATable[Priority],0))),"YES","NO"),"")</f>
        <v/>
      </c>
    </row>
    <row r="485" spans="26:36" ht="15" customHeight="1">
      <c r="Z485" s="76" t="e">
        <f t="shared" ca="1" si="52"/>
        <v>#N/A</v>
      </c>
      <c r="AA485" s="75" t="e">
        <f t="shared" ca="1" si="48"/>
        <v>#N/A</v>
      </c>
      <c r="AB485" s="76">
        <f t="shared" ca="1" si="53"/>
        <v>0</v>
      </c>
      <c r="AC485" s="75">
        <f t="shared" ca="1" si="49"/>
        <v>0</v>
      </c>
      <c r="AD485" s="76">
        <f t="shared" ca="1" si="54"/>
        <v>12388.425641435188</v>
      </c>
      <c r="AE485" s="76">
        <f t="shared" si="55"/>
        <v>0</v>
      </c>
      <c r="AF485" s="75">
        <f t="shared" si="50"/>
        <v>0</v>
      </c>
      <c r="AG485" s="75">
        <f t="shared" si="51"/>
        <v>0</v>
      </c>
      <c r="AH485" s="31" t="e" cm="1">
        <f t="array" aca="1" ref="AH485" ca="1">IF((AD485) &lt; (INDEX(ResponseSLA[#All],(MATCH((G485),ResponseSLA[Priority],0))+1,3)),"YES","No")</f>
        <v>#N/A</v>
      </c>
      <c r="AI485" s="31" t="str">
        <f>_xlfn.IFNA(IF(AE485 &lt; (INDEX(SLATable[Minimum SLA],MATCH(G485,SLATable[Priority],0))),"YES","NO"),"")</f>
        <v/>
      </c>
      <c r="AJ485" t="str">
        <f>_xlfn.IFNA(IF(AE485 &lt; (INDEX(SLATable[Maximum SLA],MATCH(G485,SLATable[Priority],0))),"YES","NO"),"")</f>
        <v/>
      </c>
    </row>
    <row r="486" spans="26:36" ht="15" customHeight="1">
      <c r="Z486" s="76" t="e">
        <f t="shared" ca="1" si="52"/>
        <v>#N/A</v>
      </c>
      <c r="AA486" s="75" t="e">
        <f t="shared" ca="1" si="48"/>
        <v>#N/A</v>
      </c>
      <c r="AB486" s="76">
        <f t="shared" ca="1" si="53"/>
        <v>0</v>
      </c>
      <c r="AC486" s="75">
        <f t="shared" ca="1" si="49"/>
        <v>0</v>
      </c>
      <c r="AD486" s="76">
        <f t="shared" ca="1" si="54"/>
        <v>12388.425641203703</v>
      </c>
      <c r="AE486" s="76">
        <f t="shared" si="55"/>
        <v>0</v>
      </c>
      <c r="AF486" s="75">
        <f t="shared" si="50"/>
        <v>0</v>
      </c>
      <c r="AG486" s="75">
        <f t="shared" si="51"/>
        <v>0</v>
      </c>
      <c r="AH486" s="31" t="e" cm="1">
        <f t="array" aca="1" ref="AH486" ca="1">IF((AD486) &lt; (INDEX(ResponseSLA[#All],(MATCH((G486),ResponseSLA[Priority],0))+1,3)),"YES","No")</f>
        <v>#N/A</v>
      </c>
      <c r="AI486" s="31" t="str">
        <f>_xlfn.IFNA(IF(AE486 &lt; (INDEX(SLATable[Minimum SLA],MATCH(G486,SLATable[Priority],0))),"YES","NO"),"")</f>
        <v/>
      </c>
      <c r="AJ486" t="str">
        <f>_xlfn.IFNA(IF(AE486 &lt; (INDEX(SLATable[Maximum SLA],MATCH(G486,SLATable[Priority],0))),"YES","NO"),"")</f>
        <v/>
      </c>
    </row>
    <row r="487" spans="26:36" ht="15" customHeight="1">
      <c r="Z487" s="76" t="e">
        <f t="shared" ca="1" si="52"/>
        <v>#N/A</v>
      </c>
      <c r="AA487" s="75" t="e">
        <f t="shared" ca="1" si="48"/>
        <v>#N/A</v>
      </c>
      <c r="AB487" s="76">
        <f t="shared" ca="1" si="53"/>
        <v>0</v>
      </c>
      <c r="AC487" s="75">
        <f t="shared" ca="1" si="49"/>
        <v>0</v>
      </c>
      <c r="AD487" s="76">
        <f t="shared" ca="1" si="54"/>
        <v>12388.425641203703</v>
      </c>
      <c r="AE487" s="76">
        <f t="shared" si="55"/>
        <v>0</v>
      </c>
      <c r="AF487" s="75">
        <f t="shared" si="50"/>
        <v>0</v>
      </c>
      <c r="AG487" s="75">
        <f t="shared" si="51"/>
        <v>0</v>
      </c>
      <c r="AH487" s="31" t="e" cm="1">
        <f t="array" aca="1" ref="AH487" ca="1">IF((AD487) &lt; (INDEX(ResponseSLA[#All],(MATCH((G487),ResponseSLA[Priority],0))+1,3)),"YES","No")</f>
        <v>#N/A</v>
      </c>
      <c r="AI487" s="31" t="str">
        <f>_xlfn.IFNA(IF(AE487 &lt; (INDEX(SLATable[Minimum SLA],MATCH(G487,SLATable[Priority],0))),"YES","NO"),"")</f>
        <v/>
      </c>
      <c r="AJ487" t="str">
        <f>_xlfn.IFNA(IF(AE487 &lt; (INDEX(SLATable[Maximum SLA],MATCH(G487,SLATable[Priority],0))),"YES","NO"),"")</f>
        <v/>
      </c>
    </row>
    <row r="488" spans="26:36" ht="15" customHeight="1">
      <c r="Z488" s="76" t="e">
        <f t="shared" ca="1" si="52"/>
        <v>#N/A</v>
      </c>
      <c r="AA488" s="75" t="e">
        <f t="shared" ca="1" si="48"/>
        <v>#N/A</v>
      </c>
      <c r="AB488" s="76">
        <f t="shared" ca="1" si="53"/>
        <v>0</v>
      </c>
      <c r="AC488" s="75">
        <f t="shared" ca="1" si="49"/>
        <v>0</v>
      </c>
      <c r="AD488" s="76">
        <f t="shared" ca="1" si="54"/>
        <v>12388.425641435188</v>
      </c>
      <c r="AE488" s="76">
        <f t="shared" si="55"/>
        <v>0</v>
      </c>
      <c r="AF488" s="75">
        <f t="shared" si="50"/>
        <v>0</v>
      </c>
      <c r="AG488" s="75">
        <f t="shared" si="51"/>
        <v>0</v>
      </c>
      <c r="AH488" s="31" t="e" cm="1">
        <f t="array" aca="1" ref="AH488" ca="1">IF((AD488) &lt; (INDEX(ResponseSLA[#All],(MATCH((G488),ResponseSLA[Priority],0))+1,3)),"YES","No")</f>
        <v>#N/A</v>
      </c>
      <c r="AI488" s="31" t="str">
        <f>_xlfn.IFNA(IF(AE488 &lt; (INDEX(SLATable[Minimum SLA],MATCH(G488,SLATable[Priority],0))),"YES","NO"),"")</f>
        <v/>
      </c>
      <c r="AJ488" t="str">
        <f>_xlfn.IFNA(IF(AE488 &lt; (INDEX(SLATable[Maximum SLA],MATCH(G488,SLATable[Priority],0))),"YES","NO"),"")</f>
        <v/>
      </c>
    </row>
    <row r="489" spans="26:36" ht="15" customHeight="1">
      <c r="Z489" s="76" t="e">
        <f t="shared" ca="1" si="52"/>
        <v>#N/A</v>
      </c>
      <c r="AA489" s="75" t="e">
        <f t="shared" ca="1" si="48"/>
        <v>#N/A</v>
      </c>
      <c r="AB489" s="76">
        <f t="shared" ca="1" si="53"/>
        <v>0</v>
      </c>
      <c r="AC489" s="75">
        <f t="shared" ca="1" si="49"/>
        <v>0</v>
      </c>
      <c r="AD489" s="76">
        <f t="shared" ca="1" si="54"/>
        <v>12388.425641203703</v>
      </c>
      <c r="AE489" s="76">
        <f t="shared" si="55"/>
        <v>0</v>
      </c>
      <c r="AF489" s="75">
        <f t="shared" si="50"/>
        <v>0</v>
      </c>
      <c r="AG489" s="75">
        <f t="shared" si="51"/>
        <v>0</v>
      </c>
      <c r="AH489" s="31" t="e" cm="1">
        <f t="array" aca="1" ref="AH489" ca="1">IF((AD489) &lt; (INDEX(ResponseSLA[#All],(MATCH((G489),ResponseSLA[Priority],0))+1,3)),"YES","No")</f>
        <v>#N/A</v>
      </c>
      <c r="AI489" s="31" t="str">
        <f>_xlfn.IFNA(IF(AE489 &lt; (INDEX(SLATable[Minimum SLA],MATCH(G489,SLATable[Priority],0))),"YES","NO"),"")</f>
        <v/>
      </c>
      <c r="AJ489" t="str">
        <f>_xlfn.IFNA(IF(AE489 &lt; (INDEX(SLATable[Maximum SLA],MATCH(G489,SLATable[Priority],0))),"YES","NO"),"")</f>
        <v/>
      </c>
    </row>
    <row r="490" spans="26:36" ht="15" customHeight="1">
      <c r="Z490" s="76" t="e">
        <f t="shared" ca="1" si="52"/>
        <v>#N/A</v>
      </c>
      <c r="AA490" s="75" t="e">
        <f t="shared" ca="1" si="48"/>
        <v>#N/A</v>
      </c>
      <c r="AB490" s="76">
        <f t="shared" ca="1" si="53"/>
        <v>0</v>
      </c>
      <c r="AC490" s="75">
        <f t="shared" ca="1" si="49"/>
        <v>0</v>
      </c>
      <c r="AD490" s="76">
        <f t="shared" ca="1" si="54"/>
        <v>12388.425641203703</v>
      </c>
      <c r="AE490" s="76">
        <f t="shared" si="55"/>
        <v>0</v>
      </c>
      <c r="AF490" s="75">
        <f t="shared" si="50"/>
        <v>0</v>
      </c>
      <c r="AG490" s="75">
        <f t="shared" si="51"/>
        <v>0</v>
      </c>
      <c r="AH490" s="31" t="e" cm="1">
        <f t="array" aca="1" ref="AH490" ca="1">IF((AD490) &lt; (INDEX(ResponseSLA[#All],(MATCH((G490),ResponseSLA[Priority],0))+1,3)),"YES","No")</f>
        <v>#N/A</v>
      </c>
      <c r="AI490" s="31" t="str">
        <f>_xlfn.IFNA(IF(AE490 &lt; (INDEX(SLATable[Minimum SLA],MATCH(G490,SLATable[Priority],0))),"YES","NO"),"")</f>
        <v/>
      </c>
      <c r="AJ490" t="str">
        <f>_xlfn.IFNA(IF(AE490 &lt; (INDEX(SLATable[Maximum SLA],MATCH(G490,SLATable[Priority],0))),"YES","NO"),"")</f>
        <v/>
      </c>
    </row>
    <row r="491" spans="26:36" ht="15" customHeight="1">
      <c r="Z491" s="76" t="e">
        <f t="shared" ca="1" si="52"/>
        <v>#N/A</v>
      </c>
      <c r="AA491" s="75" t="e">
        <f t="shared" ca="1" si="48"/>
        <v>#N/A</v>
      </c>
      <c r="AB491" s="76">
        <f t="shared" ca="1" si="53"/>
        <v>0</v>
      </c>
      <c r="AC491" s="75">
        <f t="shared" ca="1" si="49"/>
        <v>0</v>
      </c>
      <c r="AD491" s="76">
        <f t="shared" ca="1" si="54"/>
        <v>12388.425641435188</v>
      </c>
      <c r="AE491" s="76">
        <f t="shared" si="55"/>
        <v>0</v>
      </c>
      <c r="AF491" s="75">
        <f t="shared" si="50"/>
        <v>0</v>
      </c>
      <c r="AG491" s="75">
        <f t="shared" si="51"/>
        <v>0</v>
      </c>
      <c r="AH491" s="31" t="e" cm="1">
        <f t="array" aca="1" ref="AH491" ca="1">IF((AD491) &lt; (INDEX(ResponseSLA[#All],(MATCH((G491),ResponseSLA[Priority],0))+1,3)),"YES","No")</f>
        <v>#N/A</v>
      </c>
      <c r="AI491" s="31" t="str">
        <f>_xlfn.IFNA(IF(AE491 &lt; (INDEX(SLATable[Minimum SLA],MATCH(G491,SLATable[Priority],0))),"YES","NO"),"")</f>
        <v/>
      </c>
      <c r="AJ491" t="str">
        <f>_xlfn.IFNA(IF(AE491 &lt; (INDEX(SLATable[Maximum SLA],MATCH(G491,SLATable[Priority],0))),"YES","NO"),"")</f>
        <v/>
      </c>
    </row>
    <row r="492" spans="26:36" ht="15" customHeight="1">
      <c r="Z492" s="76" t="e">
        <f t="shared" ca="1" si="52"/>
        <v>#N/A</v>
      </c>
      <c r="AA492" s="75" t="e">
        <f t="shared" ca="1" si="48"/>
        <v>#N/A</v>
      </c>
      <c r="AB492" s="76">
        <f t="shared" ca="1" si="53"/>
        <v>0</v>
      </c>
      <c r="AC492" s="75">
        <f t="shared" ca="1" si="49"/>
        <v>0</v>
      </c>
      <c r="AD492" s="76">
        <f t="shared" ca="1" si="54"/>
        <v>12388.425641203703</v>
      </c>
      <c r="AE492" s="76">
        <f t="shared" si="55"/>
        <v>0</v>
      </c>
      <c r="AF492" s="75">
        <f t="shared" si="50"/>
        <v>0</v>
      </c>
      <c r="AG492" s="75">
        <f t="shared" si="51"/>
        <v>0</v>
      </c>
      <c r="AH492" s="31" t="e" cm="1">
        <f t="array" aca="1" ref="AH492" ca="1">IF((AD492) &lt; (INDEX(ResponseSLA[#All],(MATCH((G492),ResponseSLA[Priority],0))+1,3)),"YES","No")</f>
        <v>#N/A</v>
      </c>
      <c r="AI492" s="31" t="str">
        <f>_xlfn.IFNA(IF(AE492 &lt; (INDEX(SLATable[Minimum SLA],MATCH(G492,SLATable[Priority],0))),"YES","NO"),"")</f>
        <v/>
      </c>
      <c r="AJ492" t="str">
        <f>_xlfn.IFNA(IF(AE492 &lt; (INDEX(SLATable[Maximum SLA],MATCH(G492,SLATable[Priority],0))),"YES","NO"),"")</f>
        <v/>
      </c>
    </row>
    <row r="493" spans="26:36" ht="15" customHeight="1">
      <c r="Z493" s="76" t="e">
        <f t="shared" ca="1" si="52"/>
        <v>#N/A</v>
      </c>
      <c r="AA493" s="75" t="e">
        <f t="shared" ca="1" si="48"/>
        <v>#N/A</v>
      </c>
      <c r="AB493" s="76">
        <f t="shared" ca="1" si="53"/>
        <v>0</v>
      </c>
      <c r="AC493" s="75">
        <f t="shared" ca="1" si="49"/>
        <v>0</v>
      </c>
      <c r="AD493" s="76">
        <f t="shared" ca="1" si="54"/>
        <v>12388.425641203703</v>
      </c>
      <c r="AE493" s="76">
        <f t="shared" si="55"/>
        <v>0</v>
      </c>
      <c r="AF493" s="75">
        <f t="shared" si="50"/>
        <v>0</v>
      </c>
      <c r="AG493" s="75">
        <f t="shared" si="51"/>
        <v>0</v>
      </c>
      <c r="AH493" s="31" t="e" cm="1">
        <f t="array" aca="1" ref="AH493" ca="1">IF((AD493) &lt; (INDEX(ResponseSLA[#All],(MATCH((G493),ResponseSLA[Priority],0))+1,3)),"YES","No")</f>
        <v>#N/A</v>
      </c>
      <c r="AI493" s="31" t="str">
        <f>_xlfn.IFNA(IF(AE493 &lt; (INDEX(SLATable[Minimum SLA],MATCH(G493,SLATable[Priority],0))),"YES","NO"),"")</f>
        <v/>
      </c>
      <c r="AJ493" t="str">
        <f>_xlfn.IFNA(IF(AE493 &lt; (INDEX(SLATable[Maximum SLA],MATCH(G493,SLATable[Priority],0))),"YES","NO"),"")</f>
        <v/>
      </c>
    </row>
    <row r="494" spans="26:36" ht="15" customHeight="1">
      <c r="Z494" s="76" t="e">
        <f t="shared" ca="1" si="52"/>
        <v>#N/A</v>
      </c>
      <c r="AA494" s="75" t="e">
        <f t="shared" ca="1" si="48"/>
        <v>#N/A</v>
      </c>
      <c r="AB494" s="76">
        <f t="shared" ca="1" si="53"/>
        <v>0</v>
      </c>
      <c r="AC494" s="75">
        <f t="shared" ca="1" si="49"/>
        <v>0</v>
      </c>
      <c r="AD494" s="76">
        <f t="shared" ca="1" si="54"/>
        <v>12388.425641435188</v>
      </c>
      <c r="AE494" s="76">
        <f t="shared" si="55"/>
        <v>0</v>
      </c>
      <c r="AF494" s="75">
        <f t="shared" si="50"/>
        <v>0</v>
      </c>
      <c r="AG494" s="75">
        <f t="shared" si="51"/>
        <v>0</v>
      </c>
      <c r="AH494" s="31" t="e" cm="1">
        <f t="array" aca="1" ref="AH494" ca="1">IF((AD494) &lt; (INDEX(ResponseSLA[#All],(MATCH((G494),ResponseSLA[Priority],0))+1,3)),"YES","No")</f>
        <v>#N/A</v>
      </c>
      <c r="AI494" s="31" t="str">
        <f>_xlfn.IFNA(IF(AE494 &lt; (INDEX(SLATable[Minimum SLA],MATCH(G494,SLATable[Priority],0))),"YES","NO"),"")</f>
        <v/>
      </c>
      <c r="AJ494" t="str">
        <f>_xlfn.IFNA(IF(AE494 &lt; (INDEX(SLATable[Maximum SLA],MATCH(G494,SLATable[Priority],0))),"YES","NO"),"")</f>
        <v/>
      </c>
    </row>
    <row r="495" spans="26:36" ht="15" customHeight="1">
      <c r="Z495" s="76" t="e">
        <f t="shared" ca="1" si="52"/>
        <v>#N/A</v>
      </c>
      <c r="AA495" s="75" t="e">
        <f t="shared" ca="1" si="48"/>
        <v>#N/A</v>
      </c>
      <c r="AB495" s="76">
        <f t="shared" ca="1" si="53"/>
        <v>0</v>
      </c>
      <c r="AC495" s="75">
        <f t="shared" ca="1" si="49"/>
        <v>0</v>
      </c>
      <c r="AD495" s="76">
        <f t="shared" ca="1" si="54"/>
        <v>12388.425641203703</v>
      </c>
      <c r="AE495" s="76">
        <f t="shared" si="55"/>
        <v>0</v>
      </c>
      <c r="AF495" s="75">
        <f t="shared" si="50"/>
        <v>0</v>
      </c>
      <c r="AG495" s="75">
        <f t="shared" si="51"/>
        <v>0</v>
      </c>
      <c r="AH495" s="31" t="e" cm="1">
        <f t="array" aca="1" ref="AH495" ca="1">IF((AD495) &lt; (INDEX(ResponseSLA[#All],(MATCH((G495),ResponseSLA[Priority],0))+1,3)),"YES","No")</f>
        <v>#N/A</v>
      </c>
      <c r="AI495" s="31" t="str">
        <f>_xlfn.IFNA(IF(AE495 &lt; (INDEX(SLATable[Minimum SLA],MATCH(G495,SLATable[Priority],0))),"YES","NO"),"")</f>
        <v/>
      </c>
      <c r="AJ495" t="str">
        <f>_xlfn.IFNA(IF(AE495 &lt; (INDEX(SLATable[Maximum SLA],MATCH(G495,SLATable[Priority],0))),"YES","NO"),"")</f>
        <v/>
      </c>
    </row>
    <row r="496" spans="26:36" ht="15" customHeight="1">
      <c r="Z496" s="76" t="e">
        <f t="shared" ca="1" si="52"/>
        <v>#N/A</v>
      </c>
      <c r="AA496" s="75" t="e">
        <f t="shared" ca="1" si="48"/>
        <v>#N/A</v>
      </c>
      <c r="AB496" s="76">
        <f t="shared" ca="1" si="53"/>
        <v>0</v>
      </c>
      <c r="AC496" s="75">
        <f t="shared" ca="1" si="49"/>
        <v>0</v>
      </c>
      <c r="AD496" s="76">
        <f t="shared" ca="1" si="54"/>
        <v>12388.425641203703</v>
      </c>
      <c r="AE496" s="76">
        <f t="shared" si="55"/>
        <v>0</v>
      </c>
      <c r="AF496" s="75">
        <f t="shared" si="50"/>
        <v>0</v>
      </c>
      <c r="AG496" s="75">
        <f t="shared" si="51"/>
        <v>0</v>
      </c>
      <c r="AH496" s="31" t="e" cm="1">
        <f t="array" aca="1" ref="AH496" ca="1">IF((AD496) &lt; (INDEX(ResponseSLA[#All],(MATCH((G496),ResponseSLA[Priority],0))+1,3)),"YES","No")</f>
        <v>#N/A</v>
      </c>
      <c r="AI496" s="31" t="str">
        <f>_xlfn.IFNA(IF(AE496 &lt; (INDEX(SLATable[Minimum SLA],MATCH(G496,SLATable[Priority],0))),"YES","NO"),"")</f>
        <v/>
      </c>
      <c r="AJ496" t="str">
        <f>_xlfn.IFNA(IF(AE496 &lt; (INDEX(SLATable[Maximum SLA],MATCH(G496,SLATable[Priority],0))),"YES","NO"),"")</f>
        <v/>
      </c>
    </row>
    <row r="497" spans="26:36" ht="15" customHeight="1">
      <c r="Z497" s="76" t="e">
        <f t="shared" ca="1" si="52"/>
        <v>#N/A</v>
      </c>
      <c r="AA497" s="75" t="e">
        <f t="shared" ca="1" si="48"/>
        <v>#N/A</v>
      </c>
      <c r="AB497" s="76">
        <f t="shared" ca="1" si="53"/>
        <v>0</v>
      </c>
      <c r="AC497" s="75">
        <f t="shared" ca="1" si="49"/>
        <v>0</v>
      </c>
      <c r="AD497" s="76">
        <f t="shared" ca="1" si="54"/>
        <v>12388.425641435188</v>
      </c>
      <c r="AE497" s="76">
        <f t="shared" si="55"/>
        <v>0</v>
      </c>
      <c r="AF497" s="75">
        <f t="shared" si="50"/>
        <v>0</v>
      </c>
      <c r="AG497" s="75">
        <f t="shared" si="51"/>
        <v>0</v>
      </c>
      <c r="AH497" s="31" t="e" cm="1">
        <f t="array" aca="1" ref="AH497" ca="1">IF((AD497) &lt; (INDEX(ResponseSLA[#All],(MATCH((G497),ResponseSLA[Priority],0))+1,3)),"YES","No")</f>
        <v>#N/A</v>
      </c>
      <c r="AI497" s="31" t="str">
        <f>_xlfn.IFNA(IF(AE497 &lt; (INDEX(SLATable[Minimum SLA],MATCH(G497,SLATable[Priority],0))),"YES","NO"),"")</f>
        <v/>
      </c>
      <c r="AJ497" t="str">
        <f>_xlfn.IFNA(IF(AE497 &lt; (INDEX(SLATable[Maximum SLA],MATCH(G497,SLATable[Priority],0))),"YES","NO"),"")</f>
        <v/>
      </c>
    </row>
    <row r="498" spans="26:36" ht="15" customHeight="1">
      <c r="Z498" s="76" t="e">
        <f t="shared" ca="1" si="52"/>
        <v>#N/A</v>
      </c>
      <c r="AA498" s="75" t="e">
        <f t="shared" ca="1" si="48"/>
        <v>#N/A</v>
      </c>
      <c r="AB498" s="76">
        <f t="shared" ca="1" si="53"/>
        <v>0</v>
      </c>
      <c r="AC498" s="75">
        <f t="shared" ca="1" si="49"/>
        <v>0</v>
      </c>
      <c r="AD498" s="76">
        <f t="shared" ca="1" si="54"/>
        <v>12388.425641203703</v>
      </c>
      <c r="AE498" s="76">
        <f t="shared" si="55"/>
        <v>0</v>
      </c>
      <c r="AF498" s="75">
        <f t="shared" si="50"/>
        <v>0</v>
      </c>
      <c r="AG498" s="75">
        <f t="shared" si="51"/>
        <v>0</v>
      </c>
      <c r="AH498" s="31" t="e" cm="1">
        <f t="array" aca="1" ref="AH498" ca="1">IF((AD498) &lt; (INDEX(ResponseSLA[#All],(MATCH((G498),ResponseSLA[Priority],0))+1,3)),"YES","No")</f>
        <v>#N/A</v>
      </c>
      <c r="AI498" s="31" t="str">
        <f>_xlfn.IFNA(IF(AE498 &lt; (INDEX(SLATable[Minimum SLA],MATCH(G498,SLATable[Priority],0))),"YES","NO"),"")</f>
        <v/>
      </c>
      <c r="AJ498" t="str">
        <f>_xlfn.IFNA(IF(AE498 &lt; (INDEX(SLATable[Maximum SLA],MATCH(G498,SLATable[Priority],0))),"YES","NO"),"")</f>
        <v/>
      </c>
    </row>
    <row r="499" spans="26:36" ht="15" customHeight="1">
      <c r="Z499" s="76" t="e">
        <f t="shared" ca="1" si="52"/>
        <v>#N/A</v>
      </c>
      <c r="AA499" s="75" t="e">
        <f t="shared" ca="1" si="48"/>
        <v>#N/A</v>
      </c>
      <c r="AB499" s="76">
        <f t="shared" ca="1" si="53"/>
        <v>0</v>
      </c>
      <c r="AC499" s="75">
        <f t="shared" ca="1" si="49"/>
        <v>0</v>
      </c>
      <c r="AD499" s="76">
        <f t="shared" ca="1" si="54"/>
        <v>12388.425641203703</v>
      </c>
      <c r="AE499" s="76">
        <f t="shared" si="55"/>
        <v>0</v>
      </c>
      <c r="AF499" s="75">
        <f t="shared" si="50"/>
        <v>0</v>
      </c>
      <c r="AG499" s="75">
        <f t="shared" si="51"/>
        <v>0</v>
      </c>
      <c r="AH499" s="31" t="e" cm="1">
        <f t="array" aca="1" ref="AH499" ca="1">IF((AD499) &lt; (INDEX(ResponseSLA[#All],(MATCH((G499),ResponseSLA[Priority],0))+1,3)),"YES","No")</f>
        <v>#N/A</v>
      </c>
      <c r="AI499" s="31" t="str">
        <f>_xlfn.IFNA(IF(AE499 &lt; (INDEX(SLATable[Minimum SLA],MATCH(G499,SLATable[Priority],0))),"YES","NO"),"")</f>
        <v/>
      </c>
      <c r="AJ499" t="str">
        <f>_xlfn.IFNA(IF(AE499 &lt; (INDEX(SLATable[Maximum SLA],MATCH(G499,SLATable[Priority],0))),"YES","NO"),"")</f>
        <v/>
      </c>
    </row>
    <row r="500" spans="26:36" ht="15" customHeight="1">
      <c r="Z500" s="76" t="e">
        <f t="shared" ca="1" si="52"/>
        <v>#N/A</v>
      </c>
      <c r="AA500" s="75" t="e">
        <f t="shared" ca="1" si="48"/>
        <v>#N/A</v>
      </c>
      <c r="AB500" s="76">
        <f t="shared" ca="1" si="53"/>
        <v>0</v>
      </c>
      <c r="AC500" s="75">
        <f t="shared" ca="1" si="49"/>
        <v>0</v>
      </c>
      <c r="AD500" s="76">
        <f t="shared" ca="1" si="54"/>
        <v>12388.425641435188</v>
      </c>
      <c r="AE500" s="76">
        <f t="shared" si="55"/>
        <v>0</v>
      </c>
      <c r="AF500" s="75">
        <f t="shared" si="50"/>
        <v>0</v>
      </c>
      <c r="AG500" s="75">
        <f t="shared" si="51"/>
        <v>0</v>
      </c>
      <c r="AH500" s="31" t="e" cm="1">
        <f t="array" aca="1" ref="AH500" ca="1">IF((AD500) &lt; (INDEX(ResponseSLA[#All],(MATCH((G500),ResponseSLA[Priority],0))+1,3)),"YES","No")</f>
        <v>#N/A</v>
      </c>
      <c r="AI500" s="31" t="str">
        <f>_xlfn.IFNA(IF(AE500 &lt; (INDEX(SLATable[Minimum SLA],MATCH(G500,SLATable[Priority],0))),"YES","NO"),"")</f>
        <v/>
      </c>
      <c r="AJ500" t="str">
        <f>_xlfn.IFNA(IF(AE500 &lt; (INDEX(SLATable[Maximum SLA],MATCH(G500,SLATable[Priority],0))),"YES","NO"),"")</f>
        <v/>
      </c>
    </row>
  </sheetData>
  <sheetProtection algorithmName="SHA-512" hashValue="A914FPCFwlS/FRxIuIOb2gDmkdh/pUPKHwB9erplByWEFh9XZqntIWzB1beLSv9R9JiclfmxR1qPwt7Q5DgdyA==" saltValue="TKz7w4ppB7YqxWk13E8aHA==" spinCount="100000" sheet="1" objects="1" scenarios="1" autoFilter="0"/>
  <protectedRanges>
    <protectedRange algorithmName="SHA-512" hashValue="99OQ+VOyYeTgkyp5V2h7IJuhOY+ByGUUH4Kc0xKuZgn2w66Z/zb6NCagB6+bjIBmhadenmL7/H2PSKzd599e6Q==" saltValue="s8mGfn7WVHJZXEYeB6j8Yw==" spinCount="100000" sqref="U1 AB1:AJ1" name="Formula Cells"/>
  </protectedRanges>
  <conditionalFormatting sqref="E1">
    <cfRule type="duplicateValues" dxfId="2" priority="2"/>
  </conditionalFormatting>
  <conditionalFormatting sqref="E1:E1048576">
    <cfRule type="duplicateValues" dxfId="1" priority="1"/>
  </conditionalFormatting>
  <dataValidations count="13">
    <dataValidation type="list" showInputMessage="1" showErrorMessage="1" errorTitle="Invalid Entry" error="Please select a value in TYPE before entering Priority" sqref="G1:G1048576" xr:uid="{99D4AEEA-2A82-4405-9462-08AA255FB217}">
      <formula1>IF(D1="","",INDIRECT(D1&amp;"_PR"))</formula1>
    </dataValidation>
    <dataValidation type="list" allowBlank="1" showInputMessage="1" showErrorMessage="1" sqref="U1 T1:T1048576" xr:uid="{303871CC-6326-4D5C-9430-1F44AC65BF9B}">
      <formula1>SubCategory</formula1>
    </dataValidation>
    <dataValidation type="date" allowBlank="1" showInputMessage="1" showErrorMessage="1" sqref="O1:P5 N1 K1 L1:M2 L11:N494 L8:N8 L5:M6 K8:K494" xr:uid="{096E1286-3D82-4399-AFC5-FE965D3026AC}">
      <formula1>36526</formula1>
      <formula2>73050</formula2>
    </dataValidation>
    <dataValidation allowBlank="1" showInputMessage="1" showErrorMessage="1" sqref="S1" xr:uid="{A30F90FE-E028-4A12-B0C1-ADBA4B0B9A34}"/>
    <dataValidation type="list" allowBlank="1" showInputMessage="1" showErrorMessage="1" sqref="S2:S1048576" xr:uid="{E9B20401-CD5E-41F9-A163-E06D1152B888}">
      <formula1>IF(D2="","",INDIRECT(D2))</formula1>
    </dataValidation>
    <dataValidation allowBlank="1" showInputMessage="1" showErrorMessage="1" errorTitle="Assigned to" error="dont type idiot" sqref="J1:J5" xr:uid="{F9EF9DC1-3E4A-4ACF-A38B-808FFDE87F87}"/>
    <dataValidation type="list" allowBlank="1" showInputMessage="1" showErrorMessage="1" sqref="U1:U1048576" xr:uid="{3269EC2E-7CF9-493F-94D4-60CF45C3DD04}">
      <formula1>"Yes,No"</formula1>
    </dataValidation>
    <dataValidation type="list" allowBlank="1" showInputMessage="1" showErrorMessage="1" sqref="R1:R1048576" xr:uid="{AE04B33D-24A4-4DC9-9D25-B5E91A93C33F}">
      <formula1>Resolution_List</formula1>
    </dataValidation>
    <dataValidation type="list" allowBlank="1" showInputMessage="1" showErrorMessage="1" sqref="F1:F1048576" xr:uid="{9E4EFC0E-3DB8-45A0-A686-0F6C2B139026}">
      <formula1>Queue_List</formula1>
    </dataValidation>
    <dataValidation type="list" allowBlank="1" showInputMessage="1" showErrorMessage="1" sqref="D1:D1048576" xr:uid="{3986BEF5-1A35-4BA4-BFBD-6922F698D3AF}">
      <formula1>Type_List</formula1>
    </dataValidation>
    <dataValidation type="list" showInputMessage="1" showErrorMessage="1" errorTitle="Invalid Domain" error="Please select value only from dropdown" sqref="C1:C1048576" xr:uid="{CDB61C10-F55A-472E-B389-A1CAC16AC34D}">
      <formula1>Domain_List</formula1>
    </dataValidation>
    <dataValidation type="list" allowBlank="1" showInputMessage="1" showErrorMessage="1" sqref="B1:B1048576" xr:uid="{E51703FA-102C-4132-871F-32BCE7896139}">
      <formula1>OpCo_List</formula1>
    </dataValidation>
    <dataValidation type="list" allowBlank="1" showInputMessage="1" showErrorMessage="1" sqref="I1:I1048576" xr:uid="{56391951-C534-45C6-AF26-3E6F1A951B28}">
      <formula1>Status_List</formula1>
    </dataValidation>
  </dataValidations>
  <pageMargins left="0.7" right="0.7" top="0.75" bottom="0.75"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B1A9A-B239-405C-906B-809761D49CAA}">
  <sheetPr codeName="Sheet19"/>
  <dimension ref="A1:Z42"/>
  <sheetViews>
    <sheetView workbookViewId="0">
      <pane ySplit="1" topLeftCell="A38" activePane="bottomLeft" state="frozen"/>
      <selection pane="bottomLeft" activeCell="A30" sqref="A30:Z35"/>
    </sheetView>
  </sheetViews>
  <sheetFormatPr defaultColWidth="8.85546875" defaultRowHeight="15" customHeight="1"/>
  <cols>
    <col min="1" max="1" width="6.42578125" bestFit="1" customWidth="1"/>
    <col min="2" max="2" width="8.140625" bestFit="1" customWidth="1"/>
    <col min="3" max="3" width="22.140625" customWidth="1"/>
    <col min="4" max="4" width="29.140625" bestFit="1" customWidth="1"/>
    <col min="5" max="5" width="27.85546875" bestFit="1" customWidth="1"/>
    <col min="6" max="6" width="33.42578125" bestFit="1" customWidth="1"/>
    <col min="7" max="7" width="31.7109375" bestFit="1" customWidth="1"/>
    <col min="8" max="8" width="73.42578125" customWidth="1"/>
    <col min="9" max="9" width="12.42578125" bestFit="1" customWidth="1"/>
    <col min="10" max="10" width="14.28515625" bestFit="1" customWidth="1"/>
    <col min="11" max="11" width="6.7109375" bestFit="1" customWidth="1"/>
    <col min="12" max="12" width="32.7109375" bestFit="1" customWidth="1"/>
    <col min="13" max="13" width="17" bestFit="1" customWidth="1"/>
    <col min="14" max="14" width="23" bestFit="1" customWidth="1"/>
    <col min="15" max="15" width="27.85546875" bestFit="1" customWidth="1"/>
    <col min="16" max="16" width="36.85546875" bestFit="1" customWidth="1"/>
    <col min="17" max="17" width="17.42578125" bestFit="1" customWidth="1"/>
    <col min="18" max="18" width="26.85546875" bestFit="1" customWidth="1"/>
    <col min="19" max="19" width="20.42578125" bestFit="1" customWidth="1"/>
    <col min="20" max="20" width="49.140625" bestFit="1" customWidth="1"/>
    <col min="21" max="21" width="37.28515625" bestFit="1" customWidth="1"/>
    <col min="22" max="22" width="26.28515625" bestFit="1" customWidth="1"/>
    <col min="23" max="23" width="14.42578125" bestFit="1" customWidth="1"/>
    <col min="24" max="24" width="12.28515625" bestFit="1" customWidth="1"/>
    <col min="25" max="25" width="22.42578125" bestFit="1" customWidth="1"/>
    <col min="26" max="26" width="15.42578125" bestFit="1" customWidth="1"/>
  </cols>
  <sheetData>
    <row r="1" spans="1:26" ht="15" customHeight="1">
      <c r="A1" s="258" t="s">
        <v>2</v>
      </c>
      <c r="B1" s="258" t="s">
        <v>3</v>
      </c>
      <c r="C1" s="258" t="s">
        <v>8723</v>
      </c>
      <c r="D1" s="258" t="s">
        <v>8724</v>
      </c>
      <c r="E1" s="258" t="s">
        <v>8725</v>
      </c>
      <c r="F1" s="258" t="s">
        <v>8726</v>
      </c>
      <c r="G1" s="258" t="s">
        <v>8727</v>
      </c>
      <c r="H1" s="258" t="s">
        <v>8728</v>
      </c>
      <c r="I1" s="258" t="s">
        <v>8729</v>
      </c>
      <c r="J1" s="258" t="s">
        <v>8730</v>
      </c>
      <c r="K1" s="258" t="s">
        <v>254</v>
      </c>
      <c r="L1" s="258" t="s">
        <v>8731</v>
      </c>
      <c r="M1" s="258" t="s">
        <v>8732</v>
      </c>
      <c r="N1" s="258" t="s">
        <v>8733</v>
      </c>
      <c r="O1" s="258" t="s">
        <v>8734</v>
      </c>
      <c r="P1" s="258" t="s">
        <v>8735</v>
      </c>
      <c r="Q1" s="258" t="s">
        <v>8736</v>
      </c>
      <c r="R1" s="258" t="s">
        <v>8737</v>
      </c>
      <c r="S1" s="258" t="s">
        <v>8738</v>
      </c>
      <c r="T1" s="258" t="s">
        <v>8739</v>
      </c>
      <c r="U1" s="258" t="s">
        <v>8740</v>
      </c>
      <c r="V1" s="258" t="s">
        <v>8741</v>
      </c>
      <c r="W1" s="258" t="s">
        <v>8742</v>
      </c>
      <c r="X1" s="258" t="s">
        <v>8743</v>
      </c>
      <c r="Y1" s="258" t="s">
        <v>8744</v>
      </c>
      <c r="Z1" s="258" t="s">
        <v>8745</v>
      </c>
    </row>
    <row r="2" spans="1:26" ht="15" customHeight="1">
      <c r="A2" s="259" t="s">
        <v>26</v>
      </c>
      <c r="B2" s="259" t="s">
        <v>37</v>
      </c>
      <c r="C2" s="260" t="s">
        <v>5050</v>
      </c>
      <c r="D2" s="260" t="s">
        <v>8746</v>
      </c>
      <c r="E2" s="261">
        <v>46169.563402777778</v>
      </c>
      <c r="F2" s="261">
        <v>46169.645833333336</v>
      </c>
      <c r="G2" s="261">
        <v>46169.770833333336</v>
      </c>
      <c r="H2" s="260" t="s">
        <v>8747</v>
      </c>
      <c r="I2" s="259" t="s">
        <v>8748</v>
      </c>
      <c r="J2" s="259" t="s">
        <v>36</v>
      </c>
      <c r="K2" s="262" t="s">
        <v>8749</v>
      </c>
      <c r="L2" s="263"/>
      <c r="M2" s="263" t="s">
        <v>8750</v>
      </c>
      <c r="N2" s="263"/>
      <c r="O2" s="263"/>
      <c r="P2" s="263"/>
      <c r="Q2" s="263"/>
      <c r="R2" s="263"/>
      <c r="S2" s="263"/>
      <c r="T2" s="263"/>
      <c r="U2" s="263"/>
      <c r="V2" s="263"/>
      <c r="W2" s="263" t="s">
        <v>8751</v>
      </c>
      <c r="X2" s="263">
        <v>2026</v>
      </c>
      <c r="Y2" s="263"/>
      <c r="Z2" s="263"/>
    </row>
    <row r="3" spans="1:26" ht="15" customHeight="1">
      <c r="A3" s="259" t="s">
        <v>26</v>
      </c>
      <c r="B3" s="259" t="s">
        <v>37</v>
      </c>
      <c r="C3" s="260" t="s">
        <v>4930</v>
      </c>
      <c r="D3" s="260" t="s">
        <v>8752</v>
      </c>
      <c r="E3" s="261">
        <v>46164.705046296294</v>
      </c>
      <c r="F3" s="261">
        <v>46168.645833333336</v>
      </c>
      <c r="G3" s="261">
        <v>46168.770833333336</v>
      </c>
      <c r="H3" s="260" t="s">
        <v>8747</v>
      </c>
      <c r="I3" s="259" t="s">
        <v>8748</v>
      </c>
      <c r="J3" s="259" t="s">
        <v>36</v>
      </c>
      <c r="K3" s="262" t="s">
        <v>8749</v>
      </c>
      <c r="L3" s="263"/>
      <c r="M3" s="263" t="s">
        <v>8750</v>
      </c>
      <c r="N3" s="263"/>
      <c r="O3" s="263"/>
      <c r="P3" s="263"/>
      <c r="Q3" s="263"/>
      <c r="R3" s="263"/>
      <c r="S3" s="263"/>
      <c r="T3" s="263"/>
      <c r="U3" s="263"/>
      <c r="V3" s="263"/>
      <c r="W3" s="263" t="s">
        <v>8751</v>
      </c>
      <c r="X3" s="263">
        <v>2026</v>
      </c>
      <c r="Y3" s="263"/>
      <c r="Z3" s="263"/>
    </row>
    <row r="4" spans="1:26" ht="15" customHeight="1">
      <c r="A4" s="259" t="s">
        <v>26</v>
      </c>
      <c r="B4" s="259" t="s">
        <v>37</v>
      </c>
      <c r="C4" s="260" t="s">
        <v>8753</v>
      </c>
      <c r="D4" s="260" t="s">
        <v>8754</v>
      </c>
      <c r="E4" s="261">
        <v>46161.682199074072</v>
      </c>
      <c r="F4" s="261">
        <v>46163.5625</v>
      </c>
      <c r="G4" s="261">
        <v>46163.895833333336</v>
      </c>
      <c r="H4" s="260" t="s">
        <v>8747</v>
      </c>
      <c r="I4" s="259" t="s">
        <v>8748</v>
      </c>
      <c r="J4" s="259" t="s">
        <v>36</v>
      </c>
      <c r="K4" s="262" t="s">
        <v>271</v>
      </c>
      <c r="L4" s="263"/>
      <c r="M4" s="263" t="s">
        <v>8750</v>
      </c>
      <c r="N4" s="263"/>
      <c r="O4" s="263"/>
      <c r="P4" s="263"/>
      <c r="Q4" s="263"/>
      <c r="R4" s="263"/>
      <c r="S4" s="263"/>
      <c r="T4" s="263"/>
      <c r="U4" s="263"/>
      <c r="V4" s="263"/>
      <c r="W4" s="263" t="s">
        <v>8751</v>
      </c>
      <c r="X4" s="263">
        <v>2026</v>
      </c>
      <c r="Y4" s="263"/>
      <c r="Z4" s="263"/>
    </row>
    <row r="5" spans="1:26" ht="15" customHeight="1">
      <c r="A5" s="259" t="s">
        <v>26</v>
      </c>
      <c r="B5" s="259" t="s">
        <v>37</v>
      </c>
      <c r="C5" s="260" t="s">
        <v>5013</v>
      </c>
      <c r="D5" s="260" t="s">
        <v>8755</v>
      </c>
      <c r="E5" s="261">
        <v>46161.662523148145</v>
      </c>
      <c r="F5" s="261">
        <v>46163.645833333336</v>
      </c>
      <c r="G5" s="261">
        <v>46163.770833333336</v>
      </c>
      <c r="H5" s="260" t="s">
        <v>8747</v>
      </c>
      <c r="I5" s="259" t="s">
        <v>8748</v>
      </c>
      <c r="J5" s="259" t="s">
        <v>36</v>
      </c>
      <c r="K5" s="262" t="s">
        <v>271</v>
      </c>
      <c r="L5" s="263"/>
      <c r="M5" s="263" t="s">
        <v>8750</v>
      </c>
      <c r="N5" s="263"/>
      <c r="O5" s="263"/>
      <c r="P5" s="263"/>
      <c r="Q5" s="263"/>
      <c r="R5" s="263"/>
      <c r="S5" s="263"/>
      <c r="T5" s="263"/>
      <c r="U5" s="263"/>
      <c r="V5" s="263"/>
      <c r="W5" s="263" t="s">
        <v>8751</v>
      </c>
      <c r="X5" s="263">
        <v>2026</v>
      </c>
      <c r="Y5" s="263"/>
      <c r="Z5" s="263"/>
    </row>
    <row r="6" spans="1:26" ht="15" customHeight="1">
      <c r="A6" s="259" t="s">
        <v>26</v>
      </c>
      <c r="B6" s="259" t="s">
        <v>37</v>
      </c>
      <c r="C6" s="260" t="s">
        <v>5013</v>
      </c>
      <c r="D6" s="260" t="s">
        <v>8756</v>
      </c>
      <c r="E6" s="261">
        <v>46157.59103009259</v>
      </c>
      <c r="F6" s="261">
        <v>46162.729166666664</v>
      </c>
      <c r="G6" s="261">
        <v>46162.854166666664</v>
      </c>
      <c r="H6" s="260" t="s">
        <v>8747</v>
      </c>
      <c r="I6" s="259" t="s">
        <v>8748</v>
      </c>
      <c r="J6" s="259" t="s">
        <v>36</v>
      </c>
      <c r="K6" s="262" t="s">
        <v>271</v>
      </c>
      <c r="L6" s="263"/>
      <c r="M6" s="263" t="s">
        <v>8750</v>
      </c>
      <c r="N6" s="263"/>
      <c r="O6" s="263"/>
      <c r="P6" s="263"/>
      <c r="Q6" s="263"/>
      <c r="R6" s="263"/>
      <c r="S6" s="263"/>
      <c r="T6" s="263"/>
      <c r="U6" s="263"/>
      <c r="V6" s="263"/>
      <c r="W6" s="263" t="s">
        <v>8751</v>
      </c>
      <c r="X6" s="263">
        <v>2026</v>
      </c>
      <c r="Y6" s="263"/>
      <c r="Z6" s="263"/>
    </row>
    <row r="7" spans="1:26" ht="15" customHeight="1">
      <c r="A7" s="259" t="s">
        <v>26</v>
      </c>
      <c r="B7" s="259" t="s">
        <v>37</v>
      </c>
      <c r="C7" s="260" t="s">
        <v>8757</v>
      </c>
      <c r="D7" s="260" t="s">
        <v>8758</v>
      </c>
      <c r="E7" s="261">
        <v>46149.852766203701</v>
      </c>
      <c r="F7" s="261">
        <v>46155.604166666664</v>
      </c>
      <c r="G7" s="261">
        <v>46155.729166666664</v>
      </c>
      <c r="H7" s="260" t="s">
        <v>8747</v>
      </c>
      <c r="I7" s="259" t="s">
        <v>8748</v>
      </c>
      <c r="J7" s="259" t="s">
        <v>36</v>
      </c>
      <c r="K7" s="262" t="s">
        <v>271</v>
      </c>
      <c r="L7" s="263"/>
      <c r="M7" s="263" t="s">
        <v>8750</v>
      </c>
      <c r="N7" s="263"/>
      <c r="O7" s="263"/>
      <c r="P7" s="263"/>
      <c r="Q7" s="263"/>
      <c r="R7" s="263"/>
      <c r="S7" s="263"/>
      <c r="T7" s="263"/>
      <c r="U7" s="263"/>
      <c r="V7" s="263"/>
      <c r="W7" s="263" t="s">
        <v>8751</v>
      </c>
      <c r="X7" s="263">
        <v>2026</v>
      </c>
      <c r="Y7" s="263"/>
      <c r="Z7" s="263"/>
    </row>
    <row r="8" spans="1:26" ht="15" customHeight="1">
      <c r="A8" s="259" t="s">
        <v>26</v>
      </c>
      <c r="B8" s="259" t="s">
        <v>37</v>
      </c>
      <c r="C8" s="260" t="s">
        <v>8753</v>
      </c>
      <c r="D8" s="260" t="s">
        <v>8759</v>
      </c>
      <c r="E8" s="261">
        <v>46149.830127314817</v>
      </c>
      <c r="F8" s="261">
        <v>46153.5625</v>
      </c>
      <c r="G8" s="261">
        <v>46153.895833333336</v>
      </c>
      <c r="H8" s="260" t="s">
        <v>8747</v>
      </c>
      <c r="I8" s="259" t="s">
        <v>8748</v>
      </c>
      <c r="J8" s="259" t="s">
        <v>36</v>
      </c>
      <c r="K8" s="262" t="s">
        <v>271</v>
      </c>
      <c r="L8" s="263"/>
      <c r="M8" s="263" t="s">
        <v>8750</v>
      </c>
      <c r="N8" s="263"/>
      <c r="O8" s="263"/>
      <c r="P8" s="263"/>
      <c r="Q8" s="263"/>
      <c r="R8" s="263"/>
      <c r="S8" s="263"/>
      <c r="T8" s="263"/>
      <c r="U8" s="263"/>
      <c r="V8" s="263"/>
      <c r="W8" s="263" t="s">
        <v>8751</v>
      </c>
      <c r="X8" s="263">
        <v>2026</v>
      </c>
      <c r="Y8" s="263"/>
      <c r="Z8" s="263"/>
    </row>
    <row r="9" spans="1:26" ht="15" customHeight="1">
      <c r="A9" s="259" t="s">
        <v>26</v>
      </c>
      <c r="B9" s="259" t="s">
        <v>37</v>
      </c>
      <c r="C9" s="260" t="s">
        <v>4999</v>
      </c>
      <c r="D9" s="260" t="s">
        <v>8760</v>
      </c>
      <c r="E9" s="261">
        <v>46142.595601851855</v>
      </c>
      <c r="F9" s="261">
        <v>46153.604166666664</v>
      </c>
      <c r="G9" s="261">
        <v>46153.729166666664</v>
      </c>
      <c r="H9" s="260" t="s">
        <v>8747</v>
      </c>
      <c r="I9" s="259" t="s">
        <v>8748</v>
      </c>
      <c r="J9" s="259" t="s">
        <v>36</v>
      </c>
      <c r="K9" s="262" t="s">
        <v>271</v>
      </c>
      <c r="L9" s="263"/>
      <c r="M9" s="263" t="s">
        <v>8750</v>
      </c>
      <c r="N9" s="263"/>
      <c r="O9" s="263"/>
      <c r="P9" s="263"/>
      <c r="Q9" s="263"/>
      <c r="R9" s="263"/>
      <c r="S9" s="263"/>
      <c r="T9" s="263"/>
      <c r="U9" s="263"/>
      <c r="V9" s="263"/>
      <c r="W9" s="263" t="s">
        <v>8751</v>
      </c>
      <c r="X9" s="263">
        <v>2026</v>
      </c>
      <c r="Y9" s="263"/>
      <c r="Z9" s="263"/>
    </row>
    <row r="10" spans="1:26" ht="15" customHeight="1">
      <c r="A10" s="259" t="s">
        <v>26</v>
      </c>
      <c r="B10" s="259" t="s">
        <v>37</v>
      </c>
      <c r="C10" s="260" t="s">
        <v>8761</v>
      </c>
      <c r="D10" s="260" t="s">
        <v>8762</v>
      </c>
      <c r="E10" s="261">
        <v>46142.550046296295</v>
      </c>
      <c r="F10" s="261">
        <v>46148.729166666664</v>
      </c>
      <c r="G10" s="261">
        <v>46148.854166666664</v>
      </c>
      <c r="H10" s="260" t="s">
        <v>8747</v>
      </c>
      <c r="I10" s="259" t="s">
        <v>8748</v>
      </c>
      <c r="J10" s="259" t="s">
        <v>36</v>
      </c>
      <c r="K10" s="262" t="s">
        <v>271</v>
      </c>
      <c r="L10" s="263"/>
      <c r="M10" s="263" t="s">
        <v>8750</v>
      </c>
      <c r="N10" s="263"/>
      <c r="O10" s="263"/>
      <c r="P10" s="263"/>
      <c r="Q10" s="263"/>
      <c r="R10" s="263"/>
      <c r="S10" s="263"/>
      <c r="T10" s="263"/>
      <c r="U10" s="263"/>
      <c r="V10" s="263"/>
      <c r="W10" s="263" t="s">
        <v>8751</v>
      </c>
      <c r="X10" s="263">
        <v>2026</v>
      </c>
      <c r="Y10" s="263"/>
      <c r="Z10" s="263"/>
    </row>
    <row r="11" spans="1:26" ht="15" customHeight="1">
      <c r="A11" s="259" t="s">
        <v>26</v>
      </c>
      <c r="B11" s="259" t="s">
        <v>37</v>
      </c>
      <c r="C11" s="260" t="s">
        <v>4925</v>
      </c>
      <c r="D11" s="260" t="s">
        <v>8763</v>
      </c>
      <c r="E11" s="261">
        <v>46135.714548611111</v>
      </c>
      <c r="F11" s="261">
        <v>46147.729166666664</v>
      </c>
      <c r="G11" s="261">
        <v>46147.854166666664</v>
      </c>
      <c r="H11" s="260" t="s">
        <v>8764</v>
      </c>
      <c r="I11" s="259" t="s">
        <v>8748</v>
      </c>
      <c r="J11" s="259" t="s">
        <v>36</v>
      </c>
      <c r="K11" s="262" t="s">
        <v>271</v>
      </c>
      <c r="L11" s="263"/>
      <c r="M11" s="263" t="s">
        <v>8750</v>
      </c>
      <c r="N11" s="263"/>
      <c r="O11" s="263"/>
      <c r="P11" s="263"/>
      <c r="Q11" s="263"/>
      <c r="R11" s="263"/>
      <c r="S11" s="263"/>
      <c r="T11" s="263"/>
      <c r="U11" s="263"/>
      <c r="V11" s="263"/>
      <c r="W11" s="263" t="s">
        <v>8751</v>
      </c>
      <c r="X11" s="263">
        <v>2026</v>
      </c>
      <c r="Y11" s="263"/>
      <c r="Z11" s="263"/>
    </row>
    <row r="12" spans="1:26" ht="15" customHeight="1">
      <c r="A12" s="259" t="s">
        <v>26</v>
      </c>
      <c r="B12" s="259" t="s">
        <v>37</v>
      </c>
      <c r="C12" s="260" t="s">
        <v>4930</v>
      </c>
      <c r="D12" s="260" t="s">
        <v>8765</v>
      </c>
      <c r="E12" s="261">
        <v>46135.571793981479</v>
      </c>
      <c r="F12" s="261">
        <v>46147.604166666664</v>
      </c>
      <c r="G12" s="261">
        <v>46147.729166666664</v>
      </c>
      <c r="H12" s="260" t="s">
        <v>8766</v>
      </c>
      <c r="I12" s="259" t="s">
        <v>8748</v>
      </c>
      <c r="J12" s="259" t="s">
        <v>36</v>
      </c>
      <c r="K12" s="262" t="s">
        <v>271</v>
      </c>
      <c r="L12" s="263"/>
      <c r="M12" s="263" t="s">
        <v>8750</v>
      </c>
      <c r="N12" s="263"/>
      <c r="O12" s="263"/>
      <c r="P12" s="263"/>
      <c r="Q12" s="263"/>
      <c r="R12" s="263"/>
      <c r="S12" s="263"/>
      <c r="T12" s="263"/>
      <c r="U12" s="263"/>
      <c r="V12" s="263"/>
      <c r="W12" s="263" t="s">
        <v>8751</v>
      </c>
      <c r="X12" s="263">
        <v>2026</v>
      </c>
      <c r="Y12" s="263"/>
      <c r="Z12" s="263"/>
    </row>
    <row r="13" spans="1:26" ht="15" customHeight="1">
      <c r="A13" s="259" t="s">
        <v>26</v>
      </c>
      <c r="B13" s="259" t="s">
        <v>8767</v>
      </c>
      <c r="C13" s="259" t="s">
        <v>846</v>
      </c>
      <c r="D13" s="259" t="s">
        <v>8768</v>
      </c>
      <c r="E13" s="264">
        <v>46156.181701388887</v>
      </c>
      <c r="F13" s="264">
        <v>46163.270833333336</v>
      </c>
      <c r="G13" s="264">
        <v>46164.0625</v>
      </c>
      <c r="H13" s="259" t="s">
        <v>8769</v>
      </c>
      <c r="I13" s="259" t="s">
        <v>8770</v>
      </c>
      <c r="J13" s="259" t="s">
        <v>8771</v>
      </c>
      <c r="K13" s="259" t="s">
        <v>271</v>
      </c>
      <c r="L13" s="263"/>
      <c r="M13" s="263"/>
      <c r="N13" s="263"/>
      <c r="O13" s="263"/>
      <c r="P13" s="263"/>
      <c r="Q13" s="263"/>
      <c r="R13" s="263"/>
      <c r="S13" s="263"/>
      <c r="T13" s="263"/>
      <c r="U13" s="263"/>
      <c r="V13" s="263"/>
      <c r="W13" s="263"/>
      <c r="X13" s="263"/>
      <c r="Y13" s="263"/>
      <c r="Z13" s="263"/>
    </row>
    <row r="14" spans="1:26" ht="15" customHeight="1">
      <c r="A14" s="259" t="s">
        <v>51</v>
      </c>
      <c r="B14" s="259" t="s">
        <v>35</v>
      </c>
      <c r="C14" s="259" t="s">
        <v>8772</v>
      </c>
      <c r="D14" s="259" t="s">
        <v>8773</v>
      </c>
      <c r="E14" s="264">
        <v>46174.3</v>
      </c>
      <c r="F14" s="264">
        <v>46180.229166666664</v>
      </c>
      <c r="G14" s="264">
        <v>46180.270833333336</v>
      </c>
      <c r="H14" s="259" t="s">
        <v>8774</v>
      </c>
      <c r="I14" s="259" t="s">
        <v>8748</v>
      </c>
      <c r="J14" s="259" t="s">
        <v>8775</v>
      </c>
      <c r="K14" s="259" t="s">
        <v>271</v>
      </c>
      <c r="L14" s="263"/>
      <c r="M14" s="263" t="s">
        <v>8750</v>
      </c>
      <c r="N14" s="263"/>
      <c r="O14" s="263"/>
      <c r="P14" s="263"/>
      <c r="Q14" s="263"/>
      <c r="R14" s="263"/>
      <c r="S14" s="263"/>
      <c r="T14" s="263"/>
      <c r="U14" s="263"/>
      <c r="V14" s="263"/>
      <c r="W14" s="263" t="s">
        <v>8776</v>
      </c>
      <c r="X14" s="263">
        <v>2026</v>
      </c>
      <c r="Y14" s="263"/>
      <c r="Z14" s="263"/>
    </row>
    <row r="15" spans="1:26" ht="15" customHeight="1">
      <c r="A15" s="259" t="s">
        <v>51</v>
      </c>
      <c r="B15" s="259" t="s">
        <v>35</v>
      </c>
      <c r="C15" s="259" t="s">
        <v>8772</v>
      </c>
      <c r="D15" s="259" t="s">
        <v>8777</v>
      </c>
      <c r="E15" s="264">
        <v>46177.3125</v>
      </c>
      <c r="F15" s="264">
        <v>46189.333333333336</v>
      </c>
      <c r="G15" s="264">
        <v>46189.375</v>
      </c>
      <c r="H15" s="259" t="s">
        <v>8774</v>
      </c>
      <c r="I15" s="259" t="s">
        <v>8748</v>
      </c>
      <c r="J15" s="259" t="s">
        <v>8775</v>
      </c>
      <c r="K15" s="259" t="s">
        <v>271</v>
      </c>
      <c r="L15" s="263"/>
      <c r="M15" s="263" t="s">
        <v>8750</v>
      </c>
      <c r="N15" s="263"/>
      <c r="O15" s="263"/>
      <c r="P15" s="263"/>
      <c r="Q15" s="263"/>
      <c r="R15" s="263"/>
      <c r="S15" s="263"/>
      <c r="T15" s="263"/>
      <c r="U15" s="263"/>
      <c r="V15" s="263"/>
      <c r="W15" s="263" t="s">
        <v>8776</v>
      </c>
      <c r="X15" s="263">
        <v>2026</v>
      </c>
      <c r="Y15" s="263"/>
      <c r="Z15" s="263"/>
    </row>
    <row r="16" spans="1:26" ht="15" customHeight="1">
      <c r="A16" s="259" t="s">
        <v>51</v>
      </c>
      <c r="B16" s="259" t="s">
        <v>35</v>
      </c>
      <c r="C16" s="259" t="s">
        <v>8772</v>
      </c>
      <c r="D16" s="259" t="s">
        <v>8778</v>
      </c>
      <c r="E16" s="264">
        <v>46174.306944444441</v>
      </c>
      <c r="F16" s="264">
        <v>46189.833333333336</v>
      </c>
      <c r="G16" s="264">
        <v>46189.875</v>
      </c>
      <c r="H16" s="259" t="s">
        <v>8779</v>
      </c>
      <c r="I16" s="259" t="s">
        <v>8748</v>
      </c>
      <c r="J16" s="259" t="s">
        <v>8775</v>
      </c>
      <c r="K16" s="259" t="s">
        <v>271</v>
      </c>
      <c r="L16" s="263"/>
      <c r="M16" s="263" t="s">
        <v>8750</v>
      </c>
      <c r="N16" s="263"/>
      <c r="O16" s="263"/>
      <c r="P16" s="263"/>
      <c r="Q16" s="263"/>
      <c r="R16" s="263"/>
      <c r="S16" s="263"/>
      <c r="T16" s="263"/>
      <c r="U16" s="263"/>
      <c r="V16" s="263"/>
      <c r="W16" s="263" t="s">
        <v>8776</v>
      </c>
      <c r="X16" s="263">
        <v>2026</v>
      </c>
      <c r="Y16" s="263"/>
      <c r="Z16" s="263"/>
    </row>
    <row r="17" spans="1:26" ht="15" customHeight="1">
      <c r="A17" s="259" t="s">
        <v>51</v>
      </c>
      <c r="B17" s="259" t="s">
        <v>35</v>
      </c>
      <c r="C17" s="259" t="s">
        <v>5418</v>
      </c>
      <c r="D17" s="259" t="s">
        <v>8780</v>
      </c>
      <c r="E17" s="264">
        <v>46183.321527777778</v>
      </c>
      <c r="F17" s="264">
        <v>46184.3125</v>
      </c>
      <c r="G17" s="264">
        <v>46184.333333333336</v>
      </c>
      <c r="H17" s="259" t="s">
        <v>8781</v>
      </c>
      <c r="I17" s="259" t="s">
        <v>8748</v>
      </c>
      <c r="J17" s="259" t="s">
        <v>8775</v>
      </c>
      <c r="K17" s="259" t="s">
        <v>271</v>
      </c>
      <c r="L17" s="263"/>
      <c r="M17" s="263" t="s">
        <v>8750</v>
      </c>
      <c r="N17" s="263"/>
      <c r="O17" s="263"/>
      <c r="P17" s="263"/>
      <c r="Q17" s="263"/>
      <c r="R17" s="263"/>
      <c r="S17" s="263"/>
      <c r="T17" s="263"/>
      <c r="U17" s="263"/>
      <c r="V17" s="263"/>
      <c r="W17" s="263" t="s">
        <v>8776</v>
      </c>
      <c r="X17" s="263">
        <v>2026</v>
      </c>
      <c r="Y17" s="263"/>
      <c r="Z17" s="263"/>
    </row>
    <row r="18" spans="1:26" ht="15" customHeight="1">
      <c r="A18" s="259" t="s">
        <v>51</v>
      </c>
      <c r="B18" s="259" t="s">
        <v>35</v>
      </c>
      <c r="C18" s="259" t="s">
        <v>5477</v>
      </c>
      <c r="D18" s="259" t="s">
        <v>8782</v>
      </c>
      <c r="E18" s="264">
        <v>46197.467361111114</v>
      </c>
      <c r="F18" s="264">
        <v>46197.333333333336</v>
      </c>
      <c r="G18" s="264">
        <v>46197.5</v>
      </c>
      <c r="H18" s="259" t="s">
        <v>8783</v>
      </c>
      <c r="I18" s="259" t="s">
        <v>8748</v>
      </c>
      <c r="J18" s="259" t="s">
        <v>8775</v>
      </c>
      <c r="K18" s="259" t="s">
        <v>271</v>
      </c>
      <c r="L18" s="263"/>
      <c r="M18" s="263" t="s">
        <v>8750</v>
      </c>
      <c r="N18" s="263"/>
      <c r="O18" s="263"/>
      <c r="P18" s="263"/>
      <c r="Q18" s="263"/>
      <c r="R18" s="263"/>
      <c r="S18" s="263"/>
      <c r="T18" s="263"/>
      <c r="U18" s="263"/>
      <c r="V18" s="263"/>
      <c r="W18" s="263" t="s">
        <v>8776</v>
      </c>
      <c r="X18" s="263">
        <v>2026</v>
      </c>
      <c r="Y18" s="263"/>
      <c r="Z18" s="263"/>
    </row>
    <row r="19" spans="1:26" ht="15" customHeight="1">
      <c r="A19" s="259" t="s">
        <v>46</v>
      </c>
      <c r="B19" s="259" t="s">
        <v>42</v>
      </c>
      <c r="C19" s="259" t="s">
        <v>8784</v>
      </c>
      <c r="D19" s="259" t="s">
        <v>8785</v>
      </c>
      <c r="E19" s="264">
        <v>46189.308761574073</v>
      </c>
      <c r="F19" s="264">
        <v>46190.625</v>
      </c>
      <c r="G19" s="264">
        <v>46190.708333333336</v>
      </c>
      <c r="H19" s="259" t="s">
        <v>8786</v>
      </c>
      <c r="I19" s="259" t="s">
        <v>8770</v>
      </c>
      <c r="J19" s="259" t="s">
        <v>49</v>
      </c>
      <c r="K19" s="259" t="s">
        <v>271</v>
      </c>
      <c r="L19" s="263"/>
      <c r="M19" s="263" t="s">
        <v>8750</v>
      </c>
      <c r="N19" s="263"/>
      <c r="O19" s="263"/>
      <c r="P19" s="263"/>
      <c r="Q19" s="263"/>
      <c r="R19" s="263"/>
      <c r="S19" s="263"/>
      <c r="T19" s="263"/>
      <c r="U19" s="263"/>
      <c r="V19" s="263"/>
      <c r="W19" s="263" t="s">
        <v>8776</v>
      </c>
      <c r="X19" s="263">
        <v>2026</v>
      </c>
      <c r="Y19" s="263" t="s">
        <v>428</v>
      </c>
      <c r="Z19" s="263" t="s">
        <v>371</v>
      </c>
    </row>
    <row r="20" spans="1:26" ht="15" customHeight="1">
      <c r="A20" s="259" t="s">
        <v>46</v>
      </c>
      <c r="B20" s="259" t="s">
        <v>42</v>
      </c>
      <c r="C20" s="259" t="s">
        <v>8784</v>
      </c>
      <c r="D20" s="259" t="s">
        <v>8787</v>
      </c>
      <c r="E20" s="264">
        <v>46196.301712962966</v>
      </c>
      <c r="F20" s="264">
        <v>46197.416666666664</v>
      </c>
      <c r="G20" s="264">
        <v>46197.416666666664</v>
      </c>
      <c r="H20" s="259" t="s">
        <v>8788</v>
      </c>
      <c r="I20" s="259" t="s">
        <v>8770</v>
      </c>
      <c r="J20" s="260" t="s">
        <v>49</v>
      </c>
      <c r="K20" s="259" t="s">
        <v>271</v>
      </c>
      <c r="L20" s="263"/>
      <c r="M20" s="263" t="s">
        <v>8750</v>
      </c>
      <c r="N20" s="263"/>
      <c r="O20" s="263"/>
      <c r="P20" s="263"/>
      <c r="Q20" s="263"/>
      <c r="R20" s="263"/>
      <c r="S20" s="263"/>
      <c r="T20" s="263"/>
      <c r="U20" s="263"/>
      <c r="V20" s="263"/>
      <c r="W20" s="263" t="s">
        <v>8776</v>
      </c>
      <c r="X20" s="263">
        <v>2026</v>
      </c>
      <c r="Y20" s="263" t="s">
        <v>428</v>
      </c>
      <c r="Z20" s="263" t="s">
        <v>371</v>
      </c>
    </row>
    <row r="22" spans="1:26" ht="15" customHeight="1">
      <c r="A22" t="s">
        <v>26</v>
      </c>
      <c r="B22" t="s">
        <v>37</v>
      </c>
      <c r="C22" t="s">
        <v>4999</v>
      </c>
      <c r="D22" t="s">
        <v>8789</v>
      </c>
      <c r="E22" s="113">
        <v>46196.609386574077</v>
      </c>
      <c r="F22" s="113">
        <v>46196.614791666667</v>
      </c>
      <c r="G22" s="113">
        <v>46196.854166666664</v>
      </c>
      <c r="H22" s="31" t="s">
        <v>8790</v>
      </c>
      <c r="I22" t="s">
        <v>8748</v>
      </c>
      <c r="J22" s="31" t="s">
        <v>36</v>
      </c>
      <c r="K22" t="s">
        <v>8749</v>
      </c>
      <c r="M22" t="s">
        <v>8750</v>
      </c>
    </row>
    <row r="23" spans="1:26" ht="15" customHeight="1">
      <c r="A23" t="s">
        <v>26</v>
      </c>
      <c r="B23" t="s">
        <v>37</v>
      </c>
      <c r="C23" t="s">
        <v>8791</v>
      </c>
      <c r="D23" t="s">
        <v>8792</v>
      </c>
      <c r="E23" s="113">
        <v>46190.551574074074</v>
      </c>
      <c r="F23" s="113">
        <v>46204.770833333336</v>
      </c>
      <c r="G23" s="113">
        <v>46204.895833333336</v>
      </c>
      <c r="H23" s="31" t="s">
        <v>8793</v>
      </c>
      <c r="I23" t="s">
        <v>8748</v>
      </c>
      <c r="J23" s="31" t="s">
        <v>36</v>
      </c>
      <c r="K23" t="s">
        <v>8794</v>
      </c>
    </row>
    <row r="24" spans="1:26" ht="15" customHeight="1">
      <c r="A24" t="s">
        <v>26</v>
      </c>
      <c r="B24" t="s">
        <v>37</v>
      </c>
      <c r="C24" t="s">
        <v>4947</v>
      </c>
      <c r="D24" t="s">
        <v>8795</v>
      </c>
      <c r="E24" s="113">
        <v>46188.583518518521</v>
      </c>
      <c r="F24" s="113">
        <v>46195.5625</v>
      </c>
      <c r="G24" s="113">
        <v>46195.895833333336</v>
      </c>
      <c r="H24" t="s">
        <v>8796</v>
      </c>
      <c r="I24" t="s">
        <v>8748</v>
      </c>
      <c r="J24" s="31" t="s">
        <v>36</v>
      </c>
      <c r="K24" t="s">
        <v>8749</v>
      </c>
      <c r="M24" t="s">
        <v>8750</v>
      </c>
    </row>
    <row r="25" spans="1:26" ht="15" customHeight="1">
      <c r="A25" t="s">
        <v>26</v>
      </c>
      <c r="B25" t="s">
        <v>37</v>
      </c>
      <c r="C25" t="s">
        <v>4947</v>
      </c>
      <c r="D25" t="s">
        <v>8797</v>
      </c>
      <c r="E25" s="113">
        <v>46188.541412037041</v>
      </c>
      <c r="F25" s="113">
        <v>46188.5625</v>
      </c>
      <c r="G25" s="113">
        <v>46188.895833333336</v>
      </c>
      <c r="H25" s="31" t="s">
        <v>8798</v>
      </c>
      <c r="I25" t="s">
        <v>8748</v>
      </c>
      <c r="J25" s="31" t="s">
        <v>36</v>
      </c>
      <c r="K25" t="s">
        <v>271</v>
      </c>
      <c r="M25" t="s">
        <v>8750</v>
      </c>
    </row>
    <row r="26" spans="1:26" ht="15" customHeight="1">
      <c r="A26" t="s">
        <v>26</v>
      </c>
      <c r="B26" t="s">
        <v>37</v>
      </c>
      <c r="C26" t="s">
        <v>4999</v>
      </c>
      <c r="D26" t="s">
        <v>8799</v>
      </c>
      <c r="E26" s="113">
        <v>46184.698159722226</v>
      </c>
      <c r="F26" s="113">
        <v>46184.70894675926</v>
      </c>
      <c r="G26" s="113">
        <v>46184.916666666664</v>
      </c>
      <c r="H26" s="31" t="s">
        <v>8800</v>
      </c>
      <c r="I26" t="s">
        <v>8748</v>
      </c>
      <c r="J26" t="s">
        <v>36</v>
      </c>
      <c r="K26" t="s">
        <v>271</v>
      </c>
      <c r="M26" t="s">
        <v>8750</v>
      </c>
    </row>
    <row r="27" spans="1:26" ht="15" customHeight="1">
      <c r="A27" t="s">
        <v>26</v>
      </c>
      <c r="B27" t="s">
        <v>37</v>
      </c>
      <c r="C27" t="s">
        <v>8761</v>
      </c>
      <c r="D27" t="s">
        <v>8801</v>
      </c>
      <c r="E27" s="210">
        <v>46182.657083333332</v>
      </c>
      <c r="F27" s="113">
        <v>46184.645833333336</v>
      </c>
      <c r="G27" s="113">
        <v>46184.770833333336</v>
      </c>
      <c r="H27" t="s">
        <v>8802</v>
      </c>
      <c r="I27" t="s">
        <v>8748</v>
      </c>
      <c r="J27" t="s">
        <v>36</v>
      </c>
      <c r="K27" t="s">
        <v>271</v>
      </c>
      <c r="M27" t="s">
        <v>8750</v>
      </c>
    </row>
    <row r="28" spans="1:26" ht="15" customHeight="1">
      <c r="A28" t="s">
        <v>26</v>
      </c>
      <c r="B28" t="s">
        <v>37</v>
      </c>
      <c r="C28" t="s">
        <v>4999</v>
      </c>
      <c r="D28" t="s">
        <v>8803</v>
      </c>
      <c r="E28" s="113">
        <v>46181.764467592591</v>
      </c>
      <c r="F28" s="113">
        <v>46183.604166666664</v>
      </c>
      <c r="G28" s="113">
        <v>46183.791666666664</v>
      </c>
      <c r="H28" s="31" t="s">
        <v>8804</v>
      </c>
      <c r="I28" t="s">
        <v>8748</v>
      </c>
      <c r="J28" t="s">
        <v>36</v>
      </c>
      <c r="K28" t="s">
        <v>271</v>
      </c>
      <c r="M28" t="s">
        <v>8750</v>
      </c>
    </row>
    <row r="29" spans="1:26" ht="15" customHeight="1">
      <c r="A29" t="s">
        <v>26</v>
      </c>
      <c r="B29" t="s">
        <v>8767</v>
      </c>
      <c r="C29" t="s">
        <v>514</v>
      </c>
      <c r="D29" t="s">
        <v>8805</v>
      </c>
      <c r="E29" s="113">
        <v>46218.518750000003</v>
      </c>
      <c r="F29" s="113">
        <v>46224.520833333336</v>
      </c>
      <c r="G29" s="113">
        <v>46224.5625</v>
      </c>
      <c r="H29" t="s">
        <v>8806</v>
      </c>
      <c r="I29" t="s">
        <v>8748</v>
      </c>
      <c r="J29" t="s">
        <v>8807</v>
      </c>
      <c r="K29" t="s">
        <v>8749</v>
      </c>
      <c r="M29" t="s">
        <v>8750</v>
      </c>
    </row>
    <row r="30" spans="1:26" ht="15" customHeight="1">
      <c r="A30" s="19" t="s">
        <v>51</v>
      </c>
      <c r="B30" s="19" t="s">
        <v>35</v>
      </c>
      <c r="C30" s="19" t="s">
        <v>8808</v>
      </c>
      <c r="D30" s="19" t="s">
        <v>8809</v>
      </c>
      <c r="E30" s="288">
        <v>46228.340277777781</v>
      </c>
      <c r="F30" s="288">
        <v>46210.416666666664</v>
      </c>
      <c r="G30" s="288">
        <v>46210.5</v>
      </c>
      <c r="H30" s="19" t="s">
        <v>8810</v>
      </c>
      <c r="I30" s="259" t="s">
        <v>8748</v>
      </c>
      <c r="J30" s="259" t="s">
        <v>8775</v>
      </c>
      <c r="K30" s="259" t="s">
        <v>271</v>
      </c>
      <c r="L30" s="263"/>
      <c r="M30" s="263" t="s">
        <v>8750</v>
      </c>
      <c r="N30" s="263"/>
      <c r="O30" s="263"/>
      <c r="P30" s="263"/>
      <c r="Q30" s="263"/>
      <c r="R30" s="263"/>
      <c r="S30" s="263"/>
      <c r="T30" s="263"/>
      <c r="U30" s="263"/>
      <c r="V30" s="263"/>
      <c r="W30" s="263" t="s">
        <v>8811</v>
      </c>
      <c r="X30" s="263">
        <v>2026</v>
      </c>
      <c r="Y30" s="19"/>
      <c r="Z30" s="19"/>
    </row>
    <row r="31" spans="1:26" ht="15" customHeight="1">
      <c r="A31" s="19" t="s">
        <v>51</v>
      </c>
      <c r="B31" s="19" t="s">
        <v>35</v>
      </c>
      <c r="C31" s="19" t="s">
        <v>5477</v>
      </c>
      <c r="D31" s="19" t="s">
        <v>8812</v>
      </c>
      <c r="E31" s="288">
        <v>46217.459027777775</v>
      </c>
      <c r="F31" s="288">
        <v>46224.333333333336</v>
      </c>
      <c r="G31" s="288">
        <v>46224.354166666664</v>
      </c>
      <c r="H31" s="19" t="s">
        <v>8813</v>
      </c>
      <c r="I31" s="259" t="s">
        <v>8748</v>
      </c>
      <c r="J31" s="259" t="s">
        <v>8775</v>
      </c>
      <c r="K31" s="259" t="s">
        <v>271</v>
      </c>
      <c r="L31" s="263"/>
      <c r="M31" s="263" t="s">
        <v>8750</v>
      </c>
      <c r="N31" s="263"/>
      <c r="O31" s="263"/>
      <c r="P31" s="263"/>
      <c r="Q31" s="263"/>
      <c r="R31" s="263"/>
      <c r="S31" s="263"/>
      <c r="T31" s="263"/>
      <c r="U31" s="263"/>
      <c r="V31" s="263"/>
      <c r="W31" s="263" t="s">
        <v>8811</v>
      </c>
      <c r="X31" s="263">
        <v>2026</v>
      </c>
      <c r="Y31" s="19"/>
      <c r="Z31" s="19"/>
    </row>
    <row r="32" spans="1:26" ht="15" customHeight="1">
      <c r="A32" s="19" t="s">
        <v>51</v>
      </c>
      <c r="B32" s="19" t="s">
        <v>35</v>
      </c>
      <c r="C32" s="19" t="s">
        <v>8808</v>
      </c>
      <c r="D32" s="19" t="s">
        <v>8814</v>
      </c>
      <c r="E32" s="288">
        <v>46223.405555555553</v>
      </c>
      <c r="F32" s="288">
        <v>46224.416666666664</v>
      </c>
      <c r="G32" s="288">
        <v>46224.5</v>
      </c>
      <c r="H32" s="19" t="s">
        <v>8815</v>
      </c>
      <c r="I32" s="259" t="s">
        <v>8770</v>
      </c>
      <c r="J32" s="259" t="s">
        <v>8775</v>
      </c>
      <c r="K32" s="259" t="s">
        <v>271</v>
      </c>
      <c r="L32" s="263"/>
      <c r="M32" s="263" t="s">
        <v>8750</v>
      </c>
      <c r="N32" s="263"/>
      <c r="O32" s="263"/>
      <c r="P32" s="263"/>
      <c r="Q32" s="263"/>
      <c r="R32" s="263"/>
      <c r="S32" s="263"/>
      <c r="T32" s="263"/>
      <c r="U32" s="263"/>
      <c r="V32" s="263"/>
      <c r="W32" s="263" t="s">
        <v>8811</v>
      </c>
      <c r="X32" s="263">
        <v>2026</v>
      </c>
      <c r="Y32" s="19"/>
      <c r="Z32" s="19"/>
    </row>
    <row r="33" spans="1:26" ht="15" customHeight="1">
      <c r="A33" s="19" t="s">
        <v>51</v>
      </c>
      <c r="B33" s="19" t="s">
        <v>35</v>
      </c>
      <c r="C33" s="19" t="s">
        <v>5477</v>
      </c>
      <c r="D33" s="19" t="s">
        <v>8816</v>
      </c>
      <c r="E33" s="288">
        <v>46212.302777777775</v>
      </c>
      <c r="F33" s="288">
        <v>46225.916666666664</v>
      </c>
      <c r="G33" s="288">
        <v>46225.958333333336</v>
      </c>
      <c r="H33" s="19" t="s">
        <v>8774</v>
      </c>
      <c r="I33" s="259" t="s">
        <v>8748</v>
      </c>
      <c r="J33" s="259" t="s">
        <v>8775</v>
      </c>
      <c r="K33" s="259" t="s">
        <v>271</v>
      </c>
      <c r="L33" s="263"/>
      <c r="M33" s="263" t="s">
        <v>8750</v>
      </c>
      <c r="N33" s="263"/>
      <c r="O33" s="263"/>
      <c r="P33" s="263"/>
      <c r="Q33" s="263"/>
      <c r="R33" s="263"/>
      <c r="S33" s="263"/>
      <c r="T33" s="263"/>
      <c r="U33" s="263"/>
      <c r="V33" s="263"/>
      <c r="W33" s="263" t="s">
        <v>8811</v>
      </c>
      <c r="X33" s="263">
        <v>2026</v>
      </c>
      <c r="Y33" s="19"/>
      <c r="Z33" s="19"/>
    </row>
    <row r="34" spans="1:26" ht="15" customHeight="1">
      <c r="A34" s="145" t="s">
        <v>51</v>
      </c>
      <c r="B34" s="145" t="s">
        <v>35</v>
      </c>
      <c r="C34" s="145" t="s">
        <v>5477</v>
      </c>
      <c r="D34" s="145" t="s">
        <v>8817</v>
      </c>
      <c r="E34" s="302">
        <v>46220.508333333331</v>
      </c>
      <c r="F34" s="302">
        <v>46226.333333333336</v>
      </c>
      <c r="G34" s="302">
        <v>46226.375</v>
      </c>
      <c r="H34" s="145" t="s">
        <v>8818</v>
      </c>
      <c r="I34" s="303" t="s">
        <v>8748</v>
      </c>
      <c r="J34" s="303" t="s">
        <v>8775</v>
      </c>
      <c r="K34" s="303" t="s">
        <v>271</v>
      </c>
      <c r="L34" s="304"/>
      <c r="M34" s="304" t="s">
        <v>8750</v>
      </c>
      <c r="N34" s="304"/>
      <c r="O34" s="304"/>
      <c r="P34" s="304"/>
      <c r="Q34" s="304"/>
      <c r="R34" s="304"/>
      <c r="S34" s="304"/>
      <c r="T34" s="304"/>
      <c r="U34" s="304"/>
      <c r="V34" s="304"/>
      <c r="W34" s="304" t="s">
        <v>8811</v>
      </c>
      <c r="X34" s="304">
        <v>2026</v>
      </c>
      <c r="Y34" s="145"/>
      <c r="Z34" s="145"/>
    </row>
    <row r="35" spans="1:26" ht="15" customHeight="1">
      <c r="A35" s="19" t="s">
        <v>51</v>
      </c>
      <c r="B35" s="19" t="s">
        <v>35</v>
      </c>
      <c r="C35" s="19" t="s">
        <v>5477</v>
      </c>
      <c r="D35" s="19" t="s">
        <v>8819</v>
      </c>
      <c r="E35" s="288">
        <v>46231.314583333333</v>
      </c>
      <c r="F35" s="288">
        <v>46233.5</v>
      </c>
      <c r="G35" s="288">
        <v>46233.541666666664</v>
      </c>
      <c r="H35" s="19" t="s">
        <v>8820</v>
      </c>
      <c r="I35" s="19" t="s">
        <v>8748</v>
      </c>
      <c r="J35" s="259" t="s">
        <v>8775</v>
      </c>
      <c r="K35" s="19" t="s">
        <v>271</v>
      </c>
      <c r="L35" s="19"/>
      <c r="M35" s="19" t="s">
        <v>8750</v>
      </c>
      <c r="N35" s="19"/>
      <c r="O35" s="19"/>
      <c r="P35" s="19"/>
      <c r="Q35" s="19"/>
      <c r="R35" s="19"/>
      <c r="S35" s="19"/>
      <c r="T35" s="19"/>
      <c r="U35" s="19"/>
      <c r="V35" s="19"/>
      <c r="W35" s="263" t="s">
        <v>8811</v>
      </c>
      <c r="X35" s="263">
        <v>2026</v>
      </c>
      <c r="Y35" s="19"/>
      <c r="Z35" s="19"/>
    </row>
    <row r="36" spans="1:26" ht="15" customHeight="1">
      <c r="A36" t="s">
        <v>26</v>
      </c>
      <c r="B36" t="s">
        <v>37</v>
      </c>
      <c r="C36" t="s">
        <v>4999</v>
      </c>
      <c r="D36" t="s">
        <v>8821</v>
      </c>
      <c r="E36" s="113">
        <v>46224.537534722222</v>
      </c>
      <c r="F36" s="113">
        <v>46224.541666666664</v>
      </c>
      <c r="G36" s="113">
        <v>46224.895833333336</v>
      </c>
      <c r="H36" s="31" t="s">
        <v>8822</v>
      </c>
      <c r="I36" t="s">
        <v>8748</v>
      </c>
      <c r="J36" s="31" t="s">
        <v>36</v>
      </c>
      <c r="K36" t="s">
        <v>271</v>
      </c>
      <c r="M36" t="s">
        <v>8750</v>
      </c>
    </row>
    <row r="37" spans="1:26" ht="15" customHeight="1">
      <c r="C37" t="s">
        <v>4999</v>
      </c>
      <c r="D37" t="s">
        <v>8823</v>
      </c>
      <c r="E37" s="113">
        <v>46213.722025462965</v>
      </c>
      <c r="F37" s="113">
        <v>46213.729166666664</v>
      </c>
      <c r="G37" s="113">
        <v>46213.854166666664</v>
      </c>
      <c r="H37" s="31" t="s">
        <v>8824</v>
      </c>
      <c r="I37" t="s">
        <v>8748</v>
      </c>
      <c r="J37" s="31" t="s">
        <v>36</v>
      </c>
      <c r="K37" t="s">
        <v>271</v>
      </c>
      <c r="M37" t="s">
        <v>8750</v>
      </c>
    </row>
    <row r="38" spans="1:26" ht="15" customHeight="1">
      <c r="C38" t="s">
        <v>4999</v>
      </c>
      <c r="D38" t="s">
        <v>8825</v>
      </c>
      <c r="E38" s="113">
        <v>46213.559803240743</v>
      </c>
      <c r="F38" s="113">
        <v>46213.5625</v>
      </c>
      <c r="G38" s="113">
        <v>46213.854166666664</v>
      </c>
      <c r="H38" s="31" t="s">
        <v>8826</v>
      </c>
      <c r="I38" t="s">
        <v>8748</v>
      </c>
      <c r="J38" s="31" t="s">
        <v>36</v>
      </c>
      <c r="K38" t="s">
        <v>271</v>
      </c>
      <c r="M38" t="s">
        <v>8750</v>
      </c>
    </row>
    <row r="39" spans="1:26" ht="15" customHeight="1">
      <c r="A39" s="19" t="s">
        <v>51</v>
      </c>
      <c r="B39" s="19" t="s">
        <v>35</v>
      </c>
      <c r="C39" s="19" t="s">
        <v>5477</v>
      </c>
      <c r="D39" s="19" t="s">
        <v>8827</v>
      </c>
      <c r="E39" s="302">
        <v>46212.306944444441</v>
      </c>
      <c r="F39" s="302">
        <v>46238.833333333336</v>
      </c>
      <c r="G39" s="302">
        <v>46238.875</v>
      </c>
      <c r="H39" s="19" t="s">
        <v>8779</v>
      </c>
      <c r="I39" s="19" t="s">
        <v>8748</v>
      </c>
      <c r="J39" s="259" t="s">
        <v>8775</v>
      </c>
      <c r="K39" s="19" t="s">
        <v>271</v>
      </c>
      <c r="L39" s="19"/>
      <c r="M39" s="19" t="s">
        <v>8750</v>
      </c>
      <c r="N39" s="19"/>
      <c r="O39" s="19"/>
      <c r="P39" s="19"/>
      <c r="Q39" s="19"/>
      <c r="R39" s="19"/>
      <c r="S39" s="19"/>
      <c r="T39" s="19"/>
      <c r="U39" s="19"/>
      <c r="V39" s="19"/>
      <c r="W39" s="263" t="s">
        <v>8828</v>
      </c>
      <c r="X39" s="263">
        <v>2026</v>
      </c>
      <c r="Y39" s="19"/>
      <c r="Z39" s="19"/>
    </row>
    <row r="40" spans="1:26" ht="15" customHeight="1">
      <c r="A40" s="19" t="s">
        <v>51</v>
      </c>
      <c r="B40" s="19" t="s">
        <v>35</v>
      </c>
      <c r="C40" s="19" t="s">
        <v>5477</v>
      </c>
      <c r="D40" s="19" t="s">
        <v>8829</v>
      </c>
      <c r="E40" s="302">
        <v>46231.304861111108</v>
      </c>
      <c r="F40" s="302">
        <v>46252.333333333336</v>
      </c>
      <c r="G40" s="302">
        <v>46252.354166666664</v>
      </c>
      <c r="H40" s="19" t="s">
        <v>8830</v>
      </c>
      <c r="I40" s="19" t="s">
        <v>8748</v>
      </c>
      <c r="J40" s="259" t="s">
        <v>8775</v>
      </c>
      <c r="K40" s="19" t="s">
        <v>271</v>
      </c>
      <c r="L40" s="19"/>
      <c r="M40" s="19" t="s">
        <v>8750</v>
      </c>
      <c r="N40" s="19"/>
      <c r="O40" s="19"/>
      <c r="P40" s="19"/>
      <c r="Q40" s="19"/>
      <c r="R40" s="19"/>
      <c r="S40" s="19"/>
      <c r="T40" s="19"/>
      <c r="U40" s="19"/>
      <c r="V40" s="19"/>
      <c r="W40" s="263" t="s">
        <v>8828</v>
      </c>
      <c r="X40" s="263">
        <v>2026</v>
      </c>
      <c r="Y40" s="19"/>
      <c r="Z40" s="19"/>
    </row>
    <row r="41" spans="1:26" ht="15" customHeight="1">
      <c r="A41" s="19" t="s">
        <v>51</v>
      </c>
      <c r="B41" s="19" t="s">
        <v>35</v>
      </c>
      <c r="C41" s="19" t="s">
        <v>8808</v>
      </c>
      <c r="D41" s="19" t="s">
        <v>8831</v>
      </c>
      <c r="E41" s="302">
        <v>46231.719444444447</v>
      </c>
      <c r="F41" s="302">
        <v>46239.208333333336</v>
      </c>
      <c r="G41" s="302">
        <v>46239.5</v>
      </c>
      <c r="H41" s="19" t="s">
        <v>8832</v>
      </c>
      <c r="I41" s="19" t="s">
        <v>8770</v>
      </c>
      <c r="J41" s="259" t="s">
        <v>8775</v>
      </c>
      <c r="K41" s="19" t="s">
        <v>271</v>
      </c>
      <c r="L41" s="19"/>
      <c r="M41" s="19" t="s">
        <v>8750</v>
      </c>
      <c r="N41" s="19"/>
      <c r="O41" s="19"/>
      <c r="P41" s="19"/>
      <c r="Q41" s="19"/>
      <c r="R41" s="19"/>
      <c r="S41" s="19"/>
      <c r="T41" s="19"/>
      <c r="U41" s="19"/>
      <c r="V41" s="19"/>
      <c r="W41" s="263" t="s">
        <v>8828</v>
      </c>
      <c r="X41" s="263">
        <v>2026</v>
      </c>
      <c r="Y41" s="19"/>
      <c r="Z41" s="19"/>
    </row>
    <row r="42" spans="1:26" ht="15" customHeight="1">
      <c r="A42" s="19" t="s">
        <v>51</v>
      </c>
      <c r="B42" s="19" t="s">
        <v>35</v>
      </c>
      <c r="C42" s="19" t="s">
        <v>5477</v>
      </c>
      <c r="D42" s="431" t="s">
        <v>8833</v>
      </c>
      <c r="E42" s="288">
        <v>46223.306250000001</v>
      </c>
      <c r="F42" s="433">
        <v>46259.833333333336</v>
      </c>
      <c r="G42" s="288">
        <v>46259.875</v>
      </c>
      <c r="H42" s="432" t="s">
        <v>8779</v>
      </c>
      <c r="I42" s="19" t="s">
        <v>8748</v>
      </c>
      <c r="J42" s="259" t="s">
        <v>8775</v>
      </c>
      <c r="K42" s="19" t="s">
        <v>271</v>
      </c>
      <c r="L42" s="19"/>
      <c r="M42" s="19" t="s">
        <v>8750</v>
      </c>
      <c r="N42" s="19"/>
      <c r="O42" s="19"/>
      <c r="P42" s="19"/>
      <c r="Q42" s="19"/>
      <c r="R42" s="19"/>
      <c r="S42" s="19"/>
      <c r="T42" s="19"/>
      <c r="U42" s="19"/>
      <c r="V42" s="19"/>
      <c r="W42" s="263" t="s">
        <v>8828</v>
      </c>
      <c r="X42" s="263">
        <v>2026</v>
      </c>
      <c r="Y42" s="19"/>
      <c r="Z42" s="19"/>
    </row>
  </sheetData>
  <autoFilter ref="A1:Z1" xr:uid="{9BBB1A9A-B239-405C-906B-809761D49CAA}"/>
  <conditionalFormatting sqref="D1 D13:D1048576">
    <cfRule type="duplicateValues" dxfId="0" priority="1"/>
  </conditionalFormatting>
  <dataValidations count="7">
    <dataValidation type="list" allowBlank="1" showInputMessage="1" showErrorMessage="1" sqref="A1:A1048576" xr:uid="{17207B0C-E471-4E38-8A5E-147116E0541E}">
      <formula1>OpCo_List</formula1>
    </dataValidation>
    <dataValidation type="list" allowBlank="1" showInputMessage="1" showErrorMessage="1" sqref="B1:B1048576" xr:uid="{C7BB14EF-FE68-45E1-AAFF-9F2CF9E826CB}">
      <formula1>"AO, BackOffice, Mobile, Pathway, SIP, LIP, QIP, MRO, Commercial Services"</formula1>
    </dataValidation>
    <dataValidation type="list" allowBlank="1" showInputMessage="1" showErrorMessage="1" sqref="I1:I1048576" xr:uid="{AE046358-D04B-4C21-81B7-D014DF997C94}">
      <formula1>"Standard, Normal, Emergency"</formula1>
    </dataValidation>
    <dataValidation type="list" allowBlank="1" showInputMessage="1" showErrorMessage="1" sqref="K1 K13:K1048576" xr:uid="{B084DB01-6E4A-49D9-8BFE-8361FD9C9F0C}">
      <formula1>"Planned, Scheduled, Implement, Review, Closed"</formula1>
    </dataValidation>
    <dataValidation type="list" allowBlank="1" showInputMessage="1" showErrorMessage="1" sqref="M1:M1048576" xr:uid="{129673DF-E5C9-4C35-AD57-B5E1B4718DF0}">
      <formula1>"Success, Failure"</formula1>
    </dataValidation>
    <dataValidation type="list" allowBlank="1" showInputMessage="1" showErrorMessage="1" sqref="T1:T1048576" xr:uid="{CBCCEDD7-8AA7-4A2A-A7BE-0F4EBA2015BB}">
      <formula1>"Business, Application, Infrastructure"</formula1>
    </dataValidation>
    <dataValidation type="list" allowBlank="1" showInputMessage="1" showErrorMessage="1" sqref="V1:V1048576" xr:uid="{676AEBE0-D0DB-4067-B635-006C0401C821}">
      <formula1>"BAU, Business Requirement, Incident Break Fix, Project Change, Regulatory Requirement, Security Requirement"</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C4C45304AF2C74E9B8A48403AA819B8" ma:contentTypeVersion="17" ma:contentTypeDescription="Create a new document." ma:contentTypeScope="" ma:versionID="e7a58f98430dbeb38e474d3ad984fa0c">
  <xsd:schema xmlns:xsd="http://www.w3.org/2001/XMLSchema" xmlns:xs="http://www.w3.org/2001/XMLSchema" xmlns:p="http://schemas.microsoft.com/office/2006/metadata/properties" xmlns:ns1="http://schemas.microsoft.com/sharepoint/v3" xmlns:ns2="7f58a077-f0ac-40a7-a183-0ab15ba97162" xmlns:ns3="2f8946d3-85ae-41d1-bd3f-7acad5ae3981" targetNamespace="http://schemas.microsoft.com/office/2006/metadata/properties" ma:root="true" ma:fieldsID="9a143330ea2f2414455ed527f3e91b15" ns1:_="" ns2:_="" ns3:_="">
    <xsd:import namespace="http://schemas.microsoft.com/sharepoint/v3"/>
    <xsd:import namespace="7f58a077-f0ac-40a7-a183-0ab15ba97162"/>
    <xsd:import namespace="2f8946d3-85ae-41d1-bd3f-7acad5ae3981"/>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ObjectDetectorVersions" minOccurs="0"/>
                <xsd:element ref="ns3:MediaServiceSearchProperties" minOccurs="0"/>
                <xsd:element ref="ns3:lcf76f155ced4ddcb4097134ff3c332f" minOccurs="0"/>
                <xsd:element ref="ns2:TaxCatchAll" minOccurs="0"/>
                <xsd:element ref="ns3:MediaServiceDateTaken" minOccurs="0"/>
                <xsd:element ref="ns3:MediaServiceGenerationTime" minOccurs="0"/>
                <xsd:element ref="ns3:MediaServiceEventHashCode" minOccurs="0"/>
                <xsd:element ref="ns3:MediaServiceOCR"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58a077-f0ac-40a7-a183-0ab15ba9716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c33c0f9b-ab9e-4d34-84d9-461e0bce15bf}" ma:internalName="TaxCatchAll" ma:showField="CatchAllData" ma:web="7f58a077-f0ac-40a7-a183-0ab15ba9716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2f8946d3-85ae-41d1-bd3f-7acad5ae3981"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1ed53f62-8f16-480b-a008-b745ebcc5850"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CR" ma:index="22"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f8946d3-85ae-41d1-bd3f-7acad5ae3981">
      <Terms xmlns="http://schemas.microsoft.com/office/infopath/2007/PartnerControls"/>
    </lcf76f155ced4ddcb4097134ff3c332f>
    <TaxCatchAll xmlns="7f58a077-f0ac-40a7-a183-0ab15ba97162" xsi:nil="true"/>
    <SharedWithUsers xmlns="7f58a077-f0ac-40a7-a183-0ab15ba97162">
      <UserInfo>
        <DisplayName/>
        <AccountId xsi:nil="true"/>
        <AccountType/>
      </UserInfo>
    </SharedWithUsers>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C023569B-2240-42E8-B359-2BBC2C5FDA0C}"/>
</file>

<file path=customXml/itemProps2.xml><?xml version="1.0" encoding="utf-8"?>
<ds:datastoreItem xmlns:ds="http://schemas.openxmlformats.org/officeDocument/2006/customXml" ds:itemID="{9D9258DE-CF22-4613-A534-4200683A344D}"/>
</file>

<file path=customXml/itemProps3.xml><?xml version="1.0" encoding="utf-8"?>
<ds:datastoreItem xmlns:ds="http://schemas.openxmlformats.org/officeDocument/2006/customXml" ds:itemID="{00F998A4-866F-4A03-8523-8C811859AC78}"/>
</file>

<file path=docMetadata/LabelInfo.xml><?xml version="1.0" encoding="utf-8"?>
<clbl:labelList xmlns:clbl="http://schemas.microsoft.com/office/2020/mipLabelMetadata">
  <clbl:label id="{2e8712ce-4b1c-42f0-8103-696d10633cf9}" enabled="1" method="Privileged" siteId="{ddd66cce-ffe1-4029-967c-5e15ef73127f}"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2026-05-05T10:33:23Z</dcterms:created>
  <dcterms:modified xsi:type="dcterms:W3CDTF">2026-08-25T14:16:25Z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0x010100AC4C45304AF2C74E9B8A48403AA819B8</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